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dt_pb_mapping_with_substitu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<sst xmlns="http://schemas.openxmlformats.org/spreadsheetml/2006/main" count="105669" uniqueCount="23933">
  <si>
    <t xml:space="preserve">"=-001"</t>
  </si>
  <si>
    <t xml:space="preserve">ACT: 1</t>
  </si>
  <si>
    <t xml:space="preserve">PAT: 4; 1</t>
  </si>
  <si>
    <t xml:space="preserve">"abdikovat-001"</t>
  </si>
  <si>
    <t xml:space="preserve">"absentovat-001"</t>
  </si>
  <si>
    <t xml:space="preserve">LOC: *</t>
  </si>
  <si>
    <t xml:space="preserve">"absentovat-002"</t>
  </si>
  <si>
    <t xml:space="preserve">"absolvovat-001"</t>
  </si>
  <si>
    <t xml:space="preserve">PAT: 4</t>
  </si>
  <si>
    <t xml:space="preserve">Protagonist(ARG1/4), Activity(ARG2/6)</t>
  </si>
  <si>
    <t xml:space="preserve">ACT-&gt;ARG1/4</t>
  </si>
  <si>
    <t xml:space="preserve">ACT-&gt;Protagonist</t>
  </si>
  <si>
    <t xml:space="preserve">ACT-&gt;Protagonist(ARG1/4)</t>
  </si>
  <si>
    <t xml:space="preserve">PAT-&gt;ARG2/6</t>
  </si>
  <si>
    <t xml:space="preserve">PAT-&gt;Activity</t>
  </si>
  <si>
    <t xml:space="preserve">PAT-&gt;Activity(ARG2/6)</t>
  </si>
  <si>
    <t xml:space="preserve">"absolvovat-002"</t>
  </si>
  <si>
    <t xml:space="preserve">"absorbovat-001"</t>
  </si>
  <si>
    <t xml:space="preserve">Absorber(ARG0/25), Absorbed(ARG1/38)</t>
  </si>
  <si>
    <t xml:space="preserve">ACT-&gt;ARG0/25</t>
  </si>
  <si>
    <t xml:space="preserve">ACT-&gt;Absorber</t>
  </si>
  <si>
    <t xml:space="preserve">ACT-&gt;Absorber(ARG0/25)</t>
  </si>
  <si>
    <t xml:space="preserve">PAT-&gt;ARG1/38</t>
  </si>
  <si>
    <t xml:space="preserve">PAT-&gt;Absorbed</t>
  </si>
  <si>
    <t xml:space="preserve">PAT-&gt;Absorbed(ARG1/38)</t>
  </si>
  <si>
    <t xml:space="preserve">"abstrahovat-001"</t>
  </si>
  <si>
    <t xml:space="preserve">PAT: od+2</t>
  </si>
  <si>
    <t xml:space="preserve">"abstrahovat-002"</t>
  </si>
  <si>
    <t xml:space="preserve">"adaptovat-001"</t>
  </si>
  <si>
    <t xml:space="preserve">Agent(ARG0/133,ARG1/5), Entity(ARG1/286,ARG2/2,ARG3/2), State_final(ARG1/2,ARG2/96,ARG3/2,ARG4/27), State_initial(ARG2/1,ARG3/10)</t>
  </si>
  <si>
    <t xml:space="preserve">ACT-&gt;ARG0/133,ARG1/5</t>
  </si>
  <si>
    <t xml:space="preserve">ACT-&gt;Agent</t>
  </si>
  <si>
    <t xml:space="preserve">ACT-&gt;Agent(ARG0/133,ARG1/5)</t>
  </si>
  <si>
    <t xml:space="preserve">PAT-&gt;ARG1/286,ARG2/2,ARG3/2</t>
  </si>
  <si>
    <t xml:space="preserve">PAT-&gt;Entity</t>
  </si>
  <si>
    <t xml:space="preserve">PAT-&gt;Entity(ARG1/286,ARG2/2,ARG3/2)</t>
  </si>
  <si>
    <t xml:space="preserve">?ORIG: z+2</t>
  </si>
  <si>
    <t xml:space="preserve">ORIG-&gt;ARG2/1,ARG3/10</t>
  </si>
  <si>
    <t xml:space="preserve">ORIG-&gt;State_initial</t>
  </si>
  <si>
    <t xml:space="preserve">ORIG-&gt;State_initial(ARG2/1,ARG3/10)</t>
  </si>
  <si>
    <t xml:space="preserve">?EFF: na+4; do+2</t>
  </si>
  <si>
    <t xml:space="preserve">EFF-&gt;ARG1/2,ARG2/96,ARG3/2,ARG4/27</t>
  </si>
  <si>
    <t xml:space="preserve">EFF-&gt;State_final</t>
  </si>
  <si>
    <t xml:space="preserve">EFF-&gt;State_final(ARG1/2,ARG2/96,ARG3/2,ARG4/27)</t>
  </si>
  <si>
    <t xml:space="preserve">"adaptovat-se-001"</t>
  </si>
  <si>
    <t xml:space="preserve">PAT: na+4</t>
  </si>
  <si>
    <t xml:space="preserve">"adoptovat-001"</t>
  </si>
  <si>
    <t xml:space="preserve">"adresovat-001"</t>
  </si>
  <si>
    <t xml:space="preserve">Agent(), Communicated(), Recipient()</t>
  </si>
  <si>
    <t xml:space="preserve">ACT-&gt;Agent()</t>
  </si>
  <si>
    <t xml:space="preserve">PAT-&gt;Communicated</t>
  </si>
  <si>
    <t xml:space="preserve">PAT-&gt;Communicated()</t>
  </si>
  <si>
    <t xml:space="preserve">ADDR: 3</t>
  </si>
  <si>
    <t xml:space="preserve">ADDR-&gt;Recipient</t>
  </si>
  <si>
    <t xml:space="preserve">ADDR-&gt;Recipient()</t>
  </si>
  <si>
    <t xml:space="preserve">"agitovat-001"</t>
  </si>
  <si>
    <t xml:space="preserve">PAT: pro+4; proti+3; za+4; ↓že</t>
  </si>
  <si>
    <t xml:space="preserve">"akcelerovat-001"</t>
  </si>
  <si>
    <t xml:space="preserve">"akcentovat-001"</t>
  </si>
  <si>
    <t xml:space="preserve">PAT: 4; ↓že</t>
  </si>
  <si>
    <t xml:space="preserve">"akceptovat-001"</t>
  </si>
  <si>
    <t xml:space="preserve">Communicator(ARG0/593), Proposed(ARG1/592,ARG2/4)</t>
  </si>
  <si>
    <t xml:space="preserve">ACT-&gt;ARG0/593</t>
  </si>
  <si>
    <t xml:space="preserve">ACT-&gt;Communicator</t>
  </si>
  <si>
    <t xml:space="preserve">ACT-&gt;Communicator(ARG0/593)</t>
  </si>
  <si>
    <t xml:space="preserve">PAT-&gt;ARG1/592,ARG2/4</t>
  </si>
  <si>
    <t xml:space="preserve">PAT-&gt;Proposed</t>
  </si>
  <si>
    <t xml:space="preserve">PAT-&gt;Proposed(ARG1/592,ARG2/4)</t>
  </si>
  <si>
    <t xml:space="preserve">"aklimatizovat-se-001"</t>
  </si>
  <si>
    <t xml:space="preserve">?PAT: na+4</t>
  </si>
  <si>
    <t xml:space="preserve">"akreditovat-001"</t>
  </si>
  <si>
    <t xml:space="preserve">"aktivizovat-001"</t>
  </si>
  <si>
    <t xml:space="preserve">"aktivizovat-se-001"</t>
  </si>
  <si>
    <t xml:space="preserve">"aktivovat-001"</t>
  </si>
  <si>
    <t xml:space="preserve">Cause(ARG0/590,ARG1/186,ARG2/6), Action(ARG1/713,ARG2/1)</t>
  </si>
  <si>
    <t xml:space="preserve">ACT-&gt;ARG0/590,ARG1/186,ARG2/6</t>
  </si>
  <si>
    <t xml:space="preserve">ACT-&gt;Cause</t>
  </si>
  <si>
    <t xml:space="preserve">ACT-&gt;Cause(ARG0/590,ARG1/186,ARG2/6)</t>
  </si>
  <si>
    <t xml:space="preserve">PAT-&gt;ARG1/713,ARG2/1</t>
  </si>
  <si>
    <t xml:space="preserve">PAT-&gt;Action</t>
  </si>
  <si>
    <t xml:space="preserve">PAT-&gt;Action(ARG1/713,ARG2/1)</t>
  </si>
  <si>
    <t xml:space="preserve">"aktualizovat-001"</t>
  </si>
  <si>
    <t xml:space="preserve">Changing(ARG0/25,ARG1/1), Changed(ARG1/76)</t>
  </si>
  <si>
    <t xml:space="preserve">ACT-&gt;ARG0/25,ARG1/1</t>
  </si>
  <si>
    <t xml:space="preserve">ACT-&gt;Changing</t>
  </si>
  <si>
    <t xml:space="preserve">ACT-&gt;Changing(ARG0/25,ARG1/1)</t>
  </si>
  <si>
    <t xml:space="preserve">PAT-&gt;ARG1/76</t>
  </si>
  <si>
    <t xml:space="preserve">PAT-&gt;Changed</t>
  </si>
  <si>
    <t xml:space="preserve">PAT-&gt;Changed(ARG1/76)</t>
  </si>
  <si>
    <t xml:space="preserve">"akumulovat-001"</t>
  </si>
  <si>
    <t xml:space="preserve">Collector(ARG0/43,ARG1/1), Collected(ARG1/85)</t>
  </si>
  <si>
    <t xml:space="preserve">ACT-&gt;ARG0/43,ARG1/1</t>
  </si>
  <si>
    <t xml:space="preserve">ACT-&gt;Collector</t>
  </si>
  <si>
    <t xml:space="preserve">ACT-&gt;Collector(ARG0/43,ARG1/1)</t>
  </si>
  <si>
    <t xml:space="preserve">PAT-&gt;ARG1/85</t>
  </si>
  <si>
    <t xml:space="preserve">PAT-&gt;Collected</t>
  </si>
  <si>
    <t xml:space="preserve">PAT-&gt;Collected(ARG1/85)</t>
  </si>
  <si>
    <t xml:space="preserve">"alarmovat-001"</t>
  </si>
  <si>
    <t xml:space="preserve">ADDR: 4</t>
  </si>
  <si>
    <t xml:space="preserve">?PAT: k+3; ↓aby; ↓ať</t>
  </si>
  <si>
    <t xml:space="preserve">"alokovat-001"</t>
  </si>
  <si>
    <t xml:space="preserve">?EFF: na+4</t>
  </si>
  <si>
    <t xml:space="preserve">"alternovat-001"</t>
  </si>
  <si>
    <t xml:space="preserve">PAT: 4; s+7</t>
  </si>
  <si>
    <t xml:space="preserve">"amputovat-001"</t>
  </si>
  <si>
    <t xml:space="preserve">Removing(ARG0/9), Component(ARG1/17), Whole(ARG1/1,ARG2/4)</t>
  </si>
  <si>
    <t xml:space="preserve">ACT-&gt;ARG0/9</t>
  </si>
  <si>
    <t xml:space="preserve">ACT-&gt;Removing</t>
  </si>
  <si>
    <t xml:space="preserve">ACT-&gt;Removing(ARG0/9)</t>
  </si>
  <si>
    <t xml:space="preserve">PAT-&gt;ARG1/17</t>
  </si>
  <si>
    <t xml:space="preserve">PAT-&gt;Component</t>
  </si>
  <si>
    <t xml:space="preserve">PAT-&gt;Component(ARG1/17)</t>
  </si>
  <si>
    <t xml:space="preserve">"analyzovat-001"</t>
  </si>
  <si>
    <t xml:space="preserve">Inspector(ARG0/266), Inspected(ARG1/398)</t>
  </si>
  <si>
    <t xml:space="preserve">ACT-&gt;ARG0/266</t>
  </si>
  <si>
    <t xml:space="preserve">ACT-&gt;Inspector</t>
  </si>
  <si>
    <t xml:space="preserve">ACT-&gt;Inspector(ARG0/266)</t>
  </si>
  <si>
    <t xml:space="preserve">PAT: 4; ↓jak-2; ↓c</t>
  </si>
  <si>
    <t xml:space="preserve">PAT-&gt;ARG1/398</t>
  </si>
  <si>
    <t xml:space="preserve">PAT-&gt;Inspected</t>
  </si>
  <si>
    <t xml:space="preserve">PAT-&gt;Inspected(ARG1/398)</t>
  </si>
  <si>
    <t xml:space="preserve">"anektovat-001"</t>
  </si>
  <si>
    <t xml:space="preserve">"angažovat-001"</t>
  </si>
  <si>
    <t xml:space="preserve">?EFF: 4[{jako,jakožto}:/AuxY]; za+4</t>
  </si>
  <si>
    <t xml:space="preserve">"angažovat-002"</t>
  </si>
  <si>
    <t xml:space="preserve">"angažovat-se-001"</t>
  </si>
  <si>
    <t xml:space="preserve">Protagonist(ARG0/166,ARG1/128,ARG2/1), Event(ARG1/53,ARG2/295)</t>
  </si>
  <si>
    <t xml:space="preserve">Agent(ARG0/654,ARG1/40,ARG2/18,ARG3/1), Activity(ARG0/1,ARG1/776,ARG2/59,ARG3/1)</t>
  </si>
  <si>
    <t xml:space="preserve">ACT-&gt;ARG0/820,ARG1/168,ARG2/19,ARG3/1</t>
  </si>
  <si>
    <t xml:space="preserve">ACT-&gt;Protagonist(ARG0/166,ARG1/128,ARG2/1)</t>
  </si>
  <si>
    <t xml:space="preserve">ACT-&gt;Agent(ARG0/654,ARG1/40,ARG2/18,ARG3/1)</t>
  </si>
  <si>
    <t xml:space="preserve">"anoncovat-001"</t>
  </si>
  <si>
    <t xml:space="preserve">?ADDR: 3</t>
  </si>
  <si>
    <t xml:space="preserve">"anulovat-001"</t>
  </si>
  <si>
    <t xml:space="preserve">Agent(ARG0/108,ARG1/14), Abandoned(ARG1/199,ARG2/1)</t>
  </si>
  <si>
    <t xml:space="preserve">Cause(ARG0/14), Affected(ARG1/23)</t>
  </si>
  <si>
    <t xml:space="preserve">ACT-&gt;ARG0/122,ARG1/14</t>
  </si>
  <si>
    <t xml:space="preserve">ACT-&gt;Agent(ARG0/108,ARG1/14)</t>
  </si>
  <si>
    <t xml:space="preserve">ACT-&gt;Cause(ARG0/14)</t>
  </si>
  <si>
    <t xml:space="preserve">PAT-&gt;ARG1/222,ARG2/1</t>
  </si>
  <si>
    <t xml:space="preserve">PAT-&gt;Abandoned</t>
  </si>
  <si>
    <t xml:space="preserve">PAT-&gt;Abandoned(ARG1/199,ARG2/1)</t>
  </si>
  <si>
    <t xml:space="preserve">PAT-&gt;Affected</t>
  </si>
  <si>
    <t xml:space="preserve">PAT-&gt;Affected(ARG1/23)</t>
  </si>
  <si>
    <t xml:space="preserve">"apelovat-001"</t>
  </si>
  <si>
    <t xml:space="preserve">Speaker(ARG0/50,ARG1/48), Audience_Addressee(ARG1/17,ARG2/34), Topic(ARG1/27,ARG2/5)</t>
  </si>
  <si>
    <t xml:space="preserve">ACT-&gt;ARG0/50,ARG1/48</t>
  </si>
  <si>
    <t xml:space="preserve">ACT-&gt;Speaker</t>
  </si>
  <si>
    <t xml:space="preserve">ACT-&gt;Speaker(ARG0/50,ARG1/48)</t>
  </si>
  <si>
    <t xml:space="preserve">PAT-&gt;ARG1/17,ARG2/34</t>
  </si>
  <si>
    <t xml:space="preserve">PAT-&gt;Audience_Addressee</t>
  </si>
  <si>
    <t xml:space="preserve">PAT-&gt;Audience_Addressee(ARG1/17,ARG2/34)</t>
  </si>
  <si>
    <t xml:space="preserve">"aplaudovat-001"</t>
  </si>
  <si>
    <t xml:space="preserve">Attitudal(ARG0/12), Evaluee(ARG1/11)</t>
  </si>
  <si>
    <t xml:space="preserve">ACT-&gt;ARG0/12</t>
  </si>
  <si>
    <t xml:space="preserve">ACT-&gt;Attitudal</t>
  </si>
  <si>
    <t xml:space="preserve">ACT-&gt;Attitudal(ARG0/12)</t>
  </si>
  <si>
    <t xml:space="preserve">?PAT: 3</t>
  </si>
  <si>
    <t xml:space="preserve">PAT-&gt;ARG1/11</t>
  </si>
  <si>
    <t xml:space="preserve">PAT-&gt;Evaluee</t>
  </si>
  <si>
    <t xml:space="preserve">PAT-&gt;Evaluee(ARG1/11)</t>
  </si>
  <si>
    <t xml:space="preserve">"aplikovat-001"</t>
  </si>
  <si>
    <t xml:space="preserve">ADDR: na+4</t>
  </si>
  <si>
    <t xml:space="preserve">"aplikovat-002"</t>
  </si>
  <si>
    <t xml:space="preserve">DIR3: *</t>
  </si>
  <si>
    <t xml:space="preserve">"aplikovat-003"</t>
  </si>
  <si>
    <t xml:space="preserve">Protagonist(ARG0/360,ARG1/32), Instrument(ARG1/704,ARG2/35)</t>
  </si>
  <si>
    <t xml:space="preserve">ACT-&gt;ARG0/360,ARG1/32</t>
  </si>
  <si>
    <t xml:space="preserve">ACT-&gt;Protagonist(ARG0/360,ARG1/32)</t>
  </si>
  <si>
    <t xml:space="preserve">PAT-&gt;ARG1/704,ARG2/35</t>
  </si>
  <si>
    <t xml:space="preserve">PAT-&gt;Instrument</t>
  </si>
  <si>
    <t xml:space="preserve">PAT-&gt;Instrument(ARG1/704,ARG2/35)</t>
  </si>
  <si>
    <t xml:space="preserve">"archivovat-001"</t>
  </si>
  <si>
    <t xml:space="preserve">"argumentovat-001"</t>
  </si>
  <si>
    <t xml:space="preserve">Arguer(ARG0/229), Phenomenon(ARG1/341)</t>
  </si>
  <si>
    <t xml:space="preserve">ACT-&gt;ARG0/229</t>
  </si>
  <si>
    <t xml:space="preserve">ACT-&gt;Arguer</t>
  </si>
  <si>
    <t xml:space="preserve">ACT-&gt;Arguer(ARG0/229)</t>
  </si>
  <si>
    <t xml:space="preserve">PAT: 7; ↓že; .s</t>
  </si>
  <si>
    <t xml:space="preserve">PAT-&gt;ARG1/341</t>
  </si>
  <si>
    <t xml:space="preserve">PAT-&gt;Phenomenon</t>
  </si>
  <si>
    <t xml:space="preserve">PAT-&gt;Phenomenon(ARG1/341)</t>
  </si>
  <si>
    <t xml:space="preserve">"asfaltovat-001"</t>
  </si>
  <si>
    <t xml:space="preserve">"asimilovat-001"</t>
  </si>
  <si>
    <t xml:space="preserve">"asistovat-001"</t>
  </si>
  <si>
    <t xml:space="preserve">ACT-&gt;ARG0/166,ARG1/128,ARG2/1</t>
  </si>
  <si>
    <t xml:space="preserve">PAT: 3</t>
  </si>
  <si>
    <t xml:space="preserve">PAT-&gt;ARG1/53,ARG2/295</t>
  </si>
  <si>
    <t xml:space="preserve">PAT-&gt;Event</t>
  </si>
  <si>
    <t xml:space="preserve">PAT-&gt;Event(ARG1/53,ARG2/295)</t>
  </si>
  <si>
    <t xml:space="preserve">"asociovat-001"</t>
  </si>
  <si>
    <t xml:space="preserve">"aspirovat-001"</t>
  </si>
  <si>
    <t xml:space="preserve">PAT: na+4; .f</t>
  </si>
  <si>
    <t xml:space="preserve">"atakovat-001"</t>
  </si>
  <si>
    <t xml:space="preserve">Assailant(ARG0/24,ARG2/2), Victim(ARG1/36)</t>
  </si>
  <si>
    <t xml:space="preserve">ACT-&gt;ARG0/24,ARG2/2</t>
  </si>
  <si>
    <t xml:space="preserve">ACT-&gt;Assailant</t>
  </si>
  <si>
    <t xml:space="preserve">ACT-&gt;Assailant(ARG0/24,ARG2/2)</t>
  </si>
  <si>
    <t xml:space="preserve">PAT-&gt;ARG1/36</t>
  </si>
  <si>
    <t xml:space="preserve">PAT-&gt;Victim</t>
  </si>
  <si>
    <t xml:space="preserve">PAT-&gt;Victim(ARG1/36)</t>
  </si>
  <si>
    <t xml:space="preserve">"atomizovat-001"</t>
  </si>
  <si>
    <t xml:space="preserve">"automatizovat-001"</t>
  </si>
  <si>
    <t xml:space="preserve">"autorizovat-001"</t>
  </si>
  <si>
    <t xml:space="preserve">Authority(ARG0/289,ARG2/3), Topic(ARG1/354), Protagonist(ARG2/2)</t>
  </si>
  <si>
    <t xml:space="preserve">ACT-&gt;ARG0/289,ARG2/3</t>
  </si>
  <si>
    <t xml:space="preserve">ACT-&gt;Authority</t>
  </si>
  <si>
    <t xml:space="preserve">ACT-&gt;Authority(ARG0/289,ARG2/3)</t>
  </si>
  <si>
    <t xml:space="preserve">PAT-&gt;ARG1/354</t>
  </si>
  <si>
    <t xml:space="preserve">PAT-&gt;Topic</t>
  </si>
  <si>
    <t xml:space="preserve">PAT-&gt;Topic(ARG1/354)</t>
  </si>
  <si>
    <t xml:space="preserve">"avansovat-001"</t>
  </si>
  <si>
    <t xml:space="preserve">"avizovat-001"</t>
  </si>
  <si>
    <t xml:space="preserve">Speaker(ARG0/13898,ARG1/47), Information(ARG0/5,ARG1/12570,ARG2/25,ARG3/29), Audience_Addressee(ARG1/22,ARG2/40)</t>
  </si>
  <si>
    <t xml:space="preserve">ACT-&gt;ARG0/13898,ARG1/47</t>
  </si>
  <si>
    <t xml:space="preserve">ACT-&gt;Speaker(ARG0/13898,ARG1/47)</t>
  </si>
  <si>
    <t xml:space="preserve">PAT: 4; ↓že; ↓aby; ↓c</t>
  </si>
  <si>
    <t xml:space="preserve">PAT-&gt;ARG0/5,ARG1/12570,ARG2/25,ARG3/29</t>
  </si>
  <si>
    <t xml:space="preserve">PAT-&gt;Information</t>
  </si>
  <si>
    <t xml:space="preserve">PAT-&gt;Information(ARG0/5,ARG1/12570,ARG2/25,ARG3/29)</t>
  </si>
  <si>
    <t xml:space="preserve">ADDR-&gt;ARG1/22,ARG2/40</t>
  </si>
  <si>
    <t xml:space="preserve">ADDR-&gt;Audience_Addressee</t>
  </si>
  <si>
    <t xml:space="preserve">ADDR-&gt;Audience_Addressee(ARG1/22,ARG2/40)</t>
  </si>
  <si>
    <t xml:space="preserve">"bacit-001"</t>
  </si>
  <si>
    <t xml:space="preserve">"bagatelizovat-001"</t>
  </si>
  <si>
    <t xml:space="preserve">Agent(ARG0/6,ARG1/2), Issue(ARG1/14,ARG2/2)</t>
  </si>
  <si>
    <t xml:space="preserve">ACT-&gt;ARG0/6,ARG1/2</t>
  </si>
  <si>
    <t xml:space="preserve">ACT-&gt;Agent(ARG0/6,ARG1/2)</t>
  </si>
  <si>
    <t xml:space="preserve">PAT: 4; ↓že; ↓c</t>
  </si>
  <si>
    <t xml:space="preserve">PAT-&gt;ARG1/14,ARG2/2</t>
  </si>
  <si>
    <t xml:space="preserve">PAT-&gt;Issue</t>
  </si>
  <si>
    <t xml:space="preserve">PAT-&gt;Issue(ARG1/14,ARG2/2)</t>
  </si>
  <si>
    <t xml:space="preserve">"balancovat-001"</t>
  </si>
  <si>
    <t xml:space="preserve">Item(ARG0/4,ARG1/472,ARG2/3), Rank(ARG1/2,ARG2/305,ARG4/163)</t>
  </si>
  <si>
    <t xml:space="preserve">ACT-&gt;ARG0/4,ARG1/472,ARG2/3</t>
  </si>
  <si>
    <t xml:space="preserve">ACT-&gt;Item</t>
  </si>
  <si>
    <t xml:space="preserve">ACT-&gt;Item(ARG0/4,ARG1/472,ARG2/3)</t>
  </si>
  <si>
    <t xml:space="preserve">"balit-001"</t>
  </si>
  <si>
    <t xml:space="preserve">Packer(ARG0/11), Packed(ARG1/17,ARG2/4), Container()</t>
  </si>
  <si>
    <t xml:space="preserve">ACT-&gt;ARG0/11</t>
  </si>
  <si>
    <t xml:space="preserve">ACT-&gt;Packer</t>
  </si>
  <si>
    <t xml:space="preserve">ACT-&gt;Packer(ARG0/11)</t>
  </si>
  <si>
    <t xml:space="preserve">PAT-&gt;ARG1/17,ARG2/4</t>
  </si>
  <si>
    <t xml:space="preserve">PAT-&gt;Packed</t>
  </si>
  <si>
    <t xml:space="preserve">PAT-&gt;Packed(ARG1/17,ARG2/4)</t>
  </si>
  <si>
    <t xml:space="preserve">?EFF: do+2</t>
  </si>
  <si>
    <t xml:space="preserve">"balit-002"</t>
  </si>
  <si>
    <t xml:space="preserve">"balit-003"</t>
  </si>
  <si>
    <t xml:space="preserve">"balit-004"</t>
  </si>
  <si>
    <t xml:space="preserve">DPHR: fidlátko.P4</t>
  </si>
  <si>
    <t xml:space="preserve">"balit-005"</t>
  </si>
  <si>
    <t xml:space="preserve">"balit-se-001"</t>
  </si>
  <si>
    <t xml:space="preserve">"bankrotovat-001"</t>
  </si>
  <si>
    <t xml:space="preserve">"barvit-001"</t>
  </si>
  <si>
    <t xml:space="preserve">Changing(ARG0/24), Changed(ARG1/41), State_final(ARG2/41)</t>
  </si>
  <si>
    <t xml:space="preserve">ACT-&gt;ARG0/24</t>
  </si>
  <si>
    <t xml:space="preserve">ACT-&gt;Changing(ARG0/24)</t>
  </si>
  <si>
    <t xml:space="preserve">PAT-&gt;ARG1/41</t>
  </si>
  <si>
    <t xml:space="preserve">PAT-&gt;Changed(ARG1/41)</t>
  </si>
  <si>
    <t xml:space="preserve">"batolit-se-001"</t>
  </si>
  <si>
    <t xml:space="preserve">"bavit-001"</t>
  </si>
  <si>
    <t xml:space="preserve">"bavit-002"</t>
  </si>
  <si>
    <t xml:space="preserve">Experiencer(ARG0/58,ARG1/33), Stimulus(ARG0/16,ARG1/63,ARG2/9)</t>
  </si>
  <si>
    <t xml:space="preserve">Stimulus(ARG0/7), Experiencer(ARG1/9)</t>
  </si>
  <si>
    <t xml:space="preserve">ACT: 4</t>
  </si>
  <si>
    <t xml:space="preserve">ACT-&gt;ARG0/58,ARG1/42</t>
  </si>
  <si>
    <t xml:space="preserve">ACT-&gt;Experiencer</t>
  </si>
  <si>
    <t xml:space="preserve">ACT-&gt;Experiencer(ARG0/58,ARG1/33)</t>
  </si>
  <si>
    <t xml:space="preserve">ACT-&gt;Experiencer(ARG1/9)</t>
  </si>
  <si>
    <t xml:space="preserve">PAT: 1; ↓že; ↓zda; ↓jestli; .f; ↓c</t>
  </si>
  <si>
    <t xml:space="preserve">PAT-&gt;ARG0/23,ARG1/63,ARG2/9</t>
  </si>
  <si>
    <t xml:space="preserve">PAT-&gt;Stimulus</t>
  </si>
  <si>
    <t xml:space="preserve">PAT-&gt;Stimulus(ARG0/16,ARG1/63,ARG2/9)</t>
  </si>
  <si>
    <t xml:space="preserve">PAT-&gt;Stimulus(ARG0/7)</t>
  </si>
  <si>
    <t xml:space="preserve">"bavit-se-001"</t>
  </si>
  <si>
    <t xml:space="preserve">PAT: o+6; na-1[téma.4]; ↓že</t>
  </si>
  <si>
    <t xml:space="preserve">ADDR: s+7</t>
  </si>
  <si>
    <t xml:space="preserve">Speaker(ARG0/481,ARG1/2), Information(ARG1/553,ARG2/5), Audience_Addressee(ARG1/18,ARG2/400)</t>
  </si>
  <si>
    <t xml:space="preserve">ACT-&gt;ARG0/481,ARG1/2</t>
  </si>
  <si>
    <t xml:space="preserve">ACT-&gt;Speaker(ARG0/481,ARG1/2)</t>
  </si>
  <si>
    <t xml:space="preserve">PAT-&gt;ARG1/553,ARG2/5</t>
  </si>
  <si>
    <t xml:space="preserve">PAT-&gt;Information(ARG1/553,ARG2/5)</t>
  </si>
  <si>
    <t xml:space="preserve">ADDR-&gt;ARG1/18,ARG2/400</t>
  </si>
  <si>
    <t xml:space="preserve">ADDR-&gt;Audience_Addressee(ARG1/18,ARG2/400)</t>
  </si>
  <si>
    <t xml:space="preserve">"bavit-se-002"</t>
  </si>
  <si>
    <t xml:space="preserve">ACT-&gt;ARG0/654,ARG1/40,ARG2/18,ARG3/1</t>
  </si>
  <si>
    <t xml:space="preserve">PAT: 7</t>
  </si>
  <si>
    <t xml:space="preserve">PAT-&gt;ARG0/1,ARG1/776,ARG2/59,ARG3/1</t>
  </si>
  <si>
    <t xml:space="preserve">PAT-&gt;Activity(ARG0/1,ARG1/776,ARG2/59,ARG3/1)</t>
  </si>
  <si>
    <t xml:space="preserve">"bavit-se-003"</t>
  </si>
  <si>
    <t xml:space="preserve">"bazírovat-001"</t>
  </si>
  <si>
    <t xml:space="preserve">PAT: na+6</t>
  </si>
  <si>
    <t xml:space="preserve">"baštit-001"</t>
  </si>
  <si>
    <t xml:space="preserve">"bdít-001"</t>
  </si>
  <si>
    <t xml:space="preserve">PAT: nad+7</t>
  </si>
  <si>
    <t xml:space="preserve">"bdít-002"</t>
  </si>
  <si>
    <t xml:space="preserve">"belhat-se-001"</t>
  </si>
  <si>
    <t xml:space="preserve">"benefitovat-001"</t>
  </si>
  <si>
    <t xml:space="preserve">PAT: z+2</t>
  </si>
  <si>
    <t xml:space="preserve">"betonovat-001"</t>
  </si>
  <si>
    <t xml:space="preserve">"bečet-001"</t>
  </si>
  <si>
    <t xml:space="preserve">"bilancovat-001"</t>
  </si>
  <si>
    <t xml:space="preserve">Inspector(ARG0/172), Inspected(ARG1/324)</t>
  </si>
  <si>
    <t xml:space="preserve">ACT-&gt;ARG0/172</t>
  </si>
  <si>
    <t xml:space="preserve">ACT-&gt;Inspector(ARG0/172)</t>
  </si>
  <si>
    <t xml:space="preserve">PAT: 4; ↓c</t>
  </si>
  <si>
    <t xml:space="preserve">PAT-&gt;ARG1/324</t>
  </si>
  <si>
    <t xml:space="preserve">PAT-&gt;Inspected(ARG1/324)</t>
  </si>
  <si>
    <t xml:space="preserve">"bičovat-001"</t>
  </si>
  <si>
    <t xml:space="preserve">"biřmovat-001"</t>
  </si>
  <si>
    <t xml:space="preserve">"blahopřát-001"</t>
  </si>
  <si>
    <t xml:space="preserve">PAT: k+3</t>
  </si>
  <si>
    <t xml:space="preserve">"blahořečit-001"</t>
  </si>
  <si>
    <t xml:space="preserve">?PAT: za+4; ↓že</t>
  </si>
  <si>
    <t xml:space="preserve">"blamovat-001"</t>
  </si>
  <si>
    <t xml:space="preserve">"blbnout-001"</t>
  </si>
  <si>
    <t xml:space="preserve">"blednout-001"</t>
  </si>
  <si>
    <t xml:space="preserve">"blekotat-001"</t>
  </si>
  <si>
    <t xml:space="preserve">PAT: o+6</t>
  </si>
  <si>
    <t xml:space="preserve">EFF: 4</t>
  </si>
  <si>
    <t xml:space="preserve">"blikat-001"</t>
  </si>
  <si>
    <t xml:space="preserve">Protagonist(ARG0/1,ARG1/1)</t>
  </si>
  <si>
    <t xml:space="preserve">ACT-&gt;ARG0/1,ARG1/1</t>
  </si>
  <si>
    <t xml:space="preserve">ACT-&gt;Protagonist(ARG0/1,ARG1/1)</t>
  </si>
  <si>
    <t xml:space="preserve">"blokovat-001"</t>
  </si>
  <si>
    <t xml:space="preserve">Cause(ARG0/172,ARG1/1,ARG3/6), Event(ARG0/1,ARG1/437,ARG2/2)</t>
  </si>
  <si>
    <t xml:space="preserve">ACT-&gt;ARG0/172,ARG1/1,ARG3/6</t>
  </si>
  <si>
    <t xml:space="preserve">ACT-&gt;Cause(ARG0/172,ARG1/1,ARG3/6)</t>
  </si>
  <si>
    <t xml:space="preserve">PAT-&gt;ARG0/1,ARG1/437,ARG2/2</t>
  </si>
  <si>
    <t xml:space="preserve">PAT-&gt;Event(ARG0/1,ARG1/437,ARG2/2)</t>
  </si>
  <si>
    <t xml:space="preserve">"bloudit-001"</t>
  </si>
  <si>
    <t xml:space="preserve">"bloumat-001"</t>
  </si>
  <si>
    <t xml:space="preserve">Mover(ARG0/21), Path(ARG1/4)</t>
  </si>
  <si>
    <t xml:space="preserve">ACT-&gt;ARG0/21</t>
  </si>
  <si>
    <t xml:space="preserve">ACT-&gt;Mover</t>
  </si>
  <si>
    <t xml:space="preserve">ACT-&gt;Mover(ARG0/21)</t>
  </si>
  <si>
    <t xml:space="preserve">DIR2: *</t>
  </si>
  <si>
    <t xml:space="preserve">DIR2-&gt;ARG1/4</t>
  </si>
  <si>
    <t xml:space="preserve">DIR2-&gt;Path</t>
  </si>
  <si>
    <t xml:space="preserve">DIR2-&gt;Path(ARG1/4)</t>
  </si>
  <si>
    <t xml:space="preserve">"bláznit-001"</t>
  </si>
  <si>
    <t xml:space="preserve">"bláznit-002"</t>
  </si>
  <si>
    <t xml:space="preserve">"blížit-se-001"</t>
  </si>
  <si>
    <t xml:space="preserve">Item_standard(ARG0/50,ARG1/11), Item_profiled(ARG1/138,ARG2/14)</t>
  </si>
  <si>
    <t xml:space="preserve">Item(ARG0/1,ARG1/23), State(ARG2/25)</t>
  </si>
  <si>
    <t xml:space="preserve">ACT: 1; .f</t>
  </si>
  <si>
    <t xml:space="preserve">ACT-&gt;ARG0/51,ARG1/34</t>
  </si>
  <si>
    <t xml:space="preserve">ACT-&gt;Item_standard</t>
  </si>
  <si>
    <t xml:space="preserve">ACT-&gt;Item_standard(ARG0/50,ARG1/11)</t>
  </si>
  <si>
    <t xml:space="preserve">ACT-&gt;Item(ARG0/1,ARG1/23)</t>
  </si>
  <si>
    <t xml:space="preserve">PAT: 3; k+3</t>
  </si>
  <si>
    <t xml:space="preserve">PAT-&gt;ARG1/138,ARG2/39</t>
  </si>
  <si>
    <t xml:space="preserve">PAT-&gt;Item_profiled</t>
  </si>
  <si>
    <t xml:space="preserve">PAT-&gt;Item_profiled(ARG1/138,ARG2/14)</t>
  </si>
  <si>
    <t xml:space="preserve">PAT-&gt;State</t>
  </si>
  <si>
    <t xml:space="preserve">PAT-&gt;State(ARG2/25)</t>
  </si>
  <si>
    <t xml:space="preserve">"blížit-se-002"</t>
  </si>
  <si>
    <t xml:space="preserve">ACT-&gt;ARG0/50,ARG1/11</t>
  </si>
  <si>
    <t xml:space="preserve">PAT-&gt;ARG1/138,ARG2/14</t>
  </si>
  <si>
    <t xml:space="preserve">"blížit-se-003"</t>
  </si>
  <si>
    <t xml:space="preserve">ACT-&gt;ARG0/1,ARG1/23</t>
  </si>
  <si>
    <t xml:space="preserve">DIR3: =</t>
  </si>
  <si>
    <t xml:space="preserve">DIR3-&gt;ARG2/25</t>
  </si>
  <si>
    <t xml:space="preserve">DIR3-&gt;State</t>
  </si>
  <si>
    <t xml:space="preserve">DIR3-&gt;State(ARG2/25)</t>
  </si>
  <si>
    <t xml:space="preserve">"blížit-se-004"</t>
  </si>
  <si>
    <t xml:space="preserve">Mover(ARG1/117), Place(ARG2/18)</t>
  </si>
  <si>
    <t xml:space="preserve">ACT-&gt;ARG1/117</t>
  </si>
  <si>
    <t xml:space="preserve">ACT-&gt;Mover(ARG1/117)</t>
  </si>
  <si>
    <t xml:space="preserve">DIR3-&gt;ARG2/18</t>
  </si>
  <si>
    <t xml:space="preserve">DIR3-&gt;Place</t>
  </si>
  <si>
    <t xml:space="preserve">DIR3-&gt;Place(ARG2/18)</t>
  </si>
  <si>
    <t xml:space="preserve">"blížit-se-005"</t>
  </si>
  <si>
    <t xml:space="preserve">Event(ARG0/2,ARG1/239)</t>
  </si>
  <si>
    <t xml:space="preserve">ACT-&gt;ARG0/2,ARG1/239</t>
  </si>
  <si>
    <t xml:space="preserve">ACT-&gt;Event</t>
  </si>
  <si>
    <t xml:space="preserve">ACT-&gt;Event(ARG0/2,ARG1/239)</t>
  </si>
  <si>
    <t xml:space="preserve">"blýskat-se-001"</t>
  </si>
  <si>
    <t xml:space="preserve">"blýskat-se-002"</t>
  </si>
  <si>
    <t xml:space="preserve">"blýsknout-se-001"</t>
  </si>
  <si>
    <t xml:space="preserve">PAT: 7; ↓že</t>
  </si>
  <si>
    <t xml:space="preserve">?ADDR: 3; před+7</t>
  </si>
  <si>
    <t xml:space="preserve">"bodnout-001"</t>
  </si>
  <si>
    <t xml:space="preserve">Agent(), Instrument(), Targeted()</t>
  </si>
  <si>
    <t xml:space="preserve">PAT-&gt;Targeted</t>
  </si>
  <si>
    <t xml:space="preserve">PAT-&gt;Targeted()</t>
  </si>
  <si>
    <t xml:space="preserve">"bodnout-002"</t>
  </si>
  <si>
    <t xml:space="preserve">"bodnout-003"</t>
  </si>
  <si>
    <t xml:space="preserve">DIR3-&gt;Targeted</t>
  </si>
  <si>
    <t xml:space="preserve">DIR3-&gt;Targeted()</t>
  </si>
  <si>
    <t xml:space="preserve">?PAT: 4</t>
  </si>
  <si>
    <t xml:space="preserve">PAT-&gt;Instrument()</t>
  </si>
  <si>
    <t xml:space="preserve">"bodovat-001"</t>
  </si>
  <si>
    <t xml:space="preserve">"bodovat-002"</t>
  </si>
  <si>
    <t xml:space="preserve">?PAT: s+7; proti+3</t>
  </si>
  <si>
    <t xml:space="preserve">"bohatnout-001"</t>
  </si>
  <si>
    <t xml:space="preserve">?PAT: 7; o+4</t>
  </si>
  <si>
    <t xml:space="preserve">?ORIG: z+2; na+6</t>
  </si>
  <si>
    <t xml:space="preserve">"bojkotovat-001"</t>
  </si>
  <si>
    <t xml:space="preserve">Authority(ARG0/606), Proposed(ARG1/640), Proposer(ARG2/12)</t>
  </si>
  <si>
    <t xml:space="preserve">ACT-&gt;ARG0/606</t>
  </si>
  <si>
    <t xml:space="preserve">ACT-&gt;Authority(ARG0/606)</t>
  </si>
  <si>
    <t xml:space="preserve">PAT: 4; .f</t>
  </si>
  <si>
    <t xml:space="preserve">PAT-&gt;ARG1/640</t>
  </si>
  <si>
    <t xml:space="preserve">PAT-&gt;Proposed(ARG1/640)</t>
  </si>
  <si>
    <t xml:space="preserve">"bojovat-001"</t>
  </si>
  <si>
    <t xml:space="preserve">Protagonist(ARG0/170,ARG1/3), Situation_undesirable(ARG1/199)</t>
  </si>
  <si>
    <t xml:space="preserve">ACT-&gt;ARG0/170,ARG1/3</t>
  </si>
  <si>
    <t xml:space="preserve">ACT-&gt;Protagonist(ARG0/170,ARG1/3)</t>
  </si>
  <si>
    <t xml:space="preserve">PAT: s+7; proti+3</t>
  </si>
  <si>
    <t xml:space="preserve">PAT-&gt;ARG1/199</t>
  </si>
  <si>
    <t xml:space="preserve">PAT-&gt;Situation_undesirable</t>
  </si>
  <si>
    <t xml:space="preserve">PAT-&gt;Situation_undesirable(ARG1/199)</t>
  </si>
  <si>
    <t xml:space="preserve">"bojovat-002"</t>
  </si>
  <si>
    <t xml:space="preserve">Competitor_1(ARG0/72), Prize(ARG1/22,ARG2/30), Competitor_2(ARG1/54,ARG2/2)</t>
  </si>
  <si>
    <t xml:space="preserve">ACT-&gt;ARG0/72</t>
  </si>
  <si>
    <t xml:space="preserve">ACT-&gt;Competitor_1</t>
  </si>
  <si>
    <t xml:space="preserve">ACT-&gt;Competitor_1(ARG0/72)</t>
  </si>
  <si>
    <t xml:space="preserve">ADDR: proti+3; s+7; mezi-1[.P7]; mezi+7,mezi+7</t>
  </si>
  <si>
    <t xml:space="preserve">ADDR-&gt;ARG1/54,ARG2/2</t>
  </si>
  <si>
    <t xml:space="preserve">ADDR-&gt;Competitor_2</t>
  </si>
  <si>
    <t xml:space="preserve">ADDR-&gt;Competitor_2(ARG1/54,ARG2/2)</t>
  </si>
  <si>
    <t xml:space="preserve">?PAT: o+4; za+4</t>
  </si>
  <si>
    <t xml:space="preserve">PAT-&gt;ARG1/22,ARG2/30</t>
  </si>
  <si>
    <t xml:space="preserve">PAT-&gt;Prize</t>
  </si>
  <si>
    <t xml:space="preserve">PAT-&gt;Prize(ARG1/22,ARG2/30)</t>
  </si>
  <si>
    <t xml:space="preserve">"bojovat-003"</t>
  </si>
  <si>
    <t xml:space="preserve">Competitor(ARG0/18), Competition(ARG1/55)</t>
  </si>
  <si>
    <t xml:space="preserve">ACT-&gt;ARG0/18</t>
  </si>
  <si>
    <t xml:space="preserve">ACT-&gt;Competitor</t>
  </si>
  <si>
    <t xml:space="preserve">ACT-&gt;Competitor(ARG0/18)</t>
  </si>
  <si>
    <t xml:space="preserve">PAT-&gt;ARG1/55</t>
  </si>
  <si>
    <t xml:space="preserve">PAT-&gt;Competition</t>
  </si>
  <si>
    <t xml:space="preserve">PAT-&gt;Competition(ARG1/55)</t>
  </si>
  <si>
    <t xml:space="preserve">"bolet-001"</t>
  </si>
  <si>
    <t xml:space="preserve">Situation_undesirable(ARG0/9,ARG1/11), Affected(ARG0/9,ARG1/16)</t>
  </si>
  <si>
    <t xml:space="preserve">ACT-&gt;ARG0/9,ARG1/16</t>
  </si>
  <si>
    <t xml:space="preserve">ACT-&gt;Affected</t>
  </si>
  <si>
    <t xml:space="preserve">ACT-&gt;Affected(ARG0/9,ARG1/16)</t>
  </si>
  <si>
    <t xml:space="preserve">PAT: 1</t>
  </si>
  <si>
    <t xml:space="preserve">PAT-&gt;ARG0/9,ARG1/11</t>
  </si>
  <si>
    <t xml:space="preserve">PAT-&gt;Situation_undesirable(ARG0/9,ARG1/11)</t>
  </si>
  <si>
    <t xml:space="preserve">"bolet-002"</t>
  </si>
  <si>
    <t xml:space="preserve">"bolet-003"</t>
  </si>
  <si>
    <t xml:space="preserve">?PAT: od+2</t>
  </si>
  <si>
    <t xml:space="preserve">"bombardovat-001"</t>
  </si>
  <si>
    <t xml:space="preserve">Assailant(ARG0/5), Target(ARG1/8)</t>
  </si>
  <si>
    <t xml:space="preserve">ACT-&gt;ARG0/5</t>
  </si>
  <si>
    <t xml:space="preserve">ACT-&gt;Assailant(ARG0/5)</t>
  </si>
  <si>
    <t xml:space="preserve">PAT-&gt;ARG1/8</t>
  </si>
  <si>
    <t xml:space="preserve">PAT-&gt;Target</t>
  </si>
  <si>
    <t xml:space="preserve">PAT-&gt;Target(ARG1/8)</t>
  </si>
  <si>
    <t xml:space="preserve">"bortit-se-001"</t>
  </si>
  <si>
    <t xml:space="preserve">"bouchat-001"</t>
  </si>
  <si>
    <t xml:space="preserve">DIR3: </t>
  </si>
  <si>
    <t xml:space="preserve">"bouchnout-001"</t>
  </si>
  <si>
    <t xml:space="preserve">"bouchnout-002"</t>
  </si>
  <si>
    <t xml:space="preserve">Agent(ARG0/1), Focused(ARG1/1), Instrument()</t>
  </si>
  <si>
    <t xml:space="preserve">Assailant(ARG0/1), Target(ARG1/1)</t>
  </si>
  <si>
    <t xml:space="preserve">ACT-&gt;ARG0/2</t>
  </si>
  <si>
    <t xml:space="preserve">ACT-&gt;Agent(ARG0/1)</t>
  </si>
  <si>
    <t xml:space="preserve">ACT-&gt;Assailant(ARG0/1)</t>
  </si>
  <si>
    <t xml:space="preserve">PAT-&gt;ARG1/1</t>
  </si>
  <si>
    <t xml:space="preserve">PAT-&gt;Target(ARG1/1)</t>
  </si>
  <si>
    <t xml:space="preserve">"bouchnout-003"</t>
  </si>
  <si>
    <t xml:space="preserve">"bouchnout-004"</t>
  </si>
  <si>
    <t xml:space="preserve">"bouchnout-se-001"</t>
  </si>
  <si>
    <t xml:space="preserve">"bourat-001"</t>
  </si>
  <si>
    <t xml:space="preserve">"bouřit-001"</t>
  </si>
  <si>
    <t xml:space="preserve">Agent()</t>
  </si>
  <si>
    <t xml:space="preserve">Source(ARG0/3,ARG1/1)</t>
  </si>
  <si>
    <t xml:space="preserve">ACT-&gt;ARG0/3,ARG1/1</t>
  </si>
  <si>
    <t xml:space="preserve">ACT-&gt;Source</t>
  </si>
  <si>
    <t xml:space="preserve">ACT-&gt;Source(ARG0/3,ARG1/1)</t>
  </si>
  <si>
    <t xml:space="preserve">"bouřit-002"</t>
  </si>
  <si>
    <t xml:space="preserve">"bouřit-se-001"</t>
  </si>
  <si>
    <t xml:space="preserve">Opposing(ARG0/91,ARG1/1), Opposed(ARG1/110)</t>
  </si>
  <si>
    <t xml:space="preserve">ACT-&gt;ARG0/91,ARG1/1</t>
  </si>
  <si>
    <t xml:space="preserve">ACT-&gt;Opposing</t>
  </si>
  <si>
    <t xml:space="preserve">ACT-&gt;Opposing(ARG0/91,ARG1/1)</t>
  </si>
  <si>
    <t xml:space="preserve">"boxovat-001"</t>
  </si>
  <si>
    <t xml:space="preserve">Competitor_1(ARG0/2), Competitor_2(ARG1/4)</t>
  </si>
  <si>
    <t xml:space="preserve">ACT-&gt;Competitor_1(ARG0/2)</t>
  </si>
  <si>
    <t xml:space="preserve">"brblat-001"</t>
  </si>
  <si>
    <t xml:space="preserve">Communicator(ARG0/95), Issue(ARG1/90), Affected(ARG2/6)</t>
  </si>
  <si>
    <t xml:space="preserve">Communicator(ARG0/6), Issue(ARG1/3)</t>
  </si>
  <si>
    <t xml:space="preserve">ACT-&gt;ARG0/101</t>
  </si>
  <si>
    <t xml:space="preserve">ACT-&gt;Communicator(ARG0/95)</t>
  </si>
  <si>
    <t xml:space="preserve">ACT-&gt;Communicator(ARG0/6)</t>
  </si>
  <si>
    <t xml:space="preserve">?PAT: na+4; ↓že; .s</t>
  </si>
  <si>
    <t xml:space="preserve">PAT-&gt;ARG1/93</t>
  </si>
  <si>
    <t xml:space="preserve">PAT-&gt;Issue(ARG1/90)</t>
  </si>
  <si>
    <t xml:space="preserve">PAT-&gt;Issue(ARG1/3)</t>
  </si>
  <si>
    <t xml:space="preserve">"brebentit-001"</t>
  </si>
  <si>
    <t xml:space="preserve">"brebentit-002"</t>
  </si>
  <si>
    <t xml:space="preserve">EFF: 4; ↓že; ↓aby; ↓ať; ↓jak-2; ↓jestli; .s; ↓c</t>
  </si>
  <si>
    <t xml:space="preserve">?PAT: o+6</t>
  </si>
  <si>
    <t xml:space="preserve">"brečet-001"</t>
  </si>
  <si>
    <t xml:space="preserve">"brnkat-001"</t>
  </si>
  <si>
    <t xml:space="preserve">"brnknout-001"</t>
  </si>
  <si>
    <t xml:space="preserve">PAT: 4; ↓že; ↓c; .s</t>
  </si>
  <si>
    <t xml:space="preserve">"brodit-se-001"</t>
  </si>
  <si>
    <t xml:space="preserve">"brodit-se-002"</t>
  </si>
  <si>
    <t xml:space="preserve">"brojit-001"</t>
  </si>
  <si>
    <t xml:space="preserve">PAT: proti+3; pro+4; za+4</t>
  </si>
  <si>
    <t xml:space="preserve">"broukat-001"</t>
  </si>
  <si>
    <t xml:space="preserve">Speaker(ARG0/18), Information(ARG1/11), Audience_Addressee()</t>
  </si>
  <si>
    <t xml:space="preserve">ACT-&gt;Speaker(ARG0/18)</t>
  </si>
  <si>
    <t xml:space="preserve">PAT: 4; .s</t>
  </si>
  <si>
    <t xml:space="preserve">PAT-&gt;Information(ARG1/11)</t>
  </si>
  <si>
    <t xml:space="preserve">"brousit-001"</t>
  </si>
  <si>
    <t xml:space="preserve">Agent(ARG0/3), Manipulated(ARG1/1)</t>
  </si>
  <si>
    <t xml:space="preserve">ACT-&gt;ARG0/3</t>
  </si>
  <si>
    <t xml:space="preserve">ACT-&gt;Agent(ARG0/3)</t>
  </si>
  <si>
    <t xml:space="preserve">PAT-&gt;Manipulated</t>
  </si>
  <si>
    <t xml:space="preserve">PAT-&gt;Manipulated(ARG1/1)</t>
  </si>
  <si>
    <t xml:space="preserve">"brousit-si-001"</t>
  </si>
  <si>
    <t xml:space="preserve">Striving(ARG0/452), Goal(ARG1/613,ARG2/2)</t>
  </si>
  <si>
    <t xml:space="preserve">ACT-&gt;ARG0/452</t>
  </si>
  <si>
    <t xml:space="preserve">ACT-&gt;Striving</t>
  </si>
  <si>
    <t xml:space="preserve">ACT-&gt;Striving(ARG0/452)</t>
  </si>
  <si>
    <t xml:space="preserve">DPHR: zub.P4</t>
  </si>
  <si>
    <t xml:space="preserve">PAT-&gt;ARG1/613,ARG2/2</t>
  </si>
  <si>
    <t xml:space="preserve">PAT-&gt;Goal</t>
  </si>
  <si>
    <t xml:space="preserve">PAT-&gt;Goal(ARG1/613,ARG2/2)</t>
  </si>
  <si>
    <t xml:space="preserve">"brouzdat-001"</t>
  </si>
  <si>
    <t xml:space="preserve">"brouzdat-se-001"</t>
  </si>
  <si>
    <t xml:space="preserve">"brumlat-001"</t>
  </si>
  <si>
    <t xml:space="preserve">Speaker(ARG0/3), Undesirable(ARG1/2)</t>
  </si>
  <si>
    <t xml:space="preserve">ACT-&gt;Speaker(ARG0/3)</t>
  </si>
  <si>
    <t xml:space="preserve">?PAT: na+4; ↓že; ↓c; .s</t>
  </si>
  <si>
    <t xml:space="preserve">PAT-&gt;ARG1/5</t>
  </si>
  <si>
    <t xml:space="preserve">PAT-&gt;Undesirable</t>
  </si>
  <si>
    <t xml:space="preserve">PAT-&gt;Undesirable(ARG1/2)</t>
  </si>
  <si>
    <t xml:space="preserve">"bruslit-001"</t>
  </si>
  <si>
    <t xml:space="preserve">"bruslit-002"</t>
  </si>
  <si>
    <t xml:space="preserve">PAT: v+6</t>
  </si>
  <si>
    <t xml:space="preserve">"bruslívat-001"</t>
  </si>
  <si>
    <t xml:space="preserve">"bručet-001"</t>
  </si>
  <si>
    <t xml:space="preserve">Attitudal()</t>
  </si>
  <si>
    <t xml:space="preserve">ACT-&gt;Attitudal()</t>
  </si>
  <si>
    <t xml:space="preserve">"brzdit-001"</t>
  </si>
  <si>
    <t xml:space="preserve">Authority(ARG0/120), Action(ARG0/5,ARG1/228)</t>
  </si>
  <si>
    <t xml:space="preserve">ACT-&gt;ARG0/120</t>
  </si>
  <si>
    <t xml:space="preserve">ACT-&gt;Authority(ARG0/120)</t>
  </si>
  <si>
    <t xml:space="preserve">PAT-&gt;ARG0/5,ARG1/228</t>
  </si>
  <si>
    <t xml:space="preserve">PAT-&gt;Action(ARG0/5,ARG1/228)</t>
  </si>
  <si>
    <t xml:space="preserve">"brzdit-002"</t>
  </si>
  <si>
    <t xml:space="preserve">Agent(ARG1/3), Influenced(ARG1/45)</t>
  </si>
  <si>
    <t xml:space="preserve">ACT-&gt;ARG1/3</t>
  </si>
  <si>
    <t xml:space="preserve">ACT-&gt;Agent(ARG1/3)</t>
  </si>
  <si>
    <t xml:space="preserve">ADDR-&gt;ARG1/45</t>
  </si>
  <si>
    <t xml:space="preserve">ADDR-&gt;Influenced</t>
  </si>
  <si>
    <t xml:space="preserve">ADDR-&gt;Influenced(ARG1/45)</t>
  </si>
  <si>
    <t xml:space="preserve">?PAT: od+2; v+6</t>
  </si>
  <si>
    <t xml:space="preserve">"bránit-001"</t>
  </si>
  <si>
    <t xml:space="preserve">Authority(ARG0/77,ARG1/1,ARG3/13), Prohibited(ARG1/82,ARG2/108), Impactee(ARG1/113,ARG2/13)</t>
  </si>
  <si>
    <t xml:space="preserve">ACT-&gt;ARG0/77,ARG1/1,ARG3/13</t>
  </si>
  <si>
    <t xml:space="preserve">ACT-&gt;Authority(ARG0/77,ARG1/1,ARG3/13)</t>
  </si>
  <si>
    <t xml:space="preserve">?PAT: v+6; .f; ↓aby</t>
  </si>
  <si>
    <t xml:space="preserve">PAT-&gt;ARG1/82,ARG2/108</t>
  </si>
  <si>
    <t xml:space="preserve">PAT-&gt;Prohibited</t>
  </si>
  <si>
    <t xml:space="preserve">PAT-&gt;Prohibited(ARG1/82,ARG2/108)</t>
  </si>
  <si>
    <t xml:space="preserve">ADDR-&gt;ARG1/113,ARG2/13</t>
  </si>
  <si>
    <t xml:space="preserve">ADDR-&gt;Impactee</t>
  </si>
  <si>
    <t xml:space="preserve">ADDR-&gt;Impactee(ARG1/113,ARG2/13)</t>
  </si>
  <si>
    <t xml:space="preserve">"bránit-002"</t>
  </si>
  <si>
    <t xml:space="preserve">Defender(ARG0/61), Defended(ARG1/86), Opposing(ARG1/1)</t>
  </si>
  <si>
    <t xml:space="preserve">ACT-&gt;ARG0/61</t>
  </si>
  <si>
    <t xml:space="preserve">ACT-&gt;Defender</t>
  </si>
  <si>
    <t xml:space="preserve">ACT-&gt;Defender(ARG0/61)</t>
  </si>
  <si>
    <t xml:space="preserve">PAT-&gt;ARG1/86</t>
  </si>
  <si>
    <t xml:space="preserve">PAT-&gt;Defended</t>
  </si>
  <si>
    <t xml:space="preserve">PAT-&gt;Defended(ARG1/86)</t>
  </si>
  <si>
    <t xml:space="preserve">?EFF: před+7; proti+3</t>
  </si>
  <si>
    <t xml:space="preserve">EFF-&gt;ARG1/1</t>
  </si>
  <si>
    <t xml:space="preserve">EFF-&gt;Opposing</t>
  </si>
  <si>
    <t xml:space="preserve">EFF-&gt;Opposing(ARG1/1)</t>
  </si>
  <si>
    <t xml:space="preserve">"bránit-003"</t>
  </si>
  <si>
    <t xml:space="preserve">"bránit-se-001"</t>
  </si>
  <si>
    <t xml:space="preserve">Defender(ARG0/54,ARG1/2,ARG3/19), Entity(ARG0/10,ARG1/179,ARG2/2), Undesirable(ARG1/16,ARG2/71)</t>
  </si>
  <si>
    <t xml:space="preserve">ACT-&gt;ARG0/64,ARG1/181,ARG2/2,ARG3/19</t>
  </si>
  <si>
    <t xml:space="preserve">ACT-&gt;Defender; ACT-&gt;Entity</t>
  </si>
  <si>
    <t xml:space="preserve">ACT-&gt;Defender(ARG0/54,ARG1/2,ARG3/19); ACT-&gt;Entity(ARG0/10,ARG1/179,ARG2/2)</t>
  </si>
  <si>
    <t xml:space="preserve">PAT: 3; proti+3; před+7; ↓aby; .f</t>
  </si>
  <si>
    <t xml:space="preserve">PAT-&gt;ARG1/16,ARG2/71</t>
  </si>
  <si>
    <t xml:space="preserve">PAT-&gt;Undesirable(ARG1/16,ARG2/71)</t>
  </si>
  <si>
    <t xml:space="preserve">"brát-001"</t>
  </si>
  <si>
    <t xml:space="preserve">Agent(ARG0/47), Asset(ARG1/95), Owner(ARG1/2,ARG2/21)</t>
  </si>
  <si>
    <t xml:space="preserve">Agent(ARG0/150), Asset(ARG1/235), Owner(ARG0/108,ARG1/1,ARG2/21)</t>
  </si>
  <si>
    <t xml:space="preserve">ACT-&gt;ARG0/197</t>
  </si>
  <si>
    <t xml:space="preserve">ACT-&gt;Agent(ARG0/47)</t>
  </si>
  <si>
    <t xml:space="preserve">ACT-&gt;Agent(ARG0/150)</t>
  </si>
  <si>
    <t xml:space="preserve">PAT-&gt;ARG1/330</t>
  </si>
  <si>
    <t xml:space="preserve">PAT-&gt;Asset</t>
  </si>
  <si>
    <t xml:space="preserve">PAT-&gt;Asset(ARG1/95)</t>
  </si>
  <si>
    <t xml:space="preserve">PAT-&gt;Asset(ARG1/235)</t>
  </si>
  <si>
    <t xml:space="preserve">ADDR-&gt;ARG0/108,ARG1/3,ARG2/42</t>
  </si>
  <si>
    <t xml:space="preserve">ADDR-&gt;Owner</t>
  </si>
  <si>
    <t xml:space="preserve">ADDR-&gt;Owner(ARG1/2,ARG2/21)</t>
  </si>
  <si>
    <t xml:space="preserve">ADDR-&gt;Owner(ARG0/108,ARG1/1,ARG2/21)</t>
  </si>
  <si>
    <t xml:space="preserve">"brát-002"</t>
  </si>
  <si>
    <t xml:space="preserve">?ORIG: od+2</t>
  </si>
  <si>
    <t xml:space="preserve">Payee(ARG0/70,ARG1/1), Payment(ARG0/1,ARG1/84,ARG3/1), Recompensated(ARG1/3,ARG3/25), Payer(ARG1/2,ARG2/22,ARG3/1)</t>
  </si>
  <si>
    <t xml:space="preserve">Agent(ARG0/35), Targeted(ARG1/53)</t>
  </si>
  <si>
    <t xml:space="preserve">ACT-&gt;ARG0/105,ARG1/1</t>
  </si>
  <si>
    <t xml:space="preserve">ACT-&gt;Payee</t>
  </si>
  <si>
    <t xml:space="preserve">ACT-&gt;Payee(ARG0/70,ARG1/1)</t>
  </si>
  <si>
    <t xml:space="preserve">ACT-&gt;Agent(ARG0/35)</t>
  </si>
  <si>
    <t xml:space="preserve">PAT-&gt;ARG0/1,ARG1/137,ARG3/1</t>
  </si>
  <si>
    <t xml:space="preserve">PAT-&gt;Payment</t>
  </si>
  <si>
    <t xml:space="preserve">PAT-&gt;Payment(ARG0/1,ARG1/84,ARG3/1)</t>
  </si>
  <si>
    <t xml:space="preserve">PAT-&gt;Targeted(ARG1/53)</t>
  </si>
  <si>
    <t xml:space="preserve">ORIG-&gt;ARG1/2,ARG2/22,ARG3/1</t>
  </si>
  <si>
    <t xml:space="preserve">ORIG-&gt;Payer</t>
  </si>
  <si>
    <t xml:space="preserve">ORIG-&gt;Payer(ARG1/2,ARG2/22,ARG3/1)</t>
  </si>
  <si>
    <t xml:space="preserve">"brát-003"</t>
  </si>
  <si>
    <t xml:space="preserve">"brát-004"</t>
  </si>
  <si>
    <t xml:space="preserve">EFF: 4[{jako,jakožto}:/AuxY]; .a4[{jako,jakožto}:/AuxY]; za+4; za-1[.a4]; ↓že</t>
  </si>
  <si>
    <t xml:space="preserve">Cognizer(ARG0/108,ARG1/1,ARG2/1), Phenomenon(ARG1/176), Judgment(ARG1/3,ARG2/156)</t>
  </si>
  <si>
    <t xml:space="preserve">ACT-&gt;ARG0/108,ARG1/1,ARG2/1</t>
  </si>
  <si>
    <t xml:space="preserve">ACT-&gt;Cognizer</t>
  </si>
  <si>
    <t xml:space="preserve">ACT-&gt;Cognizer(ARG0/108,ARG1/1,ARG2/1)</t>
  </si>
  <si>
    <t xml:space="preserve">PAT-&gt;ARG1/176</t>
  </si>
  <si>
    <t xml:space="preserve">PAT-&gt;Phenomenon(ARG1/176)</t>
  </si>
  <si>
    <t xml:space="preserve">EFF-&gt;ARG1/3,ARG2/156</t>
  </si>
  <si>
    <t xml:space="preserve">EFF-&gt;Judgment</t>
  </si>
  <si>
    <t xml:space="preserve">EFF-&gt;Judgment(ARG1/3,ARG2/156)</t>
  </si>
  <si>
    <t xml:space="preserve">"brát-005"</t>
  </si>
  <si>
    <t xml:space="preserve">ACT: :1</t>
  </si>
  <si>
    <t xml:space="preserve">"brát-006"</t>
  </si>
  <si>
    <t xml:space="preserve">DIR1: *</t>
  </si>
  <si>
    <t xml:space="preserve">"brát-007"</t>
  </si>
  <si>
    <t xml:space="preserve">"brát-008"</t>
  </si>
  <si>
    <t xml:space="preserve">"brát-009"</t>
  </si>
  <si>
    <t xml:space="preserve">"brát-010"</t>
  </si>
  <si>
    <t xml:space="preserve">Perceiver(ARG0/9), Perceived(ARG1/10), Manner(ARG2/7)</t>
  </si>
  <si>
    <t xml:space="preserve">ACT-&gt;Perceiver</t>
  </si>
  <si>
    <t xml:space="preserve">ACT-&gt;Perceiver(ARG0/9)</t>
  </si>
  <si>
    <t xml:space="preserve">PAT-&gt;ARG1/10</t>
  </si>
  <si>
    <t xml:space="preserve">PAT-&gt;Perceived</t>
  </si>
  <si>
    <t xml:space="preserve">PAT-&gt;Perceived(ARG1/10)</t>
  </si>
  <si>
    <t xml:space="preserve">ALT-MANN: *</t>
  </si>
  <si>
    <t xml:space="preserve">MANN-&gt;ARG2/7</t>
  </si>
  <si>
    <t xml:space="preserve">#alt[MANN,MEANS,ACMP,CRIT,CPR]-&gt;Manner</t>
  </si>
  <si>
    <t xml:space="preserve">#alt[MANN,MEANS,ACMP,CRIT,CPR]-&gt;Manner(ARG2/7)</t>
  </si>
  <si>
    <t xml:space="preserve">ALT-MEANS: *</t>
  </si>
  <si>
    <t xml:space="preserve">MEANS-&gt;ARG2/7</t>
  </si>
  <si>
    <t xml:space="preserve">ALT-ACMP: *</t>
  </si>
  <si>
    <t xml:space="preserve">ACMP-&gt;ARG2/7</t>
  </si>
  <si>
    <t xml:space="preserve">ALT-CRIT: *</t>
  </si>
  <si>
    <t xml:space="preserve">CRIT-&gt;ARG2/7</t>
  </si>
  <si>
    <t xml:space="preserve">ALT-CPR: *</t>
  </si>
  <si>
    <t xml:space="preserve">CPR-&gt;ARG2/7</t>
  </si>
  <si>
    <t xml:space="preserve">"brát-011"</t>
  </si>
  <si>
    <t xml:space="preserve">"brát-012"</t>
  </si>
  <si>
    <t xml:space="preserve">Ingestor(ARG0/27), Ingestibles(ARG1/35)</t>
  </si>
  <si>
    <t xml:space="preserve">ACT-&gt;ARG0/27</t>
  </si>
  <si>
    <t xml:space="preserve">ACT-&gt;Ingestor</t>
  </si>
  <si>
    <t xml:space="preserve">ACT-&gt;Ingestor(ARG0/27)</t>
  </si>
  <si>
    <t xml:space="preserve">PAT-&gt;ARG1/35</t>
  </si>
  <si>
    <t xml:space="preserve">PAT-&gt;Ingestibles</t>
  </si>
  <si>
    <t xml:space="preserve">PAT-&gt;Ingestibles(ARG1/35)</t>
  </si>
  <si>
    <t xml:space="preserve">"brát-013"</t>
  </si>
  <si>
    <t xml:space="preserve">"brát-014"</t>
  </si>
  <si>
    <t xml:space="preserve">PAT: za+4</t>
  </si>
  <si>
    <t xml:space="preserve">"brát-015"</t>
  </si>
  <si>
    <t xml:space="preserve">"brát-016"</t>
  </si>
  <si>
    <t xml:space="preserve">"brát-017"</t>
  </si>
  <si>
    <t xml:space="preserve">CPHR: {právo,právo,...}.4</t>
  </si>
  <si>
    <t xml:space="preserve">"brát-018"</t>
  </si>
  <si>
    <t xml:space="preserve">CPHR: {ohled,zřetel,...}.4</t>
  </si>
  <si>
    <t xml:space="preserve">"brát-019"</t>
  </si>
  <si>
    <t xml:space="preserve">CPHR: {podíl,...}.4</t>
  </si>
  <si>
    <t xml:space="preserve">"brát-020"</t>
  </si>
  <si>
    <t xml:space="preserve">DPHR: na-1[se.4]</t>
  </si>
  <si>
    <t xml:space="preserve">"brát-021"</t>
  </si>
  <si>
    <t xml:space="preserve">DPHR: na-1[váha:4[lehký:#]]</t>
  </si>
  <si>
    <t xml:space="preserve">DPHR-&gt;ARG2/7</t>
  </si>
  <si>
    <t xml:space="preserve">DPHR[na lehkou váhu]-&gt;Manner</t>
  </si>
  <si>
    <t xml:space="preserve">DPHR[na lehkou váhu]-&gt;Manner(ARG2/7)</t>
  </si>
  <si>
    <t xml:space="preserve">"brát-022"</t>
  </si>
  <si>
    <t xml:space="preserve">DPHR: na-1[vědomí.4]</t>
  </si>
  <si>
    <t xml:space="preserve">"brát-023"</t>
  </si>
  <si>
    <t xml:space="preserve">DPHR: v-1[potaz.4]</t>
  </si>
  <si>
    <t xml:space="preserve">"brát-024"</t>
  </si>
  <si>
    <t xml:space="preserve">Cognizer(ARG0/123,ARG3/2), Topic(ARG1/102,ARG2/37,ARG3/1)</t>
  </si>
  <si>
    <t xml:space="preserve">ACT-&gt;ARG0/123,ARG3/2</t>
  </si>
  <si>
    <t xml:space="preserve">ACT-&gt;Cognizer(ARG0/123,ARG3/2)</t>
  </si>
  <si>
    <t xml:space="preserve">DPHR: v-1[úvaha.S4]; do-1[úvaha.S2]</t>
  </si>
  <si>
    <t xml:space="preserve">PAT-&gt;ARG1/102,ARG2/37,ARG3/1</t>
  </si>
  <si>
    <t xml:space="preserve">PAT-&gt;Topic(ARG1/102,ARG2/37,ARG3/1)</t>
  </si>
  <si>
    <t xml:space="preserve">"brát-025"</t>
  </si>
  <si>
    <t xml:space="preserve">DPHR: zavděk</t>
  </si>
  <si>
    <t xml:space="preserve">"brát-026"</t>
  </si>
  <si>
    <t xml:space="preserve">DPHR: zpět</t>
  </si>
  <si>
    <t xml:space="preserve">"brát-027"</t>
  </si>
  <si>
    <t xml:space="preserve">DPHR: ten.NS4</t>
  </si>
  <si>
    <t xml:space="preserve">"brát-028"</t>
  </si>
  <si>
    <t xml:space="preserve">DPHR: konec.S2</t>
  </si>
  <si>
    <t xml:space="preserve">"brát-029"</t>
  </si>
  <si>
    <t xml:space="preserve">DPHR: rozum.S4</t>
  </si>
  <si>
    <t xml:space="preserve">"brát-030"</t>
  </si>
  <si>
    <t xml:space="preserve">Cause(), Weakened()</t>
  </si>
  <si>
    <t xml:space="preserve">ACT-&gt;Cause()</t>
  </si>
  <si>
    <t xml:space="preserve">DPHR: vítr.S4[z-1[plachta.P2]]</t>
  </si>
  <si>
    <t xml:space="preserve">PAT-&gt;Weakened</t>
  </si>
  <si>
    <t xml:space="preserve">PAT-&gt;Weakened()</t>
  </si>
  <si>
    <t xml:space="preserve">"brát-031"</t>
  </si>
  <si>
    <t xml:space="preserve">"brát-032"</t>
  </si>
  <si>
    <t xml:space="preserve">"brát-033"</t>
  </si>
  <si>
    <t xml:space="preserve">"brát-034"</t>
  </si>
  <si>
    <t xml:space="preserve">"brát-035"</t>
  </si>
  <si>
    <t xml:space="preserve">DPHR: za-1[svůj-1.#]</t>
  </si>
  <si>
    <t xml:space="preserve">"brát-036"</t>
  </si>
  <si>
    <t xml:space="preserve">"brát-037"</t>
  </si>
  <si>
    <t xml:space="preserve">"brát-se-001"</t>
  </si>
  <si>
    <t xml:space="preserve">"brát-se-002"</t>
  </si>
  <si>
    <t xml:space="preserve">PAT: za+4; o+4</t>
  </si>
  <si>
    <t xml:space="preserve">"brát-se-003"</t>
  </si>
  <si>
    <t xml:space="preserve">"--brát-se-004"</t>
  </si>
  <si>
    <t xml:space="preserve">PAT: s+7</t>
  </si>
  <si>
    <t xml:space="preserve">"brát-si-001"</t>
  </si>
  <si>
    <t xml:space="preserve">?EFF: za+4</t>
  </si>
  <si>
    <t xml:space="preserve">"brát-si-002"</t>
  </si>
  <si>
    <t xml:space="preserve">ALT-BEN: *</t>
  </si>
  <si>
    <t xml:space="preserve">BEN-&gt;ARG2/7</t>
  </si>
  <si>
    <t xml:space="preserve">"brát-si-003"</t>
  </si>
  <si>
    <t xml:space="preserve">DPHR: na-1[muška.S4]</t>
  </si>
  <si>
    <t xml:space="preserve">"brát-si-004"</t>
  </si>
  <si>
    <t xml:space="preserve">"brát-si-005"</t>
  </si>
  <si>
    <t xml:space="preserve">Speaker(ARG0/10,ARG1/1), Manner(ARG1/7)</t>
  </si>
  <si>
    <t xml:space="preserve">ACT-&gt;ARG0/10,ARG1/1</t>
  </si>
  <si>
    <t xml:space="preserve">ACT-&gt;Speaker(ARG0/10,ARG1/1)</t>
  </si>
  <si>
    <t xml:space="preserve">DPHR: servítek.P4</t>
  </si>
  <si>
    <t xml:space="preserve">"brát-si-006"</t>
  </si>
  <si>
    <t xml:space="preserve">"brát-si-007"</t>
  </si>
  <si>
    <t xml:space="preserve">"brávat-001"</t>
  </si>
  <si>
    <t xml:space="preserve">"brázdit-001"</t>
  </si>
  <si>
    <t xml:space="preserve">"brázdit-002"</t>
  </si>
  <si>
    <t xml:space="preserve">"bubnovat-001"</t>
  </si>
  <si>
    <t xml:space="preserve">"budit-001"</t>
  </si>
  <si>
    <t xml:space="preserve">Cause(ARG0/2), Affected(ARG1/3), State()</t>
  </si>
  <si>
    <t xml:space="preserve">ACT-&gt;Cause(ARG0/2)</t>
  </si>
  <si>
    <t xml:space="preserve">PAT-&gt;ARG1/3</t>
  </si>
  <si>
    <t xml:space="preserve">PAT-&gt;Affected(ARG1/3)</t>
  </si>
  <si>
    <t xml:space="preserve">ORIG-&gt;State</t>
  </si>
  <si>
    <t xml:space="preserve">ORIG-&gt;State()</t>
  </si>
  <si>
    <t xml:space="preserve">"budit-002"</t>
  </si>
  <si>
    <t xml:space="preserve">Cause(ARG0/553,ARG1/2,ARG2/38), Effect(ARG0/1,ARG1/810,ARG2/2), Affected(ARG1/3,ARG2/14,ARG3/1,ARG4/79)</t>
  </si>
  <si>
    <t xml:space="preserve">ACT-&gt;ARG0/553,ARG1/2,ARG2/38</t>
  </si>
  <si>
    <t xml:space="preserve">ACT-&gt;Cause(ARG0/553,ARG1/2,ARG2/38)</t>
  </si>
  <si>
    <t xml:space="preserve">CPHR: {dojem,nostalgie,pocit,podiv,pohoršení,pohrdání,pochybnost,pozornost-1,rozpaky,strach,závist,zdání,...}.4</t>
  </si>
  <si>
    <t xml:space="preserve">CPHR-&gt;ARG0/1,ARG1/810,ARG2/2</t>
  </si>
  <si>
    <t xml:space="preserve">CPHR-&gt;Effect</t>
  </si>
  <si>
    <t xml:space="preserve">CPHR-&gt;Effect(ARG0/1,ARG1/810,ARG2/2)</t>
  </si>
  <si>
    <t xml:space="preserve">LOC-&gt;ARG1/3,ARG2/14,ARG3/1,ARG4/79</t>
  </si>
  <si>
    <t xml:space="preserve">LOC-&gt;Affected</t>
  </si>
  <si>
    <t xml:space="preserve">LOC-&gt;Affected(ARG1/3,ARG2/14,ARG3/1,ARG4/79)</t>
  </si>
  <si>
    <t xml:space="preserve">"budit-se-001"</t>
  </si>
  <si>
    <t xml:space="preserve">Protagonist(ARG0/1,ARG1/9), State()</t>
  </si>
  <si>
    <t xml:space="preserve">ACT-&gt;ARG0/1,ARG1/9</t>
  </si>
  <si>
    <t xml:space="preserve">ACT-&gt;Protagonist(ARG0/1,ARG1/9)</t>
  </si>
  <si>
    <t xml:space="preserve">?PAT: z+2</t>
  </si>
  <si>
    <t xml:space="preserve">PAT-&gt;State()</t>
  </si>
  <si>
    <t xml:space="preserve">"budovat-001"</t>
  </si>
  <si>
    <t xml:space="preserve">Creator(ARG0/10), Created(ARG1/78), Basis(ARG2/200)</t>
  </si>
  <si>
    <t xml:space="preserve">ACT-&gt;ARG0/10</t>
  </si>
  <si>
    <t xml:space="preserve">ACT-&gt;Creator</t>
  </si>
  <si>
    <t xml:space="preserve">ACT-&gt;Creator(ARG0/10)</t>
  </si>
  <si>
    <t xml:space="preserve">PAT-&gt;ARG1/78</t>
  </si>
  <si>
    <t xml:space="preserve">PAT-&gt;Created</t>
  </si>
  <si>
    <t xml:space="preserve">PAT-&gt;Created(ARG1/78)</t>
  </si>
  <si>
    <t xml:space="preserve">?ORIG: na+6</t>
  </si>
  <si>
    <t xml:space="preserve">ORIG-&gt;ARG2/200</t>
  </si>
  <si>
    <t xml:space="preserve">ORIG-&gt;Basis</t>
  </si>
  <si>
    <t xml:space="preserve">ORIG-&gt;Basis(ARG2/200)</t>
  </si>
  <si>
    <t xml:space="preserve">"budovat-002"</t>
  </si>
  <si>
    <t xml:space="preserve">Agent(ARG0/522,ARG1/5,ARG2/3), Created(ARG1/918,ARG3/1,ARG4/5), Component(ARG1/1,ARG2/38)</t>
  </si>
  <si>
    <t xml:space="preserve">Creator(ARG0/260,ARG1/1), Created(ARG1/400), Component(ARG2/6)</t>
  </si>
  <si>
    <t xml:space="preserve">ACT-&gt;ARG0/782,ARG1/6,ARG2/3</t>
  </si>
  <si>
    <t xml:space="preserve">ACT-&gt;Agent(ARG0/522,ARG1/5,ARG2/3)</t>
  </si>
  <si>
    <t xml:space="preserve">ACT-&gt;Creator(ARG0/260,ARG1/1)</t>
  </si>
  <si>
    <t xml:space="preserve">PAT-&gt;ARG1/1318,ARG3/1,ARG4/5</t>
  </si>
  <si>
    <t xml:space="preserve">PAT-&gt;Created(ARG1/918,ARG3/1,ARG4/5)</t>
  </si>
  <si>
    <t xml:space="preserve">PAT-&gt;Created(ARG1/400)</t>
  </si>
  <si>
    <t xml:space="preserve">ORIG-&gt;ARG1/1,ARG2/44</t>
  </si>
  <si>
    <t xml:space="preserve">ORIG-&gt;Component</t>
  </si>
  <si>
    <t xml:space="preserve">ORIG-&gt;Component(ARG1/1,ARG2/38)</t>
  </si>
  <si>
    <t xml:space="preserve">ORIG-&gt;Component(ARG2/6)</t>
  </si>
  <si>
    <t xml:space="preserve">"bujet-001"</t>
  </si>
  <si>
    <t xml:space="preserve">"burcovat-001"</t>
  </si>
  <si>
    <t xml:space="preserve">"burácet-001"</t>
  </si>
  <si>
    <t xml:space="preserve">Device(ARG0/3,ARG1/1)</t>
  </si>
  <si>
    <t xml:space="preserve">ACT-&gt;Device</t>
  </si>
  <si>
    <t xml:space="preserve">ACT-&gt;Device(ARG0/3,ARG1/1)</t>
  </si>
  <si>
    <t xml:space="preserve">"bučet-001"</t>
  </si>
  <si>
    <t xml:space="preserve">?PAT: na+4; ↓že</t>
  </si>
  <si>
    <t xml:space="preserve">PAT-&gt;ARG1/2</t>
  </si>
  <si>
    <t xml:space="preserve">"bušit-001"</t>
  </si>
  <si>
    <t xml:space="preserve">PAT-&gt;ARG1/4</t>
  </si>
  <si>
    <t xml:space="preserve">PAT-&gt;Competitor_2</t>
  </si>
  <si>
    <t xml:space="preserve">PAT-&gt;Competitor_2(ARG1/4)</t>
  </si>
  <si>
    <t xml:space="preserve">"bušit-002"</t>
  </si>
  <si>
    <t xml:space="preserve">ACT: 3</t>
  </si>
  <si>
    <t xml:space="preserve">"bušit-003"</t>
  </si>
  <si>
    <t xml:space="preserve">"bušit-004"</t>
  </si>
  <si>
    <t xml:space="preserve">"bušit-005"</t>
  </si>
  <si>
    <t xml:space="preserve">"bydlet-001"</t>
  </si>
  <si>
    <t xml:space="preserve">"bydlívat-001"</t>
  </si>
  <si>
    <t xml:space="preserve">"bádat-001"</t>
  </si>
  <si>
    <t xml:space="preserve">PAT: o+6; nad+7; ↓že; ↓zda; ↓jestli; ↓c</t>
  </si>
  <si>
    <t xml:space="preserve">"básnit-001"</t>
  </si>
  <si>
    <t xml:space="preserve">"bát-se-001"</t>
  </si>
  <si>
    <t xml:space="preserve">PAT: o+4</t>
  </si>
  <si>
    <t xml:space="preserve">"bát-se-002"</t>
  </si>
  <si>
    <t xml:space="preserve">Attitudal(ARG0/131,ARG1/21), Feared(ARG0/28,ARG1/146)</t>
  </si>
  <si>
    <t xml:space="preserve">ACT-&gt;ARG0/131,ARG1/21</t>
  </si>
  <si>
    <t xml:space="preserve">ACT-&gt;Attitudal(ARG0/131,ARG1/21)</t>
  </si>
  <si>
    <t xml:space="preserve">?PAT: 2; ↓že; ↓aby; ↓zda; ↓jestli; .f; ↓c</t>
  </si>
  <si>
    <t xml:space="preserve">PAT-&gt;ARG0/28,ARG1/146</t>
  </si>
  <si>
    <t xml:space="preserve">PAT-&gt;Feared</t>
  </si>
  <si>
    <t xml:space="preserve">PAT-&gt;Feared(ARG0/28,ARG1/146)</t>
  </si>
  <si>
    <t xml:space="preserve">"bít-001"</t>
  </si>
  <si>
    <t xml:space="preserve">Assailant(ARG0/6), Victim(ARG1/11)</t>
  </si>
  <si>
    <t xml:space="preserve">ACT-&gt;ARG0/8</t>
  </si>
  <si>
    <t xml:space="preserve">ACT-&gt;Assailant(ARG0/6)</t>
  </si>
  <si>
    <t xml:space="preserve">PAT-&gt;ARG1/15</t>
  </si>
  <si>
    <t xml:space="preserve">PAT-&gt;Victim(ARG1/11)</t>
  </si>
  <si>
    <t xml:space="preserve">"bít-002"</t>
  </si>
  <si>
    <t xml:space="preserve">DPHR: na-1[poplach.4]</t>
  </si>
  <si>
    <t xml:space="preserve">"bít-003"</t>
  </si>
  <si>
    <t xml:space="preserve">DPHR: do-1[oko.P2]</t>
  </si>
  <si>
    <t xml:space="preserve">"bít-004"</t>
  </si>
  <si>
    <t xml:space="preserve">"být-001"</t>
  </si>
  <si>
    <t xml:space="preserve">ACT: 1; .f; ↓že</t>
  </si>
  <si>
    <t xml:space="preserve">PAT: .a1; všechen.1; 1</t>
  </si>
  <si>
    <t xml:space="preserve">ORIG: od+2; strana-3.S2[z-1,.2]; z-1[strana-3.S2[.u#]]</t>
  </si>
  <si>
    <t xml:space="preserve">"být-002"</t>
  </si>
  <si>
    <t xml:space="preserve">EFF: za+4</t>
  </si>
  <si>
    <t xml:space="preserve">"být-003"</t>
  </si>
  <si>
    <t xml:space="preserve">EFF: do+2</t>
  </si>
  <si>
    <t xml:space="preserve">"být-004"</t>
  </si>
  <si>
    <t xml:space="preserve">ACT: 1; ↓že</t>
  </si>
  <si>
    <t xml:space="preserve">EFF: .aNS2; .aNS2; .S2</t>
  </si>
  <si>
    <t xml:space="preserve">"být-005"</t>
  </si>
  <si>
    <t xml:space="preserve">"být-006"</t>
  </si>
  <si>
    <t xml:space="preserve">"být-007"</t>
  </si>
  <si>
    <t xml:space="preserve">ACT: 1; 2; ↓že; ↓když; ↓aby; ↓kdyby; ↓jestli; ↓pokud; ↓zda; ↓co-3; ↓jak-2; ↓c; .f</t>
  </si>
  <si>
    <t xml:space="preserve">PAT: nefér; prima; rád; raději; jasno-2; známo; svůj-2; 1; 2; 7; .a1; .a7; .$1&lt;A&gt;$2&lt;C&gt;$3&lt;N&gt;$4&lt;S&gt;; .i; .f; ↓že; ↓jak-2; ↓c; .$1&lt;C&gt;$2&lt;v&gt;</t>
  </si>
  <si>
    <t xml:space="preserve">"být-008"</t>
  </si>
  <si>
    <t xml:space="preserve">"být-009"</t>
  </si>
  <si>
    <t xml:space="preserve">MANN: *</t>
  </si>
  <si>
    <t xml:space="preserve">"být-010"</t>
  </si>
  <si>
    <t xml:space="preserve">ACT: nad-1[.4]</t>
  </si>
  <si>
    <t xml:space="preserve">---: .~</t>
  </si>
  <si>
    <t xml:space="preserve">"být-011"</t>
  </si>
  <si>
    <t xml:space="preserve">ACT: 1; 2; 3; .f; ↓aby; ↓jak-2; ↓kdyby; ↓že; ↓když; ↓zda; ↓jestli; ↓co-3; ↓c</t>
  </si>
  <si>
    <t xml:space="preserve">"být-012"</t>
  </si>
  <si>
    <t xml:space="preserve">ACT: .f</t>
  </si>
  <si>
    <t xml:space="preserve">"být-013"</t>
  </si>
  <si>
    <t xml:space="preserve">ACT: po+6</t>
  </si>
  <si>
    <t xml:space="preserve">"být-014"</t>
  </si>
  <si>
    <t xml:space="preserve">TWHEN: *</t>
  </si>
  <si>
    <t xml:space="preserve">"být-015"</t>
  </si>
  <si>
    <t xml:space="preserve">EXT: *</t>
  </si>
  <si>
    <t xml:space="preserve">"být-016"</t>
  </si>
  <si>
    <t xml:space="preserve">THL: *</t>
  </si>
  <si>
    <t xml:space="preserve">"být-017"</t>
  </si>
  <si>
    <t xml:space="preserve">"být-018"</t>
  </si>
  <si>
    <t xml:space="preserve">ACT: 1; .f; ↓že; ↓když; ↓jestli; ↓zda; ↓c</t>
  </si>
  <si>
    <t xml:space="preserve">CPHR: {stydno-1}; {hanba,trapno}.S1; jeden.NS1</t>
  </si>
  <si>
    <t xml:space="preserve">"být-019"</t>
  </si>
  <si>
    <t xml:space="preserve">ACT: .f; ↓že; ↓když; 2</t>
  </si>
  <si>
    <t xml:space="preserve">CPHR: {líto}</t>
  </si>
  <si>
    <t xml:space="preserve">"být-020"</t>
  </si>
  <si>
    <t xml:space="preserve">ACT: 1; 2; .f; ↓aby; ↓že; ↓když</t>
  </si>
  <si>
    <t xml:space="preserve">CPHR: třeba-1; potřeba.S1; zapotřebí; škoda</t>
  </si>
  <si>
    <t xml:space="preserve">"být-021"</t>
  </si>
  <si>
    <t xml:space="preserve">ACT: .f; ↓aby; ↓že</t>
  </si>
  <si>
    <t xml:space="preserve">CPHR: {možný,nutný,vhodný}.$1&lt;A&gt;$2&lt;C&gt;$3&lt;N&gt;$4&lt;S&gt;; {těžko-2,záhodno-1,zatěžko,...}</t>
  </si>
  <si>
    <t xml:space="preserve">"být-022"</t>
  </si>
  <si>
    <t xml:space="preserve">DPHR: zajedno</t>
  </si>
  <si>
    <t xml:space="preserve">?PAT: v+6</t>
  </si>
  <si>
    <t xml:space="preserve">"být-023"</t>
  </si>
  <si>
    <t xml:space="preserve">DPHR: daleký</t>
  </si>
  <si>
    <t xml:space="preserve">PAT: .f</t>
  </si>
  <si>
    <t xml:space="preserve">"být-024"</t>
  </si>
  <si>
    <t xml:space="preserve">Protagonist(ARG0/215,ARG1/4), Skill(ARG1/272)</t>
  </si>
  <si>
    <t xml:space="preserve">ACT-&gt;ARG0/215,ARG1/4</t>
  </si>
  <si>
    <t xml:space="preserve">ACT-&gt;Protagonist(ARG0/215,ARG1/4)</t>
  </si>
  <si>
    <t xml:space="preserve">DPHR: to-9[s-9]</t>
  </si>
  <si>
    <t xml:space="preserve">PAT-&gt;ARG1/272</t>
  </si>
  <si>
    <t xml:space="preserve">PAT-&gt;Skill</t>
  </si>
  <si>
    <t xml:space="preserve">PAT-&gt;Skill(ARG1/272)</t>
  </si>
  <si>
    <t xml:space="preserve">"být-025"</t>
  </si>
  <si>
    <t xml:space="preserve">DPHR: zadobře</t>
  </si>
  <si>
    <t xml:space="preserve">"být-026"</t>
  </si>
  <si>
    <t xml:space="preserve">DPHR: k-1[smích.S3]; pro-1[smích.S4]; do-1[smích.S2]</t>
  </si>
  <si>
    <t xml:space="preserve">"být-027"</t>
  </si>
  <si>
    <t xml:space="preserve">DPHR: krátký</t>
  </si>
  <si>
    <t xml:space="preserve">"být-028"</t>
  </si>
  <si>
    <t xml:space="preserve">DPHR: na-1[cesta.S6[dobrý.@3#]]; na-1[cesta.S6[dobrý.@1#]]; na-1[cesta.S6]</t>
  </si>
  <si>
    <t xml:space="preserve">PAT: .f; k+3</t>
  </si>
  <si>
    <t xml:space="preserve">"být-029"</t>
  </si>
  <si>
    <t xml:space="preserve">DPHR: v-1[kontakt.S6]</t>
  </si>
  <si>
    <t xml:space="preserve">"být-030"</t>
  </si>
  <si>
    <t xml:space="preserve">ACT: 1; ↓aby; .f</t>
  </si>
  <si>
    <t xml:space="preserve">DPHR: v-1[zájem.S6[.2]]; v-1[zájem.S6[.#]]</t>
  </si>
  <si>
    <t xml:space="preserve">?PAT: 2</t>
  </si>
  <si>
    <t xml:space="preserve">"být-031"</t>
  </si>
  <si>
    <t xml:space="preserve">Thinker(ARG0/568,ARG1/5), Phenomenon(ARG1/99,ARG2/4), Judgment(ARG1/558,ARG2/2)</t>
  </si>
  <si>
    <t xml:space="preserve">Attitudal(ARG0/202,ARG1/18), Audience_Addressee(ARG1/27,ARG2/50), Agreement(ARG0/1,ARG1/166,ARG2/7)</t>
  </si>
  <si>
    <t xml:space="preserve">ACT-&gt;ARG0/770,ARG1/23</t>
  </si>
  <si>
    <t xml:space="preserve">ACT-&gt;Thinker</t>
  </si>
  <si>
    <t xml:space="preserve">ACT-&gt;Thinker(ARG0/568,ARG1/5)</t>
  </si>
  <si>
    <t xml:space="preserve">ACT-&gt;Attitudal(ARG0/202,ARG1/18)</t>
  </si>
  <si>
    <t xml:space="preserve">DPHR: názor.S2[{jiný,stejný,podobný,opačný}.#]; názor.S2[že[.v]]; názor.S2[ten.#,že[.v]]</t>
  </si>
  <si>
    <t xml:space="preserve">?PAT: ↓že</t>
  </si>
  <si>
    <t xml:space="preserve">PAT-&gt;ARG0/1,ARG1/724,ARG2/9</t>
  </si>
  <si>
    <t xml:space="preserve">PAT-&gt;Judgment</t>
  </si>
  <si>
    <t xml:space="preserve">PAT-&gt;Judgment(ARG1/558,ARG2/2)</t>
  </si>
  <si>
    <t xml:space="preserve">PAT-&gt;Agreement</t>
  </si>
  <si>
    <t xml:space="preserve">PAT-&gt;Agreement(ARG0/1,ARG1/166,ARG2/7)</t>
  </si>
  <si>
    <t xml:space="preserve">"být-032"</t>
  </si>
  <si>
    <t xml:space="preserve">Protagonist(ARG0/111,ARG1/15,ARGM-MNR/2), Manner(ARG1/2,ARG2/2,ARGM-MNR/22)</t>
  </si>
  <si>
    <t xml:space="preserve">ACT-&gt;ARG0/111,ARG1/15,ARGM-MNR/2</t>
  </si>
  <si>
    <t xml:space="preserve">ACT-&gt;Protagonist(ARG0/111,ARG1/15,ARGM-MNR/2)</t>
  </si>
  <si>
    <t xml:space="preserve">DPHR: na-1[ten.S6]</t>
  </si>
  <si>
    <t xml:space="preserve">MANN-&gt;ARG1/2,ARG2/2,ARGM-MNR/22</t>
  </si>
  <si>
    <t xml:space="preserve">MANN-&gt;Manner</t>
  </si>
  <si>
    <t xml:space="preserve">MANN-&gt;Manner(ARG1/2,ARG2/2,ARGM-MNR/22)</t>
  </si>
  <si>
    <t xml:space="preserve">"být-033"</t>
  </si>
  <si>
    <t xml:space="preserve">DPHR: ani[vid.S2,ani[slech.S2]]</t>
  </si>
  <si>
    <t xml:space="preserve">"být-034"</t>
  </si>
  <si>
    <t xml:space="preserve">ACT: ↓že; ten.NS1; ↓kdyby</t>
  </si>
  <si>
    <t xml:space="preserve">DPHR: div.S2</t>
  </si>
  <si>
    <t xml:space="preserve">"být-035"</t>
  </si>
  <si>
    <t xml:space="preserve">ACT: ↓že; ten.NS1</t>
  </si>
  <si>
    <t xml:space="preserve">DPHR: spor.S2</t>
  </si>
  <si>
    <t xml:space="preserve">"být-036"</t>
  </si>
  <si>
    <t xml:space="preserve">ACT: 1; ↓c; .f</t>
  </si>
  <si>
    <t xml:space="preserve">DPHR: na-1[povážená.S4]</t>
  </si>
  <si>
    <t xml:space="preserve">"být-037"</t>
  </si>
  <si>
    <t xml:space="preserve">ACT: 1; ↓že; ↓c</t>
  </si>
  <si>
    <t xml:space="preserve">DPHR: nasnadě</t>
  </si>
  <si>
    <t xml:space="preserve">"být-038"</t>
  </si>
  <si>
    <t xml:space="preserve">ACT: 1; ↓že; .f</t>
  </si>
  <si>
    <t xml:space="preserve">DPHR: na-1[místo-1.S6]; namístě</t>
  </si>
  <si>
    <t xml:space="preserve">"být-039"</t>
  </si>
  <si>
    <t xml:space="preserve">DPHR: nabíledni</t>
  </si>
  <si>
    <t xml:space="preserve">"být-040"</t>
  </si>
  <si>
    <t xml:space="preserve">DPHR: do-1[práce.S2]</t>
  </si>
  <si>
    <t xml:space="preserve">"být-041"</t>
  </si>
  <si>
    <t xml:space="preserve">Entity(ARG1/446)</t>
  </si>
  <si>
    <t xml:space="preserve">Protagonist(), Entity()</t>
  </si>
  <si>
    <t xml:space="preserve">ACT-&gt;ARG1/446</t>
  </si>
  <si>
    <t xml:space="preserve">ACT-&gt;Entity</t>
  </si>
  <si>
    <t xml:space="preserve">ACT-&gt;Entity(ARG1/446)</t>
  </si>
  <si>
    <t xml:space="preserve">ACT-&gt;Protagonist()</t>
  </si>
  <si>
    <t xml:space="preserve">DPHR: k-1[dispozice.S3]</t>
  </si>
  <si>
    <t xml:space="preserve">"být-042"</t>
  </si>
  <si>
    <t xml:space="preserve">DPHR: k-1[dosažení.S3]</t>
  </si>
  <si>
    <t xml:space="preserve">"být-043"</t>
  </si>
  <si>
    <t xml:space="preserve">DPHR: k-1[mání.3]</t>
  </si>
  <si>
    <t xml:space="preserve">"být-044"</t>
  </si>
  <si>
    <t xml:space="preserve">DPHR: k-1[zaplacení.~]</t>
  </si>
  <si>
    <t xml:space="preserve">"být-045"</t>
  </si>
  <si>
    <t xml:space="preserve">DPHR: mimo-1[obraz.S4]</t>
  </si>
  <si>
    <t xml:space="preserve">"být-046"</t>
  </si>
  <si>
    <t xml:space="preserve">DPHR: mínění.S2[{jiný,stejný,podobný}.#]; mínění.S2[že[.v]]; mínění.S2[ten.#,že[.v]]</t>
  </si>
  <si>
    <t xml:space="preserve">"být-047"</t>
  </si>
  <si>
    <t xml:space="preserve">DPHR: na-1[co-1.S6]</t>
  </si>
  <si>
    <t xml:space="preserve">"být-048"</t>
  </si>
  <si>
    <t xml:space="preserve">DPHR: na-1[štír.S6]</t>
  </si>
  <si>
    <t xml:space="preserve">"být-049"</t>
  </si>
  <si>
    <t xml:space="preserve">DPHR: na-1[vina.S6]</t>
  </si>
  <si>
    <t xml:space="preserve">"být-050"</t>
  </si>
  <si>
    <t xml:space="preserve">DPHR: na-1[závada.S4]</t>
  </si>
  <si>
    <t xml:space="preserve">"být-051"</t>
  </si>
  <si>
    <t xml:space="preserve">DPHR: nad-1[všechen.NS4]</t>
  </si>
  <si>
    <t xml:space="preserve">"být-052"</t>
  </si>
  <si>
    <t xml:space="preserve">DPHR: při-1[ruka.S6]; po-1[ruka.S6]</t>
  </si>
  <si>
    <t xml:space="preserve">"být-053"</t>
  </si>
  <si>
    <t xml:space="preserve">DPHR: pro-1[kočka.S4]</t>
  </si>
  <si>
    <t xml:space="preserve">"být-054"</t>
  </si>
  <si>
    <t xml:space="preserve">Issue(), NoSr()</t>
  </si>
  <si>
    <t xml:space="preserve">ACT-&gt;Issue</t>
  </si>
  <si>
    <t xml:space="preserve">ACT-&gt;Issue()</t>
  </si>
  <si>
    <t xml:space="preserve">DPHR: v-1[hra.S6]</t>
  </si>
  <si>
    <t xml:space="preserve">"být-055"</t>
  </si>
  <si>
    <t xml:space="preserve">DPHR: v-1[obraz.S6]</t>
  </si>
  <si>
    <t xml:space="preserve">"být-056"</t>
  </si>
  <si>
    <t xml:space="preserve">Agent(ARG0/406,ARG1/7), Planned(ARG1/438,ARG2/51)</t>
  </si>
  <si>
    <t xml:space="preserve">ACT-&gt;ARG1/438,ARG2/51</t>
  </si>
  <si>
    <t xml:space="preserve">ACT-&gt;Planned</t>
  </si>
  <si>
    <t xml:space="preserve">ACT-&gt;Planned(ARG1/438,ARG2/51)</t>
  </si>
  <si>
    <t xml:space="preserve">DPHR: v-1[plán.S6]</t>
  </si>
  <si>
    <t xml:space="preserve">"být-057"</t>
  </si>
  <si>
    <t xml:space="preserve">DPHR: v-1[prach.S6]</t>
  </si>
  <si>
    <t xml:space="preserve">"být-058"</t>
  </si>
  <si>
    <t xml:space="preserve">DPHR: v-1[sázka.S6]</t>
  </si>
  <si>
    <t xml:space="preserve">"být-059"</t>
  </si>
  <si>
    <t xml:space="preserve">DPHR: v-1[úzký.P6]</t>
  </si>
  <si>
    <t xml:space="preserve">"být-060"</t>
  </si>
  <si>
    <t xml:space="preserve">DPHR: za-1[voda.S7]</t>
  </si>
  <si>
    <t xml:space="preserve">"být-061"</t>
  </si>
  <si>
    <t xml:space="preserve">Event_expected()</t>
  </si>
  <si>
    <t xml:space="preserve">ACT: ↓aby; .f</t>
  </si>
  <si>
    <t xml:space="preserve">ACT-&gt;Event_expected</t>
  </si>
  <si>
    <t xml:space="preserve">ACT-&gt;Event_expected()</t>
  </si>
  <si>
    <t xml:space="preserve">DPHR: na-1[čas.S6]; načase</t>
  </si>
  <si>
    <t xml:space="preserve">"být-062"</t>
  </si>
  <si>
    <t xml:space="preserve">ACT: na+6</t>
  </si>
  <si>
    <t xml:space="preserve">DPHR: řada.S1</t>
  </si>
  <si>
    <t xml:space="preserve">"být-063"</t>
  </si>
  <si>
    <t xml:space="preserve">ACT: 1; ↓aby</t>
  </si>
  <si>
    <t xml:space="preserve">DPHR: na-1[čas.S6]</t>
  </si>
  <si>
    <t xml:space="preserve">"být-064"</t>
  </si>
  <si>
    <t xml:space="preserve">DPHR: na-1[škoda.S4]</t>
  </si>
  <si>
    <t xml:space="preserve">"být-065"</t>
  </si>
  <si>
    <t xml:space="preserve">DPHR: bez-1[se.2]</t>
  </si>
  <si>
    <t xml:space="preserve">"být-066"</t>
  </si>
  <si>
    <t xml:space="preserve">DPHR: jako-1[ušitý.1@1$11&lt;A&gt;]; jako-1[dělaný.1@1$11&lt;A&gt;]</t>
  </si>
  <si>
    <t xml:space="preserve">"být-067"</t>
  </si>
  <si>
    <t xml:space="preserve">DPHR: k-1[dostání.S3]</t>
  </si>
  <si>
    <t xml:space="preserve">"být-068"</t>
  </si>
  <si>
    <t xml:space="preserve">DPHR: k-1[zastižení.S3]</t>
  </si>
  <si>
    <t xml:space="preserve">"být-069"</t>
  </si>
  <si>
    <t xml:space="preserve">DPHR: na-1[dno.S6]</t>
  </si>
  <si>
    <t xml:space="preserve">"být-070"</t>
  </si>
  <si>
    <t xml:space="preserve">DPHR: na-1[dosah.S4]; na-1[dosah.S4[ruka.S2]]</t>
  </si>
  <si>
    <t xml:space="preserve">"být-071"</t>
  </si>
  <si>
    <t xml:space="preserve">DPHR: na-1[kůň.S6]</t>
  </si>
  <si>
    <t xml:space="preserve">DPHR-&gt;ARG1/2,ARG2/2,ARGM-MNR/22</t>
  </si>
  <si>
    <t xml:space="preserve">DPHR[na koni]-&gt;Manner</t>
  </si>
  <si>
    <t xml:space="preserve">DPHR[na koni]-&gt;Manner(ARG1/2,ARG2/2,ARGM-MNR/22)</t>
  </si>
  <si>
    <t xml:space="preserve">"být-072"</t>
  </si>
  <si>
    <t xml:space="preserve">DPHR: na-1[ostří.S1[nůž.S2]]</t>
  </si>
  <si>
    <t xml:space="preserve">"být-073"</t>
  </si>
  <si>
    <t xml:space="preserve">DPHR: slovo.S1[slabý.@1$11&lt;A&gt;#]</t>
  </si>
  <si>
    <t xml:space="preserve">"být-074"</t>
  </si>
  <si>
    <t xml:space="preserve">DPHR: v-1[dohled.S6]</t>
  </si>
  <si>
    <t xml:space="preserve">"být-075"</t>
  </si>
  <si>
    <t xml:space="preserve">DPHR: v-1[platnost.S6]</t>
  </si>
  <si>
    <t xml:space="preserve">"být-076"</t>
  </si>
  <si>
    <t xml:space="preserve">ACT: 1; ↓jestli</t>
  </si>
  <si>
    <t xml:space="preserve">DPHR: v-1[pořádek.S6]</t>
  </si>
  <si>
    <t xml:space="preserve">DPHR-&gt;Manner</t>
  </si>
  <si>
    <t xml:space="preserve">DPHR-&gt;Manner(ARG1/2,ARG2/2,ARGM-MNR/22)</t>
  </si>
  <si>
    <t xml:space="preserve">"být-077"</t>
  </si>
  <si>
    <t xml:space="preserve">Functioning(ARG0/57,ARG1/37)</t>
  </si>
  <si>
    <t xml:space="preserve">ACT-&gt;ARG0/57,ARG1/37</t>
  </si>
  <si>
    <t xml:space="preserve">ACT-&gt;Functioning</t>
  </si>
  <si>
    <t xml:space="preserve">ACT-&gt;Functioning(ARG0/57,ARG1/37)</t>
  </si>
  <si>
    <t xml:space="preserve">DPHR: v-1[provoz.S6]</t>
  </si>
  <si>
    <t xml:space="preserve">"být-078"</t>
  </si>
  <si>
    <t xml:space="preserve">DPHR: o-1[ten.P4]</t>
  </si>
  <si>
    <t xml:space="preserve">"být-079"</t>
  </si>
  <si>
    <t xml:space="preserve">"být-080"</t>
  </si>
  <si>
    <t xml:space="preserve">PAT: .a1</t>
  </si>
  <si>
    <t xml:space="preserve">"být-081"</t>
  </si>
  <si>
    <t xml:space="preserve">"být-082"</t>
  </si>
  <si>
    <t xml:space="preserve">DPHR: jako[na-1[trní.S6]]</t>
  </si>
  <si>
    <t xml:space="preserve">"být-083"</t>
  </si>
  <si>
    <t xml:space="preserve">Seeker(ARG0/291,ARG1/2), Found(ARG0/1,ARG1/397)</t>
  </si>
  <si>
    <t xml:space="preserve">ACT-&gt;ARG0/1,ARG1/397</t>
  </si>
  <si>
    <t xml:space="preserve">ACT-&gt;Found</t>
  </si>
  <si>
    <t xml:space="preserve">ACT-&gt;Found(ARG0/1,ARG1/397)</t>
  </si>
  <si>
    <t xml:space="preserve">DPHR: k-1[nalezení.S3]</t>
  </si>
  <si>
    <t xml:space="preserve">"být-084"</t>
  </si>
  <si>
    <t xml:space="preserve">DPHR: k-1[popukání.S3]</t>
  </si>
  <si>
    <t xml:space="preserve">"být-085"</t>
  </si>
  <si>
    <t xml:space="preserve">DPHR: k-1[smích.S3]</t>
  </si>
  <si>
    <t xml:space="preserve">"být-086"</t>
  </si>
  <si>
    <t xml:space="preserve">DPHR: k-1[vidění.S3]</t>
  </si>
  <si>
    <t xml:space="preserve">"být-087"</t>
  </si>
  <si>
    <t xml:space="preserve">DPHR: na-1[dohled.S4]</t>
  </si>
  <si>
    <t xml:space="preserve">"být-088"</t>
  </si>
  <si>
    <t xml:space="preserve">DPHR: na-1[mizina.S6]</t>
  </si>
  <si>
    <t xml:space="preserve">"být-089"</t>
  </si>
  <si>
    <t xml:space="preserve">Finished(ARG1/171,ARG2/2), Outcome(ARG1/37,ARG2/113)</t>
  </si>
  <si>
    <t xml:space="preserve">Action(ARG0/7,ARG1/17,ARG2/1), Hindrance(ARG0/2,ARG1/15)</t>
  </si>
  <si>
    <t xml:space="preserve">ACT-&gt;ARG0/7,ARG1/188,ARG2/3</t>
  </si>
  <si>
    <t xml:space="preserve">ACT-&gt;Finished</t>
  </si>
  <si>
    <t xml:space="preserve">ACT-&gt;Finished(ARG1/171,ARG2/2)</t>
  </si>
  <si>
    <t xml:space="preserve">ACT-&gt;Action</t>
  </si>
  <si>
    <t xml:space="preserve">ACT-&gt;Action(ARG0/7,ARG1/17,ARG2/1)</t>
  </si>
  <si>
    <t xml:space="preserve">DPHR: na-1[bod.S6[mrtvý.#]]</t>
  </si>
  <si>
    <t xml:space="preserve">DPHR-&gt;ARG0/2,ARG1/52,ARG2/113</t>
  </si>
  <si>
    <t xml:space="preserve">DPHR[na mrtvém bodě]-&gt;Outcome</t>
  </si>
  <si>
    <t xml:space="preserve">DPHR[na mrtvém bodě]-&gt;Outcome(ARG1/37,ARG2/113)</t>
  </si>
  <si>
    <t xml:space="preserve">DPHR-&gt;Hindrance</t>
  </si>
  <si>
    <t xml:space="preserve">DPHR-&gt;Hindrance(ARG0/2,ARG1/15)</t>
  </si>
  <si>
    <t xml:space="preserve">"být-090"</t>
  </si>
  <si>
    <t xml:space="preserve">DPHR: na-1[oko.P6]</t>
  </si>
  <si>
    <t xml:space="preserve">"být-091"</t>
  </si>
  <si>
    <t xml:space="preserve">DPHR: na-1[program.S6]</t>
  </si>
  <si>
    <t xml:space="preserve">"být-092"</t>
  </si>
  <si>
    <t xml:space="preserve">DPHR: na-1[řada.S6]</t>
  </si>
  <si>
    <t xml:space="preserve">"být-093"</t>
  </si>
  <si>
    <t xml:space="preserve">Experiencer(), Stimulus()</t>
  </si>
  <si>
    <t xml:space="preserve">ACT: ↓že</t>
  </si>
  <si>
    <t xml:space="preserve">ACT-&gt;Stimulus</t>
  </si>
  <si>
    <t xml:space="preserve">ACT-&gt;Stimulus()</t>
  </si>
  <si>
    <t xml:space="preserve">DPHR: s-1[podiv.S7]</t>
  </si>
  <si>
    <t xml:space="preserve">"být-094"</t>
  </si>
  <si>
    <t xml:space="preserve">DPHR: venku</t>
  </si>
  <si>
    <t xml:space="preserve">"být-095"</t>
  </si>
  <si>
    <t xml:space="preserve">Participant_1(ARG0/92), Topic(ARG1/12,ARG2/64), Participant_2(ARG1/106,ARG2/3)</t>
  </si>
  <si>
    <t xml:space="preserve">ACT-&gt;ARG1/12,ARG2/64</t>
  </si>
  <si>
    <t xml:space="preserve">ACT-&gt;Topic</t>
  </si>
  <si>
    <t xml:space="preserve">ACT-&gt;Topic(ARG1/12,ARG2/64)</t>
  </si>
  <si>
    <t xml:space="preserve">DPHR: v-1[jednání.S6]</t>
  </si>
  <si>
    <t xml:space="preserve">"být-096"</t>
  </si>
  <si>
    <t xml:space="preserve">DPHR: v-1[nevýhoda.S6]</t>
  </si>
  <si>
    <t xml:space="preserve">"být-097"</t>
  </si>
  <si>
    <t xml:space="preserve">DPHR: v-1[plenka.P6]</t>
  </si>
  <si>
    <t xml:space="preserve">"být-098"</t>
  </si>
  <si>
    <t xml:space="preserve">DPHR: v-1[ruka.P6[dobrý.#]]</t>
  </si>
  <si>
    <t xml:space="preserve">"být-099"</t>
  </si>
  <si>
    <t xml:space="preserve">DPHR: na-1[výběr.S4]</t>
  </si>
  <si>
    <t xml:space="preserve">"být-100"</t>
  </si>
  <si>
    <t xml:space="preserve">DPHR: u-1[vytržení.S2]</t>
  </si>
  <si>
    <t xml:space="preserve">"být-101"</t>
  </si>
  <si>
    <t xml:space="preserve">DPHR: v-1[nesnáz.P6]</t>
  </si>
  <si>
    <t xml:space="preserve">"být-102"</t>
  </si>
  <si>
    <t xml:space="preserve">DPHR: na-1[pochod.S6]</t>
  </si>
  <si>
    <t xml:space="preserve">"být-103"</t>
  </si>
  <si>
    <t xml:space="preserve">DPHR: naruby</t>
  </si>
  <si>
    <t xml:space="preserve">"být-104"</t>
  </si>
  <si>
    <t xml:space="preserve">ACT: na+4</t>
  </si>
  <si>
    <t xml:space="preserve">"být-105"</t>
  </si>
  <si>
    <t xml:space="preserve">ACT: ↓jak-2</t>
  </si>
  <si>
    <t xml:space="preserve">"být-106"</t>
  </si>
  <si>
    <t xml:space="preserve">"být-107"</t>
  </si>
  <si>
    <t xml:space="preserve">"být-108"</t>
  </si>
  <si>
    <t xml:space="preserve">PAT: přes+4</t>
  </si>
  <si>
    <t xml:space="preserve">"být-109"</t>
  </si>
  <si>
    <t xml:space="preserve">"--být-110"</t>
  </si>
  <si>
    <t xml:space="preserve">"--být-111"</t>
  </si>
  <si>
    <t xml:space="preserve">PAT: .aNS2</t>
  </si>
  <si>
    <t xml:space="preserve">EFF: na+6</t>
  </si>
  <si>
    <t xml:space="preserve">"--být-112"</t>
  </si>
  <si>
    <t xml:space="preserve">CPHR: {užitečný,známý}</t>
  </si>
  <si>
    <t xml:space="preserve">EFF: jako[.1]</t>
  </si>
  <si>
    <t xml:space="preserve">"--být-113"</t>
  </si>
  <si>
    <t xml:space="preserve">DPHR: k,dosažení</t>
  </si>
  <si>
    <t xml:space="preserve">"být-114"</t>
  </si>
  <si>
    <t xml:space="preserve">DPHR: báseň.S1[jeden-1]</t>
  </si>
  <si>
    <t xml:space="preserve">"být-115"</t>
  </si>
  <si>
    <t xml:space="preserve">DPHR: známo.$1&lt;A&gt;$2&lt;C&gt;$3&lt;N&gt;$4&lt;S&gt;</t>
  </si>
  <si>
    <t xml:space="preserve">"být-116"</t>
  </si>
  <si>
    <t xml:space="preserve">DPHR: co-1</t>
  </si>
  <si>
    <t xml:space="preserve">"být-117"</t>
  </si>
  <si>
    <t xml:space="preserve">DPHR: doma</t>
  </si>
  <si>
    <t xml:space="preserve">"být-118"</t>
  </si>
  <si>
    <t xml:space="preserve">DPHR: k-1[hovno.S3]</t>
  </si>
  <si>
    <t xml:space="preserve">"být-119"</t>
  </si>
  <si>
    <t xml:space="preserve">DPHR: k-1[posrání.S3]</t>
  </si>
  <si>
    <t xml:space="preserve">"být-120"</t>
  </si>
  <si>
    <t xml:space="preserve">DPHR: k-1[sehnání.S3]</t>
  </si>
  <si>
    <t xml:space="preserve">"být-121"</t>
  </si>
  <si>
    <t xml:space="preserve">DPHR: na-1[větev.S]</t>
  </si>
  <si>
    <t xml:space="preserve">"být-122"</t>
  </si>
  <si>
    <t xml:space="preserve">DPHR: na-1[loket.P4[dlouhý.#]]</t>
  </si>
  <si>
    <t xml:space="preserve">"být-123"</t>
  </si>
  <si>
    <t xml:space="preserve">DPHR: levý</t>
  </si>
  <si>
    <t xml:space="preserve">"být-124"</t>
  </si>
  <si>
    <t xml:space="preserve">DPHR: spolehnutí.S1</t>
  </si>
  <si>
    <t xml:space="preserve">"být-125"</t>
  </si>
  <si>
    <t xml:space="preserve">DPHR: u-1[foch.S2]</t>
  </si>
  <si>
    <t xml:space="preserve">"být-126"</t>
  </si>
  <si>
    <t xml:space="preserve">DPHR: vedle</t>
  </si>
  <si>
    <t xml:space="preserve">"být-127"</t>
  </si>
  <si>
    <t xml:space="preserve">DPHR: v-1[spojení.S6]</t>
  </si>
  <si>
    <t xml:space="preserve">"být-128"</t>
  </si>
  <si>
    <t xml:space="preserve">DPHR: z-1[ruka.S2]</t>
  </si>
  <si>
    <t xml:space="preserve">"být-129"</t>
  </si>
  <si>
    <t xml:space="preserve">DPHR: v-1[styk.S6]</t>
  </si>
  <si>
    <t xml:space="preserve">"být-130"</t>
  </si>
  <si>
    <t xml:space="preserve">ACT: 1; ↓když</t>
  </si>
  <si>
    <t xml:space="preserve">DPHR: k-1[vztek.S3]</t>
  </si>
  <si>
    <t xml:space="preserve">"být-131"</t>
  </si>
  <si>
    <t xml:space="preserve">DPHR: ruka,v-1[rukáv.S6]</t>
  </si>
  <si>
    <t xml:space="preserve">"být-132"</t>
  </si>
  <si>
    <t xml:space="preserve">DPHR: blázen.P1</t>
  </si>
  <si>
    <t xml:space="preserve">PAT: do+2</t>
  </si>
  <si>
    <t xml:space="preserve">"být-133"</t>
  </si>
  <si>
    <t xml:space="preserve">DPHR: bída.S1[jeden.#]</t>
  </si>
  <si>
    <t xml:space="preserve">"být-134"</t>
  </si>
  <si>
    <t xml:space="preserve">DPHR: koníček.S1</t>
  </si>
  <si>
    <t xml:space="preserve">"být-135"</t>
  </si>
  <si>
    <t xml:space="preserve">DPHR: na-1[rána.S6]</t>
  </si>
  <si>
    <t xml:space="preserve">"být-136"</t>
  </si>
  <si>
    <t xml:space="preserve">DPHR: v-1[pohoda.S6]</t>
  </si>
  <si>
    <t xml:space="preserve">"být-137"</t>
  </si>
  <si>
    <t xml:space="preserve">DPHR: on-1.NS1</t>
  </si>
  <si>
    <t xml:space="preserve">"být-138"</t>
  </si>
  <si>
    <t xml:space="preserve">DPHR: k-1[nepotřeba.S3]</t>
  </si>
  <si>
    <t xml:space="preserve">"být-139"</t>
  </si>
  <si>
    <t xml:space="preserve">DPHR: pod-1[kámen.S7]</t>
  </si>
  <si>
    <t xml:space="preserve">"být-140"</t>
  </si>
  <si>
    <t xml:space="preserve">DPHR: med.S1</t>
  </si>
  <si>
    <t xml:space="preserve">"být-141"</t>
  </si>
  <si>
    <t xml:space="preserve">"být-142"</t>
  </si>
  <si>
    <t xml:space="preserve">ACT: 2</t>
  </si>
  <si>
    <t xml:space="preserve">DPHR: nazbyt</t>
  </si>
  <si>
    <t xml:space="preserve">"být-143"</t>
  </si>
  <si>
    <t xml:space="preserve">DPHR: mimo-2</t>
  </si>
  <si>
    <t xml:space="preserve">"být-144"</t>
  </si>
  <si>
    <t xml:space="preserve">"být-145"</t>
  </si>
  <si>
    <t xml:space="preserve">DPHR: k-1[zasmání.S3]</t>
  </si>
  <si>
    <t xml:space="preserve">"být-146"</t>
  </si>
  <si>
    <t xml:space="preserve">DPHR: na-1[obzor.S6]</t>
  </si>
  <si>
    <t xml:space="preserve">"být-147"</t>
  </si>
  <si>
    <t xml:space="preserve">DPHR: parketa.S1[.u#]</t>
  </si>
  <si>
    <t xml:space="preserve">"být-148"</t>
  </si>
  <si>
    <t xml:space="preserve">DPHR: .u</t>
  </si>
  <si>
    <t xml:space="preserve">"být-149"</t>
  </si>
  <si>
    <t xml:space="preserve">DPHR: bída.1[jeden.#]</t>
  </si>
  <si>
    <t xml:space="preserve">"být-150"</t>
  </si>
  <si>
    <t xml:space="preserve">DPHR: sám.NS1,se.7$2&lt;6&gt;</t>
  </si>
  <si>
    <t xml:space="preserve">"být-151"</t>
  </si>
  <si>
    <t xml:space="preserve">DPHR: v-1[kurz.S6]</t>
  </si>
  <si>
    <t xml:space="preserve">"být-152"</t>
  </si>
  <si>
    <t xml:space="preserve">DPHR: z-1[škola.S2[starý.#]]</t>
  </si>
  <si>
    <t xml:space="preserve">"být-153"</t>
  </si>
  <si>
    <t xml:space="preserve">DPHR: na-1[rozpaky.P6]</t>
  </si>
  <si>
    <t xml:space="preserve">PAT: ↓zda; ↓jestli</t>
  </si>
  <si>
    <t xml:space="preserve">"být-154"</t>
  </si>
  <si>
    <t xml:space="preserve">DPHR: hudba.S1[budoucnost.S2]</t>
  </si>
  <si>
    <t xml:space="preserve">"být-155"</t>
  </si>
  <si>
    <t xml:space="preserve">DPHR: k-1[nevíra.S3]</t>
  </si>
  <si>
    <t xml:space="preserve">"být-156"</t>
  </si>
  <si>
    <t xml:space="preserve">DPHR: pryč</t>
  </si>
  <si>
    <t xml:space="preserve">?ORIG: z+2; ↓že</t>
  </si>
  <si>
    <t xml:space="preserve">"být-157"</t>
  </si>
  <si>
    <t xml:space="preserve">DPHR: pod-1[pantofel.S7]</t>
  </si>
  <si>
    <t xml:space="preserve">"být-158"</t>
  </si>
  <si>
    <t xml:space="preserve">DPHR: na-1[loď.S6[jedna.#]]</t>
  </si>
  <si>
    <t xml:space="preserve">"být-159"</t>
  </si>
  <si>
    <t xml:space="preserve">PAT: .a1; .a7; .d</t>
  </si>
  <si>
    <t xml:space="preserve">"být-160"</t>
  </si>
  <si>
    <t xml:space="preserve">DPHR: na-1[nerv.P4]</t>
  </si>
  <si>
    <t xml:space="preserve">"--být-si-001"</t>
  </si>
  <si>
    <t xml:space="preserve">"bývat-001"</t>
  </si>
  <si>
    <t xml:space="preserve">"bývat-002"</t>
  </si>
  <si>
    <t xml:space="preserve">Entity(ARG0/17,ARG1/3683,ARG2/296,ARG3/1), State(ARG1/124,ARG2/3551,ARG3/415)</t>
  </si>
  <si>
    <t xml:space="preserve">ACT: 1; 2; ↓že; ↓c; .f</t>
  </si>
  <si>
    <t xml:space="preserve">ACT-&gt;ARG0/17,ARG1/3683,ARG2/296,ARG3/1</t>
  </si>
  <si>
    <t xml:space="preserve">ACT-&gt;Entity(ARG0/17,ARG1/3683,ARG2/296,ARG3/1)</t>
  </si>
  <si>
    <t xml:space="preserve">PAT: 1; 2; 7; .a1; .a7; .i; .f; ↓že; ↓c</t>
  </si>
  <si>
    <t xml:space="preserve">PAT-&gt;ARG1/124,ARG2/3551,ARG3/415</t>
  </si>
  <si>
    <t xml:space="preserve">PAT-&gt;State(ARG1/124,ARG2/3551,ARG3/415)</t>
  </si>
  <si>
    <t xml:space="preserve">"bývat-003"</t>
  </si>
  <si>
    <t xml:space="preserve">"bývat-004"</t>
  </si>
  <si>
    <t xml:space="preserve">"bývat-005"</t>
  </si>
  <si>
    <t xml:space="preserve">"bývat-006"</t>
  </si>
  <si>
    <t xml:space="preserve">ORIG: z+2; od+2</t>
  </si>
  <si>
    <t xml:space="preserve">"bývat-007"</t>
  </si>
  <si>
    <t xml:space="preserve">"bývat-008"</t>
  </si>
  <si>
    <t xml:space="preserve">LOC: </t>
  </si>
  <si>
    <t xml:space="preserve">"bývat-009"</t>
  </si>
  <si>
    <t xml:space="preserve">"bývat-010"</t>
  </si>
  <si>
    <t xml:space="preserve">"bývat-011"</t>
  </si>
  <si>
    <t xml:space="preserve">"bývat-012"</t>
  </si>
  <si>
    <t xml:space="preserve">AIM: *</t>
  </si>
  <si>
    <t xml:space="preserve">"bývat-013"</t>
  </si>
  <si>
    <t xml:space="preserve">ACT: 1; 2; 3; .f; ↓aby</t>
  </si>
  <si>
    <t xml:space="preserve">"bývat-014"</t>
  </si>
  <si>
    <t xml:space="preserve">ACT: 1; 2; .f</t>
  </si>
  <si>
    <t xml:space="preserve">"bývat-015"</t>
  </si>
  <si>
    <t xml:space="preserve">"bývat-016"</t>
  </si>
  <si>
    <t xml:space="preserve">"bývat-017"</t>
  </si>
  <si>
    <t xml:space="preserve">"bývat-018"</t>
  </si>
  <si>
    <t xml:space="preserve">"bývat-019"</t>
  </si>
  <si>
    <t xml:space="preserve">"bývat-020"</t>
  </si>
  <si>
    <t xml:space="preserve">"bývat-021"</t>
  </si>
  <si>
    <t xml:space="preserve">ACT: .f; ↓že</t>
  </si>
  <si>
    <t xml:space="preserve">CPHR: {hanba,jeden,líto,stydno-1,trapno,...}</t>
  </si>
  <si>
    <t xml:space="preserve">"bývat-022"</t>
  </si>
  <si>
    <t xml:space="preserve">ACT: 1; 2; .f; ↓aby</t>
  </si>
  <si>
    <t xml:space="preserve">CPHR: {potřeba,třeba-1,...}</t>
  </si>
  <si>
    <t xml:space="preserve">"bývat-023"</t>
  </si>
  <si>
    <t xml:space="preserve">ACT: .f; ↓aby</t>
  </si>
  <si>
    <t xml:space="preserve">CPHR: {možný,nutný,záhodno-1,zatěžko,...}</t>
  </si>
  <si>
    <t xml:space="preserve">"bývat-024"</t>
  </si>
  <si>
    <t xml:space="preserve">DPHR: líto</t>
  </si>
  <si>
    <t xml:space="preserve">PAT: 2</t>
  </si>
  <si>
    <t xml:space="preserve">"bývávat-001"</t>
  </si>
  <si>
    <t xml:space="preserve">"bývávat-002"</t>
  </si>
  <si>
    <t xml:space="preserve">"bědovat-001"</t>
  </si>
  <si>
    <t xml:space="preserve">Attitudal(ARG0/12), Entity(ARG1/10)</t>
  </si>
  <si>
    <t xml:space="preserve">Experiencer(ARG0/12,ARG1/1), Stimulus(ARG1/7)</t>
  </si>
  <si>
    <t xml:space="preserve">ACT-&gt;ARG0/119,ARG1/1</t>
  </si>
  <si>
    <t xml:space="preserve">ACT-&gt;Experiencer(ARG0/12,ARG1/1)</t>
  </si>
  <si>
    <t xml:space="preserve">?PAT: na+4; ↓že; ↓c; nad+7</t>
  </si>
  <si>
    <t xml:space="preserve">PAT-&gt;ARG1/107</t>
  </si>
  <si>
    <t xml:space="preserve">PAT-&gt;Entity(ARG1/10)</t>
  </si>
  <si>
    <t xml:space="preserve">PAT-&gt;Stimulus(ARG1/7)</t>
  </si>
  <si>
    <t xml:space="preserve">"běhat-001"</t>
  </si>
  <si>
    <t xml:space="preserve">"běhat-002"</t>
  </si>
  <si>
    <t xml:space="preserve">Mover(ARG0/3), Area()</t>
  </si>
  <si>
    <t xml:space="preserve">ACT-&gt;Mover(ARG0/3)</t>
  </si>
  <si>
    <t xml:space="preserve">"běhat-003"</t>
  </si>
  <si>
    <t xml:space="preserve">"běhat-004"</t>
  </si>
  <si>
    <t xml:space="preserve">DPHR: mráz.S1,po-1[záda:P6]</t>
  </si>
  <si>
    <t xml:space="preserve">"běhat-005"</t>
  </si>
  <si>
    <t xml:space="preserve">"bělat-se-001"</t>
  </si>
  <si>
    <t xml:space="preserve">"běžet-001"</t>
  </si>
  <si>
    <t xml:space="preserve">"běžet-002"</t>
  </si>
  <si>
    <t xml:space="preserve">"běžet-003"</t>
  </si>
  <si>
    <t xml:space="preserve">Mover(ARG0/25,ARG1/1), Area_1(), Area_2()</t>
  </si>
  <si>
    <t xml:space="preserve">ACT-&gt;Mover(ARG0/25,ARG1/1)</t>
  </si>
  <si>
    <t xml:space="preserve">DIR3-&gt;Area_2</t>
  </si>
  <si>
    <t xml:space="preserve">DIR3-&gt;Area_2()</t>
  </si>
  <si>
    <t xml:space="preserve">"běžet-004"</t>
  </si>
  <si>
    <t xml:space="preserve">Event(ARG0/9,ARG1/174)</t>
  </si>
  <si>
    <t xml:space="preserve">ACT-&gt;ARG0/9,ARG1/174</t>
  </si>
  <si>
    <t xml:space="preserve">ACT-&gt;Event(ARG0/9,ARG1/174)</t>
  </si>
  <si>
    <t xml:space="preserve">"běžet-005"</t>
  </si>
  <si>
    <t xml:space="preserve">ACT-&gt;ARG0/28,ARG1/1</t>
  </si>
  <si>
    <t xml:space="preserve">"běžet-006"</t>
  </si>
  <si>
    <t xml:space="preserve">"běžet-007"</t>
  </si>
  <si>
    <t xml:space="preserve">"běžet-008"</t>
  </si>
  <si>
    <t xml:space="preserve">DPHR: jako[na-1[drátek.P6]]; jako[po-1[drátek.P6]]</t>
  </si>
  <si>
    <t xml:space="preserve">"běžet-009"</t>
  </si>
  <si>
    <t xml:space="preserve">"běžkařit-001"</t>
  </si>
  <si>
    <t xml:space="preserve">"běžkovat-001"</t>
  </si>
  <si>
    <t xml:space="preserve">"cachtat-se-001"</t>
  </si>
  <si>
    <t xml:space="preserve">"cedit-001"</t>
  </si>
  <si>
    <t xml:space="preserve">PAT: .s</t>
  </si>
  <si>
    <t xml:space="preserve">?ADDR: k+3; na+4</t>
  </si>
  <si>
    <t xml:space="preserve">"cedit-002"</t>
  </si>
  <si>
    <t xml:space="preserve">"cejchovat-001"</t>
  </si>
  <si>
    <t xml:space="preserve">EFF: 7; 4[{jako,jakožto}:/AuxY]; .a4[{jako,jakožto}:/AuxY]; za+4; za-1[.a4]</t>
  </si>
  <si>
    <t xml:space="preserve">"cejchovat-002"</t>
  </si>
  <si>
    <t xml:space="preserve">"ceknout-001"</t>
  </si>
  <si>
    <t xml:space="preserve">PAT: o+6; ↓c</t>
  </si>
  <si>
    <t xml:space="preserve">"celebrovat-001"</t>
  </si>
  <si>
    <t xml:space="preserve">"cementovat-001"</t>
  </si>
  <si>
    <t xml:space="preserve">"cenit-001"</t>
  </si>
  <si>
    <t xml:space="preserve">Authority(ARG0/302,ARG1/4), Valued(ARG1/684,ARG2/6), Value(ARG1/8,ARG2/530)</t>
  </si>
  <si>
    <t xml:space="preserve">ACT-&gt;ARG0/302,ARG1/4</t>
  </si>
  <si>
    <t xml:space="preserve">ACT-&gt;Authority(ARG0/302,ARG1/4)</t>
  </si>
  <si>
    <t xml:space="preserve">PAT-&gt;ARG1/684,ARG2/6</t>
  </si>
  <si>
    <t xml:space="preserve">PAT-&gt;Valued</t>
  </si>
  <si>
    <t xml:space="preserve">PAT-&gt;Valued(ARG1/684,ARG2/6)</t>
  </si>
  <si>
    <t xml:space="preserve">EFF-&gt;ARG1/8,ARG2/530</t>
  </si>
  <si>
    <t xml:space="preserve">EFF-&gt;Value</t>
  </si>
  <si>
    <t xml:space="preserve">EFF-&gt;Value(ARG1/8,ARG2/530)</t>
  </si>
  <si>
    <t xml:space="preserve">"cenit-002"</t>
  </si>
  <si>
    <t xml:space="preserve">"cenit-si-001"</t>
  </si>
  <si>
    <t xml:space="preserve">PAT: 2; 4; ↓že</t>
  </si>
  <si>
    <t xml:space="preserve">"cenit-si-002"</t>
  </si>
  <si>
    <t xml:space="preserve">PAT: 2; 4</t>
  </si>
  <si>
    <t xml:space="preserve">"centralizovat-001"</t>
  </si>
  <si>
    <t xml:space="preserve">Authority(), Centralized(ARG1/2)</t>
  </si>
  <si>
    <t xml:space="preserve">ACT-&gt;Authority()</t>
  </si>
  <si>
    <t xml:space="preserve">PAT-&gt;Centralized</t>
  </si>
  <si>
    <t xml:space="preserve">PAT-&gt;Centralized(ARG1/2)</t>
  </si>
  <si>
    <t xml:space="preserve">"centrovat-001"</t>
  </si>
  <si>
    <t xml:space="preserve">"cenzurovat-001"</t>
  </si>
  <si>
    <t xml:space="preserve">Authority(ARG0/2), Information(ARG1/1)</t>
  </si>
  <si>
    <t xml:space="preserve">ACT-&gt;Authority(ARG0/2)</t>
  </si>
  <si>
    <t xml:space="preserve">PAT-&gt;Information(ARG1/1)</t>
  </si>
  <si>
    <t xml:space="preserve">"cestovat-001"</t>
  </si>
  <si>
    <t xml:space="preserve">Protagonist(ARG0/31,ARG1/78), Destination(ARG1/10)</t>
  </si>
  <si>
    <t xml:space="preserve">ACT-&gt;ARG0/31,ARG1/78</t>
  </si>
  <si>
    <t xml:space="preserve">ACT-&gt;Protagonist(ARG0/31,ARG1/78)</t>
  </si>
  <si>
    <t xml:space="preserve">"charakterizovat-001"</t>
  </si>
  <si>
    <t xml:space="preserve">Communicator(ARG0/118), Described(ARG1/178,ARG2/1), Audience_Addressee(), Judgment(ARG0/1,ARG1/1,ARG2/125)</t>
  </si>
  <si>
    <t xml:space="preserve">ACT-&gt;ARG0/118</t>
  </si>
  <si>
    <t xml:space="preserve">ACT-&gt;Communicator(ARG0/118)</t>
  </si>
  <si>
    <t xml:space="preserve">PAT-&gt;ARG1/178,ARG2/1</t>
  </si>
  <si>
    <t xml:space="preserve">PAT-&gt;Described</t>
  </si>
  <si>
    <t xml:space="preserve">PAT-&gt;Described(ARG1/178,ARG2/1)</t>
  </si>
  <si>
    <t xml:space="preserve">"chatovat-001"</t>
  </si>
  <si>
    <t xml:space="preserve">"chcát-001"</t>
  </si>
  <si>
    <t xml:space="preserve">"chladit-001"</t>
  </si>
  <si>
    <t xml:space="preserve">"chladnout-001"</t>
  </si>
  <si>
    <t xml:space="preserve">"chladnout-002"</t>
  </si>
  <si>
    <t xml:space="preserve">"chlastat-001"</t>
  </si>
  <si>
    <t xml:space="preserve">"chlubit-se-001"</t>
  </si>
  <si>
    <t xml:space="preserve">Boaster(ARG0/24), Reason(ARG1/28), Undergoer(ARG2/1)</t>
  </si>
  <si>
    <t xml:space="preserve">ACT-&gt;Boaster</t>
  </si>
  <si>
    <t xml:space="preserve">ACT-&gt;Boaster(ARG0/24)</t>
  </si>
  <si>
    <t xml:space="preserve">PAT-&gt;ARG1/28</t>
  </si>
  <si>
    <t xml:space="preserve">PAT-&gt;Reason</t>
  </si>
  <si>
    <t xml:space="preserve">PAT-&gt;Reason(ARG1/28)</t>
  </si>
  <si>
    <t xml:space="preserve">ADDR-&gt;ARG2/1</t>
  </si>
  <si>
    <t xml:space="preserve">ADDR-&gt;Undergoer</t>
  </si>
  <si>
    <t xml:space="preserve">ADDR-&gt;Undergoer(ARG2/1)</t>
  </si>
  <si>
    <t xml:space="preserve">"chlácholit-001"</t>
  </si>
  <si>
    <t xml:space="preserve">Stimulus(ARG0/34,ARG2/2), Attitudal(ARG1/60)</t>
  </si>
  <si>
    <t xml:space="preserve">ACT-&gt;ARG0/34,ARG2/2</t>
  </si>
  <si>
    <t xml:space="preserve">ACT-&gt;Stimulus(ARG0/34,ARG2/2)</t>
  </si>
  <si>
    <t xml:space="preserve">PAT-&gt;ARG1/60</t>
  </si>
  <si>
    <t xml:space="preserve">PAT-&gt;Attitudal</t>
  </si>
  <si>
    <t xml:space="preserve">PAT-&gt;Attitudal(ARG1/60)</t>
  </si>
  <si>
    <t xml:space="preserve">"chodit-001"</t>
  </si>
  <si>
    <t xml:space="preserve">PAT-&gt;Path</t>
  </si>
  <si>
    <t xml:space="preserve">PAT-&gt;Path(ARG1/4)</t>
  </si>
  <si>
    <t xml:space="preserve">"chodit-002"</t>
  </si>
  <si>
    <t xml:space="preserve">PAT: .a</t>
  </si>
  <si>
    <t xml:space="preserve">"chodit-003"</t>
  </si>
  <si>
    <t xml:space="preserve">"chodit-004"</t>
  </si>
  <si>
    <t xml:space="preserve">PAT: za+4; 1[{jako,jakožto}:/AuxY]</t>
  </si>
  <si>
    <t xml:space="preserve">"chodit-005"</t>
  </si>
  <si>
    <t xml:space="preserve">"chodit-006"</t>
  </si>
  <si>
    <t xml:space="preserve">Visitor(ARG0/75,ARG1/82), Visited(ARG1/81,ARG4/3)</t>
  </si>
  <si>
    <t xml:space="preserve">ACT-&gt;ARG0/100,ARG1/83</t>
  </si>
  <si>
    <t xml:space="preserve">ACT-&gt;Visitor</t>
  </si>
  <si>
    <t xml:space="preserve">ACT-&gt;Visitor(ARG0/75,ARG1/82)</t>
  </si>
  <si>
    <t xml:space="preserve">DIR3-&gt;ARG1/81,ARG4/3</t>
  </si>
  <si>
    <t xml:space="preserve">DIR3-&gt;Visited</t>
  </si>
  <si>
    <t xml:space="preserve">DIR3-&gt;Visited(ARG1/81,ARG4/3)</t>
  </si>
  <si>
    <t xml:space="preserve">"chodit-007"</t>
  </si>
  <si>
    <t xml:space="preserve">"chodit-008"</t>
  </si>
  <si>
    <t xml:space="preserve">"chodit-009"</t>
  </si>
  <si>
    <t xml:space="preserve">DPHR: kolem-1[kaše.S2[horký.#]]</t>
  </si>
  <si>
    <t xml:space="preserve">"chodit-010"</t>
  </si>
  <si>
    <t xml:space="preserve">DPHR: po-1[špička.P6]</t>
  </si>
  <si>
    <t xml:space="preserve">"chodit-011"</t>
  </si>
  <si>
    <t xml:space="preserve">"chodit-012"</t>
  </si>
  <si>
    <t xml:space="preserve">"chodit-013"</t>
  </si>
  <si>
    <t xml:space="preserve">DPHR: ten.NS1</t>
  </si>
  <si>
    <t xml:space="preserve">"chodit-014"</t>
  </si>
  <si>
    <t xml:space="preserve">"chodit-015"</t>
  </si>
  <si>
    <t xml:space="preserve">DPHR: pro-1[rána.S4],daleko-1</t>
  </si>
  <si>
    <t xml:space="preserve">"chodit-016"</t>
  </si>
  <si>
    <t xml:space="preserve">"chodívat-001"</t>
  </si>
  <si>
    <t xml:space="preserve">"chodívat-002"</t>
  </si>
  <si>
    <t xml:space="preserve">"chodívávat-001"</t>
  </si>
  <si>
    <t xml:space="preserve">"chopit-se-001"</t>
  </si>
  <si>
    <t xml:space="preserve">ACT-&gt;ARG0/35</t>
  </si>
  <si>
    <t xml:space="preserve">PAT-&gt;ARG1/53</t>
  </si>
  <si>
    <t xml:space="preserve">"choulit-se-001"</t>
  </si>
  <si>
    <t xml:space="preserve">"chovat-001"</t>
  </si>
  <si>
    <t xml:space="preserve">Raiser(ARG0/21), Bred(ARG1/44)</t>
  </si>
  <si>
    <t xml:space="preserve">ACT-&gt;Raiser</t>
  </si>
  <si>
    <t xml:space="preserve">ACT-&gt;Raiser(ARG0/21)</t>
  </si>
  <si>
    <t xml:space="preserve">PAT-&gt;ARG1/44</t>
  </si>
  <si>
    <t xml:space="preserve">PAT-&gt;Bred</t>
  </si>
  <si>
    <t xml:space="preserve">PAT-&gt;Bred(ARG1/44)</t>
  </si>
  <si>
    <t xml:space="preserve">"chovat-002"</t>
  </si>
  <si>
    <t xml:space="preserve">"chovat-003"</t>
  </si>
  <si>
    <t xml:space="preserve">"chovat-004"</t>
  </si>
  <si>
    <t xml:space="preserve">CPHR: {cit,důvěra,naděje,nenávist,nepřátelství,podezření,přátelství,...}.4</t>
  </si>
  <si>
    <t xml:space="preserve">"chovat-005"</t>
  </si>
  <si>
    <t xml:space="preserve">DPHR: jako[v-1[bavlnka.S6]]</t>
  </si>
  <si>
    <t xml:space="preserve">"chovat-se-001"</t>
  </si>
  <si>
    <t xml:space="preserve">Protagonist(ARG0/18,ARG1/3), Manner()</t>
  </si>
  <si>
    <t xml:space="preserve">Protagonist(ARG0/28), Affected(ARG1/57), Manner(ARG2/21,ARG3/1)</t>
  </si>
  <si>
    <t xml:space="preserve">ACT-&gt;ARG0/46,ARG1/3</t>
  </si>
  <si>
    <t xml:space="preserve">ACT-&gt;Protagonist(ARG0/18,ARG1/3)</t>
  </si>
  <si>
    <t xml:space="preserve">ACT-&gt;Protagonist(ARG0/28)</t>
  </si>
  <si>
    <t xml:space="preserve">#alt[BEN,MANN,ACMP,CRIT,CPR]-&gt;Manner</t>
  </si>
  <si>
    <t xml:space="preserve">#alt[BEN,MANN,ACMP,CRIT,CPR]-&gt;Manner()</t>
  </si>
  <si>
    <t xml:space="preserve">MANN-&gt;ARG2/21,ARG3/1</t>
  </si>
  <si>
    <t xml:space="preserve">MANN-&gt;Manner(ARG2/21,ARG3/1)</t>
  </si>
  <si>
    <t xml:space="preserve">"chovávat-001"</t>
  </si>
  <si>
    <t xml:space="preserve">"christianizovat-001"</t>
  </si>
  <si>
    <t xml:space="preserve">"chrlit-001"</t>
  </si>
  <si>
    <t xml:space="preserve">Creator(ARG0/3), Created(ARG1/5)</t>
  </si>
  <si>
    <t xml:space="preserve">ACT-&gt;Creator(ARG0/3)</t>
  </si>
  <si>
    <t xml:space="preserve">PAT-&gt;Created(ARG1/5)</t>
  </si>
  <si>
    <t xml:space="preserve">"chránit-001"</t>
  </si>
  <si>
    <t xml:space="preserve">?EFF: před+7; proti+3; od+2</t>
  </si>
  <si>
    <t xml:space="preserve">Defender(ARG0/77,ARG1/1,ARG3/18), Defended(ARG1/194,ARG2/2), Harm(ARG1/1,ARG2/43)</t>
  </si>
  <si>
    <t xml:space="preserve">ACT-&gt;ARG0/131,ARG1/3,ARG3/37</t>
  </si>
  <si>
    <t xml:space="preserve">ACT-&gt;Defender(ARG0/54,ARG1/2,ARG3/19)</t>
  </si>
  <si>
    <t xml:space="preserve">ACT-&gt;Defender(ARG0/77,ARG1/1,ARG3/18)</t>
  </si>
  <si>
    <t xml:space="preserve">PAT-&gt;ARG0/10,ARG1/373,ARG2/4</t>
  </si>
  <si>
    <t xml:space="preserve">PAT-&gt;Entity(ARG0/10,ARG1/179,ARG2/2)</t>
  </si>
  <si>
    <t xml:space="preserve">PAT-&gt;Defended(ARG1/194,ARG2/2)</t>
  </si>
  <si>
    <t xml:space="preserve">EFF-&gt;ARG1/17,ARG2/114</t>
  </si>
  <si>
    <t xml:space="preserve">EFF-&gt;Undesirable</t>
  </si>
  <si>
    <t xml:space="preserve">EFF-&gt;Undesirable(ARG1/16,ARG2/71)</t>
  </si>
  <si>
    <t xml:space="preserve">EFF-&gt;Harm</t>
  </si>
  <si>
    <t xml:space="preserve">EFF-&gt;Harm(ARG1/1,ARG2/43)</t>
  </si>
  <si>
    <t xml:space="preserve">"chránit-002"</t>
  </si>
  <si>
    <t xml:space="preserve">DPHR: Pán[Bůh.S1]; pánbůh; Bůh</t>
  </si>
  <si>
    <t xml:space="preserve">"chrápat-001"</t>
  </si>
  <si>
    <t xml:space="preserve">Protagonist(ARG0/2)</t>
  </si>
  <si>
    <t xml:space="preserve">ACT-&gt;Protagonist(ARG0/2)</t>
  </si>
  <si>
    <t xml:space="preserve">"chtít-001"</t>
  </si>
  <si>
    <t xml:space="preserve">PAT: 4; 3; ↓aby; .f</t>
  </si>
  <si>
    <t xml:space="preserve">?ORIG: po+6; na+6; od+2</t>
  </si>
  <si>
    <t xml:space="preserve">Claimant(ARG0/469,ARG1/3,ARG2/4), Required(ARG1/605,ARG2/81), Impactee(ARG1/75,ARG2/180)</t>
  </si>
  <si>
    <t xml:space="preserve">ACT-&gt;ARG0/469,ARG1/3,ARG2/4</t>
  </si>
  <si>
    <t xml:space="preserve">ACT-&gt;Claimant</t>
  </si>
  <si>
    <t xml:space="preserve">ACT-&gt;Claimant(ARG0/469,ARG1/3,ARG2/4)</t>
  </si>
  <si>
    <t xml:space="preserve">PAT-&gt;ARG1/605,ARG2/81</t>
  </si>
  <si>
    <t xml:space="preserve">PAT-&gt;Required</t>
  </si>
  <si>
    <t xml:space="preserve">PAT-&gt;Required(ARG1/605,ARG2/81)</t>
  </si>
  <si>
    <t xml:space="preserve">ORIG-&gt;ARG1/75,ARG2/180</t>
  </si>
  <si>
    <t xml:space="preserve">ORIG-&gt;Impactee</t>
  </si>
  <si>
    <t xml:space="preserve">ORIG-&gt;Impactee(ARG1/75,ARG2/180)</t>
  </si>
  <si>
    <t xml:space="preserve">"chtít-002"</t>
  </si>
  <si>
    <t xml:space="preserve">PAT: .f; 4</t>
  </si>
  <si>
    <t xml:space="preserve">---: [se]</t>
  </si>
  <si>
    <t xml:space="preserve">"chudnout-001"</t>
  </si>
  <si>
    <t xml:space="preserve">"chutnat-001"</t>
  </si>
  <si>
    <t xml:space="preserve">"chutnat-002"</t>
  </si>
  <si>
    <t xml:space="preserve">Ingestibles(ARG1/2), Manner(ARG2/2)</t>
  </si>
  <si>
    <t xml:space="preserve">ACT-&gt;ARG1/2</t>
  </si>
  <si>
    <t xml:space="preserve">ACT-&gt;Ingestibles</t>
  </si>
  <si>
    <t xml:space="preserve">ACT-&gt;Ingestibles(ARG1/2)</t>
  </si>
  <si>
    <t xml:space="preserve">?PAT: po+6</t>
  </si>
  <si>
    <t xml:space="preserve">PAT-&gt;ARG2/2</t>
  </si>
  <si>
    <t xml:space="preserve">PAT-&gt;Manner</t>
  </si>
  <si>
    <t xml:space="preserve">PAT-&gt;Manner(ARG2/2)</t>
  </si>
  <si>
    <t xml:space="preserve">"chutnat-003"</t>
  </si>
  <si>
    <t xml:space="preserve">"chválit-001"</t>
  </si>
  <si>
    <t xml:space="preserve">Authority(ARG0/39), Evaluee(ARG1/73,ARG2/3)</t>
  </si>
  <si>
    <t xml:space="preserve">ACT-&gt;ARG0/39</t>
  </si>
  <si>
    <t xml:space="preserve">ACT-&gt;Authority(ARG0/39)</t>
  </si>
  <si>
    <t xml:space="preserve">PAT-&gt;ARG1/73,ARG2/3</t>
  </si>
  <si>
    <t xml:space="preserve">PAT-&gt;Evaluee(ARG1/73,ARG2/3)</t>
  </si>
  <si>
    <t xml:space="preserve">"chvástat-se-001"</t>
  </si>
  <si>
    <t xml:space="preserve">"chvátat-001"</t>
  </si>
  <si>
    <t xml:space="preserve">"chvátat-002"</t>
  </si>
  <si>
    <t xml:space="preserve">"chvět-se-001"</t>
  </si>
  <si>
    <t xml:space="preserve">"chybit-001"</t>
  </si>
  <si>
    <t xml:space="preserve">Mistaken(ARG0/5)</t>
  </si>
  <si>
    <t xml:space="preserve">ACT-&gt;Mistaken</t>
  </si>
  <si>
    <t xml:space="preserve">ACT-&gt;Mistaken(ARG0/5)</t>
  </si>
  <si>
    <t xml:space="preserve">"chybovat-001"</t>
  </si>
  <si>
    <t xml:space="preserve">"chybět-001"</t>
  </si>
  <si>
    <t xml:space="preserve">Missed(ARG1/56,ARG2/1), Missing(ARG0/41)</t>
  </si>
  <si>
    <t xml:space="preserve">ACT-&gt;ARG1/56,ARG2/1</t>
  </si>
  <si>
    <t xml:space="preserve">ACT-&gt;Missed</t>
  </si>
  <si>
    <t xml:space="preserve">ACT-&gt;Missed(ARG1/56,ARG2/1)</t>
  </si>
  <si>
    <t xml:space="preserve">PAT-&gt;ARG0/41</t>
  </si>
  <si>
    <t xml:space="preserve">PAT-&gt;Missing</t>
  </si>
  <si>
    <t xml:space="preserve">PAT-&gt;Missing(ARG0/41)</t>
  </si>
  <si>
    <t xml:space="preserve">"chybět-002"</t>
  </si>
  <si>
    <t xml:space="preserve">Category(ARG0/36), Attribute(ARG1/51)</t>
  </si>
  <si>
    <t xml:space="preserve">ACT-&gt;ARG0/36</t>
  </si>
  <si>
    <t xml:space="preserve">ACT-&gt;Category</t>
  </si>
  <si>
    <t xml:space="preserve">ACT-&gt;Category(ARG0/36)</t>
  </si>
  <si>
    <t xml:space="preserve">PAT-&gt;ARG1/51</t>
  </si>
  <si>
    <t xml:space="preserve">PAT-&gt;Attribute</t>
  </si>
  <si>
    <t xml:space="preserve">PAT-&gt;Attribute(ARG1/51)</t>
  </si>
  <si>
    <t xml:space="preserve">"chybět-003"</t>
  </si>
  <si>
    <t xml:space="preserve">"chybět-004"</t>
  </si>
  <si>
    <t xml:space="preserve">"chybět-005"</t>
  </si>
  <si>
    <t xml:space="preserve">EFF: .f</t>
  </si>
  <si>
    <t xml:space="preserve">"chystat-001"</t>
  </si>
  <si>
    <t xml:space="preserve">"chystat-002"</t>
  </si>
  <si>
    <t xml:space="preserve">Agent(ARG0/153,ARG1/1), Planned(ARG1/195)</t>
  </si>
  <si>
    <t xml:space="preserve">ACT-&gt;ARG0/153,ARG1/1</t>
  </si>
  <si>
    <t xml:space="preserve">ACT-&gt;Agent(ARG0/153,ARG1/1)</t>
  </si>
  <si>
    <t xml:space="preserve">PAT-&gt;ARG1/195</t>
  </si>
  <si>
    <t xml:space="preserve">PAT-&gt;Planned</t>
  </si>
  <si>
    <t xml:space="preserve">PAT-&gt;Planned(ARG1/195)</t>
  </si>
  <si>
    <t xml:space="preserve">"chystat-se-001"</t>
  </si>
  <si>
    <t xml:space="preserve">PAT: .f; na+4; k+3; ↓že</t>
  </si>
  <si>
    <t xml:space="preserve">Protagonist(ARG0/23), Action(ARG2/33)</t>
  </si>
  <si>
    <t xml:space="preserve">ACT-&gt;ARG0/23</t>
  </si>
  <si>
    <t xml:space="preserve">ACT-&gt;Protagonist(ARG0/23)</t>
  </si>
  <si>
    <t xml:space="preserve">PAT-&gt;ARG2/33</t>
  </si>
  <si>
    <t xml:space="preserve">PAT-&gt;Action(ARG2/33)</t>
  </si>
  <si>
    <t xml:space="preserve">"chytat-001"</t>
  </si>
  <si>
    <t xml:space="preserve">Recipient(ARG0/3), Item(ARG1/3)</t>
  </si>
  <si>
    <t xml:space="preserve">ACT-&gt;Recipient</t>
  </si>
  <si>
    <t xml:space="preserve">ACT-&gt;Recipient(ARG0/3)</t>
  </si>
  <si>
    <t xml:space="preserve">PAT-&gt;Item</t>
  </si>
  <si>
    <t xml:space="preserve">PAT-&gt;Item(ARG1/3)</t>
  </si>
  <si>
    <t xml:space="preserve">"chytat-002"</t>
  </si>
  <si>
    <t xml:space="preserve">Perpetrator(ARG0/2), Affected(ARG1/9)</t>
  </si>
  <si>
    <t xml:space="preserve">ACT-&gt;Perpetrator</t>
  </si>
  <si>
    <t xml:space="preserve">ACT-&gt;Perpetrator(ARG0/2)</t>
  </si>
  <si>
    <t xml:space="preserve">PAT-&gt;ARG1/9</t>
  </si>
  <si>
    <t xml:space="preserve">PAT-&gt;Affected(ARG1/9)</t>
  </si>
  <si>
    <t xml:space="preserve">"chytat-003"</t>
  </si>
  <si>
    <t xml:space="preserve">"chytat-004"</t>
  </si>
  <si>
    <t xml:space="preserve">"--chytat-005"</t>
  </si>
  <si>
    <t xml:space="preserve">"chytat-006"</t>
  </si>
  <si>
    <t xml:space="preserve">"chytat-se-001"</t>
  </si>
  <si>
    <t xml:space="preserve">"chytat-se-002"</t>
  </si>
  <si>
    <t xml:space="preserve">DPHR: za-1[hlava.S4]</t>
  </si>
  <si>
    <t xml:space="preserve">"chytat-se-003"</t>
  </si>
  <si>
    <t xml:space="preserve">"chytit-001"</t>
  </si>
  <si>
    <t xml:space="preserve">"chytit-002"</t>
  </si>
  <si>
    <t xml:space="preserve">"chytit-003"</t>
  </si>
  <si>
    <t xml:space="preserve">"chytit-004"</t>
  </si>
  <si>
    <t xml:space="preserve">Ignited(), State_initial(), State_final()</t>
  </si>
  <si>
    <t xml:space="preserve">ACT-&gt;Ignited</t>
  </si>
  <si>
    <t xml:space="preserve">ACT-&gt;Ignited()</t>
  </si>
  <si>
    <t xml:space="preserve">PAT-&gt;State_final</t>
  </si>
  <si>
    <t xml:space="preserve">PAT-&gt;State_final()</t>
  </si>
  <si>
    <t xml:space="preserve">"chytit-005"</t>
  </si>
  <si>
    <t xml:space="preserve">Recovered(ARG0/3,ARG1/15), Situation_harmful()</t>
  </si>
  <si>
    <t xml:space="preserve">ACT-&gt;ARG0/3,ARG1/15</t>
  </si>
  <si>
    <t xml:space="preserve">ACT-&gt;Recovered</t>
  </si>
  <si>
    <t xml:space="preserve">ACT-&gt;Recovered(ARG0/3,ARG1/15)</t>
  </si>
  <si>
    <t xml:space="preserve">DPHR: dech:S4[druhý-1.#]; dech</t>
  </si>
  <si>
    <t xml:space="preserve">"chytit-006"</t>
  </si>
  <si>
    <t xml:space="preserve">DPHR: za-1[pačesy.P4]</t>
  </si>
  <si>
    <t xml:space="preserve">"chytit-007"</t>
  </si>
  <si>
    <t xml:space="preserve">Party_benefited()</t>
  </si>
  <si>
    <t xml:space="preserve">ACT-&gt;Party_benefited</t>
  </si>
  <si>
    <t xml:space="preserve">ACT-&gt;Party_benefited()</t>
  </si>
  <si>
    <t xml:space="preserve">DPHR: vítr.S4</t>
  </si>
  <si>
    <t xml:space="preserve">"chytit-008"</t>
  </si>
  <si>
    <t xml:space="preserve">"chytit-009"</t>
  </si>
  <si>
    <t xml:space="preserve">"chytit-010"</t>
  </si>
  <si>
    <t xml:space="preserve">"chytit-011"</t>
  </si>
  <si>
    <t xml:space="preserve">"chytit-se-001"</t>
  </si>
  <si>
    <t xml:space="preserve">Protagonist(ARG0/3), Activity(ARG1/4)</t>
  </si>
  <si>
    <t xml:space="preserve">ACT-&gt;Protagonist(ARG0/3)</t>
  </si>
  <si>
    <t xml:space="preserve">PAT-&gt;Activity(ARG1/4)</t>
  </si>
  <si>
    <t xml:space="preserve">"chytit-se-002"</t>
  </si>
  <si>
    <t xml:space="preserve">"chytit-se-003"</t>
  </si>
  <si>
    <t xml:space="preserve">Protagonist(ARG1/7), State(ARG2/5)</t>
  </si>
  <si>
    <t xml:space="preserve">ACT-&gt;ARG1/7</t>
  </si>
  <si>
    <t xml:space="preserve">ACT-&gt;Protagonist(ARG1/7)</t>
  </si>
  <si>
    <t xml:space="preserve">DIR3-&gt;ARG2/5</t>
  </si>
  <si>
    <t xml:space="preserve">DIR3-&gt;State(ARG2/5)</t>
  </si>
  <si>
    <t xml:space="preserve">"chytit-se-004"</t>
  </si>
  <si>
    <t xml:space="preserve">"chytit-se-005"</t>
  </si>
  <si>
    <t xml:space="preserve">"chytit-se-006"</t>
  </si>
  <si>
    <t xml:space="preserve">"chytit-se-007"</t>
  </si>
  <si>
    <t xml:space="preserve">"chytnout-001"</t>
  </si>
  <si>
    <t xml:space="preserve">"chytnout-002"</t>
  </si>
  <si>
    <t xml:space="preserve">"chytnout-003"</t>
  </si>
  <si>
    <t xml:space="preserve">"chytnout-004"</t>
  </si>
  <si>
    <t xml:space="preserve">"chytnout-005"</t>
  </si>
  <si>
    <t xml:space="preserve">"chytnout-006"</t>
  </si>
  <si>
    <t xml:space="preserve">"chytnout-007"</t>
  </si>
  <si>
    <t xml:space="preserve">?ORIG: od+2; z+2</t>
  </si>
  <si>
    <t xml:space="preserve">"chytnout-008"</t>
  </si>
  <si>
    <t xml:space="preserve">"chytnout-009"</t>
  </si>
  <si>
    <t xml:space="preserve">"chytnout-se-001"</t>
  </si>
  <si>
    <t xml:space="preserve">"chytnout-se-002"</t>
  </si>
  <si>
    <t xml:space="preserve">"chytnout-se-003"</t>
  </si>
  <si>
    <t xml:space="preserve">"chápat-001"</t>
  </si>
  <si>
    <t xml:space="preserve">EFF: 4[{jako,jakožto}:/AuxY]; .a4[{jako,jakožto}:/AuxY]</t>
  </si>
  <si>
    <t xml:space="preserve">"chápat-002"</t>
  </si>
  <si>
    <t xml:space="preserve">PAT: 7; pod+7</t>
  </si>
  <si>
    <t xml:space="preserve">"chápat-003"</t>
  </si>
  <si>
    <t xml:space="preserve">Cognizer(ARG0/54), Phenomenon(ARG1/79)</t>
  </si>
  <si>
    <t xml:space="preserve">Attitudal(ARG0/53), Affected(ARG1/72)</t>
  </si>
  <si>
    <t xml:space="preserve">ACT-&gt;ARG0/107</t>
  </si>
  <si>
    <t xml:space="preserve">ACT-&gt;Cognizer(ARG0/54)</t>
  </si>
  <si>
    <t xml:space="preserve">ACT-&gt;Attitudal(ARG0/53)</t>
  </si>
  <si>
    <t xml:space="preserve">PAT: 4; 2; ↓že; ↓jak-2; ↓c</t>
  </si>
  <si>
    <t xml:space="preserve">PAT-&gt;ARG1/151</t>
  </si>
  <si>
    <t xml:space="preserve">PAT-&gt;Phenomenon(ARG1/79)</t>
  </si>
  <si>
    <t xml:space="preserve">PAT-&gt;Affected(ARG1/72)</t>
  </si>
  <si>
    <t xml:space="preserve">"chápat-004"</t>
  </si>
  <si>
    <t xml:space="preserve">"chápat-se-001"</t>
  </si>
  <si>
    <t xml:space="preserve">"chátrat-001"</t>
  </si>
  <si>
    <t xml:space="preserve">"chýlit-se-001"</t>
  </si>
  <si>
    <t xml:space="preserve">PAT-&gt;ARG2/25</t>
  </si>
  <si>
    <t xml:space="preserve">"chňapat-001"</t>
  </si>
  <si>
    <t xml:space="preserve">PAT: po+6</t>
  </si>
  <si>
    <t xml:space="preserve">"chňapnout-001"</t>
  </si>
  <si>
    <t xml:space="preserve">"chřadnout-001"</t>
  </si>
  <si>
    <t xml:space="preserve">"cinkat-001"</t>
  </si>
  <si>
    <t xml:space="preserve">Force(ARG0/2,ARG1/1), Instrument(ARG1/4)</t>
  </si>
  <si>
    <t xml:space="preserve">ACT-&gt;ARG0/2,ARG1/1</t>
  </si>
  <si>
    <t xml:space="preserve">ACT-&gt;Force</t>
  </si>
  <si>
    <t xml:space="preserve">ACT-&gt;Force(ARG0/2,ARG1/1)</t>
  </si>
  <si>
    <t xml:space="preserve">PAT-&gt;Instrument(ARG1/4)</t>
  </si>
  <si>
    <t xml:space="preserve">"cinkat-002"</t>
  </si>
  <si>
    <t xml:space="preserve">"cinknout-001"</t>
  </si>
  <si>
    <t xml:space="preserve">"cirkulovat-001"</t>
  </si>
  <si>
    <t xml:space="preserve">"citovat-001"</t>
  </si>
  <si>
    <t xml:space="preserve">Speaker(ARG0/110), Communicated(ARG1/224,ARG2/2)</t>
  </si>
  <si>
    <t xml:space="preserve">ACT-&gt;ARG0/110</t>
  </si>
  <si>
    <t xml:space="preserve">ACT-&gt;Speaker(ARG0/110)</t>
  </si>
  <si>
    <t xml:space="preserve">PAT-&gt;ARG1/224,ARG2/2</t>
  </si>
  <si>
    <t xml:space="preserve">PAT-&gt;Communicated(ARG1/224,ARG2/2)</t>
  </si>
  <si>
    <t xml:space="preserve">"civilizovat-001"</t>
  </si>
  <si>
    <t xml:space="preserve">"civět-001"</t>
  </si>
  <si>
    <t xml:space="preserve">PAT: na+4; ↓c</t>
  </si>
  <si>
    <t xml:space="preserve">"cizelovat-001"</t>
  </si>
  <si>
    <t xml:space="preserve">"claimovat-001"</t>
  </si>
  <si>
    <t xml:space="preserve">PAT: 4; .f; ↓aby</t>
  </si>
  <si>
    <t xml:space="preserve">?ORIG: od+2; na+6; po+6</t>
  </si>
  <si>
    <t xml:space="preserve">"clít-001"</t>
  </si>
  <si>
    <t xml:space="preserve">"couvat-001"</t>
  </si>
  <si>
    <t xml:space="preserve">Protagonist(ARG0/98,ARG1/5), Abandoned(ARG1/141,ARG2/1)</t>
  </si>
  <si>
    <t xml:space="preserve">ACT-&gt;ARG0/98,ARG1/5</t>
  </si>
  <si>
    <t xml:space="preserve">ACT-&gt;Protagonist(ARG0/98,ARG1/5)</t>
  </si>
  <si>
    <t xml:space="preserve">?PAT: před+7</t>
  </si>
  <si>
    <t xml:space="preserve">PAT-&gt;ARG1/141,ARG2/1</t>
  </si>
  <si>
    <t xml:space="preserve">PAT-&gt;Abandoned(ARG1/141,ARG2/1)</t>
  </si>
  <si>
    <t xml:space="preserve">"couvnout-001"</t>
  </si>
  <si>
    <t xml:space="preserve">?PAT: před+7; od+2</t>
  </si>
  <si>
    <t xml:space="preserve">"couvnout-002"</t>
  </si>
  <si>
    <t xml:space="preserve">"cpát-001"</t>
  </si>
  <si>
    <t xml:space="preserve">EFF: 7</t>
  </si>
  <si>
    <t xml:space="preserve">"cpát-002"</t>
  </si>
  <si>
    <t xml:space="preserve">Protagonist(ARG0/207,ARG3/1), Resource(ARG0/1,ARG1/112,ARG2/7,ARG3/143), Recompensated(ARG1/112,ARG2/2,ARG3/1)</t>
  </si>
  <si>
    <t xml:space="preserve">ACT-&gt;ARG0/207,ARG3/1</t>
  </si>
  <si>
    <t xml:space="preserve">ACT-&gt;Protagonist(ARG0/207,ARG3/1)</t>
  </si>
  <si>
    <t xml:space="preserve">PAT-&gt;ARG0/1,ARG1/112,ARG2/7,ARG3/143</t>
  </si>
  <si>
    <t xml:space="preserve">PAT-&gt;Resource</t>
  </si>
  <si>
    <t xml:space="preserve">PAT-&gt;Resource(ARG0/1,ARG1/112,ARG2/7,ARG3/143)</t>
  </si>
  <si>
    <t xml:space="preserve">DIR3-&gt;ARG1/112,ARG2/2,ARG3/1</t>
  </si>
  <si>
    <t xml:space="preserve">DIR3-&gt;Recompensated</t>
  </si>
  <si>
    <t xml:space="preserve">DIR3-&gt;Recompensated(ARG1/112,ARG2/2,ARG3/1)</t>
  </si>
  <si>
    <t xml:space="preserve">"cpát-003"</t>
  </si>
  <si>
    <t xml:space="preserve">"cpát-004"</t>
  </si>
  <si>
    <t xml:space="preserve">"cpát-se-001"</t>
  </si>
  <si>
    <t xml:space="preserve">"cpát-se-002"</t>
  </si>
  <si>
    <t xml:space="preserve">"crčet-001"</t>
  </si>
  <si>
    <t xml:space="preserve">"ctít-001"</t>
  </si>
  <si>
    <t xml:space="preserve">"cukat-001"</t>
  </si>
  <si>
    <t xml:space="preserve">"cukat-002"</t>
  </si>
  <si>
    <t xml:space="preserve">"cukat-003"</t>
  </si>
  <si>
    <t xml:space="preserve">"cukat-se-001"</t>
  </si>
  <si>
    <t xml:space="preserve">"cuknout-001"</t>
  </si>
  <si>
    <t xml:space="preserve">"cupkat-001"</t>
  </si>
  <si>
    <t xml:space="preserve">"cupovat-001"</t>
  </si>
  <si>
    <t xml:space="preserve">"cvaknout-se-001"</t>
  </si>
  <si>
    <t xml:space="preserve">"cvičit-001"</t>
  </si>
  <si>
    <t xml:space="preserve">"cvičit-002"</t>
  </si>
  <si>
    <t xml:space="preserve">Protagonist(ARG0/5), Activity(ARG1/1)</t>
  </si>
  <si>
    <t xml:space="preserve">ACT-&gt;Protagonist(ARG0/5)</t>
  </si>
  <si>
    <t xml:space="preserve">PAT-&gt;Activity(ARG1/1)</t>
  </si>
  <si>
    <t xml:space="preserve">"cvičit-003"</t>
  </si>
  <si>
    <t xml:space="preserve">"cílit-001"</t>
  </si>
  <si>
    <t xml:space="preserve">Authority(ARG0/28,ARG1/2), Focused(ARG0/1,ARG1/93,ARG2/12), Goal(ARG1/19,ARG2/98)</t>
  </si>
  <si>
    <t xml:space="preserve">ACT-&gt;ARG0/28,ARG1/2</t>
  </si>
  <si>
    <t xml:space="preserve">ACT-&gt;Authority(ARG0/28,ARG1/2)</t>
  </si>
  <si>
    <t xml:space="preserve">PAT-&gt;ARG0/1,ARG1/93,ARG2/12</t>
  </si>
  <si>
    <t xml:space="preserve">PAT-&gt;Focused</t>
  </si>
  <si>
    <t xml:space="preserve">PAT-&gt;Focused(ARG0/1,ARG1/93,ARG2/12)</t>
  </si>
  <si>
    <t xml:space="preserve">EFF: na+4,k+3</t>
  </si>
  <si>
    <t xml:space="preserve">EFF-&gt;ARG1/19,ARG2/98</t>
  </si>
  <si>
    <t xml:space="preserve">EFF-&gt;Goal</t>
  </si>
  <si>
    <t xml:space="preserve">EFF-&gt;Goal(ARG1/19,ARG2/98)</t>
  </si>
  <si>
    <t xml:space="preserve">"cílit-002"</t>
  </si>
  <si>
    <t xml:space="preserve">"cílit-003"</t>
  </si>
  <si>
    <t xml:space="preserve">"cítit-001"</t>
  </si>
  <si>
    <t xml:space="preserve">PAT: 4; ↓že; .f</t>
  </si>
  <si>
    <t xml:space="preserve">"cítit-002"</t>
  </si>
  <si>
    <t xml:space="preserve">"cítit-003"</t>
  </si>
  <si>
    <t xml:space="preserve">Attitude(ARG1/61), Experiencer(ARG0/52,ARG1/1)</t>
  </si>
  <si>
    <t xml:space="preserve">ACT-&gt;ARG0/52,ARG1/1</t>
  </si>
  <si>
    <t xml:space="preserve">ACT-&gt;Experiencer(ARG0/52,ARG1/1)</t>
  </si>
  <si>
    <t xml:space="preserve">PAT-&gt;ARG1/61</t>
  </si>
  <si>
    <t xml:space="preserve">PAT-&gt;Attitude</t>
  </si>
  <si>
    <t xml:space="preserve">PAT-&gt;Attitude(ARG1/61)</t>
  </si>
  <si>
    <t xml:space="preserve">"cítit-004"</t>
  </si>
  <si>
    <t xml:space="preserve">Perceiver(ARG0/4), Phenomenon(ARG1/3)</t>
  </si>
  <si>
    <t xml:space="preserve">ACT-&gt;ARG0/4</t>
  </si>
  <si>
    <t xml:space="preserve">ACT-&gt;Perceiver(ARG0/4)</t>
  </si>
  <si>
    <t xml:space="preserve">PAT: 4; ↓že; ↓jak-2; ↓c</t>
  </si>
  <si>
    <t xml:space="preserve">PAT-&gt;Phenomenon(ARG1/3)</t>
  </si>
  <si>
    <t xml:space="preserve">"cítit-005"</t>
  </si>
  <si>
    <t xml:space="preserve">"cítit-006"</t>
  </si>
  <si>
    <t xml:space="preserve">CPHR: {důvěra,lítost,nespokojenost,nutkání,pocit,potřeba,povinnost,příkaz,respekt,úleva,...}.4</t>
  </si>
  <si>
    <t xml:space="preserve">CPHR-&gt;ARG1/61</t>
  </si>
  <si>
    <t xml:space="preserve">CPHR-&gt;Attitude</t>
  </si>
  <si>
    <t xml:space="preserve">CPHR-&gt;Attitude(ARG1/61)</t>
  </si>
  <si>
    <t xml:space="preserve">"cítit-se-001"</t>
  </si>
  <si>
    <t xml:space="preserve">Experiencer(ARG0/17,ARG1/4), Emotion(ARG1/21)</t>
  </si>
  <si>
    <t xml:space="preserve">ACT-&gt;ARG0/17,ARG1/4</t>
  </si>
  <si>
    <t xml:space="preserve">ACT-&gt;Experiencer(ARG0/17,ARG1/4)</t>
  </si>
  <si>
    <t xml:space="preserve">PAT: 7; být[.1]; být[.7]; .a1; .a7; .f</t>
  </si>
  <si>
    <t xml:space="preserve">PAT-&gt;ARG1/21</t>
  </si>
  <si>
    <t xml:space="preserve">PAT-&gt;Emotion</t>
  </si>
  <si>
    <t xml:space="preserve">PAT-&gt;Emotion(ARG1/21)</t>
  </si>
  <si>
    <t xml:space="preserve">"cítit-se-002"</t>
  </si>
  <si>
    <t xml:space="preserve">"cítit-se-003"</t>
  </si>
  <si>
    <t xml:space="preserve">"cítit-se-004"</t>
  </si>
  <si>
    <t xml:space="preserve">ALT-LOC: *</t>
  </si>
  <si>
    <t xml:space="preserve">LOC-&gt;ARG1/21</t>
  </si>
  <si>
    <t xml:space="preserve">#alt[LOC,MANN,CPR]-&gt;Emotion</t>
  </si>
  <si>
    <t xml:space="preserve">#alt[LOC,MANN,CPR]-&gt;Emotion(ARG1/21)</t>
  </si>
  <si>
    <t xml:space="preserve">MANN-&gt;ARG1/21</t>
  </si>
  <si>
    <t xml:space="preserve">CPR-&gt;ARG1/21</t>
  </si>
  <si>
    <t xml:space="preserve">"dabovat-001"</t>
  </si>
  <si>
    <t xml:space="preserve">"danit-001"</t>
  </si>
  <si>
    <t xml:space="preserve">"darovat-001"</t>
  </si>
  <si>
    <t xml:space="preserve">Provider(ARG0/919,ARG2/1), Provided(ARG1/1291,ARG2/10), Recipient(ARG1/43,ARG2/795)</t>
  </si>
  <si>
    <t xml:space="preserve">ACT-&gt;ARG0/919,ARG2/1</t>
  </si>
  <si>
    <t xml:space="preserve">ACT-&gt;Provider</t>
  </si>
  <si>
    <t xml:space="preserve">ACT-&gt;Provider(ARG0/919,ARG2/1)</t>
  </si>
  <si>
    <t xml:space="preserve">PAT-&gt;ARG1/1291,ARG2/10</t>
  </si>
  <si>
    <t xml:space="preserve">PAT-&gt;Provided</t>
  </si>
  <si>
    <t xml:space="preserve">PAT-&gt;Provided(ARG1/1291,ARG2/10)</t>
  </si>
  <si>
    <t xml:space="preserve">ADDR-&gt;ARG1/43,ARG2/795</t>
  </si>
  <si>
    <t xml:space="preserve">ADDR-&gt;Recipient(ARG1/43,ARG2/795)</t>
  </si>
  <si>
    <t xml:space="preserve">"datovat-001"</t>
  </si>
  <si>
    <t xml:space="preserve">Agent(), Entity(ARG1/9)</t>
  </si>
  <si>
    <t xml:space="preserve">PAT-&gt;Entity(ARG1/9)</t>
  </si>
  <si>
    <t xml:space="preserve">"datovat-se-001"</t>
  </si>
  <si>
    <t xml:space="preserve">PAT: z+2; od+2</t>
  </si>
  <si>
    <t xml:space="preserve">"datovat-se-002"</t>
  </si>
  <si>
    <t xml:space="preserve">Entity(ARG1/4), Origin(ARG2/13)</t>
  </si>
  <si>
    <t xml:space="preserve">ACT-&gt;Entity(ARG1/4)</t>
  </si>
  <si>
    <t xml:space="preserve">TOWH: *</t>
  </si>
  <si>
    <t xml:space="preserve">TOWH-&gt;ARG2/13</t>
  </si>
  <si>
    <t xml:space="preserve">TOWH-&gt;Origin</t>
  </si>
  <si>
    <t xml:space="preserve">TOWH-&gt;Origin(ARG2/13)</t>
  </si>
  <si>
    <t xml:space="preserve">"dařit-se-001"</t>
  </si>
  <si>
    <t xml:space="preserve">Protagonist(ARG0/60,ARG1/146), Achievement(ARG0/2,ARG1/57,ARG2/144)</t>
  </si>
  <si>
    <t xml:space="preserve">ACT-&gt;ARG0/275,ARG1/150</t>
  </si>
  <si>
    <t xml:space="preserve">ACT-&gt;Protagonist(ARG0/60,ARG1/146)</t>
  </si>
  <si>
    <t xml:space="preserve">PAT: 1; .f; ↓že; ↓aby</t>
  </si>
  <si>
    <t xml:space="preserve">PAT-&gt;ARG0/2,ARG1/329,ARG2/144</t>
  </si>
  <si>
    <t xml:space="preserve">PAT-&gt;Achievement</t>
  </si>
  <si>
    <t xml:space="preserve">PAT-&gt;Achievement(ARG0/2,ARG1/57,ARG2/144)</t>
  </si>
  <si>
    <t xml:space="preserve">"dařit-se-002"</t>
  </si>
  <si>
    <t xml:space="preserve">"dařit-se-003"</t>
  </si>
  <si>
    <t xml:space="preserve">#alt[MANN, EXT]-&gt;Manner</t>
  </si>
  <si>
    <t xml:space="preserve">#alt[MANN, EXT]-&gt;Manner(ARG1/2,ARG2/2,ARGM-MNR/22)</t>
  </si>
  <si>
    <t xml:space="preserve">ALT-EXT: *</t>
  </si>
  <si>
    <t xml:space="preserve">EXT-&gt;ARG1/2,ARG2/2,ARGM-MNR/22</t>
  </si>
  <si>
    <t xml:space="preserve">"dbát-001"</t>
  </si>
  <si>
    <t xml:space="preserve">Protagonist(ARG0/54,ARG1/2), Norm(ARG1/79,ARG2/1)</t>
  </si>
  <si>
    <t xml:space="preserve">ACT-&gt;ARG0/54,ARG1/2</t>
  </si>
  <si>
    <t xml:space="preserve">ACT-&gt;Protagonist(ARG0/54,ARG1/2)</t>
  </si>
  <si>
    <t xml:space="preserve">PAT: na+4; 2; o+4; ↓aby; ↓zda</t>
  </si>
  <si>
    <t xml:space="preserve">PAT-&gt;ARG1/79,ARG2/1</t>
  </si>
  <si>
    <t xml:space="preserve">PAT-&gt;Norm</t>
  </si>
  <si>
    <t xml:space="preserve">PAT-&gt;Norm(ARG1/79,ARG2/1)</t>
  </si>
  <si>
    <t xml:space="preserve">"debatovat-001"</t>
  </si>
  <si>
    <t xml:space="preserve">PAT: o+6; ↓zda; ↓zdali; ↓jestli; na-1[téma.4]</t>
  </si>
  <si>
    <t xml:space="preserve">"debutovat-001"</t>
  </si>
  <si>
    <t xml:space="preserve">Performer(ARG0/41,ARG1/7), Role(ARG1/49)</t>
  </si>
  <si>
    <t xml:space="preserve">ACT-&gt;ARG0/41,ARG1/7</t>
  </si>
  <si>
    <t xml:space="preserve">ACT-&gt;Performer</t>
  </si>
  <si>
    <t xml:space="preserve">ACT-&gt;Performer(ARG0/41,ARG1/7)</t>
  </si>
  <si>
    <t xml:space="preserve">"decentralizovat-001"</t>
  </si>
  <si>
    <t xml:space="preserve">"defilovat-001"</t>
  </si>
  <si>
    <t xml:space="preserve">"definovat-001"</t>
  </si>
  <si>
    <t xml:space="preserve">Protagonist(ARG0/189), Decision(ARG1/387)</t>
  </si>
  <si>
    <t xml:space="preserve">ACT-&gt;ARG0/307</t>
  </si>
  <si>
    <t xml:space="preserve">ACT-&gt;Protagonist(ARG0/189)</t>
  </si>
  <si>
    <t xml:space="preserve">PAT: 4; ↓že; ↓zda; ↓jestli; ↓c</t>
  </si>
  <si>
    <t xml:space="preserve">PAT-&gt;ARG1/565,ARG2/1</t>
  </si>
  <si>
    <t xml:space="preserve">PAT-&gt;Decision</t>
  </si>
  <si>
    <t xml:space="preserve">PAT-&gt;Decision(ARG1/387)</t>
  </si>
  <si>
    <t xml:space="preserve">"deformovat-001"</t>
  </si>
  <si>
    <t xml:space="preserve">"degenerovat-001"</t>
  </si>
  <si>
    <t xml:space="preserve">"degradovat-001"</t>
  </si>
  <si>
    <t xml:space="preserve">Authority(ARG0/4), Protagonist(ARG1/5), State_final(ARG2/2), State_initial(ARG3/1)</t>
  </si>
  <si>
    <t xml:space="preserve">ACT-&gt;Authority(ARG0/4)</t>
  </si>
  <si>
    <t xml:space="preserve">PAT-&gt;Protagonist</t>
  </si>
  <si>
    <t xml:space="preserve">PAT-&gt;Protagonist(ARG1/5)</t>
  </si>
  <si>
    <t xml:space="preserve">ORIG-&gt;ARG3/1</t>
  </si>
  <si>
    <t xml:space="preserve">ORIG-&gt;State_initial(ARG3/1)</t>
  </si>
  <si>
    <t xml:space="preserve">EFF-&gt;ARG2/2</t>
  </si>
  <si>
    <t xml:space="preserve">EFF-&gt;State_final(ARG2/2)</t>
  </si>
  <si>
    <t xml:space="preserve">"deklarovat-001"</t>
  </si>
  <si>
    <t xml:space="preserve">EFF: za+4; 4[{jako,jakožto}:/AuxY]; .a4[{jako,jakožto}:/AuxY]; za-1[.a4]</t>
  </si>
  <si>
    <t xml:space="preserve">"deklarovat-002"</t>
  </si>
  <si>
    <t xml:space="preserve">"dekontaminovat-001"</t>
  </si>
  <si>
    <t xml:space="preserve">Cause(ARG0/5), Affected(ARG1/5)</t>
  </si>
  <si>
    <t xml:space="preserve">ACT-&gt;Cause(ARG0/5)</t>
  </si>
  <si>
    <t xml:space="preserve">PAT-&gt;Affected(ARG1/5)</t>
  </si>
  <si>
    <t xml:space="preserve">"delegovat-001"</t>
  </si>
  <si>
    <t xml:space="preserve">Agent(ARG0/82), Assignment(ARG1/118), Impactee(ARG2/71)</t>
  </si>
  <si>
    <t xml:space="preserve">Distributor(ARG0/15,ARG1/1), Distributed(ARG1/38), Recipient(ARG2/14)</t>
  </si>
  <si>
    <t xml:space="preserve">Giver(ARG0/83), Given(ARG1/135,ARG2/2), Recipient(ARG1/7,ARG2/127)</t>
  </si>
  <si>
    <t xml:space="preserve">ACT-&gt;ARG0/180,ARG1/1</t>
  </si>
  <si>
    <t xml:space="preserve">ACT-&gt;Agent(ARG0/82)</t>
  </si>
  <si>
    <t xml:space="preserve">ACT-&gt;Distributor</t>
  </si>
  <si>
    <t xml:space="preserve">ACT-&gt;Distributor(ARG0/15,ARG1/1)</t>
  </si>
  <si>
    <t xml:space="preserve">ACT-&gt;Giver</t>
  </si>
  <si>
    <t xml:space="preserve">ACT-&gt;Giver(ARG0/83)</t>
  </si>
  <si>
    <t xml:space="preserve">PAT-&gt;ARG1/291,ARG2/2</t>
  </si>
  <si>
    <t xml:space="preserve">PAT-&gt;Assignment</t>
  </si>
  <si>
    <t xml:space="preserve">PAT-&gt;Assignment(ARG1/118)</t>
  </si>
  <si>
    <t xml:space="preserve">PAT-&gt;Distributed</t>
  </si>
  <si>
    <t xml:space="preserve">PAT-&gt;Distributed(ARG1/38)</t>
  </si>
  <si>
    <t xml:space="preserve">PAT-&gt;Given</t>
  </si>
  <si>
    <t xml:space="preserve">PAT-&gt;Given(ARG1/135,ARG2/2)</t>
  </si>
  <si>
    <t xml:space="preserve">ADDR-&gt;ARG1/7,ARG2/212</t>
  </si>
  <si>
    <t xml:space="preserve">ADDR-&gt;Impactee(ARG2/71)</t>
  </si>
  <si>
    <t xml:space="preserve">ADDR-&gt;Recipient(ARG2/14)</t>
  </si>
  <si>
    <t xml:space="preserve">ADDR-&gt;Recipient(ARG1/7,ARG2/127)</t>
  </si>
  <si>
    <t xml:space="preserve">"delegovat-002"</t>
  </si>
  <si>
    <t xml:space="preserve">"dementovat-001"</t>
  </si>
  <si>
    <t xml:space="preserve">"demilitarizovat-001"</t>
  </si>
  <si>
    <t xml:space="preserve">"demobilizovat-001"</t>
  </si>
  <si>
    <t xml:space="preserve">"demobilizovat-002"</t>
  </si>
  <si>
    <t xml:space="preserve">"demokratizovat-001"</t>
  </si>
  <si>
    <t xml:space="preserve">"demolovat-001"</t>
  </si>
  <si>
    <t xml:space="preserve">Destroyer(ARG0/85,ARG2/6), Destroyed(ARG1/179)</t>
  </si>
  <si>
    <t xml:space="preserve">ACT-&gt;ARG0/85,ARG2/6</t>
  </si>
  <si>
    <t xml:space="preserve">ACT-&gt;Destroyer</t>
  </si>
  <si>
    <t xml:space="preserve">ACT-&gt;Destroyer(ARG0/85,ARG2/6)</t>
  </si>
  <si>
    <t xml:space="preserve">PAT-&gt;ARG1/179</t>
  </si>
  <si>
    <t xml:space="preserve">PAT-&gt;Destroyed</t>
  </si>
  <si>
    <t xml:space="preserve">PAT-&gt;Destroyed(ARG1/179)</t>
  </si>
  <si>
    <t xml:space="preserve">"demonstrovat-001"</t>
  </si>
  <si>
    <t xml:space="preserve">Protagonist(ARG0/114,ARG1/1), Phenomenon(ARG1/149), Audience_Addressee(ARG2/14)</t>
  </si>
  <si>
    <t xml:space="preserve">ACT-&gt;ARG0/114,ARG1/1</t>
  </si>
  <si>
    <t xml:space="preserve">ACT-&gt;Protagonist(ARG0/114,ARG1/1)</t>
  </si>
  <si>
    <t xml:space="preserve">PAT: 4; ↓že; ↓aby; ↓ať; ↓zda; ↓jak-2; ↓c</t>
  </si>
  <si>
    <t xml:space="preserve">PAT-&gt;ARG1/149</t>
  </si>
  <si>
    <t xml:space="preserve">PAT-&gt;Phenomenon(ARG1/149)</t>
  </si>
  <si>
    <t xml:space="preserve">ADDR-&gt;ARG2/14</t>
  </si>
  <si>
    <t xml:space="preserve">ADDR-&gt;Audience_Addressee(ARG2/14)</t>
  </si>
  <si>
    <t xml:space="preserve">"demonstrovat-002"</t>
  </si>
  <si>
    <t xml:space="preserve">Activist(ARG0/2,ARG1/3), Goal(ARG2/1)</t>
  </si>
  <si>
    <t xml:space="preserve">ACT-&gt;ARG0/2,ARG1/3</t>
  </si>
  <si>
    <t xml:space="preserve">ACT-&gt;Activist</t>
  </si>
  <si>
    <t xml:space="preserve">ACT-&gt;Activist(ARG0/2,ARG1/3)</t>
  </si>
  <si>
    <t xml:space="preserve">?PAT: proti+3</t>
  </si>
  <si>
    <t xml:space="preserve">PAT-&gt;ARG2/1</t>
  </si>
  <si>
    <t xml:space="preserve">PAT-&gt;Goal(ARG2/1)</t>
  </si>
  <si>
    <t xml:space="preserve">"demontovat-001"</t>
  </si>
  <si>
    <t xml:space="preserve">"demoralizovat-001"</t>
  </si>
  <si>
    <t xml:space="preserve">"denominovat-001"</t>
  </si>
  <si>
    <t xml:space="preserve">"deponovat-001"</t>
  </si>
  <si>
    <t xml:space="preserve">"deponovat-002"</t>
  </si>
  <si>
    <t xml:space="preserve">"deportovat-001"</t>
  </si>
  <si>
    <t xml:space="preserve">Agent(ARG0/80), Undesirable(ARG1/184,ARG2/1), Place(ARG1/3,ARG2/14)</t>
  </si>
  <si>
    <t xml:space="preserve">ACT-&gt;ARG0/80</t>
  </si>
  <si>
    <t xml:space="preserve">ACT-&gt;Agent(ARG0/80)</t>
  </si>
  <si>
    <t xml:space="preserve">PAT-&gt;ARG1/184,ARG2/1</t>
  </si>
  <si>
    <t xml:space="preserve">PAT-&gt;Undesirable(ARG1/184,ARG2/1)</t>
  </si>
  <si>
    <t xml:space="preserve">DIR1-&gt;ARG1/3,ARG2/14</t>
  </si>
  <si>
    <t xml:space="preserve">DIR1-&gt;Place</t>
  </si>
  <si>
    <t xml:space="preserve">DIR1-&gt;Place(ARG1/3,ARG2/14)</t>
  </si>
  <si>
    <t xml:space="preserve">"deprimovat-001"</t>
  </si>
  <si>
    <t xml:space="preserve">Stimulus(ARG0/27), Experiencer(ARG1/32)</t>
  </si>
  <si>
    <t xml:space="preserve">ACT-&gt;Stimulus(ARG0/27)</t>
  </si>
  <si>
    <t xml:space="preserve">PAT-&gt;ARG1/32</t>
  </si>
  <si>
    <t xml:space="preserve">PAT-&gt;Experiencer</t>
  </si>
  <si>
    <t xml:space="preserve">PAT-&gt;Experiencer(ARG1/32)</t>
  </si>
  <si>
    <t xml:space="preserve">"deptat-001"</t>
  </si>
  <si>
    <t xml:space="preserve">"desinfikovat-001"</t>
  </si>
  <si>
    <t xml:space="preserve">"destabilizovat-001"</t>
  </si>
  <si>
    <t xml:space="preserve">Cause(ARG0/2), Affected(ARG1/3)</t>
  </si>
  <si>
    <t xml:space="preserve">"detekovat-001"</t>
  </si>
  <si>
    <t xml:space="preserve">"determinovat-001"</t>
  </si>
  <si>
    <t xml:space="preserve">"devalvovat-001"</t>
  </si>
  <si>
    <t xml:space="preserve">Authority(ARG0/4), Affected(ARG1/6)</t>
  </si>
  <si>
    <t xml:space="preserve">PAT-&gt;ARG1/6</t>
  </si>
  <si>
    <t xml:space="preserve">PAT-&gt;Affected(ARG1/6)</t>
  </si>
  <si>
    <t xml:space="preserve">"devalvovat-002"</t>
  </si>
  <si>
    <t xml:space="preserve">"devastovat-001"</t>
  </si>
  <si>
    <t xml:space="preserve">"dezertovat-001"</t>
  </si>
  <si>
    <t xml:space="preserve">Mover(ARG0/38,ARG1/79), Area_1(ARG1/4), Area_2()</t>
  </si>
  <si>
    <t xml:space="preserve">ACT-&gt;ARG0/38,ARG1/79</t>
  </si>
  <si>
    <t xml:space="preserve">ACT-&gt;Mover(ARG0/38,ARG1/79)</t>
  </si>
  <si>
    <t xml:space="preserve">DIR1-&gt;ARG1/4</t>
  </si>
  <si>
    <t xml:space="preserve">DIR1-&gt;Area_1</t>
  </si>
  <si>
    <t xml:space="preserve">DIR1-&gt;Area_1(ARG1/4)</t>
  </si>
  <si>
    <t xml:space="preserve">"dezinterpretovat-001"</t>
  </si>
  <si>
    <t xml:space="preserve">"dešifrovat-001"</t>
  </si>
  <si>
    <t xml:space="preserve">"diagnostikovat-001"</t>
  </si>
  <si>
    <t xml:space="preserve">Cognizer(ARG0/86), Phenomenon(ARG1/141,ARG3/1)</t>
  </si>
  <si>
    <t xml:space="preserve">Detecting(ARG0/389,ARG1/4,ARG2/164), Phenomenon(ARG1/778,ARG2/7)</t>
  </si>
  <si>
    <t xml:space="preserve">ACT-&gt;ARG0/475,ARG1/4,ARG2/164</t>
  </si>
  <si>
    <t xml:space="preserve">ACT-&gt;Cognizer(ARG0/86)</t>
  </si>
  <si>
    <t xml:space="preserve">ACT-&gt;Detecting</t>
  </si>
  <si>
    <t xml:space="preserve">ACT-&gt;Detecting(ARG0/389,ARG1/4,ARG2/164)</t>
  </si>
  <si>
    <t xml:space="preserve">PAT-&gt;ARG1/919,ARG2/7,ARG3/1</t>
  </si>
  <si>
    <t xml:space="preserve">PAT-&gt;Phenomenon(ARG1/141,ARG3/1)</t>
  </si>
  <si>
    <t xml:space="preserve">PAT-&gt;Phenomenon(ARG1/778,ARG2/7)</t>
  </si>
  <si>
    <t xml:space="preserve">"diferencovat-001"</t>
  </si>
  <si>
    <t xml:space="preserve">PAT: 4; mezi+7</t>
  </si>
  <si>
    <t xml:space="preserve">ORIG: od+2</t>
  </si>
  <si>
    <t xml:space="preserve">"diferencovat-se-001"</t>
  </si>
  <si>
    <t xml:space="preserve">"diferencovat-se-002"</t>
  </si>
  <si>
    <t xml:space="preserve">Compared_1(ARG0/1,ARG1/51), Compared_2(ARG1/8,ARG2/11,ARG3/1)</t>
  </si>
  <si>
    <t xml:space="preserve">Distinguishing(ARG0/2), Compared_1(ARG1/18), Compared_2(ARG2/9)</t>
  </si>
  <si>
    <t xml:space="preserve">ACT-&gt;ARG0/3,ARG1/69</t>
  </si>
  <si>
    <t xml:space="preserve">ACT-&gt;Compared_1</t>
  </si>
  <si>
    <t xml:space="preserve">ACT-&gt;Compared_1(ARG0/1,ARG1/51)</t>
  </si>
  <si>
    <t xml:space="preserve">ACT-&gt;Compared_1; ACT-&gt;Distinguishing</t>
  </si>
  <si>
    <t xml:space="preserve">ACT-&gt;Compared_1(ARG1/18); ACT-&gt;Distinguishing(ARG0/2)</t>
  </si>
  <si>
    <t xml:space="preserve">PAT-&gt;ARG1/8,ARG2/20,ARG3/1</t>
  </si>
  <si>
    <t xml:space="preserve">PAT-&gt;Compared_2</t>
  </si>
  <si>
    <t xml:space="preserve">PAT-&gt;Compared_2(ARG1/8,ARG2/11,ARG3/1)</t>
  </si>
  <si>
    <t xml:space="preserve">PAT-&gt;Compared_2(ARG2/9)</t>
  </si>
  <si>
    <t xml:space="preserve">"diferencovat-se-003"</t>
  </si>
  <si>
    <t xml:space="preserve">"diktovat-001"</t>
  </si>
  <si>
    <t xml:space="preserve">Authority(ARG0/72), Ordered(ARG1/34,ARG2/94), Impactee(ARG1/77,ARG2/1)</t>
  </si>
  <si>
    <t xml:space="preserve">ACT-&gt;Authority(ARG0/72)</t>
  </si>
  <si>
    <t xml:space="preserve">PAT: 4; .f; ↓že; ↓aby; ↓ať; ↓c</t>
  </si>
  <si>
    <t xml:space="preserve">PAT-&gt;ARG1/34,ARG2/94</t>
  </si>
  <si>
    <t xml:space="preserve">PAT-&gt;Ordered</t>
  </si>
  <si>
    <t xml:space="preserve">PAT-&gt;Ordered(ARG1/34,ARG2/94)</t>
  </si>
  <si>
    <t xml:space="preserve">ADDR-&gt;ARG1/77,ARG2/1</t>
  </si>
  <si>
    <t xml:space="preserve">ADDR-&gt;Impactee(ARG1/77,ARG2/1)</t>
  </si>
  <si>
    <t xml:space="preserve">"diktovat-002"</t>
  </si>
  <si>
    <t xml:space="preserve">"dirigovat-001"</t>
  </si>
  <si>
    <t xml:space="preserve">Authority(ARG0/305), Governed(ARG1/271)</t>
  </si>
  <si>
    <t xml:space="preserve">ACT-&gt;ARG0/305</t>
  </si>
  <si>
    <t xml:space="preserve">ACT-&gt;Authority(ARG0/305)</t>
  </si>
  <si>
    <t xml:space="preserve">PAT-&gt;ARG1/271</t>
  </si>
  <si>
    <t xml:space="preserve">PAT-&gt;Governed</t>
  </si>
  <si>
    <t xml:space="preserve">PAT-&gt;Governed(ARG1/271)</t>
  </si>
  <si>
    <t xml:space="preserve">"dirigovat-002"</t>
  </si>
  <si>
    <t xml:space="preserve">"diskontovat-001"</t>
  </si>
  <si>
    <t xml:space="preserve">"diskreditovat-001"</t>
  </si>
  <si>
    <t xml:space="preserve">Protagonist(ARG0/3), Affected(ARG0/1,ARG1/9)</t>
  </si>
  <si>
    <t xml:space="preserve">PAT-&gt;ARG0/1,ARG1/9</t>
  </si>
  <si>
    <t xml:space="preserve">PAT-&gt;Affected(ARG0/1,ARG1/9)</t>
  </si>
  <si>
    <t xml:space="preserve">"diskriminovat-001"</t>
  </si>
  <si>
    <t xml:space="preserve">Abuser(ARG0/3), Abused(ARG1/2)</t>
  </si>
  <si>
    <t xml:space="preserve">ACT-&gt;Abuser</t>
  </si>
  <si>
    <t xml:space="preserve">ACT-&gt;Abuser(ARG0/3)</t>
  </si>
  <si>
    <t xml:space="preserve">PAT-&gt;Abused</t>
  </si>
  <si>
    <t xml:space="preserve">PAT-&gt;Abused(ARG1/2)</t>
  </si>
  <si>
    <t xml:space="preserve">"diskutovat-001"</t>
  </si>
  <si>
    <t xml:space="preserve">PAT: o+6; 4; ↓zda; ↓zdali; ↓jestli; na-1[téma.4]</t>
  </si>
  <si>
    <t xml:space="preserve">"diskvalifikovat-001"</t>
  </si>
  <si>
    <t xml:space="preserve">"dislokovat-001"</t>
  </si>
  <si>
    <t xml:space="preserve">"dislokovat-002"</t>
  </si>
  <si>
    <t xml:space="preserve">"disociovat-001"</t>
  </si>
  <si>
    <t xml:space="preserve">Whole(ARG0/10,ARG1/42), Component(ARG2/19)</t>
  </si>
  <si>
    <t xml:space="preserve">ACT-&gt;ARG0/10,ARG1/42</t>
  </si>
  <si>
    <t xml:space="preserve">ACT-&gt;Whole</t>
  </si>
  <si>
    <t xml:space="preserve">ACT-&gt;Whole(ARG0/10,ARG1/42)</t>
  </si>
  <si>
    <t xml:space="preserve">PAT-&gt;ARG2/19</t>
  </si>
  <si>
    <t xml:space="preserve">PAT-&gt;Component(ARG2/19)</t>
  </si>
  <si>
    <t xml:space="preserve">"disponovat-001"</t>
  </si>
  <si>
    <t xml:space="preserve">PAT-&gt;Entity()</t>
  </si>
  <si>
    <t xml:space="preserve">"disponovat-002"</t>
  </si>
  <si>
    <t xml:space="preserve">PAT: s+7; 7</t>
  </si>
  <si>
    <t xml:space="preserve">Governing(ARG0/90,ARG1/1), Governed(ARG1/125)</t>
  </si>
  <si>
    <t xml:space="preserve">ACT-&gt;ARG0/90,ARG1/1</t>
  </si>
  <si>
    <t xml:space="preserve">ACT-&gt;Governing</t>
  </si>
  <si>
    <t xml:space="preserve">ACT-&gt;Governing(ARG0/90,ARG1/1)</t>
  </si>
  <si>
    <t xml:space="preserve">PAT-&gt;ARG1/125</t>
  </si>
  <si>
    <t xml:space="preserve">PAT-&gt;Governed(ARG1/125)</t>
  </si>
  <si>
    <t xml:space="preserve">"distancovat-se-001"</t>
  </si>
  <si>
    <t xml:space="preserve">Ignorer(ARG0/1,ARG1/5), Ignored(ARG1/1,ARG2/5)</t>
  </si>
  <si>
    <t xml:space="preserve">ACT-&gt;ARG0/1,ARG1/5</t>
  </si>
  <si>
    <t xml:space="preserve">ACT-&gt;Ignorer</t>
  </si>
  <si>
    <t xml:space="preserve">ACT-&gt;Ignorer(ARG0/1,ARG1/5)</t>
  </si>
  <si>
    <t xml:space="preserve">PAT-&gt;ARG1/1,ARG2/5</t>
  </si>
  <si>
    <t xml:space="preserve">PAT-&gt;Ignored</t>
  </si>
  <si>
    <t xml:space="preserve">PAT-&gt;Ignored(ARG1/1,ARG2/5)</t>
  </si>
  <si>
    <t xml:space="preserve">"distribuovat-001"</t>
  </si>
  <si>
    <t xml:space="preserve">Provider(ARG0/172,ARG1/1), Provided(ARG1/356), Recipient(ARG1/1,ARG2/110)</t>
  </si>
  <si>
    <t xml:space="preserve">ACT-&gt;ARG0/172,ARG1/1</t>
  </si>
  <si>
    <t xml:space="preserve">ACT-&gt;Provider(ARG0/172,ARG1/1)</t>
  </si>
  <si>
    <t xml:space="preserve">PAT-&gt;ARG1/356</t>
  </si>
  <si>
    <t xml:space="preserve">PAT-&gt;Provided(ARG1/356)</t>
  </si>
  <si>
    <t xml:space="preserve">?ADDR: 3; mezi+4</t>
  </si>
  <si>
    <t xml:space="preserve">ADDR-&gt;ARG1/1,ARG2/110</t>
  </si>
  <si>
    <t xml:space="preserve">ADDR-&gt;Recipient(ARG1/1,ARG2/110)</t>
  </si>
  <si>
    <t xml:space="preserve">"distribuovat-002"</t>
  </si>
  <si>
    <t xml:space="preserve">"diverzifikovat-001"</t>
  </si>
  <si>
    <t xml:space="preserve">"divit-se-001"</t>
  </si>
  <si>
    <t xml:space="preserve">PAT: 3; ↓že; ↓zda; ↓jestli; ↓když; ↓kdyby; ↓c; ↓jak</t>
  </si>
  <si>
    <t xml:space="preserve">ACT-&gt;Experiencer()</t>
  </si>
  <si>
    <t xml:space="preserve">PAT-&gt;Stimulus()</t>
  </si>
  <si>
    <t xml:space="preserve">"divočet-001"</t>
  </si>
  <si>
    <t xml:space="preserve">"divočet-002"</t>
  </si>
  <si>
    <t xml:space="preserve">"dloubat-001"</t>
  </si>
  <si>
    <t xml:space="preserve">"dlužit-001"</t>
  </si>
  <si>
    <t xml:space="preserve">Recipient(ARG0/27), Provided(ARG0/1,ARG1/29), Provider(ARG1/1,ARG2/37)</t>
  </si>
  <si>
    <t xml:space="preserve">ACT-&gt;Recipient(ARG0/27)</t>
  </si>
  <si>
    <t xml:space="preserve">PAT-&gt;ARG0/1,ARG1/29</t>
  </si>
  <si>
    <t xml:space="preserve">PAT-&gt;Provided(ARG0/1,ARG1/29)</t>
  </si>
  <si>
    <t xml:space="preserve">ADDR-&gt;ARG1/1,ARG2/37</t>
  </si>
  <si>
    <t xml:space="preserve">ADDR-&gt;Provider</t>
  </si>
  <si>
    <t xml:space="preserve">ADDR-&gt;Provider(ARG1/1,ARG2/37)</t>
  </si>
  <si>
    <t xml:space="preserve">"dlužit-002"</t>
  </si>
  <si>
    <t xml:space="preserve">EXT-&gt;ARG0/1,ARG1/29</t>
  </si>
  <si>
    <t xml:space="preserve">EXT-&gt;Provided</t>
  </si>
  <si>
    <t xml:space="preserve">EXT-&gt;Provided(ARG0/1,ARG1/29)</t>
  </si>
  <si>
    <t xml:space="preserve">?PAT: za+4</t>
  </si>
  <si>
    <t xml:space="preserve">"dlužit-003"</t>
  </si>
  <si>
    <t xml:space="preserve">"dláždit-001"</t>
  </si>
  <si>
    <t xml:space="preserve">"dláždit-002"</t>
  </si>
  <si>
    <t xml:space="preserve">Authority(ARG0/5), Hindrance(ARG1/2), Goal(ARG1/1,ARG2/1)</t>
  </si>
  <si>
    <t xml:space="preserve">Agent(ARG0/3), Goal(ARG1/3,ARG2/1)</t>
  </si>
  <si>
    <t xml:space="preserve">ACT-&gt;Authority(ARG0/5)</t>
  </si>
  <si>
    <t xml:space="preserve">DPHR: cesta.S4</t>
  </si>
  <si>
    <t xml:space="preserve">DPHR-&gt;ARG1/5,ARG2/1</t>
  </si>
  <si>
    <t xml:space="preserve">DPHR[cesta]-&gt;Hindrance</t>
  </si>
  <si>
    <t xml:space="preserve">DPHR[cesta]-&gt;Hindrance(ARG1/2)</t>
  </si>
  <si>
    <t xml:space="preserve">DPHR-&gt;Goal</t>
  </si>
  <si>
    <t xml:space="preserve">DPHR-&gt;Goal(ARG1/3,ARG2/1)</t>
  </si>
  <si>
    <t xml:space="preserve">PAT-&gt;ARG1/1,ARG2/1</t>
  </si>
  <si>
    <t xml:space="preserve">PAT-&gt;Goal(ARG1/1,ARG2/1)</t>
  </si>
  <si>
    <t xml:space="preserve">"dlít-001"</t>
  </si>
  <si>
    <t xml:space="preserve">"dmout-se-001"</t>
  </si>
  <si>
    <t xml:space="preserve">Mover(ARG1/10)</t>
  </si>
  <si>
    <t xml:space="preserve">ACT-&gt;ARG1/10</t>
  </si>
  <si>
    <t xml:space="preserve">ACT-&gt;Mover(ARG1/10)</t>
  </si>
  <si>
    <t xml:space="preserve">"dobelhat-001"</t>
  </si>
  <si>
    <t xml:space="preserve">"doblekotat-se-001"</t>
  </si>
  <si>
    <t xml:space="preserve">"dobrat-001"</t>
  </si>
  <si>
    <t xml:space="preserve">"dobrat-se-001"</t>
  </si>
  <si>
    <t xml:space="preserve">PAT: 2; ↓aby</t>
  </si>
  <si>
    <t xml:space="preserve">?ORIG: na+6; od+2</t>
  </si>
  <si>
    <t xml:space="preserve">"dobrat-se-002"</t>
  </si>
  <si>
    <t xml:space="preserve">PAT: k+3; 2</t>
  </si>
  <si>
    <t xml:space="preserve">"dobudovat-001"</t>
  </si>
  <si>
    <t xml:space="preserve">"dobíjet-001"</t>
  </si>
  <si>
    <t xml:space="preserve">DPHR: baterky</t>
  </si>
  <si>
    <t xml:space="preserve">"dobírat-si-001"</t>
  </si>
  <si>
    <t xml:space="preserve">"dobít-001"</t>
  </si>
  <si>
    <t xml:space="preserve">"dobýt-001"</t>
  </si>
  <si>
    <t xml:space="preserve">Authority(ARG0/62,ARG1/1), Occupied(ARG1/94)</t>
  </si>
  <si>
    <t xml:space="preserve">Winner(ARG0/57), Acquired(ARG1/74), Competitor(ARG1/1,ARG2/1,ARG3/6)</t>
  </si>
  <si>
    <t xml:space="preserve">ACT-&gt;Authority(ARG0/62,ARG1/1)</t>
  </si>
  <si>
    <t xml:space="preserve">ACT-&gt;Winner</t>
  </si>
  <si>
    <t xml:space="preserve">ACT-&gt;Winner(ARG0/57)</t>
  </si>
  <si>
    <t xml:space="preserve">PAT-&gt;ARG1/168</t>
  </si>
  <si>
    <t xml:space="preserve">PAT-&gt;Occupied</t>
  </si>
  <si>
    <t xml:space="preserve">PAT-&gt;Occupied(ARG1/94)</t>
  </si>
  <si>
    <t xml:space="preserve">PAT-&gt;Acquired</t>
  </si>
  <si>
    <t xml:space="preserve">PAT-&gt;Acquired(ARG1/74)</t>
  </si>
  <si>
    <t xml:space="preserve">"dobývat-001"</t>
  </si>
  <si>
    <t xml:space="preserve">ACT-&gt;ARG0/62,ARG1/1</t>
  </si>
  <si>
    <t xml:space="preserve">PAT-&gt;ARG1/94</t>
  </si>
  <si>
    <t xml:space="preserve">"dobývat-se-001"</t>
  </si>
  <si>
    <t xml:space="preserve">"doběhnout-001"</t>
  </si>
  <si>
    <t xml:space="preserve">"doběhnout-002"</t>
  </si>
  <si>
    <t xml:space="preserve">PAT: pro+4</t>
  </si>
  <si>
    <t xml:space="preserve">"doběhnout-003"</t>
  </si>
  <si>
    <t xml:space="preserve">"doběhnout-004"</t>
  </si>
  <si>
    <t xml:space="preserve">Finished(ARG0/13,ARG1/168)</t>
  </si>
  <si>
    <t xml:space="preserve">ACT-&gt;ARG0/22,ARG1/342</t>
  </si>
  <si>
    <t xml:space="preserve">ACT-&gt;Finished(ARG0/13,ARG1/168)</t>
  </si>
  <si>
    <t xml:space="preserve">"docenit-001"</t>
  </si>
  <si>
    <t xml:space="preserve">PAT: 4; ↓že; ↓když; ↓c</t>
  </si>
  <si>
    <t xml:space="preserve">"doceňovat-001"</t>
  </si>
  <si>
    <t xml:space="preserve">PAT: 4; ↓že; ↓když</t>
  </si>
  <si>
    <t xml:space="preserve">"dochodit-001"</t>
  </si>
  <si>
    <t xml:space="preserve">"dochovat-001"</t>
  </si>
  <si>
    <t xml:space="preserve">"dochovat-se-001"</t>
  </si>
  <si>
    <t xml:space="preserve">"dochytat-001"</t>
  </si>
  <si>
    <t xml:space="preserve">"docházet-001"</t>
  </si>
  <si>
    <t xml:space="preserve">"docházet-002"</t>
  </si>
  <si>
    <t xml:space="preserve">Cognizer(ARG0/139), Conclusion(ARG1/179)</t>
  </si>
  <si>
    <t xml:space="preserve">ACT-&gt;ARG0/139</t>
  </si>
  <si>
    <t xml:space="preserve">ACT-&gt;Cognizer(ARG0/139)</t>
  </si>
  <si>
    <t xml:space="preserve">PAT-&gt;Conclusion</t>
  </si>
  <si>
    <t xml:space="preserve">PAT-&gt;Conclusion(ARG1/179)</t>
  </si>
  <si>
    <t xml:space="preserve">"docházet-003"</t>
  </si>
  <si>
    <t xml:space="preserve">PAT: 1; ↓že; ↓zda; ↓jestli; ↓jak-2</t>
  </si>
  <si>
    <t xml:space="preserve">"docházet-004"</t>
  </si>
  <si>
    <t xml:space="preserve">Protagonist(ARG0/139,ARG1/258), Place(ARG1/135)</t>
  </si>
  <si>
    <t xml:space="preserve">ACT-&gt;ARG0/139,ARG1/258</t>
  </si>
  <si>
    <t xml:space="preserve">ACT-&gt;Protagonist(ARG0/139,ARG1/258)</t>
  </si>
  <si>
    <t xml:space="preserve">DIR3-&gt;ARG1/135</t>
  </si>
  <si>
    <t xml:space="preserve">DIR3-&gt;Place(ARG1/135)</t>
  </si>
  <si>
    <t xml:space="preserve">"docházet-005"</t>
  </si>
  <si>
    <t xml:space="preserve">"docházet-006"</t>
  </si>
  <si>
    <t xml:space="preserve">Resource(ARG1/10)</t>
  </si>
  <si>
    <t xml:space="preserve">ACT-&gt;Resource</t>
  </si>
  <si>
    <t xml:space="preserve">ACT-&gt;Resource(ARG1/10)</t>
  </si>
  <si>
    <t xml:space="preserve">"docházet-007"</t>
  </si>
  <si>
    <t xml:space="preserve">"docházet-008"</t>
  </si>
  <si>
    <t xml:space="preserve">Explosive(ARG1/19)</t>
  </si>
  <si>
    <t xml:space="preserve">ACT: k+3</t>
  </si>
  <si>
    <t xml:space="preserve">ACT-&gt;ARG1/19</t>
  </si>
  <si>
    <t xml:space="preserve">ACT-&gt;Explosive</t>
  </si>
  <si>
    <t xml:space="preserve">ACT-&gt;Explosive(ARG1/19)</t>
  </si>
  <si>
    <t xml:space="preserve">"docházet-009"</t>
  </si>
  <si>
    <t xml:space="preserve">"docilovat-001"</t>
  </si>
  <si>
    <t xml:space="preserve">Protagonist(ARG0/319,ARG1/6), Achievement(ARG1/509)</t>
  </si>
  <si>
    <t xml:space="preserve">ACT-&gt;ARG0/319,ARG1/6</t>
  </si>
  <si>
    <t xml:space="preserve">ACT-&gt;Protagonist(ARG0/319,ARG1/6)</t>
  </si>
  <si>
    <t xml:space="preserve">PAT-&gt;ARG1/509</t>
  </si>
  <si>
    <t xml:space="preserve">PAT-&gt;Achievement(ARG1/509)</t>
  </si>
  <si>
    <t xml:space="preserve">"docvičit-001"</t>
  </si>
  <si>
    <t xml:space="preserve">"docílit-001"</t>
  </si>
  <si>
    <t xml:space="preserve">Recipient(ARG0/1056,ARG1/10), Acquired(ARG1/1524,ARG2/2,ARG4/1), Source(ARG1/10,ARG2/174,ARG3/5)</t>
  </si>
  <si>
    <t xml:space="preserve">ACT-&gt;ARG0/1056,ARG1/10</t>
  </si>
  <si>
    <t xml:space="preserve">ACT-&gt;Recipient(ARG0/1056,ARG1/10)</t>
  </si>
  <si>
    <t xml:space="preserve">PAT: 2; 4; ↓aby</t>
  </si>
  <si>
    <t xml:space="preserve">PAT-&gt;ARG1/1524,ARG2/2,ARG4/1</t>
  </si>
  <si>
    <t xml:space="preserve">PAT-&gt;Acquired(ARG1/1524,ARG2/2,ARG4/1)</t>
  </si>
  <si>
    <t xml:space="preserve">ORIG-&gt;ARG1/10,ARG2/174,ARG3/5</t>
  </si>
  <si>
    <t xml:space="preserve">ORIG-&gt;Source</t>
  </si>
  <si>
    <t xml:space="preserve">ORIG-&gt;Source(ARG1/10,ARG2/174,ARG3/5)</t>
  </si>
  <si>
    <t xml:space="preserve">"docílit-002"</t>
  </si>
  <si>
    <t xml:space="preserve">"docílit-003"</t>
  </si>
  <si>
    <t xml:space="preserve">DPHR: svůj-1.2</t>
  </si>
  <si>
    <t xml:space="preserve">DPHR-&gt;ARG1/509</t>
  </si>
  <si>
    <t xml:space="preserve">DPHR[svého]-&gt;Achievement</t>
  </si>
  <si>
    <t xml:space="preserve">DPHR[svého]-&gt;Achievement(ARG1/509)</t>
  </si>
  <si>
    <t xml:space="preserve">"dodanit-001"</t>
  </si>
  <si>
    <t xml:space="preserve">"dodat-001"</t>
  </si>
  <si>
    <t xml:space="preserve">Provider(ARG0/1,ARG1/3), Provided(ARG1/1,ARG2/2), Recipient()</t>
  </si>
  <si>
    <t xml:space="preserve">ACT-&gt;ARG0/1,ARG1/3</t>
  </si>
  <si>
    <t xml:space="preserve">ACT-&gt;Provider(ARG0/1,ARG1/3)</t>
  </si>
  <si>
    <t xml:space="preserve">PAT: 4; 2; na+6</t>
  </si>
  <si>
    <t xml:space="preserve">PAT-&gt;ARG1/1,ARG2/2</t>
  </si>
  <si>
    <t xml:space="preserve">PAT-&gt;Provided(ARG1/1,ARG2/2)</t>
  </si>
  <si>
    <t xml:space="preserve">"dodat-002"</t>
  </si>
  <si>
    <t xml:space="preserve">Transporter(ARG0/117), Transported(ARG0/1,ARG1/219,ARG2/1), Recipient(ARG2/8)</t>
  </si>
  <si>
    <t xml:space="preserve">Agent(ARG0/303), Given(ARG1/425,ARG2/2), Recipient(ARG1/6,ARG2/355,ARG4/2)</t>
  </si>
  <si>
    <t xml:space="preserve">ACT-&gt;ARG0/420</t>
  </si>
  <si>
    <t xml:space="preserve">ACT-&gt;Transporter</t>
  </si>
  <si>
    <t xml:space="preserve">ACT-&gt;Transporter(ARG0/117)</t>
  </si>
  <si>
    <t xml:space="preserve">ACT-&gt;Agent(ARG0/303)</t>
  </si>
  <si>
    <t xml:space="preserve">PAT-&gt;ARG0/1,ARG1/644,ARG2/3</t>
  </si>
  <si>
    <t xml:space="preserve">PAT-&gt;Transported</t>
  </si>
  <si>
    <t xml:space="preserve">PAT-&gt;Transported(ARG0/1,ARG1/219,ARG2/1)</t>
  </si>
  <si>
    <t xml:space="preserve">PAT-&gt;Given(ARG1/425,ARG2/2)</t>
  </si>
  <si>
    <t xml:space="preserve">ADDR-&gt;ARG1/6,ARG2/363,ARG4/2</t>
  </si>
  <si>
    <t xml:space="preserve">ADDR-&gt;Recipient(ARG2/8)</t>
  </si>
  <si>
    <t xml:space="preserve">ADDR-&gt;Recipient(ARG1/6,ARG2/355,ARG4/2)</t>
  </si>
  <si>
    <t xml:space="preserve">"dodat-003"</t>
  </si>
  <si>
    <t xml:space="preserve">EFF: na+4</t>
  </si>
  <si>
    <t xml:space="preserve">"dodat-004"</t>
  </si>
  <si>
    <t xml:space="preserve">ACT-&gt;ARG0/117</t>
  </si>
  <si>
    <t xml:space="preserve">PAT-&gt;ARG0/1,ARG1/219,ARG2/1</t>
  </si>
  <si>
    <t xml:space="preserve">DIR3-&gt;ARG2/8</t>
  </si>
  <si>
    <t xml:space="preserve">DIR3-&gt;Recipient</t>
  </si>
  <si>
    <t xml:space="preserve">DIR3-&gt;Recipient(ARG2/8)</t>
  </si>
  <si>
    <t xml:space="preserve">"dodat-005"</t>
  </si>
  <si>
    <t xml:space="preserve">EFF: 4; ↓že; ↓aby; ↓zda; ↓jestli; ↓c; .s</t>
  </si>
  <si>
    <t xml:space="preserve">EFF-&gt;ARG0/5,ARG1/12570,ARG2/25,ARG3/29</t>
  </si>
  <si>
    <t xml:space="preserve">EFF-&gt;Information</t>
  </si>
  <si>
    <t xml:space="preserve">EFF-&gt;Information(ARG0/5,ARG1/12570,ARG2/25,ARG3/29)</t>
  </si>
  <si>
    <t xml:space="preserve">?PAT: k+3</t>
  </si>
  <si>
    <t xml:space="preserve">"dodržet-001"</t>
  </si>
  <si>
    <t xml:space="preserve">Protagonist(ARG0/43,ARG1/17), Item_standard(ARG1/87,ARG2/20)</t>
  </si>
  <si>
    <t xml:space="preserve">ACT-&gt;ARG0/43,ARG1/17</t>
  </si>
  <si>
    <t xml:space="preserve">ACT-&gt;Protagonist(ARG0/43,ARG1/17)</t>
  </si>
  <si>
    <t xml:space="preserve">PAT-&gt;ARG1/87,ARG2/20</t>
  </si>
  <si>
    <t xml:space="preserve">PAT-&gt;Item_standard</t>
  </si>
  <si>
    <t xml:space="preserve">PAT-&gt;Item_standard(ARG1/87,ARG2/20)</t>
  </si>
  <si>
    <t xml:space="preserve">"dodržovat-001"</t>
  </si>
  <si>
    <t xml:space="preserve">"dodržovat-002"</t>
  </si>
  <si>
    <t xml:space="preserve">"dodržovávat-001"</t>
  </si>
  <si>
    <t xml:space="preserve">"dodávat-001"</t>
  </si>
  <si>
    <t xml:space="preserve">"dodávat-002"</t>
  </si>
  <si>
    <t xml:space="preserve">"dodávat-003"</t>
  </si>
  <si>
    <t xml:space="preserve">"dodávat-004"</t>
  </si>
  <si>
    <t xml:space="preserve">"dodělat-001"</t>
  </si>
  <si>
    <t xml:space="preserve">"dodělat-se-001"</t>
  </si>
  <si>
    <t xml:space="preserve">"dodělávat-001"</t>
  </si>
  <si>
    <t xml:space="preserve">"dodělávat-002"</t>
  </si>
  <si>
    <t xml:space="preserve">"dofinišovat-001"</t>
  </si>
  <si>
    <t xml:space="preserve">"dohadovat-001"</t>
  </si>
  <si>
    <t xml:space="preserve">ACT-&gt;ARG0/92</t>
  </si>
  <si>
    <t xml:space="preserve">ACT-&gt;Participant_1</t>
  </si>
  <si>
    <t xml:space="preserve">ACT-&gt;Participant_1(ARG0/92)</t>
  </si>
  <si>
    <t xml:space="preserve">PAT: 4; ↓že; ↓aby; ↓c; ↓ať</t>
  </si>
  <si>
    <t xml:space="preserve">PAT-&gt;ARG1/12,ARG2/64</t>
  </si>
  <si>
    <t xml:space="preserve">PAT-&gt;Topic(ARG1/12,ARG2/64)</t>
  </si>
  <si>
    <t xml:space="preserve">ADDR-&gt;ARG1/106,ARG2/3</t>
  </si>
  <si>
    <t xml:space="preserve">ADDR-&gt;Participant_2</t>
  </si>
  <si>
    <t xml:space="preserve">ADDR-&gt;Participant_2(ARG1/106,ARG2/3)</t>
  </si>
  <si>
    <t xml:space="preserve">"dohadovat-se-001"</t>
  </si>
  <si>
    <t xml:space="preserve">Arguer_1(ARG0/11), Issue(ARG1/7,ARG2/1), Arguer_2()</t>
  </si>
  <si>
    <t xml:space="preserve">ACT-&gt;Arguer_1</t>
  </si>
  <si>
    <t xml:space="preserve">ACT-&gt;Arguer_1(ARG0/11)</t>
  </si>
  <si>
    <t xml:space="preserve">PAT: o+6; na+6; ↓že; ↓zda; ↓jestli; ↓c; ↓aby; .s</t>
  </si>
  <si>
    <t xml:space="preserve">PAT-&gt;ARG1/7,ARG2/1</t>
  </si>
  <si>
    <t xml:space="preserve">PAT-&gt;Issue(ARG1/7,ARG2/1)</t>
  </si>
  <si>
    <t xml:space="preserve">ADDR-&gt;Arguer_2</t>
  </si>
  <si>
    <t xml:space="preserve">ADDR-&gt;Arguer_2()</t>
  </si>
  <si>
    <t xml:space="preserve">"dohasit-001"</t>
  </si>
  <si>
    <t xml:space="preserve">"dohasnout-001"</t>
  </si>
  <si>
    <t xml:space="preserve">"dohledávat-001"</t>
  </si>
  <si>
    <t xml:space="preserve">Seeker(ARG0/352,ARG2/1), Sought(ARG1/489,ARG2/5)</t>
  </si>
  <si>
    <t xml:space="preserve">ACT-&gt;ARG0/352,ARG2/1</t>
  </si>
  <si>
    <t xml:space="preserve">ACT-&gt;Seeker</t>
  </si>
  <si>
    <t xml:space="preserve">ACT-&gt;Seeker(ARG0/352,ARG2/1)</t>
  </si>
  <si>
    <t xml:space="preserve">PAT: 4; ↓jestli; ↓zda; ↓c</t>
  </si>
  <si>
    <t xml:space="preserve">PAT-&gt;ARG1/489,ARG2/5</t>
  </si>
  <si>
    <t xml:space="preserve">PAT-&gt;Sought</t>
  </si>
  <si>
    <t xml:space="preserve">PAT-&gt;Sought(ARG1/489,ARG2/5)</t>
  </si>
  <si>
    <t xml:space="preserve">"dohlédnout-001"</t>
  </si>
  <si>
    <t xml:space="preserve">Authority(ARG0/138), Governed(ARG1/154,ARG2/5)</t>
  </si>
  <si>
    <t xml:space="preserve">ACT-&gt;ARG0/138</t>
  </si>
  <si>
    <t xml:space="preserve">ACT-&gt;Authority(ARG0/138)</t>
  </si>
  <si>
    <t xml:space="preserve">PAT: na+4; ↓aby; ↓zda; ↓jestli; ↓ať; ↓c</t>
  </si>
  <si>
    <t xml:space="preserve">PAT-&gt;ARG1/154,ARG2/5</t>
  </si>
  <si>
    <t xml:space="preserve">PAT-&gt;Governed(ARG1/154,ARG2/5)</t>
  </si>
  <si>
    <t xml:space="preserve">"dohlédnout-002"</t>
  </si>
  <si>
    <t xml:space="preserve">"dohlídnout-001"</t>
  </si>
  <si>
    <t xml:space="preserve">"dohlížet-001"</t>
  </si>
  <si>
    <t xml:space="preserve">PAT: na+4; nad+7; ↓aby; ↓zda; ↓jestli; ↓ať; ↓c</t>
  </si>
  <si>
    <t xml:space="preserve">"dohnat-001"</t>
  </si>
  <si>
    <t xml:space="preserve">Cause(ARG0/87), State_final(ARG1/18,ARG2/30,ARG3/46), Affected(ARG1/129)</t>
  </si>
  <si>
    <t xml:space="preserve">ACT-&gt;ARG0/87</t>
  </si>
  <si>
    <t xml:space="preserve">ACT-&gt;Cause(ARG0/87)</t>
  </si>
  <si>
    <t xml:space="preserve">PAT-&gt;ARG1/18,ARG2/30,ARG3/46</t>
  </si>
  <si>
    <t xml:space="preserve">PAT-&gt;State_final(ARG1/18,ARG2/30,ARG3/46)</t>
  </si>
  <si>
    <t xml:space="preserve">ADDR-&gt;ARG1/129</t>
  </si>
  <si>
    <t xml:space="preserve">ADDR-&gt;Affected</t>
  </si>
  <si>
    <t xml:space="preserve">ADDR-&gt;Affected(ARG1/129)</t>
  </si>
  <si>
    <t xml:space="preserve">"dohnat-002"</t>
  </si>
  <si>
    <t xml:space="preserve">Pursuer(ARG1/4), Goal(ARG2/7)</t>
  </si>
  <si>
    <t xml:space="preserve">ACT-&gt;Pursuer</t>
  </si>
  <si>
    <t xml:space="preserve">ACT-&gt;Pursuer(ARG1/4)</t>
  </si>
  <si>
    <t xml:space="preserve">PAT-&gt;ARG2/7</t>
  </si>
  <si>
    <t xml:space="preserve">PAT-&gt;Goal(ARG2/7)</t>
  </si>
  <si>
    <t xml:space="preserve">"dohnat-003"</t>
  </si>
  <si>
    <t xml:space="preserve">"dohnat-004"</t>
  </si>
  <si>
    <t xml:space="preserve">"dohnat-005"</t>
  </si>
  <si>
    <t xml:space="preserve">"dohodit-001"</t>
  </si>
  <si>
    <t xml:space="preserve">PAT: 4; 7</t>
  </si>
  <si>
    <t xml:space="preserve">"dohodit-002"</t>
  </si>
  <si>
    <t xml:space="preserve">DPHR: co-1:1,být:$1&lt;V&gt;$2&lt;c&gt;$4&lt;-&gt;$8&lt;-&gt;,kámen.S7</t>
  </si>
  <si>
    <t xml:space="preserve">"dohodit-003"</t>
  </si>
  <si>
    <t xml:space="preserve">"dohodnout-001"</t>
  </si>
  <si>
    <t xml:space="preserve">ADDR-&gt;ARG2/2</t>
  </si>
  <si>
    <t xml:space="preserve">ADDR-&gt;Protagonist</t>
  </si>
  <si>
    <t xml:space="preserve">ADDR-&gt;Protagonist(ARG2/2)</t>
  </si>
  <si>
    <t xml:space="preserve">"dohodnout-se-001"</t>
  </si>
  <si>
    <t xml:space="preserve">Arguer_1(ARG0/144), Arguer_2(ARG1/4,ARG2/2), Issue(ARG0/1,ARG1/210,ARG2/8)</t>
  </si>
  <si>
    <t xml:space="preserve">ACT-&gt;ARG0/236</t>
  </si>
  <si>
    <t xml:space="preserve">ACT-&gt;Arguer_1(ARG0/144)</t>
  </si>
  <si>
    <t xml:space="preserve">PAT: o+6; na+6; ↓že; ↓zda; ↓jestli; ↓c; ↓aby; .f; .s</t>
  </si>
  <si>
    <t xml:space="preserve">PAT-&gt;ARG0/1,ARG1/222,ARG2/72</t>
  </si>
  <si>
    <t xml:space="preserve">PAT-&gt;Issue(ARG0/1,ARG1/210,ARG2/8)</t>
  </si>
  <si>
    <t xml:space="preserve">ADDR: s+7; mezi-1[.P7]; mezi+7,mezi+7</t>
  </si>
  <si>
    <t xml:space="preserve">ADDR-&gt;ARG1/110,ARG2/5</t>
  </si>
  <si>
    <t xml:space="preserve">ADDR-&gt;Arguer_2(ARG1/4,ARG2/2)</t>
  </si>
  <si>
    <t xml:space="preserve">"dohonit-001"</t>
  </si>
  <si>
    <t xml:space="preserve">"dohonit-002"</t>
  </si>
  <si>
    <t xml:space="preserve">"dohonit-003"</t>
  </si>
  <si>
    <t xml:space="preserve">"dohrát-001"</t>
  </si>
  <si>
    <t xml:space="preserve">Performer(), Music()</t>
  </si>
  <si>
    <t xml:space="preserve">ACT-&gt;Performer()</t>
  </si>
  <si>
    <t xml:space="preserve">PAT-&gt;Music</t>
  </si>
  <si>
    <t xml:space="preserve">PAT-&gt;Music()</t>
  </si>
  <si>
    <t xml:space="preserve">"dohrávat-001"</t>
  </si>
  <si>
    <t xml:space="preserve">"dohánět-001"</t>
  </si>
  <si>
    <t xml:space="preserve">"dohánět-002"</t>
  </si>
  <si>
    <t xml:space="preserve">"dojednat-001"</t>
  </si>
  <si>
    <t xml:space="preserve">PAT: 4; ↓že; ↓aby; ↓zda; ↓jestli; ↓c</t>
  </si>
  <si>
    <t xml:space="preserve">"dojednávat-001"</t>
  </si>
  <si>
    <t xml:space="preserve">"dojet-001"</t>
  </si>
  <si>
    <t xml:space="preserve">"dojet-002"</t>
  </si>
  <si>
    <t xml:space="preserve">"dojet-003"</t>
  </si>
  <si>
    <t xml:space="preserve">"dojit-001"</t>
  </si>
  <si>
    <t xml:space="preserve">"dojit-002"</t>
  </si>
  <si>
    <t xml:space="preserve">"dojmout-001"</t>
  </si>
  <si>
    <t xml:space="preserve">Stimulus(ARG0/3,ARG2/4), Experiencer(ARG1/8)</t>
  </si>
  <si>
    <t xml:space="preserve">ACT-&gt;ARG0/3,ARG2/4</t>
  </si>
  <si>
    <t xml:space="preserve">ACT-&gt;Stimulus(ARG0/3,ARG2/4)</t>
  </si>
  <si>
    <t xml:space="preserve">PAT-&gt;Experiencer(ARG1/8)</t>
  </si>
  <si>
    <t xml:space="preserve">"dojímat-001"</t>
  </si>
  <si>
    <t xml:space="preserve">"dojíst-001"</t>
  </si>
  <si>
    <t xml:space="preserve">"dojít-001"</t>
  </si>
  <si>
    <t xml:space="preserve">PAT: 2; do+2</t>
  </si>
  <si>
    <t xml:space="preserve">"dojít-002"</t>
  </si>
  <si>
    <t xml:space="preserve">"dojít-003"</t>
  </si>
  <si>
    <t xml:space="preserve">"dojít-004"</t>
  </si>
  <si>
    <t xml:space="preserve">PAT: 1; ↓že; ↓zda; ↓jestli; ↓jak-2; ↓c</t>
  </si>
  <si>
    <t xml:space="preserve">"dojít-005"</t>
  </si>
  <si>
    <t xml:space="preserve">"dojít-006"</t>
  </si>
  <si>
    <t xml:space="preserve">"dojít-007"</t>
  </si>
  <si>
    <t xml:space="preserve">"dojít-008"</t>
  </si>
  <si>
    <t xml:space="preserve">"dojít-009"</t>
  </si>
  <si>
    <t xml:space="preserve">"dojít-010"</t>
  </si>
  <si>
    <t xml:space="preserve">"dojít-011"</t>
  </si>
  <si>
    <t xml:space="preserve">"dojít-012"</t>
  </si>
  <si>
    <t xml:space="preserve">DPHR: daleko-1</t>
  </si>
  <si>
    <t xml:space="preserve">"dojít-013"</t>
  </si>
  <si>
    <t xml:space="preserve">"dojít-014"</t>
  </si>
  <si>
    <t xml:space="preserve">"dojít-015"</t>
  </si>
  <si>
    <t xml:space="preserve">"dojíždět-001"</t>
  </si>
  <si>
    <t xml:space="preserve">"dojíždět-002"</t>
  </si>
  <si>
    <t xml:space="preserve">ACT-&gt;ARG0/170,ARG1/336</t>
  </si>
  <si>
    <t xml:space="preserve">DIR3-&gt;ARG1/145</t>
  </si>
  <si>
    <t xml:space="preserve">DIR3-&gt;Destination</t>
  </si>
  <si>
    <t xml:space="preserve">DIR3-&gt;Destination(ARG1/10)</t>
  </si>
  <si>
    <t xml:space="preserve">"dokazovat-001"</t>
  </si>
  <si>
    <t xml:space="preserve">Prover(ARG0/30,ARG1/29), Proved(ARG1/83), Cognizer(ARG1/1,ARG2/5)</t>
  </si>
  <si>
    <t xml:space="preserve">ACT-&gt;ARG0/144,ARG1/30</t>
  </si>
  <si>
    <t xml:space="preserve">ACT-&gt;Prover</t>
  </si>
  <si>
    <t xml:space="preserve">ACT-&gt;Prover(ARG0/30,ARG1/29)</t>
  </si>
  <si>
    <t xml:space="preserve">PAT-&gt;ARG1/232</t>
  </si>
  <si>
    <t xml:space="preserve">PAT-&gt;Proved</t>
  </si>
  <si>
    <t xml:space="preserve">PAT-&gt;Proved(ARG1/83)</t>
  </si>
  <si>
    <t xml:space="preserve">ADDR-&gt;ARG1/1,ARG2/19</t>
  </si>
  <si>
    <t xml:space="preserve">ADDR-&gt;Cognizer</t>
  </si>
  <si>
    <t xml:space="preserve">ADDR-&gt;Cognizer(ARG1/1,ARG2/5)</t>
  </si>
  <si>
    <t xml:space="preserve">"dokazovat-002"</t>
  </si>
  <si>
    <t xml:space="preserve">ACT-&gt;ARG0/30,ARG1/29</t>
  </si>
  <si>
    <t xml:space="preserve">PAT-&gt;ARG1/83</t>
  </si>
  <si>
    <t xml:space="preserve">"dokazovat-003"</t>
  </si>
  <si>
    <t xml:space="preserve">EFF: 4; ↓že</t>
  </si>
  <si>
    <t xml:space="preserve">"dokladovat-001"</t>
  </si>
  <si>
    <t xml:space="preserve">ADDR-&gt;ARG1/1,ARG2/5</t>
  </si>
  <si>
    <t xml:space="preserve">"doklepnout-001"</t>
  </si>
  <si>
    <t xml:space="preserve">"doklopýtat-001"</t>
  </si>
  <si>
    <t xml:space="preserve">"dokládat-001"</t>
  </si>
  <si>
    <t xml:space="preserve">"dokonat-001"</t>
  </si>
  <si>
    <t xml:space="preserve">"dokonat-002"</t>
  </si>
  <si>
    <t xml:space="preserve">"dokončit-001"</t>
  </si>
  <si>
    <t xml:space="preserve">Creator(ARG0/753,ARG1/4), Created(ARG1/1211,ARG2/2), State_initial(ARG1/1,ARG2/18), State_final(ARG1/1)</t>
  </si>
  <si>
    <t xml:space="preserve">ACT-&gt;ARG0/753,ARG1/4</t>
  </si>
  <si>
    <t xml:space="preserve">ACT-&gt;Creator(ARG0/753,ARG1/4)</t>
  </si>
  <si>
    <t xml:space="preserve">PAT-&gt;ARG1/1211,ARG2/2</t>
  </si>
  <si>
    <t xml:space="preserve">PAT-&gt;Created(ARG1/1211,ARG2/2)</t>
  </si>
  <si>
    <t xml:space="preserve">ORIG-&gt;ARG1/1,ARG2/18</t>
  </si>
  <si>
    <t xml:space="preserve">ORIG-&gt;State_initial(ARG1/1,ARG2/18)</t>
  </si>
  <si>
    <t xml:space="preserve">"dokončit-002"</t>
  </si>
  <si>
    <t xml:space="preserve">Agent(ARG0/234,ARG1/9), Finished(ARG1/441,ARG2/1,ARGM-EXT/1,ARGM-MNR/2)</t>
  </si>
  <si>
    <t xml:space="preserve">ACT-&gt;ARG0/234,ARG1/9</t>
  </si>
  <si>
    <t xml:space="preserve">ACT-&gt;Agent(ARG0/234,ARG1/9)</t>
  </si>
  <si>
    <t xml:space="preserve">PAT-&gt;ARG1/441,ARG2/1,ARGM-EXT/1,ARGM-MNR/2</t>
  </si>
  <si>
    <t xml:space="preserve">PAT-&gt;Finished</t>
  </si>
  <si>
    <t xml:space="preserve">PAT-&gt;Finished(ARG1/441,ARG2/1,ARGM-EXT/1,ARGM-MNR/2)</t>
  </si>
  <si>
    <t xml:space="preserve">"dokončovat-001"</t>
  </si>
  <si>
    <t xml:space="preserve">"dokončovat-002"</t>
  </si>
  <si>
    <t xml:space="preserve">"dokopat-001"</t>
  </si>
  <si>
    <t xml:space="preserve">"dokopat-002"</t>
  </si>
  <si>
    <t xml:space="preserve">"dokoupit-001"</t>
  </si>
  <si>
    <t xml:space="preserve">?ADDR: 3; pro+4</t>
  </si>
  <si>
    <t xml:space="preserve">"dokralovat-001"</t>
  </si>
  <si>
    <t xml:space="preserve">"dokreslit-001"</t>
  </si>
  <si>
    <t xml:space="preserve">?EFF: o+4</t>
  </si>
  <si>
    <t xml:space="preserve">EFF-&gt;State_final(ARG1/1)</t>
  </si>
  <si>
    <t xml:space="preserve">"dokreslovat-001"</t>
  </si>
  <si>
    <t xml:space="preserve">"dokrvovat-se-001"</t>
  </si>
  <si>
    <t xml:space="preserve">"dokumentovat-001"</t>
  </si>
  <si>
    <t xml:space="preserve">ACT-&gt;ARG0/389,ARG1/4,ARG2/164</t>
  </si>
  <si>
    <t xml:space="preserve">PAT: 4; ↓že; ↓zda</t>
  </si>
  <si>
    <t xml:space="preserve">PAT-&gt;ARG1/778,ARG2/7</t>
  </si>
  <si>
    <t xml:space="preserve">"dokumentovat-002"</t>
  </si>
  <si>
    <t xml:space="preserve">"dokumentovat-003"</t>
  </si>
  <si>
    <t xml:space="preserve">"dokupovat-001"</t>
  </si>
  <si>
    <t xml:space="preserve">"dokvétat-001"</t>
  </si>
  <si>
    <t xml:space="preserve">"dokázat-001"</t>
  </si>
  <si>
    <t xml:space="preserve">"dokázat-002"</t>
  </si>
  <si>
    <t xml:space="preserve">Protagonist(ARG0/70), Goal(ARG1/99)</t>
  </si>
  <si>
    <t xml:space="preserve">ACT-&gt;ARG0/604,ARG1/10</t>
  </si>
  <si>
    <t xml:space="preserve">ACT-&gt;Protagonist(ARG0/70)</t>
  </si>
  <si>
    <t xml:space="preserve">PAT-&gt;ARG1/880</t>
  </si>
  <si>
    <t xml:space="preserve">PAT-&gt;Goal(ARG1/99)</t>
  </si>
  <si>
    <t xml:space="preserve">"dokázat-003"</t>
  </si>
  <si>
    <t xml:space="preserve">"dokázat-004"</t>
  </si>
  <si>
    <t xml:space="preserve">"dokázat-005"</t>
  </si>
  <si>
    <t xml:space="preserve">"doladit-001"</t>
  </si>
  <si>
    <t xml:space="preserve">Agent(ARG0/2), Project(ARG1/6)</t>
  </si>
  <si>
    <t xml:space="preserve">ACT-&gt;Agent(ARG0/2)</t>
  </si>
  <si>
    <t xml:space="preserve">PAT-&gt;Project</t>
  </si>
  <si>
    <t xml:space="preserve">PAT-&gt;Project(ARG1/6)</t>
  </si>
  <si>
    <t xml:space="preserve">"dolaďovat-001"</t>
  </si>
  <si>
    <t xml:space="preserve">"dolehnout-001"</t>
  </si>
  <si>
    <t xml:space="preserve">"dolehnout-002"</t>
  </si>
  <si>
    <t xml:space="preserve">"doletět-001"</t>
  </si>
  <si>
    <t xml:space="preserve">Mover(ARG0/2,ARG1/40), Area_1(), Area_2()</t>
  </si>
  <si>
    <t xml:space="preserve">Landing(ARG0/1,ARG1/8), Place(ARG1/1)</t>
  </si>
  <si>
    <t xml:space="preserve">ACT-&gt;ARG0/142,ARG1/306</t>
  </si>
  <si>
    <t xml:space="preserve">ACT-&gt;Mover(ARG0/2,ARG1/40)</t>
  </si>
  <si>
    <t xml:space="preserve">ACT-&gt;Landing</t>
  </si>
  <si>
    <t xml:space="preserve">ACT-&gt;Landing(ARG0/1,ARG1/8)</t>
  </si>
  <si>
    <t xml:space="preserve">DIR3-&gt;ARG1/136</t>
  </si>
  <si>
    <t xml:space="preserve">DIR3-&gt;Place(ARG1/1)</t>
  </si>
  <si>
    <t xml:space="preserve">"doložit-001"</t>
  </si>
  <si>
    <t xml:space="preserve">"doložit-002"</t>
  </si>
  <si>
    <t xml:space="preserve">"doléhat-001"</t>
  </si>
  <si>
    <t xml:space="preserve">"doléhat-002"</t>
  </si>
  <si>
    <t xml:space="preserve">"dolétnout-001"</t>
  </si>
  <si>
    <t xml:space="preserve">"doléčit-001"</t>
  </si>
  <si>
    <t xml:space="preserve">"dolít-001"</t>
  </si>
  <si>
    <t xml:space="preserve">"domazat-001"</t>
  </si>
  <si>
    <t xml:space="preserve">"dominovat-001"</t>
  </si>
  <si>
    <t xml:space="preserve">Governing(ARG0/56), Dominated(ARG1/51)</t>
  </si>
  <si>
    <t xml:space="preserve">ACT-&gt;ARG0/56</t>
  </si>
  <si>
    <t xml:space="preserve">ACT-&gt;Governing(ARG0/56)</t>
  </si>
  <si>
    <t xml:space="preserve">PAT: 3; nad+7</t>
  </si>
  <si>
    <t xml:space="preserve">PAT-&gt;Dominated</t>
  </si>
  <si>
    <t xml:space="preserve">PAT-&gt;Dominated(ARG1/51)</t>
  </si>
  <si>
    <t xml:space="preserve">"dominovat-002"</t>
  </si>
  <si>
    <t xml:space="preserve">"domlouvat-001"</t>
  </si>
  <si>
    <t xml:space="preserve">PAT: ↓aby; ↓ať</t>
  </si>
  <si>
    <t xml:space="preserve">"domlouvat-se-001"</t>
  </si>
  <si>
    <t xml:space="preserve">"domlouvat-se-002"</t>
  </si>
  <si>
    <t xml:space="preserve">"domluvit-001"</t>
  </si>
  <si>
    <t xml:space="preserve">"domluvit-002"</t>
  </si>
  <si>
    <t xml:space="preserve">"domluvit-003"</t>
  </si>
  <si>
    <t xml:space="preserve">"domluvit-se-001"</t>
  </si>
  <si>
    <t xml:space="preserve">"domluvit-se-002"</t>
  </si>
  <si>
    <t xml:space="preserve">"domnívat-se-001"</t>
  </si>
  <si>
    <t xml:space="preserve">Cognizer(ARG0/339,ARG1/3), Information(ARG1/367)</t>
  </si>
  <si>
    <t xml:space="preserve">ACT-&gt;ARG0/339,ARG1/3</t>
  </si>
  <si>
    <t xml:space="preserve">ACT-&gt;Cognizer(ARG0/339,ARG1/3)</t>
  </si>
  <si>
    <t xml:space="preserve">PAT: ↓že; .s</t>
  </si>
  <si>
    <t xml:space="preserve">PAT-&gt;ARG1/367</t>
  </si>
  <si>
    <t xml:space="preserve">PAT-&gt;Information(ARG1/367)</t>
  </si>
  <si>
    <t xml:space="preserve">"domnívat-se-002"</t>
  </si>
  <si>
    <t xml:space="preserve">ACT-&gt;ARG0/568,ARG1/5</t>
  </si>
  <si>
    <t xml:space="preserve">EFF: 4; ↓že; .s</t>
  </si>
  <si>
    <t xml:space="preserve">EFF-&gt;ARG1/558,ARG2/2</t>
  </si>
  <si>
    <t xml:space="preserve">EFF-&gt;Judgment(ARG1/558,ARG2/2)</t>
  </si>
  <si>
    <t xml:space="preserve">PAT-&gt;ARG1/99,ARG2/4</t>
  </si>
  <si>
    <t xml:space="preserve">PAT-&gt;Phenomenon(ARG1/99,ARG2/4)</t>
  </si>
  <si>
    <t xml:space="preserve">"domoci-se-001"</t>
  </si>
  <si>
    <t xml:space="preserve">"domyslet-001"</t>
  </si>
  <si>
    <t xml:space="preserve">PAT: 4; ↓zda; ↓jestli; ↓c</t>
  </si>
  <si>
    <t xml:space="preserve">"domáhat-se-001"</t>
  </si>
  <si>
    <t xml:space="preserve">"domýšlet-se-001"</t>
  </si>
  <si>
    <t xml:space="preserve">PAT: ↓že; ↓zda; ↓jestli; ↓c; .s</t>
  </si>
  <si>
    <t xml:space="preserve">"donosit-001"</t>
  </si>
  <si>
    <t xml:space="preserve">"donutit-001"</t>
  </si>
  <si>
    <t xml:space="preserve">PAT: k+3; ↓aby; ↓ať; .f; ↓že</t>
  </si>
  <si>
    <t xml:space="preserve">Force(ARG0/352), Action(ARG1/282,ARG2/260), Affected(ARG0/1,ARG1/593,ARG2/8)</t>
  </si>
  <si>
    <t xml:space="preserve">ACT-&gt;ARG0/352</t>
  </si>
  <si>
    <t xml:space="preserve">ACT-&gt;Force(ARG0/352)</t>
  </si>
  <si>
    <t xml:space="preserve">PAT-&gt;ARG1/282,ARG2/260</t>
  </si>
  <si>
    <t xml:space="preserve">PAT-&gt;Action(ARG1/282,ARG2/260)</t>
  </si>
  <si>
    <t xml:space="preserve">ADDR-&gt;ARG0/1,ARG1/593,ARG2/8</t>
  </si>
  <si>
    <t xml:space="preserve">ADDR-&gt;Affected(ARG0/1,ARG1/593,ARG2/8)</t>
  </si>
  <si>
    <t xml:space="preserve">"donášet-001"</t>
  </si>
  <si>
    <t xml:space="preserve">"donášet-002"</t>
  </si>
  <si>
    <t xml:space="preserve">"donášet-003"</t>
  </si>
  <si>
    <t xml:space="preserve">"donést-001"</t>
  </si>
  <si>
    <t xml:space="preserve">ADDR-&gt;ARG2/8</t>
  </si>
  <si>
    <t xml:space="preserve">"donést-002"</t>
  </si>
  <si>
    <t xml:space="preserve">Transporter(ARG0/40), Transported(ARG1/80), Area_1(), Area_2()</t>
  </si>
  <si>
    <t xml:space="preserve">ACT-&gt;ARG0/157</t>
  </si>
  <si>
    <t xml:space="preserve">ACT-&gt;Transporter(ARG0/40)</t>
  </si>
  <si>
    <t xml:space="preserve">PAT-&gt;ARG0/1,ARG1/299,ARG2/1</t>
  </si>
  <si>
    <t xml:space="preserve">PAT-&gt;Transported(ARG1/80)</t>
  </si>
  <si>
    <t xml:space="preserve">"donést-se-001"</t>
  </si>
  <si>
    <t xml:space="preserve">"donést-se-002"</t>
  </si>
  <si>
    <t xml:space="preserve">"dooblíknout-001"</t>
  </si>
  <si>
    <t xml:space="preserve">"doobědvat-001"</t>
  </si>
  <si>
    <t xml:space="preserve">"doopravit-001"</t>
  </si>
  <si>
    <t xml:space="preserve">"dopadat-001"</t>
  </si>
  <si>
    <t xml:space="preserve">Undesirable(ARG0/128,ARG1/3,ARG2/38), Affected(ARG1/223,ARG2/4)</t>
  </si>
  <si>
    <t xml:space="preserve">ACT-&gt;ARG0/128,ARG1/3,ARG2/38</t>
  </si>
  <si>
    <t xml:space="preserve">ACT-&gt;Undesirable</t>
  </si>
  <si>
    <t xml:space="preserve">ACT-&gt;Undesirable(ARG0/128,ARG1/3,ARG2/38)</t>
  </si>
  <si>
    <t xml:space="preserve">PAT-&gt;ARG1/223,ARG2/4</t>
  </si>
  <si>
    <t xml:space="preserve">PAT-&gt;Affected(ARG1/223,ARG2/4)</t>
  </si>
  <si>
    <t xml:space="preserve">"dopadat-002"</t>
  </si>
  <si>
    <t xml:space="preserve">"dopadat-003"</t>
  </si>
  <si>
    <t xml:space="preserve">"dopadnout-001"</t>
  </si>
  <si>
    <t xml:space="preserve">"dopadnout-002"</t>
  </si>
  <si>
    <t xml:space="preserve">"dopadnout-003"</t>
  </si>
  <si>
    <t xml:space="preserve">"dopadnout-004"</t>
  </si>
  <si>
    <t xml:space="preserve">Falling(ARG1/33), Area_1(), Area_2()</t>
  </si>
  <si>
    <t xml:space="preserve">ACT-&gt;ARG1/33</t>
  </si>
  <si>
    <t xml:space="preserve">ACT-&gt;Falling</t>
  </si>
  <si>
    <t xml:space="preserve">ACT-&gt;Falling(ARG1/33)</t>
  </si>
  <si>
    <t xml:space="preserve">"dopadnout-005"</t>
  </si>
  <si>
    <t xml:space="preserve">ALT-RESL: *</t>
  </si>
  <si>
    <t xml:space="preserve">ACT-&gt;ARG1/171,ARG2/2</t>
  </si>
  <si>
    <t xml:space="preserve">BEN-&gt;ARG1/37,ARG2/113</t>
  </si>
  <si>
    <t xml:space="preserve">#alt[BEN,MANN,ACMP,CRIT]-&gt;Outcome</t>
  </si>
  <si>
    <t xml:space="preserve">#alt[BEN,MANN,ACMP,CRIT]-&gt;Outcome(ARG1/37,ARG2/113)</t>
  </si>
  <si>
    <t xml:space="preserve">MANN-&gt;ARG1/37,ARG2/113</t>
  </si>
  <si>
    <t xml:space="preserve">ACMP-&gt;ARG1/37,ARG2/113</t>
  </si>
  <si>
    <t xml:space="preserve">CRIT-&gt;ARG1/37,ARG2/113</t>
  </si>
  <si>
    <t xml:space="preserve">RESL-&gt;ARG1/37,ARG2/113</t>
  </si>
  <si>
    <t xml:space="preserve">"dopisovat-si-001"</t>
  </si>
  <si>
    <t xml:space="preserve">"doplatit-001"</t>
  </si>
  <si>
    <t xml:space="preserve">Payer(ARG0/376,ARG1/3,ARG2/1), Obligation(ARG1/528,ARG2/13,ARG3/26), Payee(ARG0/1,ARG1/12,ARG2/156,ARG3/4)</t>
  </si>
  <si>
    <t xml:space="preserve">ACT-&gt;ARG0/376,ARG1/3,ARG2/1</t>
  </si>
  <si>
    <t xml:space="preserve">ACT-&gt;Payer</t>
  </si>
  <si>
    <t xml:space="preserve">ACT-&gt;Payer(ARG0/376,ARG1/3,ARG2/1)</t>
  </si>
  <si>
    <t xml:space="preserve">PAT-&gt;ARG1/528,ARG2/13,ARG3/26</t>
  </si>
  <si>
    <t xml:space="preserve">PAT-&gt;Obligation</t>
  </si>
  <si>
    <t xml:space="preserve">PAT-&gt;Obligation(ARG1/528,ARG2/13,ARG3/26)</t>
  </si>
  <si>
    <t xml:space="preserve">ADDR-&gt;ARG0/1,ARG1/12,ARG2/156,ARG3/4</t>
  </si>
  <si>
    <t xml:space="preserve">ADDR-&gt;Payee</t>
  </si>
  <si>
    <t xml:space="preserve">ADDR-&gt;Payee(ARG0/1,ARG1/12,ARG2/156,ARG3/4)</t>
  </si>
  <si>
    <t xml:space="preserve">"doplatit-002"</t>
  </si>
  <si>
    <t xml:space="preserve">Victim(ARG1/124), Cause(ARG0/34,ARG2/77)</t>
  </si>
  <si>
    <t xml:space="preserve">ACT-&gt;ARG1/124</t>
  </si>
  <si>
    <t xml:space="preserve">ACT-&gt;Victim</t>
  </si>
  <si>
    <t xml:space="preserve">ACT-&gt;Victim(ARG1/124)</t>
  </si>
  <si>
    <t xml:space="preserve">PAT-&gt;ARG0/34,ARG2/77</t>
  </si>
  <si>
    <t xml:space="preserve">PAT-&gt;Cause</t>
  </si>
  <si>
    <t xml:space="preserve">PAT-&gt;Cause(ARG0/34,ARG2/77)</t>
  </si>
  <si>
    <t xml:space="preserve">"doplatit-003"</t>
  </si>
  <si>
    <t xml:space="preserve">EXT-&gt;ARG1/528,ARG2/13,ARG3/26</t>
  </si>
  <si>
    <t xml:space="preserve">EXT-&gt;Obligation</t>
  </si>
  <si>
    <t xml:space="preserve">EXT-&gt;Obligation(ARG1/528,ARG2/13,ARG3/26)</t>
  </si>
  <si>
    <t xml:space="preserve">"doplavat-001"</t>
  </si>
  <si>
    <t xml:space="preserve">"doplazit-se-001"</t>
  </si>
  <si>
    <t xml:space="preserve">"doplnit-001"</t>
  </si>
  <si>
    <t xml:space="preserve">Agent(ARG0/9,ARG2/1), Item(ARG1/38,ARG2/3), Component(ARG0/26,ARG1/2)</t>
  </si>
  <si>
    <t xml:space="preserve">ACT-&gt;ARG0/9,ARG2/1</t>
  </si>
  <si>
    <t xml:space="preserve">ACT-&gt;Agent(ARG0/9,ARG2/1)</t>
  </si>
  <si>
    <t xml:space="preserve">PAT-&gt;ARG1/38,ARG2/3</t>
  </si>
  <si>
    <t xml:space="preserve">PAT-&gt;Item(ARG1/38,ARG2/3)</t>
  </si>
  <si>
    <t xml:space="preserve">?EFF: o+4; 7; .s; ↓c</t>
  </si>
  <si>
    <t xml:space="preserve">EFF-&gt;ARG0/26,ARG1/2</t>
  </si>
  <si>
    <t xml:space="preserve">EFF-&gt;Component</t>
  </si>
  <si>
    <t xml:space="preserve">EFF-&gt;Component(ARG0/26,ARG1/2)</t>
  </si>
  <si>
    <t xml:space="preserve">"doplnit-002"</t>
  </si>
  <si>
    <t xml:space="preserve">"doplnit-003"</t>
  </si>
  <si>
    <t xml:space="preserve">PAT-&gt;Recipient</t>
  </si>
  <si>
    <t xml:space="preserve">PAT-&gt;Recipient()</t>
  </si>
  <si>
    <t xml:space="preserve">EFF-&gt;ARG1/1,ARG2/2</t>
  </si>
  <si>
    <t xml:space="preserve">EFF-&gt;Provided</t>
  </si>
  <si>
    <t xml:space="preserve">EFF-&gt;Provided(ARG1/1,ARG2/2)</t>
  </si>
  <si>
    <t xml:space="preserve">"doplnit-004"</t>
  </si>
  <si>
    <t xml:space="preserve">?EFF: k+3</t>
  </si>
  <si>
    <t xml:space="preserve">"doplout-001"</t>
  </si>
  <si>
    <t xml:space="preserve">"doplácet-001"</t>
  </si>
  <si>
    <t xml:space="preserve">"doplácet-002"</t>
  </si>
  <si>
    <t xml:space="preserve">"doplácet-003"</t>
  </si>
  <si>
    <t xml:space="preserve">"doplňovat-001"</t>
  </si>
  <si>
    <t xml:space="preserve">?EFF: o+4; 7</t>
  </si>
  <si>
    <t xml:space="preserve">"doplňovat-002"</t>
  </si>
  <si>
    <t xml:space="preserve">"doplňovat-003"</t>
  </si>
  <si>
    <t xml:space="preserve">"doplňovat-se-001"</t>
  </si>
  <si>
    <t xml:space="preserve">"dopomoci-001"</t>
  </si>
  <si>
    <t xml:space="preserve">?PAT: k+3; .f</t>
  </si>
  <si>
    <t xml:space="preserve">"dopomáhat-001"</t>
  </si>
  <si>
    <t xml:space="preserve">"doporučit-001"</t>
  </si>
  <si>
    <t xml:space="preserve">Communicator(ARG0/113), Advised(ARG1/68,ARG2/63,ARG3/1), Impactee(ARG1/58,ARG2/6)</t>
  </si>
  <si>
    <t xml:space="preserve">ACT-&gt;ARG0/113</t>
  </si>
  <si>
    <t xml:space="preserve">ACT-&gt;Communicator(ARG0/113)</t>
  </si>
  <si>
    <t xml:space="preserve">PAT: 4; .f; ↓že; ↓aby; ↓ať; ↓c; .s</t>
  </si>
  <si>
    <t xml:space="preserve">PAT-&gt;ARG1/68,ARG2/63,ARG3/1</t>
  </si>
  <si>
    <t xml:space="preserve">PAT-&gt;Advised</t>
  </si>
  <si>
    <t xml:space="preserve">PAT-&gt;Advised(ARG1/68,ARG2/63,ARG3/1)</t>
  </si>
  <si>
    <t xml:space="preserve">ADDR-&gt;ARG1/58,ARG2/6</t>
  </si>
  <si>
    <t xml:space="preserve">ADDR-&gt;Impactee(ARG1/58,ARG2/6)</t>
  </si>
  <si>
    <t xml:space="preserve">"doporučit-002"</t>
  </si>
  <si>
    <t xml:space="preserve">Proposer(ARG0/305), Proposed(ARG1/329,ARG2/8), Impactee(ARG1/3,ARG2/16,ARG3/7)</t>
  </si>
  <si>
    <t xml:space="preserve">ACT-&gt;Proposer</t>
  </si>
  <si>
    <t xml:space="preserve">ACT-&gt;Proposer(ARG0/305)</t>
  </si>
  <si>
    <t xml:space="preserve">PAT-&gt;ARG1/329,ARG2/8</t>
  </si>
  <si>
    <t xml:space="preserve">PAT-&gt;Proposed(ARG1/329,ARG2/8)</t>
  </si>
  <si>
    <t xml:space="preserve">"doporučovat-001"</t>
  </si>
  <si>
    <t xml:space="preserve">"dopouštět-se-001"</t>
  </si>
  <si>
    <t xml:space="preserve">Perpetrator(ARG0/11), Deed(ARG1/13)</t>
  </si>
  <si>
    <t xml:space="preserve">ACT-&gt;Perpetrator(ARG0/11)</t>
  </si>
  <si>
    <t xml:space="preserve">PAT-&gt;ARG1/13</t>
  </si>
  <si>
    <t xml:space="preserve">PAT-&gt;Deed</t>
  </si>
  <si>
    <t xml:space="preserve">PAT-&gt;Deed(ARG1/13)</t>
  </si>
  <si>
    <t xml:space="preserve">"dopovat-001"</t>
  </si>
  <si>
    <t xml:space="preserve">"dopovat-002"</t>
  </si>
  <si>
    <t xml:space="preserve">"dopovídat-001"</t>
  </si>
  <si>
    <t xml:space="preserve">"dopovědět-001"</t>
  </si>
  <si>
    <t xml:space="preserve">"dopočítat-001"</t>
  </si>
  <si>
    <t xml:space="preserve">"dopočítat-se-001"</t>
  </si>
  <si>
    <t xml:space="preserve">PAT: 2; k+3</t>
  </si>
  <si>
    <t xml:space="preserve">"dopočítávat-001"</t>
  </si>
  <si>
    <t xml:space="preserve">"dopočítávat-002"</t>
  </si>
  <si>
    <t xml:space="preserve">"dopracovat-001"</t>
  </si>
  <si>
    <t xml:space="preserve">"dopracovat-se-001"</t>
  </si>
  <si>
    <t xml:space="preserve">"dopravit-001"</t>
  </si>
  <si>
    <t xml:space="preserve">"dopravit-002"</t>
  </si>
  <si>
    <t xml:space="preserve">Leader(ARG0/131), Moved(ARG0/1,ARG1/249,ARG2/1), Place(ARG2/8)</t>
  </si>
  <si>
    <t xml:space="preserve">ACT-&gt;ARG0/303,ARG1/1</t>
  </si>
  <si>
    <t xml:space="preserve">ACT-&gt;Leader</t>
  </si>
  <si>
    <t xml:space="preserve">ACT-&gt;Leader(ARG0/131)</t>
  </si>
  <si>
    <t xml:space="preserve">PAT-&gt;ARG0/1,ARG1/605,ARG2/1</t>
  </si>
  <si>
    <t xml:space="preserve">PAT-&gt;Moved</t>
  </si>
  <si>
    <t xml:space="preserve">PAT-&gt;Moved(ARG0/1,ARG1/249,ARG2/1)</t>
  </si>
  <si>
    <t xml:space="preserve">DIR3-&gt;ARG1/1,ARG2/118</t>
  </si>
  <si>
    <t xml:space="preserve">DIR3-&gt;Recipient(ARG1/1,ARG2/110)</t>
  </si>
  <si>
    <t xml:space="preserve">DIR3-&gt;Place(ARG2/8)</t>
  </si>
  <si>
    <t xml:space="preserve">"dopravovat-001"</t>
  </si>
  <si>
    <t xml:space="preserve">DIR3-&gt;ARG1/1,ARG2/110</t>
  </si>
  <si>
    <t xml:space="preserve">"doprodat-001"</t>
  </si>
  <si>
    <t xml:space="preserve">"doprodávat-001"</t>
  </si>
  <si>
    <t xml:space="preserve">"doprovodit-001"</t>
  </si>
  <si>
    <t xml:space="preserve">"doprovodit-002"</t>
  </si>
  <si>
    <t xml:space="preserve">Participant_1(ARG0/37), Participant_2(ARG1/35), Destination()</t>
  </si>
  <si>
    <t xml:space="preserve">Participant_1(ARG0/26), Participant_2(ARG1/23), Destination()</t>
  </si>
  <si>
    <t xml:space="preserve">ACT-&gt;ARG0/63</t>
  </si>
  <si>
    <t xml:space="preserve">ACT-&gt;Participant_1(ARG0/37)</t>
  </si>
  <si>
    <t xml:space="preserve">ACT-&gt;Participant_1(ARG0/26)</t>
  </si>
  <si>
    <t xml:space="preserve">PAT-&gt;ARG1/58</t>
  </si>
  <si>
    <t xml:space="preserve">PAT-&gt;Participant_2</t>
  </si>
  <si>
    <t xml:space="preserve">PAT-&gt;Participant_2(ARG1/35)</t>
  </si>
  <si>
    <t xml:space="preserve">PAT-&gt;Participant_2(ARG1/23)</t>
  </si>
  <si>
    <t xml:space="preserve">"doprovodit-003"</t>
  </si>
  <si>
    <t xml:space="preserve">"doprovázet-001"</t>
  </si>
  <si>
    <t xml:space="preserve">"doprovázet-002"</t>
  </si>
  <si>
    <t xml:space="preserve">"doprovázet-003"</t>
  </si>
  <si>
    <t xml:space="preserve">"doprovázet-004"</t>
  </si>
  <si>
    <t xml:space="preserve">"dopustit-001"</t>
  </si>
  <si>
    <t xml:space="preserve">PAT: 4; ↓aby; .f; ↓že</t>
  </si>
  <si>
    <t xml:space="preserve">"dopustit-se-001"</t>
  </si>
  <si>
    <t xml:space="preserve">"doputovat-001"</t>
  </si>
  <si>
    <t xml:space="preserve">"dopátrat-se-001"</t>
  </si>
  <si>
    <t xml:space="preserve">PAT: 2; ↓c</t>
  </si>
  <si>
    <t xml:space="preserve">"dopéci-001"</t>
  </si>
  <si>
    <t xml:space="preserve">"dopéci-002"</t>
  </si>
  <si>
    <t xml:space="preserve">PAT: ↓c; 4</t>
  </si>
  <si>
    <t xml:space="preserve">"dopřipravit-se-001"</t>
  </si>
  <si>
    <t xml:space="preserve">?PAT: na+4; k+3</t>
  </si>
  <si>
    <t xml:space="preserve">"dopřát-001"</t>
  </si>
  <si>
    <t xml:space="preserve">"dopřát-si-001"</t>
  </si>
  <si>
    <t xml:space="preserve">PAT: 4; .f; ↓c</t>
  </si>
  <si>
    <t xml:space="preserve">"dopřávat-001"</t>
  </si>
  <si>
    <t xml:space="preserve">"dopřávat-si-001"</t>
  </si>
  <si>
    <t xml:space="preserve">Experiencer(ARG0/51), Stimulus(ARG1/65,ARG2/1)</t>
  </si>
  <si>
    <t xml:space="preserve">ACT-&gt;ARG0/51</t>
  </si>
  <si>
    <t xml:space="preserve">ACT-&gt;Experiencer(ARG0/51)</t>
  </si>
  <si>
    <t xml:space="preserve">PAT-&gt;ARG1/65,ARG2/1</t>
  </si>
  <si>
    <t xml:space="preserve">PAT-&gt;Stimulus(ARG1/65,ARG2/1)</t>
  </si>
  <si>
    <t xml:space="preserve">"dorazit-001"</t>
  </si>
  <si>
    <t xml:space="preserve">"dorazit-002"</t>
  </si>
  <si>
    <t xml:space="preserve">"dorazit-003"</t>
  </si>
  <si>
    <t xml:space="preserve">"dorazit-004"</t>
  </si>
  <si>
    <t xml:space="preserve">"dorazit-005"</t>
  </si>
  <si>
    <t xml:space="preserve">"dorazit-006"</t>
  </si>
  <si>
    <t xml:space="preserve">"dorovnat-001"</t>
  </si>
  <si>
    <t xml:space="preserve">"dorozumívat-se-001"</t>
  </si>
  <si>
    <t xml:space="preserve">PAT: o+6; na+6; ↓že; ↓aby; ↓c</t>
  </si>
  <si>
    <t xml:space="preserve">"dorozumět-se-001"</t>
  </si>
  <si>
    <t xml:space="preserve">"dorozumět-se-002"</t>
  </si>
  <si>
    <t xml:space="preserve">"doručit-001"</t>
  </si>
  <si>
    <t xml:space="preserve">"doručit-002"</t>
  </si>
  <si>
    <t xml:space="preserve">ACT-&gt;ARG0/248</t>
  </si>
  <si>
    <t xml:space="preserve">PAT-&gt;ARG0/2,ARG1/468,ARG2/2</t>
  </si>
  <si>
    <t xml:space="preserve">DIR3-&gt;ARG2/16</t>
  </si>
  <si>
    <t xml:space="preserve">"doručovat-001"</t>
  </si>
  <si>
    <t xml:space="preserve">"doručovat-002"</t>
  </si>
  <si>
    <t xml:space="preserve">"dorážet-001"</t>
  </si>
  <si>
    <t xml:space="preserve">"dorážet-002"</t>
  </si>
  <si>
    <t xml:space="preserve">"dorůst-001"</t>
  </si>
  <si>
    <t xml:space="preserve">PAT: v+4; do+2</t>
  </si>
  <si>
    <t xml:space="preserve">"dorůst-002"</t>
  </si>
  <si>
    <t xml:space="preserve">"dorůstat-001"</t>
  </si>
  <si>
    <t xml:space="preserve">"dosadit-001"</t>
  </si>
  <si>
    <t xml:space="preserve">Mover(ARG0/156,ARG1/1), Moved(ARG1/255,ARG2/3), Place(ARG2/2)</t>
  </si>
  <si>
    <t xml:space="preserve">ACT-&gt;ARG0/156,ARG1/1</t>
  </si>
  <si>
    <t xml:space="preserve">ACT-&gt;Mover(ARG0/156,ARG1/1)</t>
  </si>
  <si>
    <t xml:space="preserve">PAT-&gt;ARG1/255,ARG2/3</t>
  </si>
  <si>
    <t xml:space="preserve">PAT-&gt;Moved(ARG1/255,ARG2/3)</t>
  </si>
  <si>
    <t xml:space="preserve">DIR3-&gt;ARG2/2</t>
  </si>
  <si>
    <t xml:space="preserve">DIR3-&gt;Place(ARG2/2)</t>
  </si>
  <si>
    <t xml:space="preserve">"dosahovat-001"</t>
  </si>
  <si>
    <t xml:space="preserve">"dosahovat-002"</t>
  </si>
  <si>
    <t xml:space="preserve">Item(ARG0/58,ARG1/316,ARG2/2), Value(ARG0/3,ARG1/52,ARG2/405,ARG3/5)</t>
  </si>
  <si>
    <t xml:space="preserve">ACT-&gt;ARG0/58,ARG1/316,ARG2/2</t>
  </si>
  <si>
    <t xml:space="preserve">ACT-&gt;Item(ARG0/58,ARG1/316,ARG2/2)</t>
  </si>
  <si>
    <t xml:space="preserve">PAT-&gt;ARG0/3,ARG1/52,ARG2/405,ARG3/5</t>
  </si>
  <si>
    <t xml:space="preserve">PAT-&gt;Value</t>
  </si>
  <si>
    <t xml:space="preserve">PAT-&gt;Value(ARG0/3,ARG1/52,ARG2/405,ARG3/5)</t>
  </si>
  <si>
    <t xml:space="preserve">"dosahovat-003"</t>
  </si>
  <si>
    <t xml:space="preserve">"dosahovat-004"</t>
  </si>
  <si>
    <t xml:space="preserve">"dosazovat-001"</t>
  </si>
  <si>
    <t xml:space="preserve">"dosekat-001"</t>
  </si>
  <si>
    <t xml:space="preserve">"doslechnout-se-001"</t>
  </si>
  <si>
    <t xml:space="preserve">PAT: 4; o+6; ↓jak-2; ↓c; ↓zda; ↓že; ↓jestli</t>
  </si>
  <si>
    <t xml:space="preserve">?ORIG: z+2; od+2; odtud; odsud; odkudkoliv; odevšad; odtamtud; odjinud; odkud; odněkud; odnikud; odkudsi</t>
  </si>
  <si>
    <t xml:space="preserve">"doslechnout-se-002"</t>
  </si>
  <si>
    <t xml:space="preserve">Cognizer(ARG0/103), Information(ARG1/173,ARG3/2), Source(ARG2/27)</t>
  </si>
  <si>
    <t xml:space="preserve">ACT-&gt;ARG0/103</t>
  </si>
  <si>
    <t xml:space="preserve">ACT-&gt;Cognizer(ARG0/103)</t>
  </si>
  <si>
    <t xml:space="preserve">EFF: 4; ↓že; ↓zda; ↓jak-2; ↓jestli; ↓c; .s</t>
  </si>
  <si>
    <t xml:space="preserve">EFF-&gt;ARG1/173,ARG3/2</t>
  </si>
  <si>
    <t xml:space="preserve">EFF-&gt;Information(ARG1/173,ARG3/2)</t>
  </si>
  <si>
    <t xml:space="preserve">PAT-&gt;ARG1/173,ARG3/2</t>
  </si>
  <si>
    <t xml:space="preserve">PAT-&gt;Information(ARG1/173,ARG3/2)</t>
  </si>
  <si>
    <t xml:space="preserve">ORIG-&gt;ARG2/27</t>
  </si>
  <si>
    <t xml:space="preserve">ORIG-&gt;Source(ARG2/27)</t>
  </si>
  <si>
    <t xml:space="preserve">"dosloužit-001"</t>
  </si>
  <si>
    <t xml:space="preserve">ACT-&gt;ARG0/70,ARG1/205</t>
  </si>
  <si>
    <t xml:space="preserve">"dosloužit-002"</t>
  </si>
  <si>
    <t xml:space="preserve">"dosluhovat-001"</t>
  </si>
  <si>
    <t xml:space="preserve">"doslýchat-se-001"</t>
  </si>
  <si>
    <t xml:space="preserve">Cognizer(ARG0/97), Information(ARG1/117), Source(ARG2/15)</t>
  </si>
  <si>
    <t xml:space="preserve">ACT-&gt;ARG0/200</t>
  </si>
  <si>
    <t xml:space="preserve">ACT-&gt;Cognizer(ARG0/97)</t>
  </si>
  <si>
    <t xml:space="preserve">EFF: 4; ↓že; ↓jak-2; ↓jestli; ↓zda; ↓c; .s</t>
  </si>
  <si>
    <t xml:space="preserve">EFF-&gt;ARG1/290,ARG3/2</t>
  </si>
  <si>
    <t xml:space="preserve">EFF-&gt;Information(ARG1/117)</t>
  </si>
  <si>
    <t xml:space="preserve">PAT-&gt;ARG1/290,ARG3/2</t>
  </si>
  <si>
    <t xml:space="preserve">PAT-&gt;Information(ARG1/117)</t>
  </si>
  <si>
    <t xml:space="preserve">?ORIG: od+2; strana-3.S2[z-1,.2]</t>
  </si>
  <si>
    <t xml:space="preserve">ORIG-&gt;ARG2/42</t>
  </si>
  <si>
    <t xml:space="preserve">ORIG-&gt;Source(ARG2/15)</t>
  </si>
  <si>
    <t xml:space="preserve">"dospívat-001"</t>
  </si>
  <si>
    <t xml:space="preserve">PAT: v+4</t>
  </si>
  <si>
    <t xml:space="preserve">"dospívat-002"</t>
  </si>
  <si>
    <t xml:space="preserve">"dospívat-003"</t>
  </si>
  <si>
    <t xml:space="preserve">"dospívat-004"</t>
  </si>
  <si>
    <t xml:space="preserve">Grown(ARG1/8)</t>
  </si>
  <si>
    <t xml:space="preserve">Changing(ARG1/152,ARG2/1)</t>
  </si>
  <si>
    <t xml:space="preserve">ACT-&gt;ARG1/160,ARG2/1</t>
  </si>
  <si>
    <t xml:space="preserve">ACT-&gt;Grown</t>
  </si>
  <si>
    <t xml:space="preserve">ACT-&gt;Grown(ARG1/8)</t>
  </si>
  <si>
    <t xml:space="preserve">ACT-&gt;Changing(ARG1/152,ARG2/1)</t>
  </si>
  <si>
    <t xml:space="preserve">"dospět-001"</t>
  </si>
  <si>
    <t xml:space="preserve">"dospět-002"</t>
  </si>
  <si>
    <t xml:space="preserve">Cognizer(ARG0/215,ARG1/19), Conclusion(ARG1/291,ARG4/3), Source()</t>
  </si>
  <si>
    <t xml:space="preserve">ACT-&gt;ARG0/354,ARG1/19</t>
  </si>
  <si>
    <t xml:space="preserve">ACT-&gt;Cognizer(ARG0/215,ARG1/19)</t>
  </si>
  <si>
    <t xml:space="preserve">PAT-&gt;ARG1/470,ARG4/3</t>
  </si>
  <si>
    <t xml:space="preserve">PAT-&gt;Conclusion(ARG1/291,ARG4/3)</t>
  </si>
  <si>
    <t xml:space="preserve">"dospět-003"</t>
  </si>
  <si>
    <t xml:space="preserve">"dospět-004"</t>
  </si>
  <si>
    <t xml:space="preserve">"dospět-005"</t>
  </si>
  <si>
    <t xml:space="preserve">ACT-&gt;ARG1/8</t>
  </si>
  <si>
    <t xml:space="preserve">"dostat-001"</t>
  </si>
  <si>
    <t xml:space="preserve">PAT: 4; ↓c; .f</t>
  </si>
  <si>
    <t xml:space="preserve">Recipient(ARG0/830,ARG1/11), Given(ARG1/1184,ARG2/2,ARG4/1), Giver(ARG1/5,ARG2/159,ARG3/8)</t>
  </si>
  <si>
    <t xml:space="preserve">ACT-&gt;ARG0/1886,ARG1/21</t>
  </si>
  <si>
    <t xml:space="preserve">ACT-&gt;Recipient(ARG0/830,ARG1/11)</t>
  </si>
  <si>
    <t xml:space="preserve">PAT-&gt;ARG1/2708,ARG2/4,ARG4/2</t>
  </si>
  <si>
    <t xml:space="preserve">PAT-&gt;Given(ARG1/1184,ARG2/2,ARG4/1)</t>
  </si>
  <si>
    <t xml:space="preserve">ORIG-&gt;ARG1/15,ARG2/333,ARG3/13</t>
  </si>
  <si>
    <t xml:space="preserve">ORIG-&gt;Giver</t>
  </si>
  <si>
    <t xml:space="preserve">ORIG-&gt;Giver(ARG1/5,ARG2/159,ARG3/8)</t>
  </si>
  <si>
    <t xml:space="preserve">"dostat-002"</t>
  </si>
  <si>
    <t xml:space="preserve">Infected(ARG1/6), Infection(ARG2/6), Source()</t>
  </si>
  <si>
    <t xml:space="preserve">ACT-&gt;ARG1/6</t>
  </si>
  <si>
    <t xml:space="preserve">ACT-&gt;Infected</t>
  </si>
  <si>
    <t xml:space="preserve">ACT-&gt;Infected(ARG1/6)</t>
  </si>
  <si>
    <t xml:space="preserve">PAT-&gt;Infection</t>
  </si>
  <si>
    <t xml:space="preserve">PAT-&gt;Infection(ARG2/6)</t>
  </si>
  <si>
    <t xml:space="preserve">ORIG-&gt;Source()</t>
  </si>
  <si>
    <t xml:space="preserve">"dostat-003"</t>
  </si>
  <si>
    <t xml:space="preserve">"dostat-004"</t>
  </si>
  <si>
    <t xml:space="preserve">"dostat-005"</t>
  </si>
  <si>
    <t xml:space="preserve">PAT: 4; ↓že; ↓aby; .f</t>
  </si>
  <si>
    <t xml:space="preserve">EFF: za+4; 7; :4[{jako,jakožto}:/AuxY]</t>
  </si>
  <si>
    <t xml:space="preserve">"dostat-006"</t>
  </si>
  <si>
    <t xml:space="preserve">DIR1: =</t>
  </si>
  <si>
    <t xml:space="preserve">"dostat-007"</t>
  </si>
  <si>
    <t xml:space="preserve">Authority(), Moved(ARG2/1), Situation_harmful()</t>
  </si>
  <si>
    <t xml:space="preserve">PAT-&gt;Moved(ARG2/1)</t>
  </si>
  <si>
    <t xml:space="preserve">DIR1-&gt;Situation_harmful</t>
  </si>
  <si>
    <t xml:space="preserve">DIR1-&gt;Situation_harmful()</t>
  </si>
  <si>
    <t xml:space="preserve">"dostat-008"</t>
  </si>
  <si>
    <t xml:space="preserve">"dostat-009"</t>
  </si>
  <si>
    <t xml:space="preserve">Stimulus(ARG0/164,ARG1/1), Affected(ARG1/232), State_final(ARG1/19,ARG2/22,ARG3/37)</t>
  </si>
  <si>
    <t xml:space="preserve">ACT-&gt;ARG0/164,ARG1/1</t>
  </si>
  <si>
    <t xml:space="preserve">ACT-&gt;Stimulus(ARG0/164,ARG1/1)</t>
  </si>
  <si>
    <t xml:space="preserve">PAT-&gt;Affected(ARG1/232)</t>
  </si>
  <si>
    <t xml:space="preserve">DIR3-&gt;ARG1/19,ARG2/22,ARG3/37</t>
  </si>
  <si>
    <t xml:space="preserve">DIR3[State]-&gt;State_final</t>
  </si>
  <si>
    <t xml:space="preserve">DIR3[State]-&gt;State_final(ARG1/19,ARG2/22,ARG3/37)</t>
  </si>
  <si>
    <t xml:space="preserve">"dostat-010"</t>
  </si>
  <si>
    <t xml:space="preserve">"dostat-011"</t>
  </si>
  <si>
    <t xml:space="preserve">Recipient(ARG0/440,ARG1/25), Acquired(ARG1/697,ARG2/2,ARG4/1)</t>
  </si>
  <si>
    <t xml:space="preserve">ACT-&gt;ARG0/440,ARG1/25</t>
  </si>
  <si>
    <t xml:space="preserve">ACT-&gt;Recipient(ARG0/440,ARG1/25)</t>
  </si>
  <si>
    <t xml:space="preserve">PAT-&gt;ARG1/697,ARG2/2,ARG4/1</t>
  </si>
  <si>
    <t xml:space="preserve">PAT-&gt;Acquired(ARG1/697,ARG2/2,ARG4/1)</t>
  </si>
  <si>
    <t xml:space="preserve">"dostat-012"</t>
  </si>
  <si>
    <t xml:space="preserve">"dostat-013"</t>
  </si>
  <si>
    <t xml:space="preserve">"dostat-014"</t>
  </si>
  <si>
    <t xml:space="preserve">CPHR: {doporučení,dotaz,impuls,informace,lekce,možnost,nabídka,návrh,odpověď,odškodnění,otázka,pokuta,pokyn,posudek,povolení,právo,právo,prostor,přednost,příkaz,příležitost,příslib,přístup,rada,rozkaz,sleva,slib,souhlas,stížnost,svolení,šance,trest,ujištění,úkol,výpověď,vysvětlení,zákaz,zpráva,...}.4</t>
  </si>
  <si>
    <t xml:space="preserve">?ORIG: z+2; od+2</t>
  </si>
  <si>
    <t xml:space="preserve">CPHR-&gt;ARG1/1524,ARG2/2,ARG4/1</t>
  </si>
  <si>
    <t xml:space="preserve">CPHR-&gt;Acquired</t>
  </si>
  <si>
    <t xml:space="preserve">CPHR-&gt;Acquired(ARG1/1524,ARG2/2,ARG4/1)</t>
  </si>
  <si>
    <t xml:space="preserve">"dostat-015"</t>
  </si>
  <si>
    <t xml:space="preserve">CPHR: {chuť,nápad,...}.4</t>
  </si>
  <si>
    <t xml:space="preserve">"dostat-016"</t>
  </si>
  <si>
    <t xml:space="preserve">ACT-&gt;ARG0/830,ARG1/11</t>
  </si>
  <si>
    <t xml:space="preserve">DPHR: do-1[vínek.S2]</t>
  </si>
  <si>
    <t xml:space="preserve">PAT-&gt;ARG1/1184,ARG2/2,ARG4/1</t>
  </si>
  <si>
    <t xml:space="preserve">"dostat-017"</t>
  </si>
  <si>
    <t xml:space="preserve">"dostat-018"</t>
  </si>
  <si>
    <t xml:space="preserve">DPHR: na-1[starost.4]</t>
  </si>
  <si>
    <t xml:space="preserve">"dostat-019"</t>
  </si>
  <si>
    <t xml:space="preserve">DPHR: kanár.S4</t>
  </si>
  <si>
    <t xml:space="preserve">"dostat-020"</t>
  </si>
  <si>
    <t xml:space="preserve">DPHR: na-1[frak.S4]</t>
  </si>
  <si>
    <t xml:space="preserve">"dostat-021"</t>
  </si>
  <si>
    <t xml:space="preserve">DPHR: na-1[zadek.S4]</t>
  </si>
  <si>
    <t xml:space="preserve">"dostat-022"</t>
  </si>
  <si>
    <t xml:space="preserve">DPHR: přes-1[prst.P4]</t>
  </si>
  <si>
    <t xml:space="preserve">"dostat-023"</t>
  </si>
  <si>
    <t xml:space="preserve">DPHR: ruka.S4[volný.#]</t>
  </si>
  <si>
    <t xml:space="preserve">"dostat-024"</t>
  </si>
  <si>
    <t xml:space="preserve">DPHR: spád.S4</t>
  </si>
  <si>
    <t xml:space="preserve">"dostat-025"</t>
  </si>
  <si>
    <t xml:space="preserve">DPHR: zabrat</t>
  </si>
  <si>
    <t xml:space="preserve">"dostat-026"</t>
  </si>
  <si>
    <t xml:space="preserve">DPHR: zelený.FS4</t>
  </si>
  <si>
    <t xml:space="preserve">"dostat-027"</t>
  </si>
  <si>
    <t xml:space="preserve">DPHR: hodně[muzika.S2]</t>
  </si>
  <si>
    <t xml:space="preserve">DPHR-&gt;ARG1/1524,ARG2/2,ARG4/1</t>
  </si>
  <si>
    <t xml:space="preserve">DPHR[hodně muziky]-&gt;Acquired</t>
  </si>
  <si>
    <t xml:space="preserve">DPHR[hodně muziky]-&gt;Acquired(ARG1/1524,ARG2/2,ARG4/1)</t>
  </si>
  <si>
    <t xml:space="preserve">"dostat-028"</t>
  </si>
  <si>
    <t xml:space="preserve">DPHR: co-5,proto-1</t>
  </si>
  <si>
    <t xml:space="preserve">"dostat-029"</t>
  </si>
  <si>
    <t xml:space="preserve">DPHR: za-1[vyučený.S4]</t>
  </si>
  <si>
    <t xml:space="preserve">"dostat-se-001"</t>
  </si>
  <si>
    <t xml:space="preserve">"dostat-se-002"</t>
  </si>
  <si>
    <t xml:space="preserve">PAT: 2; 1</t>
  </si>
  <si>
    <t xml:space="preserve">"dostat-se-003"</t>
  </si>
  <si>
    <t xml:space="preserve">ACT: 1; 2</t>
  </si>
  <si>
    <t xml:space="preserve">"dostat-se-004"</t>
  </si>
  <si>
    <t xml:space="preserve">"dostat-se-005"</t>
  </si>
  <si>
    <t xml:space="preserve">PAT-&gt;Situation_harmful</t>
  </si>
  <si>
    <t xml:space="preserve">PAT-&gt;Situation_harmful()</t>
  </si>
  <si>
    <t xml:space="preserve">ALT-COMPL: *</t>
  </si>
  <si>
    <t xml:space="preserve">"dostat-se-006"</t>
  </si>
  <si>
    <t xml:space="preserve">Escapee(ARG0/31), Area_1()</t>
  </si>
  <si>
    <t xml:space="preserve">Escapee(ARG0/26,ARG1/1), Situation_undesirable(ARG1/17,ARG2/1)</t>
  </si>
  <si>
    <t xml:space="preserve">ACT-&gt;ARG0/57,ARG1/1</t>
  </si>
  <si>
    <t xml:space="preserve">ACT-&gt;Escapee</t>
  </si>
  <si>
    <t xml:space="preserve">ACT-&gt;Escapee(ARG0/31)</t>
  </si>
  <si>
    <t xml:space="preserve">ACT-&gt;Escapee(ARG0/26,ARG1/1)</t>
  </si>
  <si>
    <t xml:space="preserve">DIR1-&gt;ARG1/17,ARG2/1</t>
  </si>
  <si>
    <t xml:space="preserve">DIR1-&gt;Area_1()</t>
  </si>
  <si>
    <t xml:space="preserve">DIR1-&gt;Situation_undesirable</t>
  </si>
  <si>
    <t xml:space="preserve">DIR1-&gt;Situation_undesirable(ARG1/17,ARG2/1)</t>
  </si>
  <si>
    <t xml:space="preserve">"dostat-se-007"</t>
  </si>
  <si>
    <t xml:space="preserve">"dostat-se-008"</t>
  </si>
  <si>
    <t xml:space="preserve">"dostat-se-009"</t>
  </si>
  <si>
    <t xml:space="preserve">"dostat-se-010"</t>
  </si>
  <si>
    <t xml:space="preserve">CPHR: do-1[{kontakt,konflikt,spor,styk,...}.2]</t>
  </si>
  <si>
    <t xml:space="preserve">CPHR-&gt;ARG2/5</t>
  </si>
  <si>
    <t xml:space="preserve">CPHR-&gt;State</t>
  </si>
  <si>
    <t xml:space="preserve">CPHR-&gt;State(ARG2/5)</t>
  </si>
  <si>
    <t xml:space="preserve">"dostat-se-011"</t>
  </si>
  <si>
    <t xml:space="preserve">DPHR: do-1[úzký.FP2]</t>
  </si>
  <si>
    <t xml:space="preserve">"dostat-se-012"</t>
  </si>
  <si>
    <t xml:space="preserve">DPHR: na-1[led:S4[tenký:#]]</t>
  </si>
  <si>
    <t xml:space="preserve">"dostat-se-013"</t>
  </si>
  <si>
    <t xml:space="preserve">DPHR: na-1[přetřes.S4]</t>
  </si>
  <si>
    <t xml:space="preserve">"dostat-se-014"</t>
  </si>
  <si>
    <t xml:space="preserve">DPHR: do-1[ulička.S2[slepý.#]]</t>
  </si>
  <si>
    <t xml:space="preserve">"dostat-se-015"</t>
  </si>
  <si>
    <t xml:space="preserve">"dostat-se-016"</t>
  </si>
  <si>
    <t xml:space="preserve">DPHR: pod-1[čepec.S4]</t>
  </si>
  <si>
    <t xml:space="preserve">"dostavit-se-001"</t>
  </si>
  <si>
    <t xml:space="preserve">ACT-&gt;ARG0/75,ARG1/82</t>
  </si>
  <si>
    <t xml:space="preserve">"dostavit-se-002"</t>
  </si>
  <si>
    <t xml:space="preserve">Emerging(ARG0/39,ARG1/403)</t>
  </si>
  <si>
    <t xml:space="preserve">ACT-&gt;ARG0/41,ARG1/642</t>
  </si>
  <si>
    <t xml:space="preserve">ACT-&gt;Emerging</t>
  </si>
  <si>
    <t xml:space="preserve">ACT-&gt;Emerging(ARG0/39,ARG1/403)</t>
  </si>
  <si>
    <t xml:space="preserve">"dostavovat-se-001"</t>
  </si>
  <si>
    <t xml:space="preserve">"dostavovat-se-002"</t>
  </si>
  <si>
    <t xml:space="preserve">"dostavět-001"</t>
  </si>
  <si>
    <t xml:space="preserve">"dostačovat-001"</t>
  </si>
  <si>
    <t xml:space="preserve">ACT: 1; .f; ↓že; ↓aby; ↓když</t>
  </si>
  <si>
    <t xml:space="preserve">"dostihnout-001"</t>
  </si>
  <si>
    <t xml:space="preserve">"dostopovat-001"</t>
  </si>
  <si>
    <t xml:space="preserve">"dostoupit-001"</t>
  </si>
  <si>
    <t xml:space="preserve">"dostoupit-002"</t>
  </si>
  <si>
    <t xml:space="preserve">"dostrkat-001"</t>
  </si>
  <si>
    <t xml:space="preserve">"dostudovat-001"</t>
  </si>
  <si>
    <t xml:space="preserve">"dostudovat-002"</t>
  </si>
  <si>
    <t xml:space="preserve">"dostudovávat-001"</t>
  </si>
  <si>
    <t xml:space="preserve">"dostát-001"</t>
  </si>
  <si>
    <t xml:space="preserve">"dostávat-001"</t>
  </si>
  <si>
    <t xml:space="preserve">"dostávat-002"</t>
  </si>
  <si>
    <t xml:space="preserve">"dostávat-003"</t>
  </si>
  <si>
    <t xml:space="preserve">"dostávat-004"</t>
  </si>
  <si>
    <t xml:space="preserve">"dostávat-005"</t>
  </si>
  <si>
    <t xml:space="preserve">"dostávat-006"</t>
  </si>
  <si>
    <t xml:space="preserve">"dostávat-007"</t>
  </si>
  <si>
    <t xml:space="preserve">"dostávat-008"</t>
  </si>
  <si>
    <t xml:space="preserve">"dostávat-009"</t>
  </si>
  <si>
    <t xml:space="preserve">"dostávat-010"</t>
  </si>
  <si>
    <t xml:space="preserve">"dostávat-011"</t>
  </si>
  <si>
    <t xml:space="preserve">"dostávat-012"</t>
  </si>
  <si>
    <t xml:space="preserve">"dostávat-013"</t>
  </si>
  <si>
    <t xml:space="preserve">CPHR: {doporučení,impuls,lekce,možnost,nabídka,návrh,odpověď,pokuta,povolení,prostor,přednost,příkaz,příležitost,příslib,přístup,rozkaz,slib,souhlas,ujištění,úkol,zákaz,zpráva,...}.4</t>
  </si>
  <si>
    <t xml:space="preserve">"dostávat-014"</t>
  </si>
  <si>
    <t xml:space="preserve">"dostávat-se-001"</t>
  </si>
  <si>
    <t xml:space="preserve">"dostávat-se-002"</t>
  </si>
  <si>
    <t xml:space="preserve">"dostávat-se-003"</t>
  </si>
  <si>
    <t xml:space="preserve">"dostávat-se-004"</t>
  </si>
  <si>
    <t xml:space="preserve">"dostávat-se-005"</t>
  </si>
  <si>
    <t xml:space="preserve">"dostávat-se-006"</t>
  </si>
  <si>
    <t xml:space="preserve">"dostávat-se-007"</t>
  </si>
  <si>
    <t xml:space="preserve">"dostávat-se-008"</t>
  </si>
  <si>
    <t xml:space="preserve">DPHR: pod-1[kůže.S4]</t>
  </si>
  <si>
    <t xml:space="preserve">"dostávat-se-009"</t>
  </si>
  <si>
    <t xml:space="preserve">DPHR: do-1[světlo:S2[jiný:#]]</t>
  </si>
  <si>
    <t xml:space="preserve">"dostávat-se-010"</t>
  </si>
  <si>
    <t xml:space="preserve">"dostávat-se-011"</t>
  </si>
  <si>
    <t xml:space="preserve">CPHR: do-1[{konflikt,spor,styk,...}.2]</t>
  </si>
  <si>
    <t xml:space="preserve">"dostříknout-001"</t>
  </si>
  <si>
    <t xml:space="preserve">"dosvědčit-001"</t>
  </si>
  <si>
    <t xml:space="preserve">"dosvědčovat-001"</t>
  </si>
  <si>
    <t xml:space="preserve">"dosáhnout-001"</t>
  </si>
  <si>
    <t xml:space="preserve">ACT-&gt;ARG0/1375,ARG1/16</t>
  </si>
  <si>
    <t xml:space="preserve">PAT-&gt;ARG1/2033,ARG2/2,ARG4/1</t>
  </si>
  <si>
    <t xml:space="preserve">"dosáhnout-002"</t>
  </si>
  <si>
    <t xml:space="preserve">ACT-&gt;ARG0/377,ARG1/322,ARG2/2</t>
  </si>
  <si>
    <t xml:space="preserve">PAT: 2; 4; na+4</t>
  </si>
  <si>
    <t xml:space="preserve">PAT-&gt;ARG0/3,ARG1/561,ARG2/405,ARG3/5</t>
  </si>
  <si>
    <t xml:space="preserve">"dosáhnout-003"</t>
  </si>
  <si>
    <t xml:space="preserve">"dosáhnout-004"</t>
  </si>
  <si>
    <t xml:space="preserve">"dosáhnout-005"</t>
  </si>
  <si>
    <t xml:space="preserve">"dosáhnout-006"</t>
  </si>
  <si>
    <t xml:space="preserve">"dotahovat-001"</t>
  </si>
  <si>
    <t xml:space="preserve">"dotahovat-002"</t>
  </si>
  <si>
    <t xml:space="preserve">"dotazovat-se-001"</t>
  </si>
  <si>
    <t xml:space="preserve">Speaker(ARG0/178,ARG1/2), Information(ARG1/212,ARG2/1), Audience_Addressee(ARG0/1,ARG1/21,ARG2/39)</t>
  </si>
  <si>
    <t xml:space="preserve">ACT-&gt;ARG0/178,ARG1/2</t>
  </si>
  <si>
    <t xml:space="preserve">ACT-&gt;Speaker(ARG0/178,ARG1/2)</t>
  </si>
  <si>
    <t xml:space="preserve">PAT: na+4; ↓zda; ↓jak-2; ↓jestli; ↓c; .s</t>
  </si>
  <si>
    <t xml:space="preserve">PAT-&gt;ARG1/212,ARG2/1</t>
  </si>
  <si>
    <t xml:space="preserve">PAT-&gt;Information(ARG1/212,ARG2/1)</t>
  </si>
  <si>
    <t xml:space="preserve">ADDR: 2</t>
  </si>
  <si>
    <t xml:space="preserve">ADDR-&gt;ARG0/1,ARG1/21,ARG2/39</t>
  </si>
  <si>
    <t xml:space="preserve">ADDR-&gt;Audience_Addressee(ARG0/1,ARG1/21,ARG2/39)</t>
  </si>
  <si>
    <t xml:space="preserve">"dotisknout-001"</t>
  </si>
  <si>
    <t xml:space="preserve">"dotknout-se-001"</t>
  </si>
  <si>
    <t xml:space="preserve">ACT: 7</t>
  </si>
  <si>
    <t xml:space="preserve">---: .$2&lt;s&gt;</t>
  </si>
  <si>
    <t xml:space="preserve">"dotknout-se-002"</t>
  </si>
  <si>
    <t xml:space="preserve">Agent(ARG0/6), Impactee(ARG1/10)</t>
  </si>
  <si>
    <t xml:space="preserve">ACT-&gt;ARG0/6</t>
  </si>
  <si>
    <t xml:space="preserve">ACT-&gt;Agent(ARG0/6)</t>
  </si>
  <si>
    <t xml:space="preserve">PAT-&gt;Impactee</t>
  </si>
  <si>
    <t xml:space="preserve">PAT-&gt;Impactee(ARG1/10)</t>
  </si>
  <si>
    <t xml:space="preserve">"dotknout-se-003"</t>
  </si>
  <si>
    <t xml:space="preserve">"dotknout-se-004"</t>
  </si>
  <si>
    <t xml:space="preserve">"dotknout-se-005"</t>
  </si>
  <si>
    <t xml:space="preserve">Influencing(ARG0/32), Affected(ARG1/46)</t>
  </si>
  <si>
    <t xml:space="preserve">Influencing(ARG0/18,ARG1/54,ARG2/80), Affected(ARG1/230,ARG2/80)</t>
  </si>
  <si>
    <t xml:space="preserve">ACT-&gt;ARG0/50,ARG1/54,ARG2/80</t>
  </si>
  <si>
    <t xml:space="preserve">ACT-&gt;Influencing</t>
  </si>
  <si>
    <t xml:space="preserve">ACT-&gt;Influencing(ARG0/32)</t>
  </si>
  <si>
    <t xml:space="preserve">ACT-&gt;Influencing(ARG0/18,ARG1/54,ARG2/80)</t>
  </si>
  <si>
    <t xml:space="preserve">PAT-&gt;ARG1/276,ARG2/80</t>
  </si>
  <si>
    <t xml:space="preserve">PAT-&gt;Affected(ARG1/46)</t>
  </si>
  <si>
    <t xml:space="preserve">PAT-&gt;Affected(ARG1/230,ARG2/80)</t>
  </si>
  <si>
    <t xml:space="preserve">"dotlačit-001"</t>
  </si>
  <si>
    <t xml:space="preserve">PAT: k+3; ↓aby; ↓ať; .f</t>
  </si>
  <si>
    <t xml:space="preserve">"dotovat-001"</t>
  </si>
  <si>
    <t xml:space="preserve">Helper(ARG0/61,ARG1/1,ARG2/13), Supported(ARG1/176)</t>
  </si>
  <si>
    <t xml:space="preserve">ACT-&gt;ARG0/61,ARG1/1,ARG2/13</t>
  </si>
  <si>
    <t xml:space="preserve">ACT-&gt;Helper</t>
  </si>
  <si>
    <t xml:space="preserve">ACT-&gt;Helper(ARG0/61,ARG1/1,ARG2/13)</t>
  </si>
  <si>
    <t xml:space="preserve">PAT-&gt;Supported</t>
  </si>
  <si>
    <t xml:space="preserve">PAT-&gt;Supported(ARG1/176)</t>
  </si>
  <si>
    <t xml:space="preserve">"dotvořit-001"</t>
  </si>
  <si>
    <t xml:space="preserve">?EFF: do+2; v+4</t>
  </si>
  <si>
    <t xml:space="preserve">"dotvrzovat-001"</t>
  </si>
  <si>
    <t xml:space="preserve">PAT: 4; ↓že; ↓zda; ↓jestli; ↓c; .s</t>
  </si>
  <si>
    <t xml:space="preserve">"dotvářet-001"</t>
  </si>
  <si>
    <t xml:space="preserve">"dotáhnout-001"</t>
  </si>
  <si>
    <t xml:space="preserve">"dotáhnout-002"</t>
  </si>
  <si>
    <t xml:space="preserve">"dotáhnout-003"</t>
  </si>
  <si>
    <t xml:space="preserve">"dotáhnout-004"</t>
  </si>
  <si>
    <t xml:space="preserve">"dotáhnout-se-001"</t>
  </si>
  <si>
    <t xml:space="preserve">"dotápět-001"</t>
  </si>
  <si>
    <t xml:space="preserve">"dotázat-se-001"</t>
  </si>
  <si>
    <t xml:space="preserve">"dotéci-001"</t>
  </si>
  <si>
    <t xml:space="preserve">Mover(ARG0/1,ARG1/21), Place()</t>
  </si>
  <si>
    <t xml:space="preserve">ACT-&gt;ARG0/140,ARG1/279</t>
  </si>
  <si>
    <t xml:space="preserve">ACT-&gt;Mover(ARG0/1,ARG1/21)</t>
  </si>
  <si>
    <t xml:space="preserve">DIR3-&gt;Place()</t>
  </si>
  <si>
    <t xml:space="preserve">"dotírat-001"</t>
  </si>
  <si>
    <t xml:space="preserve">"dotýkat-se-001"</t>
  </si>
  <si>
    <t xml:space="preserve">ACT-&gt;ARG0/18,ARG1/54,ARG2/80</t>
  </si>
  <si>
    <t xml:space="preserve">PAT-&gt;ARG1/230,ARG2/80</t>
  </si>
  <si>
    <t xml:space="preserve">"dotýkat-se-002"</t>
  </si>
  <si>
    <t xml:space="preserve">"dotýkat-se-003"</t>
  </si>
  <si>
    <t xml:space="preserve">"doufat-001"</t>
  </si>
  <si>
    <t xml:space="preserve">PAT: v+4; ↓že; ↓jestli; .f</t>
  </si>
  <si>
    <t xml:space="preserve">Protagonist(ARG0/815), Event_expected(ARG1/855)</t>
  </si>
  <si>
    <t xml:space="preserve">ACT-&gt;ARG0/815</t>
  </si>
  <si>
    <t xml:space="preserve">ACT-&gt;Protagonist(ARG0/815)</t>
  </si>
  <si>
    <t xml:space="preserve">PAT-&gt;ARG1/855</t>
  </si>
  <si>
    <t xml:space="preserve">PAT-&gt;Event_expected</t>
  </si>
  <si>
    <t xml:space="preserve">PAT-&gt;Event_expected(ARG1/855)</t>
  </si>
  <si>
    <t xml:space="preserve">"doufat-002"</t>
  </si>
  <si>
    <t xml:space="preserve">EFF: ↓že</t>
  </si>
  <si>
    <t xml:space="preserve">"doutnat-001"</t>
  </si>
  <si>
    <t xml:space="preserve">Emotion(ARG0/4,ARG1/5), Place()</t>
  </si>
  <si>
    <t xml:space="preserve">ACT-&gt;ARG0/4,ARG1/5</t>
  </si>
  <si>
    <t xml:space="preserve">ACT-&gt;Emotion</t>
  </si>
  <si>
    <t xml:space="preserve">ACT-&gt;Emotion(ARG0/4,ARG1/5)</t>
  </si>
  <si>
    <t xml:space="preserve">"doutnat-002"</t>
  </si>
  <si>
    <t xml:space="preserve">"doučit-se-001"</t>
  </si>
  <si>
    <t xml:space="preserve">PAT: 3; 7; na+4</t>
  </si>
  <si>
    <t xml:space="preserve">"doučovat-001"</t>
  </si>
  <si>
    <t xml:space="preserve">?ADDR: 4</t>
  </si>
  <si>
    <t xml:space="preserve">"doučovat-se-001"</t>
  </si>
  <si>
    <t xml:space="preserve">PAT: 4; 3; ↓že; .f; ↓c</t>
  </si>
  <si>
    <t xml:space="preserve">"dovařit-001"</t>
  </si>
  <si>
    <t xml:space="preserve">"dovařit-002"</t>
  </si>
  <si>
    <t xml:space="preserve">"dovažovat-001"</t>
  </si>
  <si>
    <t xml:space="preserve">"dovodit-001"</t>
  </si>
  <si>
    <t xml:space="preserve">"dovolat-se-001"</t>
  </si>
  <si>
    <t xml:space="preserve">"dovolat-se-002"</t>
  </si>
  <si>
    <t xml:space="preserve">"dovolat-se-003"</t>
  </si>
  <si>
    <t xml:space="preserve">"dovolit-001"</t>
  </si>
  <si>
    <t xml:space="preserve">Authority(ARG0/313,ARG1/1), Permitted(ARG1/540,ARG2/3), Affected(ARG1/455,ARG2/84)</t>
  </si>
  <si>
    <t xml:space="preserve">ACT-&gt;ARG0/313,ARG1/1</t>
  </si>
  <si>
    <t xml:space="preserve">ACT-&gt;Authority(ARG0/313,ARG1/1)</t>
  </si>
  <si>
    <t xml:space="preserve">PAT: 4; ↓aby; ↓ať; .f; ↓že</t>
  </si>
  <si>
    <t xml:space="preserve">PAT-&gt;ARG1/540,ARG2/3</t>
  </si>
  <si>
    <t xml:space="preserve">PAT-&gt;Permitted</t>
  </si>
  <si>
    <t xml:space="preserve">PAT-&gt;Permitted(ARG1/540,ARG2/3)</t>
  </si>
  <si>
    <t xml:space="preserve">ADDR-&gt;ARG1/455,ARG2/84</t>
  </si>
  <si>
    <t xml:space="preserve">ADDR-&gt;Affected(ARG1/455,ARG2/84)</t>
  </si>
  <si>
    <t xml:space="preserve">"dovolit-se-001"</t>
  </si>
  <si>
    <t xml:space="preserve">?EFF: ↓zda; ↓jestli; ↓že</t>
  </si>
  <si>
    <t xml:space="preserve">"dovolit-si-001"</t>
  </si>
  <si>
    <t xml:space="preserve">Agent(ARG0/28), Action(ARG1/34)</t>
  </si>
  <si>
    <t xml:space="preserve">ACT-&gt;ARG0/28</t>
  </si>
  <si>
    <t xml:space="preserve">ACT-&gt;Agent(ARG0/28)</t>
  </si>
  <si>
    <t xml:space="preserve">PAT: 4; na+4; .f; ↓aby; .f</t>
  </si>
  <si>
    <t xml:space="preserve">PAT-&gt;ARG1/34</t>
  </si>
  <si>
    <t xml:space="preserve">PAT-&gt;Action(ARG1/34)</t>
  </si>
  <si>
    <t xml:space="preserve">"dovolit-si-002"</t>
  </si>
  <si>
    <t xml:space="preserve">"dovolovat-001"</t>
  </si>
  <si>
    <t xml:space="preserve">PAT: 4; ↓aby; ↓ať; ↓že; .f</t>
  </si>
  <si>
    <t xml:space="preserve">"dovolovat-se-001"</t>
  </si>
  <si>
    <t xml:space="preserve">"dovolovat-si-001"</t>
  </si>
  <si>
    <t xml:space="preserve">"dovolávat-se-001"</t>
  </si>
  <si>
    <t xml:space="preserve">"dovozovat-001"</t>
  </si>
  <si>
    <t xml:space="preserve">"dovršit-001"</t>
  </si>
  <si>
    <t xml:space="preserve">"dovršit-002"</t>
  </si>
  <si>
    <t xml:space="preserve">"dovtípit-se-001"</t>
  </si>
  <si>
    <t xml:space="preserve">PAT: 2; ↓že</t>
  </si>
  <si>
    <t xml:space="preserve">"dovyprávět-001"</t>
  </si>
  <si>
    <t xml:space="preserve">"dovádět-001"</t>
  </si>
  <si>
    <t xml:space="preserve">"dovádět-002"</t>
  </si>
  <si>
    <t xml:space="preserve">"dovážet-001"</t>
  </si>
  <si>
    <t xml:space="preserve">"dovážet-002"</t>
  </si>
  <si>
    <t xml:space="preserve">"dovážit-001"</t>
  </si>
  <si>
    <t xml:space="preserve">"dovést-001"</t>
  </si>
  <si>
    <t xml:space="preserve">DIR3-&gt;State_final</t>
  </si>
  <si>
    <t xml:space="preserve">DIR3-&gt;State_final(ARG1/19,ARG2/22,ARG3/37)</t>
  </si>
  <si>
    <t xml:space="preserve">"dovést-002"</t>
  </si>
  <si>
    <t xml:space="preserve">PAT-&gt;ARG0/1,ARG1/272,ARG2/1</t>
  </si>
  <si>
    <t xml:space="preserve">DIR3-&gt;Destination()</t>
  </si>
  <si>
    <t xml:space="preserve">"dovést-003"</t>
  </si>
  <si>
    <t xml:space="preserve">"dovést-004"</t>
  </si>
  <si>
    <t xml:space="preserve">"dovézt-001"</t>
  </si>
  <si>
    <t xml:space="preserve">"dovézt-002"</t>
  </si>
  <si>
    <t xml:space="preserve">"dovídat-se-001"</t>
  </si>
  <si>
    <t xml:space="preserve">"dovídat-se-002"</t>
  </si>
  <si>
    <t xml:space="preserve">"dovědět-se-001"</t>
  </si>
  <si>
    <t xml:space="preserve">"dovědět-se-002"</t>
  </si>
  <si>
    <t xml:space="preserve">"dozdívat-001"</t>
  </si>
  <si>
    <t xml:space="preserve">"doznat-001"</t>
  </si>
  <si>
    <t xml:space="preserve">"doznat-se-001"</t>
  </si>
  <si>
    <t xml:space="preserve">Protagonist(ARG0/178,ARG1/2), Admitted(ARG1/158,ARG2/28), Audience_Addressee(ARG2/2)</t>
  </si>
  <si>
    <t xml:space="preserve">ACT-&gt;Protagonist(ARG0/178,ARG1/2)</t>
  </si>
  <si>
    <t xml:space="preserve">PAT: k+3; ↓že; ↓jak-2; ↓c; .s</t>
  </si>
  <si>
    <t xml:space="preserve">PAT-&gt;ARG1/158,ARG2/28</t>
  </si>
  <si>
    <t xml:space="preserve">PAT-&gt;Admitted</t>
  </si>
  <si>
    <t xml:space="preserve">PAT-&gt;Admitted(ARG1/158,ARG2/28)</t>
  </si>
  <si>
    <t xml:space="preserve">ADDR-&gt;Audience_Addressee(ARG2/2)</t>
  </si>
  <si>
    <t xml:space="preserve">"doznávat-001"</t>
  </si>
  <si>
    <t xml:space="preserve">"doznít-001"</t>
  </si>
  <si>
    <t xml:space="preserve">"doznívat-001"</t>
  </si>
  <si>
    <t xml:space="preserve">"dozrát-001"</t>
  </si>
  <si>
    <t xml:space="preserve">Ripening(ARG1/4)</t>
  </si>
  <si>
    <t xml:space="preserve">ACT-&gt;Ripening</t>
  </si>
  <si>
    <t xml:space="preserve">ACT-&gt;Ripening(ARG1/4)</t>
  </si>
  <si>
    <t xml:space="preserve">"dozrát-002"</t>
  </si>
  <si>
    <t xml:space="preserve">"dozrávat-001"</t>
  </si>
  <si>
    <t xml:space="preserve">"dozrávat-002"</t>
  </si>
  <si>
    <t xml:space="preserve">"dozvídat-se-001"</t>
  </si>
  <si>
    <t xml:space="preserve">"dozvídat-se-002"</t>
  </si>
  <si>
    <t xml:space="preserve">"dozvědět-se-001"</t>
  </si>
  <si>
    <t xml:space="preserve">"dozvědět-se-002"</t>
  </si>
  <si>
    <t xml:space="preserve">"dozávodit-001"</t>
  </si>
  <si>
    <t xml:space="preserve">?PAT: o+4</t>
  </si>
  <si>
    <t xml:space="preserve">?ADDR: s+7; proti+3</t>
  </si>
  <si>
    <t xml:space="preserve">"dozírat-001"</t>
  </si>
  <si>
    <t xml:space="preserve">"dočkat-se-001"</t>
  </si>
  <si>
    <t xml:space="preserve">"dočkat-se-002"</t>
  </si>
  <si>
    <t xml:space="preserve">"dočkat-se-003"</t>
  </si>
  <si>
    <t xml:space="preserve">PAT: ↓až-3</t>
  </si>
  <si>
    <t xml:space="preserve">"dočíst-se-001"</t>
  </si>
  <si>
    <t xml:space="preserve">"dočíst-se-002"</t>
  </si>
  <si>
    <t xml:space="preserve">"dočítat-se-001"</t>
  </si>
  <si>
    <t xml:space="preserve">"dořezat-se-001"</t>
  </si>
  <si>
    <t xml:space="preserve">DPHR: krev.S2</t>
  </si>
  <si>
    <t xml:space="preserve">"dořešit-001"</t>
  </si>
  <si>
    <t xml:space="preserve">Agent(ARG0/152), Issue(ARG1/386,ARG2/7)</t>
  </si>
  <si>
    <t xml:space="preserve">ACT-&gt;ARG0/296</t>
  </si>
  <si>
    <t xml:space="preserve">ACT-&gt;Agent(ARG0/152)</t>
  </si>
  <si>
    <t xml:space="preserve">PAT: 4; ↓že; ↓jestli; ↓zda; ↓c</t>
  </si>
  <si>
    <t xml:space="preserve">PAT-&gt;ARG0/1,ARG1/596,ARG2/15</t>
  </si>
  <si>
    <t xml:space="preserve">PAT-&gt;Issue(ARG1/386,ARG2/7)</t>
  </si>
  <si>
    <t xml:space="preserve">"dořvat-001"</t>
  </si>
  <si>
    <t xml:space="preserve">"doříci-001"</t>
  </si>
  <si>
    <t xml:space="preserve">"doškolovat-001"</t>
  </si>
  <si>
    <t xml:space="preserve">"došlápnout-001"</t>
  </si>
  <si>
    <t xml:space="preserve">"došlápnout-si-001"</t>
  </si>
  <si>
    <t xml:space="preserve">"došplhat-se-001"</t>
  </si>
  <si>
    <t xml:space="preserve">"doštráchat-se-001"</t>
  </si>
  <si>
    <t xml:space="preserve">"dožadovat-se-001"</t>
  </si>
  <si>
    <t xml:space="preserve">PAT: 2; ↓aby; .s</t>
  </si>
  <si>
    <t xml:space="preserve">"dožít-001"</t>
  </si>
  <si>
    <t xml:space="preserve">"dožít-002"</t>
  </si>
  <si>
    <t xml:space="preserve">"dožít-se-001"</t>
  </si>
  <si>
    <t xml:space="preserve">"dožívat-se-001"</t>
  </si>
  <si>
    <t xml:space="preserve">"dramatizovat-001"</t>
  </si>
  <si>
    <t xml:space="preserve">"dramatizovat-002"</t>
  </si>
  <si>
    <t xml:space="preserve">"drancovat-001"</t>
  </si>
  <si>
    <t xml:space="preserve">Absorber(ARG0/18), Resource(ARG1/33)</t>
  </si>
  <si>
    <t xml:space="preserve">Perpetrator(), Asset(ARG1/1)</t>
  </si>
  <si>
    <t xml:space="preserve">ACT-&gt;ARG0/103,ARG2/6</t>
  </si>
  <si>
    <t xml:space="preserve">ACT-&gt;Absorber(ARG0/18)</t>
  </si>
  <si>
    <t xml:space="preserve">ACT-&gt;Perpetrator()</t>
  </si>
  <si>
    <t xml:space="preserve">PAT-&gt;ARG1/213</t>
  </si>
  <si>
    <t xml:space="preserve">PAT-&gt;Resource(ARG1/33)</t>
  </si>
  <si>
    <t xml:space="preserve">PAT-&gt;Asset(ARG1/1)</t>
  </si>
  <si>
    <t xml:space="preserve">"drandit-001"</t>
  </si>
  <si>
    <t xml:space="preserve">"dražit-001"</t>
  </si>
  <si>
    <t xml:space="preserve">Seller(ARG0/8), Goods(ARG1/19)</t>
  </si>
  <si>
    <t xml:space="preserve">ACT-&gt;Seller</t>
  </si>
  <si>
    <t xml:space="preserve">ACT-&gt;Seller(ARG0/8)</t>
  </si>
  <si>
    <t xml:space="preserve">PAT-&gt;ARG1/19</t>
  </si>
  <si>
    <t xml:space="preserve">PAT-&gt;Goods</t>
  </si>
  <si>
    <t xml:space="preserve">PAT-&gt;Goods(ARG1/19)</t>
  </si>
  <si>
    <t xml:space="preserve">"drbat-001"</t>
  </si>
  <si>
    <t xml:space="preserve">PAT: o+6; ↓že</t>
  </si>
  <si>
    <t xml:space="preserve">?ADDR: s+7</t>
  </si>
  <si>
    <t xml:space="preserve">"drbat-002"</t>
  </si>
  <si>
    <t xml:space="preserve">"drhnout-001"</t>
  </si>
  <si>
    <t xml:space="preserve">"drhnout-002"</t>
  </si>
  <si>
    <t xml:space="preserve">"drncat-001"</t>
  </si>
  <si>
    <t xml:space="preserve">"drobit-001"</t>
  </si>
  <si>
    <t xml:space="preserve">?EFF: na+4; do+2; v+4</t>
  </si>
  <si>
    <t xml:space="preserve">"drolit-se-001"</t>
  </si>
  <si>
    <t xml:space="preserve">?PAT: na+4; do+2; v+4</t>
  </si>
  <si>
    <t xml:space="preserve">"drožkařit-001"</t>
  </si>
  <si>
    <t xml:space="preserve">"drtit-001"</t>
  </si>
  <si>
    <t xml:space="preserve">"družit-se-001"</t>
  </si>
  <si>
    <t xml:space="preserve">"družit-se-002"</t>
  </si>
  <si>
    <t xml:space="preserve">Participant_1(ARG0/16,ARG1/32), Participant_2(ARG1/19,ARG2/24), Whole(ARG1/5,ARG2/3,ARG3/2)</t>
  </si>
  <si>
    <t xml:space="preserve">ACT-&gt;ARG0/16,ARG1/32</t>
  </si>
  <si>
    <t xml:space="preserve">ACT-&gt;Participant_1(ARG0/16,ARG1/32)</t>
  </si>
  <si>
    <t xml:space="preserve">PAT-&gt;ARG1/19,ARG2/24</t>
  </si>
  <si>
    <t xml:space="preserve">PAT-&gt;Participant_2(ARG1/19,ARG2/24)</t>
  </si>
  <si>
    <t xml:space="preserve">"družit-se-003"</t>
  </si>
  <si>
    <t xml:space="preserve">"drápat-se-001"</t>
  </si>
  <si>
    <t xml:space="preserve">Protagonist(ARG0/30,ARG1/28,ARG2/1), Goal(ARG1/26,ARG2/1)</t>
  </si>
  <si>
    <t xml:space="preserve">ACT-&gt;ARG0/169,ARG1/286,ARG2/1</t>
  </si>
  <si>
    <t xml:space="preserve">ACT-&gt;Protagonist(ARG0/30,ARG1/28,ARG2/1)</t>
  </si>
  <si>
    <t xml:space="preserve">DIR3-&gt;ARG1/161,ARG2/1</t>
  </si>
  <si>
    <t xml:space="preserve">DIR3-&gt;Goal</t>
  </si>
  <si>
    <t xml:space="preserve">DIR3-&gt;Goal(ARG1/26,ARG2/1)</t>
  </si>
  <si>
    <t xml:space="preserve">"drát-se-001"</t>
  </si>
  <si>
    <t xml:space="preserve">"drát-se-002"</t>
  </si>
  <si>
    <t xml:space="preserve">"dráždit-001"</t>
  </si>
  <si>
    <t xml:space="preserve">"dráždit-002"</t>
  </si>
  <si>
    <t xml:space="preserve">"dráždit-003"</t>
  </si>
  <si>
    <t xml:space="preserve">?PAT: k+3; na+4</t>
  </si>
  <si>
    <t xml:space="preserve">"držet-001"</t>
  </si>
  <si>
    <t xml:space="preserve">EFF: .a; .d</t>
  </si>
  <si>
    <t xml:space="preserve">"držet-002"</t>
  </si>
  <si>
    <t xml:space="preserve">Agent(ARG0/38), Entity(ARG0/2,ARG1/43), State(ARG1/78)</t>
  </si>
  <si>
    <t xml:space="preserve">ACT-&gt;ARG0/38</t>
  </si>
  <si>
    <t xml:space="preserve">ACT-&gt;Agent(ARG0/38)</t>
  </si>
  <si>
    <t xml:space="preserve">PAT-&gt;ARG0/2,ARG1/43</t>
  </si>
  <si>
    <t xml:space="preserve">PAT-&gt;Entity(ARG0/2,ARG1/43)</t>
  </si>
  <si>
    <t xml:space="preserve">LOC: =</t>
  </si>
  <si>
    <t xml:space="preserve">LOC-&gt;ARG1/78</t>
  </si>
  <si>
    <t xml:space="preserve">LOC-&gt;State</t>
  </si>
  <si>
    <t xml:space="preserve">LOC-&gt;State(ARG1/78)</t>
  </si>
  <si>
    <t xml:space="preserve">"držet-003"</t>
  </si>
  <si>
    <t xml:space="preserve">Authority(ARG0/3), Impactee(ARG1/7), Place()</t>
  </si>
  <si>
    <t xml:space="preserve">ACT-&gt;Authority(ARG0/3)</t>
  </si>
  <si>
    <t xml:space="preserve">PAT-&gt;ARG1/7</t>
  </si>
  <si>
    <t xml:space="preserve">PAT-&gt;Impactee(ARG1/7)</t>
  </si>
  <si>
    <t xml:space="preserve">LOC-&gt;Place</t>
  </si>
  <si>
    <t xml:space="preserve">LOC-&gt;Place()</t>
  </si>
  <si>
    <t xml:space="preserve">"držet-004"</t>
  </si>
  <si>
    <t xml:space="preserve">Protagonist(ARG0/187,ARG1/2), Manipulated(ARG1/205)</t>
  </si>
  <si>
    <t xml:space="preserve">ACT-&gt;ARG0/187,ARG1/2</t>
  </si>
  <si>
    <t xml:space="preserve">ACT-&gt;Protagonist(ARG0/187,ARG1/2)</t>
  </si>
  <si>
    <t xml:space="preserve">PAT-&gt;ARG1/205</t>
  </si>
  <si>
    <t xml:space="preserve">PAT-&gt;Manipulated(ARG1/205)</t>
  </si>
  <si>
    <t xml:space="preserve">"držet-005"</t>
  </si>
  <si>
    <t xml:space="preserve">Asset_controller(ARG0/293), Asset(ARG1/270)</t>
  </si>
  <si>
    <t xml:space="preserve">ACT-&gt;ARG0/293</t>
  </si>
  <si>
    <t xml:space="preserve">ACT-&gt;Asset_controller</t>
  </si>
  <si>
    <t xml:space="preserve">ACT-&gt;Asset_controller(ARG0/293)</t>
  </si>
  <si>
    <t xml:space="preserve">PAT-&gt;ARG1/270</t>
  </si>
  <si>
    <t xml:space="preserve">PAT-&gt;Asset(ARG1/270)</t>
  </si>
  <si>
    <t xml:space="preserve">"držet-006"</t>
  </si>
  <si>
    <t xml:space="preserve">"držet-007"</t>
  </si>
  <si>
    <t xml:space="preserve">"držet-008"</t>
  </si>
  <si>
    <t xml:space="preserve">Preserver(ARG0/415,ARG1/162), Preserved(ARG1/637)</t>
  </si>
  <si>
    <t xml:space="preserve">Protagonist(ARG0/81,ARG1/4), Attribute(ARG1/115,ARG2/3)</t>
  </si>
  <si>
    <t xml:space="preserve">ACT-&gt;ARG0/496,ARG1/166</t>
  </si>
  <si>
    <t xml:space="preserve">ACT-&gt;Preserver</t>
  </si>
  <si>
    <t xml:space="preserve">ACT-&gt;Preserver(ARG0/415,ARG1/162)</t>
  </si>
  <si>
    <t xml:space="preserve">ACT-&gt;Protagonist(ARG0/81,ARG1/4)</t>
  </si>
  <si>
    <t xml:space="preserve">PAT-&gt;ARG1/752,ARG2/3</t>
  </si>
  <si>
    <t xml:space="preserve">PAT-&gt;Preserved</t>
  </si>
  <si>
    <t xml:space="preserve">PAT-&gt;Preserved(ARG1/637)</t>
  </si>
  <si>
    <t xml:space="preserve">PAT-&gt;Attribute(ARG1/115,ARG2/3)</t>
  </si>
  <si>
    <t xml:space="preserve">"držet-009"</t>
  </si>
  <si>
    <t xml:space="preserve">"držet-010"</t>
  </si>
  <si>
    <t xml:space="preserve">"držet-011"</t>
  </si>
  <si>
    <t xml:space="preserve">DPHR: při-1[život.S6]</t>
  </si>
  <si>
    <t xml:space="preserve">"držet-012"</t>
  </si>
  <si>
    <t xml:space="preserve">Participant_1(ARG0/13), Participant_2(ARG1/14,ARG2/4)</t>
  </si>
  <si>
    <t xml:space="preserve">ACT-&gt;ARG0/13</t>
  </si>
  <si>
    <t xml:space="preserve">ACT-&gt;Participant_1(ARG0/13)</t>
  </si>
  <si>
    <t xml:space="preserve">DPHR: krok.S4</t>
  </si>
  <si>
    <t xml:space="preserve">PAT-&gt;ARG1/14,ARG2/4</t>
  </si>
  <si>
    <t xml:space="preserve">PAT-&gt;Participant_2(ARG1/14,ARG2/4)</t>
  </si>
  <si>
    <t xml:space="preserve">"držet-013"</t>
  </si>
  <si>
    <t xml:space="preserve">DPHR: na-1[oprať.S6]</t>
  </si>
  <si>
    <t xml:space="preserve">"držet-014"</t>
  </si>
  <si>
    <t xml:space="preserve">DPHR: na-1[uzda.S6]</t>
  </si>
  <si>
    <t xml:space="preserve">DPHR-&gt;ARG1/78</t>
  </si>
  <si>
    <t xml:space="preserve">DPHR[na uzdě]-&gt;State</t>
  </si>
  <si>
    <t xml:space="preserve">DPHR[na uzdě]-&gt;State(ARG1/78)</t>
  </si>
  <si>
    <t xml:space="preserve">"držet-015"</t>
  </si>
  <si>
    <t xml:space="preserve">DPHR: nad-1[voda.7]</t>
  </si>
  <si>
    <t xml:space="preserve">"držet-016"</t>
  </si>
  <si>
    <t xml:space="preserve">DPHR: v-1[šach-1.S6]</t>
  </si>
  <si>
    <t xml:space="preserve">"držet-017"</t>
  </si>
  <si>
    <t xml:space="preserve">DPHR: v-1[tajnost.6]</t>
  </si>
  <si>
    <t xml:space="preserve">"držet-018"</t>
  </si>
  <si>
    <t xml:space="preserve">DPHR: rekord.4</t>
  </si>
  <si>
    <t xml:space="preserve">"držet-019"</t>
  </si>
  <si>
    <t xml:space="preserve">"držet-020"</t>
  </si>
  <si>
    <t xml:space="preserve">DPHR: pod-1[poklička.S7]</t>
  </si>
  <si>
    <t xml:space="preserve">"držet-021"</t>
  </si>
  <si>
    <t xml:space="preserve">DPHR: huba.S4</t>
  </si>
  <si>
    <t xml:space="preserve">"držet-022"</t>
  </si>
  <si>
    <t xml:space="preserve">DPHR: palec.P4</t>
  </si>
  <si>
    <t xml:space="preserve">"držet-023"</t>
  </si>
  <si>
    <t xml:space="preserve">DPHR: parta.S4</t>
  </si>
  <si>
    <t xml:space="preserve">"držet-024"</t>
  </si>
  <si>
    <t xml:space="preserve">DPHR: ruka.S4</t>
  </si>
  <si>
    <t xml:space="preserve">"držet-025"</t>
  </si>
  <si>
    <t xml:space="preserve">DPHR: pohromadě</t>
  </si>
  <si>
    <t xml:space="preserve">?PAT: s+7</t>
  </si>
  <si>
    <t xml:space="preserve">"držet-026"</t>
  </si>
  <si>
    <t xml:space="preserve">DPHR: pospolu</t>
  </si>
  <si>
    <t xml:space="preserve">"držet-027"</t>
  </si>
  <si>
    <t xml:space="preserve">DPHR: zpátky</t>
  </si>
  <si>
    <t xml:space="preserve">"držet-028"</t>
  </si>
  <si>
    <t xml:space="preserve">"držet-029"</t>
  </si>
  <si>
    <t xml:space="preserve">"držet-030"</t>
  </si>
  <si>
    <t xml:space="preserve">DPHR: zvyk.P4</t>
  </si>
  <si>
    <t xml:space="preserve">"držet-031"</t>
  </si>
  <si>
    <t xml:space="preserve">"držet-032"</t>
  </si>
  <si>
    <t xml:space="preserve">PAT: s+7; při+6</t>
  </si>
  <si>
    <t xml:space="preserve">"držet-033"</t>
  </si>
  <si>
    <t xml:space="preserve">"držet-034"</t>
  </si>
  <si>
    <t xml:space="preserve">"držet-se-001"</t>
  </si>
  <si>
    <t xml:space="preserve">"držet-se-002"</t>
  </si>
  <si>
    <t xml:space="preserve">"držet-se-003"</t>
  </si>
  <si>
    <t xml:space="preserve">Protagonist(ARG0/1,ARG1/134), Place(ARG3/92)</t>
  </si>
  <si>
    <t xml:space="preserve">ACT-&gt;ARG0/18,ARG1/3817,ARG2/296,ARG3/1</t>
  </si>
  <si>
    <t xml:space="preserve">ACT-&gt;Protagonist(ARG0/1,ARG1/134)</t>
  </si>
  <si>
    <t xml:space="preserve">LOC-&gt;ARG1/124,ARG2/3551,ARG3/507</t>
  </si>
  <si>
    <t xml:space="preserve">LOC-&gt;State(ARG1/124,ARG2/3551,ARG3/415)</t>
  </si>
  <si>
    <t xml:space="preserve">LOC-&gt;Place(ARG3/92)</t>
  </si>
  <si>
    <t xml:space="preserve">"držet-se-004"</t>
  </si>
  <si>
    <t xml:space="preserve">ACT-&gt;ARG0/1,ARG1/134</t>
  </si>
  <si>
    <t xml:space="preserve">LOC-&gt;ARG3/92</t>
  </si>
  <si>
    <t xml:space="preserve">"držet-se-005"</t>
  </si>
  <si>
    <t xml:space="preserve">"držet-se-006"</t>
  </si>
  <si>
    <t xml:space="preserve">DPHR: nad-1[voda.S7]</t>
  </si>
  <si>
    <t xml:space="preserve">"držet-se-007"</t>
  </si>
  <si>
    <t xml:space="preserve">DPHR: zpátky; dál</t>
  </si>
  <si>
    <t xml:space="preserve">"držet-se-008"</t>
  </si>
  <si>
    <t xml:space="preserve">DPHR: při-1[zeď.S6]</t>
  </si>
  <si>
    <t xml:space="preserve">"držet-se-009"</t>
  </si>
  <si>
    <t xml:space="preserve">"držet-se-010"</t>
  </si>
  <si>
    <t xml:space="preserve">"držet-se-011"</t>
  </si>
  <si>
    <t xml:space="preserve">"držet-si-001"</t>
  </si>
  <si>
    <t xml:space="preserve">DPHR: odstup.S4</t>
  </si>
  <si>
    <t xml:space="preserve">"dublovat-001"</t>
  </si>
  <si>
    <t xml:space="preserve">"dumat-001"</t>
  </si>
  <si>
    <t xml:space="preserve">Thinker(ARG0/2), Issue(ARG1/5)</t>
  </si>
  <si>
    <t xml:space="preserve">ACT-&gt;Thinker(ARG0/2)</t>
  </si>
  <si>
    <t xml:space="preserve">PAT: o+6; nad+7; ↓že; ↓zda; ↓c; ↓jestli; .s</t>
  </si>
  <si>
    <t xml:space="preserve">PAT-&gt;Issue(ARG1/5)</t>
  </si>
  <si>
    <t xml:space="preserve">"dunět-001"</t>
  </si>
  <si>
    <t xml:space="preserve">"dupnout-si-001"</t>
  </si>
  <si>
    <t xml:space="preserve">"dusat-001"</t>
  </si>
  <si>
    <t xml:space="preserve">"dusit-001"</t>
  </si>
  <si>
    <t xml:space="preserve">"dusit-002"</t>
  </si>
  <si>
    <t xml:space="preserve">Assailant(ARG0/2), Victim(ARG1/2)</t>
  </si>
  <si>
    <t xml:space="preserve">ACT-&gt;Assailant(ARG0/2)</t>
  </si>
  <si>
    <t xml:space="preserve">PAT-&gt;Victim(ARG1/2)</t>
  </si>
  <si>
    <t xml:space="preserve">"dusit-003"</t>
  </si>
  <si>
    <t xml:space="preserve">Cause(ARG0/26), Entity(ARG1/60)</t>
  </si>
  <si>
    <t xml:space="preserve">ACT-&gt;ARG0/26</t>
  </si>
  <si>
    <t xml:space="preserve">ACT-&gt;Cause(ARG0/26)</t>
  </si>
  <si>
    <t xml:space="preserve">PAT-&gt;Entity(ARG1/60)</t>
  </si>
  <si>
    <t xml:space="preserve">"dusit-004"</t>
  </si>
  <si>
    <t xml:space="preserve">"dusit-se-001"</t>
  </si>
  <si>
    <t xml:space="preserve">"dutat-001"</t>
  </si>
  <si>
    <t xml:space="preserve">"dušovat-se-001"</t>
  </si>
  <si>
    <t xml:space="preserve">PAT: ↓že</t>
  </si>
  <si>
    <t xml:space="preserve">"dvořit-se-001"</t>
  </si>
  <si>
    <t xml:space="preserve">Protagonist(ARG0/6,ARG1/1), Attractee(ARG1/8,ARG2/1)</t>
  </si>
  <si>
    <t xml:space="preserve">ACT-&gt;ARG0/6,ARG1/1</t>
  </si>
  <si>
    <t xml:space="preserve">ACT-&gt;Protagonist(ARG0/6,ARG1/1)</t>
  </si>
  <si>
    <t xml:space="preserve">PAT-&gt;ARG1/8,ARG2/1</t>
  </si>
  <si>
    <t xml:space="preserve">PAT-&gt;Attractee</t>
  </si>
  <si>
    <t xml:space="preserve">PAT-&gt;Attractee(ARG1/8,ARG2/1)</t>
  </si>
  <si>
    <t xml:space="preserve">"dychtit-001"</t>
  </si>
  <si>
    <t xml:space="preserve">PAT: po+6; .f</t>
  </si>
  <si>
    <t xml:space="preserve">"--dychtit-002"</t>
  </si>
  <si>
    <t xml:space="preserve">"dát-001"</t>
  </si>
  <si>
    <t xml:space="preserve">Authority(ARG0/239), Assignment(ARG1/342,ARG2/1), Affected(ARG1/4,ARG2/309)</t>
  </si>
  <si>
    <t xml:space="preserve">ACT-&gt;ARG0/239</t>
  </si>
  <si>
    <t xml:space="preserve">ACT-&gt;Authority(ARG0/239)</t>
  </si>
  <si>
    <t xml:space="preserve">PAT-&gt;ARG1/342,ARG2/1</t>
  </si>
  <si>
    <t xml:space="preserve">PAT-&gt;Assignment(ARG1/342,ARG2/1)</t>
  </si>
  <si>
    <t xml:space="preserve">ADDR-&gt;ARG1/4,ARG2/309</t>
  </si>
  <si>
    <t xml:space="preserve">ADDR-&gt;Affected(ARG1/4,ARG2/309)</t>
  </si>
  <si>
    <t xml:space="preserve">?EFF: za+4; 7; 4[{jako,jakožto}:/AuxY]</t>
  </si>
  <si>
    <t xml:space="preserve">EFF-&gt;ARG1/342,ARG2/1</t>
  </si>
  <si>
    <t xml:space="preserve">EFF-&gt;Assignment</t>
  </si>
  <si>
    <t xml:space="preserve">EFF-&gt;Assignment(ARG1/342,ARG2/1)</t>
  </si>
  <si>
    <t xml:space="preserve">"dát-002"</t>
  </si>
  <si>
    <t xml:space="preserve">?EFF: 7; 4[{jako,jakožto}:/AuxY]; za+4</t>
  </si>
  <si>
    <t xml:space="preserve">"dát-003"</t>
  </si>
  <si>
    <t xml:space="preserve">Offerer(ARG0/572,ARG1/2), Offered(ARG1/767,ARG2/53,ARG3/1), Recipient(ARG1/10,ARG2/176,ARG3/86)</t>
  </si>
  <si>
    <t xml:space="preserve">ACT-&gt;ARG0/779,ARG1/2,ARG3/1</t>
  </si>
  <si>
    <t xml:space="preserve">ACT-&gt;Offerer</t>
  </si>
  <si>
    <t xml:space="preserve">ACT-&gt;Offerer(ARG0/572,ARG1/2)</t>
  </si>
  <si>
    <t xml:space="preserve">PAT-&gt;ARG0/1,ARG1/879,ARG2/60,ARG3/144</t>
  </si>
  <si>
    <t xml:space="preserve">PAT-&gt;Offered</t>
  </si>
  <si>
    <t xml:space="preserve">PAT-&gt;Offered(ARG1/767,ARG2/53,ARG3/1)</t>
  </si>
  <si>
    <t xml:space="preserve">ADDR-&gt;ARG1/10,ARG2/176,ARG3/86</t>
  </si>
  <si>
    <t xml:space="preserve">ADDR-&gt;Recipient(ARG1/10,ARG2/176,ARG3/86)</t>
  </si>
  <si>
    <t xml:space="preserve">EFF-&gt;ARG1/112,ARG2/2,ARG3/1</t>
  </si>
  <si>
    <t xml:space="preserve">EFF-&gt;Recompensated</t>
  </si>
  <si>
    <t xml:space="preserve">EFF-&gt;Recompensated(ARG1/112,ARG2/2,ARG3/1)</t>
  </si>
  <si>
    <t xml:space="preserve">"dát-004"</t>
  </si>
  <si>
    <t xml:space="preserve">PAT: 4; ↓aby; .f; ↓že; .v</t>
  </si>
  <si>
    <t xml:space="preserve">"dát-005"</t>
  </si>
  <si>
    <t xml:space="preserve">ACT-&gt;ARG0/1222,ARG2/1</t>
  </si>
  <si>
    <t xml:space="preserve">PAT-&gt;ARG1/1716,ARG2/12</t>
  </si>
  <si>
    <t xml:space="preserve">ADDR-&gt;ARG1/49,ARG2/1150,ARG4/2</t>
  </si>
  <si>
    <t xml:space="preserve">"dát-006"</t>
  </si>
  <si>
    <t xml:space="preserve">"dát-007"</t>
  </si>
  <si>
    <t xml:space="preserve">Authority(ARG0/236,ARG1/1,ARG2/3), Affected(ARG1/22,ARG2/77,ARG3/34), Goal(ARG1/381)</t>
  </si>
  <si>
    <t xml:space="preserve">ACT-&gt;ARG0/826,ARG1/187,ARG2/9</t>
  </si>
  <si>
    <t xml:space="preserve">ACT-&gt;Authority(ARG0/236,ARG1/1,ARG2/3)</t>
  </si>
  <si>
    <t xml:space="preserve">PAT-&gt;ARG1/1094,ARG2/1</t>
  </si>
  <si>
    <t xml:space="preserve">PAT[ADDR]-&gt;Action</t>
  </si>
  <si>
    <t xml:space="preserve">PAT[ADDR]-&gt;Action(ARG1/713,ARG2/1)</t>
  </si>
  <si>
    <t xml:space="preserve">PAT-&gt;Goal(ARG1/381)</t>
  </si>
  <si>
    <t xml:space="preserve">ADDR-&gt;ARG1/22,ARG2/77,ARG3/34</t>
  </si>
  <si>
    <t xml:space="preserve">ADDR-&gt;Affected(ARG1/22,ARG2/77,ARG3/34)</t>
  </si>
  <si>
    <t xml:space="preserve">"dát-008"</t>
  </si>
  <si>
    <t xml:space="preserve">ACT: 1; .f; ↓než-3</t>
  </si>
  <si>
    <t xml:space="preserve">"dát-009"</t>
  </si>
  <si>
    <t xml:space="preserve">Orderer(ARG0/87), Affected(ARG1/175), Action(ARG1/169)</t>
  </si>
  <si>
    <t xml:space="preserve">ACT-&gt;Orderer</t>
  </si>
  <si>
    <t xml:space="preserve">ACT-&gt;Orderer(ARG0/87)</t>
  </si>
  <si>
    <t xml:space="preserve">PAT-&gt;ARG1/175</t>
  </si>
  <si>
    <t xml:space="preserve">PAT-&gt;Affected(ARG1/175)</t>
  </si>
  <si>
    <t xml:space="preserve">EFF-&gt;ARG1/169</t>
  </si>
  <si>
    <t xml:space="preserve">EFF-&gt;Action</t>
  </si>
  <si>
    <t xml:space="preserve">EFF-&gt;Action(ARG1/169)</t>
  </si>
  <si>
    <t xml:space="preserve">"dát-010"</t>
  </si>
  <si>
    <t xml:space="preserve">"dát-011"</t>
  </si>
  <si>
    <t xml:space="preserve">"dát-012"</t>
  </si>
  <si>
    <t xml:space="preserve">"dát-013"</t>
  </si>
  <si>
    <t xml:space="preserve">"dát-014"</t>
  </si>
  <si>
    <t xml:space="preserve">"dát-015"</t>
  </si>
  <si>
    <t xml:space="preserve">"dát-016"</t>
  </si>
  <si>
    <t xml:space="preserve">PAT-&gt;ARG1/169</t>
  </si>
  <si>
    <t xml:space="preserve">PAT-&gt;Action(ARG1/169)</t>
  </si>
  <si>
    <t xml:space="preserve">"dát-017"</t>
  </si>
  <si>
    <t xml:space="preserve">PAT: .~f</t>
  </si>
  <si>
    <t xml:space="preserve">"dát-018"</t>
  </si>
  <si>
    <t xml:space="preserve">"dát-019"</t>
  </si>
  <si>
    <t xml:space="preserve">ACT-&gt;ARG0/189</t>
  </si>
  <si>
    <t xml:space="preserve">PAT: 4; ↓že; ↓c; ↓zda</t>
  </si>
  <si>
    <t xml:space="preserve">PAT-&gt;ARG1/387</t>
  </si>
  <si>
    <t xml:space="preserve">"dát-020"</t>
  </si>
  <si>
    <t xml:space="preserve">"dát-021"</t>
  </si>
  <si>
    <t xml:space="preserve">CPHR: {branka,facka,gól,pohlavek,políček,pusa,rána,...}.4</t>
  </si>
  <si>
    <t xml:space="preserve">"dát-022"</t>
  </si>
  <si>
    <t xml:space="preserve">ACT-&gt;ARG0/572,ARG1/2</t>
  </si>
  <si>
    <t xml:space="preserve">CPHR: {hlas,...}.4</t>
  </si>
  <si>
    <t xml:space="preserve">CPHR-&gt;ARG1/767,ARG2/53,ARG3/1</t>
  </si>
  <si>
    <t xml:space="preserve">CPHR-&gt;Offered</t>
  </si>
  <si>
    <t xml:space="preserve">CPHR-&gt;Offered(ARG1/767,ARG2/53,ARG3/1)</t>
  </si>
  <si>
    <t xml:space="preserve">ADDR: 3; pro+4</t>
  </si>
  <si>
    <t xml:space="preserve">"dát-023"</t>
  </si>
  <si>
    <t xml:space="preserve">ACT-&gt;ARG0/549,ARG1/2,ARG2/3</t>
  </si>
  <si>
    <t xml:space="preserve">CPHR: {možnost,naděje,popud,právo,prostor,příležitost,šance,...}.4</t>
  </si>
  <si>
    <t xml:space="preserve">CPHR-&gt;ARG1/381</t>
  </si>
  <si>
    <t xml:space="preserve">CPHR-&gt;Goal</t>
  </si>
  <si>
    <t xml:space="preserve">CPHR-&gt;Goal(ARG1/381)</t>
  </si>
  <si>
    <t xml:space="preserve">ADDR-&gt;ARG1/477,ARG2/161,ARG3/34</t>
  </si>
  <si>
    <t xml:space="preserve">"dát-024"</t>
  </si>
  <si>
    <t xml:space="preserve">CPHR: {důkaz,důvod,informace,nabídka,návrh,oznámení,podnět,rada,stížnost,svolení,výhoda,výpověď,vysvětlení,záruka,zpráva,žádost,žaloba,...}.4</t>
  </si>
  <si>
    <t xml:space="preserve">ACT-&gt;ARG0/808,ARG1/3,ARG2/3</t>
  </si>
  <si>
    <t xml:space="preserve">CPHR-&gt;ARG1/1148,ARG2/53,ARG3/1</t>
  </si>
  <si>
    <t xml:space="preserve">CPHR[svolení]-&gt;Goal</t>
  </si>
  <si>
    <t xml:space="preserve">CPHR[svolení]-&gt;Goal(ARG1/381)</t>
  </si>
  <si>
    <t xml:space="preserve">ADDR-&gt;ARG1/32,ARG2/253,ARG3/120</t>
  </si>
  <si>
    <t xml:space="preserve">"dát-025"</t>
  </si>
  <si>
    <t xml:space="preserve">CPHR: {hodnota}</t>
  </si>
  <si>
    <t xml:space="preserve">"dát-026"</t>
  </si>
  <si>
    <t xml:space="preserve">CPHR: {impuls,instrukce,motiv,možnost,naděje,odpověď,otázka,podmínka,podpora,pokyn,popud,povel,pověření,právo,pravomoc,příčina,příkaz,příležitost,přístup,signál,síla,slib,souhlas,šance,znamení,zpráva,...}.4</t>
  </si>
  <si>
    <t xml:space="preserve">ACT-&gt;ARG0/905,ARG1/20,ARG2/3</t>
  </si>
  <si>
    <t xml:space="preserve">CPHR-&gt;ARG0/1,ARG1/699,ARG2/101</t>
  </si>
  <si>
    <t xml:space="preserve">CPHR-&gt;Assignment</t>
  </si>
  <si>
    <t xml:space="preserve">CPHR-&gt;Assignment(ARG1/118)</t>
  </si>
  <si>
    <t xml:space="preserve">CPHR[RSTR]-&gt;Ordered</t>
  </si>
  <si>
    <t xml:space="preserve">CPHR[RSTR]-&gt;Ordered(ARG1/34,ARG2/94)</t>
  </si>
  <si>
    <t xml:space="preserve">CPHR[PAT]-&gt;Agreement</t>
  </si>
  <si>
    <t xml:space="preserve">CPHR[PAT]-&gt;Agreement(ARG0/1,ARG1/166,ARG2/7)</t>
  </si>
  <si>
    <t xml:space="preserve">ADDR-&gt;ARG1/581,ARG2/283,ARG3/34</t>
  </si>
  <si>
    <t xml:space="preserve">ADDR-&gt;Audience_Addressee(ARG1/27,ARG2/50)</t>
  </si>
  <si>
    <t xml:space="preserve">"dát-027"</t>
  </si>
  <si>
    <t xml:space="preserve">ACT-&gt;ARG0/236,ARG1/1,ARG2/3</t>
  </si>
  <si>
    <t xml:space="preserve">CPHR: {oprávnění,pokuta,sankce,upozornění,...}.4</t>
  </si>
  <si>
    <t xml:space="preserve">CPHR[oprávnění]-&gt;Goal</t>
  </si>
  <si>
    <t xml:space="preserve">CPHR[oprávnění]-&gt;Goal(ARG1/381)</t>
  </si>
  <si>
    <t xml:space="preserve">"dát-028"</t>
  </si>
  <si>
    <t xml:space="preserve">Attitudal(ARG0/97,ARG1/4), Entity_1(ARG1/103), Entity_2(ARG2/7)</t>
  </si>
  <si>
    <t xml:space="preserve">ACT-&gt;ARG0/97,ARG1/4</t>
  </si>
  <si>
    <t xml:space="preserve">ACT-&gt;Attitudal(ARG0/97,ARG1/4)</t>
  </si>
  <si>
    <t xml:space="preserve">CPHR: {preference,přednost,...}.4</t>
  </si>
  <si>
    <t xml:space="preserve">ADDR: 3; .f</t>
  </si>
  <si>
    <t xml:space="preserve">ADDR-&gt;ARG1/103</t>
  </si>
  <si>
    <t xml:space="preserve">ADDR-&gt;Entity_1</t>
  </si>
  <si>
    <t xml:space="preserve">ADDR-&gt;Entity_1(ARG1/103)</t>
  </si>
  <si>
    <t xml:space="preserve">"dát-029"</t>
  </si>
  <si>
    <t xml:space="preserve">CPHR: {důkaz,informace,návrh,oznámení,podnět,stížnost,zpráva,žádost,žaloba,...}.4</t>
  </si>
  <si>
    <t xml:space="preserve">"dát-030"</t>
  </si>
  <si>
    <t xml:space="preserve">CPHR: {důkaz,informace,návrh,oznámení,podnět,pravomoc,stížnost,zpráva,žádost,žaloba,...}.4</t>
  </si>
  <si>
    <t xml:space="preserve">"dát-031"</t>
  </si>
  <si>
    <t xml:space="preserve">CPHR: {důraz,...}.4</t>
  </si>
  <si>
    <t xml:space="preserve">"dát-032"</t>
  </si>
  <si>
    <t xml:space="preserve">CPHR: {pečeť,...}.4</t>
  </si>
  <si>
    <t xml:space="preserve">"dát-033"</t>
  </si>
  <si>
    <t xml:space="preserve">PAT-&gt;ARG1/767,ARG2/53,ARG3/1</t>
  </si>
  <si>
    <t xml:space="preserve">"dát-034"</t>
  </si>
  <si>
    <t xml:space="preserve">DPHR: na-1[srozuměná.FS4]</t>
  </si>
  <si>
    <t xml:space="preserve">"dát-035"</t>
  </si>
  <si>
    <t xml:space="preserve">DPHR: na-1[vědomí.S4]</t>
  </si>
  <si>
    <t xml:space="preserve">"dát-036"</t>
  </si>
  <si>
    <t xml:space="preserve">DPHR: najevo</t>
  </si>
  <si>
    <t xml:space="preserve">PAT: 4; ↓že; ↓aby; ↓ať; ↓zda; ↓jestli; ↓c</t>
  </si>
  <si>
    <t xml:space="preserve">"dát-037"</t>
  </si>
  <si>
    <t xml:space="preserve">DPHR: na-1[starost.S4]</t>
  </si>
  <si>
    <t xml:space="preserve">"dát-038"</t>
  </si>
  <si>
    <t xml:space="preserve">DPHR: do-1[soulad.S2]</t>
  </si>
  <si>
    <t xml:space="preserve">EFF: s+7</t>
  </si>
  <si>
    <t xml:space="preserve">"dát-039"</t>
  </si>
  <si>
    <t xml:space="preserve">DPHR: dohromady</t>
  </si>
  <si>
    <t xml:space="preserve">"dát-040"</t>
  </si>
  <si>
    <t xml:space="preserve">Cognizer(ARG0/11), Undesirable(ARG1/3,ARG2/16)</t>
  </si>
  <si>
    <t xml:space="preserve">ACT-&gt;Cognizer(ARG0/11)</t>
  </si>
  <si>
    <t xml:space="preserve">DPHR: pozor-2.S4</t>
  </si>
  <si>
    <t xml:space="preserve">PAT: na+4; ↓aby; ↓c</t>
  </si>
  <si>
    <t xml:space="preserve">PAT-&gt;ARG1/3,ARG2/16</t>
  </si>
  <si>
    <t xml:space="preserve">PAT-&gt;Undesirable(ARG1/3,ARG2/16)</t>
  </si>
  <si>
    <t xml:space="preserve">"dát-041"</t>
  </si>
  <si>
    <t xml:space="preserve">DPHR: slyšet,se</t>
  </si>
  <si>
    <t xml:space="preserve">"dát-042"</t>
  </si>
  <si>
    <t xml:space="preserve">DPHR: z-1[ruka.2]</t>
  </si>
  <si>
    <t xml:space="preserve">"dát-043"</t>
  </si>
  <si>
    <t xml:space="preserve">DPHR: za-1[vyučená.FS4]</t>
  </si>
  <si>
    <t xml:space="preserve">"dát-044"</t>
  </si>
  <si>
    <t xml:space="preserve">"dát-045"</t>
  </si>
  <si>
    <t xml:space="preserve">DPHR: práce.S4</t>
  </si>
  <si>
    <t xml:space="preserve">PAT: 1; .f</t>
  </si>
  <si>
    <t xml:space="preserve">"dát-046"</t>
  </si>
  <si>
    <t xml:space="preserve">DPHR: rozum.S1</t>
  </si>
  <si>
    <t xml:space="preserve">"dát-047"</t>
  </si>
  <si>
    <t xml:space="preserve">DPHR: červený.FS4</t>
  </si>
  <si>
    <t xml:space="preserve">"dát-048"</t>
  </si>
  <si>
    <t xml:space="preserve">DPHR: váha.S4[velký.#]; váha.S4[velký.@2#]</t>
  </si>
  <si>
    <t xml:space="preserve">"dát-049"</t>
  </si>
  <si>
    <t xml:space="preserve">DPHR: pokoj.4</t>
  </si>
  <si>
    <t xml:space="preserve">"dát-050"</t>
  </si>
  <si>
    <t xml:space="preserve">DPHR: ten.NS3</t>
  </si>
  <si>
    <t xml:space="preserve">"dát-051"</t>
  </si>
  <si>
    <t xml:space="preserve">DPHR: za-1[pravda.S4]</t>
  </si>
  <si>
    <t xml:space="preserve">?PAT: ↓že; v+6</t>
  </si>
  <si>
    <t xml:space="preserve">"dát-052"</t>
  </si>
  <si>
    <t xml:space="preserve">DPHR: vědět.f</t>
  </si>
  <si>
    <t xml:space="preserve">EFF: 4; ↓že; zda[v]; ↓c</t>
  </si>
  <si>
    <t xml:space="preserve">"dát-053"</t>
  </si>
  <si>
    <t xml:space="preserve">DPHR: čekat[na-1[se.4]]</t>
  </si>
  <si>
    <t xml:space="preserve">"dát-054"</t>
  </si>
  <si>
    <t xml:space="preserve">DPHR: bůh.S5</t>
  </si>
  <si>
    <t xml:space="preserve">"dát-055"</t>
  </si>
  <si>
    <t xml:space="preserve">"dát-056"</t>
  </si>
  <si>
    <t xml:space="preserve">CPHR: {chuť}.4</t>
  </si>
  <si>
    <t xml:space="preserve">"dát-057"</t>
  </si>
  <si>
    <t xml:space="preserve">CPHR: {jméno}.4</t>
  </si>
  <si>
    <t xml:space="preserve">"dát-058"</t>
  </si>
  <si>
    <t xml:space="preserve">"dát-059"</t>
  </si>
  <si>
    <t xml:space="preserve">"dát-060"</t>
  </si>
  <si>
    <t xml:space="preserve">DPHR: srdce.S4</t>
  </si>
  <si>
    <t xml:space="preserve">"dát-061"</t>
  </si>
  <si>
    <t xml:space="preserve">DPHR: vale</t>
  </si>
  <si>
    <t xml:space="preserve">"dát-062"</t>
  </si>
  <si>
    <t xml:space="preserve">DPHR: v-1[sázka.S4]</t>
  </si>
  <si>
    <t xml:space="preserve">"dát-063"</t>
  </si>
  <si>
    <t xml:space="preserve">"dát-064"</t>
  </si>
  <si>
    <t xml:space="preserve">DPHR: co-1,proto-1</t>
  </si>
  <si>
    <t xml:space="preserve">"dát-065"</t>
  </si>
  <si>
    <t xml:space="preserve">DPHR: dopustit.$2&lt;f&gt;</t>
  </si>
  <si>
    <t xml:space="preserve">"dát-066"</t>
  </si>
  <si>
    <t xml:space="preserve">?PAT: 4; z+2; ↓c</t>
  </si>
  <si>
    <t xml:space="preserve">"dát-067"</t>
  </si>
  <si>
    <t xml:space="preserve">DPHR: pánbůh.S1</t>
  </si>
  <si>
    <t xml:space="preserve">"dát-068"</t>
  </si>
  <si>
    <t xml:space="preserve">DPHR: ruka.S4,do-1[oheň.S2]</t>
  </si>
  <si>
    <t xml:space="preserve">"dát-069"</t>
  </si>
  <si>
    <t xml:space="preserve">"dát-070"</t>
  </si>
  <si>
    <t xml:space="preserve">"dát-071"</t>
  </si>
  <si>
    <t xml:space="preserve">DPHR: moc</t>
  </si>
  <si>
    <t xml:space="preserve">"dát-072"</t>
  </si>
  <si>
    <t xml:space="preserve">"dát-073"</t>
  </si>
  <si>
    <t xml:space="preserve">"dát-074"</t>
  </si>
  <si>
    <t xml:space="preserve">DPHR: slovo.S1,slovo.S4</t>
  </si>
  <si>
    <t xml:space="preserve">"--dát-075"</t>
  </si>
  <si>
    <t xml:space="preserve">"dát-076"</t>
  </si>
  <si>
    <t xml:space="preserve">"dát-077"</t>
  </si>
  <si>
    <t xml:space="preserve">DIR3: do+2</t>
  </si>
  <si>
    <t xml:space="preserve">"dát-078"</t>
  </si>
  <si>
    <t xml:space="preserve">"dát-se-001"</t>
  </si>
  <si>
    <t xml:space="preserve">Agent(ARG0/10,ARG1/3), Action(ARG1/8,ARG2/6)</t>
  </si>
  <si>
    <t xml:space="preserve">ACT-&gt;ARG0/10,ARG1/3</t>
  </si>
  <si>
    <t xml:space="preserve">ACT-&gt;Agent(ARG0/10,ARG1/3)</t>
  </si>
  <si>
    <t xml:space="preserve">PAT-&gt;ARG1/8,ARG2/6</t>
  </si>
  <si>
    <t xml:space="preserve">PAT-&gt;Action(ARG1/8,ARG2/6)</t>
  </si>
  <si>
    <t xml:space="preserve">"dát-se-002"</t>
  </si>
  <si>
    <t xml:space="preserve">"dát-se-003"</t>
  </si>
  <si>
    <t xml:space="preserve">"dát-se-004"</t>
  </si>
  <si>
    <t xml:space="preserve">CPHR: do-1[{hospodaření,let,pohyb,práce,rybaření,výklad,výroba,...}.2]; v-1[{let,...}.4]</t>
  </si>
  <si>
    <t xml:space="preserve">"dát-se-005"</t>
  </si>
  <si>
    <t xml:space="preserve">Participant_1(ARG0/5,ARG1/18), Participant_2(ARG1/4,ARG2/13)</t>
  </si>
  <si>
    <t xml:space="preserve">ACT-&gt;ARG0/21,ARG1/50</t>
  </si>
  <si>
    <t xml:space="preserve">ACT-&gt;Participant_1(ARG0/5,ARG1/18)</t>
  </si>
  <si>
    <t xml:space="preserve">PAT-&gt;ARG1/23,ARG2/37</t>
  </si>
  <si>
    <t xml:space="preserve">PAT-&gt;Participant_2(ARG1/4,ARG2/13)</t>
  </si>
  <si>
    <t xml:space="preserve">"dát-se-006"</t>
  </si>
  <si>
    <t xml:space="preserve">DPHR: cesta.S7</t>
  </si>
  <si>
    <t xml:space="preserve">"dát-se-007"</t>
  </si>
  <si>
    <t xml:space="preserve">CPHR: na-1[{ústup,útěk}.4]</t>
  </si>
  <si>
    <t xml:space="preserve">"dát-se-008"</t>
  </si>
  <si>
    <t xml:space="preserve">DPHR: do-1[řeč.S2]</t>
  </si>
  <si>
    <t xml:space="preserve">"dát-se-009"</t>
  </si>
  <si>
    <t xml:space="preserve">"dát-si-001"</t>
  </si>
  <si>
    <t xml:space="preserve">"dát-si-002"</t>
  </si>
  <si>
    <t xml:space="preserve">"dát-si-003"</t>
  </si>
  <si>
    <t xml:space="preserve">"dát-si-004"</t>
  </si>
  <si>
    <t xml:space="preserve">DPHR: záležet.f</t>
  </si>
  <si>
    <t xml:space="preserve">?PAT: na+6</t>
  </si>
  <si>
    <t xml:space="preserve">"dát-si-005"</t>
  </si>
  <si>
    <t xml:space="preserve">"dát-si-006"</t>
  </si>
  <si>
    <t xml:space="preserve">DPHR: bacha.4</t>
  </si>
  <si>
    <t xml:space="preserve">"dát-si-007"</t>
  </si>
  <si>
    <t xml:space="preserve">DPHR: načas; čas.S4</t>
  </si>
  <si>
    <t xml:space="preserve">"dát-si-008"</t>
  </si>
  <si>
    <t xml:space="preserve">DPHR: šlofík.S4</t>
  </si>
  <si>
    <t xml:space="preserve">"dát-si-009"</t>
  </si>
  <si>
    <t xml:space="preserve">DPHR: říci.f$11&lt;A&gt;</t>
  </si>
  <si>
    <t xml:space="preserve">?PAT: ↓aby</t>
  </si>
  <si>
    <t xml:space="preserve">"dát-si-010"</t>
  </si>
  <si>
    <t xml:space="preserve">"dávat-001"</t>
  </si>
  <si>
    <t xml:space="preserve">"dávat-002"</t>
  </si>
  <si>
    <t xml:space="preserve">"dávat-003"</t>
  </si>
  <si>
    <t xml:space="preserve">Contributor(ARG0/145,ARG1/1), Contribution(ARG1/30,ARG2/2,ARG3/1), Recipient(ARG1/3,ARG2/128)</t>
  </si>
  <si>
    <t xml:space="preserve">ACT-&gt;ARG0/448,ARG1/1</t>
  </si>
  <si>
    <t xml:space="preserve">ACT-&gt;Contributor</t>
  </si>
  <si>
    <t xml:space="preserve">ACT-&gt;Contributor(ARG0/145,ARG1/1)</t>
  </si>
  <si>
    <t xml:space="preserve">PAT-&gt;ARG1/455,ARG2/4,ARG3/1</t>
  </si>
  <si>
    <t xml:space="preserve">PAT-&gt;Contribution</t>
  </si>
  <si>
    <t xml:space="preserve">PAT-&gt;Contribution(ARG1/30,ARG2/2,ARG3/1)</t>
  </si>
  <si>
    <t xml:space="preserve">ADDR-&gt;ARG1/9,ARG2/483,ARG4/2</t>
  </si>
  <si>
    <t xml:space="preserve">ADDR-&gt;Recipient(ARG1/3,ARG2/128)</t>
  </si>
  <si>
    <t xml:space="preserve">"dávat-004"</t>
  </si>
  <si>
    <t xml:space="preserve">PAT-&gt;ARG1/381</t>
  </si>
  <si>
    <t xml:space="preserve">PAT[příležitost]-&gt;Goal</t>
  </si>
  <si>
    <t xml:space="preserve">PAT[příležitost]-&gt;Goal(ARG1/381)</t>
  </si>
  <si>
    <t xml:space="preserve">"dávat-005"</t>
  </si>
  <si>
    <t xml:space="preserve">"dávat-006"</t>
  </si>
  <si>
    <t xml:space="preserve">"dávat-007"</t>
  </si>
  <si>
    <t xml:space="preserve">"dávat-008"</t>
  </si>
  <si>
    <t xml:space="preserve">"dávat-009"</t>
  </si>
  <si>
    <t xml:space="preserve">ACT-&gt;ARG0/303</t>
  </si>
  <si>
    <t xml:space="preserve">PAT-&gt;ARG1/425,ARG2/2</t>
  </si>
  <si>
    <t xml:space="preserve">ADDR-&gt;ARG1/6,ARG2/355,ARG4/2</t>
  </si>
  <si>
    <t xml:space="preserve">"dávat-010"</t>
  </si>
  <si>
    <t xml:space="preserve">"dávat-011"</t>
  </si>
  <si>
    <t xml:space="preserve">"dávat-012"</t>
  </si>
  <si>
    <t xml:space="preserve">"dávat-013"</t>
  </si>
  <si>
    <t xml:space="preserve">"dávat-014"</t>
  </si>
  <si>
    <t xml:space="preserve">"dávat-015"</t>
  </si>
  <si>
    <t xml:space="preserve">"dávat-016"</t>
  </si>
  <si>
    <t xml:space="preserve">"dávat-017"</t>
  </si>
  <si>
    <t xml:space="preserve">"dávat-018"</t>
  </si>
  <si>
    <t xml:space="preserve">"dávat-019"</t>
  </si>
  <si>
    <t xml:space="preserve">"dávat-020"</t>
  </si>
  <si>
    <t xml:space="preserve">CPHR: {důkaz,informace,návrh,oznámení,podnět,povolení,stížnost,vysvětlení,zpráva,žádost,žaloba,...}.4</t>
  </si>
  <si>
    <t xml:space="preserve">"dávat-021"</t>
  </si>
  <si>
    <t xml:space="preserve">CPHR: {hlas,pohlavek,políček,pusa,rada,...}.4</t>
  </si>
  <si>
    <t xml:space="preserve">Communicator(ARG0/67), Phenomenon(ARG1/56,ARG2/30), Impactee(ARG1/44)</t>
  </si>
  <si>
    <t xml:space="preserve">Authority(ARG0/4), Offender(ARG2/23), Offense(ARG3/7), Money(ARG1/30)</t>
  </si>
  <si>
    <t xml:space="preserve">ACT-&gt;ARG0/384,ARG1/1</t>
  </si>
  <si>
    <t xml:space="preserve">ACT-&gt;Communicator(ARG0/67)</t>
  </si>
  <si>
    <t xml:space="preserve">CPHR-&gt;ARG1/56,ARG2/30</t>
  </si>
  <si>
    <t xml:space="preserve">CPHR[PAT]-&gt;Phenomenon</t>
  </si>
  <si>
    <t xml:space="preserve">CPHR[PAT]-&gt;Phenomenon(ARG1/56,ARG2/30)</t>
  </si>
  <si>
    <t xml:space="preserve">ADDR-&gt;ARG1/499,ARG2/107</t>
  </si>
  <si>
    <t xml:space="preserve">ADDR-&gt;Impactee(ARG1/44)</t>
  </si>
  <si>
    <t xml:space="preserve">ADDR-&gt;Offender</t>
  </si>
  <si>
    <t xml:space="preserve">ADDR-&gt;Offender(ARG2/23)</t>
  </si>
  <si>
    <t xml:space="preserve">"dávat-022"</t>
  </si>
  <si>
    <t xml:space="preserve">CPHR: {podmínka,pokuta,sankce,výpověď,...}.4</t>
  </si>
  <si>
    <t xml:space="preserve">"dávat-023"</t>
  </si>
  <si>
    <t xml:space="preserve">Agent(ARG0/1), Subordinate(ARG1/2), Superior(ARG2/2)</t>
  </si>
  <si>
    <t xml:space="preserve">ACT-&gt;ARG0/98,ARG1/4</t>
  </si>
  <si>
    <t xml:space="preserve">CPHR: {preference,přednost,výhodu,...}.4</t>
  </si>
  <si>
    <t xml:space="preserve">ADDR-&gt;ARG1/105</t>
  </si>
  <si>
    <t xml:space="preserve">ADDR-&gt;Subordinate</t>
  </si>
  <si>
    <t xml:space="preserve">ADDR-&gt;Subordinate(ARG1/2)</t>
  </si>
  <si>
    <t xml:space="preserve">"dávat-024"</t>
  </si>
  <si>
    <t xml:space="preserve">CPHR: {cíl,cíl,hlas,impuls,instruktáž,mandát,mandát,moc,možnost,nabídka,náboj,náboj,naděje,oprávnění,podpora,pokyn,pokyn,popud,povel,pověření,povinnost,požehnání,právo,pravomoc,pravomoc,prostor,příčina,příkaz,příležitost,rada,schopnost,signál,síla,smysl,šance,vina,výhoda,závazek,...}.4</t>
  </si>
  <si>
    <t xml:space="preserve">ACT-&gt;ARG0/621,ARG1/2,ARG2/3</t>
  </si>
  <si>
    <t xml:space="preserve">CPHR-&gt;ARG1/415,ARG2/94</t>
  </si>
  <si>
    <t xml:space="preserve">ADDR-&gt;ARG1/554,ARG2/162,ARG3/34</t>
  </si>
  <si>
    <t xml:space="preserve">"dávat-025"</t>
  </si>
  <si>
    <t xml:space="preserve">ACT-&gt;ARG1/61</t>
  </si>
  <si>
    <t xml:space="preserve">ACT-&gt;Attitude</t>
  </si>
  <si>
    <t xml:space="preserve">ACT-&gt;Attitude(ARG1/61)</t>
  </si>
  <si>
    <t xml:space="preserve">CPHR: {pocit,...}</t>
  </si>
  <si>
    <t xml:space="preserve">ADDR-&gt;ARG0/52,ARG1/1</t>
  </si>
  <si>
    <t xml:space="preserve">ADDR-&gt;Experiencer</t>
  </si>
  <si>
    <t xml:space="preserve">ADDR-&gt;Experiencer(ARG0/52,ARG1/1)</t>
  </si>
  <si>
    <t xml:space="preserve">"dávat-026"</t>
  </si>
  <si>
    <t xml:space="preserve">Authority(ARG0/68), Commitment(ARG1/113), Claimant(ARG2/11)</t>
  </si>
  <si>
    <t xml:space="preserve">ACT-&gt;ARG0/68</t>
  </si>
  <si>
    <t xml:space="preserve">ACT-&gt;Authority(ARG0/68)</t>
  </si>
  <si>
    <t xml:space="preserve">CPHR: {záruka,...}.4</t>
  </si>
  <si>
    <t xml:space="preserve">CPHR-&gt;ARG1/113</t>
  </si>
  <si>
    <t xml:space="preserve">CPHR[PAT]-&gt;Commitment</t>
  </si>
  <si>
    <t xml:space="preserve">CPHR[PAT]-&gt;Commitment(ARG1/113)</t>
  </si>
  <si>
    <t xml:space="preserve">ADDR-&gt;ARG2/11</t>
  </si>
  <si>
    <t xml:space="preserve">ADDR-&gt;Claimant</t>
  </si>
  <si>
    <t xml:space="preserve">ADDR-&gt;Claimant(ARG2/11)</t>
  </si>
  <si>
    <t xml:space="preserve">"dávat-027"</t>
  </si>
  <si>
    <t xml:space="preserve">"dávat-028"</t>
  </si>
  <si>
    <t xml:space="preserve">"dávat-029"</t>
  </si>
  <si>
    <t xml:space="preserve">"dávat-030"</t>
  </si>
  <si>
    <t xml:space="preserve">ACT-&gt;ARG0/1491,ARG1/2,ARG2/1</t>
  </si>
  <si>
    <t xml:space="preserve">PAT-&gt;ARG1/2058,ARG2/63,ARG3/1</t>
  </si>
  <si>
    <t xml:space="preserve">ADDR-&gt;ARG1/53,ARG2/971,ARG3/86</t>
  </si>
  <si>
    <t xml:space="preserve">"dávat-031"</t>
  </si>
  <si>
    <t xml:space="preserve">"dávat-032"</t>
  </si>
  <si>
    <t xml:space="preserve">"dávat-033"</t>
  </si>
  <si>
    <t xml:space="preserve">"dávat-034"</t>
  </si>
  <si>
    <t xml:space="preserve">"dávat-035"</t>
  </si>
  <si>
    <t xml:space="preserve">Accuser(ARG0/275), Cause(ARG1/174,ARG2/204), Accused(ARG1/221,ARG2/5)</t>
  </si>
  <si>
    <t xml:space="preserve">ACT-&gt;ARG0/275</t>
  </si>
  <si>
    <t xml:space="preserve">ACT-&gt;Accuser</t>
  </si>
  <si>
    <t xml:space="preserve">ACT-&gt;Accuser(ARG0/275)</t>
  </si>
  <si>
    <t xml:space="preserve">DPHR: za-1[vina.S4]</t>
  </si>
  <si>
    <t xml:space="preserve">PAT-&gt;ARG1/174,ARG2/204</t>
  </si>
  <si>
    <t xml:space="preserve">PAT-&gt;Cause(ARG1/174,ARG2/204)</t>
  </si>
  <si>
    <t xml:space="preserve">ADDR-&gt;ARG1/221,ARG2/5</t>
  </si>
  <si>
    <t xml:space="preserve">ADDR-&gt;Accused</t>
  </si>
  <si>
    <t xml:space="preserve">ADDR-&gt;Accused(ARG1/221,ARG2/5)</t>
  </si>
  <si>
    <t xml:space="preserve">"dávat-036"</t>
  </si>
  <si>
    <t xml:space="preserve">"dávat-037"</t>
  </si>
  <si>
    <t xml:space="preserve">PAT: na+4; ↓aby; ↓c; ↓jestli; ↓zda</t>
  </si>
  <si>
    <t xml:space="preserve">"dávat-038"</t>
  </si>
  <si>
    <t xml:space="preserve">DPHR: šťáva.S3</t>
  </si>
  <si>
    <t xml:space="preserve">"dávat-039"</t>
  </si>
  <si>
    <t xml:space="preserve">DPHR: váha.4</t>
  </si>
  <si>
    <t xml:space="preserve">"dávat-040"</t>
  </si>
  <si>
    <t xml:space="preserve">DPHR: vina.S4</t>
  </si>
  <si>
    <t xml:space="preserve">"dávat-041"</t>
  </si>
  <si>
    <t xml:space="preserve">"dávat-042"</t>
  </si>
  <si>
    <t xml:space="preserve">ACT-&gt;ARG0/202,ARG1/18</t>
  </si>
  <si>
    <t xml:space="preserve">ADDR-&gt;ARG1/27,ARG2/50</t>
  </si>
  <si>
    <t xml:space="preserve">PAT-&gt;ARG0/1,ARG1/166,ARG2/7</t>
  </si>
  <si>
    <t xml:space="preserve">"dávat-043"</t>
  </si>
  <si>
    <t xml:space="preserve">"dávat-044"</t>
  </si>
  <si>
    <t xml:space="preserve">DPHR: smysl.S4</t>
  </si>
  <si>
    <t xml:space="preserve">"dávat-045"</t>
  </si>
  <si>
    <t xml:space="preserve">"dávat-046"</t>
  </si>
  <si>
    <t xml:space="preserve">"dávat-047"</t>
  </si>
  <si>
    <t xml:space="preserve">DPHR: na-1[odiv.S4]</t>
  </si>
  <si>
    <t xml:space="preserve">PAT: ↓.4,že</t>
  </si>
  <si>
    <t xml:space="preserve">"dávat-048"</t>
  </si>
  <si>
    <t xml:space="preserve">"dávat-049"</t>
  </si>
  <si>
    <t xml:space="preserve">DPHR: zelený.FS4@1$11&lt;A&gt;</t>
  </si>
  <si>
    <t xml:space="preserve">DPHR-&gt;ARG1/381</t>
  </si>
  <si>
    <t xml:space="preserve">DPHR[zelenou]-&gt;Goal</t>
  </si>
  <si>
    <t xml:space="preserve">DPHR[zelenou]-&gt;Goal(ARG1/381)</t>
  </si>
  <si>
    <t xml:space="preserve">PAT-&gt;ARG1/22,ARG2/77,ARG3/34</t>
  </si>
  <si>
    <t xml:space="preserve">PAT-&gt;Affected(ARG1/22,ARG2/77,ARG3/34)</t>
  </si>
  <si>
    <t xml:space="preserve">"dávat-050"</t>
  </si>
  <si>
    <t xml:space="preserve">CPHR: {gól}.4</t>
  </si>
  <si>
    <t xml:space="preserve">"dávat-051"</t>
  </si>
  <si>
    <t xml:space="preserve">"dávat-052"</t>
  </si>
  <si>
    <t xml:space="preserve">DPHR: k-1[dobro.NS3]</t>
  </si>
  <si>
    <t xml:space="preserve">"dávat-053"</t>
  </si>
  <si>
    <t xml:space="preserve">DPHR: práce.S2</t>
  </si>
  <si>
    <t xml:space="preserve">PAT: 1; .f; ↓než-3</t>
  </si>
  <si>
    <t xml:space="preserve">"dávat-054"</t>
  </si>
  <si>
    <t xml:space="preserve">"dávat-055"</t>
  </si>
  <si>
    <t xml:space="preserve">"dávat-056"</t>
  </si>
  <si>
    <t xml:space="preserve">DPHR: liška.P1,noc.S4[dobrý.#]</t>
  </si>
  <si>
    <t xml:space="preserve">"dávat-057"</t>
  </si>
  <si>
    <t xml:space="preserve">DPHR: do-1[puc.S2]</t>
  </si>
  <si>
    <t xml:space="preserve">"dávat-058"</t>
  </si>
  <si>
    <t xml:space="preserve">"dávat-059"</t>
  </si>
  <si>
    <t xml:space="preserve">DPHR: kouř.S4</t>
  </si>
  <si>
    <t xml:space="preserve">"dávat-se-001"</t>
  </si>
  <si>
    <t xml:space="preserve">"dávat-se-002"</t>
  </si>
  <si>
    <t xml:space="preserve">"dávat-se-003"</t>
  </si>
  <si>
    <t xml:space="preserve">"dávat-se-004"</t>
  </si>
  <si>
    <t xml:space="preserve">"dávat-se-005"</t>
  </si>
  <si>
    <t xml:space="preserve">CPHR: do-1[{hospodaření,pohyb,pochod,práce,výklad,výroba,...}.2]</t>
  </si>
  <si>
    <t xml:space="preserve">"dávat-se-006"</t>
  </si>
  <si>
    <t xml:space="preserve">"dávat-si-001"</t>
  </si>
  <si>
    <t xml:space="preserve">CPHR: {rande,schůzka}.4</t>
  </si>
  <si>
    <t xml:space="preserve">"dávat-si-002"</t>
  </si>
  <si>
    <t xml:space="preserve">DPHR: líbit</t>
  </si>
  <si>
    <t xml:space="preserve">"dávat-si-003"</t>
  </si>
  <si>
    <t xml:space="preserve">"dávat-si-004"</t>
  </si>
  <si>
    <t xml:space="preserve">DPHR: načas; na-1[čas.S4]</t>
  </si>
  <si>
    <t xml:space="preserve">"dávat-si-006"</t>
  </si>
  <si>
    <t xml:space="preserve">DPHR: do-1[nos.S2]</t>
  </si>
  <si>
    <t xml:space="preserve">"dávat-si-007"</t>
  </si>
  <si>
    <t xml:space="preserve">DPHR: pozor.S4</t>
  </si>
  <si>
    <t xml:space="preserve">"dávat-si-008"</t>
  </si>
  <si>
    <t xml:space="preserve">"dávkovat-001"</t>
  </si>
  <si>
    <t xml:space="preserve">"démonizovat-001"</t>
  </si>
  <si>
    <t xml:space="preserve">"dít-001"</t>
  </si>
  <si>
    <t xml:space="preserve">"dít-se-001"</t>
  </si>
  <si>
    <t xml:space="preserve">Event(ARG1/147), Undergoer(ARG2/28)</t>
  </si>
  <si>
    <t xml:space="preserve">ACT-&gt;ARG1/147</t>
  </si>
  <si>
    <t xml:space="preserve">ACT-&gt;Event(ARG1/147)</t>
  </si>
  <si>
    <t xml:space="preserve">PAT-&gt;ARG2/28</t>
  </si>
  <si>
    <t xml:space="preserve">PAT-&gt;Undergoer</t>
  </si>
  <si>
    <t xml:space="preserve">PAT-&gt;Undergoer(ARG2/28)</t>
  </si>
  <si>
    <t xml:space="preserve">"dít-se-002"</t>
  </si>
  <si>
    <t xml:space="preserve">"dít-se-003"</t>
  </si>
  <si>
    <t xml:space="preserve">ACT: 1; tak-3</t>
  </si>
  <si>
    <t xml:space="preserve">"dívat-se-001"</t>
  </si>
  <si>
    <t xml:space="preserve">PAT: na+4; ↓jak-2; ↓c; ↓jestli; na+6</t>
  </si>
  <si>
    <t xml:space="preserve">Watcher(ARG0/52,ARG1/1), Phenomenon(ARG1/86)</t>
  </si>
  <si>
    <t xml:space="preserve">ACT-&gt;Watcher</t>
  </si>
  <si>
    <t xml:space="preserve">ACT-&gt;Watcher(ARG0/52,ARG1/1)</t>
  </si>
  <si>
    <t xml:space="preserve">PAT-&gt;Phenomenon(ARG1/86)</t>
  </si>
  <si>
    <t xml:space="preserve">"dívat-se-002"</t>
  </si>
  <si>
    <t xml:space="preserve">ALT-DIR1: *</t>
  </si>
  <si>
    <t xml:space="preserve">DIR1-&gt;ARG1/3,ARG2/156</t>
  </si>
  <si>
    <t xml:space="preserve">#alt[DIR1,MANN,ACMP,CRIT,CPR]-&gt;Judgment</t>
  </si>
  <si>
    <t xml:space="preserve">#alt[DIR1,MANN,ACMP,CRIT,CPR]-&gt;Judgment(ARG1/3,ARG2/156)</t>
  </si>
  <si>
    <t xml:space="preserve">MANN-&gt;ARG1/3,ARG2/156</t>
  </si>
  <si>
    <t xml:space="preserve">ACMP-&gt;ARG1/3,ARG2/156</t>
  </si>
  <si>
    <t xml:space="preserve">CRIT-&gt;ARG1/3,ARG2/156</t>
  </si>
  <si>
    <t xml:space="preserve">CPR-&gt;ARG1/3,ARG2/156</t>
  </si>
  <si>
    <t xml:space="preserve">"dívat-se-003"</t>
  </si>
  <si>
    <t xml:space="preserve">"dívat-se-004"</t>
  </si>
  <si>
    <t xml:space="preserve">"dívat-se-005"</t>
  </si>
  <si>
    <t xml:space="preserve">Observer(ARG0/68), Targeted(ARG1/76,ARG2/1)</t>
  </si>
  <si>
    <t xml:space="preserve">ACT-&gt;Observer</t>
  </si>
  <si>
    <t xml:space="preserve">ACT-&gt;Observer(ARG0/68)</t>
  </si>
  <si>
    <t xml:space="preserve">DIR3-&gt;ARG1/76,ARG2/1</t>
  </si>
  <si>
    <t xml:space="preserve">DIR3-&gt;Targeted(ARG1/76,ARG2/1)</t>
  </si>
  <si>
    <t xml:space="preserve">"dívat-se-006"</t>
  </si>
  <si>
    <t xml:space="preserve">DPHR: přes-1[rameno.S4]</t>
  </si>
  <si>
    <t xml:space="preserve">"dívat-se-007"</t>
  </si>
  <si>
    <t xml:space="preserve">?EFF: ↓jestli</t>
  </si>
  <si>
    <t xml:space="preserve">"dýchat-001"</t>
  </si>
  <si>
    <t xml:space="preserve">"dýchat-002"</t>
  </si>
  <si>
    <t xml:space="preserve">Protagonist(ARG0/6)</t>
  </si>
  <si>
    <t xml:space="preserve">ACT-&gt;Protagonist(ARG0/6)</t>
  </si>
  <si>
    <t xml:space="preserve">"dýchat-003"</t>
  </si>
  <si>
    <t xml:space="preserve">DPHR: na-1[krk.S4]</t>
  </si>
  <si>
    <t xml:space="preserve">"dýchat-004"</t>
  </si>
  <si>
    <t xml:space="preserve">"dýchat-005"</t>
  </si>
  <si>
    <t xml:space="preserve">"dědit-001"</t>
  </si>
  <si>
    <t xml:space="preserve">Recipient(ARG0/8), Received(ARG1/8), Owner_initial()</t>
  </si>
  <si>
    <t xml:space="preserve">ACT-&gt;Recipient(ARG0/8)</t>
  </si>
  <si>
    <t xml:space="preserve">PAT-&gt;Received</t>
  </si>
  <si>
    <t xml:space="preserve">PAT-&gt;Received(ARG1/8)</t>
  </si>
  <si>
    <t xml:space="preserve">"děkovat-001"</t>
  </si>
  <si>
    <t xml:space="preserve">Attitudal(ARG0/3), Reason(ARG2/5), Recipient(ARG1/6)</t>
  </si>
  <si>
    <t xml:space="preserve">ACT-&gt;Attitudal(ARG0/3)</t>
  </si>
  <si>
    <t xml:space="preserve">ADDR-&gt;ARG1/6</t>
  </si>
  <si>
    <t xml:space="preserve">ADDR-&gt;Recipient(ARG1/6)</t>
  </si>
  <si>
    <t xml:space="preserve">PAT-&gt;ARG2/5</t>
  </si>
  <si>
    <t xml:space="preserve">PAT-&gt;Reason(ARG2/5)</t>
  </si>
  <si>
    <t xml:space="preserve">"dělat-001"</t>
  </si>
  <si>
    <t xml:space="preserve">"dělat-002"</t>
  </si>
  <si>
    <t xml:space="preserve">"dělat-003"</t>
  </si>
  <si>
    <t xml:space="preserve">"dělat-004"</t>
  </si>
  <si>
    <t xml:space="preserve">"dělat-005"</t>
  </si>
  <si>
    <t xml:space="preserve">ORIG: z+2</t>
  </si>
  <si>
    <t xml:space="preserve">"dělat-006"</t>
  </si>
  <si>
    <t xml:space="preserve">"dělat-007"</t>
  </si>
  <si>
    <t xml:space="preserve">"dělat-008"</t>
  </si>
  <si>
    <t xml:space="preserve">EFF: 7; .a7</t>
  </si>
  <si>
    <t xml:space="preserve">"dělat-009"</t>
  </si>
  <si>
    <t xml:space="preserve">"dělat-010"</t>
  </si>
  <si>
    <t xml:space="preserve">"dělat-011"</t>
  </si>
  <si>
    <t xml:space="preserve">PAT: 4; .d; tak-3</t>
  </si>
  <si>
    <t xml:space="preserve">"dělat-012"</t>
  </si>
  <si>
    <t xml:space="preserve">PAT: 4; ↓že; ↓c; jako[že[.v]]; jako[by[.v]]</t>
  </si>
  <si>
    <t xml:space="preserve">"dělat-013"</t>
  </si>
  <si>
    <t xml:space="preserve">"dělat-014"</t>
  </si>
  <si>
    <t xml:space="preserve">"dělat-015"</t>
  </si>
  <si>
    <t xml:space="preserve">"dělat-016"</t>
  </si>
  <si>
    <t xml:space="preserve">"dělat-017"</t>
  </si>
  <si>
    <t xml:space="preserve">"dělat-018"</t>
  </si>
  <si>
    <t xml:space="preserve">"dělat-019"</t>
  </si>
  <si>
    <t xml:space="preserve">"dělat-020"</t>
  </si>
  <si>
    <t xml:space="preserve">"dělat-021"</t>
  </si>
  <si>
    <t xml:space="preserve">CPHR: {dojem,...}.4</t>
  </si>
  <si>
    <t xml:space="preserve">"dělat-022"</t>
  </si>
  <si>
    <t xml:space="preserve">CPHR: {soud,rešerše,závěr,...}.4</t>
  </si>
  <si>
    <t xml:space="preserve">"dělat-023"</t>
  </si>
  <si>
    <t xml:space="preserve">CPHR: {analýza,činnost,elektrifikace,expertíza,fotbálek,hlášení,hodnocení,hovor,chyba,instruktáž,kladení,kontrola,kouzlo,krájení,krok,léčení,lyžování,maturita,nábor,nácvik,nákup,ohledání,omezení,opatření,operace,oprava,plán,pokrok,pokus,poradenství,postavení,postřik,práce,prognóza,projekt,propagace,průkaz,průzkum,příprava,přitahování,rekonstrukce,reorganizace,restrukturalizace,rozhodnutí,rozhovor,sčítání,slib,sport,škoda,tenis,test,údržba,úprava,ústupek,vklad,vyčištění,vyhrabování,výkop,vyšetření,výzkum,zátah,zatravňování,zkouška,změna,...}.4</t>
  </si>
  <si>
    <t xml:space="preserve">"dělat-024"</t>
  </si>
  <si>
    <t xml:space="preserve">CPHR: {nabídka,návrh,...}.4</t>
  </si>
  <si>
    <t xml:space="preserve">"dělat-025"</t>
  </si>
  <si>
    <t xml:space="preserve">CPHR: {obchod,...}.4</t>
  </si>
  <si>
    <t xml:space="preserve">"dělat-026"</t>
  </si>
  <si>
    <t xml:space="preserve">CPHR: {lumpárna,povyk,rachot,rámus,vtípky,...}.4</t>
  </si>
  <si>
    <t xml:space="preserve">"dělat-027"</t>
  </si>
  <si>
    <t xml:space="preserve">ACT: 1; ↓kdyby</t>
  </si>
  <si>
    <t xml:space="preserve">DPHR: dobrota.S4</t>
  </si>
  <si>
    <t xml:space="preserve">"dělat-028"</t>
  </si>
  <si>
    <t xml:space="preserve">DPHR: neplecha.4</t>
  </si>
  <si>
    <t xml:space="preserve">"dělat-029"</t>
  </si>
  <si>
    <t xml:space="preserve">DPHR: svůj-2.NS4</t>
  </si>
  <si>
    <t xml:space="preserve">"dělat-030"</t>
  </si>
  <si>
    <t xml:space="preserve">DPHR: zloděj.4</t>
  </si>
  <si>
    <t xml:space="preserve">"dělat-031"</t>
  </si>
  <si>
    <t xml:space="preserve">DPHR: nos.S4[dlouhý:#]</t>
  </si>
  <si>
    <t xml:space="preserve">"dělat-032"</t>
  </si>
  <si>
    <t xml:space="preserve">"dělat-033"</t>
  </si>
  <si>
    <t xml:space="preserve">DPHR: ostuda.S4</t>
  </si>
  <si>
    <t xml:space="preserve">"dělat-034"</t>
  </si>
  <si>
    <t xml:space="preserve">DPHR: pitomina.P4</t>
  </si>
  <si>
    <t xml:space="preserve">"dělat-035"</t>
  </si>
  <si>
    <t xml:space="preserve">DPHR: rotyka.S4</t>
  </si>
  <si>
    <t xml:space="preserve">"dělat-036"</t>
  </si>
  <si>
    <t xml:space="preserve">DPHR: scéna.P4</t>
  </si>
  <si>
    <t xml:space="preserve">"--dělat-037"</t>
  </si>
  <si>
    <t xml:space="preserve">"dělat-038"</t>
  </si>
  <si>
    <t xml:space="preserve">CPHR: {hostina,koncert,svatba,vycházka,výlet,zájezd}.4</t>
  </si>
  <si>
    <t xml:space="preserve">"dělat-039"</t>
  </si>
  <si>
    <t xml:space="preserve">CPHR: {stín}.4</t>
  </si>
  <si>
    <t xml:space="preserve">"dělat-040"</t>
  </si>
  <si>
    <t xml:space="preserve">"dělat-041"</t>
  </si>
  <si>
    <t xml:space="preserve">DPHR: vědět.~S$2&lt;B&gt;$8&lt;1&gt;$9&lt;P&gt;$12&lt;A&gt;[co-1.4]</t>
  </si>
  <si>
    <t xml:space="preserve">"dělat-042"</t>
  </si>
  <si>
    <t xml:space="preserve">DPHR: zle</t>
  </si>
  <si>
    <t xml:space="preserve">"dělat-043"</t>
  </si>
  <si>
    <t xml:space="preserve">"--dělat-044"</t>
  </si>
  <si>
    <t xml:space="preserve">CPHR: {analýza,expertíza,hodnocení,chyba,instruktáž,kontrola,krájení,krok,nákup,ohledání,omezení,opatření,pokrok,pokus,poradenství,práce,prognóza,propagace,průzkum,reorganizace,restrukturalizace,rozhodnutí,rozhovor,slib,sport,test,údržba,ústupek,vklad,vyšetření,zátah,změna,...}.4</t>
  </si>
  <si>
    <t xml:space="preserve">"dělat-045"</t>
  </si>
  <si>
    <t xml:space="preserve">CPHR: {fotka,fotografie,snímek,zápis,záznam,...}.4</t>
  </si>
  <si>
    <t xml:space="preserve">"dělat-046"</t>
  </si>
  <si>
    <t xml:space="preserve">"dělat-047"</t>
  </si>
  <si>
    <t xml:space="preserve">"--dělat-048"</t>
  </si>
  <si>
    <t xml:space="preserve">"dělat-se-001"</t>
  </si>
  <si>
    <t xml:space="preserve">Agent(ARG0/23), Deed(ARG1/38)</t>
  </si>
  <si>
    <t xml:space="preserve">ACT-&gt;Agent(ARG0/23)</t>
  </si>
  <si>
    <t xml:space="preserve">PAT-&gt;Deed(ARG1/38)</t>
  </si>
  <si>
    <t xml:space="preserve">"dělat-se-002"</t>
  </si>
  <si>
    <t xml:space="preserve">"dělat-se-003"</t>
  </si>
  <si>
    <t xml:space="preserve">"dělat-se-004"</t>
  </si>
  <si>
    <t xml:space="preserve">"dělat-si-001"</t>
  </si>
  <si>
    <t xml:space="preserve">"dělat-si-002"</t>
  </si>
  <si>
    <t xml:space="preserve">ACT-&gt;ARG0/1383,ARG1/5</t>
  </si>
  <si>
    <t xml:space="preserve">CPHR: {naděje,nárok,představa,...}.4</t>
  </si>
  <si>
    <t xml:space="preserve">CPHR-&gt;ARG1/1413,ARG2/2</t>
  </si>
  <si>
    <t xml:space="preserve">CPHR-&gt;Judgment</t>
  </si>
  <si>
    <t xml:space="preserve">CPHR-&gt;Judgment(ARG1/558,ARG2/2)</t>
  </si>
  <si>
    <t xml:space="preserve">CPHR-&gt;Event_expected</t>
  </si>
  <si>
    <t xml:space="preserve">CPHR-&gt;Event_expected(ARG1/855)</t>
  </si>
  <si>
    <t xml:space="preserve">"dělat-si-003"</t>
  </si>
  <si>
    <t xml:space="preserve">CPHR: {obava,starost,...}.4</t>
  </si>
  <si>
    <t xml:space="preserve">"dělat-si-004"</t>
  </si>
  <si>
    <t xml:space="preserve">DPHR: hlava:S4[těžký.#]</t>
  </si>
  <si>
    <t xml:space="preserve">"dělat-si-005"</t>
  </si>
  <si>
    <t xml:space="preserve">DPHR: nic.4</t>
  </si>
  <si>
    <t xml:space="preserve">"dělat-si-006"</t>
  </si>
  <si>
    <t xml:space="preserve">DPHR: legrace.S4; blázen.P4; sranda.S4</t>
  </si>
  <si>
    <t xml:space="preserve">?EFF: ↓že</t>
  </si>
  <si>
    <t xml:space="preserve">"dělat-si-007"</t>
  </si>
  <si>
    <t xml:space="preserve">DPHR: iluze.P4</t>
  </si>
  <si>
    <t xml:space="preserve">"dělat-si-008"</t>
  </si>
  <si>
    <t xml:space="preserve">DPHR: hlava.S4; hlava.S4[velký.#]</t>
  </si>
  <si>
    <t xml:space="preserve">PAT: s+7; z+2</t>
  </si>
  <si>
    <t xml:space="preserve">"dělat-si-009"</t>
  </si>
  <si>
    <t xml:space="preserve">PAT: ↓c</t>
  </si>
  <si>
    <t xml:space="preserve">"dělat-si-010"</t>
  </si>
  <si>
    <t xml:space="preserve">DPHR: blázen.P4</t>
  </si>
  <si>
    <t xml:space="preserve">"--dělat-si-011"</t>
  </si>
  <si>
    <t xml:space="preserve">DPHR: velkou,hlavu</t>
  </si>
  <si>
    <t xml:space="preserve">"dělit-001"</t>
  </si>
  <si>
    <t xml:space="preserve">?ADDR: 3; mezi+4; na+4; do+2</t>
  </si>
  <si>
    <t xml:space="preserve">"dělit-002"</t>
  </si>
  <si>
    <t xml:space="preserve">"dělit-003"</t>
  </si>
  <si>
    <t xml:space="preserve">"dělit-004"</t>
  </si>
  <si>
    <t xml:space="preserve">"dělit-se-001"</t>
  </si>
  <si>
    <t xml:space="preserve">Participant_1(ARG0/37), Entity(ARG1/49), Participant_2(ARG2/19)</t>
  </si>
  <si>
    <t xml:space="preserve">ACT-&gt;ARG0/37</t>
  </si>
  <si>
    <t xml:space="preserve">PAT-&gt;ARG1/49</t>
  </si>
  <si>
    <t xml:space="preserve">PAT-&gt;Entity(ARG1/49)</t>
  </si>
  <si>
    <t xml:space="preserve">ADDR-&gt;ARG2/19</t>
  </si>
  <si>
    <t xml:space="preserve">ADDR-&gt;Participant_2(ARG2/19)</t>
  </si>
  <si>
    <t xml:space="preserve">"dělit-se-002"</t>
  </si>
  <si>
    <t xml:space="preserve">?PAT: na+4; do+2</t>
  </si>
  <si>
    <t xml:space="preserve">"dělávat-001"</t>
  </si>
  <si>
    <t xml:space="preserve">"dělávat-002"</t>
  </si>
  <si>
    <t xml:space="preserve">"dělávat-003"</t>
  </si>
  <si>
    <t xml:space="preserve">"dělávat-004"</t>
  </si>
  <si>
    <t xml:space="preserve">"dělávat-005"</t>
  </si>
  <si>
    <t xml:space="preserve">"děsit-001"</t>
  </si>
  <si>
    <t xml:space="preserve">Stimulus(ARG0/20,ARG2/5), Victim(ARG1/33)</t>
  </si>
  <si>
    <t xml:space="preserve">ACT-&gt;ARG0/20,ARG2/5</t>
  </si>
  <si>
    <t xml:space="preserve">ACT-&gt;Stimulus(ARG0/20,ARG2/5)</t>
  </si>
  <si>
    <t xml:space="preserve">PAT-&gt;ARG1/33</t>
  </si>
  <si>
    <t xml:space="preserve">PAT-&gt;Victim(ARG1/33)</t>
  </si>
  <si>
    <t xml:space="preserve">"děsit-se-001"</t>
  </si>
  <si>
    <t xml:space="preserve">"dřepnout-si-001"</t>
  </si>
  <si>
    <t xml:space="preserve">"dřímat-001"</t>
  </si>
  <si>
    <t xml:space="preserve">"dřímat-002"</t>
  </si>
  <si>
    <t xml:space="preserve">"dřít-001"</t>
  </si>
  <si>
    <t xml:space="preserve">Protagonist(ARG0/241)</t>
  </si>
  <si>
    <t xml:space="preserve">Agent(ARG0/231,ARG1/1), Project(ARG1/120,ARG2/37,ARG3/1)</t>
  </si>
  <si>
    <t xml:space="preserve">ACT-&gt;ARG0/472,ARG1/1</t>
  </si>
  <si>
    <t xml:space="preserve">ACT-&gt;Protagonist(ARG0/241)</t>
  </si>
  <si>
    <t xml:space="preserve">ACT-&gt;Agent(ARG0/231,ARG1/1)</t>
  </si>
  <si>
    <t xml:space="preserve">"dřít-se-001"</t>
  </si>
  <si>
    <t xml:space="preserve">?PAT: na+6; s+7</t>
  </si>
  <si>
    <t xml:space="preserve">ACT-&gt;ARG0/241</t>
  </si>
  <si>
    <t xml:space="preserve">"dřít-se-002"</t>
  </si>
  <si>
    <t xml:space="preserve">"dštít-001"</t>
  </si>
  <si>
    <t xml:space="preserve">DPHR: oheň.S4</t>
  </si>
  <si>
    <t xml:space="preserve">"důvěřovat-001"</t>
  </si>
  <si>
    <t xml:space="preserve">PAT: 3; ↓že</t>
  </si>
  <si>
    <t xml:space="preserve">"důvěřovat-002"</t>
  </si>
  <si>
    <t xml:space="preserve">"důvěřovat-003"</t>
  </si>
  <si>
    <t xml:space="preserve">Cognizer(ARG0/56), Communicator(ARG2/2), Information(ARG1/1)</t>
  </si>
  <si>
    <t xml:space="preserve">ACT-&gt;Cognizer(ARG0/56)</t>
  </si>
  <si>
    <t xml:space="preserve">ADDR-&gt;Communicator</t>
  </si>
  <si>
    <t xml:space="preserve">ADDR-&gt;Communicator(ARG2/2)</t>
  </si>
  <si>
    <t xml:space="preserve">"--důvěřovat-si-001"</t>
  </si>
  <si>
    <t xml:space="preserve">"elektrifikovat-001"</t>
  </si>
  <si>
    <t xml:space="preserve">"eliminovat-001"</t>
  </si>
  <si>
    <t xml:space="preserve">"emigrovat-001"</t>
  </si>
  <si>
    <t xml:space="preserve">Escapee(), Undesirable()</t>
  </si>
  <si>
    <t xml:space="preserve">ACT-&gt;ARG0/69,ARG1/79</t>
  </si>
  <si>
    <t xml:space="preserve">ACT-&gt;Escapee()</t>
  </si>
  <si>
    <t xml:space="preserve">DIR1-&gt;Undesirable</t>
  </si>
  <si>
    <t xml:space="preserve">DIR1-&gt;Undesirable()</t>
  </si>
  <si>
    <t xml:space="preserve">"emitovat-001"</t>
  </si>
  <si>
    <t xml:space="preserve">"erodovat-001"</t>
  </si>
  <si>
    <t xml:space="preserve">"eskalovat-001"</t>
  </si>
  <si>
    <t xml:space="preserve">"eskortovat-001"</t>
  </si>
  <si>
    <t xml:space="preserve">"etablovat-se-001"</t>
  </si>
  <si>
    <t xml:space="preserve">"evakuovat-001"</t>
  </si>
  <si>
    <t xml:space="preserve">"evakuovat-002"</t>
  </si>
  <si>
    <t xml:space="preserve">Authority(), Area(ARG1/1)</t>
  </si>
  <si>
    <t xml:space="preserve">PAT-&gt;Area</t>
  </si>
  <si>
    <t xml:space="preserve">PAT-&gt;Area(ARG1/1)</t>
  </si>
  <si>
    <t xml:space="preserve">"evaluovat-001"</t>
  </si>
  <si>
    <t xml:space="preserve">"evidovat-001"</t>
  </si>
  <si>
    <t xml:space="preserve">"evidovat-002"</t>
  </si>
  <si>
    <t xml:space="preserve">EFF: 4; ↓že; ↓jak-2; .s; ↓c</t>
  </si>
  <si>
    <t xml:space="preserve">"evokovat-001"</t>
  </si>
  <si>
    <t xml:space="preserve">Stimulus(ARG0/2), Phenomenon(ARG1/3)</t>
  </si>
  <si>
    <t xml:space="preserve">ACT-&gt;Stimulus(ARG0/2)</t>
  </si>
  <si>
    <t xml:space="preserve">"excelovat-001"</t>
  </si>
  <si>
    <t xml:space="preserve">?PAT: nad+7</t>
  </si>
  <si>
    <t xml:space="preserve">"existovat-001"</t>
  </si>
  <si>
    <t xml:space="preserve">ACT: 1; ↓že; ↓aby</t>
  </si>
  <si>
    <t xml:space="preserve">"expandovat-001"</t>
  </si>
  <si>
    <t xml:space="preserve">Changing(ARG0/10,ARG1/65)</t>
  </si>
  <si>
    <t xml:space="preserve">Entity(ARG0/2,ARG1/52)</t>
  </si>
  <si>
    <t xml:space="preserve">ACT-&gt;ARG0/12,ARG1/117</t>
  </si>
  <si>
    <t xml:space="preserve">ACT-&gt;Changing(ARG0/10,ARG1/65)</t>
  </si>
  <si>
    <t xml:space="preserve">ACT-&gt;Entity(ARG0/2,ARG1/52)</t>
  </si>
  <si>
    <t xml:space="preserve">"expedovat-001"</t>
  </si>
  <si>
    <t xml:space="preserve">"experimentovat-001"</t>
  </si>
  <si>
    <t xml:space="preserve">Affected(ARG0/6), Agent(ARG1/5,ARG2/1)</t>
  </si>
  <si>
    <t xml:space="preserve">ACT-&gt;Affected(ARG0/6)</t>
  </si>
  <si>
    <t xml:space="preserve">PAT-&gt;ARG1/5,ARG2/1</t>
  </si>
  <si>
    <t xml:space="preserve">PAT-&gt;Agent</t>
  </si>
  <si>
    <t xml:space="preserve">PAT-&gt;Agent(ARG1/5,ARG2/1)</t>
  </si>
  <si>
    <t xml:space="preserve">"explodovat-001"</t>
  </si>
  <si>
    <t xml:space="preserve">"exponovat-001"</t>
  </si>
  <si>
    <t xml:space="preserve">"exportovat-001"</t>
  </si>
  <si>
    <t xml:space="preserve">"externalizovat-001"</t>
  </si>
  <si>
    <t xml:space="preserve">"extradikovat-001"</t>
  </si>
  <si>
    <t xml:space="preserve">"extrahovat-001"</t>
  </si>
  <si>
    <t xml:space="preserve">Removing(ARG0/3), Removed(ARG1/9), Source()</t>
  </si>
  <si>
    <t xml:space="preserve">ACT-&gt;Removing(ARG0/3)</t>
  </si>
  <si>
    <t xml:space="preserve">PAT-&gt;Removed</t>
  </si>
  <si>
    <t xml:space="preserve">PAT-&gt;Removed(ARG1/9)</t>
  </si>
  <si>
    <t xml:space="preserve">DIR1-&gt;Source</t>
  </si>
  <si>
    <t xml:space="preserve">DIR1-&gt;Source()</t>
  </si>
  <si>
    <t xml:space="preserve">"extrahovat-002"</t>
  </si>
  <si>
    <t xml:space="preserve">"extrapolovat-001"</t>
  </si>
  <si>
    <t xml:space="preserve">"fackovat-001"</t>
  </si>
  <si>
    <t xml:space="preserve">"fajrat-001"</t>
  </si>
  <si>
    <t xml:space="preserve">"fakturovat-001"</t>
  </si>
  <si>
    <t xml:space="preserve">"falšovat-001"</t>
  </si>
  <si>
    <t xml:space="preserve">Perpetrator(ARG0/11), Affected(ARG1/16)</t>
  </si>
  <si>
    <t xml:space="preserve">PAT-&gt;ARG1/16</t>
  </si>
  <si>
    <t xml:space="preserve">PAT-&gt;Affected(ARG1/16)</t>
  </si>
  <si>
    <t xml:space="preserve">"fandit-001"</t>
  </si>
  <si>
    <t xml:space="preserve">"fantazírovat-001"</t>
  </si>
  <si>
    <t xml:space="preserve">EFF: ↓že; ↓jak-2</t>
  </si>
  <si>
    <t xml:space="preserve">"fantazírovat-002"</t>
  </si>
  <si>
    <t xml:space="preserve">"farmařit-001"</t>
  </si>
  <si>
    <t xml:space="preserve">"fascinovat-001"</t>
  </si>
  <si>
    <t xml:space="preserve">ACT: 1; ↓jak-2</t>
  </si>
  <si>
    <t xml:space="preserve">ACT-&gt;ARG0/7</t>
  </si>
  <si>
    <t xml:space="preserve">ACT-&gt;Stimulus(ARG0/7)</t>
  </si>
  <si>
    <t xml:space="preserve">PAT-&gt;Experiencer(ARG1/9)</t>
  </si>
  <si>
    <t xml:space="preserve">"fasovat-001"</t>
  </si>
  <si>
    <t xml:space="preserve">ORIG-&gt;ARG1/5,ARG2/159,ARG3/8</t>
  </si>
  <si>
    <t xml:space="preserve">"faulovat-001"</t>
  </si>
  <si>
    <t xml:space="preserve">"favorizovat-001"</t>
  </si>
  <si>
    <t xml:space="preserve">"figurovat-001"</t>
  </si>
  <si>
    <t xml:space="preserve">Entity(ARG0/6), Place(ARG1/7)</t>
  </si>
  <si>
    <t xml:space="preserve">ACT-&gt;Entity(ARG0/6)</t>
  </si>
  <si>
    <t xml:space="preserve">LOC-&gt;ARG1/7</t>
  </si>
  <si>
    <t xml:space="preserve">LOC-&gt;Place(ARG1/7)</t>
  </si>
  <si>
    <t xml:space="preserve">"fiknout-001"</t>
  </si>
  <si>
    <t xml:space="preserve">"filmovat-001"</t>
  </si>
  <si>
    <t xml:space="preserve">Creator(ARG0/37), Created(ARG1/54)</t>
  </si>
  <si>
    <t xml:space="preserve">ACT-&gt;Creator(ARG0/37)</t>
  </si>
  <si>
    <t xml:space="preserve">PAT-&gt;ARG1/54</t>
  </si>
  <si>
    <t xml:space="preserve">PAT-&gt;Created(ARG1/54)</t>
  </si>
  <si>
    <t xml:space="preserve">"filozofovat-001"</t>
  </si>
  <si>
    <t xml:space="preserve">Cognizer(ARG0/30), Phenomenon(ARG1/3)</t>
  </si>
  <si>
    <t xml:space="preserve">ACT-&gt;ARG0/30</t>
  </si>
  <si>
    <t xml:space="preserve">ACT-&gt;Cognizer(ARG0/30)</t>
  </si>
  <si>
    <t xml:space="preserve">"filtrovat-001"</t>
  </si>
  <si>
    <t xml:space="preserve">"filtrovat-002"</t>
  </si>
  <si>
    <t xml:space="preserve">"financovat-001"</t>
  </si>
  <si>
    <t xml:space="preserve">Money(ARG1/459,ARG2/29,ARG3/20), Payee(ARG0/1,ARG1/110,ARG2/145,ARG3/4), Payer(ARG0/378,ARG1/4,ARG2/8)</t>
  </si>
  <si>
    <t xml:space="preserve">ACT-&gt;ARG0/439,ARG1/5,ARG2/21</t>
  </si>
  <si>
    <t xml:space="preserve">ACT-&gt;Payer(ARG0/378,ARG1/4,ARG2/8)</t>
  </si>
  <si>
    <t xml:space="preserve">PAT-&gt;ARG0/1,ARG1/286,ARG2/145,ARG3/4</t>
  </si>
  <si>
    <t xml:space="preserve">PAT-&gt;Payee</t>
  </si>
  <si>
    <t xml:space="preserve">PAT-&gt;Payee(ARG0/1,ARG1/110,ARG2/145,ARG3/4)</t>
  </si>
  <si>
    <t xml:space="preserve">"finišovat-001"</t>
  </si>
  <si>
    <t xml:space="preserve">ACT-&gt;ARG0/13,ARG1/168</t>
  </si>
  <si>
    <t xml:space="preserve">"fixlovat-001"</t>
  </si>
  <si>
    <t xml:space="preserve">"fixovat-001"</t>
  </si>
  <si>
    <t xml:space="preserve">"fičet-001"</t>
  </si>
  <si>
    <t xml:space="preserve">"flinkat-001"</t>
  </si>
  <si>
    <t xml:space="preserve">"flinkat-se-001"</t>
  </si>
  <si>
    <t xml:space="preserve">"flirtovat-001"</t>
  </si>
  <si>
    <t xml:space="preserve">?PAT: o+6; ↓že; .s; ↓c</t>
  </si>
  <si>
    <t xml:space="preserve">"flirtovat-002"</t>
  </si>
  <si>
    <t xml:space="preserve">Protagonist(ARG0/7), Entity(ARG1/6)</t>
  </si>
  <si>
    <t xml:space="preserve">ACT-&gt;Protagonist(ARG0/7)</t>
  </si>
  <si>
    <t xml:space="preserve">PAT-&gt;Entity(ARG1/6)</t>
  </si>
  <si>
    <t xml:space="preserve">"fluktuovat-001"</t>
  </si>
  <si>
    <t xml:space="preserve">"flákat-001"</t>
  </si>
  <si>
    <t xml:space="preserve">"flákat-se-001"</t>
  </si>
  <si>
    <t xml:space="preserve">"fláknout-001"</t>
  </si>
  <si>
    <t xml:space="preserve">"formalizovat-001"</t>
  </si>
  <si>
    <t xml:space="preserve">"formovat-001"</t>
  </si>
  <si>
    <t xml:space="preserve">Creator(ARG0/4), Created(ARG2/4), Resource(ARG1/13)</t>
  </si>
  <si>
    <t xml:space="preserve">ACT-&gt;Creator(ARG0/4)</t>
  </si>
  <si>
    <t xml:space="preserve">PAT-&gt;Resource(ARG1/13)</t>
  </si>
  <si>
    <t xml:space="preserve">?EFF: v+4; do+2</t>
  </si>
  <si>
    <t xml:space="preserve">EFF-&gt;ARG2/4</t>
  </si>
  <si>
    <t xml:space="preserve">EFF-&gt;Created</t>
  </si>
  <si>
    <t xml:space="preserve">EFF-&gt;Created(ARG2/4)</t>
  </si>
  <si>
    <t xml:space="preserve">"formovat-se-001"</t>
  </si>
  <si>
    <t xml:space="preserve">"formulovat-001"</t>
  </si>
  <si>
    <t xml:space="preserve">Communicator(ARG0/26), Communicated(ARG1/28)</t>
  </si>
  <si>
    <t xml:space="preserve">ACT-&gt;Communicator(ARG0/26)</t>
  </si>
  <si>
    <t xml:space="preserve">PAT-&gt;Communicated(ARG1/28)</t>
  </si>
  <si>
    <t xml:space="preserve">"formátovat-001"</t>
  </si>
  <si>
    <t xml:space="preserve">"fotit-001"</t>
  </si>
  <si>
    <t xml:space="preserve">"fotit-002"</t>
  </si>
  <si>
    <t xml:space="preserve">"fotit-se-001"</t>
  </si>
  <si>
    <t xml:space="preserve">"fotografovat-001"</t>
  </si>
  <si>
    <t xml:space="preserve">"fotografovat-002"</t>
  </si>
  <si>
    <t xml:space="preserve">"fotografovat-se-001"</t>
  </si>
  <si>
    <t xml:space="preserve">"fotívat-001"</t>
  </si>
  <si>
    <t xml:space="preserve">"foukat-001"</t>
  </si>
  <si>
    <t xml:space="preserve">"foukat-002"</t>
  </si>
  <si>
    <t xml:space="preserve">"foukat-003"</t>
  </si>
  <si>
    <t xml:space="preserve">"fragmentovat-001"</t>
  </si>
  <si>
    <t xml:space="preserve">"frustrovat-001"</t>
  </si>
  <si>
    <t xml:space="preserve">Cause(ARG0/4,ARG1/1,ARG2/2), Experiencer(ARG1/10,ARG2/4)</t>
  </si>
  <si>
    <t xml:space="preserve">ACT-&gt;ARG0/4,ARG1/1,ARG2/2</t>
  </si>
  <si>
    <t xml:space="preserve">ACT-&gt;Cause(ARG0/4,ARG1/1,ARG2/2)</t>
  </si>
  <si>
    <t xml:space="preserve">PAT-&gt;ARG1/10,ARG2/4</t>
  </si>
  <si>
    <t xml:space="preserve">PAT-&gt;Experiencer(ARG1/10,ARG2/4)</t>
  </si>
  <si>
    <t xml:space="preserve">"fungovat-001"</t>
  </si>
  <si>
    <t xml:space="preserve">"fungovat-002"</t>
  </si>
  <si>
    <t xml:space="preserve">"fungovat-003"</t>
  </si>
  <si>
    <t xml:space="preserve">"funět-001"</t>
  </si>
  <si>
    <t xml:space="preserve">"funět-002"</t>
  </si>
  <si>
    <t xml:space="preserve">"fušovat-001"</t>
  </si>
  <si>
    <t xml:space="preserve">Influencing(ARG0/2), Influenced(ARG1/9)</t>
  </si>
  <si>
    <t xml:space="preserve">ACT-&gt;Influencing(ARG0/2)</t>
  </si>
  <si>
    <t xml:space="preserve">PAT-&gt;Influenced</t>
  </si>
  <si>
    <t xml:space="preserve">PAT-&gt;Influenced(ARG1/9)</t>
  </si>
  <si>
    <t xml:space="preserve">"fárat-001"</t>
  </si>
  <si>
    <t xml:space="preserve">"fúzovat-001"</t>
  </si>
  <si>
    <t xml:space="preserve">"fúzovat-002"</t>
  </si>
  <si>
    <t xml:space="preserve">"garantovat-001"</t>
  </si>
  <si>
    <t xml:space="preserve">PAT-&gt;ARG1/113</t>
  </si>
  <si>
    <t xml:space="preserve">PAT-&gt;Commitment</t>
  </si>
  <si>
    <t xml:space="preserve">PAT-&gt;Commitment(ARG1/113)</t>
  </si>
  <si>
    <t xml:space="preserve">"generalizovat-001"</t>
  </si>
  <si>
    <t xml:space="preserve">Cognizer(), Category(ARG1/1)</t>
  </si>
  <si>
    <t xml:space="preserve">ACT-&gt;Cognizer()</t>
  </si>
  <si>
    <t xml:space="preserve">PAT-&gt;Category</t>
  </si>
  <si>
    <t xml:space="preserve">PAT-&gt;Category(ARG1/1)</t>
  </si>
  <si>
    <t xml:space="preserve">"generovat-001"</t>
  </si>
  <si>
    <t xml:space="preserve">Action(ARG0/278,ARG1/6), Acquired(ARG1/654), Recipient(ARG2/4,ARG3/1)</t>
  </si>
  <si>
    <t xml:space="preserve">ACT-&gt;ARG0/278,ARG1/6</t>
  </si>
  <si>
    <t xml:space="preserve">ACT-&gt;Action(ARG0/278,ARG1/6)</t>
  </si>
  <si>
    <t xml:space="preserve">PAT-&gt;ARG1/654</t>
  </si>
  <si>
    <t xml:space="preserve">PAT-&gt;Acquired(ARG1/654)</t>
  </si>
  <si>
    <t xml:space="preserve">"gestikulovat-001"</t>
  </si>
  <si>
    <t xml:space="preserve">Attitudal(ARG0/4), Party_benefited(ARG2/1)</t>
  </si>
  <si>
    <t xml:space="preserve">ACT-&gt;Attitudal(ARG0/4)</t>
  </si>
  <si>
    <t xml:space="preserve">"gestikulovat-002"</t>
  </si>
  <si>
    <t xml:space="preserve">?PAT: 4; ↓že; ↓aby; ↓ať</t>
  </si>
  <si>
    <t xml:space="preserve">"glajchšaltovat-001"</t>
  </si>
  <si>
    <t xml:space="preserve">"globalizovat-001"</t>
  </si>
  <si>
    <t xml:space="preserve">"glosovat-001"</t>
  </si>
  <si>
    <t xml:space="preserve">"gratulovat-001"</t>
  </si>
  <si>
    <t xml:space="preserve">Attitudal(ARG0/2), Achievement(ARG2/1), Party_benefited(ARG1/3)</t>
  </si>
  <si>
    <t xml:space="preserve">ACT-&gt;Attitudal(ARG0/2)</t>
  </si>
  <si>
    <t xml:space="preserve">PAT-&gt;Achievement(ARG2/1)</t>
  </si>
  <si>
    <t xml:space="preserve">ADDR-&gt;ARG1/3</t>
  </si>
  <si>
    <t xml:space="preserve">ADDR-&gt;Party_benefited</t>
  </si>
  <si>
    <t xml:space="preserve">ADDR-&gt;Party_benefited(ARG1/3)</t>
  </si>
  <si>
    <t xml:space="preserve">"grilovat-001"</t>
  </si>
  <si>
    <t xml:space="preserve">"habilitovat-001"</t>
  </si>
  <si>
    <t xml:space="preserve">"habilitovat-se-001"</t>
  </si>
  <si>
    <t xml:space="preserve">"halit-001"</t>
  </si>
  <si>
    <t xml:space="preserve">Hiding(ARG0/2,ARG2/3), Hidden(ARG1/5)</t>
  </si>
  <si>
    <t xml:space="preserve">ACT-&gt;ARG0/2,ARG2/3</t>
  </si>
  <si>
    <t xml:space="preserve">ACT-&gt;Hiding</t>
  </si>
  <si>
    <t xml:space="preserve">ACT-&gt;Hiding(ARG0/2,ARG2/3)</t>
  </si>
  <si>
    <t xml:space="preserve">PAT: 4; ↓že; ↓jestli; ↓jak-2; ↓c</t>
  </si>
  <si>
    <t xml:space="preserve">PAT-&gt;Hidden</t>
  </si>
  <si>
    <t xml:space="preserve">PAT-&gt;Hidden(ARG1/5)</t>
  </si>
  <si>
    <t xml:space="preserve">?ADDR: před+7</t>
  </si>
  <si>
    <t xml:space="preserve">"halit-se-001"</t>
  </si>
  <si>
    <t xml:space="preserve">?PAT: do+2</t>
  </si>
  <si>
    <t xml:space="preserve">"handicapovat-001"</t>
  </si>
  <si>
    <t xml:space="preserve">"handrkovat-se-001"</t>
  </si>
  <si>
    <t xml:space="preserve">?PAT: o+6; ↓zda; ↓jestli; ↓c; .s</t>
  </si>
  <si>
    <t xml:space="preserve">"hanobit-001"</t>
  </si>
  <si>
    <t xml:space="preserve">Accuser(ARG0/83), Accused(ARG1/118)</t>
  </si>
  <si>
    <t xml:space="preserve">ACT-&gt;ARG0/86</t>
  </si>
  <si>
    <t xml:space="preserve">ACT-&gt;Accuser(ARG0/83)</t>
  </si>
  <si>
    <t xml:space="preserve">PAT-&gt;ARG0/1,ARG1/127</t>
  </si>
  <si>
    <t xml:space="preserve">PAT-&gt;Accused</t>
  </si>
  <si>
    <t xml:space="preserve">PAT-&gt;Accused(ARG1/118)</t>
  </si>
  <si>
    <t xml:space="preserve">"hanět-001"</t>
  </si>
  <si>
    <t xml:space="preserve">Agent(ARG0/12), Affected(ARG1/17), Undesirable(ARG2/11)</t>
  </si>
  <si>
    <t xml:space="preserve">Abuser(ARG0/1), Abused(ARG0/1,ARG1/2)</t>
  </si>
  <si>
    <t xml:space="preserve">ACT-&gt;ARG0/16</t>
  </si>
  <si>
    <t xml:space="preserve">ACT-&gt;Agent(ARG0/12)</t>
  </si>
  <si>
    <t xml:space="preserve">ACT-&gt;Abuser(ARG0/1)</t>
  </si>
  <si>
    <t xml:space="preserve">PAT-&gt;ARG0/2,ARG1/28</t>
  </si>
  <si>
    <t xml:space="preserve">PAT-&gt;Affected(ARG1/17)</t>
  </si>
  <si>
    <t xml:space="preserve">PAT-&gt;Abused(ARG0/1,ARG1/2)</t>
  </si>
  <si>
    <t xml:space="preserve">"haprovat-001"</t>
  </si>
  <si>
    <t xml:space="preserve">"harmonizovat-001"</t>
  </si>
  <si>
    <t xml:space="preserve">"harmonovat-001"</t>
  </si>
  <si>
    <t xml:space="preserve">"hasit-001"</t>
  </si>
  <si>
    <t xml:space="preserve">"hauzírovat-001"</t>
  </si>
  <si>
    <t xml:space="preserve">"havarovat-001"</t>
  </si>
  <si>
    <t xml:space="preserve">"hazardovat-001"</t>
  </si>
  <si>
    <t xml:space="preserve">PAT: 7; s+7</t>
  </si>
  <si>
    <t xml:space="preserve">"hašteřit-se-001"</t>
  </si>
  <si>
    <t xml:space="preserve">"hecovat-001"</t>
  </si>
  <si>
    <t xml:space="preserve">"hecovat-002"</t>
  </si>
  <si>
    <t xml:space="preserve">?PAT: proti+3; ↓ať; .s</t>
  </si>
  <si>
    <t xml:space="preserve">"hejbat-se-001"</t>
  </si>
  <si>
    <t xml:space="preserve">"hemžit-se-001"</t>
  </si>
  <si>
    <t xml:space="preserve">"hemžit-se-002"</t>
  </si>
  <si>
    <t xml:space="preserve">"hemžit-se-003"</t>
  </si>
  <si>
    <t xml:space="preserve">ACT: to</t>
  </si>
  <si>
    <t xml:space="preserve">?PAT: 7</t>
  </si>
  <si>
    <t xml:space="preserve">"hladit-001"</t>
  </si>
  <si>
    <t xml:space="preserve">"hladovět-001"</t>
  </si>
  <si>
    <t xml:space="preserve">"hladovět-002"</t>
  </si>
  <si>
    <t xml:space="preserve">"hlasovat-001"</t>
  </si>
  <si>
    <t xml:space="preserve">"hlasovat-002"</t>
  </si>
  <si>
    <t xml:space="preserve">Agent(ARG0/56,ARG2/1), Chosen(ARG1/60)</t>
  </si>
  <si>
    <t xml:space="preserve">ACT-&gt;ARG0/56,ARG2/1</t>
  </si>
  <si>
    <t xml:space="preserve">ACT-&gt;Agent(ARG0/56,ARG2/1)</t>
  </si>
  <si>
    <t xml:space="preserve">PAT: o+6; ↓zda</t>
  </si>
  <si>
    <t xml:space="preserve">PAT-&gt;Chosen</t>
  </si>
  <si>
    <t xml:space="preserve">PAT-&gt;Chosen(ARG1/60)</t>
  </si>
  <si>
    <t xml:space="preserve">"hlasovat-003"</t>
  </si>
  <si>
    <t xml:space="preserve">Helper(ARG0/626,ARG1/7,ARG3/9), Supported(ARG1/842,ARG2/17)</t>
  </si>
  <si>
    <t xml:space="preserve">ACT-&gt;ARG0/717,ARG1/8,ARG3/9</t>
  </si>
  <si>
    <t xml:space="preserve">ACT-&gt;Helper(ARG0/626,ARG1/7,ARG3/9)</t>
  </si>
  <si>
    <t xml:space="preserve">?PAT: pro+4; proti+3; za+4</t>
  </si>
  <si>
    <t xml:space="preserve">PAT-&gt;ARG1/952,ARG2/17</t>
  </si>
  <si>
    <t xml:space="preserve">PAT-&gt;Supported(ARG1/842,ARG2/17)</t>
  </si>
  <si>
    <t xml:space="preserve">PAT(proti)-&gt;Opposed</t>
  </si>
  <si>
    <t xml:space="preserve">PAT(proti)-&gt;Opposed(ARG1/110)</t>
  </si>
  <si>
    <t xml:space="preserve">"hlavičkovat-001"</t>
  </si>
  <si>
    <t xml:space="preserve">"hledat-001"</t>
  </si>
  <si>
    <t xml:space="preserve">"hledat-002"</t>
  </si>
  <si>
    <t xml:space="preserve">PAT: 4; ↓c; ↓zda; ↓jestli; ↓jak-2</t>
  </si>
  <si>
    <t xml:space="preserve">"hledat-003"</t>
  </si>
  <si>
    <t xml:space="preserve">"hledět-001"</t>
  </si>
  <si>
    <t xml:space="preserve">"hledět-002"</t>
  </si>
  <si>
    <t xml:space="preserve">"hledět-003"</t>
  </si>
  <si>
    <t xml:space="preserve">#alt[MANN,ACMP,CRIT,CPR]-&gt;Judgment</t>
  </si>
  <si>
    <t xml:space="preserve">#alt[MANN,ACMP,CRIT,CPR]-&gt;Judgment(ARG1/3,ARG2/156)</t>
  </si>
  <si>
    <t xml:space="preserve">"hledět-004"</t>
  </si>
  <si>
    <t xml:space="preserve">"hledět-005"</t>
  </si>
  <si>
    <t xml:space="preserve">PAT: ↓aby</t>
  </si>
  <si>
    <t xml:space="preserve">"hledět-si-001"</t>
  </si>
  <si>
    <t xml:space="preserve">"hloubat-001"</t>
  </si>
  <si>
    <t xml:space="preserve">"hloubit-001"</t>
  </si>
  <si>
    <t xml:space="preserve">"hltat-001"</t>
  </si>
  <si>
    <t xml:space="preserve">"hltat-002"</t>
  </si>
  <si>
    <t xml:space="preserve">Ingestor(ARG0/22,ARG1/1), Ingestibles(ARG1/21)</t>
  </si>
  <si>
    <t xml:space="preserve">Ingestor(ARG0/9), Ingestibles(ARG1/8)</t>
  </si>
  <si>
    <t xml:space="preserve">ACT-&gt;ARG0/56,ARG1/1</t>
  </si>
  <si>
    <t xml:space="preserve">ACT-&gt;Ingestor(ARG0/22,ARG1/1)</t>
  </si>
  <si>
    <t xml:space="preserve">ACT-&gt;Ingestor(ARG0/9)</t>
  </si>
  <si>
    <t xml:space="preserve">PAT-&gt;ARG1/67</t>
  </si>
  <si>
    <t xml:space="preserve">PAT-&gt;Ingestibles(ARG1/21)</t>
  </si>
  <si>
    <t xml:space="preserve">PAT-&gt;Ingestibles(ARG1/8)</t>
  </si>
  <si>
    <t xml:space="preserve">"hlásat-001"</t>
  </si>
  <si>
    <t xml:space="preserve">PAT: 4; .s; ↓c</t>
  </si>
  <si>
    <t xml:space="preserve">"hlásat-002"</t>
  </si>
  <si>
    <t xml:space="preserve">"hlásat-003"</t>
  </si>
  <si>
    <t xml:space="preserve">"hlásit-001"</t>
  </si>
  <si>
    <t xml:space="preserve">"hlásit-002"</t>
  </si>
  <si>
    <t xml:space="preserve">EFF: 4; ↓jak-2; ↓že</t>
  </si>
  <si>
    <t xml:space="preserve">"hlásit-003"</t>
  </si>
  <si>
    <t xml:space="preserve">"hlásit-se-001"</t>
  </si>
  <si>
    <t xml:space="preserve">Visitor(ARG0/9), Visited(ARG2/17)</t>
  </si>
  <si>
    <t xml:space="preserve">ACT-&gt;Visitor(ARG0/9)</t>
  </si>
  <si>
    <t xml:space="preserve">PAT-&gt;ARG2/17</t>
  </si>
  <si>
    <t xml:space="preserve">PAT-&gt;Visited</t>
  </si>
  <si>
    <t xml:space="preserve">PAT-&gt;Visited(ARG2/17)</t>
  </si>
  <si>
    <t xml:space="preserve">"hlásit-se-002"</t>
  </si>
  <si>
    <t xml:space="preserve">"hlásit-se-003"</t>
  </si>
  <si>
    <t xml:space="preserve">PAT: o+4; ↓aby</t>
  </si>
  <si>
    <t xml:space="preserve">"hlásit-se-004"</t>
  </si>
  <si>
    <t xml:space="preserve">Member_new(ARG0/182,ARG1/101,ARG3/6), Group(ARG1/232)</t>
  </si>
  <si>
    <t xml:space="preserve">ACT-&gt;ARG0/182,ARG1/101,ARG3/6</t>
  </si>
  <si>
    <t xml:space="preserve">ACT-&gt;Member_new</t>
  </si>
  <si>
    <t xml:space="preserve">ACT-&gt;Member_new(ARG0/182,ARG1/101,ARG3/6)</t>
  </si>
  <si>
    <t xml:space="preserve">LOC-&gt;ARG1/232</t>
  </si>
  <si>
    <t xml:space="preserve">LOC-&gt;Group</t>
  </si>
  <si>
    <t xml:space="preserve">LOC-&gt;Group(ARG1/232)</t>
  </si>
  <si>
    <t xml:space="preserve">"hlásit-se-005"</t>
  </si>
  <si>
    <t xml:space="preserve">"hlásit-se-006"</t>
  </si>
  <si>
    <t xml:space="preserve">"hláskovat-001"</t>
  </si>
  <si>
    <t xml:space="preserve">"hlídat-001"</t>
  </si>
  <si>
    <t xml:space="preserve">PAT: 4; ↓zda; ↓jestli; ↓c; ↓aby</t>
  </si>
  <si>
    <t xml:space="preserve">Watcher(ARG0/6), Guarded(ARG1/6)</t>
  </si>
  <si>
    <t xml:space="preserve">ACT-&gt;Watcher(ARG0/6)</t>
  </si>
  <si>
    <t xml:space="preserve">PAT-&gt;Guarded</t>
  </si>
  <si>
    <t xml:space="preserve">PAT-&gt;Guarded(ARG1/6)</t>
  </si>
  <si>
    <t xml:space="preserve">"hlídkovat-001"</t>
  </si>
  <si>
    <t xml:space="preserve">"hlídávat-001"</t>
  </si>
  <si>
    <t xml:space="preserve">"hnisat-001"</t>
  </si>
  <si>
    <t xml:space="preserve">"hnout-001"</t>
  </si>
  <si>
    <t xml:space="preserve">"hnout-002"</t>
  </si>
  <si>
    <t xml:space="preserve">DPHR: žluč.S7</t>
  </si>
  <si>
    <t xml:space="preserve">"hnout-003"</t>
  </si>
  <si>
    <t xml:space="preserve">DPHR: brva.S7</t>
  </si>
  <si>
    <t xml:space="preserve">"hnout-se-001"</t>
  </si>
  <si>
    <t xml:space="preserve">Mover(ARG0/4,ARG1/193), Area_1(), Area_2()</t>
  </si>
  <si>
    <t xml:space="preserve">ACT-&gt;ARG0/4,ARG1/193</t>
  </si>
  <si>
    <t xml:space="preserve">ACT-&gt;Mover(ARG0/4,ARG1/193)</t>
  </si>
  <si>
    <t xml:space="preserve">"hnát-001"</t>
  </si>
  <si>
    <t xml:space="preserve">"hnát-002"</t>
  </si>
  <si>
    <t xml:space="preserve">"hnát-003"</t>
  </si>
  <si>
    <t xml:space="preserve">"hnát-004"</t>
  </si>
  <si>
    <t xml:space="preserve">"hnát-005"</t>
  </si>
  <si>
    <t xml:space="preserve">"hnát-006"</t>
  </si>
  <si>
    <t xml:space="preserve">"hnát-se-001"</t>
  </si>
  <si>
    <t xml:space="preserve">ACT-&gt;ARG0/30,ARG1/28,ARG2/1</t>
  </si>
  <si>
    <t xml:space="preserve">DIR3-&gt;ARG1/26,ARG2/1</t>
  </si>
  <si>
    <t xml:space="preserve">"hnát-se-002"</t>
  </si>
  <si>
    <t xml:space="preserve">"hnát-se-003"</t>
  </si>
  <si>
    <t xml:space="preserve">PAT: za+7; po+6</t>
  </si>
  <si>
    <t xml:space="preserve">PAT-&gt;ARG1/26,ARG2/1</t>
  </si>
  <si>
    <t xml:space="preserve">PAT-&gt;Goal(ARG1/26,ARG2/1)</t>
  </si>
  <si>
    <t xml:space="preserve">"hnít-001"</t>
  </si>
  <si>
    <t xml:space="preserve">"hněvat-se-001"</t>
  </si>
  <si>
    <t xml:space="preserve">"hoblovat-001"</t>
  </si>
  <si>
    <t xml:space="preserve">"hodit-001"</t>
  </si>
  <si>
    <t xml:space="preserve">"hodit-002"</t>
  </si>
  <si>
    <t xml:space="preserve">Transporter(ARG0/24), Transported(ARG1/29), Recipient(ARG2/1)</t>
  </si>
  <si>
    <t xml:space="preserve">ACT-&gt;Transporter(ARG0/24)</t>
  </si>
  <si>
    <t xml:space="preserve">PAT-&gt;ARG1/29</t>
  </si>
  <si>
    <t xml:space="preserve">PAT-&gt;Transported(ARG1/29)</t>
  </si>
  <si>
    <t xml:space="preserve">ADDR-&gt;Recipient(ARG2/1)</t>
  </si>
  <si>
    <t xml:space="preserve">"hodit-003"</t>
  </si>
  <si>
    <t xml:space="preserve">Mover(ARG0/36), Moved(ARG1/61), Container()</t>
  </si>
  <si>
    <t xml:space="preserve">ACT-&gt;Mover(ARG0/36)</t>
  </si>
  <si>
    <t xml:space="preserve">PAT-&gt;Moved(ARG1/61)</t>
  </si>
  <si>
    <t xml:space="preserve">DIR3-&gt;Container</t>
  </si>
  <si>
    <t xml:space="preserve">DIR3-&gt;Container()</t>
  </si>
  <si>
    <t xml:space="preserve">"hodit-004"</t>
  </si>
  <si>
    <t xml:space="preserve">"hodit-005"</t>
  </si>
  <si>
    <t xml:space="preserve">DPHR: přes-1[paluba.4]</t>
  </si>
  <si>
    <t xml:space="preserve">"hodit-006"</t>
  </si>
  <si>
    <t xml:space="preserve">Owner(ARG0/74), Undesirable(ARG1/145)</t>
  </si>
  <si>
    <t xml:space="preserve">ACT-&gt;ARG0/74</t>
  </si>
  <si>
    <t xml:space="preserve">ACT-&gt;Owner</t>
  </si>
  <si>
    <t xml:space="preserve">ACT-&gt;Owner(ARG0/74)</t>
  </si>
  <si>
    <t xml:space="preserve">PAT-&gt;ARG1/145</t>
  </si>
  <si>
    <t xml:space="preserve">PAT-&gt;Undesirable(ARG1/145)</t>
  </si>
  <si>
    <t xml:space="preserve">"hodit-007"</t>
  </si>
  <si>
    <t xml:space="preserve">DPHR: jiskra.S4</t>
  </si>
  <si>
    <t xml:space="preserve">"hodit-008"</t>
  </si>
  <si>
    <t xml:space="preserve">DPHR: flinta.S4,do-1[žito.S2]</t>
  </si>
  <si>
    <t xml:space="preserve">"hodit-009"</t>
  </si>
  <si>
    <t xml:space="preserve">"hodit-se-001"</t>
  </si>
  <si>
    <t xml:space="preserve">ACT: 1; .f; ↓když</t>
  </si>
  <si>
    <t xml:space="preserve">PAT: 3; pro+4</t>
  </si>
  <si>
    <t xml:space="preserve">?EFF: 1[{jako,jakožto}:/AuxY]; za+4; na+4</t>
  </si>
  <si>
    <t xml:space="preserve">Evaluee(ARG1/1), Experiencer(ARG2/3)</t>
  </si>
  <si>
    <t xml:space="preserve">Fitted(ARG0/4,ARG1/29), Party_benefited(ARG1/48,ARG2/3)</t>
  </si>
  <si>
    <t xml:space="preserve">ACT-&gt;ARG0/4,ARG1/30</t>
  </si>
  <si>
    <t xml:space="preserve">ACT-&gt;Evaluee</t>
  </si>
  <si>
    <t xml:space="preserve">ACT-&gt;Evaluee(ARG1/1)</t>
  </si>
  <si>
    <t xml:space="preserve">ACT-&gt;Fitted</t>
  </si>
  <si>
    <t xml:space="preserve">ACT-&gt;Fitted(ARG0/4,ARG1/29)</t>
  </si>
  <si>
    <t xml:space="preserve">PAT-&gt;ARG1/48,ARG2/6</t>
  </si>
  <si>
    <t xml:space="preserve">PAT-&gt;Experiencer(ARG2/3)</t>
  </si>
  <si>
    <t xml:space="preserve">PAT-&gt;Party_benefited</t>
  </si>
  <si>
    <t xml:space="preserve">PAT-&gt;Party_benefited(ARG1/48,ARG2/3)</t>
  </si>
  <si>
    <t xml:space="preserve">"hodit-se-002"</t>
  </si>
  <si>
    <t xml:space="preserve">ACT-&gt;ARG0/4,ARG1/29</t>
  </si>
  <si>
    <t xml:space="preserve">DIR3-&gt;ARG1/48,ARG2/3</t>
  </si>
  <si>
    <t xml:space="preserve">DIR3-&gt;Party_benefited</t>
  </si>
  <si>
    <t xml:space="preserve">DIR3-&gt;Party_benefited(ARG1/48,ARG2/3)</t>
  </si>
  <si>
    <t xml:space="preserve">"hodit-se-003"</t>
  </si>
  <si>
    <t xml:space="preserve">PAT: k+3; na+4</t>
  </si>
  <si>
    <t xml:space="preserve">Evaluee(ARG1/16), Fitted(ARG1/13)</t>
  </si>
  <si>
    <t xml:space="preserve">ACT-&gt;ARG0/4,ARG1/45</t>
  </si>
  <si>
    <t xml:space="preserve">ACT-&gt;Evaluee(ARG1/16)</t>
  </si>
  <si>
    <t xml:space="preserve">PAT-&gt;ARG1/61,ARG2/3</t>
  </si>
  <si>
    <t xml:space="preserve">PAT-&gt;Fitted</t>
  </si>
  <si>
    <t xml:space="preserve">PAT-&gt;Fitted(ARG1/13)</t>
  </si>
  <si>
    <t xml:space="preserve">"hodnotit-001"</t>
  </si>
  <si>
    <t xml:space="preserve">Assessor(ARG0/30), Phenomenon(ARG1/83), Value()</t>
  </si>
  <si>
    <t xml:space="preserve">ACT-&gt;Assessor</t>
  </si>
  <si>
    <t xml:space="preserve">ACT-&gt;Assessor(ARG0/30)</t>
  </si>
  <si>
    <t xml:space="preserve">PAT-&gt;Phenomenon(ARG1/83)</t>
  </si>
  <si>
    <t xml:space="preserve">EFF: 4[{jako,jakožto}:/AuxY]; .a4[{jako,jakožto}:/AuxY]; za-1[.a4]</t>
  </si>
  <si>
    <t xml:space="preserve">EFF-&gt;Value()</t>
  </si>
  <si>
    <t xml:space="preserve">"hodnotit-002"</t>
  </si>
  <si>
    <t xml:space="preserve">"hodnotit-003"</t>
  </si>
  <si>
    <t xml:space="preserve">PAT: 4; ↓že; ↓zda; ↓c; ↓jestli</t>
  </si>
  <si>
    <t xml:space="preserve">"hodovat-001"</t>
  </si>
  <si>
    <t xml:space="preserve">"hojit-se-001"</t>
  </si>
  <si>
    <t xml:space="preserve">"holdovat-001"</t>
  </si>
  <si>
    <t xml:space="preserve">"holedbat-se-001"</t>
  </si>
  <si>
    <t xml:space="preserve">"holit-001"</t>
  </si>
  <si>
    <t xml:space="preserve">"homologovat-001"</t>
  </si>
  <si>
    <t xml:space="preserve">"honit-001"</t>
  </si>
  <si>
    <t xml:space="preserve">Pursuer(ARG0/14), Targeted(ARG1/14)</t>
  </si>
  <si>
    <t xml:space="preserve">ACT-&gt;ARG0/14</t>
  </si>
  <si>
    <t xml:space="preserve">ACT-&gt;Pursuer(ARG0/14)</t>
  </si>
  <si>
    <t xml:space="preserve">PAT-&gt;ARG1/14</t>
  </si>
  <si>
    <t xml:space="preserve">PAT-&gt;Targeted(ARG1/14)</t>
  </si>
  <si>
    <t xml:space="preserve">"honit-002"</t>
  </si>
  <si>
    <t xml:space="preserve">PAT: ↓aby; na+4; .f</t>
  </si>
  <si>
    <t xml:space="preserve">"honit-003"</t>
  </si>
  <si>
    <t xml:space="preserve">"honit-004"</t>
  </si>
  <si>
    <t xml:space="preserve">"honit-se-001"</t>
  </si>
  <si>
    <t xml:space="preserve">PAT: za+7</t>
  </si>
  <si>
    <t xml:space="preserve">"honit-se-002"</t>
  </si>
  <si>
    <t xml:space="preserve">"honit-se-003"</t>
  </si>
  <si>
    <t xml:space="preserve">"honit-se-004"</t>
  </si>
  <si>
    <t xml:space="preserve">"honorovat-001"</t>
  </si>
  <si>
    <t xml:space="preserve">"honosit-se-001"</t>
  </si>
  <si>
    <t xml:space="preserve">PAT: 7; ↓že; ↓c</t>
  </si>
  <si>
    <t xml:space="preserve">?ADDR: před+7; nad+7</t>
  </si>
  <si>
    <t xml:space="preserve">"hopsat-001"</t>
  </si>
  <si>
    <t xml:space="preserve">"horlit-001"</t>
  </si>
  <si>
    <t xml:space="preserve">"horlit-002"</t>
  </si>
  <si>
    <t xml:space="preserve">?PAT: na+4; nad+7; ↓že</t>
  </si>
  <si>
    <t xml:space="preserve">"horovat-001"</t>
  </si>
  <si>
    <t xml:space="preserve">"horšit-se-001"</t>
  </si>
  <si>
    <t xml:space="preserve">"hospitalizovat-001"</t>
  </si>
  <si>
    <t xml:space="preserve">Authority(), Affected(ARG1/4)</t>
  </si>
  <si>
    <t xml:space="preserve">PAT-&gt;Affected(ARG1/4)</t>
  </si>
  <si>
    <t xml:space="preserve">"hospodařit-001"</t>
  </si>
  <si>
    <t xml:space="preserve">"hospodařit-002"</t>
  </si>
  <si>
    <t xml:space="preserve">"hostit-001"</t>
  </si>
  <si>
    <t xml:space="preserve">Host(ARG0/5), Guest(ARG1/7)</t>
  </si>
  <si>
    <t xml:space="preserve">ACT-&gt;Host</t>
  </si>
  <si>
    <t xml:space="preserve">ACT-&gt;Host(ARG0/5)</t>
  </si>
  <si>
    <t xml:space="preserve">PAT-&gt;Guest</t>
  </si>
  <si>
    <t xml:space="preserve">PAT-&gt;Guest(ARG1/7)</t>
  </si>
  <si>
    <t xml:space="preserve">"hostovat-001"</t>
  </si>
  <si>
    <t xml:space="preserve">Agent(ARG0/7), Place()</t>
  </si>
  <si>
    <t xml:space="preserve">ACT-&gt;Agent(ARG0/7)</t>
  </si>
  <si>
    <t xml:space="preserve">"houbařit-001"</t>
  </si>
  <si>
    <t xml:space="preserve">"houfovat-se-001"</t>
  </si>
  <si>
    <t xml:space="preserve">?PAT: do+2; v+4</t>
  </si>
  <si>
    <t xml:space="preserve">"houkat-001"</t>
  </si>
  <si>
    <t xml:space="preserve">"houpat-001"</t>
  </si>
  <si>
    <t xml:space="preserve">"houpat-se-001"</t>
  </si>
  <si>
    <t xml:space="preserve">Mover(ARG0/7,ARG1/33)</t>
  </si>
  <si>
    <t xml:space="preserve">ACT-&gt;ARG0/7,ARG1/33</t>
  </si>
  <si>
    <t xml:space="preserve">ACT-&gt;Mover(ARG0/7,ARG1/33)</t>
  </si>
  <si>
    <t xml:space="preserve">"houpat-se-002"</t>
  </si>
  <si>
    <t xml:space="preserve">"houstnout-001"</t>
  </si>
  <si>
    <t xml:space="preserve">Entity(ARG0/1,ARG1/168), State_final(ARG2/55,ARG4/70), State_initial(ARG3/5)</t>
  </si>
  <si>
    <t xml:space="preserve">ACT-&gt;ARG0/11,ARG1/233</t>
  </si>
  <si>
    <t xml:space="preserve">ACT-&gt;Entity(ARG0/1,ARG1/168)</t>
  </si>
  <si>
    <t xml:space="preserve">"hovořit-001"</t>
  </si>
  <si>
    <t xml:space="preserve">PAT: o+6; na-1[téma.4[.2]]; na-1[téma.4[tento.#]]; na-1[téma.4[.u#]]</t>
  </si>
  <si>
    <t xml:space="preserve">"hovořit-002"</t>
  </si>
  <si>
    <t xml:space="preserve">PAT: o+6; .s; k+3</t>
  </si>
  <si>
    <t xml:space="preserve">"hovořit-003"</t>
  </si>
  <si>
    <t xml:space="preserve">"hovořit-004"</t>
  </si>
  <si>
    <t xml:space="preserve">"hovořit-005"</t>
  </si>
  <si>
    <t xml:space="preserve">"hovořit-006"</t>
  </si>
  <si>
    <t xml:space="preserve">Speaker(ARG0/14), Focused(ARG1/5,ARG2/2), Information(ARG1/7)</t>
  </si>
  <si>
    <t xml:space="preserve">ACT-&gt;Speaker(ARG0/14)</t>
  </si>
  <si>
    <t xml:space="preserve">PAT: pro+4; proti+3; za+4; {neprospěch,prospěch}.S4/AuxP[v-1,.2]; v-1[{prospěch,neprospěch}.S4[.u#]]</t>
  </si>
  <si>
    <t xml:space="preserve">PAT-&gt;ARG1/5,ARG2/2</t>
  </si>
  <si>
    <t xml:space="preserve">PAT-&gt;Focused(ARG1/5,ARG2/2)</t>
  </si>
  <si>
    <t xml:space="preserve">"hovořit-007"</t>
  </si>
  <si>
    <t xml:space="preserve">EFF: ↓že; .s</t>
  </si>
  <si>
    <t xml:space="preserve">"hovořit-008"</t>
  </si>
  <si>
    <t xml:space="preserve">"hovořit-009"</t>
  </si>
  <si>
    <t xml:space="preserve">DPHR: do-1[duše.2]</t>
  </si>
  <si>
    <t xml:space="preserve">"hovořit-010"</t>
  </si>
  <si>
    <t xml:space="preserve">DPHR: za-1[se.S4]</t>
  </si>
  <si>
    <t xml:space="preserve">"hovořit-011"</t>
  </si>
  <si>
    <t xml:space="preserve">DPHR: za-1[všechen.NS4]</t>
  </si>
  <si>
    <t xml:space="preserve">"hovět-si-001"</t>
  </si>
  <si>
    <t xml:space="preserve">"hořet-001"</t>
  </si>
  <si>
    <t xml:space="preserve">Ignited(ARG1/2)</t>
  </si>
  <si>
    <t xml:space="preserve">ACT-&gt;Ignited(ARG1/2)</t>
  </si>
  <si>
    <t xml:space="preserve">"hořet-002"</t>
  </si>
  <si>
    <t xml:space="preserve">"hořet-003"</t>
  </si>
  <si>
    <t xml:space="preserve">"hořet-004"</t>
  </si>
  <si>
    <t xml:space="preserve">CPHR: {nenávist,touha,...}.7</t>
  </si>
  <si>
    <t xml:space="preserve">"hrabat-001"</t>
  </si>
  <si>
    <t xml:space="preserve">?EFF: do+2; na+4</t>
  </si>
  <si>
    <t xml:space="preserve">"hrabat-se-001"</t>
  </si>
  <si>
    <t xml:space="preserve">Agent(ARG0/2), Manipulated(ARG1/6)</t>
  </si>
  <si>
    <t xml:space="preserve">Seeker(ARG0/3), Place(ARG1/2)</t>
  </si>
  <si>
    <t xml:space="preserve">ACT-&gt;Seeker(ARG0/3)</t>
  </si>
  <si>
    <t xml:space="preserve">LOC-&gt;ARG1/8</t>
  </si>
  <si>
    <t xml:space="preserve">LOC-&gt;Manipulated</t>
  </si>
  <si>
    <t xml:space="preserve">LOC-&gt;Manipulated(ARG1/6)</t>
  </si>
  <si>
    <t xml:space="preserve">LOC-&gt;Place(ARG1/2)</t>
  </si>
  <si>
    <t xml:space="preserve">"hradit-001"</t>
  </si>
  <si>
    <t xml:space="preserve">ACT-&gt;ARG0/754,ARG1/7,ARG2/9</t>
  </si>
  <si>
    <t xml:space="preserve">PAT-&gt;ARG1/987,ARG2/42,ARG3/46</t>
  </si>
  <si>
    <t xml:space="preserve">PAT-&gt;Money</t>
  </si>
  <si>
    <t xml:space="preserve">PAT-&gt;Money(ARG1/459,ARG2/29,ARG3/20)</t>
  </si>
  <si>
    <t xml:space="preserve">ADDR-&gt;ARG0/2,ARG1/122,ARG2/301,ARG3/8</t>
  </si>
  <si>
    <t xml:space="preserve">ADDR-&gt;Payee(ARG0/1,ARG1/110,ARG2/145,ARG3/4)</t>
  </si>
  <si>
    <t xml:space="preserve">"hradit-002"</t>
  </si>
  <si>
    <t xml:space="preserve">"hraničit-001"</t>
  </si>
  <si>
    <t xml:space="preserve">"hraničit-002"</t>
  </si>
  <si>
    <t xml:space="preserve">"hrkat-001"</t>
  </si>
  <si>
    <t xml:space="preserve">"hrknout-001"</t>
  </si>
  <si>
    <t xml:space="preserve">"hrknout-002"</t>
  </si>
  <si>
    <t xml:space="preserve">"hrnout-001"</t>
  </si>
  <si>
    <t xml:space="preserve">"hrnout-se-001"</t>
  </si>
  <si>
    <t xml:space="preserve">Mover(ARG0/5), Place(ARG1/1)</t>
  </si>
  <si>
    <t xml:space="preserve">Affector(ARG0/11,ARG1/1,ARG2/5), Affected(ARG1/30,ARG2/1)</t>
  </si>
  <si>
    <t xml:space="preserve">ACT-&gt;ARG0/46,ARG1/29,ARG2/6</t>
  </si>
  <si>
    <t xml:space="preserve">ACT-&gt;Mover(ARG0/5)</t>
  </si>
  <si>
    <t xml:space="preserve">ACT-&gt;Affector</t>
  </si>
  <si>
    <t xml:space="preserve">ACT-&gt;Affector(ARG0/11,ARG1/1,ARG2/5)</t>
  </si>
  <si>
    <t xml:space="preserve">DIR3-&gt;ARG1/57,ARG2/2</t>
  </si>
  <si>
    <t xml:space="preserve">DIR3-&gt;Affected</t>
  </si>
  <si>
    <t xml:space="preserve">DIR3-&gt;Affected(ARG1/30,ARG2/1)</t>
  </si>
  <si>
    <t xml:space="preserve">"hromadit-001"</t>
  </si>
  <si>
    <t xml:space="preserve">"hromadit-se-001"</t>
  </si>
  <si>
    <t xml:space="preserve">Proliferating(ARG0/4,ARG1/19)</t>
  </si>
  <si>
    <t xml:space="preserve">ACT-&gt;ARG0/4,ARG1/19</t>
  </si>
  <si>
    <t xml:space="preserve">ACT-&gt;Proliferating</t>
  </si>
  <si>
    <t xml:space="preserve">ACT-&gt;Proliferating(ARG0/4,ARG1/19)</t>
  </si>
  <si>
    <t xml:space="preserve">"hroutit-se-001"</t>
  </si>
  <si>
    <t xml:space="preserve">Effort(ARG1/15)</t>
  </si>
  <si>
    <t xml:space="preserve">ACT-&gt;ARG1/15</t>
  </si>
  <si>
    <t xml:space="preserve">ACT-&gt;Effort</t>
  </si>
  <si>
    <t xml:space="preserve">ACT-&gt;Effort(ARG1/15)</t>
  </si>
  <si>
    <t xml:space="preserve">"hroutit-se-002"</t>
  </si>
  <si>
    <t xml:space="preserve">"hrozit-001"</t>
  </si>
  <si>
    <t xml:space="preserve">Agent(ARG0/9), Undesirable(ARG0/1,ARG1/6,ARG2/1), Affected(ARG2/15)</t>
  </si>
  <si>
    <t xml:space="preserve">ACT-&gt;Agent(ARG0/9)</t>
  </si>
  <si>
    <t xml:space="preserve">PAT: 7; ↓že; .f; .s</t>
  </si>
  <si>
    <t xml:space="preserve">PAT-&gt;ARG0/1,ARG1/6,ARG2/1</t>
  </si>
  <si>
    <t xml:space="preserve">PAT-&gt;Undesirable(ARG0/1,ARG1/6,ARG2/1)</t>
  </si>
  <si>
    <t xml:space="preserve">ADDR-&gt;ARG2/15</t>
  </si>
  <si>
    <t xml:space="preserve">ADDR-&gt;Affected(ARG2/15)</t>
  </si>
  <si>
    <t xml:space="preserve">"hrozit-002"</t>
  </si>
  <si>
    <t xml:space="preserve">Situation_undesirable(ARG1/199), Affected(ARG0/170,ARG1/3)</t>
  </si>
  <si>
    <t xml:space="preserve">ACT-&gt;ARG1/199</t>
  </si>
  <si>
    <t xml:space="preserve">ACT-&gt;Situation_undesirable</t>
  </si>
  <si>
    <t xml:space="preserve">ACT-&gt;Situation_undesirable(ARG1/199)</t>
  </si>
  <si>
    <t xml:space="preserve">PAT-&gt;ARG0/170,ARG1/3</t>
  </si>
  <si>
    <t xml:space="preserve">PAT-&gt;Affected(ARG0/170,ARG1/3)</t>
  </si>
  <si>
    <t xml:space="preserve">"hrozit-003"</t>
  </si>
  <si>
    <t xml:space="preserve">"hrozit-se-001"</t>
  </si>
  <si>
    <t xml:space="preserve">PAT: 2; ↓že; ↓c</t>
  </si>
  <si>
    <t xml:space="preserve">"hrrr-001"</t>
  </si>
  <si>
    <t xml:space="preserve">"hrábnout-001"</t>
  </si>
  <si>
    <t xml:space="preserve">DIR3-&gt;ARG1/12</t>
  </si>
  <si>
    <t xml:space="preserve">DIR3-&gt;Impactee</t>
  </si>
  <si>
    <t xml:space="preserve">DIR3-&gt;Impactee(ARG1/10)</t>
  </si>
  <si>
    <t xml:space="preserve">DIR3-&gt;Place(ARG1/2)</t>
  </si>
  <si>
    <t xml:space="preserve">"hrát-001"</t>
  </si>
  <si>
    <t xml:space="preserve">PAT: 4; v+4; na+4</t>
  </si>
  <si>
    <t xml:space="preserve">Competitor_1(ARG0/31,ARG1/3), Competition(ARG1/37), Targeted(), Competitor_2()</t>
  </si>
  <si>
    <t xml:space="preserve">ACT-&gt;ARG0/31,ARG1/3</t>
  </si>
  <si>
    <t xml:space="preserve">ACT-&gt;Competitor_1(ARG0/31,ARG1/3)</t>
  </si>
  <si>
    <t xml:space="preserve">PAT-&gt;ARG1/37</t>
  </si>
  <si>
    <t xml:space="preserve">PAT-&gt;Competition(ARG1/37)</t>
  </si>
  <si>
    <t xml:space="preserve">ADDR-&gt;Competitor_2()</t>
  </si>
  <si>
    <t xml:space="preserve">EFF-&gt;Targeted</t>
  </si>
  <si>
    <t xml:space="preserve">EFF-&gt;Targeted()</t>
  </si>
  <si>
    <t xml:space="preserve">"hrát-002"</t>
  </si>
  <si>
    <t xml:space="preserve">"hrát-003"</t>
  </si>
  <si>
    <t xml:space="preserve">PAT-&gt;Role</t>
  </si>
  <si>
    <t xml:space="preserve">PAT-&gt;Role(ARG1/49)</t>
  </si>
  <si>
    <t xml:space="preserve">"hrát-004"</t>
  </si>
  <si>
    <t xml:space="preserve">"hrát-005"</t>
  </si>
  <si>
    <t xml:space="preserve">"hrát-006"</t>
  </si>
  <si>
    <t xml:space="preserve">DPHR: do-1[nota.S2]</t>
  </si>
  <si>
    <t xml:space="preserve">"hrát-007"</t>
  </si>
  <si>
    <t xml:space="preserve">"hrát-008"</t>
  </si>
  <si>
    <t xml:space="preserve">DPHR: na-1[strana-1:P4[dva.#]]</t>
  </si>
  <si>
    <t xml:space="preserve">"hrát-009"</t>
  </si>
  <si>
    <t xml:space="preserve">Functioning()</t>
  </si>
  <si>
    <t xml:space="preserve">ACT: 1; ↓že; ↓jestli; ↓c</t>
  </si>
  <si>
    <t xml:space="preserve">ACT-&gt;Functioning()</t>
  </si>
  <si>
    <t xml:space="preserve">DPHR: role-2.S4</t>
  </si>
  <si>
    <t xml:space="preserve">"hrát-010"</t>
  </si>
  <si>
    <t xml:space="preserve">ACT: 1; ↓že; ↓jestli</t>
  </si>
  <si>
    <t xml:space="preserve">DPHR: úloha.S4</t>
  </si>
  <si>
    <t xml:space="preserve">"hrát-011"</t>
  </si>
  <si>
    <t xml:space="preserve">DPHR: prim.4</t>
  </si>
  <si>
    <t xml:space="preserve">"hrát-012"</t>
  </si>
  <si>
    <t xml:space="preserve">DPHR: housle:P4[druhý-1.@1$11&lt;A&gt;#]</t>
  </si>
  <si>
    <t xml:space="preserve">"hrát-013"</t>
  </si>
  <si>
    <t xml:space="preserve">ALT-MANN: </t>
  </si>
  <si>
    <t xml:space="preserve">ALT-CRIT: </t>
  </si>
  <si>
    <t xml:space="preserve">"hrát-014"</t>
  </si>
  <si>
    <t xml:space="preserve">DPHR: do-1[karta.P2]</t>
  </si>
  <si>
    <t xml:space="preserve">"hrát-015"</t>
  </si>
  <si>
    <t xml:space="preserve">"hrát-016"</t>
  </si>
  <si>
    <t xml:space="preserve">"hrát-017"</t>
  </si>
  <si>
    <t xml:space="preserve">"hrát-018"</t>
  </si>
  <si>
    <t xml:space="preserve">"hrát-si-001"</t>
  </si>
  <si>
    <t xml:space="preserve">?EFF: na+4; 4</t>
  </si>
  <si>
    <t xml:space="preserve">Agent(ARG0/2), Instrument(ARG1/4)</t>
  </si>
  <si>
    <t xml:space="preserve">"hrát-si-002"</t>
  </si>
  <si>
    <t xml:space="preserve">"hrát-si-003"</t>
  </si>
  <si>
    <t xml:space="preserve">DPHR: na-1[píseček.S6[vlastní.#]]</t>
  </si>
  <si>
    <t xml:space="preserve">"hrát-si-004"</t>
  </si>
  <si>
    <t xml:space="preserve">DPHR: s-1[oheň.S7]</t>
  </si>
  <si>
    <t xml:space="preserve">"hrát-si-005"</t>
  </si>
  <si>
    <t xml:space="preserve">"hrávat-001"</t>
  </si>
  <si>
    <t xml:space="preserve">PAT: 4; v+4</t>
  </si>
  <si>
    <t xml:space="preserve">"hrávat-002"</t>
  </si>
  <si>
    <t xml:space="preserve">"hrávat-003"</t>
  </si>
  <si>
    <t xml:space="preserve">"hrávat-004"</t>
  </si>
  <si>
    <t xml:space="preserve">"hrávat-005"</t>
  </si>
  <si>
    <t xml:space="preserve">"hrávat-006"</t>
  </si>
  <si>
    <t xml:space="preserve">"hrávat-si-001"</t>
  </si>
  <si>
    <t xml:space="preserve">"hubnout-001"</t>
  </si>
  <si>
    <t xml:space="preserve">"hubovat-001"</t>
  </si>
  <si>
    <t xml:space="preserve">"hubovat-002"</t>
  </si>
  <si>
    <t xml:space="preserve">"huhňat-001"</t>
  </si>
  <si>
    <t xml:space="preserve">"hulit-001"</t>
  </si>
  <si>
    <t xml:space="preserve">"hulákat-001"</t>
  </si>
  <si>
    <t xml:space="preserve">PAT: 4; ↓aby</t>
  </si>
  <si>
    <t xml:space="preserve">?ADDR: na+4</t>
  </si>
  <si>
    <t xml:space="preserve">"hupnout-001"</t>
  </si>
  <si>
    <t xml:space="preserve">"hučet-001"</t>
  </si>
  <si>
    <t xml:space="preserve">"hučet-002"</t>
  </si>
  <si>
    <t xml:space="preserve">"hučet-003"</t>
  </si>
  <si>
    <t xml:space="preserve">"hvízdat-001"</t>
  </si>
  <si>
    <t xml:space="preserve">Speaker(ARG0/1), Music(ARG1/3), Audience_Addressee()</t>
  </si>
  <si>
    <t xml:space="preserve">ACT-&gt;ARG0/1</t>
  </si>
  <si>
    <t xml:space="preserve">ACT-&gt;Speaker(ARG0/1)</t>
  </si>
  <si>
    <t xml:space="preserve">PAT: 4; ↓že; ↓zda; ↓jestli; ↓aby; .s</t>
  </si>
  <si>
    <t xml:space="preserve">PAT-&gt;Music(ARG1/3)</t>
  </si>
  <si>
    <t xml:space="preserve">ADDR-&gt;Audience_Addressee()</t>
  </si>
  <si>
    <t xml:space="preserve">"hvízdat-002"</t>
  </si>
  <si>
    <t xml:space="preserve">"hvízdat-si-001"</t>
  </si>
  <si>
    <t xml:space="preserve">"hvízdnout-001"</t>
  </si>
  <si>
    <t xml:space="preserve">"hynout-001"</t>
  </si>
  <si>
    <t xml:space="preserve">"hypertrofovat-001"</t>
  </si>
  <si>
    <t xml:space="preserve">"hypnotizovat-001"</t>
  </si>
  <si>
    <t xml:space="preserve">"hyzdit-001"</t>
  </si>
  <si>
    <t xml:space="preserve">"hádat-001"</t>
  </si>
  <si>
    <t xml:space="preserve">Predicting(ARG0/200), Predicted(ARG1/220)</t>
  </si>
  <si>
    <t xml:space="preserve">ACT-&gt;Predicting</t>
  </si>
  <si>
    <t xml:space="preserve">ACT-&gt;Predicting(ARG0/200)</t>
  </si>
  <si>
    <t xml:space="preserve">PAT: 4; o+6; ↓že; ↓zda; ↓jestli; ↓c; .s</t>
  </si>
  <si>
    <t xml:space="preserve">PAT-&gt;ARG1/220</t>
  </si>
  <si>
    <t xml:space="preserve">PAT-&gt;Predicted</t>
  </si>
  <si>
    <t xml:space="preserve">PAT-&gt;Predicted(ARG1/220)</t>
  </si>
  <si>
    <t xml:space="preserve">"hádat-se-001"</t>
  </si>
  <si>
    <t xml:space="preserve">"hájit-001"</t>
  </si>
  <si>
    <t xml:space="preserve">"hájit-se-001"</t>
  </si>
  <si>
    <t xml:space="preserve">?PAT: proti+3; před+7</t>
  </si>
  <si>
    <t xml:space="preserve">"házet-001"</t>
  </si>
  <si>
    <t xml:space="preserve">ADDR: 3; po+6</t>
  </si>
  <si>
    <t xml:space="preserve">"házet-002"</t>
  </si>
  <si>
    <t xml:space="preserve">"házet-003"</t>
  </si>
  <si>
    <t xml:space="preserve">Manipulator(ARG0/6), Manipulated(ARG1/10), Place()</t>
  </si>
  <si>
    <t xml:space="preserve">Force(ARG0/4), Item(ARG1/3), Area_2(), Area_1()</t>
  </si>
  <si>
    <t xml:space="preserve">ACT-&gt;ARG0/34</t>
  </si>
  <si>
    <t xml:space="preserve">ACT-&gt;Manipulator</t>
  </si>
  <si>
    <t xml:space="preserve">ACT-&gt;Manipulator(ARG0/6)</t>
  </si>
  <si>
    <t xml:space="preserve">ACT-&gt;Force(ARG0/4)</t>
  </si>
  <si>
    <t xml:space="preserve">PAT-&gt;ARG1/42</t>
  </si>
  <si>
    <t xml:space="preserve">PAT-&gt;Manipulated(ARG1/10)</t>
  </si>
  <si>
    <t xml:space="preserve">DIR3-&gt;ARG2/1</t>
  </si>
  <si>
    <t xml:space="preserve">DIR3-&gt;Recipient(ARG2/1)</t>
  </si>
  <si>
    <t xml:space="preserve">"házet-004"</t>
  </si>
  <si>
    <t xml:space="preserve">"házet-005"</t>
  </si>
  <si>
    <t xml:space="preserve">DPHR: klacek:P4,pod-1[noha:P4]</t>
  </si>
  <si>
    <t xml:space="preserve">"házet-006"</t>
  </si>
  <si>
    <t xml:space="preserve">"házet-007"</t>
  </si>
  <si>
    <t xml:space="preserve">"háčkovat-001"</t>
  </si>
  <si>
    <t xml:space="preserve">"hýbat-001"</t>
  </si>
  <si>
    <t xml:space="preserve">"hýbat-002"</t>
  </si>
  <si>
    <t xml:space="preserve">"hýbat-se-001"</t>
  </si>
  <si>
    <t xml:space="preserve">"hýčkat-001"</t>
  </si>
  <si>
    <t xml:space="preserve">"hýřit-001"</t>
  </si>
  <si>
    <t xml:space="preserve">"hýřit-002"</t>
  </si>
  <si>
    <t xml:space="preserve">"hřebelcovat-001"</t>
  </si>
  <si>
    <t xml:space="preserve">"hřešit-001"</t>
  </si>
  <si>
    <t xml:space="preserve">"hřešit-002"</t>
  </si>
  <si>
    <t xml:space="preserve">"hřmět-001"</t>
  </si>
  <si>
    <t xml:space="preserve">Source(ARG0/1,ARG1/3), Manner()</t>
  </si>
  <si>
    <t xml:space="preserve">ACT-&gt;ARG0/7,ARG1/5</t>
  </si>
  <si>
    <t xml:space="preserve">ACT-&gt;Source(ARG0/1,ARG1/3)</t>
  </si>
  <si>
    <t xml:space="preserve">"hřmět-002"</t>
  </si>
  <si>
    <t xml:space="preserve">"hřmět-003"</t>
  </si>
  <si>
    <t xml:space="preserve">"hřát-001"</t>
  </si>
  <si>
    <t xml:space="preserve">"hřímat-001"</t>
  </si>
  <si>
    <t xml:space="preserve">Speaker(ARG0/34), Information(ARG1/37), Impactee(ARG1/1,ARG2/1)</t>
  </si>
  <si>
    <t xml:space="preserve">ACT-&gt;Speaker(ARG0/34)</t>
  </si>
  <si>
    <t xml:space="preserve">EFF: 4; ↓že; ↓aby; ↓ať; ↓zda; ↓jak-2; .s; ↓c</t>
  </si>
  <si>
    <t xml:space="preserve">EFF-&gt;ARG1/37</t>
  </si>
  <si>
    <t xml:space="preserve">EFF-&gt;Information(ARG1/37)</t>
  </si>
  <si>
    <t xml:space="preserve">ADDR-&gt;ARG1/1,ARG2/1</t>
  </si>
  <si>
    <t xml:space="preserve">ADDR-&gt;Impactee(ARG1/1,ARG2/1)</t>
  </si>
  <si>
    <t xml:space="preserve">"idealizovat-si-001"</t>
  </si>
  <si>
    <t xml:space="preserve">"identifikovat-001"</t>
  </si>
  <si>
    <t xml:space="preserve">"identifikovat-002"</t>
  </si>
  <si>
    <t xml:space="preserve">PAT-&gt;ARG1/141,ARG3/1</t>
  </si>
  <si>
    <t xml:space="preserve">"ideologizovat-001"</t>
  </si>
  <si>
    <t xml:space="preserve">Manipulator(ARG0/16), Affected(ARG1/27)</t>
  </si>
  <si>
    <t xml:space="preserve">ACT-&gt;Manipulator(ARG0/16)</t>
  </si>
  <si>
    <t xml:space="preserve">PAT-&gt;ARG1/27</t>
  </si>
  <si>
    <t xml:space="preserve">PAT-&gt;Affected(ARG1/27)</t>
  </si>
  <si>
    <t xml:space="preserve">"ignorovat-001"</t>
  </si>
  <si>
    <t xml:space="preserve">Ignorer(ARG0/52), Ignored(ARG1/79)</t>
  </si>
  <si>
    <t xml:space="preserve">ACT-&gt;ARG0/52</t>
  </si>
  <si>
    <t xml:space="preserve">ACT-&gt;Ignorer(ARG0/52)</t>
  </si>
  <si>
    <t xml:space="preserve">PAT-&gt;ARG1/79</t>
  </si>
  <si>
    <t xml:space="preserve">PAT-&gt;Ignored(ARG1/79)</t>
  </si>
  <si>
    <t xml:space="preserve">"ilustrovat-001"</t>
  </si>
  <si>
    <t xml:space="preserve">"ilustrovat-002"</t>
  </si>
  <si>
    <t xml:space="preserve">Creator(ARG0/1), Improved(ARG1/2)</t>
  </si>
  <si>
    <t xml:space="preserve">ACT-&gt;Creator(ARG0/1)</t>
  </si>
  <si>
    <t xml:space="preserve">PAT-&gt;Improved</t>
  </si>
  <si>
    <t xml:space="preserve">PAT-&gt;Improved(ARG1/2)</t>
  </si>
  <si>
    <t xml:space="preserve">"imitovat-001"</t>
  </si>
  <si>
    <t xml:space="preserve">"implantovat-001"</t>
  </si>
  <si>
    <t xml:space="preserve">Agent(ARG0/1), Item(ARG1/3), Place()</t>
  </si>
  <si>
    <t xml:space="preserve">"implementovat-001"</t>
  </si>
  <si>
    <t xml:space="preserve">"implikovat-001"</t>
  </si>
  <si>
    <t xml:space="preserve">"imponovat-001"</t>
  </si>
  <si>
    <t xml:space="preserve">"importovat-001"</t>
  </si>
  <si>
    <t xml:space="preserve">"impregnovat-001"</t>
  </si>
  <si>
    <t xml:space="preserve">"improvizovat-001"</t>
  </si>
  <si>
    <t xml:space="preserve">"imunizovat-001"</t>
  </si>
  <si>
    <t xml:space="preserve">"inaugurovat-001"</t>
  </si>
  <si>
    <t xml:space="preserve">"indikovat-001"</t>
  </si>
  <si>
    <t xml:space="preserve">Indicator(ARG0/168), Indicated(ARG1/601)</t>
  </si>
  <si>
    <t xml:space="preserve">ACT-&gt;ARG0/168</t>
  </si>
  <si>
    <t xml:space="preserve">ACT-&gt;Indicator</t>
  </si>
  <si>
    <t xml:space="preserve">ACT-&gt;Indicator(ARG0/168)</t>
  </si>
  <si>
    <t xml:space="preserve">PAT-&gt;ARG1/601</t>
  </si>
  <si>
    <t xml:space="preserve">PAT-&gt;Indicated</t>
  </si>
  <si>
    <t xml:space="preserve">PAT-&gt;Indicated(ARG1/601)</t>
  </si>
  <si>
    <t xml:space="preserve">"infikovat-001"</t>
  </si>
  <si>
    <t xml:space="preserve">Infector(ARG2/2), Infection(ARG2/2), Infected(ARG1/5,ARG2/1)</t>
  </si>
  <si>
    <t xml:space="preserve">ACT-&gt;ARG2/2</t>
  </si>
  <si>
    <t xml:space="preserve">ACT-&gt;Infector</t>
  </si>
  <si>
    <t xml:space="preserve">ACT-&gt;Infector(ARG2/2)</t>
  </si>
  <si>
    <t xml:space="preserve">PAT-&gt;Infected</t>
  </si>
  <si>
    <t xml:space="preserve">PAT-&gt;Infected(ARG1/5,ARG2/1)</t>
  </si>
  <si>
    <t xml:space="preserve">"infiltrovat-001"</t>
  </si>
  <si>
    <t xml:space="preserve">"informovat-001"</t>
  </si>
  <si>
    <t xml:space="preserve">PAT: o+6; ↓že; .s; ↓c</t>
  </si>
  <si>
    <t xml:space="preserve">"informovat-se-001"</t>
  </si>
  <si>
    <t xml:space="preserve">PAT: na+4; o+6; ↓že; ↓c</t>
  </si>
  <si>
    <t xml:space="preserve">"iniciovat-001"</t>
  </si>
  <si>
    <t xml:space="preserve">"inkasovat-001"</t>
  </si>
  <si>
    <t xml:space="preserve">"inklinovat-001"</t>
  </si>
  <si>
    <t xml:space="preserve">Protagonist(ARG0/62,ARG1/73), Goal(ARG1/71,ARG2/71)</t>
  </si>
  <si>
    <t xml:space="preserve">ACT-&gt;ARG0/62,ARG1/73</t>
  </si>
  <si>
    <t xml:space="preserve">ACT-&gt;Protagonist(ARG0/62,ARG1/73)</t>
  </si>
  <si>
    <t xml:space="preserve">PAT-&gt;ARG1/71,ARG2/71</t>
  </si>
  <si>
    <t xml:space="preserve">PAT-&gt;Goal(ARG1/71,ARG2/71)</t>
  </si>
  <si>
    <t xml:space="preserve">"inovovat-001"</t>
  </si>
  <si>
    <t xml:space="preserve">"inscenovat-001"</t>
  </si>
  <si>
    <t xml:space="preserve">"inscenovat-002"</t>
  </si>
  <si>
    <t xml:space="preserve">"inspirovat-001"</t>
  </si>
  <si>
    <t xml:space="preserve">Agent(ARG0/37), Goal(ARG1/3,ARG2/36), Influenced(ARG1/44,ARG2/2)</t>
  </si>
  <si>
    <t xml:space="preserve">ACT-&gt;Agent(ARG0/37)</t>
  </si>
  <si>
    <t xml:space="preserve">PAT-&gt;ARG1/44,ARG2/2</t>
  </si>
  <si>
    <t xml:space="preserve">PAT-&gt;Influenced(ARG1/44,ARG2/2)</t>
  </si>
  <si>
    <t xml:space="preserve">"inspirovat-se-001"</t>
  </si>
  <si>
    <t xml:space="preserve">"instalovat-001"</t>
  </si>
  <si>
    <t xml:space="preserve">Agent(ARG0/45), Item(ARG1/93), Place(ARG1/2)</t>
  </si>
  <si>
    <t xml:space="preserve">ACT-&gt;ARG0/45</t>
  </si>
  <si>
    <t xml:space="preserve">ACT-&gt;Agent(ARG0/45)</t>
  </si>
  <si>
    <t xml:space="preserve">PAT-&gt;Item(ARG1/93)</t>
  </si>
  <si>
    <t xml:space="preserve">"institucionalizovat-001"</t>
  </si>
  <si>
    <t xml:space="preserve">"instruovat-001"</t>
  </si>
  <si>
    <t xml:space="preserve">Authority(ARG0/182), Information(ARG1/179,ARG2/12,ARG3/1), Impactee(ARG1/14)</t>
  </si>
  <si>
    <t xml:space="preserve">ACT-&gt;ARG0/182</t>
  </si>
  <si>
    <t xml:space="preserve">ACT-&gt;Authority(ARG0/182)</t>
  </si>
  <si>
    <t xml:space="preserve">PAT: o+6; k+3; ↓že; ↓aby; ↓ať; .s; ↓c</t>
  </si>
  <si>
    <t xml:space="preserve">PAT-&gt;ARG1/179,ARG2/12,ARG3/1</t>
  </si>
  <si>
    <t xml:space="preserve">PAT-&gt;Information(ARG1/179,ARG2/12,ARG3/1)</t>
  </si>
  <si>
    <t xml:space="preserve">ADDR-&gt;ARG1/14</t>
  </si>
  <si>
    <t xml:space="preserve">ADDR-&gt;Impactee(ARG1/14)</t>
  </si>
  <si>
    <t xml:space="preserve">"intarzovat-001"</t>
  </si>
  <si>
    <t xml:space="preserve">"integrovat-001"</t>
  </si>
  <si>
    <t xml:space="preserve">Connector(ARG0/9), Entity_1(ARG1/28), Whole(ARG2/5,ARG3/1), Entity_2(ARG1/2,ARG2/11,ARG3/1)</t>
  </si>
  <si>
    <t xml:space="preserve">ACT-&gt;Connector</t>
  </si>
  <si>
    <t xml:space="preserve">ACT-&gt;Connector(ARG0/9)</t>
  </si>
  <si>
    <t xml:space="preserve">PAT-&gt;Entity_1</t>
  </si>
  <si>
    <t xml:space="preserve">PAT-&gt;Entity_1(ARG1/28)</t>
  </si>
  <si>
    <t xml:space="preserve">ADDR-&gt;ARG1/2,ARG2/11,ARG3/1</t>
  </si>
  <si>
    <t xml:space="preserve">ADDR-&gt;Entity_2</t>
  </si>
  <si>
    <t xml:space="preserve">ADDR-&gt;Entity_2(ARG1/2,ARG2/11,ARG3/1)</t>
  </si>
  <si>
    <t xml:space="preserve">EFF-&gt;ARG2/5,ARG3/1</t>
  </si>
  <si>
    <t xml:space="preserve">EFF-&gt;Whole</t>
  </si>
  <si>
    <t xml:space="preserve">EFF-&gt;Whole(ARG2/5,ARG3/1)</t>
  </si>
  <si>
    <t xml:space="preserve">"integrovat-se-001"</t>
  </si>
  <si>
    <t xml:space="preserve">Agent(ARG0/21,ARG1/1,ARG2/27), Member_new(ARG1/1094,ARG2/2), Member_old(ARG0/6,ARG1/6,ARG2/492)</t>
  </si>
  <si>
    <t xml:space="preserve">ACT-&gt;ARG0/21,ARG1/1095,ARG2/29</t>
  </si>
  <si>
    <t xml:space="preserve">ACT-&gt;Agent; ACT-&gt;Member_new</t>
  </si>
  <si>
    <t xml:space="preserve">ACT-&gt;Agent(ARG0/21,ARG1/1,ARG2/27); ACT-&gt;Member_new(ARG1/1094,ARG2/2)</t>
  </si>
  <si>
    <t xml:space="preserve">DIR3-&gt;ARG0/6,ARG1/6,ARG2/492</t>
  </si>
  <si>
    <t xml:space="preserve">DIR3-&gt;Member_old</t>
  </si>
  <si>
    <t xml:space="preserve">DIR3-&gt;Member_old(ARG0/6,ARG1/6,ARG2/492)</t>
  </si>
  <si>
    <t xml:space="preserve">"interagovat-001"</t>
  </si>
  <si>
    <t xml:space="preserve">"internacionalizovat-001"</t>
  </si>
  <si>
    <t xml:space="preserve">"internalizovat-001"</t>
  </si>
  <si>
    <t xml:space="preserve">"internovat-001"</t>
  </si>
  <si>
    <t xml:space="preserve">"interpelovat-001"</t>
  </si>
  <si>
    <t xml:space="preserve">"interpretovat-001"</t>
  </si>
  <si>
    <t xml:space="preserve">"intervenovat-001"</t>
  </si>
  <si>
    <t xml:space="preserve">Authority(ARG0/35,ARG1/13), Undesirable(ARG1/33)</t>
  </si>
  <si>
    <t xml:space="preserve">ACT-&gt;ARG0/661,ARG1/20,ARG3/9</t>
  </si>
  <si>
    <t xml:space="preserve">ACT-&gt;Authority(ARG0/35,ARG1/13)</t>
  </si>
  <si>
    <t xml:space="preserve">PAT: prospěch.S4[v-1,.u#]; prospěch.S4[v-1,.2]; za+4</t>
  </si>
  <si>
    <t xml:space="preserve">PAT-&gt;ARG1/875,ARG2/17</t>
  </si>
  <si>
    <t xml:space="preserve">PAT-&gt;Undesirable(ARG1/33)</t>
  </si>
  <si>
    <t xml:space="preserve">"intrikovat-001"</t>
  </si>
  <si>
    <t xml:space="preserve">"inventarizovat-001"</t>
  </si>
  <si>
    <t xml:space="preserve">"investovat-001"</t>
  </si>
  <si>
    <t xml:space="preserve">"investovat-002"</t>
  </si>
  <si>
    <t xml:space="preserve">?EFF: za+4; do+2; na+4</t>
  </si>
  <si>
    <t xml:space="preserve">"inzerovat-001"</t>
  </si>
  <si>
    <t xml:space="preserve">Advertising(ARG0/5), Advertised()</t>
  </si>
  <si>
    <t xml:space="preserve">ACT-&gt;Advertising</t>
  </si>
  <si>
    <t xml:space="preserve">ACT-&gt;Advertising(ARG0/5)</t>
  </si>
  <si>
    <t xml:space="preserve">PAT-&gt;Advertised</t>
  </si>
  <si>
    <t xml:space="preserve">PAT-&gt;Advertised()</t>
  </si>
  <si>
    <t xml:space="preserve">"iritovat-001"</t>
  </si>
  <si>
    <t xml:space="preserve">"izolovat-001"</t>
  </si>
  <si>
    <t xml:space="preserve">Agent(ARG0/43,ARG1/2), Entity_1(ARG1/133,ARG3/1), Entity_2(ARG2/8)</t>
  </si>
  <si>
    <t xml:space="preserve">ACT-&gt;ARG0/43,ARG1/2</t>
  </si>
  <si>
    <t xml:space="preserve">ACT-&gt;Agent(ARG0/43,ARG1/2)</t>
  </si>
  <si>
    <t xml:space="preserve">PAT-&gt;ARG1/133,ARG3/1</t>
  </si>
  <si>
    <t xml:space="preserve">PAT-&gt;Entity_1(ARG1/133,ARG3/1)</t>
  </si>
  <si>
    <t xml:space="preserve">ORIG-&gt;ARG2/8</t>
  </si>
  <si>
    <t xml:space="preserve">ORIG-&gt;Entity_2</t>
  </si>
  <si>
    <t xml:space="preserve">ORIG-&gt;Entity_2(ARG2/8)</t>
  </si>
  <si>
    <t xml:space="preserve">"izolovat-002"</t>
  </si>
  <si>
    <t xml:space="preserve">ACT-&gt;ARG0/54,ARG1/2,ARG3/19</t>
  </si>
  <si>
    <t xml:space="preserve">PAT-&gt;ARG0/10,ARG1/179,ARG2/2</t>
  </si>
  <si>
    <t xml:space="preserve">"jednat-001"</t>
  </si>
  <si>
    <t xml:space="preserve">PAT: o+6; v+6; na-1[téma.4]</t>
  </si>
  <si>
    <t xml:space="preserve">"jednat-002"</t>
  </si>
  <si>
    <t xml:space="preserve">"jednat-003"</t>
  </si>
  <si>
    <t xml:space="preserve">"jednat-004"</t>
  </si>
  <si>
    <t xml:space="preserve">ACT-&gt;ARG0/18,ARG1/3</t>
  </si>
  <si>
    <t xml:space="preserve">#alt[BEN,MANN,ACMP,CRIT,CPR,AIM]-&gt;Manner</t>
  </si>
  <si>
    <t xml:space="preserve">#alt[BEN,MANN,ACMP,CRIT,CPR,AIM]-&gt;Manner()</t>
  </si>
  <si>
    <t xml:space="preserve">ALT-AIM: *</t>
  </si>
  <si>
    <t xml:space="preserve">"jednat-se-001"</t>
  </si>
  <si>
    <t xml:space="preserve">"jednat-se-002"</t>
  </si>
  <si>
    <t xml:space="preserve">ACT: o+4</t>
  </si>
  <si>
    <t xml:space="preserve">"jektat-001"</t>
  </si>
  <si>
    <t xml:space="preserve">"jektat-002"</t>
  </si>
  <si>
    <t xml:space="preserve">"jet-001"</t>
  </si>
  <si>
    <t xml:space="preserve">"jet-002"</t>
  </si>
  <si>
    <t xml:space="preserve">"jet-003"</t>
  </si>
  <si>
    <t xml:space="preserve">ACT: 3; ↓že; ↓c</t>
  </si>
  <si>
    <t xml:space="preserve">"jet-004"</t>
  </si>
  <si>
    <t xml:space="preserve">DIR3-&gt;ARG1/10</t>
  </si>
  <si>
    <t xml:space="preserve">"jet-005"</t>
  </si>
  <si>
    <t xml:space="preserve">Mover(ARG0/26), Area(), Vehicle(ARG1/17)</t>
  </si>
  <si>
    <t xml:space="preserve">ACT-&gt;Mover(ARG0/26)</t>
  </si>
  <si>
    <t xml:space="preserve">"jet-006"</t>
  </si>
  <si>
    <t xml:space="preserve">"jet-007"</t>
  </si>
  <si>
    <t xml:space="preserve">DPHR: na-1[loď:S6[stejný.#]]</t>
  </si>
  <si>
    <t xml:space="preserve">"jet-008"</t>
  </si>
  <si>
    <t xml:space="preserve">DPHR: po-1[svůj.NS6]</t>
  </si>
  <si>
    <t xml:space="preserve">"jet-009"</t>
  </si>
  <si>
    <t xml:space="preserve">"jet-010"</t>
  </si>
  <si>
    <t xml:space="preserve">"jet-011"</t>
  </si>
  <si>
    <t xml:space="preserve">"jevit-001"</t>
  </si>
  <si>
    <t xml:space="preserve">CPHR: {tendence,zájem,...}.4</t>
  </si>
  <si>
    <t xml:space="preserve">"jevit-002"</t>
  </si>
  <si>
    <t xml:space="preserve">CPHR: {známka,...}.4</t>
  </si>
  <si>
    <t xml:space="preserve">"jevit-se-001"</t>
  </si>
  <si>
    <t xml:space="preserve">Phenomenon(ARG0/91,ARG1/206,ARG2/3), Perceiver(ARG0/2,ARG1/3,ARG2/10,ARG3/1), Judgment(ARG1/241,ARG2/55,ARG3/10)</t>
  </si>
  <si>
    <t xml:space="preserve">ACT-&gt;ARG0/91,ARG1/206,ARG2/3</t>
  </si>
  <si>
    <t xml:space="preserve">ACT-&gt;Phenomenon</t>
  </si>
  <si>
    <t xml:space="preserve">ACT-&gt;Phenomenon(ARG0/91,ARG1/206,ARG2/3)</t>
  </si>
  <si>
    <t xml:space="preserve">PAT: 1; ↓že; .f</t>
  </si>
  <si>
    <t xml:space="preserve">PAT-&gt;ARG0/2,ARG1/3,ARG2/10,ARG3/1</t>
  </si>
  <si>
    <t xml:space="preserve">PAT-&gt;Perceiver</t>
  </si>
  <si>
    <t xml:space="preserve">PAT-&gt;Perceiver(ARG0/2,ARG1/3,ARG2/10,ARG3/1)</t>
  </si>
  <si>
    <t xml:space="preserve">EFF: 7; být[.7]; .a1; .a7; ↓že; 1[{jako,jakožto}:/AuxY]; .a1[{jako,jakožto}:/AuxY]</t>
  </si>
  <si>
    <t xml:space="preserve">EFF-&gt;ARG1/241,ARG2/55,ARG3/10</t>
  </si>
  <si>
    <t xml:space="preserve">EFF-&gt;Judgment(ARG1/241,ARG2/55,ARG3/10)</t>
  </si>
  <si>
    <t xml:space="preserve">"jevit-se-002"</t>
  </si>
  <si>
    <t xml:space="preserve">ACT-&gt;ARG0/2,ARG1/3,ARG2/10,ARG3/1</t>
  </si>
  <si>
    <t xml:space="preserve">ACT-&gt;Perceiver(ARG0/2,ARG1/3,ARG2/10,ARG3/1)</t>
  </si>
  <si>
    <t xml:space="preserve">PAT-&gt;ARG0/91,ARG1/206,ARG2/3</t>
  </si>
  <si>
    <t xml:space="preserve">PAT-&gt;Phenomenon(ARG0/91,ARG1/206,ARG2/3)</t>
  </si>
  <si>
    <t xml:space="preserve">MANN-&gt;ARG1/241,ARG2/55,ARG3/10</t>
  </si>
  <si>
    <t xml:space="preserve">MANN-&gt;Judgment</t>
  </si>
  <si>
    <t xml:space="preserve">MANN-&gt;Judgment(ARG1/241,ARG2/55,ARG3/10)</t>
  </si>
  <si>
    <t xml:space="preserve">"jevit-se-003"</t>
  </si>
  <si>
    <t xml:space="preserve">PAT: 1; ↓že; ↓jako</t>
  </si>
  <si>
    <t xml:space="preserve">"jezdit-001"</t>
  </si>
  <si>
    <t xml:space="preserve">"jezdit-002"</t>
  </si>
  <si>
    <t xml:space="preserve">"jezdit-003"</t>
  </si>
  <si>
    <t xml:space="preserve">"jezdit-004"</t>
  </si>
  <si>
    <t xml:space="preserve">DIR2: </t>
  </si>
  <si>
    <t xml:space="preserve">"jezdit-005"</t>
  </si>
  <si>
    <t xml:space="preserve">"jezdit-006"</t>
  </si>
  <si>
    <t xml:space="preserve">"jezdit-007"</t>
  </si>
  <si>
    <t xml:space="preserve">"jezdívat-001"</t>
  </si>
  <si>
    <t xml:space="preserve">"jezdívat-002"</t>
  </si>
  <si>
    <t xml:space="preserve">"jezdívat-003"</t>
  </si>
  <si>
    <t xml:space="preserve">"jezdívávat-001"</t>
  </si>
  <si>
    <t xml:space="preserve">"jezdívávat-002"</t>
  </si>
  <si>
    <t xml:space="preserve">"jezdívávat-003"</t>
  </si>
  <si>
    <t xml:space="preserve">"ječet-001"</t>
  </si>
  <si>
    <t xml:space="preserve">PAT: 4; ↓že; ↓zda; ↓jestli; ↓aby; .s; ↓c</t>
  </si>
  <si>
    <t xml:space="preserve">PAT-&gt;Information(ARG1/37)</t>
  </si>
  <si>
    <t xml:space="preserve">"ječet-002"</t>
  </si>
  <si>
    <t xml:space="preserve">"ježit-se-001"</t>
  </si>
  <si>
    <t xml:space="preserve">"ježit-se-002"</t>
  </si>
  <si>
    <t xml:space="preserve">"ježit-se-003"</t>
  </si>
  <si>
    <t xml:space="preserve">"jiskřit-001"</t>
  </si>
  <si>
    <t xml:space="preserve">"jistit-001"</t>
  </si>
  <si>
    <t xml:space="preserve">Securing(ARG0/14,ARG1/1), Asset(ARG1/33), Situation_harmful(ARG4/3)</t>
  </si>
  <si>
    <t xml:space="preserve">ACT-&gt;ARG0/14,ARG1/1</t>
  </si>
  <si>
    <t xml:space="preserve">ACT-&gt;Securing</t>
  </si>
  <si>
    <t xml:space="preserve">ACT-&gt;Securing(ARG0/14,ARG1/1)</t>
  </si>
  <si>
    <t xml:space="preserve">PAT-&gt;Asset(ARG1/33)</t>
  </si>
  <si>
    <t xml:space="preserve">EFF-&gt;ARG4/3</t>
  </si>
  <si>
    <t xml:space="preserve">EFF-&gt;Situation_harmful</t>
  </si>
  <si>
    <t xml:space="preserve">EFF-&gt;Situation_harmful(ARG4/3)</t>
  </si>
  <si>
    <t xml:space="preserve">"jmenovat-001"</t>
  </si>
  <si>
    <t xml:space="preserve">Communicator(ARG0/114), Entity(ARG1/252,ARG2/13), Audience_Addressee()</t>
  </si>
  <si>
    <t xml:space="preserve">ACT-&gt;ARG0/114</t>
  </si>
  <si>
    <t xml:space="preserve">ACT-&gt;Communicator(ARG0/114)</t>
  </si>
  <si>
    <t xml:space="preserve">PAT-&gt;ARG1/252,ARG2/13</t>
  </si>
  <si>
    <t xml:space="preserve">PAT-&gt;Entity(ARG1/252,ARG2/13)</t>
  </si>
  <si>
    <t xml:space="preserve">"jmenovat-002"</t>
  </si>
  <si>
    <t xml:space="preserve">Authority(ARG0/33), Chosen(ARG1/161,ARG2/7), Function(ARG1/1,ARG2/81)</t>
  </si>
  <si>
    <t xml:space="preserve">ACT-&gt;ARG0/33</t>
  </si>
  <si>
    <t xml:space="preserve">ACT-&gt;Authority(ARG0/33)</t>
  </si>
  <si>
    <t xml:space="preserve">PAT-&gt;ARG1/161,ARG2/7</t>
  </si>
  <si>
    <t xml:space="preserve">PAT-&gt;Chosen(ARG1/161,ARG2/7)</t>
  </si>
  <si>
    <t xml:space="preserve">EFF: 7; 4[{jako,jakožto}:/AuxY]; za+4; do+2</t>
  </si>
  <si>
    <t xml:space="preserve">EFF-&gt;ARG1/1,ARG2/81</t>
  </si>
  <si>
    <t xml:space="preserve">EFF-&gt;Function</t>
  </si>
  <si>
    <t xml:space="preserve">EFF-&gt;Function(ARG1/1,ARG2/81)</t>
  </si>
  <si>
    <t xml:space="preserve">"jmenovat-003"</t>
  </si>
  <si>
    <t xml:space="preserve">"jmenovat-004"</t>
  </si>
  <si>
    <t xml:space="preserve">"jmenovat-se-001"</t>
  </si>
  <si>
    <t xml:space="preserve">Namer(ARG0/200), Named(ARG1/232,ARG2/3), Name(ARG1/1,ARG2/382,ARG3/10)</t>
  </si>
  <si>
    <t xml:space="preserve">ACT-&gt;ARG1/232,ARG2/3</t>
  </si>
  <si>
    <t xml:space="preserve">ACT-&gt;Named</t>
  </si>
  <si>
    <t xml:space="preserve">ACT-&gt;Named(ARG1/232,ARG2/3)</t>
  </si>
  <si>
    <t xml:space="preserve">PAT-&gt;ARG1/1,ARG2/382,ARG3/10</t>
  </si>
  <si>
    <t xml:space="preserve">PAT-&gt;Name</t>
  </si>
  <si>
    <t xml:space="preserve">PAT-&gt;Name(ARG1/1,ARG2/382,ARG3/10)</t>
  </si>
  <si>
    <t xml:space="preserve">"jmenovat-se-002"</t>
  </si>
  <si>
    <t xml:space="preserve">"jmout-se-001"</t>
  </si>
  <si>
    <t xml:space="preserve">"joggovat-001"</t>
  </si>
  <si>
    <t xml:space="preserve">"jásat-001"</t>
  </si>
  <si>
    <t xml:space="preserve">Experiencer(ARG0/2), Stimulus(ARG1/3)</t>
  </si>
  <si>
    <t xml:space="preserve">ACT-&gt;Experiencer(ARG0/2)</t>
  </si>
  <si>
    <t xml:space="preserve">PAT-&gt;Stimulus(ARG1/3)</t>
  </si>
  <si>
    <t xml:space="preserve">"jídávat-001"</t>
  </si>
  <si>
    <t xml:space="preserve">"jídávat-002"</t>
  </si>
  <si>
    <t xml:space="preserve">"jímat-001"</t>
  </si>
  <si>
    <t xml:space="preserve">CPHR: {nenávist,strach,touha,úzkost,...}.1</t>
  </si>
  <si>
    <t xml:space="preserve">"jíst-001"</t>
  </si>
  <si>
    <t xml:space="preserve">ACT-&gt;ARG0/22,ARG1/1</t>
  </si>
  <si>
    <t xml:space="preserve">PAT: 4; 2</t>
  </si>
  <si>
    <t xml:space="preserve">"jíst-002"</t>
  </si>
  <si>
    <t xml:space="preserve">"jít-001"</t>
  </si>
  <si>
    <t xml:space="preserve">EFF: k+3</t>
  </si>
  <si>
    <t xml:space="preserve">"jít-002"</t>
  </si>
  <si>
    <t xml:space="preserve">"jít-003"</t>
  </si>
  <si>
    <t xml:space="preserve">Pursuer(ARG0/10), Targeted(ARG1/16)</t>
  </si>
  <si>
    <t xml:space="preserve">ACT-&gt;Pursuer(ARG0/10)</t>
  </si>
  <si>
    <t xml:space="preserve">PAT-&gt;Targeted(ARG1/16)</t>
  </si>
  <si>
    <t xml:space="preserve">"jít-004"</t>
  </si>
  <si>
    <t xml:space="preserve">"jít-005"</t>
  </si>
  <si>
    <t xml:space="preserve">"jít-006"</t>
  </si>
  <si>
    <t xml:space="preserve">Protagonist(ARG0/10,ARG1/4), Activity(ARG1/7,ARG2/11)</t>
  </si>
  <si>
    <t xml:space="preserve">ACT-&gt;ARG0/664,ARG1/44,ARG2/18,ARG3/1</t>
  </si>
  <si>
    <t xml:space="preserve">ACT-&gt;Protagonist(ARG0/10,ARG1/4)</t>
  </si>
  <si>
    <t xml:space="preserve">PAT-&gt;ARG0/1,ARG1/783,ARG2/70,ARG3/1</t>
  </si>
  <si>
    <t xml:space="preserve">PAT-&gt;Activity(ARG1/7,ARG2/11)</t>
  </si>
  <si>
    <t xml:space="preserve">"jít-007"</t>
  </si>
  <si>
    <t xml:space="preserve">"jít-008"</t>
  </si>
  <si>
    <t xml:space="preserve">Entity(ARG1/39), Purpose(ARG2/34)</t>
  </si>
  <si>
    <t xml:space="preserve">ACT-&gt;ARG1/39</t>
  </si>
  <si>
    <t xml:space="preserve">ACT-&gt;Entity(ARG1/39)</t>
  </si>
  <si>
    <t xml:space="preserve">PAT-&gt;ARG2/34</t>
  </si>
  <si>
    <t xml:space="preserve">PAT-&gt;Purpose</t>
  </si>
  <si>
    <t xml:space="preserve">PAT-&gt;Purpose(ARG2/34)</t>
  </si>
  <si>
    <t xml:space="preserve">"jít-009"</t>
  </si>
  <si>
    <t xml:space="preserve">"jít-010"</t>
  </si>
  <si>
    <t xml:space="preserve">"jít-011"</t>
  </si>
  <si>
    <t xml:space="preserve">"jít-012"</t>
  </si>
  <si>
    <t xml:space="preserve">PAT: proti+3</t>
  </si>
  <si>
    <t xml:space="preserve">"jít-013"</t>
  </si>
  <si>
    <t xml:space="preserve">"jít-014"</t>
  </si>
  <si>
    <t xml:space="preserve">"jít-015"</t>
  </si>
  <si>
    <t xml:space="preserve">"jít-016"</t>
  </si>
  <si>
    <t xml:space="preserve">"jít-017"</t>
  </si>
  <si>
    <t xml:space="preserve">Cognizer(ARG0/80,ARG1/15), Focused(ARG1/74)</t>
  </si>
  <si>
    <t xml:space="preserve">ACT-&gt;ARG0/80,ARG1/15</t>
  </si>
  <si>
    <t xml:space="preserve">ACT-&gt;Cognizer(ARG0/80,ARG1/15)</t>
  </si>
  <si>
    <t xml:space="preserve">PAT-&gt;ARG1/74</t>
  </si>
  <si>
    <t xml:space="preserve">PAT-&gt;Focused(ARG1/74)</t>
  </si>
  <si>
    <t xml:space="preserve">"jít-018"</t>
  </si>
  <si>
    <t xml:space="preserve">"jít-019"</t>
  </si>
  <si>
    <t xml:space="preserve">"jít-020"</t>
  </si>
  <si>
    <t xml:space="preserve">DIR2-&gt;ARG1/10</t>
  </si>
  <si>
    <t xml:space="preserve">DIR2-&gt;Destination</t>
  </si>
  <si>
    <t xml:space="preserve">DIR2-&gt;Destination(ARG1/10)</t>
  </si>
  <si>
    <t xml:space="preserve">"jít-021"</t>
  </si>
  <si>
    <t xml:space="preserve">ACT-&gt;ARG0/793,ARG1/298,ARG2/18,ARG3/1</t>
  </si>
  <si>
    <t xml:space="preserve">DIR3-&gt;ARG0/1,ARG1/911,ARG2/59,ARG3/1</t>
  </si>
  <si>
    <t xml:space="preserve">DIR3-&gt;Activity</t>
  </si>
  <si>
    <t xml:space="preserve">DIR3-&gt;Activity(ARG0/1,ARG1/776,ARG2/59,ARG3/1)</t>
  </si>
  <si>
    <t xml:space="preserve">"jít-022"</t>
  </si>
  <si>
    <t xml:space="preserve">Mover(ARG1/101), Place()</t>
  </si>
  <si>
    <t xml:space="preserve">ACT-&gt;ARG0/25,ARG1/102</t>
  </si>
  <si>
    <t xml:space="preserve">ACT-&gt;Mover(ARG1/101)</t>
  </si>
  <si>
    <t xml:space="preserve">"jít-023"</t>
  </si>
  <si>
    <t xml:space="preserve">"jít-024"</t>
  </si>
  <si>
    <t xml:space="preserve">DIR3-&gt;ARG2/34</t>
  </si>
  <si>
    <t xml:space="preserve">DIR3-&gt;Purpose</t>
  </si>
  <si>
    <t xml:space="preserve">DIR3-&gt;Purpose(ARG2/34)</t>
  </si>
  <si>
    <t xml:space="preserve">"jít-025"</t>
  </si>
  <si>
    <t xml:space="preserve">"jít-026"</t>
  </si>
  <si>
    <t xml:space="preserve">"jít-027"</t>
  </si>
  <si>
    <t xml:space="preserve">"jít-028"</t>
  </si>
  <si>
    <t xml:space="preserve">"jít-029"</t>
  </si>
  <si>
    <t xml:space="preserve">ACT: 1; .f; ↓aby</t>
  </si>
  <si>
    <t xml:space="preserve">"jít-030"</t>
  </si>
  <si>
    <t xml:space="preserve">"jít-031"</t>
  </si>
  <si>
    <t xml:space="preserve">"jít-032"</t>
  </si>
  <si>
    <t xml:space="preserve">"jít-033"</t>
  </si>
  <si>
    <t xml:space="preserve">"jít-034"</t>
  </si>
  <si>
    <t xml:space="preserve">"jít-035"</t>
  </si>
  <si>
    <t xml:space="preserve">"jít-036"</t>
  </si>
  <si>
    <t xml:space="preserve">"jít-037"</t>
  </si>
  <si>
    <t xml:space="preserve">DPHR: k-1[duhu.S3]</t>
  </si>
  <si>
    <t xml:space="preserve">"jít-038"</t>
  </si>
  <si>
    <t xml:space="preserve">DPHR: po-1[krk.S6]</t>
  </si>
  <si>
    <t xml:space="preserve">"jít-039"</t>
  </si>
  <si>
    <t xml:space="preserve">DPHR: pod-1[vous.P4]</t>
  </si>
  <si>
    <t xml:space="preserve">"jít-040"</t>
  </si>
  <si>
    <t xml:space="preserve">ACT-&gt;NoSr</t>
  </si>
  <si>
    <t xml:space="preserve">ACT-&gt;NoSr()</t>
  </si>
  <si>
    <t xml:space="preserve">DPHR: z-1[kopec.S2]; s-1[kopec.S2]</t>
  </si>
  <si>
    <t xml:space="preserve">DPHR[z/s kopce]-&gt;Manner</t>
  </si>
  <si>
    <t xml:space="preserve">DPHR[z/s kopce]-&gt;Manner(ARG1/2,ARG2/2,ARGM-MNR/22)</t>
  </si>
  <si>
    <t xml:space="preserve">PAT-&gt;ARG0/111,ARG1/15,ARGM-MNR/2</t>
  </si>
  <si>
    <t xml:space="preserve">PAT-&gt;Protagonist(ARG0/111,ARG1/15,ARGM-MNR/2)</t>
  </si>
  <si>
    <t xml:space="preserve">"jít-041"</t>
  </si>
  <si>
    <t xml:space="preserve">DPHR: s-1[cena-1.7]</t>
  </si>
  <si>
    <t xml:space="preserve">"jít-042"</t>
  </si>
  <si>
    <t xml:space="preserve">"jít-043"</t>
  </si>
  <si>
    <t xml:space="preserve">DPHR: klouzat.f[se]</t>
  </si>
  <si>
    <t xml:space="preserve">"jít-044"</t>
  </si>
  <si>
    <t xml:space="preserve">DPHR: na-1[odbyt.S4]</t>
  </si>
  <si>
    <t xml:space="preserve">"jít-045"</t>
  </si>
  <si>
    <t xml:space="preserve">DPHR: příklad.S7</t>
  </si>
  <si>
    <t xml:space="preserve">"jít-046"</t>
  </si>
  <si>
    <t xml:space="preserve">DPHR: proti-1[proud.S3]</t>
  </si>
  <si>
    <t xml:space="preserve">"jít-047"</t>
  </si>
  <si>
    <t xml:space="preserve">DPHR: ruka:S4,v-1[ruka:S6]</t>
  </si>
  <si>
    <t xml:space="preserve">"jít-048"</t>
  </si>
  <si>
    <t xml:space="preserve">DPHR: vzor.7</t>
  </si>
  <si>
    <t xml:space="preserve">"jít-049"</t>
  </si>
  <si>
    <t xml:space="preserve">Protagonist()</t>
  </si>
  <si>
    <t xml:space="preserve">DPHR: s-1.7[kůže.S7[na-1.4[trh.S4]]]</t>
  </si>
  <si>
    <t xml:space="preserve">"jít-050"</t>
  </si>
  <si>
    <t xml:space="preserve">DPHR: do-1[tuhý.2]</t>
  </si>
  <si>
    <t xml:space="preserve">"jít-051"</t>
  </si>
  <si>
    <t xml:space="preserve">DPHR: tlustý.IS1,do-1[tenký.IP2]</t>
  </si>
  <si>
    <t xml:space="preserve">"jít-052"</t>
  </si>
  <si>
    <t xml:space="preserve">"jít-053"</t>
  </si>
  <si>
    <t xml:space="preserve">Item(ARG0/10,ARG1/1902,ARG2/8), Value_final(ARG1/9,ARG2/48,ARG4/1380), Value_initial(ARG3/540,ARG4/1), Difference(ARG2/1383,ARG4/5)</t>
  </si>
  <si>
    <t xml:space="preserve">Phenomenon(ARG0/1,ARG1/36)</t>
  </si>
  <si>
    <t xml:space="preserve">ACT-&gt;ARG0/11,ARG1/1938,ARG2/8</t>
  </si>
  <si>
    <t xml:space="preserve">ACT-&gt;Item(ARG0/10,ARG1/1902,ARG2/8)</t>
  </si>
  <si>
    <t xml:space="preserve">ACT-&gt;Phenomenon(ARG0/1,ARG1/36)</t>
  </si>
  <si>
    <t xml:space="preserve">PAT-&gt;ARG1/9,ARG2/48,ARG4/1380</t>
  </si>
  <si>
    <t xml:space="preserve">PAT-&gt;Value_final</t>
  </si>
  <si>
    <t xml:space="preserve">PAT-&gt;Value_final(ARG1/9,ARG2/48,ARG4/1380)</t>
  </si>
  <si>
    <t xml:space="preserve">ORIG-&gt;ARG3/540,ARG4/1</t>
  </si>
  <si>
    <t xml:space="preserve">ORIG-&gt;Value_initial</t>
  </si>
  <si>
    <t xml:space="preserve">ORIG-&gt;Value_initial(ARG3/540,ARG4/1)</t>
  </si>
  <si>
    <t xml:space="preserve">"jít-054"</t>
  </si>
  <si>
    <t xml:space="preserve">DPHR: do-1</t>
  </si>
  <si>
    <t xml:space="preserve">"jít-055"</t>
  </si>
  <si>
    <t xml:space="preserve">DPHR: do-1[háj.S2]</t>
  </si>
  <si>
    <t xml:space="preserve">"jít-056"</t>
  </si>
  <si>
    <t xml:space="preserve">DPHR: k-1[dno.S3]</t>
  </si>
  <si>
    <t xml:space="preserve">"jít-057"</t>
  </si>
  <si>
    <t xml:space="preserve">"jít-058"</t>
  </si>
  <si>
    <t xml:space="preserve">DPHR: od-1[vál.S2]</t>
  </si>
  <si>
    <t xml:space="preserve">"jít-059"</t>
  </si>
  <si>
    <t xml:space="preserve">DPHR: proti-1[srst.S3]</t>
  </si>
  <si>
    <t xml:space="preserve">"jít-060"</t>
  </si>
  <si>
    <t xml:space="preserve">"jít-061"</t>
  </si>
  <si>
    <t xml:space="preserve">"jít-062"</t>
  </si>
  <si>
    <t xml:space="preserve">DPHR: do-1[prdel.S2]</t>
  </si>
  <si>
    <t xml:space="preserve">"jít-063"</t>
  </si>
  <si>
    <t xml:space="preserve">DPHR: k-1[čert.S3]</t>
  </si>
  <si>
    <t xml:space="preserve">"jít-064"</t>
  </si>
  <si>
    <t xml:space="preserve">DPHR: na-1[ruka.S4]</t>
  </si>
  <si>
    <t xml:space="preserve">"jít-065"</t>
  </si>
  <si>
    <t xml:space="preserve">DPHR: vniveč</t>
  </si>
  <si>
    <t xml:space="preserve">"jít-066"</t>
  </si>
  <si>
    <t xml:space="preserve">DPHR: o-1[život.S4]</t>
  </si>
  <si>
    <t xml:space="preserve">"jít-067"</t>
  </si>
  <si>
    <t xml:space="preserve">DPHR: od-1[deset.S2],k-1[pět.S3]</t>
  </si>
  <si>
    <t xml:space="preserve">"jít-068"</t>
  </si>
  <si>
    <t xml:space="preserve">DPHR: s-1[pravda.S7],ven</t>
  </si>
  <si>
    <t xml:space="preserve">"jít-069"</t>
  </si>
  <si>
    <t xml:space="preserve">DPHR: v-1[stopa.P6]</t>
  </si>
  <si>
    <t xml:space="preserve">"jít-070"</t>
  </si>
  <si>
    <t xml:space="preserve">DPHR: mezi-1[já.P7]</t>
  </si>
  <si>
    <t xml:space="preserve">"jít-071"</t>
  </si>
  <si>
    <t xml:space="preserve">"jít-072"</t>
  </si>
  <si>
    <t xml:space="preserve">"jít-073"</t>
  </si>
  <si>
    <t xml:space="preserve">"jít-074"</t>
  </si>
  <si>
    <t xml:space="preserve">DPHR: přes-1[a-1[hora.P4,důl.P4]]</t>
  </si>
  <si>
    <t xml:space="preserve">"jít-075"</t>
  </si>
  <si>
    <t xml:space="preserve">PAT: na+4; do+2</t>
  </si>
  <si>
    <t xml:space="preserve">"jít-076"</t>
  </si>
  <si>
    <t xml:space="preserve">"jít-077"</t>
  </si>
  <si>
    <t xml:space="preserve">"jít-078"</t>
  </si>
  <si>
    <t xml:space="preserve">"jít-079"</t>
  </si>
  <si>
    <t xml:space="preserve">"jít-080"</t>
  </si>
  <si>
    <t xml:space="preserve">DPHR: mimo-1[.4$1&lt;P&gt;$2&lt;P&gt;]</t>
  </si>
  <si>
    <t xml:space="preserve">"jít-081"</t>
  </si>
  <si>
    <t xml:space="preserve">DPHR: cesta.S7[svůj-1.#]</t>
  </si>
  <si>
    <t xml:space="preserve">"jít-082"</t>
  </si>
  <si>
    <t xml:space="preserve">MANN: </t>
  </si>
  <si>
    <t xml:space="preserve">"jít-083"</t>
  </si>
  <si>
    <t xml:space="preserve">"jít-084"</t>
  </si>
  <si>
    <t xml:space="preserve">"--jít-085"</t>
  </si>
  <si>
    <t xml:space="preserve">DPHR: NOT PARSED:ruka:S4v-1[ruka:S6]</t>
  </si>
  <si>
    <t xml:space="preserve">"jít-si-001"</t>
  </si>
  <si>
    <t xml:space="preserve">DPHR: za-1[cíl.S7[svůj-1.#]]; za-1[cíl.P7[svůj-1.#]]</t>
  </si>
  <si>
    <t xml:space="preserve">"jít-si-002"</t>
  </si>
  <si>
    <t xml:space="preserve">DPHR: po-1[svůj-1.P6]</t>
  </si>
  <si>
    <t xml:space="preserve">"kakat-001"</t>
  </si>
  <si>
    <t xml:space="preserve">"kalit-001"</t>
  </si>
  <si>
    <t xml:space="preserve">"kalkulovat-001"</t>
  </si>
  <si>
    <t xml:space="preserve">"kalkulovat-002"</t>
  </si>
  <si>
    <t xml:space="preserve">PAT: s+7; ↓že</t>
  </si>
  <si>
    <t xml:space="preserve">"kamarádit-001"</t>
  </si>
  <si>
    <t xml:space="preserve">"kamarádit-se-001"</t>
  </si>
  <si>
    <t xml:space="preserve">"kandidovat-001"</t>
  </si>
  <si>
    <t xml:space="preserve">"kandidovat-002"</t>
  </si>
  <si>
    <t xml:space="preserve">Competitor(ARG0/11), Function(ARG1/8)</t>
  </si>
  <si>
    <t xml:space="preserve">ACT-&gt;Competitor(ARG0/11)</t>
  </si>
  <si>
    <t xml:space="preserve">PAT-&gt;Function</t>
  </si>
  <si>
    <t xml:space="preserve">PAT-&gt;Function(ARG1/8)</t>
  </si>
  <si>
    <t xml:space="preserve">"kapat-001"</t>
  </si>
  <si>
    <t xml:space="preserve">Moved(), Place()</t>
  </si>
  <si>
    <t xml:space="preserve">ACT-&gt;Moved</t>
  </si>
  <si>
    <t xml:space="preserve">ACT-&gt;Moved()</t>
  </si>
  <si>
    <t xml:space="preserve">"kapitalizovat-001"</t>
  </si>
  <si>
    <t xml:space="preserve">Authority(), Evaluee(ARG1/7), Value(ARG2/4)</t>
  </si>
  <si>
    <t xml:space="preserve">PAT-&gt;Evaluee(ARG1/7)</t>
  </si>
  <si>
    <t xml:space="preserve">EFF-&gt;Value(ARG2/4)</t>
  </si>
  <si>
    <t xml:space="preserve">"kapitulovat-001"</t>
  </si>
  <si>
    <t xml:space="preserve">Capitulator(ARG0/27,ARG1/1), Force(ARG1/39,ARG2/1)</t>
  </si>
  <si>
    <t xml:space="preserve">ACT-&gt;ARG0/27,ARG1/1</t>
  </si>
  <si>
    <t xml:space="preserve">ACT-&gt;Capitulator</t>
  </si>
  <si>
    <t xml:space="preserve">ACT-&gt;Capitulator(ARG0/27,ARG1/1)</t>
  </si>
  <si>
    <t xml:space="preserve">PAT-&gt;ARG1/39,ARG2/1</t>
  </si>
  <si>
    <t xml:space="preserve">PAT-&gt;Force</t>
  </si>
  <si>
    <t xml:space="preserve">PAT-&gt;Force(ARG1/39,ARG2/1)</t>
  </si>
  <si>
    <t xml:space="preserve">"karikovat-001"</t>
  </si>
  <si>
    <t xml:space="preserve">Creator(ARG0/1), Issue(ARG1/1)</t>
  </si>
  <si>
    <t xml:space="preserve">PAT-&gt;Issue(ARG1/1)</t>
  </si>
  <si>
    <t xml:space="preserve">"katalyzovat-001"</t>
  </si>
  <si>
    <t xml:space="preserve">"katapultovat-001"</t>
  </si>
  <si>
    <t xml:space="preserve">Mover(ARG0/1), Moved(ARG1/1), Area_1(), Area_2()</t>
  </si>
  <si>
    <t xml:space="preserve">ACT-&gt;Mover(ARG0/1)</t>
  </si>
  <si>
    <t xml:space="preserve">PAT-&gt;Moved(ARG1/1)</t>
  </si>
  <si>
    <t xml:space="preserve">"katapultovat-se-001"</t>
  </si>
  <si>
    <t xml:space="preserve">"kazit-001"</t>
  </si>
  <si>
    <t xml:space="preserve">"kazit-se-001"</t>
  </si>
  <si>
    <t xml:space="preserve">"kašlat-001"</t>
  </si>
  <si>
    <t xml:space="preserve">"kašlat-002"</t>
  </si>
  <si>
    <t xml:space="preserve">"kecat-001"</t>
  </si>
  <si>
    <t xml:space="preserve">"kecat-002"</t>
  </si>
  <si>
    <t xml:space="preserve">"kecat-003"</t>
  </si>
  <si>
    <t xml:space="preserve">"kibicovat-001"</t>
  </si>
  <si>
    <t xml:space="preserve">"klamat-001"</t>
  </si>
  <si>
    <t xml:space="preserve">Stimulus(ARG0/13,ARG1/1), Attitudal(ARG1/19,ARG2/2)</t>
  </si>
  <si>
    <t xml:space="preserve">ACT-&gt;ARG0/13,ARG1/1</t>
  </si>
  <si>
    <t xml:space="preserve">ACT-&gt;Stimulus(ARG0/13,ARG1/1)</t>
  </si>
  <si>
    <t xml:space="preserve">PAT-&gt;ARG1/19,ARG2/2</t>
  </si>
  <si>
    <t xml:space="preserve">PAT-&gt;Attitudal(ARG1/19,ARG2/2)</t>
  </si>
  <si>
    <t xml:space="preserve">"klanět-se-001"</t>
  </si>
  <si>
    <t xml:space="preserve">"klapat-001"</t>
  </si>
  <si>
    <t xml:space="preserve">"klapat-002"</t>
  </si>
  <si>
    <t xml:space="preserve">"klapat-003"</t>
  </si>
  <si>
    <t xml:space="preserve">"klapnout-001"</t>
  </si>
  <si>
    <t xml:space="preserve">"klasifikovat-001"</t>
  </si>
  <si>
    <t xml:space="preserve">Authority(ARG0/10), Phenomenon(ARG1/29), Rank(ARG2/22)</t>
  </si>
  <si>
    <t xml:space="preserve">ACT-&gt;Authority(ARG0/10)</t>
  </si>
  <si>
    <t xml:space="preserve">PAT-&gt;Phenomenon(ARG1/29)</t>
  </si>
  <si>
    <t xml:space="preserve">EFF-&gt;ARG2/22</t>
  </si>
  <si>
    <t xml:space="preserve">EFF-&gt;Rank</t>
  </si>
  <si>
    <t xml:space="preserve">EFF-&gt;Rank(ARG2/22)</t>
  </si>
  <si>
    <t xml:space="preserve">"klasifikovat-002"</t>
  </si>
  <si>
    <t xml:space="preserve">Protagonist(ARG0/22), Whole(ARG1/50), Component(ARG1/2,ARG2/18)</t>
  </si>
  <si>
    <t xml:space="preserve">ACT-&gt;ARG0/22</t>
  </si>
  <si>
    <t xml:space="preserve">ACT-&gt;Protagonist(ARG0/22)</t>
  </si>
  <si>
    <t xml:space="preserve">PAT-&gt;ARG1/50</t>
  </si>
  <si>
    <t xml:space="preserve">PAT-&gt;Whole</t>
  </si>
  <si>
    <t xml:space="preserve">PAT-&gt;Whole(ARG1/50)</t>
  </si>
  <si>
    <t xml:space="preserve">EFF-&gt;ARG1/2,ARG2/18</t>
  </si>
  <si>
    <t xml:space="preserve">EFF-&gt;Component(ARG1/2,ARG2/18)</t>
  </si>
  <si>
    <t xml:space="preserve">"klasifikovat-003"</t>
  </si>
  <si>
    <t xml:space="preserve">"klekat-si-001"</t>
  </si>
  <si>
    <t xml:space="preserve">"kleknout-001"</t>
  </si>
  <si>
    <t xml:space="preserve">"kleknout-si-001"</t>
  </si>
  <si>
    <t xml:space="preserve">"klenout-se-001"</t>
  </si>
  <si>
    <t xml:space="preserve">Entity(ARG0/1), Place(ARG1/1)</t>
  </si>
  <si>
    <t xml:space="preserve">ACT-&gt;Entity(ARG0/1)</t>
  </si>
  <si>
    <t xml:space="preserve">"klepat-001"</t>
  </si>
  <si>
    <t xml:space="preserve">"klepat-002"</t>
  </si>
  <si>
    <t xml:space="preserve">Agent(ARG0/4), Obstacle(ARG1/7)</t>
  </si>
  <si>
    <t xml:space="preserve">ACT-&gt;Agent(ARG0/4)</t>
  </si>
  <si>
    <t xml:space="preserve">"klepat-003"</t>
  </si>
  <si>
    <t xml:space="preserve">"klepat-004"</t>
  </si>
  <si>
    <t xml:space="preserve">"klepetat-001"</t>
  </si>
  <si>
    <t xml:space="preserve">"klepnout-001"</t>
  </si>
  <si>
    <t xml:space="preserve">"klepnout-002"</t>
  </si>
  <si>
    <t xml:space="preserve">"klepnout-003"</t>
  </si>
  <si>
    <t xml:space="preserve">"klesat-001"</t>
  </si>
  <si>
    <t xml:space="preserve">Item(ARG0/193,ARG1/1533,ARG2/5), Value_final(ARG1/219,ARG2/16,ARG4/890,ARGM-LOC/2), Value_initial(ARG3/273,ARG4/5,ARGM-LOC/1), Difference(ARG2/995,ARG4/2)</t>
  </si>
  <si>
    <t xml:space="preserve">Mover(ARG0/5,ARG1/1621,ARG2/5), Place_final(ARG2/15,ARG4/888,ARGM-LOC/2), Place_initial(ARG3/270,ARG4/5,ARGM-LOC/1)</t>
  </si>
  <si>
    <t xml:space="preserve">ACT-&gt;ARG0/198,ARG1/3154,ARG2/10</t>
  </si>
  <si>
    <t xml:space="preserve">ACT-&gt;Item(ARG0/193,ARG1/1533,ARG2/5)</t>
  </si>
  <si>
    <t xml:space="preserve">ACT-&gt;Mover(ARG0/5,ARG1/1621,ARG2/5)</t>
  </si>
  <si>
    <t xml:space="preserve">PAT-&gt;ARG1/219,ARG2/31,ARG4/1778,ARGM-LOC/4</t>
  </si>
  <si>
    <t xml:space="preserve">PAT-&gt;Value_final(ARG1/219,ARG2/16,ARG4/890,ARGM-LOC/2)</t>
  </si>
  <si>
    <t xml:space="preserve">PAT-&gt;Place_final</t>
  </si>
  <si>
    <t xml:space="preserve">PAT-&gt;Place_final(ARG2/15,ARG4/888,ARGM-LOC/2)</t>
  </si>
  <si>
    <t xml:space="preserve">ORIG-&gt;ARG3/543,ARG4/10,ARGM-LOC/2</t>
  </si>
  <si>
    <t xml:space="preserve">ORIG-&gt;Value_initial(ARG3/273,ARG4/5,ARGM-LOC/1)</t>
  </si>
  <si>
    <t xml:space="preserve">ORIG-&gt;Place_initial</t>
  </si>
  <si>
    <t xml:space="preserve">ORIG-&gt;Place_initial(ARG3/270,ARG4/5,ARGM-LOC/1)</t>
  </si>
  <si>
    <t xml:space="preserve">"klesnout-001"</t>
  </si>
  <si>
    <t xml:space="preserve">?PAT: na+4; pod+4</t>
  </si>
  <si>
    <t xml:space="preserve">"klesnout-002"</t>
  </si>
  <si>
    <t xml:space="preserve">"klestit-001"</t>
  </si>
  <si>
    <t xml:space="preserve">"klečet-001"</t>
  </si>
  <si>
    <t xml:space="preserve">"klidit-001"</t>
  </si>
  <si>
    <t xml:space="preserve">"klikatit-se-001"</t>
  </si>
  <si>
    <t xml:space="preserve">Entity(ARG0/2,ARG1/2), Path()</t>
  </si>
  <si>
    <t xml:space="preserve">ACT-&gt;ARG0/2,ARG1/2</t>
  </si>
  <si>
    <t xml:space="preserve">ACT-&gt;Entity(ARG0/2,ARG1/2)</t>
  </si>
  <si>
    <t xml:space="preserve">"kliknout-001"</t>
  </si>
  <si>
    <t xml:space="preserve">"kličkovat-001"</t>
  </si>
  <si>
    <t xml:space="preserve">"klonit-se-001"</t>
  </si>
  <si>
    <t xml:space="preserve">PAT-&gt;ARG1/103</t>
  </si>
  <si>
    <t xml:space="preserve">PAT-&gt;Entity_1(ARG1/103)</t>
  </si>
  <si>
    <t xml:space="preserve">"klonovat-001"</t>
  </si>
  <si>
    <t xml:space="preserve">Creator(ARG0/197,ARG1/3), Created(ARG1/285), Component(ARG2/3)</t>
  </si>
  <si>
    <t xml:space="preserve">ACT-&gt;ARG0/197,ARG1/3</t>
  </si>
  <si>
    <t xml:space="preserve">ACT-&gt;Creator(ARG0/197,ARG1/3)</t>
  </si>
  <si>
    <t xml:space="preserve">PAT-&gt;ARG1/285</t>
  </si>
  <si>
    <t xml:space="preserve">PAT-&gt;Created(ARG1/285)</t>
  </si>
  <si>
    <t xml:space="preserve">ORIG-&gt;ARG2/3</t>
  </si>
  <si>
    <t xml:space="preserve">ORIG-&gt;Component(ARG2/3)</t>
  </si>
  <si>
    <t xml:space="preserve">"klopýtat-001"</t>
  </si>
  <si>
    <t xml:space="preserve">?PAT: o+4; přes+4</t>
  </si>
  <si>
    <t xml:space="preserve">"klopýtat-002"</t>
  </si>
  <si>
    <t xml:space="preserve">Protagonist(ARG0/7)</t>
  </si>
  <si>
    <t xml:space="preserve">"klopýtnout-001"</t>
  </si>
  <si>
    <t xml:space="preserve">"klouzat-001"</t>
  </si>
  <si>
    <t xml:space="preserve">Mover(ARG1/1)</t>
  </si>
  <si>
    <t xml:space="preserve">ACT-&gt;ARG1/1</t>
  </si>
  <si>
    <t xml:space="preserve">ACT-&gt;Mover(ARG1/1)</t>
  </si>
  <si>
    <t xml:space="preserve">"klouzat-se-001"</t>
  </si>
  <si>
    <t xml:space="preserve">"klubat-se-001"</t>
  </si>
  <si>
    <t xml:space="preserve">"klábosit-002"</t>
  </si>
  <si>
    <t xml:space="preserve">"klást-001"</t>
  </si>
  <si>
    <t xml:space="preserve">EFF: za+4; 7; 4[{jako,jakožto}:/AuxY]</t>
  </si>
  <si>
    <t xml:space="preserve">"klást-002"</t>
  </si>
  <si>
    <t xml:space="preserve">"klást-003"</t>
  </si>
  <si>
    <t xml:space="preserve">"klást-004"</t>
  </si>
  <si>
    <t xml:space="preserve">"klást-005"</t>
  </si>
  <si>
    <t xml:space="preserve">Oviparous(ARG0/2), Created(ARG1/7)</t>
  </si>
  <si>
    <t xml:space="preserve">ACT-&gt;Oviparous</t>
  </si>
  <si>
    <t xml:space="preserve">ACT-&gt;Oviparous(ARG0/2)</t>
  </si>
  <si>
    <t xml:space="preserve">PAT-&gt;Created(ARG1/7)</t>
  </si>
  <si>
    <t xml:space="preserve">"klást-006"</t>
  </si>
  <si>
    <t xml:space="preserve">CPHR: {cíl,mez,odpor,podmínka,překážka,...}.4</t>
  </si>
  <si>
    <t xml:space="preserve">"klást-007"</t>
  </si>
  <si>
    <t xml:space="preserve">CPHR: {dotaz,otázka,...}.4</t>
  </si>
  <si>
    <t xml:space="preserve">CPHR-&gt;ARG1/212,ARG2/1</t>
  </si>
  <si>
    <t xml:space="preserve">CPHR-&gt;Information</t>
  </si>
  <si>
    <t xml:space="preserve">CPHR-&gt;Information(ARG1/212,ARG2/1)</t>
  </si>
  <si>
    <t xml:space="preserve">"klást-008"</t>
  </si>
  <si>
    <t xml:space="preserve">CPHR: {nárok,omezení,požadavek,zátěž,...}.4</t>
  </si>
  <si>
    <t xml:space="preserve">"klást-009"</t>
  </si>
  <si>
    <t xml:space="preserve">Communicator(ARG0/112), Information(ARG1/112), Audience_Addressee()</t>
  </si>
  <si>
    <t xml:space="preserve">ACT-&gt;ARG0/112</t>
  </si>
  <si>
    <t xml:space="preserve">ACT-&gt;Communicator(ARG0/112)</t>
  </si>
  <si>
    <t xml:space="preserve">CPHR-&gt;ARG1/112</t>
  </si>
  <si>
    <t xml:space="preserve">CPHR[RSTR]-&gt;Information</t>
  </si>
  <si>
    <t xml:space="preserve">CPHR[RSTR]-&gt;Information(ARG1/112)</t>
  </si>
  <si>
    <t xml:space="preserve">"klást-010"</t>
  </si>
  <si>
    <t xml:space="preserve">"klást-011"</t>
  </si>
  <si>
    <t xml:space="preserve">DPHR: rovnítko.S4</t>
  </si>
  <si>
    <t xml:space="preserve">"klást-012"</t>
  </si>
  <si>
    <t xml:space="preserve">DPHR: na-1[srdce.S4]</t>
  </si>
  <si>
    <t xml:space="preserve">"klást-se-001"</t>
  </si>
  <si>
    <t xml:space="preserve">"klátit-001"</t>
  </si>
  <si>
    <t xml:space="preserve">"klátit-002"</t>
  </si>
  <si>
    <t xml:space="preserve">"klít-001"</t>
  </si>
  <si>
    <t xml:space="preserve">PAT: ↓že; ↓c</t>
  </si>
  <si>
    <t xml:space="preserve">"kmitat-001"</t>
  </si>
  <si>
    <t xml:space="preserve">"knokautovat-001"</t>
  </si>
  <si>
    <t xml:space="preserve">Winner(), Loser(ARG1/2)</t>
  </si>
  <si>
    <t xml:space="preserve">Assailant(ARG0/4), Victim(ARG1/10)</t>
  </si>
  <si>
    <t xml:space="preserve">ACT-&gt;Winner()</t>
  </si>
  <si>
    <t xml:space="preserve">ACT-&gt;Assailant(ARG0/4)</t>
  </si>
  <si>
    <t xml:space="preserve">PAT-&gt;ARG1/12</t>
  </si>
  <si>
    <t xml:space="preserve">PAT-&gt;Loser</t>
  </si>
  <si>
    <t xml:space="preserve">PAT-&gt;Loser(ARG1/2)</t>
  </si>
  <si>
    <t xml:space="preserve">PAT-&gt;Victim(ARG1/10)</t>
  </si>
  <si>
    <t xml:space="preserve">"kochat-se-001"</t>
  </si>
  <si>
    <t xml:space="preserve">"kodifikovat-001"</t>
  </si>
  <si>
    <t xml:space="preserve">Authority(ARG0/6), Norm(ARG1/30)</t>
  </si>
  <si>
    <t xml:space="preserve">Adjusting(ARG0/8,ARG2/3), Adjusted(ARG1/15)</t>
  </si>
  <si>
    <t xml:space="preserve">ACT-&gt;ARG0/40,ARG2/3</t>
  </si>
  <si>
    <t xml:space="preserve">ACT-&gt;Authority(ARG0/6)</t>
  </si>
  <si>
    <t xml:space="preserve">ACT-&gt;Adjusting</t>
  </si>
  <si>
    <t xml:space="preserve">ACT-&gt;Adjusting(ARG0/8,ARG2/3)</t>
  </si>
  <si>
    <t xml:space="preserve">PAT-&gt;ARG1/73</t>
  </si>
  <si>
    <t xml:space="preserve">PAT-&gt;Norm(ARG1/30)</t>
  </si>
  <si>
    <t xml:space="preserve">PAT-&gt;Adjusted</t>
  </si>
  <si>
    <t xml:space="preserve">PAT-&gt;Adjusted(ARG1/15)</t>
  </si>
  <si>
    <t xml:space="preserve">"kodrcat-001"</t>
  </si>
  <si>
    <t xml:space="preserve">"koexistovat-001"</t>
  </si>
  <si>
    <t xml:space="preserve">"kojit-001"</t>
  </si>
  <si>
    <t xml:space="preserve">"koketovat-001"</t>
  </si>
  <si>
    <t xml:space="preserve">"koktat-001"</t>
  </si>
  <si>
    <t xml:space="preserve">"kolaborovat-001"</t>
  </si>
  <si>
    <t xml:space="preserve">Participant_1(ARG0/206), Undertaking(ARG1/75,ARG2/17,ARG3/1), Participant_2(ARG1/13,ARG2/1,ARG3/45)</t>
  </si>
  <si>
    <t xml:space="preserve">ACT-&gt;ARG0/206</t>
  </si>
  <si>
    <t xml:space="preserve">ACT-&gt;Participant_1(ARG0/206)</t>
  </si>
  <si>
    <t xml:space="preserve">ADDR: s+7; mezi+7</t>
  </si>
  <si>
    <t xml:space="preserve">ADDR-&gt;ARG1/13,ARG2/1,ARG3/45</t>
  </si>
  <si>
    <t xml:space="preserve">ADDR-&gt;Participant_2(ARG1/13,ARG2/1,ARG3/45)</t>
  </si>
  <si>
    <t xml:space="preserve">?PAT: na+6; v+6; při+6</t>
  </si>
  <si>
    <t xml:space="preserve">PAT-&gt;ARG1/75,ARG2/17,ARG3/1</t>
  </si>
  <si>
    <t xml:space="preserve">PAT-&gt;Undertaking</t>
  </si>
  <si>
    <t xml:space="preserve">PAT-&gt;Undertaking(ARG1/75,ARG2/17,ARG3/1)</t>
  </si>
  <si>
    <t xml:space="preserve">"koledovat-001"</t>
  </si>
  <si>
    <t xml:space="preserve">"kolidovat-001"</t>
  </si>
  <si>
    <t xml:space="preserve">"kolorovat-001"</t>
  </si>
  <si>
    <t xml:space="preserve">"kolovat-001"</t>
  </si>
  <si>
    <t xml:space="preserve">"kolébat-se-001"</t>
  </si>
  <si>
    <t xml:space="preserve">Changing()</t>
  </si>
  <si>
    <t xml:space="preserve">Mover(ARG0/1,ARG1/2)</t>
  </si>
  <si>
    <t xml:space="preserve">ACT-&gt;ARG0/8,ARG1/2</t>
  </si>
  <si>
    <t xml:space="preserve">ACT-&gt;Changing()</t>
  </si>
  <si>
    <t xml:space="preserve">ACT-&gt;Mover(ARG0/1,ARG1/2)</t>
  </si>
  <si>
    <t xml:space="preserve">"kolíbat-001"</t>
  </si>
  <si>
    <t xml:space="preserve">"kolísat-001"</t>
  </si>
  <si>
    <t xml:space="preserve">"kolísat-002"</t>
  </si>
  <si>
    <t xml:space="preserve">PAT: mezi+7</t>
  </si>
  <si>
    <t xml:space="preserve">"komandovat-001"</t>
  </si>
  <si>
    <t xml:space="preserve">"kombinovat-001"</t>
  </si>
  <si>
    <t xml:space="preserve">Agent(ARG0/20,ARG1/5), Entity_1(ARG1/62,ARG2/2), Entity_2(ARG1/7,ARG2/29,ARG3/1)</t>
  </si>
  <si>
    <t xml:space="preserve">ACT-&gt;ARG0/20,ARG1/5</t>
  </si>
  <si>
    <t xml:space="preserve">ACT-&gt;Agent(ARG0/20,ARG1/5)</t>
  </si>
  <si>
    <t xml:space="preserve">PAT-&gt;ARG1/62,ARG2/2</t>
  </si>
  <si>
    <t xml:space="preserve">PAT-&gt;Entity_1(ARG1/62,ARG2/2)</t>
  </si>
  <si>
    <t xml:space="preserve">EFF-&gt;ARG1/7,ARG2/29,ARG3/1</t>
  </si>
  <si>
    <t xml:space="preserve">EFF-&gt;Entity_2</t>
  </si>
  <si>
    <t xml:space="preserve">EFF-&gt;Entity_2(ARG1/7,ARG2/29,ARG3/1)</t>
  </si>
  <si>
    <t xml:space="preserve">"komentovat-001"</t>
  </si>
  <si>
    <t xml:space="preserve">Communicator(ARG0/48), Topic(ARG1/82)</t>
  </si>
  <si>
    <t xml:space="preserve">ACT-&gt;ARG0/48</t>
  </si>
  <si>
    <t xml:space="preserve">ACT-&gt;Communicator(ARG0/48)</t>
  </si>
  <si>
    <t xml:space="preserve">PAT: 4; .s; ↓c; ↓zda</t>
  </si>
  <si>
    <t xml:space="preserve">PAT-&gt;ARG1/82</t>
  </si>
  <si>
    <t xml:space="preserve">PAT-&gt;Topic(ARG1/82)</t>
  </si>
  <si>
    <t xml:space="preserve">"komolit-001"</t>
  </si>
  <si>
    <t xml:space="preserve">"kompenzovat-001"</t>
  </si>
  <si>
    <t xml:space="preserve">"kompenzovat-002"</t>
  </si>
  <si>
    <t xml:space="preserve">Changing(ARG0/10,ARG2/69), Entity_1(ARG1/121), Entity_2(ARG2/8)</t>
  </si>
  <si>
    <t xml:space="preserve">ACT-&gt;ARG0/10,ARG2/69</t>
  </si>
  <si>
    <t xml:space="preserve">ACT-&gt;Changing(ARG0/10,ARG2/69)</t>
  </si>
  <si>
    <t xml:space="preserve">PAT-&gt;ARG1/121</t>
  </si>
  <si>
    <t xml:space="preserve">PAT-&gt;Entity_1(ARG1/121)</t>
  </si>
  <si>
    <t xml:space="preserve">"komplikovat-001"</t>
  </si>
  <si>
    <t xml:space="preserve">Cause(ARG0/78), Affected(ARG1/99,ARG2/1)</t>
  </si>
  <si>
    <t xml:space="preserve">Destroyer(ARG0/11,ARG2/3), Destroyed(ARG1/16)</t>
  </si>
  <si>
    <t xml:space="preserve">ACT-&gt;ARG0/89,ARG2/3</t>
  </si>
  <si>
    <t xml:space="preserve">ACT-&gt;Cause(ARG0/78)</t>
  </si>
  <si>
    <t xml:space="preserve">ACT-&gt;Destroyer(ARG0/11,ARG2/3)</t>
  </si>
  <si>
    <t xml:space="preserve">PAT-&gt;ARG1/115,ARG2/1</t>
  </si>
  <si>
    <t xml:space="preserve">PAT-&gt;Affected(ARG1/99,ARG2/1)</t>
  </si>
  <si>
    <t xml:space="preserve">PAT-&gt;Destroyed(ARG1/16)</t>
  </si>
  <si>
    <t xml:space="preserve">"komponovat-001"</t>
  </si>
  <si>
    <t xml:space="preserve">"komputerizovat-001"</t>
  </si>
  <si>
    <t xml:space="preserve">"komunikovat-001"</t>
  </si>
  <si>
    <t xml:space="preserve">"konat-001"</t>
  </si>
  <si>
    <t xml:space="preserve">Agent(ARG0/298,ARG1/3,ARG3/1), Activity(ARG1/432)</t>
  </si>
  <si>
    <t xml:space="preserve">ACT-&gt;ARG0/298,ARG1/3,ARG3/1</t>
  </si>
  <si>
    <t xml:space="preserve">ACT-&gt;Agent(ARG0/298,ARG1/3,ARG3/1)</t>
  </si>
  <si>
    <t xml:space="preserve">PAT-&gt;ARG1/432</t>
  </si>
  <si>
    <t xml:space="preserve">PAT-&gt;Activity(ARG1/432)</t>
  </si>
  <si>
    <t xml:space="preserve">"konat-002"</t>
  </si>
  <si>
    <t xml:space="preserve">Agent(ARG0/186), Goal(ARG1/357)</t>
  </si>
  <si>
    <t xml:space="preserve">ACT-&gt;ARG0/209</t>
  </si>
  <si>
    <t xml:space="preserve">ACT-&gt;Agent(ARG0/186)</t>
  </si>
  <si>
    <t xml:space="preserve">CPHR: {čin,dozor,krok,pokus,pozorování,práce,příprava,schůze,skutek,služba,uzdravování,...}.4</t>
  </si>
  <si>
    <t xml:space="preserve">CPHR-&gt;ARG1/395</t>
  </si>
  <si>
    <t xml:space="preserve">CPHR-&gt;Deed</t>
  </si>
  <si>
    <t xml:space="preserve">CPHR-&gt;Deed(ARG1/38)</t>
  </si>
  <si>
    <t xml:space="preserve">CPHR-&gt;Goal(ARG1/357)</t>
  </si>
  <si>
    <t xml:space="preserve">"konat-se-001"</t>
  </si>
  <si>
    <t xml:space="preserve">"koncentrovat-001"</t>
  </si>
  <si>
    <t xml:space="preserve">"koncentrovat-002"</t>
  </si>
  <si>
    <t xml:space="preserve">"koncentrovat-se-001"</t>
  </si>
  <si>
    <t xml:space="preserve">ACT-&gt;ARG0/29,ARG1/95,ARG2/12</t>
  </si>
  <si>
    <t xml:space="preserve">ACT-&gt;Authority; ACT-&gt;Focused</t>
  </si>
  <si>
    <t xml:space="preserve">ACT-&gt;Authority(ARG0/28,ARG1/2); ACT-&gt;Focused(ARG0/1,ARG1/93,ARG2/12)</t>
  </si>
  <si>
    <t xml:space="preserve">PAT-&gt;ARG1/19,ARG2/98</t>
  </si>
  <si>
    <t xml:space="preserve">PAT-&gt;Goal(ARG1/19,ARG2/98)</t>
  </si>
  <si>
    <t xml:space="preserve">"koncentrovat-se-002"</t>
  </si>
  <si>
    <t xml:space="preserve">Participant(ARG0/4,ARG1/4), Place()</t>
  </si>
  <si>
    <t xml:space="preserve">ACT-&gt;ARG0/4,ARG1/4</t>
  </si>
  <si>
    <t xml:space="preserve">ACT-&gt;Participant</t>
  </si>
  <si>
    <t xml:space="preserve">ACT-&gt;Participant(ARG0/4,ARG1/4)</t>
  </si>
  <si>
    <t xml:space="preserve">"koncentrovat-se-003"</t>
  </si>
  <si>
    <t xml:space="preserve">"koncertovat-001"</t>
  </si>
  <si>
    <t xml:space="preserve">"koncipovat-001"</t>
  </si>
  <si>
    <t xml:space="preserve">Proposer(ARG0/71,ARG1/1), Created(ARG1/143)</t>
  </si>
  <si>
    <t xml:space="preserve">Creator(ARG0/53), Created(ARG1/113)</t>
  </si>
  <si>
    <t xml:space="preserve">ACT-&gt;ARG0/124,ARG1/1</t>
  </si>
  <si>
    <t xml:space="preserve">ACT-&gt;Proposer(ARG0/71,ARG1/1)</t>
  </si>
  <si>
    <t xml:space="preserve">ACT-&gt;Creator(ARG0/53)</t>
  </si>
  <si>
    <t xml:space="preserve">PAT-&gt;ARG1/256</t>
  </si>
  <si>
    <t xml:space="preserve">PAT-&gt;Created(ARG1/143)</t>
  </si>
  <si>
    <t xml:space="preserve">PAT-&gt;Created(ARG1/113)</t>
  </si>
  <si>
    <t xml:space="preserve">"kondolovat-001"</t>
  </si>
  <si>
    <t xml:space="preserve">"konejšit-001"</t>
  </si>
  <si>
    <t xml:space="preserve">"konferovat-001"</t>
  </si>
  <si>
    <t xml:space="preserve">"konfiskovat-001"</t>
  </si>
  <si>
    <t xml:space="preserve">Authority(ARG0/34), Property(ARG1/89), Owner(ARG1/1,ARG2/22)</t>
  </si>
  <si>
    <t xml:space="preserve">ACT-&gt;Authority(ARG0/34)</t>
  </si>
  <si>
    <t xml:space="preserve">PAT-&gt;ARG1/89</t>
  </si>
  <si>
    <t xml:space="preserve">PAT-&gt;Property</t>
  </si>
  <si>
    <t xml:space="preserve">PAT-&gt;Property(ARG1/89)</t>
  </si>
  <si>
    <t xml:space="preserve">?ADDR: :3</t>
  </si>
  <si>
    <t xml:space="preserve">ADDR-&gt;ARG1/1,ARG2/22</t>
  </si>
  <si>
    <t xml:space="preserve">ADDR-&gt;Owner(ARG1/1,ARG2/22)</t>
  </si>
  <si>
    <t xml:space="preserve">"konfrontovat-001"</t>
  </si>
  <si>
    <t xml:space="preserve">EFF: s+7; 7</t>
  </si>
  <si>
    <t xml:space="preserve">Comparator(ARG0/3), Compared_1(ARG1/3), Compared_2(ARG2/5)</t>
  </si>
  <si>
    <t xml:space="preserve">ACT-&gt;Comparator</t>
  </si>
  <si>
    <t xml:space="preserve">ACT-&gt;Comparator(ARG0/3)</t>
  </si>
  <si>
    <t xml:space="preserve">PAT-&gt;Compared_1</t>
  </si>
  <si>
    <t xml:space="preserve">PAT-&gt;Compared_1(ARG1/3)</t>
  </si>
  <si>
    <t xml:space="preserve">EFF-&gt;ARG2/5</t>
  </si>
  <si>
    <t xml:space="preserve">EFF-&gt;Compared_2</t>
  </si>
  <si>
    <t xml:space="preserve">EFF-&gt;Compared_2(ARG2/5)</t>
  </si>
  <si>
    <t xml:space="preserve">"konkretizovat-001"</t>
  </si>
  <si>
    <t xml:space="preserve">Speaker(ARG0/31), Topic(ARG1/36)</t>
  </si>
  <si>
    <t xml:space="preserve">ACT-&gt;ARG0/31</t>
  </si>
  <si>
    <t xml:space="preserve">ACT-&gt;Speaker(ARG0/31)</t>
  </si>
  <si>
    <t xml:space="preserve">PAT-&gt;Topic(ARG1/36)</t>
  </si>
  <si>
    <t xml:space="preserve">"konkurovat-001"</t>
  </si>
  <si>
    <t xml:space="preserve">PAT-&gt;ARG1/54,ARG2/2</t>
  </si>
  <si>
    <t xml:space="preserve">PAT-&gt;Competitor_2(ARG1/54,ARG2/2)</t>
  </si>
  <si>
    <t xml:space="preserve">"konsolidovat-001"</t>
  </si>
  <si>
    <t xml:space="preserve">"konspirovat-001"</t>
  </si>
  <si>
    <t xml:space="preserve">"konstatovat-001"</t>
  </si>
  <si>
    <t xml:space="preserve">"konstatovat-002"</t>
  </si>
  <si>
    <t xml:space="preserve">EFF: 4; ↓že; ↓zda; .s</t>
  </si>
  <si>
    <t xml:space="preserve">"konsternovat-001"</t>
  </si>
  <si>
    <t xml:space="preserve">Stimulus(ARG0/29,ARG1/1,ARG2/1), Experiencer(ARG0/1,ARG1/47)</t>
  </si>
  <si>
    <t xml:space="preserve">ACT-&gt;ARG0/1,ARG1/47</t>
  </si>
  <si>
    <t xml:space="preserve">ACT-&gt;Experiencer(ARG0/1,ARG1/47)</t>
  </si>
  <si>
    <t xml:space="preserve">PAT-&gt;ARG0/29,ARG1/1,ARG2/1</t>
  </si>
  <si>
    <t xml:space="preserve">PAT-&gt;Stimulus(ARG0/29,ARG1/1,ARG2/1)</t>
  </si>
  <si>
    <t xml:space="preserve">"konstituovat-001"</t>
  </si>
  <si>
    <t xml:space="preserve">"konstruovat-001"</t>
  </si>
  <si>
    <t xml:space="preserve">ACT-&gt;ARG0/522,ARG1/5,ARG2/3</t>
  </si>
  <si>
    <t xml:space="preserve">PAT-&gt;ARG1/918,ARG3/1,ARG4/5</t>
  </si>
  <si>
    <t xml:space="preserve">"kontaktovat-001"</t>
  </si>
  <si>
    <t xml:space="preserve">"kontaktovat-002"</t>
  </si>
  <si>
    <t xml:space="preserve">"kontaminovat-001"</t>
  </si>
  <si>
    <t xml:space="preserve">"kontinuovat-001"</t>
  </si>
  <si>
    <t xml:space="preserve">"kontrahovat-001"</t>
  </si>
  <si>
    <t xml:space="preserve">"kontrastovat-001"</t>
  </si>
  <si>
    <t xml:space="preserve">ACT-&gt;ARG0/1,ARG1/51</t>
  </si>
  <si>
    <t xml:space="preserve">PAT-&gt;ARG1/8,ARG2/11,ARG3/1</t>
  </si>
  <si>
    <t xml:space="preserve">"kontrolovat-001"</t>
  </si>
  <si>
    <t xml:space="preserve">Monitoring(ARG0/129), Phenomenon(ARG1/188,ARG2/6)</t>
  </si>
  <si>
    <t xml:space="preserve">ACT-&gt;ARG0/533</t>
  </si>
  <si>
    <t xml:space="preserve">ACT-&gt;Monitoring</t>
  </si>
  <si>
    <t xml:space="preserve">ACT-&gt;Monitoring(ARG0/129)</t>
  </si>
  <si>
    <t xml:space="preserve">PAT-&gt;ARG1/740,ARG2/11</t>
  </si>
  <si>
    <t xml:space="preserve">PAT-&gt;Phenomenon(ARG1/188,ARG2/6)</t>
  </si>
  <si>
    <t xml:space="preserve">"kontrolovat-002"</t>
  </si>
  <si>
    <t xml:space="preserve">"kontrovat-001"</t>
  </si>
  <si>
    <t xml:space="preserve">Opposing(ARG0/92,ARG1/2), Issue(ARG1/24), Objection(ARG1/1), Audience_Addressee(ARG2/1)</t>
  </si>
  <si>
    <t xml:space="preserve">ACT-&gt;ARG0/92,ARG1/2</t>
  </si>
  <si>
    <t xml:space="preserve">ACT-&gt;Opposing(ARG0/92,ARG1/2)</t>
  </si>
  <si>
    <t xml:space="preserve">ADDR-&gt;Audience_Addressee(ARG2/1)</t>
  </si>
  <si>
    <t xml:space="preserve">EFF: 4; ↓že; ↓zda; ↓aby; ↓ať; .s</t>
  </si>
  <si>
    <t xml:space="preserve">EFF-&gt;Objection</t>
  </si>
  <si>
    <t xml:space="preserve">EFF-&gt;Objection(ARG1/1)</t>
  </si>
  <si>
    <t xml:space="preserve">PAT-&gt;ARG1/24</t>
  </si>
  <si>
    <t xml:space="preserve">PAT-&gt;Issue(ARG1/24)</t>
  </si>
  <si>
    <t xml:space="preserve">"kontrovat-002"</t>
  </si>
  <si>
    <t xml:space="preserve">"konvertovat-001"</t>
  </si>
  <si>
    <t xml:space="preserve">?EFF: na+4; v+4; do-1[.4]</t>
  </si>
  <si>
    <t xml:space="preserve">"konverzovat-001"</t>
  </si>
  <si>
    <t xml:space="preserve">"konzervovat-001"</t>
  </si>
  <si>
    <t xml:space="preserve">"konzultovat-001"</t>
  </si>
  <si>
    <t xml:space="preserve">?PAT: 4; o+6; ↓jak-2; .s; ↓zda; ↓jestli; ↓c</t>
  </si>
  <si>
    <t xml:space="preserve">"konzumovat-001"</t>
  </si>
  <si>
    <t xml:space="preserve">"konzumovat-002"</t>
  </si>
  <si>
    <t xml:space="preserve">"končit-001"</t>
  </si>
  <si>
    <t xml:space="preserve">"končit-002"</t>
  </si>
  <si>
    <t xml:space="preserve">"končit-003"</t>
  </si>
  <si>
    <t xml:space="preserve">"končit-004"</t>
  </si>
  <si>
    <t xml:space="preserve">"končit-005"</t>
  </si>
  <si>
    <t xml:space="preserve">"končit-006"</t>
  </si>
  <si>
    <t xml:space="preserve">Entity(ARG1/421), Finished(), Value_final(ARG1/1,ARG2/22,ARG4/38,ARGM-EXT/392,ARGM-MNR/281)</t>
  </si>
  <si>
    <t xml:space="preserve">ACT-&gt;ARG1/592,ARG2/2</t>
  </si>
  <si>
    <t xml:space="preserve">ACT-&gt;Entity(ARG1/421)</t>
  </si>
  <si>
    <t xml:space="preserve">LOC-&gt;ARG1/38,ARG2/135,ARG4/38,ARGM-EXT/392,ARGM-MNR/281</t>
  </si>
  <si>
    <t xml:space="preserve">#alt[LOC,MANN,ACMP]-&gt;Outcome</t>
  </si>
  <si>
    <t xml:space="preserve">#alt[LOC,MANN,ACMP]-&gt;Outcome(ARG1/37,ARG2/113)</t>
  </si>
  <si>
    <t xml:space="preserve">#alt[LOC, MANN, ACMP]-&gt;Value_final</t>
  </si>
  <si>
    <t xml:space="preserve">#alt[LOC, MANN, ACMP]-&gt;Value_final(ARG1/1,ARG2/22,ARG4/38,ARGM-EXT/392,ARGM-MNR/281)</t>
  </si>
  <si>
    <t xml:space="preserve">MANN-&gt;ARG1/38,ARG2/135,ARG4/38,ARGM-EXT/392,ARGM-MNR/281</t>
  </si>
  <si>
    <t xml:space="preserve">ACMP-&gt;ARG1/38,ARG2/135,ARG4/38,ARGM-EXT/392,ARGM-MNR/281</t>
  </si>
  <si>
    <t xml:space="preserve">"končit-se-001"</t>
  </si>
  <si>
    <t xml:space="preserve">"končívat-001"</t>
  </si>
  <si>
    <t xml:space="preserve">"kooperovat-001"</t>
  </si>
  <si>
    <t xml:space="preserve">?PAT: na+6; v+6</t>
  </si>
  <si>
    <t xml:space="preserve">"kooptovat-001"</t>
  </si>
  <si>
    <t xml:space="preserve">"koordinovat-001"</t>
  </si>
  <si>
    <t xml:space="preserve">Agent(ARG0/10), Entity_1(ARG1/18,ARG2/2), Entity_2(ARG2/2)</t>
  </si>
  <si>
    <t xml:space="preserve">ACT-&gt;Agent(ARG0/10)</t>
  </si>
  <si>
    <t xml:space="preserve">PAT-&gt;ARG1/18,ARG2/2</t>
  </si>
  <si>
    <t xml:space="preserve">PAT-&gt;Entity_1(ARG1/18,ARG2/2)</t>
  </si>
  <si>
    <t xml:space="preserve">EFF-&gt;Entity_2(ARG2/2)</t>
  </si>
  <si>
    <t xml:space="preserve">"kopat-001"</t>
  </si>
  <si>
    <t xml:space="preserve">"kopat-002"</t>
  </si>
  <si>
    <t xml:space="preserve">Affected(ARG1/4), Mover(ARG0/1)</t>
  </si>
  <si>
    <t xml:space="preserve">"kopat-003"</t>
  </si>
  <si>
    <t xml:space="preserve">"kopat-004"</t>
  </si>
  <si>
    <t xml:space="preserve">"--kopat-005"</t>
  </si>
  <si>
    <t xml:space="preserve">"kopat-si-001"</t>
  </si>
  <si>
    <t xml:space="preserve">?PAT: s+7; 7</t>
  </si>
  <si>
    <t xml:space="preserve">"kopnout-001"</t>
  </si>
  <si>
    <t xml:space="preserve">"kopírovat-001"</t>
  </si>
  <si>
    <t xml:space="preserve">Protagonist(ARG0/13), State_of_affairs(ARG1/15)</t>
  </si>
  <si>
    <t xml:space="preserve">ACT-&gt;Protagonist(ARG0/13)</t>
  </si>
  <si>
    <t xml:space="preserve">PAT-&gt;State_of_affairs</t>
  </si>
  <si>
    <t xml:space="preserve">PAT-&gt;State_of_affairs(ARG1/15)</t>
  </si>
  <si>
    <t xml:space="preserve">"kopírovat-002"</t>
  </si>
  <si>
    <t xml:space="preserve">Creator(ARG0/5), Item(ARG1/15)</t>
  </si>
  <si>
    <t xml:space="preserve">ACT-&gt;Creator(ARG0/5)</t>
  </si>
  <si>
    <t xml:space="preserve">PAT-&gt;Item(ARG1/15)</t>
  </si>
  <si>
    <t xml:space="preserve">"korepetovat-001"</t>
  </si>
  <si>
    <t xml:space="preserve">"korespondovat-001"</t>
  </si>
  <si>
    <t xml:space="preserve">Compared_1(ARG1/3), Compared_2(ARG2/3)</t>
  </si>
  <si>
    <t xml:space="preserve">ACT-&gt;Compared_1(ARG1/3)</t>
  </si>
  <si>
    <t xml:space="preserve">PAT-&gt;ARG2/3</t>
  </si>
  <si>
    <t xml:space="preserve">PAT-&gt;Compared_2(ARG2/3)</t>
  </si>
  <si>
    <t xml:space="preserve">"korespondovat-002"</t>
  </si>
  <si>
    <t xml:space="preserve">"korespondovat-003"</t>
  </si>
  <si>
    <t xml:space="preserve">"korigovat-001"</t>
  </si>
  <si>
    <t xml:space="preserve">Affector(ARG0/54), Affected(ARG1/104), Improved()</t>
  </si>
  <si>
    <t xml:space="preserve">ACT-&gt;ARG0/54</t>
  </si>
  <si>
    <t xml:space="preserve">ACT-&gt;Affector(ARG0/54)</t>
  </si>
  <si>
    <t xml:space="preserve">PAT-&gt;ARG1/104</t>
  </si>
  <si>
    <t xml:space="preserve">PAT-&gt;Affected(ARG1/104)</t>
  </si>
  <si>
    <t xml:space="preserve">?EFF: na+4; v+4</t>
  </si>
  <si>
    <t xml:space="preserve">EFF-&gt;Improved</t>
  </si>
  <si>
    <t xml:space="preserve">EFF-&gt;Improved()</t>
  </si>
  <si>
    <t xml:space="preserve">"kormidlovat-001"</t>
  </si>
  <si>
    <t xml:space="preserve">Governing(ARG0/6), Governed(ARG1/9)</t>
  </si>
  <si>
    <t xml:space="preserve">ACT-&gt;Governing(ARG0/6)</t>
  </si>
  <si>
    <t xml:space="preserve">PAT-&gt;Governed(ARG1/9)</t>
  </si>
  <si>
    <t xml:space="preserve">"korodovat-001"</t>
  </si>
  <si>
    <t xml:space="preserve">"korumpovat-001"</t>
  </si>
  <si>
    <t xml:space="preserve">"korunovat-001"</t>
  </si>
  <si>
    <t xml:space="preserve">?EFF: .7,na+4,za+4</t>
  </si>
  <si>
    <t xml:space="preserve">"korunovat-002"</t>
  </si>
  <si>
    <t xml:space="preserve">"korzovat-001"</t>
  </si>
  <si>
    <t xml:space="preserve">"kosit-001"</t>
  </si>
  <si>
    <t xml:space="preserve">"kotovat-001"</t>
  </si>
  <si>
    <t xml:space="preserve">"kotvit-001"</t>
  </si>
  <si>
    <t xml:space="preserve">"kotvit-002"</t>
  </si>
  <si>
    <t xml:space="preserve">"koukat-001"</t>
  </si>
  <si>
    <t xml:space="preserve">PAT: .f; ↓aby</t>
  </si>
  <si>
    <t xml:space="preserve">"koukat-002"</t>
  </si>
  <si>
    <t xml:space="preserve">PAT: na+4; ↓c; ↓že; po+6; ↓jestli; ↓jak-2</t>
  </si>
  <si>
    <t xml:space="preserve">"koukat-003"</t>
  </si>
  <si>
    <t xml:space="preserve">"koukat-004"</t>
  </si>
  <si>
    <t xml:space="preserve">"koukat-005"</t>
  </si>
  <si>
    <t xml:space="preserve">"koukat-006"</t>
  </si>
  <si>
    <t xml:space="preserve">DPHR: do-1[blbo.S2]</t>
  </si>
  <si>
    <t xml:space="preserve">"koukat-007"</t>
  </si>
  <si>
    <t xml:space="preserve">"--koukat-008"</t>
  </si>
  <si>
    <t xml:space="preserve">"koukat-se-001"</t>
  </si>
  <si>
    <t xml:space="preserve">PAT: na+4; ↓jak-2; ↓c; ↓že</t>
  </si>
  <si>
    <t xml:space="preserve">"koukat-se-002"</t>
  </si>
  <si>
    <t xml:space="preserve">"kouknout-001"</t>
  </si>
  <si>
    <t xml:space="preserve">"kouknout-002"</t>
  </si>
  <si>
    <t xml:space="preserve">"kouknout-se-001"</t>
  </si>
  <si>
    <t xml:space="preserve">"koulovat-001"</t>
  </si>
  <si>
    <t xml:space="preserve">"koupat-001"</t>
  </si>
  <si>
    <t xml:space="preserve">Washer(ARG0/7), Washed(ARG1/24,ARG2/2)</t>
  </si>
  <si>
    <t xml:space="preserve">ACT-&gt;Washer</t>
  </si>
  <si>
    <t xml:space="preserve">ACT-&gt;Washer(ARG0/7)</t>
  </si>
  <si>
    <t xml:space="preserve">PAT-&gt;ARG1/24,ARG2/2</t>
  </si>
  <si>
    <t xml:space="preserve">PAT-&gt;Washed</t>
  </si>
  <si>
    <t xml:space="preserve">PAT-&gt;Washed(ARG1/24,ARG2/2)</t>
  </si>
  <si>
    <t xml:space="preserve">"koupat-se-001"</t>
  </si>
  <si>
    <t xml:space="preserve">"koupat-se-002"</t>
  </si>
  <si>
    <t xml:space="preserve">ACT-&gt;ARG0/7,ARG1/24,ARG2/2</t>
  </si>
  <si>
    <t xml:space="preserve">ACT-&gt;Washed; ACT-&gt;Washer</t>
  </si>
  <si>
    <t xml:space="preserve">ACT-&gt;Washed(ARG1/24,ARG2/2); ACT-&gt;Washer(ARG0/7)</t>
  </si>
  <si>
    <t xml:space="preserve">"koupit-001"</t>
  </si>
  <si>
    <t xml:space="preserve">Buyer(ARG0/506,ARG1/1), Goods(ARG0/2,ARG1/927,ARG3/1), Party_benefited(ARG1/1,ARG4/7), Seller(ARG1/1,ARG2/70), Payment(ARG3/16)</t>
  </si>
  <si>
    <t xml:space="preserve">ACT-&gt;ARG0/506,ARG1/1</t>
  </si>
  <si>
    <t xml:space="preserve">ACT-&gt;Buyer</t>
  </si>
  <si>
    <t xml:space="preserve">ACT-&gt;Buyer(ARG0/506,ARG1/1)</t>
  </si>
  <si>
    <t xml:space="preserve">PAT-&gt;ARG0/2,ARG1/927,ARG3/1</t>
  </si>
  <si>
    <t xml:space="preserve">PAT-&gt;Goods(ARG0/2,ARG1/927,ARG3/1)</t>
  </si>
  <si>
    <t xml:space="preserve">ADDR-&gt;ARG1/1,ARG4/7</t>
  </si>
  <si>
    <t xml:space="preserve">ADDR-&gt;Party_benefited(ARG1/1,ARG4/7)</t>
  </si>
  <si>
    <t xml:space="preserve">ORIG-&gt;ARG1/1,ARG2/70</t>
  </si>
  <si>
    <t xml:space="preserve">ORIG-&gt;Seller</t>
  </si>
  <si>
    <t xml:space="preserve">ORIG-&gt;Seller(ARG1/1,ARG2/70)</t>
  </si>
  <si>
    <t xml:space="preserve">"kousat-001"</t>
  </si>
  <si>
    <t xml:space="preserve">"kousat-002"</t>
  </si>
  <si>
    <t xml:space="preserve">PAT: 4; do+2</t>
  </si>
  <si>
    <t xml:space="preserve">"kousat-se-001"</t>
  </si>
  <si>
    <t xml:space="preserve">DPHR: nuda.S7</t>
  </si>
  <si>
    <t xml:space="preserve">"kouskovat-001"</t>
  </si>
  <si>
    <t xml:space="preserve">Protagonist(ARG0/17,ARG1/6), Whole(ARG1/37,ARG2/2), Component(ARG1/2,ARG2/15)</t>
  </si>
  <si>
    <t xml:space="preserve">ACT-&gt;ARG0/17,ARG1/6</t>
  </si>
  <si>
    <t xml:space="preserve">ACT-&gt;Protagonist(ARG0/17,ARG1/6)</t>
  </si>
  <si>
    <t xml:space="preserve">PAT-&gt;ARG1/37,ARG2/2</t>
  </si>
  <si>
    <t xml:space="preserve">PAT-&gt;Whole(ARG1/37,ARG2/2)</t>
  </si>
  <si>
    <t xml:space="preserve">EFF-&gt;ARG1/2,ARG2/15</t>
  </si>
  <si>
    <t xml:space="preserve">EFF-&gt;Component(ARG1/2,ARG2/15)</t>
  </si>
  <si>
    <t xml:space="preserve">"kousnout-001"</t>
  </si>
  <si>
    <t xml:space="preserve">Assailant(ARG0/4), Victim(ARG1/3)</t>
  </si>
  <si>
    <t xml:space="preserve">PAT-&gt;Victim(ARG1/3)</t>
  </si>
  <si>
    <t xml:space="preserve">"kousnout-002"</t>
  </si>
  <si>
    <t xml:space="preserve">"kousnout-se-001"</t>
  </si>
  <si>
    <t xml:space="preserve">"kousnout-si-001"</t>
  </si>
  <si>
    <t xml:space="preserve">Protagonist(), Targeted()</t>
  </si>
  <si>
    <t xml:space="preserve">"kout-001"</t>
  </si>
  <si>
    <t xml:space="preserve">DPHR: pikle.P4</t>
  </si>
  <si>
    <t xml:space="preserve">"kouzlit-001"</t>
  </si>
  <si>
    <t xml:space="preserve">"kouřit-001"</t>
  </si>
  <si>
    <t xml:space="preserve">Ingestor(ARG0/5), Ingestibles(ARG1/1)</t>
  </si>
  <si>
    <t xml:space="preserve">ACT-&gt;Ingestor(ARG0/5)</t>
  </si>
  <si>
    <t xml:space="preserve">PAT-&gt;Ingestibles(ARG1/1)</t>
  </si>
  <si>
    <t xml:space="preserve">"kouřit-002"</t>
  </si>
  <si>
    <t xml:space="preserve">"kočkovat-se-001"</t>
  </si>
  <si>
    <t xml:space="preserve">"kočovat-001"</t>
  </si>
  <si>
    <t xml:space="preserve">"kořenit-001"</t>
  </si>
  <si>
    <t xml:space="preserve">"krachovat-001"</t>
  </si>
  <si>
    <t xml:space="preserve">"kreslit-001"</t>
  </si>
  <si>
    <t xml:space="preserve">Creator(ARG0/5), Created(ARG1/9)</t>
  </si>
  <si>
    <t xml:space="preserve">PAT-&gt;Created(ARG1/9)</t>
  </si>
  <si>
    <t xml:space="preserve">"kriminalizovat-001"</t>
  </si>
  <si>
    <t xml:space="preserve">Authority(ARG0/5), Offender(ARG1/14)</t>
  </si>
  <si>
    <t xml:space="preserve">PAT-&gt;Offender</t>
  </si>
  <si>
    <t xml:space="preserve">PAT-&gt;Offender(ARG1/14)</t>
  </si>
  <si>
    <t xml:space="preserve">"kritizovat-001"</t>
  </si>
  <si>
    <t xml:space="preserve">ACT-&gt;ARG0/83</t>
  </si>
  <si>
    <t xml:space="preserve">PAT-&gt;ARG1/118</t>
  </si>
  <si>
    <t xml:space="preserve">"krmit-001"</t>
  </si>
  <si>
    <t xml:space="preserve">Provider(ARG0/6), Ingestor(ARG1/2,ARG2/14)</t>
  </si>
  <si>
    <t xml:space="preserve">ACT-&gt;Provider(ARG0/6)</t>
  </si>
  <si>
    <t xml:space="preserve">PAT-&gt;ARG1/2,ARG2/14</t>
  </si>
  <si>
    <t xml:space="preserve">PAT-&gt;Ingestor</t>
  </si>
  <si>
    <t xml:space="preserve">PAT-&gt;Ingestor(ARG1/2,ARG2/14)</t>
  </si>
  <si>
    <t xml:space="preserve">"kropit-001"</t>
  </si>
  <si>
    <t xml:space="preserve">"krotit-001"</t>
  </si>
  <si>
    <t xml:space="preserve">Agent(ARG0/2), Action(ARG1/4)</t>
  </si>
  <si>
    <t xml:space="preserve">PAT-&gt;Action(ARG1/4)</t>
  </si>
  <si>
    <t xml:space="preserve">"krotit-002"</t>
  </si>
  <si>
    <t xml:space="preserve">"krouhat-001"</t>
  </si>
  <si>
    <t xml:space="preserve">"kroutit-001"</t>
  </si>
  <si>
    <t xml:space="preserve">Mover(ARG0/1), Moved(ARG1/1)</t>
  </si>
  <si>
    <t xml:space="preserve">"kroutit-se-001"</t>
  </si>
  <si>
    <t xml:space="preserve">"kroužit-001"</t>
  </si>
  <si>
    <t xml:space="preserve">Mover(ARG0/1,ARG1/1)</t>
  </si>
  <si>
    <t xml:space="preserve">ACT-&gt;Mover(ARG0/1,ARG1/1)</t>
  </si>
  <si>
    <t xml:space="preserve">"kručet-001"</t>
  </si>
  <si>
    <t xml:space="preserve">"kručet-002"</t>
  </si>
  <si>
    <t xml:space="preserve">"krvácet-001"</t>
  </si>
  <si>
    <t xml:space="preserve">"krvácet-002"</t>
  </si>
  <si>
    <t xml:space="preserve">Victim(ARG0/3), Cause()</t>
  </si>
  <si>
    <t xml:space="preserve">ACT-&gt;Victim(ARG0/3)</t>
  </si>
  <si>
    <t xml:space="preserve">"krájet-001"</t>
  </si>
  <si>
    <t xml:space="preserve">?EFF: do+2; na+4; v+4</t>
  </si>
  <si>
    <t xml:space="preserve">"krást-001"</t>
  </si>
  <si>
    <t xml:space="preserve">"krást-002"</t>
  </si>
  <si>
    <t xml:space="preserve">ACT-&gt;ARG0/47</t>
  </si>
  <si>
    <t xml:space="preserve">"krátit-001"</t>
  </si>
  <si>
    <t xml:space="preserve">Agent(ARG0/441,ARG1/20), Item(ARG1/844,ARG2/9,ARG4/13), Value_final(ARG2/46,ARG3/1,ARG4/90,ARG5/1), Value_initial(ARG3/56,ARG4/1), Difference(ARG2/107,ARG3/2,ARG4/2)</t>
  </si>
  <si>
    <t xml:space="preserve">Agent(ARG0/92), Item(ARG1/192), Value_final(ARG2/10,ARG4/33), Value_initial(ARG2/1,ARG3/19,ARG4/1), Difference(ARG2/39)</t>
  </si>
  <si>
    <t xml:space="preserve">ACT-&gt;ARG0/533,ARG1/20</t>
  </si>
  <si>
    <t xml:space="preserve">ACT-&gt;Agent(ARG0/441,ARG1/20)</t>
  </si>
  <si>
    <t xml:space="preserve">ACT-&gt;Agent(ARG0/92)</t>
  </si>
  <si>
    <t xml:space="preserve">PAT-&gt;ARG1/1036,ARG2/9,ARG4/13</t>
  </si>
  <si>
    <t xml:space="preserve">PAT-&gt;Item(ARG1/844,ARG2/9,ARG4/13)</t>
  </si>
  <si>
    <t xml:space="preserve">PAT-&gt;Item(ARG1/192)</t>
  </si>
  <si>
    <t xml:space="preserve">ORIG-&gt;ARG2/1,ARG3/75,ARG4/2</t>
  </si>
  <si>
    <t xml:space="preserve">ORIG-&gt;Value_initial(ARG3/56,ARG4/1)</t>
  </si>
  <si>
    <t xml:space="preserve">ORIG-&gt;Value_initial(ARG2/1,ARG3/19,ARG4/1)</t>
  </si>
  <si>
    <t xml:space="preserve">EFF-&gt;ARG2/56,ARG3/1,ARG4/123,ARG5/1</t>
  </si>
  <si>
    <t xml:space="preserve">EFF-&gt;Value_final</t>
  </si>
  <si>
    <t xml:space="preserve">EFF-&gt;Value_final(ARG2/46,ARG3/1,ARG4/90,ARG5/1)</t>
  </si>
  <si>
    <t xml:space="preserve">EFF-&gt;Value_final(ARG2/10,ARG4/33)</t>
  </si>
  <si>
    <t xml:space="preserve">"krátit-se-001"</t>
  </si>
  <si>
    <t xml:space="preserve">"kráčet-001"</t>
  </si>
  <si>
    <t xml:space="preserve">"kráčet-002"</t>
  </si>
  <si>
    <t xml:space="preserve">"kráčet-003"</t>
  </si>
  <si>
    <t xml:space="preserve">DPHR: v-1[šlépěj.P6[:u#]]; v-1[šlépěj.P6]</t>
  </si>
  <si>
    <t xml:space="preserve">"kráčet-004"</t>
  </si>
  <si>
    <t xml:space="preserve">DPHR: v-1.6[závěs.S6]</t>
  </si>
  <si>
    <t xml:space="preserve">"kráčet-si-001"</t>
  </si>
  <si>
    <t xml:space="preserve">"krýt-001"</t>
  </si>
  <si>
    <t xml:space="preserve">Hiding(ARG0/11,ARG2/3), Hidden(ARG0/2,ARG1/42), Onlooker(ARG2/4)</t>
  </si>
  <si>
    <t xml:space="preserve">ACT-&gt;ARG0/11,ARG2/3</t>
  </si>
  <si>
    <t xml:space="preserve">ACT-&gt;Hiding(ARG0/11,ARG2/3)</t>
  </si>
  <si>
    <t xml:space="preserve">PAT-&gt;ARG0/2,ARG1/42</t>
  </si>
  <si>
    <t xml:space="preserve">PAT-&gt;Hidden(ARG0/2,ARG1/42)</t>
  </si>
  <si>
    <t xml:space="preserve">ADDR-&gt;ARG2/4</t>
  </si>
  <si>
    <t xml:space="preserve">ADDR-&gt;Onlooker</t>
  </si>
  <si>
    <t xml:space="preserve">ADDR-&gt;Onlooker(ARG2/4)</t>
  </si>
  <si>
    <t xml:space="preserve">"krýt-002"</t>
  </si>
  <si>
    <t xml:space="preserve">"krýt-003"</t>
  </si>
  <si>
    <t xml:space="preserve">"krýt-004"</t>
  </si>
  <si>
    <t xml:space="preserve">"krýt-se-001"</t>
  </si>
  <si>
    <t xml:space="preserve">Entity_1(ARG0/6,ARG1/3), Entity_2(ARG1/4)</t>
  </si>
  <si>
    <t xml:space="preserve">ACT-&gt;ARG0/6,ARG1/3</t>
  </si>
  <si>
    <t xml:space="preserve">ACT-&gt;Entity_1</t>
  </si>
  <si>
    <t xml:space="preserve">ACT-&gt;Entity_1(ARG0/6,ARG1/3)</t>
  </si>
  <si>
    <t xml:space="preserve">PAT-&gt;Entity_2</t>
  </si>
  <si>
    <t xml:space="preserve">PAT-&gt;Entity_2(ARG1/4)</t>
  </si>
  <si>
    <t xml:space="preserve">"krčit-001"</t>
  </si>
  <si>
    <t xml:space="preserve">"krčit-se-001"</t>
  </si>
  <si>
    <t xml:space="preserve">"krčit-se-002"</t>
  </si>
  <si>
    <t xml:space="preserve">Hidden(), Undesirable(ARG2/1)</t>
  </si>
  <si>
    <t xml:space="preserve">ACT-&gt;Hidden</t>
  </si>
  <si>
    <t xml:space="preserve">ACT-&gt;Hidden()</t>
  </si>
  <si>
    <t xml:space="preserve">"kuchat-001"</t>
  </si>
  <si>
    <t xml:space="preserve">"kulminovat-001"</t>
  </si>
  <si>
    <t xml:space="preserve">"kultivovat-001"</t>
  </si>
  <si>
    <t xml:space="preserve">Cause(ARG0/177,ARG1/67,ARG2/17), Improved(ARG1/354,ARG4/70), State_final(ARG2/5,ARG4/41), State_initial(ARG2/1,ARG3/24)</t>
  </si>
  <si>
    <t xml:space="preserve">ACT-&gt;ARG0/177,ARG1/67,ARG2/17</t>
  </si>
  <si>
    <t xml:space="preserve">ACT-&gt;Cause(ARG0/177,ARG1/67,ARG2/17)</t>
  </si>
  <si>
    <t xml:space="preserve">PAT-&gt;ARG1/354,ARG4/70</t>
  </si>
  <si>
    <t xml:space="preserve">PAT-&gt;Improved(ARG1/354,ARG4/70)</t>
  </si>
  <si>
    <t xml:space="preserve">"kumulovat-se-001"</t>
  </si>
  <si>
    <t xml:space="preserve">"kupit-se-001"</t>
  </si>
  <si>
    <t xml:space="preserve">"kupovat-001"</t>
  </si>
  <si>
    <t xml:space="preserve">"kutálet-se-001"</t>
  </si>
  <si>
    <t xml:space="preserve">"kvalifikovat-001"</t>
  </si>
  <si>
    <t xml:space="preserve">Authority(ARG0/15,ARG1/14), Chosen(ARG1/13,ARG2/12), Purpose(ARG1/23,ARG2/22)</t>
  </si>
  <si>
    <t xml:space="preserve">ACT-&gt;ARG0/15,ARG1/14</t>
  </si>
  <si>
    <t xml:space="preserve">ACT-&gt;Authority(ARG0/15,ARG1/14)</t>
  </si>
  <si>
    <t xml:space="preserve">PAT: na+4; k+3</t>
  </si>
  <si>
    <t xml:space="preserve">PAT-&gt;ARG1/23,ARG2/22</t>
  </si>
  <si>
    <t xml:space="preserve">PAT-&gt;Purpose(ARG1/23,ARG2/22)</t>
  </si>
  <si>
    <t xml:space="preserve">ADDR-&gt;ARG1/13,ARG2/12</t>
  </si>
  <si>
    <t xml:space="preserve">ADDR-&gt;Chosen</t>
  </si>
  <si>
    <t xml:space="preserve">ADDR-&gt;Chosen(ARG1/13,ARG2/12)</t>
  </si>
  <si>
    <t xml:space="preserve">"kvalifikovat-002"</t>
  </si>
  <si>
    <t xml:space="preserve">"kvalifikovat-se-001"</t>
  </si>
  <si>
    <t xml:space="preserve">ACT-&gt;ARG0/15,ARG1/27,ARG2/12</t>
  </si>
  <si>
    <t xml:space="preserve">ACT-&gt;Authority; ACT-&gt;Chosen</t>
  </si>
  <si>
    <t xml:space="preserve">ACT-&gt;Authority(ARG0/15,ARG1/14); ACT-&gt;Chosen(ARG1/13,ARG2/12)</t>
  </si>
  <si>
    <t xml:space="preserve">PAT: na+4,pro+4</t>
  </si>
  <si>
    <t xml:space="preserve">"kvalifikovat-se-002"</t>
  </si>
  <si>
    <t xml:space="preserve">"kvalifikovat-se-003"</t>
  </si>
  <si>
    <t xml:space="preserve">DIR3-&gt;ARG1/23,ARG2/22</t>
  </si>
  <si>
    <t xml:space="preserve">DIR3-&gt;Purpose(ARG1/23,ARG2/22)</t>
  </si>
  <si>
    <t xml:space="preserve">"kvaltovat-001"</t>
  </si>
  <si>
    <t xml:space="preserve">"kvantifikovat-001"</t>
  </si>
  <si>
    <t xml:space="preserve">"kvitovat-001"</t>
  </si>
  <si>
    <t xml:space="preserve">"kvákat-001"</t>
  </si>
  <si>
    <t xml:space="preserve">"kváknout-001"</t>
  </si>
  <si>
    <t xml:space="preserve">"kvést-001"</t>
  </si>
  <si>
    <t xml:space="preserve">"kvést-002"</t>
  </si>
  <si>
    <t xml:space="preserve">ACT-&gt;ARG0/10,ARG1/65</t>
  </si>
  <si>
    <t xml:space="preserve">"kvílet-001"</t>
  </si>
  <si>
    <t xml:space="preserve">Speaker()</t>
  </si>
  <si>
    <t xml:space="preserve">ACT-&gt;Speaker()</t>
  </si>
  <si>
    <t xml:space="preserve">"kvílet-002"</t>
  </si>
  <si>
    <t xml:space="preserve">"kydat-001"</t>
  </si>
  <si>
    <t xml:space="preserve">DPHR: hnůj.S4</t>
  </si>
  <si>
    <t xml:space="preserve">"kydat-002"</t>
  </si>
  <si>
    <t xml:space="preserve">"kymácet-se-001"</t>
  </si>
  <si>
    <t xml:space="preserve">"kypět-001"</t>
  </si>
  <si>
    <t xml:space="preserve">"kácet-001"</t>
  </si>
  <si>
    <t xml:space="preserve">"kárat-001"</t>
  </si>
  <si>
    <t xml:space="preserve">ACT-&gt;ARG0/95</t>
  </si>
  <si>
    <t xml:space="preserve">PAT-&gt;ARG1/135</t>
  </si>
  <si>
    <t xml:space="preserve">"kát-se-001"</t>
  </si>
  <si>
    <t xml:space="preserve">"kázat-001"</t>
  </si>
  <si>
    <t xml:space="preserve">Speaker(ARG0/2), Information(ARG1/5), Audience_Addressee()</t>
  </si>
  <si>
    <t xml:space="preserve">ACT-&gt;Speaker(ARG0/2)</t>
  </si>
  <si>
    <t xml:space="preserve">EFF-&gt;ARG1/5</t>
  </si>
  <si>
    <t xml:space="preserve">EFF-&gt;Information(ARG1/5)</t>
  </si>
  <si>
    <t xml:space="preserve">PAT-&gt;Information(ARG1/5)</t>
  </si>
  <si>
    <t xml:space="preserve">"kótovat-001"</t>
  </si>
  <si>
    <t xml:space="preserve">?EFF: na+4; na+6; v+6</t>
  </si>
  <si>
    <t xml:space="preserve">"kótovat-002"</t>
  </si>
  <si>
    <t xml:space="preserve">"kýchat-001"</t>
  </si>
  <si>
    <t xml:space="preserve">"kývat-001"</t>
  </si>
  <si>
    <t xml:space="preserve">"kývat-se-001"</t>
  </si>
  <si>
    <t xml:space="preserve">"kývnout-001"</t>
  </si>
  <si>
    <t xml:space="preserve">"kňučet-001"</t>
  </si>
  <si>
    <t xml:space="preserve">"křepčit-001"</t>
  </si>
  <si>
    <t xml:space="preserve">"křečkovat-001"</t>
  </si>
  <si>
    <t xml:space="preserve">"křivit-001"</t>
  </si>
  <si>
    <t xml:space="preserve">"křičet-001"</t>
  </si>
  <si>
    <t xml:space="preserve">"křičet-002"</t>
  </si>
  <si>
    <t xml:space="preserve">"křižovat-001"</t>
  </si>
  <si>
    <t xml:space="preserve">"křtít-001"</t>
  </si>
  <si>
    <t xml:space="preserve">"křísit-001"</t>
  </si>
  <si>
    <t xml:space="preserve">"křížit-001"</t>
  </si>
  <si>
    <t xml:space="preserve">"křížit-002"</t>
  </si>
  <si>
    <t xml:space="preserve">"kšeftovat-001"</t>
  </si>
  <si>
    <t xml:space="preserve">"laborovat-001"</t>
  </si>
  <si>
    <t xml:space="preserve">"ladit-001"</t>
  </si>
  <si>
    <t xml:space="preserve">"ladit-002"</t>
  </si>
  <si>
    <t xml:space="preserve">"ladit-003"</t>
  </si>
  <si>
    <t xml:space="preserve">PAT: s+7; k+3</t>
  </si>
  <si>
    <t xml:space="preserve">"lahodit-001"</t>
  </si>
  <si>
    <t xml:space="preserve">ACT-&gt;ARG0/58,ARG1/33</t>
  </si>
  <si>
    <t xml:space="preserve">PAT: 1; ↓že; .f; ↓c</t>
  </si>
  <si>
    <t xml:space="preserve">PAT-&gt;ARG0/16,ARG1/63,ARG2/9</t>
  </si>
  <si>
    <t xml:space="preserve">"lajdačit-001"</t>
  </si>
  <si>
    <t xml:space="preserve">"lamentovat-001"</t>
  </si>
  <si>
    <t xml:space="preserve">"lapat-001"</t>
  </si>
  <si>
    <t xml:space="preserve">Ingestor(ARG0/1), Ingestibles(ARG1/1)</t>
  </si>
  <si>
    <t xml:space="preserve">ACT-&gt;Ingestor(ARG0/1)</t>
  </si>
  <si>
    <t xml:space="preserve">DPHR: po-1[dech.S6]</t>
  </si>
  <si>
    <t xml:space="preserve">DPHR-&gt;ARG1/1</t>
  </si>
  <si>
    <t xml:space="preserve">DPHR[po dechu]-&gt;Ingestibles</t>
  </si>
  <si>
    <t xml:space="preserve">DPHR[po dechu]-&gt;Ingestibles(ARG1/1)</t>
  </si>
  <si>
    <t xml:space="preserve">"lapat-002"</t>
  </si>
  <si>
    <t xml:space="preserve">"lapit-001"</t>
  </si>
  <si>
    <t xml:space="preserve">Authority(ARG0/35), Held(ARG1/107)</t>
  </si>
  <si>
    <t xml:space="preserve">ACT-&gt;Authority(ARG0/35)</t>
  </si>
  <si>
    <t xml:space="preserve">PAT-&gt;ARG1/116</t>
  </si>
  <si>
    <t xml:space="preserve">PAT-&gt;Held</t>
  </si>
  <si>
    <t xml:space="preserve">PAT-&gt;Held(ARG1/107)</t>
  </si>
  <si>
    <t xml:space="preserve">"laškovat-001"</t>
  </si>
  <si>
    <t xml:space="preserve">"lebedit-si-001"</t>
  </si>
  <si>
    <t xml:space="preserve">"legalizovat-001"</t>
  </si>
  <si>
    <t xml:space="preserve">ACT-&gt;ARG0/319,ARG1/1</t>
  </si>
  <si>
    <t xml:space="preserve">PAT-&gt;ARG1/570,ARG2/3</t>
  </si>
  <si>
    <t xml:space="preserve">"legitimizovat-001"</t>
  </si>
  <si>
    <t xml:space="preserve">"legitimovat-001"</t>
  </si>
  <si>
    <t xml:space="preserve">"legitimovat-se-001"</t>
  </si>
  <si>
    <t xml:space="preserve">"lehat-si-001"</t>
  </si>
  <si>
    <t xml:space="preserve">"lehnout-001"</t>
  </si>
  <si>
    <t xml:space="preserve">DPHR: popel.S7</t>
  </si>
  <si>
    <t xml:space="preserve">"lehnout-002"</t>
  </si>
  <si>
    <t xml:space="preserve">"lehnout-si-001"</t>
  </si>
  <si>
    <t xml:space="preserve">Protagonist(ARG0/1), Place()</t>
  </si>
  <si>
    <t xml:space="preserve">ACT-&gt;Protagonist(ARG0/1)</t>
  </si>
  <si>
    <t xml:space="preserve">"lehávat-001"</t>
  </si>
  <si>
    <t xml:space="preserve">"lekat-001"</t>
  </si>
  <si>
    <t xml:space="preserve">"leknout-se-001"</t>
  </si>
  <si>
    <t xml:space="preserve">?PAT: 2; ↓že</t>
  </si>
  <si>
    <t xml:space="preserve">"lemovat-001"</t>
  </si>
  <si>
    <t xml:space="preserve">Rimming(ARG1/2), Rimmed(ARG2/1)</t>
  </si>
  <si>
    <t xml:space="preserve">Surrounding(ARG0/3,ARG1/16), Surrounded(ARG2/30)</t>
  </si>
  <si>
    <t xml:space="preserve">ACT-&gt;ARG0/3,ARG1/18</t>
  </si>
  <si>
    <t xml:space="preserve">ACT-&gt;Rimming</t>
  </si>
  <si>
    <t xml:space="preserve">ACT-&gt;Rimming(ARG1/2)</t>
  </si>
  <si>
    <t xml:space="preserve">ACT-&gt;Surrounding</t>
  </si>
  <si>
    <t xml:space="preserve">ACT-&gt;Surrounding(ARG0/3,ARG1/16)</t>
  </si>
  <si>
    <t xml:space="preserve">PAT-&gt;ARG2/31</t>
  </si>
  <si>
    <t xml:space="preserve">PAT-&gt;Rimmed</t>
  </si>
  <si>
    <t xml:space="preserve">PAT-&gt;Rimmed(ARG2/1)</t>
  </si>
  <si>
    <t xml:space="preserve">PAT-&gt;Surrounded</t>
  </si>
  <si>
    <t xml:space="preserve">PAT-&gt;Surrounded(ARG2/30)</t>
  </si>
  <si>
    <t xml:space="preserve">"lemovat-002"</t>
  </si>
  <si>
    <t xml:space="preserve">"lemovat-003"</t>
  </si>
  <si>
    <t xml:space="preserve">"lenit-001"</t>
  </si>
  <si>
    <t xml:space="preserve">"lenošit-001"</t>
  </si>
  <si>
    <t xml:space="preserve">"lepit-001"</t>
  </si>
  <si>
    <t xml:space="preserve">Connector(ARG0/1), Component(ARG1/4)</t>
  </si>
  <si>
    <t xml:space="preserve">ACT-&gt;Connector(ARG0/1)</t>
  </si>
  <si>
    <t xml:space="preserve">PAT-&gt;Component(ARG1/4)</t>
  </si>
  <si>
    <t xml:space="preserve">"lepit-se-001"</t>
  </si>
  <si>
    <t xml:space="preserve">"lepšit-se-001"</t>
  </si>
  <si>
    <t xml:space="preserve">"lesknout-se-001"</t>
  </si>
  <si>
    <t xml:space="preserve">"letovat-001"</t>
  </si>
  <si>
    <t xml:space="preserve">"letět-001"</t>
  </si>
  <si>
    <t xml:space="preserve">ACT-&gt;ARG0/2,ARG1/40</t>
  </si>
  <si>
    <t xml:space="preserve">"letět-002"</t>
  </si>
  <si>
    <t xml:space="preserve">"letět-003"</t>
  </si>
  <si>
    <t xml:space="preserve">"letět-004"</t>
  </si>
  <si>
    <t xml:space="preserve">"letět-005"</t>
  </si>
  <si>
    <t xml:space="preserve">DPHR: na-1[srdce.S6]</t>
  </si>
  <si>
    <t xml:space="preserve">"letět-006"</t>
  </si>
  <si>
    <t xml:space="preserve">"letět-007"</t>
  </si>
  <si>
    <t xml:space="preserve">"letět-008"</t>
  </si>
  <si>
    <t xml:space="preserve">"leštit-001"</t>
  </si>
  <si>
    <t xml:space="preserve">"leštit-002"</t>
  </si>
  <si>
    <t xml:space="preserve">Agent(ARG0/11), Entity(ARG1/38,ARG2/4), Undesirable(ARG1/3,ARG2/3)</t>
  </si>
  <si>
    <t xml:space="preserve">ACT-&gt;Agent(ARG0/11)</t>
  </si>
  <si>
    <t xml:space="preserve">PAT-&gt;ARG1/38,ARG2/4</t>
  </si>
  <si>
    <t xml:space="preserve">PAT-&gt;Entity(ARG1/38,ARG2/4)</t>
  </si>
  <si>
    <t xml:space="preserve">"ležet-001"</t>
  </si>
  <si>
    <t xml:space="preserve">"ležet-002"</t>
  </si>
  <si>
    <t xml:space="preserve">Phenomenon(ARG1/19), Source(ARG0/7,ARG2/1)</t>
  </si>
  <si>
    <t xml:space="preserve">ACT-&gt;Phenomenon(ARG1/19)</t>
  </si>
  <si>
    <t xml:space="preserve">PAT-&gt;ARG0/7,ARG2/1</t>
  </si>
  <si>
    <t xml:space="preserve">PAT-&gt;Source</t>
  </si>
  <si>
    <t xml:space="preserve">PAT-&gt;Source(ARG0/7,ARG2/1)</t>
  </si>
  <si>
    <t xml:space="preserve">"ležet-003"</t>
  </si>
  <si>
    <t xml:space="preserve">"ležet-004"</t>
  </si>
  <si>
    <t xml:space="preserve">Resident(ARG0/3,ARG1/147,ARG2/1,ARGM-LOC/1), Place(ARG1/5,ARG2/29,ARGM-LOC/137)</t>
  </si>
  <si>
    <t xml:space="preserve">ACT-&gt;ARG0/3,ARG1/147,ARG2/1,ARGM-LOC/1</t>
  </si>
  <si>
    <t xml:space="preserve">ACT-&gt;Resident</t>
  </si>
  <si>
    <t xml:space="preserve">ACT-&gt;Resident(ARG0/3,ARG1/147,ARG2/1,ARGM-LOC/1)</t>
  </si>
  <si>
    <t xml:space="preserve">LOC-&gt;ARG1/5,ARG2/29,ARGM-LOC/137</t>
  </si>
  <si>
    <t xml:space="preserve">LOC-&gt;Place(ARG1/5,ARG2/29,ARGM-LOC/137)</t>
  </si>
  <si>
    <t xml:space="preserve">"ležet-005"</t>
  </si>
  <si>
    <t xml:space="preserve">"ležet-006"</t>
  </si>
  <si>
    <t xml:space="preserve">"ležet-007"</t>
  </si>
  <si>
    <t xml:space="preserve">DPHR: na-1[bedra.6]; na-1[bedra.6[.u#]]</t>
  </si>
  <si>
    <t xml:space="preserve">"ležet-008"</t>
  </si>
  <si>
    <t xml:space="preserve">DPHR: lad.S7</t>
  </si>
  <si>
    <t xml:space="preserve">"ležet-009"</t>
  </si>
  <si>
    <t xml:space="preserve">DPHR: v-1[hlava.S6]</t>
  </si>
  <si>
    <t xml:space="preserve">"ležet-010"</t>
  </si>
  <si>
    <t xml:space="preserve">DPHR: na-1[srdce.6]</t>
  </si>
  <si>
    <t xml:space="preserve">"lhát-001"</t>
  </si>
  <si>
    <t xml:space="preserve">Communicator(ARG0/2), Information_untrue(ARG1/3), Audience_Addressee()</t>
  </si>
  <si>
    <t xml:space="preserve">ACT-&gt;Communicator(ARG0/2)</t>
  </si>
  <si>
    <t xml:space="preserve">?PAT: o+6; ↓že</t>
  </si>
  <si>
    <t xml:space="preserve">PAT-&gt;Information_untrue</t>
  </si>
  <si>
    <t xml:space="preserve">PAT-&gt;Information_untrue(ARG1/3)</t>
  </si>
  <si>
    <t xml:space="preserve">"lhát-002"</t>
  </si>
  <si>
    <t xml:space="preserve">DPHR: jako[když[tisknout.S]]</t>
  </si>
  <si>
    <t xml:space="preserve">"liberalizovat-001"</t>
  </si>
  <si>
    <t xml:space="preserve">Authority(ARG0/6), Phenomenon(ARG1/17)</t>
  </si>
  <si>
    <t xml:space="preserve">PAT-&gt;Phenomenon(ARG1/17)</t>
  </si>
  <si>
    <t xml:space="preserve">"libovat-si-001"</t>
  </si>
  <si>
    <t xml:space="preserve">PAT: 4; ↓že; v+6; ↓jak-2</t>
  </si>
  <si>
    <t xml:space="preserve">"licencovat-001"</t>
  </si>
  <si>
    <t xml:space="preserve">ACT-&gt;ARG0/8,ARG2/3</t>
  </si>
  <si>
    <t xml:space="preserve">"lichotit-001"</t>
  </si>
  <si>
    <t xml:space="preserve">"licitovat-001"</t>
  </si>
  <si>
    <t xml:space="preserve">"licitovat-002"</t>
  </si>
  <si>
    <t xml:space="preserve">"likvidovat-001"</t>
  </si>
  <si>
    <t xml:space="preserve">"limitovat-001"</t>
  </si>
  <si>
    <t xml:space="preserve">Authority(ARG0/47), Affected(ARG1/129,ARG2/1), Entity_limited(ARG2/41)</t>
  </si>
  <si>
    <t xml:space="preserve">ACT-&gt;Authority(ARG0/47)</t>
  </si>
  <si>
    <t xml:space="preserve">PAT-&gt;ARG1/129,ARG2/1</t>
  </si>
  <si>
    <t xml:space="preserve">PAT-&gt;Affected(ARG1/129,ARG2/1)</t>
  </si>
  <si>
    <t xml:space="preserve">EFF-&gt;ARG2/41</t>
  </si>
  <si>
    <t xml:space="preserve">EFF-&gt;Entity_limited</t>
  </si>
  <si>
    <t xml:space="preserve">EFF-&gt;Entity_limited(ARG2/41)</t>
  </si>
  <si>
    <t xml:space="preserve">"linout-se-001"</t>
  </si>
  <si>
    <t xml:space="preserve">"lisovat-001"</t>
  </si>
  <si>
    <t xml:space="preserve">"listovat-001"</t>
  </si>
  <si>
    <t xml:space="preserve">Cognizer(), Focused()</t>
  </si>
  <si>
    <t xml:space="preserve">PAT-&gt;Focused()</t>
  </si>
  <si>
    <t xml:space="preserve">"litovat-001"</t>
  </si>
  <si>
    <t xml:space="preserve">"litovat-002"</t>
  </si>
  <si>
    <t xml:space="preserve">"lišit-001"</t>
  </si>
  <si>
    <t xml:space="preserve">"lišit-se-001"</t>
  </si>
  <si>
    <t xml:space="preserve">PAT: od+2; oproti+3</t>
  </si>
  <si>
    <t xml:space="preserve">"lkát-001"</t>
  </si>
  <si>
    <t xml:space="preserve">?PAT: na+4; ↓že; ↓c</t>
  </si>
  <si>
    <t xml:space="preserve">"lkát-002"</t>
  </si>
  <si>
    <t xml:space="preserve">"lnout-001"</t>
  </si>
  <si>
    <t xml:space="preserve">"lnout-002"</t>
  </si>
  <si>
    <t xml:space="preserve">"lobbovat-001"</t>
  </si>
  <si>
    <t xml:space="preserve">"lobbovat-002"</t>
  </si>
  <si>
    <t xml:space="preserve">PAT: za+4; pro+4; proti+3</t>
  </si>
  <si>
    <t xml:space="preserve">"lobovat-001"</t>
  </si>
  <si>
    <t xml:space="preserve">"lokalizovat-001"</t>
  </si>
  <si>
    <t xml:space="preserve">LOC-&gt;ARG2/2</t>
  </si>
  <si>
    <t xml:space="preserve">LOC-&gt;Place(ARG2/2)</t>
  </si>
  <si>
    <t xml:space="preserve">"lokalizovat-002"</t>
  </si>
  <si>
    <t xml:space="preserve">"lokalizovat-003"</t>
  </si>
  <si>
    <t xml:space="preserve">"lokalizovat-004"</t>
  </si>
  <si>
    <t xml:space="preserve">"loknout-si-001"</t>
  </si>
  <si>
    <t xml:space="preserve">"lomcovat-001"</t>
  </si>
  <si>
    <t xml:space="preserve">"lomit-001"</t>
  </si>
  <si>
    <t xml:space="preserve">DPHR: ruka.P7</t>
  </si>
  <si>
    <t xml:space="preserve">"losovat-001"</t>
  </si>
  <si>
    <t xml:space="preserve">"loupat-001"</t>
  </si>
  <si>
    <t xml:space="preserve">"loupit-001"</t>
  </si>
  <si>
    <t xml:space="preserve">"loupit-002"</t>
  </si>
  <si>
    <t xml:space="preserve">"loutkařit-001"</t>
  </si>
  <si>
    <t xml:space="preserve">"loučit-se-001"</t>
  </si>
  <si>
    <t xml:space="preserve">"lovit-001"</t>
  </si>
  <si>
    <t xml:space="preserve">"lovit-002"</t>
  </si>
  <si>
    <t xml:space="preserve">"lovit-003"</t>
  </si>
  <si>
    <t xml:space="preserve">"lpět-001"</t>
  </si>
  <si>
    <t xml:space="preserve">Protagonist(ARG0/1), Desirable(ARG1/2)</t>
  </si>
  <si>
    <t xml:space="preserve">Attitudal(ARG0/110), Norm(ARG1/119)</t>
  </si>
  <si>
    <t xml:space="preserve">ACT-&gt;ARG0/111</t>
  </si>
  <si>
    <t xml:space="preserve">ACT-&gt;Attitudal(ARG0/110)</t>
  </si>
  <si>
    <t xml:space="preserve">PAT-&gt;Desirable</t>
  </si>
  <si>
    <t xml:space="preserve">PAT-&gt;Desirable(ARG1/2)</t>
  </si>
  <si>
    <t xml:space="preserve">PAT-&gt;Norm(ARG1/119)</t>
  </si>
  <si>
    <t xml:space="preserve">"lpět-002"</t>
  </si>
  <si>
    <t xml:space="preserve">"lustrovat-001"</t>
  </si>
  <si>
    <t xml:space="preserve">"luxovat-001"</t>
  </si>
  <si>
    <t xml:space="preserve">"luštit-001"</t>
  </si>
  <si>
    <t xml:space="preserve">"lyžovat-001"</t>
  </si>
  <si>
    <t xml:space="preserve">Protagonist(ARG0/1)</t>
  </si>
  <si>
    <t xml:space="preserve">"lze-001"</t>
  </si>
  <si>
    <t xml:space="preserve">ACT: .f; 1</t>
  </si>
  <si>
    <t xml:space="preserve">"ládovat-001"</t>
  </si>
  <si>
    <t xml:space="preserve">"lákat-001"</t>
  </si>
  <si>
    <t xml:space="preserve">"lákat-002"</t>
  </si>
  <si>
    <t xml:space="preserve">?PAT: k+3; ↓aby; ↓ať; .s; .f</t>
  </si>
  <si>
    <t xml:space="preserve">Attracting(ARG0/72,ARG1/2,ARG2/1), Goal(ARG0/2,ARG1/96,ARG2/9,ARG3/2), Attractee(ARG0/1,ARG1/60,ARG2/5,ARG3/1)</t>
  </si>
  <si>
    <t xml:space="preserve">ACT-&gt;ARG0/72,ARG1/2,ARG2/1</t>
  </si>
  <si>
    <t xml:space="preserve">ACT-&gt;Attracting</t>
  </si>
  <si>
    <t xml:space="preserve">ACT-&gt;Attracting(ARG0/72,ARG1/2,ARG2/1)</t>
  </si>
  <si>
    <t xml:space="preserve">ADDR-&gt;ARG0/1,ARG1/60,ARG2/5,ARG3/1</t>
  </si>
  <si>
    <t xml:space="preserve">ADDR-&gt;Attractee</t>
  </si>
  <si>
    <t xml:space="preserve">ADDR-&gt;Attractee(ARG0/1,ARG1/60,ARG2/5,ARG3/1)</t>
  </si>
  <si>
    <t xml:space="preserve">PAT-&gt;ARG0/2,ARG1/96,ARG2/9,ARG3/2</t>
  </si>
  <si>
    <t xml:space="preserve">PAT-&gt;Goal(ARG0/2,ARG1/96,ARG2/9,ARG3/2)</t>
  </si>
  <si>
    <t xml:space="preserve">"lámat-001"</t>
  </si>
  <si>
    <t xml:space="preserve">"lámat-002"</t>
  </si>
  <si>
    <t xml:space="preserve">DPHR: hůl.S4</t>
  </si>
  <si>
    <t xml:space="preserve">"lámat-003"</t>
  </si>
  <si>
    <t xml:space="preserve">DPHR: přes-1[koleno.S4]</t>
  </si>
  <si>
    <t xml:space="preserve">"lámat-004"</t>
  </si>
  <si>
    <t xml:space="preserve">Protagonist(ARG0/38)</t>
  </si>
  <si>
    <t xml:space="preserve">ACT-&gt;Protagonist(ARG0/38)</t>
  </si>
  <si>
    <t xml:space="preserve">DPHR: rekord.P4</t>
  </si>
  <si>
    <t xml:space="preserve">"lámat-005"</t>
  </si>
  <si>
    <t xml:space="preserve">"lámat-006"</t>
  </si>
  <si>
    <t xml:space="preserve">"lámat-se-001"</t>
  </si>
  <si>
    <t xml:space="preserve">?PAT: na+4; v+4</t>
  </si>
  <si>
    <t xml:space="preserve">"lámat-si-001"</t>
  </si>
  <si>
    <t xml:space="preserve">DPHR: hlava:4</t>
  </si>
  <si>
    <t xml:space="preserve">PAT: 7; s+7; ↓c; nad+7</t>
  </si>
  <si>
    <t xml:space="preserve">"létat-001"</t>
  </si>
  <si>
    <t xml:space="preserve">"létat-002"</t>
  </si>
  <si>
    <t xml:space="preserve">"létat-003"</t>
  </si>
  <si>
    <t xml:space="preserve">"létat-004"</t>
  </si>
  <si>
    <t xml:space="preserve">"létat-005"</t>
  </si>
  <si>
    <t xml:space="preserve">"létat-006"</t>
  </si>
  <si>
    <t xml:space="preserve">"lézt-001"</t>
  </si>
  <si>
    <t xml:space="preserve">"lézt-002"</t>
  </si>
  <si>
    <t xml:space="preserve">"lézt-003"</t>
  </si>
  <si>
    <t xml:space="preserve">DPHR: do-1[zelí.2]</t>
  </si>
  <si>
    <t xml:space="preserve">"lézt-004"</t>
  </si>
  <si>
    <t xml:space="preserve">"lézt-005"</t>
  </si>
  <si>
    <t xml:space="preserve">"léčit-001"</t>
  </si>
  <si>
    <t xml:space="preserve">Healer(ARG3/3), Undesirable(ARG1/5,ARG2/16)</t>
  </si>
  <si>
    <t xml:space="preserve">ACT-&gt;ARG3/3</t>
  </si>
  <si>
    <t xml:space="preserve">ACT-&gt;Healer</t>
  </si>
  <si>
    <t xml:space="preserve">ACT-&gt;Healer(ARG3/3)</t>
  </si>
  <si>
    <t xml:space="preserve">PAT-&gt;ARG1/5,ARG2/16</t>
  </si>
  <si>
    <t xml:space="preserve">PAT-&gt;Undesirable(ARG1/5,ARG2/16)</t>
  </si>
  <si>
    <t xml:space="preserve">"léčit-002"</t>
  </si>
  <si>
    <t xml:space="preserve">Helper(ARG0/2), Party_benefited(ARG1/6,ARG2/1), Undesirable(ARG2/3)</t>
  </si>
  <si>
    <t xml:space="preserve">ACT-&gt;Helper(ARG0/2)</t>
  </si>
  <si>
    <t xml:space="preserve">ADDR-&gt;ARG1/6,ARG2/1</t>
  </si>
  <si>
    <t xml:space="preserve">ADDR-&gt;Party_benefited(ARG1/6,ARG2/1)</t>
  </si>
  <si>
    <t xml:space="preserve">PAT-&gt;Undesirable(ARG2/3)</t>
  </si>
  <si>
    <t xml:space="preserve">"léčit-se-001"</t>
  </si>
  <si>
    <t xml:space="preserve">?PAT: na+4; z+2</t>
  </si>
  <si>
    <t xml:space="preserve">"líbat-001"</t>
  </si>
  <si>
    <t xml:space="preserve">"líbat-002"</t>
  </si>
  <si>
    <t xml:space="preserve">"líbit-se-001"</t>
  </si>
  <si>
    <t xml:space="preserve">PAT: 1; ↓že; .f; ↓c; ↓když</t>
  </si>
  <si>
    <t xml:space="preserve">"líhnout-se-001"</t>
  </si>
  <si>
    <t xml:space="preserve">"lísknout-001"</t>
  </si>
  <si>
    <t xml:space="preserve">"lít-001"</t>
  </si>
  <si>
    <t xml:space="preserve">"lít-002"</t>
  </si>
  <si>
    <t xml:space="preserve">"lít-003"</t>
  </si>
  <si>
    <t xml:space="preserve">"lít-004"</t>
  </si>
  <si>
    <t xml:space="preserve">DPHR: olovo.S4</t>
  </si>
  <si>
    <t xml:space="preserve">"lít-005"</t>
  </si>
  <si>
    <t xml:space="preserve">"lítat-001"</t>
  </si>
  <si>
    <t xml:space="preserve">"lítat-002"</t>
  </si>
  <si>
    <t xml:space="preserve">"lítat-003"</t>
  </si>
  <si>
    <t xml:space="preserve">"lítat-004"</t>
  </si>
  <si>
    <t xml:space="preserve">"lítat-005"</t>
  </si>
  <si>
    <t xml:space="preserve">"lítat-006"</t>
  </si>
  <si>
    <t xml:space="preserve">"lízat-001"</t>
  </si>
  <si>
    <t xml:space="preserve">"lízat-002"</t>
  </si>
  <si>
    <t xml:space="preserve">"lízat-003"</t>
  </si>
  <si>
    <t xml:space="preserve">"líznout-001"</t>
  </si>
  <si>
    <t xml:space="preserve">"líčit-001"</t>
  </si>
  <si>
    <t xml:space="preserve">PAT: 4; ↓že; ↓c; ↓jak-2</t>
  </si>
  <si>
    <t xml:space="preserve">Speaker(ARG0/12453,ARG1/38), Information(ARG0/4,ARG1/10918,ARG2/3,ARG3/29), Audience_Addressee(ARG1/2,ARG2/332)</t>
  </si>
  <si>
    <t xml:space="preserve">ACT-&gt;ARG0/12571,ARG1/38</t>
  </si>
  <si>
    <t xml:space="preserve">ACT-&gt;Speaker(ARG0/12453,ARG1/38)</t>
  </si>
  <si>
    <t xml:space="preserve">PAT-&gt;ARG0/4,ARG1/11096,ARG2/4,ARG3/29</t>
  </si>
  <si>
    <t xml:space="preserve">PAT-&gt;Information(ARG0/4,ARG1/10918,ARG2/3,ARG3/29)</t>
  </si>
  <si>
    <t xml:space="preserve">ADDR-&gt;ARG1/2,ARG2/332</t>
  </si>
  <si>
    <t xml:space="preserve">ADDR-&gt;Audience_Addressee(ARG1/2,ARG2/332)</t>
  </si>
  <si>
    <t xml:space="preserve">"líčit-002"</t>
  </si>
  <si>
    <t xml:space="preserve">"makat-001"</t>
  </si>
  <si>
    <t xml:space="preserve">"malovat-001"</t>
  </si>
  <si>
    <t xml:space="preserve">"malovat-002"</t>
  </si>
  <si>
    <t xml:space="preserve">PAT-&gt;ARG1/179,ARG2/156</t>
  </si>
  <si>
    <t xml:space="preserve">PAT[RSTR]-&gt;Judgment; PAT-&gt;Phenomenon</t>
  </si>
  <si>
    <t xml:space="preserve">PAT[RSTR]-&gt;Judgment(ARG1/3,ARG2/156); PAT-&gt;Phenomenon(ARG1/176)</t>
  </si>
  <si>
    <t xml:space="preserve">"malovat-003"</t>
  </si>
  <si>
    <t xml:space="preserve">"malovat-004"</t>
  </si>
  <si>
    <t xml:space="preserve">"manipulovat-001"</t>
  </si>
  <si>
    <t xml:space="preserve">ACT-&gt;ARG0/32</t>
  </si>
  <si>
    <t xml:space="preserve">PAT-&gt;ARG1/46</t>
  </si>
  <si>
    <t xml:space="preserve">"manipulovat-002"</t>
  </si>
  <si>
    <t xml:space="preserve">"manévrovat-001"</t>
  </si>
  <si>
    <t xml:space="preserve">Protagonist(ARG0/73,ARG1/64), Place(ARG1/88,ARG2/2)</t>
  </si>
  <si>
    <t xml:space="preserve">ACT-&gt;ARG0/73,ARG1/64</t>
  </si>
  <si>
    <t xml:space="preserve">ACT-&gt;Protagonist(ARG0/73,ARG1/64)</t>
  </si>
  <si>
    <t xml:space="preserve">LOC-&gt;ARG1/88,ARG2/2</t>
  </si>
  <si>
    <t xml:space="preserve">LOC-&gt;Place(ARG1/88,ARG2/2)</t>
  </si>
  <si>
    <t xml:space="preserve">"mapovat-001"</t>
  </si>
  <si>
    <t xml:space="preserve">ACT-&gt;ARG0/518,ARG1/4,ARG2/164</t>
  </si>
  <si>
    <t xml:space="preserve">PAT-&gt;ARG1/966,ARG2/13</t>
  </si>
  <si>
    <t xml:space="preserve">"marodit-001"</t>
  </si>
  <si>
    <t xml:space="preserve">"maskovat-001"</t>
  </si>
  <si>
    <t xml:space="preserve">"masírovat-001"</t>
  </si>
  <si>
    <t xml:space="preserve">"maturovat-001"</t>
  </si>
  <si>
    <t xml:space="preserve">"maximalizovat-001"</t>
  </si>
  <si>
    <t xml:space="preserve">Agent(), Entity(ARG1/7)</t>
  </si>
  <si>
    <t xml:space="preserve">PAT-&gt;Entity(ARG1/7)</t>
  </si>
  <si>
    <t xml:space="preserve">"mazat-001"</t>
  </si>
  <si>
    <t xml:space="preserve">"mazat-002"</t>
  </si>
  <si>
    <t xml:space="preserve">"mazlit-se-001"</t>
  </si>
  <si>
    <t xml:space="preserve">"mačkat-001"</t>
  </si>
  <si>
    <t xml:space="preserve">"mačkat-se-001"</t>
  </si>
  <si>
    <t xml:space="preserve">Protagonist(ARG0/18,ARG1/3,ARG2/2), Place(ARG1/11,ARG2/1)</t>
  </si>
  <si>
    <t xml:space="preserve">ACT-&gt;ARG0/18,ARG1/3,ARG2/2</t>
  </si>
  <si>
    <t xml:space="preserve">ACT-&gt;Protagonist(ARG0/18,ARG1/3,ARG2/2)</t>
  </si>
  <si>
    <t xml:space="preserve">LOC-&gt;ARG1/11,ARG2/1</t>
  </si>
  <si>
    <t xml:space="preserve">LOC-&gt;Place(ARG1/11,ARG2/1)</t>
  </si>
  <si>
    <t xml:space="preserve">"mačkat-se-002"</t>
  </si>
  <si>
    <t xml:space="preserve">"mařit-001"</t>
  </si>
  <si>
    <t xml:space="preserve">"mašinovat-001"</t>
  </si>
  <si>
    <t xml:space="preserve">"meditovat-001"</t>
  </si>
  <si>
    <t xml:space="preserve">PAT: o+6; nad+7; ↓že; ↓zda; ↓c; ↓jestli</t>
  </si>
  <si>
    <t xml:space="preserve">"metabolizovat-001"</t>
  </si>
  <si>
    <t xml:space="preserve">"metat-001"</t>
  </si>
  <si>
    <t xml:space="preserve">DPHR: kozelec.S4</t>
  </si>
  <si>
    <t xml:space="preserve">"mhouřit-001"</t>
  </si>
  <si>
    <t xml:space="preserve">"migrovat-001"</t>
  </si>
  <si>
    <t xml:space="preserve">Protagonist(ARG0/25,ARG1/2), Place(ARG2/2)</t>
  </si>
  <si>
    <t xml:space="preserve">ACT-&gt;ARG0/25,ARG1/2</t>
  </si>
  <si>
    <t xml:space="preserve">ACT-&gt;Protagonist(ARG0/25,ARG1/2)</t>
  </si>
  <si>
    <t xml:space="preserve">PAT-&gt;Place</t>
  </si>
  <si>
    <t xml:space="preserve">PAT-&gt;Place(ARG2/2)</t>
  </si>
  <si>
    <t xml:space="preserve">"migrovat-002"</t>
  </si>
  <si>
    <t xml:space="preserve">"mihnout-se-001"</t>
  </si>
  <si>
    <t xml:space="preserve">Emerging(ARG1/127), Place()</t>
  </si>
  <si>
    <t xml:space="preserve">Emerging(ARG1/17)</t>
  </si>
  <si>
    <t xml:space="preserve">ACT-&gt;ARG1/144</t>
  </si>
  <si>
    <t xml:space="preserve">ACT-&gt;Emerging(ARG1/127)</t>
  </si>
  <si>
    <t xml:space="preserve">ACT-&gt;Emerging(ARG1/17)</t>
  </si>
  <si>
    <t xml:space="preserve">"milovat-001"</t>
  </si>
  <si>
    <t xml:space="preserve">Attitudal(ARG0/19), Affected(ARG1/24)</t>
  </si>
  <si>
    <t xml:space="preserve">ACT-&gt;ARG0/19</t>
  </si>
  <si>
    <t xml:space="preserve">ACT-&gt;Attitudal(ARG0/19)</t>
  </si>
  <si>
    <t xml:space="preserve">PAT-&gt;Affected(ARG1/24)</t>
  </si>
  <si>
    <t xml:space="preserve">"minimalizovat-001"</t>
  </si>
  <si>
    <t xml:space="preserve">Agent(ARG0/1), Item(ARG1/12), Difference(), Value_final(), Value_initial()</t>
  </si>
  <si>
    <t xml:space="preserve">PAT-&gt;Item(ARG1/12)</t>
  </si>
  <si>
    <t xml:space="preserve">"ministrovat-001"</t>
  </si>
  <si>
    <t xml:space="preserve">"minout-001"</t>
  </si>
  <si>
    <t xml:space="preserve">Affector(ARG0/6), Targeted(ARG1/7)</t>
  </si>
  <si>
    <t xml:space="preserve">ACT-&gt;Affector(ARG0/6)</t>
  </si>
  <si>
    <t xml:space="preserve">PAT-&gt;Targeted(ARG1/7)</t>
  </si>
  <si>
    <t xml:space="preserve">"minout-002"</t>
  </si>
  <si>
    <t xml:space="preserve">"minout-003"</t>
  </si>
  <si>
    <t xml:space="preserve">"minout-se-001"</t>
  </si>
  <si>
    <t xml:space="preserve">"mistrovat-001"</t>
  </si>
  <si>
    <t xml:space="preserve">"mizet-001"</t>
  </si>
  <si>
    <t xml:space="preserve">Disappeared(ARG1/34)</t>
  </si>
  <si>
    <t xml:space="preserve">ACT-&gt;ARG1/34</t>
  </si>
  <si>
    <t xml:space="preserve">ACT-&gt;Disappeared</t>
  </si>
  <si>
    <t xml:space="preserve">ACT-&gt;Disappeared(ARG1/34)</t>
  </si>
  <si>
    <t xml:space="preserve">"mizet-002"</t>
  </si>
  <si>
    <t xml:space="preserve">DIR1: </t>
  </si>
  <si>
    <t xml:space="preserve">"mluvit-001"</t>
  </si>
  <si>
    <t xml:space="preserve">"mluvit-002"</t>
  </si>
  <si>
    <t xml:space="preserve">PAT: o+6; na-1[téma.4]; ↓jestli; .s</t>
  </si>
  <si>
    <t xml:space="preserve">"mluvit-003"</t>
  </si>
  <si>
    <t xml:space="preserve">PAT: o+6; .s</t>
  </si>
  <si>
    <t xml:space="preserve">"mluvit-004"</t>
  </si>
  <si>
    <t xml:space="preserve">"mluvit-005"</t>
  </si>
  <si>
    <t xml:space="preserve">"mluvit-006"</t>
  </si>
  <si>
    <t xml:space="preserve">"mluvit-007"</t>
  </si>
  <si>
    <t xml:space="preserve">PAT: pro+4; proti+3; {neprospěch,prospěch}.S4/AuxP[v-1,.2]; v-1[{prospěch,neprospěch}.S4[.u#]]</t>
  </si>
  <si>
    <t xml:space="preserve">"mluvit-008"</t>
  </si>
  <si>
    <t xml:space="preserve">PAT: za+4; místo+2</t>
  </si>
  <si>
    <t xml:space="preserve">"mluvit-009"</t>
  </si>
  <si>
    <t xml:space="preserve">"mluvit-010"</t>
  </si>
  <si>
    <t xml:space="preserve">DPHR: do-1[duše.S2]</t>
  </si>
  <si>
    <t xml:space="preserve">"mluvit-011"</t>
  </si>
  <si>
    <t xml:space="preserve">"mluvit-012"</t>
  </si>
  <si>
    <t xml:space="preserve">"mluvit-013"</t>
  </si>
  <si>
    <t xml:space="preserve">"mlátit-001"</t>
  </si>
  <si>
    <t xml:space="preserve">"mlátit-002"</t>
  </si>
  <si>
    <t xml:space="preserve">"mlátit-003"</t>
  </si>
  <si>
    <t xml:space="preserve">"mlátit-004"</t>
  </si>
  <si>
    <t xml:space="preserve">DPHR: pusa.S7</t>
  </si>
  <si>
    <t xml:space="preserve">"mlátit-005"</t>
  </si>
  <si>
    <t xml:space="preserve">"mlít-001"</t>
  </si>
  <si>
    <t xml:space="preserve">"mlít-002"</t>
  </si>
  <si>
    <t xml:space="preserve">"mlčet-001"</t>
  </si>
  <si>
    <t xml:space="preserve">"mlžit-001"</t>
  </si>
  <si>
    <t xml:space="preserve">ACT-&gt;ARG0/13,ARG2/3</t>
  </si>
  <si>
    <t xml:space="preserve">PAT-&gt;ARG0/2,ARG1/45</t>
  </si>
  <si>
    <t xml:space="preserve">"mnout-001"</t>
  </si>
  <si>
    <t xml:space="preserve">"množit-001"</t>
  </si>
  <si>
    <t xml:space="preserve">"množit-se-001"</t>
  </si>
  <si>
    <t xml:space="preserve">"mobilizovat-001"</t>
  </si>
  <si>
    <t xml:space="preserve">"mobilizovat-002"</t>
  </si>
  <si>
    <t xml:space="preserve">Authority(ARG0/20), Undergoer(ARG1/30), Goal()</t>
  </si>
  <si>
    <t xml:space="preserve">ACT-&gt;ARG0/20</t>
  </si>
  <si>
    <t xml:space="preserve">ACT-&gt;Authority(ARG0/20)</t>
  </si>
  <si>
    <t xml:space="preserve">PAT-&gt;ARG1/30</t>
  </si>
  <si>
    <t xml:space="preserve">PAT-&gt;Undergoer(ARG1/30)</t>
  </si>
  <si>
    <t xml:space="preserve">"moci-001"</t>
  </si>
  <si>
    <t xml:space="preserve">"moci-002"</t>
  </si>
  <si>
    <t xml:space="preserve">Agent(ARG0/267,ARG1/1), Action(ARG0/1,ARG1/306)</t>
  </si>
  <si>
    <t xml:space="preserve">ACT-&gt;ARG0/267,ARG1/1</t>
  </si>
  <si>
    <t xml:space="preserve">ACT-&gt;Agent(ARG0/267,ARG1/1)</t>
  </si>
  <si>
    <t xml:space="preserve">PAT-&gt;ARG0/1,ARG1/306</t>
  </si>
  <si>
    <t xml:space="preserve">PAT-&gt;Action(ARG0/1,ARG1/306)</t>
  </si>
  <si>
    <t xml:space="preserve">"moci-003"</t>
  </si>
  <si>
    <t xml:space="preserve">"moci-004"</t>
  </si>
  <si>
    <t xml:space="preserve">"moci-si-001"</t>
  </si>
  <si>
    <t xml:space="preserve">"modelovat-001"</t>
  </si>
  <si>
    <t xml:space="preserve">ACT-&gt;ARG0/723,ARG1/8,ARG2/3</t>
  </si>
  <si>
    <t xml:space="preserve">PAT-&gt;ARG1/1203,ARG2/4,ARG3/1,ARG4/5</t>
  </si>
  <si>
    <t xml:space="preserve">PAT-&gt;Created(ARG2/4)</t>
  </si>
  <si>
    <t xml:space="preserve">ORIG-&gt;ARG1/14,ARG2/41</t>
  </si>
  <si>
    <t xml:space="preserve">ORIG-&gt;Resource</t>
  </si>
  <si>
    <t xml:space="preserve">ORIG-&gt;Resource(ARG1/13)</t>
  </si>
  <si>
    <t xml:space="preserve">"modernizovat-001"</t>
  </si>
  <si>
    <t xml:space="preserve">"moderovat-001"</t>
  </si>
  <si>
    <t xml:space="preserve">"modifikovat-001"</t>
  </si>
  <si>
    <t xml:space="preserve">"modlit-se-001"</t>
  </si>
  <si>
    <t xml:space="preserve">Speaker(ARG0/643), Communicated(ARG1/669,ARG2/3), Party_benefited(), Authority(ARG1/8,ARG2/3)</t>
  </si>
  <si>
    <t xml:space="preserve">ACT-&gt;ARG0/643</t>
  </si>
  <si>
    <t xml:space="preserve">ACT-&gt;Speaker(ARG0/643)</t>
  </si>
  <si>
    <t xml:space="preserve">PAT-&gt;ARG1/669,ARG2/3</t>
  </si>
  <si>
    <t xml:space="preserve">PAT-&gt;Communicated(ARG1/669,ARG2/3)</t>
  </si>
  <si>
    <t xml:space="preserve">EFF-&gt;Party_benefited</t>
  </si>
  <si>
    <t xml:space="preserve">EFF-&gt;Party_benefited()</t>
  </si>
  <si>
    <t xml:space="preserve">"modulovat-001"</t>
  </si>
  <si>
    <t xml:space="preserve">"monitorovat-001"</t>
  </si>
  <si>
    <t xml:space="preserve">ACT-&gt;ARG0/129</t>
  </si>
  <si>
    <t xml:space="preserve">PAT-&gt;ARG1/188,ARG2/6</t>
  </si>
  <si>
    <t xml:space="preserve">"monopolizovat-001"</t>
  </si>
  <si>
    <t xml:space="preserve">Authority(), Affected()</t>
  </si>
  <si>
    <t xml:space="preserve">PAT-&gt;Affected()</t>
  </si>
  <si>
    <t xml:space="preserve">"montovat-001"</t>
  </si>
  <si>
    <t xml:space="preserve">ORIG-&gt;ARG1/1,ARG2/38</t>
  </si>
  <si>
    <t xml:space="preserve">"monumentalizovat-001"</t>
  </si>
  <si>
    <t xml:space="preserve">"mordovat-001"</t>
  </si>
  <si>
    <t xml:space="preserve">"motat-se-001"</t>
  </si>
  <si>
    <t xml:space="preserve">"motat-se-002"</t>
  </si>
  <si>
    <t xml:space="preserve">"motat-se-003"</t>
  </si>
  <si>
    <t xml:space="preserve">"motivovat-001"</t>
  </si>
  <si>
    <t xml:space="preserve">Stimulus(), Effect()</t>
  </si>
  <si>
    <t xml:space="preserve">PAT-&gt;Effect</t>
  </si>
  <si>
    <t xml:space="preserve">PAT-&gt;Effect()</t>
  </si>
  <si>
    <t xml:space="preserve">"motivovat-002"</t>
  </si>
  <si>
    <t xml:space="preserve">?PAT: k+3; do+2; na+6; .f; ↓aby</t>
  </si>
  <si>
    <t xml:space="preserve">"močit-001"</t>
  </si>
  <si>
    <t xml:space="preserve">"mrazit-001"</t>
  </si>
  <si>
    <t xml:space="preserve">"mračit-se-001"</t>
  </si>
  <si>
    <t xml:space="preserve">Attitudal(ARG0/2), Reason()</t>
  </si>
  <si>
    <t xml:space="preserve">"mračit-se-002"</t>
  </si>
  <si>
    <t xml:space="preserve">"mrkat-001"</t>
  </si>
  <si>
    <t xml:space="preserve">"mrknout-001"</t>
  </si>
  <si>
    <t xml:space="preserve">"--mrknout-002"</t>
  </si>
  <si>
    <t xml:space="preserve">"mrskat-se-001"</t>
  </si>
  <si>
    <t xml:space="preserve">"mrzet-001"</t>
  </si>
  <si>
    <t xml:space="preserve">"mrznout-001"</t>
  </si>
  <si>
    <t xml:space="preserve">"mrznout-002"</t>
  </si>
  <si>
    <t xml:space="preserve">"mrštit-001"</t>
  </si>
  <si>
    <t xml:space="preserve">"mstít-se-001"</t>
  </si>
  <si>
    <t xml:space="preserve">PAT: 3; na+6</t>
  </si>
  <si>
    <t xml:space="preserve">"--muknout-001"</t>
  </si>
  <si>
    <t xml:space="preserve">"muknout-002"</t>
  </si>
  <si>
    <t xml:space="preserve">"mumlat-si-001"</t>
  </si>
  <si>
    <t xml:space="preserve">"muset-001"</t>
  </si>
  <si>
    <t xml:space="preserve">"muset-002"</t>
  </si>
  <si>
    <t xml:space="preserve">"mučit-001"</t>
  </si>
  <si>
    <t xml:space="preserve">Perpetrator(ARG0/3), Victim(ARG1/3,ARG2/1)</t>
  </si>
  <si>
    <t xml:space="preserve">ACT-&gt;Perpetrator(ARG0/3)</t>
  </si>
  <si>
    <t xml:space="preserve">PAT-&gt;ARG1/14,ARG2/1</t>
  </si>
  <si>
    <t xml:space="preserve">PAT-&gt;Victim(ARG1/3,ARG2/1)</t>
  </si>
  <si>
    <t xml:space="preserve">"mydlit-001"</t>
  </si>
  <si>
    <t xml:space="preserve">"mydlit-002"</t>
  </si>
  <si>
    <t xml:space="preserve">"myslet-001"</t>
  </si>
  <si>
    <t xml:space="preserve">"myslet-002"</t>
  </si>
  <si>
    <t xml:space="preserve">"myslet-003"</t>
  </si>
  <si>
    <t xml:space="preserve">EFF: 4; ↓že; ↓jestli; .s; ↓c</t>
  </si>
  <si>
    <t xml:space="preserve">"myslet-004"</t>
  </si>
  <si>
    <t xml:space="preserve">EFF: 4; ↓že; ↓c; ↓jestli</t>
  </si>
  <si>
    <t xml:space="preserve">?PAT: 7; pod+7</t>
  </si>
  <si>
    <t xml:space="preserve">"myslet-005"</t>
  </si>
  <si>
    <t xml:space="preserve">Thinker(ARG0/8)</t>
  </si>
  <si>
    <t xml:space="preserve">ACT-&gt;Thinker(ARG0/8)</t>
  </si>
  <si>
    <t xml:space="preserve">"myslet-006"</t>
  </si>
  <si>
    <t xml:space="preserve">"myslet-si-001"</t>
  </si>
  <si>
    <t xml:space="preserve">Thinker(ARG0/180), Phenomenon(ARG1/214)</t>
  </si>
  <si>
    <t xml:space="preserve">ACT-&gt;ARG0/180</t>
  </si>
  <si>
    <t xml:space="preserve">ACT-&gt;Thinker(ARG0/180)</t>
  </si>
  <si>
    <t xml:space="preserve">PAT-&gt;ARG1/214</t>
  </si>
  <si>
    <t xml:space="preserve">PAT-&gt;Phenomenon(ARG1/214)</t>
  </si>
  <si>
    <t xml:space="preserve">"myslet-si-002"</t>
  </si>
  <si>
    <t xml:space="preserve">EFF: 4; ↓že; ↓zda; .s; ↓c</t>
  </si>
  <si>
    <t xml:space="preserve">"myslet-si-003"</t>
  </si>
  <si>
    <t xml:space="preserve">"myslit-001"</t>
  </si>
  <si>
    <t xml:space="preserve">"myslit-002"</t>
  </si>
  <si>
    <t xml:space="preserve">"myslit-003"</t>
  </si>
  <si>
    <t xml:space="preserve">EFF: 4; ↓že; .s; ↓c</t>
  </si>
  <si>
    <t xml:space="preserve">"myslit-004"</t>
  </si>
  <si>
    <t xml:space="preserve">EFF: 4; ↓že; ↓c</t>
  </si>
  <si>
    <t xml:space="preserve">"myslit-005"</t>
  </si>
  <si>
    <t xml:space="preserve">"myslit-006"</t>
  </si>
  <si>
    <t xml:space="preserve">"myslit-si-001"</t>
  </si>
  <si>
    <t xml:space="preserve">"myslit-si-002"</t>
  </si>
  <si>
    <t xml:space="preserve">"myslit-si-003"</t>
  </si>
  <si>
    <t xml:space="preserve">"máchat-001"</t>
  </si>
  <si>
    <t xml:space="preserve">Attitudal(ARG0/13), Instrument(ARG1/13), Party_benefited(ARG2/7)</t>
  </si>
  <si>
    <t xml:space="preserve">Agent(ARG0/7), Instrument(ARG1/9)</t>
  </si>
  <si>
    <t xml:space="preserve">ACT-&gt;Attitudal(ARG0/13)</t>
  </si>
  <si>
    <t xml:space="preserve">PAT-&gt;ARG1/22</t>
  </si>
  <si>
    <t xml:space="preserve">PAT-&gt;Instrument(ARG1/13)</t>
  </si>
  <si>
    <t xml:space="preserve">PAT-&gt;Instrument(ARG1/9)</t>
  </si>
  <si>
    <t xml:space="preserve">ADDR-&gt;ARG2/7</t>
  </si>
  <si>
    <t xml:space="preserve">ADDR-&gt;Party_benefited(ARG2/7)</t>
  </si>
  <si>
    <t xml:space="preserve">"máchat-002"</t>
  </si>
  <si>
    <t xml:space="preserve">"máchat-se-001"</t>
  </si>
  <si>
    <t xml:space="preserve">"máchnout-001"</t>
  </si>
  <si>
    <t xml:space="preserve">"mást-001"</t>
  </si>
  <si>
    <t xml:space="preserve">"mávat-001"</t>
  </si>
  <si>
    <t xml:space="preserve">?ADDR: na+4; 3</t>
  </si>
  <si>
    <t xml:space="preserve">"mávat-002"</t>
  </si>
  <si>
    <t xml:space="preserve">"mávnout-001"</t>
  </si>
  <si>
    <t xml:space="preserve">?ADDR: 3; na+4</t>
  </si>
  <si>
    <t xml:space="preserve">"máčet-001"</t>
  </si>
  <si>
    <t xml:space="preserve">"mést-001"</t>
  </si>
  <si>
    <t xml:space="preserve">"míchat-001"</t>
  </si>
  <si>
    <t xml:space="preserve">Created(ARG1/296), Creator(ARG0/215,ARG1/3), Resource(ARG2/2)</t>
  </si>
  <si>
    <t xml:space="preserve">ACT-&gt;ARG0/215,ARG1/3</t>
  </si>
  <si>
    <t xml:space="preserve">ACT-&gt;Creator(ARG0/215,ARG1/3)</t>
  </si>
  <si>
    <t xml:space="preserve">PAT-&gt;ARG1/296</t>
  </si>
  <si>
    <t xml:space="preserve">PAT-&gt;Created(ARG1/296)</t>
  </si>
  <si>
    <t xml:space="preserve">ORIG-&gt;ARG2/2</t>
  </si>
  <si>
    <t xml:space="preserve">ORIG-&gt;Resource(ARG2/2)</t>
  </si>
  <si>
    <t xml:space="preserve">"míchat-002"</t>
  </si>
  <si>
    <t xml:space="preserve">"míchat-003"</t>
  </si>
  <si>
    <t xml:space="preserve">"míchat-004"</t>
  </si>
  <si>
    <t xml:space="preserve">"míchat-005"</t>
  </si>
  <si>
    <t xml:space="preserve">PAT: 4; 7; s+7</t>
  </si>
  <si>
    <t xml:space="preserve">"míchat-006"</t>
  </si>
  <si>
    <t xml:space="preserve">"míchat-007"</t>
  </si>
  <si>
    <t xml:space="preserve">DPHR: pátý:NS4,přes-1[devátý:NS4]</t>
  </si>
  <si>
    <t xml:space="preserve">"míchat-se-001"</t>
  </si>
  <si>
    <t xml:space="preserve">Influencing(ARG0/17,ARG1/1), Influenced(ARG1/5,ARG2/36)</t>
  </si>
  <si>
    <t xml:space="preserve">ACT-&gt;ARG0/19,ARG1/1</t>
  </si>
  <si>
    <t xml:space="preserve">ACT-&gt;Influencing(ARG0/17,ARG1/1)</t>
  </si>
  <si>
    <t xml:space="preserve">PAT-&gt;ARG1/14,ARG2/36</t>
  </si>
  <si>
    <t xml:space="preserve">PAT-&gt;Influenced(ARG1/5,ARG2/36)</t>
  </si>
  <si>
    <t xml:space="preserve">"míchat-se-002"</t>
  </si>
  <si>
    <t xml:space="preserve">"míhat-se-001"</t>
  </si>
  <si>
    <t xml:space="preserve">"míjet-001"</t>
  </si>
  <si>
    <t xml:space="preserve">"míjet-002"</t>
  </si>
  <si>
    <t xml:space="preserve">"míjet-003"</t>
  </si>
  <si>
    <t xml:space="preserve">"míjet-se-001"</t>
  </si>
  <si>
    <t xml:space="preserve">"--míjet-se-002"</t>
  </si>
  <si>
    <t xml:space="preserve">"mínit-001"</t>
  </si>
  <si>
    <t xml:space="preserve">Authority(ARG0/85), Planned(ARG1/113,ARG2/4), Phenomenon()</t>
  </si>
  <si>
    <t xml:space="preserve">ACT-&gt;ARG0/85</t>
  </si>
  <si>
    <t xml:space="preserve">ACT-&gt;Authority(ARG0/85)</t>
  </si>
  <si>
    <t xml:space="preserve">PAT-&gt;ARG1/113,ARG2/4</t>
  </si>
  <si>
    <t xml:space="preserve">PAT-&gt;Planned(ARG1/113,ARG2/4)</t>
  </si>
  <si>
    <t xml:space="preserve">EFF: .a4[{jako,jakožto}:/AuxY]</t>
  </si>
  <si>
    <t xml:space="preserve">EFF-&gt;Phenomenon</t>
  </si>
  <si>
    <t xml:space="preserve">EFF-&gt;Phenomenon()</t>
  </si>
  <si>
    <t xml:space="preserve">"mínit-002"</t>
  </si>
  <si>
    <t xml:space="preserve">#alt(MANN,ACMP,CRIT,CPR)-&gt;Phenomenon</t>
  </si>
  <si>
    <t xml:space="preserve">#alt(MANN,ACMP,CRIT,CPR)-&gt;Phenomenon()</t>
  </si>
  <si>
    <t xml:space="preserve">"mínit-003"</t>
  </si>
  <si>
    <t xml:space="preserve">ACT-&gt;ARG0/406,ARG1/7</t>
  </si>
  <si>
    <t xml:space="preserve">ACT-&gt;Agent(ARG0/406,ARG1/7)</t>
  </si>
  <si>
    <t xml:space="preserve">PAT-&gt;ARG1/438,ARG2/51</t>
  </si>
  <si>
    <t xml:space="preserve">PAT-&gt;Planned(ARG1/438,ARG2/51)</t>
  </si>
  <si>
    <t xml:space="preserve">"mínit-004"</t>
  </si>
  <si>
    <t xml:space="preserve">"mínit-005"</t>
  </si>
  <si>
    <t xml:space="preserve">"mínit-006"</t>
  </si>
  <si>
    <t xml:space="preserve">EFF: k+3; na+4</t>
  </si>
  <si>
    <t xml:space="preserve">"mírnit-001"</t>
  </si>
  <si>
    <t xml:space="preserve">Agent(ARG0/84,ARG1/1), Enforced(ARG1/176)</t>
  </si>
  <si>
    <t xml:space="preserve">ACT-&gt;Agent(ARG0/84,ARG1/1)</t>
  </si>
  <si>
    <t xml:space="preserve">PAT-&gt;ARG1/193</t>
  </si>
  <si>
    <t xml:space="preserve">PAT-&gt;Enforced</t>
  </si>
  <si>
    <t xml:space="preserve">PAT-&gt;Enforced(ARG1/176)</t>
  </si>
  <si>
    <t xml:space="preserve">"mírnit-se-001"</t>
  </si>
  <si>
    <t xml:space="preserve">"mírnit-se-002"</t>
  </si>
  <si>
    <t xml:space="preserve">"mísit-001"</t>
  </si>
  <si>
    <t xml:space="preserve">"mísit-002"</t>
  </si>
  <si>
    <t xml:space="preserve">"mísit-se-001"</t>
  </si>
  <si>
    <t xml:space="preserve">"mísit-se-002"</t>
  </si>
  <si>
    <t xml:space="preserve">"mít-001"</t>
  </si>
  <si>
    <t xml:space="preserve">"mít-002"</t>
  </si>
  <si>
    <t xml:space="preserve">"mít-003"</t>
  </si>
  <si>
    <t xml:space="preserve">"mít-004"</t>
  </si>
  <si>
    <t xml:space="preserve">EFF: za+4; jako[.4]</t>
  </si>
  <si>
    <t xml:space="preserve">"mít-005"</t>
  </si>
  <si>
    <t xml:space="preserve">EFF: 4; 7; zdarma; zadarmo</t>
  </si>
  <si>
    <t xml:space="preserve">"mít-006"</t>
  </si>
  <si>
    <t xml:space="preserve">ALT-LOC: =</t>
  </si>
  <si>
    <t xml:space="preserve">"mít-007"</t>
  </si>
  <si>
    <t xml:space="preserve">"mít-008"</t>
  </si>
  <si>
    <t xml:space="preserve">"mít-009"</t>
  </si>
  <si>
    <t xml:space="preserve">"mít-010"</t>
  </si>
  <si>
    <t xml:space="preserve">PAT: .f; ↓c</t>
  </si>
  <si>
    <t xml:space="preserve">"mít-011"</t>
  </si>
  <si>
    <t xml:space="preserve">"mít-012"</t>
  </si>
  <si>
    <t xml:space="preserve">"mít-013"</t>
  </si>
  <si>
    <t xml:space="preserve">PAT: před+7; po+6</t>
  </si>
  <si>
    <t xml:space="preserve">"mít-014"</t>
  </si>
  <si>
    <t xml:space="preserve">"mít-015"</t>
  </si>
  <si>
    <t xml:space="preserve">"mít-016"</t>
  </si>
  <si>
    <t xml:space="preserve">CPHR: {podpora,pověření,...}.4</t>
  </si>
  <si>
    <t xml:space="preserve">"mít-017"</t>
  </si>
  <si>
    <t xml:space="preserve">CPHR: {důvěra,privilegium,respekt,úcta,zastání,...}.4</t>
  </si>
  <si>
    <t xml:space="preserve">"mít-018"</t>
  </si>
  <si>
    <t xml:space="preserve">ACT: 1; .f; ↓že; ↓aby</t>
  </si>
  <si>
    <t xml:space="preserve">CPHR: {cena-1,smysl,význam,...}.4</t>
  </si>
  <si>
    <t xml:space="preserve">"mít-019"</t>
  </si>
  <si>
    <t xml:space="preserve">CPHR: {důsledek,následek,...}.4</t>
  </si>
  <si>
    <t xml:space="preserve">"mít-020"</t>
  </si>
  <si>
    <t xml:space="preserve">CPHR: {dohled,dozor,...}.4</t>
  </si>
  <si>
    <t xml:space="preserve">"mít-021"</t>
  </si>
  <si>
    <t xml:space="preserve">CPHR: {důvod,motivace,opodstatnění,podklad,prostor,příležitost,uplatnění,záminka,...}.4</t>
  </si>
  <si>
    <t xml:space="preserve">"mít-022"</t>
  </si>
  <si>
    <t xml:space="preserve">CPHR: {námitka,něco,nic,předsudek,stížnost,výhrada,...}.4; {námitka,něco,nic,předsudek,stížnost,výhrada,...}.2</t>
  </si>
  <si>
    <t xml:space="preserve">"mít-023"</t>
  </si>
  <si>
    <t xml:space="preserve">CPHR: {převaha,...}.4</t>
  </si>
  <si>
    <t xml:space="preserve">"mít-024"</t>
  </si>
  <si>
    <t xml:space="preserve">CPHR: {láska,poměr,přátelství,sblížení,víra,vztah,...}.4</t>
  </si>
  <si>
    <t xml:space="preserve">"mít-025"</t>
  </si>
  <si>
    <t xml:space="preserve">CPHR: {nadání,zájem,...}.4</t>
  </si>
  <si>
    <t xml:space="preserve">"mít-026"</t>
  </si>
  <si>
    <t xml:space="preserve">CPHR: {garance,krytí,pojištění,splatnost,záruka,...}.4</t>
  </si>
  <si>
    <t xml:space="preserve">"mít-027"</t>
  </si>
  <si>
    <t xml:space="preserve">CPHR: {aspekt,...}.4</t>
  </si>
  <si>
    <t xml:space="preserve">"mít-028"</t>
  </si>
  <si>
    <t xml:space="preserve">CPHR: {ambice,cíl,čas,čest,dovednost,chování,chuť,investice,kapacita,komplex,mluva,monopol,mechanismus,motivace,možnost,naděje,odlišení,odvaha,oprávnění,perspektiva,pocit,pochybnost,ponětí,potenciál,potřeba,povědomí,pověst,povinnost,poznatek,právo,pravomoc,představa,přesvědčení,přístup,řešení,sen,slabina,schopnost,síla,sklon,snaha,šance,touha,tréma,tušení,úkol,vyhlídka,záměr,závazek,zastoupení,znalost,...}.4; zapotřebí</t>
  </si>
  <si>
    <t xml:space="preserve">"mít-029"</t>
  </si>
  <si>
    <t xml:space="preserve">CPHR: {bonita,cena,deficit,dluh,hodnota,kurz,likvidita,míra,náklad,obrat,ohodnocení,podíl,prospěch,přebytek,příděl,příjem,rezerva,sazba,škoda,tržba,výdaj,výdělek,výnos,zisk,ztráta,zvýšení}.4</t>
  </si>
  <si>
    <t xml:space="preserve">"mít-030"</t>
  </si>
  <si>
    <t xml:space="preserve">CPHR: {dohoda,kamarádšoft,kontakt,setkání,sešlost,schůzka,smlouva,spojení,spolupráce,styk,sraz,známost,...}.4</t>
  </si>
  <si>
    <t xml:space="preserve">"mít-031"</t>
  </si>
  <si>
    <t xml:space="preserve">CPHR: {dojem,fobie,hrůza,legrace,nálada,obava,potěšení,psina,radost,starost,strach,vjem,vzpomínka,vztek,zábava,zášť,zážitek,...}.4</t>
  </si>
  <si>
    <t xml:space="preserve">"mít-032"</t>
  </si>
  <si>
    <t xml:space="preserve">CPHR: {dopad,efekt,nárok,platnost,požadavek,účinek,vliv,...}.4</t>
  </si>
  <si>
    <t xml:space="preserve">"mít-033"</t>
  </si>
  <si>
    <t xml:space="preserve">CPHR: {důvěra,náskok,nedůvěra,porozumění,priorita,přednost,respekt,...}.4</t>
  </si>
  <si>
    <t xml:space="preserve">"mít-034"</t>
  </si>
  <si>
    <t xml:space="preserve">CPHR: {funkce,odpovědnost,služba,zodpovědnost,způsobilost,...}.4</t>
  </si>
  <si>
    <t xml:space="preserve">"mít-035"</t>
  </si>
  <si>
    <t xml:space="preserve">CPHR: {hovor,...}.4</t>
  </si>
  <si>
    <t xml:space="preserve">"mít-036"</t>
  </si>
  <si>
    <t xml:space="preserve">CPHR: {jistota,volba,volnost,výběr,změna,...}.4</t>
  </si>
  <si>
    <t xml:space="preserve">"mít-037"</t>
  </si>
  <si>
    <t xml:space="preserve">CPHR: {kontrola,...}.4</t>
  </si>
  <si>
    <t xml:space="preserve">"mít-038"</t>
  </si>
  <si>
    <t xml:space="preserve">CPHR: {dilema,malér,megaproblém,nepříjemnost,obtíž,potíž,problém,průser,průšvih,pře,spor,střet,těžkost,trampota,...}.4</t>
  </si>
  <si>
    <t xml:space="preserve">"mít-039"</t>
  </si>
  <si>
    <t xml:space="preserve">CPHR: {mínění,názor,pohled,postoj,...}.4</t>
  </si>
  <si>
    <t xml:space="preserve">"mít-040"</t>
  </si>
  <si>
    <t xml:space="preserve">CPHR: {kvalifikaci,moc,smůla,štěstí,úděl,úspěch,výcvik,vzdělání,...}.4; 2</t>
  </si>
  <si>
    <t xml:space="preserve">"mít-041"</t>
  </si>
  <si>
    <t xml:space="preserve">CPHR: {dotaz,komentář,megaotázka,myšlenka,nápad,návrh,otázka,poznámka,připomínka,...}.4</t>
  </si>
  <si>
    <t xml:space="preserve">"mít-042"</t>
  </si>
  <si>
    <t xml:space="preserve">CPHR: {hendikep,nevýhoda,omezení,pád,výhoda,výjimka,...}.4</t>
  </si>
  <si>
    <t xml:space="preserve">"mít-043"</t>
  </si>
  <si>
    <t xml:space="preserve">CPHR: {plán,pravděpodobnost,předpoklad,sklon,strategie,šance,tendence,...}.4</t>
  </si>
  <si>
    <t xml:space="preserve">"mít-044"</t>
  </si>
  <si>
    <t xml:space="preserve">CPHR: {pochopení,slitování,strpení,trpělivost,...}.4</t>
  </si>
  <si>
    <t xml:space="preserve">"mít-045"</t>
  </si>
  <si>
    <t xml:space="preserve">CPHR: {podezření,...}.4</t>
  </si>
  <si>
    <t xml:space="preserve">"mít-046"</t>
  </si>
  <si>
    <t xml:space="preserve">CPHR: {alternativa,mezera,nadšení,nedostatek,podíl,přání,smysl,styl,talent,účast,uplatnění,vina,vloha,výčitka,význam,zaměření,zásluha,...}.4</t>
  </si>
  <si>
    <t xml:space="preserve">"mít-047"</t>
  </si>
  <si>
    <t xml:space="preserve">CPHR: {postoj,...}.4</t>
  </si>
  <si>
    <t xml:space="preserve">"mít-048"</t>
  </si>
  <si>
    <t xml:space="preserve">CPHR: {přínos,...}.4</t>
  </si>
  <si>
    <t xml:space="preserve">"mít-049"</t>
  </si>
  <si>
    <t xml:space="preserve">CPHR: {prospěch,užitek,...}.4</t>
  </si>
  <si>
    <t xml:space="preserve">"mít-050"</t>
  </si>
  <si>
    <t xml:space="preserve">CPHR: {původ,...}.4</t>
  </si>
  <si>
    <t xml:space="preserve">"mít-051"</t>
  </si>
  <si>
    <t xml:space="preserve">CPHR: {rest,úkol,...}.4</t>
  </si>
  <si>
    <t xml:space="preserve">"mít-052"</t>
  </si>
  <si>
    <t xml:space="preserve">CPHR: {místo,postavení,pozice,role,úloha,...}.4</t>
  </si>
  <si>
    <t xml:space="preserve">"mít-053"</t>
  </si>
  <si>
    <t xml:space="preserve">CPHR: {souvislost,spojitost,...}.4</t>
  </si>
  <si>
    <t xml:space="preserve">"mít-054"</t>
  </si>
  <si>
    <t xml:space="preserve">CPHR: {výsledek,...}.4</t>
  </si>
  <si>
    <t xml:space="preserve">"mít-055"</t>
  </si>
  <si>
    <t xml:space="preserve">CPHR: {využití,...}.4</t>
  </si>
  <si>
    <t xml:space="preserve">"mít-056"</t>
  </si>
  <si>
    <t xml:space="preserve">CPHR: {zájem,záliba,...}.4</t>
  </si>
  <si>
    <t xml:space="preserve">"mít-057"</t>
  </si>
  <si>
    <t xml:space="preserve">CPHR: {zdržení,zkušenost,zpoždění,...}.4</t>
  </si>
  <si>
    <t xml:space="preserve">"mít-058"</t>
  </si>
  <si>
    <t xml:space="preserve">Protagonist(), Possibilities()</t>
  </si>
  <si>
    <t xml:space="preserve">ACT: 1; 1</t>
  </si>
  <si>
    <t xml:space="preserve">PAT-&gt;Possibilities</t>
  </si>
  <si>
    <t xml:space="preserve">PAT-&gt;Possibilities()</t>
  </si>
  <si>
    <t xml:space="preserve">"mít-059"</t>
  </si>
  <si>
    <t xml:space="preserve">DPHR: za-1[zlý.NS4]</t>
  </si>
  <si>
    <t xml:space="preserve">"mít-060"</t>
  </si>
  <si>
    <t xml:space="preserve">DPHR: nic[co-1],do-1[činění.2]</t>
  </si>
  <si>
    <t xml:space="preserve">"mít-061"</t>
  </si>
  <si>
    <t xml:space="preserve">DPHR: čest.S4</t>
  </si>
  <si>
    <t xml:space="preserve">"mít-062"</t>
  </si>
  <si>
    <t xml:space="preserve">ACT-&gt;ARG0/17,ARG1/1</t>
  </si>
  <si>
    <t xml:space="preserve">DPHR: co-5,do-1[činění.2]</t>
  </si>
  <si>
    <t xml:space="preserve">PAT-&gt;ARG1/5,ARG2/36</t>
  </si>
  <si>
    <t xml:space="preserve">"mít-063"</t>
  </si>
  <si>
    <t xml:space="preserve">DPHR: dost</t>
  </si>
  <si>
    <t xml:space="preserve">"mít-064"</t>
  </si>
  <si>
    <t xml:space="preserve">"mít-065"</t>
  </si>
  <si>
    <t xml:space="preserve">DPHR: na-1[mysl.S6]</t>
  </si>
  <si>
    <t xml:space="preserve">"mít-066"</t>
  </si>
  <si>
    <t xml:space="preserve">DPHR: na-1[paměť.6]</t>
  </si>
  <si>
    <t xml:space="preserve">"mít-067"</t>
  </si>
  <si>
    <t xml:space="preserve">DPHR: na-1[program-1:S6]</t>
  </si>
  <si>
    <t xml:space="preserve">PAT: 4; .f; ↓že</t>
  </si>
  <si>
    <t xml:space="preserve">"mít-068"</t>
  </si>
  <si>
    <t xml:space="preserve">DPHR: na-1[program-1.S6]</t>
  </si>
  <si>
    <t xml:space="preserve">"mít-069"</t>
  </si>
  <si>
    <t xml:space="preserve">DPHR: na-1[starost.S4]; na-1[starost.S6]</t>
  </si>
  <si>
    <t xml:space="preserve">PAT: 4; .f; ↓že; ↓aby</t>
  </si>
  <si>
    <t xml:space="preserve">Protagonist(ARG0/186,ARG1/3), Function()</t>
  </si>
  <si>
    <t xml:space="preserve">ACT-&gt;ARG0/324,ARG1/3</t>
  </si>
  <si>
    <t xml:space="preserve">ACT-&gt;Protagonist(ARG0/186,ARG1/3)</t>
  </si>
  <si>
    <t xml:space="preserve">PAT-&gt;Function()</t>
  </si>
  <si>
    <t xml:space="preserve">"mít-070"</t>
  </si>
  <si>
    <t xml:space="preserve">ACT-&gt;ARG0/820,ARG1/3,ARG2/38</t>
  </si>
  <si>
    <t xml:space="preserve">DPHR: na-1[svědomí.S6]</t>
  </si>
  <si>
    <t xml:space="preserve">PAT-&gt;ARG0/2,ARG1/1116,ARG2/2</t>
  </si>
  <si>
    <t xml:space="preserve">PAT-&gt;Effect(ARG0/1,ARG1/810,ARG2/2)</t>
  </si>
  <si>
    <t xml:space="preserve">"mít-071"</t>
  </si>
  <si>
    <t xml:space="preserve">DPHR: na-1[zřetel.S6]</t>
  </si>
  <si>
    <t xml:space="preserve">"mít-072"</t>
  </si>
  <si>
    <t xml:space="preserve">DPHR: po-1[krk.S4]</t>
  </si>
  <si>
    <t xml:space="preserve">"mít-073"</t>
  </si>
  <si>
    <t xml:space="preserve">DPHR: pod-1[dohled.S7]</t>
  </si>
  <si>
    <t xml:space="preserve">"mít-074"</t>
  </si>
  <si>
    <t xml:space="preserve">"mít-075"</t>
  </si>
  <si>
    <t xml:space="preserve">DPHR: rád; rád.@2; rád.@3</t>
  </si>
  <si>
    <t xml:space="preserve">PAT: 4; ↓když; ↓že; ↓c; .f</t>
  </si>
  <si>
    <t xml:space="preserve">"mít-076"</t>
  </si>
  <si>
    <t xml:space="preserve">DPHR: spadeno</t>
  </si>
  <si>
    <t xml:space="preserve">"mít-077"</t>
  </si>
  <si>
    <t xml:space="preserve">"mít-078"</t>
  </si>
  <si>
    <t xml:space="preserve">DPHR: v-1[krev.S6]</t>
  </si>
  <si>
    <t xml:space="preserve">"mít-079"</t>
  </si>
  <si>
    <t xml:space="preserve">DPHR: v-1[obliba.6]</t>
  </si>
  <si>
    <t xml:space="preserve">"mít-080"</t>
  </si>
  <si>
    <t xml:space="preserve">DPHR: v-1[plán:S6]</t>
  </si>
  <si>
    <t xml:space="preserve">"mít-081"</t>
  </si>
  <si>
    <t xml:space="preserve">DPHR: v-1[povaha.S6]</t>
  </si>
  <si>
    <t xml:space="preserve">"mít-082"</t>
  </si>
  <si>
    <t xml:space="preserve">DPHR: v-1[pravomoc.S6]</t>
  </si>
  <si>
    <t xml:space="preserve">"mít-083"</t>
  </si>
  <si>
    <t xml:space="preserve">"mít-084"</t>
  </si>
  <si>
    <t xml:space="preserve">DPHR: v-1[referát:S6]</t>
  </si>
  <si>
    <t xml:space="preserve">"mít-085"</t>
  </si>
  <si>
    <t xml:space="preserve">DPHR: v-1[ruka.P6]</t>
  </si>
  <si>
    <t xml:space="preserve">"mít-086"</t>
  </si>
  <si>
    <t xml:space="preserve">DPHR: v-1[úcta.S6]</t>
  </si>
  <si>
    <t xml:space="preserve">"mít-087"</t>
  </si>
  <si>
    <t xml:space="preserve">DPHR: v-1[úmysl.S6]</t>
  </si>
  <si>
    <t xml:space="preserve">"mít-088"</t>
  </si>
  <si>
    <t xml:space="preserve">DPHR: v-1[užívání.6]</t>
  </si>
  <si>
    <t xml:space="preserve">"mít-089"</t>
  </si>
  <si>
    <t xml:space="preserve">DPHR: z-1[krk.S2]</t>
  </si>
  <si>
    <t xml:space="preserve">"mít-090"</t>
  </si>
  <si>
    <t xml:space="preserve">DPHR: za-1[cíl.S4]</t>
  </si>
  <si>
    <t xml:space="preserve">"mít-091"</t>
  </si>
  <si>
    <t xml:space="preserve">DPHR: za-1[důsledek:S4]</t>
  </si>
  <si>
    <t xml:space="preserve">PAT-&gt;ARG0/1,ARG1/810,ARG2/2</t>
  </si>
  <si>
    <t xml:space="preserve">"mít-092"</t>
  </si>
  <si>
    <t xml:space="preserve">DPHR: za-1[důsledek.S4]</t>
  </si>
  <si>
    <t xml:space="preserve">"mít-093"</t>
  </si>
  <si>
    <t xml:space="preserve">DPHR: za-1[následek.S4]</t>
  </si>
  <si>
    <t xml:space="preserve">"mít-094"</t>
  </si>
  <si>
    <t xml:space="preserve">Cognizer(ARG0/40,ARG1/6,ARG2/8), Phenomenon(ARG1/178)</t>
  </si>
  <si>
    <t xml:space="preserve">ACT-&gt;ARG0/608,ARG1/11,ARG2/8</t>
  </si>
  <si>
    <t xml:space="preserve">ACT-&gt;Cognizer(ARG0/40,ARG1/6,ARG2/8)</t>
  </si>
  <si>
    <t xml:space="preserve">DPHR: za-1[ten.NS4]</t>
  </si>
  <si>
    <t xml:space="preserve">PAT-&gt;ARG1/736,ARG2/2</t>
  </si>
  <si>
    <t xml:space="preserve">PAT-&gt;Phenomenon(ARG1/178)</t>
  </si>
  <si>
    <t xml:space="preserve">"mít-095"</t>
  </si>
  <si>
    <t xml:space="preserve">DPHR: zub:P4[plný:#]</t>
  </si>
  <si>
    <t xml:space="preserve">"mít-096"</t>
  </si>
  <si>
    <t xml:space="preserve">DPHR: klíč.S4</t>
  </si>
  <si>
    <t xml:space="preserve">"mít-097"</t>
  </si>
  <si>
    <t xml:space="preserve">DPHR: na-1[krk.S6]</t>
  </si>
  <si>
    <t xml:space="preserve">"mít-098"</t>
  </si>
  <si>
    <t xml:space="preserve">DPHR: na-1[vodítko.S6]</t>
  </si>
  <si>
    <t xml:space="preserve">"mít-099"</t>
  </si>
  <si>
    <t xml:space="preserve">DPHR: před-1[se.7]</t>
  </si>
  <si>
    <t xml:space="preserve">"mít-100"</t>
  </si>
  <si>
    <t xml:space="preserve">DPHR: v-1[kapsa.S6]</t>
  </si>
  <si>
    <t xml:space="preserve">"mít-101"</t>
  </si>
  <si>
    <t xml:space="preserve">DPHR: za-1[výsledek.S4]</t>
  </si>
  <si>
    <t xml:space="preserve">"mít-102"</t>
  </si>
  <si>
    <t xml:space="preserve">DPHR: dělat.f[co-1.4]</t>
  </si>
  <si>
    <t xml:space="preserve">"mít-103"</t>
  </si>
  <si>
    <t xml:space="preserve">"mít-104"</t>
  </si>
  <si>
    <t xml:space="preserve">DPHR: dno.S4[zlatý.#]</t>
  </si>
  <si>
    <t xml:space="preserve">"mít-105"</t>
  </si>
  <si>
    <t xml:space="preserve">DPHR: hlava:S4[těžký:#]</t>
  </si>
  <si>
    <t xml:space="preserve">"mít-106"</t>
  </si>
  <si>
    <t xml:space="preserve">DPHR: hluboko,do-1[kapsa:S2]</t>
  </si>
  <si>
    <t xml:space="preserve">"mít-107"</t>
  </si>
  <si>
    <t xml:space="preserve">DPHR: jasno-1</t>
  </si>
  <si>
    <t xml:space="preserve">"mít-108"</t>
  </si>
  <si>
    <t xml:space="preserve">DPHR: klika.S4</t>
  </si>
  <si>
    <t xml:space="preserve">"mít-109"</t>
  </si>
  <si>
    <t xml:space="preserve">DPHR: na-1[vybraný.FS4]</t>
  </si>
  <si>
    <t xml:space="preserve">"mít-110"</t>
  </si>
  <si>
    <t xml:space="preserve">DPHR: namále</t>
  </si>
  <si>
    <t xml:space="preserve">"mít-111"</t>
  </si>
  <si>
    <t xml:space="preserve">DPHR: napilno</t>
  </si>
  <si>
    <t xml:space="preserve">"mít-112"</t>
  </si>
  <si>
    <t xml:space="preserve">DPHR: navrch</t>
  </si>
  <si>
    <t xml:space="preserve">"mít-113"</t>
  </si>
  <si>
    <t xml:space="preserve">DPHR: pět-1.S4[všechen.P2],pohromadě</t>
  </si>
  <si>
    <t xml:space="preserve">"mít-114"</t>
  </si>
  <si>
    <t xml:space="preserve">DPHR: ruka.S4[šťastný.#]</t>
  </si>
  <si>
    <t xml:space="preserve">"mít-115"</t>
  </si>
  <si>
    <t xml:space="preserve">DPHR: slovo.S4</t>
  </si>
  <si>
    <t xml:space="preserve">"mít-116"</t>
  </si>
  <si>
    <t xml:space="preserve">DPHR: střecha.S4[nad-1[hlava.S7]]</t>
  </si>
  <si>
    <t xml:space="preserve">"mít-117"</t>
  </si>
  <si>
    <t xml:space="preserve">DPHR: váha.S4</t>
  </si>
  <si>
    <t xml:space="preserve">"mít-118"</t>
  </si>
  <si>
    <t xml:space="preserve">"mít-119"</t>
  </si>
  <si>
    <t xml:space="preserve">DPHR: slovo.S4[poslední.@1$11&lt;A&gt;#]</t>
  </si>
  <si>
    <t xml:space="preserve">"mít-120"</t>
  </si>
  <si>
    <t xml:space="preserve">CPHR: {účel}.4</t>
  </si>
  <si>
    <t xml:space="preserve">"mít-121"</t>
  </si>
  <si>
    <t xml:space="preserve">DPHR: dělat:f$11&lt;11&gt;[co-1.S4]</t>
  </si>
  <si>
    <t xml:space="preserve">"mít-122"</t>
  </si>
  <si>
    <t xml:space="preserve">DPHR: den.S4</t>
  </si>
  <si>
    <t xml:space="preserve">"mít-123"</t>
  </si>
  <si>
    <t xml:space="preserve">DPHR: háček.S4[jen-1,jeden]; háček.S4[jeden]; háček.S4</t>
  </si>
  <si>
    <t xml:space="preserve">"mít-124"</t>
  </si>
  <si>
    <t xml:space="preserve">DPHR: karta.P4[nějaký.#,v-1[ruka.P6]]</t>
  </si>
  <si>
    <t xml:space="preserve">"mít-125"</t>
  </si>
  <si>
    <t xml:space="preserve">DPHR: stránka.S4; stránka.P4</t>
  </si>
  <si>
    <t xml:space="preserve">"mít-126"</t>
  </si>
  <si>
    <t xml:space="preserve">DPHR: v-1[hrst.S6]</t>
  </si>
  <si>
    <t xml:space="preserve">"mít-127"</t>
  </si>
  <si>
    <t xml:space="preserve">DPHR: vítr.S4[v-1[záda.S6]]</t>
  </si>
  <si>
    <t xml:space="preserve">"mít-128"</t>
  </si>
  <si>
    <t xml:space="preserve">DPHR: ruka.P4[volný.#]</t>
  </si>
  <si>
    <t xml:space="preserve">PAT: k+3; pro+4</t>
  </si>
  <si>
    <t xml:space="preserve">"mít-129"</t>
  </si>
  <si>
    <t xml:space="preserve">DPHR: v-1[paty.P6]</t>
  </si>
  <si>
    <t xml:space="preserve">"mít-130"</t>
  </si>
  <si>
    <t xml:space="preserve">DPHR: žaludek.S4</t>
  </si>
  <si>
    <t xml:space="preserve">"mít-131"</t>
  </si>
  <si>
    <t xml:space="preserve">DPHR: ve-1[zvyk.S6]</t>
  </si>
  <si>
    <t xml:space="preserve">"mít-132"</t>
  </si>
  <si>
    <t xml:space="preserve">DPHR: vše.NS4,pohromadě</t>
  </si>
  <si>
    <t xml:space="preserve">"mít-133"</t>
  </si>
  <si>
    <t xml:space="preserve">"mít-134"</t>
  </si>
  <si>
    <t xml:space="preserve">DPHR: drzost.S4[ten.FS4]</t>
  </si>
  <si>
    <t xml:space="preserve">"mít-135"</t>
  </si>
  <si>
    <t xml:space="preserve">CPHR: {pokyn,...}.4</t>
  </si>
  <si>
    <t xml:space="preserve">"--mít-136"</t>
  </si>
  <si>
    <t xml:space="preserve">CPHR: {starost,strach,...}.4</t>
  </si>
  <si>
    <t xml:space="preserve">"--mít-137"</t>
  </si>
  <si>
    <t xml:space="preserve">CPHR: {sen,...}.4</t>
  </si>
  <si>
    <t xml:space="preserve">"--mít-138"</t>
  </si>
  <si>
    <t xml:space="preserve">CPHR: {ztráta,...}.4</t>
  </si>
  <si>
    <t xml:space="preserve">"--mít-139"</t>
  </si>
  <si>
    <t xml:space="preserve">CPHR: {zvýšení,...}.4</t>
  </si>
  <si>
    <t xml:space="preserve">"--mít-140"</t>
  </si>
  <si>
    <t xml:space="preserve">CPHR: {výdaj,...}.4</t>
  </si>
  <si>
    <t xml:space="preserve">"mít-141"</t>
  </si>
  <si>
    <t xml:space="preserve">"mít-142"</t>
  </si>
  <si>
    <t xml:space="preserve">DPHR: želízko.S4[svůj.#],v-1[oheň.S6]</t>
  </si>
  <si>
    <t xml:space="preserve">"mít-143"</t>
  </si>
  <si>
    <t xml:space="preserve">CPHR: {povolení,souhlas,svolení,...}.4</t>
  </si>
  <si>
    <t xml:space="preserve">"mít-144"</t>
  </si>
  <si>
    <t xml:space="preserve">DPHR: ánung.S4</t>
  </si>
  <si>
    <t xml:space="preserve">"mít-145"</t>
  </si>
  <si>
    <t xml:space="preserve">DPHR: grády.P4</t>
  </si>
  <si>
    <t xml:space="preserve">"mít-146"</t>
  </si>
  <si>
    <t xml:space="preserve">"mít-147"</t>
  </si>
  <si>
    <t xml:space="preserve">"mít-148"</t>
  </si>
  <si>
    <t xml:space="preserve">DPHR: chyba.S4</t>
  </si>
  <si>
    <t xml:space="preserve">"mít-149"</t>
  </si>
  <si>
    <t xml:space="preserve">DPHR: stání.S4</t>
  </si>
  <si>
    <t xml:space="preserve">"mít-150"</t>
  </si>
  <si>
    <t xml:space="preserve">DPHR: v-1[malíku.S]</t>
  </si>
  <si>
    <t xml:space="preserve">"mít-151"</t>
  </si>
  <si>
    <t xml:space="preserve">DPHR: v-1[ruka.S6]</t>
  </si>
  <si>
    <t xml:space="preserve">"mít-152"</t>
  </si>
  <si>
    <t xml:space="preserve">DPHR: hlavu.S4[svůj-1.#]</t>
  </si>
  <si>
    <t xml:space="preserve">"mít-153"</t>
  </si>
  <si>
    <t xml:space="preserve">DPHR: ten.NS4,tak-3</t>
  </si>
  <si>
    <t xml:space="preserve">"mít-154"</t>
  </si>
  <si>
    <t xml:space="preserve">DPHR: vysoko-2,do-1[žlab.S2]</t>
  </si>
  <si>
    <t xml:space="preserve">"mít-155"</t>
  </si>
  <si>
    <t xml:space="preserve">DPHR: zub.P4[plný.#]</t>
  </si>
  <si>
    <t xml:space="preserve">"mít-156"</t>
  </si>
  <si>
    <t xml:space="preserve">DPHR: zapotřebí</t>
  </si>
  <si>
    <t xml:space="preserve">"mít-157"</t>
  </si>
  <si>
    <t xml:space="preserve">DPHR: k-1[se.S3]</t>
  </si>
  <si>
    <t xml:space="preserve">"mít-158"</t>
  </si>
  <si>
    <t xml:space="preserve">DPHR: něco,do-1[se.S2]</t>
  </si>
  <si>
    <t xml:space="preserve">"mít-159"</t>
  </si>
  <si>
    <t xml:space="preserve">DPHR: koníček.P4</t>
  </si>
  <si>
    <t xml:space="preserve">"mít-160"</t>
  </si>
  <si>
    <t xml:space="preserve">CPHR: {sklon,spád,...}.4</t>
  </si>
  <si>
    <t xml:space="preserve">"mít-161"</t>
  </si>
  <si>
    <t xml:space="preserve">DPHR: v-1[láska.S6]</t>
  </si>
  <si>
    <t xml:space="preserve">"--mít-162"</t>
  </si>
  <si>
    <t xml:space="preserve">"mít-163"</t>
  </si>
  <si>
    <t xml:space="preserve">DPHR: pod-1[palec.S7]</t>
  </si>
  <si>
    <t xml:space="preserve">"--mít-164"</t>
  </si>
  <si>
    <t xml:space="preserve">"mít-165"</t>
  </si>
  <si>
    <t xml:space="preserve">DPHR: okno.S4</t>
  </si>
  <si>
    <t xml:space="preserve">"mít-166"</t>
  </si>
  <si>
    <t xml:space="preserve">CPHR: {řeč,slovo,proslov}.4</t>
  </si>
  <si>
    <t xml:space="preserve">"mít-167"</t>
  </si>
  <si>
    <t xml:space="preserve">"mít-168"</t>
  </si>
  <si>
    <t xml:space="preserve">DPHR: nerv.P4</t>
  </si>
  <si>
    <t xml:space="preserve">"mít-169"</t>
  </si>
  <si>
    <t xml:space="preserve">DPHR: a-1[rub.S4,líc,S4]</t>
  </si>
  <si>
    <t xml:space="preserve">"mít-170"</t>
  </si>
  <si>
    <t xml:space="preserve">DPHR: k-1[ruka.S3]</t>
  </si>
  <si>
    <t xml:space="preserve">"mít-171"</t>
  </si>
  <si>
    <t xml:space="preserve">DPHR: na-1[práce.S4]</t>
  </si>
  <si>
    <t xml:space="preserve">"mít-172"</t>
  </si>
  <si>
    <t xml:space="preserve">DPHR: na-1[bedra.P6[svůj-1.#]]</t>
  </si>
  <si>
    <t xml:space="preserve">"mít-173"</t>
  </si>
  <si>
    <t xml:space="preserve">"--mít-174"</t>
  </si>
  <si>
    <t xml:space="preserve">CPHR: {cíl,čas,čest,chuť,mechanismus,možnost,naděje,odvaha,oprávnění,pocit,pochybnost,ponětí,potenciál,potřeba,povědomí,povinnost,právo,pravomoc,představa,přesvědčení,sen,schopnost,síla,sklon,snaha,šance,touha,tušení,úkol,vyhlídka,záměr,závazek,...}.4; zapotřebí</t>
  </si>
  <si>
    <t xml:space="preserve">"mít-175"</t>
  </si>
  <si>
    <t xml:space="preserve">DPHR: pod-1[kontrola.S7]</t>
  </si>
  <si>
    <t xml:space="preserve">"mít-176"</t>
  </si>
  <si>
    <t xml:space="preserve">"mít-177"</t>
  </si>
  <si>
    <t xml:space="preserve">DPHR: ten.NS4,z-1[ruka.S2]</t>
  </si>
  <si>
    <t xml:space="preserve">"mít-178"</t>
  </si>
  <si>
    <t xml:space="preserve">THL: </t>
  </si>
  <si>
    <t xml:space="preserve">"mít-179"</t>
  </si>
  <si>
    <t xml:space="preserve">"mít-180"</t>
  </si>
  <si>
    <t xml:space="preserve">DPHR: pára.S4</t>
  </si>
  <si>
    <t xml:space="preserve">"mít-181"</t>
  </si>
  <si>
    <t xml:space="preserve">DPHR: pamatovák.S4</t>
  </si>
  <si>
    <t xml:space="preserve">"mít-182"</t>
  </si>
  <si>
    <t xml:space="preserve">DPHR: na-1[povel.S4]</t>
  </si>
  <si>
    <t xml:space="preserve">"mít-183"</t>
  </si>
  <si>
    <t xml:space="preserve">DPHR: delat.f[co-1.4]</t>
  </si>
  <si>
    <t xml:space="preserve">"mít-184"</t>
  </si>
  <si>
    <t xml:space="preserve">DPHR: v-1[hlava.6]</t>
  </si>
  <si>
    <t xml:space="preserve">"mít-185"</t>
  </si>
  <si>
    <t xml:space="preserve">"mít-186"</t>
  </si>
  <si>
    <t xml:space="preserve">"mít-187"</t>
  </si>
  <si>
    <t xml:space="preserve">"mít-188"</t>
  </si>
  <si>
    <t xml:space="preserve">"mít-189"</t>
  </si>
  <si>
    <t xml:space="preserve">CPHR: {image,podoba,pověst}.4</t>
  </si>
  <si>
    <t xml:space="preserve">"mít-se-001"</t>
  </si>
  <si>
    <t xml:space="preserve">"mít-se-002"</t>
  </si>
  <si>
    <t xml:space="preserve">"mít-se-003"</t>
  </si>
  <si>
    <t xml:space="preserve">DPHR: na-1[pozor.S6]</t>
  </si>
  <si>
    <t xml:space="preserve">PAT: před+7</t>
  </si>
  <si>
    <t xml:space="preserve">"mít-se-004"</t>
  </si>
  <si>
    <t xml:space="preserve">DPHR: k-1[svět.S3]</t>
  </si>
  <si>
    <t xml:space="preserve">"mít-se-005"</t>
  </si>
  <si>
    <t xml:space="preserve">ACT: s+7</t>
  </si>
  <si>
    <t xml:space="preserve">"mít-se-006"</t>
  </si>
  <si>
    <t xml:space="preserve">"mít-se-007"</t>
  </si>
  <si>
    <t xml:space="preserve">DPHR: rád; raději</t>
  </si>
  <si>
    <t xml:space="preserve">"mívat-001"</t>
  </si>
  <si>
    <t xml:space="preserve">"mívat-002"</t>
  </si>
  <si>
    <t xml:space="preserve">"mívat-003"</t>
  </si>
  <si>
    <t xml:space="preserve">"mívat-004"</t>
  </si>
  <si>
    <t xml:space="preserve">CPHR: {čas,čest,hodnota,chuť,možnost,naděje,potřeba,povinnost,povolení,právo,pravomoc,schopnost,snaha,šance,...}.4</t>
  </si>
  <si>
    <t xml:space="preserve">"mívat-005"</t>
  </si>
  <si>
    <t xml:space="preserve">CPHR: {dopad,vliv,...}.4</t>
  </si>
  <si>
    <t xml:space="preserve">"mívat-006"</t>
  </si>
  <si>
    <t xml:space="preserve">CPHR: {důvěra,vztah,...}.4</t>
  </si>
  <si>
    <t xml:space="preserve">"mívat-007"</t>
  </si>
  <si>
    <t xml:space="preserve">CPHR: {důvod,motivace,příležitost,...}.4</t>
  </si>
  <si>
    <t xml:space="preserve">"mívat-008"</t>
  </si>
  <si>
    <t xml:space="preserve">CPHR: {náskok,přednost,respekt,...}.4</t>
  </si>
  <si>
    <t xml:space="preserve">"mívat-009"</t>
  </si>
  <si>
    <t xml:space="preserve">CPHR: {obava,potěšení,strach,...}.4</t>
  </si>
  <si>
    <t xml:space="preserve">"mívat-010"</t>
  </si>
  <si>
    <t xml:space="preserve">CPHR: {pocit,představa,vzpomínka,...}.4</t>
  </si>
  <si>
    <t xml:space="preserve">"mívat-011"</t>
  </si>
  <si>
    <t xml:space="preserve">CPHR: {podíl,zásluha,...}.4</t>
  </si>
  <si>
    <t xml:space="preserve">"mívat-012"</t>
  </si>
  <si>
    <t xml:space="preserve">CPHR: {porucha,potíž,problém,...}.4</t>
  </si>
  <si>
    <t xml:space="preserve">"mívat-013"</t>
  </si>
  <si>
    <t xml:space="preserve">CPHR: {poznámka,připomínka,...}.4</t>
  </si>
  <si>
    <t xml:space="preserve">"mívat-014"</t>
  </si>
  <si>
    <t xml:space="preserve">CPHR: {předpoklad,sklon,tendence,...}.4</t>
  </si>
  <si>
    <t xml:space="preserve">"mívat-015"</t>
  </si>
  <si>
    <t xml:space="preserve">CPHR: {zájem,...}.4</t>
  </si>
  <si>
    <t xml:space="preserve">"mívat-016"</t>
  </si>
  <si>
    <t xml:space="preserve">"mívat-017"</t>
  </si>
  <si>
    <t xml:space="preserve">PAT: 4; ↓když</t>
  </si>
  <si>
    <t xml:space="preserve">"mívat-018"</t>
  </si>
  <si>
    <t xml:space="preserve">"mívat-019"</t>
  </si>
  <si>
    <t xml:space="preserve">"mívat-020"</t>
  </si>
  <si>
    <t xml:space="preserve">EFF: .a4</t>
  </si>
  <si>
    <t xml:space="preserve">"mívat-021"</t>
  </si>
  <si>
    <t xml:space="preserve">DPHR: koníček.P4; koníček.S4</t>
  </si>
  <si>
    <t xml:space="preserve">"mívat-022"</t>
  </si>
  <si>
    <t xml:space="preserve">"mířit-001"</t>
  </si>
  <si>
    <t xml:space="preserve">"mířit-002"</t>
  </si>
  <si>
    <t xml:space="preserve">"mířit-003"</t>
  </si>
  <si>
    <t xml:space="preserve">Entity(ARG0/43), Targeted()</t>
  </si>
  <si>
    <t xml:space="preserve">ACT-&gt;ARG0/68,ARG1/2</t>
  </si>
  <si>
    <t xml:space="preserve">ACT-&gt;Entity(ARG0/43)</t>
  </si>
  <si>
    <t xml:space="preserve">"mířit-004"</t>
  </si>
  <si>
    <t xml:space="preserve">Agent(ARG0/2), Target(), Instrument(ARG1/3)</t>
  </si>
  <si>
    <t xml:space="preserve">DIR3-&gt;Target</t>
  </si>
  <si>
    <t xml:space="preserve">DIR3-&gt;Target()</t>
  </si>
  <si>
    <t xml:space="preserve">"mířit-005"</t>
  </si>
  <si>
    <t xml:space="preserve">ACT-&gt;ARG0/43</t>
  </si>
  <si>
    <t xml:space="preserve">"mýlit-001"</t>
  </si>
  <si>
    <t xml:space="preserve">"mýlit-se-001"</t>
  </si>
  <si>
    <t xml:space="preserve">"mýt-001"</t>
  </si>
  <si>
    <t xml:space="preserve">Washer(ARG0/4), Washed(ARG1/10)</t>
  </si>
  <si>
    <t xml:space="preserve">ACT-&gt;Washer(ARG0/4)</t>
  </si>
  <si>
    <t xml:space="preserve">PAT-&gt;ARG1/34,ARG2/2</t>
  </si>
  <si>
    <t xml:space="preserve">PAT-&gt;Washed(ARG1/10)</t>
  </si>
  <si>
    <t xml:space="preserve">"měnit-001"</t>
  </si>
  <si>
    <t xml:space="preserve">Owner_initial(ARG0/120,ARG1/2), Entity_1(ARG1/239,ARG2/1,ARG3/5), Entity_2(ARG1/190,ARG2/71,ARG3/35), Owner_final(ARG0/1,ARG2/4)</t>
  </si>
  <si>
    <t xml:space="preserve">ACT-&gt;ARG0/120,ARG1/2</t>
  </si>
  <si>
    <t xml:space="preserve">ACT-&gt;Owner_initial</t>
  </si>
  <si>
    <t xml:space="preserve">ACT-&gt;Owner_initial(ARG0/120,ARG1/2)</t>
  </si>
  <si>
    <t xml:space="preserve">PAT-&gt;ARG1/239,ARG2/1,ARG3/5</t>
  </si>
  <si>
    <t xml:space="preserve">PAT-&gt;Entity_1(ARG1/239,ARG2/1,ARG3/5)</t>
  </si>
  <si>
    <t xml:space="preserve">ADDR-&gt;ARG0/1,ARG2/4</t>
  </si>
  <si>
    <t xml:space="preserve">ADDR-&gt;Owner_final</t>
  </si>
  <si>
    <t xml:space="preserve">ADDR-&gt;Owner_final(ARG0/1,ARG2/4)</t>
  </si>
  <si>
    <t xml:space="preserve">EFF-&gt;ARG1/190,ARG2/71,ARG3/35</t>
  </si>
  <si>
    <t xml:space="preserve">EFF-&gt;Entity_2(ARG1/190,ARG2/71,ARG3/35)</t>
  </si>
  <si>
    <t xml:space="preserve">"měnit-002"</t>
  </si>
  <si>
    <t xml:space="preserve">?EFF: na+4; v+4; do+2</t>
  </si>
  <si>
    <t xml:space="preserve">"měnit-003"</t>
  </si>
  <si>
    <t xml:space="preserve">"měnit-004"</t>
  </si>
  <si>
    <t xml:space="preserve">Agent(ARG0/24,ARG2/8), Old(ARG1/68), New(ARG1/2,ARG2/20,ARG3/6)</t>
  </si>
  <si>
    <t xml:space="preserve">ACT-&gt;ARG0/24,ARG2/8</t>
  </si>
  <si>
    <t xml:space="preserve">ACT-&gt;Agent(ARG0/24,ARG2/8)</t>
  </si>
  <si>
    <t xml:space="preserve">PAT-&gt;ARG1/68</t>
  </si>
  <si>
    <t xml:space="preserve">PAT-&gt;Old</t>
  </si>
  <si>
    <t xml:space="preserve">PAT-&gt;Old(ARG1/68)</t>
  </si>
  <si>
    <t xml:space="preserve">EFF-&gt;ARG1/2,ARG2/20,ARG3/6</t>
  </si>
  <si>
    <t xml:space="preserve">EFF-&gt;New</t>
  </si>
  <si>
    <t xml:space="preserve">EFF-&gt;New(ARG1/2,ARG2/20,ARG3/6)</t>
  </si>
  <si>
    <t xml:space="preserve">"měnit-se-001"</t>
  </si>
  <si>
    <t xml:space="preserve">Changing(ARG0/1,ARG1/135,ARG2/2), State_final(ARG1/2,ARG2/35), State_initial(ARG2/1,ARG3/4)</t>
  </si>
  <si>
    <t xml:space="preserve">ACT-&gt;ARG0/1,ARG1/135,ARG2/2</t>
  </si>
  <si>
    <t xml:space="preserve">ACT-&gt;Changing(ARG0/1,ARG1/135,ARG2/2)</t>
  </si>
  <si>
    <t xml:space="preserve">PAT: v+4; na+4; do+2</t>
  </si>
  <si>
    <t xml:space="preserve">PAT-&gt;ARG1/2,ARG2/35</t>
  </si>
  <si>
    <t xml:space="preserve">PAT-&gt;State_final(ARG1/2,ARG2/35)</t>
  </si>
  <si>
    <t xml:space="preserve">ORIG-&gt;ARG2/1,ARG3/4</t>
  </si>
  <si>
    <t xml:space="preserve">ORIG-&gt;State_initial(ARG2/1,ARG3/4)</t>
  </si>
  <si>
    <t xml:space="preserve">"měnit-se-002"</t>
  </si>
  <si>
    <t xml:space="preserve">"měnit-se-003"</t>
  </si>
  <si>
    <t xml:space="preserve">Changing(ARG0/1,ARG1/75)</t>
  </si>
  <si>
    <t xml:space="preserve">ACT-&gt;ARG0/1,ARG1/75</t>
  </si>
  <si>
    <t xml:space="preserve">ACT-&gt;Changing(ARG0/1,ARG1/75)</t>
  </si>
  <si>
    <t xml:space="preserve">"měřit-001"</t>
  </si>
  <si>
    <t xml:space="preserve">"měřit-002"</t>
  </si>
  <si>
    <t xml:space="preserve">Cognizer(ARG0/6,ARG2/16), Entity(ARG1/47)</t>
  </si>
  <si>
    <t xml:space="preserve">ACT-&gt;ARG0/6,ARG2/16</t>
  </si>
  <si>
    <t xml:space="preserve">ACT-&gt;Cognizer(ARG0/6,ARG2/16)</t>
  </si>
  <si>
    <t xml:space="preserve">PAT-&gt;ARG1/47</t>
  </si>
  <si>
    <t xml:space="preserve">PAT-&gt;Entity(ARG1/47)</t>
  </si>
  <si>
    <t xml:space="preserve">"měřit-003"</t>
  </si>
  <si>
    <t xml:space="preserve">Protagonist(ARG1/9), Value(ARG3/17)</t>
  </si>
  <si>
    <t xml:space="preserve">ACT-&gt;ARG0/58,ARG1/325,ARG2/2</t>
  </si>
  <si>
    <t xml:space="preserve">ACT-&gt;Protagonist(ARG1/9)</t>
  </si>
  <si>
    <t xml:space="preserve">EXT-&gt;ARG0/3,ARG1/52,ARG2/405,ARG3/22</t>
  </si>
  <si>
    <t xml:space="preserve">EXT-&gt;Value</t>
  </si>
  <si>
    <t xml:space="preserve">EXT-&gt;Value(ARG0/3,ARG1/52,ARG2/405,ARG3/5)</t>
  </si>
  <si>
    <t xml:space="preserve">EXT-&gt;Value(ARG3/17)</t>
  </si>
  <si>
    <t xml:space="preserve">"měřit-004"</t>
  </si>
  <si>
    <t xml:space="preserve">"mžourat-001"</t>
  </si>
  <si>
    <t xml:space="preserve">"mžít-001"</t>
  </si>
  <si>
    <t xml:space="preserve">"mžít-002"</t>
  </si>
  <si>
    <t xml:space="preserve">"naakumulovat-001"</t>
  </si>
  <si>
    <t xml:space="preserve">"naaranžovat-001"</t>
  </si>
  <si>
    <t xml:space="preserve">Creator(ARG0/1), Component(ARG1/1), Whole()</t>
  </si>
  <si>
    <t xml:space="preserve">PAT-&gt;Component(ARG1/1)</t>
  </si>
  <si>
    <t xml:space="preserve">EFF-&gt;Whole()</t>
  </si>
  <si>
    <t xml:space="preserve">"nabalit-001"</t>
  </si>
  <si>
    <t xml:space="preserve">"nabalovat-001"</t>
  </si>
  <si>
    <t xml:space="preserve">DPHR: na-1[se.4$2&lt;6&gt;]</t>
  </si>
  <si>
    <t xml:space="preserve">"nabalovat-se-001"</t>
  </si>
  <si>
    <t xml:space="preserve">"nabalovat-se-002"</t>
  </si>
  <si>
    <t xml:space="preserve">"nabančit-001"</t>
  </si>
  <si>
    <t xml:space="preserve">"nabarvit-001"</t>
  </si>
  <si>
    <t xml:space="preserve">Agent(ARG0/6), Improved(ARG1/10)</t>
  </si>
  <si>
    <t xml:space="preserve">PAT-&gt;Improved(ARG1/10)</t>
  </si>
  <si>
    <t xml:space="preserve">"nabažit-se-001"</t>
  </si>
  <si>
    <t xml:space="preserve">"nablbnout-se-001"</t>
  </si>
  <si>
    <t xml:space="preserve">"nablít-001"</t>
  </si>
  <si>
    <t xml:space="preserve">"nabobtnat-001"</t>
  </si>
  <si>
    <t xml:space="preserve">ACT-&gt;ARG0/10,ARG1/1902,ARG2/8</t>
  </si>
  <si>
    <t xml:space="preserve">"nabourat-001"</t>
  </si>
  <si>
    <t xml:space="preserve">"nabourat-002"</t>
  </si>
  <si>
    <t xml:space="preserve">"nabourat-se-001"</t>
  </si>
  <si>
    <t xml:space="preserve">"nabourat-se-002"</t>
  </si>
  <si>
    <t xml:space="preserve">"nabourávat-001"</t>
  </si>
  <si>
    <t xml:space="preserve">"nabořit-001"</t>
  </si>
  <si>
    <t xml:space="preserve">"nabrat-001"</t>
  </si>
  <si>
    <t xml:space="preserve">"nabrat-002"</t>
  </si>
  <si>
    <t xml:space="preserve">"nabrat-003"</t>
  </si>
  <si>
    <t xml:space="preserve">"nabrat-004"</t>
  </si>
  <si>
    <t xml:space="preserve">DPHR: na-1[roh.P4]</t>
  </si>
  <si>
    <t xml:space="preserve">"nabrat-005"</t>
  </si>
  <si>
    <t xml:space="preserve">"nabrousit-001"</t>
  </si>
  <si>
    <t xml:space="preserve">"nabádat-001"</t>
  </si>
  <si>
    <t xml:space="preserve">?PAT: k+3; ↓aby; ↓ať; .s; ↓c; .f</t>
  </si>
  <si>
    <t xml:space="preserve">"nabídnout-001"</t>
  </si>
  <si>
    <t xml:space="preserve">PAT: 4; .f; ↓že; ↓aby; ↓ať; ↓jestli</t>
  </si>
  <si>
    <t xml:space="preserve">"nabídnout-se-001"</t>
  </si>
  <si>
    <t xml:space="preserve">PAT: .f; s+7,že[.v]</t>
  </si>
  <si>
    <t xml:space="preserve">"nabíhat-001"</t>
  </si>
  <si>
    <t xml:space="preserve">"nabíhat-002"</t>
  </si>
  <si>
    <t xml:space="preserve">"nabírat-001"</t>
  </si>
  <si>
    <t xml:space="preserve">"nabírat-002"</t>
  </si>
  <si>
    <t xml:space="preserve">PAT: 4; na+6</t>
  </si>
  <si>
    <t xml:space="preserve">"nabírat-003"</t>
  </si>
  <si>
    <t xml:space="preserve">"nabírat-004"</t>
  </si>
  <si>
    <t xml:space="preserve">"nabít-001"</t>
  </si>
  <si>
    <t xml:space="preserve">?EFF: 7</t>
  </si>
  <si>
    <t xml:space="preserve">"nabít-002"</t>
  </si>
  <si>
    <t xml:space="preserve">"nabízet-001"</t>
  </si>
  <si>
    <t xml:space="preserve">"nabízet-se-001"</t>
  </si>
  <si>
    <t xml:space="preserve">ACT: 1; .f; ↓c</t>
  </si>
  <si>
    <t xml:space="preserve">"nabízet-se-002"</t>
  </si>
  <si>
    <t xml:space="preserve">CPHR: {možnost,řešení,spolupráce,...}.1</t>
  </si>
  <si>
    <t xml:space="preserve">?ACT: 3</t>
  </si>
  <si>
    <t xml:space="preserve">"nabýt-001"</t>
  </si>
  <si>
    <t xml:space="preserve">"nabýt-002"</t>
  </si>
  <si>
    <t xml:space="preserve">"nabýt-003"</t>
  </si>
  <si>
    <t xml:space="preserve">CPHR: {dojem,přesvědčení,...}.2; {dojem,přesvědčení,...}.4</t>
  </si>
  <si>
    <t xml:space="preserve">"nabývat-001"</t>
  </si>
  <si>
    <t xml:space="preserve">"nabývat-002"</t>
  </si>
  <si>
    <t xml:space="preserve">"naběhat-001"</t>
  </si>
  <si>
    <t xml:space="preserve">"naběhat-se-001"</t>
  </si>
  <si>
    <t xml:space="preserve">"naběhnout-001"</t>
  </si>
  <si>
    <t xml:space="preserve">"nacestovat-se-001"</t>
  </si>
  <si>
    <t xml:space="preserve">"nachladit-se-001"</t>
  </si>
  <si>
    <t xml:space="preserve">"nachmelit-se-001"</t>
  </si>
  <si>
    <t xml:space="preserve">"nachodit-001"</t>
  </si>
  <si>
    <t xml:space="preserve">"nachromovat-001"</t>
  </si>
  <si>
    <t xml:space="preserve">"nachystat-001"</t>
  </si>
  <si>
    <t xml:space="preserve">ACT-&gt;ARG0/559,ARG1/8</t>
  </si>
  <si>
    <t xml:space="preserve">PAT-&gt;ARG1/633,ARG2/51</t>
  </si>
  <si>
    <t xml:space="preserve">"nachystat-002"</t>
  </si>
  <si>
    <t xml:space="preserve">"nachytat-001"</t>
  </si>
  <si>
    <t xml:space="preserve">?PAT: k+3; .f; ↓aby; ↓ať</t>
  </si>
  <si>
    <t xml:space="preserve">"nachytat-002"</t>
  </si>
  <si>
    <t xml:space="preserve">"nachytat-se-001"</t>
  </si>
  <si>
    <t xml:space="preserve">"nachytat-se-002"</t>
  </si>
  <si>
    <t xml:space="preserve">"nacházet-001"</t>
  </si>
  <si>
    <t xml:space="preserve">ACT-&gt;ARG0/291,ARG1/2</t>
  </si>
  <si>
    <t xml:space="preserve">ACT-&gt;Seeker(ARG0/291,ARG1/2)</t>
  </si>
  <si>
    <t xml:space="preserve">PAT-&gt;ARG0/1,ARG1/397</t>
  </si>
  <si>
    <t xml:space="preserve">PAT-&gt;Found</t>
  </si>
  <si>
    <t xml:space="preserve">PAT-&gt;Found(ARG0/1,ARG1/397)</t>
  </si>
  <si>
    <t xml:space="preserve">"nacházet-002"</t>
  </si>
  <si>
    <t xml:space="preserve">CPHR: {odezva,odvaha,potěšení,příležitost,řešení,uplatnění,východisko,zájem,...}.4</t>
  </si>
  <si>
    <t xml:space="preserve">"nacházet-se-001"</t>
  </si>
  <si>
    <t xml:space="preserve">Entity(ARG0/57,ARG1/63,ARG2/1), State_of_affairs(ARG1/59)</t>
  </si>
  <si>
    <t xml:space="preserve">ACT-&gt;ARG0/57,ARG1/63,ARG2/1</t>
  </si>
  <si>
    <t xml:space="preserve">ACT-&gt;Entity(ARG0/57,ARG1/63,ARG2/1)</t>
  </si>
  <si>
    <t xml:space="preserve">LOC-&gt;ARG1/59</t>
  </si>
  <si>
    <t xml:space="preserve">LOC-&gt;State_of_affairs</t>
  </si>
  <si>
    <t xml:space="preserve">LOC-&gt;State_of_affairs(ARG1/59)</t>
  </si>
  <si>
    <t xml:space="preserve">"nacházet-se-002"</t>
  </si>
  <si>
    <t xml:space="preserve">"nachýlit-001"</t>
  </si>
  <si>
    <t xml:space="preserve">"nacouvat-001"</t>
  </si>
  <si>
    <t xml:space="preserve">"nacpat-001"</t>
  </si>
  <si>
    <t xml:space="preserve">Protagonist(ARG0/5,ARG2/4), Contained(ARG0/1,ARG1/7,ARG2/1), Container(ARG1/4)</t>
  </si>
  <si>
    <t xml:space="preserve">ACT-&gt;ARG0/5,ARG2/4</t>
  </si>
  <si>
    <t xml:space="preserve">ACT-&gt;Protagonist(ARG0/5,ARG2/4)</t>
  </si>
  <si>
    <t xml:space="preserve">PAT-&gt;Container</t>
  </si>
  <si>
    <t xml:space="preserve">PAT-&gt;Container(ARG1/4)</t>
  </si>
  <si>
    <t xml:space="preserve">EFF-&gt;ARG0/1,ARG1/7,ARG2/1</t>
  </si>
  <si>
    <t xml:space="preserve">EFF-&gt;Contained</t>
  </si>
  <si>
    <t xml:space="preserve">EFF-&gt;Contained(ARG0/1,ARG1/7,ARG2/1)</t>
  </si>
  <si>
    <t xml:space="preserve">"nacpat-002"</t>
  </si>
  <si>
    <t xml:space="preserve">PAT-&gt;ARG0/1,ARG1/7,ARG2/1</t>
  </si>
  <si>
    <t xml:space="preserve">PAT-&gt;Contained</t>
  </si>
  <si>
    <t xml:space="preserve">PAT-&gt;Contained(ARG0/1,ARG1/7,ARG2/1)</t>
  </si>
  <si>
    <t xml:space="preserve">DIR3-&gt;ARG1/4</t>
  </si>
  <si>
    <t xml:space="preserve">DIR3-&gt;Container(ARG1/4)</t>
  </si>
  <si>
    <t xml:space="preserve">"nacvičit-001"</t>
  </si>
  <si>
    <t xml:space="preserve">ACT-&gt;ARG0/158,ARG1/1</t>
  </si>
  <si>
    <t xml:space="preserve">PAT-&gt;ARG1/196</t>
  </si>
  <si>
    <t xml:space="preserve">"nacvičovat-001"</t>
  </si>
  <si>
    <t xml:space="preserve">"nadat-001"</t>
  </si>
  <si>
    <t xml:space="preserve">"nadat-002"</t>
  </si>
  <si>
    <t xml:space="preserve">"nadbíhat-001"</t>
  </si>
  <si>
    <t xml:space="preserve">Protagonist(ARG0/7,ARG1/1), Authority(ARG1/10,ARG2/3)</t>
  </si>
  <si>
    <t xml:space="preserve">ACT-&gt;ARG0/13,ARG1/2</t>
  </si>
  <si>
    <t xml:space="preserve">ACT-&gt;Protagonist(ARG0/7,ARG1/1)</t>
  </si>
  <si>
    <t xml:space="preserve">PAT-&gt;ARG1/18,ARG2/4</t>
  </si>
  <si>
    <t xml:space="preserve">PAT-&gt;Authority</t>
  </si>
  <si>
    <t xml:space="preserve">PAT-&gt;Authority(ARG1/10,ARG2/3)</t>
  </si>
  <si>
    <t xml:space="preserve">"nadbízet-001"</t>
  </si>
  <si>
    <t xml:space="preserve">Agent(ARG0/11), Phenomenon(ARG1/23)</t>
  </si>
  <si>
    <t xml:space="preserve">PAT-&gt;ARG1/23</t>
  </si>
  <si>
    <t xml:space="preserve">PAT-&gt;Phenomenon(ARG1/23)</t>
  </si>
  <si>
    <t xml:space="preserve">"nadcenit-001"</t>
  </si>
  <si>
    <t xml:space="preserve">"nadchnout-001"</t>
  </si>
  <si>
    <t xml:space="preserve">Recipient(ARG0/6,ARG2/1), Attractee(ARG1/9)</t>
  </si>
  <si>
    <t xml:space="preserve">ACT-&gt;ARG0/13,ARG2/1</t>
  </si>
  <si>
    <t xml:space="preserve">ACT-&gt;Recipient(ARG0/6,ARG2/1)</t>
  </si>
  <si>
    <t xml:space="preserve">PAT-&gt;ARG1/18</t>
  </si>
  <si>
    <t xml:space="preserve">PAT-&gt;Attractee(ARG1/9)</t>
  </si>
  <si>
    <t xml:space="preserve">"nadchnout-se-001"</t>
  </si>
  <si>
    <t xml:space="preserve">"nadcházet-001"</t>
  </si>
  <si>
    <t xml:space="preserve">"nadechnout-se-001"</t>
  </si>
  <si>
    <t xml:space="preserve">"nadejít-001"</t>
  </si>
  <si>
    <t xml:space="preserve">"nadhazovat-001"</t>
  </si>
  <si>
    <t xml:space="preserve">"nadhodit-001"</t>
  </si>
  <si>
    <t xml:space="preserve">PAT: 4; ↓že; ↓zda; ↓c; ↓aby; ↓ať; .s</t>
  </si>
  <si>
    <t xml:space="preserve">"nadhodit-002"</t>
  </si>
  <si>
    <t xml:space="preserve">"nadhodnocovat-001"</t>
  </si>
  <si>
    <t xml:space="preserve">"nadhodnotit-001"</t>
  </si>
  <si>
    <t xml:space="preserve">"nadiktovat-001"</t>
  </si>
  <si>
    <t xml:space="preserve">"nadlehčit-001"</t>
  </si>
  <si>
    <t xml:space="preserve">"nadlábnout-se-001"</t>
  </si>
  <si>
    <t xml:space="preserve">"nadnášet-001"</t>
  </si>
  <si>
    <t xml:space="preserve">"nadnášet-002"</t>
  </si>
  <si>
    <t xml:space="preserve">"nadnášet-003"</t>
  </si>
  <si>
    <t xml:space="preserve">"nadnést-001"</t>
  </si>
  <si>
    <t xml:space="preserve">"nadnést-002"</t>
  </si>
  <si>
    <t xml:space="preserve">"nadrobit-001"</t>
  </si>
  <si>
    <t xml:space="preserve">"nadržovat-001"</t>
  </si>
  <si>
    <t xml:space="preserve">"nadsadit-001"</t>
  </si>
  <si>
    <t xml:space="preserve">"nadsazovat-001"</t>
  </si>
  <si>
    <t xml:space="preserve">"nadskočit-001"</t>
  </si>
  <si>
    <t xml:space="preserve">Mover(ARG0/3)</t>
  </si>
  <si>
    <t xml:space="preserve">"nadužít-001"</t>
  </si>
  <si>
    <t xml:space="preserve">Abuser(), Abused()</t>
  </si>
  <si>
    <t xml:space="preserve">ACT-&gt;Abuser()</t>
  </si>
  <si>
    <t xml:space="preserve">PAT-&gt;Abused()</t>
  </si>
  <si>
    <t xml:space="preserve">"nadzajistit-001"</t>
  </si>
  <si>
    <t xml:space="preserve">"nadzdvihnout-001"</t>
  </si>
  <si>
    <t xml:space="preserve">Mover(ARG0/10), Moved(ARG1/15)</t>
  </si>
  <si>
    <t xml:space="preserve">ACT-&gt;Mover(ARG0/10)</t>
  </si>
  <si>
    <t xml:space="preserve">PAT-&gt;Moved(ARG1/15)</t>
  </si>
  <si>
    <t xml:space="preserve">"nadzvednout-001"</t>
  </si>
  <si>
    <t xml:space="preserve">"nadzvedávat-001"</t>
  </si>
  <si>
    <t xml:space="preserve">"nadát-se-001"</t>
  </si>
  <si>
    <t xml:space="preserve">"nadávat-001"</t>
  </si>
  <si>
    <t xml:space="preserve">"nadávat-002"</t>
  </si>
  <si>
    <t xml:space="preserve">?PAT: do+2; ↓že; ↓c</t>
  </si>
  <si>
    <t xml:space="preserve">"nadít-001"</t>
  </si>
  <si>
    <t xml:space="preserve">"nadýchat-se-001"</t>
  </si>
  <si>
    <t xml:space="preserve">"nadělat-001"</t>
  </si>
  <si>
    <t xml:space="preserve">ADDR-&gt;ARG1/3,ARG2/14,ARG3/1,ARG4/79</t>
  </si>
  <si>
    <t xml:space="preserve">ADDR-&gt;Affected(ARG1/3,ARG2/14,ARG3/1,ARG4/79)</t>
  </si>
  <si>
    <t xml:space="preserve">"nadělat-002"</t>
  </si>
  <si>
    <t xml:space="preserve">"nadělat-003"</t>
  </si>
  <si>
    <t xml:space="preserve">"nadělat-004"</t>
  </si>
  <si>
    <t xml:space="preserve">"nadělat-se-001"</t>
  </si>
  <si>
    <t xml:space="preserve">"nadělat-se-002"</t>
  </si>
  <si>
    <t xml:space="preserve">"nadělit-001"</t>
  </si>
  <si>
    <t xml:space="preserve">"nadřadit-001"</t>
  </si>
  <si>
    <t xml:space="preserve">"nadřít-se-001"</t>
  </si>
  <si>
    <t xml:space="preserve">"nafackovat-001"</t>
  </si>
  <si>
    <t xml:space="preserve">PAT: 3; 4</t>
  </si>
  <si>
    <t xml:space="preserve">"nafasovat-001"</t>
  </si>
  <si>
    <t xml:space="preserve">"nafaxovat-001"</t>
  </si>
  <si>
    <t xml:space="preserve">EFF: 4; ↓že; ↓aby; .s; ↓c</t>
  </si>
  <si>
    <t xml:space="preserve">"nafilmovat-001"</t>
  </si>
  <si>
    <t xml:space="preserve">"nafilmovat-002"</t>
  </si>
  <si>
    <t xml:space="preserve">"nafotit-001"</t>
  </si>
  <si>
    <t xml:space="preserve">"nafouknout-001"</t>
  </si>
  <si>
    <t xml:space="preserve">Agent(ARG0/280,ARG1/6), Item(ARG1/504,ARG2/1,ARG4/6), Value_final(ARG2/4,ARG4/94), Value_initial(ARG3/43), Difference(ARG2/39,ARG4/3)</t>
  </si>
  <si>
    <t xml:space="preserve">ACT-&gt;ARG0/280,ARG1/6</t>
  </si>
  <si>
    <t xml:space="preserve">ACT-&gt;Agent(ARG0/280,ARG1/6)</t>
  </si>
  <si>
    <t xml:space="preserve">PAT-&gt;ARG1/504,ARG2/1,ARG4/6</t>
  </si>
  <si>
    <t xml:space="preserve">PAT-&gt;Item(ARG1/504,ARG2/1,ARG4/6)</t>
  </si>
  <si>
    <t xml:space="preserve">ORIG-&gt;ARG3/43</t>
  </si>
  <si>
    <t xml:space="preserve">ORIG-&gt;Value_initial(ARG3/43)</t>
  </si>
  <si>
    <t xml:space="preserve">EFF-&gt;ARG2/4,ARG4/94</t>
  </si>
  <si>
    <t xml:space="preserve">EFF-&gt;Value_final(ARG2/4,ARG4/94)</t>
  </si>
  <si>
    <t xml:space="preserve">"nafouknout-002"</t>
  </si>
  <si>
    <t xml:space="preserve">"nafouknout-003"</t>
  </si>
  <si>
    <t xml:space="preserve">Filling(), Filled()</t>
  </si>
  <si>
    <t xml:space="preserve">ACT-&gt;Filling</t>
  </si>
  <si>
    <t xml:space="preserve">ACT-&gt;Filling()</t>
  </si>
  <si>
    <t xml:space="preserve">PAT-&gt;Filled</t>
  </si>
  <si>
    <t xml:space="preserve">PAT-&gt;Filled()</t>
  </si>
  <si>
    <t xml:space="preserve">"nafukovat-001"</t>
  </si>
  <si>
    <t xml:space="preserve">"nahazovat-001"</t>
  </si>
  <si>
    <t xml:space="preserve">"nahazovat-002"</t>
  </si>
  <si>
    <t xml:space="preserve">"nahlašovat-001"</t>
  </si>
  <si>
    <t xml:space="preserve">"nahlašovat-002"</t>
  </si>
  <si>
    <t xml:space="preserve">"nahledat-se-001"</t>
  </si>
  <si>
    <t xml:space="preserve">"nahlodat-001"</t>
  </si>
  <si>
    <t xml:space="preserve">Violating(ARG0/65), Norm(ARG1/83)</t>
  </si>
  <si>
    <t xml:space="preserve">ACT-&gt;ARG0/65</t>
  </si>
  <si>
    <t xml:space="preserve">ACT-&gt;Violating</t>
  </si>
  <si>
    <t xml:space="preserve">ACT-&gt;Violating(ARG0/65)</t>
  </si>
  <si>
    <t xml:space="preserve">PAT-&gt;Norm(ARG1/83)</t>
  </si>
  <si>
    <t xml:space="preserve">"nahlásit-001"</t>
  </si>
  <si>
    <t xml:space="preserve">"nahlásit-002"</t>
  </si>
  <si>
    <t xml:space="preserve">"nahlédnout-001"</t>
  </si>
  <si>
    <t xml:space="preserve">"nahlédnout-002"</t>
  </si>
  <si>
    <t xml:space="preserve">"nahlédnout-003"</t>
  </si>
  <si>
    <t xml:space="preserve">"nahlížet-001"</t>
  </si>
  <si>
    <t xml:space="preserve">BEN-&gt;ARG1/3,ARG2/156</t>
  </si>
  <si>
    <t xml:space="preserve">#alt[BEN,MANN,MEANS,ACMP,CRIT,CPR]-&gt;Judgment</t>
  </si>
  <si>
    <t xml:space="preserve">#alt[BEN,MANN,MEANS,ACMP,CRIT,CPR]-&gt;Judgment(ARG1/3,ARG2/156)</t>
  </si>
  <si>
    <t xml:space="preserve">MEANS-&gt;ARG1/3,ARG2/156</t>
  </si>
  <si>
    <t xml:space="preserve">"nahlížet-002"</t>
  </si>
  <si>
    <t xml:space="preserve">"nahnat-001"</t>
  </si>
  <si>
    <t xml:space="preserve">"nahnat-002"</t>
  </si>
  <si>
    <t xml:space="preserve">"nahodit-001"</t>
  </si>
  <si>
    <t xml:space="preserve">"nahodit-002"</t>
  </si>
  <si>
    <t xml:space="preserve">"nahodit-003"</t>
  </si>
  <si>
    <t xml:space="preserve">"nahodit-004"</t>
  </si>
  <si>
    <t xml:space="preserve">"nahrabat-001"</t>
  </si>
  <si>
    <t xml:space="preserve">"nahradit-001"</t>
  </si>
  <si>
    <t xml:space="preserve">"nahradit-002"</t>
  </si>
  <si>
    <t xml:space="preserve">?EFF: 7; za+4</t>
  </si>
  <si>
    <t xml:space="preserve">"nahradit-003"</t>
  </si>
  <si>
    <t xml:space="preserve">New(ARG0/114,ARG2/21), Old(ARG1/173,ARG2/1)</t>
  </si>
  <si>
    <t xml:space="preserve">ACT-&gt;ARG0/114,ARG2/21</t>
  </si>
  <si>
    <t xml:space="preserve">ACT-&gt;New</t>
  </si>
  <si>
    <t xml:space="preserve">ACT-&gt;New(ARG0/114,ARG2/21)</t>
  </si>
  <si>
    <t xml:space="preserve">PAT-&gt;ARG1/173,ARG2/1</t>
  </si>
  <si>
    <t xml:space="preserve">PAT-&gt;Old(ARG1/173,ARG2/1)</t>
  </si>
  <si>
    <t xml:space="preserve">"nahrazovat-001"</t>
  </si>
  <si>
    <t xml:space="preserve">"nahrazovat-002"</t>
  </si>
  <si>
    <t xml:space="preserve">"nahrazovat-003"</t>
  </si>
  <si>
    <t xml:space="preserve">"nahromadit-001"</t>
  </si>
  <si>
    <t xml:space="preserve">"nahromadit-se-001"</t>
  </si>
  <si>
    <t xml:space="preserve">ACT-&gt;ARG0/15,ARG1/20,ARG2/5</t>
  </si>
  <si>
    <t xml:space="preserve">"nahrát-001"</t>
  </si>
  <si>
    <t xml:space="preserve">"nahrát-002"</t>
  </si>
  <si>
    <t xml:space="preserve">"nahrát-003"</t>
  </si>
  <si>
    <t xml:space="preserve">"nahrát-004"</t>
  </si>
  <si>
    <t xml:space="preserve">?PAT: 4; s+7; v+6</t>
  </si>
  <si>
    <t xml:space="preserve">"nahrát-005"</t>
  </si>
  <si>
    <t xml:space="preserve">"nahrát-006"</t>
  </si>
  <si>
    <t xml:space="preserve">"nahrávat-001"</t>
  </si>
  <si>
    <t xml:space="preserve">"nahrávat-002"</t>
  </si>
  <si>
    <t xml:space="preserve">"nahrávat-003"</t>
  </si>
  <si>
    <t xml:space="preserve">"nahánět-001"</t>
  </si>
  <si>
    <t xml:space="preserve">"naházet-001"</t>
  </si>
  <si>
    <t xml:space="preserve">"nahřát-001"</t>
  </si>
  <si>
    <t xml:space="preserve">"nainstalovat-001"</t>
  </si>
  <si>
    <t xml:space="preserve">"nainstalovat-002"</t>
  </si>
  <si>
    <t xml:space="preserve">"najet-001"</t>
  </si>
  <si>
    <t xml:space="preserve">"najet-002"</t>
  </si>
  <si>
    <t xml:space="preserve">"najet-003"</t>
  </si>
  <si>
    <t xml:space="preserve">Impactor(ARG0/21,ARG1/11,ARG2/23), Impactee(ARG1/50)</t>
  </si>
  <si>
    <t xml:space="preserve">ACT-&gt;ARG0/21,ARG1/11,ARG2/23</t>
  </si>
  <si>
    <t xml:space="preserve">ACT-&gt;Impactor</t>
  </si>
  <si>
    <t xml:space="preserve">ACT-&gt;Impactor(ARG0/21,ARG1/11,ARG2/23)</t>
  </si>
  <si>
    <t xml:space="preserve">DIR3-&gt;ARG1/50</t>
  </si>
  <si>
    <t xml:space="preserve">DIR3-&gt;Impactee(ARG1/50)</t>
  </si>
  <si>
    <t xml:space="preserve">"najezdit-001"</t>
  </si>
  <si>
    <t xml:space="preserve">"najezdit-se-001"</t>
  </si>
  <si>
    <t xml:space="preserve">"--najezdit-se-002"</t>
  </si>
  <si>
    <t xml:space="preserve">"najmout-001"</t>
  </si>
  <si>
    <t xml:space="preserve">Employer(ARG0/141), Employee(ARG1/171,ARG2/3), Function(ARG1/4,ARG2/7)</t>
  </si>
  <si>
    <t xml:space="preserve">ACT-&gt;ARG0/141</t>
  </si>
  <si>
    <t xml:space="preserve">ACT-&gt;Employer</t>
  </si>
  <si>
    <t xml:space="preserve">ACT-&gt;Employer(ARG0/141)</t>
  </si>
  <si>
    <t xml:space="preserve">PAT-&gt;ARG1/171,ARG2/3</t>
  </si>
  <si>
    <t xml:space="preserve">PAT-&gt;Employee</t>
  </si>
  <si>
    <t xml:space="preserve">PAT-&gt;Employee(ARG1/171,ARG2/3)</t>
  </si>
  <si>
    <t xml:space="preserve">"najímat-001"</t>
  </si>
  <si>
    <t xml:space="preserve">"najíst-se-001"</t>
  </si>
  <si>
    <t xml:space="preserve">"najít-001"</t>
  </si>
  <si>
    <t xml:space="preserve">"najít-002"</t>
  </si>
  <si>
    <t xml:space="preserve">"najít-003"</t>
  </si>
  <si>
    <t xml:space="preserve">CPHR: {bod,cesta,čas,důkaz,kompromis,možnost,odvaha,potěšení,řešení,uplatnění,východisko,využití,vztah,záminka,způsob,...}.4</t>
  </si>
  <si>
    <t xml:space="preserve">CPHR-&gt;ARG0/1,ARG1/397</t>
  </si>
  <si>
    <t xml:space="preserve">CPHR-&gt;Found</t>
  </si>
  <si>
    <t xml:space="preserve">CPHR-&gt;Found(ARG0/1,ARG1/397)</t>
  </si>
  <si>
    <t xml:space="preserve">"najít-se-001"</t>
  </si>
  <si>
    <t xml:space="preserve">"najít-se-002"</t>
  </si>
  <si>
    <t xml:space="preserve">"najíždět-001"</t>
  </si>
  <si>
    <t xml:space="preserve">"nakapat-001"</t>
  </si>
  <si>
    <t xml:space="preserve">"nakazit-001"</t>
  </si>
  <si>
    <t xml:space="preserve">PAT-&gt;Infection(ARG2/2)</t>
  </si>
  <si>
    <t xml:space="preserve">ADDR-&gt;ARG1/5,ARG2/1</t>
  </si>
  <si>
    <t xml:space="preserve">ADDR-&gt;Infected</t>
  </si>
  <si>
    <t xml:space="preserve">ADDR-&gt;Infected(ARG1/5,ARG2/1)</t>
  </si>
  <si>
    <t xml:space="preserve">"nakazit-se-001"</t>
  </si>
  <si>
    <t xml:space="preserve">"naklonit-001"</t>
  </si>
  <si>
    <t xml:space="preserve">Mover(ARG0/9,ARG1/8), Place()</t>
  </si>
  <si>
    <t xml:space="preserve">ACT-&gt;ARG0/9,ARG1/8</t>
  </si>
  <si>
    <t xml:space="preserve">ACT-&gt;Mover(ARG0/9,ARG1/8)</t>
  </si>
  <si>
    <t xml:space="preserve">PAT-&gt;ARG0/9,ARG1/8</t>
  </si>
  <si>
    <t xml:space="preserve">PAT-&gt;Mover</t>
  </si>
  <si>
    <t xml:space="preserve">PAT-&gt;Mover(ARG0/9,ARG1/8)</t>
  </si>
  <si>
    <t xml:space="preserve">"naklonit-se-001"</t>
  </si>
  <si>
    <t xml:space="preserve">"naklonit-se-002"</t>
  </si>
  <si>
    <t xml:space="preserve">"naklonit-si-001"</t>
  </si>
  <si>
    <t xml:space="preserve">"nakládat-001"</t>
  </si>
  <si>
    <t xml:space="preserve">"nakládat-002"</t>
  </si>
  <si>
    <t xml:space="preserve">PAT-&gt;ARG1/57</t>
  </si>
  <si>
    <t xml:space="preserve">PAT-&gt;Affected(ARG1/57)</t>
  </si>
  <si>
    <t xml:space="preserve">"nakládat-003"</t>
  </si>
  <si>
    <t xml:space="preserve">"nakládat-004"</t>
  </si>
  <si>
    <t xml:space="preserve">Removing(), Container(ARG1/3)</t>
  </si>
  <si>
    <t xml:space="preserve">ACT-&gt;Removing()</t>
  </si>
  <si>
    <t xml:space="preserve">PAT-&gt;Container(ARG1/3)</t>
  </si>
  <si>
    <t xml:space="preserve">"nakládat-005"</t>
  </si>
  <si>
    <t xml:space="preserve">"naklánět-se-001"</t>
  </si>
  <si>
    <t xml:space="preserve">"naklást-001"</t>
  </si>
  <si>
    <t xml:space="preserve">"naklást-002"</t>
  </si>
  <si>
    <t xml:space="preserve">"nakonfigurovat-001"</t>
  </si>
  <si>
    <t xml:space="preserve">"nakopat-001"</t>
  </si>
  <si>
    <t xml:space="preserve">DPHR: zadek.P4</t>
  </si>
  <si>
    <t xml:space="preserve">"nakopnout-001"</t>
  </si>
  <si>
    <t xml:space="preserve">"nakoupat-001"</t>
  </si>
  <si>
    <t xml:space="preserve">"nakoupat-se-001"</t>
  </si>
  <si>
    <t xml:space="preserve">"nakoupit-001"</t>
  </si>
  <si>
    <t xml:space="preserve">"nakousnout-001"</t>
  </si>
  <si>
    <t xml:space="preserve">"nakousnout-002"</t>
  </si>
  <si>
    <t xml:space="preserve">"nakreslit-001"</t>
  </si>
  <si>
    <t xml:space="preserve">"nakrmit-001"</t>
  </si>
  <si>
    <t xml:space="preserve">"nakrmit-002"</t>
  </si>
  <si>
    <t xml:space="preserve">"nakrojit-001"</t>
  </si>
  <si>
    <t xml:space="preserve">"nakročit-001"</t>
  </si>
  <si>
    <t xml:space="preserve">"nakrájet-001"</t>
  </si>
  <si>
    <t xml:space="preserve">"nakrást-001"</t>
  </si>
  <si>
    <t xml:space="preserve">"nakrýt-001"</t>
  </si>
  <si>
    <t xml:space="preserve">"nakupit-001"</t>
  </si>
  <si>
    <t xml:space="preserve">"nakupit-002"</t>
  </si>
  <si>
    <t xml:space="preserve">"nakupit-se-001"</t>
  </si>
  <si>
    <t xml:space="preserve">LOC-&gt;ARG1/30,ARG2/1</t>
  </si>
  <si>
    <t xml:space="preserve">LOC-&gt;Affected(ARG1/30,ARG2/1)</t>
  </si>
  <si>
    <t xml:space="preserve">"nakupovat-001"</t>
  </si>
  <si>
    <t xml:space="preserve">"nakusovat-001"</t>
  </si>
  <si>
    <t xml:space="preserve">"nakynout-001"</t>
  </si>
  <si>
    <t xml:space="preserve">"naladit-001"</t>
  </si>
  <si>
    <t xml:space="preserve">"naladit-002"</t>
  </si>
  <si>
    <t xml:space="preserve">"naladit-003"</t>
  </si>
  <si>
    <t xml:space="preserve">"nalakovat-001"</t>
  </si>
  <si>
    <t xml:space="preserve">"nalepit-001"</t>
  </si>
  <si>
    <t xml:space="preserve">"nalepovat-001"</t>
  </si>
  <si>
    <t xml:space="preserve">"naleptávat-001"</t>
  </si>
  <si>
    <t xml:space="preserve">"naletět-001"</t>
  </si>
  <si>
    <t xml:space="preserve">"naleznout-001"</t>
  </si>
  <si>
    <t xml:space="preserve">"naleštit-001"</t>
  </si>
  <si>
    <t xml:space="preserve">"nalistovat-001"</t>
  </si>
  <si>
    <t xml:space="preserve">"nalodit-001"</t>
  </si>
  <si>
    <t xml:space="preserve">"nalodit-se-001"</t>
  </si>
  <si>
    <t xml:space="preserve">"nalomit-001"</t>
  </si>
  <si>
    <t xml:space="preserve">"naloupit-001"</t>
  </si>
  <si>
    <t xml:space="preserve">"naloďovat-se-001"</t>
  </si>
  <si>
    <t xml:space="preserve">"naložit-001"</t>
  </si>
  <si>
    <t xml:space="preserve">"naložit-002"</t>
  </si>
  <si>
    <t xml:space="preserve">"naložit-003"</t>
  </si>
  <si>
    <t xml:space="preserve">"naložit-004"</t>
  </si>
  <si>
    <t xml:space="preserve">"naložit-005"</t>
  </si>
  <si>
    <t xml:space="preserve">"naložit-006"</t>
  </si>
  <si>
    <t xml:space="preserve">"nalákat-001"</t>
  </si>
  <si>
    <t xml:space="preserve">"naléhat-001"</t>
  </si>
  <si>
    <t xml:space="preserve">PAT-&gt;ARG1/75,ARG2/180</t>
  </si>
  <si>
    <t xml:space="preserve">PAT-&gt;Impactee(ARG1/75,ARG2/180)</t>
  </si>
  <si>
    <t xml:space="preserve">"naléhat-002"</t>
  </si>
  <si>
    <t xml:space="preserve">"nalétat-001"</t>
  </si>
  <si>
    <t xml:space="preserve">"nalétnout-001"</t>
  </si>
  <si>
    <t xml:space="preserve">"nalévat-001"</t>
  </si>
  <si>
    <t xml:space="preserve">"nalévat-002"</t>
  </si>
  <si>
    <t xml:space="preserve">"nalézat-001"</t>
  </si>
  <si>
    <t xml:space="preserve">"nalézat-se-001"</t>
  </si>
  <si>
    <t xml:space="preserve">"nalézt-001"</t>
  </si>
  <si>
    <t xml:space="preserve">"nalézt-002"</t>
  </si>
  <si>
    <t xml:space="preserve">CPHR: {kompromis,možnost,odpověď,odvaha,potěšení,použití,řešení,slovo,uplatnění,východisko,záminka,způsob,...}.4</t>
  </si>
  <si>
    <t xml:space="preserve">"nalézt-003"</t>
  </si>
  <si>
    <t xml:space="preserve">"nalít-001"</t>
  </si>
  <si>
    <t xml:space="preserve">"nalít-002"</t>
  </si>
  <si>
    <t xml:space="preserve">"nalít-003"</t>
  </si>
  <si>
    <t xml:space="preserve">"nalítnout-001"</t>
  </si>
  <si>
    <t xml:space="preserve">"nalívat-001"</t>
  </si>
  <si>
    <t xml:space="preserve">"nalíčit-001"</t>
  </si>
  <si>
    <t xml:space="preserve">"nalíčit-002"</t>
  </si>
  <si>
    <t xml:space="preserve">"namalovat-001"</t>
  </si>
  <si>
    <t xml:space="preserve">"namalovat-002"</t>
  </si>
  <si>
    <t xml:space="preserve">"namasírovat-001"</t>
  </si>
  <si>
    <t xml:space="preserve">"namazat-001"</t>
  </si>
  <si>
    <t xml:space="preserve">"namazat-002"</t>
  </si>
  <si>
    <t xml:space="preserve">"namazat-se-001"</t>
  </si>
  <si>
    <t xml:space="preserve">"namačkat-001"</t>
  </si>
  <si>
    <t xml:space="preserve">ACT-&gt;ARG0/161,ARG1/1,ARG2/4</t>
  </si>
  <si>
    <t xml:space="preserve">PAT-&gt;ARG0/1,ARG1/262,ARG2/4</t>
  </si>
  <si>
    <t xml:space="preserve">DIR3-&gt;ARG1/4,ARG2/2</t>
  </si>
  <si>
    <t xml:space="preserve">"namačkat-se-001"</t>
  </si>
  <si>
    <t xml:space="preserve">DIR3-&gt;ARG1/11,ARG2/1</t>
  </si>
  <si>
    <t xml:space="preserve">DIR3-&gt;Place(ARG1/11,ARG2/1)</t>
  </si>
  <si>
    <t xml:space="preserve">"namixovat-001"</t>
  </si>
  <si>
    <t xml:space="preserve">"namlouvat-001"</t>
  </si>
  <si>
    <t xml:space="preserve">"namlouvat-002"</t>
  </si>
  <si>
    <t xml:space="preserve">"namlouvat-003"</t>
  </si>
  <si>
    <t xml:space="preserve">"namluvit-001"</t>
  </si>
  <si>
    <t xml:space="preserve">"namluvit-002"</t>
  </si>
  <si>
    <t xml:space="preserve">"namluvit-003"</t>
  </si>
  <si>
    <t xml:space="preserve">"namlít-001"</t>
  </si>
  <si>
    <t xml:space="preserve">"namnožit-001"</t>
  </si>
  <si>
    <t xml:space="preserve">"namoci-si-001"</t>
  </si>
  <si>
    <t xml:space="preserve">"namontovat-001"</t>
  </si>
  <si>
    <t xml:space="preserve">"namontovat-002"</t>
  </si>
  <si>
    <t xml:space="preserve">"namotat-001"</t>
  </si>
  <si>
    <t xml:space="preserve">"namotat-se-001"</t>
  </si>
  <si>
    <t xml:space="preserve">"namočit-001"</t>
  </si>
  <si>
    <t xml:space="preserve">"namočit-se-001"</t>
  </si>
  <si>
    <t xml:space="preserve">"namočit-se-002"</t>
  </si>
  <si>
    <t xml:space="preserve">"namrazit-001"</t>
  </si>
  <si>
    <t xml:space="preserve">"namrzat-001"</t>
  </si>
  <si>
    <t xml:space="preserve">"namáhat-001"</t>
  </si>
  <si>
    <t xml:space="preserve">"namáhat-se-001"</t>
  </si>
  <si>
    <t xml:space="preserve">"namáčet-001"</t>
  </si>
  <si>
    <t xml:space="preserve">"namíchat-001"</t>
  </si>
  <si>
    <t xml:space="preserve">"namíchnout-001"</t>
  </si>
  <si>
    <t xml:space="preserve">Stimulus(ARG0/4), Attitudal(ARG1/10)</t>
  </si>
  <si>
    <t xml:space="preserve">ACT-&gt;Stimulus(ARG0/4)</t>
  </si>
  <si>
    <t xml:space="preserve">PAT-&gt;Attitudal(ARG1/10)</t>
  </si>
  <si>
    <t xml:space="preserve">"namítat-001"</t>
  </si>
  <si>
    <t xml:space="preserve">"namítnout-001"</t>
  </si>
  <si>
    <t xml:space="preserve">?PAT: na+4; proti+3</t>
  </si>
  <si>
    <t xml:space="preserve">"namířit-001"</t>
  </si>
  <si>
    <t xml:space="preserve">"namířit-002"</t>
  </si>
  <si>
    <t xml:space="preserve">"namířit-003"</t>
  </si>
  <si>
    <t xml:space="preserve">"naměřit-001"</t>
  </si>
  <si>
    <t xml:space="preserve">"nandat-001"</t>
  </si>
  <si>
    <t xml:space="preserve">"nandat-002"</t>
  </si>
  <si>
    <t xml:space="preserve">"nandat-003"</t>
  </si>
  <si>
    <t xml:space="preserve">"nanosit-001"</t>
  </si>
  <si>
    <t xml:space="preserve">"nanášet-001"</t>
  </si>
  <si>
    <t xml:space="preserve">"nanést-001"</t>
  </si>
  <si>
    <t xml:space="preserve">"naoktrojovat-001"</t>
  </si>
  <si>
    <t xml:space="preserve">"naočkovat-001"</t>
  </si>
  <si>
    <t xml:space="preserve">"napadat-001"</t>
  </si>
  <si>
    <t xml:space="preserve">"napadat-002"</t>
  </si>
  <si>
    <t xml:space="preserve">ACT: 4; 3</t>
  </si>
  <si>
    <t xml:space="preserve">PAT: 1; ↓že; .f; ↓aby; ↓jestli; ↓zda; ↓c; .s</t>
  </si>
  <si>
    <t xml:space="preserve">"napadat-003"</t>
  </si>
  <si>
    <t xml:space="preserve">"napadat-004"</t>
  </si>
  <si>
    <t xml:space="preserve">"napadnout-001"</t>
  </si>
  <si>
    <t xml:space="preserve">"napadnout-002"</t>
  </si>
  <si>
    <t xml:space="preserve">Cognizer(ARG0/356,ARG1/4,ARG2/3), Phenomenon(ARG1/396,ARG2/22,ARG3/3)</t>
  </si>
  <si>
    <t xml:space="preserve">ACT-&gt;ARG0/356,ARG1/4,ARG2/3</t>
  </si>
  <si>
    <t xml:space="preserve">ACT-&gt;Cognizer(ARG0/356,ARG1/4,ARG2/3)</t>
  </si>
  <si>
    <t xml:space="preserve">PAT: 1; ↓že; .f; ↓aby; ↓jestli; ↓zda; ↓c</t>
  </si>
  <si>
    <t xml:space="preserve">PAT-&gt;ARG1/396,ARG2/22,ARG3/3</t>
  </si>
  <si>
    <t xml:space="preserve">PAT-&gt;Phenomenon(ARG1/396,ARG2/22,ARG3/3)</t>
  </si>
  <si>
    <t xml:space="preserve">"napadnout-003"</t>
  </si>
  <si>
    <t xml:space="preserve">Cognizer(ARG0/144,ARG1/2), Phenomenon(ARG1/152,ARG2/13)</t>
  </si>
  <si>
    <t xml:space="preserve">ACT-&gt;ARG0/144,ARG1/2</t>
  </si>
  <si>
    <t xml:space="preserve">ACT-&gt;Cognizer(ARG0/144,ARG1/2)</t>
  </si>
  <si>
    <t xml:space="preserve">PAT-&gt;ARG1/152,ARG2/13</t>
  </si>
  <si>
    <t xml:space="preserve">PAT-&gt;Phenomenon(ARG1/152,ARG2/13)</t>
  </si>
  <si>
    <t xml:space="preserve">"napadnout-004"</t>
  </si>
  <si>
    <t xml:space="preserve">"napadávat-001"</t>
  </si>
  <si>
    <t xml:space="preserve">"naparádit-001"</t>
  </si>
  <si>
    <t xml:space="preserve">"napasovat-001"</t>
  </si>
  <si>
    <t xml:space="preserve">"napichovat-001"</t>
  </si>
  <si>
    <t xml:space="preserve">"naplakat-se-001"</t>
  </si>
  <si>
    <t xml:space="preserve">"naplnit-001"</t>
  </si>
  <si>
    <t xml:space="preserve">Agent(ARG0/11,ARG2/1), Container(ARG0/1,ARG1/12,ARG2/1), Contained(ARG0/2,ARG2/7)</t>
  </si>
  <si>
    <t xml:space="preserve">ACT-&gt;ARG0/11,ARG2/1</t>
  </si>
  <si>
    <t xml:space="preserve">ACT-&gt;Agent(ARG0/11,ARG2/1)</t>
  </si>
  <si>
    <t xml:space="preserve">PAT-&gt;ARG0/1,ARG1/12,ARG2/1</t>
  </si>
  <si>
    <t xml:space="preserve">PAT-&gt;Container(ARG0/1,ARG1/12,ARG2/1)</t>
  </si>
  <si>
    <t xml:space="preserve">EFF-&gt;ARG0/2,ARG2/7</t>
  </si>
  <si>
    <t xml:space="preserve">EFF-&gt;Contained(ARG0/2,ARG2/7)</t>
  </si>
  <si>
    <t xml:space="preserve">"naplnit-002"</t>
  </si>
  <si>
    <t xml:space="preserve">Protagonist(ARG0/5,ARG1/2,ARG2/5), Claimant(ARG0/1,ARG1/26)</t>
  </si>
  <si>
    <t xml:space="preserve">ACT-&gt;ARG0/5,ARG1/2,ARG2/5</t>
  </si>
  <si>
    <t xml:space="preserve">ACT-&gt;Protagonist(ARG0/5,ARG1/2,ARG2/5)</t>
  </si>
  <si>
    <t xml:space="preserve">PAT-&gt;ARG0/1,ARG1/26</t>
  </si>
  <si>
    <t xml:space="preserve">PAT-&gt;Claimant</t>
  </si>
  <si>
    <t xml:space="preserve">PAT-&gt;Claimant(ARG0/1,ARG1/26)</t>
  </si>
  <si>
    <t xml:space="preserve">"naplnit-003"</t>
  </si>
  <si>
    <t xml:space="preserve">"--naplnit-004"</t>
  </si>
  <si>
    <t xml:space="preserve">"naplnit-se-001"</t>
  </si>
  <si>
    <t xml:space="preserve">"naplnit-se-002"</t>
  </si>
  <si>
    <t xml:space="preserve">"naplánovat-001"</t>
  </si>
  <si>
    <t xml:space="preserve">PAT: 4; ↓že; ↓c; .f</t>
  </si>
  <si>
    <t xml:space="preserve">"naplňovat-001"</t>
  </si>
  <si>
    <t xml:space="preserve">"naplňovat-002"</t>
  </si>
  <si>
    <t xml:space="preserve">"naplňovat-se-001"</t>
  </si>
  <si>
    <t xml:space="preserve">"napnout-001"</t>
  </si>
  <si>
    <t xml:space="preserve">PAT: -4</t>
  </si>
  <si>
    <t xml:space="preserve">"napnout-002"</t>
  </si>
  <si>
    <t xml:space="preserve">"napnout-se-001"</t>
  </si>
  <si>
    <t xml:space="preserve">Changing(ARG0/12,ARG1/20)</t>
  </si>
  <si>
    <t xml:space="preserve">ACT-&gt;ARG0/12,ARG1/20</t>
  </si>
  <si>
    <t xml:space="preserve">ACT-&gt;Changing(ARG0/12,ARG1/20)</t>
  </si>
  <si>
    <t xml:space="preserve">"napodobit-001"</t>
  </si>
  <si>
    <t xml:space="preserve">"napodobovat-001"</t>
  </si>
  <si>
    <t xml:space="preserve">"napojit-001"</t>
  </si>
  <si>
    <t xml:space="preserve">Agent(ARG0/4,ARG1/1), Device(ARG1/12), Source(ARG1/14,ARG2/3)</t>
  </si>
  <si>
    <t xml:space="preserve">ACT-&gt;ARG0/4,ARG1/1</t>
  </si>
  <si>
    <t xml:space="preserve">ACT-&gt;Agent(ARG0/4,ARG1/1)</t>
  </si>
  <si>
    <t xml:space="preserve">PAT-&gt;Device</t>
  </si>
  <si>
    <t xml:space="preserve">PAT-&gt;Device(ARG1/12)</t>
  </si>
  <si>
    <t xml:space="preserve">DIR3-&gt;ARG1/14,ARG2/3</t>
  </si>
  <si>
    <t xml:space="preserve">DIR3-&gt;Source</t>
  </si>
  <si>
    <t xml:space="preserve">DIR3-&gt;Source(ARG1/14,ARG2/3)</t>
  </si>
  <si>
    <t xml:space="preserve">"napojit-002"</t>
  </si>
  <si>
    <t xml:space="preserve">"napojit-se-001"</t>
  </si>
  <si>
    <t xml:space="preserve">"napojovat-001"</t>
  </si>
  <si>
    <t xml:space="preserve">"napomenout-001"</t>
  </si>
  <si>
    <t xml:space="preserve">"napomoci-001"</t>
  </si>
  <si>
    <t xml:space="preserve">ACT-&gt;ARG0/626,ARG1/7,ARG3/9</t>
  </si>
  <si>
    <t xml:space="preserve">PAT-&gt;ARG1/842,ARG2/17</t>
  </si>
  <si>
    <t xml:space="preserve">"napomoci-002"</t>
  </si>
  <si>
    <t xml:space="preserve">Helper(ARG0/442,ARG1/3), Goal(ARG0/1,ARG1/361), Party_benefited(ARG1/277,ARG2/59)</t>
  </si>
  <si>
    <t xml:space="preserve">ACT-&gt;ARG0/442,ARG1/3</t>
  </si>
  <si>
    <t xml:space="preserve">ACT-&gt;Helper(ARG0/442,ARG1/3)</t>
  </si>
  <si>
    <t xml:space="preserve">ADDR-&gt;ARG1/277,ARG2/59</t>
  </si>
  <si>
    <t xml:space="preserve">ADDR-&gt;Party_benefited(ARG1/277,ARG2/59)</t>
  </si>
  <si>
    <t xml:space="preserve">?PAT: 3; k+3; do+2; od+2; .f</t>
  </si>
  <si>
    <t xml:space="preserve">PAT-&gt;ARG0/1,ARG1/361</t>
  </si>
  <si>
    <t xml:space="preserve">PAT-&gt;Goal(ARG0/1,ARG1/361)</t>
  </si>
  <si>
    <t xml:space="preserve">"napomoci-003"</t>
  </si>
  <si>
    <t xml:space="preserve">?PAT: .f; s+7; v+6</t>
  </si>
  <si>
    <t xml:space="preserve">"napomáhat-001"</t>
  </si>
  <si>
    <t xml:space="preserve">"napomáhat-002"</t>
  </si>
  <si>
    <t xml:space="preserve">"napomáhat-003"</t>
  </si>
  <si>
    <t xml:space="preserve">ACT: 1; ↓když; ↓že</t>
  </si>
  <si>
    <t xml:space="preserve">"napomínat-001"</t>
  </si>
  <si>
    <t xml:space="preserve">Agent(ARG0/34), Goal(ARG1/16,ARG2/31), Impactee(ARG1/32,ARG2/5)</t>
  </si>
  <si>
    <t xml:space="preserve">ACT-&gt;ARG0/46</t>
  </si>
  <si>
    <t xml:space="preserve">ACT-&gt;Agent(ARG0/34)</t>
  </si>
  <si>
    <t xml:space="preserve">PAT-&gt;ARG1/49,ARG2/5</t>
  </si>
  <si>
    <t xml:space="preserve">PAT-&gt;Impactee(ARG1/32,ARG2/5)</t>
  </si>
  <si>
    <t xml:space="preserve">"naporcovat-001"</t>
  </si>
  <si>
    <t xml:space="preserve">"napovídat-001"</t>
  </si>
  <si>
    <t xml:space="preserve">Communicator(ARG0/417,ARG1/1), Audience_Addressee(ARG0/1,ARG2/4), Communicated(ARG0/1,ARG1/460)</t>
  </si>
  <si>
    <t xml:space="preserve">ACT-&gt;ARG0/417,ARG1/1</t>
  </si>
  <si>
    <t xml:space="preserve">ACT-&gt;Communicator(ARG0/417,ARG1/1)</t>
  </si>
  <si>
    <t xml:space="preserve">PAT-&gt;ARG0/1,ARG1/460</t>
  </si>
  <si>
    <t xml:space="preserve">PAT-&gt;Communicated(ARG0/1,ARG1/460)</t>
  </si>
  <si>
    <t xml:space="preserve">ADDR-&gt;Audience_Addressee(ARG0/1,ARG2/4)</t>
  </si>
  <si>
    <t xml:space="preserve">"napovídat-002"</t>
  </si>
  <si>
    <t xml:space="preserve">EFF: 4; ↓že; ↓zda; ↓jak-2; ↓c</t>
  </si>
  <si>
    <t xml:space="preserve">"napovídat-003"</t>
  </si>
  <si>
    <t xml:space="preserve">EFF-&gt;ARG0/1,ARG1/460</t>
  </si>
  <si>
    <t xml:space="preserve">EFF-&gt;Communicated</t>
  </si>
  <si>
    <t xml:space="preserve">EFF-&gt;Communicated(ARG0/1,ARG1/460)</t>
  </si>
  <si>
    <t xml:space="preserve">"napovědět-001"</t>
  </si>
  <si>
    <t xml:space="preserve">PAT: 4; o+6; ↓že; ↓zda; ↓c; ↓aby; ↓ať; .s</t>
  </si>
  <si>
    <t xml:space="preserve">"napočítat-001"</t>
  </si>
  <si>
    <t xml:space="preserve">"napočítat-002"</t>
  </si>
  <si>
    <t xml:space="preserve">"napracovat-001"</t>
  </si>
  <si>
    <t xml:space="preserve">"napracovat-se-001"</t>
  </si>
  <si>
    <t xml:space="preserve">"napracovávat-001"</t>
  </si>
  <si>
    <t xml:space="preserve">"napravit-001"</t>
  </si>
  <si>
    <t xml:space="preserve">"napravovat-001"</t>
  </si>
  <si>
    <t xml:space="preserve">"naprogramovat-001"</t>
  </si>
  <si>
    <t xml:space="preserve">Creator(ARG0/1), Created(ARG1/3,ARG2/1)</t>
  </si>
  <si>
    <t xml:space="preserve">PAT-&gt;ARG1/3,ARG2/1</t>
  </si>
  <si>
    <t xml:space="preserve">PAT-&gt;Created(ARG1/3,ARG2/1)</t>
  </si>
  <si>
    <t xml:space="preserve">"napršet-001"</t>
  </si>
  <si>
    <t xml:space="preserve">"napsat-001"</t>
  </si>
  <si>
    <t xml:space="preserve">"napsat-002"</t>
  </si>
  <si>
    <t xml:space="preserve">"napsat-003"</t>
  </si>
  <si>
    <t xml:space="preserve">Creator(ARG0/13), Information(ARG1/24,ARG2/8), Place()</t>
  </si>
  <si>
    <t xml:space="preserve">ACT-&gt;Creator(ARG0/13)</t>
  </si>
  <si>
    <t xml:space="preserve">PAT-&gt;ARG1/24,ARG2/8</t>
  </si>
  <si>
    <t xml:space="preserve">PAT-&gt;Information(ARG1/24,ARG2/8)</t>
  </si>
  <si>
    <t xml:space="preserve">"napsat-004"</t>
  </si>
  <si>
    <t xml:space="preserve">PAT: 4; ↓že; ↓aby</t>
  </si>
  <si>
    <t xml:space="preserve">"napsat-005"</t>
  </si>
  <si>
    <t xml:space="preserve">"napsat-006"</t>
  </si>
  <si>
    <t xml:space="preserve">Creator(ARG0/19), Created(ARG1/24)</t>
  </si>
  <si>
    <t xml:space="preserve">ACT-&gt;Creator(ARG0/19)</t>
  </si>
  <si>
    <t xml:space="preserve">PAT-&gt;Created(ARG1/24)</t>
  </si>
  <si>
    <t xml:space="preserve">"napsat-007"</t>
  </si>
  <si>
    <t xml:space="preserve">"napsat-008"</t>
  </si>
  <si>
    <t xml:space="preserve">"napsat-009"</t>
  </si>
  <si>
    <t xml:space="preserve">PAT: 4; ↓ať; ↓že; ↓aby</t>
  </si>
  <si>
    <t xml:space="preserve">"napsat-010"</t>
  </si>
  <si>
    <t xml:space="preserve">ADDR: na+4; 3</t>
  </si>
  <si>
    <t xml:space="preserve">"napsat-011"</t>
  </si>
  <si>
    <t xml:space="preserve">"napumpovat-001"</t>
  </si>
  <si>
    <t xml:space="preserve">"napustit-001"</t>
  </si>
  <si>
    <t xml:space="preserve">"napytlíkovat-001"</t>
  </si>
  <si>
    <t xml:space="preserve">"napáchat-001"</t>
  </si>
  <si>
    <t xml:space="preserve">"napájet-001"</t>
  </si>
  <si>
    <t xml:space="preserve">"napájet-002"</t>
  </si>
  <si>
    <t xml:space="preserve">Affector(ARG0/3,ARG2/64), Affected(ARG1/68)</t>
  </si>
  <si>
    <t xml:space="preserve">ACT-&gt;ARG0/3,ARG2/64</t>
  </si>
  <si>
    <t xml:space="preserve">ACT-&gt;Affector(ARG0/3,ARG2/64)</t>
  </si>
  <si>
    <t xml:space="preserve">PAT-&gt;Affected(ARG1/68)</t>
  </si>
  <si>
    <t xml:space="preserve">"napájet-003"</t>
  </si>
  <si>
    <t xml:space="preserve">"napálit-001"</t>
  </si>
  <si>
    <t xml:space="preserve">"napálit-002"</t>
  </si>
  <si>
    <t xml:space="preserve">"napéci-001"</t>
  </si>
  <si>
    <t xml:space="preserve">"napíchnout-001"</t>
  </si>
  <si>
    <t xml:space="preserve">"napínat-001"</t>
  </si>
  <si>
    <t xml:space="preserve">"napít-se-001"</t>
  </si>
  <si>
    <t xml:space="preserve">"napěchovat-se-001"</t>
  </si>
  <si>
    <t xml:space="preserve">ACT-&gt;ARG0/24,ARG1/10,ARG2/7</t>
  </si>
  <si>
    <t xml:space="preserve">ACT-&gt;Contained; ACT-&gt;Protagonist</t>
  </si>
  <si>
    <t xml:space="preserve">ACT-&gt;Contained(ARG0/1,ARG1/7,ARG2/1); ACT-&gt;Protagonist(ARG0/5,ARG2/4)</t>
  </si>
  <si>
    <t xml:space="preserve">DIR3-&gt;ARG1/15,ARG2/1</t>
  </si>
  <si>
    <t xml:space="preserve">"napřemýšlet-se-001"</t>
  </si>
  <si>
    <t xml:space="preserve">"napřáhnout-001"</t>
  </si>
  <si>
    <t xml:space="preserve">"napřít-001"</t>
  </si>
  <si>
    <t xml:space="preserve">EFF: na+4; k+3</t>
  </si>
  <si>
    <t xml:space="preserve">"napřít-002"</t>
  </si>
  <si>
    <t xml:space="preserve">"narazit-001"</t>
  </si>
  <si>
    <t xml:space="preserve">"narazit-002"</t>
  </si>
  <si>
    <t xml:space="preserve">"narazit-003"</t>
  </si>
  <si>
    <t xml:space="preserve">"narazit-004"</t>
  </si>
  <si>
    <t xml:space="preserve">ACT-&gt;ARG0/298,ARG1/19,ARG2/1</t>
  </si>
  <si>
    <t xml:space="preserve">PAT-&gt;ARG0/3,ARG1/412</t>
  </si>
  <si>
    <t xml:space="preserve">PAT-&gt;Hindrance</t>
  </si>
  <si>
    <t xml:space="preserve">PAT-&gt;Hindrance(ARG0/2,ARG1/15)</t>
  </si>
  <si>
    <t xml:space="preserve">"narazit-005"</t>
  </si>
  <si>
    <t xml:space="preserve">?PAT: u+2</t>
  </si>
  <si>
    <t xml:space="preserve">"narazit-006"</t>
  </si>
  <si>
    <t xml:space="preserve">"narazit-si-001"</t>
  </si>
  <si>
    <t xml:space="preserve">"narobit-001"</t>
  </si>
  <si>
    <t xml:space="preserve">"narodit-se-001"</t>
  </si>
  <si>
    <t xml:space="preserve">"narodit-se-002"</t>
  </si>
  <si>
    <t xml:space="preserve">Born(ARG0/1,ARG1/16), Origin(ARG0/5)</t>
  </si>
  <si>
    <t xml:space="preserve">ACT-&gt;ARG0/1,ARG1/16</t>
  </si>
  <si>
    <t xml:space="preserve">ACT-&gt;Born</t>
  </si>
  <si>
    <t xml:space="preserve">ACT-&gt;Born(ARG0/1,ARG1/16)</t>
  </si>
  <si>
    <t xml:space="preserve">PAT-&gt;ARG0/5</t>
  </si>
  <si>
    <t xml:space="preserve">PAT-&gt;Origin</t>
  </si>
  <si>
    <t xml:space="preserve">PAT-&gt;Origin(ARG0/5)</t>
  </si>
  <si>
    <t xml:space="preserve">"naroubovat-001"</t>
  </si>
  <si>
    <t xml:space="preserve">Agent(ARG0/5), Item(ARG1/6,ARG2/1), Place()</t>
  </si>
  <si>
    <t xml:space="preserve">ACT-&gt;Agent(ARG0/5)</t>
  </si>
  <si>
    <t xml:space="preserve">PAT-&gt;ARG1/6,ARG2/1</t>
  </si>
  <si>
    <t xml:space="preserve">PAT-&gt;Item(ARG1/6,ARG2/1)</t>
  </si>
  <si>
    <t xml:space="preserve">"naroubovat-002"</t>
  </si>
  <si>
    <t xml:space="preserve">Creator(ARG0/2), Component(ARG1/7), Whole()</t>
  </si>
  <si>
    <t xml:space="preserve">ACT-&gt;Creator(ARG0/2)</t>
  </si>
  <si>
    <t xml:space="preserve">PAT-&gt;Component(ARG1/7)</t>
  </si>
  <si>
    <t xml:space="preserve">"naroubovat-se-001"</t>
  </si>
  <si>
    <t xml:space="preserve">"narovnat-001"</t>
  </si>
  <si>
    <t xml:space="preserve">"narovnat-se-001"</t>
  </si>
  <si>
    <t xml:space="preserve">"narovnávat-se-001"</t>
  </si>
  <si>
    <t xml:space="preserve">Recovered(ARG1/24)</t>
  </si>
  <si>
    <t xml:space="preserve">ACT-&gt;ARG1/24</t>
  </si>
  <si>
    <t xml:space="preserve">ACT-&gt;Recovered(ARG1/24)</t>
  </si>
  <si>
    <t xml:space="preserve">"narukovat-001"</t>
  </si>
  <si>
    <t xml:space="preserve">"narukovat-002"</t>
  </si>
  <si>
    <t xml:space="preserve">"narušit-001"</t>
  </si>
  <si>
    <t xml:space="preserve">Cause(ARG0/145), Paralyzed(ARG1/198)</t>
  </si>
  <si>
    <t xml:space="preserve">Cause(ARG0/187,ARG2/83), Weakened(ARG1/356)</t>
  </si>
  <si>
    <t xml:space="preserve">ACT-&gt;ARG0/460,ARG1/3,ARG2/121</t>
  </si>
  <si>
    <t xml:space="preserve">ACT-&gt;Cause(ARG0/145)</t>
  </si>
  <si>
    <t xml:space="preserve">ACT-&gt;Cause(ARG0/187,ARG2/83)</t>
  </si>
  <si>
    <t xml:space="preserve">PAT-&gt;ARG1/777,ARG2/4</t>
  </si>
  <si>
    <t xml:space="preserve">PAT-&gt;Paralyzed</t>
  </si>
  <si>
    <t xml:space="preserve">PAT-&gt;Paralyzed(ARG1/198)</t>
  </si>
  <si>
    <t xml:space="preserve">PAT-&gt;Weakened(ARG1/356)</t>
  </si>
  <si>
    <t xml:space="preserve">"narušovat-001"</t>
  </si>
  <si>
    <t xml:space="preserve">"narážet-001"</t>
  </si>
  <si>
    <t xml:space="preserve">"narážet-002"</t>
  </si>
  <si>
    <t xml:space="preserve">"narážet-003"</t>
  </si>
  <si>
    <t xml:space="preserve">"narážet-004"</t>
  </si>
  <si>
    <t xml:space="preserve">"narážet-005"</t>
  </si>
  <si>
    <t xml:space="preserve">"narůst-001"</t>
  </si>
  <si>
    <t xml:space="preserve">"narůst-002"</t>
  </si>
  <si>
    <t xml:space="preserve">"narůstat-001"</t>
  </si>
  <si>
    <t xml:space="preserve">"nasadit-001"</t>
  </si>
  <si>
    <t xml:space="preserve">Wearer(), Worn()</t>
  </si>
  <si>
    <t xml:space="preserve">ACT-&gt;Wearer</t>
  </si>
  <si>
    <t xml:space="preserve">ACT-&gt;Wearer()</t>
  </si>
  <si>
    <t xml:space="preserve">PAT-&gt;Worn</t>
  </si>
  <si>
    <t xml:space="preserve">PAT-&gt;Worn()</t>
  </si>
  <si>
    <t xml:space="preserve">ADDR-&gt;Wearer</t>
  </si>
  <si>
    <t xml:space="preserve">ADDR-&gt;Wearer()</t>
  </si>
  <si>
    <t xml:space="preserve">"nasadit-002"</t>
  </si>
  <si>
    <t xml:space="preserve">"nasadit-003"</t>
  </si>
  <si>
    <t xml:space="preserve">"nasadit-004"</t>
  </si>
  <si>
    <t xml:space="preserve">"nasadit-005"</t>
  </si>
  <si>
    <t xml:space="preserve">"nasadit-006"</t>
  </si>
  <si>
    <t xml:space="preserve">DPHR: koruna.S4</t>
  </si>
  <si>
    <t xml:space="preserve">"nasadit-007"</t>
  </si>
  <si>
    <t xml:space="preserve">"nasadit-se-001"</t>
  </si>
  <si>
    <t xml:space="preserve">"nasazovat-001"</t>
  </si>
  <si>
    <t xml:space="preserve">"nasazovat-002"</t>
  </si>
  <si>
    <t xml:space="preserve">"nasazovat-003"</t>
  </si>
  <si>
    <t xml:space="preserve">"nasazovat-004"</t>
  </si>
  <si>
    <t xml:space="preserve">"nasazovat-005"</t>
  </si>
  <si>
    <t xml:space="preserve">"nasazovat-006"</t>
  </si>
  <si>
    <t xml:space="preserve">Protagonist(ARG0/20), Asset(ARG1/25)</t>
  </si>
  <si>
    <t xml:space="preserve">ACT-&gt;Protagonist(ARG0/20)</t>
  </si>
  <si>
    <t xml:space="preserve">DPHR: krk:S4[svůj-1:#]</t>
  </si>
  <si>
    <t xml:space="preserve">DPHR-&gt;ARG1/25</t>
  </si>
  <si>
    <t xml:space="preserve">DPHR(krk)-&gt;Asset</t>
  </si>
  <si>
    <t xml:space="preserve">DPHR(krk)-&gt;Asset(ARG1/25)</t>
  </si>
  <si>
    <t xml:space="preserve">"nasazovat-007"</t>
  </si>
  <si>
    <t xml:space="preserve">"nasbírat-001"</t>
  </si>
  <si>
    <t xml:space="preserve">"nasbírat-002"</t>
  </si>
  <si>
    <t xml:space="preserve">CPHR: {informace,odvaha,poznatek,zkušenost,...}.4</t>
  </si>
  <si>
    <t xml:space="preserve">"nasbírat-003"</t>
  </si>
  <si>
    <t xml:space="preserve">"nasedat-001"</t>
  </si>
  <si>
    <t xml:space="preserve">"nasedlat-001"</t>
  </si>
  <si>
    <t xml:space="preserve">"nasednout-001"</t>
  </si>
  <si>
    <t xml:space="preserve">"nasekat-001"</t>
  </si>
  <si>
    <t xml:space="preserve">"nasekat-002"</t>
  </si>
  <si>
    <t xml:space="preserve">"naservírovat-001"</t>
  </si>
  <si>
    <t xml:space="preserve">"nashromáždit-001"</t>
  </si>
  <si>
    <t xml:space="preserve">"naskakovat-001"</t>
  </si>
  <si>
    <t xml:space="preserve">"naskakovat-002"</t>
  </si>
  <si>
    <t xml:space="preserve">Emerging(ARG1/10)</t>
  </si>
  <si>
    <t xml:space="preserve">ACT-&gt;Emerging(ARG1/10)</t>
  </si>
  <si>
    <t xml:space="preserve">"naskakovat-003"</t>
  </si>
  <si>
    <t xml:space="preserve">DPHR: kůže:S1[husí:#]</t>
  </si>
  <si>
    <t xml:space="preserve">"naskautovat-001"</t>
  </si>
  <si>
    <t xml:space="preserve">"naskenovat-001"</t>
  </si>
  <si>
    <t xml:space="preserve">"naskicovat-001"</t>
  </si>
  <si>
    <t xml:space="preserve">"naskládat-001"</t>
  </si>
  <si>
    <t xml:space="preserve">"naskočit-001"</t>
  </si>
  <si>
    <t xml:space="preserve">"naskočit-002"</t>
  </si>
  <si>
    <t xml:space="preserve">"naskočit-003"</t>
  </si>
  <si>
    <t xml:space="preserve">"naskytnout-se-001"</t>
  </si>
  <si>
    <t xml:space="preserve">"naskytnout-se-002"</t>
  </si>
  <si>
    <t xml:space="preserve">CPHR: {možnost,podívaná,příležitost,výhled,...}.1</t>
  </si>
  <si>
    <t xml:space="preserve">"naskytnout-se-003"</t>
  </si>
  <si>
    <t xml:space="preserve">CPHR: {pochopení}.1</t>
  </si>
  <si>
    <t xml:space="preserve">"naskákat-se-001"</t>
  </si>
  <si>
    <t xml:space="preserve">"naskýtat-se-001"</t>
  </si>
  <si>
    <t xml:space="preserve">"naskýtat-se-002"</t>
  </si>
  <si>
    <t xml:space="preserve">CPHR: {možnost,výhled,...}.1</t>
  </si>
  <si>
    <t xml:space="preserve">"naslinit-001"</t>
  </si>
  <si>
    <t xml:space="preserve">"naslouchat-001"</t>
  </si>
  <si>
    <t xml:space="preserve">Perceiver(ARG0/21), Phenomenon(ARG1/22)</t>
  </si>
  <si>
    <t xml:space="preserve">ACT-&gt;Perceiver(ARG0/21)</t>
  </si>
  <si>
    <t xml:space="preserve">PAT: 3; ↓zda; ↓jestli; ↓c</t>
  </si>
  <si>
    <t xml:space="preserve">PAT-&gt;Phenomenon(ARG1/22)</t>
  </si>
  <si>
    <t xml:space="preserve">"nasluhovat-001"</t>
  </si>
  <si>
    <t xml:space="preserve">"nasmlouvat-001"</t>
  </si>
  <si>
    <t xml:space="preserve">"nasmát-se-001"</t>
  </si>
  <si>
    <t xml:space="preserve">?PAT: 3; nad+7</t>
  </si>
  <si>
    <t xml:space="preserve">"nasměrovat-001"</t>
  </si>
  <si>
    <t xml:space="preserve">DIR3-&gt;ARG1/19,ARG2/98</t>
  </si>
  <si>
    <t xml:space="preserve">DIR3-&gt;Goal(ARG1/19,ARG2/98)</t>
  </si>
  <si>
    <t xml:space="preserve">"nasměrovat-002"</t>
  </si>
  <si>
    <t xml:space="preserve">"nasměrovat-003"</t>
  </si>
  <si>
    <t xml:space="preserve">"nasměrovávat-001"</t>
  </si>
  <si>
    <t xml:space="preserve">"nasnídat-se-001"</t>
  </si>
  <si>
    <t xml:space="preserve">"nasněžit-001"</t>
  </si>
  <si>
    <t xml:space="preserve">"naspořit-001"</t>
  </si>
  <si>
    <t xml:space="preserve">"nastartovat-001"</t>
  </si>
  <si>
    <t xml:space="preserve">"nastat-001"</t>
  </si>
  <si>
    <t xml:space="preserve">"nastavit-001"</t>
  </si>
  <si>
    <t xml:space="preserve">"nastavit-002"</t>
  </si>
  <si>
    <t xml:space="preserve">"nastavit-003"</t>
  </si>
  <si>
    <t xml:space="preserve">"nastavit-004"</t>
  </si>
  <si>
    <t xml:space="preserve">DPHR: zrcadlo.S4</t>
  </si>
  <si>
    <t xml:space="preserve">"nastavit-005"</t>
  </si>
  <si>
    <t xml:space="preserve">"nastavovat-001"</t>
  </si>
  <si>
    <t xml:space="preserve">"nastavovat-002"</t>
  </si>
  <si>
    <t xml:space="preserve">"nastavovat-003"</t>
  </si>
  <si>
    <t xml:space="preserve">"nastavět-001"</t>
  </si>
  <si>
    <t xml:space="preserve">"nastiňovat-001"</t>
  </si>
  <si>
    <t xml:space="preserve">ACT-&gt;ARG0/53</t>
  </si>
  <si>
    <t xml:space="preserve">"nastolit-001"</t>
  </si>
  <si>
    <t xml:space="preserve">"nastolovat-001"</t>
  </si>
  <si>
    <t xml:space="preserve">"nastoupit-001"</t>
  </si>
  <si>
    <t xml:space="preserve">PAT: 4; na+4; do+2; k+3</t>
  </si>
  <si>
    <t xml:space="preserve">PAT-&gt;Group</t>
  </si>
  <si>
    <t xml:space="preserve">PAT-&gt;Group(ARG1/232)</t>
  </si>
  <si>
    <t xml:space="preserve">"nastoupit-002"</t>
  </si>
  <si>
    <t xml:space="preserve">"nastoupit-003"</t>
  </si>
  <si>
    <t xml:space="preserve">"nastoupit-004"</t>
  </si>
  <si>
    <t xml:space="preserve">DIR3-&gt;ARG1/232</t>
  </si>
  <si>
    <t xml:space="preserve">DIR3-&gt;Group</t>
  </si>
  <si>
    <t xml:space="preserve">DIR3-&gt;Group(ARG1/232)</t>
  </si>
  <si>
    <t xml:space="preserve">"nastoupit-005"</t>
  </si>
  <si>
    <t xml:space="preserve">?PAT: na+4,do+2</t>
  </si>
  <si>
    <t xml:space="preserve">"nastražit-001"</t>
  </si>
  <si>
    <t xml:space="preserve">"nastrkat-001"</t>
  </si>
  <si>
    <t xml:space="preserve">"nastrojit-001"</t>
  </si>
  <si>
    <t xml:space="preserve">"nastrouhat-001"</t>
  </si>
  <si>
    <t xml:space="preserve">"nastrčit-001"</t>
  </si>
  <si>
    <t xml:space="preserve">"nastrčit-002"</t>
  </si>
  <si>
    <t xml:space="preserve">"nastudovat-001"</t>
  </si>
  <si>
    <t xml:space="preserve">"nastudovat-002"</t>
  </si>
  <si>
    <t xml:space="preserve">"nastupovat-001"</t>
  </si>
  <si>
    <t xml:space="preserve">"nastupovat-002"</t>
  </si>
  <si>
    <t xml:space="preserve">"nastupovat-003"</t>
  </si>
  <si>
    <t xml:space="preserve">"nastupovat-004"</t>
  </si>
  <si>
    <t xml:space="preserve">"nastydnout-001"</t>
  </si>
  <si>
    <t xml:space="preserve">"nastávat-001"</t>
  </si>
  <si>
    <t xml:space="preserve">"nastínit-001"</t>
  </si>
  <si>
    <t xml:space="preserve">"nastěhovat-001"</t>
  </si>
  <si>
    <t xml:space="preserve">"nastěhovat-se-001"</t>
  </si>
  <si>
    <t xml:space="preserve">"nastřelit-001"</t>
  </si>
  <si>
    <t xml:space="preserve">"nastřihávat-001"</t>
  </si>
  <si>
    <t xml:space="preserve">"nastříkat-001"</t>
  </si>
  <si>
    <t xml:space="preserve">"nastříkat-002"</t>
  </si>
  <si>
    <t xml:space="preserve">"nastřílet-001"</t>
  </si>
  <si>
    <t xml:space="preserve">"nastřílet-002"</t>
  </si>
  <si>
    <t xml:space="preserve">"nasušit-001"</t>
  </si>
  <si>
    <t xml:space="preserve">"nasvědčovat-001"</t>
  </si>
  <si>
    <t xml:space="preserve">PAT: 3; ↓že; ↓c</t>
  </si>
  <si>
    <t xml:space="preserve">"nasycovat-se-001"</t>
  </si>
  <si>
    <t xml:space="preserve">"nasypat-001"</t>
  </si>
  <si>
    <t xml:space="preserve">"nasytit-001"</t>
  </si>
  <si>
    <t xml:space="preserve">"nasát-001"</t>
  </si>
  <si>
    <t xml:space="preserve">"nasávat-001"</t>
  </si>
  <si>
    <t xml:space="preserve">"nasávat-002"</t>
  </si>
  <si>
    <t xml:space="preserve">"nasázet-001"</t>
  </si>
  <si>
    <t xml:space="preserve">"nasčítat-001"</t>
  </si>
  <si>
    <t xml:space="preserve">"nasčítat-002"</t>
  </si>
  <si>
    <t xml:space="preserve">"natahovat-001"</t>
  </si>
  <si>
    <t xml:space="preserve">"natahovat-002"</t>
  </si>
  <si>
    <t xml:space="preserve">"natahovat-003"</t>
  </si>
  <si>
    <t xml:space="preserve">"natahovat-se-001"</t>
  </si>
  <si>
    <t xml:space="preserve">"natankovat-001"</t>
  </si>
  <si>
    <t xml:space="preserve">"natlačit-se-001"</t>
  </si>
  <si>
    <t xml:space="preserve">"natlouci-001"</t>
  </si>
  <si>
    <t xml:space="preserve">"natlouci-002"</t>
  </si>
  <si>
    <t xml:space="preserve">"natočit-001"</t>
  </si>
  <si>
    <t xml:space="preserve">"natočit-002"</t>
  </si>
  <si>
    <t xml:space="preserve">"natočit-003"</t>
  </si>
  <si>
    <t xml:space="preserve">"natrefit-001"</t>
  </si>
  <si>
    <t xml:space="preserve">"natrhat-001"</t>
  </si>
  <si>
    <t xml:space="preserve">"natrhnout-001"</t>
  </si>
  <si>
    <t xml:space="preserve">"natrénovat-001"</t>
  </si>
  <si>
    <t xml:space="preserve">"naturalizovat-se-001"</t>
  </si>
  <si>
    <t xml:space="preserve">"natáhnout-001"</t>
  </si>
  <si>
    <t xml:space="preserve">Affector(ARG0/2), Item(ARG1/1)</t>
  </si>
  <si>
    <t xml:space="preserve">ACT-&gt;Affector(ARG0/2)</t>
  </si>
  <si>
    <t xml:space="preserve">PAT-&gt;Item(ARG1/1)</t>
  </si>
  <si>
    <t xml:space="preserve">"natáhnout-002"</t>
  </si>
  <si>
    <t xml:space="preserve">"natáhnout-003"</t>
  </si>
  <si>
    <t xml:space="preserve">"natáhnout-004"</t>
  </si>
  <si>
    <t xml:space="preserve">"natáhnout-se-001"</t>
  </si>
  <si>
    <t xml:space="preserve">"natáhnout-se-002"</t>
  </si>
  <si>
    <t xml:space="preserve">"natáčet-001"</t>
  </si>
  <si>
    <t xml:space="preserve">"natáčet-002"</t>
  </si>
  <si>
    <t xml:space="preserve">"--natáčet-003"</t>
  </si>
  <si>
    <t xml:space="preserve">"natéci-001"</t>
  </si>
  <si>
    <t xml:space="preserve">"natéci-002"</t>
  </si>
  <si>
    <t xml:space="preserve">"natírat-001"</t>
  </si>
  <si>
    <t xml:space="preserve">"natěsnat-se-001"</t>
  </si>
  <si>
    <t xml:space="preserve">"natěsnat-se-002"</t>
  </si>
  <si>
    <t xml:space="preserve">ACT-&gt;ARG0/22,ARG1/7,ARG2/2</t>
  </si>
  <si>
    <t xml:space="preserve">"natřepat-001"</t>
  </si>
  <si>
    <t xml:space="preserve">"natřít-001"</t>
  </si>
  <si>
    <t xml:space="preserve">"natřít-002"</t>
  </si>
  <si>
    <t xml:space="preserve">"naučit-001"</t>
  </si>
  <si>
    <t xml:space="preserve">Authority(ARG0/37), Knowledge(ARG1/40,ARG2/11), Impactee(ARG1/13,ARG2/19)</t>
  </si>
  <si>
    <t xml:space="preserve">ACT-&gt;Authority(ARG0/37)</t>
  </si>
  <si>
    <t xml:space="preserve">PAT: 4; 3; .f; ↓aby; ↓že; ↓c</t>
  </si>
  <si>
    <t xml:space="preserve">PAT-&gt;ARG1/40,ARG2/11</t>
  </si>
  <si>
    <t xml:space="preserve">PAT-&gt;Knowledge</t>
  </si>
  <si>
    <t xml:space="preserve">PAT-&gt;Knowledge(ARG1/40,ARG2/11)</t>
  </si>
  <si>
    <t xml:space="preserve">ADDR-&gt;ARG1/13,ARG2/19</t>
  </si>
  <si>
    <t xml:space="preserve">ADDR-&gt;Impactee(ARG1/13,ARG2/19)</t>
  </si>
  <si>
    <t xml:space="preserve">"naučit-se-001"</t>
  </si>
  <si>
    <t xml:space="preserve">"naučit-se-002"</t>
  </si>
  <si>
    <t xml:space="preserve">"navalit-se-001"</t>
  </si>
  <si>
    <t xml:space="preserve">ACT-&gt;ARG0/11,ARG1/1,ARG2/5</t>
  </si>
  <si>
    <t xml:space="preserve">PAT-&gt;ARG1/30,ARG2/1</t>
  </si>
  <si>
    <t xml:space="preserve">PAT-&gt;Affected(ARG1/30,ARG2/1)</t>
  </si>
  <si>
    <t xml:space="preserve">"navazovat-001"</t>
  </si>
  <si>
    <t xml:space="preserve">"navazovat-002"</t>
  </si>
  <si>
    <t xml:space="preserve">"navazovat-003"</t>
  </si>
  <si>
    <t xml:space="preserve">CPHR: {dialog,kontakt,přátelství,smlouva,spojení,spolupráce,styk,vztah,známost,...}.4</t>
  </si>
  <si>
    <t xml:space="preserve">"navazovat-004"</t>
  </si>
  <si>
    <t xml:space="preserve">"navařit-001"</t>
  </si>
  <si>
    <t xml:space="preserve">"navařit-002"</t>
  </si>
  <si>
    <t xml:space="preserve">"naverbovat-001"</t>
  </si>
  <si>
    <t xml:space="preserve">"navečeřet-se-001"</t>
  </si>
  <si>
    <t xml:space="preserve">"navlhnout-001"</t>
  </si>
  <si>
    <t xml:space="preserve">"navlékat-001"</t>
  </si>
  <si>
    <t xml:space="preserve">"navlékat-002"</t>
  </si>
  <si>
    <t xml:space="preserve">"navléknout-001"</t>
  </si>
  <si>
    <t xml:space="preserve">"navléknout-002"</t>
  </si>
  <si>
    <t xml:space="preserve">"navléknout-003"</t>
  </si>
  <si>
    <t xml:space="preserve">"--navlíknout-001"</t>
  </si>
  <si>
    <t xml:space="preserve">"navlíknout-002"</t>
  </si>
  <si>
    <t xml:space="preserve">"navlíknout-003"</t>
  </si>
  <si>
    <t xml:space="preserve">"navodit-001"</t>
  </si>
  <si>
    <t xml:space="preserve">"navodit-002"</t>
  </si>
  <si>
    <t xml:space="preserve">CPHR: {dojem,imunita,nostalgie,pocit,pohoršení,touha,...}.4</t>
  </si>
  <si>
    <t xml:space="preserve">"navonět-001"</t>
  </si>
  <si>
    <t xml:space="preserve">"navozit-001"</t>
  </si>
  <si>
    <t xml:space="preserve">"navozovat-001"</t>
  </si>
  <si>
    <t xml:space="preserve">CPHR: {atmosféra,dojem,imunita,myšlenka,nestálost,nostalgie,pocit,pohoršení,představa,touha,...}.4</t>
  </si>
  <si>
    <t xml:space="preserve">"navracet-001"</t>
  </si>
  <si>
    <t xml:space="preserve">Borrower(ARG0/93), Borrowed(ARG1/178,ARG2/2), Lender(ARG1/1,ARG2/17)</t>
  </si>
  <si>
    <t xml:space="preserve">ACT-&gt;ARG0/93</t>
  </si>
  <si>
    <t xml:space="preserve">ACT-&gt;Borrower</t>
  </si>
  <si>
    <t xml:space="preserve">ACT-&gt;Borrower(ARG0/93)</t>
  </si>
  <si>
    <t xml:space="preserve">PAT-&gt;ARG1/178,ARG2/2</t>
  </si>
  <si>
    <t xml:space="preserve">PAT-&gt;Borrowed</t>
  </si>
  <si>
    <t xml:space="preserve">PAT-&gt;Borrowed(ARG1/178,ARG2/2)</t>
  </si>
  <si>
    <t xml:space="preserve">ADDR-&gt;ARG1/1,ARG2/17</t>
  </si>
  <si>
    <t xml:space="preserve">ADDR-&gt;Lender</t>
  </si>
  <si>
    <t xml:space="preserve">ADDR-&gt;Lender(ARG1/1,ARG2/17)</t>
  </si>
  <si>
    <t xml:space="preserve">"navracet-002"</t>
  </si>
  <si>
    <t xml:space="preserve">Authority(ARG0/1), Person(ARG1/5), Place_initial()</t>
  </si>
  <si>
    <t xml:space="preserve">ACT-&gt;ARG0/94</t>
  </si>
  <si>
    <t xml:space="preserve">ACT-&gt;Authority(ARG0/1)</t>
  </si>
  <si>
    <t xml:space="preserve">PAT-&gt;ARG1/183,ARG2/2</t>
  </si>
  <si>
    <t xml:space="preserve">PAT-&gt;Person</t>
  </si>
  <si>
    <t xml:space="preserve">PAT-&gt;Person(ARG1/5)</t>
  </si>
  <si>
    <t xml:space="preserve">DIR3-&gt;ARG1/1,ARG2/17</t>
  </si>
  <si>
    <t xml:space="preserve">DIR3-&gt;Lender</t>
  </si>
  <si>
    <t xml:space="preserve">DIR3-&gt;Lender(ARG1/1,ARG2/17)</t>
  </si>
  <si>
    <t xml:space="preserve">DIR3-&gt;Place_initial</t>
  </si>
  <si>
    <t xml:space="preserve">DIR3-&gt;Place_initial()</t>
  </si>
  <si>
    <t xml:space="preserve">"navracet-se-001"</t>
  </si>
  <si>
    <t xml:space="preserve">Protagonist(ARG0/6,ARG1/28), State_initial(ARG1/5)</t>
  </si>
  <si>
    <t xml:space="preserve">ACT-&gt;ARG0/6,ARG1/28</t>
  </si>
  <si>
    <t xml:space="preserve">ACT-&gt;Protagonist(ARG0/6,ARG1/28)</t>
  </si>
  <si>
    <t xml:space="preserve">DIR3-&gt;ARG1/5</t>
  </si>
  <si>
    <t xml:space="preserve">DIR3-&gt;State_initial</t>
  </si>
  <si>
    <t xml:space="preserve">DIR3-&gt;State_initial(ARG1/5)</t>
  </si>
  <si>
    <t xml:space="preserve">"navracet-se-002"</t>
  </si>
  <si>
    <t xml:space="preserve">"navrhnout-001"</t>
  </si>
  <si>
    <t xml:space="preserve">PAT: 4; ↓že; ↓zda; ↓aby; ↓ať; .f; ↓c; .s</t>
  </si>
  <si>
    <t xml:space="preserve">ADDR-&gt;ARG1/3,ARG2/16,ARG3/7</t>
  </si>
  <si>
    <t xml:space="preserve">ADDR-&gt;Impactee(ARG1/3,ARG2/16,ARG3/7)</t>
  </si>
  <si>
    <t xml:space="preserve">"navrhnout-002"</t>
  </si>
  <si>
    <t xml:space="preserve">"navrhnout-003"</t>
  </si>
  <si>
    <t xml:space="preserve">Proposer(ARG0/5), Proposed(ARG1/9), Function()</t>
  </si>
  <si>
    <t xml:space="preserve">ACT-&gt;Proposer(ARG0/5)</t>
  </si>
  <si>
    <t xml:space="preserve">PAT-&gt;Proposed(ARG1/9)</t>
  </si>
  <si>
    <t xml:space="preserve">?EFF: na+4; za+4</t>
  </si>
  <si>
    <t xml:space="preserve">EFF-&gt;Function()</t>
  </si>
  <si>
    <t xml:space="preserve">"navrhnout-004"</t>
  </si>
  <si>
    <t xml:space="preserve">"navrhovat-001"</t>
  </si>
  <si>
    <t xml:space="preserve">"navrhovat-002"</t>
  </si>
  <si>
    <t xml:space="preserve">"navrhovat-003"</t>
  </si>
  <si>
    <t xml:space="preserve">"navrhovat-004"</t>
  </si>
  <si>
    <t xml:space="preserve">"navrtat-001"</t>
  </si>
  <si>
    <t xml:space="preserve">"navrtávat-001"</t>
  </si>
  <si>
    <t xml:space="preserve">"navrátit-001"</t>
  </si>
  <si>
    <t xml:space="preserve">"navrátit-002"</t>
  </si>
  <si>
    <t xml:space="preserve">"navrátit-se-001"</t>
  </si>
  <si>
    <t xml:space="preserve">"navrátit-se-002"</t>
  </si>
  <si>
    <t xml:space="preserve">PAT-&gt;State_initial</t>
  </si>
  <si>
    <t xml:space="preserve">PAT-&gt;State_initial(ARG1/5)</t>
  </si>
  <si>
    <t xml:space="preserve">"navršit-001"</t>
  </si>
  <si>
    <t xml:space="preserve">"navršit-002"</t>
  </si>
  <si>
    <t xml:space="preserve">"navršit-003"</t>
  </si>
  <si>
    <t xml:space="preserve">"navršit-se-001"</t>
  </si>
  <si>
    <t xml:space="preserve">"navršovat-001"</t>
  </si>
  <si>
    <t xml:space="preserve">"navyknout-si-001"</t>
  </si>
  <si>
    <t xml:space="preserve">"navyšovat-001"</t>
  </si>
  <si>
    <t xml:space="preserve">"navzdouvat-se-001"</t>
  </si>
  <si>
    <t xml:space="preserve">"navádět-001"</t>
  </si>
  <si>
    <t xml:space="preserve">"navádět-002"</t>
  </si>
  <si>
    <t xml:space="preserve">?PAT: k+3; ↓aby; ↓ať; .s; ↓c</t>
  </si>
  <si>
    <t xml:space="preserve">"navázat-001"</t>
  </si>
  <si>
    <t xml:space="preserve">"navázat-002"</t>
  </si>
  <si>
    <t xml:space="preserve">Subsequent(ARG0/2,ARG1/3), Time(ARG1/2)</t>
  </si>
  <si>
    <t xml:space="preserve">ACT-&gt;Subsequent</t>
  </si>
  <si>
    <t xml:space="preserve">ACT-&gt;Subsequent(ARG0/2,ARG1/3)</t>
  </si>
  <si>
    <t xml:space="preserve">PAT-&gt;Time</t>
  </si>
  <si>
    <t xml:space="preserve">PAT-&gt;Time(ARG1/2)</t>
  </si>
  <si>
    <t xml:space="preserve">"navázat-003"</t>
  </si>
  <si>
    <t xml:space="preserve">CPHR: {dialog,kontakt,přátelství,smlouva,spojení,spolupráce,styk,vztah,...}.4</t>
  </si>
  <si>
    <t xml:space="preserve">"navázat-004"</t>
  </si>
  <si>
    <t xml:space="preserve">"navázat-005"</t>
  </si>
  <si>
    <t xml:space="preserve">"navážet-001"</t>
  </si>
  <si>
    <t xml:space="preserve">"navážet-se-001"</t>
  </si>
  <si>
    <t xml:space="preserve">"navést-001"</t>
  </si>
  <si>
    <t xml:space="preserve">"navést-002"</t>
  </si>
  <si>
    <t xml:space="preserve">"navézt-001"</t>
  </si>
  <si>
    <t xml:space="preserve">Transporter(ARG0/24), Transported(ARG1/29,ARG3/1), Area_1(), Area_2()</t>
  </si>
  <si>
    <t xml:space="preserve">PAT-&gt;ARG0/1,ARG1/248,ARG2/1,ARG3/1</t>
  </si>
  <si>
    <t xml:space="preserve">PAT-&gt;Transported(ARG1/29,ARG3/1)</t>
  </si>
  <si>
    <t xml:space="preserve">"navíjet-001"</t>
  </si>
  <si>
    <t xml:space="preserve">"navýšit-001"</t>
  </si>
  <si>
    <t xml:space="preserve">"navýšit-002"</t>
  </si>
  <si>
    <t xml:space="preserve">"navýšit-se-001"</t>
  </si>
  <si>
    <t xml:space="preserve">"navěsit-001"</t>
  </si>
  <si>
    <t xml:space="preserve">"navštívit-001"</t>
  </si>
  <si>
    <t xml:space="preserve">PAT-&gt;ARG1/81,ARG4/3</t>
  </si>
  <si>
    <t xml:space="preserve">PAT-&gt;Visited(ARG1/81,ARG4/3)</t>
  </si>
  <si>
    <t xml:space="preserve">"navštívit-002"</t>
  </si>
  <si>
    <t xml:space="preserve">"navštěvovat-001"</t>
  </si>
  <si>
    <t xml:space="preserve">"navštěvovat-002"</t>
  </si>
  <si>
    <t xml:space="preserve">"--navštěvovat-se-001"</t>
  </si>
  <si>
    <t xml:space="preserve">"naznačit-001"</t>
  </si>
  <si>
    <t xml:space="preserve">Speaker(ARG0/215), Information(ARG1/245), Audience_Addressee(ARG2/1)</t>
  </si>
  <si>
    <t xml:space="preserve">ACT-&gt;ARG0/632,ARG1/1</t>
  </si>
  <si>
    <t xml:space="preserve">ACT-&gt;Speaker(ARG0/215)</t>
  </si>
  <si>
    <t xml:space="preserve">PAT-&gt;ARG0/1,ARG1/705</t>
  </si>
  <si>
    <t xml:space="preserve">PAT-&gt;Information(ARG1/245)</t>
  </si>
  <si>
    <t xml:space="preserve">ADDR-&gt;ARG0/1,ARG2/5</t>
  </si>
  <si>
    <t xml:space="preserve">"naznačovat-001"</t>
  </si>
  <si>
    <t xml:space="preserve">"naznačovat-002"</t>
  </si>
  <si>
    <t xml:space="preserve">EFF-&gt;ARG0/1,ARG1/705</t>
  </si>
  <si>
    <t xml:space="preserve">EFF-&gt;Information(ARG1/245)</t>
  </si>
  <si>
    <t xml:space="preserve">"nazout-001"</t>
  </si>
  <si>
    <t xml:space="preserve">"nazpívat-001"</t>
  </si>
  <si>
    <t xml:space="preserve">"nazrát-001"</t>
  </si>
  <si>
    <t xml:space="preserve">ACT-&gt;ARG0/2,ARG1/243</t>
  </si>
  <si>
    <t xml:space="preserve">"nazvat-001"</t>
  </si>
  <si>
    <t xml:space="preserve">ACT-&gt;Namer</t>
  </si>
  <si>
    <t xml:space="preserve">ACT-&gt;Namer(ARG0/200)</t>
  </si>
  <si>
    <t xml:space="preserve">PAT-&gt;ARG1/232,ARG2/3</t>
  </si>
  <si>
    <t xml:space="preserve">PAT-&gt;Named</t>
  </si>
  <si>
    <t xml:space="preserve">PAT-&gt;Named(ARG1/232,ARG2/3)</t>
  </si>
  <si>
    <t xml:space="preserve">EFF: 1; 7</t>
  </si>
  <si>
    <t xml:space="preserve">EFF-&gt;ARG1/1,ARG2/382,ARG3/10</t>
  </si>
  <si>
    <t xml:space="preserve">EFF-&gt;Name</t>
  </si>
  <si>
    <t xml:space="preserve">EFF-&gt;Name(ARG1/1,ARG2/382,ARG3/10)</t>
  </si>
  <si>
    <t xml:space="preserve">"nazvat-002"</t>
  </si>
  <si>
    <t xml:space="preserve">MANN-&gt;ARG1/1,ARG2/382,ARG3/10</t>
  </si>
  <si>
    <t xml:space="preserve">MANN-&gt;Name</t>
  </si>
  <si>
    <t xml:space="preserve">MANN-&gt;Name(ARG1/1,ARG2/382,ARG3/10)</t>
  </si>
  <si>
    <t xml:space="preserve">"nazírat-001"</t>
  </si>
  <si>
    <t xml:space="preserve">"nazývat-001"</t>
  </si>
  <si>
    <t xml:space="preserve">"nazývat-002"</t>
  </si>
  <si>
    <t xml:space="preserve">"nazývat-se-001"</t>
  </si>
  <si>
    <t xml:space="preserve">PAT: 1; 7</t>
  </si>
  <si>
    <t xml:space="preserve">"nazývat-se-002"</t>
  </si>
  <si>
    <t xml:space="preserve">"naúčtovat-001"</t>
  </si>
  <si>
    <t xml:space="preserve">"načančat-001"</t>
  </si>
  <si>
    <t xml:space="preserve">"načapat-001"</t>
  </si>
  <si>
    <t xml:space="preserve">"načasovat-001"</t>
  </si>
  <si>
    <t xml:space="preserve">"načasovat-002"</t>
  </si>
  <si>
    <t xml:space="preserve">"načechrat-001"</t>
  </si>
  <si>
    <t xml:space="preserve">"načepovat-001"</t>
  </si>
  <si>
    <t xml:space="preserve">"načepovat-002"</t>
  </si>
  <si>
    <t xml:space="preserve">"načerpat-001"</t>
  </si>
  <si>
    <t xml:space="preserve">?ORIG: z+2; na+6; od+2</t>
  </si>
  <si>
    <t xml:space="preserve">"načesat-001"</t>
  </si>
  <si>
    <t xml:space="preserve">"načmárat-001"</t>
  </si>
  <si>
    <t xml:space="preserve">"načrtnout-001"</t>
  </si>
  <si>
    <t xml:space="preserve">"načrtávat-001"</t>
  </si>
  <si>
    <t xml:space="preserve">"načíst-001"</t>
  </si>
  <si>
    <t xml:space="preserve">"načít-001"</t>
  </si>
  <si>
    <t xml:space="preserve">"načítat-001"</t>
  </si>
  <si>
    <t xml:space="preserve">"nařezat-001"</t>
  </si>
  <si>
    <t xml:space="preserve">Destroyer(ARG0/38), Destroyed(ARG1/79), Component(ARG2/2,ARG3/1)</t>
  </si>
  <si>
    <t xml:space="preserve">ACT-&gt;ARG0/55,ARG1/6</t>
  </si>
  <si>
    <t xml:space="preserve">ACT-&gt;Destroyer(ARG0/38)</t>
  </si>
  <si>
    <t xml:space="preserve">PAT-&gt;ARG1/116,ARG2/2</t>
  </si>
  <si>
    <t xml:space="preserve">PAT-&gt;Destroyed(ARG1/79)</t>
  </si>
  <si>
    <t xml:space="preserve">EFF-&gt;ARG1/2,ARG2/17,ARG3/1</t>
  </si>
  <si>
    <t xml:space="preserve">EFF-&gt;Component(ARG2/2,ARG3/1)</t>
  </si>
  <si>
    <t xml:space="preserve">"nařizovat-001"</t>
  </si>
  <si>
    <t xml:space="preserve">"nařizovat-002"</t>
  </si>
  <si>
    <t xml:space="preserve">"nařknout-001"</t>
  </si>
  <si>
    <t xml:space="preserve">?PAT: z+2; ↓že</t>
  </si>
  <si>
    <t xml:space="preserve">"nařídit-001"</t>
  </si>
  <si>
    <t xml:space="preserve">"nařídit-002"</t>
  </si>
  <si>
    <t xml:space="preserve">"naříkat-001"</t>
  </si>
  <si>
    <t xml:space="preserve">ACT-&gt;ARG0/113,ARG1/1</t>
  </si>
  <si>
    <t xml:space="preserve">PAT-&gt;ARG1/100</t>
  </si>
  <si>
    <t xml:space="preserve">"naříznout-001"</t>
  </si>
  <si>
    <t xml:space="preserve">"našeptávat-001"</t>
  </si>
  <si>
    <t xml:space="preserve">EFF: 4; ↓že; ↓ať; ↓aby; ↓jestli; ↓zda; .s; ↓c</t>
  </si>
  <si>
    <t xml:space="preserve">"našetřit-001"</t>
  </si>
  <si>
    <t xml:space="preserve">Collector(ARG0/16,ARG3/4), Money(ARG1/27)</t>
  </si>
  <si>
    <t xml:space="preserve">ACT-&gt;ARG0/16,ARG3/4</t>
  </si>
  <si>
    <t xml:space="preserve">ACT-&gt;Collector(ARG0/16,ARG3/4)</t>
  </si>
  <si>
    <t xml:space="preserve">PAT-&gt;Money(ARG1/27)</t>
  </si>
  <si>
    <t xml:space="preserve">"našlapat-001"</t>
  </si>
  <si>
    <t xml:space="preserve">"našlapat-002"</t>
  </si>
  <si>
    <t xml:space="preserve">"našlapovat-001"</t>
  </si>
  <si>
    <t xml:space="preserve">"našlápnout-001"</t>
  </si>
  <si>
    <t xml:space="preserve">"našlápnout-002"</t>
  </si>
  <si>
    <t xml:space="preserve">"naštvat-001"</t>
  </si>
  <si>
    <t xml:space="preserve">Stimulus(ARG0/14), Attitudal(ARG1/18)</t>
  </si>
  <si>
    <t xml:space="preserve">Stimulus(ARG0/1,ARG1/2), Attitudal(ARG0/5,ARG1/2)</t>
  </si>
  <si>
    <t xml:space="preserve">ACT-&gt;ARG0/15,ARG1/2</t>
  </si>
  <si>
    <t xml:space="preserve">ACT-&gt;Stimulus(ARG0/14)</t>
  </si>
  <si>
    <t xml:space="preserve">ACT-&gt;Stimulus(ARG0/1,ARG1/2)</t>
  </si>
  <si>
    <t xml:space="preserve">PAT-&gt;ARG0/5,ARG1/20</t>
  </si>
  <si>
    <t xml:space="preserve">PAT-&gt;Attitudal(ARG1/18)</t>
  </si>
  <si>
    <t xml:space="preserve">PAT-&gt;Attitudal(ARG0/5,ARG1/2)</t>
  </si>
  <si>
    <t xml:space="preserve">"našít-001"</t>
  </si>
  <si>
    <t xml:space="preserve">"naťukat-001"</t>
  </si>
  <si>
    <t xml:space="preserve">"nažehlit-001"</t>
  </si>
  <si>
    <t xml:space="preserve">"nažrat-001"</t>
  </si>
  <si>
    <t xml:space="preserve">"nažrat-se-001"</t>
  </si>
  <si>
    <t xml:space="preserve">"nechat-001"</t>
  </si>
  <si>
    <t xml:space="preserve">"nechat-002"</t>
  </si>
  <si>
    <t xml:space="preserve">Authority(), Issue(), Undergoer()</t>
  </si>
  <si>
    <t xml:space="preserve">PAT-&gt;Issue()</t>
  </si>
  <si>
    <t xml:space="preserve">ADDR: na+6</t>
  </si>
  <si>
    <t xml:space="preserve">ADDR-&gt;Undergoer()</t>
  </si>
  <si>
    <t xml:space="preserve">"nechat-003"</t>
  </si>
  <si>
    <t xml:space="preserve">"nechat-004"</t>
  </si>
  <si>
    <t xml:space="preserve">EFF: 4[{jako,jakožto}:/AuxY]; za+4; 7</t>
  </si>
  <si>
    <t xml:space="preserve">"nechat-005"</t>
  </si>
  <si>
    <t xml:space="preserve">PAT: 4; ↓jestli</t>
  </si>
  <si>
    <t xml:space="preserve">EFF: .a; .f; ↓aby</t>
  </si>
  <si>
    <t xml:space="preserve">PAT-&gt;ARG1/455,ARG2/84</t>
  </si>
  <si>
    <t xml:space="preserve">PAT-&gt;Affected(ARG1/455,ARG2/84)</t>
  </si>
  <si>
    <t xml:space="preserve">EFF-&gt;ARG1/540,ARG2/3</t>
  </si>
  <si>
    <t xml:space="preserve">EFF-&gt;Permitted</t>
  </si>
  <si>
    <t xml:space="preserve">EFF-&gt;Permitted(ARG1/540,ARG2/3)</t>
  </si>
  <si>
    <t xml:space="preserve">"nechat-006"</t>
  </si>
  <si>
    <t xml:space="preserve">Protagonist(), Abandoned(), Place()</t>
  </si>
  <si>
    <t xml:space="preserve">PAT-&gt;Abandoned()</t>
  </si>
  <si>
    <t xml:space="preserve">"nechat-007"</t>
  </si>
  <si>
    <t xml:space="preserve">ALT-ACMP: =</t>
  </si>
  <si>
    <t xml:space="preserve">ALT-MANN: =</t>
  </si>
  <si>
    <t xml:space="preserve">"nechat-008"</t>
  </si>
  <si>
    <t xml:space="preserve">ACT-&gt;ARG0/108,ARG1/14</t>
  </si>
  <si>
    <t xml:space="preserve">PAT-&gt;ARG1/199,ARG2/1</t>
  </si>
  <si>
    <t xml:space="preserve">"nechat-009"</t>
  </si>
  <si>
    <t xml:space="preserve">"nechat-010"</t>
  </si>
  <si>
    <t xml:space="preserve">DPHR: na-1[pochyba.P6]</t>
  </si>
  <si>
    <t xml:space="preserve">"nechat-011"</t>
  </si>
  <si>
    <t xml:space="preserve">DPHR: kámen.S4,na-1[kámen.S6]</t>
  </si>
  <si>
    <t xml:space="preserve">"nechat-012"</t>
  </si>
  <si>
    <t xml:space="preserve">DPHR: na-1[holička.6]</t>
  </si>
  <si>
    <t xml:space="preserve">"nechat-013"</t>
  </si>
  <si>
    <t xml:space="preserve">DPHR: na-1[pochyba.6]</t>
  </si>
  <si>
    <t xml:space="preserve">"nechat-014"</t>
  </si>
  <si>
    <t xml:space="preserve">DPHR: na-1[pokoj.6]</t>
  </si>
  <si>
    <t xml:space="preserve">"nechat-015"</t>
  </si>
  <si>
    <t xml:space="preserve">"nechat-016"</t>
  </si>
  <si>
    <t xml:space="preserve">DPHR: ujít-2.f[se.S3]</t>
  </si>
  <si>
    <t xml:space="preserve">"nechat-017"</t>
  </si>
  <si>
    <t xml:space="preserve">"nechat-018"</t>
  </si>
  <si>
    <t xml:space="preserve">DPHR: ten:NS,tak-3.d</t>
  </si>
  <si>
    <t xml:space="preserve">"nechat-019"</t>
  </si>
  <si>
    <t xml:space="preserve">DPHR: ruka:S4[volný4.#]; ruka:P4[volný4.#]</t>
  </si>
  <si>
    <t xml:space="preserve">"nechat-020"</t>
  </si>
  <si>
    <t xml:space="preserve">DPHR: za-1[se.S7]</t>
  </si>
  <si>
    <t xml:space="preserve">DPHR[za sebou]-&gt;Place</t>
  </si>
  <si>
    <t xml:space="preserve">DPHR[za sebou]-&gt;Place()</t>
  </si>
  <si>
    <t xml:space="preserve">"nechat-021"</t>
  </si>
  <si>
    <t xml:space="preserve">DPHR: se.3$2&lt;7&gt;,líbit.f</t>
  </si>
  <si>
    <t xml:space="preserve">"--nechat-022"</t>
  </si>
  <si>
    <t xml:space="preserve">MANN: =</t>
  </si>
  <si>
    <t xml:space="preserve">"--nechat-023"</t>
  </si>
  <si>
    <t xml:space="preserve">DPHR: být</t>
  </si>
  <si>
    <t xml:space="preserve">"nechat-si-001"</t>
  </si>
  <si>
    <t xml:space="preserve">"nechat-si-002"</t>
  </si>
  <si>
    <t xml:space="preserve">ACT-&gt;ARG0/258,ARG1/1,ARG2/21</t>
  </si>
  <si>
    <t xml:space="preserve">ACT-&gt;Agent; ACT-&gt;Owner</t>
  </si>
  <si>
    <t xml:space="preserve">ACT-&gt;Agent(ARG0/150); ACT-&gt;Owner(ARG0/108,ARG1/1,ARG2/21)</t>
  </si>
  <si>
    <t xml:space="preserve">PAT-&gt;ARG1/235</t>
  </si>
  <si>
    <t xml:space="preserve">"nechávat-001"</t>
  </si>
  <si>
    <t xml:space="preserve">"nechávat-002"</t>
  </si>
  <si>
    <t xml:space="preserve">"nechávat-003"</t>
  </si>
  <si>
    <t xml:space="preserve">"nechávat-004"</t>
  </si>
  <si>
    <t xml:space="preserve">EFF: .f; ↓aby</t>
  </si>
  <si>
    <t xml:space="preserve">"nechávat-005"</t>
  </si>
  <si>
    <t xml:space="preserve">"nechávat-006"</t>
  </si>
  <si>
    <t xml:space="preserve">"nechávat-007"</t>
  </si>
  <si>
    <t xml:space="preserve">"nechávat-008"</t>
  </si>
  <si>
    <t xml:space="preserve">TOWH: </t>
  </si>
  <si>
    <t xml:space="preserve">"nechávat-009"</t>
  </si>
  <si>
    <t xml:space="preserve">"nechávat-010"</t>
  </si>
  <si>
    <t xml:space="preserve">"nechávat-011"</t>
  </si>
  <si>
    <t xml:space="preserve">"nechávat-012"</t>
  </si>
  <si>
    <t xml:space="preserve">DPHR: slyšet[se]</t>
  </si>
  <si>
    <t xml:space="preserve">"nechávat-013"</t>
  </si>
  <si>
    <t xml:space="preserve">DPHR: v-1[štych.S6]</t>
  </si>
  <si>
    <t xml:space="preserve">"nechávat-014"</t>
  </si>
  <si>
    <t xml:space="preserve">"nechávat-015"</t>
  </si>
  <si>
    <t xml:space="preserve">"nechávat-si-001"</t>
  </si>
  <si>
    <t xml:space="preserve">"nechávat-si-002"</t>
  </si>
  <si>
    <t xml:space="preserve">DPHR: záležet.$2&lt;f&gt;$11&lt;A&gt;</t>
  </si>
  <si>
    <t xml:space="preserve">"nechávat-si-003"</t>
  </si>
  <si>
    <t xml:space="preserve">"negovat-001"</t>
  </si>
  <si>
    <t xml:space="preserve">"nenávidět-001"</t>
  </si>
  <si>
    <t xml:space="preserve">Attitudal(ARG0/10), Affected(ARG1/9)</t>
  </si>
  <si>
    <t xml:space="preserve">ACT-&gt;Attitudal(ARG0/10)</t>
  </si>
  <si>
    <t xml:space="preserve">"nervovat-001"</t>
  </si>
  <si>
    <t xml:space="preserve">"nesnášet-001"</t>
  </si>
  <si>
    <t xml:space="preserve">"neutralizovat-001"</t>
  </si>
  <si>
    <t xml:space="preserve">"nimrat-se-001"</t>
  </si>
  <si>
    <t xml:space="preserve">"ničit-001"</t>
  </si>
  <si>
    <t xml:space="preserve">"nocovat-001"</t>
  </si>
  <si>
    <t xml:space="preserve">"nominovat-001"</t>
  </si>
  <si>
    <t xml:space="preserve">"normalizovat-001"</t>
  </si>
  <si>
    <t xml:space="preserve">Stabilizing(ARG0/5), Affected(ARG1/27)</t>
  </si>
  <si>
    <t xml:space="preserve">ACT-&gt;Stabilizing</t>
  </si>
  <si>
    <t xml:space="preserve">ACT-&gt;Stabilizing(ARG0/5)</t>
  </si>
  <si>
    <t xml:space="preserve">"nosit-001"</t>
  </si>
  <si>
    <t xml:space="preserve">"nosit-002"</t>
  </si>
  <si>
    <t xml:space="preserve">Wearer(ARG0/37), Worn(ARG1/71)</t>
  </si>
  <si>
    <t xml:space="preserve">ACT-&gt;Wearer(ARG0/37)</t>
  </si>
  <si>
    <t xml:space="preserve">PAT-&gt;ARG1/71</t>
  </si>
  <si>
    <t xml:space="preserve">PAT-&gt;Worn(ARG1/71)</t>
  </si>
  <si>
    <t xml:space="preserve">"nosit-003"</t>
  </si>
  <si>
    <t xml:space="preserve">"nosit-004"</t>
  </si>
  <si>
    <t xml:space="preserve">Protagonist(ARG0/93,ARG1/2), Attribute(ARG0/2,ARG1/120)</t>
  </si>
  <si>
    <t xml:space="preserve">ACT-&gt;ARG0/93,ARG1/2</t>
  </si>
  <si>
    <t xml:space="preserve">ACT-&gt;Protagonist(ARG0/93,ARG1/2)</t>
  </si>
  <si>
    <t xml:space="preserve">PAT-&gt;ARG0/2,ARG1/120</t>
  </si>
  <si>
    <t xml:space="preserve">PAT-&gt;Attribute(ARG0/2,ARG1/120)</t>
  </si>
  <si>
    <t xml:space="preserve">"nosit-005"</t>
  </si>
  <si>
    <t xml:space="preserve">"nosit-se-001"</t>
  </si>
  <si>
    <t xml:space="preserve">"nosívat-001"</t>
  </si>
  <si>
    <t xml:space="preserve">"nosívat-002"</t>
  </si>
  <si>
    <t xml:space="preserve">"notovat-001"</t>
  </si>
  <si>
    <t xml:space="preserve">"notovat-si-001"</t>
  </si>
  <si>
    <t xml:space="preserve">"novelizovat-001"</t>
  </si>
  <si>
    <t xml:space="preserve">"nořit-001"</t>
  </si>
  <si>
    <t xml:space="preserve">"nudit-001"</t>
  </si>
  <si>
    <t xml:space="preserve">ACT: 1,.f</t>
  </si>
  <si>
    <t xml:space="preserve">"nudit-se-001"</t>
  </si>
  <si>
    <t xml:space="preserve">"--nudit-se-002"</t>
  </si>
  <si>
    <t xml:space="preserve">"nutit-001"</t>
  </si>
  <si>
    <t xml:space="preserve">"nutit-002"</t>
  </si>
  <si>
    <t xml:space="preserve">PAT: do+2; k+3; .f; ↓aby; ↓ať</t>
  </si>
  <si>
    <t xml:space="preserve">"nádeničit-001"</t>
  </si>
  <si>
    <t xml:space="preserve">"náležet-001"</t>
  </si>
  <si>
    <t xml:space="preserve">"náležet-002"</t>
  </si>
  <si>
    <t xml:space="preserve">Entity(ARG1/919,ARG2/2), Category(ARG0/6,ARG1/3,ARG2/427)</t>
  </si>
  <si>
    <t xml:space="preserve">ACT-&gt;ARG1/919,ARG2/2</t>
  </si>
  <si>
    <t xml:space="preserve">ACT-&gt;Entity(ARG1/919,ARG2/2)</t>
  </si>
  <si>
    <t xml:space="preserve">DIR3-&gt;ARG0/6,ARG1/3,ARG2/427</t>
  </si>
  <si>
    <t xml:space="preserve">DIR3-&gt;Category</t>
  </si>
  <si>
    <t xml:space="preserve">DIR3-&gt;Category(ARG0/6,ARG1/3,ARG2/427)</t>
  </si>
  <si>
    <t xml:space="preserve">"náležet-003"</t>
  </si>
  <si>
    <t xml:space="preserve">CPHR: {oprávnění,právo,...}.1</t>
  </si>
  <si>
    <t xml:space="preserve">"nárokovat-si-001"</t>
  </si>
  <si>
    <t xml:space="preserve">"následovat-001"</t>
  </si>
  <si>
    <t xml:space="preserve">PAT: 4; za+7; 2</t>
  </si>
  <si>
    <t xml:space="preserve">"následovat-002"</t>
  </si>
  <si>
    <t xml:space="preserve">"následovat-003"</t>
  </si>
  <si>
    <t xml:space="preserve">"násobit-001"</t>
  </si>
  <si>
    <t xml:space="preserve">Agent(ARG0/19,ARG1/44), Item(ARG1/81), Value_final(ARG3/4,ARG4/28), Value_initial(ARG3/11,ARG4/9)</t>
  </si>
  <si>
    <t xml:space="preserve">ACT-&gt;ARG0/19,ARG1/44</t>
  </si>
  <si>
    <t xml:space="preserve">ACT-&gt;Agent(ARG0/19,ARG1/44)</t>
  </si>
  <si>
    <t xml:space="preserve">PAT-&gt;ARG1/81</t>
  </si>
  <si>
    <t xml:space="preserve">PAT-&gt;Item(ARG1/81)</t>
  </si>
  <si>
    <t xml:space="preserve">"násobit-002"</t>
  </si>
  <si>
    <t xml:space="preserve">"násobit-se-001"</t>
  </si>
  <si>
    <t xml:space="preserve">Item(ARG1/1), State_final(), State_initial()</t>
  </si>
  <si>
    <t xml:space="preserve">ACT-&gt;Item(ARG1/1)</t>
  </si>
  <si>
    <t xml:space="preserve">ORIG-&gt;State_initial()</t>
  </si>
  <si>
    <t xml:space="preserve">"nést-001"</t>
  </si>
  <si>
    <t xml:space="preserve">"nést-002"</t>
  </si>
  <si>
    <t xml:space="preserve">"nést-003"</t>
  </si>
  <si>
    <t xml:space="preserve">"nést-004"</t>
  </si>
  <si>
    <t xml:space="preserve">"nést-005"</t>
  </si>
  <si>
    <t xml:space="preserve">"nést-006"</t>
  </si>
  <si>
    <t xml:space="preserve">"nést-007"</t>
  </si>
  <si>
    <t xml:space="preserve">"nést-008"</t>
  </si>
  <si>
    <t xml:space="preserve">"nést-009"</t>
  </si>
  <si>
    <t xml:space="preserve">INTT: .f</t>
  </si>
  <si>
    <t xml:space="preserve">"nést-010"</t>
  </si>
  <si>
    <t xml:space="preserve">CPHR: {dluh,důsledek,míra,následek,odpovědnost,riziko,spoluodpovědnost,spoluvina,vina,zodpovědnost,ztráta,...}.4</t>
  </si>
  <si>
    <t xml:space="preserve">"nést-011"</t>
  </si>
  <si>
    <t xml:space="preserve">DPHR: s-1[se.S7]</t>
  </si>
  <si>
    <t xml:space="preserve">"nést-012"</t>
  </si>
  <si>
    <t xml:space="preserve">DPHR: kůže:S4,na-1[trh:S4]</t>
  </si>
  <si>
    <t xml:space="preserve">"nést-013"</t>
  </si>
  <si>
    <t xml:space="preserve">DPHR: ovoce.S4</t>
  </si>
  <si>
    <t xml:space="preserve">DPHR-&gt;ARG1/654</t>
  </si>
  <si>
    <t xml:space="preserve">DPHR[ovoce]-&gt;Acquired</t>
  </si>
  <si>
    <t xml:space="preserve">DPHR[ovoce]-&gt;Acquired(ARG1/654)</t>
  </si>
  <si>
    <t xml:space="preserve">"nést-014"</t>
  </si>
  <si>
    <t xml:space="preserve">"nést-se-001"</t>
  </si>
  <si>
    <t xml:space="preserve">"nést-se-002"</t>
  </si>
  <si>
    <t xml:space="preserve">"nést-se-003"</t>
  </si>
  <si>
    <t xml:space="preserve">"nést-se-004"</t>
  </si>
  <si>
    <t xml:space="preserve">"nést-se-005"</t>
  </si>
  <si>
    <t xml:space="preserve">DPHR: v-1[znamení.S6]</t>
  </si>
  <si>
    <t xml:space="preserve">"nítit-001"</t>
  </si>
  <si>
    <t xml:space="preserve">"obalamutit-001"</t>
  </si>
  <si>
    <t xml:space="preserve">Manipulator(ARG0/1), Victim(ARG1/1,ARG2/1)</t>
  </si>
  <si>
    <t xml:space="preserve">ACT-&gt;Manipulator(ARG0/1)</t>
  </si>
  <si>
    <t xml:space="preserve">PAT-&gt;Victim(ARG1/1,ARG2/1)</t>
  </si>
  <si>
    <t xml:space="preserve">"obalit-001"</t>
  </si>
  <si>
    <t xml:space="preserve">Covering(ARG0/2,ARG2/4), Covered(ARG1/13)</t>
  </si>
  <si>
    <t xml:space="preserve">ACT-&gt;ARG0/2,ARG2/4</t>
  </si>
  <si>
    <t xml:space="preserve">ACT-&gt;Covering</t>
  </si>
  <si>
    <t xml:space="preserve">ACT-&gt;Covering(ARG0/2,ARG2/4)</t>
  </si>
  <si>
    <t xml:space="preserve">PAT-&gt;Covered</t>
  </si>
  <si>
    <t xml:space="preserve">PAT-&gt;Covered(ARG1/13)</t>
  </si>
  <si>
    <t xml:space="preserve">"obalovat-001"</t>
  </si>
  <si>
    <t xml:space="preserve">"obalovat-se-001"</t>
  </si>
  <si>
    <t xml:space="preserve">"obarvit-001"</t>
  </si>
  <si>
    <t xml:space="preserve">"obchodovat-001"</t>
  </si>
  <si>
    <t xml:space="preserve">Seller(ARG0/38), Goods(ARG1/81), Buyer(ARG2/6)</t>
  </si>
  <si>
    <t xml:space="preserve">ACT-&gt;Seller(ARG0/38)</t>
  </si>
  <si>
    <t xml:space="preserve">PAT-&gt;Goods(ARG1/81)</t>
  </si>
  <si>
    <t xml:space="preserve">ADDR-&gt;ARG2/6</t>
  </si>
  <si>
    <t xml:space="preserve">ADDR-&gt;Buyer</t>
  </si>
  <si>
    <t xml:space="preserve">ADDR-&gt;Buyer(ARG2/6)</t>
  </si>
  <si>
    <t xml:space="preserve">"obcházet-001"</t>
  </si>
  <si>
    <t xml:space="preserve">Escapee(ARG0/85), Situation_undesirable(ARG1/172)</t>
  </si>
  <si>
    <t xml:space="preserve">ACT-&gt;Escapee(ARG0/85)</t>
  </si>
  <si>
    <t xml:space="preserve">PAT-&gt;ARG1/172</t>
  </si>
  <si>
    <t xml:space="preserve">PAT-&gt;Situation_undesirable(ARG1/172)</t>
  </si>
  <si>
    <t xml:space="preserve">"obcházet-002"</t>
  </si>
  <si>
    <t xml:space="preserve">"obcházet-003"</t>
  </si>
  <si>
    <t xml:space="preserve">"obcházet-004"</t>
  </si>
  <si>
    <t xml:space="preserve">"obdarovat-001"</t>
  </si>
  <si>
    <t xml:space="preserve">ACT-&gt;ARG0/145,ARG1/1</t>
  </si>
  <si>
    <t xml:space="preserve">PAT-&gt;ARG1/3,ARG2/128</t>
  </si>
  <si>
    <t xml:space="preserve">PAT-&gt;Recipient(ARG1/3,ARG2/128)</t>
  </si>
  <si>
    <t xml:space="preserve">"obdarovávat-001"</t>
  </si>
  <si>
    <t xml:space="preserve">"obdařit-001"</t>
  </si>
  <si>
    <t xml:space="preserve">"obdařovat-001"</t>
  </si>
  <si>
    <t xml:space="preserve">"obdivovat-001"</t>
  </si>
  <si>
    <t xml:space="preserve">PAT: 4; ↓že; ↓jak-2</t>
  </si>
  <si>
    <t xml:space="preserve">Perceiver(ARG0/2), Phenomenon(ARG1/2)</t>
  </si>
  <si>
    <t xml:space="preserve">ACT-&gt;Perceiver(ARG0/2)</t>
  </si>
  <si>
    <t xml:space="preserve">PAT-&gt;Phenomenon(ARG1/2)</t>
  </si>
  <si>
    <t xml:space="preserve">"obdržet-001"</t>
  </si>
  <si>
    <t xml:space="preserve">"obdělat-001"</t>
  </si>
  <si>
    <t xml:space="preserve">"obdělávat-001"</t>
  </si>
  <si>
    <t xml:space="preserve">"obehnat-001"</t>
  </si>
  <si>
    <t xml:space="preserve">ACT-&gt;ARG0/3,ARG1/16</t>
  </si>
  <si>
    <t xml:space="preserve">PAT-&gt;ARG2/30</t>
  </si>
  <si>
    <t xml:space="preserve">"obejmout-001"</t>
  </si>
  <si>
    <t xml:space="preserve">Agent(ARG0/2), Affected(ARG1/2)</t>
  </si>
  <si>
    <t xml:space="preserve">PAT-&gt;Affected(ARG1/2)</t>
  </si>
  <si>
    <t xml:space="preserve">"obejít-001"</t>
  </si>
  <si>
    <t xml:space="preserve">"obejít-002"</t>
  </si>
  <si>
    <t xml:space="preserve">"obejít-003"</t>
  </si>
  <si>
    <t xml:space="preserve">"obejít-se-001"</t>
  </si>
  <si>
    <t xml:space="preserve">Protagonist(), Superfluous()</t>
  </si>
  <si>
    <t xml:space="preserve">PAT: bez-1[.2]</t>
  </si>
  <si>
    <t xml:space="preserve">PAT-&gt;Superfluous</t>
  </si>
  <si>
    <t xml:space="preserve">PAT-&gt;Superfluous()</t>
  </si>
  <si>
    <t xml:space="preserve">"obelstít-001"</t>
  </si>
  <si>
    <t xml:space="preserve">"obeplout-001"</t>
  </si>
  <si>
    <t xml:space="preserve">"obeslat-001"</t>
  </si>
  <si>
    <t xml:space="preserve">"obestírat-001"</t>
  </si>
  <si>
    <t xml:space="preserve">"obestřít-001"</t>
  </si>
  <si>
    <t xml:space="preserve">"obesílat-001"</t>
  </si>
  <si>
    <t xml:space="preserve">"obezdívat-001"</t>
  </si>
  <si>
    <t xml:space="preserve">"obeznámit-001"</t>
  </si>
  <si>
    <t xml:space="preserve">Communicator(), Information(ARG2/1), Audience_Addressee(ARG1/1)</t>
  </si>
  <si>
    <t xml:space="preserve">ACT-&gt;Communicator()</t>
  </si>
  <si>
    <t xml:space="preserve">PAT-&gt;Information(ARG2/1)</t>
  </si>
  <si>
    <t xml:space="preserve">ADDR-&gt;ARG1/1</t>
  </si>
  <si>
    <t xml:space="preserve">ADDR-&gt;Audience_Addressee(ARG1/1)</t>
  </si>
  <si>
    <t xml:space="preserve">"obeznámit-se-001"</t>
  </si>
  <si>
    <t xml:space="preserve">"obhajovat-001"</t>
  </si>
  <si>
    <t xml:space="preserve">"obhlédnout-001"</t>
  </si>
  <si>
    <t xml:space="preserve">"obhlédnout-si-001"</t>
  </si>
  <si>
    <t xml:space="preserve">"obhlížet-001"</t>
  </si>
  <si>
    <t xml:space="preserve">"obhospodařit-001"</t>
  </si>
  <si>
    <t xml:space="preserve">"obhospodařovat-001"</t>
  </si>
  <si>
    <t xml:space="preserve">"obhájit-001"</t>
  </si>
  <si>
    <t xml:space="preserve">"obhájit-002"</t>
  </si>
  <si>
    <t xml:space="preserve">"objasnit-001"</t>
  </si>
  <si>
    <t xml:space="preserve">Communicator(ARG0/73), Issue(ARG1/102), Audience_Addressee(ARG2/11)</t>
  </si>
  <si>
    <t xml:space="preserve">ACT-&gt;ARG0/73</t>
  </si>
  <si>
    <t xml:space="preserve">ACT-&gt;Communicator(ARG0/73)</t>
  </si>
  <si>
    <t xml:space="preserve">PAT-&gt;ARG1/102</t>
  </si>
  <si>
    <t xml:space="preserve">PAT-&gt;Issue(ARG1/102)</t>
  </si>
  <si>
    <t xml:space="preserve">ADDR-&gt;Audience_Addressee(ARG2/11)</t>
  </si>
  <si>
    <t xml:space="preserve">"objasňovat-001"</t>
  </si>
  <si>
    <t xml:space="preserve">PAT: 4; ↓jak-2; ↓že; ↓zda; ↓jestli; ↓c; .s; ↓ať; ↓aby</t>
  </si>
  <si>
    <t xml:space="preserve">"objednat-001"</t>
  </si>
  <si>
    <t xml:space="preserve">Orderer(ARG0/11), Ordered(ARG1/13), Source()</t>
  </si>
  <si>
    <t xml:space="preserve">ACT-&gt;Orderer(ARG0/11)</t>
  </si>
  <si>
    <t xml:space="preserve">PAT-&gt;Ordered(ARG1/13)</t>
  </si>
  <si>
    <t xml:space="preserve">"objednat-002"</t>
  </si>
  <si>
    <t xml:space="preserve">"objednávat-001"</t>
  </si>
  <si>
    <t xml:space="preserve">"objet-001"</t>
  </si>
  <si>
    <t xml:space="preserve">"objet-002"</t>
  </si>
  <si>
    <t xml:space="preserve">"objevit-001"</t>
  </si>
  <si>
    <t xml:space="preserve">"objevit-se-001"</t>
  </si>
  <si>
    <t xml:space="preserve">ACT-&gt;ARG1/127</t>
  </si>
  <si>
    <t xml:space="preserve">"objevit-se-002"</t>
  </si>
  <si>
    <t xml:space="preserve">Emerging(ARG1/32)</t>
  </si>
  <si>
    <t xml:space="preserve">ACT-&gt;ARG1/32</t>
  </si>
  <si>
    <t xml:space="preserve">ACT-&gt;Emerging(ARG1/32)</t>
  </si>
  <si>
    <t xml:space="preserve">"objevovat-001"</t>
  </si>
  <si>
    <t xml:space="preserve">"objevovat-se-001"</t>
  </si>
  <si>
    <t xml:space="preserve">"objevovat-se-002"</t>
  </si>
  <si>
    <t xml:space="preserve">"objímat-001"</t>
  </si>
  <si>
    <t xml:space="preserve">"objíždět-001"</t>
  </si>
  <si>
    <t xml:space="preserve">"obkličovat-001"</t>
  </si>
  <si>
    <t xml:space="preserve">Assailant(ARG0/3), Victim(ARG1/3)</t>
  </si>
  <si>
    <t xml:space="preserve">ACT-&gt;ARG0/6,ARG1/16</t>
  </si>
  <si>
    <t xml:space="preserve">ACT-&gt;Assailant(ARG0/3)</t>
  </si>
  <si>
    <t xml:space="preserve">PAT-&gt;ARG1/3,ARG2/30</t>
  </si>
  <si>
    <t xml:space="preserve">"obklopit-001"</t>
  </si>
  <si>
    <t xml:space="preserve">"obklopovat-001"</t>
  </si>
  <si>
    <t xml:space="preserve">"obklíčit-001"</t>
  </si>
  <si>
    <t xml:space="preserve">"oblafnout-001"</t>
  </si>
  <si>
    <t xml:space="preserve">"oblažovat-001"</t>
  </si>
  <si>
    <t xml:space="preserve">"oblbnout-001"</t>
  </si>
  <si>
    <t xml:space="preserve">"obletět-001"</t>
  </si>
  <si>
    <t xml:space="preserve">"obložit-001"</t>
  </si>
  <si>
    <t xml:space="preserve">"obléci-001"</t>
  </si>
  <si>
    <t xml:space="preserve">"obléci-002"</t>
  </si>
  <si>
    <t xml:space="preserve">"obléhat-001"</t>
  </si>
  <si>
    <t xml:space="preserve">"oblékat-001"</t>
  </si>
  <si>
    <t xml:space="preserve">Agent(ARG0/3), Worn(ARG1/4), Wearer()</t>
  </si>
  <si>
    <t xml:space="preserve">PAT-&gt;Worn(ARG1/4)</t>
  </si>
  <si>
    <t xml:space="preserve">"oblékat-002"</t>
  </si>
  <si>
    <t xml:space="preserve">"oblékat-se-001"</t>
  </si>
  <si>
    <t xml:space="preserve">Wearer(ARG0/3), Manner()</t>
  </si>
  <si>
    <t xml:space="preserve">ACT-&gt;Wearer(ARG0/3)</t>
  </si>
  <si>
    <t xml:space="preserve">"--oblékat-se-002"</t>
  </si>
  <si>
    <t xml:space="preserve">"obléknout-001"</t>
  </si>
  <si>
    <t xml:space="preserve">"obléknout-002"</t>
  </si>
  <si>
    <t xml:space="preserve">"oblézt-001"</t>
  </si>
  <si>
    <t xml:space="preserve">"oblíbit-si-001"</t>
  </si>
  <si>
    <t xml:space="preserve">"oblíkat-001"</t>
  </si>
  <si>
    <t xml:space="preserve">"oblíknout-001"</t>
  </si>
  <si>
    <t xml:space="preserve">"obmyslet-001"</t>
  </si>
  <si>
    <t xml:space="preserve">"obměkčit-001"</t>
  </si>
  <si>
    <t xml:space="preserve">"obměňovat-001"</t>
  </si>
  <si>
    <t xml:space="preserve">PAT-&gt;ARG1/70,ARG2/20,ARG3/6</t>
  </si>
  <si>
    <t xml:space="preserve">PAT-&gt;New; PAT-&gt;Old</t>
  </si>
  <si>
    <t xml:space="preserve">PAT-&gt;New(ARG1/2,ARG2/20,ARG3/6); PAT-&gt;Old(ARG1/68)</t>
  </si>
  <si>
    <t xml:space="preserve">"obnažovat-001"</t>
  </si>
  <si>
    <t xml:space="preserve">"obnosit-001"</t>
  </si>
  <si>
    <t xml:space="preserve">"obnovit-001"</t>
  </si>
  <si>
    <t xml:space="preserve">Agent(ARG0/68,ARG1/11), Action(ARG1/134)</t>
  </si>
  <si>
    <t xml:space="preserve">ACT-&gt;ARG0/68,ARG1/11</t>
  </si>
  <si>
    <t xml:space="preserve">ACT-&gt;Agent(ARG0/68,ARG1/11)</t>
  </si>
  <si>
    <t xml:space="preserve">PAT-&gt;ARG1/134</t>
  </si>
  <si>
    <t xml:space="preserve">PAT-&gt;Action(ARG1/134)</t>
  </si>
  <si>
    <t xml:space="preserve">"obnovit-se-001"</t>
  </si>
  <si>
    <t xml:space="preserve">"obnovovat-001"</t>
  </si>
  <si>
    <t xml:space="preserve">"obnovovat-002"</t>
  </si>
  <si>
    <t xml:space="preserve">"obnovovat-se-001"</t>
  </si>
  <si>
    <t xml:space="preserve">ACT-&gt;ARG0/71,ARG1/160</t>
  </si>
  <si>
    <t xml:space="preserve">ACT-&gt;Action; ACT-&gt;Agent</t>
  </si>
  <si>
    <t xml:space="preserve">ACT-&gt;Action(ARG1/134); ACT-&gt;Agent(ARG0/68,ARG1/11)</t>
  </si>
  <si>
    <t xml:space="preserve">"obnášet-001"</t>
  </si>
  <si>
    <t xml:space="preserve">Represented(ARG0/216,ARG1/22,ARG2/80), Representing(ARG1/419,ARG2/20)</t>
  </si>
  <si>
    <t xml:space="preserve">ACT-&gt;ARG0/216,ARG1/22,ARG2/80</t>
  </si>
  <si>
    <t xml:space="preserve">ACT-&gt;Represented</t>
  </si>
  <si>
    <t xml:space="preserve">ACT-&gt;Represented(ARG0/216,ARG1/22,ARG2/80)</t>
  </si>
  <si>
    <t xml:space="preserve">PAT-&gt;ARG1/419,ARG2/20</t>
  </si>
  <si>
    <t xml:space="preserve">PAT-&gt;Representing</t>
  </si>
  <si>
    <t xml:space="preserve">PAT-&gt;Representing(ARG1/419,ARG2/20)</t>
  </si>
  <si>
    <t xml:space="preserve">"obnášet-002"</t>
  </si>
  <si>
    <t xml:space="preserve">EXT-&gt;ARG0/3,ARG1/52,ARG2/405,ARG3/5</t>
  </si>
  <si>
    <t xml:space="preserve">"obohacovat-001"</t>
  </si>
  <si>
    <t xml:space="preserve">Protagonist(ARG0/1), Recipient(ARG0/4,ARG1/4), Acquired()</t>
  </si>
  <si>
    <t xml:space="preserve">PAT-&gt;ARG0/4,ARG1/4</t>
  </si>
  <si>
    <t xml:space="preserve">PAT-&gt;Recipient(ARG0/4,ARG1/4)</t>
  </si>
  <si>
    <t xml:space="preserve">EFF-&gt;Acquired</t>
  </si>
  <si>
    <t xml:space="preserve">EFF-&gt;Acquired()</t>
  </si>
  <si>
    <t xml:space="preserve">"obohatit-001"</t>
  </si>
  <si>
    <t xml:space="preserve">"obouvat-001"</t>
  </si>
  <si>
    <t xml:space="preserve">"obořit-se-001"</t>
  </si>
  <si>
    <t xml:space="preserve">Authority(ARG0/2), Offender(ARG1/1)</t>
  </si>
  <si>
    <t xml:space="preserve">ACT-&gt;ARG0/26,ARG2/2</t>
  </si>
  <si>
    <t xml:space="preserve">PAT-&gt;Offender(ARG1/1)</t>
  </si>
  <si>
    <t xml:space="preserve">"obracet-001"</t>
  </si>
  <si>
    <t xml:space="preserve">ADDR-&gt;ARG1/19,ARG2/98</t>
  </si>
  <si>
    <t xml:space="preserve">ADDR-&gt;Goal</t>
  </si>
  <si>
    <t xml:space="preserve">ADDR-&gt;Goal(ARG1/19,ARG2/98)</t>
  </si>
  <si>
    <t xml:space="preserve">"obracet-002"</t>
  </si>
  <si>
    <t xml:space="preserve">EFF: v+4</t>
  </si>
  <si>
    <t xml:space="preserve">"obracet-003"</t>
  </si>
  <si>
    <t xml:space="preserve">"obracet-004"</t>
  </si>
  <si>
    <t xml:space="preserve">Perceiver(ARG0/429,ARG1/6), Perceived(ARG1/591,ARG2/1,ARG3/4)</t>
  </si>
  <si>
    <t xml:space="preserve">ACT-&gt;ARG0/429,ARG1/6</t>
  </si>
  <si>
    <t xml:space="preserve">ACT-&gt;Perceiver(ARG0/429,ARG1/6)</t>
  </si>
  <si>
    <t xml:space="preserve">CPHR: {pozornost-1,...}.4</t>
  </si>
  <si>
    <t xml:space="preserve">CPHR-&gt;ARG1/591,ARG2/1,ARG3/4</t>
  </si>
  <si>
    <t xml:space="preserve">CPHR[DIR3]-&gt;Perceived</t>
  </si>
  <si>
    <t xml:space="preserve">CPHR[DIR3]-&gt;Perceived(ARG1/591,ARG2/1,ARG3/4)</t>
  </si>
  <si>
    <t xml:space="preserve">"obracet-005"</t>
  </si>
  <si>
    <t xml:space="preserve">"obracet-se-001"</t>
  </si>
  <si>
    <t xml:space="preserve">"obracet-se-002"</t>
  </si>
  <si>
    <t xml:space="preserve">ACT-&gt;ARG0/693,ARG1/48</t>
  </si>
  <si>
    <t xml:space="preserve">ADDR: na+4; k+3</t>
  </si>
  <si>
    <t xml:space="preserve">ADDR-&gt;ARG1/25,ARG2/37</t>
  </si>
  <si>
    <t xml:space="preserve">ADDR-&gt;Audience_Addressee(ARG1/17,ARG2/34)</t>
  </si>
  <si>
    <t xml:space="preserve">ADDR-&gt;Authority</t>
  </si>
  <si>
    <t xml:space="preserve">ADDR-&gt;Authority(ARG1/8,ARG2/3)</t>
  </si>
  <si>
    <t xml:space="preserve">?PAT: s+7; ↓aby; ↓zda</t>
  </si>
  <si>
    <t xml:space="preserve">PAT-&gt;ARG1/696,ARG2/8</t>
  </si>
  <si>
    <t xml:space="preserve">PAT-&gt;Topic(ARG1/27,ARG2/5)</t>
  </si>
  <si>
    <t xml:space="preserve">"obracet-se-003"</t>
  </si>
  <si>
    <t xml:space="preserve">"obracet-se-004"</t>
  </si>
  <si>
    <t xml:space="preserve">"obracet-se-005"</t>
  </si>
  <si>
    <t xml:space="preserve">Changing(ARG0/1)</t>
  </si>
  <si>
    <t xml:space="preserve">ACT-&gt;Changing(ARG0/1)</t>
  </si>
  <si>
    <t xml:space="preserve">DPHR: k-1[dobrý.N3@2]</t>
  </si>
  <si>
    <t xml:space="preserve">"obracet-se-006"</t>
  </si>
  <si>
    <t xml:space="preserve">DPHR: záda.P7</t>
  </si>
  <si>
    <t xml:space="preserve">"obrat-001"</t>
  </si>
  <si>
    <t xml:space="preserve">"obrat-002"</t>
  </si>
  <si>
    <t xml:space="preserve">"obrečet-001"</t>
  </si>
  <si>
    <t xml:space="preserve">"obrnit-se-001"</t>
  </si>
  <si>
    <t xml:space="preserve">"obrnit-si-001"</t>
  </si>
  <si>
    <t xml:space="preserve">"obrodit-001"</t>
  </si>
  <si>
    <t xml:space="preserve">"obrodit-se-001"</t>
  </si>
  <si>
    <t xml:space="preserve">"obrousit-001"</t>
  </si>
  <si>
    <t xml:space="preserve">"obrábět-001"</t>
  </si>
  <si>
    <t xml:space="preserve">"obrátit-001"</t>
  </si>
  <si>
    <t xml:space="preserve">?ADDR: proti+3</t>
  </si>
  <si>
    <t xml:space="preserve">"obrátit-002"</t>
  </si>
  <si>
    <t xml:space="preserve">"obrátit-003"</t>
  </si>
  <si>
    <t xml:space="preserve">"obrátit-004"</t>
  </si>
  <si>
    <t xml:space="preserve">Agent(), Moved(), State_final()</t>
  </si>
  <si>
    <t xml:space="preserve">PAT-&gt;Moved()</t>
  </si>
  <si>
    <t xml:space="preserve">"obrátit-005"</t>
  </si>
  <si>
    <t xml:space="preserve">"obrátit-006"</t>
  </si>
  <si>
    <t xml:space="preserve">ACT-&gt;ARG0/509,ARG1/21</t>
  </si>
  <si>
    <t xml:space="preserve">CPHR: {pozornost-1,zájem,...}.4</t>
  </si>
  <si>
    <t xml:space="preserve">DIR3-&gt;ARG1/74</t>
  </si>
  <si>
    <t xml:space="preserve">DIR3-&gt;Focused</t>
  </si>
  <si>
    <t xml:space="preserve">DIR3-&gt;Focused(ARG1/74)</t>
  </si>
  <si>
    <t xml:space="preserve">"obrátit-007"</t>
  </si>
  <si>
    <t xml:space="preserve">"obrátit-008"</t>
  </si>
  <si>
    <t xml:space="preserve">DPHR: list.S4</t>
  </si>
  <si>
    <t xml:space="preserve">"obrátit-009"</t>
  </si>
  <si>
    <t xml:space="preserve">"obrátit-010"</t>
  </si>
  <si>
    <t xml:space="preserve">DPHR: na-1[pětník.S6]</t>
  </si>
  <si>
    <t xml:space="preserve">"obrátit-011"</t>
  </si>
  <si>
    <t xml:space="preserve">"obrátit-se-001"</t>
  </si>
  <si>
    <t xml:space="preserve">"obrátit-se-002"</t>
  </si>
  <si>
    <t xml:space="preserve">"obrátit-se-003"</t>
  </si>
  <si>
    <t xml:space="preserve">?PAT: s+7; ↓aby; ↓zda; ohledně[.2]; ↓jestli</t>
  </si>
  <si>
    <t xml:space="preserve">ADDR-&gt;ARG1/17,ARG2/34</t>
  </si>
  <si>
    <t xml:space="preserve">PAT-&gt;ARG1/27,ARG2/5</t>
  </si>
  <si>
    <t xml:space="preserve">"obrátit-se-004"</t>
  </si>
  <si>
    <t xml:space="preserve">"obrátit-se-005"</t>
  </si>
  <si>
    <t xml:space="preserve">"obrátit-se-006"</t>
  </si>
  <si>
    <t xml:space="preserve">DPHR: v-1[dobrý.NS4]</t>
  </si>
  <si>
    <t xml:space="preserve">"obrátit-se-007"</t>
  </si>
  <si>
    <t xml:space="preserve">DPHR: k-1[špatný.3@2]</t>
  </si>
  <si>
    <t xml:space="preserve">"obrátit-se-008"</t>
  </si>
  <si>
    <t xml:space="preserve">DPHR: vzhůru.d,noha.P7</t>
  </si>
  <si>
    <t xml:space="preserve">"obrátit-se-009"</t>
  </si>
  <si>
    <t xml:space="preserve">"obrátit-se-010"</t>
  </si>
  <si>
    <t xml:space="preserve">Changing(ARG1/1), State_final(ARG1/3)</t>
  </si>
  <si>
    <t xml:space="preserve">ACT-&gt;Changing(ARG1/1)</t>
  </si>
  <si>
    <t xml:space="preserve">PAT-&gt;State_final(ARG1/3)</t>
  </si>
  <si>
    <t xml:space="preserve">"obrátit-se-011"</t>
  </si>
  <si>
    <t xml:space="preserve">"obrátit-se-012"</t>
  </si>
  <si>
    <t xml:space="preserve">"obrážet-se-001"</t>
  </si>
  <si>
    <t xml:space="preserve">"obrůst-001"</t>
  </si>
  <si>
    <t xml:space="preserve">"obrůst-002"</t>
  </si>
  <si>
    <t xml:space="preserve">"obrůstat-001"</t>
  </si>
  <si>
    <t xml:space="preserve">"obrůstat-002"</t>
  </si>
  <si>
    <t xml:space="preserve">"obsadit-001"</t>
  </si>
  <si>
    <t xml:space="preserve">"obsadit-002"</t>
  </si>
  <si>
    <t xml:space="preserve">"obsadit-003"</t>
  </si>
  <si>
    <t xml:space="preserve">ACT-&gt;ARG1/29</t>
  </si>
  <si>
    <t xml:space="preserve">ACT-&gt;Phenomenon(ARG1/29)</t>
  </si>
  <si>
    <t xml:space="preserve">PAT-&gt;ARG2/22</t>
  </si>
  <si>
    <t xml:space="preserve">PAT-&gt;Rank</t>
  </si>
  <si>
    <t xml:space="preserve">PAT-&gt;Rank(ARG2/22)</t>
  </si>
  <si>
    <t xml:space="preserve">"obsadit-004"</t>
  </si>
  <si>
    <t xml:space="preserve">"obsadit-005"</t>
  </si>
  <si>
    <t xml:space="preserve">DPHR: do-1[role-2.2]</t>
  </si>
  <si>
    <t xml:space="preserve">"obsahovat-001"</t>
  </si>
  <si>
    <t xml:space="preserve">Whole(ARG0/114,ARG1/78,ARG2/150), Component(ARG0/18,ARG1/524,ARG2/123)</t>
  </si>
  <si>
    <t xml:space="preserve">ACT-&gt;ARG0/114,ARG1/78,ARG2/150</t>
  </si>
  <si>
    <t xml:space="preserve">ACT-&gt;Whole(ARG0/114,ARG1/78,ARG2/150)</t>
  </si>
  <si>
    <t xml:space="preserve">PAT-&gt;ARG0/18,ARG1/524,ARG2/123</t>
  </si>
  <si>
    <t xml:space="preserve">PAT-&gt;Component(ARG0/18,ARG1/524,ARG2/123)</t>
  </si>
  <si>
    <t xml:space="preserve">"obsazovat-001"</t>
  </si>
  <si>
    <t xml:space="preserve">"obsazovat-002"</t>
  </si>
  <si>
    <t xml:space="preserve">"obskákat-001"</t>
  </si>
  <si>
    <t xml:space="preserve">"obsloužit-001"</t>
  </si>
  <si>
    <t xml:space="preserve">Helper(ARG0/22), Party_benefited(ARG1/2,ARG2/42)</t>
  </si>
  <si>
    <t xml:space="preserve">ACT-&gt;Helper(ARG0/22)</t>
  </si>
  <si>
    <t xml:space="preserve">PAT-&gt;ARG1/2,ARG2/42</t>
  </si>
  <si>
    <t xml:space="preserve">PAT-&gt;Party_benefited(ARG1/2,ARG2/42)</t>
  </si>
  <si>
    <t xml:space="preserve">"obsluhovat-001"</t>
  </si>
  <si>
    <t xml:space="preserve">"obsluhovat-002"</t>
  </si>
  <si>
    <t xml:space="preserve">"obstarat-001"</t>
  </si>
  <si>
    <t xml:space="preserve">Agent(ARG0/54), Entity(ARG1/63,ARG2/6), Undergoer(ARG2/28)</t>
  </si>
  <si>
    <t xml:space="preserve">ACT-&gt;Agent(ARG0/54)</t>
  </si>
  <si>
    <t xml:space="preserve">PAT-&gt;ARG1/63,ARG2/6</t>
  </si>
  <si>
    <t xml:space="preserve">PAT-&gt;Entity(ARG1/63,ARG2/6)</t>
  </si>
  <si>
    <t xml:space="preserve">"obstarat-002"</t>
  </si>
  <si>
    <t xml:space="preserve">"obstarávat-001"</t>
  </si>
  <si>
    <t xml:space="preserve">"obstarávat-002"</t>
  </si>
  <si>
    <t xml:space="preserve">"obstavit-001"</t>
  </si>
  <si>
    <t xml:space="preserve">"obstoupit-001"</t>
  </si>
  <si>
    <t xml:space="preserve">"obstát-001"</t>
  </si>
  <si>
    <t xml:space="preserve">"obstřelovat-001"</t>
  </si>
  <si>
    <t xml:space="preserve">"obsáhnout-001"</t>
  </si>
  <si>
    <t xml:space="preserve">"obtelefonovávat-001"</t>
  </si>
  <si>
    <t xml:space="preserve">"obtížit-001"</t>
  </si>
  <si>
    <t xml:space="preserve">"obtěžkat-001"</t>
  </si>
  <si>
    <t xml:space="preserve">Entity(ARG0/11,ARG1/2,ARG2/8), Affected(ARG1/34,ARG2/4)</t>
  </si>
  <si>
    <t xml:space="preserve">ACT-&gt;ARG0/11,ARG1/2,ARG2/8</t>
  </si>
  <si>
    <t xml:space="preserve">ACT-&gt;Entity(ARG0/11,ARG1/2,ARG2/8)</t>
  </si>
  <si>
    <t xml:space="preserve">PAT-&gt;ARG1/34,ARG2/4</t>
  </si>
  <si>
    <t xml:space="preserve">PAT-&gt;Affected(ARG1/34,ARG2/4)</t>
  </si>
  <si>
    <t xml:space="preserve">"obtěžovat-001"</t>
  </si>
  <si>
    <t xml:space="preserve">"obtěžovat-se-001"</t>
  </si>
  <si>
    <t xml:space="preserve">Agent(ARG0/9), Undesirable(ARG1/9)</t>
  </si>
  <si>
    <t xml:space="preserve">ACT-&gt;ARG0/663,ARG1/40,ARG2/18,ARG3/1</t>
  </si>
  <si>
    <t xml:space="preserve">PAT: .f; s+7</t>
  </si>
  <si>
    <t xml:space="preserve">PAT-&gt;ARG0/1,ARG1/785,ARG2/59,ARG3/1</t>
  </si>
  <si>
    <t xml:space="preserve">PAT-&gt;Undesirable(ARG1/9)</t>
  </si>
  <si>
    <t xml:space="preserve">"obvazovat-001"</t>
  </si>
  <si>
    <t xml:space="preserve">"obveselit-001"</t>
  </si>
  <si>
    <t xml:space="preserve">"obvinit-001"</t>
  </si>
  <si>
    <t xml:space="preserve">?PAT: z+2; ↓že; za+4</t>
  </si>
  <si>
    <t xml:space="preserve">"--obvinit-se-001"</t>
  </si>
  <si>
    <t xml:space="preserve">"obviňovat-001"</t>
  </si>
  <si>
    <t xml:space="preserve">"obvolat-001"</t>
  </si>
  <si>
    <t xml:space="preserve">"obvolávat-001"</t>
  </si>
  <si>
    <t xml:space="preserve">"obydlet-001"</t>
  </si>
  <si>
    <t xml:space="preserve">"obávat-se-001"</t>
  </si>
  <si>
    <t xml:space="preserve">PAT: 2; ↓že; ↓zda; ↓aby; .f; ↓jestli; .v</t>
  </si>
  <si>
    <t xml:space="preserve">"obávat-se-002"</t>
  </si>
  <si>
    <t xml:space="preserve">"obávat-se-003"</t>
  </si>
  <si>
    <t xml:space="preserve">"obíhat-001"</t>
  </si>
  <si>
    <t xml:space="preserve">"obírat-001"</t>
  </si>
  <si>
    <t xml:space="preserve">Perpetrator(), Asset(), Victim(ARG1/5)</t>
  </si>
  <si>
    <t xml:space="preserve">ADDR-&gt;ARG1/5</t>
  </si>
  <si>
    <t xml:space="preserve">ADDR-&gt;Victim</t>
  </si>
  <si>
    <t xml:space="preserve">ADDR-&gt;Victim(ARG1/5)</t>
  </si>
  <si>
    <t xml:space="preserve">PAT-&gt;Asset()</t>
  </si>
  <si>
    <t xml:space="preserve">"obývat-001"</t>
  </si>
  <si>
    <t xml:space="preserve">Agent(ARG0/4), Place(ARG1/1)</t>
  </si>
  <si>
    <t xml:space="preserve">PAT-&gt;Place(ARG1/1)</t>
  </si>
  <si>
    <t xml:space="preserve">"občerstvovat-001"</t>
  </si>
  <si>
    <t xml:space="preserve">"občerstvovat-002"</t>
  </si>
  <si>
    <t xml:space="preserve">"obědvat-001"</t>
  </si>
  <si>
    <t xml:space="preserve">"oběhnout-001"</t>
  </si>
  <si>
    <t xml:space="preserve">"oběhnout-002"</t>
  </si>
  <si>
    <t xml:space="preserve">"oběsit-001"</t>
  </si>
  <si>
    <t xml:space="preserve">"obětovat-001"</t>
  </si>
  <si>
    <t xml:space="preserve">Agent(ARG0/17), Phenomenon(ARG1/30), Recipient(ARG2/1)</t>
  </si>
  <si>
    <t xml:space="preserve">ACT-&gt;ARG0/17</t>
  </si>
  <si>
    <t xml:space="preserve">ACT-&gt;Agent(ARG0/17)</t>
  </si>
  <si>
    <t xml:space="preserve">PAT-&gt;Phenomenon(ARG1/30)</t>
  </si>
  <si>
    <t xml:space="preserve">"obětovat-002"</t>
  </si>
  <si>
    <t xml:space="preserve">"obšancovat-001"</t>
  </si>
  <si>
    <t xml:space="preserve">"obšlápnout-001"</t>
  </si>
  <si>
    <t xml:space="preserve">"obšít-001"</t>
  </si>
  <si>
    <t xml:space="preserve">"obšťastňovat-001"</t>
  </si>
  <si>
    <t xml:space="preserve">"obžalovat-001"</t>
  </si>
  <si>
    <t xml:space="preserve">PAT-&gt;ARG1/221,ARG2/5</t>
  </si>
  <si>
    <t xml:space="preserve">PAT-&gt;Accused(ARG1/221,ARG2/5)</t>
  </si>
  <si>
    <t xml:space="preserve">"ocejchovat-001"</t>
  </si>
  <si>
    <t xml:space="preserve">"ocenit-001"</t>
  </si>
  <si>
    <t xml:space="preserve">"ocenit-002"</t>
  </si>
  <si>
    <t xml:space="preserve">"oceňovat-001"</t>
  </si>
  <si>
    <t xml:space="preserve">"oceňovat-002"</t>
  </si>
  <si>
    <t xml:space="preserve">"ochabnout-001"</t>
  </si>
  <si>
    <t xml:space="preserve">Weakened(ARG0/1,ARG1/727,ARG2/4)</t>
  </si>
  <si>
    <t xml:space="preserve">ACT-&gt;ARG0/1,ARG1/727,ARG2/4</t>
  </si>
  <si>
    <t xml:space="preserve">ACT-&gt;Weakened</t>
  </si>
  <si>
    <t xml:space="preserve">ACT-&gt;Weakened(ARG0/1,ARG1/727,ARG2/4)</t>
  </si>
  <si>
    <t xml:space="preserve">"ochabnout-002"</t>
  </si>
  <si>
    <t xml:space="preserve">"ochabovat-001"</t>
  </si>
  <si>
    <t xml:space="preserve">"ochladit-001"</t>
  </si>
  <si>
    <t xml:space="preserve">"ochladit-se-001"</t>
  </si>
  <si>
    <t xml:space="preserve">"ochladit-se-002"</t>
  </si>
  <si>
    <t xml:space="preserve">"ochladnout-001"</t>
  </si>
  <si>
    <t xml:space="preserve">Weakened(ARG0/1,ARG1/86), State_final(ARG3/1), State_initial()</t>
  </si>
  <si>
    <t xml:space="preserve">ACT-&gt;ARG0/2,ARG1/813,ARG2/4</t>
  </si>
  <si>
    <t xml:space="preserve">ACT-&gt;Weakened(ARG0/1,ARG1/86)</t>
  </si>
  <si>
    <t xml:space="preserve">"ochlazovat-001"</t>
  </si>
  <si>
    <t xml:space="preserve">"ochraňovat-001"</t>
  </si>
  <si>
    <t xml:space="preserve">"ochrnout-001"</t>
  </si>
  <si>
    <t xml:space="preserve">"ochromit-001"</t>
  </si>
  <si>
    <t xml:space="preserve">ACT-&gt;ARG0/336,ARG2/83</t>
  </si>
  <si>
    <t xml:space="preserve">PAT-&gt;ARG1/564</t>
  </si>
  <si>
    <t xml:space="preserve">"ochránit-001"</t>
  </si>
  <si>
    <t xml:space="preserve">"ochudit-001"</t>
  </si>
  <si>
    <t xml:space="preserve">Perpetrator(ARG0/2), Asset(ARG3/3), Victim(ARG1/10)</t>
  </si>
  <si>
    <t xml:space="preserve">PAT-&gt;ARG3/3</t>
  </si>
  <si>
    <t xml:space="preserve">PAT-&gt;Asset(ARG3/3)</t>
  </si>
  <si>
    <t xml:space="preserve">ADDR-&gt;ARG1/10</t>
  </si>
  <si>
    <t xml:space="preserve">ADDR-&gt;Victim(ARG1/10)</t>
  </si>
  <si>
    <t xml:space="preserve">"ochutit-001"</t>
  </si>
  <si>
    <t xml:space="preserve">"ochutnat-001"</t>
  </si>
  <si>
    <t xml:space="preserve">Assessor(ARG0/28,ARG1/1), Phenomenon(ARG1/45)</t>
  </si>
  <si>
    <t xml:space="preserve">ACT-&gt;Assessor(ARG0/28,ARG1/1)</t>
  </si>
  <si>
    <t xml:space="preserve">PAT-&gt;ARG1/45</t>
  </si>
  <si>
    <t xml:space="preserve">PAT-&gt;Phenomenon(ARG1/45)</t>
  </si>
  <si>
    <t xml:space="preserve">"ochutnávat-001"</t>
  </si>
  <si>
    <t xml:space="preserve">"ochuzovat-001"</t>
  </si>
  <si>
    <t xml:space="preserve">"ocitat-se-001"</t>
  </si>
  <si>
    <t xml:space="preserve">"ocitat-se-002"</t>
  </si>
  <si>
    <t xml:space="preserve">"ocitnout-se-001"</t>
  </si>
  <si>
    <t xml:space="preserve">"ocitnout-se-002"</t>
  </si>
  <si>
    <t xml:space="preserve">"ocitnout-se-003"</t>
  </si>
  <si>
    <t xml:space="preserve">ACMP: =</t>
  </si>
  <si>
    <t xml:space="preserve">"ocitnout-se-004"</t>
  </si>
  <si>
    <t xml:space="preserve">DPHR: na-1[led:6[tenký:#]]</t>
  </si>
  <si>
    <t xml:space="preserve">"ocitovat-001"</t>
  </si>
  <si>
    <t xml:space="preserve">"octnout-se-001"</t>
  </si>
  <si>
    <t xml:space="preserve">"octnout-se-002"</t>
  </si>
  <si>
    <t xml:space="preserve">"odbavovat-001"</t>
  </si>
  <si>
    <t xml:space="preserve">"odblokovat-001"</t>
  </si>
  <si>
    <t xml:space="preserve">"odbourat-001"</t>
  </si>
  <si>
    <t xml:space="preserve">"odbourávat-001"</t>
  </si>
  <si>
    <t xml:space="preserve">"odbočit-001"</t>
  </si>
  <si>
    <t xml:space="preserve">"odbočit-002"</t>
  </si>
  <si>
    <t xml:space="preserve">"odbočovat-001"</t>
  </si>
  <si>
    <t xml:space="preserve">Mover(ARG0/9,ARG1/2), Goal()</t>
  </si>
  <si>
    <t xml:space="preserve">ACT-&gt;ARG0/9,ARG1/2</t>
  </si>
  <si>
    <t xml:space="preserve">ACT-&gt;Mover(ARG0/9,ARG1/2)</t>
  </si>
  <si>
    <t xml:space="preserve">DIR3-&gt;Goal()</t>
  </si>
  <si>
    <t xml:space="preserve">"odbočovat-002"</t>
  </si>
  <si>
    <t xml:space="preserve">"odbrzdit-001"</t>
  </si>
  <si>
    <t xml:space="preserve">"odburácet-001"</t>
  </si>
  <si>
    <t xml:space="preserve">"odbýt-001"</t>
  </si>
  <si>
    <t xml:space="preserve">"odbýt-002"</t>
  </si>
  <si>
    <t xml:space="preserve">"odbýt-003"</t>
  </si>
  <si>
    <t xml:space="preserve">"odbýt-004"</t>
  </si>
  <si>
    <t xml:space="preserve">"odbýt-005"</t>
  </si>
  <si>
    <t xml:space="preserve">"odbýt-se-001"</t>
  </si>
  <si>
    <t xml:space="preserve">"odbýt-si-001"</t>
  </si>
  <si>
    <t xml:space="preserve">"odbývat-001"</t>
  </si>
  <si>
    <t xml:space="preserve">"odbývat-002"</t>
  </si>
  <si>
    <t xml:space="preserve">"odbývat-se-001"</t>
  </si>
  <si>
    <t xml:space="preserve">"odběhnout-001"</t>
  </si>
  <si>
    <t xml:space="preserve">"odbřemenit-001"</t>
  </si>
  <si>
    <t xml:space="preserve">"odcentrovat-001"</t>
  </si>
  <si>
    <t xml:space="preserve">"odcestovat-001"</t>
  </si>
  <si>
    <t xml:space="preserve">"odchodit-001"</t>
  </si>
  <si>
    <t xml:space="preserve">"odchovat-001"</t>
  </si>
  <si>
    <t xml:space="preserve">"odchovávat-001"</t>
  </si>
  <si>
    <t xml:space="preserve">"odchylovat-se-001"</t>
  </si>
  <si>
    <t xml:space="preserve">Entity(ARG0/7), Norm(ARG1/1)</t>
  </si>
  <si>
    <t xml:space="preserve">ACT-&gt;Entity(ARG0/7)</t>
  </si>
  <si>
    <t xml:space="preserve">PAT-&gt;Norm(ARG1/1)</t>
  </si>
  <si>
    <t xml:space="preserve">"odchytit-001"</t>
  </si>
  <si>
    <t xml:space="preserve">Agent(ARG0/6,ARG1/1), Reached(ARG1/86)</t>
  </si>
  <si>
    <t xml:space="preserve">ACT-&gt;Agent(ARG0/6,ARG1/1)</t>
  </si>
  <si>
    <t xml:space="preserve">PAT-&gt;Reached</t>
  </si>
  <si>
    <t xml:space="preserve">PAT-&gt;Reached(ARG1/86)</t>
  </si>
  <si>
    <t xml:space="preserve">"odchytit-002"</t>
  </si>
  <si>
    <t xml:space="preserve">"odchytnout-001"</t>
  </si>
  <si>
    <t xml:space="preserve">"odchytnout-002"</t>
  </si>
  <si>
    <t xml:space="preserve">"odcházet-001"</t>
  </si>
  <si>
    <t xml:space="preserve">"odcházet-002"</t>
  </si>
  <si>
    <t xml:space="preserve">"odcházet-003"</t>
  </si>
  <si>
    <t xml:space="preserve">"odcházet-004"</t>
  </si>
  <si>
    <t xml:space="preserve">"odcházívávat-001"</t>
  </si>
  <si>
    <t xml:space="preserve">"odchýlit-se-001"</t>
  </si>
  <si>
    <t xml:space="preserve">PAT: od+2; z+2</t>
  </si>
  <si>
    <t xml:space="preserve">"odchýlit-se-002"</t>
  </si>
  <si>
    <t xml:space="preserve">"odcizit-001"</t>
  </si>
  <si>
    <t xml:space="preserve">"odcizit-002"</t>
  </si>
  <si>
    <t xml:space="preserve">"odcizit-se-001"</t>
  </si>
  <si>
    <t xml:space="preserve">"odcizit-si-001"</t>
  </si>
  <si>
    <t xml:space="preserve">"odcizovat-001"</t>
  </si>
  <si>
    <t xml:space="preserve">"odcvičit-001"</t>
  </si>
  <si>
    <t xml:space="preserve">"oddalovat-001"</t>
  </si>
  <si>
    <t xml:space="preserve">"oddalovat-002"</t>
  </si>
  <si>
    <t xml:space="preserve">Changing(ARG0/112), Changed(ARG1/226), Time_from(ARG3/1), Time_to(ARG2/5,ARG3/2,ARG4/5)</t>
  </si>
  <si>
    <t xml:space="preserve">ACT-&gt;ARG0/232</t>
  </si>
  <si>
    <t xml:space="preserve">ACT-&gt;Changing(ARG0/112)</t>
  </si>
  <si>
    <t xml:space="preserve">PAT-&gt;ARG0/5,ARG1/454</t>
  </si>
  <si>
    <t xml:space="preserve">PAT-&gt;Changed(ARG1/226)</t>
  </si>
  <si>
    <t xml:space="preserve">"oddat-001"</t>
  </si>
  <si>
    <t xml:space="preserve">"oddat-se-001"</t>
  </si>
  <si>
    <t xml:space="preserve">"oddechnout-si-001"</t>
  </si>
  <si>
    <t xml:space="preserve">"oddechnout-si-002"</t>
  </si>
  <si>
    <t xml:space="preserve">"oddychnout-si-001"</t>
  </si>
  <si>
    <t xml:space="preserve">"oddychnout-si-002"</t>
  </si>
  <si>
    <t xml:space="preserve">"oddychovat-001"</t>
  </si>
  <si>
    <t xml:space="preserve">"oddychovat-002"</t>
  </si>
  <si>
    <t xml:space="preserve">"oddálit-001"</t>
  </si>
  <si>
    <t xml:space="preserve">"oddálit-002"</t>
  </si>
  <si>
    <t xml:space="preserve">"oddálit-se-001"</t>
  </si>
  <si>
    <t xml:space="preserve">"oddávat-001"</t>
  </si>
  <si>
    <t xml:space="preserve">"oddávat-se-001"</t>
  </si>
  <si>
    <t xml:space="preserve">"oddělat-001"</t>
  </si>
  <si>
    <t xml:space="preserve">"oddělat-002"</t>
  </si>
  <si>
    <t xml:space="preserve">"oddělat-003"</t>
  </si>
  <si>
    <t xml:space="preserve">"oddělat-004"</t>
  </si>
  <si>
    <t xml:space="preserve">"oddělit-001"</t>
  </si>
  <si>
    <t xml:space="preserve">"oddělit-se-001"</t>
  </si>
  <si>
    <t xml:space="preserve">Participant_1(ARG1/1), Participant_2()</t>
  </si>
  <si>
    <t xml:space="preserve">ACT-&gt;Participant_1(ARG1/1)</t>
  </si>
  <si>
    <t xml:space="preserve">PAT-&gt;Participant_2()</t>
  </si>
  <si>
    <t xml:space="preserve">"oddělovat-001"</t>
  </si>
  <si>
    <t xml:space="preserve">"oddělovat-se-001"</t>
  </si>
  <si>
    <t xml:space="preserve">"odebrat-001"</t>
  </si>
  <si>
    <t xml:space="preserve">"odebrat-002"</t>
  </si>
  <si>
    <t xml:space="preserve">"odebrat-003"</t>
  </si>
  <si>
    <t xml:space="preserve">Agent(ARG0/14), Component(ARG1/31), Whole(ARG2/11)</t>
  </si>
  <si>
    <t xml:space="preserve">ACT-&gt;Agent(ARG0/14)</t>
  </si>
  <si>
    <t xml:space="preserve">PAT-&gt;ARG1/31</t>
  </si>
  <si>
    <t xml:space="preserve">PAT-&gt;Component(ARG1/31)</t>
  </si>
  <si>
    <t xml:space="preserve">DIR1-&gt;ARG2/11</t>
  </si>
  <si>
    <t xml:space="preserve">DIR1-&gt;Whole</t>
  </si>
  <si>
    <t xml:space="preserve">DIR1-&gt;Whole(ARG2/11)</t>
  </si>
  <si>
    <t xml:space="preserve">"odebrat-004"</t>
  </si>
  <si>
    <t xml:space="preserve">"odebrat-se-001"</t>
  </si>
  <si>
    <t xml:space="preserve">"odebírat-001"</t>
  </si>
  <si>
    <t xml:space="preserve">"odebírat-002"</t>
  </si>
  <si>
    <t xml:space="preserve">"odebírat-003"</t>
  </si>
  <si>
    <t xml:space="preserve">Buyer(ARG0/2), Goods(ARG1/2)</t>
  </si>
  <si>
    <t xml:space="preserve">ACT-&gt;Buyer(ARG0/2)</t>
  </si>
  <si>
    <t xml:space="preserve">PAT-&gt;Goods(ARG1/2)</t>
  </si>
  <si>
    <t xml:space="preserve">"odehnat-001"</t>
  </si>
  <si>
    <t xml:space="preserve">Agent(ARG0/1), Affected(ARG1/1), Area_1()</t>
  </si>
  <si>
    <t xml:space="preserve">PAT-&gt;Affected(ARG1/1)</t>
  </si>
  <si>
    <t xml:space="preserve">"odehrát-001"</t>
  </si>
  <si>
    <t xml:space="preserve">"odehrát-se-001"</t>
  </si>
  <si>
    <t xml:space="preserve">"odehrávat-se-001"</t>
  </si>
  <si>
    <t xml:space="preserve">"odejmout-001"</t>
  </si>
  <si>
    <t xml:space="preserve">"odejít-001"</t>
  </si>
  <si>
    <t xml:space="preserve">"odejít-002"</t>
  </si>
  <si>
    <t xml:space="preserve">"odejít-003"</t>
  </si>
  <si>
    <t xml:space="preserve">"odejít-004"</t>
  </si>
  <si>
    <t xml:space="preserve">DPHR: na-1[odpočinek.S4]</t>
  </si>
  <si>
    <t xml:space="preserve">"odejít-005"</t>
  </si>
  <si>
    <t xml:space="preserve">"odejít-006"</t>
  </si>
  <si>
    <t xml:space="preserve">"odejít-007"</t>
  </si>
  <si>
    <t xml:space="preserve">"odemknout-001"</t>
  </si>
  <si>
    <t xml:space="preserve">Agent(ARG0/69,ARG2/2), Opened(ARG1/92)</t>
  </si>
  <si>
    <t xml:space="preserve">Agent(ARG0/51,ARG2/1), Entity(ARG1/62)</t>
  </si>
  <si>
    <t xml:space="preserve">Agent(ARG0/4), Opened(ARG1/6)</t>
  </si>
  <si>
    <t xml:space="preserve">ACT-&gt;ARG0/124,ARG2/3</t>
  </si>
  <si>
    <t xml:space="preserve">ACT-&gt;Agent(ARG0/69,ARG2/2)</t>
  </si>
  <si>
    <t xml:space="preserve">ACT-&gt;Agent(ARG0/51,ARG2/1)</t>
  </si>
  <si>
    <t xml:space="preserve">PAT-&gt;ARG1/160</t>
  </si>
  <si>
    <t xml:space="preserve">PAT-&gt;Opened</t>
  </si>
  <si>
    <t xml:space="preserve">PAT-&gt;Opened(ARG1/92)</t>
  </si>
  <si>
    <t xml:space="preserve">PAT-&gt;Entity(ARG1/62)</t>
  </si>
  <si>
    <t xml:space="preserve">PAT-&gt;Opened(ARG1/6)</t>
  </si>
  <si>
    <t xml:space="preserve">"odepisovat-001"</t>
  </si>
  <si>
    <t xml:space="preserve">Entity(ARG0/6), Value(ARG1/20), Property(ARG2/1)</t>
  </si>
  <si>
    <t xml:space="preserve">PAT-&gt;ARG1/20</t>
  </si>
  <si>
    <t xml:space="preserve">PAT-&gt;Value(ARG1/20)</t>
  </si>
  <si>
    <t xml:space="preserve">DIR1-&gt;ARG2/1</t>
  </si>
  <si>
    <t xml:space="preserve">DIR1-&gt;Property</t>
  </si>
  <si>
    <t xml:space="preserve">DIR1-&gt;Property(ARG2/1)</t>
  </si>
  <si>
    <t xml:space="preserve">"odepisovat-002"</t>
  </si>
  <si>
    <t xml:space="preserve">"odepisovat-003"</t>
  </si>
  <si>
    <t xml:space="preserve">EFF: 4; 7; ↓že; ↓aby; ↓ať; .s; ↓c</t>
  </si>
  <si>
    <t xml:space="preserve">"odepsat-001"</t>
  </si>
  <si>
    <t xml:space="preserve">"odepsat-002"</t>
  </si>
  <si>
    <t xml:space="preserve">"odepsat-003"</t>
  </si>
  <si>
    <t xml:space="preserve">"odepírat-001"</t>
  </si>
  <si>
    <t xml:space="preserve">PAT: 4; ↓aby; .f</t>
  </si>
  <si>
    <t xml:space="preserve">"odepřít-001"</t>
  </si>
  <si>
    <t xml:space="preserve">ADDR-&gt;ARG2/12</t>
  </si>
  <si>
    <t xml:space="preserve">ADDR-&gt;Proposer</t>
  </si>
  <si>
    <t xml:space="preserve">ADDR-&gt;Proposer(ARG2/12)</t>
  </si>
  <si>
    <t xml:space="preserve">"odeslat-001"</t>
  </si>
  <si>
    <t xml:space="preserve">"odeslat-002"</t>
  </si>
  <si>
    <t xml:space="preserve">"odesílat-001"</t>
  </si>
  <si>
    <t xml:space="preserve">"odevzdat-001"</t>
  </si>
  <si>
    <t xml:space="preserve">"odevzdat-002"</t>
  </si>
  <si>
    <t xml:space="preserve">"odevzdat-003"</t>
  </si>
  <si>
    <t xml:space="preserve">"odevzdávat-001"</t>
  </si>
  <si>
    <t xml:space="preserve">Owner(ARG0/11), Acquired(ARG1/19), Recipient(ARG1/4,ARG2/18)</t>
  </si>
  <si>
    <t xml:space="preserve">ACT-&gt;Owner(ARG0/11)</t>
  </si>
  <si>
    <t xml:space="preserve">PAT-&gt;ARG1/154,ARG2/2</t>
  </si>
  <si>
    <t xml:space="preserve">PAT-&gt;Acquired(ARG1/19)</t>
  </si>
  <si>
    <t xml:space="preserve">ADDR-&gt;ARG1/11,ARG2/145</t>
  </si>
  <si>
    <t xml:space="preserve">ADDR-&gt;Recipient(ARG1/4,ARG2/18)</t>
  </si>
  <si>
    <t xml:space="preserve">"odevzdávat-002"</t>
  </si>
  <si>
    <t xml:space="preserve">"odevzdávat-003"</t>
  </si>
  <si>
    <t xml:space="preserve">PAT-&gt;ARG1/135,ARG2/2</t>
  </si>
  <si>
    <t xml:space="preserve">DIR3-&gt;ARG1/7,ARG2/127</t>
  </si>
  <si>
    <t xml:space="preserve">DIR3-&gt;Recipient(ARG1/7,ARG2/127)</t>
  </si>
  <si>
    <t xml:space="preserve">"odeznít-001"</t>
  </si>
  <si>
    <t xml:space="preserve">"odeznívat-001"</t>
  </si>
  <si>
    <t xml:space="preserve">"odečíst-001"</t>
  </si>
  <si>
    <t xml:space="preserve">Agent(ARG0/4,ARG1/1), Removed(ARG1/13), Value_initial()</t>
  </si>
  <si>
    <t xml:space="preserve">PAT-&gt;Removed(ARG1/13)</t>
  </si>
  <si>
    <t xml:space="preserve">DIR1-&gt;Value_initial</t>
  </si>
  <si>
    <t xml:space="preserve">DIR1-&gt;Value_initial()</t>
  </si>
  <si>
    <t xml:space="preserve">"odečítat-001"</t>
  </si>
  <si>
    <t xml:space="preserve">"odečítat-002"</t>
  </si>
  <si>
    <t xml:space="preserve">"odfouknout-001"</t>
  </si>
  <si>
    <t xml:space="preserve">"odfrknout-si-001"</t>
  </si>
  <si>
    <t xml:space="preserve">Speaker(ARG0/3), Communicated(ARG1/4)</t>
  </si>
  <si>
    <t xml:space="preserve">PAT-&gt;Communicated(ARG1/4)</t>
  </si>
  <si>
    <t xml:space="preserve">"odhadnout-001"</t>
  </si>
  <si>
    <t xml:space="preserve">ACT-&gt;ARG0/332,ARG1/4</t>
  </si>
  <si>
    <t xml:space="preserve">PAT-&gt;ARG1/767,ARG2/6</t>
  </si>
  <si>
    <t xml:space="preserve">"odhadnout-002"</t>
  </si>
  <si>
    <t xml:space="preserve">PAT: 4; ↓že; ↓zda; ↓c</t>
  </si>
  <si>
    <t xml:space="preserve">"odhadovat-001"</t>
  </si>
  <si>
    <t xml:space="preserve">"odhadovat-002"</t>
  </si>
  <si>
    <t xml:space="preserve">"odhalit-001"</t>
  </si>
  <si>
    <t xml:space="preserve">Authority(ARG0/268,ARG2/3), Withheld(ARG1/473,ARG2/5), Audience_Addressee(ARG1/12,ARG2/174,ARG3/29)</t>
  </si>
  <si>
    <t xml:space="preserve">ACT-&gt;ARG0/354,ARG2/3</t>
  </si>
  <si>
    <t xml:space="preserve">ACT-&gt;Authority(ARG0/268,ARG2/3)</t>
  </si>
  <si>
    <t xml:space="preserve">PAT-&gt;ARG1/614,ARG2/5,ARG3/1</t>
  </si>
  <si>
    <t xml:space="preserve">PAT-&gt;Withheld</t>
  </si>
  <si>
    <t xml:space="preserve">PAT-&gt;Withheld(ARG1/473,ARG2/5)</t>
  </si>
  <si>
    <t xml:space="preserve">"odhalit-002"</t>
  </si>
  <si>
    <t xml:space="preserve">"odhalovat-001"</t>
  </si>
  <si>
    <t xml:space="preserve">"odhalovat-002"</t>
  </si>
  <si>
    <t xml:space="preserve">"odhazovat-001"</t>
  </si>
  <si>
    <t xml:space="preserve">"odhlasovat-001"</t>
  </si>
  <si>
    <t xml:space="preserve">"odhlásit-001"</t>
  </si>
  <si>
    <t xml:space="preserve">"odhlédnout-001"</t>
  </si>
  <si>
    <t xml:space="preserve">Communicator(ARG0/28), Excluded(ARG1/47)</t>
  </si>
  <si>
    <t xml:space="preserve">ACT-&gt;Communicator(ARG0/28)</t>
  </si>
  <si>
    <t xml:space="preserve">PAT-&gt;Excluded</t>
  </si>
  <si>
    <t xml:space="preserve">PAT-&gt;Excluded(ARG1/47)</t>
  </si>
  <si>
    <t xml:space="preserve">"odhlížet-001"</t>
  </si>
  <si>
    <t xml:space="preserve">"odhodit-001"</t>
  </si>
  <si>
    <t xml:space="preserve">"odhodit-002"</t>
  </si>
  <si>
    <t xml:space="preserve">"odhodlat-se-001"</t>
  </si>
  <si>
    <t xml:space="preserve">PAT: k+3; .f; ↓že</t>
  </si>
  <si>
    <t xml:space="preserve">"odhodlávat-se-001"</t>
  </si>
  <si>
    <t xml:space="preserve">"odhrabat-001"</t>
  </si>
  <si>
    <t xml:space="preserve">"odhrnovat-001"</t>
  </si>
  <si>
    <t xml:space="preserve">Removing(), Removed(), Place()</t>
  </si>
  <si>
    <t xml:space="preserve">PAT-&gt;Removed()</t>
  </si>
  <si>
    <t xml:space="preserve">"odhánět-001"</t>
  </si>
  <si>
    <t xml:space="preserve">"odházet-001"</t>
  </si>
  <si>
    <t xml:space="preserve">Mover(ARG0/1), Moved(ARG1/2), Area()</t>
  </si>
  <si>
    <t xml:space="preserve">PAT-&gt;Moved(ARG1/2)</t>
  </si>
  <si>
    <t xml:space="preserve">DIR1-&gt;Area</t>
  </si>
  <si>
    <t xml:space="preserve">DIR1-&gt;Area()</t>
  </si>
  <si>
    <t xml:space="preserve">"odjet-001"</t>
  </si>
  <si>
    <t xml:space="preserve">"odjet-002"</t>
  </si>
  <si>
    <t xml:space="preserve">"odjistit-001"</t>
  </si>
  <si>
    <t xml:space="preserve">"odjíždět-001"</t>
  </si>
  <si>
    <t xml:space="preserve">"odkapávat-001"</t>
  </si>
  <si>
    <t xml:space="preserve">"odkazovat-001"</t>
  </si>
  <si>
    <t xml:space="preserve">"odkazovat-002"</t>
  </si>
  <si>
    <t xml:space="preserve">"odkazovat-003"</t>
  </si>
  <si>
    <t xml:space="preserve">"odkazovat-004"</t>
  </si>
  <si>
    <t xml:space="preserve">PAT: na+4; ↓že</t>
  </si>
  <si>
    <t xml:space="preserve">"odkašlat-si-001"</t>
  </si>
  <si>
    <t xml:space="preserve">"odklidit-001"</t>
  </si>
  <si>
    <t xml:space="preserve">"odklidit-002"</t>
  </si>
  <si>
    <t xml:space="preserve">"odklizovat-001"</t>
  </si>
  <si>
    <t xml:space="preserve">"odklonit-001"</t>
  </si>
  <si>
    <t xml:space="preserve">"odklonit-002"</t>
  </si>
  <si>
    <t xml:space="preserve">Transporter(ARG0/93), Transported(ARG0/1,ARG1/176), Source(), Targeted(ARG2/74)</t>
  </si>
  <si>
    <t xml:space="preserve">ACT-&gt;Transporter(ARG0/93)</t>
  </si>
  <si>
    <t xml:space="preserve">PAT-&gt;ARG0/1,ARG1/176</t>
  </si>
  <si>
    <t xml:space="preserve">PAT-&gt;Transported(ARG0/1,ARG1/176)</t>
  </si>
  <si>
    <t xml:space="preserve">"odklonit-003"</t>
  </si>
  <si>
    <t xml:space="preserve">Agent(ARG0/1), Situation_undesirable(ARG1/2)</t>
  </si>
  <si>
    <t xml:space="preserve">PAT-&gt;Situation_undesirable(ARG1/2)</t>
  </si>
  <si>
    <t xml:space="preserve">"odklonit-se-001"</t>
  </si>
  <si>
    <t xml:space="preserve">"odklonit-se-002"</t>
  </si>
  <si>
    <t xml:space="preserve">"odklusat-001"</t>
  </si>
  <si>
    <t xml:space="preserve">"odkládat-001"</t>
  </si>
  <si>
    <t xml:space="preserve">"odkládat-002"</t>
  </si>
  <si>
    <t xml:space="preserve">"odkládat-003"</t>
  </si>
  <si>
    <t xml:space="preserve">"odkládat-004"</t>
  </si>
  <si>
    <t xml:space="preserve">Mover(ARG0/8), Moved(ARG1/10), Place()</t>
  </si>
  <si>
    <t xml:space="preserve">ACT-&gt;Mover(ARG0/8)</t>
  </si>
  <si>
    <t xml:space="preserve">PAT-&gt;Moved(ARG1/10)</t>
  </si>
  <si>
    <t xml:space="preserve">"--odkládat-005"</t>
  </si>
  <si>
    <t xml:space="preserve">"odklánět-001"</t>
  </si>
  <si>
    <t xml:space="preserve">"odklánět-se-001"</t>
  </si>
  <si>
    <t xml:space="preserve">ACT-&gt;ARG0/105,ARG1/5</t>
  </si>
  <si>
    <t xml:space="preserve">PAT-&gt;ARG1/142,ARG2/1</t>
  </si>
  <si>
    <t xml:space="preserve">"odklízet-001"</t>
  </si>
  <si>
    <t xml:space="preserve">"odkopnout-001"</t>
  </si>
  <si>
    <t xml:space="preserve">"odkopávat-001"</t>
  </si>
  <si>
    <t xml:space="preserve">"odkoupit-001"</t>
  </si>
  <si>
    <t xml:space="preserve">"odkroutit-001"</t>
  </si>
  <si>
    <t xml:space="preserve">"odkroutit-si-001"</t>
  </si>
  <si>
    <t xml:space="preserve">"odkráglovat-001"</t>
  </si>
  <si>
    <t xml:space="preserve">Cause(ARG0/95), Victim(ARG1/210)</t>
  </si>
  <si>
    <t xml:space="preserve">Destroyer(), Destroyed()</t>
  </si>
  <si>
    <t xml:space="preserve">ACT-&gt;Cause(ARG0/95)</t>
  </si>
  <si>
    <t xml:space="preserve">ACT-&gt;Destroyer()</t>
  </si>
  <si>
    <t xml:space="preserve">PAT-&gt;ARG1/210</t>
  </si>
  <si>
    <t xml:space="preserve">PAT-&gt;Victim(ARG1/210)</t>
  </si>
  <si>
    <t xml:space="preserve">PAT-&gt;Destroyed()</t>
  </si>
  <si>
    <t xml:space="preserve">"odkrýt-001"</t>
  </si>
  <si>
    <t xml:space="preserve">"odkrývat-001"</t>
  </si>
  <si>
    <t xml:space="preserve">"odkupovat-001"</t>
  </si>
  <si>
    <t xml:space="preserve">"odkvétat-001"</t>
  </si>
  <si>
    <t xml:space="preserve">"odkázat-001"</t>
  </si>
  <si>
    <t xml:space="preserve">ADDR-&gt;ARG1/4,ARG2/18</t>
  </si>
  <si>
    <t xml:space="preserve">"odkázat-002"</t>
  </si>
  <si>
    <t xml:space="preserve">"odkázat-003"</t>
  </si>
  <si>
    <t xml:space="preserve">"odkývat-001"</t>
  </si>
  <si>
    <t xml:space="preserve">"odlehčit-001"</t>
  </si>
  <si>
    <t xml:space="preserve">"odlehčit-002"</t>
  </si>
  <si>
    <t xml:space="preserve">"odlepit-se-001"</t>
  </si>
  <si>
    <t xml:space="preserve">"odlepkovávat-001"</t>
  </si>
  <si>
    <t xml:space="preserve">"odletět-001"</t>
  </si>
  <si>
    <t xml:space="preserve">"odležet-se-001"</t>
  </si>
  <si>
    <t xml:space="preserve">"odlišit-001"</t>
  </si>
  <si>
    <t xml:space="preserve">ACT-&gt;Distinguishing</t>
  </si>
  <si>
    <t xml:space="preserve">ACT-&gt;Distinguishing(ARG0/2)</t>
  </si>
  <si>
    <t xml:space="preserve">PAT-&gt;Compared_1(ARG1/18)</t>
  </si>
  <si>
    <t xml:space="preserve">ORIG-&gt;ARG2/9</t>
  </si>
  <si>
    <t xml:space="preserve">ORIG-&gt;Compared_2</t>
  </si>
  <si>
    <t xml:space="preserve">ORIG-&gt;Compared_2(ARG2/9)</t>
  </si>
  <si>
    <t xml:space="preserve">"odlišit-se-001"</t>
  </si>
  <si>
    <t xml:space="preserve">Compared_1(ARG0/2,ARG1/1), Compared_2(ARG1/2,ARG2/2)</t>
  </si>
  <si>
    <t xml:space="preserve">ACT-&gt;Compared_1(ARG0/2,ARG1/1)</t>
  </si>
  <si>
    <t xml:space="preserve">PAT-&gt;ARG1/2,ARG2/2</t>
  </si>
  <si>
    <t xml:space="preserve">PAT-&gt;Compared_2(ARG1/2,ARG2/2)</t>
  </si>
  <si>
    <t xml:space="preserve">"odlišovat-001"</t>
  </si>
  <si>
    <t xml:space="preserve">"odlišovat-se-001"</t>
  </si>
  <si>
    <t xml:space="preserve">"odloučit-001"</t>
  </si>
  <si>
    <t xml:space="preserve">"odložit-001"</t>
  </si>
  <si>
    <t xml:space="preserve">"odložit-002"</t>
  </si>
  <si>
    <t xml:space="preserve">"odložit-003"</t>
  </si>
  <si>
    <t xml:space="preserve">"odlupovat-001"</t>
  </si>
  <si>
    <t xml:space="preserve">"odlákat-001"</t>
  </si>
  <si>
    <t xml:space="preserve">"odlákávat-001"</t>
  </si>
  <si>
    <t xml:space="preserve">"odlétat-001"</t>
  </si>
  <si>
    <t xml:space="preserve">"odlít-001"</t>
  </si>
  <si>
    <t xml:space="preserve">"odlít-002"</t>
  </si>
  <si>
    <t xml:space="preserve">"odmalovat-001"</t>
  </si>
  <si>
    <t xml:space="preserve">"odmaturovat-001"</t>
  </si>
  <si>
    <t xml:space="preserve">"odmlouvat-001"</t>
  </si>
  <si>
    <t xml:space="preserve">"odmlčet-se-001"</t>
  </si>
  <si>
    <t xml:space="preserve">"odmontovat-001"</t>
  </si>
  <si>
    <t xml:space="preserve">"odmrštit-001"</t>
  </si>
  <si>
    <t xml:space="preserve">"odmyslit-si-001"</t>
  </si>
  <si>
    <t xml:space="preserve">"odmávat-001"</t>
  </si>
  <si>
    <t xml:space="preserve">"odmávnout-001"</t>
  </si>
  <si>
    <t xml:space="preserve">"odmáčet-001"</t>
  </si>
  <si>
    <t xml:space="preserve">"odmítat-001"</t>
  </si>
  <si>
    <t xml:space="preserve">"odmítat-002"</t>
  </si>
  <si>
    <t xml:space="preserve">PAT: 4; ↓aby; ↓že</t>
  </si>
  <si>
    <t xml:space="preserve">"odmítat-003"</t>
  </si>
  <si>
    <t xml:space="preserve">"odmítat-004"</t>
  </si>
  <si>
    <t xml:space="preserve">"odmítnout-001"</t>
  </si>
  <si>
    <t xml:space="preserve">"odmítnout-002"</t>
  </si>
  <si>
    <t xml:space="preserve">ACT: 1; {strana-2}.S2/AuxP[z-1,.2]</t>
  </si>
  <si>
    <t xml:space="preserve">"odmítnout-003"</t>
  </si>
  <si>
    <t xml:space="preserve">"odmítnout-004"</t>
  </si>
  <si>
    <t xml:space="preserve">"odměnit-001"</t>
  </si>
  <si>
    <t xml:space="preserve">"odměnit-se-001"</t>
  </si>
  <si>
    <t xml:space="preserve">"odměňovat-001"</t>
  </si>
  <si>
    <t xml:space="preserve">"odměňovat-se-001"</t>
  </si>
  <si>
    <t xml:space="preserve">"odměřovat-001"</t>
  </si>
  <si>
    <t xml:space="preserve">"odnaučit-001"</t>
  </si>
  <si>
    <t xml:space="preserve">PAT: 4; 3; .f; ↓aby; ↓c</t>
  </si>
  <si>
    <t xml:space="preserve">"odnaučit-se-001"</t>
  </si>
  <si>
    <t xml:space="preserve">PAT: 3; .f</t>
  </si>
  <si>
    <t xml:space="preserve">"odnárodnit-001"</t>
  </si>
  <si>
    <t xml:space="preserve">"odnášet-001"</t>
  </si>
  <si>
    <t xml:space="preserve">"odnášet-002"</t>
  </si>
  <si>
    <t xml:space="preserve">"odnášet-003"</t>
  </si>
  <si>
    <t xml:space="preserve">"odnášet-004"</t>
  </si>
  <si>
    <t xml:space="preserve">"odnést-001"</t>
  </si>
  <si>
    <t xml:space="preserve">"odnést-002"</t>
  </si>
  <si>
    <t xml:space="preserve">"odnést-003"</t>
  </si>
  <si>
    <t xml:space="preserve">"odnést-004"</t>
  </si>
  <si>
    <t xml:space="preserve">ACT-&gt;ARG1/223,ARG2/4</t>
  </si>
  <si>
    <t xml:space="preserve">ACT-&gt;Affected(ARG1/223,ARG2/4)</t>
  </si>
  <si>
    <t xml:space="preserve">PAT-&gt;ARG0/128,ARG1/3,ARG2/38</t>
  </si>
  <si>
    <t xml:space="preserve">PAT-&gt;Undesirable(ARG0/128,ARG1/3,ARG2/38)</t>
  </si>
  <si>
    <t xml:space="preserve">"odnést-005"</t>
  </si>
  <si>
    <t xml:space="preserve">"odnést-si-001"</t>
  </si>
  <si>
    <t xml:space="preserve">"odolat-001"</t>
  </si>
  <si>
    <t xml:space="preserve">PAT: 3; ↓aby</t>
  </si>
  <si>
    <t xml:space="preserve">Protagonist(ARG0/158), Hindrance(ARG0/1,ARG1/241)</t>
  </si>
  <si>
    <t xml:space="preserve">ACT-&gt;ARG0/158</t>
  </si>
  <si>
    <t xml:space="preserve">ACT-&gt;Protagonist(ARG0/158)</t>
  </si>
  <si>
    <t xml:space="preserve">PAT-&gt;ARG0/1,ARG1/241</t>
  </si>
  <si>
    <t xml:space="preserve">PAT-&gt;Hindrance(ARG0/1,ARG1/241)</t>
  </si>
  <si>
    <t xml:space="preserve">"odolávat-001"</t>
  </si>
  <si>
    <t xml:space="preserve">"odoperovat-001"</t>
  </si>
  <si>
    <t xml:space="preserve">"odorat-001"</t>
  </si>
  <si>
    <t xml:space="preserve">"odpadat-001"</t>
  </si>
  <si>
    <t xml:space="preserve">"odpadnout-001"</t>
  </si>
  <si>
    <t xml:space="preserve">"odpadnout-002"</t>
  </si>
  <si>
    <t xml:space="preserve">"odpadávat-001"</t>
  </si>
  <si>
    <t xml:space="preserve">"odpalovat-001"</t>
  </si>
  <si>
    <t xml:space="preserve">"odplavit-001"</t>
  </si>
  <si>
    <t xml:space="preserve">"odplevelit-001"</t>
  </si>
  <si>
    <t xml:space="preserve">"odplout-001"</t>
  </si>
  <si>
    <t xml:space="preserve">"odplouvat-001"</t>
  </si>
  <si>
    <t xml:space="preserve">"odplynout-001"</t>
  </si>
  <si>
    <t xml:space="preserve">"odplížit-se-001"</t>
  </si>
  <si>
    <t xml:space="preserve">"odpochodovat-001"</t>
  </si>
  <si>
    <t xml:space="preserve">"odpochodovat-002"</t>
  </si>
  <si>
    <t xml:space="preserve">"odpojit-001"</t>
  </si>
  <si>
    <t xml:space="preserve">Agent(ARG0/1), Disconnected(ARG1/5), Source(ARG2/1)</t>
  </si>
  <si>
    <t xml:space="preserve">PAT-&gt;Disconnected</t>
  </si>
  <si>
    <t xml:space="preserve">PAT-&gt;Disconnected(ARG1/5)</t>
  </si>
  <si>
    <t xml:space="preserve">"odpojit-002"</t>
  </si>
  <si>
    <t xml:space="preserve">"odpolitizovat-001"</t>
  </si>
  <si>
    <t xml:space="preserve">"odpomoci-001"</t>
  </si>
  <si>
    <t xml:space="preserve">?PAT: od+2; .f</t>
  </si>
  <si>
    <t xml:space="preserve">"odporovat-001"</t>
  </si>
  <si>
    <t xml:space="preserve">Opposing(ARG0/3), Opposed(ARG1/6)</t>
  </si>
  <si>
    <t xml:space="preserve">ACT-&gt;Opposing(ARG0/3)</t>
  </si>
  <si>
    <t xml:space="preserve">PAT-&gt;Opposed</t>
  </si>
  <si>
    <t xml:space="preserve">PAT-&gt;Opposed(ARG1/6)</t>
  </si>
  <si>
    <t xml:space="preserve">"odporovat-002"</t>
  </si>
  <si>
    <t xml:space="preserve">PAT: 3; ↓že; .s; ↓c</t>
  </si>
  <si>
    <t xml:space="preserve">"odposlechnout-001"</t>
  </si>
  <si>
    <t xml:space="preserve">"odposlouchat-001"</t>
  </si>
  <si>
    <t xml:space="preserve">"odposlouchávat-001"</t>
  </si>
  <si>
    <t xml:space="preserve">"odpoutat-001"</t>
  </si>
  <si>
    <t xml:space="preserve">"odpoutat-002"</t>
  </si>
  <si>
    <t xml:space="preserve">"odpoutat-se-001"</t>
  </si>
  <si>
    <t xml:space="preserve">"odpoutávat-001"</t>
  </si>
  <si>
    <t xml:space="preserve">"odpoutávat-002"</t>
  </si>
  <si>
    <t xml:space="preserve">"odpouštět-001"</t>
  </si>
  <si>
    <t xml:space="preserve">Evaluator(ARG0/2), Offense(ARG2/7), Guilty(ARG1/2)</t>
  </si>
  <si>
    <t xml:space="preserve">ACT-&gt;Evaluator</t>
  </si>
  <si>
    <t xml:space="preserve">ACT-&gt;Evaluator(ARG0/2)</t>
  </si>
  <si>
    <t xml:space="preserve">PAT-&gt;Offense</t>
  </si>
  <si>
    <t xml:space="preserve">PAT-&gt;Offense(ARG2/7)</t>
  </si>
  <si>
    <t xml:space="preserve">ADDR-&gt;ARG1/2</t>
  </si>
  <si>
    <t xml:space="preserve">ADDR-&gt;Guilty</t>
  </si>
  <si>
    <t xml:space="preserve">ADDR-&gt;Guilty(ARG1/2)</t>
  </si>
  <si>
    <t xml:space="preserve">"odpouštět-002"</t>
  </si>
  <si>
    <t xml:space="preserve">"odpouštět-si-001"</t>
  </si>
  <si>
    <t xml:space="preserve">"odpovídat-001"</t>
  </si>
  <si>
    <t xml:space="preserve">"odpovídat-002"</t>
  </si>
  <si>
    <t xml:space="preserve">Compared_1(ARG0/4,ARG1/34), Compared_2(ARG1/48,ARG2/12)</t>
  </si>
  <si>
    <t xml:space="preserve">ACT-&gt;ARG0/4,ARG1/34</t>
  </si>
  <si>
    <t xml:space="preserve">ACT-&gt;Compared_1(ARG0/4,ARG1/34)</t>
  </si>
  <si>
    <t xml:space="preserve">PAT-&gt;ARG1/48,ARG2/12</t>
  </si>
  <si>
    <t xml:space="preserve">PAT-&gt;Compared_2(ARG1/48,ARG2/12)</t>
  </si>
  <si>
    <t xml:space="preserve">"odpovídat-003"</t>
  </si>
  <si>
    <t xml:space="preserve">Protagonist(ARG0/151), Stimulus(ARG1/126,ARG2/1), Manner(ARG1/1,ARG2/35)</t>
  </si>
  <si>
    <t xml:space="preserve">ACT-&gt;ARG0/151</t>
  </si>
  <si>
    <t xml:space="preserve">ACT-&gt;Protagonist(ARG0/151)</t>
  </si>
  <si>
    <t xml:space="preserve">PAT-&gt;ARG1/126,ARG2/1</t>
  </si>
  <si>
    <t xml:space="preserve">PAT-&gt;Stimulus(ARG1/126,ARG2/1)</t>
  </si>
  <si>
    <t xml:space="preserve">"odpovídat-004"</t>
  </si>
  <si>
    <t xml:space="preserve">"odpovídat-005"</t>
  </si>
  <si>
    <t xml:space="preserve">Speaker(ARG0/12511,ARG1/38), Information(ARG0/4,ARG1/10906,ARG2/55,ARG3/29), Audience_Addressee(ARG1/6,ARG2/332)</t>
  </si>
  <si>
    <t xml:space="preserve">ACT-&gt;ARG0/12511,ARG1/38</t>
  </si>
  <si>
    <t xml:space="preserve">ACT-&gt;Speaker(ARG0/12511,ARG1/38)</t>
  </si>
  <si>
    <t xml:space="preserve">ADDR-&gt;ARG1/6,ARG2/332</t>
  </si>
  <si>
    <t xml:space="preserve">ADDR-&gt;Audience_Addressee(ARG1/6,ARG2/332)</t>
  </si>
  <si>
    <t xml:space="preserve">EFF: 4; 7; ↓že; ↓zda; ↓aby; ↓ať; .s; ↓c</t>
  </si>
  <si>
    <t xml:space="preserve">EFF-&gt;ARG0/4,ARG1/10906,ARG2/55,ARG3/29</t>
  </si>
  <si>
    <t xml:space="preserve">EFF-&gt;Information(ARG0/4,ARG1/10906,ARG2/55,ARG3/29)</t>
  </si>
  <si>
    <t xml:space="preserve">PAT-&gt;ARG0/4,ARG1/10906,ARG2/55,ARG3/29</t>
  </si>
  <si>
    <t xml:space="preserve">PAT-&gt;Information(ARG0/4,ARG1/10906,ARG2/55,ARG3/29)</t>
  </si>
  <si>
    <t xml:space="preserve">"odpovídat-006"</t>
  </si>
  <si>
    <t xml:space="preserve">"odpovídat-se-001"</t>
  </si>
  <si>
    <t xml:space="preserve">"odpovědět-001"</t>
  </si>
  <si>
    <t xml:space="preserve">"odpovědět-002"</t>
  </si>
  <si>
    <t xml:space="preserve">"odpovědět-003"</t>
  </si>
  <si>
    <t xml:space="preserve">EFF: 4; 7; ↓že; ↓aby; ↓ať; ↓zda; .s; ↓c</t>
  </si>
  <si>
    <t xml:space="preserve">"odpovědět-004"</t>
  </si>
  <si>
    <t xml:space="preserve">"odpočinout-si-001"</t>
  </si>
  <si>
    <t xml:space="preserve">"odpočnout-si-001"</t>
  </si>
  <si>
    <t xml:space="preserve">"odpočíst-001"</t>
  </si>
  <si>
    <t xml:space="preserve">"odpočíst-002"</t>
  </si>
  <si>
    <t xml:space="preserve">"odpočítávat-001"</t>
  </si>
  <si>
    <t xml:space="preserve">"odpočítávat-002"</t>
  </si>
  <si>
    <t xml:space="preserve">"odpočívat-001"</t>
  </si>
  <si>
    <t xml:space="preserve">"odpracovat-001"</t>
  </si>
  <si>
    <t xml:space="preserve">"odpracovávat-001"</t>
  </si>
  <si>
    <t xml:space="preserve">"odpravit-001"</t>
  </si>
  <si>
    <t xml:space="preserve">"odprodat-001"</t>
  </si>
  <si>
    <t xml:space="preserve">Seller(ARG0/555,ARG1/12,ARG2/5), Goods(ARG0/8,ARG1/1170,ARG2/3), Buyer(ARG2/221), Recompensated(ARG1/1,ARG3/142)</t>
  </si>
  <si>
    <t xml:space="preserve">ACT-&gt;ARG0/555,ARG1/12,ARG2/5</t>
  </si>
  <si>
    <t xml:space="preserve">ACT-&gt;Seller(ARG0/555,ARG1/12,ARG2/5)</t>
  </si>
  <si>
    <t xml:space="preserve">PAT-&gt;ARG0/8,ARG1/1170,ARG2/3</t>
  </si>
  <si>
    <t xml:space="preserve">PAT-&gt;Goods(ARG0/8,ARG1/1170,ARG2/3)</t>
  </si>
  <si>
    <t xml:space="preserve">ADDR-&gt;ARG2/221</t>
  </si>
  <si>
    <t xml:space="preserve">ADDR-&gt;Buyer(ARG2/221)</t>
  </si>
  <si>
    <t xml:space="preserve">"odprodávat-001"</t>
  </si>
  <si>
    <t xml:space="preserve">"odpromovat-001"</t>
  </si>
  <si>
    <t xml:space="preserve">"odprásknout-se-001"</t>
  </si>
  <si>
    <t xml:space="preserve">"odpudit-001"</t>
  </si>
  <si>
    <t xml:space="preserve">"odpustit-001"</t>
  </si>
  <si>
    <t xml:space="preserve">"odpustit-002"</t>
  </si>
  <si>
    <t xml:space="preserve">"odpustit-si-001"</t>
  </si>
  <si>
    <t xml:space="preserve">"odpuzovat-001"</t>
  </si>
  <si>
    <t xml:space="preserve">"odpykat-si-001"</t>
  </si>
  <si>
    <t xml:space="preserve">Affected(), Undesirable()</t>
  </si>
  <si>
    <t xml:space="preserve">ACT-&gt;Affected()</t>
  </si>
  <si>
    <t xml:space="preserve">PAT-&gt;Undesirable()</t>
  </si>
  <si>
    <t xml:space="preserve">"odpykávat-si-001"</t>
  </si>
  <si>
    <t xml:space="preserve">"odpálit-001"</t>
  </si>
  <si>
    <t xml:space="preserve">Cause(), Entity()</t>
  </si>
  <si>
    <t xml:space="preserve">"odpálit-002"</t>
  </si>
  <si>
    <t xml:space="preserve">"odpálit-003"</t>
  </si>
  <si>
    <t xml:space="preserve">"odpálkovat-001"</t>
  </si>
  <si>
    <t xml:space="preserve">EFF-&gt;ARG2/74</t>
  </si>
  <si>
    <t xml:space="preserve">EFF-&gt;Targeted(ARG2/74)</t>
  </si>
  <si>
    <t xml:space="preserve">"odpárat-001"</t>
  </si>
  <si>
    <t xml:space="preserve">"odpíchnout-001"</t>
  </si>
  <si>
    <t xml:space="preserve">"odpírat-001"</t>
  </si>
  <si>
    <t xml:space="preserve">"odpískat-001"</t>
  </si>
  <si>
    <t xml:space="preserve">"odpřisáhnout-001"</t>
  </si>
  <si>
    <t xml:space="preserve">"odradit-001"</t>
  </si>
  <si>
    <t xml:space="preserve">Protagonist(ARG0/23,ARG2/3), Undesirable(ARG2/29), Influenced(ARG1/51)</t>
  </si>
  <si>
    <t xml:space="preserve">ACT-&gt;ARG0/23,ARG2/3</t>
  </si>
  <si>
    <t xml:space="preserve">ACT-&gt;Protagonist(ARG0/23,ARG2/3)</t>
  </si>
  <si>
    <t xml:space="preserve">ADDR-&gt;ARG1/51</t>
  </si>
  <si>
    <t xml:space="preserve">ADDR-&gt;Influenced(ARG1/51)</t>
  </si>
  <si>
    <t xml:space="preserve">?PAT: od+2; ↓aby</t>
  </si>
  <si>
    <t xml:space="preserve">PAT-&gt;ARG2/29</t>
  </si>
  <si>
    <t xml:space="preserve">PAT-&gt;Undesirable(ARG2/29)</t>
  </si>
  <si>
    <t xml:space="preserve">"odrazit-001"</t>
  </si>
  <si>
    <t xml:space="preserve">Agent(ARG0/4), Targeted(ARG1/20)</t>
  </si>
  <si>
    <t xml:space="preserve">PAT-&gt;Targeted(ARG1/20)</t>
  </si>
  <si>
    <t xml:space="preserve">"odrazit-002"</t>
  </si>
  <si>
    <t xml:space="preserve">"odrazit-003"</t>
  </si>
  <si>
    <t xml:space="preserve">"odrazit-se-001"</t>
  </si>
  <si>
    <t xml:space="preserve">ACT-&gt;ARG1/601</t>
  </si>
  <si>
    <t xml:space="preserve">ACT-&gt;Indicated</t>
  </si>
  <si>
    <t xml:space="preserve">ACT-&gt;Indicated(ARG1/601)</t>
  </si>
  <si>
    <t xml:space="preserve">PAT: v+6; na+6</t>
  </si>
  <si>
    <t xml:space="preserve">PAT-&gt;ARG0/168</t>
  </si>
  <si>
    <t xml:space="preserve">PAT-&gt;Indicator</t>
  </si>
  <si>
    <t xml:space="preserve">PAT-&gt;Indicator(ARG0/168)</t>
  </si>
  <si>
    <t xml:space="preserve">"odrazit-se-002"</t>
  </si>
  <si>
    <t xml:space="preserve">"odrazit-se-003"</t>
  </si>
  <si>
    <t xml:space="preserve">Mover(ARG1/41), Place_initial(ARG3/12)</t>
  </si>
  <si>
    <t xml:space="preserve">ACT-&gt;ARG1/41</t>
  </si>
  <si>
    <t xml:space="preserve">ACT-&gt;Mover(ARG1/41)</t>
  </si>
  <si>
    <t xml:space="preserve">DIR1-&gt;ARG3/12</t>
  </si>
  <si>
    <t xml:space="preserve">DIR1-&gt;Place_initial</t>
  </si>
  <si>
    <t xml:space="preserve">DIR1-&gt;Place_initial(ARG3/12)</t>
  </si>
  <si>
    <t xml:space="preserve">"odrazit-se-004"</t>
  </si>
  <si>
    <t xml:space="preserve">Entity(ARG1/41), State_initial(ARG3/12)</t>
  </si>
  <si>
    <t xml:space="preserve">ACT-&gt;ARG1/82</t>
  </si>
  <si>
    <t xml:space="preserve">ACT-&gt;Entity(ARG1/41)</t>
  </si>
  <si>
    <t xml:space="preserve">DIR1-&gt;ARG3/24</t>
  </si>
  <si>
    <t xml:space="preserve">DIR1-&gt;State_initial</t>
  </si>
  <si>
    <t xml:space="preserve">DIR1-&gt;State_initial(ARG3/12)</t>
  </si>
  <si>
    <t xml:space="preserve">"odrazovat-001"</t>
  </si>
  <si>
    <t xml:space="preserve">"odreagovat-se-001"</t>
  </si>
  <si>
    <t xml:space="preserve">"odreagovávat-001"</t>
  </si>
  <si>
    <t xml:space="preserve">"odrodit-001"</t>
  </si>
  <si>
    <t xml:space="preserve">"odrovnat-001"</t>
  </si>
  <si>
    <t xml:space="preserve">"odročit-001"</t>
  </si>
  <si>
    <t xml:space="preserve">"odrážet-001"</t>
  </si>
  <si>
    <t xml:space="preserve">"odrážet-002"</t>
  </si>
  <si>
    <t xml:space="preserve">"odrážet-se-001"</t>
  </si>
  <si>
    <t xml:space="preserve">"odrážet-se-002"</t>
  </si>
  <si>
    <t xml:space="preserve">"odrážet-se-003"</t>
  </si>
  <si>
    <t xml:space="preserve">"odrážet-se-004"</t>
  </si>
  <si>
    <t xml:space="preserve">"odrůst-001"</t>
  </si>
  <si>
    <t xml:space="preserve">"odrůst-002"</t>
  </si>
  <si>
    <t xml:space="preserve">ACT-&gt;ARG1/152,ARG2/1</t>
  </si>
  <si>
    <t xml:space="preserve">"odrůstat-001"</t>
  </si>
  <si>
    <t xml:space="preserve">"odsednout-si-001"</t>
  </si>
  <si>
    <t xml:space="preserve">Protagonist(ARG1/8), Place()</t>
  </si>
  <si>
    <t xml:space="preserve">ACT-&gt;Protagonist(ARG1/8)</t>
  </si>
  <si>
    <t xml:space="preserve">"odsedět-si-001"</t>
  </si>
  <si>
    <t xml:space="preserve">"odsekat-001"</t>
  </si>
  <si>
    <t xml:space="preserve">"odseknout-001"</t>
  </si>
  <si>
    <t xml:space="preserve">DIR1-&gt;ARG1/1,ARG2/4</t>
  </si>
  <si>
    <t xml:space="preserve">DIR1-&gt;Whole(ARG1/1,ARG2/4)</t>
  </si>
  <si>
    <t xml:space="preserve">"odseknout-002"</t>
  </si>
  <si>
    <t xml:space="preserve">"odskakovat-001"</t>
  </si>
  <si>
    <t xml:space="preserve">"odskakovat-si-001"</t>
  </si>
  <si>
    <t xml:space="preserve">"odskočit-001"</t>
  </si>
  <si>
    <t xml:space="preserve">"odskočit-si-001"</t>
  </si>
  <si>
    <t xml:space="preserve">Mover(ARG1/12), Place()</t>
  </si>
  <si>
    <t xml:space="preserve">ACT-&gt;ARG1/12</t>
  </si>
  <si>
    <t xml:space="preserve">ACT-&gt;Mover(ARG1/12)</t>
  </si>
  <si>
    <t xml:space="preserve">"odskákat-001"</t>
  </si>
  <si>
    <t xml:space="preserve">"odsloužit-001"</t>
  </si>
  <si>
    <t xml:space="preserve">"odsloužit-si-001"</t>
  </si>
  <si>
    <t xml:space="preserve">"odsoudit-001"</t>
  </si>
  <si>
    <t xml:space="preserve">Authority(ARG0/11), Offense(ARG2/23), Perpetrator(ARG1/40)</t>
  </si>
  <si>
    <t xml:space="preserve">Authority(ARG0/13), Accused(ARG1/32)</t>
  </si>
  <si>
    <t xml:space="preserve">Authority(ARG0/13,ARG3/2), Accused(ARG1/48,ARG2/1,ARG3/1), Reason(ARG2/23)</t>
  </si>
  <si>
    <t xml:space="preserve">ACT-&gt;ARG0/37,ARG3/2</t>
  </si>
  <si>
    <t xml:space="preserve">ACT-&gt;Authority(ARG0/11)</t>
  </si>
  <si>
    <t xml:space="preserve">ACT-&gt;Authority(ARG0/13)</t>
  </si>
  <si>
    <t xml:space="preserve">ACT-&gt;Authority(ARG0/13,ARG3/2)</t>
  </si>
  <si>
    <t xml:space="preserve">PAT-&gt;ARG1/120,ARG2/1,ARG3/1</t>
  </si>
  <si>
    <t xml:space="preserve">PAT-&gt;Perpetrator</t>
  </si>
  <si>
    <t xml:space="preserve">PAT-&gt;Perpetrator(ARG1/40)</t>
  </si>
  <si>
    <t xml:space="preserve">PAT-&gt;Accused(ARG1/32)</t>
  </si>
  <si>
    <t xml:space="preserve">PAT-&gt;Accused(ARG1/48,ARG2/1,ARG3/1)</t>
  </si>
  <si>
    <t xml:space="preserve">?EFF: k+3; na+4; .f</t>
  </si>
  <si>
    <t xml:space="preserve">"odsoudit-002"</t>
  </si>
  <si>
    <t xml:space="preserve">"odsouhlasit-001"</t>
  </si>
  <si>
    <t xml:space="preserve">ACT-&gt;ARG0/491,ARG1/18,ARG2/3</t>
  </si>
  <si>
    <t xml:space="preserve">PAT: 4; ↓že; ↓zda; ↓jestli; ↓aby; ↓c</t>
  </si>
  <si>
    <t xml:space="preserve">PAT-&gt;ARG0/1,ARG1/520,ARG2/7</t>
  </si>
  <si>
    <t xml:space="preserve">ADDR-&gt;ARG1/27,ARG2/52</t>
  </si>
  <si>
    <t xml:space="preserve">"odsouvat-001"</t>
  </si>
  <si>
    <t xml:space="preserve">"odsouvat-002"</t>
  </si>
  <si>
    <t xml:space="preserve">"odstartovat-001"</t>
  </si>
  <si>
    <t xml:space="preserve">"odstartovat-002"</t>
  </si>
  <si>
    <t xml:space="preserve">"odstartovat-003"</t>
  </si>
  <si>
    <t xml:space="preserve">"odstartovat-004"</t>
  </si>
  <si>
    <t xml:space="preserve">"odstartovat-005"</t>
  </si>
  <si>
    <t xml:space="preserve">Event(ARG1/37), Manner(ARGM-EXT/25,ARGM-MNR/21)</t>
  </si>
  <si>
    <t xml:space="preserve">ACT-&gt;ARG1/37</t>
  </si>
  <si>
    <t xml:space="preserve">ACT-&gt;Event(ARG1/37)</t>
  </si>
  <si>
    <t xml:space="preserve">LOC-&gt;ARGM-EXT/25,ARGM-MNR/21</t>
  </si>
  <si>
    <t xml:space="preserve">#alt[LOC,MANN,ACMP]-&gt;Manner</t>
  </si>
  <si>
    <t xml:space="preserve">#alt[LOC,MANN,ACMP]-&gt;Manner(ARGM-EXT/25,ARGM-MNR/21)</t>
  </si>
  <si>
    <t xml:space="preserve">MANN-&gt;ARGM-EXT/25,ARGM-MNR/21</t>
  </si>
  <si>
    <t xml:space="preserve">ACMP-&gt;ARGM-EXT/25,ARGM-MNR/21</t>
  </si>
  <si>
    <t xml:space="preserve">"odstaršit-001"</t>
  </si>
  <si>
    <t xml:space="preserve">"odstavit-001"</t>
  </si>
  <si>
    <t xml:space="preserve">"odstavit-002"</t>
  </si>
  <si>
    <t xml:space="preserve">Cause(ARG0/2), Removed(ARG1/7)</t>
  </si>
  <si>
    <t xml:space="preserve">PAT-&gt;Removed(ARG1/7)</t>
  </si>
  <si>
    <t xml:space="preserve">"odstavit-003"</t>
  </si>
  <si>
    <t xml:space="preserve">"odstavovat-001"</t>
  </si>
  <si>
    <t xml:space="preserve">"odstavovat-002"</t>
  </si>
  <si>
    <t xml:space="preserve">"odstoupit-001"</t>
  </si>
  <si>
    <t xml:space="preserve">"odstoupit-002"</t>
  </si>
  <si>
    <t xml:space="preserve">"odstoupit-003"</t>
  </si>
  <si>
    <t xml:space="preserve">Agent(ARG0/13), Vacated(ARG1/6)</t>
  </si>
  <si>
    <t xml:space="preserve">ACT-&gt;ARG0/26,ARG1/168</t>
  </si>
  <si>
    <t xml:space="preserve">ACT-&gt;Agent(ARG0/13)</t>
  </si>
  <si>
    <t xml:space="preserve">"odstranit-001"</t>
  </si>
  <si>
    <t xml:space="preserve">Protagonist(ARG0/9), Removed(ARG1/26,ARG2/1), Place(ARG1/1,ARG2/12)</t>
  </si>
  <si>
    <t xml:space="preserve">ACT-&gt;Protagonist(ARG0/9)</t>
  </si>
  <si>
    <t xml:space="preserve">PAT-&gt;Removed(ARG1/26,ARG2/1)</t>
  </si>
  <si>
    <t xml:space="preserve">DIR1-&gt;ARG1/1,ARG2/12</t>
  </si>
  <si>
    <t xml:space="preserve">DIR1-&gt;Place(ARG1/1,ARG2/12)</t>
  </si>
  <si>
    <t xml:space="preserve">"odstranit-002"</t>
  </si>
  <si>
    <t xml:space="preserve">"odstranit-003"</t>
  </si>
  <si>
    <t xml:space="preserve">"odstraňovat-001"</t>
  </si>
  <si>
    <t xml:space="preserve">"odstraňovat-002"</t>
  </si>
  <si>
    <t xml:space="preserve">"odstraňovat-003"</t>
  </si>
  <si>
    <t xml:space="preserve">"odstrašit-001"</t>
  </si>
  <si>
    <t xml:space="preserve">"odstrašovat-001"</t>
  </si>
  <si>
    <t xml:space="preserve">"odstrčit-001"</t>
  </si>
  <si>
    <t xml:space="preserve">"odstrčit-002"</t>
  </si>
  <si>
    <t xml:space="preserve">"odstupovat-001"</t>
  </si>
  <si>
    <t xml:space="preserve">"odstupovat-002"</t>
  </si>
  <si>
    <t xml:space="preserve">"odstupňovat-001"</t>
  </si>
  <si>
    <t xml:space="preserve">"odstínit-001"</t>
  </si>
  <si>
    <t xml:space="preserve">ACT-&gt;ARG0/77,ARG1/1,ARG3/18</t>
  </si>
  <si>
    <t xml:space="preserve">PAT-&gt;ARG1/194,ARG2/2</t>
  </si>
  <si>
    <t xml:space="preserve">?EFF: před+7</t>
  </si>
  <si>
    <t xml:space="preserve">EFF-&gt;ARG1/1,ARG2/43</t>
  </si>
  <si>
    <t xml:space="preserve">"odstěhovat-001"</t>
  </si>
  <si>
    <t xml:space="preserve">"odstěhovat-se-001"</t>
  </si>
  <si>
    <t xml:space="preserve">"odstřelit-001"</t>
  </si>
  <si>
    <t xml:space="preserve">"odstřelit-002"</t>
  </si>
  <si>
    <t xml:space="preserve">"odstřelovat-001"</t>
  </si>
  <si>
    <t xml:space="preserve">"odstřihnout-001"</t>
  </si>
  <si>
    <t xml:space="preserve">DIR1-&gt;ARG2/8</t>
  </si>
  <si>
    <t xml:space="preserve">DIR1-&gt;Entity_2</t>
  </si>
  <si>
    <t xml:space="preserve">DIR1-&gt;Entity_2(ARG2/8)</t>
  </si>
  <si>
    <t xml:space="preserve">"odstřihávat-001"</t>
  </si>
  <si>
    <t xml:space="preserve">"odstříknout-001"</t>
  </si>
  <si>
    <t xml:space="preserve">"odstříknout-002"</t>
  </si>
  <si>
    <t xml:space="preserve">"odsunout-001"</t>
  </si>
  <si>
    <t xml:space="preserve">Cause(ARG0/30), Moved(ARG1/38,ARG2/13), Place()</t>
  </si>
  <si>
    <t xml:space="preserve">ACT-&gt;Cause(ARG0/30)</t>
  </si>
  <si>
    <t xml:space="preserve">PAT-&gt;ARG1/38,ARG2/13</t>
  </si>
  <si>
    <t xml:space="preserve">PAT-&gt;Moved(ARG1/38,ARG2/13)</t>
  </si>
  <si>
    <t xml:space="preserve">DIR1-&gt;Place()</t>
  </si>
  <si>
    <t xml:space="preserve">"odsunout-002"</t>
  </si>
  <si>
    <t xml:space="preserve">?DIR3: =</t>
  </si>
  <si>
    <t xml:space="preserve">"odsunout-003"</t>
  </si>
  <si>
    <t xml:space="preserve">"odsunout-004"</t>
  </si>
  <si>
    <t xml:space="preserve">"odsuzovat-001"</t>
  </si>
  <si>
    <t xml:space="preserve">"odsát-001"</t>
  </si>
  <si>
    <t xml:space="preserve">"odsávat-001"</t>
  </si>
  <si>
    <t xml:space="preserve">"odtahovat-se-001"</t>
  </si>
  <si>
    <t xml:space="preserve">"odtajnit-001"</t>
  </si>
  <si>
    <t xml:space="preserve">"odtransportovat-001"</t>
  </si>
  <si>
    <t xml:space="preserve">"odtrhnout-001"</t>
  </si>
  <si>
    <t xml:space="preserve">"odtrhnout-002"</t>
  </si>
  <si>
    <t xml:space="preserve">"odtrhnout-se-001"</t>
  </si>
  <si>
    <t xml:space="preserve">ACT-&gt;ARG0/98,ARG1/6</t>
  </si>
  <si>
    <t xml:space="preserve">"odtrhnout-se-002"</t>
  </si>
  <si>
    <t xml:space="preserve">Component(), Whole()</t>
  </si>
  <si>
    <t xml:space="preserve">ACT-&gt;Component</t>
  </si>
  <si>
    <t xml:space="preserve">ACT-&gt;Component()</t>
  </si>
  <si>
    <t xml:space="preserve">DIR1-&gt;Whole()</t>
  </si>
  <si>
    <t xml:space="preserve">"odtrhovat-001"</t>
  </si>
  <si>
    <t xml:space="preserve">"odtrhovat-002"</t>
  </si>
  <si>
    <t xml:space="preserve">"odtrhovat-si-001"</t>
  </si>
  <si>
    <t xml:space="preserve">DPHR: od-1[ústa.P2]</t>
  </si>
  <si>
    <t xml:space="preserve">"odtrhávat-001"</t>
  </si>
  <si>
    <t xml:space="preserve">"odtrhávat-se-001"</t>
  </si>
  <si>
    <t xml:space="preserve">"odtáhnout-001"</t>
  </si>
  <si>
    <t xml:space="preserve">"odtáhnout-002"</t>
  </si>
  <si>
    <t xml:space="preserve">"odtáhnout-003"</t>
  </si>
  <si>
    <t xml:space="preserve">"odtáhnout-se-001"</t>
  </si>
  <si>
    <t xml:space="preserve">"odtéci-001"</t>
  </si>
  <si>
    <t xml:space="preserve">Disappeared(ARG1/2), Area_1(), Area_2()</t>
  </si>
  <si>
    <t xml:space="preserve">ACT-&gt;Disappeared(ARG1/2)</t>
  </si>
  <si>
    <t xml:space="preserve">"odtékat-001"</t>
  </si>
  <si>
    <t xml:space="preserve">"odumřít-001"</t>
  </si>
  <si>
    <t xml:space="preserve">"odučit-001"</t>
  </si>
  <si>
    <t xml:space="preserve">"odvalit-001"</t>
  </si>
  <si>
    <t xml:space="preserve">"odvanout-001"</t>
  </si>
  <si>
    <t xml:space="preserve">"odvažovat-se-001"</t>
  </si>
  <si>
    <t xml:space="preserve">Protagonist(ARG0/8,ARG1/4), Action(ARG1/7,ARG2/4)</t>
  </si>
  <si>
    <t xml:space="preserve">ACT-&gt;ARG0/8,ARG1/4</t>
  </si>
  <si>
    <t xml:space="preserve">ACT-&gt;Protagonist(ARG0/8,ARG1/4)</t>
  </si>
  <si>
    <t xml:space="preserve">PAT: 2; k+3; .f</t>
  </si>
  <si>
    <t xml:space="preserve">PAT-&gt;ARG1/7,ARG2/4</t>
  </si>
  <si>
    <t xml:space="preserve">PAT-&gt;Action(ARG1/7,ARG2/4)</t>
  </si>
  <si>
    <t xml:space="preserve">"odvděčit-se-001"</t>
  </si>
  <si>
    <t xml:space="preserve">"odvděčovat-se-001"</t>
  </si>
  <si>
    <t xml:space="preserve">"odvelet-001"</t>
  </si>
  <si>
    <t xml:space="preserve">"odvinit-001"</t>
  </si>
  <si>
    <t xml:space="preserve">"odvinout-se-001"</t>
  </si>
  <si>
    <t xml:space="preserve">"odvlíknout-001"</t>
  </si>
  <si>
    <t xml:space="preserve">"odvodit-001"</t>
  </si>
  <si>
    <t xml:space="preserve">Deducer(ARG0/12,ARG1/2), Deduced(ARG1/18,ARG2/2), Origin(ARG2/8)</t>
  </si>
  <si>
    <t xml:space="preserve">ACT-&gt;ARG0/12,ARG1/2</t>
  </si>
  <si>
    <t xml:space="preserve">ACT-&gt;Deducer</t>
  </si>
  <si>
    <t xml:space="preserve">ACT-&gt;Deducer(ARG0/12,ARG1/2)</t>
  </si>
  <si>
    <t xml:space="preserve">PAT-&gt;Deduced</t>
  </si>
  <si>
    <t xml:space="preserve">PAT-&gt;Deduced(ARG1/18,ARG2/2)</t>
  </si>
  <si>
    <t xml:space="preserve">ORIG: z+2; od+2; odtud; odsud; odkudkoliv; odevšad; odtamtud; odjinud; odkud; odněkud; odnikud; odkudsi</t>
  </si>
  <si>
    <t xml:space="preserve">ORIG-&gt;Origin</t>
  </si>
  <si>
    <t xml:space="preserve">ORIG-&gt;Origin(ARG2/8)</t>
  </si>
  <si>
    <t xml:space="preserve">"odvodit-002"</t>
  </si>
  <si>
    <t xml:space="preserve">EFF: 4; ↓že; ↓jestli; ↓zda</t>
  </si>
  <si>
    <t xml:space="preserve">"odvolat-001"</t>
  </si>
  <si>
    <t xml:space="preserve">"odvolat-002"</t>
  </si>
  <si>
    <t xml:space="preserve">"odvolat-003"</t>
  </si>
  <si>
    <t xml:space="preserve">"odvolat-se-001"</t>
  </si>
  <si>
    <t xml:space="preserve">"odvolat-se-002"</t>
  </si>
  <si>
    <t xml:space="preserve">Communicator(), Decision(), Authority()</t>
  </si>
  <si>
    <t xml:space="preserve">PAT-&gt;Decision()</t>
  </si>
  <si>
    <t xml:space="preserve">"odvolávat-001"</t>
  </si>
  <si>
    <t xml:space="preserve">"odvolávat-002"</t>
  </si>
  <si>
    <t xml:space="preserve">"odvolávat-003"</t>
  </si>
  <si>
    <t xml:space="preserve">"odvolávat-se-001"</t>
  </si>
  <si>
    <t xml:space="preserve">"odvolávat-se-002"</t>
  </si>
  <si>
    <t xml:space="preserve">"odvozovat-001"</t>
  </si>
  <si>
    <t xml:space="preserve">"odvracet-001"</t>
  </si>
  <si>
    <t xml:space="preserve">"odvracet-002"</t>
  </si>
  <si>
    <t xml:space="preserve">Manipulator(ARG0/9), Focused(ARG1/6), Undesirable(ARG2/8), Desirable()</t>
  </si>
  <si>
    <t xml:space="preserve">ACT-&gt;Manipulator(ARG0/9)</t>
  </si>
  <si>
    <t xml:space="preserve">ADDR-&gt;Focused</t>
  </si>
  <si>
    <t xml:space="preserve">ADDR-&gt;Focused(ARG1/6)</t>
  </si>
  <si>
    <t xml:space="preserve">PAT-&gt;ARG2/8</t>
  </si>
  <si>
    <t xml:space="preserve">PAT-&gt;Undesirable(ARG2/8)</t>
  </si>
  <si>
    <t xml:space="preserve">"odvracet-se-001"</t>
  </si>
  <si>
    <t xml:space="preserve">"odvrhnout-001"</t>
  </si>
  <si>
    <t xml:space="preserve">"odvrátit-001"</t>
  </si>
  <si>
    <t xml:space="preserve">"odvrátit-002"</t>
  </si>
  <si>
    <t xml:space="preserve">"odvrátit-003"</t>
  </si>
  <si>
    <t xml:space="preserve">"odvrátit-se-001"</t>
  </si>
  <si>
    <t xml:space="preserve">"odvykat-001"</t>
  </si>
  <si>
    <t xml:space="preserve">"odvyknout-001"</t>
  </si>
  <si>
    <t xml:space="preserve">"odvyknout-si-001"</t>
  </si>
  <si>
    <t xml:space="preserve">PAT: ↓že; .f</t>
  </si>
  <si>
    <t xml:space="preserve">"odvysílat-001"</t>
  </si>
  <si>
    <t xml:space="preserve">Broadcaster(ARG0/20,ARG1/6), Broadcasted(ARG1/36)</t>
  </si>
  <si>
    <t xml:space="preserve">ACT-&gt;ARG0/20,ARG1/6</t>
  </si>
  <si>
    <t xml:space="preserve">ACT-&gt;Broadcaster</t>
  </si>
  <si>
    <t xml:space="preserve">ACT-&gt;Broadcaster(ARG0/20,ARG1/6)</t>
  </si>
  <si>
    <t xml:space="preserve">PAT-&gt;Broadcasted</t>
  </si>
  <si>
    <t xml:space="preserve">PAT-&gt;Broadcasted(ARG1/36)</t>
  </si>
  <si>
    <t xml:space="preserve">"odvádět-001"</t>
  </si>
  <si>
    <t xml:space="preserve">"odvádět-002"</t>
  </si>
  <si>
    <t xml:space="preserve">"odvádět-003"</t>
  </si>
  <si>
    <t xml:space="preserve">"odvádět-004"</t>
  </si>
  <si>
    <t xml:space="preserve">PAT-&gt;Focused(ARG1/6)</t>
  </si>
  <si>
    <t xml:space="preserve">DIR1-&gt;Undesirable(ARG2/8)</t>
  </si>
  <si>
    <t xml:space="preserve">"odvádět-005"</t>
  </si>
  <si>
    <t xml:space="preserve">"odvádět-006"</t>
  </si>
  <si>
    <t xml:space="preserve">"odvádět-007"</t>
  </si>
  <si>
    <t xml:space="preserve">"odvát-001"</t>
  </si>
  <si>
    <t xml:space="preserve">"odvázat-se-001"</t>
  </si>
  <si>
    <t xml:space="preserve">"odvážet-001"</t>
  </si>
  <si>
    <t xml:space="preserve">"odvážet-002"</t>
  </si>
  <si>
    <t xml:space="preserve">"odvážet-003"</t>
  </si>
  <si>
    <t xml:space="preserve">ACT-&gt;ARG0/40</t>
  </si>
  <si>
    <t xml:space="preserve">PAT-&gt;ARG1/80</t>
  </si>
  <si>
    <t xml:space="preserve">"odvážit-001"</t>
  </si>
  <si>
    <t xml:space="preserve">"odvážit-se-001"</t>
  </si>
  <si>
    <t xml:space="preserve">PAT: 2; .f; k+3</t>
  </si>
  <si>
    <t xml:space="preserve">"odvážit-se-002"</t>
  </si>
  <si>
    <t xml:space="preserve">"odvést-001"</t>
  </si>
  <si>
    <t xml:space="preserve">"odvést-002"</t>
  </si>
  <si>
    <t xml:space="preserve">"odvést-003"</t>
  </si>
  <si>
    <t xml:space="preserve">"odvést-004"</t>
  </si>
  <si>
    <t xml:space="preserve">"odvést-005"</t>
  </si>
  <si>
    <t xml:space="preserve">"odvézt-001"</t>
  </si>
  <si>
    <t xml:space="preserve">"odvézt-002"</t>
  </si>
  <si>
    <t xml:space="preserve">"odvézt-003"</t>
  </si>
  <si>
    <t xml:space="preserve">ACT-&gt;ARG0/171</t>
  </si>
  <si>
    <t xml:space="preserve">PAT-&gt;ARG0/1,ARG1/329,ARG2/1</t>
  </si>
  <si>
    <t xml:space="preserve">"odvíjet-001"</t>
  </si>
  <si>
    <t xml:space="preserve">"odvíjet-se-001"</t>
  </si>
  <si>
    <t xml:space="preserve">"odvíjet-se-002"</t>
  </si>
  <si>
    <t xml:space="preserve">"odvětit-001"</t>
  </si>
  <si>
    <t xml:space="preserve">"odzbrojit-001"</t>
  </si>
  <si>
    <t xml:space="preserve">Authority(), Armed(ARG1/3)</t>
  </si>
  <si>
    <t xml:space="preserve">PAT-&gt;Armed</t>
  </si>
  <si>
    <t xml:space="preserve">PAT-&gt;Armed(ARG1/3)</t>
  </si>
  <si>
    <t xml:space="preserve">"odzbrojit-002"</t>
  </si>
  <si>
    <t xml:space="preserve">Armed()</t>
  </si>
  <si>
    <t xml:space="preserve">ACT-&gt;Armed; ACT-&gt;Authority</t>
  </si>
  <si>
    <t xml:space="preserve">ACT-&gt;Armed(ARG1/3); ACT-&gt;Authority()</t>
  </si>
  <si>
    <t xml:space="preserve">ACT-&gt;Armed</t>
  </si>
  <si>
    <t xml:space="preserve">ACT-&gt;Armed()</t>
  </si>
  <si>
    <t xml:space="preserve">"odzbrojovat-001"</t>
  </si>
  <si>
    <t xml:space="preserve">"odzvonit-001"</t>
  </si>
  <si>
    <t xml:space="preserve">"odzvonit-002"</t>
  </si>
  <si>
    <t xml:space="preserve">"odírat-001"</t>
  </si>
  <si>
    <t xml:space="preserve">"odít-001"</t>
  </si>
  <si>
    <t xml:space="preserve">"odčarovat-001"</t>
  </si>
  <si>
    <t xml:space="preserve">"odčerpat-001"</t>
  </si>
  <si>
    <t xml:space="preserve">Collector(ARG0/1), Collected(ARG1/3,ARG2/3), Source()</t>
  </si>
  <si>
    <t xml:space="preserve">ACT-&gt;Collector(ARG0/1)</t>
  </si>
  <si>
    <t xml:space="preserve">PAT-&gt;ARG1/3,ARG2/3</t>
  </si>
  <si>
    <t xml:space="preserve">PAT-&gt;Collected(ARG1/3,ARG2/3)</t>
  </si>
  <si>
    <t xml:space="preserve">ADDR-&gt;Source</t>
  </si>
  <si>
    <t xml:space="preserve">ADDR-&gt;Source()</t>
  </si>
  <si>
    <t xml:space="preserve">"odčerpat-002"</t>
  </si>
  <si>
    <t xml:space="preserve">"odčerpat-003"</t>
  </si>
  <si>
    <t xml:space="preserve">"odčerpávat-001"</t>
  </si>
  <si>
    <t xml:space="preserve">"odčerpávat-002"</t>
  </si>
  <si>
    <t xml:space="preserve">"odčinit-001"</t>
  </si>
  <si>
    <t xml:space="preserve">"odčítat-001"</t>
  </si>
  <si>
    <t xml:space="preserve">"odčítávat-001"</t>
  </si>
  <si>
    <t xml:space="preserve">"odřeknout-001"</t>
  </si>
  <si>
    <t xml:space="preserve">"odřeknout-002"</t>
  </si>
  <si>
    <t xml:space="preserve">"odřezávat-001"</t>
  </si>
  <si>
    <t xml:space="preserve">"odřezávat-002"</t>
  </si>
  <si>
    <t xml:space="preserve">"odříci-001"</t>
  </si>
  <si>
    <t xml:space="preserve">"odříci-si-001"</t>
  </si>
  <si>
    <t xml:space="preserve">"odříkat-001"</t>
  </si>
  <si>
    <t xml:space="preserve">"odříkat-se-001"</t>
  </si>
  <si>
    <t xml:space="preserve">"odříkávat-001"</t>
  </si>
  <si>
    <t xml:space="preserve">Speaker(ARG0/52), Information(ARG1/72,ARG3/4), Audience_Addressee(ARG2/1)</t>
  </si>
  <si>
    <t xml:space="preserve">ACT-&gt;ARG0/805</t>
  </si>
  <si>
    <t xml:space="preserve">ACT-&gt;Speaker(ARG0/52)</t>
  </si>
  <si>
    <t xml:space="preserve">PAT-&gt;ARG1/965,ARG2/5,ARG3/4</t>
  </si>
  <si>
    <t xml:space="preserve">PAT-&gt;Information(ARG1/72,ARG3/4)</t>
  </si>
  <si>
    <t xml:space="preserve">"odřít-001"</t>
  </si>
  <si>
    <t xml:space="preserve">"odříznout-001"</t>
  </si>
  <si>
    <t xml:space="preserve">"odříznout-002"</t>
  </si>
  <si>
    <t xml:space="preserve">"odříznout-003"</t>
  </si>
  <si>
    <t xml:space="preserve">"odškodnit-001"</t>
  </si>
  <si>
    <t xml:space="preserve">"odškodňovat-001"</t>
  </si>
  <si>
    <t xml:space="preserve">"odškrtávat-001"</t>
  </si>
  <si>
    <t xml:space="preserve">"odšroubovat-001"</t>
  </si>
  <si>
    <t xml:space="preserve">"odštípnout-001"</t>
  </si>
  <si>
    <t xml:space="preserve">ACT-&gt;ARG0/70</t>
  </si>
  <si>
    <t xml:space="preserve">PAT-&gt;ARG1/152,ARG2/1</t>
  </si>
  <si>
    <t xml:space="preserve">DIR1-&gt;ARG1/3,ARG2/44</t>
  </si>
  <si>
    <t xml:space="preserve">DIR1-&gt;Owner</t>
  </si>
  <si>
    <t xml:space="preserve">DIR1-&gt;Owner(ARG1/2,ARG2/21)</t>
  </si>
  <si>
    <t xml:space="preserve">"odštěpit-se-001"</t>
  </si>
  <si>
    <t xml:space="preserve">ACT-&gt;ARG0/43,ARG1/135,ARG3/1</t>
  </si>
  <si>
    <t xml:space="preserve">ACT-&gt;Agent; ACT-&gt;Entity_1</t>
  </si>
  <si>
    <t xml:space="preserve">ACT-&gt;Agent(ARG0/43,ARG1/2); ACT-&gt;Entity_1(ARG1/133,ARG3/1)</t>
  </si>
  <si>
    <t xml:space="preserve">PAT-&gt;Entity_2(ARG2/8)</t>
  </si>
  <si>
    <t xml:space="preserve">"odůvodnit-001"</t>
  </si>
  <si>
    <t xml:space="preserve">"odůvodňovat-001"</t>
  </si>
  <si>
    <t xml:space="preserve">Defender(ARG0/14), Defended(ARG1/38)</t>
  </si>
  <si>
    <t xml:space="preserve">ACT-&gt;ARG0/243</t>
  </si>
  <si>
    <t xml:space="preserve">ACT-&gt;Defender(ARG0/14)</t>
  </si>
  <si>
    <t xml:space="preserve">PAT-&gt;ARG1/379</t>
  </si>
  <si>
    <t xml:space="preserve">PAT-&gt;Defended(ARG1/38)</t>
  </si>
  <si>
    <t xml:space="preserve">"ofotit-001"</t>
  </si>
  <si>
    <t xml:space="preserve">"ofotografovat-001"</t>
  </si>
  <si>
    <t xml:space="preserve">"ofouknout-001"</t>
  </si>
  <si>
    <t xml:space="preserve">"ogrilovat-001"</t>
  </si>
  <si>
    <t xml:space="preserve">"ohlašovat-001"</t>
  </si>
  <si>
    <t xml:space="preserve">"ohlašovat-002"</t>
  </si>
  <si>
    <t xml:space="preserve">"ohledat-001"</t>
  </si>
  <si>
    <t xml:space="preserve">"ohlodat-001"</t>
  </si>
  <si>
    <t xml:space="preserve">"ohluchnout-001"</t>
  </si>
  <si>
    <t xml:space="preserve">"ohlušit-001"</t>
  </si>
  <si>
    <t xml:space="preserve">"ohlásit-001"</t>
  </si>
  <si>
    <t xml:space="preserve">"ohlásit-002"</t>
  </si>
  <si>
    <t xml:space="preserve">"ohlásit-003"</t>
  </si>
  <si>
    <t xml:space="preserve">"ohlásit-se-001"</t>
  </si>
  <si>
    <t xml:space="preserve">"ohlásit-se-002"</t>
  </si>
  <si>
    <t xml:space="preserve">"ohlédnout-se-001"</t>
  </si>
  <si>
    <t xml:space="preserve">Observer(ARG0/1)</t>
  </si>
  <si>
    <t xml:space="preserve">ACT-&gt;Observer(ARG0/1)</t>
  </si>
  <si>
    <t xml:space="preserve">"ohlídat-001"</t>
  </si>
  <si>
    <t xml:space="preserve">"ohlížet-se-001"</t>
  </si>
  <si>
    <t xml:space="preserve">PAT: na+4; ↓jestli; ↓zda</t>
  </si>
  <si>
    <t xml:space="preserve">"ohlížet-se-002"</t>
  </si>
  <si>
    <t xml:space="preserve">"ohlížet-se-003"</t>
  </si>
  <si>
    <t xml:space="preserve">"ohmatat-001"</t>
  </si>
  <si>
    <t xml:space="preserve">"ohmatávat-001"</t>
  </si>
  <si>
    <t xml:space="preserve">"ohnout-001"</t>
  </si>
  <si>
    <t xml:space="preserve">"ohnout-se-001"</t>
  </si>
  <si>
    <t xml:space="preserve">Item(ARG1/10)</t>
  </si>
  <si>
    <t xml:space="preserve">ACT-&gt;ARG0/9,ARG1/18</t>
  </si>
  <si>
    <t xml:space="preserve">ACT-&gt;Item(ARG1/10)</t>
  </si>
  <si>
    <t xml:space="preserve">"ohnout-se-002"</t>
  </si>
  <si>
    <t xml:space="preserve">"ohnít-001"</t>
  </si>
  <si>
    <t xml:space="preserve">"ohodnocovat-001"</t>
  </si>
  <si>
    <t xml:space="preserve">"ohodnotit-001"</t>
  </si>
  <si>
    <t xml:space="preserve">EFF: :4[{jako,jakožto}:/AuxY]; .a4[{jako,jakožto}:/AuxY]; za-1[.a4]</t>
  </si>
  <si>
    <t xml:space="preserve">"ohodnotit-002"</t>
  </si>
  <si>
    <t xml:space="preserve">"ohodnotit-003"</t>
  </si>
  <si>
    <t xml:space="preserve">"oholit-001"</t>
  </si>
  <si>
    <t xml:space="preserve">"oholit-002"</t>
  </si>
  <si>
    <t xml:space="preserve">"ohořet-001"</t>
  </si>
  <si>
    <t xml:space="preserve">"ohradit-001"</t>
  </si>
  <si>
    <t xml:space="preserve">"ohradit-se-001"</t>
  </si>
  <si>
    <t xml:space="preserve">PAT: proti+3; ↓že</t>
  </si>
  <si>
    <t xml:space="preserve">PAT-&gt;ARG1/110</t>
  </si>
  <si>
    <t xml:space="preserve">PAT-&gt;Opposed(ARG1/110)</t>
  </si>
  <si>
    <t xml:space="preserve">"ohraničit-001"</t>
  </si>
  <si>
    <t xml:space="preserve">"ohraničovat-001"</t>
  </si>
  <si>
    <t xml:space="preserve">"ohrazovat-001"</t>
  </si>
  <si>
    <t xml:space="preserve">"ohrazovat-se-001"</t>
  </si>
  <si>
    <t xml:space="preserve">"ohrnout-001"</t>
  </si>
  <si>
    <t xml:space="preserve">"ohrnout-002"</t>
  </si>
  <si>
    <t xml:space="preserve">Attitudal(ARG0/9), Affected(ARG1/11)</t>
  </si>
  <si>
    <t xml:space="preserve">ACT-&gt;Attitudal(ARG0/9)</t>
  </si>
  <si>
    <t xml:space="preserve">DPHR: nos.S4</t>
  </si>
  <si>
    <t xml:space="preserve">"ohrnovat-001"</t>
  </si>
  <si>
    <t xml:space="preserve">"ohromit-001"</t>
  </si>
  <si>
    <t xml:space="preserve">Stimulus(ARG0/31,ARG1/1,ARG2/1), Attitudal(ARG0/1,ARG1/48)</t>
  </si>
  <si>
    <t xml:space="preserve">ACT: 1; ↓že; ↓jak-2; ↓c</t>
  </si>
  <si>
    <t xml:space="preserve">ACT-&gt;ARG0/32,ARG1/48,ARG2/1</t>
  </si>
  <si>
    <t xml:space="preserve">ACT-&gt;Stimulus(ARG0/31,ARG1/1,ARG2/1)</t>
  </si>
  <si>
    <t xml:space="preserve">PAT-&gt;ARG0/30,ARG1/49,ARG2/1</t>
  </si>
  <si>
    <t xml:space="preserve">PAT-&gt;Attitudal(ARG0/1,ARG1/48)</t>
  </si>
  <si>
    <t xml:space="preserve">"ohromovat-001"</t>
  </si>
  <si>
    <t xml:space="preserve">"ohrozit-001"</t>
  </si>
  <si>
    <t xml:space="preserve">Cause(ARG0/61), Impactee(ARG1/56,ARG2/8)</t>
  </si>
  <si>
    <t xml:space="preserve">ACT-&gt;Cause(ARG0/61)</t>
  </si>
  <si>
    <t xml:space="preserve">PAT-&gt;ARG1/56,ARG2/8</t>
  </si>
  <si>
    <t xml:space="preserve">PAT-&gt;Impactee(ARG1/56,ARG2/8)</t>
  </si>
  <si>
    <t xml:space="preserve">"ohrožovat-001"</t>
  </si>
  <si>
    <t xml:space="preserve">"ohrávat-001"</t>
  </si>
  <si>
    <t xml:space="preserve">"ohánět-se-001"</t>
  </si>
  <si>
    <t xml:space="preserve">"ohánět-se-002"</t>
  </si>
  <si>
    <t xml:space="preserve">"ohýbat-001"</t>
  </si>
  <si>
    <t xml:space="preserve">"ohýbat-se-001"</t>
  </si>
  <si>
    <t xml:space="preserve">"ohřát-001"</t>
  </si>
  <si>
    <t xml:space="preserve">"ohřát-se-001"</t>
  </si>
  <si>
    <t xml:space="preserve">"ohřívat-001"</t>
  </si>
  <si>
    <t xml:space="preserve">"oklamat-001"</t>
  </si>
  <si>
    <t xml:space="preserve">"oklepat-se-001"</t>
  </si>
  <si>
    <t xml:space="preserve">"oklepávat-se-001"</t>
  </si>
  <si>
    <t xml:space="preserve">"oklestit-001"</t>
  </si>
  <si>
    <t xml:space="preserve">Adjusting(ARG0/371,ARG1/3), Adjusted(ARG1/748,ARG2/3,ARG4/4), State_initial(ARG2/5,ARG3/45,ARG4/1), State_final(ARG2/46,ARG4/82)</t>
  </si>
  <si>
    <t xml:space="preserve">ACT-&gt;ARG0/463,ARG1/3</t>
  </si>
  <si>
    <t xml:space="preserve">ACT-&gt;Adjusting(ARG0/371,ARG1/3)</t>
  </si>
  <si>
    <t xml:space="preserve">PAT-&gt;ARG1/940,ARG2/3,ARG4/4</t>
  </si>
  <si>
    <t xml:space="preserve">PAT-&gt;Adjusted(ARG1/748,ARG2/3,ARG4/4)</t>
  </si>
  <si>
    <t xml:space="preserve">"oklešťovat-001"</t>
  </si>
  <si>
    <t xml:space="preserve">ACT-&gt;ARG0/371,ARG1/3</t>
  </si>
  <si>
    <t xml:space="preserve">PAT-&gt;ARG1/748,ARG2/3,ARG4/4</t>
  </si>
  <si>
    <t xml:space="preserve">"okopat-001"</t>
  </si>
  <si>
    <t xml:space="preserve">"okopat-002"</t>
  </si>
  <si>
    <t xml:space="preserve">"okopávat-001"</t>
  </si>
  <si>
    <t xml:space="preserve">"okopávat-002"</t>
  </si>
  <si>
    <t xml:space="preserve">"okopírovat-001"</t>
  </si>
  <si>
    <t xml:space="preserve">"okopírovat-002"</t>
  </si>
  <si>
    <t xml:space="preserve">"okoukat-001"</t>
  </si>
  <si>
    <t xml:space="preserve">"okoukat-se-001"</t>
  </si>
  <si>
    <t xml:space="preserve">"okouknout-001"</t>
  </si>
  <si>
    <t xml:space="preserve">"okouzlit-001"</t>
  </si>
  <si>
    <t xml:space="preserve">"okouzlovat-001"</t>
  </si>
  <si>
    <t xml:space="preserve">"okořenit-001"</t>
  </si>
  <si>
    <t xml:space="preserve">"okrádat-001"</t>
  </si>
  <si>
    <t xml:space="preserve">"okrást-001"</t>
  </si>
  <si>
    <t xml:space="preserve">"oktrojovat-001"</t>
  </si>
  <si>
    <t xml:space="preserve">"okukovat-001"</t>
  </si>
  <si>
    <t xml:space="preserve">"okupovat-001"</t>
  </si>
  <si>
    <t xml:space="preserve">"okusit-001"</t>
  </si>
  <si>
    <t xml:space="preserve">"okusit-002"</t>
  </si>
  <si>
    <t xml:space="preserve">"okusovat-001"</t>
  </si>
  <si>
    <t xml:space="preserve">"okázat-se-001"</t>
  </si>
  <si>
    <t xml:space="preserve">"olizovat-001"</t>
  </si>
  <si>
    <t xml:space="preserve">"oloupat-001"</t>
  </si>
  <si>
    <t xml:space="preserve">Agent(ARG0/28), Contained(ARG1/93), Container(ARG2/5)</t>
  </si>
  <si>
    <t xml:space="preserve">PAT-&gt;Container(ARG2/5)</t>
  </si>
  <si>
    <t xml:space="preserve">DIR1-&gt;ARG1/93</t>
  </si>
  <si>
    <t xml:space="preserve">DIR1-&gt;Contained</t>
  </si>
  <si>
    <t xml:space="preserve">DIR1-&gt;Contained(ARG1/93)</t>
  </si>
  <si>
    <t xml:space="preserve">"omakat-si-001"</t>
  </si>
  <si>
    <t xml:space="preserve">PAT: 4,.c</t>
  </si>
  <si>
    <t xml:space="preserve">"omalovat-001"</t>
  </si>
  <si>
    <t xml:space="preserve">"omarodit-001"</t>
  </si>
  <si>
    <t xml:space="preserve">"omarodit-002"</t>
  </si>
  <si>
    <t xml:space="preserve">"omdlévat-001"</t>
  </si>
  <si>
    <t xml:space="preserve">"omdlít-001"</t>
  </si>
  <si>
    <t xml:space="preserve">"omezit-001"</t>
  </si>
  <si>
    <t xml:space="preserve">ACT-&gt;ARG0/812,ARG1/23</t>
  </si>
  <si>
    <t xml:space="preserve">PAT-&gt;ARG1/1592,ARG2/12,ARG4/17</t>
  </si>
  <si>
    <t xml:space="preserve">ORIG-&gt;ARG2/5,ARG3/101,ARG4/2</t>
  </si>
  <si>
    <t xml:space="preserve">ORIG-&gt;State_initial(ARG2/5,ARG3/45,ARG4/1)</t>
  </si>
  <si>
    <t xml:space="preserve">EFF-&gt;ARG2/92,ARG3/1,ARG4/172,ARG5/1</t>
  </si>
  <si>
    <t xml:space="preserve">EFF-&gt;State_final(ARG2/46,ARG4/82)</t>
  </si>
  <si>
    <t xml:space="preserve">"omezit-002"</t>
  </si>
  <si>
    <t xml:space="preserve">"omezit-se-001"</t>
  </si>
  <si>
    <t xml:space="preserve">"omezit-se-002"</t>
  </si>
  <si>
    <t xml:space="preserve">"omezovat-001"</t>
  </si>
  <si>
    <t xml:space="preserve">"omezovat-002"</t>
  </si>
  <si>
    <t xml:space="preserve">ADDR-&gt;ARG1/129,ARG2/1</t>
  </si>
  <si>
    <t xml:space="preserve">ADDR-&gt;Affected(ARG1/129,ARG2/1)</t>
  </si>
  <si>
    <t xml:space="preserve">PAT-&gt;ARG2/41</t>
  </si>
  <si>
    <t xml:space="preserve">PAT-&gt;Entity_limited</t>
  </si>
  <si>
    <t xml:space="preserve">PAT-&gt;Entity_limited(ARG2/41)</t>
  </si>
  <si>
    <t xml:space="preserve">"omezovat-se-001"</t>
  </si>
  <si>
    <t xml:space="preserve">"omezovat-se-002"</t>
  </si>
  <si>
    <t xml:space="preserve">"omilostnit-001"</t>
  </si>
  <si>
    <t xml:space="preserve">"omladit-001"</t>
  </si>
  <si>
    <t xml:space="preserve">Changing(), Changed()</t>
  </si>
  <si>
    <t xml:space="preserve">PAT-&gt;Changed()</t>
  </si>
  <si>
    <t xml:space="preserve">"omlouvat-001"</t>
  </si>
  <si>
    <t xml:space="preserve">Agent(ARG0/3), Offender(ARG0/2,ARG2/2), Audience_Addressee(ARG1/2), Offense(ARG1/4)</t>
  </si>
  <si>
    <t xml:space="preserve">PAT-&gt;ARG0/2,ARG2/2</t>
  </si>
  <si>
    <t xml:space="preserve">PAT-&gt;Offender(ARG0/2,ARG2/2)</t>
  </si>
  <si>
    <t xml:space="preserve">ADDR-&gt;Audience_Addressee(ARG1/2)</t>
  </si>
  <si>
    <t xml:space="preserve">"omlouvat-002"</t>
  </si>
  <si>
    <t xml:space="preserve">Protagonist(), Undesirable(ARG2/1)</t>
  </si>
  <si>
    <t xml:space="preserve">PAT-&gt;Undesirable(ARG2/1)</t>
  </si>
  <si>
    <t xml:space="preserve">"omlouvat-se-001"</t>
  </si>
  <si>
    <t xml:space="preserve">"omluvit-001"</t>
  </si>
  <si>
    <t xml:space="preserve">"omluvit-002"</t>
  </si>
  <si>
    <t xml:space="preserve">"omládnout-001"</t>
  </si>
  <si>
    <t xml:space="preserve">"omlátit-001"</t>
  </si>
  <si>
    <t xml:space="preserve">"omlátit-002"</t>
  </si>
  <si>
    <t xml:space="preserve">DPHR: o-1[hlava.S4]</t>
  </si>
  <si>
    <t xml:space="preserve">"omrzet-001"</t>
  </si>
  <si>
    <t xml:space="preserve">"omráčit-001"</t>
  </si>
  <si>
    <t xml:space="preserve">"omráčit-002"</t>
  </si>
  <si>
    <t xml:space="preserve">"omílat-001"</t>
  </si>
  <si>
    <t xml:space="preserve">Speaker(ARG0/33,ARG1/2), Repeated(ARG1/45), Audience_Addressee(), Source()</t>
  </si>
  <si>
    <t xml:space="preserve">ACT-&gt;ARG0/33,ARG1/2</t>
  </si>
  <si>
    <t xml:space="preserve">ACT-&gt;Speaker(ARG0/33,ARG1/2)</t>
  </si>
  <si>
    <t xml:space="preserve">PAT: 4; ↓zda; ↓jestli; ↓aby; ↓že; .s; ↓c</t>
  </si>
  <si>
    <t xml:space="preserve">PAT-&gt;Repeated</t>
  </si>
  <si>
    <t xml:space="preserve">PAT-&gt;Repeated(ARG1/45)</t>
  </si>
  <si>
    <t xml:space="preserve">?ORIG: po+6</t>
  </si>
  <si>
    <t xml:space="preserve">"omítnout-001"</t>
  </si>
  <si>
    <t xml:space="preserve">Repairing(ARG0/9), Item(ARG1/37)</t>
  </si>
  <si>
    <t xml:space="preserve">ACT-&gt;Repairing</t>
  </si>
  <si>
    <t xml:space="preserve">ACT-&gt;Repairing(ARG0/9)</t>
  </si>
  <si>
    <t xml:space="preserve">PAT-&gt;Item(ARG1/37)</t>
  </si>
  <si>
    <t xml:space="preserve">"omývat-001"</t>
  </si>
  <si>
    <t xml:space="preserve">"onemocnět-001"</t>
  </si>
  <si>
    <t xml:space="preserve">"onosit-001"</t>
  </si>
  <si>
    <t xml:space="preserve">"opadat-001"</t>
  </si>
  <si>
    <t xml:space="preserve">"opadat-002"</t>
  </si>
  <si>
    <t xml:space="preserve">"opadnout-001"</t>
  </si>
  <si>
    <t xml:space="preserve">"opadnout-002"</t>
  </si>
  <si>
    <t xml:space="preserve">"opadávat-001"</t>
  </si>
  <si>
    <t xml:space="preserve">"opadávat-002"</t>
  </si>
  <si>
    <t xml:space="preserve">"opakovat-001"</t>
  </si>
  <si>
    <t xml:space="preserve">"opakovat-002"</t>
  </si>
  <si>
    <t xml:space="preserve">PAT: 4; ↓že; ↓aby; ↓zda; ↓ať</t>
  </si>
  <si>
    <t xml:space="preserve">"opakovat-003"</t>
  </si>
  <si>
    <t xml:space="preserve">"opakovat-se-001"</t>
  </si>
  <si>
    <t xml:space="preserve">Event()</t>
  </si>
  <si>
    <t xml:space="preserve">ACT-&gt;Event()</t>
  </si>
  <si>
    <t xml:space="preserve">"opakovat-se-002"</t>
  </si>
  <si>
    <t xml:space="preserve">"opakovat-si-001"</t>
  </si>
  <si>
    <t xml:space="preserve">"opalovat-001"</t>
  </si>
  <si>
    <t xml:space="preserve">"opalovat-se-001"</t>
  </si>
  <si>
    <t xml:space="preserve">"opatrovat-001"</t>
  </si>
  <si>
    <t xml:space="preserve">"opatrovat-002"</t>
  </si>
  <si>
    <t xml:space="preserve">"opatřit-001"</t>
  </si>
  <si>
    <t xml:space="preserve">Supplier(ARG0/76), Recipient(ARG0/1,ARG1/14,ARG2/73), Supplies(ARG1/91,ARG2/17)</t>
  </si>
  <si>
    <t xml:space="preserve">ACT-&gt;ARG0/76</t>
  </si>
  <si>
    <t xml:space="preserve">ACT-&gt;Supplier</t>
  </si>
  <si>
    <t xml:space="preserve">ACT-&gt;Supplier(ARG0/76)</t>
  </si>
  <si>
    <t xml:space="preserve">PAT-&gt;ARG0/1,ARG1/14,ARG2/73</t>
  </si>
  <si>
    <t xml:space="preserve">PAT-&gt;Recipient(ARG0/1,ARG1/14,ARG2/73)</t>
  </si>
  <si>
    <t xml:space="preserve">EFF-&gt;ARG1/91,ARG2/17</t>
  </si>
  <si>
    <t xml:space="preserve">EFF-&gt;Supplies</t>
  </si>
  <si>
    <t xml:space="preserve">EFF-&gt;Supplies(ARG1/91,ARG2/17)</t>
  </si>
  <si>
    <t xml:space="preserve">"opatřit-002"</t>
  </si>
  <si>
    <t xml:space="preserve">"opatřit-003"</t>
  </si>
  <si>
    <t xml:space="preserve">"opatřovat-001"</t>
  </si>
  <si>
    <t xml:space="preserve">"opařit-001"</t>
  </si>
  <si>
    <t xml:space="preserve">"opařit-002"</t>
  </si>
  <si>
    <t xml:space="preserve">"opařit-se-001"</t>
  </si>
  <si>
    <t xml:space="preserve">"opepřit-001"</t>
  </si>
  <si>
    <t xml:space="preserve">"operovat-001"</t>
  </si>
  <si>
    <t xml:space="preserve">"operovat-002"</t>
  </si>
  <si>
    <t xml:space="preserve">Agent(ARG0/187,ARG1/64), Entity(ARG1/4,ARG2/1,ARG3/45,ARG4/1)</t>
  </si>
  <si>
    <t xml:space="preserve">ACT-&gt;ARG0/187,ARG1/64</t>
  </si>
  <si>
    <t xml:space="preserve">ACT-&gt;Agent(ARG0/187,ARG1/64)</t>
  </si>
  <si>
    <t xml:space="preserve">PAT-&gt;ARG1/4,ARG2/1,ARG3/45,ARG4/1</t>
  </si>
  <si>
    <t xml:space="preserve">PAT-&gt;Entity(ARG1/4,ARG2/1,ARG3/45,ARG4/1)</t>
  </si>
  <si>
    <t xml:space="preserve">"operovat-003"</t>
  </si>
  <si>
    <t xml:space="preserve">"operovat-004"</t>
  </si>
  <si>
    <t xml:space="preserve">"operovat-005"</t>
  </si>
  <si>
    <t xml:space="preserve">"opevňovat-001"</t>
  </si>
  <si>
    <t xml:space="preserve">ACT-&gt;ARG0/68,ARG1/3,ARG3/19</t>
  </si>
  <si>
    <t xml:space="preserve">PAT-&gt;ARG0/10,ARG1/212,ARG2/2</t>
  </si>
  <si>
    <t xml:space="preserve">EFF-&gt;ARG1/16,ARG2/71,ARG4/3</t>
  </si>
  <si>
    <t xml:space="preserve">"opečovávat-001"</t>
  </si>
  <si>
    <t xml:space="preserve">"opisovat-001"</t>
  </si>
  <si>
    <t xml:space="preserve">Creator(ARG0/5), Document(ARG1/9)</t>
  </si>
  <si>
    <t xml:space="preserve">PAT-&gt;Document</t>
  </si>
  <si>
    <t xml:space="preserve">PAT-&gt;Document(ARG1/9)</t>
  </si>
  <si>
    <t xml:space="preserve">"opičit-se-001"</t>
  </si>
  <si>
    <t xml:space="preserve">"oplakat-001"</t>
  </si>
  <si>
    <t xml:space="preserve">"oplakávat-001"</t>
  </si>
  <si>
    <t xml:space="preserve">ACT-&gt;ARG0/12,ARG1/1</t>
  </si>
  <si>
    <t xml:space="preserve">"oplatit-001"</t>
  </si>
  <si>
    <t xml:space="preserve">"oplodnit-001"</t>
  </si>
  <si>
    <t xml:space="preserve">Fertilizer(ARG0/2), Fertilized(ARG1/6)</t>
  </si>
  <si>
    <t xml:space="preserve">ACT-&gt;Fertilizer</t>
  </si>
  <si>
    <t xml:space="preserve">ACT-&gt;Fertilizer(ARG0/2)</t>
  </si>
  <si>
    <t xml:space="preserve">PAT-&gt;Fertilized</t>
  </si>
  <si>
    <t xml:space="preserve">PAT-&gt;Fertilized(ARG1/6)</t>
  </si>
  <si>
    <t xml:space="preserve">"oplotit-001"</t>
  </si>
  <si>
    <t xml:space="preserve">"oplácet-001"</t>
  </si>
  <si>
    <t xml:space="preserve">"opláchnout-001"</t>
  </si>
  <si>
    <t xml:space="preserve">"oplývat-001"</t>
  </si>
  <si>
    <t xml:space="preserve">Entity(ARG0/2,ARG2/1), Attribute(ARG1/3)</t>
  </si>
  <si>
    <t xml:space="preserve">ACT-&gt;ARG0/2,ARG2/1</t>
  </si>
  <si>
    <t xml:space="preserve">ACT-&gt;Entity(ARG0/2,ARG2/1)</t>
  </si>
  <si>
    <t xml:space="preserve">PAT-&gt;Attribute(ARG1/3)</t>
  </si>
  <si>
    <t xml:space="preserve">"opodstatňovat-001"</t>
  </si>
  <si>
    <t xml:space="preserve">"opomenout-001"</t>
  </si>
  <si>
    <t xml:space="preserve">PAT: 4; .f; ↓že; ↓zda; ↓jestli; ↓c</t>
  </si>
  <si>
    <t xml:space="preserve">"opominout-001"</t>
  </si>
  <si>
    <t xml:space="preserve">"opomíjet-001"</t>
  </si>
  <si>
    <t xml:space="preserve">"oponovat-001"</t>
  </si>
  <si>
    <t xml:space="preserve">"oponovat-002"</t>
  </si>
  <si>
    <t xml:space="preserve">"opotřebovat-001"</t>
  </si>
  <si>
    <t xml:space="preserve">"opouštět-001"</t>
  </si>
  <si>
    <t xml:space="preserve">PAT-&gt;Area_1</t>
  </si>
  <si>
    <t xml:space="preserve">PAT-&gt;Area_1(ARG1/4)</t>
  </si>
  <si>
    <t xml:space="preserve">"opouštět-002"</t>
  </si>
  <si>
    <t xml:space="preserve">"opovrhnout-001"</t>
  </si>
  <si>
    <t xml:space="preserve">"opovrhovat-001"</t>
  </si>
  <si>
    <t xml:space="preserve">Attitudal(ARG0/1), Despised(ARG1/1)</t>
  </si>
  <si>
    <t xml:space="preserve">ACT-&gt;Attitudal(ARG0/1)</t>
  </si>
  <si>
    <t xml:space="preserve">PAT-&gt;Despised</t>
  </si>
  <si>
    <t xml:space="preserve">PAT-&gt;Despised(ARG1/1)</t>
  </si>
  <si>
    <t xml:space="preserve">"opozdit-001"</t>
  </si>
  <si>
    <t xml:space="preserve">"opozdit-se-001"</t>
  </si>
  <si>
    <t xml:space="preserve">?PAT: za+7</t>
  </si>
  <si>
    <t xml:space="preserve">"opozdit-se-002"</t>
  </si>
  <si>
    <t xml:space="preserve">Protagonist(ARG0/38), Entity(ARG0/1,ARG1/38)</t>
  </si>
  <si>
    <t xml:space="preserve">PAT-&gt;ARG0/1,ARG1/38</t>
  </si>
  <si>
    <t xml:space="preserve">PAT-&gt;Entity(ARG0/1,ARG1/38)</t>
  </si>
  <si>
    <t xml:space="preserve">"opožďovat-se-001"</t>
  </si>
  <si>
    <t xml:space="preserve">"opracovat-001"</t>
  </si>
  <si>
    <t xml:space="preserve">"opracovávat-001"</t>
  </si>
  <si>
    <t xml:space="preserve">"opravit-001"</t>
  </si>
  <si>
    <t xml:space="preserve">ACT-&gt;ARG0/187,ARG1/5</t>
  </si>
  <si>
    <t xml:space="preserve">PAT-&gt;ARG1/390,ARG2/2,ARG3/2</t>
  </si>
  <si>
    <t xml:space="preserve">"opravit-002"</t>
  </si>
  <si>
    <t xml:space="preserve">"opravovat-001"</t>
  </si>
  <si>
    <t xml:space="preserve">"opravovat-002"</t>
  </si>
  <si>
    <t xml:space="preserve">"opravovat-003"</t>
  </si>
  <si>
    <t xml:space="preserve">PAT-&gt;Affected; PAT-&gt;Improved</t>
  </si>
  <si>
    <t xml:space="preserve">PAT-&gt;Affected(ARG1/104); PAT-&gt;Improved()</t>
  </si>
  <si>
    <t xml:space="preserve">"opravňovat-001"</t>
  </si>
  <si>
    <t xml:space="preserve">ACT-&gt;ARG0/328,ARG1/15</t>
  </si>
  <si>
    <t xml:space="preserve">PAT: k+3; .f; ↓aby</t>
  </si>
  <si>
    <t xml:space="preserve">PAT-&gt;ARG1/563,ARG2/25</t>
  </si>
  <si>
    <t xml:space="preserve">ADDR-&gt;ARG1/468,ARG2/96</t>
  </si>
  <si>
    <t xml:space="preserve">"opravňovat-002"</t>
  </si>
  <si>
    <t xml:space="preserve">"oprašovat-001"</t>
  </si>
  <si>
    <t xml:space="preserve">"oprostit-001"</t>
  </si>
  <si>
    <t xml:space="preserve">Authority(ARG0/13), Undesirable(ARG1/11,ARG2/25), Protagonist(ARG1/35,ARG2/12)</t>
  </si>
  <si>
    <t xml:space="preserve">PAT-&gt;ARG1/35,ARG2/12</t>
  </si>
  <si>
    <t xml:space="preserve">PAT-&gt;Protagonist(ARG1/35,ARG2/12)</t>
  </si>
  <si>
    <t xml:space="preserve">ORIG-&gt;ARG1/11,ARG2/25</t>
  </si>
  <si>
    <t xml:space="preserve">ORIG-&gt;Undesirable</t>
  </si>
  <si>
    <t xml:space="preserve">ORIG-&gt;Undesirable(ARG1/11,ARG2/25)</t>
  </si>
  <si>
    <t xml:space="preserve">"oprávnit-001"</t>
  </si>
  <si>
    <t xml:space="preserve">PAT: k+3; .f</t>
  </si>
  <si>
    <t xml:space="preserve">"oprávnit-002"</t>
  </si>
  <si>
    <t xml:space="preserve">"oprášit-001"</t>
  </si>
  <si>
    <t xml:space="preserve">"oprášit-002"</t>
  </si>
  <si>
    <t xml:space="preserve">"opsat-001"</t>
  </si>
  <si>
    <t xml:space="preserve">"opsat-002"</t>
  </si>
  <si>
    <t xml:space="preserve">"optat-se-001"</t>
  </si>
  <si>
    <t xml:space="preserve">PAT: na+4; ↓zda; ↓zdali; ↓jestli; ↓c; .s</t>
  </si>
  <si>
    <t xml:space="preserve">"optimalizovat-001"</t>
  </si>
  <si>
    <t xml:space="preserve">"opustit-001"</t>
  </si>
  <si>
    <t xml:space="preserve">"opustit-002"</t>
  </si>
  <si>
    <t xml:space="preserve">"opustit-003"</t>
  </si>
  <si>
    <t xml:space="preserve">"opustit-004"</t>
  </si>
  <si>
    <t xml:space="preserve">"opylit-001"</t>
  </si>
  <si>
    <t xml:space="preserve">"opylovat-001"</t>
  </si>
  <si>
    <t xml:space="preserve">"opálit-001"</t>
  </si>
  <si>
    <t xml:space="preserve">"opásat-001"</t>
  </si>
  <si>
    <t xml:space="preserve">"opáčit-001"</t>
  </si>
  <si>
    <t xml:space="preserve">"opéci-001"</t>
  </si>
  <si>
    <t xml:space="preserve">"opékat-001"</t>
  </si>
  <si>
    <t xml:space="preserve">"opíjet-001"</t>
  </si>
  <si>
    <t xml:space="preserve">"opíjet-se-001"</t>
  </si>
  <si>
    <t xml:space="preserve">"opíjet-se-002"</t>
  </si>
  <si>
    <t xml:space="preserve">"opírat-001"</t>
  </si>
  <si>
    <t xml:space="preserve">EFF: o+4</t>
  </si>
  <si>
    <t xml:space="preserve">"opírat-002"</t>
  </si>
  <si>
    <t xml:space="preserve">"opírat-se-001"</t>
  </si>
  <si>
    <t xml:space="preserve">Relying(ARG0/90), Relied(ARG1/120,ARG2/10)</t>
  </si>
  <si>
    <t xml:space="preserve">ACT-&gt;ARG0/90</t>
  </si>
  <si>
    <t xml:space="preserve">ACT-&gt;Relying</t>
  </si>
  <si>
    <t xml:space="preserve">ACT-&gt;Relying(ARG0/90)</t>
  </si>
  <si>
    <t xml:space="preserve">PAT-&gt;ARG1/120,ARG2/10</t>
  </si>
  <si>
    <t xml:space="preserve">PAT-&gt;Relied</t>
  </si>
  <si>
    <t xml:space="preserve">PAT-&gt;Relied(ARG1/120,ARG2/10)</t>
  </si>
  <si>
    <t xml:space="preserve">"opírat-se-002"</t>
  </si>
  <si>
    <t xml:space="preserve">"opít-001"</t>
  </si>
  <si>
    <t xml:space="preserve">"opít-002"</t>
  </si>
  <si>
    <t xml:space="preserve">"opít-se-001"</t>
  </si>
  <si>
    <t xml:space="preserve">"opětovat-001"</t>
  </si>
  <si>
    <t xml:space="preserve">Agent(ARG0/9), Reciprocated(ARG1/9)</t>
  </si>
  <si>
    <t xml:space="preserve">PAT-&gt;Reciprocated</t>
  </si>
  <si>
    <t xml:space="preserve">PAT-&gt;Reciprocated(ARG1/9)</t>
  </si>
  <si>
    <t xml:space="preserve">"opěvovat-001"</t>
  </si>
  <si>
    <t xml:space="preserve">PAT: 4; ↓že; ↓jak-2; ↓c; .s</t>
  </si>
  <si>
    <t xml:space="preserve">"opřít-001"</t>
  </si>
  <si>
    <t xml:space="preserve">"opřít-se-001"</t>
  </si>
  <si>
    <t xml:space="preserve">"opřít-se-002"</t>
  </si>
  <si>
    <t xml:space="preserve">"opřít-se-003"</t>
  </si>
  <si>
    <t xml:space="preserve">"orat-001"</t>
  </si>
  <si>
    <t xml:space="preserve">"orazítkovat-001"</t>
  </si>
  <si>
    <t xml:space="preserve">Authority(), Document(ARG1/1)</t>
  </si>
  <si>
    <t xml:space="preserve">PAT-&gt;Document(ARG1/1)</t>
  </si>
  <si>
    <t xml:space="preserve">"ordinovat-001"</t>
  </si>
  <si>
    <t xml:space="preserve">PAT: 4; ↓že; ↓aby; ↓jak-2; ↓ať</t>
  </si>
  <si>
    <t xml:space="preserve">"organizovat-001"</t>
  </si>
  <si>
    <t xml:space="preserve">"organizovat-002"</t>
  </si>
  <si>
    <t xml:space="preserve">"orientovat-001"</t>
  </si>
  <si>
    <t xml:space="preserve">"orientovat-002"</t>
  </si>
  <si>
    <t xml:space="preserve">"orientovat-003"</t>
  </si>
  <si>
    <t xml:space="preserve">"orientovat-se-001"</t>
  </si>
  <si>
    <t xml:space="preserve">ACT-&gt;ARG0/158,ARG1/95,ARG2/12</t>
  </si>
  <si>
    <t xml:space="preserve">PAT: na+4; proti+3</t>
  </si>
  <si>
    <t xml:space="preserve">PAT-&gt;ARG1/207,ARG2/104</t>
  </si>
  <si>
    <t xml:space="preserve">"orientovat-se-002"</t>
  </si>
  <si>
    <t xml:space="preserve">"orientovat-se-003"</t>
  </si>
  <si>
    <t xml:space="preserve">"orodovat-001"</t>
  </si>
  <si>
    <t xml:space="preserve">"orosit-se-001"</t>
  </si>
  <si>
    <t xml:space="preserve">"osahat-001"</t>
  </si>
  <si>
    <t xml:space="preserve">"osahat-si-001"</t>
  </si>
  <si>
    <t xml:space="preserve">"osahávat-001"</t>
  </si>
  <si>
    <t xml:space="preserve">"osamostatnit-se-001"</t>
  </si>
  <si>
    <t xml:space="preserve">"osamostatnit-se-002"</t>
  </si>
  <si>
    <t xml:space="preserve">"osamostatňovat-se-001"</t>
  </si>
  <si>
    <t xml:space="preserve">"osazovat-001"</t>
  </si>
  <si>
    <t xml:space="preserve">"oscilovat-001"</t>
  </si>
  <si>
    <t xml:space="preserve">"osedlat-si-001"</t>
  </si>
  <si>
    <t xml:space="preserve">"osekat-001"</t>
  </si>
  <si>
    <t xml:space="preserve">"oseknout-001"</t>
  </si>
  <si>
    <t xml:space="preserve">"osiřet-001"</t>
  </si>
  <si>
    <t xml:space="preserve">"oskenovat-001"</t>
  </si>
  <si>
    <t xml:space="preserve">"oslabit-001"</t>
  </si>
  <si>
    <t xml:space="preserve">ACT-&gt;ARG0/441,ARG1/20</t>
  </si>
  <si>
    <t xml:space="preserve">PAT-&gt;ARG1/844,ARG2/9,ARG4/13</t>
  </si>
  <si>
    <t xml:space="preserve">ORIG-&gt;ARG3/56,ARG4/1</t>
  </si>
  <si>
    <t xml:space="preserve">EFF-&gt;ARG2/46,ARG3/1,ARG4/90,ARG5/1</t>
  </si>
  <si>
    <t xml:space="preserve">"oslabit-002"</t>
  </si>
  <si>
    <t xml:space="preserve">Cause(ARG0/93), Weakened(ARG1/132,ARG2/1)</t>
  </si>
  <si>
    <t xml:space="preserve">ACT-&gt;ARG0/280,ARG2/83</t>
  </si>
  <si>
    <t xml:space="preserve">ACT-&gt;Cause(ARG0/93)</t>
  </si>
  <si>
    <t xml:space="preserve">PAT-&gt;ARG1/488,ARG2/1</t>
  </si>
  <si>
    <t xml:space="preserve">PAT-&gt;Weakened(ARG1/132,ARG2/1)</t>
  </si>
  <si>
    <t xml:space="preserve">"oslabit-003"</t>
  </si>
  <si>
    <t xml:space="preserve">ACT-&gt;ARG0/1,ARG1/86</t>
  </si>
  <si>
    <t xml:space="preserve">"oslabit-004"</t>
  </si>
  <si>
    <t xml:space="preserve">ACT-&gt;ARG0/193,ARG1/1533,ARG2/5</t>
  </si>
  <si>
    <t xml:space="preserve">PAT-&gt;ARG1/219,ARG2/16,ARG4/890,ARGM-LOC/2</t>
  </si>
  <si>
    <t xml:space="preserve">ORIG-&gt;ARG3/273,ARG4/5,ARGM-LOC/1</t>
  </si>
  <si>
    <t xml:space="preserve">"oslabovat-001"</t>
  </si>
  <si>
    <t xml:space="preserve">"oslabovat-002"</t>
  </si>
  <si>
    <t xml:space="preserve">"oslabovat-003"</t>
  </si>
  <si>
    <t xml:space="preserve">"--oslabovat-004"</t>
  </si>
  <si>
    <t xml:space="preserve">"oslabovat-se-001"</t>
  </si>
  <si>
    <t xml:space="preserve">"osladit-001"</t>
  </si>
  <si>
    <t xml:space="preserve">Adjusting(ARG0/10), Adjusted(ARG1/12)</t>
  </si>
  <si>
    <t xml:space="preserve">ACT-&gt;Adjusting(ARG0/10)</t>
  </si>
  <si>
    <t xml:space="preserve">PAT-&gt;Adjusted(ARG1/12)</t>
  </si>
  <si>
    <t xml:space="preserve">"osladit-002"</t>
  </si>
  <si>
    <t xml:space="preserve">"oslavit-001"</t>
  </si>
  <si>
    <t xml:space="preserve">Celebrating(ARG0/16), Celebrated(ARG1/23,ARG2/1)</t>
  </si>
  <si>
    <t xml:space="preserve">ACT-&gt;Celebrating</t>
  </si>
  <si>
    <t xml:space="preserve">ACT-&gt;Celebrating(ARG0/16)</t>
  </si>
  <si>
    <t xml:space="preserve">PAT-&gt;ARG1/23,ARG2/1</t>
  </si>
  <si>
    <t xml:space="preserve">PAT-&gt;Celebrated</t>
  </si>
  <si>
    <t xml:space="preserve">PAT-&gt;Celebrated(ARG1/23,ARG2/1)</t>
  </si>
  <si>
    <t xml:space="preserve">"oslavovat-001"</t>
  </si>
  <si>
    <t xml:space="preserve">"oslepit-001"</t>
  </si>
  <si>
    <t xml:space="preserve">"oslepnout-001"</t>
  </si>
  <si>
    <t xml:space="preserve">"oslnit-001"</t>
  </si>
  <si>
    <t xml:space="preserve">ACT-&gt;ARG0/38,ARG1/1,ARG2/1</t>
  </si>
  <si>
    <t xml:space="preserve">PAT-&gt;ARG0/1,ARG1/57</t>
  </si>
  <si>
    <t xml:space="preserve">"oslovit-001"</t>
  </si>
  <si>
    <t xml:space="preserve">EFF: 5</t>
  </si>
  <si>
    <t xml:space="preserve">"oslovit-002"</t>
  </si>
  <si>
    <t xml:space="preserve">?EFF: s+7; ↓zda; .s</t>
  </si>
  <si>
    <t xml:space="preserve">EFF-&gt;ARG1/27,ARG2/5</t>
  </si>
  <si>
    <t xml:space="preserve">EFF-&gt;Topic</t>
  </si>
  <si>
    <t xml:space="preserve">EFF-&gt;Topic(ARG1/27,ARG2/5)</t>
  </si>
  <si>
    <t xml:space="preserve">"oslovit-003"</t>
  </si>
  <si>
    <t xml:space="preserve">ACT-&gt;ARG0/6,ARG2/1</t>
  </si>
  <si>
    <t xml:space="preserve">"oslovovat-001"</t>
  </si>
  <si>
    <t xml:space="preserve">"oslovovat-002"</t>
  </si>
  <si>
    <t xml:space="preserve">EFF: 1; 5</t>
  </si>
  <si>
    <t xml:space="preserve">"oslyšet-001"</t>
  </si>
  <si>
    <t xml:space="preserve">"osnovat-001"</t>
  </si>
  <si>
    <t xml:space="preserve">"osobovat-si-001"</t>
  </si>
  <si>
    <t xml:space="preserve">"osolit-001"</t>
  </si>
  <si>
    <t xml:space="preserve">"osopit-se-001"</t>
  </si>
  <si>
    <t xml:space="preserve">?PAT: ↓jestli</t>
  </si>
  <si>
    <t xml:space="preserve">"osočovat-001"</t>
  </si>
  <si>
    <t xml:space="preserve">"ospravedlnit-001"</t>
  </si>
  <si>
    <t xml:space="preserve">"ospravedlňovat-001"</t>
  </si>
  <si>
    <t xml:space="preserve">"osprchovat-001"</t>
  </si>
  <si>
    <t xml:space="preserve">"ostýchat-se-001"</t>
  </si>
  <si>
    <t xml:space="preserve">?PAT: .f</t>
  </si>
  <si>
    <t xml:space="preserve">"ostřelovat-001"</t>
  </si>
  <si>
    <t xml:space="preserve">"ostřit-001"</t>
  </si>
  <si>
    <t xml:space="preserve">"ostříhat-001"</t>
  </si>
  <si>
    <t xml:space="preserve">"osušit-001"</t>
  </si>
  <si>
    <t xml:space="preserve">"osvobodit-001"</t>
  </si>
  <si>
    <t xml:space="preserve">ORIG: od+2; z+2</t>
  </si>
  <si>
    <t xml:space="preserve">"osvobodit-002"</t>
  </si>
  <si>
    <t xml:space="preserve">"osvobozovat-001"</t>
  </si>
  <si>
    <t xml:space="preserve">"osvobozovat-002"</t>
  </si>
  <si>
    <t xml:space="preserve">"osvojit-si-001"</t>
  </si>
  <si>
    <t xml:space="preserve">"osvojit-si-002"</t>
  </si>
  <si>
    <t xml:space="preserve">"osvojovat-si-001"</t>
  </si>
  <si>
    <t xml:space="preserve">"osvítit-001"</t>
  </si>
  <si>
    <t xml:space="preserve">Affector(), Affected()</t>
  </si>
  <si>
    <t xml:space="preserve">ACT-&gt;Affector()</t>
  </si>
  <si>
    <t xml:space="preserve">"osvěcovat-001"</t>
  </si>
  <si>
    <t xml:space="preserve">"osvědčit-001"</t>
  </si>
  <si>
    <t xml:space="preserve">"osvědčit-se-001"</t>
  </si>
  <si>
    <t xml:space="preserve">Resource(ARG1/20), Party_benefited()</t>
  </si>
  <si>
    <t xml:space="preserve">ACT-&gt;ARG1/20</t>
  </si>
  <si>
    <t xml:space="preserve">ACT-&gt;Resource(ARG1/20)</t>
  </si>
  <si>
    <t xml:space="preserve">PAT-&gt;Party_benefited()</t>
  </si>
  <si>
    <t xml:space="preserve">"osvědčovat-001"</t>
  </si>
  <si>
    <t xml:space="preserve">"osvědčovat-se-001"</t>
  </si>
  <si>
    <t xml:space="preserve">"osvětlit-001"</t>
  </si>
  <si>
    <t xml:space="preserve">"osvětlit-002"</t>
  </si>
  <si>
    <t xml:space="preserve">"osvětlovat-001"</t>
  </si>
  <si>
    <t xml:space="preserve">"osvětlovat-002"</t>
  </si>
  <si>
    <t xml:space="preserve">"osvěžit-001"</t>
  </si>
  <si>
    <t xml:space="preserve">"osvěžit-se-001"</t>
  </si>
  <si>
    <t xml:space="preserve">"osázet-001"</t>
  </si>
  <si>
    <t xml:space="preserve">"osídlit-001"</t>
  </si>
  <si>
    <t xml:space="preserve">"osídlovat-001"</t>
  </si>
  <si>
    <t xml:space="preserve">"oteplit-se-001"</t>
  </si>
  <si>
    <t xml:space="preserve">"oteplovat-001"</t>
  </si>
  <si>
    <t xml:space="preserve">"oteplovat-se-001"</t>
  </si>
  <si>
    <t xml:space="preserve">Changing(ARG1/3)</t>
  </si>
  <si>
    <t xml:space="preserve">ACT-&gt;Changing(ARG1/3)</t>
  </si>
  <si>
    <t xml:space="preserve">"oteplovat-se-002"</t>
  </si>
  <si>
    <t xml:space="preserve">"otesat-001"</t>
  </si>
  <si>
    <t xml:space="preserve">Adjusting(), Adjusted(ARG1/1)</t>
  </si>
  <si>
    <t xml:space="preserve">ACT-&gt;Adjusting()</t>
  </si>
  <si>
    <t xml:space="preserve">PAT-&gt;Adjusted(ARG1/1)</t>
  </si>
  <si>
    <t xml:space="preserve">"otestovat-001"</t>
  </si>
  <si>
    <t xml:space="preserve">"otevírat-001"</t>
  </si>
  <si>
    <t xml:space="preserve">"otevírat-002"</t>
  </si>
  <si>
    <t xml:space="preserve">"otevírat-003"</t>
  </si>
  <si>
    <t xml:space="preserve">"otevírat-004"</t>
  </si>
  <si>
    <t xml:space="preserve">Starting(ARG0/1,ARG1/41)</t>
  </si>
  <si>
    <t xml:space="preserve">ACT-&gt;ARG0/1,ARG1/41</t>
  </si>
  <si>
    <t xml:space="preserve">ACT-&gt;Starting</t>
  </si>
  <si>
    <t xml:space="preserve">ACT-&gt;Starting(ARG0/1,ARG1/41)</t>
  </si>
  <si>
    <t xml:space="preserve">"otevírat-005"</t>
  </si>
  <si>
    <t xml:space="preserve">CPHR: {cesta,možnost,prostor,přístup,...}.4</t>
  </si>
  <si>
    <t xml:space="preserve">"otevírat-006"</t>
  </si>
  <si>
    <t xml:space="preserve">"otevírat-007"</t>
  </si>
  <si>
    <t xml:space="preserve">#alt[LOC,MANN]-&gt;Manner</t>
  </si>
  <si>
    <t xml:space="preserve">#alt[LOC,MANN]-&gt;Manner(ARGM-EXT/25,ARGM-MNR/21)</t>
  </si>
  <si>
    <t xml:space="preserve">"otevírat-008"</t>
  </si>
  <si>
    <t xml:space="preserve">DPHR: dveře.P4; okno.S4</t>
  </si>
  <si>
    <t xml:space="preserve">?PAT: 3; k+3</t>
  </si>
  <si>
    <t xml:space="preserve">"otevírat-se-001"</t>
  </si>
  <si>
    <t xml:space="preserve">"otevírat-se-002"</t>
  </si>
  <si>
    <t xml:space="preserve">Protagonist(ARG1/3), Phenomenon(ARG3/2)</t>
  </si>
  <si>
    <t xml:space="preserve">ACT-&gt;Protagonist(ARG1/3)</t>
  </si>
  <si>
    <t xml:space="preserve">PAT-&gt;ARG3/2</t>
  </si>
  <si>
    <t xml:space="preserve">PAT-&gt;Phenomenon(ARG3/2)</t>
  </si>
  <si>
    <t xml:space="preserve">"otevírat-se-003"</t>
  </si>
  <si>
    <t xml:space="preserve">"otevřít-001"</t>
  </si>
  <si>
    <t xml:space="preserve">ACT-&gt;ARG0/858,ARG1/186,ARG2/9</t>
  </si>
  <si>
    <t xml:space="preserve">PAT-&gt;ARG1/1186,ARG2/6</t>
  </si>
  <si>
    <t xml:space="preserve">"otevřít-002"</t>
  </si>
  <si>
    <t xml:space="preserve">"otevřít-003"</t>
  </si>
  <si>
    <t xml:space="preserve">ACT-&gt;ARG0/69,ARG2/2</t>
  </si>
  <si>
    <t xml:space="preserve">PAT-&gt;ARG1/92</t>
  </si>
  <si>
    <t xml:space="preserve">"otevřít-004"</t>
  </si>
  <si>
    <t xml:space="preserve">ALT-LOC: </t>
  </si>
  <si>
    <t xml:space="preserve">"otevřít-005"</t>
  </si>
  <si>
    <t xml:space="preserve">"otevřít-006"</t>
  </si>
  <si>
    <t xml:space="preserve">ACT-&gt;ARG0/504,ARG1/1,ARG2/6</t>
  </si>
  <si>
    <t xml:space="preserve">CPHR: {cesta,možnost,prostor,přístup,svět,...}.4</t>
  </si>
  <si>
    <t xml:space="preserve">CPHR-&gt;ARG1/854,ARG2/5</t>
  </si>
  <si>
    <t xml:space="preserve">CPHR-&gt;Withheld</t>
  </si>
  <si>
    <t xml:space="preserve">CPHR-&gt;Withheld(ARG1/473,ARG2/5)</t>
  </si>
  <si>
    <t xml:space="preserve">ADDR-&gt;ARG1/34,ARG2/251,ARG3/63</t>
  </si>
  <si>
    <t xml:space="preserve">ADDR-&gt;Audience_Addressee(ARG1/12,ARG2/174,ARG3/29)</t>
  </si>
  <si>
    <t xml:space="preserve">"otevřít-007"</t>
  </si>
  <si>
    <t xml:space="preserve">PAT: k+3; do+2</t>
  </si>
  <si>
    <t xml:space="preserve">PAT-&gt;ARG1/854,ARG2/5</t>
  </si>
  <si>
    <t xml:space="preserve">"otevřít-se-001"</t>
  </si>
  <si>
    <t xml:space="preserve">PAT: 3; před+7</t>
  </si>
  <si>
    <t xml:space="preserve">"otevřít-se-002"</t>
  </si>
  <si>
    <t xml:space="preserve">"otevřít-se-003"</t>
  </si>
  <si>
    <t xml:space="preserve">Opportunity(ARG1/5,ARG2/7), Party_benefited(ARG1/12), NoSr(ARG0/7,ARG2/1)</t>
  </si>
  <si>
    <t xml:space="preserve">ACT-&gt;ARG1/5,ARG2/7</t>
  </si>
  <si>
    <t xml:space="preserve">ACT-&gt;Opportunity</t>
  </si>
  <si>
    <t xml:space="preserve">ACT-&gt;Opportunity(ARG1/5,ARG2/7)</t>
  </si>
  <si>
    <t xml:space="preserve">"otipovat-001"</t>
  </si>
  <si>
    <t xml:space="preserve">"otisknout-001"</t>
  </si>
  <si>
    <t xml:space="preserve">"otisknout-002"</t>
  </si>
  <si>
    <t xml:space="preserve">"otiskovat-001"</t>
  </si>
  <si>
    <t xml:space="preserve">"otiskovat-002"</t>
  </si>
  <si>
    <t xml:space="preserve">"otlačit-se-001"</t>
  </si>
  <si>
    <t xml:space="preserve">"otlouci-001"</t>
  </si>
  <si>
    <t xml:space="preserve">"otloukat-001"</t>
  </si>
  <si>
    <t xml:space="preserve">"otočit-001"</t>
  </si>
  <si>
    <t xml:space="preserve">Changing(ARG0/43,ARG1/1), Changed(ARG1/79), State_final(ARG2/41), State_initial()</t>
  </si>
  <si>
    <t xml:space="preserve">ACT-&gt;Changing(ARG0/43,ARG1/1)</t>
  </si>
  <si>
    <t xml:space="preserve">PAT-&gt;Changed(ARG1/79)</t>
  </si>
  <si>
    <t xml:space="preserve">EFF-&gt;State_final(ARG2/41)</t>
  </si>
  <si>
    <t xml:space="preserve">"otočit-002"</t>
  </si>
  <si>
    <t xml:space="preserve">"otočit-003"</t>
  </si>
  <si>
    <t xml:space="preserve">"otočit-004"</t>
  </si>
  <si>
    <t xml:space="preserve">"otočit-005"</t>
  </si>
  <si>
    <t xml:space="preserve">"otočit-006"</t>
  </si>
  <si>
    <t xml:space="preserve">"otočit-se-001"</t>
  </si>
  <si>
    <t xml:space="preserve">"otočit-se-002"</t>
  </si>
  <si>
    <t xml:space="preserve">"otočit-se-003"</t>
  </si>
  <si>
    <t xml:space="preserve">"otočit-se-004"</t>
  </si>
  <si>
    <t xml:space="preserve">"otravovat-001"</t>
  </si>
  <si>
    <t xml:space="preserve">"otravovat-002"</t>
  </si>
  <si>
    <t xml:space="preserve">"otrhat-001"</t>
  </si>
  <si>
    <t xml:space="preserve">"otrkat-se-001"</t>
  </si>
  <si>
    <t xml:space="preserve">"otrnout-001"</t>
  </si>
  <si>
    <t xml:space="preserve">"otrávit-001"</t>
  </si>
  <si>
    <t xml:space="preserve">Authority(ARG0/7), Absorber(ARG1/7), Absorbed()</t>
  </si>
  <si>
    <t xml:space="preserve">ACT-&gt;ARG0/11,ARG1/1,ARG2/2</t>
  </si>
  <si>
    <t xml:space="preserve">ACT-&gt;Authority(ARG0/7)</t>
  </si>
  <si>
    <t xml:space="preserve">PAT-&gt;Absorber</t>
  </si>
  <si>
    <t xml:space="preserve">PAT-&gt;Absorber(ARG1/7)</t>
  </si>
  <si>
    <t xml:space="preserve">"otrávit-se-001"</t>
  </si>
  <si>
    <t xml:space="preserve">ACT-&gt;ARG0/7,ARG1/7</t>
  </si>
  <si>
    <t xml:space="preserve">ACT-&gt;Absorber; ACT-&gt;Authority</t>
  </si>
  <si>
    <t xml:space="preserve">ACT-&gt;Absorber(ARG1/7); ACT-&gt;Authority(ARG0/7)</t>
  </si>
  <si>
    <t xml:space="preserve">"otupit-001"</t>
  </si>
  <si>
    <t xml:space="preserve">PAT-&gt;ARG1/132,ARG2/1</t>
  </si>
  <si>
    <t xml:space="preserve">"otupovat-001"</t>
  </si>
  <si>
    <t xml:space="preserve">"otupět-001"</t>
  </si>
  <si>
    <t xml:space="preserve">"otužovat-001"</t>
  </si>
  <si>
    <t xml:space="preserve">"otvírat-001"</t>
  </si>
  <si>
    <t xml:space="preserve">ACT-&gt;ARG0/73,ARG2/2</t>
  </si>
  <si>
    <t xml:space="preserve">PAT-&gt;ARG1/98</t>
  </si>
  <si>
    <t xml:space="preserve">"otvírat-002"</t>
  </si>
  <si>
    <t xml:space="preserve">"otvírat-003"</t>
  </si>
  <si>
    <t xml:space="preserve">"otvírat-004"</t>
  </si>
  <si>
    <t xml:space="preserve">"otvírat-005"</t>
  </si>
  <si>
    <t xml:space="preserve">CPHR: {co,možnost,prostor,přístup,...}.4</t>
  </si>
  <si>
    <t xml:space="preserve">"otvírat-006"</t>
  </si>
  <si>
    <t xml:space="preserve">"otvírat-se-001"</t>
  </si>
  <si>
    <t xml:space="preserve">"otvírat-se-002"</t>
  </si>
  <si>
    <t xml:space="preserve">"otálet-001"</t>
  </si>
  <si>
    <t xml:space="preserve">"otázat-se-001"</t>
  </si>
  <si>
    <t xml:space="preserve">PAT: na+4; ↓zda; ↓jestli; ↓c; .s</t>
  </si>
  <si>
    <t xml:space="preserve">"otáčet-001"</t>
  </si>
  <si>
    <t xml:space="preserve">PAT: 7; 4</t>
  </si>
  <si>
    <t xml:space="preserve">"otáčet-se-001"</t>
  </si>
  <si>
    <t xml:space="preserve">"otáčet-se-002"</t>
  </si>
  <si>
    <t xml:space="preserve">"otéci-001"</t>
  </si>
  <si>
    <t xml:space="preserve">"otékat-001"</t>
  </si>
  <si>
    <t xml:space="preserve">"otěhotnět-001"</t>
  </si>
  <si>
    <t xml:space="preserve">ACT-&gt;Fertilized</t>
  </si>
  <si>
    <t xml:space="preserve">ACT-&gt;Fertilized(ARG1/6)</t>
  </si>
  <si>
    <t xml:space="preserve">"otřepávat-se-001"</t>
  </si>
  <si>
    <t xml:space="preserve">"otřásat-001"</t>
  </si>
  <si>
    <t xml:space="preserve">"otřásat-002"</t>
  </si>
  <si>
    <t xml:space="preserve">Event(ARG0/38), Affected(ARG1/48)</t>
  </si>
  <si>
    <t xml:space="preserve">ACT-&gt;ARG0/225,ARG2/83</t>
  </si>
  <si>
    <t xml:space="preserve">ACT-&gt;Event(ARG0/38)</t>
  </si>
  <si>
    <t xml:space="preserve">PAT-&gt;ARG1/404</t>
  </si>
  <si>
    <t xml:space="preserve">PAT-&gt;Affected(ARG1/48)</t>
  </si>
  <si>
    <t xml:space="preserve">"otřásat-003"</t>
  </si>
  <si>
    <t xml:space="preserve">PAT-&gt;ARG1/48</t>
  </si>
  <si>
    <t xml:space="preserve">"otřásat-se-001"</t>
  </si>
  <si>
    <t xml:space="preserve">Experiencer(ARG0/3,ARG1/8)</t>
  </si>
  <si>
    <t xml:space="preserve">ACT-&gt;ARG0/3,ARG1/8</t>
  </si>
  <si>
    <t xml:space="preserve">ACT-&gt;Experiencer(ARG0/3,ARG1/8)</t>
  </si>
  <si>
    <t xml:space="preserve">"otřást-001"</t>
  </si>
  <si>
    <t xml:space="preserve">"otřást-002"</t>
  </si>
  <si>
    <t xml:space="preserve">"otřást-003"</t>
  </si>
  <si>
    <t xml:space="preserve">"otřást-004"</t>
  </si>
  <si>
    <t xml:space="preserve">"otřást-se-001"</t>
  </si>
  <si>
    <t xml:space="preserve">"otřít-001"</t>
  </si>
  <si>
    <t xml:space="preserve">"ovdovět-001"</t>
  </si>
  <si>
    <t xml:space="preserve">"ovlivnit-001"</t>
  </si>
  <si>
    <t xml:space="preserve">PAT: 4; ↓že; ↓zda; ↓aby; ↓c</t>
  </si>
  <si>
    <t xml:space="preserve">"ovlivňovat-001"</t>
  </si>
  <si>
    <t xml:space="preserve">"ovládat-001"</t>
  </si>
  <si>
    <t xml:space="preserve">"ovládat-002"</t>
  </si>
  <si>
    <t xml:space="preserve">"ovládat-003"</t>
  </si>
  <si>
    <t xml:space="preserve">"ovládnout-001"</t>
  </si>
  <si>
    <t xml:space="preserve">Cognizer(ARG0/8), Knowledge(ARG1/10)</t>
  </si>
  <si>
    <t xml:space="preserve">ACT-&gt;Cognizer(ARG0/8)</t>
  </si>
  <si>
    <t xml:space="preserve">PAT-&gt;Knowledge(ARG1/10)</t>
  </si>
  <si>
    <t xml:space="preserve">"ovládnout-002"</t>
  </si>
  <si>
    <t xml:space="preserve">"ovládnout-003"</t>
  </si>
  <si>
    <t xml:space="preserve">"ověsit-001"</t>
  </si>
  <si>
    <t xml:space="preserve">"ověřit-001"</t>
  </si>
  <si>
    <t xml:space="preserve">Cognizer(ARG0/5,ARG1/2), Information(ARG1/6,ARG2/3)</t>
  </si>
  <si>
    <t xml:space="preserve">ACT-&gt;ARG0/271,ARG1/2</t>
  </si>
  <si>
    <t xml:space="preserve">ACT-&gt;Cognizer(ARG0/5,ARG1/2)</t>
  </si>
  <si>
    <t xml:space="preserve">PAT: 4; ↓jestli; ↓zda; ↓že; ↓c</t>
  </si>
  <si>
    <t xml:space="preserve">PAT-&gt;ARG1/404,ARG2/3</t>
  </si>
  <si>
    <t xml:space="preserve">PAT-&gt;Information(ARG1/6,ARG2/3)</t>
  </si>
  <si>
    <t xml:space="preserve">"ověřovat-001"</t>
  </si>
  <si>
    <t xml:space="preserve">"oxeroxovat-001"</t>
  </si>
  <si>
    <t xml:space="preserve">"ozbrojit-001"</t>
  </si>
  <si>
    <t xml:space="preserve">"ozdobit-001"</t>
  </si>
  <si>
    <t xml:space="preserve">Agent(ARG0/2), Improved(ARG1/3)</t>
  </si>
  <si>
    <t xml:space="preserve">PAT-&gt;Improved(ARG1/3)</t>
  </si>
  <si>
    <t xml:space="preserve">"ozdravět-001"</t>
  </si>
  <si>
    <t xml:space="preserve">"ozkoušet-001"</t>
  </si>
  <si>
    <t xml:space="preserve">"oznamovat-001"</t>
  </si>
  <si>
    <t xml:space="preserve">"oznamovat-002"</t>
  </si>
  <si>
    <t xml:space="preserve">Audience_Addressee(ARG1/3,ARG2/352), Information(ARG0/4,ARG1/11732,ARG2/3,ARG3/30), Speaker(ARG0/13218,ARG1/39)</t>
  </si>
  <si>
    <t xml:space="preserve">ACT-&gt;ARG0/27116,ARG1/86</t>
  </si>
  <si>
    <t xml:space="preserve">ACT-&gt;Speaker(ARG0/13218,ARG1/39)</t>
  </si>
  <si>
    <t xml:space="preserve">ADDR-&gt;ARG1/25,ARG2/392</t>
  </si>
  <si>
    <t xml:space="preserve">ADDR-&gt;Audience_Addressee(ARG1/3,ARG2/352)</t>
  </si>
  <si>
    <t xml:space="preserve">EFF-&gt;ARG0/9,ARG1/24302,ARG2/28,ARG3/59</t>
  </si>
  <si>
    <t xml:space="preserve">EFF-&gt;Information(ARG0/4,ARG1/11732,ARG2/3,ARG3/30)</t>
  </si>
  <si>
    <t xml:space="preserve">"oznamovat-003"</t>
  </si>
  <si>
    <t xml:space="preserve">EFF: 4; ↓že; ↓zda</t>
  </si>
  <si>
    <t xml:space="preserve">"oznamovat-004"</t>
  </si>
  <si>
    <t xml:space="preserve">LOC-&gt;ARG1/22,ARG2/40</t>
  </si>
  <si>
    <t xml:space="preserve">LOC-&gt;Audience_Addressee</t>
  </si>
  <si>
    <t xml:space="preserve">LOC-&gt;Audience_Addressee(ARG1/22,ARG2/40)</t>
  </si>
  <si>
    <t xml:space="preserve">"označit-001"</t>
  </si>
  <si>
    <t xml:space="preserve">EFF-&gt;ARG0/1,ARG1/1,ARG2/125</t>
  </si>
  <si>
    <t xml:space="preserve">EFF-&gt;Judgment(ARG0/1,ARG1/1,ARG2/125)</t>
  </si>
  <si>
    <t xml:space="preserve">"označit-002"</t>
  </si>
  <si>
    <t xml:space="preserve">"označit-003"</t>
  </si>
  <si>
    <t xml:space="preserve">Affector(ARG0/2), Affected(ARG1/6,ARG2/1)</t>
  </si>
  <si>
    <t xml:space="preserve">PAT-&gt;Affected(ARG1/6,ARG2/1)</t>
  </si>
  <si>
    <t xml:space="preserve">"označovat-001"</t>
  </si>
  <si>
    <t xml:space="preserve">"označovat-002"</t>
  </si>
  <si>
    <t xml:space="preserve">"označovat-003"</t>
  </si>
  <si>
    <t xml:space="preserve">"oznámit-001"</t>
  </si>
  <si>
    <t xml:space="preserve">PAT: 4; ↓že; ↓aby; ↓c; .s</t>
  </si>
  <si>
    <t xml:space="preserve">"oznámit-002"</t>
  </si>
  <si>
    <t xml:space="preserve">"oznámit-003"</t>
  </si>
  <si>
    <t xml:space="preserve">"oznámit-004"</t>
  </si>
  <si>
    <t xml:space="preserve">"ozvat-se-001"</t>
  </si>
  <si>
    <t xml:space="preserve">Speaker(ARG0/38), Information(ARG1/3,ARG2/3), Audience_Addressee(ARG1/45)</t>
  </si>
  <si>
    <t xml:space="preserve">ACT-&gt;Speaker(ARG0/38)</t>
  </si>
  <si>
    <t xml:space="preserve">PAT-&gt;Audience_Addressee(ARG1/45)</t>
  </si>
  <si>
    <t xml:space="preserve">"ozvat-se-002"</t>
  </si>
  <si>
    <t xml:space="preserve">"ozvat-se-003"</t>
  </si>
  <si>
    <t xml:space="preserve">ACT: 1; .s</t>
  </si>
  <si>
    <t xml:space="preserve">Entity(ARG1/2)</t>
  </si>
  <si>
    <t xml:space="preserve">ACT-&gt;Entity(ARG1/2)</t>
  </si>
  <si>
    <t xml:space="preserve">"ozářit-001"</t>
  </si>
  <si>
    <t xml:space="preserve">"ozářit-002"</t>
  </si>
  <si>
    <t xml:space="preserve">"ozývat-se-001"</t>
  </si>
  <si>
    <t xml:space="preserve">"ozývat-se-002"</t>
  </si>
  <si>
    <t xml:space="preserve">"ozývat-se-003"</t>
  </si>
  <si>
    <t xml:space="preserve">"ozřejmit-001"</t>
  </si>
  <si>
    <t xml:space="preserve">PAT: 4; ↓jak-2; ↓že; ↓zda; ↓jestli; ↓c; .s</t>
  </si>
  <si>
    <t xml:space="preserve">"ozřejmovat-001"</t>
  </si>
  <si>
    <t xml:space="preserve">"očarovávat-001"</t>
  </si>
  <si>
    <t xml:space="preserve">"očekávat-001"</t>
  </si>
  <si>
    <t xml:space="preserve">Cognizer(ARG0/5), Phenomenon(ARG1/8), Source(ARG1/2)</t>
  </si>
  <si>
    <t xml:space="preserve">ACT-&gt;Cognizer(ARG0/5)</t>
  </si>
  <si>
    <t xml:space="preserve">PAT-&gt;Phenomenon(ARG1/8)</t>
  </si>
  <si>
    <t xml:space="preserve">ORIG-&gt;ARG1/2</t>
  </si>
  <si>
    <t xml:space="preserve">ORIG-&gt;Source(ARG1/2)</t>
  </si>
  <si>
    <t xml:space="preserve">"očekávat-002"</t>
  </si>
  <si>
    <t xml:space="preserve">Protagonist(ARG0/151,ARG1/87,ARG2/2), Event_expected(ARG1/162,ARG2/103,ARGM-TMP/2)</t>
  </si>
  <si>
    <t xml:space="preserve">ACT-&gt;ARG0/151,ARG1/87,ARG2/2</t>
  </si>
  <si>
    <t xml:space="preserve">ACT-&gt;Protagonist(ARG0/151,ARG1/87,ARG2/2)</t>
  </si>
  <si>
    <t xml:space="preserve">PAT: 4; ↓že; ↓jestli; ↓zda</t>
  </si>
  <si>
    <t xml:space="preserve">PAT-&gt;ARG1/162,ARG2/103,ARGM-TMP/2</t>
  </si>
  <si>
    <t xml:space="preserve">PAT-&gt;Event_expected(ARG1/162,ARG2/103,ARGM-TMP/2)</t>
  </si>
  <si>
    <t xml:space="preserve">"očekávat-003"</t>
  </si>
  <si>
    <t xml:space="preserve">"očekávat-004"</t>
  </si>
  <si>
    <t xml:space="preserve">"očernit-001"</t>
  </si>
  <si>
    <t xml:space="preserve">"očerňovat-001"</t>
  </si>
  <si>
    <t xml:space="preserve">"očesat-001"</t>
  </si>
  <si>
    <t xml:space="preserve">Gatherer(ARG0/3), Harvest(ARG0/1,ARG1/7)</t>
  </si>
  <si>
    <t xml:space="preserve">ACT-&gt;Gatherer</t>
  </si>
  <si>
    <t xml:space="preserve">ACT-&gt;Gatherer(ARG0/3)</t>
  </si>
  <si>
    <t xml:space="preserve">PAT-&gt;ARG0/1,ARG1/7</t>
  </si>
  <si>
    <t xml:space="preserve">PAT-&gt;Harvest</t>
  </si>
  <si>
    <t xml:space="preserve">PAT-&gt;Harvest(ARG0/1,ARG1/7)</t>
  </si>
  <si>
    <t xml:space="preserve">"očesávat-001"</t>
  </si>
  <si>
    <t xml:space="preserve">"očesávat-002"</t>
  </si>
  <si>
    <t xml:space="preserve">"očistit-001"</t>
  </si>
  <si>
    <t xml:space="preserve">PAT-&gt;ARG1/97,ARG2/18</t>
  </si>
  <si>
    <t xml:space="preserve">ORIG-&gt;ARG1/14,ARG2/28</t>
  </si>
  <si>
    <t xml:space="preserve">ORIG-&gt;Undesirable(ARG1/3,ARG2/3)</t>
  </si>
  <si>
    <t xml:space="preserve">"očistit-002"</t>
  </si>
  <si>
    <t xml:space="preserve">"očistit-003"</t>
  </si>
  <si>
    <t xml:space="preserve">"--očistit-004"</t>
  </si>
  <si>
    <t xml:space="preserve">"očišťovat-001"</t>
  </si>
  <si>
    <t xml:space="preserve">PAT-&gt;ARG1/73,ARG2/16</t>
  </si>
  <si>
    <t xml:space="preserve">"očkovat-001"</t>
  </si>
  <si>
    <t xml:space="preserve">"očuchávat-001"</t>
  </si>
  <si>
    <t xml:space="preserve">"očíslovat-001"</t>
  </si>
  <si>
    <t xml:space="preserve">"ořezat-001"</t>
  </si>
  <si>
    <t xml:space="preserve">"ořezat-002"</t>
  </si>
  <si>
    <t xml:space="preserve">ORIG-&gt;ARG2/5,ARG3/45,ARG4/1</t>
  </si>
  <si>
    <t xml:space="preserve">?EFF: na+4; v+4; k+3</t>
  </si>
  <si>
    <t xml:space="preserve">EFF-&gt;ARG2/46,ARG4/82</t>
  </si>
  <si>
    <t xml:space="preserve">"ořezat-003"</t>
  </si>
  <si>
    <t xml:space="preserve">"ořezávat-001"</t>
  </si>
  <si>
    <t xml:space="preserve">"oříznout-001"</t>
  </si>
  <si>
    <t xml:space="preserve">"ošetřit-001"</t>
  </si>
  <si>
    <t xml:space="preserve">PAT-&gt;Party_benefited(ARG1/6,ARG2/1)</t>
  </si>
  <si>
    <t xml:space="preserve">"ošetřit-002"</t>
  </si>
  <si>
    <t xml:space="preserve">ACT-&gt;ARG0/152</t>
  </si>
  <si>
    <t xml:space="preserve">PAT-&gt;ARG1/386,ARG2/7</t>
  </si>
  <si>
    <t xml:space="preserve">"ošetřovat-001"</t>
  </si>
  <si>
    <t xml:space="preserve">"ošidit-001"</t>
  </si>
  <si>
    <t xml:space="preserve">"ošklíbat-se-001"</t>
  </si>
  <si>
    <t xml:space="preserve">?PAT: na-1[.2]</t>
  </si>
  <si>
    <t xml:space="preserve">"oškrábat-001"</t>
  </si>
  <si>
    <t xml:space="preserve">"oškubat-001"</t>
  </si>
  <si>
    <t xml:space="preserve">"ošlapat-001"</t>
  </si>
  <si>
    <t xml:space="preserve">"ošoustat-001"</t>
  </si>
  <si>
    <t xml:space="preserve">"ošplouchnout-001"</t>
  </si>
  <si>
    <t xml:space="preserve">"oštipovat-001"</t>
  </si>
  <si>
    <t xml:space="preserve">"ošukat-001"</t>
  </si>
  <si>
    <t xml:space="preserve">"ošálit-001"</t>
  </si>
  <si>
    <t xml:space="preserve">Manipulator(ARG0/1), Victim(ARG1/3)</t>
  </si>
  <si>
    <t xml:space="preserve">"oťukat-001"</t>
  </si>
  <si>
    <t xml:space="preserve">PAT: 4; ↓jestli; ↓zda</t>
  </si>
  <si>
    <t xml:space="preserve">"ožebračit-001"</t>
  </si>
  <si>
    <t xml:space="preserve">"ožebračovat-001"</t>
  </si>
  <si>
    <t xml:space="preserve">"oženit-001"</t>
  </si>
  <si>
    <t xml:space="preserve">"oženit-se-001"</t>
  </si>
  <si>
    <t xml:space="preserve">Participant_1(ARG1/5), Participant_2(ARG2/3)</t>
  </si>
  <si>
    <t xml:space="preserve">ACT-&gt;ARG1/5</t>
  </si>
  <si>
    <t xml:space="preserve">ACT-&gt;Participant_1(ARG1/5)</t>
  </si>
  <si>
    <t xml:space="preserve">PAT-&gt;Participant_2(ARG2/3)</t>
  </si>
  <si>
    <t xml:space="preserve">"oživit-001"</t>
  </si>
  <si>
    <t xml:space="preserve">ACT-&gt;ARG0/658,ARG1/197,ARG2/6</t>
  </si>
  <si>
    <t xml:space="preserve">PAT-&gt;ARG1/847,ARG2/1</t>
  </si>
  <si>
    <t xml:space="preserve">"oživit-002"</t>
  </si>
  <si>
    <t xml:space="preserve">"oživit-003"</t>
  </si>
  <si>
    <t xml:space="preserve">"oživnout-001"</t>
  </si>
  <si>
    <t xml:space="preserve">"oživovat-001"</t>
  </si>
  <si>
    <t xml:space="preserve">"oživovat-002"</t>
  </si>
  <si>
    <t xml:space="preserve">"oživovat-003"</t>
  </si>
  <si>
    <t xml:space="preserve">"ožrat-001"</t>
  </si>
  <si>
    <t xml:space="preserve">"ožírat-001"</t>
  </si>
  <si>
    <t xml:space="preserve">"ožít-001"</t>
  </si>
  <si>
    <t xml:space="preserve">"ožít-002"</t>
  </si>
  <si>
    <t xml:space="preserve">"ožívat-001"</t>
  </si>
  <si>
    <t xml:space="preserve">"ožívat-002"</t>
  </si>
  <si>
    <t xml:space="preserve">"pachtit-se-001"</t>
  </si>
  <si>
    <t xml:space="preserve">"pachtit-se-002"</t>
  </si>
  <si>
    <t xml:space="preserve">"pacifikovat-001"</t>
  </si>
  <si>
    <t xml:space="preserve">"padat-001"</t>
  </si>
  <si>
    <t xml:space="preserve">"padat-002"</t>
  </si>
  <si>
    <t xml:space="preserve">"padat-003"</t>
  </si>
  <si>
    <t xml:space="preserve">"padat-004"</t>
  </si>
  <si>
    <t xml:space="preserve">"padat-005"</t>
  </si>
  <si>
    <t xml:space="preserve">"padat-006"</t>
  </si>
  <si>
    <t xml:space="preserve">DPHR: kopat:S$2&lt;B&gt;$8&lt;3&gt;$9&lt;P&gt;$11&lt;A&gt;$12&lt;A&gt;[kdo:M1,jiný:MS3@1$11&lt;A&gt;,jáma.S4,sám:MS1],do-1[on-1.FS2$8&lt;3&gt;]</t>
  </si>
  <si>
    <t xml:space="preserve">"padat-007"</t>
  </si>
  <si>
    <t xml:space="preserve">"padat-008"</t>
  </si>
  <si>
    <t xml:space="preserve">"padnout-001"</t>
  </si>
  <si>
    <t xml:space="preserve">"padnout-002"</t>
  </si>
  <si>
    <t xml:space="preserve">"padnout-003"</t>
  </si>
  <si>
    <t xml:space="preserve">"padnout-004"</t>
  </si>
  <si>
    <t xml:space="preserve">"padnout-005"</t>
  </si>
  <si>
    <t xml:space="preserve">"padnout-006"</t>
  </si>
  <si>
    <t xml:space="preserve">"padnout-007"</t>
  </si>
  <si>
    <t xml:space="preserve">"padnout-008"</t>
  </si>
  <si>
    <t xml:space="preserve">"padnout-009"</t>
  </si>
  <si>
    <t xml:space="preserve">Entity(ARG0/29,ARG1/136)</t>
  </si>
  <si>
    <t xml:space="preserve">ACT-&gt;ARG0/29,ARG1/151</t>
  </si>
  <si>
    <t xml:space="preserve">ACT-&gt;Entity(ARG0/29,ARG1/136)</t>
  </si>
  <si>
    <t xml:space="preserve">"padnout-010"</t>
  </si>
  <si>
    <t xml:space="preserve">"padnout-011"</t>
  </si>
  <si>
    <t xml:space="preserve">"padnout-012"</t>
  </si>
  <si>
    <t xml:space="preserve">"padnout-013"</t>
  </si>
  <si>
    <t xml:space="preserve">Protagonist(ARG1/71)</t>
  </si>
  <si>
    <t xml:space="preserve">ACT-&gt;ARG1/71</t>
  </si>
  <si>
    <t xml:space="preserve">ACT-&gt;Protagonist(ARG1/71)</t>
  </si>
  <si>
    <t xml:space="preserve">"padnout-014"</t>
  </si>
  <si>
    <t xml:space="preserve">"padnout-015"</t>
  </si>
  <si>
    <t xml:space="preserve">CPHR: {návrh,otázka,poznámka,rozhodnutí,slovo,zmínka,...}.1</t>
  </si>
  <si>
    <t xml:space="preserve">"padnout-016"</t>
  </si>
  <si>
    <t xml:space="preserve">DPHR: do-1[oko.S2]</t>
  </si>
  <si>
    <t xml:space="preserve">"padnout-017"</t>
  </si>
  <si>
    <t xml:space="preserve">"padnout-018"</t>
  </si>
  <si>
    <t xml:space="preserve">DPHR: jako[ulitý.1]; jak-3[ulitý.1]</t>
  </si>
  <si>
    <t xml:space="preserve">PAT: 3; na+4</t>
  </si>
  <si>
    <t xml:space="preserve">"padnout-019"</t>
  </si>
  <si>
    <t xml:space="preserve">Loser(ARG0/1), Winner(ARG1/1)</t>
  </si>
  <si>
    <t xml:space="preserve">ACT-&gt;Loser</t>
  </si>
  <si>
    <t xml:space="preserve">ACT-&gt;Loser(ARG0/1)</t>
  </si>
  <si>
    <t xml:space="preserve">DPHR: za-1[oběť.S4]</t>
  </si>
  <si>
    <t xml:space="preserve">PAT-&gt;Winner</t>
  </si>
  <si>
    <t xml:space="preserve">PAT-&gt;Winner(ARG1/1)</t>
  </si>
  <si>
    <t xml:space="preserve">"padnout-020"</t>
  </si>
  <si>
    <t xml:space="preserve">DPHR: padnout,kdo.3</t>
  </si>
  <si>
    <t xml:space="preserve">"padnout-021"</t>
  </si>
  <si>
    <t xml:space="preserve">DPHR: do-1[ruka.S2]</t>
  </si>
  <si>
    <t xml:space="preserve">"padnout-022"</t>
  </si>
  <si>
    <t xml:space="preserve">"padnout-si-001"</t>
  </si>
  <si>
    <t xml:space="preserve">"padělat-001"</t>
  </si>
  <si>
    <t xml:space="preserve">"pakovat-001"</t>
  </si>
  <si>
    <t xml:space="preserve">"pakovat-se-001"</t>
  </si>
  <si>
    <t xml:space="preserve">"paličkovat-001"</t>
  </si>
  <si>
    <t xml:space="preserve">"pamatovat-001"</t>
  </si>
  <si>
    <t xml:space="preserve">PAT: 4; na+4; ↓že; ↓jak; ↓c</t>
  </si>
  <si>
    <t xml:space="preserve">Cognizer(ARG0/95), Phenomenon(ARG1/114)</t>
  </si>
  <si>
    <t xml:space="preserve">ACT-&gt;Cognizer(ARG0/95)</t>
  </si>
  <si>
    <t xml:space="preserve">PAT-&gt;ARG1/114</t>
  </si>
  <si>
    <t xml:space="preserve">PAT-&gt;Phenomenon(ARG1/114)</t>
  </si>
  <si>
    <t xml:space="preserve">"pamatovat-002"</t>
  </si>
  <si>
    <t xml:space="preserve">Protagonist(), Recipient(), Given()</t>
  </si>
  <si>
    <t xml:space="preserve">PAT-&gt;Given()</t>
  </si>
  <si>
    <t xml:space="preserve">"pamatovat-se-001"</t>
  </si>
  <si>
    <t xml:space="preserve">PAT: na+4; ↓že; ↓zda; ↓jestli; ↓c; ↓jak; 4</t>
  </si>
  <si>
    <t xml:space="preserve">"pamatovat-si-001"</t>
  </si>
  <si>
    <t xml:space="preserve">PAT: 4; ↓že; na+4; ↓když; ↓jak-2; ↓jestli; ↓c</t>
  </si>
  <si>
    <t xml:space="preserve">"pamatovat-si-002"</t>
  </si>
  <si>
    <t xml:space="preserve">"panikařit-001"</t>
  </si>
  <si>
    <t xml:space="preserve">Cognizer(ARG1/9)</t>
  </si>
  <si>
    <t xml:space="preserve">ACT-&gt;ARG1/9</t>
  </si>
  <si>
    <t xml:space="preserve">ACT-&gt;Cognizer(ARG1/9)</t>
  </si>
  <si>
    <t xml:space="preserve">"panovat-001"</t>
  </si>
  <si>
    <t xml:space="preserve">"parafovat-001"</t>
  </si>
  <si>
    <t xml:space="preserve">"paralyzovat-001"</t>
  </si>
  <si>
    <t xml:space="preserve">ACT-&gt;ARG0/149</t>
  </si>
  <si>
    <t xml:space="preserve">PAT-&gt;ARG1/208</t>
  </si>
  <si>
    <t xml:space="preserve">"parazitovat-001"</t>
  </si>
  <si>
    <t xml:space="preserve">"parazitovat-002"</t>
  </si>
  <si>
    <t xml:space="preserve">"parkovat-001"</t>
  </si>
  <si>
    <t xml:space="preserve">"parkovat-002"</t>
  </si>
  <si>
    <t xml:space="preserve">"parodovat-001"</t>
  </si>
  <si>
    <t xml:space="preserve">"participovat-001"</t>
  </si>
  <si>
    <t xml:space="preserve">"pasovat-001"</t>
  </si>
  <si>
    <t xml:space="preserve">EFF: do+2; na+4</t>
  </si>
  <si>
    <t xml:space="preserve">"pasovat-002"</t>
  </si>
  <si>
    <t xml:space="preserve">"pasovat-003"</t>
  </si>
  <si>
    <t xml:space="preserve">"pasovat-004"</t>
  </si>
  <si>
    <t xml:space="preserve">"pasovat-005"</t>
  </si>
  <si>
    <t xml:space="preserve">"patentovat-001"</t>
  </si>
  <si>
    <t xml:space="preserve">"patřit-001"</t>
  </si>
  <si>
    <t xml:space="preserve">PAT: 3; k+3; pod+4; na+4</t>
  </si>
  <si>
    <t xml:space="preserve">ACT-&gt;ARG1/270</t>
  </si>
  <si>
    <t xml:space="preserve">ACT-&gt;Asset</t>
  </si>
  <si>
    <t xml:space="preserve">ACT-&gt;Asset(ARG1/270)</t>
  </si>
  <si>
    <t xml:space="preserve">PAT-&gt;ARG0/293</t>
  </si>
  <si>
    <t xml:space="preserve">PAT-&gt;Asset_controller</t>
  </si>
  <si>
    <t xml:space="preserve">PAT-&gt;Asset_controller(ARG0/293)</t>
  </si>
  <si>
    <t xml:space="preserve">"patřit-002"</t>
  </si>
  <si>
    <t xml:space="preserve">"patřit-003"</t>
  </si>
  <si>
    <t xml:space="preserve">"patřit-004"</t>
  </si>
  <si>
    <t xml:space="preserve">"patřit-005"</t>
  </si>
  <si>
    <t xml:space="preserve">"patřit-se-001"</t>
  </si>
  <si>
    <t xml:space="preserve">?PAT: na+4; :3</t>
  </si>
  <si>
    <t xml:space="preserve">PAT-&gt;ARG1/48,ARG2/3</t>
  </si>
  <si>
    <t xml:space="preserve">"pašovat-001"</t>
  </si>
  <si>
    <t xml:space="preserve">PAT-&gt;ARG1/29,ARG3/1</t>
  </si>
  <si>
    <t xml:space="preserve">"pelášit-001"</t>
  </si>
  <si>
    <t xml:space="preserve">"penalizovat-001"</t>
  </si>
  <si>
    <t xml:space="preserve">Authority(ARG0/21), Perpetrator(ARG1/64), Cause(ARG2/29)</t>
  </si>
  <si>
    <t xml:space="preserve">ACT-&gt;Authority(ARG0/21)</t>
  </si>
  <si>
    <t xml:space="preserve">PAT-&gt;ARG1/64</t>
  </si>
  <si>
    <t xml:space="preserve">PAT-&gt;Perpetrator(ARG1/64)</t>
  </si>
  <si>
    <t xml:space="preserve">"pendlovat-001"</t>
  </si>
  <si>
    <t xml:space="preserve">"penzionovat-001"</t>
  </si>
  <si>
    <t xml:space="preserve">"persekuovat-001"</t>
  </si>
  <si>
    <t xml:space="preserve">"perzekuovat-001"</t>
  </si>
  <si>
    <t xml:space="preserve">"perzekvovat-001"</t>
  </si>
  <si>
    <t xml:space="preserve">"peskovat-001"</t>
  </si>
  <si>
    <t xml:space="preserve">"pečovat-001"</t>
  </si>
  <si>
    <t xml:space="preserve">"pilovat-001"</t>
  </si>
  <si>
    <t xml:space="preserve">"pilovat-002"</t>
  </si>
  <si>
    <t xml:space="preserve">"pinkat-si-001"</t>
  </si>
  <si>
    <t xml:space="preserve">"piplat-001"</t>
  </si>
  <si>
    <t xml:space="preserve">"pitvat-001"</t>
  </si>
  <si>
    <t xml:space="preserve">"pitvat-002"</t>
  </si>
  <si>
    <t xml:space="preserve">"pitvořit-se-001"</t>
  </si>
  <si>
    <t xml:space="preserve">Attitudal(ARG0/2), Perceiver(ARG1/1)</t>
  </si>
  <si>
    <t xml:space="preserve">PAT-&gt;Perceiver(ARG1/1)</t>
  </si>
  <si>
    <t xml:space="preserve">"plachtit-001"</t>
  </si>
  <si>
    <t xml:space="preserve">"plachtit-002"</t>
  </si>
  <si>
    <t xml:space="preserve">"plahočit-se-001"</t>
  </si>
  <si>
    <t xml:space="preserve">"plakat-001"</t>
  </si>
  <si>
    <t xml:space="preserve">"plakat-002"</t>
  </si>
  <si>
    <t xml:space="preserve">DPHR: na-1[hrob.S6[špatný.#]]</t>
  </si>
  <si>
    <t xml:space="preserve">"plandat-001"</t>
  </si>
  <si>
    <t xml:space="preserve">"planout-001"</t>
  </si>
  <si>
    <t xml:space="preserve">"planout-002"</t>
  </si>
  <si>
    <t xml:space="preserve">"platit-001"</t>
  </si>
  <si>
    <t xml:space="preserve">"platit-002"</t>
  </si>
  <si>
    <t xml:space="preserve">"platit-003"</t>
  </si>
  <si>
    <t xml:space="preserve">"platit-004"</t>
  </si>
  <si>
    <t xml:space="preserve">ACT-&gt;ARG0/378,ARG1/4,ARG2/8</t>
  </si>
  <si>
    <t xml:space="preserve">PAT-&gt;ARG0/1,ARG1/110,ARG2/145,ARG3/4</t>
  </si>
  <si>
    <t xml:space="preserve">"platit-005"</t>
  </si>
  <si>
    <t xml:space="preserve">"platit-006"</t>
  </si>
  <si>
    <t xml:space="preserve">"platit-007"</t>
  </si>
  <si>
    <t xml:space="preserve">"platit-008"</t>
  </si>
  <si>
    <t xml:space="preserve">EXT-&gt;ARG1/987,ARG2/42,ARG3/46</t>
  </si>
  <si>
    <t xml:space="preserve">EXT-&gt;Money</t>
  </si>
  <si>
    <t xml:space="preserve">EXT-&gt;Money(ARG1/459,ARG2/29,ARG3/20)</t>
  </si>
  <si>
    <t xml:space="preserve">"platit-009"</t>
  </si>
  <si>
    <t xml:space="preserve">Entity(ARG1/61), Affected()</t>
  </si>
  <si>
    <t xml:space="preserve">ACT-&gt;Entity(ARG1/61)</t>
  </si>
  <si>
    <t xml:space="preserve">"platívat-001"</t>
  </si>
  <si>
    <t xml:space="preserve">"plavat-001"</t>
  </si>
  <si>
    <t xml:space="preserve">"plavat-002"</t>
  </si>
  <si>
    <t xml:space="preserve">Mover(ARG0/2)</t>
  </si>
  <si>
    <t xml:space="preserve">ACT-&gt;Mover(ARG0/2)</t>
  </si>
  <si>
    <t xml:space="preserve">"plavat-003"</t>
  </si>
  <si>
    <t xml:space="preserve">"plavat-004"</t>
  </si>
  <si>
    <t xml:space="preserve">"plavit-se-001"</t>
  </si>
  <si>
    <t xml:space="preserve">Mover(ARG0/8)</t>
  </si>
  <si>
    <t xml:space="preserve">"plazit-se-001"</t>
  </si>
  <si>
    <t xml:space="preserve">Mover(ARG0/13), Area_2(), Area_1()</t>
  </si>
  <si>
    <t xml:space="preserve">ACT-&gt;Mover(ARG0/13)</t>
  </si>
  <si>
    <t xml:space="preserve">"plašit-001"</t>
  </si>
  <si>
    <t xml:space="preserve">"plašit-se-001"</t>
  </si>
  <si>
    <t xml:space="preserve">"plenit-001"</t>
  </si>
  <si>
    <t xml:space="preserve">"plesknout-001"</t>
  </si>
  <si>
    <t xml:space="preserve">"plešatět-001"</t>
  </si>
  <si>
    <t xml:space="preserve">"plivat-001"</t>
  </si>
  <si>
    <t xml:space="preserve">"plivnout-001"</t>
  </si>
  <si>
    <t xml:space="preserve">"plnit-001"</t>
  </si>
  <si>
    <t xml:space="preserve">"plnit-002"</t>
  </si>
  <si>
    <t xml:space="preserve">ACT-&gt;ARG0/341,ARG1/20,ARG3/1</t>
  </si>
  <si>
    <t xml:space="preserve">PAT-&gt;ARG1/519,ARG2/20</t>
  </si>
  <si>
    <t xml:space="preserve">"plnit-si-001"</t>
  </si>
  <si>
    <t xml:space="preserve">"plodit-001"</t>
  </si>
  <si>
    <t xml:space="preserve">"plodit-002"</t>
  </si>
  <si>
    <t xml:space="preserve">"plodit-003"</t>
  </si>
  <si>
    <t xml:space="preserve">"plout-001"</t>
  </si>
  <si>
    <t xml:space="preserve">"plout-002"</t>
  </si>
  <si>
    <t xml:space="preserve">"ploužit-se-001"</t>
  </si>
  <si>
    <t xml:space="preserve">"plužit-001"</t>
  </si>
  <si>
    <t xml:space="preserve">"plynout-001"</t>
  </si>
  <si>
    <t xml:space="preserve">"plynout-002"</t>
  </si>
  <si>
    <t xml:space="preserve">"plynout-003"</t>
  </si>
  <si>
    <t xml:space="preserve">"plynovat-001"</t>
  </si>
  <si>
    <t xml:space="preserve">"plácat-001"</t>
  </si>
  <si>
    <t xml:space="preserve">PAT: .7,s+7</t>
  </si>
  <si>
    <t xml:space="preserve">"plácat-se-001"</t>
  </si>
  <si>
    <t xml:space="preserve">"plácnout-001"</t>
  </si>
  <si>
    <t xml:space="preserve">Assailant(ARG0/3), Affected(ARG1/6)</t>
  </si>
  <si>
    <t xml:space="preserve">"plácnout-002"</t>
  </si>
  <si>
    <t xml:space="preserve">"plácnout-003"</t>
  </si>
  <si>
    <t xml:space="preserve">"plánovat-001"</t>
  </si>
  <si>
    <t xml:space="preserve">PAT: 4; ↓že; ↓c; .f; .s; .v</t>
  </si>
  <si>
    <t xml:space="preserve">"plédovat-001"</t>
  </si>
  <si>
    <t xml:space="preserve">"plést-001"</t>
  </si>
  <si>
    <t xml:space="preserve">EFF: s+7; za+4</t>
  </si>
  <si>
    <t xml:space="preserve">"plést-002"</t>
  </si>
  <si>
    <t xml:space="preserve">"plést-003"</t>
  </si>
  <si>
    <t xml:space="preserve">"plést-004"</t>
  </si>
  <si>
    <t xml:space="preserve">"plést-se-001"</t>
  </si>
  <si>
    <t xml:space="preserve">"plést-se-002"</t>
  </si>
  <si>
    <t xml:space="preserve">"plést-se-003"</t>
  </si>
  <si>
    <t xml:space="preserve">"plést-se-004"</t>
  </si>
  <si>
    <t xml:space="preserve">"plést-si-001"</t>
  </si>
  <si>
    <t xml:space="preserve">Confuser(ARG1/2), Entity_1(ARG2/4), Entity_2(ARG2/3)</t>
  </si>
  <si>
    <t xml:space="preserve">ACT-&gt;Confuser</t>
  </si>
  <si>
    <t xml:space="preserve">ACT-&gt;Confuser(ARG1/2)</t>
  </si>
  <si>
    <t xml:space="preserve">PAT-&gt;ARG2/4</t>
  </si>
  <si>
    <t xml:space="preserve">PAT-&gt;Entity_1(ARG2/4)</t>
  </si>
  <si>
    <t xml:space="preserve">EFF-&gt;ARG2/3</t>
  </si>
  <si>
    <t xml:space="preserve">EFF-&gt;Entity_2(ARG2/3)</t>
  </si>
  <si>
    <t xml:space="preserve">"plést-si-002"</t>
  </si>
  <si>
    <t xml:space="preserve">"plísnit-001"</t>
  </si>
  <si>
    <t xml:space="preserve">"plít-001"</t>
  </si>
  <si>
    <t xml:space="preserve">"plížit-se-001"</t>
  </si>
  <si>
    <t xml:space="preserve">"plýtvat-001"</t>
  </si>
  <si>
    <t xml:space="preserve">Wasting(ARG0/16), Wasted(ARG1/23)</t>
  </si>
  <si>
    <t xml:space="preserve">ACT-&gt;Wasting</t>
  </si>
  <si>
    <t xml:space="preserve">ACT-&gt;Wasting(ARG0/16)</t>
  </si>
  <si>
    <t xml:space="preserve">PAT-&gt;Wasted</t>
  </si>
  <si>
    <t xml:space="preserve">PAT-&gt;Wasted(ARG1/23)</t>
  </si>
  <si>
    <t xml:space="preserve">"pobabit-se-001"</t>
  </si>
  <si>
    <t xml:space="preserve">"pobalit-001"</t>
  </si>
  <si>
    <t xml:space="preserve">"pobavit-001"</t>
  </si>
  <si>
    <t xml:space="preserve">Stimulus(ARG0/2), Experiencer(ARG1/1)</t>
  </si>
  <si>
    <t xml:space="preserve">PAT-&gt;Experiencer(ARG1/1)</t>
  </si>
  <si>
    <t xml:space="preserve">"pobavit-se-001"</t>
  </si>
  <si>
    <t xml:space="preserve">"poblahopřát-001"</t>
  </si>
  <si>
    <t xml:space="preserve">"pobláznit-001"</t>
  </si>
  <si>
    <t xml:space="preserve">"pobodat-001"</t>
  </si>
  <si>
    <t xml:space="preserve">"pobouřit-001"</t>
  </si>
  <si>
    <t xml:space="preserve">Stimulus(ARG0/2), Affected(ARG1/3)</t>
  </si>
  <si>
    <t xml:space="preserve">"pobrat-001"</t>
  </si>
  <si>
    <t xml:space="preserve">"pobrat-002"</t>
  </si>
  <si>
    <t xml:space="preserve">"pobrat-003"</t>
  </si>
  <si>
    <t xml:space="preserve">"pobrat-004"</t>
  </si>
  <si>
    <t xml:space="preserve">"pobrukovat-si-001"</t>
  </si>
  <si>
    <t xml:space="preserve">EFF-&gt;ARG1/11</t>
  </si>
  <si>
    <t xml:space="preserve">EFF-&gt;Information(ARG1/11)</t>
  </si>
  <si>
    <t xml:space="preserve">"pobuřovat-001"</t>
  </si>
  <si>
    <t xml:space="preserve">"pobídnout-001"</t>
  </si>
  <si>
    <t xml:space="preserve">PAT: k+3; ↓aby; .f; .s</t>
  </si>
  <si>
    <t xml:space="preserve">PAT-&gt;ARG1/16,ARG2/31</t>
  </si>
  <si>
    <t xml:space="preserve">PAT-&gt;Goal(ARG1/16,ARG2/31)</t>
  </si>
  <si>
    <t xml:space="preserve">ADDR-&gt;ARG1/32,ARG2/5</t>
  </si>
  <si>
    <t xml:space="preserve">ADDR-&gt;Impactee(ARG1/32,ARG2/5)</t>
  </si>
  <si>
    <t xml:space="preserve">"pobíhat-001"</t>
  </si>
  <si>
    <t xml:space="preserve">"pobírat-001"</t>
  </si>
  <si>
    <t xml:space="preserve">"pobít-001"</t>
  </si>
  <si>
    <t xml:space="preserve">"pobít-002"</t>
  </si>
  <si>
    <t xml:space="preserve">"pobít-003"</t>
  </si>
  <si>
    <t xml:space="preserve">"pobízet-001"</t>
  </si>
  <si>
    <t xml:space="preserve">PAT: k+3; ↓aby; na+4; .f</t>
  </si>
  <si>
    <t xml:space="preserve">"pobýt-001"</t>
  </si>
  <si>
    <t xml:space="preserve">"pobýt-002"</t>
  </si>
  <si>
    <t xml:space="preserve">"pobývat-001"</t>
  </si>
  <si>
    <t xml:space="preserve">"pochlubit-se-001"</t>
  </si>
  <si>
    <t xml:space="preserve">PAT: 7; ↓že; .s; s+7</t>
  </si>
  <si>
    <t xml:space="preserve">"pochodit-001"</t>
  </si>
  <si>
    <t xml:space="preserve">"pochodit-002"</t>
  </si>
  <si>
    <t xml:space="preserve">"pochodit-003"</t>
  </si>
  <si>
    <t xml:space="preserve">"pochodovat-001"</t>
  </si>
  <si>
    <t xml:space="preserve">"pochopit-001"</t>
  </si>
  <si>
    <t xml:space="preserve">PAT: 4; ↓že; ↓zda; ↓c; .v</t>
  </si>
  <si>
    <t xml:space="preserve">"pochovat-001"</t>
  </si>
  <si>
    <t xml:space="preserve">"pochovat-002"</t>
  </si>
  <si>
    <t xml:space="preserve">"pochovávat-001"</t>
  </si>
  <si>
    <t xml:space="preserve">"pochroumat-001"</t>
  </si>
  <si>
    <t xml:space="preserve">"pochutnat-si-001"</t>
  </si>
  <si>
    <t xml:space="preserve">"pochutnávat-si-001"</t>
  </si>
  <si>
    <t xml:space="preserve">"pochvalovat-si-001"</t>
  </si>
  <si>
    <t xml:space="preserve">"pochválit-001"</t>
  </si>
  <si>
    <t xml:space="preserve">"pochybit-001"</t>
  </si>
  <si>
    <t xml:space="preserve">"pochybovat-001"</t>
  </si>
  <si>
    <t xml:space="preserve">PAT: o+6; ↓že; ↓zda; ↓jestli; ↓c; .s</t>
  </si>
  <si>
    <t xml:space="preserve">"pochytat-001"</t>
  </si>
  <si>
    <t xml:space="preserve">"pochytit-001"</t>
  </si>
  <si>
    <t xml:space="preserve">"pochytit-002"</t>
  </si>
  <si>
    <t xml:space="preserve">"pocházet-001"</t>
  </si>
  <si>
    <t xml:space="preserve">Entity(ARG1/104,ARG2/22), Source(ARG0/2,ARG1/50,ARG2/84)</t>
  </si>
  <si>
    <t xml:space="preserve">ACT-&gt;ARG1/104,ARG2/22</t>
  </si>
  <si>
    <t xml:space="preserve">ACT-&gt;Entity(ARG1/104,ARG2/22)</t>
  </si>
  <si>
    <t xml:space="preserve">PAT-&gt;ARG0/2,ARG1/50,ARG2/84</t>
  </si>
  <si>
    <t xml:space="preserve">PAT-&gt;Source(ARG0/2,ARG1/50,ARG2/84)</t>
  </si>
  <si>
    <t xml:space="preserve">"pocházet-002"</t>
  </si>
  <si>
    <t xml:space="preserve">Entity(ARG0/1,ARG1/57), Origin()</t>
  </si>
  <si>
    <t xml:space="preserve">ACT-&gt;ARG0/1,ARG1/57</t>
  </si>
  <si>
    <t xml:space="preserve">ACT-&gt;Entity(ARG0/1,ARG1/57)</t>
  </si>
  <si>
    <t xml:space="preserve">DIR1[from]-&gt;Origin</t>
  </si>
  <si>
    <t xml:space="preserve">DIR1[from]-&gt;Origin()</t>
  </si>
  <si>
    <t xml:space="preserve">"pocházet-003"</t>
  </si>
  <si>
    <t xml:space="preserve">TFRWH: *</t>
  </si>
  <si>
    <t xml:space="preserve">TFRWH-&gt;ARG2/13</t>
  </si>
  <si>
    <t xml:space="preserve">TFRWH-&gt;Origin</t>
  </si>
  <si>
    <t xml:space="preserve">TFRWH-&gt;Origin(ARG2/13)</t>
  </si>
  <si>
    <t xml:space="preserve">"pociťovat-001"</t>
  </si>
  <si>
    <t xml:space="preserve">EFF: 4[{jako,jakožto}:/AuxY]; .a4[{jako,jakožto}:/AuxY]; za+4</t>
  </si>
  <si>
    <t xml:space="preserve">"pociťovat-002"</t>
  </si>
  <si>
    <t xml:space="preserve">"pociťovat-003"</t>
  </si>
  <si>
    <t xml:space="preserve">"pociťovat-004"</t>
  </si>
  <si>
    <t xml:space="preserve">CPHR: {averze,nutkání,potřeba,tlak,...}.4</t>
  </si>
  <si>
    <t xml:space="preserve">"poctít-001"</t>
  </si>
  <si>
    <t xml:space="preserve">"pocítit-001"</t>
  </si>
  <si>
    <t xml:space="preserve">"pocítit-002"</t>
  </si>
  <si>
    <t xml:space="preserve">CPHR: {nutkání,potřeba,radost,strach,vina,...}.4</t>
  </si>
  <si>
    <t xml:space="preserve">"pocítit-003"</t>
  </si>
  <si>
    <t xml:space="preserve">CPHR: {dopad,oživení,poptávka,...}.4</t>
  </si>
  <si>
    <t xml:space="preserve">"pocítit-004"</t>
  </si>
  <si>
    <t xml:space="preserve">?DPHR: na-1[kůže:S4[vlastní-1:#]]</t>
  </si>
  <si>
    <t xml:space="preserve">"podarovat-001"</t>
  </si>
  <si>
    <t xml:space="preserve">"podat-001"</t>
  </si>
  <si>
    <t xml:space="preserve">Speaker(ARG0/20), Information(ARG1/37), Audience_Addressee(ARG2/24)</t>
  </si>
  <si>
    <t xml:space="preserve">ACT-&gt;Speaker(ARG0/20)</t>
  </si>
  <si>
    <t xml:space="preserve">ADDR-&gt;ARG2/24</t>
  </si>
  <si>
    <t xml:space="preserve">ADDR-&gt;Audience_Addressee(ARG2/24)</t>
  </si>
  <si>
    <t xml:space="preserve">"podat-002"</t>
  </si>
  <si>
    <t xml:space="preserve">"podat-003"</t>
  </si>
  <si>
    <t xml:space="preserve">"podat-004"</t>
  </si>
  <si>
    <t xml:space="preserve">"podat-005"</t>
  </si>
  <si>
    <t xml:space="preserve">"podat-006"</t>
  </si>
  <si>
    <t xml:space="preserve">"podat-007"</t>
  </si>
  <si>
    <t xml:space="preserve">"podat-008"</t>
  </si>
  <si>
    <t xml:space="preserve">CPHR: {důkaz,hlášení,informace,komentář,nabídka,námitka,návod,návrh,obvinění,obžaloba,odvolání,oznámení,podnět,pokyn,protest,protest,protižaloba,protižaloba,přhláška,příkaz,registrace,stížnost,svědectví,výpověď,vysvětlení,zpráva,žádost,žaloba,...}.4</t>
  </si>
  <si>
    <t xml:space="preserve">ACT-&gt;ARG0/1041,ARG1/5,ARG2/4</t>
  </si>
  <si>
    <t xml:space="preserve">CPHR-&gt;ARG1/1372,ARG2/134,ARG3/1</t>
  </si>
  <si>
    <t xml:space="preserve">CPHR-&gt;Required</t>
  </si>
  <si>
    <t xml:space="preserve">CPHR-&gt;Required(ARG1/605,ARG2/81)</t>
  </si>
  <si>
    <t xml:space="preserve">ADDR-&gt;ARG1/85,ARG2/356,ARG3/86</t>
  </si>
  <si>
    <t xml:space="preserve">ADDR-&gt;Impactee(ARG1/75,ARG2/180)</t>
  </si>
  <si>
    <t xml:space="preserve">"podat-009"</t>
  </si>
  <si>
    <t xml:space="preserve">CPHR: {důkaz,informace,námitka,návrh,obvinění,obžaloba,odpověď,oznámení,podnět,protest,protest,protižaloba,příkaz,registrace,stížnost,výpověď,zpráva,žádost,žaloba,...}.4</t>
  </si>
  <si>
    <t xml:space="preserve">LOC-&gt;ARG1/85,ARG2/356,ARG3/86</t>
  </si>
  <si>
    <t xml:space="preserve">LOC-&gt;Recipient</t>
  </si>
  <si>
    <t xml:space="preserve">LOC-&gt;Recipient(ARG1/10,ARG2/176,ARG3/86)</t>
  </si>
  <si>
    <t xml:space="preserve">LOC-&gt;Impactee</t>
  </si>
  <si>
    <t xml:space="preserve">LOC-&gt;Impactee(ARG1/75,ARG2/180)</t>
  </si>
  <si>
    <t xml:space="preserve">"podat-010"</t>
  </si>
  <si>
    <t xml:space="preserve">CPHR: {důkaz,informace,námitka,návrh,odvolání,oznámení,podnět,protest,protižaloba,příkaz,registrace,stížnost,výpověď,zpráva,žádost,žaloba,...}.4</t>
  </si>
  <si>
    <t xml:space="preserve">"podat-011"</t>
  </si>
  <si>
    <t xml:space="preserve">CPHR: {demise,odvolání,...}</t>
  </si>
  <si>
    <t xml:space="preserve">"podat-012"</t>
  </si>
  <si>
    <t xml:space="preserve">CPHR: {výkon,...}.4</t>
  </si>
  <si>
    <t xml:space="preserve">"podat-si-001"</t>
  </si>
  <si>
    <t xml:space="preserve">"podat-si-002"</t>
  </si>
  <si>
    <t xml:space="preserve">DPHR: ruka.4</t>
  </si>
  <si>
    <t xml:space="preserve">"podařit-se-001"</t>
  </si>
  <si>
    <t xml:space="preserve">ACT-&gt;ARG0/594,ARG1/156</t>
  </si>
  <si>
    <t xml:space="preserve">PAT: 1; ↓že; ↓aby; .f</t>
  </si>
  <si>
    <t xml:space="preserve">PAT-&gt;ARG0/2,ARG1/838,ARG2/144</t>
  </si>
  <si>
    <t xml:space="preserve">"podbarvit-001"</t>
  </si>
  <si>
    <t xml:space="preserve">"podbíjet-001"</t>
  </si>
  <si>
    <t xml:space="preserve">"podbízet-se-001"</t>
  </si>
  <si>
    <t xml:space="preserve">"podcenit-001"</t>
  </si>
  <si>
    <t xml:space="preserve">"podceňovat-001"</t>
  </si>
  <si>
    <t xml:space="preserve">"podchytit-001"</t>
  </si>
  <si>
    <t xml:space="preserve">"poddat-se-001"</t>
  </si>
  <si>
    <t xml:space="preserve">"poddávat-se-001"</t>
  </si>
  <si>
    <t xml:space="preserve">"podebatovat-001"</t>
  </si>
  <si>
    <t xml:space="preserve">"podepisovat-001"</t>
  </si>
  <si>
    <t xml:space="preserve">"podepisovat-002"</t>
  </si>
  <si>
    <t xml:space="preserve">"podepisovat-se-001"</t>
  </si>
  <si>
    <t xml:space="preserve">"podepsat-001"</t>
  </si>
  <si>
    <t xml:space="preserve">"podepsat-002"</t>
  </si>
  <si>
    <t xml:space="preserve">Representing(ARG0/155), Represented(ARG1/221)</t>
  </si>
  <si>
    <t xml:space="preserve">ACT-&gt;ARG0/155</t>
  </si>
  <si>
    <t xml:space="preserve">ACT-&gt;Representing</t>
  </si>
  <si>
    <t xml:space="preserve">ACT-&gt;Representing(ARG0/155)</t>
  </si>
  <si>
    <t xml:space="preserve">PAT-&gt;ARG1/221</t>
  </si>
  <si>
    <t xml:space="preserve">PAT-&gt;Represented</t>
  </si>
  <si>
    <t xml:space="preserve">PAT-&gt;Represented(ARG1/221)</t>
  </si>
  <si>
    <t xml:space="preserve">"podepsat-se-001"</t>
  </si>
  <si>
    <t xml:space="preserve">"podepřít-001"</t>
  </si>
  <si>
    <t xml:space="preserve">"podepřít-002"</t>
  </si>
  <si>
    <t xml:space="preserve">"podestlat-001"</t>
  </si>
  <si>
    <t xml:space="preserve">"podestlat-002"</t>
  </si>
  <si>
    <t xml:space="preserve">"podezírat-001"</t>
  </si>
  <si>
    <t xml:space="preserve">"podezřívat-001"</t>
  </si>
  <si>
    <t xml:space="preserve">"podhlodat-001"</t>
  </si>
  <si>
    <t xml:space="preserve">"podhodnocovat-001"</t>
  </si>
  <si>
    <t xml:space="preserve">Assessor(ARG0/10), Valued(ARG1/24), Difference(ARG2/3)</t>
  </si>
  <si>
    <t xml:space="preserve">ACT-&gt;Assessor(ARG0/10)</t>
  </si>
  <si>
    <t xml:space="preserve">PAT-&gt;Valued(ARG1/24)</t>
  </si>
  <si>
    <t xml:space="preserve">"podhodnotit-001"</t>
  </si>
  <si>
    <t xml:space="preserve">"podivit-se-001"</t>
  </si>
  <si>
    <t xml:space="preserve">PAT: 3; nad+7; ↓že; ↓zda; ↓jestli; ↓c</t>
  </si>
  <si>
    <t xml:space="preserve">"podivovat-se-001"</t>
  </si>
  <si>
    <t xml:space="preserve">"podjet-001"</t>
  </si>
  <si>
    <t xml:space="preserve">"podjet-002"</t>
  </si>
  <si>
    <t xml:space="preserve">"podkluzovat-001"</t>
  </si>
  <si>
    <t xml:space="preserve">"podkládat-001"</t>
  </si>
  <si>
    <t xml:space="preserve">Attributor(ARG0/92), Attribute(ARG1/94,ARG2/8), Recipient(ARG1/4,ARG2/124)</t>
  </si>
  <si>
    <t xml:space="preserve">ACT-&gt;Attributor</t>
  </si>
  <si>
    <t xml:space="preserve">ACT-&gt;Attributor(ARG0/92)</t>
  </si>
  <si>
    <t xml:space="preserve">PAT-&gt;ARG1/94,ARG2/8</t>
  </si>
  <si>
    <t xml:space="preserve">PAT-&gt;Attribute(ARG1/94,ARG2/8)</t>
  </si>
  <si>
    <t xml:space="preserve">ADDR-&gt;ARG1/4,ARG2/124</t>
  </si>
  <si>
    <t xml:space="preserve">ADDR-&gt;Recipient(ARG1/4,ARG2/124)</t>
  </si>
  <si>
    <t xml:space="preserve">"podkládat-002"</t>
  </si>
  <si>
    <t xml:space="preserve">"podkopat-001"</t>
  </si>
  <si>
    <t xml:space="preserve">ACT-&gt;ARG0/187,ARG2/83</t>
  </si>
  <si>
    <t xml:space="preserve">"podkopávat-001"</t>
  </si>
  <si>
    <t xml:space="preserve">"podlamovat-se-001"</t>
  </si>
  <si>
    <t xml:space="preserve">"podlehnout-001"</t>
  </si>
  <si>
    <t xml:space="preserve">"podlehnout-002"</t>
  </si>
  <si>
    <t xml:space="preserve">Capitulator(), Force()</t>
  </si>
  <si>
    <t xml:space="preserve">ACT-&gt;Capitulator()</t>
  </si>
  <si>
    <t xml:space="preserve">PAT-&gt;Force()</t>
  </si>
  <si>
    <t xml:space="preserve">"podlomit-001"</t>
  </si>
  <si>
    <t xml:space="preserve">"podložit-001"</t>
  </si>
  <si>
    <t xml:space="preserve">"podložit-002"</t>
  </si>
  <si>
    <t xml:space="preserve">"podléhat-001"</t>
  </si>
  <si>
    <t xml:space="preserve">"podléhat-002"</t>
  </si>
  <si>
    <t xml:space="preserve">"podlézat-001"</t>
  </si>
  <si>
    <t xml:space="preserve">ACT-&gt;ARG0/7,ARG1/1</t>
  </si>
  <si>
    <t xml:space="preserve">PAT-&gt;ARG1/10,ARG2/3</t>
  </si>
  <si>
    <t xml:space="preserve">"podlézt-001"</t>
  </si>
  <si>
    <t xml:space="preserve">"podmalovávat-001"</t>
  </si>
  <si>
    <t xml:space="preserve">"podmanit-si-001"</t>
  </si>
  <si>
    <t xml:space="preserve">"podmaňovat-si-001"</t>
  </si>
  <si>
    <t xml:space="preserve">"podminovat-001"</t>
  </si>
  <si>
    <t xml:space="preserve">"podmiňovat-001"</t>
  </si>
  <si>
    <t xml:space="preserve">Authority(), Condition(ARG2/2), Event(ARG1/2)</t>
  </si>
  <si>
    <t xml:space="preserve">PAT-&gt;Event(ARG1/2)</t>
  </si>
  <si>
    <t xml:space="preserve">EFF-&gt;Condition</t>
  </si>
  <si>
    <t xml:space="preserve">EFF-&gt;Condition(ARG2/2)</t>
  </si>
  <si>
    <t xml:space="preserve">"podmiňovat-002"</t>
  </si>
  <si>
    <t xml:space="preserve">"podmínit-001"</t>
  </si>
  <si>
    <t xml:space="preserve">"podmínit-002"</t>
  </si>
  <si>
    <t xml:space="preserve">"podnikat-001"</t>
  </si>
  <si>
    <t xml:space="preserve">"podnikat-002"</t>
  </si>
  <si>
    <t xml:space="preserve">ACT-&gt;ARG0/314,ARG1/64</t>
  </si>
  <si>
    <t xml:space="preserve">"podnikat-003"</t>
  </si>
  <si>
    <t xml:space="preserve">ACT-&gt;ARG0/186</t>
  </si>
  <si>
    <t xml:space="preserve">CPHR: {krok,opatření,...}.4</t>
  </si>
  <si>
    <t xml:space="preserve">CPHR-&gt;ARG1/357</t>
  </si>
  <si>
    <t xml:space="preserve">"podnikat-004"</t>
  </si>
  <si>
    <t xml:space="preserve">CPHR: {túra,výlet}.4</t>
  </si>
  <si>
    <t xml:space="preserve">"podniknout-001"</t>
  </si>
  <si>
    <t xml:space="preserve">Agent(ARG0/61), Focused(ARG1/80), Deed(ARG1/6,ARG2/34,ARG3/1)</t>
  </si>
  <si>
    <t xml:space="preserve">ACT-&gt;ARG0/270</t>
  </si>
  <si>
    <t xml:space="preserve">ACT-&gt;Agent(ARG0/61)</t>
  </si>
  <si>
    <t xml:space="preserve">PAT-&gt;ARG1/475</t>
  </si>
  <si>
    <t xml:space="preserve">PAT-&gt;Focused(ARG1/80)</t>
  </si>
  <si>
    <t xml:space="preserve">PAT-&gt;Goal(ARG1/357)</t>
  </si>
  <si>
    <t xml:space="preserve">"podniknout-002"</t>
  </si>
  <si>
    <t xml:space="preserve">CPHR: {cesta,invaze,mise,nájezd,obsazení,útok,výlet,výprava,zájezd,...}.4</t>
  </si>
  <si>
    <t xml:space="preserve">"podniknout-003"</t>
  </si>
  <si>
    <t xml:space="preserve">CPHR: {aktivita,krok,opatření,operace,pokus,restrukturalizace,...}.4</t>
  </si>
  <si>
    <t xml:space="preserve">"podnítit-001"</t>
  </si>
  <si>
    <t xml:space="preserve">PAT: k+3; proti+3,aby[.v]</t>
  </si>
  <si>
    <t xml:space="preserve">"podnítit-002"</t>
  </si>
  <si>
    <t xml:space="preserve">"podnítit-003"</t>
  </si>
  <si>
    <t xml:space="preserve">"podněcovat-001"</t>
  </si>
  <si>
    <t xml:space="preserve">PAT: k+3; ↓aby</t>
  </si>
  <si>
    <t xml:space="preserve">"podněcovat-002"</t>
  </si>
  <si>
    <t xml:space="preserve">"podobat-se-001"</t>
  </si>
  <si>
    <t xml:space="preserve">"podojit-001"</t>
  </si>
  <si>
    <t xml:space="preserve">"podotknout-001"</t>
  </si>
  <si>
    <t xml:space="preserve">ACT-&gt;ARG0/215</t>
  </si>
  <si>
    <t xml:space="preserve">EFF: 4; ↓že; ↓zda; ↓aby; ↓ať; .s; ↓c</t>
  </si>
  <si>
    <t xml:space="preserve">EFF-&gt;ARG1/245</t>
  </si>
  <si>
    <t xml:space="preserve">?PAT: o+6; k+3</t>
  </si>
  <si>
    <t xml:space="preserve">PAT-&gt;ARG1/245</t>
  </si>
  <si>
    <t xml:space="preserve">"podotýkat-001"</t>
  </si>
  <si>
    <t xml:space="preserve">"podpisovat-001"</t>
  </si>
  <si>
    <t xml:space="preserve">"podpisovat-002"</t>
  </si>
  <si>
    <t xml:space="preserve">"podpisovat-se-001"</t>
  </si>
  <si>
    <t xml:space="preserve">"podpisovat-se-002"</t>
  </si>
  <si>
    <t xml:space="preserve">"podplatit-001"</t>
  </si>
  <si>
    <t xml:space="preserve">Payer(ARG0/8), Payee(ARG1/12)</t>
  </si>
  <si>
    <t xml:space="preserve">ACT-&gt;Payer(ARG0/8)</t>
  </si>
  <si>
    <t xml:space="preserve">PAT-&gt;Payee(ARG1/12)</t>
  </si>
  <si>
    <t xml:space="preserve">"podplácet-001"</t>
  </si>
  <si>
    <t xml:space="preserve">"podporovat-001"</t>
  </si>
  <si>
    <t xml:space="preserve">"podporovat-002"</t>
  </si>
  <si>
    <t xml:space="preserve">"podporovat-003"</t>
  </si>
  <si>
    <t xml:space="preserve">"podpořit-001"</t>
  </si>
  <si>
    <t xml:space="preserve">"podpořit-002"</t>
  </si>
  <si>
    <t xml:space="preserve">?PAT: v+6; ↓aby</t>
  </si>
  <si>
    <t xml:space="preserve">"podpírat-001"</t>
  </si>
  <si>
    <t xml:space="preserve">"podrazit-001"</t>
  </si>
  <si>
    <t xml:space="preserve">"podrazit-002"</t>
  </si>
  <si>
    <t xml:space="preserve">"podražit-001"</t>
  </si>
  <si>
    <t xml:space="preserve">"podrobit-001"</t>
  </si>
  <si>
    <t xml:space="preserve">Cause(ARG0/11), Influence(ARG1/16,ARG2/13), Affected(ARG1/10,ARG2/13)</t>
  </si>
  <si>
    <t xml:space="preserve">ACT-&gt;Cause(ARG0/11)</t>
  </si>
  <si>
    <t xml:space="preserve">PAT-&gt;ARG1/16,ARG2/13</t>
  </si>
  <si>
    <t xml:space="preserve">PAT-&gt;Influence</t>
  </si>
  <si>
    <t xml:space="preserve">PAT-&gt;Influence(ARG1/16,ARG2/13)</t>
  </si>
  <si>
    <t xml:space="preserve">ADDR-&gt;ARG1/10,ARG2/13</t>
  </si>
  <si>
    <t xml:space="preserve">ADDR-&gt;Affected(ARG1/10,ARG2/13)</t>
  </si>
  <si>
    <t xml:space="preserve">"podrobit-se-001"</t>
  </si>
  <si>
    <t xml:space="preserve">"podrobovat-001"</t>
  </si>
  <si>
    <t xml:space="preserve">"podrobovat-se-001"</t>
  </si>
  <si>
    <t xml:space="preserve">"podráždit-001"</t>
  </si>
  <si>
    <t xml:space="preserve">"podrýt-001"</t>
  </si>
  <si>
    <t xml:space="preserve">ACT-&gt;ARG0/315,ARG1/3,ARG2/121</t>
  </si>
  <si>
    <t xml:space="preserve">PAT-&gt;ARG1/579,ARG2/4</t>
  </si>
  <si>
    <t xml:space="preserve">"podrývat-001"</t>
  </si>
  <si>
    <t xml:space="preserve">"podržet-001"</t>
  </si>
  <si>
    <t xml:space="preserve">ACT-&gt;ARG0/415,ARG1/162</t>
  </si>
  <si>
    <t xml:space="preserve">PAT-&gt;ARG1/637</t>
  </si>
  <si>
    <t xml:space="preserve">"podržet-002"</t>
  </si>
  <si>
    <t xml:space="preserve">"podsekat-001"</t>
  </si>
  <si>
    <t xml:space="preserve">"podsouvat-001"</t>
  </si>
  <si>
    <t xml:space="preserve">Agent(ARG0/135,ARG1/1), Undesirable(ARG1/147,ARG2/56), Recipient(ARG1/7,ARG2/39)</t>
  </si>
  <si>
    <t xml:space="preserve">ACT-&gt;ARG0/135,ARG1/1</t>
  </si>
  <si>
    <t xml:space="preserve">ACT-&gt;Agent(ARG0/135,ARG1/1)</t>
  </si>
  <si>
    <t xml:space="preserve">PAT-&gt;ARG1/147,ARG2/56</t>
  </si>
  <si>
    <t xml:space="preserve">PAT-&gt;Undesirable(ARG1/147,ARG2/56)</t>
  </si>
  <si>
    <t xml:space="preserve">ADDR-&gt;ARG1/7,ARG2/39</t>
  </si>
  <si>
    <t xml:space="preserve">ADDR-&gt;Recipient(ARG1/7,ARG2/39)</t>
  </si>
  <si>
    <t xml:space="preserve">"podstoupit-001"</t>
  </si>
  <si>
    <t xml:space="preserve">Experiencer(ARG0/45,ARG1/10), Experience(ARG1/48,ARG2/10)</t>
  </si>
  <si>
    <t xml:space="preserve">ACT-&gt;ARG0/45,ARG1/10</t>
  </si>
  <si>
    <t xml:space="preserve">ACT-&gt;Experiencer(ARG0/45,ARG1/10)</t>
  </si>
  <si>
    <t xml:space="preserve">PAT-&gt;ARG1/48,ARG2/10</t>
  </si>
  <si>
    <t xml:space="preserve">PAT-&gt;Experience</t>
  </si>
  <si>
    <t xml:space="preserve">PAT-&gt;Experience(ARG1/48,ARG2/10)</t>
  </si>
  <si>
    <t xml:space="preserve">"podstrojovat-001"</t>
  </si>
  <si>
    <t xml:space="preserve">"podstrčit-001"</t>
  </si>
  <si>
    <t xml:space="preserve">"podstupovat-001"</t>
  </si>
  <si>
    <t xml:space="preserve">"podtrhnout-001"</t>
  </si>
  <si>
    <t xml:space="preserve">PAT: 4; ↓že; :s; ↓c</t>
  </si>
  <si>
    <t xml:space="preserve">PAT-&gt;ARG1/112</t>
  </si>
  <si>
    <t xml:space="preserve">PAT-&gt;Information(ARG1/112)</t>
  </si>
  <si>
    <t xml:space="preserve">"podtrhnout-002"</t>
  </si>
  <si>
    <t xml:space="preserve">"podtrhovat-001"</t>
  </si>
  <si>
    <t xml:space="preserve">"podtrhávat-001"</t>
  </si>
  <si>
    <t xml:space="preserve">"podtrhávat-002"</t>
  </si>
  <si>
    <t xml:space="preserve">"podupávat-001"</t>
  </si>
  <si>
    <t xml:space="preserve">"podupávat-si-001"</t>
  </si>
  <si>
    <t xml:space="preserve">"podvazovat-001"</t>
  </si>
  <si>
    <t xml:space="preserve">"podvolit-se-001"</t>
  </si>
  <si>
    <t xml:space="preserve">"podvolovat-se-001"</t>
  </si>
  <si>
    <t xml:space="preserve">"podvrhnout-001"</t>
  </si>
  <si>
    <t xml:space="preserve">"podvrhnout-002"</t>
  </si>
  <si>
    <t xml:space="preserve">"podvádět-001"</t>
  </si>
  <si>
    <t xml:space="preserve">"podvázat-001"</t>
  </si>
  <si>
    <t xml:space="preserve">"podvést-001"</t>
  </si>
  <si>
    <t xml:space="preserve">"podvést-002"</t>
  </si>
  <si>
    <t xml:space="preserve">"podávat-001"</t>
  </si>
  <si>
    <t xml:space="preserve">"podávat-002"</t>
  </si>
  <si>
    <t xml:space="preserve">"podávat-003"</t>
  </si>
  <si>
    <t xml:space="preserve">"podávat-004"</t>
  </si>
  <si>
    <t xml:space="preserve">"podávat-005"</t>
  </si>
  <si>
    <t xml:space="preserve">"podávat-006"</t>
  </si>
  <si>
    <t xml:space="preserve">"podávat-007"</t>
  </si>
  <si>
    <t xml:space="preserve">"podávat-008"</t>
  </si>
  <si>
    <t xml:space="preserve">ACT-&gt;ARG0/897,ARG1/2</t>
  </si>
  <si>
    <t xml:space="preserve">CPHR: {důkaz,hlášení,informace,nabídka,návod,návrh,odvolání,podnět,protest,příklad,stížnost,svědectví,výpověď,zpráva,žádost,žaloba,...}.4</t>
  </si>
  <si>
    <t xml:space="preserve">CPHR-&gt;ARG1/1133,ARG2/61,ARG3/1</t>
  </si>
  <si>
    <t xml:space="preserve">CPHR-&gt;Proposed</t>
  </si>
  <si>
    <t xml:space="preserve">CPHR-&gt;Proposed(ARG1/329,ARG2/8)</t>
  </si>
  <si>
    <t xml:space="preserve">CPHR-&gt;Information(ARG1/37)</t>
  </si>
  <si>
    <t xml:space="preserve">ADDR-&gt;ARG1/13,ARG2/216,ARG3/93</t>
  </si>
  <si>
    <t xml:space="preserve">"podávat-009"</t>
  </si>
  <si>
    <t xml:space="preserve">CPHR: {důkaz,informace,návrh,protest,stížnost,zpráva,žádost,žaloba,...}.4</t>
  </si>
  <si>
    <t xml:space="preserve">"podávat-010"</t>
  </si>
  <si>
    <t xml:space="preserve">CPHR: {důkaz,informace,návrh,podnět,protest,stížnost,zpráva,žádost,žaloba,...}.4</t>
  </si>
  <si>
    <t xml:space="preserve">"podávat-011"</t>
  </si>
  <si>
    <t xml:space="preserve">"podávat-012"</t>
  </si>
  <si>
    <t xml:space="preserve">"podávat-013"</t>
  </si>
  <si>
    <t xml:space="preserve">"podílet-se-001"</t>
  </si>
  <si>
    <t xml:space="preserve">ACT-&gt;ARG0/1318,ARG1/170,ARG2/19,ARG3/1</t>
  </si>
  <si>
    <t xml:space="preserve">PAT-&gt;ARG0/2,ARG1/1255,ARG2/391,ARG3/2</t>
  </si>
  <si>
    <t xml:space="preserve">PAT-&gt;Project(ARG1/120,ARG2/37,ARG3/1)</t>
  </si>
  <si>
    <t xml:space="preserve">"podít-se-001"</t>
  </si>
  <si>
    <t xml:space="preserve">"podívat-001"</t>
  </si>
  <si>
    <t xml:space="preserve">"podívat-se-001"</t>
  </si>
  <si>
    <t xml:space="preserve">"podívat-se-002"</t>
  </si>
  <si>
    <t xml:space="preserve">"podívat-se-003"</t>
  </si>
  <si>
    <t xml:space="preserve">"podívat-se-004"</t>
  </si>
  <si>
    <t xml:space="preserve">"podívat-se-005"</t>
  </si>
  <si>
    <t xml:space="preserve">"podívat-se-006"</t>
  </si>
  <si>
    <t xml:space="preserve">"podívat-se-007"</t>
  </si>
  <si>
    <t xml:space="preserve">PAT: na+4; ↓zda; ↓jestli</t>
  </si>
  <si>
    <t xml:space="preserve">"podívat-se-008"</t>
  </si>
  <si>
    <t xml:space="preserve">"podědit-001"</t>
  </si>
  <si>
    <t xml:space="preserve">"poděkovat-001"</t>
  </si>
  <si>
    <t xml:space="preserve">?PAT: za+4; ↓že; ↓c</t>
  </si>
  <si>
    <t xml:space="preserve">"poděkovat-se-001"</t>
  </si>
  <si>
    <t xml:space="preserve">"podělit-001"</t>
  </si>
  <si>
    <t xml:space="preserve">"podělit-002"</t>
  </si>
  <si>
    <t xml:space="preserve">"podělit-se-001"</t>
  </si>
  <si>
    <t xml:space="preserve">"poděsit-001"</t>
  </si>
  <si>
    <t xml:space="preserve">"podřadit-001"</t>
  </si>
  <si>
    <t xml:space="preserve">"podřezat-001"</t>
  </si>
  <si>
    <t xml:space="preserve">"podřezat-002"</t>
  </si>
  <si>
    <t xml:space="preserve">DPHR: se.3$2&lt;7&gt;,pod-1[se.7$2&lt;6&gt;],větev.S4</t>
  </si>
  <si>
    <t xml:space="preserve">"podřezávat-001"</t>
  </si>
  <si>
    <t xml:space="preserve">"podřimovat-001"</t>
  </si>
  <si>
    <t xml:space="preserve">"podřizovat-001"</t>
  </si>
  <si>
    <t xml:space="preserve">PAT-&gt;Subordinate</t>
  </si>
  <si>
    <t xml:space="preserve">PAT-&gt;Subordinate(ARG1/2)</t>
  </si>
  <si>
    <t xml:space="preserve">ADDR-&gt;Superior</t>
  </si>
  <si>
    <t xml:space="preserve">ADDR-&gt;Superior(ARG2/2)</t>
  </si>
  <si>
    <t xml:space="preserve">"podřizovat-se-001"</t>
  </si>
  <si>
    <t xml:space="preserve">"podřídit-001"</t>
  </si>
  <si>
    <t xml:space="preserve">"podřídit-se-001"</t>
  </si>
  <si>
    <t xml:space="preserve">"podříznout-001"</t>
  </si>
  <si>
    <t xml:space="preserve">"poflakovat-se-001"</t>
  </si>
  <si>
    <t xml:space="preserve">"pofoukat-001"</t>
  </si>
  <si>
    <t xml:space="preserve">"pogratulovat-001"</t>
  </si>
  <si>
    <t xml:space="preserve">"pohasnout-001"</t>
  </si>
  <si>
    <t xml:space="preserve">ACT-&gt;ARG0/14,ARG1/895,ARG2/4</t>
  </si>
  <si>
    <t xml:space="preserve">"pohladit-001"</t>
  </si>
  <si>
    <t xml:space="preserve">"pohladit-si-001"</t>
  </si>
  <si>
    <t xml:space="preserve">"pohlcovat-001"</t>
  </si>
  <si>
    <t xml:space="preserve">"pohledávat-001"</t>
  </si>
  <si>
    <t xml:space="preserve">"pohltit-001"</t>
  </si>
  <si>
    <t xml:space="preserve">Consumer(ARG0/328,ARG1/1), Resource(ARG1/641,ARG2/1)</t>
  </si>
  <si>
    <t xml:space="preserve">ACT-&gt;ARG0/353,ARG1/1</t>
  </si>
  <si>
    <t xml:space="preserve">ACT-&gt;Consumer</t>
  </si>
  <si>
    <t xml:space="preserve">ACT-&gt;Consumer(ARG0/328,ARG1/1)</t>
  </si>
  <si>
    <t xml:space="preserve">PAT-&gt;ARG1/679,ARG2/1</t>
  </si>
  <si>
    <t xml:space="preserve">PAT-&gt;Resource(ARG1/641,ARG2/1)</t>
  </si>
  <si>
    <t xml:space="preserve">"pohlédnout-001"</t>
  </si>
  <si>
    <t xml:space="preserve">"pohlédnout-002"</t>
  </si>
  <si>
    <t xml:space="preserve">"pohlídat-001"</t>
  </si>
  <si>
    <t xml:space="preserve">"pohlížet-001"</t>
  </si>
  <si>
    <t xml:space="preserve">EFF: na-1[.4[{jako,jakožto}:/AuxY]]; na-1[.a4[{jako,jakožto}:/AuxY]]</t>
  </si>
  <si>
    <t xml:space="preserve">"pohlížet-002"</t>
  </si>
  <si>
    <t xml:space="preserve">"pohlížet-003"</t>
  </si>
  <si>
    <t xml:space="preserve">"pohnat-001"</t>
  </si>
  <si>
    <t xml:space="preserve">"pohnat-002"</t>
  </si>
  <si>
    <t xml:space="preserve">"pohnout-001"</t>
  </si>
  <si>
    <t xml:space="preserve">"pohnout-se-001"</t>
  </si>
  <si>
    <t xml:space="preserve">"pohodit-001"</t>
  </si>
  <si>
    <t xml:space="preserve">"pohodnout-se-001"</t>
  </si>
  <si>
    <t xml:space="preserve">"pohoršit-001"</t>
  </si>
  <si>
    <t xml:space="preserve">"pohoršit-002"</t>
  </si>
  <si>
    <t xml:space="preserve">"pohoršit-si-001"</t>
  </si>
  <si>
    <t xml:space="preserve">"pohoršit-si-002"</t>
  </si>
  <si>
    <t xml:space="preserve">"pohostit-001"</t>
  </si>
  <si>
    <t xml:space="preserve">"pohovořit-001"</t>
  </si>
  <si>
    <t xml:space="preserve">?ADDR: k+3</t>
  </si>
  <si>
    <t xml:space="preserve">"pohovořit-002"</t>
  </si>
  <si>
    <t xml:space="preserve">"pohořet-001"</t>
  </si>
  <si>
    <t xml:space="preserve">"pohořet-002"</t>
  </si>
  <si>
    <t xml:space="preserve">"pohrabovat-001"</t>
  </si>
  <si>
    <t xml:space="preserve">"pohrdat-001"</t>
  </si>
  <si>
    <t xml:space="preserve">PAT-&gt;Affected(ARG1/11)</t>
  </si>
  <si>
    <t xml:space="preserve">"pohrdnout-001"</t>
  </si>
  <si>
    <t xml:space="preserve">"pohroužit-se-001"</t>
  </si>
  <si>
    <t xml:space="preserve">PAT: do+2; v+4</t>
  </si>
  <si>
    <t xml:space="preserve">"pohrozit-001"</t>
  </si>
  <si>
    <t xml:space="preserve">PAT: 7; ↓že; .s; ↓c</t>
  </si>
  <si>
    <t xml:space="preserve">"pohrát-si-001"</t>
  </si>
  <si>
    <t xml:space="preserve">"pohrávat-si-001"</t>
  </si>
  <si>
    <t xml:space="preserve">"pohupovat-001"</t>
  </si>
  <si>
    <t xml:space="preserve">"pohupovat-se-001"</t>
  </si>
  <si>
    <t xml:space="preserve">"pohvizdovat-si-001"</t>
  </si>
  <si>
    <t xml:space="preserve">?PAT: 4; .s</t>
  </si>
  <si>
    <t xml:space="preserve">"pohybovat-001"</t>
  </si>
  <si>
    <t xml:space="preserve">"pohybovat-se-001"</t>
  </si>
  <si>
    <t xml:space="preserve">LOC-&gt;ARG1/2,ARG2/305,ARG4/163</t>
  </si>
  <si>
    <t xml:space="preserve">LOC[State]-&gt;Rank</t>
  </si>
  <si>
    <t xml:space="preserve">LOC[State]-&gt;Rank(ARG1/2,ARG2/305,ARG4/163)</t>
  </si>
  <si>
    <t xml:space="preserve">"pohybovat-se-002"</t>
  </si>
  <si>
    <t xml:space="preserve">"pohybovat-se-003"</t>
  </si>
  <si>
    <t xml:space="preserve">Mover(), Obstacle()</t>
  </si>
  <si>
    <t xml:space="preserve">ACT-&gt;Mover()</t>
  </si>
  <si>
    <t xml:space="preserve">"pohybovat-se-004"</t>
  </si>
  <si>
    <t xml:space="preserve">"pohádat-se-001"</t>
  </si>
  <si>
    <t xml:space="preserve">"pohánět-001"</t>
  </si>
  <si>
    <t xml:space="preserve">"pohánět-002"</t>
  </si>
  <si>
    <t xml:space="preserve">PAT-&gt;ARG1/32,ARG2/5</t>
  </si>
  <si>
    <t xml:space="preserve">"pohřbít-001"</t>
  </si>
  <si>
    <t xml:space="preserve">"pohřbít-002"</t>
  </si>
  <si>
    <t xml:space="preserve">"pohřbívat-001"</t>
  </si>
  <si>
    <t xml:space="preserve">"pohřešovat-001"</t>
  </si>
  <si>
    <t xml:space="preserve">Missing(), Missed(ARG1/6)</t>
  </si>
  <si>
    <t xml:space="preserve">ACT-&gt;Missing</t>
  </si>
  <si>
    <t xml:space="preserve">ACT-&gt;Missing()</t>
  </si>
  <si>
    <t xml:space="preserve">PAT-&gt;Missed</t>
  </si>
  <si>
    <t xml:space="preserve">PAT-&gt;Missed(ARG1/6)</t>
  </si>
  <si>
    <t xml:space="preserve">"pojednat-001"</t>
  </si>
  <si>
    <t xml:space="preserve">"pojednat-002"</t>
  </si>
  <si>
    <t xml:space="preserve">"pojednat-003"</t>
  </si>
  <si>
    <t xml:space="preserve">"pojednat-004"</t>
  </si>
  <si>
    <t xml:space="preserve">"pojednávat-001"</t>
  </si>
  <si>
    <t xml:space="preserve">"pojistit-001"</t>
  </si>
  <si>
    <t xml:space="preserve">"pojit-001"</t>
  </si>
  <si>
    <t xml:space="preserve">"pojit-002"</t>
  </si>
  <si>
    <t xml:space="preserve">"pojit-se-001"</t>
  </si>
  <si>
    <t xml:space="preserve">EFF-&gt;ARG1/5,ARG2/3,ARG3/2</t>
  </si>
  <si>
    <t xml:space="preserve">EFF-&gt;Whole(ARG1/5,ARG2/3,ARG3/2)</t>
  </si>
  <si>
    <t xml:space="preserve">"pojišťovat-001"</t>
  </si>
  <si>
    <t xml:space="preserve">"pojmenovat-001"</t>
  </si>
  <si>
    <t xml:space="preserve">?EFF: 1; 7; na+4</t>
  </si>
  <si>
    <t xml:space="preserve">"pojmenovat-002"</t>
  </si>
  <si>
    <t xml:space="preserve">"pojmenovat-003"</t>
  </si>
  <si>
    <t xml:space="preserve">"pojmenovávat-001"</t>
  </si>
  <si>
    <t xml:space="preserve">"pojmenovávat-002"</t>
  </si>
  <si>
    <t xml:space="preserve">"pojmenovávat-003"</t>
  </si>
  <si>
    <t xml:space="preserve">"pojmout-001"</t>
  </si>
  <si>
    <t xml:space="preserve">"pojmout-002"</t>
  </si>
  <si>
    <t xml:space="preserve">"pojmout-003"</t>
  </si>
  <si>
    <t xml:space="preserve">"pojmout-004"</t>
  </si>
  <si>
    <t xml:space="preserve">"pojídat-001"</t>
  </si>
  <si>
    <t xml:space="preserve">"pojídat-se-001"</t>
  </si>
  <si>
    <t xml:space="preserve">"pojímat-001"</t>
  </si>
  <si>
    <t xml:space="preserve">"pojímat-002"</t>
  </si>
  <si>
    <t xml:space="preserve">"pojímat-003"</t>
  </si>
  <si>
    <t xml:space="preserve">"pojíst-001"</t>
  </si>
  <si>
    <t xml:space="preserve">"pojíst-si-001"</t>
  </si>
  <si>
    <t xml:space="preserve">"pojít-001"</t>
  </si>
  <si>
    <t xml:space="preserve">"pokazit-001"</t>
  </si>
  <si>
    <t xml:space="preserve">"pokazit-se-001"</t>
  </si>
  <si>
    <t xml:space="preserve">"pokašlávat-001"</t>
  </si>
  <si>
    <t xml:space="preserve">"pokecat-001"</t>
  </si>
  <si>
    <t xml:space="preserve">"pokleknout-001"</t>
  </si>
  <si>
    <t xml:space="preserve">"poklepat-001"</t>
  </si>
  <si>
    <t xml:space="preserve">Affector(ARG0/21), Entity(ARG1/31)</t>
  </si>
  <si>
    <t xml:space="preserve">ACT-&gt;Affector(ARG0/21)</t>
  </si>
  <si>
    <t xml:space="preserve">DIR3-&gt;ARG1/37</t>
  </si>
  <si>
    <t xml:space="preserve">DIR3-&gt;Entity</t>
  </si>
  <si>
    <t xml:space="preserve">DIR3-&gt;Entity(ARG1/31)</t>
  </si>
  <si>
    <t xml:space="preserve">DIR3-&gt;Affected(ARG1/6)</t>
  </si>
  <si>
    <t xml:space="preserve">"poklesnout-001"</t>
  </si>
  <si>
    <t xml:space="preserve">"poklesnout-002"</t>
  </si>
  <si>
    <t xml:space="preserve">"poklidit-001"</t>
  </si>
  <si>
    <t xml:space="preserve">"poklonit-se-001"</t>
  </si>
  <si>
    <t xml:space="preserve">"poklonit-se-002"</t>
  </si>
  <si>
    <t xml:space="preserve">"pokládat-001"</t>
  </si>
  <si>
    <t xml:space="preserve">"pokládat-002"</t>
  </si>
  <si>
    <t xml:space="preserve">PAT: 4; .f; ↓když; ↓že; ↓aby</t>
  </si>
  <si>
    <t xml:space="preserve">EFF: za+4; za-1[.a]</t>
  </si>
  <si>
    <t xml:space="preserve">"pokládat-003"</t>
  </si>
  <si>
    <t xml:space="preserve">"pokládat-004"</t>
  </si>
  <si>
    <t xml:space="preserve">"pokládat-005"</t>
  </si>
  <si>
    <t xml:space="preserve">"pokládat-006"</t>
  </si>
  <si>
    <t xml:space="preserve">"pokládat-se-001"</t>
  </si>
  <si>
    <t xml:space="preserve">"pokmínovat-001"</t>
  </si>
  <si>
    <t xml:space="preserve">"pokoupit-001"</t>
  </si>
  <si>
    <t xml:space="preserve">"pokousat-001"</t>
  </si>
  <si>
    <t xml:space="preserve">"pokoušet-001"</t>
  </si>
  <si>
    <t xml:space="preserve">"pokoušet-002"</t>
  </si>
  <si>
    <t xml:space="preserve">"pokoušet-se-001"</t>
  </si>
  <si>
    <t xml:space="preserve">PAT: o+4; .f; ↓aby</t>
  </si>
  <si>
    <t xml:space="preserve">"pokořit-001"</t>
  </si>
  <si>
    <t xml:space="preserve">"pokořit-002"</t>
  </si>
  <si>
    <t xml:space="preserve">"pokořit-se-001"</t>
  </si>
  <si>
    <t xml:space="preserve">ACT-&gt;ARG0/4,ARG1/9</t>
  </si>
  <si>
    <t xml:space="preserve">ACT-&gt;Affected; ACT-&gt;Protagonist</t>
  </si>
  <si>
    <t xml:space="preserve">ACT-&gt;Affected(ARG0/1,ARG1/9); ACT-&gt;Protagonist(ARG0/3)</t>
  </si>
  <si>
    <t xml:space="preserve">"pokračovat-001"</t>
  </si>
  <si>
    <t xml:space="preserve">PAT: v+6; s+7; na+6; 4; ↓c</t>
  </si>
  <si>
    <t xml:space="preserve">ACT-&gt;ARG0/762,ARG1/54,ARG2/18,ARG3/1</t>
  </si>
  <si>
    <t xml:space="preserve">PAT-&gt;ARG0/1,ARG1/975,ARG2/60,ARG3/1</t>
  </si>
  <si>
    <t xml:space="preserve">"pokračovat-002"</t>
  </si>
  <si>
    <t xml:space="preserve">Speaker(ARG0/5), Topic(), Information(ARG1/4)</t>
  </si>
  <si>
    <t xml:space="preserve">ACT-&gt;Speaker(ARG0/5)</t>
  </si>
  <si>
    <t xml:space="preserve">EFF: .s; ↓že; ↓c</t>
  </si>
  <si>
    <t xml:space="preserve">EFF-&gt;ARG1/4</t>
  </si>
  <si>
    <t xml:space="preserve">EFF-&gt;Information(ARG1/4)</t>
  </si>
  <si>
    <t xml:space="preserve">PAT-&gt;Topic()</t>
  </si>
  <si>
    <t xml:space="preserve">"pokračovat-003"</t>
  </si>
  <si>
    <t xml:space="preserve">"pokračovat-004"</t>
  </si>
  <si>
    <t xml:space="preserve">"pokropit-001"</t>
  </si>
  <si>
    <t xml:space="preserve">"pokročit-001"</t>
  </si>
  <si>
    <t xml:space="preserve">"pokročit-002"</t>
  </si>
  <si>
    <t xml:space="preserve">"--pokročit-003"</t>
  </si>
  <si>
    <t xml:space="preserve">"pokrýt-001"</t>
  </si>
  <si>
    <t xml:space="preserve">"pokrýt-002"</t>
  </si>
  <si>
    <t xml:space="preserve">"pokrýt-003"</t>
  </si>
  <si>
    <t xml:space="preserve">"pokrýt-004"</t>
  </si>
  <si>
    <t xml:space="preserve">"pokrývat-001"</t>
  </si>
  <si>
    <t xml:space="preserve">"pokrývat-002"</t>
  </si>
  <si>
    <t xml:space="preserve">"pokrývat-003"</t>
  </si>
  <si>
    <t xml:space="preserve">"pokrývat-004"</t>
  </si>
  <si>
    <t xml:space="preserve">"pokrčit-001"</t>
  </si>
  <si>
    <t xml:space="preserve">"pokrčit-002"</t>
  </si>
  <si>
    <t xml:space="preserve">DPHR: rameno.P7</t>
  </si>
  <si>
    <t xml:space="preserve">"pokulhávat-001"</t>
  </si>
  <si>
    <t xml:space="preserve">"pokulhávat-002"</t>
  </si>
  <si>
    <t xml:space="preserve">"pokulhávat-003"</t>
  </si>
  <si>
    <t xml:space="preserve">"pokusit-se-001"</t>
  </si>
  <si>
    <t xml:space="preserve">"pokutovat-001"</t>
  </si>
  <si>
    <t xml:space="preserve">PAT-&gt;ARG2/23</t>
  </si>
  <si>
    <t xml:space="preserve">PAT-&gt;Offender(ARG2/23)</t>
  </si>
  <si>
    <t xml:space="preserve">"pokvasit-001"</t>
  </si>
  <si>
    <t xml:space="preserve">"pokydat-001"</t>
  </si>
  <si>
    <t xml:space="preserve">"pokynout-001"</t>
  </si>
  <si>
    <t xml:space="preserve">"pokácet-001"</t>
  </si>
  <si>
    <t xml:space="preserve">"pokálet-001"</t>
  </si>
  <si>
    <t xml:space="preserve">"pokárat-001"</t>
  </si>
  <si>
    <t xml:space="preserve">"pokývnout-001"</t>
  </si>
  <si>
    <t xml:space="preserve">"pokřikovat-001"</t>
  </si>
  <si>
    <t xml:space="preserve">"pokřtít-001"</t>
  </si>
  <si>
    <t xml:space="preserve">?EFF: 1; 7</t>
  </si>
  <si>
    <t xml:space="preserve">"polapit-001"</t>
  </si>
  <si>
    <t xml:space="preserve">"polarizovat-001"</t>
  </si>
  <si>
    <t xml:space="preserve">"polechtat-001"</t>
  </si>
  <si>
    <t xml:space="preserve">"polehávat-001"</t>
  </si>
  <si>
    <t xml:space="preserve">"polekat-se-001"</t>
  </si>
  <si>
    <t xml:space="preserve">ACT-&gt;Victim(ARG1/33)</t>
  </si>
  <si>
    <t xml:space="preserve">PAT-&gt;ARG0/20,ARG2/5</t>
  </si>
  <si>
    <t xml:space="preserve">PAT-&gt;Stimulus(ARG0/20,ARG2/5)</t>
  </si>
  <si>
    <t xml:space="preserve">"polemizovat-001"</t>
  </si>
  <si>
    <t xml:space="preserve">PAT: o+6; .s; ↓c</t>
  </si>
  <si>
    <t xml:space="preserve">"polemizovat-002"</t>
  </si>
  <si>
    <t xml:space="preserve">"polepit-001"</t>
  </si>
  <si>
    <t xml:space="preserve">"poleptat-001"</t>
  </si>
  <si>
    <t xml:space="preserve">"polepšit-si-001"</t>
  </si>
  <si>
    <t xml:space="preserve">Party_benefited(ARG1/31)</t>
  </si>
  <si>
    <t xml:space="preserve">ACT-&gt;ARG1/31</t>
  </si>
  <si>
    <t xml:space="preserve">ACT-&gt;Party_benefited(ARG1/31)</t>
  </si>
  <si>
    <t xml:space="preserve">"poletovat-001"</t>
  </si>
  <si>
    <t xml:space="preserve">Mover()</t>
  </si>
  <si>
    <t xml:space="preserve">"poletovat-si-001"</t>
  </si>
  <si>
    <t xml:space="preserve">"polevit-001"</t>
  </si>
  <si>
    <t xml:space="preserve">"polevit-002"</t>
  </si>
  <si>
    <t xml:space="preserve">"polevit-003"</t>
  </si>
  <si>
    <t xml:space="preserve">"polevovat-001"</t>
  </si>
  <si>
    <t xml:space="preserve">"polichotit-001"</t>
  </si>
  <si>
    <t xml:space="preserve">"politizovat-001"</t>
  </si>
  <si>
    <t xml:space="preserve">Speaker(), Issue()</t>
  </si>
  <si>
    <t xml:space="preserve">"politovat-001"</t>
  </si>
  <si>
    <t xml:space="preserve">"pololhát-001"</t>
  </si>
  <si>
    <t xml:space="preserve">"položit-001"</t>
  </si>
  <si>
    <t xml:space="preserve">"položit-002"</t>
  </si>
  <si>
    <t xml:space="preserve">"položit-003"</t>
  </si>
  <si>
    <t xml:space="preserve">"položit-004"</t>
  </si>
  <si>
    <t xml:space="preserve">"položit-005"</t>
  </si>
  <si>
    <t xml:space="preserve">"položit-006"</t>
  </si>
  <si>
    <t xml:space="preserve">"položit-007"</t>
  </si>
  <si>
    <t xml:space="preserve">"položit-008"</t>
  </si>
  <si>
    <t xml:space="preserve">CPHR: {důraz,důraz,...}.4</t>
  </si>
  <si>
    <t xml:space="preserve">"položit-009"</t>
  </si>
  <si>
    <t xml:space="preserve">DPHR: na-1[lopatka.P4]</t>
  </si>
  <si>
    <t xml:space="preserve">"položit-010"</t>
  </si>
  <si>
    <t xml:space="preserve">DPHR: život.4</t>
  </si>
  <si>
    <t xml:space="preserve">"položit-011"</t>
  </si>
  <si>
    <t xml:space="preserve">"položit-012"</t>
  </si>
  <si>
    <t xml:space="preserve">"položit-se-001"</t>
  </si>
  <si>
    <t xml:space="preserve">"položit-se-002"</t>
  </si>
  <si>
    <t xml:space="preserve">"polykat-001"</t>
  </si>
  <si>
    <t xml:space="preserve">"polykat-002"</t>
  </si>
  <si>
    <t xml:space="preserve">Absorber(ARG0/5), Absorbed(ARG1/2)</t>
  </si>
  <si>
    <t xml:space="preserve">ACT-&gt;Absorber(ARG0/5)</t>
  </si>
  <si>
    <t xml:space="preserve">PAT-&gt;Absorbed(ARG1/2)</t>
  </si>
  <si>
    <t xml:space="preserve">"polámat-001"</t>
  </si>
  <si>
    <t xml:space="preserve">"polévat-001"</t>
  </si>
  <si>
    <t xml:space="preserve">"polévat-002"</t>
  </si>
  <si>
    <t xml:space="preserve">"políbit-001"</t>
  </si>
  <si>
    <t xml:space="preserve">"polít-001"</t>
  </si>
  <si>
    <t xml:space="preserve">"políčit-001"</t>
  </si>
  <si>
    <t xml:space="preserve">"pomalovat-001"</t>
  </si>
  <si>
    <t xml:space="preserve">"pomazlit-001"</t>
  </si>
  <si>
    <t xml:space="preserve">"pomazávat-001"</t>
  </si>
  <si>
    <t xml:space="preserve">"pomačkat-001"</t>
  </si>
  <si>
    <t xml:space="preserve">"pomilovat-se-001"</t>
  </si>
  <si>
    <t xml:space="preserve">"pominout-001"</t>
  </si>
  <si>
    <t xml:space="preserve">"pominout-002"</t>
  </si>
  <si>
    <t xml:space="preserve">Entity(ARG1/3)</t>
  </si>
  <si>
    <t xml:space="preserve">ACT-&gt;Entity(ARG1/3)</t>
  </si>
  <si>
    <t xml:space="preserve">"pomlouvat-001"</t>
  </si>
  <si>
    <t xml:space="preserve">"pomluvit-001"</t>
  </si>
  <si>
    <t xml:space="preserve">"pomoci-001"</t>
  </si>
  <si>
    <t xml:space="preserve">"pomoci-002"</t>
  </si>
  <si>
    <t xml:space="preserve">?PAT: 4; s+7; .f; v+6</t>
  </si>
  <si>
    <t xml:space="preserve">"pomoci-003"</t>
  </si>
  <si>
    <t xml:space="preserve">ACT: 1; ↓když; ↓kdyby; ↓že</t>
  </si>
  <si>
    <t xml:space="preserve">?PAT: do+2; k+3; od+2; .f; ↓aby; z+2</t>
  </si>
  <si>
    <t xml:space="preserve">"pomoci-004"</t>
  </si>
  <si>
    <t xml:space="preserve">DPHR: na-1[noha:P4[vlastní-1.#]]</t>
  </si>
  <si>
    <t xml:space="preserve">"pomoci-005"</t>
  </si>
  <si>
    <t xml:space="preserve">"pomoci-si-001"</t>
  </si>
  <si>
    <t xml:space="preserve">"pomodlit-se-001"</t>
  </si>
  <si>
    <t xml:space="preserve">"pomočit-se-001"</t>
  </si>
  <si>
    <t xml:space="preserve">"pomrznout-001"</t>
  </si>
  <si>
    <t xml:space="preserve">"pomstít-001"</t>
  </si>
  <si>
    <t xml:space="preserve">"pomstít-se-001"</t>
  </si>
  <si>
    <t xml:space="preserve">"pomuchlat-001"</t>
  </si>
  <si>
    <t xml:space="preserve">"pomyslet-001"</t>
  </si>
  <si>
    <t xml:space="preserve">"pomyslet-002"</t>
  </si>
  <si>
    <t xml:space="preserve">EFF: 4; ↓že; ↓c; .s</t>
  </si>
  <si>
    <t xml:space="preserve">"pomyslet-si-001"</t>
  </si>
  <si>
    <t xml:space="preserve">"pomyslit-001"</t>
  </si>
  <si>
    <t xml:space="preserve">"pomyslit-si-001"</t>
  </si>
  <si>
    <t xml:space="preserve">"pomáhat-001"</t>
  </si>
  <si>
    <t xml:space="preserve">"pomáhat-002"</t>
  </si>
  <si>
    <t xml:space="preserve">?PAT: k+3; do+2; od+2; .f</t>
  </si>
  <si>
    <t xml:space="preserve">"pomáhat-003"</t>
  </si>
  <si>
    <t xml:space="preserve">?PAT: 4; .f; s+7; v+6; při+6</t>
  </si>
  <si>
    <t xml:space="preserve">"--pomáhat-si-001"</t>
  </si>
  <si>
    <t xml:space="preserve">?PAT: s+7; v+6</t>
  </si>
  <si>
    <t xml:space="preserve">"pomíjet-001"</t>
  </si>
  <si>
    <t xml:space="preserve">"pomíjet-002"</t>
  </si>
  <si>
    <t xml:space="preserve">"pomýšlet-001"</t>
  </si>
  <si>
    <t xml:space="preserve">"poměřit-001"</t>
  </si>
  <si>
    <t xml:space="preserve">"poměřit-002"</t>
  </si>
  <si>
    <t xml:space="preserve">"poměřovat-001"</t>
  </si>
  <si>
    <t xml:space="preserve">"poměřovat-002"</t>
  </si>
  <si>
    <t xml:space="preserve">"ponaučit-001"</t>
  </si>
  <si>
    <t xml:space="preserve">PAT: o+6; ↓že; ↓aby; ↓ať; .s; ↓c</t>
  </si>
  <si>
    <t xml:space="preserve">"ponechat-001"</t>
  </si>
  <si>
    <t xml:space="preserve">PAT: 4; ↓aby; ↓c</t>
  </si>
  <si>
    <t xml:space="preserve">"ponechat-002"</t>
  </si>
  <si>
    <t xml:space="preserve">ACT-&gt;ARG0/150</t>
  </si>
  <si>
    <t xml:space="preserve">ADDR-&gt;ARG0/108,ARG1/1,ARG2/21</t>
  </si>
  <si>
    <t xml:space="preserve">"ponechat-003"</t>
  </si>
  <si>
    <t xml:space="preserve">"ponechat-004"</t>
  </si>
  <si>
    <t xml:space="preserve">"ponechat-005"</t>
  </si>
  <si>
    <t xml:space="preserve">PAT: 4; ↓zda</t>
  </si>
  <si>
    <t xml:space="preserve">"ponechat-006"</t>
  </si>
  <si>
    <t xml:space="preserve">"ponechat-007"</t>
  </si>
  <si>
    <t xml:space="preserve">"ponechat-008"</t>
  </si>
  <si>
    <t xml:space="preserve">DPHR: napospas; na-1[pospas.S4]</t>
  </si>
  <si>
    <t xml:space="preserve">"ponechat-009"</t>
  </si>
  <si>
    <t xml:space="preserve">EFF: 4[{jako,jakožto}:/AuxY]</t>
  </si>
  <si>
    <t xml:space="preserve">"ponechávat-001"</t>
  </si>
  <si>
    <t xml:space="preserve">PAT: 4; ↓aby; ↓zda; ↓jestli; ↓c</t>
  </si>
  <si>
    <t xml:space="preserve">"ponechávat-002"</t>
  </si>
  <si>
    <t xml:space="preserve">"ponechávat-003"</t>
  </si>
  <si>
    <t xml:space="preserve">EFF: .a; .f</t>
  </si>
  <si>
    <t xml:space="preserve">"ponechávat-004"</t>
  </si>
  <si>
    <t xml:space="preserve">"ponechávat-005"</t>
  </si>
  <si>
    <t xml:space="preserve">ADDR: napospas-1[.3]</t>
  </si>
  <si>
    <t xml:space="preserve">"poničit-001"</t>
  </si>
  <si>
    <t xml:space="preserve">ACT-&gt;ARG0/213,ARG1/3,ARG2/44</t>
  </si>
  <si>
    <t xml:space="preserve">PAT-&gt;ARG1/402,ARG2/4</t>
  </si>
  <si>
    <t xml:space="preserve">"ponižovat-001"</t>
  </si>
  <si>
    <t xml:space="preserve">"ponižovat-se-001"</t>
  </si>
  <si>
    <t xml:space="preserve">"ponořit-001"</t>
  </si>
  <si>
    <t xml:space="preserve">"ponořit-se-001"</t>
  </si>
  <si>
    <t xml:space="preserve">"ponořit-se-002"</t>
  </si>
  <si>
    <t xml:space="preserve">"ponížit-001"</t>
  </si>
  <si>
    <t xml:space="preserve">"ponížit-002"</t>
  </si>
  <si>
    <t xml:space="preserve">"poněmčovat-001"</t>
  </si>
  <si>
    <t xml:space="preserve">"poobědvat-001"</t>
  </si>
  <si>
    <t xml:space="preserve">"poodhalit-001"</t>
  </si>
  <si>
    <t xml:space="preserve">"poodhalovat-001"</t>
  </si>
  <si>
    <t xml:space="preserve">"poohlédnout-se-001"</t>
  </si>
  <si>
    <t xml:space="preserve">"poohlížet-se-001"</t>
  </si>
  <si>
    <t xml:space="preserve">"pookřát-001"</t>
  </si>
  <si>
    <t xml:space="preserve">"poopravit-001"</t>
  </si>
  <si>
    <t xml:space="preserve">"pootevřít-001"</t>
  </si>
  <si>
    <t xml:space="preserve">"pootočit-001"</t>
  </si>
  <si>
    <t xml:space="preserve">"pootáčet-001"</t>
  </si>
  <si>
    <t xml:space="preserve">"poočišťovat-001"</t>
  </si>
  <si>
    <t xml:space="preserve">"popadat-001"</t>
  </si>
  <si>
    <t xml:space="preserve">Collector(ARG0/28), Collected(ARG1/54)</t>
  </si>
  <si>
    <t xml:space="preserve">ACT-&gt;Collector(ARG0/28)</t>
  </si>
  <si>
    <t xml:space="preserve">PAT-&gt;Collected(ARG1/54)</t>
  </si>
  <si>
    <t xml:space="preserve">"popadat-002"</t>
  </si>
  <si>
    <t xml:space="preserve">"popadnout-001"</t>
  </si>
  <si>
    <t xml:space="preserve">"popadnout-002"</t>
  </si>
  <si>
    <t xml:space="preserve">CPHR: {vztek,...}.1</t>
  </si>
  <si>
    <t xml:space="preserve">"popadnout-003"</t>
  </si>
  <si>
    <t xml:space="preserve">DPHR: dech.S4</t>
  </si>
  <si>
    <t xml:space="preserve">"popichovat-001"</t>
  </si>
  <si>
    <t xml:space="preserve">"popisovat-001"</t>
  </si>
  <si>
    <t xml:space="preserve">"poplakat-si-001"</t>
  </si>
  <si>
    <t xml:space="preserve">Attitudal(ARG0/6), Reason(ARG2/3)</t>
  </si>
  <si>
    <t xml:space="preserve">ACT-&gt;Attitudal(ARG0/6)</t>
  </si>
  <si>
    <t xml:space="preserve">"poplatit-001"</t>
  </si>
  <si>
    <t xml:space="preserve">"popleskat-001"</t>
  </si>
  <si>
    <t xml:space="preserve">"poplivat-001"</t>
  </si>
  <si>
    <t xml:space="preserve">"poplácávat-001"</t>
  </si>
  <si>
    <t xml:space="preserve">"poplést-001"</t>
  </si>
  <si>
    <t xml:space="preserve">"poplést-se-001"</t>
  </si>
  <si>
    <t xml:space="preserve">"poplést-se-002"</t>
  </si>
  <si>
    <t xml:space="preserve">"poplést-si-001"</t>
  </si>
  <si>
    <t xml:space="preserve">?EFF: s+7</t>
  </si>
  <si>
    <t xml:space="preserve">"popobíhat-001"</t>
  </si>
  <si>
    <t xml:space="preserve">"popohnat-001"</t>
  </si>
  <si>
    <t xml:space="preserve">Agent(ARG0/76,ARG2/30), Item(ARG1/116), Value_final(), Value_initial(), Difference()</t>
  </si>
  <si>
    <t xml:space="preserve">ACT-&gt;ARG0/76,ARG2/30</t>
  </si>
  <si>
    <t xml:space="preserve">ACT-&gt;Agent(ARG0/76,ARG2/30)</t>
  </si>
  <si>
    <t xml:space="preserve">PAT-&gt;Item(ARG1/116)</t>
  </si>
  <si>
    <t xml:space="preserve">"popohánět-001"</t>
  </si>
  <si>
    <t xml:space="preserve">"popojet-001"</t>
  </si>
  <si>
    <t xml:space="preserve">"popojet-002"</t>
  </si>
  <si>
    <t xml:space="preserve">"popojít-001"</t>
  </si>
  <si>
    <t xml:space="preserve">"popojíždět-001"</t>
  </si>
  <si>
    <t xml:space="preserve">"poponést-001"</t>
  </si>
  <si>
    <t xml:space="preserve">"poporůst-001"</t>
  </si>
  <si>
    <t xml:space="preserve">"popouzet-001"</t>
  </si>
  <si>
    <t xml:space="preserve">"popovézt-001"</t>
  </si>
  <si>
    <t xml:space="preserve">"popovídat-001"</t>
  </si>
  <si>
    <t xml:space="preserve">"popovídat-002"</t>
  </si>
  <si>
    <t xml:space="preserve">"popovídat-si-001"</t>
  </si>
  <si>
    <t xml:space="preserve">"popovídat-si-002"</t>
  </si>
  <si>
    <t xml:space="preserve">"popraskat-001"</t>
  </si>
  <si>
    <t xml:space="preserve">"popraskat-002"</t>
  </si>
  <si>
    <t xml:space="preserve">Changing(ARG0/1,ARG1/10)</t>
  </si>
  <si>
    <t xml:space="preserve">ACT-&gt;ARG0/1,ARG1/10</t>
  </si>
  <si>
    <t xml:space="preserve">ACT-&gt;Changing(ARG0/1,ARG1/10)</t>
  </si>
  <si>
    <t xml:space="preserve">"poprat-se-001"</t>
  </si>
  <si>
    <t xml:space="preserve">"popravit-001"</t>
  </si>
  <si>
    <t xml:space="preserve">"poprosit-001"</t>
  </si>
  <si>
    <t xml:space="preserve">PAT: o+4; .f; ↓zda; ↓aby; ↓ať; .s; ↓c</t>
  </si>
  <si>
    <t xml:space="preserve">ADDR-&gt;ARG1/8,ARG2/3</t>
  </si>
  <si>
    <t xml:space="preserve">"popsat-001"</t>
  </si>
  <si>
    <t xml:space="preserve">"popsat-002"</t>
  </si>
  <si>
    <t xml:space="preserve">"popsat-003"</t>
  </si>
  <si>
    <t xml:space="preserve">"poptávat-001"</t>
  </si>
  <si>
    <t xml:space="preserve">Protagonist(ARG0/521,ARG1/6,ARG2/5), Required(ARG1/670,ARG2/2)</t>
  </si>
  <si>
    <t xml:space="preserve">ACT-&gt;ARG0/521,ARG1/6,ARG2/5</t>
  </si>
  <si>
    <t xml:space="preserve">ACT-&gt;Protagonist(ARG0/521,ARG1/6,ARG2/5)</t>
  </si>
  <si>
    <t xml:space="preserve">PAT-&gt;ARG1/670,ARG2/2</t>
  </si>
  <si>
    <t xml:space="preserve">PAT-&gt;Required(ARG1/670,ARG2/2)</t>
  </si>
  <si>
    <t xml:space="preserve">"popudit-001"</t>
  </si>
  <si>
    <t xml:space="preserve">"popudit-002"</t>
  </si>
  <si>
    <t xml:space="preserve">Influencing(ARG0/1), Entity_1(ARG1/1), Entity_2(ARG2/1)</t>
  </si>
  <si>
    <t xml:space="preserve">ACT-&gt;Influencing(ARG0/1)</t>
  </si>
  <si>
    <t xml:space="preserve">PAT-&gt;Entity_2(ARG2/1)</t>
  </si>
  <si>
    <t xml:space="preserve">ADDR-&gt;Entity_1(ARG1/1)</t>
  </si>
  <si>
    <t xml:space="preserve">"popudit-003"</t>
  </si>
  <si>
    <t xml:space="preserve">"popularizovat-001"</t>
  </si>
  <si>
    <t xml:space="preserve">Agent(ARG0/18), Advertised(ARG1/72)</t>
  </si>
  <si>
    <t xml:space="preserve">ACT-&gt;Agent(ARG0/18)</t>
  </si>
  <si>
    <t xml:space="preserve">PAT-&gt;ARG1/72</t>
  </si>
  <si>
    <t xml:space="preserve">PAT-&gt;Advertised(ARG1/72)</t>
  </si>
  <si>
    <t xml:space="preserve">"poputovat-001"</t>
  </si>
  <si>
    <t xml:space="preserve">"popuzovat-001"</t>
  </si>
  <si>
    <t xml:space="preserve">"popálit-001"</t>
  </si>
  <si>
    <t xml:space="preserve">"popásat-001"</t>
  </si>
  <si>
    <t xml:space="preserve">"popíchnout-001"</t>
  </si>
  <si>
    <t xml:space="preserve">"popíjet-001"</t>
  </si>
  <si>
    <t xml:space="preserve">"popírat-001"</t>
  </si>
  <si>
    <t xml:space="preserve">"popít-001"</t>
  </si>
  <si>
    <t xml:space="preserve">"popít-si-001"</t>
  </si>
  <si>
    <t xml:space="preserve">"popřemýšlet-001"</t>
  </si>
  <si>
    <t xml:space="preserve">"popřát-001"</t>
  </si>
  <si>
    <t xml:space="preserve">PAT: 2; 4; ↓aby; ↓ať; .s; ↓c</t>
  </si>
  <si>
    <t xml:space="preserve">"popřávat-001"</t>
  </si>
  <si>
    <t xml:space="preserve">DPHR: sluch.2</t>
  </si>
  <si>
    <t xml:space="preserve">"popřít-001"</t>
  </si>
  <si>
    <t xml:space="preserve">"poradit-001"</t>
  </si>
  <si>
    <t xml:space="preserve">PAT: 4; .f; ↓že; ↓aby; ↓ať; s+7; ↓c</t>
  </si>
  <si>
    <t xml:space="preserve">"poradit-se-001"</t>
  </si>
  <si>
    <t xml:space="preserve">"poradit-si-001"</t>
  </si>
  <si>
    <t xml:space="preserve">?PAT: s+7; ↓c</t>
  </si>
  <si>
    <t xml:space="preserve">Experiencer(ARG0/6), Undesirable(ARG1/5)</t>
  </si>
  <si>
    <t xml:space="preserve">ACT-&gt;Experiencer(ARG0/6)</t>
  </si>
  <si>
    <t xml:space="preserve">PAT-&gt;Undesirable(ARG1/5)</t>
  </si>
  <si>
    <t xml:space="preserve">"poranit-001"</t>
  </si>
  <si>
    <t xml:space="preserve">"poranit-se-001"</t>
  </si>
  <si>
    <t xml:space="preserve">"porazit-001"</t>
  </si>
  <si>
    <t xml:space="preserve">"porazit-002"</t>
  </si>
  <si>
    <t xml:space="preserve">"porazit-003"</t>
  </si>
  <si>
    <t xml:space="preserve">"porcovat-001"</t>
  </si>
  <si>
    <t xml:space="preserve">DPHR: medvěda.S4</t>
  </si>
  <si>
    <t xml:space="preserve">"porcovat-002"</t>
  </si>
  <si>
    <t xml:space="preserve">"porodit-001"</t>
  </si>
  <si>
    <t xml:space="preserve">"porouchat-se-001"</t>
  </si>
  <si>
    <t xml:space="preserve">"poroučet-001"</t>
  </si>
  <si>
    <t xml:space="preserve">"porovnat-001"</t>
  </si>
  <si>
    <t xml:space="preserve">Comparator(ARG0/27), Compared_1(ARG1/53), Compared_2(ARG1/1,ARG2/55)</t>
  </si>
  <si>
    <t xml:space="preserve">ACT-&gt;Comparator(ARG0/27)</t>
  </si>
  <si>
    <t xml:space="preserve">PAT-&gt;Compared_1(ARG1/53)</t>
  </si>
  <si>
    <t xml:space="preserve">EFF-&gt;ARG1/1,ARG2/55</t>
  </si>
  <si>
    <t xml:space="preserve">EFF-&gt;Compared_2(ARG1/1,ARG2/55)</t>
  </si>
  <si>
    <t xml:space="preserve">"porovnávat-001"</t>
  </si>
  <si>
    <t xml:space="preserve">"porovnávat-002"</t>
  </si>
  <si>
    <t xml:space="preserve">"porozhlédnout-se-001"</t>
  </si>
  <si>
    <t xml:space="preserve">"porozhlédnout-se-002"</t>
  </si>
  <si>
    <t xml:space="preserve">"--porozhlédnout-se-003"</t>
  </si>
  <si>
    <t xml:space="preserve">"porozhlížet-se-001"</t>
  </si>
  <si>
    <t xml:space="preserve">"porozmýšlet-001"</t>
  </si>
  <si>
    <t xml:space="preserve">"porozumět-001"</t>
  </si>
  <si>
    <t xml:space="preserve">"porozumět-002"</t>
  </si>
  <si>
    <t xml:space="preserve">PAT: 3; s+7</t>
  </si>
  <si>
    <t xml:space="preserve">"porozumět-003"</t>
  </si>
  <si>
    <t xml:space="preserve">PAT: 3; ↓že; ↓zda; ↓c</t>
  </si>
  <si>
    <t xml:space="preserve">"portrétovat-001"</t>
  </si>
  <si>
    <t xml:space="preserve">"poručit-001"</t>
  </si>
  <si>
    <t xml:space="preserve">"poručit-002"</t>
  </si>
  <si>
    <t xml:space="preserve">?BEN: 3; pro+4</t>
  </si>
  <si>
    <t xml:space="preserve">"porušit-001"</t>
  </si>
  <si>
    <t xml:space="preserve">"porušit-002"</t>
  </si>
  <si>
    <t xml:space="preserve">"porušovat-001"</t>
  </si>
  <si>
    <t xml:space="preserve">"porušovat-002"</t>
  </si>
  <si>
    <t xml:space="preserve">"porvat-se-001"</t>
  </si>
  <si>
    <t xml:space="preserve">"porážet-001"</t>
  </si>
  <si>
    <t xml:space="preserve">"porážet-002"</t>
  </si>
  <si>
    <t xml:space="preserve">"porážet-003"</t>
  </si>
  <si>
    <t xml:space="preserve">"posadit-001"</t>
  </si>
  <si>
    <t xml:space="preserve">"posadit-002"</t>
  </si>
  <si>
    <t xml:space="preserve">"posadit-se-001"</t>
  </si>
  <si>
    <t xml:space="preserve">"posbírat-001"</t>
  </si>
  <si>
    <t xml:space="preserve">"posbírat-002"</t>
  </si>
  <si>
    <t xml:space="preserve">CPHR: {odvaha,vědomost,zkušenost,...}.4</t>
  </si>
  <si>
    <t xml:space="preserve">"poschovávat-001"</t>
  </si>
  <si>
    <t xml:space="preserve">"posedávat-001"</t>
  </si>
  <si>
    <t xml:space="preserve">Protagonist(ARG1/52), Place()</t>
  </si>
  <si>
    <t xml:space="preserve">ACT-&gt;ARG1/52</t>
  </si>
  <si>
    <t xml:space="preserve">ACT-&gt;Protagonist(ARG1/52)</t>
  </si>
  <si>
    <t xml:space="preserve">"posedět-001"</t>
  </si>
  <si>
    <t xml:space="preserve">"posedět-si-001"</t>
  </si>
  <si>
    <t xml:space="preserve">"posekat-001"</t>
  </si>
  <si>
    <t xml:space="preserve">"posestřit-se-001"</t>
  </si>
  <si>
    <t xml:space="preserve">"posečkat-001"</t>
  </si>
  <si>
    <t xml:space="preserve">"posilnit-001"</t>
  </si>
  <si>
    <t xml:space="preserve">"posilovat-001"</t>
  </si>
  <si>
    <t xml:space="preserve">"posilovat-002"</t>
  </si>
  <si>
    <t xml:space="preserve">"posilovat-003"</t>
  </si>
  <si>
    <t xml:space="preserve">"posilovat-004"</t>
  </si>
  <si>
    <t xml:space="preserve">Stabilizing(ARG0/73,ARG2/33), Affected(ARG1/160)</t>
  </si>
  <si>
    <t xml:space="preserve">ACT-&gt;ARG0/73,ARG2/33</t>
  </si>
  <si>
    <t xml:space="preserve">ACT-&gt;Stabilizing(ARG0/73,ARG2/33)</t>
  </si>
  <si>
    <t xml:space="preserve">PAT-&gt;Affected(ARG1/160)</t>
  </si>
  <si>
    <t xml:space="preserve">"posilovat-se-001"</t>
  </si>
  <si>
    <t xml:space="preserve">"poskakovat-001"</t>
  </si>
  <si>
    <t xml:space="preserve">"poskakovat-002"</t>
  </si>
  <si>
    <t xml:space="preserve">PAT: kolem-1[2]</t>
  </si>
  <si>
    <t xml:space="preserve">"poskládat-001"</t>
  </si>
  <si>
    <t xml:space="preserve">ACT-&gt;ARG0/523,ARG1/5,ARG2/3</t>
  </si>
  <si>
    <t xml:space="preserve">PAT-&gt;ARG1/919,ARG3/1,ARG4/5</t>
  </si>
  <si>
    <t xml:space="preserve">?EFF: do+2; .d</t>
  </si>
  <si>
    <t xml:space="preserve">"poskládat-002"</t>
  </si>
  <si>
    <t xml:space="preserve">"poskočit-001"</t>
  </si>
  <si>
    <t xml:space="preserve">"poskvrnit-001"</t>
  </si>
  <si>
    <t xml:space="preserve">"poskytnout-001"</t>
  </si>
  <si>
    <t xml:space="preserve">Borrower(ARG1/20,ARG2/170), Lender(ARG0/295), Money(ARG1/448,ARG2/2)</t>
  </si>
  <si>
    <t xml:space="preserve">ACT-&gt;ARG0/1517,ARG2/1</t>
  </si>
  <si>
    <t xml:space="preserve">ACT-&gt;Lender</t>
  </si>
  <si>
    <t xml:space="preserve">ACT-&gt;Lender(ARG0/295)</t>
  </si>
  <si>
    <t xml:space="preserve">PAT-&gt;ARG1/2164,ARG2/14</t>
  </si>
  <si>
    <t xml:space="preserve">PAT-&gt;Money(ARG1/448,ARG2/2)</t>
  </si>
  <si>
    <t xml:space="preserve">ADDR-&gt;ARG1/69,ARG2/1320,ARG4/2</t>
  </si>
  <si>
    <t xml:space="preserve">ADDR-&gt;Borrower</t>
  </si>
  <si>
    <t xml:space="preserve">ADDR-&gt;Borrower(ARG1/20,ARG2/170)</t>
  </si>
  <si>
    <t xml:space="preserve">"poskytnout-002"</t>
  </si>
  <si>
    <t xml:space="preserve">ACT-&gt;ARG0/1247,ARG1/3,ARG2/3</t>
  </si>
  <si>
    <t xml:space="preserve">CPHR: {čas,definice,dotace,důkaz,flexibilita,garance,hodnota,informace,komentář,kompenzace,kontrola,léčení,likvidita,možnost,nabídka,nárok,odlehčení,odpověď,odškodnění,ochrana,oprávnění,páka,péče,platba,podpora,pojištění,pomoc,poradenství,právo,pravomoc,příležitost,příspěvek,půjčka,rada-1,rozhovor,sleva,služba,statistika,subvence,svoboda,ubytování,upřesnění,útěcha,úvěr,výhoda,výchova,vyjádření,výmluva,vysvětlení,vzdělání,zajištění,záminka,záruka,zaškolení,...}.4</t>
  </si>
  <si>
    <t xml:space="preserve">CPHR-&gt;ARG1/1772,ARG2/61,ARG3/1</t>
  </si>
  <si>
    <t xml:space="preserve">CPHR-&gt;Entity</t>
  </si>
  <si>
    <t xml:space="preserve">CPHR-&gt;Entity(ARG1/63,ARG2/6)</t>
  </si>
  <si>
    <t xml:space="preserve">CPHR-&gt;Commitment</t>
  </si>
  <si>
    <t xml:space="preserve">CPHR-&gt;Commitment(ARG1/113)</t>
  </si>
  <si>
    <t xml:space="preserve">CPHR-&gt;Money</t>
  </si>
  <si>
    <t xml:space="preserve">CPHR-&gt;Money(ARG1/448,ARG2/2)</t>
  </si>
  <si>
    <t xml:space="preserve">ADDR-&gt;ARG1/54,ARG2/504,ARG3/120</t>
  </si>
  <si>
    <t xml:space="preserve">ADDR-&gt;Undergoer(ARG2/28)</t>
  </si>
  <si>
    <t xml:space="preserve">ADDR-&gt;Party_benefited(ARG1/2,ARG2/42)</t>
  </si>
  <si>
    <t xml:space="preserve">"poskytovat-001"</t>
  </si>
  <si>
    <t xml:space="preserve">"poskytovat-002"</t>
  </si>
  <si>
    <t xml:space="preserve">CPHR: {činnost,dotace,informace,jistota,krytí,léčba,léčení,možnost,nárok,ochrana,oprávnění,péče,pobídka,podpora,pojištění,pomoc,poradenství,právo,pravomoc,problém,příklad,příležitost,příspěvek,půjčka,rada-1,sleva,služba,subvence,školení,údržba,úhrada,úleva,vodítko,výhoda,výkon,výnos,výpověď,výuka,zajištění,záloha,záruka,způsob,...}.4</t>
  </si>
  <si>
    <t xml:space="preserve">ACT-&gt;ARG0/1515,ARG1/3,ARG2/6</t>
  </si>
  <si>
    <t xml:space="preserve">CPHR-&gt;ARG1/2245,ARG2/66,ARG3/1</t>
  </si>
  <si>
    <t xml:space="preserve">ADDR-&gt;ARG1/66,ARG2/678,ARG3/149</t>
  </si>
  <si>
    <t xml:space="preserve">"poslat-001"</t>
  </si>
  <si>
    <t xml:space="preserve">"poslat-002"</t>
  </si>
  <si>
    <t xml:space="preserve">"poslat-003"</t>
  </si>
  <si>
    <t xml:space="preserve">"poslat-004"</t>
  </si>
  <si>
    <t xml:space="preserve">DIR3-&gt;ARG2/74</t>
  </si>
  <si>
    <t xml:space="preserve">DIR3-&gt;Targeted(ARG2/74)</t>
  </si>
  <si>
    <t xml:space="preserve">"poslat-005"</t>
  </si>
  <si>
    <t xml:space="preserve">"--poslat-si-001"</t>
  </si>
  <si>
    <t xml:space="preserve">"poslechnout-001"</t>
  </si>
  <si>
    <t xml:space="preserve">"poslechnout-si-001"</t>
  </si>
  <si>
    <t xml:space="preserve">"poslouchat-001"</t>
  </si>
  <si>
    <t xml:space="preserve">PAT: 4; ↓že; ↓zda; ↓jestli; ↓c; ↓jak-2</t>
  </si>
  <si>
    <t xml:space="preserve">"poslouchat-002"</t>
  </si>
  <si>
    <t xml:space="preserve">"poslouchat-003"</t>
  </si>
  <si>
    <t xml:space="preserve">ACT-&gt;ARG0/97</t>
  </si>
  <si>
    <t xml:space="preserve">EFF-&gt;ARG1/117</t>
  </si>
  <si>
    <t xml:space="preserve">PAT-&gt;ARG1/117</t>
  </si>
  <si>
    <t xml:space="preserve">ORIG-&gt;ARG2/15</t>
  </si>
  <si>
    <t xml:space="preserve">"posloužit-001"</t>
  </si>
  <si>
    <t xml:space="preserve">?EFF: 1[{jako,jakožto}:/AuxY]; za+4</t>
  </si>
  <si>
    <t xml:space="preserve">"posloužit-002"</t>
  </si>
  <si>
    <t xml:space="preserve">"posmívat-se-001"</t>
  </si>
  <si>
    <t xml:space="preserve">Attitudal(ARG0/7), Evaluee(ARG1/8)</t>
  </si>
  <si>
    <t xml:space="preserve">ACT-&gt;Attitudal(ARG0/7)</t>
  </si>
  <si>
    <t xml:space="preserve">PAT-&gt;Evaluee(ARG1/8)</t>
  </si>
  <si>
    <t xml:space="preserve">"posolit-001"</t>
  </si>
  <si>
    <t xml:space="preserve">"posoudit-001"</t>
  </si>
  <si>
    <t xml:space="preserve">ACT-&gt;ARG0/295,ARG3/2</t>
  </si>
  <si>
    <t xml:space="preserve">PAT: 4; ↓že; ↓zda; ↓zdali; ↓jestli; ↓c</t>
  </si>
  <si>
    <t xml:space="preserve">PAT-&gt;ARG1/426,ARG2/37,ARG3/1</t>
  </si>
  <si>
    <t xml:space="preserve">"posouvat-001"</t>
  </si>
  <si>
    <t xml:space="preserve">"posouvat-002"</t>
  </si>
  <si>
    <t xml:space="preserve">"posouvat-se-001"</t>
  </si>
  <si>
    <t xml:space="preserve">"pospravovat-001"</t>
  </si>
  <si>
    <t xml:space="preserve">"pospíchat-001"</t>
  </si>
  <si>
    <t xml:space="preserve">PAT: s+7; .f</t>
  </si>
  <si>
    <t xml:space="preserve">"pospíchat-002"</t>
  </si>
  <si>
    <t xml:space="preserve">ACT-&gt;ARG0/55,ARG1/30,ARG2/1</t>
  </si>
  <si>
    <t xml:space="preserve">DIR3-&gt;ARG1/26,ARG2/3</t>
  </si>
  <si>
    <t xml:space="preserve">"pospíšit-si-001"</t>
  </si>
  <si>
    <t xml:space="preserve">"pospíšit-si-002"</t>
  </si>
  <si>
    <t xml:space="preserve">Mover(ARG1/2), Place()</t>
  </si>
  <si>
    <t xml:space="preserve">ACT-&gt;Mover(ARG1/2)</t>
  </si>
  <si>
    <t xml:space="preserve">"postarat-se-001"</t>
  </si>
  <si>
    <t xml:space="preserve">PAT: o+4; ↓c; ↓zda; ↓jestli; ↓aby</t>
  </si>
  <si>
    <t xml:space="preserve">"postavit-001"</t>
  </si>
  <si>
    <t xml:space="preserve">"postavit-002"</t>
  </si>
  <si>
    <t xml:space="preserve">"postavit-003"</t>
  </si>
  <si>
    <t xml:space="preserve">EFF: 4[{jako,jakožto}:/AuxY]; za+4</t>
  </si>
  <si>
    <t xml:space="preserve">"postavit-004"</t>
  </si>
  <si>
    <t xml:space="preserve">"postavit-005"</t>
  </si>
  <si>
    <t xml:space="preserve">"postavit-006"</t>
  </si>
  <si>
    <t xml:space="preserve">"postavit-007"</t>
  </si>
  <si>
    <t xml:space="preserve">"postavit-008"</t>
  </si>
  <si>
    <t xml:space="preserve">"postavit-009"</t>
  </si>
  <si>
    <t xml:space="preserve">Protagonist(ARG0/1), Item(ARG1/15), Manner(ARG2/9)</t>
  </si>
  <si>
    <t xml:space="preserve">"postavit-010"</t>
  </si>
  <si>
    <t xml:space="preserve">Protagonist(), Affected(), Hindrance()</t>
  </si>
  <si>
    <t xml:space="preserve">DPHR: překážka.P4</t>
  </si>
  <si>
    <t xml:space="preserve">DPHR[překážka]-&gt;Hindrance</t>
  </si>
  <si>
    <t xml:space="preserve">DPHR[překážka]-&gt;Hindrance()</t>
  </si>
  <si>
    <t xml:space="preserve">"postavit-011"</t>
  </si>
  <si>
    <t xml:space="preserve">DPHR: na-1[noha.P4]</t>
  </si>
  <si>
    <t xml:space="preserve">"postavit-se-001"</t>
  </si>
  <si>
    <t xml:space="preserve">ACT-&gt;ARG0/261,ARG1/4</t>
  </si>
  <si>
    <t xml:space="preserve">PAT: 3; proti+3</t>
  </si>
  <si>
    <t xml:space="preserve">PAT-&gt;ARG1/309</t>
  </si>
  <si>
    <t xml:space="preserve">PAT(3;proti+3)-&gt;Opposed</t>
  </si>
  <si>
    <t xml:space="preserve">PAT(3;proti+3)-&gt;Opposed(ARG1/110)</t>
  </si>
  <si>
    <t xml:space="preserve">"postavit-se-002"</t>
  </si>
  <si>
    <t xml:space="preserve">"postavit-se-003"</t>
  </si>
  <si>
    <t xml:space="preserve">Defender(ARG0/1), Defended(ARG1/1)</t>
  </si>
  <si>
    <t xml:space="preserve">ACT-&gt;Defender(ARG0/1)</t>
  </si>
  <si>
    <t xml:space="preserve">PAT-&gt;Defended(ARG1/1)</t>
  </si>
  <si>
    <t xml:space="preserve">"postavit-se-004"</t>
  </si>
  <si>
    <t xml:space="preserve">ACT-&gt;ARG0/186,ARG1/3</t>
  </si>
  <si>
    <t xml:space="preserve">DIR3-&gt;Function</t>
  </si>
  <si>
    <t xml:space="preserve">DIR3-&gt;Function()</t>
  </si>
  <si>
    <t xml:space="preserve">"postavit-se-005"</t>
  </si>
  <si>
    <t xml:space="preserve">"postavit-se-006"</t>
  </si>
  <si>
    <t xml:space="preserve">DPHR: na-1[noha:P4[vlastní-1.#]]; na-1[noha:P4]</t>
  </si>
  <si>
    <t xml:space="preserve">"postavit-se-007"</t>
  </si>
  <si>
    <t xml:space="preserve">"postavit-se-008"</t>
  </si>
  <si>
    <t xml:space="preserve">DPHR: na-1[hlava.S4]</t>
  </si>
  <si>
    <t xml:space="preserve">"postavit-si-001"</t>
  </si>
  <si>
    <t xml:space="preserve">DPHR: hlava.S4</t>
  </si>
  <si>
    <t xml:space="preserve">"postačit-001"</t>
  </si>
  <si>
    <t xml:space="preserve">"postačovat-001"</t>
  </si>
  <si>
    <t xml:space="preserve">"postesknout-si-001"</t>
  </si>
  <si>
    <t xml:space="preserve">?PAT: na+4; nad+7; ↓že; .s; ↓c</t>
  </si>
  <si>
    <t xml:space="preserve">"postihnout-001"</t>
  </si>
  <si>
    <t xml:space="preserve">PAT: 4; ↓že; ↓jestli; ↓c</t>
  </si>
  <si>
    <t xml:space="preserve">"postihnout-002"</t>
  </si>
  <si>
    <t xml:space="preserve">"postihovat-001"</t>
  </si>
  <si>
    <t xml:space="preserve">"postihovat-002"</t>
  </si>
  <si>
    <t xml:space="preserve">"postit-se-001"</t>
  </si>
  <si>
    <t xml:space="preserve">"postonávat-001"</t>
  </si>
  <si>
    <t xml:space="preserve">"postoupit-001"</t>
  </si>
  <si>
    <t xml:space="preserve">ADDR: 3; na+4</t>
  </si>
  <si>
    <t xml:space="preserve">ADDR-&gt;ARG1/7,ARG2/127</t>
  </si>
  <si>
    <t xml:space="preserve">"postoupit-002"</t>
  </si>
  <si>
    <t xml:space="preserve">"postoupit-003"</t>
  </si>
  <si>
    <t xml:space="preserve">"postoupit-004"</t>
  </si>
  <si>
    <t xml:space="preserve">"postrašit-001"</t>
  </si>
  <si>
    <t xml:space="preserve">"postrkovat-001"</t>
  </si>
  <si>
    <t xml:space="preserve">"postrkovat-002"</t>
  </si>
  <si>
    <t xml:space="preserve">"postrádat-001"</t>
  </si>
  <si>
    <t xml:space="preserve">"postrádat-002"</t>
  </si>
  <si>
    <t xml:space="preserve">ACT-&gt;ARG0/41</t>
  </si>
  <si>
    <t xml:space="preserve">ACT-&gt;Missing(ARG0/41)</t>
  </si>
  <si>
    <t xml:space="preserve">PAT-&gt;ARG1/56,ARG2/1</t>
  </si>
  <si>
    <t xml:space="preserve">PAT-&gt;Missed(ARG1/56,ARG2/1)</t>
  </si>
  <si>
    <t xml:space="preserve">"postrčit-001"</t>
  </si>
  <si>
    <t xml:space="preserve">"postrčit-002"</t>
  </si>
  <si>
    <t xml:space="preserve">"postupovat-001"</t>
  </si>
  <si>
    <t xml:space="preserve">"postupovat-002"</t>
  </si>
  <si>
    <t xml:space="preserve">"postupovat-003"</t>
  </si>
  <si>
    <t xml:space="preserve">"postupovat-004"</t>
  </si>
  <si>
    <t xml:space="preserve">ALT-REG: </t>
  </si>
  <si>
    <t xml:space="preserve">#alt[BEN,LOC,MANN,MEANS,ACMP,CRIT,CPR]-&gt;Manner</t>
  </si>
  <si>
    <t xml:space="preserve">#alt[BEN,LOC,MANN,MEANS,ACMP,CRIT,CPR]-&gt;Manner()</t>
  </si>
  <si>
    <t xml:space="preserve">"postát-001"</t>
  </si>
  <si>
    <t xml:space="preserve">"postát-002"</t>
  </si>
  <si>
    <t xml:space="preserve">"postávat-001"</t>
  </si>
  <si>
    <t xml:space="preserve">"postěžovat-si-001"</t>
  </si>
  <si>
    <t xml:space="preserve">PAT: na+4; ↓že; .s; ↓c</t>
  </si>
  <si>
    <t xml:space="preserve">PAT-&gt;ARG1/90</t>
  </si>
  <si>
    <t xml:space="preserve">ADDR-&gt;Affected(ARG2/6)</t>
  </si>
  <si>
    <t xml:space="preserve">"postřehnout-001"</t>
  </si>
  <si>
    <t xml:space="preserve">PAT-&gt;ARG1/591,ARG2/1,ARG3/4</t>
  </si>
  <si>
    <t xml:space="preserve">PAT-&gt;Perceived(ARG1/591,ARG2/1,ARG3/4)</t>
  </si>
  <si>
    <t xml:space="preserve">"postřelit-001"</t>
  </si>
  <si>
    <t xml:space="preserve">"postříkat-001"</t>
  </si>
  <si>
    <t xml:space="preserve">"postřílet-001"</t>
  </si>
  <si>
    <t xml:space="preserve">"posunkovat-001"</t>
  </si>
  <si>
    <t xml:space="preserve">"posunout-001"</t>
  </si>
  <si>
    <t xml:space="preserve">"posunout-002"</t>
  </si>
  <si>
    <t xml:space="preserve">"posunout-se-001"</t>
  </si>
  <si>
    <t xml:space="preserve">"posunovat-001"</t>
  </si>
  <si>
    <t xml:space="preserve">"posunovat-se-001"</t>
  </si>
  <si>
    <t xml:space="preserve">"posuzovat-001"</t>
  </si>
  <si>
    <t xml:space="preserve">ACT-&gt;ARG0/280,ARG1/1,ARG2/1</t>
  </si>
  <si>
    <t xml:space="preserve">PAT-&gt;ARG1/500</t>
  </si>
  <si>
    <t xml:space="preserve">"posvačit-001"</t>
  </si>
  <si>
    <t xml:space="preserve">"posvítit-001"</t>
  </si>
  <si>
    <t xml:space="preserve">"posvítit-si-001"</t>
  </si>
  <si>
    <t xml:space="preserve">"posvěcovat-001"</t>
  </si>
  <si>
    <t xml:space="preserve">"posvětit-001"</t>
  </si>
  <si>
    <t xml:space="preserve">"posypat-001"</t>
  </si>
  <si>
    <t xml:space="preserve">"posázet-001"</t>
  </si>
  <si>
    <t xml:space="preserve">"posílat-001"</t>
  </si>
  <si>
    <t xml:space="preserve">"posílat-002"</t>
  </si>
  <si>
    <t xml:space="preserve">"posílat-003"</t>
  </si>
  <si>
    <t xml:space="preserve">"posílit-001"</t>
  </si>
  <si>
    <t xml:space="preserve">"posílit-002"</t>
  </si>
  <si>
    <t xml:space="preserve">"posílit-003"</t>
  </si>
  <si>
    <t xml:space="preserve">"posílit-004"</t>
  </si>
  <si>
    <t xml:space="preserve">"posílit-se-001"</t>
  </si>
  <si>
    <t xml:space="preserve">"posílit-se-002"</t>
  </si>
  <si>
    <t xml:space="preserve">"potahovat-001"</t>
  </si>
  <si>
    <t xml:space="preserve">"potatit-se-001"</t>
  </si>
  <si>
    <t xml:space="preserve">"potisknout-001"</t>
  </si>
  <si>
    <t xml:space="preserve">"potit-001"</t>
  </si>
  <si>
    <t xml:space="preserve">DPHR: krev.S4</t>
  </si>
  <si>
    <t xml:space="preserve">"potit-se-001"</t>
  </si>
  <si>
    <t xml:space="preserve">Experiencer(ARG0/3)</t>
  </si>
  <si>
    <t xml:space="preserve">ACT-&gt;Experiencer(ARG0/3)</t>
  </si>
  <si>
    <t xml:space="preserve">"potkat-001"</t>
  </si>
  <si>
    <t xml:space="preserve">"potkat-002"</t>
  </si>
  <si>
    <t xml:space="preserve">"potkat-003"</t>
  </si>
  <si>
    <t xml:space="preserve">"potkat-se-001"</t>
  </si>
  <si>
    <t xml:space="preserve">Participant_1(ARG0/102,ARG1/3), Participant_2(ARG1/79)</t>
  </si>
  <si>
    <t xml:space="preserve">ACT-&gt;ARG0/102,ARG1/3</t>
  </si>
  <si>
    <t xml:space="preserve">ACT-&gt;Participant_1(ARG0/102,ARG1/3)</t>
  </si>
  <si>
    <t xml:space="preserve">PAT-&gt;Participant_2(ARG1/79)</t>
  </si>
  <si>
    <t xml:space="preserve">"--potkat-se-002"</t>
  </si>
  <si>
    <t xml:space="preserve">"potkávat-001"</t>
  </si>
  <si>
    <t xml:space="preserve">"potkávat-002"</t>
  </si>
  <si>
    <t xml:space="preserve">"--potkávat-se-001"</t>
  </si>
  <si>
    <t xml:space="preserve">"potlačit-001"</t>
  </si>
  <si>
    <t xml:space="preserve">"potlačovat-001"</t>
  </si>
  <si>
    <t xml:space="preserve">"potloukat-se-001"</t>
  </si>
  <si>
    <t xml:space="preserve">Mover(ARG1/1), Area()</t>
  </si>
  <si>
    <t xml:space="preserve">"potopit-001"</t>
  </si>
  <si>
    <t xml:space="preserve">"potopit-002"</t>
  </si>
  <si>
    <t xml:space="preserve">"potopit-se-001"</t>
  </si>
  <si>
    <t xml:space="preserve">Disappeared(ARG0/71,ARG1/23), Area(ARG1/78)</t>
  </si>
  <si>
    <t xml:space="preserve">ACT-&gt;ARG0/76,ARG1/1644,ARG2/5</t>
  </si>
  <si>
    <t xml:space="preserve">ACT-&gt;Disappeared(ARG0/71,ARG1/23)</t>
  </si>
  <si>
    <t xml:space="preserve">"potopit-se-002"</t>
  </si>
  <si>
    <t xml:space="preserve">"potratit-001"</t>
  </si>
  <si>
    <t xml:space="preserve">"potrefit-001"</t>
  </si>
  <si>
    <t xml:space="preserve">"potrestat-001"</t>
  </si>
  <si>
    <t xml:space="preserve">"potrhat-se-001"</t>
  </si>
  <si>
    <t xml:space="preserve">DPHR: smích.P7</t>
  </si>
  <si>
    <t xml:space="preserve">"potrpět-si-001"</t>
  </si>
  <si>
    <t xml:space="preserve">"potrvat-001"</t>
  </si>
  <si>
    <t xml:space="preserve">"potrápit-001"</t>
  </si>
  <si>
    <t xml:space="preserve">"potulovat-se-001"</t>
  </si>
  <si>
    <t xml:space="preserve">"potupovat-001"</t>
  </si>
  <si>
    <t xml:space="preserve">"potvrdit-001"</t>
  </si>
  <si>
    <t xml:space="preserve">ACT: 1; z+2; ↓c</t>
  </si>
  <si>
    <t xml:space="preserve">"potvrdit-002"</t>
  </si>
  <si>
    <t xml:space="preserve">Authority(), Protagonist(), Function()</t>
  </si>
  <si>
    <t xml:space="preserve">PAT-&gt;Protagonist()</t>
  </si>
  <si>
    <t xml:space="preserve">EFF: v+6</t>
  </si>
  <si>
    <t xml:space="preserve">"potvrdit-se-001"</t>
  </si>
  <si>
    <t xml:space="preserve">"potvrzovat-001"</t>
  </si>
  <si>
    <t xml:space="preserve">"potvrzovat-002"</t>
  </si>
  <si>
    <t xml:space="preserve">"potvrzovat-se-001"</t>
  </si>
  <si>
    <t xml:space="preserve">"potácet-se-001"</t>
  </si>
  <si>
    <t xml:space="preserve">"potáhnout-001"</t>
  </si>
  <si>
    <t xml:space="preserve">"potáhnout-002"</t>
  </si>
  <si>
    <t xml:space="preserve">"potápět-001"</t>
  </si>
  <si>
    <t xml:space="preserve">"potápět-002"</t>
  </si>
  <si>
    <t xml:space="preserve">"potápět-003"</t>
  </si>
  <si>
    <t xml:space="preserve">"potápět-se-001"</t>
  </si>
  <si>
    <t xml:space="preserve">"potápět-se-002"</t>
  </si>
  <si>
    <t xml:space="preserve">"potírat-001"</t>
  </si>
  <si>
    <t xml:space="preserve">"potírat-002"</t>
  </si>
  <si>
    <t xml:space="preserve">"potýkat-se-001"</t>
  </si>
  <si>
    <t xml:space="preserve">"potýrat-001"</t>
  </si>
  <si>
    <t xml:space="preserve">"potěšit-001"</t>
  </si>
  <si>
    <t xml:space="preserve">ACT: 1; ↓že; .f; ↓když</t>
  </si>
  <si>
    <t xml:space="preserve">ACT-&gt;ARG0/16,ARG1/63,ARG2/9</t>
  </si>
  <si>
    <t xml:space="preserve">ACT-&gt;Stimulus(ARG0/16,ARG1/63,ARG2/9)</t>
  </si>
  <si>
    <t xml:space="preserve">PAT-&gt;ARG0/58,ARG1/33</t>
  </si>
  <si>
    <t xml:space="preserve">PAT-&gt;Experiencer(ARG0/58,ARG1/33)</t>
  </si>
  <si>
    <t xml:space="preserve">"potěšit-se-001"</t>
  </si>
  <si>
    <t xml:space="preserve">"potěžkávat-001"</t>
  </si>
  <si>
    <t xml:space="preserve">"potřebovat-001"</t>
  </si>
  <si>
    <t xml:space="preserve">Protagonist(ARG0/458,ARG1/4,ARG2/4), Required(ARG1/597,ARG2/2), Source(ARG1/3,ARG2/43)</t>
  </si>
  <si>
    <t xml:space="preserve">ACT-&gt;ARG0/458,ARG1/4,ARG2/4</t>
  </si>
  <si>
    <t xml:space="preserve">ACT-&gt;Protagonist(ARG0/458,ARG1/4,ARG2/4)</t>
  </si>
  <si>
    <t xml:space="preserve">PAT-&gt;ARG1/597,ARG2/2</t>
  </si>
  <si>
    <t xml:space="preserve">PAT-&gt;Required(ARG1/597,ARG2/2)</t>
  </si>
  <si>
    <t xml:space="preserve">ORIG-&gt;ARG1/3,ARG2/43</t>
  </si>
  <si>
    <t xml:space="preserve">ORIG-&gt;Source(ARG1/3,ARG2/43)</t>
  </si>
  <si>
    <t xml:space="preserve">"potřebovat-002"</t>
  </si>
  <si>
    <t xml:space="preserve">PAT: 4; .f; ↓aby; ↓c</t>
  </si>
  <si>
    <t xml:space="preserve">"potřebovat-003"</t>
  </si>
  <si>
    <t xml:space="preserve">"potřásat-001"</t>
  </si>
  <si>
    <t xml:space="preserve">"potřást-001"</t>
  </si>
  <si>
    <t xml:space="preserve">?ADDR: :3; s+7</t>
  </si>
  <si>
    <t xml:space="preserve">"potřísnit-001"</t>
  </si>
  <si>
    <t xml:space="preserve">"poukazovat-001"</t>
  </si>
  <si>
    <t xml:space="preserve">ACT-&gt;ARG0/67</t>
  </si>
  <si>
    <t xml:space="preserve">PAT: na+4; ↓že; .s</t>
  </si>
  <si>
    <t xml:space="preserve">PAT-&gt;ARG1/56,ARG2/30</t>
  </si>
  <si>
    <t xml:space="preserve">PAT-&gt;Phenomenon(ARG1/56,ARG2/30)</t>
  </si>
  <si>
    <t xml:space="preserve">"poukázat-001"</t>
  </si>
  <si>
    <t xml:space="preserve">"poukázat-002"</t>
  </si>
  <si>
    <t xml:space="preserve">"pousmát-se-001"</t>
  </si>
  <si>
    <t xml:space="preserve">"poutat-001"</t>
  </si>
  <si>
    <t xml:space="preserve">"poutat-002"</t>
  </si>
  <si>
    <t xml:space="preserve">"poučit-001"</t>
  </si>
  <si>
    <t xml:space="preserve">?PAT: o+6; ↓že; ↓aby; ↓ať; .s; ↓c</t>
  </si>
  <si>
    <t xml:space="preserve">"poučit-se-001"</t>
  </si>
  <si>
    <t xml:space="preserve">PAT: o+6; ↓že; ↓c</t>
  </si>
  <si>
    <t xml:space="preserve">"poučovat-001"</t>
  </si>
  <si>
    <t xml:space="preserve">"poučovat-se-001"</t>
  </si>
  <si>
    <t xml:space="preserve">"pouštět-001"</t>
  </si>
  <si>
    <t xml:space="preserve">"pouštět-002"</t>
  </si>
  <si>
    <t xml:space="preserve">"pouštět-003"</t>
  </si>
  <si>
    <t xml:space="preserve">"pouštět-004"</t>
  </si>
  <si>
    <t xml:space="preserve">"pouštět-005"</t>
  </si>
  <si>
    <t xml:space="preserve">"pouštět-006"</t>
  </si>
  <si>
    <t xml:space="preserve">"pouštět-007"</t>
  </si>
  <si>
    <t xml:space="preserve">"pouštět-008"</t>
  </si>
  <si>
    <t xml:space="preserve">"pouštět-se-001"</t>
  </si>
  <si>
    <t xml:space="preserve">"pouštět-se-002"</t>
  </si>
  <si>
    <t xml:space="preserve">"pouštět-se-003"</t>
  </si>
  <si>
    <t xml:space="preserve">CPHR: do-1[{hospodaření,kontakt,počet,podnik,polemika,popis,práce,výklad,výroba,...}.2]</t>
  </si>
  <si>
    <t xml:space="preserve">"pouštět-se-004"</t>
  </si>
  <si>
    <t xml:space="preserve">"--pouštět-se-005"</t>
  </si>
  <si>
    <t xml:space="preserve">"použít-001"</t>
  </si>
  <si>
    <t xml:space="preserve">"použít-002"</t>
  </si>
  <si>
    <t xml:space="preserve">EFF: jako[.4]</t>
  </si>
  <si>
    <t xml:space="preserve">"používat-001"</t>
  </si>
  <si>
    <t xml:space="preserve">"povalit-001"</t>
  </si>
  <si>
    <t xml:space="preserve">"povařit-001"</t>
  </si>
  <si>
    <t xml:space="preserve">"považovat-001"</t>
  </si>
  <si>
    <t xml:space="preserve">PAT: 4; .f; ↓že; ↓aby; ↓když; ↓c</t>
  </si>
  <si>
    <t xml:space="preserve">EFF: za+4; za-1[.a4]; .a4[{jako,jakožto}:/AuxY]</t>
  </si>
  <si>
    <t xml:space="preserve">"považovat-se-001"</t>
  </si>
  <si>
    <t xml:space="preserve">"považovat-si-001"</t>
  </si>
  <si>
    <t xml:space="preserve">"povdávat-se-001"</t>
  </si>
  <si>
    <t xml:space="preserve">"povinovat-001"</t>
  </si>
  <si>
    <t xml:space="preserve">"povolat-001"</t>
  </si>
  <si>
    <t xml:space="preserve">"povolit-001"</t>
  </si>
  <si>
    <t xml:space="preserve">PAT: 4; .f; ↓aby; ↓ať; ↓že</t>
  </si>
  <si>
    <t xml:space="preserve">"povolit-002"</t>
  </si>
  <si>
    <t xml:space="preserve">"povolit-003"</t>
  </si>
  <si>
    <t xml:space="preserve">ACT-&gt;ARG0/111,ARG1/2</t>
  </si>
  <si>
    <t xml:space="preserve">PAT-&gt;ARG1/215,ARG2/1</t>
  </si>
  <si>
    <t xml:space="preserve">"povolit-004"</t>
  </si>
  <si>
    <t xml:space="preserve">"povolovat-001"</t>
  </si>
  <si>
    <t xml:space="preserve">PAT: 4; ↓aby; .f; ↓že; ↓c</t>
  </si>
  <si>
    <t xml:space="preserve">"povolávat-001"</t>
  </si>
  <si>
    <t xml:space="preserve">"povozit-001"</t>
  </si>
  <si>
    <t xml:space="preserve">"povozit-se-001"</t>
  </si>
  <si>
    <t xml:space="preserve">"povstat-001"</t>
  </si>
  <si>
    <t xml:space="preserve">"povstat-002"</t>
  </si>
  <si>
    <t xml:space="preserve">"povstat-003"</t>
  </si>
  <si>
    <t xml:space="preserve">"povstat-004"</t>
  </si>
  <si>
    <t xml:space="preserve">"povstávat-001"</t>
  </si>
  <si>
    <t xml:space="preserve">"povykládat-001"</t>
  </si>
  <si>
    <t xml:space="preserve">"povykládat-si-001"</t>
  </si>
  <si>
    <t xml:space="preserve">"povyprávět-001"</t>
  </si>
  <si>
    <t xml:space="preserve">"povyrazit-si-001"</t>
  </si>
  <si>
    <t xml:space="preserve">"povyrůst-001"</t>
  </si>
  <si>
    <t xml:space="preserve">"povyrůst-002"</t>
  </si>
  <si>
    <t xml:space="preserve">"povyšovat-001"</t>
  </si>
  <si>
    <t xml:space="preserve">ACT-&gt;ARG0/137,ARG1/5</t>
  </si>
  <si>
    <t xml:space="preserve">PAT-&gt;ARG1/291,ARG2/2,ARG3/2</t>
  </si>
  <si>
    <t xml:space="preserve">EFF-&gt;ARG1/2,ARG2/98,ARG3/2,ARG4/27</t>
  </si>
  <si>
    <t xml:space="preserve">"povyšovat-se-001"</t>
  </si>
  <si>
    <t xml:space="preserve">"povzbudit-001"</t>
  </si>
  <si>
    <t xml:space="preserve">PAT: k+3; ↓aby; do+2</t>
  </si>
  <si>
    <t xml:space="preserve">PAT-&gt;ARG1/3,ARG2/36</t>
  </si>
  <si>
    <t xml:space="preserve">PAT-&gt;Goal(ARG1/3,ARG2/36)</t>
  </si>
  <si>
    <t xml:space="preserve">ADDR-&gt;ARG1/44,ARG2/2</t>
  </si>
  <si>
    <t xml:space="preserve">ADDR-&gt;Influenced(ARG1/44,ARG2/2)</t>
  </si>
  <si>
    <t xml:space="preserve">"povzbudit-002"</t>
  </si>
  <si>
    <t xml:space="preserve">"povzbuzovat-001"</t>
  </si>
  <si>
    <t xml:space="preserve">PAT: k+3; ↓aby; .f; v+6</t>
  </si>
  <si>
    <t xml:space="preserve">"povzbuzovat-002"</t>
  </si>
  <si>
    <t xml:space="preserve">ACT-&gt;ARG0/663,ARG1/7,ARG3/9</t>
  </si>
  <si>
    <t xml:space="preserve">PAT-&gt;ARG1/886,ARG2/19</t>
  </si>
  <si>
    <t xml:space="preserve">"povzdechnout-si-001"</t>
  </si>
  <si>
    <t xml:space="preserve">"povzdychnout-si-001"</t>
  </si>
  <si>
    <t xml:space="preserve">Attitudal(ARG0/1)</t>
  </si>
  <si>
    <t xml:space="preserve">"povzdychnout-si-002"</t>
  </si>
  <si>
    <t xml:space="preserve">EFF-&gt;ARG1/90</t>
  </si>
  <si>
    <t xml:space="preserve">EFF-&gt;Issue</t>
  </si>
  <si>
    <t xml:space="preserve">EFF-&gt;Issue(ARG1/90)</t>
  </si>
  <si>
    <t xml:space="preserve">"povznést-001"</t>
  </si>
  <si>
    <t xml:space="preserve">"povznést-se-001"</t>
  </si>
  <si>
    <t xml:space="preserve">"povážit-001"</t>
  </si>
  <si>
    <t xml:space="preserve">PAT: 4; ↓že; ↓jestli; ↓zda; ↓c; .f</t>
  </si>
  <si>
    <t xml:space="preserve">"povést-se-001"</t>
  </si>
  <si>
    <t xml:space="preserve">"povídat-001"</t>
  </si>
  <si>
    <t xml:space="preserve">ACT-&gt;ARG0/12453,ARG1/38</t>
  </si>
  <si>
    <t xml:space="preserve">PAT-&gt;ARG0/4,ARG1/10918,ARG2/3,ARG3/29</t>
  </si>
  <si>
    <t xml:space="preserve">"povídat-002"</t>
  </si>
  <si>
    <t xml:space="preserve">Information(), Topic()</t>
  </si>
  <si>
    <t xml:space="preserve">EFF-&gt;Information()</t>
  </si>
  <si>
    <t xml:space="preserve">"povídat-003"</t>
  </si>
  <si>
    <t xml:space="preserve">EFF: .s</t>
  </si>
  <si>
    <t xml:space="preserve">"povídat-004"</t>
  </si>
  <si>
    <t xml:space="preserve">"povídat-005"</t>
  </si>
  <si>
    <t xml:space="preserve">PAT: ↓jestli</t>
  </si>
  <si>
    <t xml:space="preserve">"povídat-si-001"</t>
  </si>
  <si>
    <t xml:space="preserve">?PAT: o+6; ↓zda; ↓c</t>
  </si>
  <si>
    <t xml:space="preserve">"povídat-si-002"</t>
  </si>
  <si>
    <t xml:space="preserve">"povýšit-001"</t>
  </si>
  <si>
    <t xml:space="preserve">Namer(ARG0/2), Named(ARG1/9), Name_final(ARG2/8), Name_initial()</t>
  </si>
  <si>
    <t xml:space="preserve">ACT-&gt;ARG0/168,ARG1/5</t>
  </si>
  <si>
    <t xml:space="preserve">ACT-&gt;Namer(ARG0/2)</t>
  </si>
  <si>
    <t xml:space="preserve">PAT-&gt;ARG1/456,ARG2/9,ARG3/2</t>
  </si>
  <si>
    <t xml:space="preserve">PAT-&gt;Named(ARG1/9)</t>
  </si>
  <si>
    <t xml:space="preserve">EFF-&gt;ARG1/3,ARG2/185,ARG3/2,ARG4/27</t>
  </si>
  <si>
    <t xml:space="preserve">EFF-&gt;Name_final</t>
  </si>
  <si>
    <t xml:space="preserve">EFF-&gt;Name_final(ARG2/8)</t>
  </si>
  <si>
    <t xml:space="preserve">"povýšit-002"</t>
  </si>
  <si>
    <t xml:space="preserve">"povědět-001"</t>
  </si>
  <si>
    <t xml:space="preserve">ACT-&gt;ARG0/26351,ARG1/85</t>
  </si>
  <si>
    <t xml:space="preserve">ADDR-&gt;ARG1/24,ARG2/372</t>
  </si>
  <si>
    <t xml:space="preserve">EFF-&gt;ARG0/9,ARG1/23488,ARG2/28,ARG3/58</t>
  </si>
  <si>
    <t xml:space="preserve">EFF-&gt;Information(ARG0/4,ARG1/10918,ARG2/3,ARG3/29)</t>
  </si>
  <si>
    <t xml:space="preserve">PAT-&gt;ARG0/9,ARG1/23488,ARG2/28,ARG3/58</t>
  </si>
  <si>
    <t xml:space="preserve">"pověsit-001"</t>
  </si>
  <si>
    <t xml:space="preserve">ACT-&gt;ARG0/161,ARG1/1</t>
  </si>
  <si>
    <t xml:space="preserve">PAT-&gt;ARG1/261,ARG2/4</t>
  </si>
  <si>
    <t xml:space="preserve">"pověsit-se-001"</t>
  </si>
  <si>
    <t xml:space="preserve">"pověřit-001"</t>
  </si>
  <si>
    <t xml:space="preserve">ACT-&gt;ARG0/321</t>
  </si>
  <si>
    <t xml:space="preserve">PAT: 7; .f; k+3; ↓aby</t>
  </si>
  <si>
    <t xml:space="preserve">PAT-&gt;ARG1/460,ARG2/1</t>
  </si>
  <si>
    <t xml:space="preserve">ADDR-&gt;ARG1/4,ARG2/380</t>
  </si>
  <si>
    <t xml:space="preserve">"pověřovat-001"</t>
  </si>
  <si>
    <t xml:space="preserve">ACT-&gt;ARG0/82</t>
  </si>
  <si>
    <t xml:space="preserve">PAT: 7; k+3; ↓aby; .f</t>
  </si>
  <si>
    <t xml:space="preserve">ADDR-&gt;ARG2/71</t>
  </si>
  <si>
    <t xml:space="preserve">"povšimnout-si-001"</t>
  </si>
  <si>
    <t xml:space="preserve">Perceiver(ARG0/386,ARG1/1), Perceived(ARG1/526,ARG2/1,ARG3/1)</t>
  </si>
  <si>
    <t xml:space="preserve">Cognizer(ARG0/41), Stimulus(ARG1/57)</t>
  </si>
  <si>
    <t xml:space="preserve">ACT-&gt;ARG0/427,ARG1/1</t>
  </si>
  <si>
    <t xml:space="preserve">ACT-&gt;Perceiver(ARG0/386,ARG1/1)</t>
  </si>
  <si>
    <t xml:space="preserve">ACT-&gt;Cognizer(ARG0/41)</t>
  </si>
  <si>
    <t xml:space="preserve">PAT: 2; ↓že; ↓zda; ↓jestli; ↓c</t>
  </si>
  <si>
    <t xml:space="preserve">PAT-&gt;ARG1/583,ARG2/1,ARG3/1</t>
  </si>
  <si>
    <t xml:space="preserve">PAT-&gt;Perceived(ARG1/526,ARG2/1,ARG3/1)</t>
  </si>
  <si>
    <t xml:space="preserve">PAT-&gt;Stimulus(ARG1/57)</t>
  </si>
  <si>
    <t xml:space="preserve">"pozabíjet-001"</t>
  </si>
  <si>
    <t xml:space="preserve">"pozapomenout-001"</t>
  </si>
  <si>
    <t xml:space="preserve">PAT: 4; na+4; ↓že; ↓zda; ↓c; .f</t>
  </si>
  <si>
    <t xml:space="preserve">"pozastavit-001"</t>
  </si>
  <si>
    <t xml:space="preserve">Authority(ARG0/125,ARG1/3,ARG3/3), Mover(ARG0/1,ARG1/229)</t>
  </si>
  <si>
    <t xml:space="preserve">ACT-&gt;ARG0/245,ARG1/3,ARG3/3</t>
  </si>
  <si>
    <t xml:space="preserve">ACT-&gt;Authority(ARG0/125,ARG1/3,ARG3/3)</t>
  </si>
  <si>
    <t xml:space="preserve">PAT-&gt;ARG0/6,ARG1/457</t>
  </si>
  <si>
    <t xml:space="preserve">PAT-&gt;Mover(ARG0/1,ARG1/229)</t>
  </si>
  <si>
    <t xml:space="preserve">"pozastavit-se-001"</t>
  </si>
  <si>
    <t xml:space="preserve">"pozastavit-se-002"</t>
  </si>
  <si>
    <t xml:space="preserve">"pozastavit-se-003"</t>
  </si>
  <si>
    <t xml:space="preserve">"pozastavovat-001"</t>
  </si>
  <si>
    <t xml:space="preserve">"pozastavovat-002"</t>
  </si>
  <si>
    <t xml:space="preserve">"pozastavovat-se-001"</t>
  </si>
  <si>
    <t xml:space="preserve">"pozatýkat-001"</t>
  </si>
  <si>
    <t xml:space="preserve">"pozbýt-001"</t>
  </si>
  <si>
    <t xml:space="preserve">"pozbýt-002"</t>
  </si>
  <si>
    <t xml:space="preserve">CPHR: {naděje,odvaha,smysl,vtipnost,...}.2; {naděje,odvaha,smysl,vtipnost,...}.4</t>
  </si>
  <si>
    <t xml:space="preserve">"pozbývat-001"</t>
  </si>
  <si>
    <t xml:space="preserve">CPHR: {naděje,odvaha,platnost,smysl,vtipnost,...}.2; {naděje,odvaha,platnost,smysl,vtipnost,...}.4</t>
  </si>
  <si>
    <t xml:space="preserve">"pozdravit-001"</t>
  </si>
  <si>
    <t xml:space="preserve">"pozdravit-002"</t>
  </si>
  <si>
    <t xml:space="preserve">"--pozdravit-se-001"</t>
  </si>
  <si>
    <t xml:space="preserve">"pozdravovat-001"</t>
  </si>
  <si>
    <t xml:space="preserve">"pozdržet-001"</t>
  </si>
  <si>
    <t xml:space="preserve">"pozdržovat-001"</t>
  </si>
  <si>
    <t xml:space="preserve">"pozdvihnout-001"</t>
  </si>
  <si>
    <t xml:space="preserve">"pozměnit-001"</t>
  </si>
  <si>
    <t xml:space="preserve">"pozměňovat-001"</t>
  </si>
  <si>
    <t xml:space="preserve">"poznamenat-001"</t>
  </si>
  <si>
    <t xml:space="preserve">"poznamenat-002"</t>
  </si>
  <si>
    <t xml:space="preserve">"poznamenat-003"</t>
  </si>
  <si>
    <t xml:space="preserve">EFF: 4; ↓že; ↓ať; ↓aby; ↓zda; ↓jak-2; .s; ↓c</t>
  </si>
  <si>
    <t xml:space="preserve">"poznamenat-004"</t>
  </si>
  <si>
    <t xml:space="preserve">EFF: 4; ↓že; ↓ať; ↓aby; ↓zda; .s; ↓c</t>
  </si>
  <si>
    <t xml:space="preserve">"poznamenat-005"</t>
  </si>
  <si>
    <t xml:space="preserve">"poznamenat-se-001"</t>
  </si>
  <si>
    <t xml:space="preserve">"poznamenávat-001"</t>
  </si>
  <si>
    <t xml:space="preserve">"poznamenávat-002"</t>
  </si>
  <si>
    <t xml:space="preserve">"poznamenávat-003"</t>
  </si>
  <si>
    <t xml:space="preserve">"poznamenávat-004"</t>
  </si>
  <si>
    <t xml:space="preserve">"poznat-001"</t>
  </si>
  <si>
    <t xml:space="preserve">"poznat-002"</t>
  </si>
  <si>
    <t xml:space="preserve">"poznat-003"</t>
  </si>
  <si>
    <t xml:space="preserve">PAT: 4; 2; ↓že; ↓zda; ↓jestli; ↓c</t>
  </si>
  <si>
    <t xml:space="preserve">"poznat-004"</t>
  </si>
  <si>
    <t xml:space="preserve">PAT: 4; ↓c; ↓že; ↓jestli</t>
  </si>
  <si>
    <t xml:space="preserve">"poznat-005"</t>
  </si>
  <si>
    <t xml:space="preserve">Cognizer(ARG0/9), Person(ARG1/11)</t>
  </si>
  <si>
    <t xml:space="preserve">ACT-&gt;Cognizer(ARG0/9)</t>
  </si>
  <si>
    <t xml:space="preserve">PAT-&gt;Person(ARG1/11)</t>
  </si>
  <si>
    <t xml:space="preserve">"--poznat-se-001"</t>
  </si>
  <si>
    <t xml:space="preserve">"poznačit-001"</t>
  </si>
  <si>
    <t xml:space="preserve">"poznávat-001"</t>
  </si>
  <si>
    <t xml:space="preserve">"poznávat-002"</t>
  </si>
  <si>
    <t xml:space="preserve">"poznávat-003"</t>
  </si>
  <si>
    <t xml:space="preserve">"pozorovat-001"</t>
  </si>
  <si>
    <t xml:space="preserve">"pozorovat-002"</t>
  </si>
  <si>
    <t xml:space="preserve">"poztrácet-001"</t>
  </si>
  <si>
    <t xml:space="preserve">"pozvat-001"</t>
  </si>
  <si>
    <t xml:space="preserve">Agent(ARG0/12), Impactee(ARG1/20), Place()</t>
  </si>
  <si>
    <t xml:space="preserve">PAT-&gt;Impactee(ARG1/20)</t>
  </si>
  <si>
    <t xml:space="preserve">"pozvedat-001"</t>
  </si>
  <si>
    <t xml:space="preserve">"pozvednout-001"</t>
  </si>
  <si>
    <t xml:space="preserve">"pozvednout-002"</t>
  </si>
  <si>
    <t xml:space="preserve">ACT-&gt;ARG0/803,ARG1/74,ARG2/17,ARG3/9</t>
  </si>
  <si>
    <t xml:space="preserve">PAT-&gt;ARG1/1196,ARG2/17,ARG4/70</t>
  </si>
  <si>
    <t xml:space="preserve">"pozvednout-003"</t>
  </si>
  <si>
    <t xml:space="preserve">DPHR: obočí.S4</t>
  </si>
  <si>
    <t xml:space="preserve">"pozvednout-se-001"</t>
  </si>
  <si>
    <t xml:space="preserve">"pozvedávat-001"</t>
  </si>
  <si>
    <t xml:space="preserve">"pozvedávat-002"</t>
  </si>
  <si>
    <t xml:space="preserve">"pozřít-001"</t>
  </si>
  <si>
    <t xml:space="preserve">"pozůstavit-001"</t>
  </si>
  <si>
    <t xml:space="preserve">"počastovat-001"</t>
  </si>
  <si>
    <t xml:space="preserve">"počeštit-001"</t>
  </si>
  <si>
    <t xml:space="preserve">"počešťovat-001"</t>
  </si>
  <si>
    <t xml:space="preserve">"počkat-001"</t>
  </si>
  <si>
    <t xml:space="preserve">PAT: na+4; ↓jestli; ↓až-2; ↓zda; ↓dokud; ↓c; ↓než-2</t>
  </si>
  <si>
    <t xml:space="preserve">"počkat-si-001"</t>
  </si>
  <si>
    <t xml:space="preserve">PAT: na+4; ↓c; ↓až-2</t>
  </si>
  <si>
    <t xml:space="preserve">"počurat-se-001"</t>
  </si>
  <si>
    <t xml:space="preserve">"počíhat-si-001"</t>
  </si>
  <si>
    <t xml:space="preserve">"počínat-001"</t>
  </si>
  <si>
    <t xml:space="preserve">"--počínat-se-001"</t>
  </si>
  <si>
    <t xml:space="preserve">"počínat-si-001"</t>
  </si>
  <si>
    <t xml:space="preserve">"počíst-si-001"</t>
  </si>
  <si>
    <t xml:space="preserve">?EFF: 4</t>
  </si>
  <si>
    <t xml:space="preserve">"počít-001"</t>
  </si>
  <si>
    <t xml:space="preserve">"počít-002"</t>
  </si>
  <si>
    <t xml:space="preserve">"počít-si-001"</t>
  </si>
  <si>
    <t xml:space="preserve">DPHR: co-1.P4</t>
  </si>
  <si>
    <t xml:space="preserve">"počítat-001"</t>
  </si>
  <si>
    <t xml:space="preserve">"počítat-002"</t>
  </si>
  <si>
    <t xml:space="preserve">Agent(ARG0/42,ARG1/1), Valued(ARG1/58), Source()</t>
  </si>
  <si>
    <t xml:space="preserve">ACT-&gt;ARG0/42,ARG1/1</t>
  </si>
  <si>
    <t xml:space="preserve">ACT-&gt;Agent(ARG0/42,ARG1/1)</t>
  </si>
  <si>
    <t xml:space="preserve">PAT-&gt;Valued(ARG1/58)</t>
  </si>
  <si>
    <t xml:space="preserve">"počítat-003"</t>
  </si>
  <si>
    <t xml:space="preserve">EFF: za+4; 4[{jako,jakožto}:/AuxY]</t>
  </si>
  <si>
    <t xml:space="preserve">"počítat-004"</t>
  </si>
  <si>
    <t xml:space="preserve">"počítat-005"</t>
  </si>
  <si>
    <t xml:space="preserve">"počítat-006"</t>
  </si>
  <si>
    <t xml:space="preserve">PAT: 4; ↓že; ↓zda; ↓jestli; .v[kolik]</t>
  </si>
  <si>
    <t xml:space="preserve">"počítat-007"</t>
  </si>
  <si>
    <t xml:space="preserve">"pořezat-se-001"</t>
  </si>
  <si>
    <t xml:space="preserve">"pořizovat-001"</t>
  </si>
  <si>
    <t xml:space="preserve">"pořizovat-002"</t>
  </si>
  <si>
    <t xml:space="preserve">CPHR: {dopis,fotka,fotografie,kopie,výstup,zápis,záznam,...}.4</t>
  </si>
  <si>
    <t xml:space="preserve">CPHR-&gt;ARG1/918,ARG3/1,ARG4/5</t>
  </si>
  <si>
    <t xml:space="preserve">CPHR-&gt;Created</t>
  </si>
  <si>
    <t xml:space="preserve">CPHR-&gt;Created(ARG1/918,ARG3/1,ARG4/5)</t>
  </si>
  <si>
    <t xml:space="preserve">"pořizovat-003"</t>
  </si>
  <si>
    <t xml:space="preserve">"pořádat-001"</t>
  </si>
  <si>
    <t xml:space="preserve">Host(ARG0/310,ARG1/1), Event(ARG1/418)</t>
  </si>
  <si>
    <t xml:space="preserve">ACT-&gt;ARG0/496,ARG1/1</t>
  </si>
  <si>
    <t xml:space="preserve">ACT-&gt;Host(ARG0/310,ARG1/1)</t>
  </si>
  <si>
    <t xml:space="preserve">PAT-&gt;ARG1/775</t>
  </si>
  <si>
    <t xml:space="preserve">PAT-&gt;Event(ARG1/418)</t>
  </si>
  <si>
    <t xml:space="preserve">"pořídit-001"</t>
  </si>
  <si>
    <t xml:space="preserve">"pořídit-002"</t>
  </si>
  <si>
    <t xml:space="preserve">BEN-&gt;ARG1/2,ARG2/2,ARGM-MNR/22</t>
  </si>
  <si>
    <t xml:space="preserve">#alt[BEN,MANN,MEANS,ACMP,CRIT,CPR]-&gt;Manner</t>
  </si>
  <si>
    <t xml:space="preserve">#alt[BEN,MANN,MEANS,ACMP,CRIT,CPR]-&gt;Manner(ARG1/2,ARG2/2,ARGM-MNR/22)</t>
  </si>
  <si>
    <t xml:space="preserve">MEANS-&gt;ARG1/2,ARG2/2,ARGM-MNR/22</t>
  </si>
  <si>
    <t xml:space="preserve">ACMP-&gt;ARG1/2,ARG2/2,ARGM-MNR/22</t>
  </si>
  <si>
    <t xml:space="preserve">CRIT-&gt;ARG1/2,ARG2/2,ARGM-MNR/22</t>
  </si>
  <si>
    <t xml:space="preserve">CPR-&gt;ARG1/2,ARG2/2,ARGM-MNR/22</t>
  </si>
  <si>
    <t xml:space="preserve">"pořídit-003"</t>
  </si>
  <si>
    <t xml:space="preserve">CPHR: {dokumentace,fotka,fotografie,obrázek,snímek,záběr,zápis,záznam,...}.4</t>
  </si>
  <si>
    <t xml:space="preserve">"pořídit-004"</t>
  </si>
  <si>
    <t xml:space="preserve">"pořídit-005"</t>
  </si>
  <si>
    <t xml:space="preserve">"pošeptat-001"</t>
  </si>
  <si>
    <t xml:space="preserve">EFF: 4; ↓že; ↓aby; ↓ať; ↓jak-2; .s; ↓c</t>
  </si>
  <si>
    <t xml:space="preserve">"poškodit-001"</t>
  </si>
  <si>
    <t xml:space="preserve">"poškorpit-se-001"</t>
  </si>
  <si>
    <t xml:space="preserve">?PAT: o+4; ↓zda; ↓jestli; ↓c; .s</t>
  </si>
  <si>
    <t xml:space="preserve">"poškozovat-001"</t>
  </si>
  <si>
    <t xml:space="preserve">"poškrábat-001"</t>
  </si>
  <si>
    <t xml:space="preserve">"pošlapávat-001"</t>
  </si>
  <si>
    <t xml:space="preserve">"pošpinit-001"</t>
  </si>
  <si>
    <t xml:space="preserve">ACT-&gt;ARG0/99,ARG2/3</t>
  </si>
  <si>
    <t xml:space="preserve">PAT-&gt;ARG1/139</t>
  </si>
  <si>
    <t xml:space="preserve">"pošramotit-001"</t>
  </si>
  <si>
    <t xml:space="preserve">ACT-&gt;ARG0/139,ARG1/3,ARG2/41</t>
  </si>
  <si>
    <t xml:space="preserve">PAT-&gt;ARG1/239,ARG2/4</t>
  </si>
  <si>
    <t xml:space="preserve">"poštvat-001"</t>
  </si>
  <si>
    <t xml:space="preserve">PAT: proti+3; na+4</t>
  </si>
  <si>
    <t xml:space="preserve">"poštvávat-001"</t>
  </si>
  <si>
    <t xml:space="preserve">"poštípat-001"</t>
  </si>
  <si>
    <t xml:space="preserve">"poštěstit-se-001"</t>
  </si>
  <si>
    <t xml:space="preserve">"pošupovat-001"</t>
  </si>
  <si>
    <t xml:space="preserve">"pošušňávat-si-001"</t>
  </si>
  <si>
    <t xml:space="preserve">"pošťuchovat-se-001"</t>
  </si>
  <si>
    <t xml:space="preserve">"požadovat-001"</t>
  </si>
  <si>
    <t xml:space="preserve">Claimant(ARG0/109), Required(ARG1/137)</t>
  </si>
  <si>
    <t xml:space="preserve">ACT-&gt;ARG0/1221,ARG1/3,ARG2/4</t>
  </si>
  <si>
    <t xml:space="preserve">ACT-&gt;Claimant(ARG0/109)</t>
  </si>
  <si>
    <t xml:space="preserve">PAT: 4; ↓aby; ↓ať; .f</t>
  </si>
  <si>
    <t xml:space="preserve">PAT-&gt;ARG1/1411,ARG2/84</t>
  </si>
  <si>
    <t xml:space="preserve">PAT-&gt;Required(ARG1/137)</t>
  </si>
  <si>
    <t xml:space="preserve">?ORIG: od+2; po+6; na+6</t>
  </si>
  <si>
    <t xml:space="preserve">ORIG-&gt;ARG1/83,ARG2/183</t>
  </si>
  <si>
    <t xml:space="preserve">ORIG-&gt;Authority</t>
  </si>
  <si>
    <t xml:space="preserve">ORIG-&gt;Authority(ARG1/8,ARG2/3)</t>
  </si>
  <si>
    <t xml:space="preserve">"požehnat-001"</t>
  </si>
  <si>
    <t xml:space="preserve">"požehnat-002"</t>
  </si>
  <si>
    <t xml:space="preserve">"požádat-001"</t>
  </si>
  <si>
    <t xml:space="preserve">PAT: o+4; ↓aby; ↓ať; ↓zda; ↓jestli; .s; ↓že</t>
  </si>
  <si>
    <t xml:space="preserve">ADDR-&gt;ARG1/75,ARG2/180</t>
  </si>
  <si>
    <t xml:space="preserve">"požírat-001"</t>
  </si>
  <si>
    <t xml:space="preserve">"požírat-002"</t>
  </si>
  <si>
    <t xml:space="preserve">"požít-001"</t>
  </si>
  <si>
    <t xml:space="preserve">"požívat-001"</t>
  </si>
  <si>
    <t xml:space="preserve">"požívat-002"</t>
  </si>
  <si>
    <t xml:space="preserve">"pracovat-001"</t>
  </si>
  <si>
    <t xml:space="preserve">ACT-&gt;ARG0/231,ARG1/1</t>
  </si>
  <si>
    <t xml:space="preserve">PAT-&gt;ARG1/120,ARG2/37,ARG3/1</t>
  </si>
  <si>
    <t xml:space="preserve">"pracovat-002"</t>
  </si>
  <si>
    <t xml:space="preserve">"pracovat-003"</t>
  </si>
  <si>
    <t xml:space="preserve">"pracovat-004"</t>
  </si>
  <si>
    <t xml:space="preserve">ACT-&gt;ARG0/427,ARG1/3</t>
  </si>
  <si>
    <t xml:space="preserve">"pracovat-005"</t>
  </si>
  <si>
    <t xml:space="preserve">"pracovat-006"</t>
  </si>
  <si>
    <t xml:space="preserve">"prahnout-001"</t>
  </si>
  <si>
    <t xml:space="preserve">Protagonist(ARG0/9), Desirable(ARG1/8)</t>
  </si>
  <si>
    <t xml:space="preserve">PAT-&gt;Desirable(ARG1/8)</t>
  </si>
  <si>
    <t xml:space="preserve">"praktikovat-001"</t>
  </si>
  <si>
    <t xml:space="preserve">"pramenit-001"</t>
  </si>
  <si>
    <t xml:space="preserve">PAT: z+2; od+2; odtud; odsud; odkudkoliv; odevšad; odtamtud; odjinud; odkud; odněkud; odnikud; odkudsi</t>
  </si>
  <si>
    <t xml:space="preserve">"pramenit-002"</t>
  </si>
  <si>
    <t xml:space="preserve">"pranýřovat-001"</t>
  </si>
  <si>
    <t xml:space="preserve">"praskat-001"</t>
  </si>
  <si>
    <t xml:space="preserve">"praskat-002"</t>
  </si>
  <si>
    <t xml:space="preserve">DPHR: v-1[šev.P6]</t>
  </si>
  <si>
    <t xml:space="preserve">"prasknout-001"</t>
  </si>
  <si>
    <t xml:space="preserve">"prasknout-002"</t>
  </si>
  <si>
    <t xml:space="preserve">"pravit-001"</t>
  </si>
  <si>
    <t xml:space="preserve">"pravit-002"</t>
  </si>
  <si>
    <t xml:space="preserve">PAT: tak-3</t>
  </si>
  <si>
    <t xml:space="preserve">"pravit-003"</t>
  </si>
  <si>
    <t xml:space="preserve">EFF: 4; ↓že; ↓aby; ↓ať; ↓jak-2; ↓jestli; tak.d; .s; ↓c</t>
  </si>
  <si>
    <t xml:space="preserve">"praštit-001"</t>
  </si>
  <si>
    <t xml:space="preserve">"praštit-002"</t>
  </si>
  <si>
    <t xml:space="preserve">"praštit-003"</t>
  </si>
  <si>
    <t xml:space="preserve">"praštět-001"</t>
  </si>
  <si>
    <t xml:space="preserve">"pražit-001"</t>
  </si>
  <si>
    <t xml:space="preserve">"prchat-001"</t>
  </si>
  <si>
    <t xml:space="preserve">?PAT: 3; před+7</t>
  </si>
  <si>
    <t xml:space="preserve">"prchat-002"</t>
  </si>
  <si>
    <t xml:space="preserve">"prchnout-001"</t>
  </si>
  <si>
    <t xml:space="preserve">"predisponovat-001"</t>
  </si>
  <si>
    <t xml:space="preserve">"preferovat-001"</t>
  </si>
  <si>
    <t xml:space="preserve">?EFF: před+7; proti+3; oproti+3</t>
  </si>
  <si>
    <t xml:space="preserve">EFF-&gt;ARG2/7</t>
  </si>
  <si>
    <t xml:space="preserve">EFF-&gt;Entity_2(ARG2/7)</t>
  </si>
  <si>
    <t xml:space="preserve">"prezentovat-001"</t>
  </si>
  <si>
    <t xml:space="preserve">"prezentovat-002"</t>
  </si>
  <si>
    <t xml:space="preserve">"prezentovat-se-001"</t>
  </si>
  <si>
    <t xml:space="preserve">Boaster(ARG0/3), Audience_Addressee(ARG1/3)</t>
  </si>
  <si>
    <t xml:space="preserve">ACT-&gt;Boaster(ARG0/3)</t>
  </si>
  <si>
    <t xml:space="preserve">PAT-&gt;Audience_Addressee(ARG1/3)</t>
  </si>
  <si>
    <t xml:space="preserve">"prezentovat-se-002"</t>
  </si>
  <si>
    <t xml:space="preserve">#alt[MANN,MEANS,ACMP,CRIT,CPR]-&gt;Manner(ARG1/2,ARG2/2,ARGM-MNR/22)</t>
  </si>
  <si>
    <t xml:space="preserve">"privatizovat-001"</t>
  </si>
  <si>
    <t xml:space="preserve">Authority(ARG0/3), Property(ARG1/6)</t>
  </si>
  <si>
    <t xml:space="preserve">PAT-&gt;Property(ARG1/6)</t>
  </si>
  <si>
    <t xml:space="preserve">"probarvovat-001"</t>
  </si>
  <si>
    <t xml:space="preserve">"probdít-001"</t>
  </si>
  <si>
    <t xml:space="preserve">"problematizovat-001"</t>
  </si>
  <si>
    <t xml:space="preserve">"problesknout-001"</t>
  </si>
  <si>
    <t xml:space="preserve">ACT-&gt;ARG0/1,ARG1/145</t>
  </si>
  <si>
    <t xml:space="preserve">"probleskovat-001"</t>
  </si>
  <si>
    <t xml:space="preserve">"probodnout-001"</t>
  </si>
  <si>
    <t xml:space="preserve">"probojovat-se-001"</t>
  </si>
  <si>
    <t xml:space="preserve">Innovator(), Goal()</t>
  </si>
  <si>
    <t xml:space="preserve">ACT-&gt;Innovator</t>
  </si>
  <si>
    <t xml:space="preserve">ACT-&gt;Innovator()</t>
  </si>
  <si>
    <t xml:space="preserve">"probouzet-001"</t>
  </si>
  <si>
    <t xml:space="preserve">CPHR: {dojem,nostalgie,pocit,pohoršení,touha,zájem,žárlivost,...}.4</t>
  </si>
  <si>
    <t xml:space="preserve">"probouzet-002"</t>
  </si>
  <si>
    <t xml:space="preserve">"probouzet-se-001"</t>
  </si>
  <si>
    <t xml:space="preserve">"probořit-se-001"</t>
  </si>
  <si>
    <t xml:space="preserve">"probrat-001"</t>
  </si>
  <si>
    <t xml:space="preserve">"probrat-002"</t>
  </si>
  <si>
    <t xml:space="preserve">"probrat-003"</t>
  </si>
  <si>
    <t xml:space="preserve">"probrat-004"</t>
  </si>
  <si>
    <t xml:space="preserve">Sorter(ARG0/1), Sorted(ARG1/6)</t>
  </si>
  <si>
    <t xml:space="preserve">ACT-&gt;Sorter</t>
  </si>
  <si>
    <t xml:space="preserve">ACT-&gt;Sorter(ARG0/1)</t>
  </si>
  <si>
    <t xml:space="preserve">PAT-&gt;Sorted</t>
  </si>
  <si>
    <t xml:space="preserve">PAT-&gt;Sorted(ARG1/6)</t>
  </si>
  <si>
    <t xml:space="preserve">"probrat-se-001"</t>
  </si>
  <si>
    <t xml:space="preserve">"probrat-se-002"</t>
  </si>
  <si>
    <t xml:space="preserve">DIR2-&gt;ARG1/6</t>
  </si>
  <si>
    <t xml:space="preserve">DIR2-&gt;Sorted</t>
  </si>
  <si>
    <t xml:space="preserve">DIR2-&gt;Sorted(ARG1/6)</t>
  </si>
  <si>
    <t xml:space="preserve">"probudit-001"</t>
  </si>
  <si>
    <t xml:space="preserve">ACT-&gt;ARG0/3,ARG1/9</t>
  </si>
  <si>
    <t xml:space="preserve">PAT-&gt;ARG0/1,ARG1/12</t>
  </si>
  <si>
    <t xml:space="preserve">PAT-&gt;Protagonist(ARG0/1,ARG1/9)</t>
  </si>
  <si>
    <t xml:space="preserve">"probudit-002"</t>
  </si>
  <si>
    <t xml:space="preserve">"probudit-003"</t>
  </si>
  <si>
    <t xml:space="preserve">CPHR: {dojem,nostalgie,pocit,pohoršení,povaha,touha,zájem,zdání,zvědavost,...}.4</t>
  </si>
  <si>
    <t xml:space="preserve">"probudit-se-001"</t>
  </si>
  <si>
    <t xml:space="preserve">"probudit-se-002"</t>
  </si>
  <si>
    <t xml:space="preserve">"probudit-se-003"</t>
  </si>
  <si>
    <t xml:space="preserve">DPHR: k-1[život.S3]</t>
  </si>
  <si>
    <t xml:space="preserve">"probádat-001"</t>
  </si>
  <si>
    <t xml:space="preserve">"probíhat-001"</t>
  </si>
  <si>
    <t xml:space="preserve">"probíhat-002"</t>
  </si>
  <si>
    <t xml:space="preserve">"probíhat-003"</t>
  </si>
  <si>
    <t xml:space="preserve">DPHR: jako[po-1[máslo.S6]]</t>
  </si>
  <si>
    <t xml:space="preserve">"probíhat-004"</t>
  </si>
  <si>
    <t xml:space="preserve">"probírat-001"</t>
  </si>
  <si>
    <t xml:space="preserve">"probírat-002"</t>
  </si>
  <si>
    <t xml:space="preserve">"probírat-003"</t>
  </si>
  <si>
    <t xml:space="preserve">"probírat-004"</t>
  </si>
  <si>
    <t xml:space="preserve">"probírat-se-001"</t>
  </si>
  <si>
    <t xml:space="preserve">"probírat-se-002"</t>
  </si>
  <si>
    <t xml:space="preserve">"probít-se-001"</t>
  </si>
  <si>
    <t xml:space="preserve">"proběhnout-001"</t>
  </si>
  <si>
    <t xml:space="preserve">"proběhnout-002"</t>
  </si>
  <si>
    <t xml:space="preserve">"proběhnout-003"</t>
  </si>
  <si>
    <t xml:space="preserve">"proběhnout-004"</t>
  </si>
  <si>
    <t xml:space="preserve">"proběhnout-se-001"</t>
  </si>
  <si>
    <t xml:space="preserve">"procedit-001"</t>
  </si>
  <si>
    <t xml:space="preserve">"procedit-002"</t>
  </si>
  <si>
    <t xml:space="preserve">"procestovat-001"</t>
  </si>
  <si>
    <t xml:space="preserve">"prochodit-001"</t>
  </si>
  <si>
    <t xml:space="preserve">"procházet-001"</t>
  </si>
  <si>
    <t xml:space="preserve">"procházet-002"</t>
  </si>
  <si>
    <t xml:space="preserve">Inspector(ARG0/12), Area(ARG1/11)</t>
  </si>
  <si>
    <t xml:space="preserve">ACT-&gt;Inspector(ARG0/12)</t>
  </si>
  <si>
    <t xml:space="preserve">PAT-&gt;Area(ARG1/11)</t>
  </si>
  <si>
    <t xml:space="preserve">"procházet-003"</t>
  </si>
  <si>
    <t xml:space="preserve">DIR2-&gt;ARG1/48,ARG2/10</t>
  </si>
  <si>
    <t xml:space="preserve">DIR2-&gt;Experience</t>
  </si>
  <si>
    <t xml:space="preserve">DIR2-&gt;Experience(ARG1/48,ARG2/10)</t>
  </si>
  <si>
    <t xml:space="preserve">"procházet-004"</t>
  </si>
  <si>
    <t xml:space="preserve">Mover(ARG0/1,ARG1/11), Path()</t>
  </si>
  <si>
    <t xml:space="preserve">ACT-&gt;ARG0/3,ARG1/13</t>
  </si>
  <si>
    <t xml:space="preserve">ACT-&gt;Mover(ARG0/1,ARG1/11)</t>
  </si>
  <si>
    <t xml:space="preserve">DIR2-&gt;Path()</t>
  </si>
  <si>
    <t xml:space="preserve">"procházet-005"</t>
  </si>
  <si>
    <t xml:space="preserve">DPHR: zkouška.S7[oheň.S7]</t>
  </si>
  <si>
    <t xml:space="preserve">DPHR-&gt;ARG1/48,ARG2/10</t>
  </si>
  <si>
    <t xml:space="preserve">DPHR[zkouškou ohněm]-&gt;Experience</t>
  </si>
  <si>
    <t xml:space="preserve">DPHR[zkouškou ohněm]-&gt;Experience(ARG1/48,ARG2/10)</t>
  </si>
  <si>
    <t xml:space="preserve">"procházet-006"</t>
  </si>
  <si>
    <t xml:space="preserve">"procházet-se-001"</t>
  </si>
  <si>
    <t xml:space="preserve">"procitnout-001"</t>
  </si>
  <si>
    <t xml:space="preserve">"proclít-001"</t>
  </si>
  <si>
    <t xml:space="preserve">"proclívat-001"</t>
  </si>
  <si>
    <t xml:space="preserve">"procvičit-001"</t>
  </si>
  <si>
    <t xml:space="preserve">"procvičit-002"</t>
  </si>
  <si>
    <t xml:space="preserve">"procvičovat-001"</t>
  </si>
  <si>
    <t xml:space="preserve">"procvičovat-002"</t>
  </si>
  <si>
    <t xml:space="preserve">"prodat-001"</t>
  </si>
  <si>
    <t xml:space="preserve">"prodchnout-001"</t>
  </si>
  <si>
    <t xml:space="preserve">Connector(ARG0/41), Entity_1(ARG1/144,ARG2/4), Entity_2(ARG1/96,ARG2/82)</t>
  </si>
  <si>
    <t xml:space="preserve">ACT-&gt;Connector(ARG0/41)</t>
  </si>
  <si>
    <t xml:space="preserve">PAT-&gt;ARG1/144,ARG2/4</t>
  </si>
  <si>
    <t xml:space="preserve">PAT-&gt;Entity_1(ARG1/144,ARG2/4)</t>
  </si>
  <si>
    <t xml:space="preserve">"prodiskutovat-001"</t>
  </si>
  <si>
    <t xml:space="preserve">"prodiskutovávat-001"</t>
  </si>
  <si>
    <t xml:space="preserve">"prodloužit-001"</t>
  </si>
  <si>
    <t xml:space="preserve">Agent(ARG0/42), Entity(ARG1/82), Value_final(ARG1/2,ARG2/16,ARG4/1), Value_initial(ARG3/1), Difference(ARG2/9)</t>
  </si>
  <si>
    <t xml:space="preserve">ACT-&gt;ARG0/42</t>
  </si>
  <si>
    <t xml:space="preserve">ACT-&gt;Agent(ARG0/42)</t>
  </si>
  <si>
    <t xml:space="preserve">PAT-&gt;Entity(ARG1/82)</t>
  </si>
  <si>
    <t xml:space="preserve">ORIG-&gt;Value_initial(ARG3/1)</t>
  </si>
  <si>
    <t xml:space="preserve">EFF-&gt;ARG1/2,ARG2/16,ARG4/1</t>
  </si>
  <si>
    <t xml:space="preserve">EFF-&gt;Value_final(ARG1/2,ARG2/16,ARG4/1)</t>
  </si>
  <si>
    <t xml:space="preserve">"prodloužit-se-001"</t>
  </si>
  <si>
    <t xml:space="preserve">Changing(ARG1/3), Value_initial(), Value_final()</t>
  </si>
  <si>
    <t xml:space="preserve">"prodlužovat-001"</t>
  </si>
  <si>
    <t xml:space="preserve">"prodlužovat-se-001"</t>
  </si>
  <si>
    <t xml:space="preserve">"prodrat-se-001"</t>
  </si>
  <si>
    <t xml:space="preserve">DIR2-&gt;ARG0/1,ARG1/241</t>
  </si>
  <si>
    <t xml:space="preserve">DIR2-&gt;Hindrance</t>
  </si>
  <si>
    <t xml:space="preserve">DIR2-&gt;Hindrance(ARG0/1,ARG1/241)</t>
  </si>
  <si>
    <t xml:space="preserve">"prodrat-se-002"</t>
  </si>
  <si>
    <t xml:space="preserve">"prodražit-001"</t>
  </si>
  <si>
    <t xml:space="preserve">"prodražit-se-001"</t>
  </si>
  <si>
    <t xml:space="preserve">"prodražovat-001"</t>
  </si>
  <si>
    <t xml:space="preserve">"prodražovat-se-001"</t>
  </si>
  <si>
    <t xml:space="preserve">"produkovat-001"</t>
  </si>
  <si>
    <t xml:space="preserve">ACT-&gt;ARG0/719,ARG1/8,ARG2/3</t>
  </si>
  <si>
    <t xml:space="preserve">PAT-&gt;ARG1/1203,ARG3/1,ARG4/5</t>
  </si>
  <si>
    <t xml:space="preserve">ORIG-&gt;ARG1/1,ARG2/41</t>
  </si>
  <si>
    <t xml:space="preserve">"prodávat-001"</t>
  </si>
  <si>
    <t xml:space="preserve">"prodírat-se-001"</t>
  </si>
  <si>
    <t xml:space="preserve">"prodělat-001"</t>
  </si>
  <si>
    <t xml:space="preserve">Loser(ARG0/5), Value(ARG1/1,ARG2/1), Cause()</t>
  </si>
  <si>
    <t xml:space="preserve">ACT-&gt;Loser(ARG0/5)</t>
  </si>
  <si>
    <t xml:space="preserve">PAT-&gt;Value(ARG1/1,ARG2/1)</t>
  </si>
  <si>
    <t xml:space="preserve">ORIG-&gt;Cause</t>
  </si>
  <si>
    <t xml:space="preserve">ORIG-&gt;Cause()</t>
  </si>
  <si>
    <t xml:space="preserve">"prodělat-002"</t>
  </si>
  <si>
    <t xml:space="preserve">"prodělávat-001"</t>
  </si>
  <si>
    <t xml:space="preserve">"prodělávat-002"</t>
  </si>
  <si>
    <t xml:space="preserve">"profanovat-001"</t>
  </si>
  <si>
    <t xml:space="preserve">"profesionalizovat-001"</t>
  </si>
  <si>
    <t xml:space="preserve">"profilovat-001"</t>
  </si>
  <si>
    <t xml:space="preserve">"profitovat-001"</t>
  </si>
  <si>
    <t xml:space="preserve">Recipient(ARG0/23,ARG1/80), Acquired(), Source(ARG0/66,ARG1/44)</t>
  </si>
  <si>
    <t xml:space="preserve">ACT-&gt;ARG0/23,ARG1/80</t>
  </si>
  <si>
    <t xml:space="preserve">ACT-&gt;Recipient(ARG0/23,ARG1/80)</t>
  </si>
  <si>
    <t xml:space="preserve">PAT: z+2; na+6</t>
  </si>
  <si>
    <t xml:space="preserve">PAT-&gt;ARG0/66,ARG1/44</t>
  </si>
  <si>
    <t xml:space="preserve">PAT-&gt;Source(ARG0/66,ARG1/44)</t>
  </si>
  <si>
    <t xml:space="preserve">"profrčet-001"</t>
  </si>
  <si>
    <t xml:space="preserve">"prognózovat-001"</t>
  </si>
  <si>
    <t xml:space="preserve">"programovat-001"</t>
  </si>
  <si>
    <t xml:space="preserve">"prohazovat-001"</t>
  </si>
  <si>
    <t xml:space="preserve">"prohazovat-002"</t>
  </si>
  <si>
    <t xml:space="preserve">"prohlašovat-001"</t>
  </si>
  <si>
    <t xml:space="preserve">Speaker(ARG0/44), Entity(ARG1/45), Name(ARG1/74,ARG2/14)</t>
  </si>
  <si>
    <t xml:space="preserve">Authority(ARG0/8), Chosen(ARG1/21)</t>
  </si>
  <si>
    <t xml:space="preserve">ACT-&gt;Speaker(ARG0/44)</t>
  </si>
  <si>
    <t xml:space="preserve">ACT-&gt;Authority(ARG0/8)</t>
  </si>
  <si>
    <t xml:space="preserve">PAT-&gt;ARG1/66</t>
  </si>
  <si>
    <t xml:space="preserve">PAT-&gt;Entity(ARG1/45)</t>
  </si>
  <si>
    <t xml:space="preserve">PAT-&gt;Chosen(ARG1/21)</t>
  </si>
  <si>
    <t xml:space="preserve">EFF: 7; za+4</t>
  </si>
  <si>
    <t xml:space="preserve">EFF-&gt;ARG1/95,ARG2/14</t>
  </si>
  <si>
    <t xml:space="preserve">EFF-&gt;Name(ARG1/74,ARG2/14)</t>
  </si>
  <si>
    <t xml:space="preserve">EFF-&gt;Chosen</t>
  </si>
  <si>
    <t xml:space="preserve">EFF-&gt;Chosen(ARG1/21)</t>
  </si>
  <si>
    <t xml:space="preserve">"prohlašovat-002"</t>
  </si>
  <si>
    <t xml:space="preserve">"prohlašovat-003"</t>
  </si>
  <si>
    <t xml:space="preserve">"prohledat-001"</t>
  </si>
  <si>
    <t xml:space="preserve">"prohledávat-001"</t>
  </si>
  <si>
    <t xml:space="preserve">ACT-&gt;ARG0/15</t>
  </si>
  <si>
    <t xml:space="preserve">PAT-&gt;Place(ARG1/2)</t>
  </si>
  <si>
    <t xml:space="preserve">"prohloubit-001"</t>
  </si>
  <si>
    <t xml:space="preserve">ACT-&gt;ARG0/78</t>
  </si>
  <si>
    <t xml:space="preserve">PAT-&gt;ARG1/99,ARG2/1</t>
  </si>
  <si>
    <t xml:space="preserve">"prohloubit-002"</t>
  </si>
  <si>
    <t xml:space="preserve">"prohloubit-se-001"</t>
  </si>
  <si>
    <t xml:space="preserve">"prohloubit-se-002"</t>
  </si>
  <si>
    <t xml:space="preserve">"prohlubovat-001"</t>
  </si>
  <si>
    <t xml:space="preserve">"prohlubovat-002"</t>
  </si>
  <si>
    <t xml:space="preserve">"prohlubovat-se-001"</t>
  </si>
  <si>
    <t xml:space="preserve">"prohlásit-001"</t>
  </si>
  <si>
    <t xml:space="preserve">EFF: 7; za+4; za-1.4[.a4]</t>
  </si>
  <si>
    <t xml:space="preserve">"prohlásit-002"</t>
  </si>
  <si>
    <t xml:space="preserve">"prohlásit-003"</t>
  </si>
  <si>
    <t xml:space="preserve">"prohlédnout-001"</t>
  </si>
  <si>
    <t xml:space="preserve">"prohlédnout-si-001"</t>
  </si>
  <si>
    <t xml:space="preserve">Observer(ARG0/68), Inspected(ARG1/103,ARG2/1)</t>
  </si>
  <si>
    <t xml:space="preserve">ACT-&gt;ARG0/136</t>
  </si>
  <si>
    <t xml:space="preserve">PAT-&gt;ARG1/179,ARG2/2</t>
  </si>
  <si>
    <t xml:space="preserve">PAT-&gt;Targeted(ARG1/76,ARG2/1)</t>
  </si>
  <si>
    <t xml:space="preserve">PAT-&gt;Inspected(ARG1/103,ARG2/1)</t>
  </si>
  <si>
    <t xml:space="preserve">"prohlídnout-001"</t>
  </si>
  <si>
    <t xml:space="preserve">"prohlídnout-si-001"</t>
  </si>
  <si>
    <t xml:space="preserve">"prohlížet-001"</t>
  </si>
  <si>
    <t xml:space="preserve">"prohlížet-002"</t>
  </si>
  <si>
    <t xml:space="preserve">"prohlížet-si-001"</t>
  </si>
  <si>
    <t xml:space="preserve">PAT-&gt;ARG1/103,ARG2/1</t>
  </si>
  <si>
    <t xml:space="preserve">"prohnat-se-001"</t>
  </si>
  <si>
    <t xml:space="preserve">Mover(ARG0/5,ARG1/2), Path()</t>
  </si>
  <si>
    <t xml:space="preserve">ACT-&gt;ARG0/5,ARG1/2</t>
  </si>
  <si>
    <t xml:space="preserve">ACT-&gt;Mover(ARG0/5,ARG1/2)</t>
  </si>
  <si>
    <t xml:space="preserve">"prohnout-001"</t>
  </si>
  <si>
    <t xml:space="preserve">"prohnout-se-001"</t>
  </si>
  <si>
    <t xml:space="preserve">"prohnout-se-002"</t>
  </si>
  <si>
    <t xml:space="preserve">"prohodit-001"</t>
  </si>
  <si>
    <t xml:space="preserve">"prohodit-002"</t>
  </si>
  <si>
    <t xml:space="preserve">"prohodit-003"</t>
  </si>
  <si>
    <t xml:space="preserve">"prohodit-004"</t>
  </si>
  <si>
    <t xml:space="preserve">"prohodit-si-001"</t>
  </si>
  <si>
    <t xml:space="preserve">"prohovořit-001"</t>
  </si>
  <si>
    <t xml:space="preserve">"prohrabovat-001"</t>
  </si>
  <si>
    <t xml:space="preserve">"prohrabávat-001"</t>
  </si>
  <si>
    <t xml:space="preserve">PAT-&gt;Manipulated(ARG1/6)</t>
  </si>
  <si>
    <t xml:space="preserve">"prohrabávat-se-001"</t>
  </si>
  <si>
    <t xml:space="preserve">"prohrát-001"</t>
  </si>
  <si>
    <t xml:space="preserve">PAT: 4; v+6</t>
  </si>
  <si>
    <t xml:space="preserve">Loser(ARG0/28), Competition(ARG0/1,ARG1/16), Winner(ARG2/1)</t>
  </si>
  <si>
    <t xml:space="preserve">ACT-&gt;Loser(ARG0/28)</t>
  </si>
  <si>
    <t xml:space="preserve">PAT-&gt;ARG0/1,ARG1/16</t>
  </si>
  <si>
    <t xml:space="preserve">PAT-&gt;Competition(ARG0/1,ARG1/16)</t>
  </si>
  <si>
    <t xml:space="preserve">ADDR-&gt;Winner</t>
  </si>
  <si>
    <t xml:space="preserve">ADDR-&gt;Winner(ARG2/1)</t>
  </si>
  <si>
    <t xml:space="preserve">"prohrávat-001"</t>
  </si>
  <si>
    <t xml:space="preserve">"prohánět-001"</t>
  </si>
  <si>
    <t xml:space="preserve">"prohánět-se-001"</t>
  </si>
  <si>
    <t xml:space="preserve">"prohánět-se-002"</t>
  </si>
  <si>
    <t xml:space="preserve">"proházet-001"</t>
  </si>
  <si>
    <t xml:space="preserve">"prohřešit-se-001"</t>
  </si>
  <si>
    <t xml:space="preserve">"prohřívat-001"</t>
  </si>
  <si>
    <t xml:space="preserve">"proinvestovat-001"</t>
  </si>
  <si>
    <t xml:space="preserve">"projednat-001"</t>
  </si>
  <si>
    <t xml:space="preserve">ACT-&gt;ARG0/573,ARG1/2</t>
  </si>
  <si>
    <t xml:space="preserve">PAT-&gt;ARG1/565,ARG2/69</t>
  </si>
  <si>
    <t xml:space="preserve">ADDR-&gt;ARG1/124,ARG2/403</t>
  </si>
  <si>
    <t xml:space="preserve">"projednat-002"</t>
  </si>
  <si>
    <t xml:space="preserve">PAT: 4; ↓že; ↓aby; ↓zda; ↓c</t>
  </si>
  <si>
    <t xml:space="preserve">"projednávat-001"</t>
  </si>
  <si>
    <t xml:space="preserve">"projednávat-002"</t>
  </si>
  <si>
    <t xml:space="preserve">"projektovat-001"</t>
  </si>
  <si>
    <t xml:space="preserve">"projet-001"</t>
  </si>
  <si>
    <t xml:space="preserve">"projet-002"</t>
  </si>
  <si>
    <t xml:space="preserve">"projet-003"</t>
  </si>
  <si>
    <t xml:space="preserve">Mover(ARG0/26), Path(ARG1/1)</t>
  </si>
  <si>
    <t xml:space="preserve">DIR2-&gt;ARG1/1</t>
  </si>
  <si>
    <t xml:space="preserve">DIR2-&gt;Path(ARG1/1)</t>
  </si>
  <si>
    <t xml:space="preserve">"projet-004"</t>
  </si>
  <si>
    <t xml:space="preserve">"projet-005"</t>
  </si>
  <si>
    <t xml:space="preserve">"projet-se-001"</t>
  </si>
  <si>
    <t xml:space="preserve">"projevit-001"</t>
  </si>
  <si>
    <t xml:space="preserve">"projevit-002"</t>
  </si>
  <si>
    <t xml:space="preserve">CPHR: {důvěra,náklonnost,nedůvěra,soustrast,úcta,uznání,...}.4</t>
  </si>
  <si>
    <t xml:space="preserve">"projevit-003"</t>
  </si>
  <si>
    <t xml:space="preserve">ACT-&gt;ARG0/211,ARG1/36</t>
  </si>
  <si>
    <t xml:space="preserve">CPHR: {lítost,nadšení,náklonnost,náznak,názor,nesouhlas,nezájem,obava,ochota,přání,souhlas,zájem,zdvořilost,...}.4</t>
  </si>
  <si>
    <t xml:space="preserve">CPHR-&gt;ARG1/74</t>
  </si>
  <si>
    <t xml:space="preserve">CPHR[PAT]-&gt;Focused</t>
  </si>
  <si>
    <t xml:space="preserve">CPHR[PAT]-&gt;Focused(ARG1/74)</t>
  </si>
  <si>
    <t xml:space="preserve">"projevit-se-001"</t>
  </si>
  <si>
    <t xml:space="preserve">Phenomenon(), Feature()</t>
  </si>
  <si>
    <t xml:space="preserve">ACT-&gt;Phenomenon()</t>
  </si>
  <si>
    <t xml:space="preserve">PAT: 7; v+6</t>
  </si>
  <si>
    <t xml:space="preserve">PAT-&gt;Feature</t>
  </si>
  <si>
    <t xml:space="preserve">PAT-&gt;Feature()</t>
  </si>
  <si>
    <t xml:space="preserve">"projevit-se-002"</t>
  </si>
  <si>
    <t xml:space="preserve">Phenomenon(ARG1/19)</t>
  </si>
  <si>
    <t xml:space="preserve">"projevit-se-003"</t>
  </si>
  <si>
    <t xml:space="preserve">BEN-&gt;ARG1/241,ARG2/55,ARG3/10</t>
  </si>
  <si>
    <t xml:space="preserve">#alt[MANN,ACMP,CRIT,CPR,BEN,MEANS]-&gt;Judgment</t>
  </si>
  <si>
    <t xml:space="preserve">#alt[MANN,ACMP,CRIT,CPR,BEN,MEANS]-&gt;Judgment(ARG1/241,ARG2/55,ARG3/10)</t>
  </si>
  <si>
    <t xml:space="preserve">MEANS-&gt;ARG1/241,ARG2/55,ARG3/10</t>
  </si>
  <si>
    <t xml:space="preserve">ACMP-&gt;ARG1/241,ARG2/55,ARG3/10</t>
  </si>
  <si>
    <t xml:space="preserve">CRIT-&gt;ARG1/241,ARG2/55,ARG3/10</t>
  </si>
  <si>
    <t xml:space="preserve">CPR-&gt;ARG1/241,ARG2/55,ARG3/10</t>
  </si>
  <si>
    <t xml:space="preserve">"projevovat-001"</t>
  </si>
  <si>
    <t xml:space="preserve">PAT[PAT]-&gt;Goal</t>
  </si>
  <si>
    <t xml:space="preserve">PAT[PAT]-&gt;Goal(ARG1/71,ARG2/71)</t>
  </si>
  <si>
    <t xml:space="preserve">"projevovat-002"</t>
  </si>
  <si>
    <t xml:space="preserve">CPHR: {důvěra,soustrast,úcta,uznání,...}.4</t>
  </si>
  <si>
    <t xml:space="preserve">"projevovat-003"</t>
  </si>
  <si>
    <t xml:space="preserve">CPHR: {lítost,nadšení,nesouhlas,odolnost,přání,zájem,...}.4</t>
  </si>
  <si>
    <t xml:space="preserve">"projevovat-se-001"</t>
  </si>
  <si>
    <t xml:space="preserve">PAT: v+6; 7</t>
  </si>
  <si>
    <t xml:space="preserve">"projevovat-se-002"</t>
  </si>
  <si>
    <t xml:space="preserve">"projevovat-se-003"</t>
  </si>
  <si>
    <t xml:space="preserve">#alt[MANN,ACMP,CRIT,CPR]-&gt;Judgment(ARG1/241,ARG2/55,ARG3/10)</t>
  </si>
  <si>
    <t xml:space="preserve">CRIT-&gt;ARG0/2,ARG1/244,ARG2/65,ARG3/11</t>
  </si>
  <si>
    <t xml:space="preserve">#alt[MANN,ACMP,CRIT,CPR]-&gt;Judgment; CRIT-&gt;Perceiver</t>
  </si>
  <si>
    <t xml:space="preserve">#alt[MANN,ACMP,CRIT,CPR]-&gt;Judgment(ARG1/241,ARG2/55,ARG3/10); CRIT-&gt;Perceiver(ARG0/2,ARG1/3,ARG2/10,ARG3/1)</t>
  </si>
  <si>
    <t xml:space="preserve">COMPL-&gt;ARG1/241,ARG2/55,ARG3/10</t>
  </si>
  <si>
    <t xml:space="preserve">"projezdit-001"</t>
  </si>
  <si>
    <t xml:space="preserve">"projít-001"</t>
  </si>
  <si>
    <t xml:space="preserve">"projít-002"</t>
  </si>
  <si>
    <t xml:space="preserve">"projít-003"</t>
  </si>
  <si>
    <t xml:space="preserve">"projít-004"</t>
  </si>
  <si>
    <t xml:space="preserve">Action(ARG1/3), Party_benefited(ARG0/3)</t>
  </si>
  <si>
    <t xml:space="preserve">ACT-&gt;Action(ARG1/3)</t>
  </si>
  <si>
    <t xml:space="preserve">PAT-&gt;ARG0/3</t>
  </si>
  <si>
    <t xml:space="preserve">PAT-&gt;Party_benefited(ARG0/3)</t>
  </si>
  <si>
    <t xml:space="preserve">"projít-005"</t>
  </si>
  <si>
    <t xml:space="preserve">ACT-&gt;ARG0/1,ARG1/11</t>
  </si>
  <si>
    <t xml:space="preserve">"projít-006"</t>
  </si>
  <si>
    <t xml:space="preserve">ACT-&gt;ARG0/29,ARG1/136</t>
  </si>
  <si>
    <t xml:space="preserve">"projít-007"</t>
  </si>
  <si>
    <t xml:space="preserve">"projít-008"</t>
  </si>
  <si>
    <t xml:space="preserve">"projít-009"</t>
  </si>
  <si>
    <t xml:space="preserve">"projít-010"</t>
  </si>
  <si>
    <t xml:space="preserve">"projít-se-001"</t>
  </si>
  <si>
    <t xml:space="preserve">"projít-si-001"</t>
  </si>
  <si>
    <t xml:space="preserve">"projít-si-002"</t>
  </si>
  <si>
    <t xml:space="preserve">"projíždět-001"</t>
  </si>
  <si>
    <t xml:space="preserve">"projíždět-002"</t>
  </si>
  <si>
    <t xml:space="preserve">PAT-&gt;Path(ARG1/1)</t>
  </si>
  <si>
    <t xml:space="preserve">"projíždět-se-001"</t>
  </si>
  <si>
    <t xml:space="preserve">"prokazovat-001"</t>
  </si>
  <si>
    <t xml:space="preserve">"prokazovat-002"</t>
  </si>
  <si>
    <t xml:space="preserve">Agent(ARG0/35), Valued(ARG1/51), Audience_Addressee()</t>
  </si>
  <si>
    <t xml:space="preserve">PAT-&gt;Valued(ARG1/51)</t>
  </si>
  <si>
    <t xml:space="preserve">"prokazovat-003"</t>
  </si>
  <si>
    <t xml:space="preserve">"proklamovat-001"</t>
  </si>
  <si>
    <t xml:space="preserve">"proklestit-001"</t>
  </si>
  <si>
    <t xml:space="preserve">PAT-&gt;Hindrance(ARG1/2)</t>
  </si>
  <si>
    <t xml:space="preserve">"proklimbat-001"</t>
  </si>
  <si>
    <t xml:space="preserve">"prokličkovat-001"</t>
  </si>
  <si>
    <t xml:space="preserve">"proklouznout-001"</t>
  </si>
  <si>
    <t xml:space="preserve">"prokládat-001"</t>
  </si>
  <si>
    <t xml:space="preserve">"proklít-001"</t>
  </si>
  <si>
    <t xml:space="preserve">"prokopat-se-001"</t>
  </si>
  <si>
    <t xml:space="preserve">Agent(), Hindrance()</t>
  </si>
  <si>
    <t xml:space="preserve">"prokopnout-se-001"</t>
  </si>
  <si>
    <t xml:space="preserve">"prokouknout-001"</t>
  </si>
  <si>
    <t xml:space="preserve">"prokousat-se-001"</t>
  </si>
  <si>
    <t xml:space="preserve">"prokousávat-se-001"</t>
  </si>
  <si>
    <t xml:space="preserve">"prokrvovat-se-001"</t>
  </si>
  <si>
    <t xml:space="preserve">"prokázat-001"</t>
  </si>
  <si>
    <t xml:space="preserve">"prokázat-002"</t>
  </si>
  <si>
    <t xml:space="preserve">"prokázat-003"</t>
  </si>
  <si>
    <t xml:space="preserve">"prokázat-se-001"</t>
  </si>
  <si>
    <t xml:space="preserve">"prokázat-se-002"</t>
  </si>
  <si>
    <t xml:space="preserve">PAT: 7; .a1; 1[{jako,jakožto}:/AuxY]; .a1[{jako,jakožto}:/AuxY]</t>
  </si>
  <si>
    <t xml:space="preserve">"prokázat-se-003"</t>
  </si>
  <si>
    <t xml:space="preserve">ACT: 1; ↓že; ↓zda; ↓jak-2</t>
  </si>
  <si>
    <t xml:space="preserve">"prokňučet-001"</t>
  </si>
  <si>
    <t xml:space="preserve">"prokřičet-se-001"</t>
  </si>
  <si>
    <t xml:space="preserve">"prolamovat-001"</t>
  </si>
  <si>
    <t xml:space="preserve">Destroyer(ARG0/4), Destroyed(ARG1/7)</t>
  </si>
  <si>
    <t xml:space="preserve">ACT-&gt;Destroyer(ARG0/4)</t>
  </si>
  <si>
    <t xml:space="preserve">PAT-&gt;Destroyed(ARG1/7)</t>
  </si>
  <si>
    <t xml:space="preserve">"proletět-001"</t>
  </si>
  <si>
    <t xml:space="preserve">"proletět-se-001"</t>
  </si>
  <si>
    <t xml:space="preserve">"proležet-001"</t>
  </si>
  <si>
    <t xml:space="preserve">"proležet-002"</t>
  </si>
  <si>
    <t xml:space="preserve">"prolistovat-001"</t>
  </si>
  <si>
    <t xml:space="preserve">"prolnout-001"</t>
  </si>
  <si>
    <t xml:space="preserve">"prolomit-001"</t>
  </si>
  <si>
    <t xml:space="preserve">"prolomit-002"</t>
  </si>
  <si>
    <t xml:space="preserve">"prolomit-se-001"</t>
  </si>
  <si>
    <t xml:space="preserve">"prolomit-se-002"</t>
  </si>
  <si>
    <t xml:space="preserve">"prolongovat-001"</t>
  </si>
  <si>
    <t xml:space="preserve">"prolétnout-001"</t>
  </si>
  <si>
    <t xml:space="preserve">"prolévat-001"</t>
  </si>
  <si>
    <t xml:space="preserve">"prolézat-001"</t>
  </si>
  <si>
    <t xml:space="preserve">"prolézt-001"</t>
  </si>
  <si>
    <t xml:space="preserve">"prolínat-se-001"</t>
  </si>
  <si>
    <t xml:space="preserve">"prolínat-se-002"</t>
  </si>
  <si>
    <t xml:space="preserve">"prolítnout-001"</t>
  </si>
  <si>
    <t xml:space="preserve">DPHR: hlava.S7</t>
  </si>
  <si>
    <t xml:space="preserve">"promarnit-001"</t>
  </si>
  <si>
    <t xml:space="preserve">"promarodit-001"</t>
  </si>
  <si>
    <t xml:space="preserve">"promenádovat-se-001"</t>
  </si>
  <si>
    <t xml:space="preserve">"promeškat-001"</t>
  </si>
  <si>
    <t xml:space="preserve">Protagonist(ARG0/19,ARG1/10), Desirable(ARG1/22,ARG2/8)</t>
  </si>
  <si>
    <t xml:space="preserve">ACT-&gt;ARG0/19,ARG1/10</t>
  </si>
  <si>
    <t xml:space="preserve">ACT-&gt;Protagonist(ARG0/19,ARG1/10)</t>
  </si>
  <si>
    <t xml:space="preserve">PAT-&gt;ARG1/22,ARG2/8</t>
  </si>
  <si>
    <t xml:space="preserve">PAT-&gt;Desirable(ARG1/22,ARG2/8)</t>
  </si>
  <si>
    <t xml:space="preserve">"prominout-001"</t>
  </si>
  <si>
    <t xml:space="preserve">"promlouvat-001"</t>
  </si>
  <si>
    <t xml:space="preserve">?ADDR: k+3; s+7</t>
  </si>
  <si>
    <t xml:space="preserve">"promluvit-001"</t>
  </si>
  <si>
    <t xml:space="preserve">"promluvit-002"</t>
  </si>
  <si>
    <t xml:space="preserve">"promluvit-003"</t>
  </si>
  <si>
    <t xml:space="preserve">"promluvit-004"</t>
  </si>
  <si>
    <t xml:space="preserve">"promluvit-si-001"</t>
  </si>
  <si>
    <t xml:space="preserve">"promlčet-001"</t>
  </si>
  <si>
    <t xml:space="preserve">---: .$2&lt;s&gt;; .v[se:/AuxR]</t>
  </si>
  <si>
    <t xml:space="preserve">"promnout-001"</t>
  </si>
  <si>
    <t xml:space="preserve">"promnout-se-001"</t>
  </si>
  <si>
    <t xml:space="preserve">"promovat-001"</t>
  </si>
  <si>
    <t xml:space="preserve">"promočit-001"</t>
  </si>
  <si>
    <t xml:space="preserve">"promrhat-001"</t>
  </si>
  <si>
    <t xml:space="preserve">"promrhávat-001"</t>
  </si>
  <si>
    <t xml:space="preserve">"promrzat-001"</t>
  </si>
  <si>
    <t xml:space="preserve">"promyslet-001"</t>
  </si>
  <si>
    <t xml:space="preserve">"promyslit-001"</t>
  </si>
  <si>
    <t xml:space="preserve">"promáčet-001"</t>
  </si>
  <si>
    <t xml:space="preserve">Agent(), Changed()</t>
  </si>
  <si>
    <t xml:space="preserve">"promíchat-001"</t>
  </si>
  <si>
    <t xml:space="preserve">PAT-&gt;ARG1/69,ARG2/31,ARG3/1</t>
  </si>
  <si>
    <t xml:space="preserve">PAT-&gt;Entity_1; PAT-&gt;Entity_2</t>
  </si>
  <si>
    <t xml:space="preserve">PAT-&gt;Entity_1(ARG1/62,ARG2/2); PAT-&gt;Entity_2(ARG1/7,ARG2/29,ARG3/1)</t>
  </si>
  <si>
    <t xml:space="preserve">"promíchat-002"</t>
  </si>
  <si>
    <t xml:space="preserve">"promíjet-001"</t>
  </si>
  <si>
    <t xml:space="preserve">"promítat-001"</t>
  </si>
  <si>
    <t xml:space="preserve">"promítat-se-001"</t>
  </si>
  <si>
    <t xml:space="preserve">"promítat-se-002"</t>
  </si>
  <si>
    <t xml:space="preserve">Action(ARG1/5), Affected(ARG2/6)</t>
  </si>
  <si>
    <t xml:space="preserve">ACT-&gt;Action(ARG1/5)</t>
  </si>
  <si>
    <t xml:space="preserve">DIR3-&gt;ARG2/6</t>
  </si>
  <si>
    <t xml:space="preserve">DIR3-&gt;Affected(ARG2/6)</t>
  </si>
  <si>
    <t xml:space="preserve">"promítnout-001"</t>
  </si>
  <si>
    <t xml:space="preserve">"promítnout-002"</t>
  </si>
  <si>
    <t xml:space="preserve">"promítnout-003"</t>
  </si>
  <si>
    <t xml:space="preserve">"promítnout-se-001"</t>
  </si>
  <si>
    <t xml:space="preserve">LOC-&gt;ARG2/6</t>
  </si>
  <si>
    <t xml:space="preserve">LOC-&gt;Affected(ARG2/6)</t>
  </si>
  <si>
    <t xml:space="preserve">"promítnout-se-002"</t>
  </si>
  <si>
    <t xml:space="preserve">"promítnout-si-001"</t>
  </si>
  <si>
    <t xml:space="preserve">"promýšlet-001"</t>
  </si>
  <si>
    <t xml:space="preserve">PAT: 4; ↓zda; ↓jestli; ↓c; .s</t>
  </si>
  <si>
    <t xml:space="preserve">"proměnit-001"</t>
  </si>
  <si>
    <t xml:space="preserve">"proměnit-002"</t>
  </si>
  <si>
    <t xml:space="preserve">EFF: v+4; do+2</t>
  </si>
  <si>
    <t xml:space="preserve">"proměnit-003"</t>
  </si>
  <si>
    <t xml:space="preserve">?EFF: za+4; na+4</t>
  </si>
  <si>
    <t xml:space="preserve">"proměnit-se-001"</t>
  </si>
  <si>
    <t xml:space="preserve">PAT: na+4; v+4</t>
  </si>
  <si>
    <t xml:space="preserve">"proměňovat-001"</t>
  </si>
  <si>
    <t xml:space="preserve">"proměňovat-002"</t>
  </si>
  <si>
    <t xml:space="preserve">"proměňovat-se-001"</t>
  </si>
  <si>
    <t xml:space="preserve">"pronajmout-001"</t>
  </si>
  <si>
    <t xml:space="preserve">Owner(ARG0/8), Property(ARG1/19), Recipient(ARG2/7)</t>
  </si>
  <si>
    <t xml:space="preserve">ACT-&gt;Owner(ARG0/8)</t>
  </si>
  <si>
    <t xml:space="preserve">PAT-&gt;Property(ARG1/19)</t>
  </si>
  <si>
    <t xml:space="preserve">ADDR-&gt;Recipient(ARG2/7)</t>
  </si>
  <si>
    <t xml:space="preserve">"pronajmout-002"</t>
  </si>
  <si>
    <t xml:space="preserve">Recipient(ARG0/6), Property(ARG1/8), Owner(ARG2/3)</t>
  </si>
  <si>
    <t xml:space="preserve">ACT-&gt;Recipient(ARG0/6)</t>
  </si>
  <si>
    <t xml:space="preserve">PAT-&gt;Property(ARG1/8)</t>
  </si>
  <si>
    <t xml:space="preserve">ORIG-&gt;Owner</t>
  </si>
  <si>
    <t xml:space="preserve">ORIG-&gt;Owner(ARG2/3)</t>
  </si>
  <si>
    <t xml:space="preserve">"pronajímat-001"</t>
  </si>
  <si>
    <t xml:space="preserve">"pronajímat-002"</t>
  </si>
  <si>
    <t xml:space="preserve">"pronikat-001"</t>
  </si>
  <si>
    <t xml:space="preserve">"proniknout-001"</t>
  </si>
  <si>
    <t xml:space="preserve">"proniknout-002"</t>
  </si>
  <si>
    <t xml:space="preserve">"proniknout-003"</t>
  </si>
  <si>
    <t xml:space="preserve">"proniknout-004"</t>
  </si>
  <si>
    <t xml:space="preserve">"pronásledovat-001"</t>
  </si>
  <si>
    <t xml:space="preserve">"pronášet-001"</t>
  </si>
  <si>
    <t xml:space="preserve">Audience_Addressee(), Speaker(), Information()</t>
  </si>
  <si>
    <t xml:space="preserve">PAT-&gt;Information()</t>
  </si>
  <si>
    <t xml:space="preserve">"pronášet-002"</t>
  </si>
  <si>
    <t xml:space="preserve">"pronést-001"</t>
  </si>
  <si>
    <t xml:space="preserve">"pronést-002"</t>
  </si>
  <si>
    <t xml:space="preserve">"propadat-001"</t>
  </si>
  <si>
    <t xml:space="preserve">"propadat-002"</t>
  </si>
  <si>
    <t xml:space="preserve">"propadat-003"</t>
  </si>
  <si>
    <t xml:space="preserve">"propadat-004"</t>
  </si>
  <si>
    <t xml:space="preserve">"propadat-se-001"</t>
  </si>
  <si>
    <t xml:space="preserve">"propadat-se-002"</t>
  </si>
  <si>
    <t xml:space="preserve">"propadnout-001"</t>
  </si>
  <si>
    <t xml:space="preserve">"propadnout-002"</t>
  </si>
  <si>
    <t xml:space="preserve">"propadnout-003"</t>
  </si>
  <si>
    <t xml:space="preserve">"propadnout-004"</t>
  </si>
  <si>
    <t xml:space="preserve">"propadnout-005"</t>
  </si>
  <si>
    <t xml:space="preserve">"propadnout-se-001"</t>
  </si>
  <si>
    <t xml:space="preserve">"propadnout-se-002"</t>
  </si>
  <si>
    <t xml:space="preserve">"propagovat-001"</t>
  </si>
  <si>
    <t xml:space="preserve">"propašovat-001"</t>
  </si>
  <si>
    <t xml:space="preserve">ACT-&gt;ARG0/274</t>
  </si>
  <si>
    <t xml:space="preserve">PAT-&gt;ARG0/2,ARG1/504,ARG2/1,ARG3/1</t>
  </si>
  <si>
    <t xml:space="preserve">DIR3-&gt;ARG2/82</t>
  </si>
  <si>
    <t xml:space="preserve">"proplachovat-001"</t>
  </si>
  <si>
    <t xml:space="preserve">"proplakat-001"</t>
  </si>
  <si>
    <t xml:space="preserve">"proplatit-001"</t>
  </si>
  <si>
    <t xml:space="preserve">"proplout-001"</t>
  </si>
  <si>
    <t xml:space="preserve">"proplouvat-001"</t>
  </si>
  <si>
    <t xml:space="preserve">"proplácet-001"</t>
  </si>
  <si>
    <t xml:space="preserve">"proplést-001"</t>
  </si>
  <si>
    <t xml:space="preserve">"proplétat-001"</t>
  </si>
  <si>
    <t xml:space="preserve">"proplétat-se-001"</t>
  </si>
  <si>
    <t xml:space="preserve">"proplétat-se-002"</t>
  </si>
  <si>
    <t xml:space="preserve">"proplétat-se-003"</t>
  </si>
  <si>
    <t xml:space="preserve">"proplít-001"</t>
  </si>
  <si>
    <t xml:space="preserve">"proplížit-se-001"</t>
  </si>
  <si>
    <t xml:space="preserve">DIR3-&gt;ARG1/1,ARG2/1</t>
  </si>
  <si>
    <t xml:space="preserve">DIR3-&gt;Goal(ARG1/1,ARG2/1)</t>
  </si>
  <si>
    <t xml:space="preserve">"proplýtvat-001"</t>
  </si>
  <si>
    <t xml:space="preserve">"propojit-001"</t>
  </si>
  <si>
    <t xml:space="preserve">ACT-&gt;ARG0/50</t>
  </si>
  <si>
    <t xml:space="preserve">PAT-&gt;ARG1/172,ARG2/4</t>
  </si>
  <si>
    <t xml:space="preserve">ADDR-&gt;ARG1/98,ARG2/93,ARG3/1</t>
  </si>
  <si>
    <t xml:space="preserve">ADDR-&gt;Entity_2(ARG1/96,ARG2/82)</t>
  </si>
  <si>
    <t xml:space="preserve">?EFF: do-1[.4]; v+4</t>
  </si>
  <si>
    <t xml:space="preserve">"propojit-002"</t>
  </si>
  <si>
    <t xml:space="preserve">ADDR: s+7; do+2</t>
  </si>
  <si>
    <t xml:space="preserve">ADDR-&gt;ARG1/96,ARG2/82</t>
  </si>
  <si>
    <t xml:space="preserve">"propojit-003"</t>
  </si>
  <si>
    <t xml:space="preserve">"propojit-004"</t>
  </si>
  <si>
    <t xml:space="preserve">"propojit-se-001"</t>
  </si>
  <si>
    <t xml:space="preserve">"propojovat-001"</t>
  </si>
  <si>
    <t xml:space="preserve">"propojovat-002"</t>
  </si>
  <si>
    <t xml:space="preserve">"propouštět-001"</t>
  </si>
  <si>
    <t xml:space="preserve">"propouštět-002"</t>
  </si>
  <si>
    <t xml:space="preserve">Obstacle(), Entity()</t>
  </si>
  <si>
    <t xml:space="preserve">ACT-&gt;Obstacle</t>
  </si>
  <si>
    <t xml:space="preserve">ACT-&gt;Obstacle()</t>
  </si>
  <si>
    <t xml:space="preserve">"propočíst-001"</t>
  </si>
  <si>
    <t xml:space="preserve">"propočítávat-001"</t>
  </si>
  <si>
    <t xml:space="preserve">"propracovat-001"</t>
  </si>
  <si>
    <t xml:space="preserve">"propracovat-se-001"</t>
  </si>
  <si>
    <t xml:space="preserve">"propracovat-se-002"</t>
  </si>
  <si>
    <t xml:space="preserve">"propracovávat-se-001"</t>
  </si>
  <si>
    <t xml:space="preserve">"propršet-001"</t>
  </si>
  <si>
    <t xml:space="preserve">"propsat-001"</t>
  </si>
  <si>
    <t xml:space="preserve">"propukat-001"</t>
  </si>
  <si>
    <t xml:space="preserve">"propuknout-001"</t>
  </si>
  <si>
    <t xml:space="preserve">ACT-&gt;ARG0/39,ARG1/422</t>
  </si>
  <si>
    <t xml:space="preserve">"propuknout-002"</t>
  </si>
  <si>
    <t xml:space="preserve">"propustit-001"</t>
  </si>
  <si>
    <t xml:space="preserve">"propustit-002"</t>
  </si>
  <si>
    <t xml:space="preserve">"propálit-001"</t>
  </si>
  <si>
    <t xml:space="preserve">"propálit-se-001"</t>
  </si>
  <si>
    <t xml:space="preserve">"propálit-se-002"</t>
  </si>
  <si>
    <t xml:space="preserve">"propásnout-001"</t>
  </si>
  <si>
    <t xml:space="preserve">"propást-001"</t>
  </si>
  <si>
    <t xml:space="preserve">"propíchat-001"</t>
  </si>
  <si>
    <t xml:space="preserve">"propíchnout-001"</t>
  </si>
  <si>
    <t xml:space="preserve">Destroyer(ARG0/1), Destroyed(ARG1/1)</t>
  </si>
  <si>
    <t xml:space="preserve">ACT-&gt;Destroyer(ARG0/1)</t>
  </si>
  <si>
    <t xml:space="preserve">PAT-&gt;Destroyed(ARG1/1)</t>
  </si>
  <si>
    <t xml:space="preserve">"propírat-001"</t>
  </si>
  <si>
    <t xml:space="preserve">"propít-001"</t>
  </si>
  <si>
    <t xml:space="preserve">"propůjčit-001"</t>
  </si>
  <si>
    <t xml:space="preserve">"propůjčovat-001"</t>
  </si>
  <si>
    <t xml:space="preserve">ACT-&gt;ARG0/1002,ARG2/1</t>
  </si>
  <si>
    <t xml:space="preserve">PAT-&gt;ARG1/1426,ARG2/12</t>
  </si>
  <si>
    <t xml:space="preserve">ADDR-&gt;ARG1/50,ARG2/922</t>
  </si>
  <si>
    <t xml:space="preserve">"prorazit-001"</t>
  </si>
  <si>
    <t xml:space="preserve">"prorazit-002"</t>
  </si>
  <si>
    <t xml:space="preserve">"prorazit-003"</t>
  </si>
  <si>
    <t xml:space="preserve">Protagonist(ARG0/4), New(ARG1/7)</t>
  </si>
  <si>
    <t xml:space="preserve">ACT-&gt;Protagonist(ARG0/4)</t>
  </si>
  <si>
    <t xml:space="preserve">PAT-&gt;New</t>
  </si>
  <si>
    <t xml:space="preserve">PAT-&gt;New(ARG1/7)</t>
  </si>
  <si>
    <t xml:space="preserve">"prorazit-004"</t>
  </si>
  <si>
    <t xml:space="preserve">DIR2-&gt;Hindrance()</t>
  </si>
  <si>
    <t xml:space="preserve">"prorazit-005"</t>
  </si>
  <si>
    <t xml:space="preserve">"prorezavět-001"</t>
  </si>
  <si>
    <t xml:space="preserve">"prorokovat-001"</t>
  </si>
  <si>
    <t xml:space="preserve">"prorážet-001"</t>
  </si>
  <si>
    <t xml:space="preserve">"prorážet-002"</t>
  </si>
  <si>
    <t xml:space="preserve">"prorůstat-001"</t>
  </si>
  <si>
    <t xml:space="preserve">"prorůstat-002"</t>
  </si>
  <si>
    <t xml:space="preserve">"prorůstat-003"</t>
  </si>
  <si>
    <t xml:space="preserve">"prosadit-001"</t>
  </si>
  <si>
    <t xml:space="preserve">"prosadit-002"</t>
  </si>
  <si>
    <t xml:space="preserve">"prosadit-003"</t>
  </si>
  <si>
    <t xml:space="preserve">Winner(ARG0/1,ARG1/2), Field()</t>
  </si>
  <si>
    <t xml:space="preserve">ACT-&gt;ARG0/136,ARG1/3</t>
  </si>
  <si>
    <t xml:space="preserve">ACT-&gt;Winner(ARG0/1,ARG1/2)</t>
  </si>
  <si>
    <t xml:space="preserve">DPHR: svůj-1.FS4</t>
  </si>
  <si>
    <t xml:space="preserve">DPHR-&gt;ARG1/147,ARG2/56</t>
  </si>
  <si>
    <t xml:space="preserve">DPHR[svou]-&gt;Undesirable</t>
  </si>
  <si>
    <t xml:space="preserve">DPHR[svou]-&gt;Undesirable(ARG1/147,ARG2/56)</t>
  </si>
  <si>
    <t xml:space="preserve">"prosadit-se-001"</t>
  </si>
  <si>
    <t xml:space="preserve">ACT-&gt;ARG0/1,ARG1/2</t>
  </si>
  <si>
    <t xml:space="preserve">"prosakovat-001"</t>
  </si>
  <si>
    <t xml:space="preserve">"prosakovat-002"</t>
  </si>
  <si>
    <t xml:space="preserve">"prosakovat-003"</t>
  </si>
  <si>
    <t xml:space="preserve">"prosazovat-001"</t>
  </si>
  <si>
    <t xml:space="preserve">PAT: 4; ↓aby; ↓že; ↓c</t>
  </si>
  <si>
    <t xml:space="preserve">"prosazovat-se-001"</t>
  </si>
  <si>
    <t xml:space="preserve">"prosedět-001"</t>
  </si>
  <si>
    <t xml:space="preserve">"prosekat-001"</t>
  </si>
  <si>
    <t xml:space="preserve">"prosekat-se-001"</t>
  </si>
  <si>
    <t xml:space="preserve">DIR2-&gt;ARG1/9</t>
  </si>
  <si>
    <t xml:space="preserve">DIR2-&gt;Hindrance(ARG1/2)</t>
  </si>
  <si>
    <t xml:space="preserve">DIR2-&gt;Destroyed</t>
  </si>
  <si>
    <t xml:space="preserve">DIR2-&gt;Destroyed(ARG1/7)</t>
  </si>
  <si>
    <t xml:space="preserve">"prosekávat-001"</t>
  </si>
  <si>
    <t xml:space="preserve">"prosit-001"</t>
  </si>
  <si>
    <t xml:space="preserve">PAT: o+4; .f; ↓zda; ↓aby; ↓ať; .s; ↓c; 4; ↓jestli; ↓kdyby</t>
  </si>
  <si>
    <t xml:space="preserve">"proskočit-001"</t>
  </si>
  <si>
    <t xml:space="preserve">"proskočit-002"</t>
  </si>
  <si>
    <t xml:space="preserve">"proslavit-001"</t>
  </si>
  <si>
    <t xml:space="preserve">"proslavit-se-001"</t>
  </si>
  <si>
    <t xml:space="preserve">"proslechnout-se-001"</t>
  </si>
  <si>
    <t xml:space="preserve">"proslout-001"</t>
  </si>
  <si>
    <t xml:space="preserve">"proslovit-001"</t>
  </si>
  <si>
    <t xml:space="preserve">"proslýchat-se-001"</t>
  </si>
  <si>
    <t xml:space="preserve">ACT-&gt;Information</t>
  </si>
  <si>
    <t xml:space="preserve">ACT-&gt;Information()</t>
  </si>
  <si>
    <t xml:space="preserve">"prosmát-001"</t>
  </si>
  <si>
    <t xml:space="preserve">"prosmát-se-001"</t>
  </si>
  <si>
    <t xml:space="preserve">"prosmát-se-002"</t>
  </si>
  <si>
    <t xml:space="preserve">"prosolovat-001"</t>
  </si>
  <si>
    <t xml:space="preserve">"prospat-001"</t>
  </si>
  <si>
    <t xml:space="preserve">Protagonist(ARG0/1), Event()</t>
  </si>
  <si>
    <t xml:space="preserve">PAT-&gt;Event()</t>
  </si>
  <si>
    <t xml:space="preserve">"prospat-se-001"</t>
  </si>
  <si>
    <t xml:space="preserve">"prosperovat-001"</t>
  </si>
  <si>
    <t xml:space="preserve">?PAT: z+2; na+6</t>
  </si>
  <si>
    <t xml:space="preserve">"prospívat-001"</t>
  </si>
  <si>
    <t xml:space="preserve">"prospívat-002"</t>
  </si>
  <si>
    <t xml:space="preserve">"prospět-001"</t>
  </si>
  <si>
    <t xml:space="preserve">"prospět-002"</t>
  </si>
  <si>
    <t xml:space="preserve">"prostavět-001"</t>
  </si>
  <si>
    <t xml:space="preserve">"prostavět-002"</t>
  </si>
  <si>
    <t xml:space="preserve">"prostavět-003"</t>
  </si>
  <si>
    <t xml:space="preserve">"prostavět-se-001"</t>
  </si>
  <si>
    <t xml:space="preserve">"prostituovat-se-001"</t>
  </si>
  <si>
    <t xml:space="preserve">"prostoupit-001"</t>
  </si>
  <si>
    <t xml:space="preserve">"prostoupit-002"</t>
  </si>
  <si>
    <t xml:space="preserve">"prostrkat-001"</t>
  </si>
  <si>
    <t xml:space="preserve">"prostrčit-001"</t>
  </si>
  <si>
    <t xml:space="preserve">"prostrčit-002"</t>
  </si>
  <si>
    <t xml:space="preserve">"prostudovat-001"</t>
  </si>
  <si>
    <t xml:space="preserve">"prostudovávat-001"</t>
  </si>
  <si>
    <t xml:space="preserve">"prostupovat-001"</t>
  </si>
  <si>
    <t xml:space="preserve">"prostupovat-002"</t>
  </si>
  <si>
    <t xml:space="preserve">"prostřelit-001"</t>
  </si>
  <si>
    <t xml:space="preserve">"prostřihnout-001"</t>
  </si>
  <si>
    <t xml:space="preserve">"prostřídat-se-001"</t>
  </si>
  <si>
    <t xml:space="preserve">"prostříhat-001"</t>
  </si>
  <si>
    <t xml:space="preserve">"prostříhat-002"</t>
  </si>
  <si>
    <t xml:space="preserve">Adjusting(), Adjusted()</t>
  </si>
  <si>
    <t xml:space="preserve">PAT-&gt;Adjusted()</t>
  </si>
  <si>
    <t xml:space="preserve">"prostřít-001"</t>
  </si>
  <si>
    <t xml:space="preserve">"prosvištět-001"</t>
  </si>
  <si>
    <t xml:space="preserve">"prosvítat-001"</t>
  </si>
  <si>
    <t xml:space="preserve">"prosvítit-001"</t>
  </si>
  <si>
    <t xml:space="preserve">"prosvětlit-001"</t>
  </si>
  <si>
    <t xml:space="preserve">"prosvětlovat-001"</t>
  </si>
  <si>
    <t xml:space="preserve">"prosychat-001"</t>
  </si>
  <si>
    <t xml:space="preserve">"prosáknout-001"</t>
  </si>
  <si>
    <t xml:space="preserve">"prosáknout-002"</t>
  </si>
  <si>
    <t xml:space="preserve">"prosáknout-003"</t>
  </si>
  <si>
    <t xml:space="preserve">"prosít-001"</t>
  </si>
  <si>
    <t xml:space="preserve">"protahovat-001"</t>
  </si>
  <si>
    <t xml:space="preserve">"protahovat-002"</t>
  </si>
  <si>
    <t xml:space="preserve">"protahovat-003"</t>
  </si>
  <si>
    <t xml:space="preserve">"protancovat-001"</t>
  </si>
  <si>
    <t xml:space="preserve">"protavit-se-001"</t>
  </si>
  <si>
    <t xml:space="preserve">"protestovat-001"</t>
  </si>
  <si>
    <t xml:space="preserve">PAT: proti+3; oproti+3; ↓že; za+4</t>
  </si>
  <si>
    <t xml:space="preserve">"protežovat-001"</t>
  </si>
  <si>
    <t xml:space="preserve">"protiřečit-001"</t>
  </si>
  <si>
    <t xml:space="preserve">"protkat-001"</t>
  </si>
  <si>
    <t xml:space="preserve">"protkávat-001"</t>
  </si>
  <si>
    <t xml:space="preserve">"protlačit-001"</t>
  </si>
  <si>
    <t xml:space="preserve">"protlačovat-001"</t>
  </si>
  <si>
    <t xml:space="preserve">"protloukat-001"</t>
  </si>
  <si>
    <t xml:space="preserve">"protloukat-se-001"</t>
  </si>
  <si>
    <t xml:space="preserve">"protnout-001"</t>
  </si>
  <si>
    <t xml:space="preserve">"protnout-002"</t>
  </si>
  <si>
    <t xml:space="preserve">ACT-&gt;ARG0/22,ARG1/35</t>
  </si>
  <si>
    <t xml:space="preserve">PAT-&gt;ARG1/23,ARG2/24</t>
  </si>
  <si>
    <t xml:space="preserve">"--protnout-se-001"</t>
  </si>
  <si>
    <t xml:space="preserve">"protrhat-se-001"</t>
  </si>
  <si>
    <t xml:space="preserve">"protrhnout-001"</t>
  </si>
  <si>
    <t xml:space="preserve">"protrhnout-002"</t>
  </si>
  <si>
    <t xml:space="preserve">"protrhnout-003"</t>
  </si>
  <si>
    <t xml:space="preserve">"protrhnout-se-001"</t>
  </si>
  <si>
    <t xml:space="preserve">"protrhávat-001"</t>
  </si>
  <si>
    <t xml:space="preserve">"protrhávat-se-001"</t>
  </si>
  <si>
    <t xml:space="preserve">"protrpět-001"</t>
  </si>
  <si>
    <t xml:space="preserve">Survivor(ARG0/46,ARG1/45), Situation_harmful(ARG1/42,ARG2/10)</t>
  </si>
  <si>
    <t xml:space="preserve">ACT-&gt;ARG0/46,ARG1/45</t>
  </si>
  <si>
    <t xml:space="preserve">ACT-&gt;Survivor</t>
  </si>
  <si>
    <t xml:space="preserve">ACT-&gt;Survivor(ARG0/46,ARG1/45)</t>
  </si>
  <si>
    <t xml:space="preserve">PAT-&gt;ARG1/42,ARG2/10</t>
  </si>
  <si>
    <t xml:space="preserve">PAT-&gt;Situation_harmful(ARG1/42,ARG2/10)</t>
  </si>
  <si>
    <t xml:space="preserve">"protáhnout-001"</t>
  </si>
  <si>
    <t xml:space="preserve">"protáhnout-002"</t>
  </si>
  <si>
    <t xml:space="preserve">"protáhnout-003"</t>
  </si>
  <si>
    <t xml:space="preserve">"protáhnout-se-001"</t>
  </si>
  <si>
    <t xml:space="preserve">Event(ARG0/5,ARG1/6), Time()</t>
  </si>
  <si>
    <t xml:space="preserve">ACT-&gt;ARG0/5,ARG1/6</t>
  </si>
  <si>
    <t xml:space="preserve">ACT-&gt;Event(ARG0/5,ARG1/6)</t>
  </si>
  <si>
    <t xml:space="preserve">PAT-&gt;Time()</t>
  </si>
  <si>
    <t xml:space="preserve">EFF-&gt;Time</t>
  </si>
  <si>
    <t xml:space="preserve">EFF-&gt;Time()</t>
  </si>
  <si>
    <t xml:space="preserve">"protáhnout-se-002"</t>
  </si>
  <si>
    <t xml:space="preserve">"protáhnout-se-003"</t>
  </si>
  <si>
    <t xml:space="preserve">"protáhnout-se-004"</t>
  </si>
  <si>
    <t xml:space="preserve">"protáhnout-se-005"</t>
  </si>
  <si>
    <t xml:space="preserve">"protéci-001"</t>
  </si>
  <si>
    <t xml:space="preserve">"protékat-001"</t>
  </si>
  <si>
    <t xml:space="preserve">"protékat-002"</t>
  </si>
  <si>
    <t xml:space="preserve">"protínat-001"</t>
  </si>
  <si>
    <t xml:space="preserve">"--protínat-se-001"</t>
  </si>
  <si>
    <t xml:space="preserve">"protřást-001"</t>
  </si>
  <si>
    <t xml:space="preserve">"protřídit-001"</t>
  </si>
  <si>
    <t xml:space="preserve">"proudit-001"</t>
  </si>
  <si>
    <t xml:space="preserve">ACT-&gt;ARG0/1,ARG1/21</t>
  </si>
  <si>
    <t xml:space="preserve">"proukázat-001"</t>
  </si>
  <si>
    <t xml:space="preserve">"provalit-001"</t>
  </si>
  <si>
    <t xml:space="preserve">"provalit-se-001"</t>
  </si>
  <si>
    <t xml:space="preserve">"provalit-se-002"</t>
  </si>
  <si>
    <t xml:space="preserve">"provdat-001"</t>
  </si>
  <si>
    <t xml:space="preserve">?ADDR: za+4</t>
  </si>
  <si>
    <t xml:space="preserve">"provdat-se-001"</t>
  </si>
  <si>
    <t xml:space="preserve">"provinit-se-001"</t>
  </si>
  <si>
    <t xml:space="preserve">"provokovat-001"</t>
  </si>
  <si>
    <t xml:space="preserve">"provolat-001"</t>
  </si>
  <si>
    <t xml:space="preserve">"provolat-002"</t>
  </si>
  <si>
    <t xml:space="preserve">"provolávat-001"</t>
  </si>
  <si>
    <t xml:space="preserve">Speaker(ARG0/11), Cry(ARG1/12)</t>
  </si>
  <si>
    <t xml:space="preserve">ACT-&gt;Speaker(ARG0/11)</t>
  </si>
  <si>
    <t xml:space="preserve">PAT-&gt;Cry</t>
  </si>
  <si>
    <t xml:space="preserve">PAT-&gt;Cry(ARG1/12)</t>
  </si>
  <si>
    <t xml:space="preserve">"provozovat-001"</t>
  </si>
  <si>
    <t xml:space="preserve">ACT-&gt;ARG0/744,ARG1/41,ARG2/18,ARG3/1</t>
  </si>
  <si>
    <t xml:space="preserve">PAT-&gt;ARG0/1,ARG1/901,ARG2/59,ARG3/1</t>
  </si>
  <si>
    <t xml:space="preserve">"provozovat-002"</t>
  </si>
  <si>
    <t xml:space="preserve">CPHR: {podnikání,...}.4</t>
  </si>
  <si>
    <t xml:space="preserve">"provozovat-003"</t>
  </si>
  <si>
    <t xml:space="preserve">"provrtat-001"</t>
  </si>
  <si>
    <t xml:space="preserve">"provádět-001"</t>
  </si>
  <si>
    <t xml:space="preserve">ACT-&gt;ARG0/84</t>
  </si>
  <si>
    <t xml:space="preserve">?ADDR: 3; s+7</t>
  </si>
  <si>
    <t xml:space="preserve">ADDR-&gt;ARG1/6,ARG2/34,ARG3/1</t>
  </si>
  <si>
    <t xml:space="preserve">ADDR-&gt;Deed</t>
  </si>
  <si>
    <t xml:space="preserve">ADDR-&gt;Deed(ARG1/6,ARG2/34,ARG3/1)</t>
  </si>
  <si>
    <t xml:space="preserve">"provádět-002"</t>
  </si>
  <si>
    <t xml:space="preserve">"provádět-003"</t>
  </si>
  <si>
    <t xml:space="preserve">ACT-&gt;ARG0/1138,ARG1/43,ARG2/18,ARG3/2</t>
  </si>
  <si>
    <t xml:space="preserve">PAT-&gt;ARG0/1,ARG1/1565,ARG2/59,ARG3/1</t>
  </si>
  <si>
    <t xml:space="preserve">"provádět-004"</t>
  </si>
  <si>
    <t xml:space="preserve">CPHR: {operace,...}.4</t>
  </si>
  <si>
    <t xml:space="preserve">"provádět-005"</t>
  </si>
  <si>
    <t xml:space="preserve">CPHR: {debata,dialog,hovor,rozhovor,...}.4</t>
  </si>
  <si>
    <t xml:space="preserve">"provádět-006"</t>
  </si>
  <si>
    <t xml:space="preserve">CPHR: {aktivita,aktualizace,analýza,arbitráž,barvení,cvičení,čin,činnost,dozor,hodnocení,hra,instruktáž,kontrola,lumpárna,nabídka,nábor,obchod,obchodování,odběr,odkup,odstranění,odpis,ohledání,opatření,operace,oprava,orání,platba,pochod,pozorování,práce,prodej,průzkum,přeceňování,přehodnocení,přepadení,přesměrování,převzetí,příkaz,půjčování,reorganizace,restrukturalizace,revize,rozhodnutí,servis,studie,test,testování,transakce,údržba,úkon,úpis,úprava,vklad,vyhledávání,výkop,výpad,výpočet,vyšetřování,vývoj,výzkum,zápis,změna,zpracování,zpracovávání,...}.4</t>
  </si>
  <si>
    <t xml:space="preserve">ACT-&gt;ARG0/1106,ARG1/40,ARG2/18,ARG3/1</t>
  </si>
  <si>
    <t xml:space="preserve">CPHR-&gt;ARG0/1,ARG1/1531,ARG2/59,ARG3/1</t>
  </si>
  <si>
    <t xml:space="preserve">CPHR-&gt;Inspected</t>
  </si>
  <si>
    <t xml:space="preserve">CPHR-&gt;Inspected(ARG1/398)</t>
  </si>
  <si>
    <t xml:space="preserve">CPHR-&gt;Activity</t>
  </si>
  <si>
    <t xml:space="preserve">CPHR-&gt;Activity(ARG0/1,ARG1/776,ARG2/59,ARG3/1)</t>
  </si>
  <si>
    <t xml:space="preserve">"provádět-007"</t>
  </si>
  <si>
    <t xml:space="preserve">CPHR: {pokus}.4</t>
  </si>
  <si>
    <t xml:space="preserve">"provádět-008"</t>
  </si>
  <si>
    <t xml:space="preserve">CPHR: {lisování,orání,pletí,sestřih,sběr,řez,...}.4</t>
  </si>
  <si>
    <t xml:space="preserve">"proválčit-001"</t>
  </si>
  <si>
    <t xml:space="preserve">"proválčit-002"</t>
  </si>
  <si>
    <t xml:space="preserve">"provázet-001"</t>
  </si>
  <si>
    <t xml:space="preserve">"provázet-002"</t>
  </si>
  <si>
    <t xml:space="preserve">"provážet-001"</t>
  </si>
  <si>
    <t xml:space="preserve">"provést-001"</t>
  </si>
  <si>
    <t xml:space="preserve">DIR2-&gt;Destination()</t>
  </si>
  <si>
    <t xml:space="preserve">"provést-002"</t>
  </si>
  <si>
    <t xml:space="preserve">ACT-&gt;ARG0/484,ARG1/3,ARG3/1</t>
  </si>
  <si>
    <t xml:space="preserve">PAT-&gt;ARG1/789</t>
  </si>
  <si>
    <t xml:space="preserve">"provést-003"</t>
  </si>
  <si>
    <t xml:space="preserve">"provést-004"</t>
  </si>
  <si>
    <t xml:space="preserve">CPHR: {aktualizace,akvizice,fixace,hodnocení,instruktáž,jmenování,kontrola,krok,likvidace,lumpárna,modernizace,nabídka,náhrada,nákup,navýšení,obnova,obrat,odhad,odpis,odškodnění,ohledání,opatření,operace,oprava,oznámení,platba,platba,podání,prodej,průzkum,přestupek,převzetí,redukce,reforma,renovace,reorganizace,restrukturalizace,revize,rozbor,rozhodnutí,sběr,snížení,snižování,spekulace,splavnění,spravedlnost,srovnání,statistika,střídání,studie,test,testování,transakce,transformace,údržba,úprava,vklad,výkop,výměna,vyplacení,vyšetření,výzkum,změna,znárodnění,zrušení,zvrat,...}.4</t>
  </si>
  <si>
    <t xml:space="preserve">ACT-&gt;ARG0/475</t>
  </si>
  <si>
    <t xml:space="preserve">CPHR-&gt;ARG1/793</t>
  </si>
  <si>
    <t xml:space="preserve">"provést-005"</t>
  </si>
  <si>
    <t xml:space="preserve">CPHR: {debata,dialog,hovor,rozhovor,slyšení,...}.4</t>
  </si>
  <si>
    <t xml:space="preserve">"provést-006"</t>
  </si>
  <si>
    <t xml:space="preserve">CPHR: {lumpárna}.4</t>
  </si>
  <si>
    <t xml:space="preserve">"provést-007"</t>
  </si>
  <si>
    <t xml:space="preserve">"provézt-001"</t>
  </si>
  <si>
    <t xml:space="preserve">"provětrat-001"</t>
  </si>
  <si>
    <t xml:space="preserve">"provětrat-002"</t>
  </si>
  <si>
    <t xml:space="preserve">"provětrávat-001"</t>
  </si>
  <si>
    <t xml:space="preserve">"prověřit-001"</t>
  </si>
  <si>
    <t xml:space="preserve">"prověřovat-001"</t>
  </si>
  <si>
    <t xml:space="preserve">"prozkoumat-001"</t>
  </si>
  <si>
    <t xml:space="preserve">ACT-&gt;ARG0/438</t>
  </si>
  <si>
    <t xml:space="preserve">PAT-&gt;ARG1/722</t>
  </si>
  <si>
    <t xml:space="preserve">"prozkoumat-002"</t>
  </si>
  <si>
    <t xml:space="preserve">PAT: 4; ↓zda; ↓c</t>
  </si>
  <si>
    <t xml:space="preserve">"prozkoumávat-001"</t>
  </si>
  <si>
    <t xml:space="preserve">"prozpívat-001"</t>
  </si>
  <si>
    <t xml:space="preserve">"prozpívat-se-001"</t>
  </si>
  <si>
    <t xml:space="preserve">"prozpívat-se-002"</t>
  </si>
  <si>
    <t xml:space="preserve">"prozpěvovat-001"</t>
  </si>
  <si>
    <t xml:space="preserve">EFF: 4; ↓že; ↓zda; ↓jestli; ↓c; .s</t>
  </si>
  <si>
    <t xml:space="preserve">"prozradit-001"</t>
  </si>
  <si>
    <t xml:space="preserve">EFF: 4; ↓že; ↓zda; ↓c; .s</t>
  </si>
  <si>
    <t xml:space="preserve">?PAT: na+4; o+6</t>
  </si>
  <si>
    <t xml:space="preserve">"prozradit-se-001"</t>
  </si>
  <si>
    <t xml:space="preserve">Speaker(ARG0/3,ARG1/1), Admitted(ARG1/5)</t>
  </si>
  <si>
    <t xml:space="preserve">ACT-&gt;Speaker(ARG0/3,ARG1/1)</t>
  </si>
  <si>
    <t xml:space="preserve">PAT-&gt;Admitted(ARG1/5)</t>
  </si>
  <si>
    <t xml:space="preserve">"prozrazovat-001"</t>
  </si>
  <si>
    <t xml:space="preserve">"pročesat-001"</t>
  </si>
  <si>
    <t xml:space="preserve">"pročesat-002"</t>
  </si>
  <si>
    <t xml:space="preserve">"pročesávat-001"</t>
  </si>
  <si>
    <t xml:space="preserve">"pročesávat-002"</t>
  </si>
  <si>
    <t xml:space="preserve">"pročistit-001"</t>
  </si>
  <si>
    <t xml:space="preserve">ORIG-&gt;ARG1/3,ARG2/3</t>
  </si>
  <si>
    <t xml:space="preserve">"pročíst-001"</t>
  </si>
  <si>
    <t xml:space="preserve">"pročítat-001"</t>
  </si>
  <si>
    <t xml:space="preserve">"pročítat-002"</t>
  </si>
  <si>
    <t xml:space="preserve">"prořeknout-001"</t>
  </si>
  <si>
    <t xml:space="preserve">"prořeknout-se-001"</t>
  </si>
  <si>
    <t xml:space="preserve">"prořídnout-001"</t>
  </si>
  <si>
    <t xml:space="preserve">"prořítit-se-001"</t>
  </si>
  <si>
    <t xml:space="preserve">"prošetřit-001"</t>
  </si>
  <si>
    <t xml:space="preserve">"prošetřovat-001"</t>
  </si>
  <si>
    <t xml:space="preserve">"proškolit-001"</t>
  </si>
  <si>
    <t xml:space="preserve">"proškolovat-001"</t>
  </si>
  <si>
    <t xml:space="preserve">"prošlapat-001"</t>
  </si>
  <si>
    <t xml:space="preserve">"prošlapávat-001"</t>
  </si>
  <si>
    <t xml:space="preserve">"prošlechťovat-001"</t>
  </si>
  <si>
    <t xml:space="preserve">"prošlápnout-001"</t>
  </si>
  <si>
    <t xml:space="preserve">"prošoupat-001"</t>
  </si>
  <si>
    <t xml:space="preserve">Wearer(ARG0/1), Worn(ARG1/1)</t>
  </si>
  <si>
    <t xml:space="preserve">ACT-&gt;Wearer(ARG0/1)</t>
  </si>
  <si>
    <t xml:space="preserve">PAT-&gt;Worn(ARG1/1)</t>
  </si>
  <si>
    <t xml:space="preserve">"prošoupávat-001"</t>
  </si>
  <si>
    <t xml:space="preserve">"prošpikovat-001"</t>
  </si>
  <si>
    <t xml:space="preserve">"prošťouchávat-001"</t>
  </si>
  <si>
    <t xml:space="preserve">"prožrat-001"</t>
  </si>
  <si>
    <t xml:space="preserve">"prožít-001"</t>
  </si>
  <si>
    <t xml:space="preserve">"prožít-002"</t>
  </si>
  <si>
    <t xml:space="preserve">"prožít-003"</t>
  </si>
  <si>
    <t xml:space="preserve">"prožít-004"</t>
  </si>
  <si>
    <t xml:space="preserve">DPHR: na-1[kůže:S4[vlastní-1:#]]</t>
  </si>
  <si>
    <t xml:space="preserve">"prožít-si-001"</t>
  </si>
  <si>
    <t xml:space="preserve">"prožívat-001"</t>
  </si>
  <si>
    <t xml:space="preserve">"prožívat-002"</t>
  </si>
  <si>
    <t xml:space="preserve">"prát-001"</t>
  </si>
  <si>
    <t xml:space="preserve">DPHR: peníze.P4; peníze.P4[špinavý.#]</t>
  </si>
  <si>
    <t xml:space="preserve">"prát-002"</t>
  </si>
  <si>
    <t xml:space="preserve">"--prát-003"</t>
  </si>
  <si>
    <t xml:space="preserve">"--prát-004"</t>
  </si>
  <si>
    <t xml:space="preserve">DPHR: peníze</t>
  </si>
  <si>
    <t xml:space="preserve">"prát-se-001"</t>
  </si>
  <si>
    <t xml:space="preserve">"prýštit-001"</t>
  </si>
  <si>
    <t xml:space="preserve">"pršet-001"</t>
  </si>
  <si>
    <t xml:space="preserve">Phenomenon(ARG1/1)</t>
  </si>
  <si>
    <t xml:space="preserve">ACT-&gt;Phenomenon(ARG1/1)</t>
  </si>
  <si>
    <t xml:space="preserve">"pršet-002"</t>
  </si>
  <si>
    <t xml:space="preserve">"psát-001"</t>
  </si>
  <si>
    <t xml:space="preserve">"psát-002"</t>
  </si>
  <si>
    <t xml:space="preserve">PAT: 4; ↓že; ↓aby; .s</t>
  </si>
  <si>
    <t xml:space="preserve">"psát-003"</t>
  </si>
  <si>
    <t xml:space="preserve">"psát-004"</t>
  </si>
  <si>
    <t xml:space="preserve">"psát-005"</t>
  </si>
  <si>
    <t xml:space="preserve">"psát-006"</t>
  </si>
  <si>
    <t xml:space="preserve">"psát-007"</t>
  </si>
  <si>
    <t xml:space="preserve">EFF: 4; ↓že; ↓aby; .s; ↓c; ↓jestli; ↓jak-2; ↓ať</t>
  </si>
  <si>
    <t xml:space="preserve">"psát-008"</t>
  </si>
  <si>
    <t xml:space="preserve">"psát-si-001"</t>
  </si>
  <si>
    <t xml:space="preserve">"--psát-si-002"</t>
  </si>
  <si>
    <t xml:space="preserve">"psávat-001"</t>
  </si>
  <si>
    <t xml:space="preserve">"ptát-se-001"</t>
  </si>
  <si>
    <t xml:space="preserve">"ptát-se-002"</t>
  </si>
  <si>
    <t xml:space="preserve">?ADDR: 2</t>
  </si>
  <si>
    <t xml:space="preserve">"ptávat-se-001"</t>
  </si>
  <si>
    <t xml:space="preserve">"publikovat-001"</t>
  </si>
  <si>
    <t xml:space="preserve">Creator(ARG0/209,ARG1/1,ARG2/1), Outcome(ARG0/1,ARG1/303)</t>
  </si>
  <si>
    <t xml:space="preserve">ACT-&gt;ARG0/209,ARG1/1,ARG2/1</t>
  </si>
  <si>
    <t xml:space="preserve">ACT-&gt;Creator(ARG0/209,ARG1/1,ARG2/1)</t>
  </si>
  <si>
    <t xml:space="preserve">PAT-&gt;ARG0/1,ARG1/303</t>
  </si>
  <si>
    <t xml:space="preserve">PAT-&gt;Outcome</t>
  </si>
  <si>
    <t xml:space="preserve">PAT-&gt;Outcome(ARG0/1,ARG1/303)</t>
  </si>
  <si>
    <t xml:space="preserve">"publikovat-002"</t>
  </si>
  <si>
    <t xml:space="preserve">"pukat-001"</t>
  </si>
  <si>
    <t xml:space="preserve">"puknout-001"</t>
  </si>
  <si>
    <t xml:space="preserve">"pulsovat-001"</t>
  </si>
  <si>
    <t xml:space="preserve">"pumpovat-001"</t>
  </si>
  <si>
    <t xml:space="preserve">"pumpovat-002"</t>
  </si>
  <si>
    <t xml:space="preserve">"puncovat-001"</t>
  </si>
  <si>
    <t xml:space="preserve">"pusinkovat-001"</t>
  </si>
  <si>
    <t xml:space="preserve">"pusinkovat-002"</t>
  </si>
  <si>
    <t xml:space="preserve">"pustit-001"</t>
  </si>
  <si>
    <t xml:space="preserve">"pustit-002"</t>
  </si>
  <si>
    <t xml:space="preserve">"pustit-003"</t>
  </si>
  <si>
    <t xml:space="preserve">"pustit-004"</t>
  </si>
  <si>
    <t xml:space="preserve">"pustit-005"</t>
  </si>
  <si>
    <t xml:space="preserve">"pustit-006"</t>
  </si>
  <si>
    <t xml:space="preserve">DPHR: k-1[slovo.S3]</t>
  </si>
  <si>
    <t xml:space="preserve">"pustit-007"</t>
  </si>
  <si>
    <t xml:space="preserve">DPHR: k-1[voda.S3]</t>
  </si>
  <si>
    <t xml:space="preserve">"pustit-008"</t>
  </si>
  <si>
    <t xml:space="preserve">"pustit-009"</t>
  </si>
  <si>
    <t xml:space="preserve">"pustit-se-001"</t>
  </si>
  <si>
    <t xml:space="preserve">"pustit-se-002"</t>
  </si>
  <si>
    <t xml:space="preserve">"pustit-se-003"</t>
  </si>
  <si>
    <t xml:space="preserve">CPHR: do-1[{akce,boj,bojkot,čtení,hospodaření,hra,investice,obchodování,podnikání,polemika,práce,projekt,překládání,přestavba,příprava,psaní,řešení,spekulace,testování,výklad,výroba,výstavba,vývoj,výzva,...}.2]</t>
  </si>
  <si>
    <t xml:space="preserve">CPHR-&gt;ARG1/713,ARG2/1</t>
  </si>
  <si>
    <t xml:space="preserve">CPHR-&gt;Action</t>
  </si>
  <si>
    <t xml:space="preserve">CPHR-&gt;Action(ARG1/713,ARG2/1)</t>
  </si>
  <si>
    <t xml:space="preserve">"pustit-se-004"</t>
  </si>
  <si>
    <t xml:space="preserve">"pustit-se-005"</t>
  </si>
  <si>
    <t xml:space="preserve">"putovat-001"</t>
  </si>
  <si>
    <t xml:space="preserve">"pykat-001"</t>
  </si>
  <si>
    <t xml:space="preserve">"pytlačit-001"</t>
  </si>
  <si>
    <t xml:space="preserve">"pyšnit-se-001"</t>
  </si>
  <si>
    <t xml:space="preserve">"páchat-001"</t>
  </si>
  <si>
    <t xml:space="preserve">"páchnout-001"</t>
  </si>
  <si>
    <t xml:space="preserve">Phenomenon(ARG1/4), Judgment()</t>
  </si>
  <si>
    <t xml:space="preserve">ACT-&gt;Phenomenon(ARG1/4)</t>
  </si>
  <si>
    <t xml:space="preserve">?PAT: 7; po+6</t>
  </si>
  <si>
    <t xml:space="preserve">PAT-&gt;Judgment()</t>
  </si>
  <si>
    <t xml:space="preserve">"pádlovat-001"</t>
  </si>
  <si>
    <t xml:space="preserve">"pálit-001"</t>
  </si>
  <si>
    <t xml:space="preserve">"pálit-002"</t>
  </si>
  <si>
    <t xml:space="preserve">"pálit-003"</t>
  </si>
  <si>
    <t xml:space="preserve">"pálit-004"</t>
  </si>
  <si>
    <t xml:space="preserve">"pálit-005"</t>
  </si>
  <si>
    <t xml:space="preserve">"pálit-si-001"</t>
  </si>
  <si>
    <t xml:space="preserve">DPHR: prst.P4</t>
  </si>
  <si>
    <t xml:space="preserve">"párovat-001"</t>
  </si>
  <si>
    <t xml:space="preserve">EFF-&gt;ARG1/2,ARG2/11,ARG3/1</t>
  </si>
  <si>
    <t xml:space="preserve">EFF-&gt;Entity_2(ARG1/2,ARG2/11,ARG3/1)</t>
  </si>
  <si>
    <t xml:space="preserve">"--párovat-002"</t>
  </si>
  <si>
    <t xml:space="preserve">"--párovat-se-001"</t>
  </si>
  <si>
    <t xml:space="preserve">"pást-001"</t>
  </si>
  <si>
    <t xml:space="preserve">"pást-002"</t>
  </si>
  <si>
    <t xml:space="preserve">"pást-se-001"</t>
  </si>
  <si>
    <t xml:space="preserve">"pást-se-002"</t>
  </si>
  <si>
    <t xml:space="preserve">Ingestor(ARG0/2), Place(ARG1/1)</t>
  </si>
  <si>
    <t xml:space="preserve">ACT-&gt;Ingestor(ARG0/2)</t>
  </si>
  <si>
    <t xml:space="preserve">"pátrat-001"</t>
  </si>
  <si>
    <t xml:space="preserve">PAT: po+6; ↓jestli; ↓c</t>
  </si>
  <si>
    <t xml:space="preserve">"péci-001"</t>
  </si>
  <si>
    <t xml:space="preserve">"--péci-002"</t>
  </si>
  <si>
    <t xml:space="preserve">"píchat-001"</t>
  </si>
  <si>
    <t xml:space="preserve">"píchat-002"</t>
  </si>
  <si>
    <t xml:space="preserve">"píchat-003"</t>
  </si>
  <si>
    <t xml:space="preserve">"píchat-004"</t>
  </si>
  <si>
    <t xml:space="preserve">"píchnout-001"</t>
  </si>
  <si>
    <t xml:space="preserve">"píchnout-002"</t>
  </si>
  <si>
    <t xml:space="preserve">"píchnout-003"</t>
  </si>
  <si>
    <t xml:space="preserve">"píct-001"</t>
  </si>
  <si>
    <t xml:space="preserve">"pídit-se-001"</t>
  </si>
  <si>
    <t xml:space="preserve">"pípat-001"</t>
  </si>
  <si>
    <t xml:space="preserve">"pískat-001"</t>
  </si>
  <si>
    <t xml:space="preserve">"pískat-002"</t>
  </si>
  <si>
    <t xml:space="preserve">"písknout-001"</t>
  </si>
  <si>
    <t xml:space="preserve">"pít-001"</t>
  </si>
  <si>
    <t xml:space="preserve">"pít-002"</t>
  </si>
  <si>
    <t xml:space="preserve">"pózovat-001"</t>
  </si>
  <si>
    <t xml:space="preserve">"pěstovat-001"</t>
  </si>
  <si>
    <t xml:space="preserve">"pěstovat-002"</t>
  </si>
  <si>
    <t xml:space="preserve">"pěstovat-si-001"</t>
  </si>
  <si>
    <t xml:space="preserve">"pěstovávat-001"</t>
  </si>
  <si>
    <t xml:space="preserve">"pět-001"</t>
  </si>
  <si>
    <t xml:space="preserve">"pět-002"</t>
  </si>
  <si>
    <t xml:space="preserve">"pět-003"</t>
  </si>
  <si>
    <t xml:space="preserve">PAT: na+4; 3</t>
  </si>
  <si>
    <t xml:space="preserve">"pět-004"</t>
  </si>
  <si>
    <t xml:space="preserve">"pět-005"</t>
  </si>
  <si>
    <t xml:space="preserve">"přebalit-001"</t>
  </si>
  <si>
    <t xml:space="preserve">"přebalovat-001"</t>
  </si>
  <si>
    <t xml:space="preserve">"přebolet-001"</t>
  </si>
  <si>
    <t xml:space="preserve">"přebrat-001"</t>
  </si>
  <si>
    <t xml:space="preserve">"přebrat-002"</t>
  </si>
  <si>
    <t xml:space="preserve">DPHR: na-1[se.S4]</t>
  </si>
  <si>
    <t xml:space="preserve">"přebrodit-001"</t>
  </si>
  <si>
    <t xml:space="preserve">"přebudovat-001"</t>
  </si>
  <si>
    <t xml:space="preserve">"přebudovávat-001"</t>
  </si>
  <si>
    <t xml:space="preserve">"přebásnit-001"</t>
  </si>
  <si>
    <t xml:space="preserve">"přebíhat-001"</t>
  </si>
  <si>
    <t xml:space="preserve">"přebíhat-002"</t>
  </si>
  <si>
    <t xml:space="preserve">Mover(), Area_1(), Area_2()</t>
  </si>
  <si>
    <t xml:space="preserve">"přebíhat-003"</t>
  </si>
  <si>
    <t xml:space="preserve">"přebíjet-001"</t>
  </si>
  <si>
    <t xml:space="preserve">New(ARG0/5), Old(ARG1/13)</t>
  </si>
  <si>
    <t xml:space="preserve">ACT-&gt;New(ARG0/5)</t>
  </si>
  <si>
    <t xml:space="preserve">PAT-&gt;Old(ARG1/13)</t>
  </si>
  <si>
    <t xml:space="preserve">"přebírat-001"</t>
  </si>
  <si>
    <t xml:space="preserve">"přebírat-002"</t>
  </si>
  <si>
    <t xml:space="preserve">"přebírat-003"</t>
  </si>
  <si>
    <t xml:space="preserve">"přebít-001"</t>
  </si>
  <si>
    <t xml:space="preserve">Payer(ARG0/4), Payee(ARG1/3,ARG2/1)</t>
  </si>
  <si>
    <t xml:space="preserve">ACT-&gt;Payer(ARG0/4)</t>
  </si>
  <si>
    <t xml:space="preserve">PAT-&gt;ARG1/16,ARG2/1</t>
  </si>
  <si>
    <t xml:space="preserve">PAT-&gt;Payee(ARG1/3,ARG2/1)</t>
  </si>
  <si>
    <t xml:space="preserve">"přebývat-001"</t>
  </si>
  <si>
    <t xml:space="preserve">"přebývat-002"</t>
  </si>
  <si>
    <t xml:space="preserve">"přeběhnout-001"</t>
  </si>
  <si>
    <t xml:space="preserve">PAT-&gt;Area()</t>
  </si>
  <si>
    <t xml:space="preserve">"přeběhnout-002"</t>
  </si>
  <si>
    <t xml:space="preserve">"přecedit-001"</t>
  </si>
  <si>
    <t xml:space="preserve">"přecenit-001"</t>
  </si>
  <si>
    <t xml:space="preserve">"přeceňovat-001"</t>
  </si>
  <si>
    <t xml:space="preserve">"přechodit-001"</t>
  </si>
  <si>
    <t xml:space="preserve">"přechovávat-001"</t>
  </si>
  <si>
    <t xml:space="preserve">Agent(ARG0/9,ARG2/1), Goods(ARG1/15), Place()</t>
  </si>
  <si>
    <t xml:space="preserve">PAT-&gt;Goods(ARG1/15)</t>
  </si>
  <si>
    <t xml:space="preserve">"přechytračit-001"</t>
  </si>
  <si>
    <t xml:space="preserve">Winner(), Loser()</t>
  </si>
  <si>
    <t xml:space="preserve">PAT-&gt;Loser()</t>
  </si>
  <si>
    <t xml:space="preserve">"přecházet-001"</t>
  </si>
  <si>
    <t xml:space="preserve">Protagonist(ARG0/18,ARG1/12), State_final(ARG1/2,ARG2/25), Source(ARG2/1,ARG3/2)</t>
  </si>
  <si>
    <t xml:space="preserve">ACT-&gt;ARG0/18,ARG1/12</t>
  </si>
  <si>
    <t xml:space="preserve">ACT-&gt;Protagonist(ARG0/18,ARG1/12)</t>
  </si>
  <si>
    <t xml:space="preserve">PAT: k+3; na+4; v+4</t>
  </si>
  <si>
    <t xml:space="preserve">PAT-&gt;ARG1/2,ARG2/25</t>
  </si>
  <si>
    <t xml:space="preserve">PAT-&gt;State_final(ARG1/2,ARG2/25)</t>
  </si>
  <si>
    <t xml:space="preserve">ORIG-&gt;ARG2/1,ARG3/2</t>
  </si>
  <si>
    <t xml:space="preserve">ORIG-&gt;Source(ARG2/1,ARG3/2)</t>
  </si>
  <si>
    <t xml:space="preserve">"přecházet-002"</t>
  </si>
  <si>
    <t xml:space="preserve">"přecházet-003"</t>
  </si>
  <si>
    <t xml:space="preserve">"přecházet-004"</t>
  </si>
  <si>
    <t xml:space="preserve">"přecházet-005"</t>
  </si>
  <si>
    <t xml:space="preserve">"přecházet-006"</t>
  </si>
  <si>
    <t xml:space="preserve">"přecházet-007"</t>
  </si>
  <si>
    <t xml:space="preserve">"přecházet-008"</t>
  </si>
  <si>
    <t xml:space="preserve">"přecházet-009"</t>
  </si>
  <si>
    <t xml:space="preserve">"předat-001"</t>
  </si>
  <si>
    <t xml:space="preserve">"předat-002"</t>
  </si>
  <si>
    <t xml:space="preserve">"předat-003"</t>
  </si>
  <si>
    <t xml:space="preserve">CPHR: {informace,podnět,tajemství,zpráva,...}.4</t>
  </si>
  <si>
    <t xml:space="preserve">CPHR-&gt;ARG1/135,ARG2/2</t>
  </si>
  <si>
    <t xml:space="preserve">CPHR-&gt;Given</t>
  </si>
  <si>
    <t xml:space="preserve">CPHR-&gt;Given(ARG1/135,ARG2/2)</t>
  </si>
  <si>
    <t xml:space="preserve">"předat-004"</t>
  </si>
  <si>
    <t xml:space="preserve">"předat-se-001"</t>
  </si>
  <si>
    <t xml:space="preserve">"--předat-si-001"</t>
  </si>
  <si>
    <t xml:space="preserve">"předbíhat-001"</t>
  </si>
  <si>
    <t xml:space="preserve">"předbíhat-002"</t>
  </si>
  <si>
    <t xml:space="preserve">"předbíhat-se-001"</t>
  </si>
  <si>
    <t xml:space="preserve">"předběhnout-001"</t>
  </si>
  <si>
    <t xml:space="preserve">PAT: 4; 3</t>
  </si>
  <si>
    <t xml:space="preserve">"předběhnout-002"</t>
  </si>
  <si>
    <t xml:space="preserve">"předcházet-001"</t>
  </si>
  <si>
    <t xml:space="preserve">Antecedent(ARG0/4,ARG1/2), Subsequent(ARG1/7,ARG2/3)</t>
  </si>
  <si>
    <t xml:space="preserve">ACT-&gt;ARG0/4,ARG1/2</t>
  </si>
  <si>
    <t xml:space="preserve">ACT-&gt;Antecedent</t>
  </si>
  <si>
    <t xml:space="preserve">ACT-&gt;Antecedent(ARG0/4,ARG1/2)</t>
  </si>
  <si>
    <t xml:space="preserve">PAT-&gt;ARG1/7,ARG2/3</t>
  </si>
  <si>
    <t xml:space="preserve">PAT-&gt;Subsequent</t>
  </si>
  <si>
    <t xml:space="preserve">PAT-&gt;Subsequent(ARG1/7,ARG2/3)</t>
  </si>
  <si>
    <t xml:space="preserve">"předcházet-002"</t>
  </si>
  <si>
    <t xml:space="preserve">DPHR: pýcha.S1,pád.S4</t>
  </si>
  <si>
    <t xml:space="preserve">"předcházet-003"</t>
  </si>
  <si>
    <t xml:space="preserve">"předcházet-004"</t>
  </si>
  <si>
    <t xml:space="preserve">"předcvičovat-001"</t>
  </si>
  <si>
    <t xml:space="preserve">"předehnat-001"</t>
  </si>
  <si>
    <t xml:space="preserve">"předehrát-001"</t>
  </si>
  <si>
    <t xml:space="preserve">"předejet-001"</t>
  </si>
  <si>
    <t xml:space="preserve">"předejmout-001"</t>
  </si>
  <si>
    <t xml:space="preserve">"předejít-001"</t>
  </si>
  <si>
    <t xml:space="preserve">"předejít-002"</t>
  </si>
  <si>
    <t xml:space="preserve">"předepisovat-001"</t>
  </si>
  <si>
    <t xml:space="preserve">PAT: 4; ↓že; ↓aby; ↓ať</t>
  </si>
  <si>
    <t xml:space="preserve">"předepsat-001"</t>
  </si>
  <si>
    <t xml:space="preserve">PAT: 4; ↓že; ↓aby; ↓ať; ↓c</t>
  </si>
  <si>
    <t xml:space="preserve">"předeslat-001"</t>
  </si>
  <si>
    <t xml:space="preserve">"předestřít-001"</t>
  </si>
  <si>
    <t xml:space="preserve">"předhazovat-001"</t>
  </si>
  <si>
    <t xml:space="preserve">PAT: 4; ↓že; ↓c; .v</t>
  </si>
  <si>
    <t xml:space="preserve">"předhánět-001"</t>
  </si>
  <si>
    <t xml:space="preserve">"předhánět-se-001"</t>
  </si>
  <si>
    <t xml:space="preserve">?PAT: o+4; v+6</t>
  </si>
  <si>
    <t xml:space="preserve">"předimenzovat-001"</t>
  </si>
  <si>
    <t xml:space="preserve">"předjet-001"</t>
  </si>
  <si>
    <t xml:space="preserve">"předjímat-001"</t>
  </si>
  <si>
    <t xml:space="preserve">"předjíždět-001"</t>
  </si>
  <si>
    <t xml:space="preserve">"předklonit-se-001"</t>
  </si>
  <si>
    <t xml:space="preserve">"předkládat-001"</t>
  </si>
  <si>
    <t xml:space="preserve">"předložit-001"</t>
  </si>
  <si>
    <t xml:space="preserve">ACT-&gt;ARG0/602,ARG1/31</t>
  </si>
  <si>
    <t xml:space="preserve">PAT-&gt;ARG1/850,ARG2/53,ARG3/1</t>
  </si>
  <si>
    <t xml:space="preserve">ADDR-&gt;ARG1/11,ARG2/181,ARG3/86</t>
  </si>
  <si>
    <t xml:space="preserve">"předložit-002"</t>
  </si>
  <si>
    <t xml:space="preserve">LOC-&gt;ARG1/10,ARG2/176,ARG3/86</t>
  </si>
  <si>
    <t xml:space="preserve">"předložit-003"</t>
  </si>
  <si>
    <t xml:space="preserve">DIR3-&gt;ARG1/3,ARG2/16,ARG3/7</t>
  </si>
  <si>
    <t xml:space="preserve">DIR3-&gt;Impactee(ARG1/3,ARG2/16,ARG3/7)</t>
  </si>
  <si>
    <t xml:space="preserve">"přednášet-001"</t>
  </si>
  <si>
    <t xml:space="preserve">PAT: o+6; na-1[téma.4]</t>
  </si>
  <si>
    <t xml:space="preserve">"přednášet-002"</t>
  </si>
  <si>
    <t xml:space="preserve">"přednášet-003"</t>
  </si>
  <si>
    <t xml:space="preserve">"přednášet-004"</t>
  </si>
  <si>
    <t xml:space="preserve">"přednést-001"</t>
  </si>
  <si>
    <t xml:space="preserve">"předpisovat-001"</t>
  </si>
  <si>
    <t xml:space="preserve">"předplatit-001"</t>
  </si>
  <si>
    <t xml:space="preserve">"předplácet-001"</t>
  </si>
  <si>
    <t xml:space="preserve">"předpokládat-001"</t>
  </si>
  <si>
    <t xml:space="preserve">Agent(ARG0/736,ARG1/1), Attribute(ARG1/836)</t>
  </si>
  <si>
    <t xml:space="preserve">ACT: 1; .f; ↓aby; ↓že</t>
  </si>
  <si>
    <t xml:space="preserve">ACT-&gt;ARG0/736,ARG1/1</t>
  </si>
  <si>
    <t xml:space="preserve">ACT-&gt;Agent(ARG0/736,ARG1/1)</t>
  </si>
  <si>
    <t xml:space="preserve">PAT: 4; ↓aby; ↓že; .f</t>
  </si>
  <si>
    <t xml:space="preserve">PAT-&gt;ARG1/836</t>
  </si>
  <si>
    <t xml:space="preserve">PAT-&gt;Attribute(ARG1/836)</t>
  </si>
  <si>
    <t xml:space="preserve">"předpokládat-002"</t>
  </si>
  <si>
    <t xml:space="preserve">"předpovídat-001"</t>
  </si>
  <si>
    <t xml:space="preserve">"předpovědět-001"</t>
  </si>
  <si>
    <t xml:space="preserve">PAT: 4; ↓že; ↓zda; .s; ↓c</t>
  </si>
  <si>
    <t xml:space="preserve">"předražit-001"</t>
  </si>
  <si>
    <t xml:space="preserve">"předražovat-001"</t>
  </si>
  <si>
    <t xml:space="preserve">"předsedat-001"</t>
  </si>
  <si>
    <t xml:space="preserve">"předsevzít-si-001"</t>
  </si>
  <si>
    <t xml:space="preserve">"představit-001"</t>
  </si>
  <si>
    <t xml:space="preserve">"představit-002"</t>
  </si>
  <si>
    <t xml:space="preserve">Creator(ARG0/34), Created(ARG1/68)</t>
  </si>
  <si>
    <t xml:space="preserve">ACT-&gt;ARG0/148,ARG1/1</t>
  </si>
  <si>
    <t xml:space="preserve">ACT-&gt;Creator(ARG0/34)</t>
  </si>
  <si>
    <t xml:space="preserve">PAT-&gt;ARG1/217</t>
  </si>
  <si>
    <t xml:space="preserve">PAT-&gt;Created(ARG1/68)</t>
  </si>
  <si>
    <t xml:space="preserve">"představit-003"</t>
  </si>
  <si>
    <t xml:space="preserve">"představit-004"</t>
  </si>
  <si>
    <t xml:space="preserve">"představit-se-001"</t>
  </si>
  <si>
    <t xml:space="preserve">"představit-si-001"</t>
  </si>
  <si>
    <t xml:space="preserve">"představit-si-002"</t>
  </si>
  <si>
    <t xml:space="preserve">PAT: 4; ↓že; ↓jak-2; ↓c; .f</t>
  </si>
  <si>
    <t xml:space="preserve">Cognizer(ARG0/17), Phenomenon(ARG1/25)</t>
  </si>
  <si>
    <t xml:space="preserve">ACT-&gt;Cognizer(ARG0/17)</t>
  </si>
  <si>
    <t xml:space="preserve">PAT-&gt;ARG1/25</t>
  </si>
  <si>
    <t xml:space="preserve">PAT-&gt;Phenomenon(ARG1/25)</t>
  </si>
  <si>
    <t xml:space="preserve">"představit-si-003"</t>
  </si>
  <si>
    <t xml:space="preserve">"představovat-001"</t>
  </si>
  <si>
    <t xml:space="preserve">"představovat-002"</t>
  </si>
  <si>
    <t xml:space="preserve">"představovat-003"</t>
  </si>
  <si>
    <t xml:space="preserve">ACT-&gt;ARG0/18,ARG1/524,ARG2/123</t>
  </si>
  <si>
    <t xml:space="preserve">ACT-&gt;Component(ARG0/18,ARG1/524,ARG2/123)</t>
  </si>
  <si>
    <t xml:space="preserve">PAT-&gt;ARG0/114,ARG1/78,ARG2/150</t>
  </si>
  <si>
    <t xml:space="preserve">PAT-&gt;Whole(ARG0/114,ARG1/78,ARG2/150)</t>
  </si>
  <si>
    <t xml:space="preserve">"představovat-se-001"</t>
  </si>
  <si>
    <t xml:space="preserve">"představovat-si-001"</t>
  </si>
  <si>
    <t xml:space="preserve">"představovat-si-002"</t>
  </si>
  <si>
    <t xml:space="preserve">"představovat-si-003"</t>
  </si>
  <si>
    <t xml:space="preserve">"předstihnout-001"</t>
  </si>
  <si>
    <t xml:space="preserve">"předstihovat-001"</t>
  </si>
  <si>
    <t xml:space="preserve">"předstoupit-001"</t>
  </si>
  <si>
    <t xml:space="preserve">DIR3-&gt;ARG1/17,ARG2/34</t>
  </si>
  <si>
    <t xml:space="preserve">DIR3-&gt;Audience_Addressee</t>
  </si>
  <si>
    <t xml:space="preserve">DIR3-&gt;Audience_Addressee(ARG1/17,ARG2/34)</t>
  </si>
  <si>
    <t xml:space="preserve">"předstupovat-001"</t>
  </si>
  <si>
    <t xml:space="preserve">"předstírat-001"</t>
  </si>
  <si>
    <t xml:space="preserve">Protagonist(), Phenomenon(ARG1/4), Audience_Addressee()</t>
  </si>
  <si>
    <t xml:space="preserve">PAT-&gt;Phenomenon(ARG1/4)</t>
  </si>
  <si>
    <t xml:space="preserve">"předtočit-001"</t>
  </si>
  <si>
    <t xml:space="preserve">"předurčit-001"</t>
  </si>
  <si>
    <t xml:space="preserve">"předurčit-002"</t>
  </si>
  <si>
    <t xml:space="preserve">EFF: 7; za+4; 4[{jako,jakožto}:/AuxY]</t>
  </si>
  <si>
    <t xml:space="preserve">"předurčit-003"</t>
  </si>
  <si>
    <t xml:space="preserve">Determinant(ARG0/2), Determined(ARG1/3), Goal(ARG2/2)</t>
  </si>
  <si>
    <t xml:space="preserve">ACT-&gt;Determinant</t>
  </si>
  <si>
    <t xml:space="preserve">ACT-&gt;Determinant(ARG0/2)</t>
  </si>
  <si>
    <t xml:space="preserve">PAT-&gt;Determined</t>
  </si>
  <si>
    <t xml:space="preserve">PAT-&gt;Determined(ARG1/3)</t>
  </si>
  <si>
    <t xml:space="preserve">"předurčovat-001"</t>
  </si>
  <si>
    <t xml:space="preserve">"předurčovat-002"</t>
  </si>
  <si>
    <t xml:space="preserve">"předurčovat-003"</t>
  </si>
  <si>
    <t xml:space="preserve">"předvolat-001"</t>
  </si>
  <si>
    <t xml:space="preserve">ACT-&gt;ARG0/330,ARG1/1</t>
  </si>
  <si>
    <t xml:space="preserve">PAT-&gt;ARG1/448</t>
  </si>
  <si>
    <t xml:space="preserve">"předvolávat-001"</t>
  </si>
  <si>
    <t xml:space="preserve">"předvádět-001"</t>
  </si>
  <si>
    <t xml:space="preserve">PAT: 4; ↓že; ↓aby; ↓ať; ↓zda; ↓c</t>
  </si>
  <si>
    <t xml:space="preserve">"předvádět-se-001"</t>
  </si>
  <si>
    <t xml:space="preserve">"předvést-001"</t>
  </si>
  <si>
    <t xml:space="preserve">Agent(ARG0/72), Item(ARG1/482), Place()</t>
  </si>
  <si>
    <t xml:space="preserve">ACT-&gt;ARG0/186,ARG1/1</t>
  </si>
  <si>
    <t xml:space="preserve">ACT-&gt;Agent(ARG0/72)</t>
  </si>
  <si>
    <t xml:space="preserve">PAT-&gt;ARG1/631</t>
  </si>
  <si>
    <t xml:space="preserve">PAT-&gt;Item(ARG1/482)</t>
  </si>
  <si>
    <t xml:space="preserve">ADDR-&gt;Place</t>
  </si>
  <si>
    <t xml:space="preserve">ADDR-&gt;Place()</t>
  </si>
  <si>
    <t xml:space="preserve">"předvést-002"</t>
  </si>
  <si>
    <t xml:space="preserve">Authority(ARG0/1), Held(ARG1/5), Recipient()</t>
  </si>
  <si>
    <t xml:space="preserve">PAT-&gt;Held(ARG1/5)</t>
  </si>
  <si>
    <t xml:space="preserve">DIR3-&gt;Recipient()</t>
  </si>
  <si>
    <t xml:space="preserve">"předvést-se-001"</t>
  </si>
  <si>
    <t xml:space="preserve">ACT: 1; ↓že; ↓jak-2</t>
  </si>
  <si>
    <t xml:space="preserve">PAT: 7; 1[{jako,jakožto}:/AuxY]; být[.7]</t>
  </si>
  <si>
    <t xml:space="preserve">"předvést-se-002"</t>
  </si>
  <si>
    <t xml:space="preserve">"předvídat-001"</t>
  </si>
  <si>
    <t xml:space="preserve">"předznamenat-001"</t>
  </si>
  <si>
    <t xml:space="preserve">PAT: 4; ↓že; ↓zda; ↓jestli</t>
  </si>
  <si>
    <t xml:space="preserve">"předznamenávat-001"</t>
  </si>
  <si>
    <t xml:space="preserve">"předzásobit-001"</t>
  </si>
  <si>
    <t xml:space="preserve">"předávat-001"</t>
  </si>
  <si>
    <t xml:space="preserve">"předávat-002"</t>
  </si>
  <si>
    <t xml:space="preserve">"předávat-003"</t>
  </si>
  <si>
    <t xml:space="preserve">CPHR: {informace,podnět,zpráva,...}.4</t>
  </si>
  <si>
    <t xml:space="preserve">"předávat-004"</t>
  </si>
  <si>
    <t xml:space="preserve">"--předávat-si-001"</t>
  </si>
  <si>
    <t xml:space="preserve">"předávkovat-001"</t>
  </si>
  <si>
    <t xml:space="preserve">"předávkovat-se-001"</t>
  </si>
  <si>
    <t xml:space="preserve">"předčit-001"</t>
  </si>
  <si>
    <t xml:space="preserve">Entity(ARG0/134,ARG1/13), Value(ARG0/1,ARG1/162,ARG2/13), Difference(ARG2/16)</t>
  </si>
  <si>
    <t xml:space="preserve">ACT-&gt;ARG0/296,ARG1/13</t>
  </si>
  <si>
    <t xml:space="preserve">ACT-&gt;Entity(ARG0/134,ARG1/13)</t>
  </si>
  <si>
    <t xml:space="preserve">PAT-&gt;ARG0/2,ARG1/406,ARG2/14</t>
  </si>
  <si>
    <t xml:space="preserve">PAT-&gt;Value(ARG0/1,ARG1/162,ARG2/13)</t>
  </si>
  <si>
    <t xml:space="preserve">"předčítat-001"</t>
  </si>
  <si>
    <t xml:space="preserve">EFF: 4; ↓že; ↓jak-2; ↓zda; ↓jestli; ↓c; .s</t>
  </si>
  <si>
    <t xml:space="preserve">EFF-&gt;ARG1/72,ARG3/4</t>
  </si>
  <si>
    <t xml:space="preserve">EFF-&gt;Information(ARG1/72,ARG3/4)</t>
  </si>
  <si>
    <t xml:space="preserve">PAT-&gt;ARG1/72,ARG3/4</t>
  </si>
  <si>
    <t xml:space="preserve">"předělat-001"</t>
  </si>
  <si>
    <t xml:space="preserve">"předělávat-001"</t>
  </si>
  <si>
    <t xml:space="preserve">"předřadit-001"</t>
  </si>
  <si>
    <t xml:space="preserve">"předříkávat-001"</t>
  </si>
  <si>
    <t xml:space="preserve">"předřít-se-001"</t>
  </si>
  <si>
    <t xml:space="preserve">"přefakturovat-001"</t>
  </si>
  <si>
    <t xml:space="preserve">"přefilmovat-001"</t>
  </si>
  <si>
    <t xml:space="preserve">"přeformulovat-001"</t>
  </si>
  <si>
    <t xml:space="preserve">Evaluator(ARG0/76), Valued(ARG1/53)</t>
  </si>
  <si>
    <t xml:space="preserve">ACT-&gt;Evaluator(ARG0/76)</t>
  </si>
  <si>
    <t xml:space="preserve">PAT-&gt;ARG1/377</t>
  </si>
  <si>
    <t xml:space="preserve">PAT-&gt;Valued(ARG1/53)</t>
  </si>
  <si>
    <t xml:space="preserve">"přehazovat-001"</t>
  </si>
  <si>
    <t xml:space="preserve">"přehazovat-002"</t>
  </si>
  <si>
    <t xml:space="preserve">"přehazovat-003"</t>
  </si>
  <si>
    <t xml:space="preserve">"přehlasovat-001"</t>
  </si>
  <si>
    <t xml:space="preserve">"přehlavičkovat-001"</t>
  </si>
  <si>
    <t xml:space="preserve">"přehlcovat-001"</t>
  </si>
  <si>
    <t xml:space="preserve">"přehltit-001"</t>
  </si>
  <si>
    <t xml:space="preserve">"přehlušit-001"</t>
  </si>
  <si>
    <t xml:space="preserve">"přehlédnout-001"</t>
  </si>
  <si>
    <t xml:space="preserve">PAT: 4; ↓že; ↓zda; ↓jestli; ↓kdyby; ↓c</t>
  </si>
  <si>
    <t xml:space="preserve">"přehlédnout-002"</t>
  </si>
  <si>
    <t xml:space="preserve">"přehlížet-001"</t>
  </si>
  <si>
    <t xml:space="preserve">"přehnat-001"</t>
  </si>
  <si>
    <t xml:space="preserve">"přehnat-002"</t>
  </si>
  <si>
    <t xml:space="preserve">"přehnat-003"</t>
  </si>
  <si>
    <t xml:space="preserve">"přehnat-se-001"</t>
  </si>
  <si>
    <t xml:space="preserve">"přehnat-se-002"</t>
  </si>
  <si>
    <t xml:space="preserve">"přehodit-001"</t>
  </si>
  <si>
    <t xml:space="preserve">"přehodit-002"</t>
  </si>
  <si>
    <t xml:space="preserve">"přehodit-003"</t>
  </si>
  <si>
    <t xml:space="preserve">"přehodnocovat-001"</t>
  </si>
  <si>
    <t xml:space="preserve">"přehodnocovat-002"</t>
  </si>
  <si>
    <t xml:space="preserve">"přehodnotit-001"</t>
  </si>
  <si>
    <t xml:space="preserve">"přehodnotit-002"</t>
  </si>
  <si>
    <t xml:space="preserve">"přehoupnout-se-001"</t>
  </si>
  <si>
    <t xml:space="preserve">"přehrabovat-se-001"</t>
  </si>
  <si>
    <t xml:space="preserve">"přehradit-001"</t>
  </si>
  <si>
    <t xml:space="preserve">"přehrát-001"</t>
  </si>
  <si>
    <t xml:space="preserve">"přehrát-002"</t>
  </si>
  <si>
    <t xml:space="preserve">"přehrát-003"</t>
  </si>
  <si>
    <t xml:space="preserve">"přehrát-004"</t>
  </si>
  <si>
    <t xml:space="preserve">"přehrávat-001"</t>
  </si>
  <si>
    <t xml:space="preserve">"přehrávat-002"</t>
  </si>
  <si>
    <t xml:space="preserve">"přehrávat-003"</t>
  </si>
  <si>
    <t xml:space="preserve">"přehrávat-se-001"</t>
  </si>
  <si>
    <t xml:space="preserve">"přehrávat-si-001"</t>
  </si>
  <si>
    <t xml:space="preserve">"přehustit-001"</t>
  </si>
  <si>
    <t xml:space="preserve">"přehustit-002"</t>
  </si>
  <si>
    <t xml:space="preserve">"přehánět-001"</t>
  </si>
  <si>
    <t xml:space="preserve">"přehřát-001"</t>
  </si>
  <si>
    <t xml:space="preserve">"přehřát-se-001"</t>
  </si>
  <si>
    <t xml:space="preserve">"přehřívat-se-001"</t>
  </si>
  <si>
    <t xml:space="preserve">"přejet-001"</t>
  </si>
  <si>
    <t xml:space="preserve">"přejet-002"</t>
  </si>
  <si>
    <t xml:space="preserve">"přejet-003"</t>
  </si>
  <si>
    <t xml:space="preserve">"přejet-004"</t>
  </si>
  <si>
    <t xml:space="preserve">"přejet-005"</t>
  </si>
  <si>
    <t xml:space="preserve">"přejet-006"</t>
  </si>
  <si>
    <t xml:space="preserve">"přejet-007"</t>
  </si>
  <si>
    <t xml:space="preserve">"přejmenovat-001"</t>
  </si>
  <si>
    <t xml:space="preserve">ORIG-&gt;Name_initial</t>
  </si>
  <si>
    <t xml:space="preserve">ORIG-&gt;Name_initial()</t>
  </si>
  <si>
    <t xml:space="preserve">EFF-&gt;ARG2/8</t>
  </si>
  <si>
    <t xml:space="preserve">"přejmout-001"</t>
  </si>
  <si>
    <t xml:space="preserve">"přejmout-002"</t>
  </si>
  <si>
    <t xml:space="preserve">"přejímat-001"</t>
  </si>
  <si>
    <t xml:space="preserve">"přejíst-se-001"</t>
  </si>
  <si>
    <t xml:space="preserve">"přejít-001"</t>
  </si>
  <si>
    <t xml:space="preserve">PAT: v+4; na+4; k+3</t>
  </si>
  <si>
    <t xml:space="preserve">"přejít-002"</t>
  </si>
  <si>
    <t xml:space="preserve">"přejít-003"</t>
  </si>
  <si>
    <t xml:space="preserve">PAT-&gt;Obstacle</t>
  </si>
  <si>
    <t xml:space="preserve">PAT-&gt;Obstacle()</t>
  </si>
  <si>
    <t xml:space="preserve">"přejít-004"</t>
  </si>
  <si>
    <t xml:space="preserve">PAT: pod+4; do+2; na+4; k+3</t>
  </si>
  <si>
    <t xml:space="preserve">"přejít-005"</t>
  </si>
  <si>
    <t xml:space="preserve">"přejít-006"</t>
  </si>
  <si>
    <t xml:space="preserve">"přejít-007"</t>
  </si>
  <si>
    <t xml:space="preserve">"přejít-008"</t>
  </si>
  <si>
    <t xml:space="preserve">"přejít-009"</t>
  </si>
  <si>
    <t xml:space="preserve">DPHR: do-1[zbraň.S2]</t>
  </si>
  <si>
    <t xml:space="preserve">"přejíždět-001"</t>
  </si>
  <si>
    <t xml:space="preserve">"přejíždět-002"</t>
  </si>
  <si>
    <t xml:space="preserve">"přejíždět-003"</t>
  </si>
  <si>
    <t xml:space="preserve">"přejíždět-004"</t>
  </si>
  <si>
    <t xml:space="preserve">"překazit-001"</t>
  </si>
  <si>
    <t xml:space="preserve">"překlasifikovat-001"</t>
  </si>
  <si>
    <t xml:space="preserve">"překlasifikovat-002"</t>
  </si>
  <si>
    <t xml:space="preserve">Cognizer(ARG0/4), Item(ARG1/5), Category(ARG2/3)</t>
  </si>
  <si>
    <t xml:space="preserve">ACT-&gt;Cognizer(ARG0/4)</t>
  </si>
  <si>
    <t xml:space="preserve">PAT-&gt;Item(ARG1/5)</t>
  </si>
  <si>
    <t xml:space="preserve">EFF-&gt;ARG1/2,ARG2/99,ARG3/2,ARG4/27</t>
  </si>
  <si>
    <t xml:space="preserve">EFF-&gt;Category</t>
  </si>
  <si>
    <t xml:space="preserve">EFF-&gt;Category(ARG2/3)</t>
  </si>
  <si>
    <t xml:space="preserve">"překlenout-001"</t>
  </si>
  <si>
    <t xml:space="preserve">"překlenout-002"</t>
  </si>
  <si>
    <t xml:space="preserve">"překlopit-001"</t>
  </si>
  <si>
    <t xml:space="preserve">"překládat-001"</t>
  </si>
  <si>
    <t xml:space="preserve">Speaker(), Item(), State_initial(), State_final()</t>
  </si>
  <si>
    <t xml:space="preserve">PAT-&gt;Item()</t>
  </si>
  <si>
    <t xml:space="preserve">EFF-&gt;State_final()</t>
  </si>
  <si>
    <t xml:space="preserve">"překlápět-se-001"</t>
  </si>
  <si>
    <t xml:space="preserve">"překonat-001"</t>
  </si>
  <si>
    <t xml:space="preserve">"překonat-002"</t>
  </si>
  <si>
    <t xml:space="preserve">"překonat-003"</t>
  </si>
  <si>
    <t xml:space="preserve">ACT-&gt;ARG0/134,ARG1/13</t>
  </si>
  <si>
    <t xml:space="preserve">PAT-&gt;ARG0/1,ARG1/162,ARG2/13</t>
  </si>
  <si>
    <t xml:space="preserve">"překonat-se-001"</t>
  </si>
  <si>
    <t xml:space="preserve">Striving()</t>
  </si>
  <si>
    <t xml:space="preserve">ACT-&gt;Striving()</t>
  </si>
  <si>
    <t xml:space="preserve">"překontrolovat-001"</t>
  </si>
  <si>
    <t xml:space="preserve">PAT: 4; ↓že; ↓aby; ↓jestli; ↓zda; ↓c</t>
  </si>
  <si>
    <t xml:space="preserve">"překonávat-001"</t>
  </si>
  <si>
    <t xml:space="preserve">ACT-&gt;ARG0/292,ARG1/13</t>
  </si>
  <si>
    <t xml:space="preserve">PAT-&gt;ARG0/2,ARG1/403,ARG2/13</t>
  </si>
  <si>
    <t xml:space="preserve">"překonávat-se-001"</t>
  </si>
  <si>
    <t xml:space="preserve">"překopnout-001"</t>
  </si>
  <si>
    <t xml:space="preserve">"překopnout-002"</t>
  </si>
  <si>
    <t xml:space="preserve">"překousnout-001"</t>
  </si>
  <si>
    <t xml:space="preserve">"překračovat-001"</t>
  </si>
  <si>
    <t xml:space="preserve">"překračovat-002"</t>
  </si>
  <si>
    <t xml:space="preserve">"překračovat-003"</t>
  </si>
  <si>
    <t xml:space="preserve">"překračovat-004"</t>
  </si>
  <si>
    <t xml:space="preserve">"překreslovat-001"</t>
  </si>
  <si>
    <t xml:space="preserve">"překrmovat-001"</t>
  </si>
  <si>
    <t xml:space="preserve">"překroutit-001"</t>
  </si>
  <si>
    <t xml:space="preserve">"překročit-001"</t>
  </si>
  <si>
    <t xml:space="preserve">"překročit-002"</t>
  </si>
  <si>
    <t xml:space="preserve">"překročit-003"</t>
  </si>
  <si>
    <t xml:space="preserve">"překrucovat-001"</t>
  </si>
  <si>
    <t xml:space="preserve">"překrýt-001"</t>
  </si>
  <si>
    <t xml:space="preserve">"překrýt-002"</t>
  </si>
  <si>
    <t xml:space="preserve">"překrýt-003"</t>
  </si>
  <si>
    <t xml:space="preserve">"překrývat-001"</t>
  </si>
  <si>
    <t xml:space="preserve">"překrývat-002"</t>
  </si>
  <si>
    <t xml:space="preserve">"překrývat-se-001"</t>
  </si>
  <si>
    <t xml:space="preserve">"překulit-se-001"</t>
  </si>
  <si>
    <t xml:space="preserve">"překulit-se-002"</t>
  </si>
  <si>
    <t xml:space="preserve">"překvapit-001"</t>
  </si>
  <si>
    <t xml:space="preserve">"překvapit-002"</t>
  </si>
  <si>
    <t xml:space="preserve">"překvapovat-001"</t>
  </si>
  <si>
    <t xml:space="preserve">"překvapovat-002"</t>
  </si>
  <si>
    <t xml:space="preserve">"překypovat-001"</t>
  </si>
  <si>
    <t xml:space="preserve">Protagonist(ARG0/1,ARG1/1), Emotion(ARG1/1,ARG2/1)</t>
  </si>
  <si>
    <t xml:space="preserve">PAT-&gt;Emotion(ARG1/1,ARG2/1)</t>
  </si>
  <si>
    <t xml:space="preserve">"překypovat-002"</t>
  </si>
  <si>
    <t xml:space="preserve">"překypět-001"</t>
  </si>
  <si>
    <t xml:space="preserve">"překážet-001"</t>
  </si>
  <si>
    <t xml:space="preserve">?PAT: v+6; .f; ↓aby; při+6</t>
  </si>
  <si>
    <t xml:space="preserve">"překážet-002"</t>
  </si>
  <si>
    <t xml:space="preserve">"překřikovat-001"</t>
  </si>
  <si>
    <t xml:space="preserve">"překřtít-001"</t>
  </si>
  <si>
    <t xml:space="preserve">"překřížit-001"</t>
  </si>
  <si>
    <t xml:space="preserve">"překřížit-002"</t>
  </si>
  <si>
    <t xml:space="preserve">DPHR: cesta.4</t>
  </si>
  <si>
    <t xml:space="preserve">"přeladit-se-001"</t>
  </si>
  <si>
    <t xml:space="preserve">"přelarvovat-001"</t>
  </si>
  <si>
    <t xml:space="preserve">"přelaďovat-001"</t>
  </si>
  <si>
    <t xml:space="preserve">"přeletět-001"</t>
  </si>
  <si>
    <t xml:space="preserve">"přeletět-002"</t>
  </si>
  <si>
    <t xml:space="preserve">"přelidnit-001"</t>
  </si>
  <si>
    <t xml:space="preserve">"přelidnit-se-001"</t>
  </si>
  <si>
    <t xml:space="preserve">"přeložit-001"</t>
  </si>
  <si>
    <t xml:space="preserve">"přeložit-002"</t>
  </si>
  <si>
    <t xml:space="preserve">EFF: 4[{jako,jakožto}:/AuxY]; .s</t>
  </si>
  <si>
    <t xml:space="preserve">"přeložit-003"</t>
  </si>
  <si>
    <t xml:space="preserve">Mover(ARG0/63,ARG1/1), Moved(ARG1/164), Area_1(), Area_2(ARG2/1,ARG3/1)</t>
  </si>
  <si>
    <t xml:space="preserve">ACT-&gt;ARG0/63,ARG1/1</t>
  </si>
  <si>
    <t xml:space="preserve">ACT-&gt;Mover(ARG0/63,ARG1/1)</t>
  </si>
  <si>
    <t xml:space="preserve">PAT-&gt;ARG1/164</t>
  </si>
  <si>
    <t xml:space="preserve">PAT-&gt;Moved(ARG1/164)</t>
  </si>
  <si>
    <t xml:space="preserve">DIR3-&gt;ARG2/1,ARG3/1</t>
  </si>
  <si>
    <t xml:space="preserve">DIR3-&gt;Area_2(ARG2/1,ARG3/1)</t>
  </si>
  <si>
    <t xml:space="preserve">"přeložit-004"</t>
  </si>
  <si>
    <t xml:space="preserve">PAT-&gt;ARG1/226</t>
  </si>
  <si>
    <t xml:space="preserve">TFRWH-&gt;ARG3/1</t>
  </si>
  <si>
    <t xml:space="preserve">TFRWH-&gt;Time_from</t>
  </si>
  <si>
    <t xml:space="preserve">TFRWH-&gt;Time_from(ARG3/1)</t>
  </si>
  <si>
    <t xml:space="preserve">TOWH-&gt;ARG2/5,ARG3/2,ARG4/5</t>
  </si>
  <si>
    <t xml:space="preserve">TOWH-&gt;Time_to</t>
  </si>
  <si>
    <t xml:space="preserve">TOWH-&gt;Time_to(ARG2/5,ARG3/2,ARG4/5)</t>
  </si>
  <si>
    <t xml:space="preserve">"přelstít-001"</t>
  </si>
  <si>
    <t xml:space="preserve">Winner(), Loser(ARG2/1)</t>
  </si>
  <si>
    <t xml:space="preserve">PAT-&gt;Loser(ARG2/1)</t>
  </si>
  <si>
    <t xml:space="preserve">"přelámat-001"</t>
  </si>
  <si>
    <t xml:space="preserve">"přelétnout-001"</t>
  </si>
  <si>
    <t xml:space="preserve">"přelétávat-001"</t>
  </si>
  <si>
    <t xml:space="preserve">"přelétávat-002"</t>
  </si>
  <si>
    <t xml:space="preserve">"přelévat-001"</t>
  </si>
  <si>
    <t xml:space="preserve">"přelévat-se-001"</t>
  </si>
  <si>
    <t xml:space="preserve">"přelézt-001"</t>
  </si>
  <si>
    <t xml:space="preserve">"přelézt-002"</t>
  </si>
  <si>
    <t xml:space="preserve">"přelít-001"</t>
  </si>
  <si>
    <t xml:space="preserve">"přelítnout-001"</t>
  </si>
  <si>
    <t xml:space="preserve">"přemalovat-001"</t>
  </si>
  <si>
    <t xml:space="preserve">"přemisťovat-001"</t>
  </si>
  <si>
    <t xml:space="preserve">"přemlouvat-001"</t>
  </si>
  <si>
    <t xml:space="preserve">?PAT: k+3; ↓aby; ↓ať; .s</t>
  </si>
  <si>
    <t xml:space="preserve">"přemluvit-001"</t>
  </si>
  <si>
    <t xml:space="preserve">"přemnožit-se-001"</t>
  </si>
  <si>
    <t xml:space="preserve">"přemoci-001"</t>
  </si>
  <si>
    <t xml:space="preserve">"přemostit-001"</t>
  </si>
  <si>
    <t xml:space="preserve">"přemáhat-se-001"</t>
  </si>
  <si>
    <t xml:space="preserve">"přemístit-001"</t>
  </si>
  <si>
    <t xml:space="preserve">"přemístit-002"</t>
  </si>
  <si>
    <t xml:space="preserve">"přemístit-se-001"</t>
  </si>
  <si>
    <t xml:space="preserve">"přemítat-001"</t>
  </si>
  <si>
    <t xml:space="preserve">"přemýšlet-001"</t>
  </si>
  <si>
    <t xml:space="preserve">ACT-&gt;ARG0/153,ARG3/2</t>
  </si>
  <si>
    <t xml:space="preserve">PAT-&gt;ARG1/105,ARG2/37,ARG3/1</t>
  </si>
  <si>
    <t xml:space="preserve">"přeměnit-001"</t>
  </si>
  <si>
    <t xml:space="preserve">"přeměnit-se-001"</t>
  </si>
  <si>
    <t xml:space="preserve">?PAT: v+4; na+4; do+2; k+3</t>
  </si>
  <si>
    <t xml:space="preserve">"přeměňovat-001"</t>
  </si>
  <si>
    <t xml:space="preserve">"přeměřit-001"</t>
  </si>
  <si>
    <t xml:space="preserve">"přeměřovat-001"</t>
  </si>
  <si>
    <t xml:space="preserve">"přendat-001"</t>
  </si>
  <si>
    <t xml:space="preserve">"přendávat-001"</t>
  </si>
  <si>
    <t xml:space="preserve">"přenechat-001"</t>
  </si>
  <si>
    <t xml:space="preserve">"přenechat-002"</t>
  </si>
  <si>
    <t xml:space="preserve">"přenechávat-001"</t>
  </si>
  <si>
    <t xml:space="preserve">"přenocovat-001"</t>
  </si>
  <si>
    <t xml:space="preserve">"přenášet-001"</t>
  </si>
  <si>
    <t xml:space="preserve">ADDR-&gt;ARG2/74</t>
  </si>
  <si>
    <t xml:space="preserve">ADDR-&gt;Targeted</t>
  </si>
  <si>
    <t xml:space="preserve">ADDR-&gt;Targeted(ARG2/74)</t>
  </si>
  <si>
    <t xml:space="preserve">"přenášet-002"</t>
  </si>
  <si>
    <t xml:space="preserve">"přenášet-003"</t>
  </si>
  <si>
    <t xml:space="preserve">Transmitter(ARG0/10), Transmitted(ARG1/18)</t>
  </si>
  <si>
    <t xml:space="preserve">ACT-&gt;Transmitter</t>
  </si>
  <si>
    <t xml:space="preserve">ACT-&gt;Transmitter(ARG0/10)</t>
  </si>
  <si>
    <t xml:space="preserve">PAT-&gt;Transmitted</t>
  </si>
  <si>
    <t xml:space="preserve">PAT-&gt;Transmitted(ARG1/18)</t>
  </si>
  <si>
    <t xml:space="preserve">"přenášet-004"</t>
  </si>
  <si>
    <t xml:space="preserve">"přenášet-005"</t>
  </si>
  <si>
    <t xml:space="preserve">"přenášet-se-001"</t>
  </si>
  <si>
    <t xml:space="preserve">"přenést-001"</t>
  </si>
  <si>
    <t xml:space="preserve">"přenést-002"</t>
  </si>
  <si>
    <t xml:space="preserve">"přenést-003"</t>
  </si>
  <si>
    <t xml:space="preserve">"přenést-004"</t>
  </si>
  <si>
    <t xml:space="preserve">"přenést-005"</t>
  </si>
  <si>
    <t xml:space="preserve">"přenést-se-001"</t>
  </si>
  <si>
    <t xml:space="preserve">"přenést-se-002"</t>
  </si>
  <si>
    <t xml:space="preserve">"přenést-se-003"</t>
  </si>
  <si>
    <t xml:space="preserve">"přeorganizovat-001"</t>
  </si>
  <si>
    <t xml:space="preserve">Cause(ARG0/2), Changed(ARG1/4), State_final(), State_initial()</t>
  </si>
  <si>
    <t xml:space="preserve">PAT-&gt;Changed(ARG1/4)</t>
  </si>
  <si>
    <t xml:space="preserve">"přeorientovat-001"</t>
  </si>
  <si>
    <t xml:space="preserve">Redirecting(ARG0/1), Redirected(ARG1/2), Goal()</t>
  </si>
  <si>
    <t xml:space="preserve">ACT-&gt;Redirecting</t>
  </si>
  <si>
    <t xml:space="preserve">ACT-&gt;Redirecting(ARG0/1)</t>
  </si>
  <si>
    <t xml:space="preserve">PAT-&gt;Redirected</t>
  </si>
  <si>
    <t xml:space="preserve">PAT-&gt;Redirected(ARG1/2)</t>
  </si>
  <si>
    <t xml:space="preserve">"přeorientovat-se-001"</t>
  </si>
  <si>
    <t xml:space="preserve">"přeorientovat-se-002"</t>
  </si>
  <si>
    <t xml:space="preserve">"přepadat-001"</t>
  </si>
  <si>
    <t xml:space="preserve">"přepadnout-001"</t>
  </si>
  <si>
    <t xml:space="preserve">"přepadnout-002"</t>
  </si>
  <si>
    <t xml:space="preserve">"přepadávat-001"</t>
  </si>
  <si>
    <t xml:space="preserve">"přepalovat-se-001"</t>
  </si>
  <si>
    <t xml:space="preserve">"--přepalovat-se-002"</t>
  </si>
  <si>
    <t xml:space="preserve">"přepisovat-001"</t>
  </si>
  <si>
    <t xml:space="preserve">"přeplatit-001"</t>
  </si>
  <si>
    <t xml:space="preserve">"přeplavat-001"</t>
  </si>
  <si>
    <t xml:space="preserve">"přeplavat-002"</t>
  </si>
  <si>
    <t xml:space="preserve">"přeplavit-001"</t>
  </si>
  <si>
    <t xml:space="preserve">"přeplnit-001"</t>
  </si>
  <si>
    <t xml:space="preserve">"přeplnit-002"</t>
  </si>
  <si>
    <t xml:space="preserve">"přeplácet-001"</t>
  </si>
  <si>
    <t xml:space="preserve">"přeplánovat-001"</t>
  </si>
  <si>
    <t xml:space="preserve">"přepnout-001"</t>
  </si>
  <si>
    <t xml:space="preserve">"přepnout-002"</t>
  </si>
  <si>
    <t xml:space="preserve">"přepnout-se-001"</t>
  </si>
  <si>
    <t xml:space="preserve">"přepojit-001"</t>
  </si>
  <si>
    <t xml:space="preserve">"přeposílat-001"</t>
  </si>
  <si>
    <t xml:space="preserve">ACT-&gt;ARG0/348,ARG1/1</t>
  </si>
  <si>
    <t xml:space="preserve">PAT-&gt;ARG0/1,ARG1/667,ARG2/2</t>
  </si>
  <si>
    <t xml:space="preserve">ADDR-&gt;ARG1/8,ARG2/311</t>
  </si>
  <si>
    <t xml:space="preserve">"přepočíst-001"</t>
  </si>
  <si>
    <t xml:space="preserve">"přepočítat-001"</t>
  </si>
  <si>
    <t xml:space="preserve">"přepočítat-002"</t>
  </si>
  <si>
    <t xml:space="preserve">"přepočítat-se-001"</t>
  </si>
  <si>
    <t xml:space="preserve">"přepočítávat-001"</t>
  </si>
  <si>
    <t xml:space="preserve">"přepracovat-001"</t>
  </si>
  <si>
    <t xml:space="preserve">ACT-&gt;ARG0/305,ARG1/5</t>
  </si>
  <si>
    <t xml:space="preserve">PAT-&gt;ARG1/610,ARG2/2,ARG3/2</t>
  </si>
  <si>
    <t xml:space="preserve">"přepracovávat-001"</t>
  </si>
  <si>
    <t xml:space="preserve">"přeprat-001"</t>
  </si>
  <si>
    <t xml:space="preserve">"přepravit-001"</t>
  </si>
  <si>
    <t xml:space="preserve">"přepravovat-001"</t>
  </si>
  <si>
    <t xml:space="preserve">"přepsat-001"</t>
  </si>
  <si>
    <t xml:space="preserve">"přepsat-002"</t>
  </si>
  <si>
    <t xml:space="preserve">"přepustit-001"</t>
  </si>
  <si>
    <t xml:space="preserve">"přepínat-001"</t>
  </si>
  <si>
    <t xml:space="preserve">"přerazit-001"</t>
  </si>
  <si>
    <t xml:space="preserve">EFF-&gt;ARG2/2,ARG3/1</t>
  </si>
  <si>
    <t xml:space="preserve">"přerazítkovat-001"</t>
  </si>
  <si>
    <t xml:space="preserve">"přeregistrovat-001"</t>
  </si>
  <si>
    <t xml:space="preserve">"přeregistrovat-002"</t>
  </si>
  <si>
    <t xml:space="preserve">"přeregistrovávat-001"</t>
  </si>
  <si>
    <t xml:space="preserve">"přerozdělit-001"</t>
  </si>
  <si>
    <t xml:space="preserve">ACT-&gt;ARG0/15,ARG1/1</t>
  </si>
  <si>
    <t xml:space="preserve">"přerozdělovat-001"</t>
  </si>
  <si>
    <t xml:space="preserve">"přerušit-001"</t>
  </si>
  <si>
    <t xml:space="preserve">ACT-&gt;ARG0/125,ARG1/3,ARG3/3</t>
  </si>
  <si>
    <t xml:space="preserve">PAT-&gt;ARG0/1,ARG1/229</t>
  </si>
  <si>
    <t xml:space="preserve">"přerušit-002"</t>
  </si>
  <si>
    <t xml:space="preserve">"přerušit-003"</t>
  </si>
  <si>
    <t xml:space="preserve">Destroyer(ARG0/2), Whole(ARG1/6)</t>
  </si>
  <si>
    <t xml:space="preserve">ACT-&gt;Destroyer(ARG0/2)</t>
  </si>
  <si>
    <t xml:space="preserve">PAT-&gt;Whole(ARG1/6)</t>
  </si>
  <si>
    <t xml:space="preserve">"přerušit-004"</t>
  </si>
  <si>
    <t xml:space="preserve">"přerušovat-001"</t>
  </si>
  <si>
    <t xml:space="preserve">"přerušovat-002"</t>
  </si>
  <si>
    <t xml:space="preserve">"přervat-001"</t>
  </si>
  <si>
    <t xml:space="preserve">"přerůst-001"</t>
  </si>
  <si>
    <t xml:space="preserve">PAT: 4; nad+7</t>
  </si>
  <si>
    <t xml:space="preserve">"přerůst-002"</t>
  </si>
  <si>
    <t xml:space="preserve">"přerůst-003"</t>
  </si>
  <si>
    <t xml:space="preserve">DPHR: přes-1[hlava.S4]</t>
  </si>
  <si>
    <t xml:space="preserve">"přerůstat-001"</t>
  </si>
  <si>
    <t xml:space="preserve">"přerůstat-002"</t>
  </si>
  <si>
    <t xml:space="preserve">"přesadit-001"</t>
  </si>
  <si>
    <t xml:space="preserve">"přesahovat-001"</t>
  </si>
  <si>
    <t xml:space="preserve">"přesahovat-002"</t>
  </si>
  <si>
    <t xml:space="preserve">"přesahovat-003"</t>
  </si>
  <si>
    <t xml:space="preserve">"přesedlat-001"</t>
  </si>
  <si>
    <t xml:space="preserve">"přesedlat-002"</t>
  </si>
  <si>
    <t xml:space="preserve">"přesedlávat-001"</t>
  </si>
  <si>
    <t xml:space="preserve">"přesednout-001"</t>
  </si>
  <si>
    <t xml:space="preserve">"přesednout-si-001"</t>
  </si>
  <si>
    <t xml:space="preserve">"přeseknout-001"</t>
  </si>
  <si>
    <t xml:space="preserve">"přeskakovat-001"</t>
  </si>
  <si>
    <t xml:space="preserve">"přeskakovat-002"</t>
  </si>
  <si>
    <t xml:space="preserve">"přeskočit-001"</t>
  </si>
  <si>
    <t xml:space="preserve">"přeskočit-002"</t>
  </si>
  <si>
    <t xml:space="preserve">Authority(ARG0/32), Omitted(ARG1/53)</t>
  </si>
  <si>
    <t xml:space="preserve">ACT-&gt;Authority(ARG0/32)</t>
  </si>
  <si>
    <t xml:space="preserve">PAT-&gt;Omitted</t>
  </si>
  <si>
    <t xml:space="preserve">PAT-&gt;Omitted(ARG1/53)</t>
  </si>
  <si>
    <t xml:space="preserve">"přeskočit-003"</t>
  </si>
  <si>
    <t xml:space="preserve">"přeskočit-004"</t>
  </si>
  <si>
    <t xml:space="preserve">"přeskočit-005"</t>
  </si>
  <si>
    <t xml:space="preserve">"přeskočit-006"</t>
  </si>
  <si>
    <t xml:space="preserve">"přeskupit-001"</t>
  </si>
  <si>
    <t xml:space="preserve">"přeskupovat-001"</t>
  </si>
  <si>
    <t xml:space="preserve">"přeskupovat-se-001"</t>
  </si>
  <si>
    <t xml:space="preserve">"přeslechnout-001"</t>
  </si>
  <si>
    <t xml:space="preserve">"přesluhovat-001"</t>
  </si>
  <si>
    <t xml:space="preserve">"přesměrovat-001"</t>
  </si>
  <si>
    <t xml:space="preserve">Sender(ARG0/14), Sent(ARG1/45), Area_1(), Area_2()</t>
  </si>
  <si>
    <t xml:space="preserve">ACT-&gt;Sender</t>
  </si>
  <si>
    <t xml:space="preserve">ACT-&gt;Sender(ARG0/14)</t>
  </si>
  <si>
    <t xml:space="preserve">PAT-&gt;Sent</t>
  </si>
  <si>
    <t xml:space="preserve">PAT-&gt;Sent(ARG1/45)</t>
  </si>
  <si>
    <t xml:space="preserve">"přesměrovávat-001"</t>
  </si>
  <si>
    <t xml:space="preserve">"přesouvat-001"</t>
  </si>
  <si>
    <t xml:space="preserve">"přesouvat-002"</t>
  </si>
  <si>
    <t xml:space="preserve">"přesouvat-003"</t>
  </si>
  <si>
    <t xml:space="preserve">"přesouvat-se-001"</t>
  </si>
  <si>
    <t xml:space="preserve">"přespat-001"</t>
  </si>
  <si>
    <t xml:space="preserve">"přesprintovat-001"</t>
  </si>
  <si>
    <t xml:space="preserve">"přespávat-001"</t>
  </si>
  <si>
    <t xml:space="preserve">"přestat-001"</t>
  </si>
  <si>
    <t xml:space="preserve">"přestat-002"</t>
  </si>
  <si>
    <t xml:space="preserve">"přestavit-001"</t>
  </si>
  <si>
    <t xml:space="preserve">"přestavovat-001"</t>
  </si>
  <si>
    <t xml:space="preserve">"přestavět-001"</t>
  </si>
  <si>
    <t xml:space="preserve">EFF: na+4,v+4</t>
  </si>
  <si>
    <t xml:space="preserve">"přestoupit-001"</t>
  </si>
  <si>
    <t xml:space="preserve">"přestoupit-002"</t>
  </si>
  <si>
    <t xml:space="preserve">"přestoupit-003"</t>
  </si>
  <si>
    <t xml:space="preserve">"přestrukturovat-001"</t>
  </si>
  <si>
    <t xml:space="preserve">"přestupovat-001"</t>
  </si>
  <si>
    <t xml:space="preserve">"přestát-001"</t>
  </si>
  <si>
    <t xml:space="preserve">"přestávat-001"</t>
  </si>
  <si>
    <t xml:space="preserve">"přestávat-002"</t>
  </si>
  <si>
    <t xml:space="preserve">"přestěhovat-001"</t>
  </si>
  <si>
    <t xml:space="preserve">"přestěhovat-se-001"</t>
  </si>
  <si>
    <t xml:space="preserve">"přestřelit-001"</t>
  </si>
  <si>
    <t xml:space="preserve">"přestřihnout-001"</t>
  </si>
  <si>
    <t xml:space="preserve">"přestřihnout-002"</t>
  </si>
  <si>
    <t xml:space="preserve">"přesunout-001"</t>
  </si>
  <si>
    <t xml:space="preserve">"přesunout-002"</t>
  </si>
  <si>
    <t xml:space="preserve">?EFF: k+3; na+4</t>
  </si>
  <si>
    <t xml:space="preserve">"přesunout-003"</t>
  </si>
  <si>
    <t xml:space="preserve">PAT-&gt;ARG0/1,ARG1/340</t>
  </si>
  <si>
    <t xml:space="preserve">DIR3-&gt;ARG2/75,ARG3/1</t>
  </si>
  <si>
    <t xml:space="preserve">"přesunout-004"</t>
  </si>
  <si>
    <t xml:space="preserve">"přesunout-se-001"</t>
  </si>
  <si>
    <t xml:space="preserve">"přesunout-se-002"</t>
  </si>
  <si>
    <t xml:space="preserve">"přesunovat-001"</t>
  </si>
  <si>
    <t xml:space="preserve">"přesunovat-002"</t>
  </si>
  <si>
    <t xml:space="preserve">"přesunovat-se-001"</t>
  </si>
  <si>
    <t xml:space="preserve">"přesvědčit-001"</t>
  </si>
  <si>
    <t xml:space="preserve">PAT: o+6; k+3; .f; ↓že; ↓aby; ↓ať; .s; ↓c</t>
  </si>
  <si>
    <t xml:space="preserve">"přesvědčit-se-001"</t>
  </si>
  <si>
    <t xml:space="preserve">PAT-&gt;ARG1/6,ARG2/3</t>
  </si>
  <si>
    <t xml:space="preserve">"přesvědčit-se-002"</t>
  </si>
  <si>
    <t xml:space="preserve">EFF: ↓že; ↓zda; ↓jestli; ↓c</t>
  </si>
  <si>
    <t xml:space="preserve">EFF-&gt;ARG1/6,ARG2/3</t>
  </si>
  <si>
    <t xml:space="preserve">EFF-&gt;Information(ARG1/6,ARG2/3)</t>
  </si>
  <si>
    <t xml:space="preserve">"přesvědčovat-001"</t>
  </si>
  <si>
    <t xml:space="preserve">PAT: o+6; .f; ↓že; ↓aby; ↓ať; .s; ↓c; k+3</t>
  </si>
  <si>
    <t xml:space="preserve">"přesvědčovat-se-001"</t>
  </si>
  <si>
    <t xml:space="preserve">"přesvědčovat-se-002"</t>
  </si>
  <si>
    <t xml:space="preserve">"přesytit-001"</t>
  </si>
  <si>
    <t xml:space="preserve">ACT-&gt;ARG0/18,ARG1/2,ARG2/8</t>
  </si>
  <si>
    <t xml:space="preserve">PAT-&gt;ARG1/41,ARG2/4</t>
  </si>
  <si>
    <t xml:space="preserve">"přesytit-se-001"</t>
  </si>
  <si>
    <t xml:space="preserve">ACT-&gt;ARG0/7,ARG1/17,ARG2/4</t>
  </si>
  <si>
    <t xml:space="preserve">ACT-&gt;Experiencer(ARG1/10,ARG2/4)</t>
  </si>
  <si>
    <t xml:space="preserve">"přesáhnout-001"</t>
  </si>
  <si>
    <t xml:space="preserve">"přesídlit-001"</t>
  </si>
  <si>
    <t xml:space="preserve">"přesílat-001"</t>
  </si>
  <si>
    <t xml:space="preserve">"přesýpat-001"</t>
  </si>
  <si>
    <t xml:space="preserve">"přetahovat-001"</t>
  </si>
  <si>
    <t xml:space="preserve">"přetahovat-se-001"</t>
  </si>
  <si>
    <t xml:space="preserve">"přetahovat-se-002"</t>
  </si>
  <si>
    <t xml:space="preserve">"přetavit-se-001"</t>
  </si>
  <si>
    <t xml:space="preserve">PAT: v+4; na+4</t>
  </si>
  <si>
    <t xml:space="preserve">"přetavovat-001"</t>
  </si>
  <si>
    <t xml:space="preserve">"přetisknout-001"</t>
  </si>
  <si>
    <t xml:space="preserve">"přetlumočit-001"</t>
  </si>
  <si>
    <t xml:space="preserve">"přetočit-001"</t>
  </si>
  <si>
    <t xml:space="preserve">"přetransformovat-001"</t>
  </si>
  <si>
    <t xml:space="preserve">"přetrhnout-001"</t>
  </si>
  <si>
    <t xml:space="preserve">"přetrhnout-002"</t>
  </si>
  <si>
    <t xml:space="preserve">"přetrhnout-se-001"</t>
  </si>
  <si>
    <t xml:space="preserve">"přetrhnout-se-002"</t>
  </si>
  <si>
    <t xml:space="preserve">"přetrhávat-001"</t>
  </si>
  <si>
    <t xml:space="preserve">"přetrpět-001"</t>
  </si>
  <si>
    <t xml:space="preserve">"přetrvat-001"</t>
  </si>
  <si>
    <t xml:space="preserve">"přetrvat-002"</t>
  </si>
  <si>
    <t xml:space="preserve">Entity(ARG1/50), Time(ARG2/38)</t>
  </si>
  <si>
    <t xml:space="preserve">ACT-&gt;ARG0/55,ARG1/269</t>
  </si>
  <si>
    <t xml:space="preserve">ACT-&gt;Entity(ARG1/50)</t>
  </si>
  <si>
    <t xml:space="preserve">"přetrvávat-001"</t>
  </si>
  <si>
    <t xml:space="preserve">ACT-&gt;ARG0/26,ARG1/3857,ARG2/296,ARG3/1</t>
  </si>
  <si>
    <t xml:space="preserve">"přetvařovat-se-001"</t>
  </si>
  <si>
    <t xml:space="preserve">"přetvořit-001"</t>
  </si>
  <si>
    <t xml:space="preserve">?EFF: v+4; do+2; na+4</t>
  </si>
  <si>
    <t xml:space="preserve">"přetvářet-001"</t>
  </si>
  <si>
    <t xml:space="preserve">"přetáhnout-001"</t>
  </si>
  <si>
    <t xml:space="preserve">"přetáhnout-002"</t>
  </si>
  <si>
    <t xml:space="preserve">"přetápět-001"</t>
  </si>
  <si>
    <t xml:space="preserve">"přetéci-001"</t>
  </si>
  <si>
    <t xml:space="preserve">Entity()</t>
  </si>
  <si>
    <t xml:space="preserve">ACT-&gt;Entity()</t>
  </si>
  <si>
    <t xml:space="preserve">"přetékat-001"</t>
  </si>
  <si>
    <t xml:space="preserve">"přetékat-002"</t>
  </si>
  <si>
    <t xml:space="preserve">"přetékat-003"</t>
  </si>
  <si>
    <t xml:space="preserve">"přetížit-001"</t>
  </si>
  <si>
    <t xml:space="preserve">"přetěžovat-001"</t>
  </si>
  <si>
    <t xml:space="preserve">"přetřásat-001"</t>
  </si>
  <si>
    <t xml:space="preserve">"přetřít-001"</t>
  </si>
  <si>
    <t xml:space="preserve">"převalit-se-001"</t>
  </si>
  <si>
    <t xml:space="preserve">"převalit-se-002"</t>
  </si>
  <si>
    <t xml:space="preserve">"převalovat-se-001"</t>
  </si>
  <si>
    <t xml:space="preserve">"převažovat-001"</t>
  </si>
  <si>
    <t xml:space="preserve">"převažovat-002"</t>
  </si>
  <si>
    <t xml:space="preserve">?PAT: nad+7; před+7</t>
  </si>
  <si>
    <t xml:space="preserve">"převelet-001"</t>
  </si>
  <si>
    <t xml:space="preserve">"převelit-001"</t>
  </si>
  <si>
    <t xml:space="preserve">"převládat-001"</t>
  </si>
  <si>
    <t xml:space="preserve">"převládnout-001"</t>
  </si>
  <si>
    <t xml:space="preserve">"převléci-001"</t>
  </si>
  <si>
    <t xml:space="preserve">"převléci-002"</t>
  </si>
  <si>
    <t xml:space="preserve">Agent(), Wearer(), Represented(ARG2/2)</t>
  </si>
  <si>
    <t xml:space="preserve">PAT-&gt;Wearer</t>
  </si>
  <si>
    <t xml:space="preserve">PAT-&gt;Wearer()</t>
  </si>
  <si>
    <t xml:space="preserve">EFF-&gt;Represented</t>
  </si>
  <si>
    <t xml:space="preserve">EFF-&gt;Represented(ARG2/2)</t>
  </si>
  <si>
    <t xml:space="preserve">"převlékat-001"</t>
  </si>
  <si>
    <t xml:space="preserve">"převléknout-001"</t>
  </si>
  <si>
    <t xml:space="preserve">DPHR: kabát.S4</t>
  </si>
  <si>
    <t xml:space="preserve">"převléknout-002"</t>
  </si>
  <si>
    <t xml:space="preserve">"převlíct-001"</t>
  </si>
  <si>
    <t xml:space="preserve">"převlíkat-001"</t>
  </si>
  <si>
    <t xml:space="preserve">"převlíknout-001"</t>
  </si>
  <si>
    <t xml:space="preserve">"převracet-se-001"</t>
  </si>
  <si>
    <t xml:space="preserve">"převrhnout-001"</t>
  </si>
  <si>
    <t xml:space="preserve">Transporter(ARG0/2), Transported(ARG1/3), Area_1(), Area_2()</t>
  </si>
  <si>
    <t xml:space="preserve">ACT-&gt;Transporter(ARG0/2)</t>
  </si>
  <si>
    <t xml:space="preserve">PAT-&gt;Transported(ARG1/3)</t>
  </si>
  <si>
    <t xml:space="preserve">"převrhnout-se-001"</t>
  </si>
  <si>
    <t xml:space="preserve">"převrátit-001"</t>
  </si>
  <si>
    <t xml:space="preserve">"převrátit-se-001"</t>
  </si>
  <si>
    <t xml:space="preserve">"převrátit-se-002"</t>
  </si>
  <si>
    <t xml:space="preserve">"převychovat-001"</t>
  </si>
  <si>
    <t xml:space="preserve">"převychovávat-001"</t>
  </si>
  <si>
    <t xml:space="preserve">"převyprávět-001"</t>
  </si>
  <si>
    <t xml:space="preserve">EFF-&gt;ARG0/4,ARG1/10918,ARG2/3,ARG3/29</t>
  </si>
  <si>
    <t xml:space="preserve">"převyšovat-001"</t>
  </si>
  <si>
    <t xml:space="preserve">ACT-&gt;ARG0/141,ARG1/13</t>
  </si>
  <si>
    <t xml:space="preserve">PAT-&gt;ARG0/1,ARG1/169,ARG2/13</t>
  </si>
  <si>
    <t xml:space="preserve">"převzít-001"</t>
  </si>
  <si>
    <t xml:space="preserve">Agent(ARG0/78,ARG1/1), Entity(ARG1/73), Source(ARG3/4)</t>
  </si>
  <si>
    <t xml:space="preserve">ACT-&gt;ARG0/81,ARG1/1</t>
  </si>
  <si>
    <t xml:space="preserve">ACT-&gt;Agent(ARG0/78,ARG1/1)</t>
  </si>
  <si>
    <t xml:space="preserve">PAT-&gt;Entity(ARG1/73)</t>
  </si>
  <si>
    <t xml:space="preserve">?ORIG: od+2; po+6</t>
  </si>
  <si>
    <t xml:space="preserve">ORIG-&gt;ARG3/4</t>
  </si>
  <si>
    <t xml:space="preserve">ORIG-&gt;Source(ARG3/4)</t>
  </si>
  <si>
    <t xml:space="preserve">"převzít-002"</t>
  </si>
  <si>
    <t xml:space="preserve">"převzít-003"</t>
  </si>
  <si>
    <t xml:space="preserve">ACT-&gt;ARG0/78,ARG1/1</t>
  </si>
  <si>
    <t xml:space="preserve">DIR1-&gt;ARG3/4</t>
  </si>
  <si>
    <t xml:space="preserve">DIR1-&gt;Source(ARG3/4)</t>
  </si>
  <si>
    <t xml:space="preserve">"převzít-004"</t>
  </si>
  <si>
    <t xml:space="preserve">"převzít-005"</t>
  </si>
  <si>
    <t xml:space="preserve">"převzít-006"</t>
  </si>
  <si>
    <t xml:space="preserve">CPHR: {odpovědnost,zodpovědnost,...}.4</t>
  </si>
  <si>
    <t xml:space="preserve">CPHR-&gt;ARG1/53</t>
  </si>
  <si>
    <t xml:space="preserve">CPHR-&gt;Targeted</t>
  </si>
  <si>
    <t xml:space="preserve">CPHR-&gt;Targeted(ARG1/53)</t>
  </si>
  <si>
    <t xml:space="preserve">"převzít-si-001"</t>
  </si>
  <si>
    <t xml:space="preserve">"převádět-001"</t>
  </si>
  <si>
    <t xml:space="preserve">"převádět-002"</t>
  </si>
  <si>
    <t xml:space="preserve">"převádět-003"</t>
  </si>
  <si>
    <t xml:space="preserve">"převálcovat-001"</t>
  </si>
  <si>
    <t xml:space="preserve">"převázat-001"</t>
  </si>
  <si>
    <t xml:space="preserve">"převážet-001"</t>
  </si>
  <si>
    <t xml:space="preserve">"převážit-001"</t>
  </si>
  <si>
    <t xml:space="preserve">"převážit-002"</t>
  </si>
  <si>
    <t xml:space="preserve">"převést-001"</t>
  </si>
  <si>
    <t xml:space="preserve">"převést-002"</t>
  </si>
  <si>
    <t xml:space="preserve">"převést-003"</t>
  </si>
  <si>
    <t xml:space="preserve">"převést-004"</t>
  </si>
  <si>
    <t xml:space="preserve">"převést-005"</t>
  </si>
  <si>
    <t xml:space="preserve">"převézt-001"</t>
  </si>
  <si>
    <t xml:space="preserve">"převézt-002"</t>
  </si>
  <si>
    <t xml:space="preserve">"převýšit-001"</t>
  </si>
  <si>
    <t xml:space="preserve">"přezbrojit-001"</t>
  </si>
  <si>
    <t xml:space="preserve">"přezdívat-001"</t>
  </si>
  <si>
    <t xml:space="preserve">"přezkoumat-001"</t>
  </si>
  <si>
    <t xml:space="preserve">"přezkoumávat-001"</t>
  </si>
  <si>
    <t xml:space="preserve">"přezkušovat-001"</t>
  </si>
  <si>
    <t xml:space="preserve">"přezouvat-001"</t>
  </si>
  <si>
    <t xml:space="preserve">"přečerpat-001"</t>
  </si>
  <si>
    <t xml:space="preserve">"přečerpat-002"</t>
  </si>
  <si>
    <t xml:space="preserve">"přečistit-001"</t>
  </si>
  <si>
    <t xml:space="preserve">"přečkat-001"</t>
  </si>
  <si>
    <t xml:space="preserve">"přečkávat-001"</t>
  </si>
  <si>
    <t xml:space="preserve">"přečíslit-001"</t>
  </si>
  <si>
    <t xml:space="preserve">"přečíslovat-001"</t>
  </si>
  <si>
    <t xml:space="preserve">"přečíst-001"</t>
  </si>
  <si>
    <t xml:space="preserve">Perceiver(ARG0/1,ARG1/8), Perceived(ARG1/1,ARG3/10)</t>
  </si>
  <si>
    <t xml:space="preserve">ACT-&gt;ARG0/1,ARG1/8</t>
  </si>
  <si>
    <t xml:space="preserve">ACT-&gt;Perceiver(ARG0/1,ARG1/8)</t>
  </si>
  <si>
    <t xml:space="preserve">PAT-&gt;ARG1/1,ARG3/10</t>
  </si>
  <si>
    <t xml:space="preserve">PAT-&gt;Perceived(ARG1/1,ARG3/10)</t>
  </si>
  <si>
    <t xml:space="preserve">"přečíst-002"</t>
  </si>
  <si>
    <t xml:space="preserve">"přečíst-003"</t>
  </si>
  <si>
    <t xml:space="preserve">"přečíst-004"</t>
  </si>
  <si>
    <t xml:space="preserve">"přeřadit-001"</t>
  </si>
  <si>
    <t xml:space="preserve">"přeřadit-002"</t>
  </si>
  <si>
    <t xml:space="preserve">"přeřazovat-001"</t>
  </si>
  <si>
    <t xml:space="preserve">"přeřazovat-002"</t>
  </si>
  <si>
    <t xml:space="preserve">"přeřeknout-se-001"</t>
  </si>
  <si>
    <t xml:space="preserve">"přeříznout-001"</t>
  </si>
  <si>
    <t xml:space="preserve">"přešetřovat-001"</t>
  </si>
  <si>
    <t xml:space="preserve">"přeškolit-001"</t>
  </si>
  <si>
    <t xml:space="preserve">"přeškolovat-001"</t>
  </si>
  <si>
    <t xml:space="preserve">"přeškrtnout-001"</t>
  </si>
  <si>
    <t xml:space="preserve">"přešlapovat-001"</t>
  </si>
  <si>
    <t xml:space="preserve">"přešlapovat-002"</t>
  </si>
  <si>
    <t xml:space="preserve">"přešoupnout-001"</t>
  </si>
  <si>
    <t xml:space="preserve">"přeštípat-001"</t>
  </si>
  <si>
    <t xml:space="preserve">"přešít-001"</t>
  </si>
  <si>
    <t xml:space="preserve">"přežvykovat-001"</t>
  </si>
  <si>
    <t xml:space="preserve">"přežít-001"</t>
  </si>
  <si>
    <t xml:space="preserve">"přežít-002"</t>
  </si>
  <si>
    <t xml:space="preserve">"přežít-003"</t>
  </si>
  <si>
    <t xml:space="preserve">"přežít-se-001"</t>
  </si>
  <si>
    <t xml:space="preserve">"přežívat-001"</t>
  </si>
  <si>
    <t xml:space="preserve">"přežívat-002"</t>
  </si>
  <si>
    <t xml:space="preserve">"přežívat-003"</t>
  </si>
  <si>
    <t xml:space="preserve">"přibalit-001"</t>
  </si>
  <si>
    <t xml:space="preserve">"přibarvovat-001"</t>
  </si>
  <si>
    <t xml:space="preserve">"přibližovat-001"</t>
  </si>
  <si>
    <t xml:space="preserve">"přibližovat-002"</t>
  </si>
  <si>
    <t xml:space="preserve">EFF: 3; k+3</t>
  </si>
  <si>
    <t xml:space="preserve">"přibližovat-003"</t>
  </si>
  <si>
    <t xml:space="preserve">"přibližovat-se-001"</t>
  </si>
  <si>
    <t xml:space="preserve">"přibližovat-se-002"</t>
  </si>
  <si>
    <t xml:space="preserve">"přibližovat-se-003"</t>
  </si>
  <si>
    <t xml:space="preserve">"přibližovat-se-004"</t>
  </si>
  <si>
    <t xml:space="preserve">"přiblížit-001"</t>
  </si>
  <si>
    <t xml:space="preserve">"přiblížit-002"</t>
  </si>
  <si>
    <t xml:space="preserve">"přiblížit-003"</t>
  </si>
  <si>
    <t xml:space="preserve">"přiblížit-se-001"</t>
  </si>
  <si>
    <t xml:space="preserve">"přiblížit-se-002"</t>
  </si>
  <si>
    <t xml:space="preserve">"přiblížit-se-003"</t>
  </si>
  <si>
    <t xml:space="preserve">"přiblížit-se-004"</t>
  </si>
  <si>
    <t xml:space="preserve">"přibrat-001"</t>
  </si>
  <si>
    <t xml:space="preserve">ACT-&gt;ARG0/21,ARG1/1,ARG2/27</t>
  </si>
  <si>
    <t xml:space="preserve">ACT-&gt;Agent(ARG0/21,ARG1/1,ARG2/27)</t>
  </si>
  <si>
    <t xml:space="preserve">PAT-&gt;ARG1/1094,ARG2/2</t>
  </si>
  <si>
    <t xml:space="preserve">PAT-&gt;Member_new</t>
  </si>
  <si>
    <t xml:space="preserve">PAT-&gt;Member_new(ARG1/1094,ARG2/2)</t>
  </si>
  <si>
    <t xml:space="preserve">"přibrat-002"</t>
  </si>
  <si>
    <t xml:space="preserve">?PAT: .4,na+6</t>
  </si>
  <si>
    <t xml:space="preserve">"přibrzdit-001"</t>
  </si>
  <si>
    <t xml:space="preserve">"přibrzdit-002"</t>
  </si>
  <si>
    <t xml:space="preserve">"přibrzdit-003"</t>
  </si>
  <si>
    <t xml:space="preserve">PAT-&gt;Influenced(ARG1/45)</t>
  </si>
  <si>
    <t xml:space="preserve">"přibrzdit-004"</t>
  </si>
  <si>
    <t xml:space="preserve">"přibíjet-001"</t>
  </si>
  <si>
    <t xml:space="preserve">"přibírat-001"</t>
  </si>
  <si>
    <t xml:space="preserve">"přibít-001"</t>
  </si>
  <si>
    <t xml:space="preserve">"přibýt-001"</t>
  </si>
  <si>
    <t xml:space="preserve">ACT: 1; 2; ↓že</t>
  </si>
  <si>
    <t xml:space="preserve">"přibýt-002"</t>
  </si>
  <si>
    <t xml:space="preserve">"přibývat-001"</t>
  </si>
  <si>
    <t xml:space="preserve">ACT: 1; 2; na+6</t>
  </si>
  <si>
    <t xml:space="preserve">"přibývat-002"</t>
  </si>
  <si>
    <t xml:space="preserve">"přibývat-003"</t>
  </si>
  <si>
    <t xml:space="preserve">"přiběhnout-001"</t>
  </si>
  <si>
    <t xml:space="preserve">"přicestovat-001"</t>
  </si>
  <si>
    <t xml:space="preserve">"přichystat-001"</t>
  </si>
  <si>
    <t xml:space="preserve">"přichystat-002"</t>
  </si>
  <si>
    <t xml:space="preserve">"přichystat-se-001"</t>
  </si>
  <si>
    <t xml:space="preserve">PAT: .f; na+4; k+3</t>
  </si>
  <si>
    <t xml:space="preserve">"přichytávat-se-001"</t>
  </si>
  <si>
    <t xml:space="preserve">"přicházet-001"</t>
  </si>
  <si>
    <t xml:space="preserve">Item(ARG1/116,ARG2/2), Affected(ARG3/40), Value(ARG2/136)</t>
  </si>
  <si>
    <t xml:space="preserve">ACT-&gt;ARG1/116,ARG2/2</t>
  </si>
  <si>
    <t xml:space="preserve">ACT-&gt;Item(ARG1/116,ARG2/2)</t>
  </si>
  <si>
    <t xml:space="preserve">PAT-&gt;ARG2/136</t>
  </si>
  <si>
    <t xml:space="preserve">PAT(na+4)-&gt;Value</t>
  </si>
  <si>
    <t xml:space="preserve">PAT(na+4)-&gt;Value(ARG2/136)</t>
  </si>
  <si>
    <t xml:space="preserve">ADDR-&gt;ARG3/40</t>
  </si>
  <si>
    <t xml:space="preserve">ADDR-&gt;Affected(ARG3/40)</t>
  </si>
  <si>
    <t xml:space="preserve">"přicházet-002"</t>
  </si>
  <si>
    <t xml:space="preserve">"přicházet-003"</t>
  </si>
  <si>
    <t xml:space="preserve">"přicházet-004"</t>
  </si>
  <si>
    <t xml:space="preserve">Loser(ARG0/167,ARG1/2), Lost(ARG1/198,ARG2/1)</t>
  </si>
  <si>
    <t xml:space="preserve">ACT-&gt;ARG0/167,ARG1/2</t>
  </si>
  <si>
    <t xml:space="preserve">ACT-&gt;Loser(ARG0/167,ARG1/2)</t>
  </si>
  <si>
    <t xml:space="preserve">PAT-&gt;ARG1/198,ARG2/1</t>
  </si>
  <si>
    <t xml:space="preserve">PAT-&gt;Lost</t>
  </si>
  <si>
    <t xml:space="preserve">PAT-&gt;Lost(ARG1/198,ARG2/1)</t>
  </si>
  <si>
    <t xml:space="preserve">"přicházet-005"</t>
  </si>
  <si>
    <t xml:space="preserve">ACT-&gt;ARG0/172,ARG1/2</t>
  </si>
  <si>
    <t xml:space="preserve">PAT-&gt;ARG1/199,ARG2/2</t>
  </si>
  <si>
    <t xml:space="preserve">"přicházet-006"</t>
  </si>
  <si>
    <t xml:space="preserve">Proposer(ARG0/107,ARG1/1,ARG2/2), Proposed(ARG1/181)</t>
  </si>
  <si>
    <t xml:space="preserve">ACT-&gt;ARG0/296,ARG1/1,ARG2/2</t>
  </si>
  <si>
    <t xml:space="preserve">ACT-&gt;Proposer(ARG0/107,ARG1/1,ARG2/2)</t>
  </si>
  <si>
    <t xml:space="preserve">PAT-&gt;ARG1/568</t>
  </si>
  <si>
    <t xml:space="preserve">PAT-&gt;Proposed(ARG1/181)</t>
  </si>
  <si>
    <t xml:space="preserve">"přicházet-007"</t>
  </si>
  <si>
    <t xml:space="preserve">"přicházet-008"</t>
  </si>
  <si>
    <t xml:space="preserve">ACT-&gt;ARG0/139,ARG1/375</t>
  </si>
  <si>
    <t xml:space="preserve">DIR3-&gt;ARG1/135,ARG2/18</t>
  </si>
  <si>
    <t xml:space="preserve">"přicházet-009"</t>
  </si>
  <si>
    <t xml:space="preserve">"přicházet-010"</t>
  </si>
  <si>
    <t xml:space="preserve">"přicházet-011"</t>
  </si>
  <si>
    <t xml:space="preserve">CPHR: do-1[{kontakt,styk,...}.2]</t>
  </si>
  <si>
    <t xml:space="preserve">"přicházet-012"</t>
  </si>
  <si>
    <t xml:space="preserve">CPHR: na-1[{nápad,řešení,...}.4]</t>
  </si>
  <si>
    <t xml:space="preserve">"přicházet-013"</t>
  </si>
  <si>
    <t xml:space="preserve">CPHR: o-1[{iluze,možnost,právo,...}.4]</t>
  </si>
  <si>
    <t xml:space="preserve">"přicházet-014"</t>
  </si>
  <si>
    <t xml:space="preserve">ACT-&gt;ARG0/107,ARG1/1,ARG2/2</t>
  </si>
  <si>
    <t xml:space="preserve">CPHR: s-1[{nápad,návrh,opatření,...}.7]</t>
  </si>
  <si>
    <t xml:space="preserve">CPHR-&gt;ARG1/181</t>
  </si>
  <si>
    <t xml:space="preserve">CPHR-&gt;Proposed(ARG1/181)</t>
  </si>
  <si>
    <t xml:space="preserve">"přicházet-015"</t>
  </si>
  <si>
    <t xml:space="preserve">DPHR: v-1[úvaha.S4]</t>
  </si>
  <si>
    <t xml:space="preserve">"přicházet-016"</t>
  </si>
  <si>
    <t xml:space="preserve">DPHR: na-1[přetřes.4]</t>
  </si>
  <si>
    <t xml:space="preserve">"přicházet-017"</t>
  </si>
  <si>
    <t xml:space="preserve">DPHR: na-1[řada.4]</t>
  </si>
  <si>
    <t xml:space="preserve">"přicházet-018"</t>
  </si>
  <si>
    <t xml:space="preserve">DPHR: zkrátka</t>
  </si>
  <si>
    <t xml:space="preserve">"přicházet-019"</t>
  </si>
  <si>
    <t xml:space="preserve">DPHR: řeč.S1</t>
  </si>
  <si>
    <t xml:space="preserve">"přicházet-020"</t>
  </si>
  <si>
    <t xml:space="preserve">"přicházet-021"</t>
  </si>
  <si>
    <t xml:space="preserve">DPHR: na-1[svět.S4]</t>
  </si>
  <si>
    <t xml:space="preserve">"přicházet-022"</t>
  </si>
  <si>
    <t xml:space="preserve">"přicházet-023"</t>
  </si>
  <si>
    <t xml:space="preserve">DPHR: na-1[paměť.S4]</t>
  </si>
  <si>
    <t xml:space="preserve">"přicházet-024"</t>
  </si>
  <si>
    <t xml:space="preserve">"přicházet-si-001"</t>
  </si>
  <si>
    <t xml:space="preserve">DPHR: na-1[svůj-1.NS4]</t>
  </si>
  <si>
    <t xml:space="preserve">"přicmrdovat-001"</t>
  </si>
  <si>
    <t xml:space="preserve">?PAT: při+6; u+2</t>
  </si>
  <si>
    <t xml:space="preserve">"přidat-001"</t>
  </si>
  <si>
    <t xml:space="preserve">"přidat-002"</t>
  </si>
  <si>
    <t xml:space="preserve">"přidat-003"</t>
  </si>
  <si>
    <t xml:space="preserve">Agent(ARG0/106,ARG1/2,ARG2/26), Component(ARG1/305), Whole(ARG2/11)</t>
  </si>
  <si>
    <t xml:space="preserve">ACT-&gt;ARG0/127,ARG1/3,ARG2/53</t>
  </si>
  <si>
    <t xml:space="preserve">ACT-&gt;Agent(ARG0/106,ARG1/2,ARG2/26)</t>
  </si>
  <si>
    <t xml:space="preserve">PAT-&gt;ARG1/1399,ARG2/2</t>
  </si>
  <si>
    <t xml:space="preserve">PAT-&gt;Component(ARG1/305)</t>
  </si>
  <si>
    <t xml:space="preserve">DIR3-&gt;ARG0/6,ARG1/6,ARG2/503</t>
  </si>
  <si>
    <t xml:space="preserve">DIR3-&gt;Whole</t>
  </si>
  <si>
    <t xml:space="preserve">DIR3-&gt;Whole(ARG2/11)</t>
  </si>
  <si>
    <t xml:space="preserve">"přidat-004"</t>
  </si>
  <si>
    <t xml:space="preserve">"přidat-se-001"</t>
  </si>
  <si>
    <t xml:space="preserve">"přidat-se-002"</t>
  </si>
  <si>
    <t xml:space="preserve">"přidružit-se-001"</t>
  </si>
  <si>
    <t xml:space="preserve">"přidržet-se-001"</t>
  </si>
  <si>
    <t xml:space="preserve">"přidržet-se-002"</t>
  </si>
  <si>
    <t xml:space="preserve">"přidržovat-001"</t>
  </si>
  <si>
    <t xml:space="preserve">"přidávat-001"</t>
  </si>
  <si>
    <t xml:space="preserve">"přidávat-002"</t>
  </si>
  <si>
    <t xml:space="preserve">"přidávat-003"</t>
  </si>
  <si>
    <t xml:space="preserve">"přidávat-se-001"</t>
  </si>
  <si>
    <t xml:space="preserve">"přidávat-se-002"</t>
  </si>
  <si>
    <t xml:space="preserve">"přidělat-001"</t>
  </si>
  <si>
    <t xml:space="preserve">"přidělat-002"</t>
  </si>
  <si>
    <t xml:space="preserve">"přidělit-001"</t>
  </si>
  <si>
    <t xml:space="preserve">ACT-&gt;ARG0/1001,ARG2/1</t>
  </si>
  <si>
    <t xml:space="preserve">PAT-&gt;ARG1/1409,ARG2/10</t>
  </si>
  <si>
    <t xml:space="preserve">ADDR-&gt;ARG1/43,ARG2/866</t>
  </si>
  <si>
    <t xml:space="preserve">"přidělit-002"</t>
  </si>
  <si>
    <t xml:space="preserve">"přidělovat-001"</t>
  </si>
  <si>
    <t xml:space="preserve">"přidělovat-002"</t>
  </si>
  <si>
    <t xml:space="preserve">"přidělávat-001"</t>
  </si>
  <si>
    <t xml:space="preserve">"přidělávat-002"</t>
  </si>
  <si>
    <t xml:space="preserve">"přifařit-se-001"</t>
  </si>
  <si>
    <t xml:space="preserve">"přihazovat-001"</t>
  </si>
  <si>
    <t xml:space="preserve">"přihlašovat-001"</t>
  </si>
  <si>
    <t xml:space="preserve">"přihlásit-001"</t>
  </si>
  <si>
    <t xml:space="preserve">?EFF: za+4; za-1[.a4]; .a4[{jako,jakožto}:/AuxY]; 4[{jako,jakožto}:/AuxY]</t>
  </si>
  <si>
    <t xml:space="preserve">"přihlásit-002"</t>
  </si>
  <si>
    <t xml:space="preserve">"přihlásit-003"</t>
  </si>
  <si>
    <t xml:space="preserve">"přihlásit-se-001"</t>
  </si>
  <si>
    <t xml:space="preserve">ACT-&gt;ARG1/232</t>
  </si>
  <si>
    <t xml:space="preserve">ACT-&gt;Group</t>
  </si>
  <si>
    <t xml:space="preserve">ACT-&gt;Group(ARG1/232)</t>
  </si>
  <si>
    <t xml:space="preserve">PAT-&gt;ARG0/182,ARG1/101,ARG3/6</t>
  </si>
  <si>
    <t xml:space="preserve">PAT-&gt;Member_new(ARG0/182,ARG1/101,ARG3/6)</t>
  </si>
  <si>
    <t xml:space="preserve">"přihlásit-se-002"</t>
  </si>
  <si>
    <t xml:space="preserve">"přihlásit-se-003"</t>
  </si>
  <si>
    <t xml:space="preserve">ACT-&gt;ARG0/109</t>
  </si>
  <si>
    <t xml:space="preserve">PAT-&gt;ARG1/137</t>
  </si>
  <si>
    <t xml:space="preserve">"přihlásit-se-004"</t>
  </si>
  <si>
    <t xml:space="preserve">"přihlásit-se-005"</t>
  </si>
  <si>
    <t xml:space="preserve">"přihlásit-se-006"</t>
  </si>
  <si>
    <t xml:space="preserve">"přihlásit-se-007"</t>
  </si>
  <si>
    <t xml:space="preserve">"přihlédnout-001"</t>
  </si>
  <si>
    <t xml:space="preserve">"přihlížet-001"</t>
  </si>
  <si>
    <t xml:space="preserve">PAT: 3; ↓že; ↓když</t>
  </si>
  <si>
    <t xml:space="preserve">"přihlížet-002"</t>
  </si>
  <si>
    <t xml:space="preserve">"přihnat-001"</t>
  </si>
  <si>
    <t xml:space="preserve">"přihnat-002"</t>
  </si>
  <si>
    <t xml:space="preserve">"přihnat-se-001"</t>
  </si>
  <si>
    <t xml:space="preserve">"přihodit-001"</t>
  </si>
  <si>
    <t xml:space="preserve">"přihodit-se-001"</t>
  </si>
  <si>
    <t xml:space="preserve">"přihodit-se-002"</t>
  </si>
  <si>
    <t xml:space="preserve">"přihoršit-001"</t>
  </si>
  <si>
    <t xml:space="preserve">"přihořívat-001"</t>
  </si>
  <si>
    <t xml:space="preserve">"přihořívat-002"</t>
  </si>
  <si>
    <t xml:space="preserve">"přihrnout-001"</t>
  </si>
  <si>
    <t xml:space="preserve">"přihrát-001"</t>
  </si>
  <si>
    <t xml:space="preserve">"přihrávat-001"</t>
  </si>
  <si>
    <t xml:space="preserve">"přihustit-001"</t>
  </si>
  <si>
    <t xml:space="preserve">"přihřát-001"</t>
  </si>
  <si>
    <t xml:space="preserve">"přihřát-se-001"</t>
  </si>
  <si>
    <t xml:space="preserve">"přihřát-si-001"</t>
  </si>
  <si>
    <t xml:space="preserve">DPHR: polívčička.S4</t>
  </si>
  <si>
    <t xml:space="preserve">"přihřívat-001"</t>
  </si>
  <si>
    <t xml:space="preserve">"přijet-001"</t>
  </si>
  <si>
    <t xml:space="preserve">"přijet-002"</t>
  </si>
  <si>
    <t xml:space="preserve">"přijmout-001"</t>
  </si>
  <si>
    <t xml:space="preserve">"přijmout-002"</t>
  </si>
  <si>
    <t xml:space="preserve">"přijmout-003"</t>
  </si>
  <si>
    <t xml:space="preserve">"přijmout-004"</t>
  </si>
  <si>
    <t xml:space="preserve">"přijmout-005"</t>
  </si>
  <si>
    <t xml:space="preserve">CPHR: {krok,nařízení,návrh,opatření,plán,postup,reforma,rozhodnutí,strategie,usnesení,závazek,závěr,změna,...}.4</t>
  </si>
  <si>
    <t xml:space="preserve">CPHR-&gt;ARG1/354</t>
  </si>
  <si>
    <t xml:space="preserve">CPHR-&gt;Topic</t>
  </si>
  <si>
    <t xml:space="preserve">CPHR-&gt;Topic(ARG1/354)</t>
  </si>
  <si>
    <t xml:space="preserve">"přijmout-006"</t>
  </si>
  <si>
    <t xml:space="preserve">"přijmout-007"</t>
  </si>
  <si>
    <t xml:space="preserve">DPHR: za-1[svůj-1.4]</t>
  </si>
  <si>
    <t xml:space="preserve">"přijmout-008"</t>
  </si>
  <si>
    <t xml:space="preserve">"přijmout-009"</t>
  </si>
  <si>
    <t xml:space="preserve">"přijímat-001"</t>
  </si>
  <si>
    <t xml:space="preserve">"přijímat-002"</t>
  </si>
  <si>
    <t xml:space="preserve">"přijímat-003"</t>
  </si>
  <si>
    <t xml:space="preserve">"přijímat-004"</t>
  </si>
  <si>
    <t xml:space="preserve">"přijímat-005"</t>
  </si>
  <si>
    <t xml:space="preserve">"přijímat-006"</t>
  </si>
  <si>
    <t xml:space="preserve">"přijímat-007"</t>
  </si>
  <si>
    <t xml:space="preserve">"přijímat-008"</t>
  </si>
  <si>
    <t xml:space="preserve">CPHR: {návrh,opatření,rozhodnutí,řešení,...}.4</t>
  </si>
  <si>
    <t xml:space="preserve">CPHR-&gt;ARG1/30</t>
  </si>
  <si>
    <t xml:space="preserve">CPHR-&gt;Norm</t>
  </si>
  <si>
    <t xml:space="preserve">CPHR-&gt;Norm(ARG1/30)</t>
  </si>
  <si>
    <t xml:space="preserve">"přijít-001"</t>
  </si>
  <si>
    <t xml:space="preserve">"přijít-002"</t>
  </si>
  <si>
    <t xml:space="preserve">EFF: 1[{jako,jakožto}:/AuxY]; být[.7]; .a1; .a7; .a1[{jako,jakožto}:/AuxY]; ↓že; k+3; .a2; zatěžko</t>
  </si>
  <si>
    <t xml:space="preserve">"přijít-003"</t>
  </si>
  <si>
    <t xml:space="preserve">"přijít-004"</t>
  </si>
  <si>
    <t xml:space="preserve">"přijít-005"</t>
  </si>
  <si>
    <t xml:space="preserve">"přijít-006"</t>
  </si>
  <si>
    <t xml:space="preserve">"přijít-007"</t>
  </si>
  <si>
    <t xml:space="preserve">"přijít-008"</t>
  </si>
  <si>
    <t xml:space="preserve">"přijít-009"</t>
  </si>
  <si>
    <t xml:space="preserve">"přijít-010"</t>
  </si>
  <si>
    <t xml:space="preserve">"přijít-011"</t>
  </si>
  <si>
    <t xml:space="preserve">"přijít-012"</t>
  </si>
  <si>
    <t xml:space="preserve">"přijít-013"</t>
  </si>
  <si>
    <t xml:space="preserve">"přijít-014"</t>
  </si>
  <si>
    <t xml:space="preserve">"přijít-015"</t>
  </si>
  <si>
    <t xml:space="preserve">"přijít-016"</t>
  </si>
  <si>
    <t xml:space="preserve">"přijít-017"</t>
  </si>
  <si>
    <t xml:space="preserve">CPHR: o-1[{iluze,možnost,právo,výhoda,...}.4]</t>
  </si>
  <si>
    <t xml:space="preserve">"přijít-018"</t>
  </si>
  <si>
    <t xml:space="preserve">CPHR: s-1[{myšlenka,nápad,návrh,požadavek,prohlášení,řešení,tvrzení,...}.7]</t>
  </si>
  <si>
    <t xml:space="preserve">"--přijít-019"</t>
  </si>
  <si>
    <t xml:space="preserve">CPHR: s-1[{nápad,...}.7]</t>
  </si>
  <si>
    <t xml:space="preserve">"přijít-020"</t>
  </si>
  <si>
    <t xml:space="preserve">Helper(), Party_benefited()</t>
  </si>
  <si>
    <t xml:space="preserve">ACT-&gt;Helper()</t>
  </si>
  <si>
    <t xml:space="preserve">DPHR: na-1[pomoc.S4]</t>
  </si>
  <si>
    <t xml:space="preserve">"přijít-021"</t>
  </si>
  <si>
    <t xml:space="preserve">DPHR: na-1[chuť.S4]</t>
  </si>
  <si>
    <t xml:space="preserve">"přijít-022"</t>
  </si>
  <si>
    <t xml:space="preserve">DPHR: na-1[mysl.S4]</t>
  </si>
  <si>
    <t xml:space="preserve">"přijít-023"</t>
  </si>
  <si>
    <t xml:space="preserve">DPHR: na-1[mysl:S4]</t>
  </si>
  <si>
    <t xml:space="preserve">PAT: 1; ↓.f,že</t>
  </si>
  <si>
    <t xml:space="preserve">"přijít-024"</t>
  </si>
  <si>
    <t xml:space="preserve">DPHR: vhod</t>
  </si>
  <si>
    <t xml:space="preserve">"přijít-025"</t>
  </si>
  <si>
    <t xml:space="preserve">DPHR: k-1[čest:S3]</t>
  </si>
  <si>
    <t xml:space="preserve">"přijít-026"</t>
  </si>
  <si>
    <t xml:space="preserve">DPHR: k-1[rozum.S3]</t>
  </si>
  <si>
    <t xml:space="preserve">"přijít-027"</t>
  </si>
  <si>
    <t xml:space="preserve">DPHR: k-1[se.3]</t>
  </si>
  <si>
    <t xml:space="preserve">"přijít-028"</t>
  </si>
  <si>
    <t xml:space="preserve">"přijít-029"</t>
  </si>
  <si>
    <t xml:space="preserve">DPHR: na-1[pořad:S4[den.S2]]</t>
  </si>
  <si>
    <t xml:space="preserve">"přijít-030"</t>
  </si>
  <si>
    <t xml:space="preserve">"přijít-031"</t>
  </si>
  <si>
    <t xml:space="preserve">"přijít-032"</t>
  </si>
  <si>
    <t xml:space="preserve">"přijít-033"</t>
  </si>
  <si>
    <t xml:space="preserve">DPHR: nazmar</t>
  </si>
  <si>
    <t xml:space="preserve">"přijít-034"</t>
  </si>
  <si>
    <t xml:space="preserve">Desirable(ARG1/2)</t>
  </si>
  <si>
    <t xml:space="preserve">ACT-&gt;Desirable</t>
  </si>
  <si>
    <t xml:space="preserve">ACT-&gt;Desirable(ARG1/2)</t>
  </si>
  <si>
    <t xml:space="preserve">"přijít-035"</t>
  </si>
  <si>
    <t xml:space="preserve">"přijít-036"</t>
  </si>
  <si>
    <t xml:space="preserve">"přijít-037"</t>
  </si>
  <si>
    <t xml:space="preserve">"přijít-038"</t>
  </si>
  <si>
    <t xml:space="preserve">DPHR: na-1[program.S4]</t>
  </si>
  <si>
    <t xml:space="preserve">"přijít-039"</t>
  </si>
  <si>
    <t xml:space="preserve">"přijít-040"</t>
  </si>
  <si>
    <t xml:space="preserve">DPHR: do-1[šrot.S2]</t>
  </si>
  <si>
    <t xml:space="preserve">"přijít-041"</t>
  </si>
  <si>
    <t xml:space="preserve">DPHR: k-1[úhona.S3]</t>
  </si>
  <si>
    <t xml:space="preserve">"--přijít-042"</t>
  </si>
  <si>
    <t xml:space="preserve">"přijít-043"</t>
  </si>
  <si>
    <t xml:space="preserve">"přijít-044"</t>
  </si>
  <si>
    <t xml:space="preserve">"přijít-045"</t>
  </si>
  <si>
    <t xml:space="preserve">DPHR: pod-1[ruka.S4]</t>
  </si>
  <si>
    <t xml:space="preserve">"přijít-046"</t>
  </si>
  <si>
    <t xml:space="preserve">"přijít-047"</t>
  </si>
  <si>
    <t xml:space="preserve">"přijít-048"</t>
  </si>
  <si>
    <t xml:space="preserve">DPHR: k-1[názor.S3]</t>
  </si>
  <si>
    <t xml:space="preserve">"přijít-049"</t>
  </si>
  <si>
    <t xml:space="preserve">"přijít-050"</t>
  </si>
  <si>
    <t xml:space="preserve">"přijít-051"</t>
  </si>
  <si>
    <t xml:space="preserve">"přijít-052"</t>
  </si>
  <si>
    <t xml:space="preserve">"přijít-053"</t>
  </si>
  <si>
    <t xml:space="preserve">"přijít-si-001"</t>
  </si>
  <si>
    <t xml:space="preserve">"přijít-si-002"</t>
  </si>
  <si>
    <t xml:space="preserve">"přijít-si-003"</t>
  </si>
  <si>
    <t xml:space="preserve">"přijíždět-001"</t>
  </si>
  <si>
    <t xml:space="preserve">"přikazovat-001"</t>
  </si>
  <si>
    <t xml:space="preserve">"přiklonit-se-001"</t>
  </si>
  <si>
    <t xml:space="preserve">"přiklonit-se-002"</t>
  </si>
  <si>
    <t xml:space="preserve">DIR3-&gt;ARG1/842,ARG2/17</t>
  </si>
  <si>
    <t xml:space="preserve">DIR3-&gt;Supported</t>
  </si>
  <si>
    <t xml:space="preserve">DIR3-&gt;Supported(ARG1/842,ARG2/17)</t>
  </si>
  <si>
    <t xml:space="preserve">"přiklonit-se-003"</t>
  </si>
  <si>
    <t xml:space="preserve">"přikládat-001"</t>
  </si>
  <si>
    <t xml:space="preserve">"přikládat-002"</t>
  </si>
  <si>
    <t xml:space="preserve">"přiklánět-se-001"</t>
  </si>
  <si>
    <t xml:space="preserve">"přiklánět-se-002"</t>
  </si>
  <si>
    <t xml:space="preserve">DIR3-&gt;ARG1/103</t>
  </si>
  <si>
    <t xml:space="preserve">DIR3-&gt;Entity_1</t>
  </si>
  <si>
    <t xml:space="preserve">DIR3-&gt;Entity_1(ARG1/103)</t>
  </si>
  <si>
    <t xml:space="preserve">"přiklánět-se-003"</t>
  </si>
  <si>
    <t xml:space="preserve">ACT-&gt;ARG0/18,ARG1/10</t>
  </si>
  <si>
    <t xml:space="preserve">"přikoupit-001"</t>
  </si>
  <si>
    <t xml:space="preserve">"přikovat-001"</t>
  </si>
  <si>
    <t xml:space="preserve">"přikračovat-001"</t>
  </si>
  <si>
    <t xml:space="preserve">Agent(ARG0/14), Action(ARG1/20)</t>
  </si>
  <si>
    <t xml:space="preserve">PAT-&gt;Action(ARG1/20)</t>
  </si>
  <si>
    <t xml:space="preserve">"přikreslit-001"</t>
  </si>
  <si>
    <t xml:space="preserve">"přikrmit-001"</t>
  </si>
  <si>
    <t xml:space="preserve">"přikrmovat-001"</t>
  </si>
  <si>
    <t xml:space="preserve">"přikročit-001"</t>
  </si>
  <si>
    <t xml:space="preserve">"přikročit-002"</t>
  </si>
  <si>
    <t xml:space="preserve">"přikráčet-001"</t>
  </si>
  <si>
    <t xml:space="preserve">"přikrášlit-001"</t>
  </si>
  <si>
    <t xml:space="preserve">"přikrýt-001"</t>
  </si>
  <si>
    <t xml:space="preserve">"přikrýt-002"</t>
  </si>
  <si>
    <t xml:space="preserve">"přikrčit-se-001"</t>
  </si>
  <si>
    <t xml:space="preserve">Protagonist(ARG1/1)</t>
  </si>
  <si>
    <t xml:space="preserve">ACT-&gt;Protagonist(ARG1/1)</t>
  </si>
  <si>
    <t xml:space="preserve">"přikusovat-001"</t>
  </si>
  <si>
    <t xml:space="preserve">ADDR: k+3</t>
  </si>
  <si>
    <t xml:space="preserve">"přikyvovat-001"</t>
  </si>
  <si>
    <t xml:space="preserve">DPHR: na-1[souhlas.S4]</t>
  </si>
  <si>
    <t xml:space="preserve">DPHR-&gt;ARG0/1,ARG1/166,ARG2/7</t>
  </si>
  <si>
    <t xml:space="preserve">DPHR-&gt;Agreement</t>
  </si>
  <si>
    <t xml:space="preserve">DPHR-&gt;Agreement(ARG0/1,ARG1/166,ARG2/7)</t>
  </si>
  <si>
    <t xml:space="preserve">PAT-&gt;ARG1/27,ARG2/50</t>
  </si>
  <si>
    <t xml:space="preserve">PAT-&gt;Audience_Addressee(ARG1/27,ARG2/50)</t>
  </si>
  <si>
    <t xml:space="preserve">"přikyvovat-002"</t>
  </si>
  <si>
    <t xml:space="preserve">"přikázat-001"</t>
  </si>
  <si>
    <t xml:space="preserve">"přikývnout-001"</t>
  </si>
  <si>
    <t xml:space="preserve">"přilepit-001"</t>
  </si>
  <si>
    <t xml:space="preserve">"přilepit-se-001"</t>
  </si>
  <si>
    <t xml:space="preserve">"přilepšit-001"</t>
  </si>
  <si>
    <t xml:space="preserve">"přiletět-001"</t>
  </si>
  <si>
    <t xml:space="preserve">"přiletět-002"</t>
  </si>
  <si>
    <t xml:space="preserve">"přilnout-001"</t>
  </si>
  <si>
    <t xml:space="preserve">"přilnout-002"</t>
  </si>
  <si>
    <t xml:space="preserve">DPHR: k-1[srdce.3]</t>
  </si>
  <si>
    <t xml:space="preserve">"přilnout-003"</t>
  </si>
  <si>
    <t xml:space="preserve">"přiložit-001"</t>
  </si>
  <si>
    <t xml:space="preserve">"přiložit-002"</t>
  </si>
  <si>
    <t xml:space="preserve">ACT-&gt;ARG0/115,ARG1/2,ARG2/27</t>
  </si>
  <si>
    <t xml:space="preserve">PAT-&gt;ARG0/26,ARG1/307</t>
  </si>
  <si>
    <t xml:space="preserve">PAT-&gt;Component(ARG0/26,ARG1/2)</t>
  </si>
  <si>
    <t xml:space="preserve">DIR3-&gt;ARG1/38,ARG2/14</t>
  </si>
  <si>
    <t xml:space="preserve">DIR3-&gt;Item</t>
  </si>
  <si>
    <t xml:space="preserve">DIR3-&gt;Item(ARG1/38,ARG2/3)</t>
  </si>
  <si>
    <t xml:space="preserve">"přiložit-003"</t>
  </si>
  <si>
    <t xml:space="preserve">"přilákat-001"</t>
  </si>
  <si>
    <t xml:space="preserve">"přilákat-002"</t>
  </si>
  <si>
    <t xml:space="preserve">"přiléhat-001"</t>
  </si>
  <si>
    <t xml:space="preserve">"přiléhat-002"</t>
  </si>
  <si>
    <t xml:space="preserve">"přilétnout-001"</t>
  </si>
  <si>
    <t xml:space="preserve">"přilévat-001"</t>
  </si>
  <si>
    <t xml:space="preserve">"přilévat-002"</t>
  </si>
  <si>
    <t xml:space="preserve">DPHR: olej.S4,do-1[oheň.S2]</t>
  </si>
  <si>
    <t xml:space="preserve">"přilít-001"</t>
  </si>
  <si>
    <t xml:space="preserve">"přilít-002"</t>
  </si>
  <si>
    <t xml:space="preserve">DPHR: olej.S4,do-1[oheň.S2]; olej.S2,do-1[oheň.S2]</t>
  </si>
  <si>
    <t xml:space="preserve">"přilítnout-001"</t>
  </si>
  <si>
    <t xml:space="preserve">"přilítnout-002"</t>
  </si>
  <si>
    <t xml:space="preserve">"přilívat-001"</t>
  </si>
  <si>
    <t xml:space="preserve">"přimhouřit-001"</t>
  </si>
  <si>
    <t xml:space="preserve">DPHR: oko.S4,oko.P4</t>
  </si>
  <si>
    <t xml:space="preserve">"--přimhouřit-002"</t>
  </si>
  <si>
    <t xml:space="preserve">"přimknout-se-001"</t>
  </si>
  <si>
    <t xml:space="preserve">"přimknout-se-002"</t>
  </si>
  <si>
    <t xml:space="preserve">"přimlouvat-se-001"</t>
  </si>
  <si>
    <t xml:space="preserve">"přimluvit-se-001"</t>
  </si>
  <si>
    <t xml:space="preserve">"přimontovat-001"</t>
  </si>
  <si>
    <t xml:space="preserve">"přimáčknout-001"</t>
  </si>
  <si>
    <t xml:space="preserve">"přimíchat-se-001"</t>
  </si>
  <si>
    <t xml:space="preserve">"přimět-001"</t>
  </si>
  <si>
    <t xml:space="preserve">"přinutit-001"</t>
  </si>
  <si>
    <t xml:space="preserve">"přináležet-001"</t>
  </si>
  <si>
    <t xml:space="preserve">"přináležet-002"</t>
  </si>
  <si>
    <t xml:space="preserve">"přinášet-001"</t>
  </si>
  <si>
    <t xml:space="preserve">"přinášet-002"</t>
  </si>
  <si>
    <t xml:space="preserve">"přinášet-003"</t>
  </si>
  <si>
    <t xml:space="preserve">"přinášet-004"</t>
  </si>
  <si>
    <t xml:space="preserve">"přinášet-005"</t>
  </si>
  <si>
    <t xml:space="preserve">"přinášet-006"</t>
  </si>
  <si>
    <t xml:space="preserve">CPHR: {možnost}</t>
  </si>
  <si>
    <t xml:space="preserve">"přinést-001"</t>
  </si>
  <si>
    <t xml:space="preserve">"přinést-002"</t>
  </si>
  <si>
    <t xml:space="preserve">ADDR-&gt;ARG2/4,ARG3/1</t>
  </si>
  <si>
    <t xml:space="preserve">ADDR-&gt;Recipient(ARG2/4,ARG3/1)</t>
  </si>
  <si>
    <t xml:space="preserve">"přinést-003"</t>
  </si>
  <si>
    <t xml:space="preserve">"přinést-004"</t>
  </si>
  <si>
    <t xml:space="preserve">"přinést-005"</t>
  </si>
  <si>
    <t xml:space="preserve">DPHR: ovoce.4[svůj-1.#]</t>
  </si>
  <si>
    <t xml:space="preserve">"přinést-006"</t>
  </si>
  <si>
    <t xml:space="preserve">"--přinést-007"</t>
  </si>
  <si>
    <t xml:space="preserve">CPHR: {úleva}.4</t>
  </si>
  <si>
    <t xml:space="preserve">"--přinést-008"</t>
  </si>
  <si>
    <t xml:space="preserve">"přiobjednat-001"</t>
  </si>
  <si>
    <t xml:space="preserve">"přiopravit-001"</t>
  </si>
  <si>
    <t xml:space="preserve">"přiostřit-001"</t>
  </si>
  <si>
    <t xml:space="preserve">"přiostřit-002"</t>
  </si>
  <si>
    <t xml:space="preserve">"přiostřit-se-001"</t>
  </si>
  <si>
    <t xml:space="preserve">ACT-&gt;ARG0/1,ARG1/36</t>
  </si>
  <si>
    <t xml:space="preserve">"přiostřovat-001"</t>
  </si>
  <si>
    <t xml:space="preserve">"přiotrávit-001"</t>
  </si>
  <si>
    <t xml:space="preserve">"připachtovat-si-001"</t>
  </si>
  <si>
    <t xml:space="preserve">"připadat-001"</t>
  </si>
  <si>
    <t xml:space="preserve">PAT: 1; ↓že; ↓aby; ↓kdyby; .f; ↓když</t>
  </si>
  <si>
    <t xml:space="preserve">EFF: .a1; .a7; 1[{jako,jakožto}:/AuxY]; .a1[{jako,jakožto}:/AuxY]; ↓že</t>
  </si>
  <si>
    <t xml:space="preserve">"připadat-002"</t>
  </si>
  <si>
    <t xml:space="preserve">"připadat-003"</t>
  </si>
  <si>
    <t xml:space="preserve">"připadat-004"</t>
  </si>
  <si>
    <t xml:space="preserve">ACT-&gt;ARG0/40,ARG1/6,ARG2/8</t>
  </si>
  <si>
    <t xml:space="preserve">PAT-&gt;ARG1/178</t>
  </si>
  <si>
    <t xml:space="preserve">"připadat-005"</t>
  </si>
  <si>
    <t xml:space="preserve">TOWH: na+4</t>
  </si>
  <si>
    <t xml:space="preserve">"připadat-006"</t>
  </si>
  <si>
    <t xml:space="preserve">"připadat-007"</t>
  </si>
  <si>
    <t xml:space="preserve">"připadat-si-001"</t>
  </si>
  <si>
    <t xml:space="preserve">PAT: být[.1]; být[.7]; .a1</t>
  </si>
  <si>
    <t xml:space="preserve">"připadat-si-002"</t>
  </si>
  <si>
    <t xml:space="preserve">#alt[MANN,CPR]-&gt;Emotion</t>
  </si>
  <si>
    <t xml:space="preserve">#alt[MANN,CPR]-&gt;Emotion(ARG1/21)</t>
  </si>
  <si>
    <t xml:space="preserve">"připadnout-001"</t>
  </si>
  <si>
    <t xml:space="preserve">PAT: 1; ↓že</t>
  </si>
  <si>
    <t xml:space="preserve">EFF: 1[{jako,jakožto}:/AuxY]; .a1[{jako,jakožto}:/AuxY]; .a1</t>
  </si>
  <si>
    <t xml:space="preserve">"připadnout-002"</t>
  </si>
  <si>
    <t xml:space="preserve">"připadnout-003"</t>
  </si>
  <si>
    <t xml:space="preserve">"připadnout-004"</t>
  </si>
  <si>
    <t xml:space="preserve">"připadnout-005"</t>
  </si>
  <si>
    <t xml:space="preserve">"připadnout-006"</t>
  </si>
  <si>
    <t xml:space="preserve">"připadnout-007"</t>
  </si>
  <si>
    <t xml:space="preserve">"připevnit-001"</t>
  </si>
  <si>
    <t xml:space="preserve">"připevňovat-001"</t>
  </si>
  <si>
    <t xml:space="preserve">"připisovat-001"</t>
  </si>
  <si>
    <t xml:space="preserve">"připisovat-002"</t>
  </si>
  <si>
    <t xml:space="preserve">"připlatit-001"</t>
  </si>
  <si>
    <t xml:space="preserve">"připlavat-001"</t>
  </si>
  <si>
    <t xml:space="preserve">"připlout-001"</t>
  </si>
  <si>
    <t xml:space="preserve">"připlouvat-001"</t>
  </si>
  <si>
    <t xml:space="preserve">"připlynout-001"</t>
  </si>
  <si>
    <t xml:space="preserve">"připlácet-001"</t>
  </si>
  <si>
    <t xml:space="preserve">"připlést-se-001"</t>
  </si>
  <si>
    <t xml:space="preserve">DIR3-&gt;ARG1/5,ARG2/36</t>
  </si>
  <si>
    <t xml:space="preserve">DIR3-&gt;Influenced</t>
  </si>
  <si>
    <t xml:space="preserve">DIR3-&gt;Influenced(ARG1/5,ARG2/36)</t>
  </si>
  <si>
    <t xml:space="preserve">"připlížit-se-001"</t>
  </si>
  <si>
    <t xml:space="preserve">"připnout-001"</t>
  </si>
  <si>
    <t xml:space="preserve">"připodobňovat-001"</t>
  </si>
  <si>
    <t xml:space="preserve">Comparator(ARG0/29), Item_standard(ARG1/55,ARG2/2), Item_profiled(ARG1/3,ARG2/61)</t>
  </si>
  <si>
    <t xml:space="preserve">ACT-&gt;ARG0/29</t>
  </si>
  <si>
    <t xml:space="preserve">ACT-&gt;Comparator(ARG0/29)</t>
  </si>
  <si>
    <t xml:space="preserve">PAT-&gt;ARG1/55,ARG2/2</t>
  </si>
  <si>
    <t xml:space="preserve">PAT-&gt;Item_standard(ARG1/55,ARG2/2)</t>
  </si>
  <si>
    <t xml:space="preserve">ADDR-&gt;ARG1/3,ARG2/61</t>
  </si>
  <si>
    <t xml:space="preserve">ADDR-&gt;Item_profiled</t>
  </si>
  <si>
    <t xml:space="preserve">ADDR-&gt;Item_profiled(ARG1/3,ARG2/61)</t>
  </si>
  <si>
    <t xml:space="preserve">"připojistit-001"</t>
  </si>
  <si>
    <t xml:space="preserve">"připojit-001"</t>
  </si>
  <si>
    <t xml:space="preserve">ACT-&gt;ARG0/147,ARG1/2,ARG2/26</t>
  </si>
  <si>
    <t xml:space="preserve">PAT-&gt;ARG1/449,ARG2/4</t>
  </si>
  <si>
    <t xml:space="preserve">DIR3-&gt;ARG1/96,ARG2/93</t>
  </si>
  <si>
    <t xml:space="preserve">DIR3-&gt;Entity_2</t>
  </si>
  <si>
    <t xml:space="preserve">DIR3-&gt;Entity_2(ARG1/96,ARG2/82)</t>
  </si>
  <si>
    <t xml:space="preserve">"připojit-002"</t>
  </si>
  <si>
    <t xml:space="preserve">"připojit-003"</t>
  </si>
  <si>
    <t xml:space="preserve">ACT-&gt;ARG0/45,ARG1/1</t>
  </si>
  <si>
    <t xml:space="preserve">PAT-&gt;ARG1/156,ARG2/4</t>
  </si>
  <si>
    <t xml:space="preserve">DIR3-&gt;ARG1/110,ARG2/85</t>
  </si>
  <si>
    <t xml:space="preserve">"připojit-se-001"</t>
  </si>
  <si>
    <t xml:space="preserve">ACT-&gt;ARG0/5,ARG1/18</t>
  </si>
  <si>
    <t xml:space="preserve">PAT-&gt;ARG1/4,ARG2/13</t>
  </si>
  <si>
    <t xml:space="preserve">"připojit-se-002"</t>
  </si>
  <si>
    <t xml:space="preserve">"připojit-se-003"</t>
  </si>
  <si>
    <t xml:space="preserve">"připojovat-001"</t>
  </si>
  <si>
    <t xml:space="preserve">"připojovat-002"</t>
  </si>
  <si>
    <t xml:space="preserve">"připojovat-003"</t>
  </si>
  <si>
    <t xml:space="preserve">"připojovat-se-001"</t>
  </si>
  <si>
    <t xml:space="preserve">"připomenout-001"</t>
  </si>
  <si>
    <t xml:space="preserve">Speaker(ARG0/14), Audience_Addressee(ARG2/18,ARG3/1), Information(ARG1/17)</t>
  </si>
  <si>
    <t xml:space="preserve">PAT: 4; ↓že; ↓zda; ↓aby; ↓ať; ↓jak-2; ↓c; .s</t>
  </si>
  <si>
    <t xml:space="preserve">PAT-&gt;Information(ARG1/17)</t>
  </si>
  <si>
    <t xml:space="preserve">ADDR-&gt;ARG2/18,ARG3/1</t>
  </si>
  <si>
    <t xml:space="preserve">ADDR-&gt;Audience_Addressee(ARG2/18,ARG3/1)</t>
  </si>
  <si>
    <t xml:space="preserve">"připomenout-002"</t>
  </si>
  <si>
    <t xml:space="preserve">Stimulus(ARG0/13,ARG1/13), Phenomenon(ARG1/15,ARG2/21), Cognizer(ARG2/18)</t>
  </si>
  <si>
    <t xml:space="preserve">ACT-&gt;ARG0/13,ARG1/13</t>
  </si>
  <si>
    <t xml:space="preserve">ACT-&gt;Stimulus(ARG0/13,ARG1/13)</t>
  </si>
  <si>
    <t xml:space="preserve">PAT-&gt;ARG1/15,ARG2/21</t>
  </si>
  <si>
    <t xml:space="preserve">PAT-&gt;Phenomenon(ARG1/15,ARG2/21)</t>
  </si>
  <si>
    <t xml:space="preserve">ADDR-&gt;ARG2/18</t>
  </si>
  <si>
    <t xml:space="preserve">ADDR-&gt;Cognizer(ARG2/18)</t>
  </si>
  <si>
    <t xml:space="preserve">"připomínat-001"</t>
  </si>
  <si>
    <t xml:space="preserve">"připomínat-002"</t>
  </si>
  <si>
    <t xml:space="preserve">"připoutat-001"</t>
  </si>
  <si>
    <t xml:space="preserve">"připoutávat-001"</t>
  </si>
  <si>
    <t xml:space="preserve">"připoutávat-002"</t>
  </si>
  <si>
    <t xml:space="preserve">"připouštět-001"</t>
  </si>
  <si>
    <t xml:space="preserve">"připouštět-002"</t>
  </si>
  <si>
    <t xml:space="preserve">"připouštět-003"</t>
  </si>
  <si>
    <t xml:space="preserve">PAT: 4; ↓že; .s</t>
  </si>
  <si>
    <t xml:space="preserve">"připouštět-004"</t>
  </si>
  <si>
    <t xml:space="preserve">"připouštět-si-001"</t>
  </si>
  <si>
    <t xml:space="preserve">"připozastavit-001"</t>
  </si>
  <si>
    <t xml:space="preserve">"připočíst-001"</t>
  </si>
  <si>
    <t xml:space="preserve">"připočíst-002"</t>
  </si>
  <si>
    <t xml:space="preserve">"připočítávat-001"</t>
  </si>
  <si>
    <t xml:space="preserve">"připravit-001"</t>
  </si>
  <si>
    <t xml:space="preserve">"připravit-002"</t>
  </si>
  <si>
    <t xml:space="preserve">Creator(ARG0/2), Created(ARG1/5), Component()</t>
  </si>
  <si>
    <t xml:space="preserve">ACT-&gt;ARG0/220,ARG1/3</t>
  </si>
  <si>
    <t xml:space="preserve">PAT-&gt;ARG1/304,ARG2/1</t>
  </si>
  <si>
    <t xml:space="preserve">PAT-&gt;Goal(ARG1/3,ARG2/1)</t>
  </si>
  <si>
    <t xml:space="preserve">ORIG-&gt;Component()</t>
  </si>
  <si>
    <t xml:space="preserve">"připravit-003"</t>
  </si>
  <si>
    <t xml:space="preserve">"připravit-004"</t>
  </si>
  <si>
    <t xml:space="preserve">"připravit-se-001"</t>
  </si>
  <si>
    <t xml:space="preserve">"připravovat-001"</t>
  </si>
  <si>
    <t xml:space="preserve">"připravovat-002"</t>
  </si>
  <si>
    <t xml:space="preserve">ACT-&gt;ARG0/217,ARG1/3</t>
  </si>
  <si>
    <t xml:space="preserve">PAT-&gt;ARG1/301</t>
  </si>
  <si>
    <t xml:space="preserve">"připravovat-003"</t>
  </si>
  <si>
    <t xml:space="preserve">"připravovat-004"</t>
  </si>
  <si>
    <t xml:space="preserve">"připravovat-se-001"</t>
  </si>
  <si>
    <t xml:space="preserve">PAT: .f; na+4; k+3; ↓c</t>
  </si>
  <si>
    <t xml:space="preserve">"připravovat-se-002"</t>
  </si>
  <si>
    <t xml:space="preserve">"připsat-001"</t>
  </si>
  <si>
    <t xml:space="preserve">"připsat-002"</t>
  </si>
  <si>
    <t xml:space="preserve">"připsat-003"</t>
  </si>
  <si>
    <t xml:space="preserve">"připsat-004"</t>
  </si>
  <si>
    <t xml:space="preserve">DPHR: k-1[dobro.3]</t>
  </si>
  <si>
    <t xml:space="preserve">"připustit-001"</t>
  </si>
  <si>
    <t xml:space="preserve">"připustit-002"</t>
  </si>
  <si>
    <t xml:space="preserve">DIR3: k+3; ↓aby; *</t>
  </si>
  <si>
    <t xml:space="preserve">"připustit-003"</t>
  </si>
  <si>
    <t xml:space="preserve">"připustit-004"</t>
  </si>
  <si>
    <t xml:space="preserve">"připustit-005"</t>
  </si>
  <si>
    <t xml:space="preserve">"připustit-si-001"</t>
  </si>
  <si>
    <t xml:space="preserve">"připustit-si-002"</t>
  </si>
  <si>
    <t xml:space="preserve">DPHR: k-1[tělo.S3]</t>
  </si>
  <si>
    <t xml:space="preserve">"připálit-001"</t>
  </si>
  <si>
    <t xml:space="preserve">"připíchnout-001"</t>
  </si>
  <si>
    <t xml:space="preserve">"připíchávat-001"</t>
  </si>
  <si>
    <t xml:space="preserve">"připíjet-001"</t>
  </si>
  <si>
    <t xml:space="preserve">Agent(ARG0/2), Desirable(ARG1/2), Party_benefited()</t>
  </si>
  <si>
    <t xml:space="preserve">ADDR-&gt;Party_benefited()</t>
  </si>
  <si>
    <t xml:space="preserve">"--připíjet-si-001"</t>
  </si>
  <si>
    <t xml:space="preserve">"připínat-001"</t>
  </si>
  <si>
    <t xml:space="preserve">"připít-001"</t>
  </si>
  <si>
    <t xml:space="preserve">"--připít-si-001"</t>
  </si>
  <si>
    <t xml:space="preserve">"přirovnat-001"</t>
  </si>
  <si>
    <t xml:space="preserve">"přirovnávat-001"</t>
  </si>
  <si>
    <t xml:space="preserve">"přirážet-001"</t>
  </si>
  <si>
    <t xml:space="preserve">"přirůst-001"</t>
  </si>
  <si>
    <t xml:space="preserve">"přirůstat-001"</t>
  </si>
  <si>
    <t xml:space="preserve">"přisadit-si-001"</t>
  </si>
  <si>
    <t xml:space="preserve">"přisedat-si-001"</t>
  </si>
  <si>
    <t xml:space="preserve">"přisednout-si-001"</t>
  </si>
  <si>
    <t xml:space="preserve">"přiskakovat-001"</t>
  </si>
  <si>
    <t xml:space="preserve">"přiskočit-001"</t>
  </si>
  <si>
    <t xml:space="preserve">"přiskřípnout-001"</t>
  </si>
  <si>
    <t xml:space="preserve">"přisladit-001"</t>
  </si>
  <si>
    <t xml:space="preserve">"přislíbit-001"</t>
  </si>
  <si>
    <t xml:space="preserve">Communicator(ARG0/99,ARG2/1), Commitment(ARG1/26,ARG2/90), Recipient(ARG0/2,ARG1/28)</t>
  </si>
  <si>
    <t xml:space="preserve">ACT-&gt;ARG0/99,ARG2/1</t>
  </si>
  <si>
    <t xml:space="preserve">ACT-&gt;Communicator(ARG0/99,ARG2/1)</t>
  </si>
  <si>
    <t xml:space="preserve">PAT: 4; .f; ↓že; .s</t>
  </si>
  <si>
    <t xml:space="preserve">PAT-&gt;ARG1/26,ARG2/90</t>
  </si>
  <si>
    <t xml:space="preserve">PAT-&gt;Commitment(ARG1/26,ARG2/90)</t>
  </si>
  <si>
    <t xml:space="preserve">ADDR-&gt;ARG0/2,ARG1/28</t>
  </si>
  <si>
    <t xml:space="preserve">ADDR-&gt;Recipient(ARG0/2,ARG1/28)</t>
  </si>
  <si>
    <t xml:space="preserve">"přisoudit-001"</t>
  </si>
  <si>
    <t xml:space="preserve">"přispívat-001"</t>
  </si>
  <si>
    <t xml:space="preserve">PAT-&gt;ARG1/30,ARG2/2,ARG3/1</t>
  </si>
  <si>
    <t xml:space="preserve">ADDR-&gt;ARG1/3,ARG2/128</t>
  </si>
  <si>
    <t xml:space="preserve">"přispívat-002"</t>
  </si>
  <si>
    <t xml:space="preserve">PAT: k+3; na+4; 3</t>
  </si>
  <si>
    <t xml:space="preserve">"přispívat-003"</t>
  </si>
  <si>
    <t xml:space="preserve">"přispěchat-001"</t>
  </si>
  <si>
    <t xml:space="preserve">"přispět-001"</t>
  </si>
  <si>
    <t xml:space="preserve">"přispět-002"</t>
  </si>
  <si>
    <t xml:space="preserve">"přispět-003"</t>
  </si>
  <si>
    <t xml:space="preserve">"přistavit-001"</t>
  </si>
  <si>
    <t xml:space="preserve">"přistavit-002"</t>
  </si>
  <si>
    <t xml:space="preserve">"přistavovat-001"</t>
  </si>
  <si>
    <t xml:space="preserve">"přistavět-001"</t>
  </si>
  <si>
    <t xml:space="preserve">"přistihnout-001"</t>
  </si>
  <si>
    <t xml:space="preserve">"přistoupit-001"</t>
  </si>
  <si>
    <t xml:space="preserve">"přistoupit-002"</t>
  </si>
  <si>
    <t xml:space="preserve">PAT(na)-&gt;Proposed</t>
  </si>
  <si>
    <t xml:space="preserve">PAT(na)-&gt;Proposed(ARG1/592,ARG2/4)</t>
  </si>
  <si>
    <t xml:space="preserve">"přistoupit-003"</t>
  </si>
  <si>
    <t xml:space="preserve">"přistoupit-004"</t>
  </si>
  <si>
    <t xml:space="preserve">"přistoupit-005"</t>
  </si>
  <si>
    <t xml:space="preserve">CPHR: k-1[{hlasování,jednání,kontrola,krok,likvidace,nařízení,opatření,plán,použití,přeměna,realizace,řešení,řízení,stimulace,udělení,uhrazení,utahování,vypovídání,změna,...}.3]; {řízení}</t>
  </si>
  <si>
    <t xml:space="preserve">CPHR-&gt;ARG1/20</t>
  </si>
  <si>
    <t xml:space="preserve">CPHR-&gt;Action(ARG1/20)</t>
  </si>
  <si>
    <t xml:space="preserve">"přistoupit-006"</t>
  </si>
  <si>
    <t xml:space="preserve">PAT: k+3; vůči+3</t>
  </si>
  <si>
    <t xml:space="preserve">#alt[MANN,ACMP,CRIT,CPR,COMPL]-&gt;Manner</t>
  </si>
  <si>
    <t xml:space="preserve">#alt[MANN,ACMP,CRIT,CPR,COMPL]-&gt;Manner(ARG2/21,ARG3/1)</t>
  </si>
  <si>
    <t xml:space="preserve">ACMP-&gt;ARG2/21,ARG3/1</t>
  </si>
  <si>
    <t xml:space="preserve">CRIT-&gt;ARG2/21,ARG3/1</t>
  </si>
  <si>
    <t xml:space="preserve">CPR-&gt;ARG2/21,ARG3/1</t>
  </si>
  <si>
    <t xml:space="preserve">COMPL-&gt;ARG2/21,ARG3/1</t>
  </si>
  <si>
    <t xml:space="preserve">"přistrojit-001"</t>
  </si>
  <si>
    <t xml:space="preserve">"přistupovat-001"</t>
  </si>
  <si>
    <t xml:space="preserve">PAT: k+3; vůči+3; stran[.2]</t>
  </si>
  <si>
    <t xml:space="preserve">"přistupovat-002"</t>
  </si>
  <si>
    <t xml:space="preserve">"přistupovat-003"</t>
  </si>
  <si>
    <t xml:space="preserve">"přistupovat-004"</t>
  </si>
  <si>
    <t xml:space="preserve">"přistupovat-005"</t>
  </si>
  <si>
    <t xml:space="preserve">"přistupovat-006"</t>
  </si>
  <si>
    <t xml:space="preserve">CPHR: k-1[{hlasování,modernizace,obnova,plán,realizace,udělení,změna,...}.3]</t>
  </si>
  <si>
    <t xml:space="preserve">"přistát-001"</t>
  </si>
  <si>
    <t xml:space="preserve">LOC-&gt;ARG1/1</t>
  </si>
  <si>
    <t xml:space="preserve">LOC-&gt;Place(ARG1/1)</t>
  </si>
  <si>
    <t xml:space="preserve">"přistát-002"</t>
  </si>
  <si>
    <t xml:space="preserve">"přistávat-001"</t>
  </si>
  <si>
    <t xml:space="preserve">"přistávat-002"</t>
  </si>
  <si>
    <t xml:space="preserve">"přistínit-001"</t>
  </si>
  <si>
    <t xml:space="preserve">"přistěhovat-se-001"</t>
  </si>
  <si>
    <t xml:space="preserve">"přistřihnout-001"</t>
  </si>
  <si>
    <t xml:space="preserve">"přisunout-001"</t>
  </si>
  <si>
    <t xml:space="preserve">"přisuzovat-001"</t>
  </si>
  <si>
    <t xml:space="preserve">"přisvojit-si-001"</t>
  </si>
  <si>
    <t xml:space="preserve">"přisypávat-001"</t>
  </si>
  <si>
    <t xml:space="preserve">PAT-&gt;ARG0/26,ARG1/2</t>
  </si>
  <si>
    <t xml:space="preserve">DIR3-&gt;ARG1/38,ARG2/3</t>
  </si>
  <si>
    <t xml:space="preserve">"přitahovat-001"</t>
  </si>
  <si>
    <t xml:space="preserve">"přitlačit-001"</t>
  </si>
  <si>
    <t xml:space="preserve">"přitlouci-001"</t>
  </si>
  <si>
    <t xml:space="preserve">"přitopit-001"</t>
  </si>
  <si>
    <t xml:space="preserve">"přitopit-002"</t>
  </si>
  <si>
    <t xml:space="preserve">"přituhnout-001"</t>
  </si>
  <si>
    <t xml:space="preserve">"přituhovat-001"</t>
  </si>
  <si>
    <t xml:space="preserve">"přitvrdit-001"</t>
  </si>
  <si>
    <t xml:space="preserve">ACT-&gt;ARG0/84,ARG1/1</t>
  </si>
  <si>
    <t xml:space="preserve">"--přitvrdit-002"</t>
  </si>
  <si>
    <t xml:space="preserve">"přitvrzovat-001"</t>
  </si>
  <si>
    <t xml:space="preserve">"--přitvrzovat-002"</t>
  </si>
  <si>
    <t xml:space="preserve">"přitáhnout-001"</t>
  </si>
  <si>
    <t xml:space="preserve">"přitáhnout-002"</t>
  </si>
  <si>
    <t xml:space="preserve">"přitáhnout-003"</t>
  </si>
  <si>
    <t xml:space="preserve">"přitáhnout-004"</t>
  </si>
  <si>
    <t xml:space="preserve">ACT-&gt;ARG0/74,ARG1/98,ARG2/10,ARG3/2</t>
  </si>
  <si>
    <t xml:space="preserve">ACT-&gt;Attracting; ACT-&gt;Goal</t>
  </si>
  <si>
    <t xml:space="preserve">ACT-&gt;Attracting(ARG0/72,ARG1/2,ARG2/1); ACT-&gt;Goal(ARG0/2,ARG1/96,ARG2/9,ARG3/2)</t>
  </si>
  <si>
    <t xml:space="preserve">CPHR: {pozornost}.4</t>
  </si>
  <si>
    <t xml:space="preserve">CPHR-&gt;ARG0/1,ARG1/60,ARG2/5,ARG3/1</t>
  </si>
  <si>
    <t xml:space="preserve">CPHR[poss.]-&gt;Attractee</t>
  </si>
  <si>
    <t xml:space="preserve">CPHR[poss.]-&gt;Attractee(ARG0/1,ARG1/60,ARG2/5,ARG3/1)</t>
  </si>
  <si>
    <t xml:space="preserve">"přitáhnout-005"</t>
  </si>
  <si>
    <t xml:space="preserve">DPHR: uzda.S4</t>
  </si>
  <si>
    <t xml:space="preserve">"přitéci-001"</t>
  </si>
  <si>
    <t xml:space="preserve">"přitékat-001"</t>
  </si>
  <si>
    <t xml:space="preserve">"přitížit-001"</t>
  </si>
  <si>
    <t xml:space="preserve">"přitížit-se-001"</t>
  </si>
  <si>
    <t xml:space="preserve">"přitěžovat-001"</t>
  </si>
  <si>
    <t xml:space="preserve">"přiupravit-001"</t>
  </si>
  <si>
    <t xml:space="preserve">"přiučit-se-001"</t>
  </si>
  <si>
    <t xml:space="preserve">"přivařit-001"</t>
  </si>
  <si>
    <t xml:space="preserve">"přivdat-se-001"</t>
  </si>
  <si>
    <t xml:space="preserve">"přivlastnit-si-001"</t>
  </si>
  <si>
    <t xml:space="preserve">"přivlastňovat-si-001"</t>
  </si>
  <si>
    <t xml:space="preserve">"přivodit-001"</t>
  </si>
  <si>
    <t xml:space="preserve">"přivolat-001"</t>
  </si>
  <si>
    <t xml:space="preserve">"přivolit-001"</t>
  </si>
  <si>
    <t xml:space="preserve">"přivonět-001"</t>
  </si>
  <si>
    <t xml:space="preserve">"přivrhnout-001"</t>
  </si>
  <si>
    <t xml:space="preserve">"přivydělat-001"</t>
  </si>
  <si>
    <t xml:space="preserve">"přivydělat-si-001"</t>
  </si>
  <si>
    <t xml:space="preserve">"přivydělávat-001"</t>
  </si>
  <si>
    <t xml:space="preserve">"přivydělávat-si-001"</t>
  </si>
  <si>
    <t xml:space="preserve">"přivyknout-001"</t>
  </si>
  <si>
    <t xml:space="preserve">Adjusting(ARG0/39,ARG1/9), Norm(ARG1/127,ARG2/17,ARG3/3,ARG4/5)</t>
  </si>
  <si>
    <t xml:space="preserve">ACT-&gt;ARG0/39,ARG1/9</t>
  </si>
  <si>
    <t xml:space="preserve">ACT-&gt;Adjusting(ARG0/39,ARG1/9)</t>
  </si>
  <si>
    <t xml:space="preserve">PAT: 3; .f; ↓že</t>
  </si>
  <si>
    <t xml:space="preserve">PAT-&gt;ARG1/127,ARG2/17,ARG3/3,ARG4/5</t>
  </si>
  <si>
    <t xml:space="preserve">PAT-&gt;Norm(ARG1/127,ARG2/17,ARG3/3,ARG4/5)</t>
  </si>
  <si>
    <t xml:space="preserve">"přivábit-001"</t>
  </si>
  <si>
    <t xml:space="preserve">"přivádět-001"</t>
  </si>
  <si>
    <t xml:space="preserve">"přivádět-002"</t>
  </si>
  <si>
    <t xml:space="preserve">"přivádět-003"</t>
  </si>
  <si>
    <t xml:space="preserve">"přivádět-004"</t>
  </si>
  <si>
    <t xml:space="preserve">"přivázat-001"</t>
  </si>
  <si>
    <t xml:space="preserve">"přivážet-001"</t>
  </si>
  <si>
    <t xml:space="preserve">"přivést-001"</t>
  </si>
  <si>
    <t xml:space="preserve">"přivést-002"</t>
  </si>
  <si>
    <t xml:space="preserve">"přivést-003"</t>
  </si>
  <si>
    <t xml:space="preserve">"přivést-004"</t>
  </si>
  <si>
    <t xml:space="preserve">"přivést-005"</t>
  </si>
  <si>
    <t xml:space="preserve">"přivést-006"</t>
  </si>
  <si>
    <t xml:space="preserve">"přivést-007"</t>
  </si>
  <si>
    <t xml:space="preserve">DPHR: na-1[buben.S4]</t>
  </si>
  <si>
    <t xml:space="preserve">"přivést-008"</t>
  </si>
  <si>
    <t xml:space="preserve">"přivézt-001"</t>
  </si>
  <si>
    <t xml:space="preserve">"přivézt-002"</t>
  </si>
  <si>
    <t xml:space="preserve">"přivítat-001"</t>
  </si>
  <si>
    <t xml:space="preserve">PAT: 4; ↓aby; ↓jestli; ↓že; ↓kdyby; ↓c</t>
  </si>
  <si>
    <t xml:space="preserve">"přivítat-002"</t>
  </si>
  <si>
    <t xml:space="preserve">Host(ARG0/19), Guest(ARG1/33)</t>
  </si>
  <si>
    <t xml:space="preserve">ACT-&gt;Host(ARG0/19)</t>
  </si>
  <si>
    <t xml:space="preserve">PAT-&gt;Guest(ARG1/33)</t>
  </si>
  <si>
    <t xml:space="preserve">"přivřít-001"</t>
  </si>
  <si>
    <t xml:space="preserve">"přivřít-002"</t>
  </si>
  <si>
    <t xml:space="preserve">"přizdobit-001"</t>
  </si>
  <si>
    <t xml:space="preserve">"přiznat-001"</t>
  </si>
  <si>
    <t xml:space="preserve">"přiznat-002"</t>
  </si>
  <si>
    <t xml:space="preserve">PAT: 4; ↓že; ↓jak-2; ↓jestli; .s; ↓c</t>
  </si>
  <si>
    <t xml:space="preserve">"přiznat-se-001"</t>
  </si>
  <si>
    <t xml:space="preserve">PAT: k+3; ↓že; ↓jak-2; ↓c; .s; ↓jestli</t>
  </si>
  <si>
    <t xml:space="preserve">"přiznávat-001"</t>
  </si>
  <si>
    <t xml:space="preserve">"přiznávat-002"</t>
  </si>
  <si>
    <t xml:space="preserve">"přiznávat-se-001"</t>
  </si>
  <si>
    <t xml:space="preserve">"přizpůsobit-001"</t>
  </si>
  <si>
    <t xml:space="preserve">Adjusting(ARG0/7,ARG1/2), Adjusted(ARG1/30), Norm(ARG2/1,ARG4/25)</t>
  </si>
  <si>
    <t xml:space="preserve">ACT-&gt;ARG0/7,ARG1/2</t>
  </si>
  <si>
    <t xml:space="preserve">ACT-&gt;Adjusting(ARG0/7,ARG1/2)</t>
  </si>
  <si>
    <t xml:space="preserve">PAT-&gt;Adjusted(ARG1/30)</t>
  </si>
  <si>
    <t xml:space="preserve">ADDR-&gt;ARG2/1,ARG4/25</t>
  </si>
  <si>
    <t xml:space="preserve">ADDR-&gt;Norm</t>
  </si>
  <si>
    <t xml:space="preserve">ADDR-&gt;Norm(ARG2/1,ARG4/25)</t>
  </si>
  <si>
    <t xml:space="preserve">"přizpůsobit-se-001"</t>
  </si>
  <si>
    <t xml:space="preserve">"přizpůsobovat-001"</t>
  </si>
  <si>
    <t xml:space="preserve">"přizpůsobovat-se-001"</t>
  </si>
  <si>
    <t xml:space="preserve">"přizvat-001"</t>
  </si>
  <si>
    <t xml:space="preserve">"přičichnout-001"</t>
  </si>
  <si>
    <t xml:space="preserve">"přičinit-se-001"</t>
  </si>
  <si>
    <t xml:space="preserve">PAT: o+4; ↓aby; .f</t>
  </si>
  <si>
    <t xml:space="preserve">"přičlenit-001"</t>
  </si>
  <si>
    <t xml:space="preserve">"přičíst-001"</t>
  </si>
  <si>
    <t xml:space="preserve">ADDR: 3; na-1[vrub.4[.2]]; na-1[vrub.4[.u#]]</t>
  </si>
  <si>
    <t xml:space="preserve">"přičíst-002"</t>
  </si>
  <si>
    <t xml:space="preserve">"přičítat-001"</t>
  </si>
  <si>
    <t xml:space="preserve">"přičítat-002"</t>
  </si>
  <si>
    <t xml:space="preserve">"přiřadit-001"</t>
  </si>
  <si>
    <t xml:space="preserve">"přiřadit-002"</t>
  </si>
  <si>
    <t xml:space="preserve">"přiřadit-003"</t>
  </si>
  <si>
    <t xml:space="preserve">"přiřadit-se-001"</t>
  </si>
  <si>
    <t xml:space="preserve">"přiřadit-se-002"</t>
  </si>
  <si>
    <t xml:space="preserve">"přiřazovat-001"</t>
  </si>
  <si>
    <t xml:space="preserve">"přiřazovat-002"</t>
  </si>
  <si>
    <t xml:space="preserve">"přiřazovat-se-001"</t>
  </si>
  <si>
    <t xml:space="preserve">"přiřazovat-se-002"</t>
  </si>
  <si>
    <t xml:space="preserve">"přiřknout-001"</t>
  </si>
  <si>
    <t xml:space="preserve">"přiřítit-se-001"</t>
  </si>
  <si>
    <t xml:space="preserve">"přišroubovat-001"</t>
  </si>
  <si>
    <t xml:space="preserve">Affector(ARG0/13), Manipulated(ARG1/20)</t>
  </si>
  <si>
    <t xml:space="preserve">ACT-&gt;Affector(ARG0/13)</t>
  </si>
  <si>
    <t xml:space="preserve">PAT-&gt;ARG1/33,ARG2/1</t>
  </si>
  <si>
    <t xml:space="preserve">PAT-&gt;Manipulated(ARG1/20)</t>
  </si>
  <si>
    <t xml:space="preserve">"přišít-001"</t>
  </si>
  <si>
    <t xml:space="preserve">"přišít-002"</t>
  </si>
  <si>
    <t xml:space="preserve">"přišívat-001"</t>
  </si>
  <si>
    <t xml:space="preserve">"přiťukat-001"</t>
  </si>
  <si>
    <t xml:space="preserve">"přiťuknout-001"</t>
  </si>
  <si>
    <t xml:space="preserve">"přiťuknout-002"</t>
  </si>
  <si>
    <t xml:space="preserve">"--přiťuknout-si-001"</t>
  </si>
  <si>
    <t xml:space="preserve">"přiženit-se-001"</t>
  </si>
  <si>
    <t xml:space="preserve">"přiživit-001"</t>
  </si>
  <si>
    <t xml:space="preserve">"přiživit-se-001"</t>
  </si>
  <si>
    <t xml:space="preserve">PAT: na+6; z+2</t>
  </si>
  <si>
    <t xml:space="preserve">"přiživovat-se-001"</t>
  </si>
  <si>
    <t xml:space="preserve">"přát-001"</t>
  </si>
  <si>
    <t xml:space="preserve">Agent(ARG0/4), Desirable(ARG1/4), Party_benefited(ARG1/1,ARG2/3)</t>
  </si>
  <si>
    <t xml:space="preserve">PAT: 2; 4; ↓aby; ↓ať; .s</t>
  </si>
  <si>
    <t xml:space="preserve">PAT-&gt;Desirable(ARG1/4)</t>
  </si>
  <si>
    <t xml:space="preserve">ADDR-&gt;ARG1/1,ARG2/3</t>
  </si>
  <si>
    <t xml:space="preserve">ADDR-&gt;Party_benefited(ARG1/1,ARG2/3)</t>
  </si>
  <si>
    <t xml:space="preserve">"přát-002"</t>
  </si>
  <si>
    <t xml:space="preserve">PAT: 2; 4; .f; ↓aby; ↓ať; .s</t>
  </si>
  <si>
    <t xml:space="preserve">"přát-003"</t>
  </si>
  <si>
    <t xml:space="preserve">"přát-si-001"</t>
  </si>
  <si>
    <t xml:space="preserve">PAT: 4; ↓aby; ↓ať</t>
  </si>
  <si>
    <t xml:space="preserve">ORIG-&gt;ARG1/8,ARG2/3</t>
  </si>
  <si>
    <t xml:space="preserve">"přát-si-002"</t>
  </si>
  <si>
    <t xml:space="preserve">ACT-&gt;ARG0/1458</t>
  </si>
  <si>
    <t xml:space="preserve">PAT: 4; ↓aby; ↓ať; .f; být[.a]; 2</t>
  </si>
  <si>
    <t xml:space="preserve">PAT-&gt;ARG1/1524,ARG2/3</t>
  </si>
  <si>
    <t xml:space="preserve">"přátelit-se-001"</t>
  </si>
  <si>
    <t xml:space="preserve">"přísahat-001"</t>
  </si>
  <si>
    <t xml:space="preserve">"příslušet-001"</t>
  </si>
  <si>
    <t xml:space="preserve">"příslušet-002"</t>
  </si>
  <si>
    <t xml:space="preserve">"příslušet-003"</t>
  </si>
  <si>
    <t xml:space="preserve">"příslušet-004"</t>
  </si>
  <si>
    <t xml:space="preserve">"příslušet-se-001"</t>
  </si>
  <si>
    <t xml:space="preserve">"příst-001"</t>
  </si>
  <si>
    <t xml:space="preserve">"příst-002"</t>
  </si>
  <si>
    <t xml:space="preserve">"přít-se-001"</t>
  </si>
  <si>
    <t xml:space="preserve">?PAT: o+4; o+6; ↓zda; ↓jestli; ↓c; .s; ↓že</t>
  </si>
  <si>
    <t xml:space="preserve">"příčit-se-001"</t>
  </si>
  <si>
    <t xml:space="preserve">"půjčit-001"</t>
  </si>
  <si>
    <t xml:space="preserve">ACT-&gt;ARG0/1214,ARG2/1</t>
  </si>
  <si>
    <t xml:space="preserve">PAT-&gt;ARG1/1739,ARG2/12</t>
  </si>
  <si>
    <t xml:space="preserve">ADDR-&gt;ARG1/63,ARG2/965</t>
  </si>
  <si>
    <t xml:space="preserve">"půjčit-si-001"</t>
  </si>
  <si>
    <t xml:space="preserve">Borrower(ARG0/30), Borrowed(ARG1/24), Lender(ARG2/12,ARG3/1)</t>
  </si>
  <si>
    <t xml:space="preserve">ACT-&gt;Borrower(ARG0/30)</t>
  </si>
  <si>
    <t xml:space="preserve">PAT-&gt;Borrowed(ARG1/24)</t>
  </si>
  <si>
    <t xml:space="preserve">ORIG-&gt;ARG2/12,ARG3/1</t>
  </si>
  <si>
    <t xml:space="preserve">ORIG-&gt;Lender</t>
  </si>
  <si>
    <t xml:space="preserve">ORIG-&gt;Lender(ARG2/12,ARG3/1)</t>
  </si>
  <si>
    <t xml:space="preserve">"půjčovat-001"</t>
  </si>
  <si>
    <t xml:space="preserve">"půjčovat-si-001"</t>
  </si>
  <si>
    <t xml:space="preserve">"působit-001"</t>
  </si>
  <si>
    <t xml:space="preserve">"působit-002"</t>
  </si>
  <si>
    <t xml:space="preserve">PAT: proti+3; pro+4; vůči+3</t>
  </si>
  <si>
    <t xml:space="preserve">"působit-003"</t>
  </si>
  <si>
    <t xml:space="preserve">"působit-004"</t>
  </si>
  <si>
    <t xml:space="preserve">ACT-&gt;ARG0/80,ARG1/64</t>
  </si>
  <si>
    <t xml:space="preserve">"působit-005"</t>
  </si>
  <si>
    <t xml:space="preserve">ACT: 1; ↓že; ↓když</t>
  </si>
  <si>
    <t xml:space="preserve">ALT-RESL: </t>
  </si>
  <si>
    <t xml:space="preserve">"působit-006"</t>
  </si>
  <si>
    <t xml:space="preserve">"působit-007"</t>
  </si>
  <si>
    <t xml:space="preserve">"--působit-008"</t>
  </si>
  <si>
    <t xml:space="preserve">"rabovat-001"</t>
  </si>
  <si>
    <t xml:space="preserve">"--rabovat-002"</t>
  </si>
  <si>
    <t xml:space="preserve">"--rabovat-003"</t>
  </si>
  <si>
    <t xml:space="preserve">"--rabovat-004"</t>
  </si>
  <si>
    <t xml:space="preserve">"rabovat-005"</t>
  </si>
  <si>
    <t xml:space="preserve">"rachotit-001"</t>
  </si>
  <si>
    <t xml:space="preserve">"rachtat-001"</t>
  </si>
  <si>
    <t xml:space="preserve">"racionalizovat-001"</t>
  </si>
  <si>
    <t xml:space="preserve">"radikalizovat-001"</t>
  </si>
  <si>
    <t xml:space="preserve">"radit-001"</t>
  </si>
  <si>
    <t xml:space="preserve">PAT: 4; k+3; s+7,.f; ↓že; ↓aby; ↓ať; .s; ↓c</t>
  </si>
  <si>
    <t xml:space="preserve">"radit-002"</t>
  </si>
  <si>
    <t xml:space="preserve">"radit-se-001"</t>
  </si>
  <si>
    <t xml:space="preserve">?PAT: o+6; ↓c</t>
  </si>
  <si>
    <t xml:space="preserve">"radovat-se-001"</t>
  </si>
  <si>
    <t xml:space="preserve">"ranit-001"</t>
  </si>
  <si>
    <t xml:space="preserve">"ranit-002"</t>
  </si>
  <si>
    <t xml:space="preserve">"ratifikovat-001"</t>
  </si>
  <si>
    <t xml:space="preserve">"razit-001"</t>
  </si>
  <si>
    <t xml:space="preserve">"razit-002"</t>
  </si>
  <si>
    <t xml:space="preserve">"razítkovat-001"</t>
  </si>
  <si>
    <t xml:space="preserve">"reagovat-001"</t>
  </si>
  <si>
    <t xml:space="preserve">"reagovat-002"</t>
  </si>
  <si>
    <t xml:space="preserve">EFF: .s; ↓c; ↓že</t>
  </si>
  <si>
    <t xml:space="preserve">"realizovat-001"</t>
  </si>
  <si>
    <t xml:space="preserve">ACT-&gt;ARG0/260,ARG1/1</t>
  </si>
  <si>
    <t xml:space="preserve">PAT-&gt;ARG1/400</t>
  </si>
  <si>
    <t xml:space="preserve">ORIG-&gt;ARG2/6</t>
  </si>
  <si>
    <t xml:space="preserve">"realizovat-002"</t>
  </si>
  <si>
    <t xml:space="preserve">PAT-&gt;ARG1/357</t>
  </si>
  <si>
    <t xml:space="preserve">"realizovat-se-001"</t>
  </si>
  <si>
    <t xml:space="preserve">"recenzovat-001"</t>
  </si>
  <si>
    <t xml:space="preserve">"recitovat-001"</t>
  </si>
  <si>
    <t xml:space="preserve">"recyklovat-001"</t>
  </si>
  <si>
    <t xml:space="preserve">Recycling(ARG0/1), Old(ARG1/11), New()</t>
  </si>
  <si>
    <t xml:space="preserve">ACT-&gt;Recycling</t>
  </si>
  <si>
    <t xml:space="preserve">ACT-&gt;Recycling(ARG0/1)</t>
  </si>
  <si>
    <t xml:space="preserve">PAT-&gt;Old(ARG1/11)</t>
  </si>
  <si>
    <t xml:space="preserve">EFF-&gt;New()</t>
  </si>
  <si>
    <t xml:space="preserve">"redefinovat-001"</t>
  </si>
  <si>
    <t xml:space="preserve">"redigovat-001"</t>
  </si>
  <si>
    <t xml:space="preserve">"redukovat-001"</t>
  </si>
  <si>
    <t xml:space="preserve">"referovat-001"</t>
  </si>
  <si>
    <t xml:space="preserve">"referovat-002"</t>
  </si>
  <si>
    <t xml:space="preserve">"refinancovat-001"</t>
  </si>
  <si>
    <t xml:space="preserve">"reflektovat-001"</t>
  </si>
  <si>
    <t xml:space="preserve">"reformovat-001"</t>
  </si>
  <si>
    <t xml:space="preserve">"regenerovat-001"</t>
  </si>
  <si>
    <t xml:space="preserve">"registrovat-001"</t>
  </si>
  <si>
    <t xml:space="preserve">PAT: 4; ↓zda; ↓že; ↓c</t>
  </si>
  <si>
    <t xml:space="preserve">"registrovat-002"</t>
  </si>
  <si>
    <t xml:space="preserve">Agent(ARG0/67), Phenomenon(ARG1/103,ARG2/1,ARG3/2), Place(ARG1/1,ARG2/27)</t>
  </si>
  <si>
    <t xml:space="preserve">ACT-&gt;Agent(ARG0/67)</t>
  </si>
  <si>
    <t xml:space="preserve">PAT-&gt;ARG1/103,ARG2/1,ARG3/2</t>
  </si>
  <si>
    <t xml:space="preserve">PAT-&gt;Phenomenon(ARG1/103,ARG2/1,ARG3/2)</t>
  </si>
  <si>
    <t xml:space="preserve">"regulovat-001"</t>
  </si>
  <si>
    <t xml:space="preserve">"rehabilitovat-001"</t>
  </si>
  <si>
    <t xml:space="preserve">"reinvestovat-001"</t>
  </si>
  <si>
    <t xml:space="preserve">"rekapitalizovat-001"</t>
  </si>
  <si>
    <t xml:space="preserve">"reklamovat-001"</t>
  </si>
  <si>
    <t xml:space="preserve">"rekonstruovat-001"</t>
  </si>
  <si>
    <t xml:space="preserve">ACT-&gt;ARG0/142,ARG1/5</t>
  </si>
  <si>
    <t xml:space="preserve">PAT-&gt;ARG1/323,ARG2/2,ARG3/2</t>
  </si>
  <si>
    <t xml:space="preserve">"rekonstruovat-002"</t>
  </si>
  <si>
    <t xml:space="preserve">Creator(ARG0/6), Created(ARG1/23), Source(ARG2/1)</t>
  </si>
  <si>
    <t xml:space="preserve">ACT-&gt;Creator(ARG0/6)</t>
  </si>
  <si>
    <t xml:space="preserve">PAT-&gt;Created(ARG1/23)</t>
  </si>
  <si>
    <t xml:space="preserve">ORIG-&gt;ARG2/1</t>
  </si>
  <si>
    <t xml:space="preserve">ORIG-&gt;Source(ARG2/1)</t>
  </si>
  <si>
    <t xml:space="preserve">"rekreovat-se-001"</t>
  </si>
  <si>
    <t xml:space="preserve">"rekrutovat-001"</t>
  </si>
  <si>
    <t xml:space="preserve">"rekrutovat-se-001"</t>
  </si>
  <si>
    <t xml:space="preserve">"rekvalifikovat-se-001"</t>
  </si>
  <si>
    <t xml:space="preserve">"relativizovat-001"</t>
  </si>
  <si>
    <t xml:space="preserve">"relaxovat-001"</t>
  </si>
  <si>
    <t xml:space="preserve">"relaxovat-se-001"</t>
  </si>
  <si>
    <t xml:space="preserve">"remizovat-001"</t>
  </si>
  <si>
    <t xml:space="preserve">"remízovat-001"</t>
  </si>
  <si>
    <t xml:space="preserve">"renovovat-001"</t>
  </si>
  <si>
    <t xml:space="preserve">"reorganizovat-001"</t>
  </si>
  <si>
    <t xml:space="preserve">"repatriovat-001"</t>
  </si>
  <si>
    <t xml:space="preserve">"reprezentovat-001"</t>
  </si>
  <si>
    <t xml:space="preserve">"reprodukovat-001"</t>
  </si>
  <si>
    <t xml:space="preserve">"reprodukovat-002"</t>
  </si>
  <si>
    <t xml:space="preserve">"reprodukovat-003"</t>
  </si>
  <si>
    <t xml:space="preserve">"reprodukovat-se-001"</t>
  </si>
  <si>
    <t xml:space="preserve">"reptat-001"</t>
  </si>
  <si>
    <t xml:space="preserve">"respektovat-001"</t>
  </si>
  <si>
    <t xml:space="preserve">"restaurovat-001"</t>
  </si>
  <si>
    <t xml:space="preserve">"restituovat-001"</t>
  </si>
  <si>
    <t xml:space="preserve">"restrukturalizovat-001"</t>
  </si>
  <si>
    <t xml:space="preserve">"restrukturalizovat-se-001"</t>
  </si>
  <si>
    <t xml:space="preserve">"restrukturovat-001"</t>
  </si>
  <si>
    <t xml:space="preserve">"retardovat-001"</t>
  </si>
  <si>
    <t xml:space="preserve">"revalvovat-001"</t>
  </si>
  <si>
    <t xml:space="preserve">"revalvovat-002"</t>
  </si>
  <si>
    <t xml:space="preserve">"revidovat-001"</t>
  </si>
  <si>
    <t xml:space="preserve">ACT-&gt;ARG0/226</t>
  </si>
  <si>
    <t xml:space="preserve">PAT-&gt;ARG1/428</t>
  </si>
  <si>
    <t xml:space="preserve">"revokovat-001"</t>
  </si>
  <si>
    <t xml:space="preserve">"rezavět-001"</t>
  </si>
  <si>
    <t xml:space="preserve">"rezervovat-001"</t>
  </si>
  <si>
    <t xml:space="preserve">ADDR-&gt;ARG2/28</t>
  </si>
  <si>
    <t xml:space="preserve">"rezignovat-001"</t>
  </si>
  <si>
    <t xml:space="preserve">PAT: na+4; z+2</t>
  </si>
  <si>
    <t xml:space="preserve">"rezivět-001"</t>
  </si>
  <si>
    <t xml:space="preserve">"rezonovat-001"</t>
  </si>
  <si>
    <t xml:space="preserve">Compared_1(ARG1/4), Compared_2(ARG2/2)</t>
  </si>
  <si>
    <t xml:space="preserve">ACT-&gt;Compared_1(ARG1/4)</t>
  </si>
  <si>
    <t xml:space="preserve">PAT-&gt;Compared_2(ARG2/2)</t>
  </si>
  <si>
    <t xml:space="preserve">"rezonovat-002"</t>
  </si>
  <si>
    <t xml:space="preserve">"rezultovat-001"</t>
  </si>
  <si>
    <t xml:space="preserve">"režírovat-001"</t>
  </si>
  <si>
    <t xml:space="preserve">"riffovat-001"</t>
  </si>
  <si>
    <t xml:space="preserve">"risknout-001"</t>
  </si>
  <si>
    <t xml:space="preserve">"riskovat-001"</t>
  </si>
  <si>
    <t xml:space="preserve">?PAT: 4; ↓že</t>
  </si>
  <si>
    <t xml:space="preserve">PAT-&gt;Asset(ARG1/25)</t>
  </si>
  <si>
    <t xml:space="preserve">"rmoutit-001"</t>
  </si>
  <si>
    <t xml:space="preserve">"rodit-001"</t>
  </si>
  <si>
    <t xml:space="preserve">"rodit-002"</t>
  </si>
  <si>
    <t xml:space="preserve">"rodit-se-001"</t>
  </si>
  <si>
    <t xml:space="preserve">Entity(ARG1/2), Source(ARG0/2)</t>
  </si>
  <si>
    <t xml:space="preserve">PAT-&gt;ARG0/2</t>
  </si>
  <si>
    <t xml:space="preserve">PAT[poss]-&gt;Source</t>
  </si>
  <si>
    <t xml:space="preserve">PAT[poss]-&gt;Source(ARG0/2)</t>
  </si>
  <si>
    <t xml:space="preserve">"rodit-se-002"</t>
  </si>
  <si>
    <t xml:space="preserve">"rodit-se-003"</t>
  </si>
  <si>
    <t xml:space="preserve">"rojit-se-001"</t>
  </si>
  <si>
    <t xml:space="preserve">"rojit-se-002"</t>
  </si>
  <si>
    <t xml:space="preserve">MEANS: 7</t>
  </si>
  <si>
    <t xml:space="preserve">"rokovat-001"</t>
  </si>
  <si>
    <t xml:space="preserve">"rotovat-001"</t>
  </si>
  <si>
    <t xml:space="preserve">"rovnat-001"</t>
  </si>
  <si>
    <t xml:space="preserve">"rovnat-se-001"</t>
  </si>
  <si>
    <t xml:space="preserve">"rovnat-se-002"</t>
  </si>
  <si>
    <t xml:space="preserve">"rovnat-se-003"</t>
  </si>
  <si>
    <t xml:space="preserve">"rozbalit-001"</t>
  </si>
  <si>
    <t xml:space="preserve">"rozbalovat-001"</t>
  </si>
  <si>
    <t xml:space="preserve">"rozbalovat-se-001"</t>
  </si>
  <si>
    <t xml:space="preserve">"rozbourat-001"</t>
  </si>
  <si>
    <t xml:space="preserve">"rozbouřit-001"</t>
  </si>
  <si>
    <t xml:space="preserve">Cause(ARG0/4), Affected(ARG1/9)</t>
  </si>
  <si>
    <t xml:space="preserve">ACT-&gt;Cause(ARG0/4)</t>
  </si>
  <si>
    <t xml:space="preserve">"rozbouřit-se-001"</t>
  </si>
  <si>
    <t xml:space="preserve">"rozbořit-001"</t>
  </si>
  <si>
    <t xml:space="preserve">"rozbrečet-se-001"</t>
  </si>
  <si>
    <t xml:space="preserve">"rozbušit-se-001"</t>
  </si>
  <si>
    <t xml:space="preserve">"rozbíhat-001"</t>
  </si>
  <si>
    <t xml:space="preserve">"rozbíhat-se-001"</t>
  </si>
  <si>
    <t xml:space="preserve">"rozbíjet-001"</t>
  </si>
  <si>
    <t xml:space="preserve">ACT-&gt;ARG0/123,ARG2/6</t>
  </si>
  <si>
    <t xml:space="preserve">PAT-&gt;ARG1/258</t>
  </si>
  <si>
    <t xml:space="preserve">EFF-&gt;ARG1/179,ARG2/2,ARG3/1</t>
  </si>
  <si>
    <t xml:space="preserve">EFF-&gt;Destroyed</t>
  </si>
  <si>
    <t xml:space="preserve">EFF-&gt;Destroyed(ARG1/179)</t>
  </si>
  <si>
    <t xml:space="preserve">"rozbít-001"</t>
  </si>
  <si>
    <t xml:space="preserve">"rozbít-002"</t>
  </si>
  <si>
    <t xml:space="preserve">"rozbít-se-001"</t>
  </si>
  <si>
    <t xml:space="preserve">"rozběhnout-001"</t>
  </si>
  <si>
    <t xml:space="preserve">"rozběhnout-se-001"</t>
  </si>
  <si>
    <t xml:space="preserve">ACT-&gt;ARG0/3,ARG1/280</t>
  </si>
  <si>
    <t xml:space="preserve">"rozběhnout-se-002"</t>
  </si>
  <si>
    <t xml:space="preserve">"rozchodit-001"</t>
  </si>
  <si>
    <t xml:space="preserve">Protagonist(ARG0/1), Situation_undesirable(ARG1/1)</t>
  </si>
  <si>
    <t xml:space="preserve">PAT-&gt;Situation_undesirable(ARG1/1)</t>
  </si>
  <si>
    <t xml:space="preserve">"rozchvátit-001"</t>
  </si>
  <si>
    <t xml:space="preserve">"rozcházet-se-001"</t>
  </si>
  <si>
    <t xml:space="preserve">Arguer_1(ARG0/127), Arguer_2(ARG1/23,ARG2/8), Issue(ARG1/66,ARG2/7)</t>
  </si>
  <si>
    <t xml:space="preserve">ACT-&gt;ARG0/329,ARG1/18</t>
  </si>
  <si>
    <t xml:space="preserve">ACT-&gt;Arguer_1(ARG0/127)</t>
  </si>
  <si>
    <t xml:space="preserve">PAT-&gt;ARG0/1,ARG1/232,ARG2/14</t>
  </si>
  <si>
    <t xml:space="preserve">PAT-&gt;Issue(ARG1/66,ARG2/7)</t>
  </si>
  <si>
    <t xml:space="preserve">ADDR-&gt;ARG1/50,ARG2/58</t>
  </si>
  <si>
    <t xml:space="preserve">ADDR-&gt;Arguer_2(ARG1/23,ARG2/8)</t>
  </si>
  <si>
    <t xml:space="preserve">"rozcházet-se-002"</t>
  </si>
  <si>
    <t xml:space="preserve">ACT-&gt;ARG0/16,ARG1/55</t>
  </si>
  <si>
    <t xml:space="preserve">PAT-&gt;ARG1/15,ARG2/13,ARG3/1</t>
  </si>
  <si>
    <t xml:space="preserve">"rozcházet-se-003"</t>
  </si>
  <si>
    <t xml:space="preserve">"rozcházet-se-004"</t>
  </si>
  <si>
    <t xml:space="preserve">"rozcupovat-001"</t>
  </si>
  <si>
    <t xml:space="preserve">"rozcvičovat-001"</t>
  </si>
  <si>
    <t xml:space="preserve">"rozcvičovat-se-001"</t>
  </si>
  <si>
    <t xml:space="preserve">"rozdat-001"</t>
  </si>
  <si>
    <t xml:space="preserve">ADDR: 3; mezi+4</t>
  </si>
  <si>
    <t xml:space="preserve">"rozdat-002"</t>
  </si>
  <si>
    <t xml:space="preserve">ACT-&gt;ARG0/475,ARG1/1</t>
  </si>
  <si>
    <t xml:space="preserve">PAT-&gt;ARG1/781,ARG2/2</t>
  </si>
  <si>
    <t xml:space="preserve">ADDR-&gt;ARG1/7,ARG2/465,ARG4/2</t>
  </si>
  <si>
    <t xml:space="preserve">"rozdat-si-001"</t>
  </si>
  <si>
    <t xml:space="preserve">"rozdmýchat-001"</t>
  </si>
  <si>
    <t xml:space="preserve">"rozdrobit-001"</t>
  </si>
  <si>
    <t xml:space="preserve">"rozdrobit-002"</t>
  </si>
  <si>
    <t xml:space="preserve">"rozdrolit-se-001"</t>
  </si>
  <si>
    <t xml:space="preserve">"rozdrtit-001"</t>
  </si>
  <si>
    <t xml:space="preserve">"rozdrtit-002"</t>
  </si>
  <si>
    <t xml:space="preserve">"rozdvojit-001"</t>
  </si>
  <si>
    <t xml:space="preserve">"rozdávat-001"</t>
  </si>
  <si>
    <t xml:space="preserve">"rozdýchat-001"</t>
  </si>
  <si>
    <t xml:space="preserve">"rozdýchat-002"</t>
  </si>
  <si>
    <t xml:space="preserve">"rozdýchávat-001"</t>
  </si>
  <si>
    <t xml:space="preserve">"rozdělat-001"</t>
  </si>
  <si>
    <t xml:space="preserve">"rozdělit-001"</t>
  </si>
  <si>
    <t xml:space="preserve">?ADDR: mezi+4</t>
  </si>
  <si>
    <t xml:space="preserve">"rozdělit-002"</t>
  </si>
  <si>
    <t xml:space="preserve">?ADDR: 3; mezi+4; mezi+7,na+4; do+2</t>
  </si>
  <si>
    <t xml:space="preserve">"rozdělit-003"</t>
  </si>
  <si>
    <t xml:space="preserve">ACT-&gt;ARG0/39,ARG1/6</t>
  </si>
  <si>
    <t xml:space="preserve">PAT-&gt;ARG1/87,ARG2/2</t>
  </si>
  <si>
    <t xml:space="preserve">EFF-&gt;ARG1/4,ARG2/33</t>
  </si>
  <si>
    <t xml:space="preserve">"rozdělit-se-001"</t>
  </si>
  <si>
    <t xml:space="preserve">"rozdělit-se-002"</t>
  </si>
  <si>
    <t xml:space="preserve">PAT: na+4; do+2; v+4</t>
  </si>
  <si>
    <t xml:space="preserve">"rozdělit-se-003"</t>
  </si>
  <si>
    <t xml:space="preserve">"rozdělovat-001"</t>
  </si>
  <si>
    <t xml:space="preserve">"rozdělovat-002"</t>
  </si>
  <si>
    <t xml:space="preserve">"--rozdělovat-se-001"</t>
  </si>
  <si>
    <t xml:space="preserve">"rozdělávat-001"</t>
  </si>
  <si>
    <t xml:space="preserve">"rozdělávat-002"</t>
  </si>
  <si>
    <t xml:space="preserve">"rozebrat-001"</t>
  </si>
  <si>
    <t xml:space="preserve">"rozebrat-002"</t>
  </si>
  <si>
    <t xml:space="preserve">"rozebrat-003"</t>
  </si>
  <si>
    <t xml:space="preserve">"rozebírat-001"</t>
  </si>
  <si>
    <t xml:space="preserve">"rozebírat-002"</t>
  </si>
  <si>
    <t xml:space="preserve">ACT-&gt;ARG0/60</t>
  </si>
  <si>
    <t xml:space="preserve">PAT-&gt;ARG1/129</t>
  </si>
  <si>
    <t xml:space="preserve">EFF-&gt;ARG1/2,ARG2/20,ARG3/1</t>
  </si>
  <si>
    <t xml:space="preserve">"rozeběhnout-se-001"</t>
  </si>
  <si>
    <t xml:space="preserve">"rozechvívat-001"</t>
  </si>
  <si>
    <t xml:space="preserve">"rozechvět-001"</t>
  </si>
  <si>
    <t xml:space="preserve">"rozechvět-002"</t>
  </si>
  <si>
    <t xml:space="preserve">"rozednít-se-001"</t>
  </si>
  <si>
    <t xml:space="preserve">"rozednívat-se-001"</t>
  </si>
  <si>
    <t xml:space="preserve">"rozednívat-se-002"</t>
  </si>
  <si>
    <t xml:space="preserve">"rozehnat-001"</t>
  </si>
  <si>
    <t xml:space="preserve">Stimulus(ARG0/3), Undesirable(ARG1/10)</t>
  </si>
  <si>
    <t xml:space="preserve">ACT-&gt;Stimulus(ARG0/3)</t>
  </si>
  <si>
    <t xml:space="preserve">PAT-&gt;Undesirable(ARG1/10)</t>
  </si>
  <si>
    <t xml:space="preserve">"rozehrát-001"</t>
  </si>
  <si>
    <t xml:space="preserve">"rozehrát-002"</t>
  </si>
  <si>
    <t xml:space="preserve">"rozehrát-se-001"</t>
  </si>
  <si>
    <t xml:space="preserve">"rozehrávat-001"</t>
  </si>
  <si>
    <t xml:space="preserve">"rozehřát-001"</t>
  </si>
  <si>
    <t xml:space="preserve">"rozehřát-002"</t>
  </si>
  <si>
    <t xml:space="preserve">"rozejít-se-001"</t>
  </si>
  <si>
    <t xml:space="preserve">"rozejít-se-002"</t>
  </si>
  <si>
    <t xml:space="preserve">"rozemlít-001"</t>
  </si>
  <si>
    <t xml:space="preserve">"rozepisovat-001"</t>
  </si>
  <si>
    <t xml:space="preserve">"rozervat-001"</t>
  </si>
  <si>
    <t xml:space="preserve">"rozesadit-001"</t>
  </si>
  <si>
    <t xml:space="preserve">"rozesadit-002"</t>
  </si>
  <si>
    <t xml:space="preserve">"rozeslat-001"</t>
  </si>
  <si>
    <t xml:space="preserve">"rozeslat-002"</t>
  </si>
  <si>
    <t xml:space="preserve">"rozesmutnit-001"</t>
  </si>
  <si>
    <t xml:space="preserve">"rozesmát-001"</t>
  </si>
  <si>
    <t xml:space="preserve">"rozesmávat-001"</t>
  </si>
  <si>
    <t xml:space="preserve">"rozesmívat-001"</t>
  </si>
  <si>
    <t xml:space="preserve">"rozestavit-001"</t>
  </si>
  <si>
    <t xml:space="preserve">"rozestavit-002"</t>
  </si>
  <si>
    <t xml:space="preserve">"rozestavět-001"</t>
  </si>
  <si>
    <t xml:space="preserve">"rozestavět-002"</t>
  </si>
  <si>
    <t xml:space="preserve">"rozestavět-003"</t>
  </si>
  <si>
    <t xml:space="preserve">"rozestoupit-se-001"</t>
  </si>
  <si>
    <t xml:space="preserve">"rozesílat-001"</t>
  </si>
  <si>
    <t xml:space="preserve">"rozesílat-002"</t>
  </si>
  <si>
    <t xml:space="preserve">"rozetnout-001"</t>
  </si>
  <si>
    <t xml:space="preserve">"rozetnout-002"</t>
  </si>
  <si>
    <t xml:space="preserve">"rozevírat-001"</t>
  </si>
  <si>
    <t xml:space="preserve">"rozevřít-001"</t>
  </si>
  <si>
    <t xml:space="preserve">"rozevřít-se-001"</t>
  </si>
  <si>
    <t xml:space="preserve">"rozeznat-001"</t>
  </si>
  <si>
    <t xml:space="preserve">"rozeznat-002"</t>
  </si>
  <si>
    <t xml:space="preserve">"rozeznávat-001"</t>
  </si>
  <si>
    <t xml:space="preserve">"rozeznávat-002"</t>
  </si>
  <si>
    <t xml:space="preserve">"rozeznít-001"</t>
  </si>
  <si>
    <t xml:space="preserve">"rozeznít-se-001"</t>
  </si>
  <si>
    <t xml:space="preserve">"rozeznívat-001"</t>
  </si>
  <si>
    <t xml:space="preserve">"rozeznívat-se-001"</t>
  </si>
  <si>
    <t xml:space="preserve">"rozezvučet-001"</t>
  </si>
  <si>
    <t xml:space="preserve">"rozežrat-001"</t>
  </si>
  <si>
    <t xml:space="preserve">"rozfázovat-001"</t>
  </si>
  <si>
    <t xml:space="preserve">TFHL: *</t>
  </si>
  <si>
    <t xml:space="preserve">"rozhazovat-001"</t>
  </si>
  <si>
    <t xml:space="preserve">"rozhazovat-002"</t>
  </si>
  <si>
    <t xml:space="preserve">"rozhazovat-003"</t>
  </si>
  <si>
    <t xml:space="preserve">"rozhlašovat-001"</t>
  </si>
  <si>
    <t xml:space="preserve">"rozhlédnout-se-001"</t>
  </si>
  <si>
    <t xml:space="preserve">"rozhlédnout-se-002"</t>
  </si>
  <si>
    <t xml:space="preserve">"rozhlížet-se-001"</t>
  </si>
  <si>
    <t xml:space="preserve">"rozhlížet-se-002"</t>
  </si>
  <si>
    <t xml:space="preserve">"rozhněvat-001"</t>
  </si>
  <si>
    <t xml:space="preserve">"rozhněvat-se-001"</t>
  </si>
  <si>
    <t xml:space="preserve">"rozhodit-001"</t>
  </si>
  <si>
    <t xml:space="preserve">Stimulus(ARG0/40,ARG1/1), Affected(ARG0/6,ARG1/58)</t>
  </si>
  <si>
    <t xml:space="preserve">ACT-&gt;ARG0/40,ARG1/1</t>
  </si>
  <si>
    <t xml:space="preserve">ACT-&gt;Stimulus(ARG0/40,ARG1/1)</t>
  </si>
  <si>
    <t xml:space="preserve">PAT-&gt;ARG0/6,ARG1/58</t>
  </si>
  <si>
    <t xml:space="preserve">PAT-&gt;Affected(ARG0/6,ARG1/58)</t>
  </si>
  <si>
    <t xml:space="preserve">"rozhodit-002"</t>
  </si>
  <si>
    <t xml:space="preserve">"rozhodit-003"</t>
  </si>
  <si>
    <t xml:space="preserve">"rozhodnout-001"</t>
  </si>
  <si>
    <t xml:space="preserve">?ORIG: mezi+7</t>
  </si>
  <si>
    <t xml:space="preserve">"rozhodnout-002"</t>
  </si>
  <si>
    <t xml:space="preserve">ACT: 1; ↓že; ↓jak-2; ↓zda; ↓c</t>
  </si>
  <si>
    <t xml:space="preserve">PAT: 4; o+6; ↓že; ↓zda; ↓ať; ↓aby; ↓jestli; .s; .f; ↓c; tak-3</t>
  </si>
  <si>
    <t xml:space="preserve">"rozhodnout-003"</t>
  </si>
  <si>
    <t xml:space="preserve">Authority(ARG0/196,ARG2/1), Issue(ARG1/220), Outcome(ARG1/1,ARG3/2)</t>
  </si>
  <si>
    <t xml:space="preserve">ACT-&gt;ARG0/196,ARG2/1</t>
  </si>
  <si>
    <t xml:space="preserve">ACT-&gt;Authority(ARG0/196,ARG2/1)</t>
  </si>
  <si>
    <t xml:space="preserve">PAT-&gt;Issue(ARG1/220)</t>
  </si>
  <si>
    <t xml:space="preserve">"rozhodnout-004"</t>
  </si>
  <si>
    <t xml:space="preserve">EFF-&gt;ARG1/1,ARG3/2</t>
  </si>
  <si>
    <t xml:space="preserve">EFF-&gt;Outcome</t>
  </si>
  <si>
    <t xml:space="preserve">EFF-&gt;Outcome(ARG1/1,ARG3/2)</t>
  </si>
  <si>
    <t xml:space="preserve">"rozhodnout-se-001"</t>
  </si>
  <si>
    <t xml:space="preserve">Cognizer(ARG0/108), Chosen(ARG1/133,ARG3/2), Possibilities(ARG1/1,ARG2/3)</t>
  </si>
  <si>
    <t xml:space="preserve">ACT-&gt;ARG0/108</t>
  </si>
  <si>
    <t xml:space="preserve">ACT-&gt;Cognizer(ARG0/108)</t>
  </si>
  <si>
    <t xml:space="preserve">PAT-&gt;ARG1/133,ARG3/2</t>
  </si>
  <si>
    <t xml:space="preserve">PAT-&gt;Chosen(ARG1/133,ARG3/2)</t>
  </si>
  <si>
    <t xml:space="preserve">?ORIG: z+2; mezi+7</t>
  </si>
  <si>
    <t xml:space="preserve">ORIG-&gt;ARG1/1,ARG2/3</t>
  </si>
  <si>
    <t xml:space="preserve">ORIG-&gt;Possibilities</t>
  </si>
  <si>
    <t xml:space="preserve">ORIG-&gt;Possibilities(ARG1/1,ARG2/3)</t>
  </si>
  <si>
    <t xml:space="preserve">"rozhodnout-se-002"</t>
  </si>
  <si>
    <t xml:space="preserve">Cognizer(ARG0/269), Decision(ARG1/361)</t>
  </si>
  <si>
    <t xml:space="preserve">ACT-&gt;ARG0/269</t>
  </si>
  <si>
    <t xml:space="preserve">ACT-&gt;Cognizer(ARG0/269)</t>
  </si>
  <si>
    <t xml:space="preserve">PAT: k+3; o+6; .f; ↓že; ↓zda; ↓c; ↓jestli; .s</t>
  </si>
  <si>
    <t xml:space="preserve">PAT-&gt;ARG1/361</t>
  </si>
  <si>
    <t xml:space="preserve">PAT-&gt;Decision(ARG1/361)</t>
  </si>
  <si>
    <t xml:space="preserve">"rozhodnout-se-003"</t>
  </si>
  <si>
    <t xml:space="preserve">"rozhodovat-001"</t>
  </si>
  <si>
    <t xml:space="preserve">"rozhodovat-002"</t>
  </si>
  <si>
    <t xml:space="preserve">ACT: 1; ↓že; ↓jak-2; ↓zda; ↓jestli; ↓c</t>
  </si>
  <si>
    <t xml:space="preserve">PAT: 4; o+6; ↓že; ↓zda; ↓ať; ↓aby; ↓jak-2; .f; ↓c; ↓jestli</t>
  </si>
  <si>
    <t xml:space="preserve">"rozhodovat-003"</t>
  </si>
  <si>
    <t xml:space="preserve">"rozhodovat-004"</t>
  </si>
  <si>
    <t xml:space="preserve">"rozhodovat-se-001"</t>
  </si>
  <si>
    <t xml:space="preserve">"rozhodovat-se-002"</t>
  </si>
  <si>
    <t xml:space="preserve">"rozhorlit-se-001"</t>
  </si>
  <si>
    <t xml:space="preserve">"rozhostit-se-001"</t>
  </si>
  <si>
    <t xml:space="preserve">ACT-&gt;ARG0/39,ARG1/403</t>
  </si>
  <si>
    <t xml:space="preserve">"rozhoupat-001"</t>
  </si>
  <si>
    <t xml:space="preserve">"rozhoupat-se-001"</t>
  </si>
  <si>
    <t xml:space="preserve">"rozhoupat-se-002"</t>
  </si>
  <si>
    <t xml:space="preserve">"rozhoupat-se-003"</t>
  </si>
  <si>
    <t xml:space="preserve">"rozhoupat-se-004"</t>
  </si>
  <si>
    <t xml:space="preserve">"rozhovořit-se-001"</t>
  </si>
  <si>
    <t xml:space="preserve">"rozhořet-se-001"</t>
  </si>
  <si>
    <t xml:space="preserve">"rozhořčit-001"</t>
  </si>
  <si>
    <t xml:space="preserve">"rozhořčovat-se-001"</t>
  </si>
  <si>
    <t xml:space="preserve">"rozhádat-se-001"</t>
  </si>
  <si>
    <t xml:space="preserve">"rozházet-001"</t>
  </si>
  <si>
    <t xml:space="preserve">"rozházet-002"</t>
  </si>
  <si>
    <t xml:space="preserve">Force(ARG0/3), Entity(ARG1/5)</t>
  </si>
  <si>
    <t xml:space="preserve">ACT-&gt;Force(ARG0/3)</t>
  </si>
  <si>
    <t xml:space="preserve">PAT-&gt;Entity(ARG1/5)</t>
  </si>
  <si>
    <t xml:space="preserve">"rozházet-003"</t>
  </si>
  <si>
    <t xml:space="preserve">"rozházet-si-001"</t>
  </si>
  <si>
    <t xml:space="preserve">"rozhýbat-001"</t>
  </si>
  <si>
    <t xml:space="preserve">"rozhýbat-se-001"</t>
  </si>
  <si>
    <t xml:space="preserve">Changing(ARG1/2)</t>
  </si>
  <si>
    <t xml:space="preserve">ACT-&gt;Changing(ARG1/2)</t>
  </si>
  <si>
    <t xml:space="preserve">"rozjet-001"</t>
  </si>
  <si>
    <t xml:space="preserve">"rozjet-002"</t>
  </si>
  <si>
    <t xml:space="preserve">"rozjet-se-001"</t>
  </si>
  <si>
    <t xml:space="preserve">"rozjet-se-002"</t>
  </si>
  <si>
    <t xml:space="preserve">"rozjet-se-003"</t>
  </si>
  <si>
    <t xml:space="preserve">"rozjásat-001"</t>
  </si>
  <si>
    <t xml:space="preserve">"rozjásávat-001"</t>
  </si>
  <si>
    <t xml:space="preserve">"rozjíždět-001"</t>
  </si>
  <si>
    <t xml:space="preserve">"rozjíždět-se-001"</t>
  </si>
  <si>
    <t xml:space="preserve">"rozjíždět-se-002"</t>
  </si>
  <si>
    <t xml:space="preserve">"rozkazovat-001"</t>
  </si>
  <si>
    <t xml:space="preserve">PAT: 4; .f,.c</t>
  </si>
  <si>
    <t xml:space="preserve">"rozklepat-se-001"</t>
  </si>
  <si>
    <t xml:space="preserve">"rozkládat-001"</t>
  </si>
  <si>
    <t xml:space="preserve">PAT: o+6; ↓že; ↓zda</t>
  </si>
  <si>
    <t xml:space="preserve">"rozkládat-002"</t>
  </si>
  <si>
    <t xml:space="preserve">"rozkládat-se-001"</t>
  </si>
  <si>
    <t xml:space="preserve">"rozkládat-se-002"</t>
  </si>
  <si>
    <t xml:space="preserve">"rozkládat-se-003"</t>
  </si>
  <si>
    <t xml:space="preserve">Disappeared(ARG1/3)</t>
  </si>
  <si>
    <t xml:space="preserve">ACT-&gt;Disappeared(ARG1/3)</t>
  </si>
  <si>
    <t xml:space="preserve">"rozkládat-se-004"</t>
  </si>
  <si>
    <t xml:space="preserve">"rozkmitat-001"</t>
  </si>
  <si>
    <t xml:space="preserve">"rozkmotřit-se-001"</t>
  </si>
  <si>
    <t xml:space="preserve">"rozkrajovat-001"</t>
  </si>
  <si>
    <t xml:space="preserve">"rozkramařit-001"</t>
  </si>
  <si>
    <t xml:space="preserve">"rozkrojovat-001"</t>
  </si>
  <si>
    <t xml:space="preserve">"rozkročit-se-001"</t>
  </si>
  <si>
    <t xml:space="preserve">"rozkrájet-001"</t>
  </si>
  <si>
    <t xml:space="preserve">"rozkrást-001"</t>
  </si>
  <si>
    <t xml:space="preserve">"rozkvést-001"</t>
  </si>
  <si>
    <t xml:space="preserve">"rozkvést-002"</t>
  </si>
  <si>
    <t xml:space="preserve">"rozkvétat-001"</t>
  </si>
  <si>
    <t xml:space="preserve">"rozkázat-001"</t>
  </si>
  <si>
    <t xml:space="preserve">"rozkřiknout-001"</t>
  </si>
  <si>
    <t xml:space="preserve">"rozkřiknout-se-001"</t>
  </si>
  <si>
    <t xml:space="preserve">"rozkřičet-001"</t>
  </si>
  <si>
    <t xml:space="preserve">"rozladit-001"</t>
  </si>
  <si>
    <t xml:space="preserve">"rozlehnout-se-001"</t>
  </si>
  <si>
    <t xml:space="preserve">"rozlepit-001"</t>
  </si>
  <si>
    <t xml:space="preserve">"rozležet-se-001"</t>
  </si>
  <si>
    <t xml:space="preserve">"rozlišit-001"</t>
  </si>
  <si>
    <t xml:space="preserve">"rozlišit-002"</t>
  </si>
  <si>
    <t xml:space="preserve">"rozlišovat-001"</t>
  </si>
  <si>
    <t xml:space="preserve">"rozlišovat-002"</t>
  </si>
  <si>
    <t xml:space="preserve">"rozloučit-001"</t>
  </si>
  <si>
    <t xml:space="preserve">"rozloučit-se-001"</t>
  </si>
  <si>
    <t xml:space="preserve">"rozložit-001"</t>
  </si>
  <si>
    <t xml:space="preserve">"rozložit-002"</t>
  </si>
  <si>
    <t xml:space="preserve">"rozložit-003"</t>
  </si>
  <si>
    <t xml:space="preserve">"rozložit-004"</t>
  </si>
  <si>
    <t xml:space="preserve">"rozložit-005"</t>
  </si>
  <si>
    <t xml:space="preserve">"rozložit-se-001"</t>
  </si>
  <si>
    <t xml:space="preserve">"rozložit-se-002"</t>
  </si>
  <si>
    <t xml:space="preserve">Distributed(ARG1/1)</t>
  </si>
  <si>
    <t xml:space="preserve">ACT-&gt;Distributed</t>
  </si>
  <si>
    <t xml:space="preserve">ACT-&gt;Distributed(ARG1/1)</t>
  </si>
  <si>
    <t xml:space="preserve">"rozlučovat-001"</t>
  </si>
  <si>
    <t xml:space="preserve">"rozluštit-001"</t>
  </si>
  <si>
    <t xml:space="preserve">"rozlámat-001"</t>
  </si>
  <si>
    <t xml:space="preserve">"rozléhat-se-001"</t>
  </si>
  <si>
    <t xml:space="preserve">"rozlít-si-001"</t>
  </si>
  <si>
    <t xml:space="preserve">PAT: s+7; u+2</t>
  </si>
  <si>
    <t xml:space="preserve">"rozlítit-001"</t>
  </si>
  <si>
    <t xml:space="preserve">"rozmachovat-se-001"</t>
  </si>
  <si>
    <t xml:space="preserve">"rozmazlovat-001"</t>
  </si>
  <si>
    <t xml:space="preserve">"rozmazávat-001"</t>
  </si>
  <si>
    <t xml:space="preserve">"rozmačkat-001"</t>
  </si>
  <si>
    <t xml:space="preserve">"rozmetat-001"</t>
  </si>
  <si>
    <t xml:space="preserve">"rozmlouvat-001"</t>
  </si>
  <si>
    <t xml:space="preserve">"rozmlouvat-002"</t>
  </si>
  <si>
    <t xml:space="preserve">"rozmluvit-001"</t>
  </si>
  <si>
    <t xml:space="preserve">Speaker(ARG0/1), Influenced(ARG1/5), Planned(ARG2/4)</t>
  </si>
  <si>
    <t xml:space="preserve">PAT-&gt;Planned(ARG2/4)</t>
  </si>
  <si>
    <t xml:space="preserve">ADDR-&gt;Influenced(ARG1/5)</t>
  </si>
  <si>
    <t xml:space="preserve">"rozmluvit-se-001"</t>
  </si>
  <si>
    <t xml:space="preserve">"rozmlátit-001"</t>
  </si>
  <si>
    <t xml:space="preserve">"rozmnožit-001"</t>
  </si>
  <si>
    <t xml:space="preserve">"rozmnožit-002"</t>
  </si>
  <si>
    <t xml:space="preserve">"rozmnožit-se-001"</t>
  </si>
  <si>
    <t xml:space="preserve">"rozmnožovat-001"</t>
  </si>
  <si>
    <t xml:space="preserve">"rozmoci-se-001"</t>
  </si>
  <si>
    <t xml:space="preserve">"rozmotat-001"</t>
  </si>
  <si>
    <t xml:space="preserve">"rozmrazovat-001"</t>
  </si>
  <si>
    <t xml:space="preserve">"rozmrznout-001"</t>
  </si>
  <si>
    <t xml:space="preserve">"rozmyslet-se-001"</t>
  </si>
  <si>
    <t xml:space="preserve">"rozmyslet-si-001"</t>
  </si>
  <si>
    <t xml:space="preserve">PAT: 4; ↓jestli; ↓zda; ↓c; ↓že; .f</t>
  </si>
  <si>
    <t xml:space="preserve">"rozmyslit-si-001"</t>
  </si>
  <si>
    <t xml:space="preserve">"rozmáchnout-se-001"</t>
  </si>
  <si>
    <t xml:space="preserve">"rozmáhat-se-001"</t>
  </si>
  <si>
    <t xml:space="preserve">"rozmíchat-001"</t>
  </si>
  <si>
    <t xml:space="preserve">"rozmístit-001"</t>
  </si>
  <si>
    <t xml:space="preserve">"rozmístit-002"</t>
  </si>
  <si>
    <t xml:space="preserve">"rozmístit-se-001"</t>
  </si>
  <si>
    <t xml:space="preserve">"rozmísťovat-001"</t>
  </si>
  <si>
    <t xml:space="preserve">"rozmísťovat-002"</t>
  </si>
  <si>
    <t xml:space="preserve">"rozmýšlet-001"</t>
  </si>
  <si>
    <t xml:space="preserve">"rozmýšlet-se-001"</t>
  </si>
  <si>
    <t xml:space="preserve">PAT: ↓že; ↓zda; ↓c; ↓jestli; .s</t>
  </si>
  <si>
    <t xml:space="preserve">"rozmýšlet-si-001"</t>
  </si>
  <si>
    <t xml:space="preserve">"rozmělňovat-001"</t>
  </si>
  <si>
    <t xml:space="preserve">"rozměnit-001"</t>
  </si>
  <si>
    <t xml:space="preserve">EFF: na+4; za+4</t>
  </si>
  <si>
    <t xml:space="preserve">"roznásobovat-001"</t>
  </si>
  <si>
    <t xml:space="preserve">"roznášet-001"</t>
  </si>
  <si>
    <t xml:space="preserve">"roznášet-002"</t>
  </si>
  <si>
    <t xml:space="preserve">"roznášet-003"</t>
  </si>
  <si>
    <t xml:space="preserve">"roznést-001"</t>
  </si>
  <si>
    <t xml:space="preserve">Distributor(ARG0/9), Distributed(ARG1/14), Recipient()</t>
  </si>
  <si>
    <t xml:space="preserve">ACT-&gt;ARG0/181,ARG1/1</t>
  </si>
  <si>
    <t xml:space="preserve">ACT-&gt;Distributor(ARG0/9)</t>
  </si>
  <si>
    <t xml:space="preserve">PAT-&gt;ARG1/370</t>
  </si>
  <si>
    <t xml:space="preserve">PAT-&gt;Distributed(ARG1/14)</t>
  </si>
  <si>
    <t xml:space="preserve">"roznést-002"</t>
  </si>
  <si>
    <t xml:space="preserve">"roznést-003"</t>
  </si>
  <si>
    <t xml:space="preserve">DPHR: na-1[kopyto.P6]</t>
  </si>
  <si>
    <t xml:space="preserve">"roznítit-001"</t>
  </si>
  <si>
    <t xml:space="preserve">ACT-&gt;ARG0/594,ARG1/186,ARG2/6</t>
  </si>
  <si>
    <t xml:space="preserve">PAT-&gt;ARG1/722,ARG2/1</t>
  </si>
  <si>
    <t xml:space="preserve">"rozněcovat-001"</t>
  </si>
  <si>
    <t xml:space="preserve">"rozněžňovat-001"</t>
  </si>
  <si>
    <t xml:space="preserve">"rozohnit-se-001"</t>
  </si>
  <si>
    <t xml:space="preserve">"rozpadat-se-001"</t>
  </si>
  <si>
    <t xml:space="preserve">"rozpadat-se-002"</t>
  </si>
  <si>
    <t xml:space="preserve">"rozpadnout-se-001"</t>
  </si>
  <si>
    <t xml:space="preserve">"rozpadnout-se-002"</t>
  </si>
  <si>
    <t xml:space="preserve">"rozpakovat-se-001"</t>
  </si>
  <si>
    <t xml:space="preserve">"rozpalovat-001"</t>
  </si>
  <si>
    <t xml:space="preserve">"rozpalovat-002"</t>
  </si>
  <si>
    <t xml:space="preserve">"rozpažovat-001"</t>
  </si>
  <si>
    <t xml:space="preserve">"rozpitvávat-001"</t>
  </si>
  <si>
    <t xml:space="preserve">"rozplakat-001"</t>
  </si>
  <si>
    <t xml:space="preserve">"rozplakat-se-001"</t>
  </si>
  <si>
    <t xml:space="preserve">"rozplakávat-001"</t>
  </si>
  <si>
    <t xml:space="preserve">"rozplynout-se-001"</t>
  </si>
  <si>
    <t xml:space="preserve">"rozplácnout-001"</t>
  </si>
  <si>
    <t xml:space="preserve">Changing(), Changed(ARG1/1), Place(ARG2/1)</t>
  </si>
  <si>
    <t xml:space="preserve">PAT-&gt;Changed(ARG1/1)</t>
  </si>
  <si>
    <t xml:space="preserve">"rozplést-001"</t>
  </si>
  <si>
    <t xml:space="preserve">"rozplétat-001"</t>
  </si>
  <si>
    <t xml:space="preserve">PAT: </t>
  </si>
  <si>
    <t xml:space="preserve">"rozplývat-se-001"</t>
  </si>
  <si>
    <t xml:space="preserve">"rozplývat-se-002"</t>
  </si>
  <si>
    <t xml:space="preserve">"rozpojit-se-001"</t>
  </si>
  <si>
    <t xml:space="preserve">"rozpoltit-001"</t>
  </si>
  <si>
    <t xml:space="preserve">"rozpomínat-se-001"</t>
  </si>
  <si>
    <t xml:space="preserve">PAT: na+4; ↓že; ↓zda; ↓jestli; .s; ↓c</t>
  </si>
  <si>
    <t xml:space="preserve">"rozporcovat-001"</t>
  </si>
  <si>
    <t xml:space="preserve">"rozpoutat-001"</t>
  </si>
  <si>
    <t xml:space="preserve">"rozpoutat-se-001"</t>
  </si>
  <si>
    <t xml:space="preserve">"rozpoutávat-001"</t>
  </si>
  <si>
    <t xml:space="preserve">"rozpouštět-001"</t>
  </si>
  <si>
    <t xml:space="preserve">"rozpouštět-002"</t>
  </si>
  <si>
    <t xml:space="preserve">"rozpouštět-se-001"</t>
  </si>
  <si>
    <t xml:space="preserve">"rozpovídat-se-001"</t>
  </si>
  <si>
    <t xml:space="preserve">"rozpoznat-001"</t>
  </si>
  <si>
    <t xml:space="preserve">"rozpoznat-002"</t>
  </si>
  <si>
    <t xml:space="preserve">PAT: 4; ↓že; ↓jak-2; ↓jestli; ↓zda; ↓c</t>
  </si>
  <si>
    <t xml:space="preserve">"rozpoznávat-001"</t>
  </si>
  <si>
    <t xml:space="preserve">"rozpoznávat-002"</t>
  </si>
  <si>
    <t xml:space="preserve">"rozpočíst-001"</t>
  </si>
  <si>
    <t xml:space="preserve">"rozpočíst-se-001"</t>
  </si>
  <si>
    <t xml:space="preserve">"rozpočítat-001"</t>
  </si>
  <si>
    <t xml:space="preserve">"rozpracovat-001"</t>
  </si>
  <si>
    <t xml:space="preserve">"rozpracovávat-001"</t>
  </si>
  <si>
    <t xml:space="preserve">"rozpraskat-001"</t>
  </si>
  <si>
    <t xml:space="preserve">"rozprchnout-se-001"</t>
  </si>
  <si>
    <t xml:space="preserve">"rozprchávat-se-001"</t>
  </si>
  <si>
    <t xml:space="preserve">"rozprodat-001"</t>
  </si>
  <si>
    <t xml:space="preserve">"rozprodávat-001"</t>
  </si>
  <si>
    <t xml:space="preserve">"rozprostírat-001"</t>
  </si>
  <si>
    <t xml:space="preserve">"rozprostírat-se-001"</t>
  </si>
  <si>
    <t xml:space="preserve">"rozprostřít-001"</t>
  </si>
  <si>
    <t xml:space="preserve">"rozprostřít-002"</t>
  </si>
  <si>
    <t xml:space="preserve">"rozprostřít-003"</t>
  </si>
  <si>
    <t xml:space="preserve">"rozprostřít-004"</t>
  </si>
  <si>
    <t xml:space="preserve">"rozprostřít-se-001"</t>
  </si>
  <si>
    <t xml:space="preserve">"rozproudit-001"</t>
  </si>
  <si>
    <t xml:space="preserve">"rozproudit-se-001"</t>
  </si>
  <si>
    <t xml:space="preserve">"rozprsknout-se-001"</t>
  </si>
  <si>
    <t xml:space="preserve">"rozprášit-001"</t>
  </si>
  <si>
    <t xml:space="preserve">"rozptylovat-001"</t>
  </si>
  <si>
    <t xml:space="preserve">"rozptylovat-se-001"</t>
  </si>
  <si>
    <t xml:space="preserve">"rozptýlit-001"</t>
  </si>
  <si>
    <t xml:space="preserve">"rozptýlit-002"</t>
  </si>
  <si>
    <t xml:space="preserve">"rozptýlit-se-001"</t>
  </si>
  <si>
    <t xml:space="preserve">"rozptýlit-se-002"</t>
  </si>
  <si>
    <t xml:space="preserve">"rozptýlit-se-003"</t>
  </si>
  <si>
    <t xml:space="preserve">"rozpustit-001"</t>
  </si>
  <si>
    <t xml:space="preserve">"rozpustit-002"</t>
  </si>
  <si>
    <t xml:space="preserve">"rozpálit-001"</t>
  </si>
  <si>
    <t xml:space="preserve">"rozpíjet-se-001"</t>
  </si>
  <si>
    <t xml:space="preserve">"rozpínat-se-001"</t>
  </si>
  <si>
    <t xml:space="preserve">ACT-&gt;ARG0/2,ARG1/52</t>
  </si>
  <si>
    <t xml:space="preserve">"rozpůjčovat-001"</t>
  </si>
  <si>
    <t xml:space="preserve">"rozpůlit-001"</t>
  </si>
  <si>
    <t xml:space="preserve">"rozrazit-001"</t>
  </si>
  <si>
    <t xml:space="preserve">"rozrušit-001"</t>
  </si>
  <si>
    <t xml:space="preserve">"rozrušit-002"</t>
  </si>
  <si>
    <t xml:space="preserve">"--rozrušit-003"</t>
  </si>
  <si>
    <t xml:space="preserve">"rozrušovat-001"</t>
  </si>
  <si>
    <t xml:space="preserve">"rozrýt-001"</t>
  </si>
  <si>
    <t xml:space="preserve">"rozrůst-se-001"</t>
  </si>
  <si>
    <t xml:space="preserve">PAT-&gt;ARG3/540,ARG4/1</t>
  </si>
  <si>
    <t xml:space="preserve">PAT-&gt;Value_initial</t>
  </si>
  <si>
    <t xml:space="preserve">PAT-&gt;Value_initial(ARG3/540,ARG4/1)</t>
  </si>
  <si>
    <t xml:space="preserve">EFF-&gt;ARG1/9,ARG2/48,ARG4/1380</t>
  </si>
  <si>
    <t xml:space="preserve">EFF-&gt;Value_final(ARG1/9,ARG2/48,ARG4/1380)</t>
  </si>
  <si>
    <t xml:space="preserve">"rozrůst-se-002"</t>
  </si>
  <si>
    <t xml:space="preserve">"rozrůstat-se-001"</t>
  </si>
  <si>
    <t xml:space="preserve">"rozrůstat-se-002"</t>
  </si>
  <si>
    <t xml:space="preserve">"rozrůznit-se-001"</t>
  </si>
  <si>
    <t xml:space="preserve">"rozsazovat-001"</t>
  </si>
  <si>
    <t xml:space="preserve">"rozsazovat-002"</t>
  </si>
  <si>
    <t xml:space="preserve">"rozsekat-001"</t>
  </si>
  <si>
    <t xml:space="preserve">"rozseknout-001"</t>
  </si>
  <si>
    <t xml:space="preserve">"rozsoudit-001"</t>
  </si>
  <si>
    <t xml:space="preserve">"rozstřikovat-001"</t>
  </si>
  <si>
    <t xml:space="preserve">"rozstříhat-001"</t>
  </si>
  <si>
    <t xml:space="preserve">"rozstřílet-001"</t>
  </si>
  <si>
    <t xml:space="preserve">"rozstřílet-002"</t>
  </si>
  <si>
    <t xml:space="preserve">"rozsvítit-001"</t>
  </si>
  <si>
    <t xml:space="preserve">Igniter(ARG0/2), Ignited(ARG1/1)</t>
  </si>
  <si>
    <t xml:space="preserve">ACT-&gt;Igniter</t>
  </si>
  <si>
    <t xml:space="preserve">ACT-&gt;Igniter(ARG0/2)</t>
  </si>
  <si>
    <t xml:space="preserve">PAT-&gt;Ignited</t>
  </si>
  <si>
    <t xml:space="preserve">PAT-&gt;Ignited(ARG1/1)</t>
  </si>
  <si>
    <t xml:space="preserve">"rozsvítit-se-001"</t>
  </si>
  <si>
    <t xml:space="preserve">"rozsvěcet-001"</t>
  </si>
  <si>
    <t xml:space="preserve">"rozsvěcovat-se-001"</t>
  </si>
  <si>
    <t xml:space="preserve">"rozsypat-001"</t>
  </si>
  <si>
    <t xml:space="preserve">"rozsypat-se-001"</t>
  </si>
  <si>
    <t xml:space="preserve">"rozsypávat-se-001"</t>
  </si>
  <si>
    <t xml:space="preserve">"rozsít-001"</t>
  </si>
  <si>
    <t xml:space="preserve">"rozsít-002"</t>
  </si>
  <si>
    <t xml:space="preserve">"roztahovat-001"</t>
  </si>
  <si>
    <t xml:space="preserve">"roztahovat-002"</t>
  </si>
  <si>
    <t xml:space="preserve">"roztahovat-se-001"</t>
  </si>
  <si>
    <t xml:space="preserve">"roztancovat-001"</t>
  </si>
  <si>
    <t xml:space="preserve">"roztančit-001"</t>
  </si>
  <si>
    <t xml:space="preserve">"roztavit-001"</t>
  </si>
  <si>
    <t xml:space="preserve">"roztavit-se-001"</t>
  </si>
  <si>
    <t xml:space="preserve">"roztleskat-001"</t>
  </si>
  <si>
    <t xml:space="preserve">"roztlouci-001"</t>
  </si>
  <si>
    <t xml:space="preserve">"roztloukat-001"</t>
  </si>
  <si>
    <t xml:space="preserve">"roztočit-001"</t>
  </si>
  <si>
    <t xml:space="preserve">"roztočit-002"</t>
  </si>
  <si>
    <t xml:space="preserve">"roztočit-003"</t>
  </si>
  <si>
    <t xml:space="preserve">"roztrhat-001"</t>
  </si>
  <si>
    <t xml:space="preserve">"roztrhat-se-001"</t>
  </si>
  <si>
    <t xml:space="preserve">ACT-&gt;ARG0/95,ARG1/221,ARG2/6</t>
  </si>
  <si>
    <t xml:space="preserve">ACT-&gt;Destroyed; ACT-&gt;Destroyer</t>
  </si>
  <si>
    <t xml:space="preserve">ACT-&gt;Destroyed(ARG1/179); ACT-&gt;Destroyer(ARG0/85,ARG2/6)</t>
  </si>
  <si>
    <t xml:space="preserve">"roztrhnout-001"</t>
  </si>
  <si>
    <t xml:space="preserve">"roztrhnout-se-001"</t>
  </si>
  <si>
    <t xml:space="preserve">"roztrousit-001"</t>
  </si>
  <si>
    <t xml:space="preserve">"roztrousit-002"</t>
  </si>
  <si>
    <t xml:space="preserve">"roztrpčit-001"</t>
  </si>
  <si>
    <t xml:space="preserve">"roztrpčovat-001"</t>
  </si>
  <si>
    <t xml:space="preserve">"roztáhnout-001"</t>
  </si>
  <si>
    <t xml:space="preserve">"roztáhnout-se-001"</t>
  </si>
  <si>
    <t xml:space="preserve">"roztát-001"</t>
  </si>
  <si>
    <t xml:space="preserve">"roztáčet-001"</t>
  </si>
  <si>
    <t xml:space="preserve">"roztáčet-002"</t>
  </si>
  <si>
    <t xml:space="preserve">"roztáčet-003"</t>
  </si>
  <si>
    <t xml:space="preserve">"roztéci-se-001"</t>
  </si>
  <si>
    <t xml:space="preserve">"roztékat-se-001"</t>
  </si>
  <si>
    <t xml:space="preserve">"roztřiďovat-001"</t>
  </si>
  <si>
    <t xml:space="preserve">"roztřídit-001"</t>
  </si>
  <si>
    <t xml:space="preserve">"roztříštit-001"</t>
  </si>
  <si>
    <t xml:space="preserve">"roztříštit-002"</t>
  </si>
  <si>
    <t xml:space="preserve">"roztříštit-se-001"</t>
  </si>
  <si>
    <t xml:space="preserve">"rozumět-001"</t>
  </si>
  <si>
    <t xml:space="preserve">"rozumět-002"</t>
  </si>
  <si>
    <t xml:space="preserve">PAT: 3; ↓jak-2; ↓že; ↓zda; ↓c</t>
  </si>
  <si>
    <t xml:space="preserve">"rozumět-003"</t>
  </si>
  <si>
    <t xml:space="preserve">"rozumět-004"</t>
  </si>
  <si>
    <t xml:space="preserve">EFF: 4; .f</t>
  </si>
  <si>
    <t xml:space="preserve">"rozumět-005"</t>
  </si>
  <si>
    <t xml:space="preserve">"--rozumět-si-001"</t>
  </si>
  <si>
    <t xml:space="preserve">"rozutéci-se-001"</t>
  </si>
  <si>
    <t xml:space="preserve">"rozutíkávat-se-001"</t>
  </si>
  <si>
    <t xml:space="preserve">"rozuzlit-001"</t>
  </si>
  <si>
    <t xml:space="preserve">"rozvazovat-001"</t>
  </si>
  <si>
    <t xml:space="preserve">"rozvažovat-001"</t>
  </si>
  <si>
    <t xml:space="preserve">"rozvinout-001"</t>
  </si>
  <si>
    <t xml:space="preserve">"rozvinout-002"</t>
  </si>
  <si>
    <t xml:space="preserve">"rozvinout-003"</t>
  </si>
  <si>
    <t xml:space="preserve">"rozvinout-se-001"</t>
  </si>
  <si>
    <t xml:space="preserve">"rozvinout-se-002"</t>
  </si>
  <si>
    <t xml:space="preserve">"rozvinovat-001"</t>
  </si>
  <si>
    <t xml:space="preserve">"rozvinovat-se-001"</t>
  </si>
  <si>
    <t xml:space="preserve">"rozvodnit-se-001"</t>
  </si>
  <si>
    <t xml:space="preserve">"rozvracet-001"</t>
  </si>
  <si>
    <t xml:space="preserve">"rozvrhnout-001"</t>
  </si>
  <si>
    <t xml:space="preserve">"rozvrstvit-001"</t>
  </si>
  <si>
    <t xml:space="preserve">"rozvrátit-001"</t>
  </si>
  <si>
    <t xml:space="preserve">ACT-&gt;ARG0/272,ARG2/89</t>
  </si>
  <si>
    <t xml:space="preserve">PAT-&gt;ARG1/535</t>
  </si>
  <si>
    <t xml:space="preserve">"rozvádět-001"</t>
  </si>
  <si>
    <t xml:space="preserve">"rozvádět-002"</t>
  </si>
  <si>
    <t xml:space="preserve">"rozvádět-se-001"</t>
  </si>
  <si>
    <t xml:space="preserve">Participant_1(ARG0/2), Participant_2(ARG1/2)</t>
  </si>
  <si>
    <t xml:space="preserve">ACT-&gt;Participant_1(ARG0/2)</t>
  </si>
  <si>
    <t xml:space="preserve">PAT-&gt;Participant_2(ARG1/2)</t>
  </si>
  <si>
    <t xml:space="preserve">"rozvázat-001"</t>
  </si>
  <si>
    <t xml:space="preserve">"rozvázat-002"</t>
  </si>
  <si>
    <t xml:space="preserve">DPHR: jazyk.4</t>
  </si>
  <si>
    <t xml:space="preserve">"rozvázat-003"</t>
  </si>
  <si>
    <t xml:space="preserve">DPHR: jazyk.4[.u#]; jazyk.4[.a#]; jazyk.4[.n2]</t>
  </si>
  <si>
    <t xml:space="preserve">"rozvázat-004"</t>
  </si>
  <si>
    <t xml:space="preserve">"rozvážet-001"</t>
  </si>
  <si>
    <t xml:space="preserve">"rozvážit-001"</t>
  </si>
  <si>
    <t xml:space="preserve">"rozvést-001"</t>
  </si>
  <si>
    <t xml:space="preserve">"rozvést-002"</t>
  </si>
  <si>
    <t xml:space="preserve">"rozvést-003"</t>
  </si>
  <si>
    <t xml:space="preserve">"rozvést-se-001"</t>
  </si>
  <si>
    <t xml:space="preserve">"rozvíjet-001"</t>
  </si>
  <si>
    <t xml:space="preserve">"rozvíjet-002"</t>
  </si>
  <si>
    <t xml:space="preserve">"rozvíjet-se-001"</t>
  </si>
  <si>
    <t xml:space="preserve">"rozvíjet-se-002"</t>
  </si>
  <si>
    <t xml:space="preserve">"rozvířit-001"</t>
  </si>
  <si>
    <t xml:space="preserve">"rozvěsit-001"</t>
  </si>
  <si>
    <t xml:space="preserve">"rozvětvovat-se-001"</t>
  </si>
  <si>
    <t xml:space="preserve">"rozzlobit-001"</t>
  </si>
  <si>
    <t xml:space="preserve">"rozzlobit-se-001"</t>
  </si>
  <si>
    <t xml:space="preserve">"rozzuřit-001"</t>
  </si>
  <si>
    <t xml:space="preserve">"rozzářit-se-001"</t>
  </si>
  <si>
    <t xml:space="preserve">"rozčarovat-001"</t>
  </si>
  <si>
    <t xml:space="preserve">Stimulus(ARG0/9), Attitudal(ARG1/20,ARG2/1)</t>
  </si>
  <si>
    <t xml:space="preserve">ACT: 1; ↓jak-2; ↓že</t>
  </si>
  <si>
    <t xml:space="preserve">ACT-&gt;Stimulus(ARG0/9)</t>
  </si>
  <si>
    <t xml:space="preserve">PAT-&gt;ARG1/20,ARG2/1</t>
  </si>
  <si>
    <t xml:space="preserve">PAT-&gt;Attitudal(ARG1/20,ARG2/1)</t>
  </si>
  <si>
    <t xml:space="preserve">"rozčeřit-001"</t>
  </si>
  <si>
    <t xml:space="preserve">"rozčilit-se-001"</t>
  </si>
  <si>
    <t xml:space="preserve">?PAT: ↓že; nad+7; na+4</t>
  </si>
  <si>
    <t xml:space="preserve">"rozčilovat-001"</t>
  </si>
  <si>
    <t xml:space="preserve">ACT: 1; ↓c; ↓že</t>
  </si>
  <si>
    <t xml:space="preserve">PAT-&gt;ARG0/5,ARG1/2</t>
  </si>
  <si>
    <t xml:space="preserve">"rozčilovat-se-001"</t>
  </si>
  <si>
    <t xml:space="preserve">"rozčlenit-001"</t>
  </si>
  <si>
    <t xml:space="preserve">"rozčlenit-002"</t>
  </si>
  <si>
    <t xml:space="preserve">"rozčílit-001"</t>
  </si>
  <si>
    <t xml:space="preserve">"rozčílit-se-001"</t>
  </si>
  <si>
    <t xml:space="preserve">"rozředit-001"</t>
  </si>
  <si>
    <t xml:space="preserve">"rozřezat-001"</t>
  </si>
  <si>
    <t xml:space="preserve">ACT-&gt;ARG0/145,ARG2/6</t>
  </si>
  <si>
    <t xml:space="preserve">PAT-&gt;ARG1/308</t>
  </si>
  <si>
    <t xml:space="preserve">EFF-&gt;ARG1/181,ARG2/20,ARG3/1</t>
  </si>
  <si>
    <t xml:space="preserve">"rozřezávat-001"</t>
  </si>
  <si>
    <t xml:space="preserve">"rozřeďovat-se-001"</t>
  </si>
  <si>
    <t xml:space="preserve">"rozřešit-001"</t>
  </si>
  <si>
    <t xml:space="preserve">"rozříznout-001"</t>
  </si>
  <si>
    <t xml:space="preserve">"rozšiřovat-001"</t>
  </si>
  <si>
    <t xml:space="preserve">?EFF: na+4; o+4</t>
  </si>
  <si>
    <t xml:space="preserve">"rozšiřovat-002"</t>
  </si>
  <si>
    <t xml:space="preserve">"rozšiřovat-003"</t>
  </si>
  <si>
    <t xml:space="preserve">"rozšiřovat-se-001"</t>
  </si>
  <si>
    <t xml:space="preserve">"rozšlapat-001"</t>
  </si>
  <si>
    <t xml:space="preserve">"rozšlehat-001"</t>
  </si>
  <si>
    <t xml:space="preserve">"rozšoupnout-se-001"</t>
  </si>
  <si>
    <t xml:space="preserve">"rozštipovat-se-001"</t>
  </si>
  <si>
    <t xml:space="preserve">"rozštěpit-001"</t>
  </si>
  <si>
    <t xml:space="preserve">"rozšířit-001"</t>
  </si>
  <si>
    <t xml:space="preserve">"rozšířit-002"</t>
  </si>
  <si>
    <t xml:space="preserve">"rozšířit-003"</t>
  </si>
  <si>
    <t xml:space="preserve">"rozšířit-004"</t>
  </si>
  <si>
    <t xml:space="preserve">"rozšířit-se-001"</t>
  </si>
  <si>
    <t xml:space="preserve">"rozšířit-se-002"</t>
  </si>
  <si>
    <t xml:space="preserve">"ruinovat-001"</t>
  </si>
  <si>
    <t xml:space="preserve">"rukovat-001"</t>
  </si>
  <si>
    <t xml:space="preserve">"rupnout-001"</t>
  </si>
  <si>
    <t xml:space="preserve">"ručit-001"</t>
  </si>
  <si>
    <t xml:space="preserve">PAT: za+4; ↓že</t>
  </si>
  <si>
    <t xml:space="preserve">"rušit-001"</t>
  </si>
  <si>
    <t xml:space="preserve">"rušit-002"</t>
  </si>
  <si>
    <t xml:space="preserve">"rušit-003"</t>
  </si>
  <si>
    <t xml:space="preserve">"rvát-001"</t>
  </si>
  <si>
    <t xml:space="preserve">"rvát-se-001"</t>
  </si>
  <si>
    <t xml:space="preserve">"rybařit-001"</t>
  </si>
  <si>
    <t xml:space="preserve">"rychtovat-001"</t>
  </si>
  <si>
    <t xml:space="preserve">"rámovat-001"</t>
  </si>
  <si>
    <t xml:space="preserve">"ráčit-001"</t>
  </si>
  <si>
    <t xml:space="preserve">"ráčkovat-001"</t>
  </si>
  <si>
    <t xml:space="preserve">"rýmovat-001"</t>
  </si>
  <si>
    <t xml:space="preserve">Agent(ARG0/1), Entity_1(ARG1/1), Entity_2(ARG2/1)</t>
  </si>
  <si>
    <t xml:space="preserve">PAT-&gt;Entity_1(ARG1/1)</t>
  </si>
  <si>
    <t xml:space="preserve">EFF-&gt;ARG2/1</t>
  </si>
  <si>
    <t xml:space="preserve">EFF-&gt;Entity_2(ARG2/1)</t>
  </si>
  <si>
    <t xml:space="preserve">"rýmovat-se-001"</t>
  </si>
  <si>
    <t xml:space="preserve">"rýpnout-si-001"</t>
  </si>
  <si>
    <t xml:space="preserve">"rýsovat-001"</t>
  </si>
  <si>
    <t xml:space="preserve">"rýsovat-se-001"</t>
  </si>
  <si>
    <t xml:space="preserve">ACT-&gt;ARG1/17</t>
  </si>
  <si>
    <t xml:space="preserve">"rýt-001"</t>
  </si>
  <si>
    <t xml:space="preserve">"--rýt-002"</t>
  </si>
  <si>
    <t xml:space="preserve">"rýžovat-001"</t>
  </si>
  <si>
    <t xml:space="preserve">"rýžovat-002"</t>
  </si>
  <si>
    <t xml:space="preserve">Recipient(ARG0/1), Acquired(ARG1/2), Source()</t>
  </si>
  <si>
    <t xml:space="preserve">ACT-&gt;Recipient(ARG0/1)</t>
  </si>
  <si>
    <t xml:space="preserve">PAT-&gt;Acquired(ARG1/2)</t>
  </si>
  <si>
    <t xml:space="preserve">"růst-001"</t>
  </si>
  <si>
    <t xml:space="preserve">"růst-002"</t>
  </si>
  <si>
    <t xml:space="preserve">"růst-003"</t>
  </si>
  <si>
    <t xml:space="preserve">"růst-004"</t>
  </si>
  <si>
    <t xml:space="preserve">"růst-005"</t>
  </si>
  <si>
    <t xml:space="preserve">DPHR: jako[houba.P1[po-1[déšť.S6]]]</t>
  </si>
  <si>
    <t xml:space="preserve">"různit-se-001"</t>
  </si>
  <si>
    <t xml:space="preserve">"sabotovat-001"</t>
  </si>
  <si>
    <t xml:space="preserve">"sahat-001"</t>
  </si>
  <si>
    <t xml:space="preserve">Protagonist(ARG0/11), Opportunity(ARG1/12)</t>
  </si>
  <si>
    <t xml:space="preserve">ACT-&gt;Protagonist(ARG0/11)</t>
  </si>
  <si>
    <t xml:space="preserve">PAT: k+3; po+6; na+4</t>
  </si>
  <si>
    <t xml:space="preserve">PAT-&gt;Opportunity</t>
  </si>
  <si>
    <t xml:space="preserve">PAT-&gt;Opportunity(ARG1/12)</t>
  </si>
  <si>
    <t xml:space="preserve">"sahat-002"</t>
  </si>
  <si>
    <t xml:space="preserve">"sahat-003"</t>
  </si>
  <si>
    <t xml:space="preserve">"sahat-004"</t>
  </si>
  <si>
    <t xml:space="preserve">Item(ARG1/40), Area_2(), Area_1()</t>
  </si>
  <si>
    <t xml:space="preserve">ACT-&gt;ARG1/40</t>
  </si>
  <si>
    <t xml:space="preserve">ACT-&gt;Item(ARG1/40)</t>
  </si>
  <si>
    <t xml:space="preserve">"samopojišťovat-se-001"</t>
  </si>
  <si>
    <t xml:space="preserve">ACT-&gt;ARG0/14,ARG1/34</t>
  </si>
  <si>
    <t xml:space="preserve">ACT-&gt;Asset; ACT-&gt;Securing</t>
  </si>
  <si>
    <t xml:space="preserve">ACT-&gt;Asset(ARG1/33); ACT-&gt;Securing(ARG0/14,ARG1/1)</t>
  </si>
  <si>
    <t xml:space="preserve">"sankcionovat-001"</t>
  </si>
  <si>
    <t xml:space="preserve">"sbalit-001"</t>
  </si>
  <si>
    <t xml:space="preserve">"sbalit-002"</t>
  </si>
  <si>
    <t xml:space="preserve">"sbalit-003"</t>
  </si>
  <si>
    <t xml:space="preserve">"sbalit-004"</t>
  </si>
  <si>
    <t xml:space="preserve">"sbližovat-001"</t>
  </si>
  <si>
    <t xml:space="preserve">"sblížit-001"</t>
  </si>
  <si>
    <t xml:space="preserve">"sblížit-se-001"</t>
  </si>
  <si>
    <t xml:space="preserve">"sbuchnout-001"</t>
  </si>
  <si>
    <t xml:space="preserve">"sbíhat-se-001"</t>
  </si>
  <si>
    <t xml:space="preserve">"sbíhat-se-002"</t>
  </si>
  <si>
    <t xml:space="preserve">DPHR: slina.P1</t>
  </si>
  <si>
    <t xml:space="preserve">"sbírat-001"</t>
  </si>
  <si>
    <t xml:space="preserve">"sbírat-002"</t>
  </si>
  <si>
    <t xml:space="preserve">CPHR: {odvaha,zkušenost,...}.4</t>
  </si>
  <si>
    <t xml:space="preserve">"sbírat-003"</t>
  </si>
  <si>
    <t xml:space="preserve">"sbírat-004"</t>
  </si>
  <si>
    <t xml:space="preserve">"scelovat-001"</t>
  </si>
  <si>
    <t xml:space="preserve">"schnout-001"</t>
  </si>
  <si>
    <t xml:space="preserve">"schovat-001"</t>
  </si>
  <si>
    <t xml:space="preserve">"schovat-002"</t>
  </si>
  <si>
    <t xml:space="preserve">EFF: 4; ↓že; ↓jak-2; ↓zda; .s; ↓c</t>
  </si>
  <si>
    <t xml:space="preserve">"schovávat-001"</t>
  </si>
  <si>
    <t xml:space="preserve">"schovávat-002"</t>
  </si>
  <si>
    <t xml:space="preserve">"schrastit-001"</t>
  </si>
  <si>
    <t xml:space="preserve">"schraňovat-001"</t>
  </si>
  <si>
    <t xml:space="preserve">"schvalovat-001"</t>
  </si>
  <si>
    <t xml:space="preserve">"schvalovat-002"</t>
  </si>
  <si>
    <t xml:space="preserve">"schválit-001"</t>
  </si>
  <si>
    <t xml:space="preserve">"schválit-002"</t>
  </si>
  <si>
    <t xml:space="preserve">"schvátit-001"</t>
  </si>
  <si>
    <t xml:space="preserve">"schylovat-se-001"</t>
  </si>
  <si>
    <t xml:space="preserve">"schylovat-se-002"</t>
  </si>
  <si>
    <t xml:space="preserve">"schytat-001"</t>
  </si>
  <si>
    <t xml:space="preserve">"--schytnout-001"</t>
  </si>
  <si>
    <t xml:space="preserve">"schytnout-002"</t>
  </si>
  <si>
    <t xml:space="preserve">"scházet-001"</t>
  </si>
  <si>
    <t xml:space="preserve">"scházet-002"</t>
  </si>
  <si>
    <t xml:space="preserve">"scházet-se-001"</t>
  </si>
  <si>
    <t xml:space="preserve">"scházet-se-002"</t>
  </si>
  <si>
    <t xml:space="preserve">"scházívat-se-001"</t>
  </si>
  <si>
    <t xml:space="preserve">"scupovat-001"</t>
  </si>
  <si>
    <t xml:space="preserve">"scvakat-001"</t>
  </si>
  <si>
    <t xml:space="preserve">"scvrknout-se-001"</t>
  </si>
  <si>
    <t xml:space="preserve">"scvrknout-se-002"</t>
  </si>
  <si>
    <t xml:space="preserve">"scvrkávat-se-001"</t>
  </si>
  <si>
    <t xml:space="preserve">"sdrkotat-001"</t>
  </si>
  <si>
    <t xml:space="preserve">"sdružit-001"</t>
  </si>
  <si>
    <t xml:space="preserve">ADDR-&gt;ARG1/7,ARG2/29,ARG3/1</t>
  </si>
  <si>
    <t xml:space="preserve">ADDR-&gt;Entity_2(ARG1/7,ARG2/29,ARG3/1)</t>
  </si>
  <si>
    <t xml:space="preserve">"sdružit-se-001"</t>
  </si>
  <si>
    <t xml:space="preserve">"sdružovat-001"</t>
  </si>
  <si>
    <t xml:space="preserve">"sdružovat-se-001"</t>
  </si>
  <si>
    <t xml:space="preserve">"sdílet-001"</t>
  </si>
  <si>
    <t xml:space="preserve">"sdělat-001"</t>
  </si>
  <si>
    <t xml:space="preserve">"sdělit-001"</t>
  </si>
  <si>
    <t xml:space="preserve">"sdělit-002"</t>
  </si>
  <si>
    <t xml:space="preserve">EFF: 4; ↓že; ↓aby; ↓ať; ↓zda; ↓jestli; .s; ↓c</t>
  </si>
  <si>
    <t xml:space="preserve">"sdělovat-001"</t>
  </si>
  <si>
    <t xml:space="preserve">"sdělovat-002"</t>
  </si>
  <si>
    <t xml:space="preserve">?PAT: k+3; o+6</t>
  </si>
  <si>
    <t xml:space="preserve">"sebrat-001"</t>
  </si>
  <si>
    <t xml:space="preserve">"sebrat-002"</t>
  </si>
  <si>
    <t xml:space="preserve">"sebrat-003"</t>
  </si>
  <si>
    <t xml:space="preserve">"sebrat-004"</t>
  </si>
  <si>
    <t xml:space="preserve">"sebrat-005"</t>
  </si>
  <si>
    <t xml:space="preserve">"sebrat-006"</t>
  </si>
  <si>
    <t xml:space="preserve">"sebrat-007"</t>
  </si>
  <si>
    <t xml:space="preserve">"sebrat-008"</t>
  </si>
  <si>
    <t xml:space="preserve">"sebrat-se-001"</t>
  </si>
  <si>
    <t xml:space="preserve">"sebrat-se-002"</t>
  </si>
  <si>
    <t xml:space="preserve">"seběhnout-001"</t>
  </si>
  <si>
    <t xml:space="preserve">"seběhnout-se-001"</t>
  </si>
  <si>
    <t xml:space="preserve">"seběhnout-se-002"</t>
  </si>
  <si>
    <t xml:space="preserve">"seběhnout-se-003"</t>
  </si>
  <si>
    <t xml:space="preserve">"secvičit-001"</t>
  </si>
  <si>
    <t xml:space="preserve">"secvičovat-001"</t>
  </si>
  <si>
    <t xml:space="preserve">"secvičovat-se-001"</t>
  </si>
  <si>
    <t xml:space="preserve">"sedat-001"</t>
  </si>
  <si>
    <t xml:space="preserve">"sedat-002"</t>
  </si>
  <si>
    <t xml:space="preserve">"sedat-si-001"</t>
  </si>
  <si>
    <t xml:space="preserve">"sedlat-001"</t>
  </si>
  <si>
    <t xml:space="preserve">"sednout-001"</t>
  </si>
  <si>
    <t xml:space="preserve">"sednout-si-001"</t>
  </si>
  <si>
    <t xml:space="preserve">"sednout-si-002"</t>
  </si>
  <si>
    <t xml:space="preserve">"sednout-si-003"</t>
  </si>
  <si>
    <t xml:space="preserve">PAT: k+3; za+4</t>
  </si>
  <si>
    <t xml:space="preserve">"sedávat-001"</t>
  </si>
  <si>
    <t xml:space="preserve">"sedět-001"</t>
  </si>
  <si>
    <t xml:space="preserve">"sedět-002"</t>
  </si>
  <si>
    <t xml:space="preserve">LOC-&gt;Function</t>
  </si>
  <si>
    <t xml:space="preserve">LOC-&gt;Function()</t>
  </si>
  <si>
    <t xml:space="preserve">"sedět-003"</t>
  </si>
  <si>
    <t xml:space="preserve">"sedět-004"</t>
  </si>
  <si>
    <t xml:space="preserve">"sedět-005"</t>
  </si>
  <si>
    <t xml:space="preserve">"sedět-006"</t>
  </si>
  <si>
    <t xml:space="preserve">"sedět-007"</t>
  </si>
  <si>
    <t xml:space="preserve">DPHR: na-1[židle.P6[dva.#]]</t>
  </si>
  <si>
    <t xml:space="preserve">"sedět-008"</t>
  </si>
  <si>
    <t xml:space="preserve">DPHR: s-1[ruce.P7[založený.#]]</t>
  </si>
  <si>
    <t xml:space="preserve">"sedět-009"</t>
  </si>
  <si>
    <t xml:space="preserve">"sedřít-001"</t>
  </si>
  <si>
    <t xml:space="preserve">DPHR: kůže.S4,z[tělo.S2]</t>
  </si>
  <si>
    <t xml:space="preserve">"segmentovat-001"</t>
  </si>
  <si>
    <t xml:space="preserve">"sehnat-001"</t>
  </si>
  <si>
    <t xml:space="preserve">"sehnout-se-001"</t>
  </si>
  <si>
    <t xml:space="preserve">"sehrát-001"</t>
  </si>
  <si>
    <t xml:space="preserve">"sehrát-002"</t>
  </si>
  <si>
    <t xml:space="preserve">"sehrát-003"</t>
  </si>
  <si>
    <t xml:space="preserve">"sehrát-004"</t>
  </si>
  <si>
    <t xml:space="preserve">"sehrávat-001"</t>
  </si>
  <si>
    <t xml:space="preserve">"sehrávat-002"</t>
  </si>
  <si>
    <t xml:space="preserve">"sejmout-001"</t>
  </si>
  <si>
    <t xml:space="preserve">"sejmout-002"</t>
  </si>
  <si>
    <t xml:space="preserve">"sejmout-003"</t>
  </si>
  <si>
    <t xml:space="preserve">"sejmout-004"</t>
  </si>
  <si>
    <t xml:space="preserve">"sejít-001"</t>
  </si>
  <si>
    <t xml:space="preserve">"sejít-002"</t>
  </si>
  <si>
    <t xml:space="preserve">"sejít-003"</t>
  </si>
  <si>
    <t xml:space="preserve">ACT-&gt;ARG0/67,ARG1/374</t>
  </si>
  <si>
    <t xml:space="preserve">"sejít-004"</t>
  </si>
  <si>
    <t xml:space="preserve">DIR1: z+2</t>
  </si>
  <si>
    <t xml:space="preserve">"sejít-005"</t>
  </si>
  <si>
    <t xml:space="preserve">"sejít-006"</t>
  </si>
  <si>
    <t xml:space="preserve">"sejít-007"</t>
  </si>
  <si>
    <t xml:space="preserve">ACT: z+2</t>
  </si>
  <si>
    <t xml:space="preserve">"sejít-008"</t>
  </si>
  <si>
    <t xml:space="preserve">DPHR: z-1[oko.P2]</t>
  </si>
  <si>
    <t xml:space="preserve">"sejít-009"</t>
  </si>
  <si>
    <t xml:space="preserve">"sejít-010"</t>
  </si>
  <si>
    <t xml:space="preserve">DPHR: z-1[mysl.S2]</t>
  </si>
  <si>
    <t xml:space="preserve">"sejít-se-001"</t>
  </si>
  <si>
    <t xml:space="preserve">"sejít-se-002"</t>
  </si>
  <si>
    <t xml:space="preserve">"sekat-001"</t>
  </si>
  <si>
    <t xml:space="preserve">"sekat-002"</t>
  </si>
  <si>
    <t xml:space="preserve">Agent(), Undesirable(ARG1/1)</t>
  </si>
  <si>
    <t xml:space="preserve">DPHR: do-1[tučný.S2]</t>
  </si>
  <si>
    <t xml:space="preserve">DPHR-&gt;Undesirable</t>
  </si>
  <si>
    <t xml:space="preserve">DPHR-&gt;Undesirable(ARG1/1)</t>
  </si>
  <si>
    <t xml:space="preserve">"seknout-001"</t>
  </si>
  <si>
    <t xml:space="preserve">"seknout-002"</t>
  </si>
  <si>
    <t xml:space="preserve">"seknout-se-001"</t>
  </si>
  <si>
    <t xml:space="preserve">"sekundovat-001"</t>
  </si>
  <si>
    <t xml:space="preserve">"sekundovat-002"</t>
  </si>
  <si>
    <t xml:space="preserve">"selhat-001"</t>
  </si>
  <si>
    <t xml:space="preserve">"selhávat-001"</t>
  </si>
  <si>
    <t xml:space="preserve">"semknout-001"</t>
  </si>
  <si>
    <t xml:space="preserve">"semknout-se-001"</t>
  </si>
  <si>
    <t xml:space="preserve">"semlít-001"</t>
  </si>
  <si>
    <t xml:space="preserve">"separovat-001"</t>
  </si>
  <si>
    <t xml:space="preserve">"separovat-se-001"</t>
  </si>
  <si>
    <t xml:space="preserve">"sepisovat-001"</t>
  </si>
  <si>
    <t xml:space="preserve">"sepisovat-002"</t>
  </si>
  <si>
    <t xml:space="preserve">"sepnout-001"</t>
  </si>
  <si>
    <t xml:space="preserve">"sepsat-001"</t>
  </si>
  <si>
    <t xml:space="preserve">"sepsout-001"</t>
  </si>
  <si>
    <t xml:space="preserve">"serializovat-001"</t>
  </si>
  <si>
    <t xml:space="preserve">"servírovat-001"</t>
  </si>
  <si>
    <t xml:space="preserve">"servírovat-002"</t>
  </si>
  <si>
    <t xml:space="preserve">"sesadit-001"</t>
  </si>
  <si>
    <t xml:space="preserve">"sesadit-002"</t>
  </si>
  <si>
    <t xml:space="preserve">"sesbírat-001"</t>
  </si>
  <si>
    <t xml:space="preserve">Collector(ARG0/21), Collected(ARG1/32), Source(ARG1/1,ARG2/2)</t>
  </si>
  <si>
    <t xml:space="preserve">ACT-&gt;ARG0/64,ARG1/1</t>
  </si>
  <si>
    <t xml:space="preserve">ACT-&gt;Collector(ARG0/21)</t>
  </si>
  <si>
    <t xml:space="preserve">PAT-&gt;Collected(ARG1/32)</t>
  </si>
  <si>
    <t xml:space="preserve">"sesednout-001"</t>
  </si>
  <si>
    <t xml:space="preserve">"seskočit-001"</t>
  </si>
  <si>
    <t xml:space="preserve">ACT-&gt;ARG1/101</t>
  </si>
  <si>
    <t xml:space="preserve">"seskupit-se-001"</t>
  </si>
  <si>
    <t xml:space="preserve">"seskupovat-001"</t>
  </si>
  <si>
    <t xml:space="preserve">"sesmolit-001"</t>
  </si>
  <si>
    <t xml:space="preserve">"sesmolit-002"</t>
  </si>
  <si>
    <t xml:space="preserve">Communicator(ARG0/21,ARG2/2), Information(ARG1/17,ARG2/1), Conclusion(ARG1/1,ARG2/2)</t>
  </si>
  <si>
    <t xml:space="preserve">ACT-&gt;ARG0/21,ARG2/2</t>
  </si>
  <si>
    <t xml:space="preserve">ACT-&gt;Communicator(ARG0/21,ARG2/2)</t>
  </si>
  <si>
    <t xml:space="preserve">PAT-&gt;ARG1/17,ARG2/1</t>
  </si>
  <si>
    <t xml:space="preserve">PAT-&gt;Information(ARG1/17,ARG2/1)</t>
  </si>
  <si>
    <t xml:space="preserve">EFF-&gt;Conclusion</t>
  </si>
  <si>
    <t xml:space="preserve">EFF-&gt;Conclusion(ARG1/1,ARG2/2)</t>
  </si>
  <si>
    <t xml:space="preserve">"sesout-se-001"</t>
  </si>
  <si>
    <t xml:space="preserve">"sestavit-001"</t>
  </si>
  <si>
    <t xml:space="preserve">ACT-&gt;ARG0/1275,ARG1/9,ARG2/3</t>
  </si>
  <si>
    <t xml:space="preserve">PAT-&gt;ARG1/2129,ARG2/2,ARG3/1,ARG4/5</t>
  </si>
  <si>
    <t xml:space="preserve">ORIG-&gt;ARG1/2,ARG2/56</t>
  </si>
  <si>
    <t xml:space="preserve">"sestavit-002"</t>
  </si>
  <si>
    <t xml:space="preserve">"sestavovat-001"</t>
  </si>
  <si>
    <t xml:space="preserve">"sestavovat-002"</t>
  </si>
  <si>
    <t xml:space="preserve">"sestoupit-001"</t>
  </si>
  <si>
    <t xml:space="preserve">"sestrojit-001"</t>
  </si>
  <si>
    <t xml:space="preserve">"sestupovat-001"</t>
  </si>
  <si>
    <t xml:space="preserve">ACT-&gt;ARG0/4,ARG1/294</t>
  </si>
  <si>
    <t xml:space="preserve">"sestykovat-001"</t>
  </si>
  <si>
    <t xml:space="preserve">"sestávat-001"</t>
  </si>
  <si>
    <t xml:space="preserve">"sestřelit-001"</t>
  </si>
  <si>
    <t xml:space="preserve">"sestřihávat-001"</t>
  </si>
  <si>
    <t xml:space="preserve">"sesumírovat-001"</t>
  </si>
  <si>
    <t xml:space="preserve">"sesunout-se-001"</t>
  </si>
  <si>
    <t xml:space="preserve">"sesypat-se-001"</t>
  </si>
  <si>
    <t xml:space="preserve">"setkat-se-001"</t>
  </si>
  <si>
    <t xml:space="preserve">"setkat-se-002"</t>
  </si>
  <si>
    <t xml:space="preserve">"setkávat-se-001"</t>
  </si>
  <si>
    <t xml:space="preserve">"setkávat-se-002"</t>
  </si>
  <si>
    <t xml:space="preserve">"setmít-se-001"</t>
  </si>
  <si>
    <t xml:space="preserve">"setrvat-001"</t>
  </si>
  <si>
    <t xml:space="preserve">"setrvat-002"</t>
  </si>
  <si>
    <t xml:space="preserve">LOC-&gt;ARG1/124,ARG2/3551,ARG3/415</t>
  </si>
  <si>
    <t xml:space="preserve">#alt[LOC,MANN,ACMP]-&gt;State</t>
  </si>
  <si>
    <t xml:space="preserve">#alt[LOC,MANN,ACMP]-&gt;State(ARG1/124,ARG2/3551,ARG3/415)</t>
  </si>
  <si>
    <t xml:space="preserve">MANN-&gt;ARG1/124,ARG2/3551,ARG3/415</t>
  </si>
  <si>
    <t xml:space="preserve">ACMP-&gt;ARG1/124,ARG2/3551,ARG3/415</t>
  </si>
  <si>
    <t xml:space="preserve">"setrvávat-001"</t>
  </si>
  <si>
    <t xml:space="preserve">Attitudal(ARG0/46,ARG1/47), Opinion(ARG1/59)</t>
  </si>
  <si>
    <t xml:space="preserve">ACT-&gt;ARG0/156,ARG1/47</t>
  </si>
  <si>
    <t xml:space="preserve">ACT-&gt;Attitudal(ARG0/46,ARG1/47)</t>
  </si>
  <si>
    <t xml:space="preserve">PAT: na+6; v+6</t>
  </si>
  <si>
    <t xml:space="preserve">PAT-&gt;Opinion</t>
  </si>
  <si>
    <t xml:space="preserve">PAT-&gt;Opinion(ARG1/59)</t>
  </si>
  <si>
    <t xml:space="preserve">"setrvávat-002"</t>
  </si>
  <si>
    <t xml:space="preserve">"setrvávat-003"</t>
  </si>
  <si>
    <t xml:space="preserve">"setřást-001"</t>
  </si>
  <si>
    <t xml:space="preserve">"setřít-001"</t>
  </si>
  <si>
    <t xml:space="preserve">"setřít-002"</t>
  </si>
  <si>
    <t xml:space="preserve">"sevřít-001"</t>
  </si>
  <si>
    <t xml:space="preserve">ACT-&gt;ARG0/210,ARG1/2</t>
  </si>
  <si>
    <t xml:space="preserve">PAT-&gt;ARG1/238</t>
  </si>
  <si>
    <t xml:space="preserve">PAT-&gt;Entity(ARG1/31)</t>
  </si>
  <si>
    <t xml:space="preserve">"sevřít-se-001"</t>
  </si>
  <si>
    <t xml:space="preserve">"seznamovat-001"</t>
  </si>
  <si>
    <t xml:space="preserve">"seznamovat-se-001"</t>
  </si>
  <si>
    <t xml:space="preserve">"seznamovat-se-002"</t>
  </si>
  <si>
    <t xml:space="preserve">"seznat-001"</t>
  </si>
  <si>
    <t xml:space="preserve">PAT: 4; 4; .f</t>
  </si>
  <si>
    <t xml:space="preserve">EFF: 7; za+4; 4[{jako,jakožto}:/AuxY]; .a4[{jako,jakožto}:/AuxY]</t>
  </si>
  <si>
    <t xml:space="preserve">"seznat-002"</t>
  </si>
  <si>
    <t xml:space="preserve">"seznámit-001"</t>
  </si>
  <si>
    <t xml:space="preserve">"seznámit-se-001"</t>
  </si>
  <si>
    <t xml:space="preserve">"seznámit-se-002"</t>
  </si>
  <si>
    <t xml:space="preserve">"sezvat-001"</t>
  </si>
  <si>
    <t xml:space="preserve">ACT-&gt;ARG0/342,ARG1/1</t>
  </si>
  <si>
    <t xml:space="preserve">PAT-&gt;ARG1/468</t>
  </si>
  <si>
    <t xml:space="preserve">"sečíst-001"</t>
  </si>
  <si>
    <t xml:space="preserve">"sečíst-002"</t>
  </si>
  <si>
    <t xml:space="preserve">PAT: 4; ↓jestli; ↓c</t>
  </si>
  <si>
    <t xml:space="preserve">Agent(), Component(ARG1/2)</t>
  </si>
  <si>
    <t xml:space="preserve">PAT-&gt;Component(ARG1/2)</t>
  </si>
  <si>
    <t xml:space="preserve">"--sečíst-003"</t>
  </si>
  <si>
    <t xml:space="preserve">"sečítat-001"</t>
  </si>
  <si>
    <t xml:space="preserve">"seřadit-001"</t>
  </si>
  <si>
    <t xml:space="preserve">"seřadit-se-001"</t>
  </si>
  <si>
    <t xml:space="preserve">"seřazovat-001"</t>
  </si>
  <si>
    <t xml:space="preserve">"seřizovat-001"</t>
  </si>
  <si>
    <t xml:space="preserve">"seřvat-001"</t>
  </si>
  <si>
    <t xml:space="preserve">"seřvávat-001"</t>
  </si>
  <si>
    <t xml:space="preserve">"seřídit-001"</t>
  </si>
  <si>
    <t xml:space="preserve">"seříznout-001"</t>
  </si>
  <si>
    <t xml:space="preserve">"sešikovat-001"</t>
  </si>
  <si>
    <t xml:space="preserve">"seškrtat-001"</t>
  </si>
  <si>
    <t xml:space="preserve">"seškrtnout-001"</t>
  </si>
  <si>
    <t xml:space="preserve">"sešlápnout-001"</t>
  </si>
  <si>
    <t xml:space="preserve">"sešoupat-001"</t>
  </si>
  <si>
    <t xml:space="preserve">"sešroubovávat-001"</t>
  </si>
  <si>
    <t xml:space="preserve">"sešít-001"</t>
  </si>
  <si>
    <t xml:space="preserve">"sešít-002"</t>
  </si>
  <si>
    <t xml:space="preserve">"sešívat-001"</t>
  </si>
  <si>
    <t xml:space="preserve">"sežrat-001"</t>
  </si>
  <si>
    <t xml:space="preserve">"sežrat-002"</t>
  </si>
  <si>
    <t xml:space="preserve">"shazovat-001"</t>
  </si>
  <si>
    <t xml:space="preserve">"shazovat-002"</t>
  </si>
  <si>
    <t xml:space="preserve">"shazovat-003"</t>
  </si>
  <si>
    <t xml:space="preserve">PAT-&gt;ARG0/2,ARG1/11</t>
  </si>
  <si>
    <t xml:space="preserve">"shazovat-004"</t>
  </si>
  <si>
    <t xml:space="preserve">Protagonist(), Value(ARG1/1)</t>
  </si>
  <si>
    <t xml:space="preserve">PAT-&gt;Value(ARG1/1)</t>
  </si>
  <si>
    <t xml:space="preserve">"shazovat-005"</t>
  </si>
  <si>
    <t xml:space="preserve">DPHR: na-1[váha.S6]</t>
  </si>
  <si>
    <t xml:space="preserve">"shledat-001"</t>
  </si>
  <si>
    <t xml:space="preserve">EFF: 7; za+4; za-1[.a]</t>
  </si>
  <si>
    <t xml:space="preserve">"shledat-002"</t>
  </si>
  <si>
    <t xml:space="preserve">"shledat-se-001"</t>
  </si>
  <si>
    <t xml:space="preserve">"shledávat-001"</t>
  </si>
  <si>
    <t xml:space="preserve">"shledávat-002"</t>
  </si>
  <si>
    <t xml:space="preserve">"shluknout-se-001"</t>
  </si>
  <si>
    <t xml:space="preserve">"shlukovat-se-001"</t>
  </si>
  <si>
    <t xml:space="preserve">"shlížet-001"</t>
  </si>
  <si>
    <t xml:space="preserve">"shnít-001"</t>
  </si>
  <si>
    <t xml:space="preserve">"shodit-001"</t>
  </si>
  <si>
    <t xml:space="preserve">"shodit-002"</t>
  </si>
  <si>
    <t xml:space="preserve">DPHR: pod-1[stůl.S4]</t>
  </si>
  <si>
    <t xml:space="preserve">"shodit-003"</t>
  </si>
  <si>
    <t xml:space="preserve">"shodnout-se-001"</t>
  </si>
  <si>
    <t xml:space="preserve">?PAT: ↓že; v+6; na+6; ↓c</t>
  </si>
  <si>
    <t xml:space="preserve">"shodovat-se-001"</t>
  </si>
  <si>
    <t xml:space="preserve">PAT: ↓že; v+6; na+6; ↓zda</t>
  </si>
  <si>
    <t xml:space="preserve">"shodovat-se-002"</t>
  </si>
  <si>
    <t xml:space="preserve">"shořet-001"</t>
  </si>
  <si>
    <t xml:space="preserve">"shrabat-001"</t>
  </si>
  <si>
    <t xml:space="preserve">"shrabat-002"</t>
  </si>
  <si>
    <t xml:space="preserve">"shrabovat-001"</t>
  </si>
  <si>
    <t xml:space="preserve">"shrabávat-001"</t>
  </si>
  <si>
    <t xml:space="preserve">"shrnout-001"</t>
  </si>
  <si>
    <t xml:space="preserve">PAT: 4; ↓že; .s; ↓c</t>
  </si>
  <si>
    <t xml:space="preserve">"shrnout-002"</t>
  </si>
  <si>
    <t xml:space="preserve">"shrnovat-001"</t>
  </si>
  <si>
    <t xml:space="preserve">PAT: 4; ↓že; .s; ↓c; .v</t>
  </si>
  <si>
    <t xml:space="preserve">"shrnovat-002"</t>
  </si>
  <si>
    <t xml:space="preserve">"shrnovat-003"</t>
  </si>
  <si>
    <t xml:space="preserve">"shromažďovat-001"</t>
  </si>
  <si>
    <t xml:space="preserve">"shromažďovat-se-001"</t>
  </si>
  <si>
    <t xml:space="preserve">"shromáždit-001"</t>
  </si>
  <si>
    <t xml:space="preserve">"shromáždit-se-001"</t>
  </si>
  <si>
    <t xml:space="preserve">"shromáždit-se-002"</t>
  </si>
  <si>
    <t xml:space="preserve">"shrábnout-001"</t>
  </si>
  <si>
    <t xml:space="preserve">ORIG-&gt;ARG1/1,ARG2/2</t>
  </si>
  <si>
    <t xml:space="preserve">ORIG-&gt;Source(ARG1/1,ARG2/2)</t>
  </si>
  <si>
    <t xml:space="preserve">"shánět-001"</t>
  </si>
  <si>
    <t xml:space="preserve">"shánět-se-001"</t>
  </si>
  <si>
    <t xml:space="preserve">"shýbnout-se-001"</t>
  </si>
  <si>
    <t xml:space="preserve">?PAT: pro+4</t>
  </si>
  <si>
    <t xml:space="preserve">"signalizovat-001"</t>
  </si>
  <si>
    <t xml:space="preserve">ACT-&gt;ARG0/531,ARG1/2</t>
  </si>
  <si>
    <t xml:space="preserve">PAT-&gt;ARG0/1,ARG1/609</t>
  </si>
  <si>
    <t xml:space="preserve">ADDR-&gt;ARG0/1,ARG2/18</t>
  </si>
  <si>
    <t xml:space="preserve">"signalizovat-002"</t>
  </si>
  <si>
    <t xml:space="preserve">"signalizovat-003"</t>
  </si>
  <si>
    <t xml:space="preserve">"signovat-001"</t>
  </si>
  <si>
    <t xml:space="preserve">"simulovat-001"</t>
  </si>
  <si>
    <t xml:space="preserve">"situovat-001"</t>
  </si>
  <si>
    <t xml:space="preserve">"sjednat-001"</t>
  </si>
  <si>
    <t xml:space="preserve">PAT: 4; ↓že; ↓c; ↓zda; ↓jestli; ↓aby</t>
  </si>
  <si>
    <t xml:space="preserve">"sjednocovat-001"</t>
  </si>
  <si>
    <t xml:space="preserve">?EFF: do+2; v+4; na+4</t>
  </si>
  <si>
    <t xml:space="preserve">"sjednotit-001"</t>
  </si>
  <si>
    <t xml:space="preserve">"sjednotit-se-001"</t>
  </si>
  <si>
    <t xml:space="preserve">"sjednávat-001"</t>
  </si>
  <si>
    <t xml:space="preserve">"sjednávat-002"</t>
  </si>
  <si>
    <t xml:space="preserve">DPHR: pořádek.S4</t>
  </si>
  <si>
    <t xml:space="preserve">"sjet-001"</t>
  </si>
  <si>
    <t xml:space="preserve">"sjet-002"</t>
  </si>
  <si>
    <t xml:space="preserve">"sjet-003"</t>
  </si>
  <si>
    <t xml:space="preserve">"sjet-004"</t>
  </si>
  <si>
    <t xml:space="preserve">"sjet-se-001"</t>
  </si>
  <si>
    <t xml:space="preserve">"sjet-se-002"</t>
  </si>
  <si>
    <t xml:space="preserve">"sjezdit-001"</t>
  </si>
  <si>
    <t xml:space="preserve">"sjezdovat-001"</t>
  </si>
  <si>
    <t xml:space="preserve">"sjíždět-001"</t>
  </si>
  <si>
    <t xml:space="preserve">"sjíždět-002"</t>
  </si>
  <si>
    <t xml:space="preserve">"sjíždět-se-001"</t>
  </si>
  <si>
    <t xml:space="preserve">"sjíždět-se-002"</t>
  </si>
  <si>
    <t xml:space="preserve">"sjíždět-se-003"</t>
  </si>
  <si>
    <t xml:space="preserve">"skamarádit-se-001"</t>
  </si>
  <si>
    <t xml:space="preserve">"skandalizovat-001"</t>
  </si>
  <si>
    <t xml:space="preserve">"skandovat-001"</t>
  </si>
  <si>
    <t xml:space="preserve">"skartovat-001"</t>
  </si>
  <si>
    <t xml:space="preserve">"skautovat-001"</t>
  </si>
  <si>
    <t xml:space="preserve">"skejsnout-001"</t>
  </si>
  <si>
    <t xml:space="preserve">"skenovat-001"</t>
  </si>
  <si>
    <t xml:space="preserve">"skladovat-001"</t>
  </si>
  <si>
    <t xml:space="preserve">"sklapnout-001"</t>
  </si>
  <si>
    <t xml:space="preserve">"sklapnout-002"</t>
  </si>
  <si>
    <t xml:space="preserve">"sklapnout-003"</t>
  </si>
  <si>
    <t xml:space="preserve">"sklepnout-001"</t>
  </si>
  <si>
    <t xml:space="preserve">"sklidit-001"</t>
  </si>
  <si>
    <t xml:space="preserve">"sklidit-002"</t>
  </si>
  <si>
    <t xml:space="preserve">"sklidit-003"</t>
  </si>
  <si>
    <t xml:space="preserve">"sklonit-001"</t>
  </si>
  <si>
    <t xml:space="preserve">DPHR: hlava.4</t>
  </si>
  <si>
    <t xml:space="preserve">"sklonit-se-001"</t>
  </si>
  <si>
    <t xml:space="preserve">"sklonit-se-002"</t>
  </si>
  <si>
    <t xml:space="preserve">"sklopit-001"</t>
  </si>
  <si>
    <t xml:space="preserve">"skloubit-001"</t>
  </si>
  <si>
    <t xml:space="preserve">"sklouznout-001"</t>
  </si>
  <si>
    <t xml:space="preserve">"sklouznout-002"</t>
  </si>
  <si>
    <t xml:space="preserve">"sklouznout-se-001"</t>
  </si>
  <si>
    <t xml:space="preserve">"sklouzávat-001"</t>
  </si>
  <si>
    <t xml:space="preserve">"skládat-001"</t>
  </si>
  <si>
    <t xml:space="preserve">"skládat-002"</t>
  </si>
  <si>
    <t xml:space="preserve">"skládat-003"</t>
  </si>
  <si>
    <t xml:space="preserve">"skládat-004"</t>
  </si>
  <si>
    <t xml:space="preserve">"skládat-005"</t>
  </si>
  <si>
    <t xml:space="preserve">DPHR: poklona.4</t>
  </si>
  <si>
    <t xml:space="preserve">"skládat-006"</t>
  </si>
  <si>
    <t xml:space="preserve">"skládat-007"</t>
  </si>
  <si>
    <t xml:space="preserve">"skládat-se-001"</t>
  </si>
  <si>
    <t xml:space="preserve">"skládat-se-002"</t>
  </si>
  <si>
    <t xml:space="preserve">"sklánět-se-001"</t>
  </si>
  <si>
    <t xml:space="preserve">"sklánět-se-002"</t>
  </si>
  <si>
    <t xml:space="preserve">"sklápět-001"</t>
  </si>
  <si>
    <t xml:space="preserve">"sklízet-001"</t>
  </si>
  <si>
    <t xml:space="preserve">"sklízet-002"</t>
  </si>
  <si>
    <t xml:space="preserve">"skolit-001"</t>
  </si>
  <si>
    <t xml:space="preserve">"skoncovat-001"</t>
  </si>
  <si>
    <t xml:space="preserve">"skončit-001"</t>
  </si>
  <si>
    <t xml:space="preserve">"skončit-002"</t>
  </si>
  <si>
    <t xml:space="preserve">"skončit-003"</t>
  </si>
  <si>
    <t xml:space="preserve">Protagonist(ARG1/15), State_final(ARG2/16)</t>
  </si>
  <si>
    <t xml:space="preserve">ACT-&gt;Protagonist(ARG1/15)</t>
  </si>
  <si>
    <t xml:space="preserve">LOC-&gt;ARG2/16</t>
  </si>
  <si>
    <t xml:space="preserve">LOC-&gt;State_final</t>
  </si>
  <si>
    <t xml:space="preserve">LOC-&gt;State_final(ARG2/16)</t>
  </si>
  <si>
    <t xml:space="preserve">"skončit-004"</t>
  </si>
  <si>
    <t xml:space="preserve">ACT-&gt;ARG1/421</t>
  </si>
  <si>
    <t xml:space="preserve">PAT-&gt;Finished()</t>
  </si>
  <si>
    <t xml:space="preserve">LOC-&gt;ARG1/1,ARG2/22,ARG4/38,ARGM-EXT/392,ARGM-MNR/281</t>
  </si>
  <si>
    <t xml:space="preserve">LOC-&gt;Value_final</t>
  </si>
  <si>
    <t xml:space="preserve">LOC-&gt;Value_final(ARG1/1,ARG2/22,ARG4/38,ARGM-EXT/392,ARGM-MNR/281)</t>
  </si>
  <si>
    <t xml:space="preserve">"skončit-005"</t>
  </si>
  <si>
    <t xml:space="preserve">"skončit-006"</t>
  </si>
  <si>
    <t xml:space="preserve">#alt[BEN,MANN,MEANS,ACMP,CRIT]-&gt;Outcome</t>
  </si>
  <si>
    <t xml:space="preserve">#alt[BEN,MANN,MEANS,ACMP,CRIT]-&gt;Outcome(ARG1/37,ARG2/113)</t>
  </si>
  <si>
    <t xml:space="preserve">MEANS-&gt;ARG1/37,ARG2/113</t>
  </si>
  <si>
    <t xml:space="preserve">"skončit-007"</t>
  </si>
  <si>
    <t xml:space="preserve">"skončit-008"</t>
  </si>
  <si>
    <t xml:space="preserve">PAT: změnit.v$2&lt;s&gt;</t>
  </si>
  <si>
    <t xml:space="preserve">"--skončit-009"</t>
  </si>
  <si>
    <t xml:space="preserve">"--skončit-010"</t>
  </si>
  <si>
    <t xml:space="preserve">"skončit-se-001"</t>
  </si>
  <si>
    <t xml:space="preserve">"skotačit-001"</t>
  </si>
  <si>
    <t xml:space="preserve">Mover(ARG0/4)</t>
  </si>
  <si>
    <t xml:space="preserve">ACT-&gt;Mover(ARG0/4)</t>
  </si>
  <si>
    <t xml:space="preserve">"skoulet-001"</t>
  </si>
  <si>
    <t xml:space="preserve">"skoupit-001"</t>
  </si>
  <si>
    <t xml:space="preserve">"skousnout-001"</t>
  </si>
  <si>
    <t xml:space="preserve">"skočit-001"</t>
  </si>
  <si>
    <t xml:space="preserve">"skočit-002"</t>
  </si>
  <si>
    <t xml:space="preserve">"skočit-003"</t>
  </si>
  <si>
    <t xml:space="preserve">"skočit-004"</t>
  </si>
  <si>
    <t xml:space="preserve">DIR3-&gt;ARG1/1</t>
  </si>
  <si>
    <t xml:space="preserve">"skočit-005"</t>
  </si>
  <si>
    <t xml:space="preserve">"skočit-006"</t>
  </si>
  <si>
    <t xml:space="preserve">"skočit-007"</t>
  </si>
  <si>
    <t xml:space="preserve">"skrečovat-001"</t>
  </si>
  <si>
    <t xml:space="preserve">"skrýt-001"</t>
  </si>
  <si>
    <t xml:space="preserve">"skrýt-002"</t>
  </si>
  <si>
    <t xml:space="preserve">"skrývat-001"</t>
  </si>
  <si>
    <t xml:space="preserve">"skrývat-002"</t>
  </si>
  <si>
    <t xml:space="preserve">"skrývat-003"</t>
  </si>
  <si>
    <t xml:space="preserve">"skrývat-se-001"</t>
  </si>
  <si>
    <t xml:space="preserve">Hiding(ARG1/3), Place()</t>
  </si>
  <si>
    <t xml:space="preserve">ACT-&gt;Hiding(ARG1/3)</t>
  </si>
  <si>
    <t xml:space="preserve">"skrčit-001"</t>
  </si>
  <si>
    <t xml:space="preserve">"skrčit-se-001"</t>
  </si>
  <si>
    <t xml:space="preserve">"skupovat-001"</t>
  </si>
  <si>
    <t xml:space="preserve">"skvět-se-001"</t>
  </si>
  <si>
    <t xml:space="preserve">"skácet-se-001"</t>
  </si>
  <si>
    <t xml:space="preserve">"skácet-se-002"</t>
  </si>
  <si>
    <t xml:space="preserve">"skákat-001"</t>
  </si>
  <si>
    <t xml:space="preserve">"skákat-002"</t>
  </si>
  <si>
    <t xml:space="preserve">"skákat-003"</t>
  </si>
  <si>
    <t xml:space="preserve">"skákat-004"</t>
  </si>
  <si>
    <t xml:space="preserve">"skórovat-001"</t>
  </si>
  <si>
    <t xml:space="preserve">"skýtat-001"</t>
  </si>
  <si>
    <t xml:space="preserve">"skýtat-002"</t>
  </si>
  <si>
    <t xml:space="preserve">CPHR: {možnost,pomoc,rada-1,služba,záruka,...}.4</t>
  </si>
  <si>
    <t xml:space="preserve">"skřípat-001"</t>
  </si>
  <si>
    <t xml:space="preserve">"skřípat-002"</t>
  </si>
  <si>
    <t xml:space="preserve">Source()</t>
  </si>
  <si>
    <t xml:space="preserve">ACT-&gt;Source()</t>
  </si>
  <si>
    <t xml:space="preserve">"skřípat-003"</t>
  </si>
  <si>
    <t xml:space="preserve">"sladit-001"</t>
  </si>
  <si>
    <t xml:space="preserve">"sladit-002"</t>
  </si>
  <si>
    <t xml:space="preserve">"slavit-001"</t>
  </si>
  <si>
    <t xml:space="preserve">"slavit-002"</t>
  </si>
  <si>
    <t xml:space="preserve">"slavívat-001"</t>
  </si>
  <si>
    <t xml:space="preserve">"sledovat-001"</t>
  </si>
  <si>
    <t xml:space="preserve">"sledovat-002"</t>
  </si>
  <si>
    <t xml:space="preserve">PAT: 4; ↓že; ↓jak-2; ↓zda; ↓jestli; ↓c</t>
  </si>
  <si>
    <t xml:space="preserve">"sledovat-003"</t>
  </si>
  <si>
    <t xml:space="preserve">"sledovat-004"</t>
  </si>
  <si>
    <t xml:space="preserve">"sledovat-005"</t>
  </si>
  <si>
    <t xml:space="preserve">"slehnout-001"</t>
  </si>
  <si>
    <t xml:space="preserve">"slehnout-002"</t>
  </si>
  <si>
    <t xml:space="preserve">"slehnout-se-001"</t>
  </si>
  <si>
    <t xml:space="preserve">DPHR: země.S1</t>
  </si>
  <si>
    <t xml:space="preserve">"slepit-001"</t>
  </si>
  <si>
    <t xml:space="preserve">"sletět-001"</t>
  </si>
  <si>
    <t xml:space="preserve">"slevit-001"</t>
  </si>
  <si>
    <t xml:space="preserve">"slevit-002"</t>
  </si>
  <si>
    <t xml:space="preserve">"slibovat-001"</t>
  </si>
  <si>
    <t xml:space="preserve">"slibovat-si-001"</t>
  </si>
  <si>
    <t xml:space="preserve">"slisovat-001"</t>
  </si>
  <si>
    <t xml:space="preserve">"sloupnout-001"</t>
  </si>
  <si>
    <t xml:space="preserve">"slout-001"</t>
  </si>
  <si>
    <t xml:space="preserve">"slout-002"</t>
  </si>
  <si>
    <t xml:space="preserve">PAT: {jako,jakožto}.1/AuxY</t>
  </si>
  <si>
    <t xml:space="preserve">"sloučit-001"</t>
  </si>
  <si>
    <t xml:space="preserve">"sloučit-002"</t>
  </si>
  <si>
    <t xml:space="preserve">"sloučit-se-001"</t>
  </si>
  <si>
    <t xml:space="preserve">"sloužit-001"</t>
  </si>
  <si>
    <t xml:space="preserve">PAT: 3; k+3; pro+4</t>
  </si>
  <si>
    <t xml:space="preserve">"sloužit-002"</t>
  </si>
  <si>
    <t xml:space="preserve">"sloužit-003"</t>
  </si>
  <si>
    <t xml:space="preserve">"sloužit-004"</t>
  </si>
  <si>
    <t xml:space="preserve">"sloužit-005"</t>
  </si>
  <si>
    <t xml:space="preserve">"sloužit-006"</t>
  </si>
  <si>
    <t xml:space="preserve">"sloužit-007"</t>
  </si>
  <si>
    <t xml:space="preserve">"složit-001"</t>
  </si>
  <si>
    <t xml:space="preserve">"složit-002"</t>
  </si>
  <si>
    <t xml:space="preserve">"složit-003"</t>
  </si>
  <si>
    <t xml:space="preserve">"složit-004"</t>
  </si>
  <si>
    <t xml:space="preserve">"složit-005"</t>
  </si>
  <si>
    <t xml:space="preserve">"složit-006"</t>
  </si>
  <si>
    <t xml:space="preserve">"složit-007"</t>
  </si>
  <si>
    <t xml:space="preserve">"složit-008"</t>
  </si>
  <si>
    <t xml:space="preserve">DPHR: ruka:P4,do-1[klín:S2]</t>
  </si>
  <si>
    <t xml:space="preserve">"složit-009"</t>
  </si>
  <si>
    <t xml:space="preserve">"složit-010"</t>
  </si>
  <si>
    <t xml:space="preserve">DPHR: kompliment.S4</t>
  </si>
  <si>
    <t xml:space="preserve">"složit-011"</t>
  </si>
  <si>
    <t xml:space="preserve">"složit-012"</t>
  </si>
  <si>
    <t xml:space="preserve">"složit-013"</t>
  </si>
  <si>
    <t xml:space="preserve">"složit-se-001"</t>
  </si>
  <si>
    <t xml:space="preserve">"složit-se-002"</t>
  </si>
  <si>
    <t xml:space="preserve">"složit-se-003"</t>
  </si>
  <si>
    <t xml:space="preserve">"slunit-se-001"</t>
  </si>
  <si>
    <t xml:space="preserve">"slupnout-001"</t>
  </si>
  <si>
    <t xml:space="preserve">"slučovat-001"</t>
  </si>
  <si>
    <t xml:space="preserve">"slučovat-se-001"</t>
  </si>
  <si>
    <t xml:space="preserve">"slučovat-se-002"</t>
  </si>
  <si>
    <t xml:space="preserve">"slušet-001"</t>
  </si>
  <si>
    <t xml:space="preserve">"slušet-se-001"</t>
  </si>
  <si>
    <t xml:space="preserve">"slyšet-001"</t>
  </si>
  <si>
    <t xml:space="preserve">PAT: 4; o+6</t>
  </si>
  <si>
    <t xml:space="preserve">"slyšet-002"</t>
  </si>
  <si>
    <t xml:space="preserve">EFF: .f; ↓jak-2; ↓že; ↓c</t>
  </si>
  <si>
    <t xml:space="preserve">Perceiver(ARG0/37), Phenomenon(ARG1/50,ARG2/4)</t>
  </si>
  <si>
    <t xml:space="preserve">ACT-&gt;Perceiver(ARG0/37)</t>
  </si>
  <si>
    <t xml:space="preserve">PAT-&gt;ARG1/50,ARG2/4</t>
  </si>
  <si>
    <t xml:space="preserve">PAT-&gt;Phenomenon(ARG1/50,ARG2/4)</t>
  </si>
  <si>
    <t xml:space="preserve">EFF-&gt;ARG1/50,ARG2/4</t>
  </si>
  <si>
    <t xml:space="preserve">EFF-&gt;Phenomenon(ARG1/50,ARG2/4)</t>
  </si>
  <si>
    <t xml:space="preserve">"slyšet-003"</t>
  </si>
  <si>
    <t xml:space="preserve">PAT: 4; ↓že; ↓jak-2; ↓jestli; ↓zda; ↓c; .f</t>
  </si>
  <si>
    <t xml:space="preserve">"slyšet-004"</t>
  </si>
  <si>
    <t xml:space="preserve">"slyšet-005"</t>
  </si>
  <si>
    <t xml:space="preserve">"slyšet-006"</t>
  </si>
  <si>
    <t xml:space="preserve">DPHR: tráva.S4[růst.$2&lt;f&gt;$11&lt;A&gt;]</t>
  </si>
  <si>
    <t xml:space="preserve">"--slyšet-se-001"</t>
  </si>
  <si>
    <t xml:space="preserve">"slábnout-001"</t>
  </si>
  <si>
    <t xml:space="preserve">"slétat-se-001"</t>
  </si>
  <si>
    <t xml:space="preserve">"slétnout-001"</t>
  </si>
  <si>
    <t xml:space="preserve">"slévat-se-001"</t>
  </si>
  <si>
    <t xml:space="preserve">"slézat-001"</t>
  </si>
  <si>
    <t xml:space="preserve">"slézt-001"</t>
  </si>
  <si>
    <t xml:space="preserve">"slíbit-001"</t>
  </si>
  <si>
    <t xml:space="preserve">"slídit-001"</t>
  </si>
  <si>
    <t xml:space="preserve">"slít-se-001"</t>
  </si>
  <si>
    <t xml:space="preserve">"slýchat-001"</t>
  </si>
  <si>
    <t xml:space="preserve">"slýchat-002"</t>
  </si>
  <si>
    <t xml:space="preserve">?ORIG: od+2; strana-3.S2[z-1]</t>
  </si>
  <si>
    <t xml:space="preserve">"slýchávat-001"</t>
  </si>
  <si>
    <t xml:space="preserve">"slýchávat-002"</t>
  </si>
  <si>
    <t xml:space="preserve">"smazat-001"</t>
  </si>
  <si>
    <t xml:space="preserve">"smazat-002"</t>
  </si>
  <si>
    <t xml:space="preserve">"smazávat-001"</t>
  </si>
  <si>
    <t xml:space="preserve">"smažit-001"</t>
  </si>
  <si>
    <t xml:space="preserve">Creator(), Ingestibles(ARG1/1)</t>
  </si>
  <si>
    <t xml:space="preserve">ACT-&gt;Creator()</t>
  </si>
  <si>
    <t xml:space="preserve">"smekat-001"</t>
  </si>
  <si>
    <t xml:space="preserve">"smeknout-001"</t>
  </si>
  <si>
    <t xml:space="preserve">"smeknout-002"</t>
  </si>
  <si>
    <t xml:space="preserve">"smeknout-se-001"</t>
  </si>
  <si>
    <t xml:space="preserve">"smilovat-se-001"</t>
  </si>
  <si>
    <t xml:space="preserve">"smiřovat-se-001"</t>
  </si>
  <si>
    <t xml:space="preserve">Experiencer(ARG0/24,ARG1/3), Undesirable(ARG1/90,ARG2/1)</t>
  </si>
  <si>
    <t xml:space="preserve">ACT-&gt;ARG0/24,ARG1/3</t>
  </si>
  <si>
    <t xml:space="preserve">ACT-&gt;Experiencer(ARG0/24,ARG1/3)</t>
  </si>
  <si>
    <t xml:space="preserve">PAT-&gt;ARG1/90,ARG2/1</t>
  </si>
  <si>
    <t xml:space="preserve">PAT-&gt;Undesirable(ARG1/90,ARG2/1)</t>
  </si>
  <si>
    <t xml:space="preserve">"smlouvat-001"</t>
  </si>
  <si>
    <t xml:space="preserve">PAT: 4; z+2; ↓že; ↓aby; ↓c</t>
  </si>
  <si>
    <t xml:space="preserve">"smlouvat-002"</t>
  </si>
  <si>
    <t xml:space="preserve">PAT-&gt;ARG1/19,ARG2/65</t>
  </si>
  <si>
    <t xml:space="preserve">"smluvit-001"</t>
  </si>
  <si>
    <t xml:space="preserve">"smolit-001"</t>
  </si>
  <si>
    <t xml:space="preserve">"smontovat-001"</t>
  </si>
  <si>
    <t xml:space="preserve">"smotat-001"</t>
  </si>
  <si>
    <t xml:space="preserve">"smočit-se-001"</t>
  </si>
  <si>
    <t xml:space="preserve">"smrdět-001"</t>
  </si>
  <si>
    <t xml:space="preserve">"smrkat-001"</t>
  </si>
  <si>
    <t xml:space="preserve">"smrsknout-se-001"</t>
  </si>
  <si>
    <t xml:space="preserve">"smrákat-se-001"</t>
  </si>
  <si>
    <t xml:space="preserve">"smrštit-se-001"</t>
  </si>
  <si>
    <t xml:space="preserve">"smršťovat-001"</t>
  </si>
  <si>
    <t xml:space="preserve">"smršťovat-se-001"</t>
  </si>
  <si>
    <t xml:space="preserve">"smát-se-001"</t>
  </si>
  <si>
    <t xml:space="preserve">PAT-&gt;Reason(ARG2/3)</t>
  </si>
  <si>
    <t xml:space="preserve">"smát-se-002"</t>
  </si>
  <si>
    <t xml:space="preserve">Attitudal(ARG0/8), Party_benefited()</t>
  </si>
  <si>
    <t xml:space="preserve">ACT-&gt;Attitudal(ARG0/8)</t>
  </si>
  <si>
    <t xml:space="preserve">"smést-001"</t>
  </si>
  <si>
    <t xml:space="preserve">"smést-002"</t>
  </si>
  <si>
    <t xml:space="preserve">"smést-003"</t>
  </si>
  <si>
    <t xml:space="preserve">"smíchat-001"</t>
  </si>
  <si>
    <t xml:space="preserve">"smířit-se-001"</t>
  </si>
  <si>
    <t xml:space="preserve">"smířit-se-002"</t>
  </si>
  <si>
    <t xml:space="preserve">"smýkat-001"</t>
  </si>
  <si>
    <t xml:space="preserve">"smýkat-002"</t>
  </si>
  <si>
    <t xml:space="preserve">"smýt-001"</t>
  </si>
  <si>
    <t xml:space="preserve">"smývat-001"</t>
  </si>
  <si>
    <t xml:space="preserve">"smýšlet-001"</t>
  </si>
  <si>
    <t xml:space="preserve">"směnit-001"</t>
  </si>
  <si>
    <t xml:space="preserve">"směnit-002"</t>
  </si>
  <si>
    <t xml:space="preserve">PAT-&gt;ARG1/429,ARG2/72,ARG3/40</t>
  </si>
  <si>
    <t xml:space="preserve">PAT-&gt;Entity_1(ARG1/239,ARG2/1,ARG3/5); PAT-&gt;Entity_2(ARG1/190,ARG2/71,ARG3/35)</t>
  </si>
  <si>
    <t xml:space="preserve">ORIG-&gt;ARG1/239,ARG2/1,ARG3/5</t>
  </si>
  <si>
    <t xml:space="preserve">ORIG-&gt;Entity_1</t>
  </si>
  <si>
    <t xml:space="preserve">ORIG-&gt;Entity_1(ARG1/239,ARG2/1,ARG3/5)</t>
  </si>
  <si>
    <t xml:space="preserve">"směrovat-001"</t>
  </si>
  <si>
    <t xml:space="preserve">"směrovat-002"</t>
  </si>
  <si>
    <t xml:space="preserve">"směstnat-001"</t>
  </si>
  <si>
    <t xml:space="preserve">"směstnat-002"</t>
  </si>
  <si>
    <t xml:space="preserve">"smět-001"</t>
  </si>
  <si>
    <t xml:space="preserve">"směňovat-001"</t>
  </si>
  <si>
    <t xml:space="preserve">"směřovat-001"</t>
  </si>
  <si>
    <t xml:space="preserve">"směřovat-002"</t>
  </si>
  <si>
    <t xml:space="preserve">"směřovat-003"</t>
  </si>
  <si>
    <t xml:space="preserve">"směřovat-004"</t>
  </si>
  <si>
    <t xml:space="preserve">"snažit-se-001"</t>
  </si>
  <si>
    <t xml:space="preserve">"snižovat-001"</t>
  </si>
  <si>
    <t xml:space="preserve">"snižovat-se-001"</t>
  </si>
  <si>
    <t xml:space="preserve">"snoubit-001"</t>
  </si>
  <si>
    <t xml:space="preserve">"snoubit-se-001"</t>
  </si>
  <si>
    <t xml:space="preserve">"snout-001"</t>
  </si>
  <si>
    <t xml:space="preserve">DPHR: plán.P4</t>
  </si>
  <si>
    <t xml:space="preserve">"snášet-001"</t>
  </si>
  <si>
    <t xml:space="preserve">"snášet-002"</t>
  </si>
  <si>
    <t xml:space="preserve">"snášet-003"</t>
  </si>
  <si>
    <t xml:space="preserve">"snášet-004"</t>
  </si>
  <si>
    <t xml:space="preserve">"--snášet-se-001"</t>
  </si>
  <si>
    <t xml:space="preserve">"snést-001"</t>
  </si>
  <si>
    <t xml:space="preserve">"snést-002"</t>
  </si>
  <si>
    <t xml:space="preserve">"snést-se-001"</t>
  </si>
  <si>
    <t xml:space="preserve">"snést-se-002"</t>
  </si>
  <si>
    <t xml:space="preserve">"snídat-001"</t>
  </si>
  <si>
    <t xml:space="preserve">"snímat-001"</t>
  </si>
  <si>
    <t xml:space="preserve">"snímat-002"</t>
  </si>
  <si>
    <t xml:space="preserve">"sníst-001"</t>
  </si>
  <si>
    <t xml:space="preserve">"sníst-002"</t>
  </si>
  <si>
    <t xml:space="preserve">DPHR: hovno.4[Šalamounův.#]</t>
  </si>
  <si>
    <t xml:space="preserve">"snít-001"</t>
  </si>
  <si>
    <t xml:space="preserve">"snít-002"</t>
  </si>
  <si>
    <t xml:space="preserve">"snít-003"</t>
  </si>
  <si>
    <t xml:space="preserve">"snít-se-001"</t>
  </si>
  <si>
    <t xml:space="preserve">?EFF: o+6</t>
  </si>
  <si>
    <t xml:space="preserve">"snít-si-001"</t>
  </si>
  <si>
    <t xml:space="preserve">"snížit-001"</t>
  </si>
  <si>
    <t xml:space="preserve">"snížit-002"</t>
  </si>
  <si>
    <t xml:space="preserve">"snížit-se-001"</t>
  </si>
  <si>
    <t xml:space="preserve">"snížit-se-002"</t>
  </si>
  <si>
    <t xml:space="preserve">"sněžit-001"</t>
  </si>
  <si>
    <t xml:space="preserve">"sněžit-002"</t>
  </si>
  <si>
    <t xml:space="preserve">"solit-001"</t>
  </si>
  <si>
    <t xml:space="preserve">"sondovat-001"</t>
  </si>
  <si>
    <t xml:space="preserve">"soptit-001"</t>
  </si>
  <si>
    <t xml:space="preserve">"soptit-002"</t>
  </si>
  <si>
    <t xml:space="preserve">"soucítit-001"</t>
  </si>
  <si>
    <t xml:space="preserve">"soudcovat-001"</t>
  </si>
  <si>
    <t xml:space="preserve">"soudcovat-002"</t>
  </si>
  <si>
    <t xml:space="preserve">"soudit-001"</t>
  </si>
  <si>
    <t xml:space="preserve">ACT-&gt;ARG0/13,ARG3/2</t>
  </si>
  <si>
    <t xml:space="preserve">PAT-&gt;ARG1/48,ARG2/1,ARG3/1</t>
  </si>
  <si>
    <t xml:space="preserve">"soudit-002"</t>
  </si>
  <si>
    <t xml:space="preserve">ACT-&gt;ARG0/783,ARG1/24</t>
  </si>
  <si>
    <t xml:space="preserve">EFF-&gt;ARG1/849,ARG2/2,ARG4/3</t>
  </si>
  <si>
    <t xml:space="preserve">EFF-&gt;Conclusion(ARG1/291,ARG4/3)</t>
  </si>
  <si>
    <t xml:space="preserve">PAT-&gt;ARG1/390,ARG2/4,ARG4/3</t>
  </si>
  <si>
    <t xml:space="preserve">"soudit-003"</t>
  </si>
  <si>
    <t xml:space="preserve">?ACT: ↓c</t>
  </si>
  <si>
    <t xml:space="preserve">DPHR: bůh.S1</t>
  </si>
  <si>
    <t xml:space="preserve">"soudit-se-001"</t>
  </si>
  <si>
    <t xml:space="preserve">"souhlasit-001"</t>
  </si>
  <si>
    <t xml:space="preserve">PAT: v+6; ↓že; ↓aby; .s</t>
  </si>
  <si>
    <t xml:space="preserve">"souhlasit-002"</t>
  </si>
  <si>
    <t xml:space="preserve">"souhlasit-003"</t>
  </si>
  <si>
    <t xml:space="preserve">PAT: s+7; ↓aby; ↓že; .f</t>
  </si>
  <si>
    <t xml:space="preserve">"--souhlasit-004"</t>
  </si>
  <si>
    <t xml:space="preserve">"souložit-001"</t>
  </si>
  <si>
    <t xml:space="preserve">"soupeřit-001"</t>
  </si>
  <si>
    <t xml:space="preserve">ADDR: s+7; proti+3</t>
  </si>
  <si>
    <t xml:space="preserve">?PAT: o+4; za+4; ↓c</t>
  </si>
  <si>
    <t xml:space="preserve">"sousedit-001"</t>
  </si>
  <si>
    <t xml:space="preserve">"soustředit-001"</t>
  </si>
  <si>
    <t xml:space="preserve">"soustředit-002"</t>
  </si>
  <si>
    <t xml:space="preserve">"soustředit-003"</t>
  </si>
  <si>
    <t xml:space="preserve">"soustředit-se-001"</t>
  </si>
  <si>
    <t xml:space="preserve">"soustředit-se-002"</t>
  </si>
  <si>
    <t xml:space="preserve">"soustředit-se-003"</t>
  </si>
  <si>
    <t xml:space="preserve">"soustřeďovat-001"</t>
  </si>
  <si>
    <t xml:space="preserve">"soustřeďovat-se-001"</t>
  </si>
  <si>
    <t xml:space="preserve">"soustřeďovat-se-002"</t>
  </si>
  <si>
    <t xml:space="preserve">"soustřeďovat-se-003"</t>
  </si>
  <si>
    <t xml:space="preserve">"soutěžit-001"</t>
  </si>
  <si>
    <t xml:space="preserve">"souviset-001"</t>
  </si>
  <si>
    <t xml:space="preserve">"souznít-001"</t>
  </si>
  <si>
    <t xml:space="preserve">"soužit-001"</t>
  </si>
  <si>
    <t xml:space="preserve">"spadat-001"</t>
  </si>
  <si>
    <t xml:space="preserve">"spadat-002"</t>
  </si>
  <si>
    <t xml:space="preserve">"spadnout-001"</t>
  </si>
  <si>
    <t xml:space="preserve">"spadnout-002"</t>
  </si>
  <si>
    <t xml:space="preserve">"spadnout-003"</t>
  </si>
  <si>
    <t xml:space="preserve">"spadnout-004"</t>
  </si>
  <si>
    <t xml:space="preserve">DPHR: do-1[klín:S2]</t>
  </si>
  <si>
    <t xml:space="preserve">"spadnout-005"</t>
  </si>
  <si>
    <t xml:space="preserve">DPHR: z-1[nebe.2]</t>
  </si>
  <si>
    <t xml:space="preserve">"spadnout-006"</t>
  </si>
  <si>
    <t xml:space="preserve">DPHR: z-1[višeň.2]</t>
  </si>
  <si>
    <t xml:space="preserve">"spadnout-007"</t>
  </si>
  <si>
    <t xml:space="preserve">"spadnout-008"</t>
  </si>
  <si>
    <t xml:space="preserve">"spakovat-001"</t>
  </si>
  <si>
    <t xml:space="preserve">"spalovat-001"</t>
  </si>
  <si>
    <t xml:space="preserve">"spalovat-002"</t>
  </si>
  <si>
    <t xml:space="preserve">"spapat-001"</t>
  </si>
  <si>
    <t xml:space="preserve">"spasit-001"</t>
  </si>
  <si>
    <t xml:space="preserve">EFF-&gt;ARG1/16,ARG2/71</t>
  </si>
  <si>
    <t xml:space="preserve">"spatřit-001"</t>
  </si>
  <si>
    <t xml:space="preserve">"spatřit-002"</t>
  </si>
  <si>
    <t xml:space="preserve">ACT-&gt;ARG0/386,ARG1/1</t>
  </si>
  <si>
    <t xml:space="preserve">PAT-&gt;ARG1/526,ARG2/1,ARG3/1</t>
  </si>
  <si>
    <t xml:space="preserve">EFF: .f; ↓jak-2; ↓že</t>
  </si>
  <si>
    <t xml:space="preserve">"spatřit-003"</t>
  </si>
  <si>
    <t xml:space="preserve">"spatřit-004"</t>
  </si>
  <si>
    <t xml:space="preserve">DPHR: světlo.NS4[svět.2]</t>
  </si>
  <si>
    <t xml:space="preserve">"spatřovat-001"</t>
  </si>
  <si>
    <t xml:space="preserve">"spatřovat-002"</t>
  </si>
  <si>
    <t xml:space="preserve">"spatřovat-003"</t>
  </si>
  <si>
    <t xml:space="preserve">"specializovat-se-001"</t>
  </si>
  <si>
    <t xml:space="preserve">Protagonist(ARG0/125,ARG1/2,ARG2/1), Field(ARG1/127,ARG2/2)</t>
  </si>
  <si>
    <t xml:space="preserve">ACT-&gt;ARG0/125,ARG1/2,ARG2/1</t>
  </si>
  <si>
    <t xml:space="preserve">ACT-&gt;Protagonist(ARG0/125,ARG1/2,ARG2/1)</t>
  </si>
  <si>
    <t xml:space="preserve">PAT-&gt;ARG1/127,ARG2/2</t>
  </si>
  <si>
    <t xml:space="preserve">PAT-&gt;Field</t>
  </si>
  <si>
    <t xml:space="preserve">PAT-&gt;Field(ARG1/127,ARG2/2)</t>
  </si>
  <si>
    <t xml:space="preserve">"specifikovat-001"</t>
  </si>
  <si>
    <t xml:space="preserve">"spekulovat-001"</t>
  </si>
  <si>
    <t xml:space="preserve">"spekulovat-002"</t>
  </si>
  <si>
    <t xml:space="preserve">"spelovat-001"</t>
  </si>
  <si>
    <t xml:space="preserve">"spiknout-se-001"</t>
  </si>
  <si>
    <t xml:space="preserve">"splachovat-001"</t>
  </si>
  <si>
    <t xml:space="preserve">"splachovat-002"</t>
  </si>
  <si>
    <t xml:space="preserve">"splakat-001"</t>
  </si>
  <si>
    <t xml:space="preserve">"splanýrovat-001"</t>
  </si>
  <si>
    <t xml:space="preserve">"splasknout-001"</t>
  </si>
  <si>
    <t xml:space="preserve">"splatit-001"</t>
  </si>
  <si>
    <t xml:space="preserve">"splatit-002"</t>
  </si>
  <si>
    <t xml:space="preserve">"splavovat-001"</t>
  </si>
  <si>
    <t xml:space="preserve">"splašit-001"</t>
  </si>
  <si>
    <t xml:space="preserve">"splašit-se-001"</t>
  </si>
  <si>
    <t xml:space="preserve">"splašit-se-002"</t>
  </si>
  <si>
    <t xml:space="preserve">"splnit-001"</t>
  </si>
  <si>
    <t xml:space="preserve">ACT-&gt;ARG0/58,ARG1/44,ARG2/12</t>
  </si>
  <si>
    <t xml:space="preserve">PAT-&gt;ARG1/110,ARG2/42</t>
  </si>
  <si>
    <t xml:space="preserve">"splnit-se-001"</t>
  </si>
  <si>
    <t xml:space="preserve">"splynout-001"</t>
  </si>
  <si>
    <t xml:space="preserve">"splácat-001"</t>
  </si>
  <si>
    <t xml:space="preserve">"splácet-001"</t>
  </si>
  <si>
    <t xml:space="preserve">"splácet-002"</t>
  </si>
  <si>
    <t xml:space="preserve">"splácet-003"</t>
  </si>
  <si>
    <t xml:space="preserve">"spláchnout-001"</t>
  </si>
  <si>
    <t xml:space="preserve">"spláchnout-002"</t>
  </si>
  <si>
    <t xml:space="preserve">"splést-001"</t>
  </si>
  <si>
    <t xml:space="preserve">"splést-se-001"</t>
  </si>
  <si>
    <t xml:space="preserve">"splétat-001"</t>
  </si>
  <si>
    <t xml:space="preserve">"splývat-001"</t>
  </si>
  <si>
    <t xml:space="preserve">"splňovat-001"</t>
  </si>
  <si>
    <t xml:space="preserve">"spojit-001"</t>
  </si>
  <si>
    <t xml:space="preserve">"spojit-002"</t>
  </si>
  <si>
    <t xml:space="preserve">"spojit-003"</t>
  </si>
  <si>
    <t xml:space="preserve">"spojit-004"</t>
  </si>
  <si>
    <t xml:space="preserve">"spojit-005"</t>
  </si>
  <si>
    <t xml:space="preserve">"spojit-se-001"</t>
  </si>
  <si>
    <t xml:space="preserve">"spojit-se-002"</t>
  </si>
  <si>
    <t xml:space="preserve">"spojovat-001"</t>
  </si>
  <si>
    <t xml:space="preserve">"spojovat-002"</t>
  </si>
  <si>
    <t xml:space="preserve">"spojovat-003"</t>
  </si>
  <si>
    <t xml:space="preserve">"spojovat-004"</t>
  </si>
  <si>
    <t xml:space="preserve">"spojovat-005"</t>
  </si>
  <si>
    <t xml:space="preserve">"spojovat-se-001"</t>
  </si>
  <si>
    <t xml:space="preserve">"spojovat-se-002"</t>
  </si>
  <si>
    <t xml:space="preserve">"spojovat-se-003"</t>
  </si>
  <si>
    <t xml:space="preserve">"spokojit-se-001"</t>
  </si>
  <si>
    <t xml:space="preserve">Cognizer(ARG0/3), Outcome(ARG1/3,ARG2/1)</t>
  </si>
  <si>
    <t xml:space="preserve">ACT-&gt;Cognizer(ARG0/3)</t>
  </si>
  <si>
    <t xml:space="preserve">PAT-&gt;Outcome(ARG1/3,ARG2/1)</t>
  </si>
  <si>
    <t xml:space="preserve">"spokojovat-se-001"</t>
  </si>
  <si>
    <t xml:space="preserve">"spolehnout-se-001"</t>
  </si>
  <si>
    <t xml:space="preserve">"--spolehnout-se-002"</t>
  </si>
  <si>
    <t xml:space="preserve">"spolknout-001"</t>
  </si>
  <si>
    <t xml:space="preserve">"spolknout-002"</t>
  </si>
  <si>
    <t xml:space="preserve">"spolknout-003"</t>
  </si>
  <si>
    <t xml:space="preserve">"spolknout-004"</t>
  </si>
  <si>
    <t xml:space="preserve">"spolufinancovat-001"</t>
  </si>
  <si>
    <t xml:space="preserve">"spolupodílet-se-001"</t>
  </si>
  <si>
    <t xml:space="preserve">"spolupracovat-001"</t>
  </si>
  <si>
    <t xml:space="preserve">"spolupůsobit-001"</t>
  </si>
  <si>
    <t xml:space="preserve">"spolusponzorovat-001"</t>
  </si>
  <si>
    <t xml:space="preserve">"spoluspravovat-001"</t>
  </si>
  <si>
    <t xml:space="preserve">ACT-&gt;ARG0/395,ARG1/1</t>
  </si>
  <si>
    <t xml:space="preserve">PAT-&gt;ARG1/396</t>
  </si>
  <si>
    <t xml:space="preserve">ADDR-&gt;ARG0/395,ARG1/1</t>
  </si>
  <si>
    <t xml:space="preserve">ADDR-&gt;Governing</t>
  </si>
  <si>
    <t xml:space="preserve">ADDR-&gt;Governing(ARG0/90,ARG1/1)</t>
  </si>
  <si>
    <t xml:space="preserve">ADDR-&gt;Authority(ARG0/305)</t>
  </si>
  <si>
    <t xml:space="preserve">"spoluvytvářet-001"</t>
  </si>
  <si>
    <t xml:space="preserve">"spoluzahájit-001"</t>
  </si>
  <si>
    <t xml:space="preserve">"spoluzajišťovat-001"</t>
  </si>
  <si>
    <t xml:space="preserve">ACT-&gt;ARG0/122</t>
  </si>
  <si>
    <t xml:space="preserve">PAT-&gt;ARG1/176,ARG2/6</t>
  </si>
  <si>
    <t xml:space="preserve">ADDR-&gt;ARG2/39</t>
  </si>
  <si>
    <t xml:space="preserve">"spoluzaložit-001"</t>
  </si>
  <si>
    <t xml:space="preserve">?ORIG: na+6; z+2</t>
  </si>
  <si>
    <t xml:space="preserve">"spolužít-001"</t>
  </si>
  <si>
    <t xml:space="preserve">"spolykat-001"</t>
  </si>
  <si>
    <t xml:space="preserve">"spoléhat-001"</t>
  </si>
  <si>
    <t xml:space="preserve">"spoléhat-se-001"</t>
  </si>
  <si>
    <t xml:space="preserve">"spoléhat-se-002"</t>
  </si>
  <si>
    <t xml:space="preserve">"spolčit-se-001"</t>
  </si>
  <si>
    <t xml:space="preserve">"sponzorovat-001"</t>
  </si>
  <si>
    <t xml:space="preserve">"sportovat-001"</t>
  </si>
  <si>
    <t xml:space="preserve">"spotřebovat-001"</t>
  </si>
  <si>
    <t xml:space="preserve">ACT-&gt;ARG0/328,ARG1/1</t>
  </si>
  <si>
    <t xml:space="preserve">PAT-&gt;ARG1/641,ARG2/1</t>
  </si>
  <si>
    <t xml:space="preserve">"spotřebovávat-001"</t>
  </si>
  <si>
    <t xml:space="preserve">"spoutat-001"</t>
  </si>
  <si>
    <t xml:space="preserve">"spouštět-001"</t>
  </si>
  <si>
    <t xml:space="preserve">"spouštět-002"</t>
  </si>
  <si>
    <t xml:space="preserve">"spouštět-003"</t>
  </si>
  <si>
    <t xml:space="preserve">"spouštět-se-001"</t>
  </si>
  <si>
    <t xml:space="preserve">"spočinout-001"</t>
  </si>
  <si>
    <t xml:space="preserve">"spočinout-002"</t>
  </si>
  <si>
    <t xml:space="preserve">"spočíst-001"</t>
  </si>
  <si>
    <t xml:space="preserve">"spočítat-001"</t>
  </si>
  <si>
    <t xml:space="preserve">PAT: 4; ↓že; ↓c; ↓jestli</t>
  </si>
  <si>
    <t xml:space="preserve">"spočítat-si-001"</t>
  </si>
  <si>
    <t xml:space="preserve">"spočívat-001"</t>
  </si>
  <si>
    <t xml:space="preserve">"spočívat-002"</t>
  </si>
  <si>
    <t xml:space="preserve">"spočívat-003"</t>
  </si>
  <si>
    <t xml:space="preserve">"spočívat-004"</t>
  </si>
  <si>
    <t xml:space="preserve">"spořit-001"</t>
  </si>
  <si>
    <t xml:space="preserve">"spořádat-001"</t>
  </si>
  <si>
    <t xml:space="preserve">"spravit-001"</t>
  </si>
  <si>
    <t xml:space="preserve">"spravit-002"</t>
  </si>
  <si>
    <t xml:space="preserve">"spravit-003"</t>
  </si>
  <si>
    <t xml:space="preserve">"spravit-se-001"</t>
  </si>
  <si>
    <t xml:space="preserve">"spravovat-001"</t>
  </si>
  <si>
    <t xml:space="preserve">"spravovat-002"</t>
  </si>
  <si>
    <t xml:space="preserve">"spravovat-003"</t>
  </si>
  <si>
    <t xml:space="preserve">"sprchnout-001"</t>
  </si>
  <si>
    <t xml:space="preserve">"sprchovat-001"</t>
  </si>
  <si>
    <t xml:space="preserve">"sprintovat-001"</t>
  </si>
  <si>
    <t xml:space="preserve">"sprovodit-001"</t>
  </si>
  <si>
    <t xml:space="preserve">"spráskat-001"</t>
  </si>
  <si>
    <t xml:space="preserve">"správcovat-001"</t>
  </si>
  <si>
    <t xml:space="preserve">"spustit-001"</t>
  </si>
  <si>
    <t xml:space="preserve">"spustit-002"</t>
  </si>
  <si>
    <t xml:space="preserve">"spustit-003"</t>
  </si>
  <si>
    <t xml:space="preserve">"spustit-004"</t>
  </si>
  <si>
    <t xml:space="preserve">"spustit-005"</t>
  </si>
  <si>
    <t xml:space="preserve">DPHR: oko.P4</t>
  </si>
  <si>
    <t xml:space="preserve">"spustit-006"</t>
  </si>
  <si>
    <t xml:space="preserve">"spustit-se-001"</t>
  </si>
  <si>
    <t xml:space="preserve">"spustit-se-002"</t>
  </si>
  <si>
    <t xml:space="preserve">"spustit-se-003"</t>
  </si>
  <si>
    <t xml:space="preserve">ACT-&gt;ARG0/16,ARG1/448</t>
  </si>
  <si>
    <t xml:space="preserve">"spáchat-001"</t>
  </si>
  <si>
    <t xml:space="preserve">"spáchat-002"</t>
  </si>
  <si>
    <t xml:space="preserve">"spálit-001"</t>
  </si>
  <si>
    <t xml:space="preserve">"spálit-002"</t>
  </si>
  <si>
    <t xml:space="preserve">"spálit-003"</t>
  </si>
  <si>
    <t xml:space="preserve">"spálit-004"</t>
  </si>
  <si>
    <t xml:space="preserve">"spálit-se-001"</t>
  </si>
  <si>
    <t xml:space="preserve">Victim(ARG0/1,ARG1/11), Situation_harmful(ARG0/6,ARG1/1)</t>
  </si>
  <si>
    <t xml:space="preserve">ACT-&gt;Victim(ARG0/1,ARG1/11)</t>
  </si>
  <si>
    <t xml:space="preserve">"spálit-se-002"</t>
  </si>
  <si>
    <t xml:space="preserve">"spást-001"</t>
  </si>
  <si>
    <t xml:space="preserve">"spát-001"</t>
  </si>
  <si>
    <t xml:space="preserve">"spát-002"</t>
  </si>
  <si>
    <t xml:space="preserve">Protagonist(ARG0/9)</t>
  </si>
  <si>
    <t xml:space="preserve">"spávat-001"</t>
  </si>
  <si>
    <t xml:space="preserve">"spářit-001"</t>
  </si>
  <si>
    <t xml:space="preserve">"spíchnout-001"</t>
  </si>
  <si>
    <t xml:space="preserve">"spíchnout-002"</t>
  </si>
  <si>
    <t xml:space="preserve">"spílat-001"</t>
  </si>
  <si>
    <t xml:space="preserve">ADDR-&gt;ARG1/20</t>
  </si>
  <si>
    <t xml:space="preserve">ADDR-&gt;Affected(ARG1/17)</t>
  </si>
  <si>
    <t xml:space="preserve">ADDR-&gt;Undesirable</t>
  </si>
  <si>
    <t xml:space="preserve">ADDR-&gt;Undesirable(ARG1/2)</t>
  </si>
  <si>
    <t xml:space="preserve">ADDR-&gt;Offender(ARG1/1)</t>
  </si>
  <si>
    <t xml:space="preserve">?PAT: do+2; ↓že</t>
  </si>
  <si>
    <t xml:space="preserve">PAT-&gt;ARG2/11</t>
  </si>
  <si>
    <t xml:space="preserve">PAT-&gt;Undesirable(ARG2/11)</t>
  </si>
  <si>
    <t xml:space="preserve">"spěchat-001"</t>
  </si>
  <si>
    <t xml:space="preserve">PAT: s+7; na+4; ↓aby</t>
  </si>
  <si>
    <t xml:space="preserve">"spěchat-002"</t>
  </si>
  <si>
    <t xml:space="preserve">"spěchat-003"</t>
  </si>
  <si>
    <t xml:space="preserve">"spěchávat-001"</t>
  </si>
  <si>
    <t xml:space="preserve">"spět-001"</t>
  </si>
  <si>
    <t xml:space="preserve">ACT-&gt;ARG0/63,ARG1/96</t>
  </si>
  <si>
    <t xml:space="preserve">PAT-&gt;ARG1/71,ARG2/96</t>
  </si>
  <si>
    <t xml:space="preserve">"spět-002"</t>
  </si>
  <si>
    <t xml:space="preserve">"spřádat-001"</t>
  </si>
  <si>
    <t xml:space="preserve">"spřádat-002"</t>
  </si>
  <si>
    <t xml:space="preserve">CPHR: {plán,příběh,úvaha,...}.4</t>
  </si>
  <si>
    <t xml:space="preserve">"spřáhnout-se-001"</t>
  </si>
  <si>
    <t xml:space="preserve">"spřátelit-se-001"</t>
  </si>
  <si>
    <t xml:space="preserve">"srazit-001"</t>
  </si>
  <si>
    <t xml:space="preserve">"srazit-002"</t>
  </si>
  <si>
    <t xml:space="preserve">Influencing(ARG0/1), Affected(ARG1/1), Rank()</t>
  </si>
  <si>
    <t xml:space="preserve">DIR1-&gt;Rank</t>
  </si>
  <si>
    <t xml:space="preserve">DIR1-&gt;Rank()</t>
  </si>
  <si>
    <t xml:space="preserve">"srazit-003"</t>
  </si>
  <si>
    <t xml:space="preserve">Assailant(), Victim()</t>
  </si>
  <si>
    <t xml:space="preserve">ACT-&gt;Assailant()</t>
  </si>
  <si>
    <t xml:space="preserve">PAT-&gt;Victim()</t>
  </si>
  <si>
    <t xml:space="preserve">"srazit-004"</t>
  </si>
  <si>
    <t xml:space="preserve">DPHR: na-1[koleno.P4]; do-1[koleno.P2]</t>
  </si>
  <si>
    <t xml:space="preserve">"srazit-005"</t>
  </si>
  <si>
    <t xml:space="preserve">"srazit-se-001"</t>
  </si>
  <si>
    <t xml:space="preserve">"srkat-001"</t>
  </si>
  <si>
    <t xml:space="preserve">"srocovat-se-001"</t>
  </si>
  <si>
    <t xml:space="preserve">"srovnat-001"</t>
  </si>
  <si>
    <t xml:space="preserve">"srovnat-002"</t>
  </si>
  <si>
    <t xml:space="preserve">"srovnat-003"</t>
  </si>
  <si>
    <t xml:space="preserve">"srovnat-004"</t>
  </si>
  <si>
    <t xml:space="preserve">"srovnat-005"</t>
  </si>
  <si>
    <t xml:space="preserve">ACT-&gt;ARG0/144</t>
  </si>
  <si>
    <t xml:space="preserve">PAT-&gt;ARG0/1,ARG1/210,ARG2/8</t>
  </si>
  <si>
    <t xml:space="preserve">"srovnat-006"</t>
  </si>
  <si>
    <t xml:space="preserve">Destroyer(), Destroyed(ARG1/3)</t>
  </si>
  <si>
    <t xml:space="preserve">DPHR: s-1[země.S7]</t>
  </si>
  <si>
    <t xml:space="preserve">PAT-&gt;Destroyed(ARG1/3)</t>
  </si>
  <si>
    <t xml:space="preserve">"srovnat-007"</t>
  </si>
  <si>
    <t xml:space="preserve">"srovnat-se-001"</t>
  </si>
  <si>
    <t xml:space="preserve">Protagonist(ARG0/11), Undesirable(ARG1/16), Perpetrator()</t>
  </si>
  <si>
    <t xml:space="preserve">PAT-&gt;Undesirable(ARG1/16)</t>
  </si>
  <si>
    <t xml:space="preserve">"srovnat-se-002"</t>
  </si>
  <si>
    <t xml:space="preserve">"srovnat-si-001"</t>
  </si>
  <si>
    <t xml:space="preserve">"srovnávat-001"</t>
  </si>
  <si>
    <t xml:space="preserve">"srovnávat-002"</t>
  </si>
  <si>
    <t xml:space="preserve">"srovnávat-003"</t>
  </si>
  <si>
    <t xml:space="preserve">"srovnávat-004"</t>
  </si>
  <si>
    <t xml:space="preserve">"srát-001"</t>
  </si>
  <si>
    <t xml:space="preserve">"srážet-001"</t>
  </si>
  <si>
    <t xml:space="preserve">"srážet-002"</t>
  </si>
  <si>
    <t xml:space="preserve">"srážet-se-001"</t>
  </si>
  <si>
    <t xml:space="preserve">"srůst-001"</t>
  </si>
  <si>
    <t xml:space="preserve">"stabilizovat-001"</t>
  </si>
  <si>
    <t xml:space="preserve">"stabilizovat-se-001"</t>
  </si>
  <si>
    <t xml:space="preserve">Stabilizing(ARG0/7,ARG1/51,ARG4/1)</t>
  </si>
  <si>
    <t xml:space="preserve">ACT-&gt;ARG0/7,ARG1/75,ARG4/1</t>
  </si>
  <si>
    <t xml:space="preserve">ACT-&gt;Stabilizing(ARG0/7,ARG1/51,ARG4/1)</t>
  </si>
  <si>
    <t xml:space="preserve">"stagnovat-001"</t>
  </si>
  <si>
    <t xml:space="preserve">Action(ARG0/26,ARG1/134,ARG2/1), State(ARG1/17,ARG2/141)</t>
  </si>
  <si>
    <t xml:space="preserve">ACT-&gt;ARG0/43,ARG1/3817,ARG2/297,ARG3/1</t>
  </si>
  <si>
    <t xml:space="preserve">ACT-&gt;Action(ARG0/26,ARG1/134,ARG2/1)</t>
  </si>
  <si>
    <t xml:space="preserve">"stahovat-001"</t>
  </si>
  <si>
    <t xml:space="preserve">"stahovat-002"</t>
  </si>
  <si>
    <t xml:space="preserve">"stahovat-003"</t>
  </si>
  <si>
    <t xml:space="preserve">"stahovat-004"</t>
  </si>
  <si>
    <t xml:space="preserve">DPHR: kalhoty.P4[když[být.$2&lt;B&gt;$8&lt;3&gt;$9&lt;P&gt;$11&lt;A&gt;$12&lt;A&gt;[brod.S1,ještě,daleko-1:@1]]]</t>
  </si>
  <si>
    <t xml:space="preserve">"stahovat-005"</t>
  </si>
  <si>
    <t xml:space="preserve">"stahovat-006"</t>
  </si>
  <si>
    <t xml:space="preserve">"stahovat-se-001"</t>
  </si>
  <si>
    <t xml:space="preserve">"stahovat-se-002"</t>
  </si>
  <si>
    <t xml:space="preserve">"stahovat-se-003"</t>
  </si>
  <si>
    <t xml:space="preserve">ACT: nad+7</t>
  </si>
  <si>
    <t xml:space="preserve">DPHR: mrak.1</t>
  </si>
  <si>
    <t xml:space="preserve">"standardizovat-001"</t>
  </si>
  <si>
    <t xml:space="preserve">"stanout-001"</t>
  </si>
  <si>
    <t xml:space="preserve">"stanout-002"</t>
  </si>
  <si>
    <t xml:space="preserve">Protagonist(ARG0/1,ARG1/40), Place(ARG1/1,ARG2/35)</t>
  </si>
  <si>
    <t xml:space="preserve">ACT-&gt;ARG0/1,ARG1/40</t>
  </si>
  <si>
    <t xml:space="preserve">ACT-&gt;Protagonist(ARG0/1,ARG1/40)</t>
  </si>
  <si>
    <t xml:space="preserve">LOC-&gt;ARG1/1,ARG2/35</t>
  </si>
  <si>
    <t xml:space="preserve">LOC-&gt;Place(ARG1/1,ARG2/35)</t>
  </si>
  <si>
    <t xml:space="preserve">"stanovat-001"</t>
  </si>
  <si>
    <t xml:space="preserve">"stanovit-001"</t>
  </si>
  <si>
    <t xml:space="preserve">ACT-&gt;ARG0/374,ARG1/1</t>
  </si>
  <si>
    <t xml:space="preserve">PAT-&gt;ARG1/489,ARG2/57</t>
  </si>
  <si>
    <t xml:space="preserve">ADDR-&gt;ARG1/11,ARG2/348</t>
  </si>
  <si>
    <t xml:space="preserve">"stanovit-002"</t>
  </si>
  <si>
    <t xml:space="preserve">EFF: 7; 4[{jako,jakožto}:/AuxY]; za+4</t>
  </si>
  <si>
    <t xml:space="preserve">"stanovit-003"</t>
  </si>
  <si>
    <t xml:space="preserve">"stanovit-004"</t>
  </si>
  <si>
    <t xml:space="preserve">PAT-&gt;ARG1/445</t>
  </si>
  <si>
    <t xml:space="preserve">"stanovovat-001"</t>
  </si>
  <si>
    <t xml:space="preserve">"stanovovat-002"</t>
  </si>
  <si>
    <t xml:space="preserve">"stanovovat-003"</t>
  </si>
  <si>
    <t xml:space="preserve">"starat-se-001"</t>
  </si>
  <si>
    <t xml:space="preserve">"startovat-001"</t>
  </si>
  <si>
    <t xml:space="preserve">"startovat-002"</t>
  </si>
  <si>
    <t xml:space="preserve">"startovat-003"</t>
  </si>
  <si>
    <t xml:space="preserve">"startovat-004"</t>
  </si>
  <si>
    <t xml:space="preserve">"stavit-001"</t>
  </si>
  <si>
    <t xml:space="preserve">"stavit-002"</t>
  </si>
  <si>
    <t xml:space="preserve">"stavit-003"</t>
  </si>
  <si>
    <t xml:space="preserve">"stavit-se-001"</t>
  </si>
  <si>
    <t xml:space="preserve">PAT: za+4; proti+3; k+3</t>
  </si>
  <si>
    <t xml:space="preserve">"stavit-se-002"</t>
  </si>
  <si>
    <t xml:space="preserve">"stavovat-se-001"</t>
  </si>
  <si>
    <t xml:space="preserve">"stavívat-se-001"</t>
  </si>
  <si>
    <t xml:space="preserve">"stavět-001"</t>
  </si>
  <si>
    <t xml:space="preserve">"stavět-002"</t>
  </si>
  <si>
    <t xml:space="preserve">"stavět-003"</t>
  </si>
  <si>
    <t xml:space="preserve">EFF: proti+3</t>
  </si>
  <si>
    <t xml:space="preserve">"stavět-004"</t>
  </si>
  <si>
    <t xml:space="preserve">"stavět-005"</t>
  </si>
  <si>
    <t xml:space="preserve">ACT-&gt;ARG0/622,ARG1/6</t>
  </si>
  <si>
    <t xml:space="preserve">PAT-&gt;ARG1/1171,ARG2/9</t>
  </si>
  <si>
    <t xml:space="preserve">DIR3-&gt;ARG1/27,ARG2/554,ARG3/37</t>
  </si>
  <si>
    <t xml:space="preserve">DIR3-&gt;Value</t>
  </si>
  <si>
    <t xml:space="preserve">DIR3-&gt;Value(ARG1/8,ARG2/530)</t>
  </si>
  <si>
    <t xml:space="preserve">"stavět-006"</t>
  </si>
  <si>
    <t xml:space="preserve">"stavět-007"</t>
  </si>
  <si>
    <t xml:space="preserve">CPHR: {bariéra,překážka,...}.4</t>
  </si>
  <si>
    <t xml:space="preserve">"stavět-008"</t>
  </si>
  <si>
    <t xml:space="preserve">CPHR: otázka.4</t>
  </si>
  <si>
    <t xml:space="preserve">"stavět-se-001"</t>
  </si>
  <si>
    <t xml:space="preserve">PAT: k+3; vůči+3; stran[.2]; ohledně[.2]</t>
  </si>
  <si>
    <t xml:space="preserve">"stavět-se-002"</t>
  </si>
  <si>
    <t xml:space="preserve">PAT: za+4; proti+3</t>
  </si>
  <si>
    <t xml:space="preserve">"stavět-se-003"</t>
  </si>
  <si>
    <t xml:space="preserve">"stavět-se-004"</t>
  </si>
  <si>
    <t xml:space="preserve">"stavět-se-005"</t>
  </si>
  <si>
    <t xml:space="preserve">DPHR: na-1[odpor.S4]</t>
  </si>
  <si>
    <t xml:space="preserve">"stavět-se-006"</t>
  </si>
  <si>
    <t xml:space="preserve">Protagonist(), State_final()</t>
  </si>
  <si>
    <t xml:space="preserve">DPHR[na nohy]-&gt;State_final</t>
  </si>
  <si>
    <t xml:space="preserve">DPHR[na nohy]-&gt;State_final()</t>
  </si>
  <si>
    <t xml:space="preserve">"stavět-se-007"</t>
  </si>
  <si>
    <t xml:space="preserve">"stačit-001"</t>
  </si>
  <si>
    <t xml:space="preserve">?REG: v+6</t>
  </si>
  <si>
    <t xml:space="preserve">"stačit-002"</t>
  </si>
  <si>
    <t xml:space="preserve">PAT: na+4; .f; 4</t>
  </si>
  <si>
    <t xml:space="preserve">"stačit-003"</t>
  </si>
  <si>
    <t xml:space="preserve">Protagonist(ARG0/19), Desirable(ARG1/22)</t>
  </si>
  <si>
    <t xml:space="preserve">ACT-&gt;Protagonist(ARG0/19)</t>
  </si>
  <si>
    <t xml:space="preserve">PAT-&gt;Desirable(ARG1/22)</t>
  </si>
  <si>
    <t xml:space="preserve">"stačit-004"</t>
  </si>
  <si>
    <t xml:space="preserve">"stačit-005"</t>
  </si>
  <si>
    <t xml:space="preserve">ACT: 1; .f; ↓že; ↓aby; ↓když; ↓jestli; ↓kdyby</t>
  </si>
  <si>
    <t xml:space="preserve">?PAT: 3; pro+4</t>
  </si>
  <si>
    <t xml:space="preserve">"stačit-006"</t>
  </si>
  <si>
    <t xml:space="preserve">"stačit-007"</t>
  </si>
  <si>
    <t xml:space="preserve">DPHR: co-5,noha.P1</t>
  </si>
  <si>
    <t xml:space="preserve">"stepovat-001"</t>
  </si>
  <si>
    <t xml:space="preserve">"sterilizovat-001"</t>
  </si>
  <si>
    <t xml:space="preserve">"sterilovat-001"</t>
  </si>
  <si>
    <t xml:space="preserve">"stihnout-001"</t>
  </si>
  <si>
    <t xml:space="preserve">ACT-&gt;ARG0/38,ARG1/10</t>
  </si>
  <si>
    <t xml:space="preserve">PAT-&gt;ARG1/44,ARG2/8</t>
  </si>
  <si>
    <t xml:space="preserve">"stihnout-002"</t>
  </si>
  <si>
    <t xml:space="preserve">"stimulovat-001"</t>
  </si>
  <si>
    <t xml:space="preserve">"stimulovat-002"</t>
  </si>
  <si>
    <t xml:space="preserve">"stisknout-001"</t>
  </si>
  <si>
    <t xml:space="preserve">"stlačit-001"</t>
  </si>
  <si>
    <t xml:space="preserve">"stlačit-002"</t>
  </si>
  <si>
    <t xml:space="preserve">"stlačit-003"</t>
  </si>
  <si>
    <t xml:space="preserve">"stlačovat-001"</t>
  </si>
  <si>
    <t xml:space="preserve">"stlačovat-002"</t>
  </si>
  <si>
    <t xml:space="preserve">"stlouci-001"</t>
  </si>
  <si>
    <t xml:space="preserve">"stlát-001"</t>
  </si>
  <si>
    <t xml:space="preserve">"stmelit-001"</t>
  </si>
  <si>
    <t xml:space="preserve">"stmelit-002"</t>
  </si>
  <si>
    <t xml:space="preserve">"stmelit-se-001"</t>
  </si>
  <si>
    <t xml:space="preserve">"stmelit-se-002"</t>
  </si>
  <si>
    <t xml:space="preserve">"stmívat-se-001"</t>
  </si>
  <si>
    <t xml:space="preserve">"stonat-001"</t>
  </si>
  <si>
    <t xml:space="preserve">"stopnout-001"</t>
  </si>
  <si>
    <t xml:space="preserve">"stopovat-001"</t>
  </si>
  <si>
    <t xml:space="preserve">"stornovat-001"</t>
  </si>
  <si>
    <t xml:space="preserve">"stoupat-001"</t>
  </si>
  <si>
    <t xml:space="preserve">"stoupat-002"</t>
  </si>
  <si>
    <t xml:space="preserve">"stoupat-003"</t>
  </si>
  <si>
    <t xml:space="preserve">"stoupat-004"</t>
  </si>
  <si>
    <t xml:space="preserve">"stoupnout-001"</t>
  </si>
  <si>
    <t xml:space="preserve">"stoupnout-002"</t>
  </si>
  <si>
    <t xml:space="preserve">DPHR: na-1[oko.S4[kuří.#]]</t>
  </si>
  <si>
    <t xml:space="preserve">"stoupnout-003"</t>
  </si>
  <si>
    <t xml:space="preserve">"stoupnout-004"</t>
  </si>
  <si>
    <t xml:space="preserve">"stoupnout-si-001"</t>
  </si>
  <si>
    <t xml:space="preserve">"stoupnout-si-002"</t>
  </si>
  <si>
    <t xml:space="preserve">"stočit-001"</t>
  </si>
  <si>
    <t xml:space="preserve">"stočit-002"</t>
  </si>
  <si>
    <t xml:space="preserve">"stočit-se-001"</t>
  </si>
  <si>
    <t xml:space="preserve">"strachovat-se-001"</t>
  </si>
  <si>
    <t xml:space="preserve">PAT: o+4; ↓že</t>
  </si>
  <si>
    <t xml:space="preserve">"stranit-001"</t>
  </si>
  <si>
    <t xml:space="preserve">"stranit-se-001"</t>
  </si>
  <si>
    <t xml:space="preserve">"stravovat-se-001"</t>
  </si>
  <si>
    <t xml:space="preserve">"strašit-001"</t>
  </si>
  <si>
    <t xml:space="preserve">"strašit-002"</t>
  </si>
  <si>
    <t xml:space="preserve">"strašit-003"</t>
  </si>
  <si>
    <t xml:space="preserve">"strefit-se-001"</t>
  </si>
  <si>
    <t xml:space="preserve">"strefovat-se-001"</t>
  </si>
  <si>
    <t xml:space="preserve">"strefovat-se-002"</t>
  </si>
  <si>
    <t xml:space="preserve">DPHR: do-1[černý.S2]</t>
  </si>
  <si>
    <t xml:space="preserve">"strhat-001"</t>
  </si>
  <si>
    <t xml:space="preserve">"strhnout-001"</t>
  </si>
  <si>
    <t xml:space="preserve">"strhnout-002"</t>
  </si>
  <si>
    <t xml:space="preserve">"strhnout-003"</t>
  </si>
  <si>
    <t xml:space="preserve">DIR3-&gt;Desirable</t>
  </si>
  <si>
    <t xml:space="preserve">DIR3-&gt;Desirable()</t>
  </si>
  <si>
    <t xml:space="preserve">"strhnout-004"</t>
  </si>
  <si>
    <t xml:space="preserve">"strhnout-005"</t>
  </si>
  <si>
    <t xml:space="preserve">?PAT: k+3; ↓aby</t>
  </si>
  <si>
    <t xml:space="preserve">"strhnout-006"</t>
  </si>
  <si>
    <t xml:space="preserve">"strhnout-007"</t>
  </si>
  <si>
    <t xml:space="preserve">"strhnout-008"</t>
  </si>
  <si>
    <t xml:space="preserve">"strhnout-se-001"</t>
  </si>
  <si>
    <t xml:space="preserve">"strhovat-001"</t>
  </si>
  <si>
    <t xml:space="preserve">"strhávat-001"</t>
  </si>
  <si>
    <t xml:space="preserve">"strhávat-002"</t>
  </si>
  <si>
    <t xml:space="preserve">"strhávat-003"</t>
  </si>
  <si>
    <t xml:space="preserve">"strhávat-si-001"</t>
  </si>
  <si>
    <t xml:space="preserve">"strkat-001"</t>
  </si>
  <si>
    <t xml:space="preserve">"strkat-002"</t>
  </si>
  <si>
    <t xml:space="preserve">"strkat-003"</t>
  </si>
  <si>
    <t xml:space="preserve">"strkat-se-001"</t>
  </si>
  <si>
    <t xml:space="preserve">"strnout-001"</t>
  </si>
  <si>
    <t xml:space="preserve">ACT-&gt;ARG0/26,ARG1/134,ARG2/1</t>
  </si>
  <si>
    <t xml:space="preserve">"strojit-001"</t>
  </si>
  <si>
    <t xml:space="preserve">"strojit-002"</t>
  </si>
  <si>
    <t xml:space="preserve">"strpět-001"</t>
  </si>
  <si>
    <t xml:space="preserve">"strpět-002"</t>
  </si>
  <si>
    <t xml:space="preserve">"strukturovat-001"</t>
  </si>
  <si>
    <t xml:space="preserve">"strádat-001"</t>
  </si>
  <si>
    <t xml:space="preserve">"strávit-001"</t>
  </si>
  <si>
    <t xml:space="preserve">Protagonist(ARG0/62,ARG1/1), Time(ARG1/74), Manner(ARG1/4,ARG2/66)</t>
  </si>
  <si>
    <t xml:space="preserve">ACT-&gt;Protagonist(ARG0/62,ARG1/1)</t>
  </si>
  <si>
    <t xml:space="preserve">PAT-&gt;Time(ARG1/74)</t>
  </si>
  <si>
    <t xml:space="preserve">LOC-&gt;ARG1/4,ARG2/66</t>
  </si>
  <si>
    <t xml:space="preserve">LOC-&gt;Manner</t>
  </si>
  <si>
    <t xml:space="preserve">LOC-&gt;Manner(ARG1/4,ARG2/66)</t>
  </si>
  <si>
    <t xml:space="preserve">"strávit-002"</t>
  </si>
  <si>
    <t xml:space="preserve">BEN-&gt;ARG1/4,ARG2/66</t>
  </si>
  <si>
    <t xml:space="preserve">#alt[BEN,LOC,MANN,MEANS,ACMP,CRIT,CPR]-&gt;Manner(ARG1/4,ARG2/66)</t>
  </si>
  <si>
    <t xml:space="preserve">MANN-&gt;ARG1/4,ARG2/66</t>
  </si>
  <si>
    <t xml:space="preserve">MEANS-&gt;ARG1/4,ARG2/66</t>
  </si>
  <si>
    <t xml:space="preserve">ACMP-&gt;ARG1/4,ARG2/66</t>
  </si>
  <si>
    <t xml:space="preserve">CRIT-&gt;ARG1/4,ARG2/66</t>
  </si>
  <si>
    <t xml:space="preserve">CPR-&gt;ARG1/4,ARG2/66</t>
  </si>
  <si>
    <t xml:space="preserve">"strávit-003"</t>
  </si>
  <si>
    <t xml:space="preserve">"strčit-001"</t>
  </si>
  <si>
    <t xml:space="preserve">"strčit-002"</t>
  </si>
  <si>
    <t xml:space="preserve">"strčit-003"</t>
  </si>
  <si>
    <t xml:space="preserve">"strčit-004"</t>
  </si>
  <si>
    <t xml:space="preserve">"strčit-005"</t>
  </si>
  <si>
    <t xml:space="preserve">"studovat-001"</t>
  </si>
  <si>
    <t xml:space="preserve">Cognizer(ARG0/49), Field(ARG1/62)</t>
  </si>
  <si>
    <t xml:space="preserve">ACT-&gt;ARG0/49</t>
  </si>
  <si>
    <t xml:space="preserve">ACT-&gt;Cognizer(ARG0/49)</t>
  </si>
  <si>
    <t xml:space="preserve">PAT-&gt;ARG1/62</t>
  </si>
  <si>
    <t xml:space="preserve">PAT-&gt;Field(ARG1/62)</t>
  </si>
  <si>
    <t xml:space="preserve">"studovat-002"</t>
  </si>
  <si>
    <t xml:space="preserve">"studovat-003"</t>
  </si>
  <si>
    <t xml:space="preserve">"stupňovat-001"</t>
  </si>
  <si>
    <t xml:space="preserve">"stupňovat-se-001"</t>
  </si>
  <si>
    <t xml:space="preserve">ACT-&gt;ARG0/13,ARG1/56</t>
  </si>
  <si>
    <t xml:space="preserve">"stvořit-001"</t>
  </si>
  <si>
    <t xml:space="preserve">"stvrdit-001"</t>
  </si>
  <si>
    <t xml:space="preserve">"stvrzovat-001"</t>
  </si>
  <si>
    <t xml:space="preserve">"stydět-se-001"</t>
  </si>
  <si>
    <t xml:space="preserve">?PAT: za+4; .f; ↓c; ↓že</t>
  </si>
  <si>
    <t xml:space="preserve">"stáhnout-001"</t>
  </si>
  <si>
    <t xml:space="preserve">"stáhnout-002"</t>
  </si>
  <si>
    <t xml:space="preserve">"stáhnout-003"</t>
  </si>
  <si>
    <t xml:space="preserve">"stáhnout-004"</t>
  </si>
  <si>
    <t xml:space="preserve">"stáhnout-005"</t>
  </si>
  <si>
    <t xml:space="preserve">"stáhnout-006"</t>
  </si>
  <si>
    <t xml:space="preserve">Agent(ARG0/1), Affected(ARG1/1)</t>
  </si>
  <si>
    <t xml:space="preserve">"stáhnout-007"</t>
  </si>
  <si>
    <t xml:space="preserve">DPHR: z-1[kůže.S2]</t>
  </si>
  <si>
    <t xml:space="preserve">"stáhnout-008"</t>
  </si>
  <si>
    <t xml:space="preserve">"stáhnout-009"</t>
  </si>
  <si>
    <t xml:space="preserve">"stáhnout-se-001"</t>
  </si>
  <si>
    <t xml:space="preserve">"stáhnout-se-002"</t>
  </si>
  <si>
    <t xml:space="preserve">"stáhnout-se-003"</t>
  </si>
  <si>
    <t xml:space="preserve">"stárnout-001"</t>
  </si>
  <si>
    <t xml:space="preserve">"stát-001"</t>
  </si>
  <si>
    <t xml:space="preserve">PAT-&gt;Value(ARG2/136)</t>
  </si>
  <si>
    <t xml:space="preserve">"stát-002"</t>
  </si>
  <si>
    <t xml:space="preserve">ACT: 1; ↓že; .f; ↓aby; ↓jestli; ↓zda</t>
  </si>
  <si>
    <t xml:space="preserve">"stát-003"</t>
  </si>
  <si>
    <t xml:space="preserve">"stát-004"</t>
  </si>
  <si>
    <t xml:space="preserve">"stát-005"</t>
  </si>
  <si>
    <t xml:space="preserve">"stát-006"</t>
  </si>
  <si>
    <t xml:space="preserve">"stát-007"</t>
  </si>
  <si>
    <t xml:space="preserve">"stát-008"</t>
  </si>
  <si>
    <t xml:space="preserve">"stát-009"</t>
  </si>
  <si>
    <t xml:space="preserve">Protagonist(ARG0/106), Enforced(ARG1/114)</t>
  </si>
  <si>
    <t xml:space="preserve">ACT-&gt;ARG0/152,ARG1/47</t>
  </si>
  <si>
    <t xml:space="preserve">ACT-&gt;Protagonist(ARG0/106)</t>
  </si>
  <si>
    <t xml:space="preserve">PAT: za+7; při+6; proti+3; mezi+7</t>
  </si>
  <si>
    <t xml:space="preserve">PAT-&gt;ARG1/173</t>
  </si>
  <si>
    <t xml:space="preserve">PAT-&gt;Enforced(ARG1/114)</t>
  </si>
  <si>
    <t xml:space="preserve">"stát-010"</t>
  </si>
  <si>
    <t xml:space="preserve">"stát-011"</t>
  </si>
  <si>
    <t xml:space="preserve">ACT: 1; ↓že; ↓zda; ↓jak-2; ↓c; .s</t>
  </si>
  <si>
    <t xml:space="preserve">"stát-012"</t>
  </si>
  <si>
    <t xml:space="preserve">"stát-013"</t>
  </si>
  <si>
    <t xml:space="preserve">"stát-014"</t>
  </si>
  <si>
    <t xml:space="preserve">ACT-&gt;ARG0/58,ARG1/432,ARG2/4</t>
  </si>
  <si>
    <t xml:space="preserve">EXT-&gt;ARG0/3,ARG1/52,ARG2/541,ARG3/5</t>
  </si>
  <si>
    <t xml:space="preserve">EXT-&gt;Value(ARG2/136)</t>
  </si>
  <si>
    <t xml:space="preserve">PAT-&gt;ARG3/40</t>
  </si>
  <si>
    <t xml:space="preserve">PAT-&gt;Affected(ARG3/40)</t>
  </si>
  <si>
    <t xml:space="preserve">"stát-015"</t>
  </si>
  <si>
    <t xml:space="preserve">"stát-016"</t>
  </si>
  <si>
    <t xml:space="preserve">"stát-017"</t>
  </si>
  <si>
    <t xml:space="preserve">DPHR: co-5,stát-3.S$2&lt;i&gt;$8&lt;2&gt;$11&lt;A&gt;</t>
  </si>
  <si>
    <t xml:space="preserve">"stát-018"</t>
  </si>
  <si>
    <t xml:space="preserve">DPHR: na-1[noha.P6[vlastní.#]]</t>
  </si>
  <si>
    <t xml:space="preserve">"stát-019"</t>
  </si>
  <si>
    <t xml:space="preserve">DPHR: v-1[cesta.S6]</t>
  </si>
  <si>
    <t xml:space="preserve">"stát-020"</t>
  </si>
  <si>
    <t xml:space="preserve">"stát-021"</t>
  </si>
  <si>
    <t xml:space="preserve">"stát-022"</t>
  </si>
  <si>
    <t xml:space="preserve">"stát-se-001"</t>
  </si>
  <si>
    <t xml:space="preserve">PAT: 7; .a7; .a1</t>
  </si>
  <si>
    <t xml:space="preserve">"stát-se-002"</t>
  </si>
  <si>
    <t xml:space="preserve">ACT: 1; ↓c</t>
  </si>
  <si>
    <t xml:space="preserve">"stát-se-003"</t>
  </si>
  <si>
    <t xml:space="preserve">State_final(ARG2/626), State_initial(ARG1/565,ARG2/6)</t>
  </si>
  <si>
    <t xml:space="preserve">ACT-&gt;ARG2/626</t>
  </si>
  <si>
    <t xml:space="preserve">ACT-&gt;State_final</t>
  </si>
  <si>
    <t xml:space="preserve">ACT-&gt;State_final(ARG2/626)</t>
  </si>
  <si>
    <t xml:space="preserve">PAT-&gt;ARG1/565,ARG2/6</t>
  </si>
  <si>
    <t xml:space="preserve">PAT-&gt;State_initial(ARG1/565,ARG2/6)</t>
  </si>
  <si>
    <t xml:space="preserve">"stát-se-004"</t>
  </si>
  <si>
    <t xml:space="preserve">ACT: 1; ↓že; ↓aby; tak-3</t>
  </si>
  <si>
    <t xml:space="preserve">"stát-se-005"</t>
  </si>
  <si>
    <t xml:space="preserve">ACT: 1; tak-3; ↓že</t>
  </si>
  <si>
    <t xml:space="preserve">"stát-se-006"</t>
  </si>
  <si>
    <t xml:space="preserve">DPHR: rád.NS</t>
  </si>
  <si>
    <t xml:space="preserve">"stát-si-001"</t>
  </si>
  <si>
    <t xml:space="preserve">ACT-&gt;ARG0/157,ARG1/47</t>
  </si>
  <si>
    <t xml:space="preserve">PAT: za+7; na+6</t>
  </si>
  <si>
    <t xml:space="preserve">"stát-si-002"</t>
  </si>
  <si>
    <t xml:space="preserve">"stávat-001"</t>
  </si>
  <si>
    <t xml:space="preserve">"stávat-002"</t>
  </si>
  <si>
    <t xml:space="preserve">"stávat-se-001"</t>
  </si>
  <si>
    <t xml:space="preserve">"stávat-se-002"</t>
  </si>
  <si>
    <t xml:space="preserve">"stávat-se-003"</t>
  </si>
  <si>
    <t xml:space="preserve">"stávkovat-001"</t>
  </si>
  <si>
    <t xml:space="preserve">"stáčet-001"</t>
  </si>
  <si>
    <t xml:space="preserve">"stáčet-002"</t>
  </si>
  <si>
    <t xml:space="preserve">Speaker(), Information(), State_final()</t>
  </si>
  <si>
    <t xml:space="preserve">"stáčet-se-001"</t>
  </si>
  <si>
    <t xml:space="preserve">"--stáčet-se-002"</t>
  </si>
  <si>
    <t xml:space="preserve">"stáčet-se-003"</t>
  </si>
  <si>
    <t xml:space="preserve">"stékat-001"</t>
  </si>
  <si>
    <t xml:space="preserve">"sténat-001"</t>
  </si>
  <si>
    <t xml:space="preserve">"stíhat-001"</t>
  </si>
  <si>
    <t xml:space="preserve">"stíhat-002"</t>
  </si>
  <si>
    <t xml:space="preserve">"stíhat-003"</t>
  </si>
  <si>
    <t xml:space="preserve">"stínit-001"</t>
  </si>
  <si>
    <t xml:space="preserve">"stínovat-001"</t>
  </si>
  <si>
    <t xml:space="preserve">"stírat-001"</t>
  </si>
  <si>
    <t xml:space="preserve">"stísnit-se-001"</t>
  </si>
  <si>
    <t xml:space="preserve">"stísnit-se-002"</t>
  </si>
  <si>
    <t xml:space="preserve">"stýkat-se-001"</t>
  </si>
  <si>
    <t xml:space="preserve">"stýkat-se-002"</t>
  </si>
  <si>
    <t xml:space="preserve">"stýskat-se-001"</t>
  </si>
  <si>
    <t xml:space="preserve">"stěhovat-001"</t>
  </si>
  <si>
    <t xml:space="preserve">"stěhovat-002"</t>
  </si>
  <si>
    <t xml:space="preserve">"stěhovat-se-001"</t>
  </si>
  <si>
    <t xml:space="preserve">"stěsnat-001"</t>
  </si>
  <si>
    <t xml:space="preserve">"stěžovat-si-001"</t>
  </si>
  <si>
    <t xml:space="preserve">?PAT: na+4; ↓že; .s; ↓c</t>
  </si>
  <si>
    <t xml:space="preserve">"stěžovat-si-002"</t>
  </si>
  <si>
    <t xml:space="preserve">EFF: ↓že; .s; ↓c</t>
  </si>
  <si>
    <t xml:space="preserve">"stěžovávat-si-001"</t>
  </si>
  <si>
    <t xml:space="preserve">"střelit-001"</t>
  </si>
  <si>
    <t xml:space="preserve">"střelit-002"</t>
  </si>
  <si>
    <t xml:space="preserve">"střelit-003"</t>
  </si>
  <si>
    <t xml:space="preserve">"střelit-004"</t>
  </si>
  <si>
    <t xml:space="preserve">Shooter(ARG0/3), Projectile(ARG1/2)</t>
  </si>
  <si>
    <t xml:space="preserve">ACT-&gt;Shooter</t>
  </si>
  <si>
    <t xml:space="preserve">ACT-&gt;Shooter(ARG0/3)</t>
  </si>
  <si>
    <t xml:space="preserve">PAT-&gt;Projectile</t>
  </si>
  <si>
    <t xml:space="preserve">PAT-&gt;Projectile(ARG1/2)</t>
  </si>
  <si>
    <t xml:space="preserve">"střelit-005"</t>
  </si>
  <si>
    <t xml:space="preserve">"střelit-006"</t>
  </si>
  <si>
    <t xml:space="preserve">DPHR: veto.S7</t>
  </si>
  <si>
    <t xml:space="preserve">"střetnout-001"</t>
  </si>
  <si>
    <t xml:space="preserve">"střetnout-002"</t>
  </si>
  <si>
    <t xml:space="preserve">"střetnout-se-001"</t>
  </si>
  <si>
    <t xml:space="preserve">"střetnout-se-002"</t>
  </si>
  <si>
    <t xml:space="preserve">"střetávat-001"</t>
  </si>
  <si>
    <t xml:space="preserve">"střetávat-002"</t>
  </si>
  <si>
    <t xml:space="preserve">"střetávat-se-001"</t>
  </si>
  <si>
    <t xml:space="preserve">"střetávat-se-002"</t>
  </si>
  <si>
    <t xml:space="preserve">"střežit-001"</t>
  </si>
  <si>
    <t xml:space="preserve">"střihnout-si-001"</t>
  </si>
  <si>
    <t xml:space="preserve">"střádat-001"</t>
  </si>
  <si>
    <t xml:space="preserve">"střídat-001"</t>
  </si>
  <si>
    <t xml:space="preserve">?EFF: 7; s+7; za+4</t>
  </si>
  <si>
    <t xml:space="preserve">"střídat-002"</t>
  </si>
  <si>
    <t xml:space="preserve">"střídat-se-001"</t>
  </si>
  <si>
    <t xml:space="preserve">"stříhat-001"</t>
  </si>
  <si>
    <t xml:space="preserve">"stříkat-001"</t>
  </si>
  <si>
    <t xml:space="preserve">"stříkat-002"</t>
  </si>
  <si>
    <t xml:space="preserve">"stříkat-003"</t>
  </si>
  <si>
    <t xml:space="preserve">"stříkat-004"</t>
  </si>
  <si>
    <t xml:space="preserve">"střílet-001"</t>
  </si>
  <si>
    <t xml:space="preserve">"střílet-002"</t>
  </si>
  <si>
    <t xml:space="preserve">"střílet-003"</t>
  </si>
  <si>
    <t xml:space="preserve">"subvencovat-001"</t>
  </si>
  <si>
    <t xml:space="preserve">"sugerovat-001"</t>
  </si>
  <si>
    <t xml:space="preserve">"sumarizovat-001"</t>
  </si>
  <si>
    <t xml:space="preserve">"sundat-001"</t>
  </si>
  <si>
    <t xml:space="preserve">"sundat-002"</t>
  </si>
  <si>
    <t xml:space="preserve">"sundávat-001"</t>
  </si>
  <si>
    <t xml:space="preserve">"sunout-se-001"</t>
  </si>
  <si>
    <t xml:space="preserve">"sunout-se-002"</t>
  </si>
  <si>
    <t xml:space="preserve">"supervidovat-001"</t>
  </si>
  <si>
    <t xml:space="preserve">"suplovat-001"</t>
  </si>
  <si>
    <t xml:space="preserve">"suplovat-002"</t>
  </si>
  <si>
    <t xml:space="preserve">"surfovat-001"</t>
  </si>
  <si>
    <t xml:space="preserve">"surfovat-002"</t>
  </si>
  <si>
    <t xml:space="preserve">"suspendovat-001"</t>
  </si>
  <si>
    <t xml:space="preserve">"sušit-001"</t>
  </si>
  <si>
    <t xml:space="preserve">"sužovat-001"</t>
  </si>
  <si>
    <t xml:space="preserve">ACT-&gt;ARG0/34,ARG2/77</t>
  </si>
  <si>
    <t xml:space="preserve">ACT-&gt;Cause(ARG0/34,ARG2/77)</t>
  </si>
  <si>
    <t xml:space="preserve">PAT-&gt;ARG1/124</t>
  </si>
  <si>
    <t xml:space="preserve">PAT-&gt;Victim(ARG1/124)</t>
  </si>
  <si>
    <t xml:space="preserve">"svalit-001"</t>
  </si>
  <si>
    <t xml:space="preserve">"svalit-se-001"</t>
  </si>
  <si>
    <t xml:space="preserve">"svalovat-001"</t>
  </si>
  <si>
    <t xml:space="preserve">ACT-&gt;ARG0/367</t>
  </si>
  <si>
    <t xml:space="preserve">PAT-&gt;ARG1/268,ARG2/212</t>
  </si>
  <si>
    <t xml:space="preserve">ADDR-&gt;ARG1/225,ARG2/129</t>
  </si>
  <si>
    <t xml:space="preserve">"svatořečit-001"</t>
  </si>
  <si>
    <t xml:space="preserve">"svazovat-001"</t>
  </si>
  <si>
    <t xml:space="preserve">"svazovat-002"</t>
  </si>
  <si>
    <t xml:space="preserve">"svazovat-003"</t>
  </si>
  <si>
    <t xml:space="preserve">"svačit-001"</t>
  </si>
  <si>
    <t xml:space="preserve">"svařit-001"</t>
  </si>
  <si>
    <t xml:space="preserve">"svařovat-001"</t>
  </si>
  <si>
    <t xml:space="preserve">"svažovat-se-001"</t>
  </si>
  <si>
    <t xml:space="preserve">"svitnout-001"</t>
  </si>
  <si>
    <t xml:space="preserve">"svitnout-002"</t>
  </si>
  <si>
    <t xml:space="preserve">"svištět-001"</t>
  </si>
  <si>
    <t xml:space="preserve">"svištět-002"</t>
  </si>
  <si>
    <t xml:space="preserve">"svlékat-001"</t>
  </si>
  <si>
    <t xml:space="preserve">"svlékat-002"</t>
  </si>
  <si>
    <t xml:space="preserve">"svléknout-001"</t>
  </si>
  <si>
    <t xml:space="preserve">"svléknout-002"</t>
  </si>
  <si>
    <t xml:space="preserve">"svlíkat-se-001"</t>
  </si>
  <si>
    <t xml:space="preserve">"svolat-001"</t>
  </si>
  <si>
    <t xml:space="preserve">ACT-&gt;ARG0/310,ARG1/1</t>
  </si>
  <si>
    <t xml:space="preserve">PAT-&gt;ARG1/418</t>
  </si>
  <si>
    <t xml:space="preserve">"svolit-001"</t>
  </si>
  <si>
    <t xml:space="preserve">"svolovat-001"</t>
  </si>
  <si>
    <t xml:space="preserve">"svolávat-001"</t>
  </si>
  <si>
    <t xml:space="preserve">"svolávat-002"</t>
  </si>
  <si>
    <t xml:space="preserve">"svraštět-001"</t>
  </si>
  <si>
    <t xml:space="preserve">"svrbit-001"</t>
  </si>
  <si>
    <t xml:space="preserve">"svrbit-002"</t>
  </si>
  <si>
    <t xml:space="preserve">"svrbět-001"</t>
  </si>
  <si>
    <t xml:space="preserve">"svrbět-002"</t>
  </si>
  <si>
    <t xml:space="preserve">"svrhnout-001"</t>
  </si>
  <si>
    <t xml:space="preserve">"svádět-001"</t>
  </si>
  <si>
    <t xml:space="preserve">"svádět-002"</t>
  </si>
  <si>
    <t xml:space="preserve">EFF-&gt;ARG1/225,ARG2/129</t>
  </si>
  <si>
    <t xml:space="preserve">EFF-&gt;Recipient</t>
  </si>
  <si>
    <t xml:space="preserve">EFF-&gt;Recipient(ARG1/4,ARG2/124)</t>
  </si>
  <si>
    <t xml:space="preserve">EFF-&gt;Accused</t>
  </si>
  <si>
    <t xml:space="preserve">EFF-&gt;Accused(ARG1/221,ARG2/5)</t>
  </si>
  <si>
    <t xml:space="preserve">"svádět-003"</t>
  </si>
  <si>
    <t xml:space="preserve">?PAT: k+3; ↓aby; ↓ať; .f</t>
  </si>
  <si>
    <t xml:space="preserve">"svázat-001"</t>
  </si>
  <si>
    <t xml:space="preserve">"svázat-002"</t>
  </si>
  <si>
    <t xml:space="preserve">"svázat-003"</t>
  </si>
  <si>
    <t xml:space="preserve">"svázat-004"</t>
  </si>
  <si>
    <t xml:space="preserve">"svářet-001"</t>
  </si>
  <si>
    <t xml:space="preserve">"svážet-001"</t>
  </si>
  <si>
    <t xml:space="preserve">"svést-001"</t>
  </si>
  <si>
    <t xml:space="preserve">"svést-002"</t>
  </si>
  <si>
    <t xml:space="preserve">"svést-003"</t>
  </si>
  <si>
    <t xml:space="preserve">"svést-004"</t>
  </si>
  <si>
    <t xml:space="preserve">"svést-005"</t>
  </si>
  <si>
    <t xml:space="preserve">"svézt-001"</t>
  </si>
  <si>
    <t xml:space="preserve">"svézt-002"</t>
  </si>
  <si>
    <t xml:space="preserve">"svézt-003"</t>
  </si>
  <si>
    <t xml:space="preserve">"svézt-se-001"</t>
  </si>
  <si>
    <t xml:space="preserve">"svézt-se-002"</t>
  </si>
  <si>
    <t xml:space="preserve">"svíjet-se-001"</t>
  </si>
  <si>
    <t xml:space="preserve">"svírat-001"</t>
  </si>
  <si>
    <t xml:space="preserve">"svírat-002"</t>
  </si>
  <si>
    <t xml:space="preserve">"svírat-003"</t>
  </si>
  <si>
    <t xml:space="preserve">"svítat-001"</t>
  </si>
  <si>
    <t xml:space="preserve">"svítat-002"</t>
  </si>
  <si>
    <t xml:space="preserve">"svítit-001"</t>
  </si>
  <si>
    <t xml:space="preserve">"svítit-002"</t>
  </si>
  <si>
    <t xml:space="preserve">"svědit-001"</t>
  </si>
  <si>
    <t xml:space="preserve">?PAT: 1</t>
  </si>
  <si>
    <t xml:space="preserve">"svědčit-001"</t>
  </si>
  <si>
    <t xml:space="preserve">"svědčit-002"</t>
  </si>
  <si>
    <t xml:space="preserve">"svědčit-003"</t>
  </si>
  <si>
    <t xml:space="preserve">PAT: pro+4; proti+3; ↓že; {neprospěch,prospěch}.S4/AuxP[v-1,.2]; v-1[{prospěch,neprospěch}.S4[.u#]]</t>
  </si>
  <si>
    <t xml:space="preserve">"svědčit-004"</t>
  </si>
  <si>
    <t xml:space="preserve">"svědět-001"</t>
  </si>
  <si>
    <t xml:space="preserve">"svědět-002"</t>
  </si>
  <si>
    <t xml:space="preserve">"světit-001"</t>
  </si>
  <si>
    <t xml:space="preserve">"světit-002"</t>
  </si>
  <si>
    <t xml:space="preserve">"svěřit-001"</t>
  </si>
  <si>
    <t xml:space="preserve">Protagonist(ARG0/29), Information(ARG1/35), Audience_Addressee(ARG2/3)</t>
  </si>
  <si>
    <t xml:space="preserve">ACT-&gt;Protagonist(ARG0/29)</t>
  </si>
  <si>
    <t xml:space="preserve">PAT-&gt;Information(ARG1/35)</t>
  </si>
  <si>
    <t xml:space="preserve">ADDR-&gt;ARG2/3</t>
  </si>
  <si>
    <t xml:space="preserve">ADDR-&gt;Audience_Addressee(ARG2/3)</t>
  </si>
  <si>
    <t xml:space="preserve">"svěřit-002"</t>
  </si>
  <si>
    <t xml:space="preserve">"svěřit-003"</t>
  </si>
  <si>
    <t xml:space="preserve">"svěřit-004"</t>
  </si>
  <si>
    <t xml:space="preserve">"svěřit-se-001"</t>
  </si>
  <si>
    <t xml:space="preserve">PAT: s+7; ↓že; .s; ↓c</t>
  </si>
  <si>
    <t xml:space="preserve">"svěřovat-001"</t>
  </si>
  <si>
    <t xml:space="preserve">"svěřovat-002"</t>
  </si>
  <si>
    <t xml:space="preserve">"svěřovat-003"</t>
  </si>
  <si>
    <t xml:space="preserve">"svěřovat-se-001"</t>
  </si>
  <si>
    <t xml:space="preserve">ACT-&gt;ARG0/207,ARG1/2</t>
  </si>
  <si>
    <t xml:space="preserve">PAT-&gt;ARG1/193,ARG2/28</t>
  </si>
  <si>
    <t xml:space="preserve">ADDR-&gt;ARG2/5</t>
  </si>
  <si>
    <t xml:space="preserve">"symbolizovat-001"</t>
  </si>
  <si>
    <t xml:space="preserve">Representing(ARG1/2), Represented(ARG2/2)</t>
  </si>
  <si>
    <t xml:space="preserve">ACT-&gt;Representing(ARG1/2)</t>
  </si>
  <si>
    <t xml:space="preserve">PAT-&gt;Represented(ARG2/2)</t>
  </si>
  <si>
    <t xml:space="preserve">"sympatizovat-001"</t>
  </si>
  <si>
    <t xml:space="preserve">"synchronizovat-001"</t>
  </si>
  <si>
    <t xml:space="preserve">PAT-&gt;Entity_1(ARG1/18,ARG2/2); PAT-&gt;Entity_2(ARG2/2)</t>
  </si>
  <si>
    <t xml:space="preserve">"sypat-001"</t>
  </si>
  <si>
    <t xml:space="preserve">"sypat-002"</t>
  </si>
  <si>
    <t xml:space="preserve">"sypat-003"</t>
  </si>
  <si>
    <t xml:space="preserve">"sypat-004"</t>
  </si>
  <si>
    <t xml:space="preserve">"sypat-005"</t>
  </si>
  <si>
    <t xml:space="preserve">"sypat-006"</t>
  </si>
  <si>
    <t xml:space="preserve">DPHR: z-1[rukáv:S2]</t>
  </si>
  <si>
    <t xml:space="preserve">"sypat-se-001"</t>
  </si>
  <si>
    <t xml:space="preserve">"sytit-001"</t>
  </si>
  <si>
    <t xml:space="preserve">"sytit-002"</t>
  </si>
  <si>
    <t xml:space="preserve">"syčet-001"</t>
  </si>
  <si>
    <t xml:space="preserve">"sáhnout-001"</t>
  </si>
  <si>
    <t xml:space="preserve">"sáhnout-002"</t>
  </si>
  <si>
    <t xml:space="preserve">"sáhnout-003"</t>
  </si>
  <si>
    <t xml:space="preserve">"sáhnout-si-001"</t>
  </si>
  <si>
    <t xml:space="preserve">DPHR: na-1[dno.S4]</t>
  </si>
  <si>
    <t xml:space="preserve">"sápat-se-001"</t>
  </si>
  <si>
    <t xml:space="preserve">PAT: po+6,na+4</t>
  </si>
  <si>
    <t xml:space="preserve">"sát-001"</t>
  </si>
  <si>
    <t xml:space="preserve">"sázet-001"</t>
  </si>
  <si>
    <t xml:space="preserve">"sázet-002"</t>
  </si>
  <si>
    <t xml:space="preserve">Gambler(ARG0/16), Phenomenon(ARG2/22)</t>
  </si>
  <si>
    <t xml:space="preserve">ACT-&gt;Gambler</t>
  </si>
  <si>
    <t xml:space="preserve">ACT-&gt;Gambler(ARG0/16)</t>
  </si>
  <si>
    <t xml:space="preserve">PAT-&gt;Phenomenon(ARG2/22)</t>
  </si>
  <si>
    <t xml:space="preserve">"sázet-003"</t>
  </si>
  <si>
    <t xml:space="preserve">"sázet-004"</t>
  </si>
  <si>
    <t xml:space="preserve">"sázet-005"</t>
  </si>
  <si>
    <t xml:space="preserve">"sázet-se-001"</t>
  </si>
  <si>
    <t xml:space="preserve">Participant_1(ARG0/5), Prize(ARG1/1,ARG2/2,ARG3/1), Outcome(ARG1/1,ARG2/2), Participant_2(ARG2/1,ARG3/1)</t>
  </si>
  <si>
    <t xml:space="preserve">ACT-&gt;Participant_1(ARG0/5)</t>
  </si>
  <si>
    <t xml:space="preserve">ADDR-&gt;ARG2/1,ARG3/1</t>
  </si>
  <si>
    <t xml:space="preserve">ADDR-&gt;Participant_2(ARG2/1,ARG3/1)</t>
  </si>
  <si>
    <t xml:space="preserve">EFF: o-1[ten.NS4[že[.v]]]; o-1[ten.NS4[.c]]; ↓že</t>
  </si>
  <si>
    <t xml:space="preserve">EFF-&gt;Outcome(ARG1/1,ARG2/2)</t>
  </si>
  <si>
    <t xml:space="preserve">PAT-&gt;ARG1/1,ARG2/2,ARG3/1</t>
  </si>
  <si>
    <t xml:space="preserve">PAT-&gt;Prize(ARG1/1,ARG2/2,ARG3/1)</t>
  </si>
  <si>
    <t xml:space="preserve">"sáňkovat-001"</t>
  </si>
  <si>
    <t xml:space="preserve">"sídlit-001"</t>
  </si>
  <si>
    <t xml:space="preserve">"sílit-001"</t>
  </si>
  <si>
    <t xml:space="preserve">"sípat-001"</t>
  </si>
  <si>
    <t xml:space="preserve">"sít-001"</t>
  </si>
  <si>
    <t xml:space="preserve">Sower(ARG0/5), Sowed(ARG1/5), Place()</t>
  </si>
  <si>
    <t xml:space="preserve">ACT-&gt;Sower</t>
  </si>
  <si>
    <t xml:space="preserve">ACT-&gt;Sower(ARG0/5)</t>
  </si>
  <si>
    <t xml:space="preserve">PAT-&gt;Sowed</t>
  </si>
  <si>
    <t xml:space="preserve">PAT-&gt;Sowed(ARG1/5)</t>
  </si>
  <si>
    <t xml:space="preserve">"sýčkovat-001"</t>
  </si>
  <si>
    <t xml:space="preserve">EFF: 4; ↓že; ↓aby; ↓ať; ↓zda; ↓jak-2; .s</t>
  </si>
  <si>
    <t xml:space="preserve">"sčítat-001"</t>
  </si>
  <si>
    <t xml:space="preserve">"sžírat-001"</t>
  </si>
  <si>
    <t xml:space="preserve">"sžít-se-001"</t>
  </si>
  <si>
    <t xml:space="preserve">"tabuizovat-001"</t>
  </si>
  <si>
    <t xml:space="preserve">"tahat-001"</t>
  </si>
  <si>
    <t xml:space="preserve">DPHR: za-1[ucho.P4]</t>
  </si>
  <si>
    <t xml:space="preserve">"tahat-002"</t>
  </si>
  <si>
    <t xml:space="preserve">?PAT: 4; za+4</t>
  </si>
  <si>
    <t xml:space="preserve">"tahat-003"</t>
  </si>
  <si>
    <t xml:space="preserve">Transporter(ARG0/5), Transported(ARG1/10)</t>
  </si>
  <si>
    <t xml:space="preserve">ACT-&gt;Transporter(ARG0/5)</t>
  </si>
  <si>
    <t xml:space="preserve">PAT-&gt;Transported(ARG1/10)</t>
  </si>
  <si>
    <t xml:space="preserve">"tahat-004"</t>
  </si>
  <si>
    <t xml:space="preserve">"tahat-005"</t>
  </si>
  <si>
    <t xml:space="preserve">"tahat-006"</t>
  </si>
  <si>
    <t xml:space="preserve">"tahat-007"</t>
  </si>
  <si>
    <t xml:space="preserve">"tajit-001"</t>
  </si>
  <si>
    <t xml:space="preserve">"tajit-002"</t>
  </si>
  <si>
    <t xml:space="preserve">"tajit-se-001"</t>
  </si>
  <si>
    <t xml:space="preserve">PAT: 7; s+7; ↓že</t>
  </si>
  <si>
    <t xml:space="preserve">"taktovat-001"</t>
  </si>
  <si>
    <t xml:space="preserve">"tancovat-001"</t>
  </si>
  <si>
    <t xml:space="preserve">"tankovat-001"</t>
  </si>
  <si>
    <t xml:space="preserve">"tanout-001"</t>
  </si>
  <si>
    <t xml:space="preserve">"tančit-001"</t>
  </si>
  <si>
    <t xml:space="preserve">"tasit-001"</t>
  </si>
  <si>
    <t xml:space="preserve">"tasit-002"</t>
  </si>
  <si>
    <t xml:space="preserve">"taxikařit-001"</t>
  </si>
  <si>
    <t xml:space="preserve">"tejpovat-001"</t>
  </si>
  <si>
    <t xml:space="preserve">"telefonovat-001"</t>
  </si>
  <si>
    <t xml:space="preserve">PAT-&gt;Information(ARG1/3,ARG2/3)</t>
  </si>
  <si>
    <t xml:space="preserve">ADDR-&gt;Audience_Addressee(ARG1/45)</t>
  </si>
  <si>
    <t xml:space="preserve">"telefonovat-002"</t>
  </si>
  <si>
    <t xml:space="preserve">"telefonovat-003"</t>
  </si>
  <si>
    <t xml:space="preserve">"telefonovat-004"</t>
  </si>
  <si>
    <t xml:space="preserve">"telefonovat-005"</t>
  </si>
  <si>
    <t xml:space="preserve">DIR3-&gt;ARG1/45</t>
  </si>
  <si>
    <t xml:space="preserve">DIR3-&gt;Audience_Addressee(ARG1/45)</t>
  </si>
  <si>
    <t xml:space="preserve">"telefonovat-006"</t>
  </si>
  <si>
    <t xml:space="preserve">"telegrafovat-001"</t>
  </si>
  <si>
    <t xml:space="preserve">"tematizovat-001"</t>
  </si>
  <si>
    <t xml:space="preserve">"tendovat-001"</t>
  </si>
  <si>
    <t xml:space="preserve">"tenčit-se-001"</t>
  </si>
  <si>
    <t xml:space="preserve">"teoretizovat-001"</t>
  </si>
  <si>
    <t xml:space="preserve">PAT: ↓že; o+6</t>
  </si>
  <si>
    <t xml:space="preserve">"tepat-001"</t>
  </si>
  <si>
    <t xml:space="preserve">"tepat-002"</t>
  </si>
  <si>
    <t xml:space="preserve">"terorizovat-001"</t>
  </si>
  <si>
    <t xml:space="preserve">"testovat-001"</t>
  </si>
  <si>
    <t xml:space="preserve">"tetovat-001"</t>
  </si>
  <si>
    <t xml:space="preserve">"textovat-001"</t>
  </si>
  <si>
    <t xml:space="preserve">"tečkovat-001"</t>
  </si>
  <si>
    <t xml:space="preserve">Creator(ARG0/1,ARG2/2), Area(ARG1/3)</t>
  </si>
  <si>
    <t xml:space="preserve">ACT-&gt;ARG0/1,ARG2/2</t>
  </si>
  <si>
    <t xml:space="preserve">ACT-&gt;Creator(ARG0/1,ARG2/2)</t>
  </si>
  <si>
    <t xml:space="preserve">PAT-&gt;Area(ARG1/3)</t>
  </si>
  <si>
    <t xml:space="preserve">"tečovat-001"</t>
  </si>
  <si>
    <t xml:space="preserve">"tikat-001"</t>
  </si>
  <si>
    <t xml:space="preserve">DPHR: hodina.P1[biologický.#]</t>
  </si>
  <si>
    <t xml:space="preserve">"tipnout-001"</t>
  </si>
  <si>
    <t xml:space="preserve">"tipnout-002"</t>
  </si>
  <si>
    <t xml:space="preserve">"tipovat-001"</t>
  </si>
  <si>
    <t xml:space="preserve">?EFF: na+4; do+2; a4</t>
  </si>
  <si>
    <t xml:space="preserve">"tipovat-002"</t>
  </si>
  <si>
    <t xml:space="preserve">"tisknout-001"</t>
  </si>
  <si>
    <t xml:space="preserve">Creator(ARG0/12), Created(ARG1/24)</t>
  </si>
  <si>
    <t xml:space="preserve">ACT-&gt;Creator(ARG0/12)</t>
  </si>
  <si>
    <t xml:space="preserve">"tisknout-002"</t>
  </si>
  <si>
    <t xml:space="preserve">"tkvít-001"</t>
  </si>
  <si>
    <t xml:space="preserve">"tkvít-002"</t>
  </si>
  <si>
    <t xml:space="preserve">"tlačit-001"</t>
  </si>
  <si>
    <t xml:space="preserve">ACT-&gt;ARG0/165,ARG1/1</t>
  </si>
  <si>
    <t xml:space="preserve">PAT-&gt;ARG1/233</t>
  </si>
  <si>
    <t xml:space="preserve">DIR3-&gt;Rank</t>
  </si>
  <si>
    <t xml:space="preserve">DIR3-&gt;Rank()</t>
  </si>
  <si>
    <t xml:space="preserve">"tlačit-002"</t>
  </si>
  <si>
    <t xml:space="preserve">"tlačit-003"</t>
  </si>
  <si>
    <t xml:space="preserve">"tlačit-004"</t>
  </si>
  <si>
    <t xml:space="preserve">"tlačit-005"</t>
  </si>
  <si>
    <t xml:space="preserve">ADDR: 4; na+4</t>
  </si>
  <si>
    <t xml:space="preserve">?PAT: k+3; do+2; .f; ↓aby; ↓ať</t>
  </si>
  <si>
    <t xml:space="preserve">ACT-&gt;ARG0/855,ARG1/3,ARG2/4</t>
  </si>
  <si>
    <t xml:space="preserve">ADDR-&gt;ARG0/1,ARG1/700,ARG2/193</t>
  </si>
  <si>
    <t xml:space="preserve">PAT-&gt;ARG1/903,ARG2/372</t>
  </si>
  <si>
    <t xml:space="preserve">"tlačit-006"</t>
  </si>
  <si>
    <t xml:space="preserve">"tlačit-007"</t>
  </si>
  <si>
    <t xml:space="preserve">Force(ARG0/7), Affected(ARG1/8), State()</t>
  </si>
  <si>
    <t xml:space="preserve">ACT-&gt;Force(ARG0/7)</t>
  </si>
  <si>
    <t xml:space="preserve">DPHR: k-1[zeď.S3]</t>
  </si>
  <si>
    <t xml:space="preserve">DPHR[ke zdi]-&gt;State</t>
  </si>
  <si>
    <t xml:space="preserve">DPHR[ke zdi]-&gt;State()</t>
  </si>
  <si>
    <t xml:space="preserve">PAT-&gt;Affected(ARG1/8)</t>
  </si>
  <si>
    <t xml:space="preserve">"tlačit-008"</t>
  </si>
  <si>
    <t xml:space="preserve">DPHR: na-1[pila.S4]</t>
  </si>
  <si>
    <t xml:space="preserve">"tlačit-009"</t>
  </si>
  <si>
    <t xml:space="preserve">"tlačit-se-001"</t>
  </si>
  <si>
    <t xml:space="preserve">"tlačit-se-002"</t>
  </si>
  <si>
    <t xml:space="preserve">"tlačit-se-003"</t>
  </si>
  <si>
    <t xml:space="preserve">"tleskat-001"</t>
  </si>
  <si>
    <t xml:space="preserve">"tlouci-001"</t>
  </si>
  <si>
    <t xml:space="preserve">"tlouci-002"</t>
  </si>
  <si>
    <t xml:space="preserve">"tlouci-003"</t>
  </si>
  <si>
    <t xml:space="preserve">"tlouci-004"</t>
  </si>
  <si>
    <t xml:space="preserve">"tlouci-se-001"</t>
  </si>
  <si>
    <t xml:space="preserve">"tloustnout-001"</t>
  </si>
  <si>
    <t xml:space="preserve">"tlumit-001"</t>
  </si>
  <si>
    <t xml:space="preserve">"tlumit-002"</t>
  </si>
  <si>
    <t xml:space="preserve">"tlumočit-001"</t>
  </si>
  <si>
    <t xml:space="preserve">"tlumočit-002"</t>
  </si>
  <si>
    <t xml:space="preserve">"tmelit-001"</t>
  </si>
  <si>
    <t xml:space="preserve">"tolerovat-001"</t>
  </si>
  <si>
    <t xml:space="preserve">ADDR-&gt;Perpetrator</t>
  </si>
  <si>
    <t xml:space="preserve">ADDR-&gt;Perpetrator()</t>
  </si>
  <si>
    <t xml:space="preserve">"tolerovat-002"</t>
  </si>
  <si>
    <t xml:space="preserve">"tonout-001"</t>
  </si>
  <si>
    <t xml:space="preserve">"tonout-002"</t>
  </si>
  <si>
    <t xml:space="preserve">"topit-001"</t>
  </si>
  <si>
    <t xml:space="preserve">"topit-se-001"</t>
  </si>
  <si>
    <t xml:space="preserve">"topit-se-002"</t>
  </si>
  <si>
    <t xml:space="preserve">Affected(ARG0/4), State(ARG1/8)</t>
  </si>
  <si>
    <t xml:space="preserve">ACT-&gt;Affected(ARG0/4)</t>
  </si>
  <si>
    <t xml:space="preserve">"torpédovat-001"</t>
  </si>
  <si>
    <t xml:space="preserve">"torpédovat-002"</t>
  </si>
  <si>
    <t xml:space="preserve">"toulat-se-001"</t>
  </si>
  <si>
    <t xml:space="preserve">Mover(ARG0/3), Place()</t>
  </si>
  <si>
    <t xml:space="preserve">"toužit-001"</t>
  </si>
  <si>
    <t xml:space="preserve">PAT: po+6; .f; ↓aby</t>
  </si>
  <si>
    <t xml:space="preserve">ACT-&gt;ARG0/652</t>
  </si>
  <si>
    <t xml:space="preserve">PAT-&gt;ARG1/677,ARG2/3</t>
  </si>
  <si>
    <t xml:space="preserve">"točit-001"</t>
  </si>
  <si>
    <t xml:space="preserve">"točit-002"</t>
  </si>
  <si>
    <t xml:space="preserve">"točit-003"</t>
  </si>
  <si>
    <t xml:space="preserve">"točit-004"</t>
  </si>
  <si>
    <t xml:space="preserve">"točit-005"</t>
  </si>
  <si>
    <t xml:space="preserve">"točit-006"</t>
  </si>
  <si>
    <t xml:space="preserve">"točit-se-001"</t>
  </si>
  <si>
    <t xml:space="preserve">Focusing(), Focused()</t>
  </si>
  <si>
    <t xml:space="preserve">ACT-&gt;Focusing</t>
  </si>
  <si>
    <t xml:space="preserve">ACT-&gt;Focusing()</t>
  </si>
  <si>
    <t xml:space="preserve">PAT: kolem-1[.2]</t>
  </si>
  <si>
    <t xml:space="preserve">"točit-se-002"</t>
  </si>
  <si>
    <t xml:space="preserve">"točit-se-003"</t>
  </si>
  <si>
    <t xml:space="preserve">Experiencer(ARG1/2), Cause(ARG2/6)</t>
  </si>
  <si>
    <t xml:space="preserve">ACT-&gt;Experiencer(ARG1/2)</t>
  </si>
  <si>
    <t xml:space="preserve">DPHR: hlava.S1</t>
  </si>
  <si>
    <t xml:space="preserve">"točit-se-004"</t>
  </si>
  <si>
    <t xml:space="preserve">DPHR: záda.S7</t>
  </si>
  <si>
    <t xml:space="preserve">"točit-se-005"</t>
  </si>
  <si>
    <t xml:space="preserve">"tradovat-001"</t>
  </si>
  <si>
    <t xml:space="preserve">"trampovat-001"</t>
  </si>
  <si>
    <t xml:space="preserve">"transformovat-001"</t>
  </si>
  <si>
    <t xml:space="preserve">?EFF: na+4; v+4; k+3; do+2</t>
  </si>
  <si>
    <t xml:space="preserve">"transformovat-se-001"</t>
  </si>
  <si>
    <t xml:space="preserve">"transplantovat-001"</t>
  </si>
  <si>
    <t xml:space="preserve">"transportovat-001"</t>
  </si>
  <si>
    <t xml:space="preserve">"tratit-001"</t>
  </si>
  <si>
    <t xml:space="preserve">"traumatizovat-001"</t>
  </si>
  <si>
    <t xml:space="preserve">"trefit-001"</t>
  </si>
  <si>
    <t xml:space="preserve">"trefit-002"</t>
  </si>
  <si>
    <t xml:space="preserve">"trefit-003"</t>
  </si>
  <si>
    <t xml:space="preserve">"trefit-004"</t>
  </si>
  <si>
    <t xml:space="preserve">"trefit-005"</t>
  </si>
  <si>
    <t xml:space="preserve">DPHR: do-1[černý-1.NS2]</t>
  </si>
  <si>
    <t xml:space="preserve">"trefit-006"</t>
  </si>
  <si>
    <t xml:space="preserve">DPHR: hřebík.S4,na-1[hlavička.S4]</t>
  </si>
  <si>
    <t xml:space="preserve">"trefit-se-001"</t>
  </si>
  <si>
    <t xml:space="preserve">"trefit-se-002"</t>
  </si>
  <si>
    <t xml:space="preserve">"trefit-se-003"</t>
  </si>
  <si>
    <t xml:space="preserve">"trefovat-se-001"</t>
  </si>
  <si>
    <t xml:space="preserve">"trestat-001"</t>
  </si>
  <si>
    <t xml:space="preserve">"trhat-001"</t>
  </si>
  <si>
    <t xml:space="preserve">"trhat-002"</t>
  </si>
  <si>
    <t xml:space="preserve">"trhat-003"</t>
  </si>
  <si>
    <t xml:space="preserve">"trhat-se-001"</t>
  </si>
  <si>
    <t xml:space="preserve">"trhnout-001"</t>
  </si>
  <si>
    <t xml:space="preserve">"trhnout-se-001"</t>
  </si>
  <si>
    <t xml:space="preserve">"trhnout-se-002"</t>
  </si>
  <si>
    <t xml:space="preserve">"triumfovat-001"</t>
  </si>
  <si>
    <t xml:space="preserve">"trivializovat-001"</t>
  </si>
  <si>
    <t xml:space="preserve">"trmácet-se-001"</t>
  </si>
  <si>
    <t xml:space="preserve">"trnout-001"</t>
  </si>
  <si>
    <t xml:space="preserve">?PAT: ↓aby; ↓zda; ↓jestli</t>
  </si>
  <si>
    <t xml:space="preserve">"tropit-001"</t>
  </si>
  <si>
    <t xml:space="preserve">"troubit-001"</t>
  </si>
  <si>
    <t xml:space="preserve">"troubit-002"</t>
  </si>
  <si>
    <t xml:space="preserve">"troubit-003"</t>
  </si>
  <si>
    <t xml:space="preserve">"troufat-si-001"</t>
  </si>
  <si>
    <t xml:space="preserve">"troufnout-si-001"</t>
  </si>
  <si>
    <t xml:space="preserve">ACT-&gt;ARG0/36,ARG1/4</t>
  </si>
  <si>
    <t xml:space="preserve">"trousit-se-001"</t>
  </si>
  <si>
    <t xml:space="preserve">"trpět-001"</t>
  </si>
  <si>
    <t xml:space="preserve">"trpět-002"</t>
  </si>
  <si>
    <t xml:space="preserve">PAT: 7; na+4</t>
  </si>
  <si>
    <t xml:space="preserve">"trpět-003"</t>
  </si>
  <si>
    <t xml:space="preserve">"trpět-004"</t>
  </si>
  <si>
    <t xml:space="preserve">"truchlit-001"</t>
  </si>
  <si>
    <t xml:space="preserve">?PAT: nad+7; ↓že; ↓c</t>
  </si>
  <si>
    <t xml:space="preserve">"trucovat-001"</t>
  </si>
  <si>
    <t xml:space="preserve">"trumfnout-001"</t>
  </si>
  <si>
    <t xml:space="preserve">"trumfovat-001"</t>
  </si>
  <si>
    <t xml:space="preserve">Winner(ARG0/59), Competition(ARG1/44,ARG2/1), Loser()</t>
  </si>
  <si>
    <t xml:space="preserve">ACT-&gt;ARG0/217</t>
  </si>
  <si>
    <t xml:space="preserve">ACT-&gt;Winner(ARG0/59)</t>
  </si>
  <si>
    <t xml:space="preserve">"trvat-001"</t>
  </si>
  <si>
    <t xml:space="preserve">Action(ARG0/55,ARG1/3,ARG2/1), Protagonist(), Time(ARG1/59)</t>
  </si>
  <si>
    <t xml:space="preserve">ACT: 1; .f; ↓než-2; ↓že</t>
  </si>
  <si>
    <t xml:space="preserve">ACT-&gt;ARG0/55,ARG1/3,ARG2/1</t>
  </si>
  <si>
    <t xml:space="preserve">ACT-&gt;Action(ARG0/55,ARG1/3,ARG2/1)</t>
  </si>
  <si>
    <t xml:space="preserve">"trvat-002"</t>
  </si>
  <si>
    <t xml:space="preserve">ACT-&gt;ARG0/262,ARG1/47</t>
  </si>
  <si>
    <t xml:space="preserve">PAT-&gt;ARG1/292</t>
  </si>
  <si>
    <t xml:space="preserve">"trvat-003"</t>
  </si>
  <si>
    <t xml:space="preserve">"trvat-004"</t>
  </si>
  <si>
    <t xml:space="preserve">DPHR: na-1[svůj-1.NS6]</t>
  </si>
  <si>
    <t xml:space="preserve">DPHR-&gt;ARG1/119</t>
  </si>
  <si>
    <t xml:space="preserve">DPHR-&gt;Norm</t>
  </si>
  <si>
    <t xml:space="preserve">DPHR-&gt;Norm(ARG1/119)</t>
  </si>
  <si>
    <t xml:space="preserve">"tryskat-001"</t>
  </si>
  <si>
    <t xml:space="preserve">DIR1-&gt;ARG0/2,ARG1/50,ARG2/84</t>
  </si>
  <si>
    <t xml:space="preserve">DIR1-&gt;Source(ARG0/2,ARG1/50,ARG2/84)</t>
  </si>
  <si>
    <t xml:space="preserve">"trápit-001"</t>
  </si>
  <si>
    <t xml:space="preserve">ACT: 1; ↓zda</t>
  </si>
  <si>
    <t xml:space="preserve">ACT-&gt;ARG0/9,ARG1/11</t>
  </si>
  <si>
    <t xml:space="preserve">ACT-&gt;Situation_undesirable(ARG0/9,ARG1/11)</t>
  </si>
  <si>
    <t xml:space="preserve">PAT-&gt;ARG0/9,ARG1/16</t>
  </si>
  <si>
    <t xml:space="preserve">PAT-&gt;Affected(ARG0/9,ARG1/16)</t>
  </si>
  <si>
    <t xml:space="preserve">"trápit-se-001"</t>
  </si>
  <si>
    <t xml:space="preserve">PAT: 7; s+7; nad+7; ↓c</t>
  </si>
  <si>
    <t xml:space="preserve">"trápit-se-002"</t>
  </si>
  <si>
    <t xml:space="preserve">Experiencer(ARG1/6), Cause(ARG0/4)</t>
  </si>
  <si>
    <t xml:space="preserve">ACT-&gt;Experiencer(ARG1/6)</t>
  </si>
  <si>
    <t xml:space="preserve">"trávit-001"</t>
  </si>
  <si>
    <t xml:space="preserve">"trávit-002"</t>
  </si>
  <si>
    <t xml:space="preserve">ACMP-&gt;Manner</t>
  </si>
  <si>
    <t xml:space="preserve">ACMP-&gt;Manner(ARG1/4,ARG2/66)</t>
  </si>
  <si>
    <t xml:space="preserve">"trénovat-001"</t>
  </si>
  <si>
    <t xml:space="preserve">"trénovat-002"</t>
  </si>
  <si>
    <t xml:space="preserve">"trýznit-001"</t>
  </si>
  <si>
    <t xml:space="preserve">"trčet-001"</t>
  </si>
  <si>
    <t xml:space="preserve">"trčet-002"</t>
  </si>
  <si>
    <t xml:space="preserve">"tuhnout-001"</t>
  </si>
  <si>
    <t xml:space="preserve">"tulit-se-001"</t>
  </si>
  <si>
    <t xml:space="preserve">"turistovat-001"</t>
  </si>
  <si>
    <t xml:space="preserve">"tutlat-001"</t>
  </si>
  <si>
    <t xml:space="preserve">PAT: 4; ↓že; ↓jestli; ↓jak-2; ↓zda; ↓c</t>
  </si>
  <si>
    <t xml:space="preserve">"tutlat-002"</t>
  </si>
  <si>
    <t xml:space="preserve">"tušit-001"</t>
  </si>
  <si>
    <t xml:space="preserve">PAT: 4; ↓že; ↓c; ↓zda; ↓jak-2</t>
  </si>
  <si>
    <t xml:space="preserve">"tvarovat-001"</t>
  </si>
  <si>
    <t xml:space="preserve">"tvarovat-002"</t>
  </si>
  <si>
    <t xml:space="preserve">"tvořit-001"</t>
  </si>
  <si>
    <t xml:space="preserve">"tvořit-002"</t>
  </si>
  <si>
    <t xml:space="preserve">"tvořit-003"</t>
  </si>
  <si>
    <t xml:space="preserve">"tvořit-se-001"</t>
  </si>
  <si>
    <t xml:space="preserve">PAT-&gt;Source(ARG0/2)</t>
  </si>
  <si>
    <t xml:space="preserve">"tvrdit-001"</t>
  </si>
  <si>
    <t xml:space="preserve">"tvrdit-002"</t>
  </si>
  <si>
    <t xml:space="preserve">EFF: 4; ↓že; ↓zda; .s; ↓c; ↓jestli</t>
  </si>
  <si>
    <t xml:space="preserve">"tvrdit-003"</t>
  </si>
  <si>
    <t xml:space="preserve">DPHR: basa.S1,muzika.S4</t>
  </si>
  <si>
    <t xml:space="preserve">"tvářit-se-001"</t>
  </si>
  <si>
    <t xml:space="preserve">"tykat-001"</t>
  </si>
  <si>
    <t xml:space="preserve">"--tykat-si-001"</t>
  </si>
  <si>
    <t xml:space="preserve">"tyčit-se-001"</t>
  </si>
  <si>
    <t xml:space="preserve">"tábořit-001"</t>
  </si>
  <si>
    <t xml:space="preserve">"táhnout-001"</t>
  </si>
  <si>
    <t xml:space="preserve">Attracting(), Attractee()</t>
  </si>
  <si>
    <t xml:space="preserve">ACT-&gt;Attracting()</t>
  </si>
  <si>
    <t xml:space="preserve">PAT-&gt;Attractee()</t>
  </si>
  <si>
    <t xml:space="preserve">"táhnout-002"</t>
  </si>
  <si>
    <t xml:space="preserve">"táhnout-003"</t>
  </si>
  <si>
    <t xml:space="preserve">PAT: na+4; 1</t>
  </si>
  <si>
    <t xml:space="preserve">"táhnout-004"</t>
  </si>
  <si>
    <t xml:space="preserve">"táhnout-005"</t>
  </si>
  <si>
    <t xml:space="preserve">?PAT: k+3; za+7</t>
  </si>
  <si>
    <t xml:space="preserve">"táhnout-006"</t>
  </si>
  <si>
    <t xml:space="preserve">"táhnout-007"</t>
  </si>
  <si>
    <t xml:space="preserve">DPHR: příklad.1</t>
  </si>
  <si>
    <t xml:space="preserve">"táhnout-008"</t>
  </si>
  <si>
    <t xml:space="preserve">"táhnout-009"</t>
  </si>
  <si>
    <t xml:space="preserve">"táhnout-010"</t>
  </si>
  <si>
    <t xml:space="preserve">"táhnout-011"</t>
  </si>
  <si>
    <t xml:space="preserve">"--táhnout-012"</t>
  </si>
  <si>
    <t xml:space="preserve">"táhnout-013"</t>
  </si>
  <si>
    <t xml:space="preserve">"táhnout-se-001"</t>
  </si>
  <si>
    <t xml:space="preserve">"táhnout-se-002"</t>
  </si>
  <si>
    <t xml:space="preserve">LOC-&gt;Path</t>
  </si>
  <si>
    <t xml:space="preserve">LOC-&gt;Path()</t>
  </si>
  <si>
    <t xml:space="preserve">"táhnout-se-003"</t>
  </si>
  <si>
    <t xml:space="preserve">"táhnout-se-004"</t>
  </si>
  <si>
    <t xml:space="preserve">"táhnout-se-005"</t>
  </si>
  <si>
    <t xml:space="preserve">"táhnout-se-006"</t>
  </si>
  <si>
    <t xml:space="preserve">"tápat-001"</t>
  </si>
  <si>
    <t xml:space="preserve">Protagonist(), Issue(ARG1/1)</t>
  </si>
  <si>
    <t xml:space="preserve">"tát-001"</t>
  </si>
  <si>
    <t xml:space="preserve">"tát-002"</t>
  </si>
  <si>
    <t xml:space="preserve">"tát-003"</t>
  </si>
  <si>
    <t xml:space="preserve">"tázat-se-001"</t>
  </si>
  <si>
    <t xml:space="preserve">PAT: na+4; ↓zda; ↓jak-2; ↓jestli; ↓c; .s; ohledně[.2]</t>
  </si>
  <si>
    <t xml:space="preserve">"téci-001"</t>
  </si>
  <si>
    <t xml:space="preserve">"téci-002"</t>
  </si>
  <si>
    <t xml:space="preserve">"téci-003"</t>
  </si>
  <si>
    <t xml:space="preserve">"téci-004"</t>
  </si>
  <si>
    <t xml:space="preserve">"tíhnout-001"</t>
  </si>
  <si>
    <t xml:space="preserve">"típnout-001"</t>
  </si>
  <si>
    <t xml:space="preserve">"tísnit-se-001"</t>
  </si>
  <si>
    <t xml:space="preserve">"týkat-se-001"</t>
  </si>
  <si>
    <t xml:space="preserve">"týrat-001"</t>
  </si>
  <si>
    <t xml:space="preserve">"těsnit-001"</t>
  </si>
  <si>
    <t xml:space="preserve">"těšit-001"</t>
  </si>
  <si>
    <t xml:space="preserve">"těšit-002"</t>
  </si>
  <si>
    <t xml:space="preserve">"těšit-se-001"</t>
  </si>
  <si>
    <t xml:space="preserve">"těšit-se-002"</t>
  </si>
  <si>
    <t xml:space="preserve">PAT: na+4; ↓že; ↓c; ↓jestli</t>
  </si>
  <si>
    <t xml:space="preserve">"těšit-se-003"</t>
  </si>
  <si>
    <t xml:space="preserve">PAT: z+2; ↓že</t>
  </si>
  <si>
    <t xml:space="preserve">"těšit-se-004"</t>
  </si>
  <si>
    <t xml:space="preserve">"těšívat-se-001"</t>
  </si>
  <si>
    <t xml:space="preserve">"těžit-001"</t>
  </si>
  <si>
    <t xml:space="preserve">Agent(ARG0/2), Acquired(ARG1/7,ARG2/1)</t>
  </si>
  <si>
    <t xml:space="preserve">PAT-&gt;Acquired(ARG1/7,ARG2/1)</t>
  </si>
  <si>
    <t xml:space="preserve">"těžit-002"</t>
  </si>
  <si>
    <t xml:space="preserve">"třepat-001"</t>
  </si>
  <si>
    <t xml:space="preserve">PAT: s+7; 4</t>
  </si>
  <si>
    <t xml:space="preserve">"třepetat-se-001"</t>
  </si>
  <si>
    <t xml:space="preserve">"třepit-se-001"</t>
  </si>
  <si>
    <t xml:space="preserve">Whole(), Component()</t>
  </si>
  <si>
    <t xml:space="preserve">ACT-&gt;Whole()</t>
  </si>
  <si>
    <t xml:space="preserve">PAT-&gt;Component()</t>
  </si>
  <si>
    <t xml:space="preserve">"třpytit-se-001"</t>
  </si>
  <si>
    <t xml:space="preserve">"třást-se-001"</t>
  </si>
  <si>
    <t xml:space="preserve">"třást-se-002"</t>
  </si>
  <si>
    <t xml:space="preserve">"třást-si-001"</t>
  </si>
  <si>
    <t xml:space="preserve">"tříbit-001"</t>
  </si>
  <si>
    <t xml:space="preserve">"třídit-001"</t>
  </si>
  <si>
    <t xml:space="preserve">"třídit-002"</t>
  </si>
  <si>
    <t xml:space="preserve">"třímat-001"</t>
  </si>
  <si>
    <t xml:space="preserve">"třísknout-001"</t>
  </si>
  <si>
    <t xml:space="preserve">"třít-001"</t>
  </si>
  <si>
    <t xml:space="preserve">"ubezpečit-001"</t>
  </si>
  <si>
    <t xml:space="preserve">Communicator(ARG0/28), Issue(ARG1/15,ARG2/21), Audience_Addressee(ARG1/23)</t>
  </si>
  <si>
    <t xml:space="preserve">PAT: 7; o+6; ↓že; .s; ↓c</t>
  </si>
  <si>
    <t xml:space="preserve">PAT-&gt;Issue(ARG1/15,ARG2/21)</t>
  </si>
  <si>
    <t xml:space="preserve">ADDR-&gt;ARG1/23</t>
  </si>
  <si>
    <t xml:space="preserve">ADDR-&gt;Audience_Addressee(ARG1/23)</t>
  </si>
  <si>
    <t xml:space="preserve">"ubezpečovat-001"</t>
  </si>
  <si>
    <t xml:space="preserve">"ubližovat-001"</t>
  </si>
  <si>
    <t xml:space="preserve">ACT: 1; .f; ↓kdyby</t>
  </si>
  <si>
    <t xml:space="preserve">"ublížit-001"</t>
  </si>
  <si>
    <t xml:space="preserve">"ubodat-001"</t>
  </si>
  <si>
    <t xml:space="preserve">"ubourat-001"</t>
  </si>
  <si>
    <t xml:space="preserve">"ubrat-001"</t>
  </si>
  <si>
    <t xml:space="preserve">"ubrat-002"</t>
  </si>
  <si>
    <t xml:space="preserve">"ubrat-003"</t>
  </si>
  <si>
    <t xml:space="preserve">"ubrat-004"</t>
  </si>
  <si>
    <t xml:space="preserve">"ubrat-005"</t>
  </si>
  <si>
    <t xml:space="preserve">"ubránit-001"</t>
  </si>
  <si>
    <t xml:space="preserve">?EFF: před+7; proti+3; 3</t>
  </si>
  <si>
    <t xml:space="preserve">"ubránit-se-001"</t>
  </si>
  <si>
    <t xml:space="preserve">"--ubránit-se-002"</t>
  </si>
  <si>
    <t xml:space="preserve">PAT: 3; před+7; proti+3</t>
  </si>
  <si>
    <t xml:space="preserve">"ubytovat-001"</t>
  </si>
  <si>
    <t xml:space="preserve">"ubytovat-se-001"</t>
  </si>
  <si>
    <t xml:space="preserve">"ubytovávat-001"</t>
  </si>
  <si>
    <t xml:space="preserve">"ubytovávat-002"</t>
  </si>
  <si>
    <t xml:space="preserve">"ubytovávat-se-001"</t>
  </si>
  <si>
    <t xml:space="preserve">"--ubytovávat-se-002"</t>
  </si>
  <si>
    <t xml:space="preserve">"ubíhat-001"</t>
  </si>
  <si>
    <t xml:space="preserve">"ubíjet-001"</t>
  </si>
  <si>
    <t xml:space="preserve">"ubírat-001"</t>
  </si>
  <si>
    <t xml:space="preserve">"ubírat-se-001"</t>
  </si>
  <si>
    <t xml:space="preserve">"ubírat-se-002"</t>
  </si>
  <si>
    <t xml:space="preserve">ACT-&gt;ARG0/105,ARG1/73</t>
  </si>
  <si>
    <t xml:space="preserve">DIR3-&gt;ARG1/71,ARG2/71</t>
  </si>
  <si>
    <t xml:space="preserve">DIR3-&gt;Goal(ARG1/71,ARG2/71)</t>
  </si>
  <si>
    <t xml:space="preserve">"ubít-001"</t>
  </si>
  <si>
    <t xml:space="preserve">"ubýt-001"</t>
  </si>
  <si>
    <t xml:space="preserve">ACT: 2; 1</t>
  </si>
  <si>
    <t xml:space="preserve">"ubývat-001"</t>
  </si>
  <si>
    <t xml:space="preserve">"uběhnout-001"</t>
  </si>
  <si>
    <t xml:space="preserve">"uběhnout-002"</t>
  </si>
  <si>
    <t xml:space="preserve">"ucelit-se-001"</t>
  </si>
  <si>
    <t xml:space="preserve">"uchechtávat-se-001"</t>
  </si>
  <si>
    <t xml:space="preserve">"uchlácholit-001"</t>
  </si>
  <si>
    <t xml:space="preserve">"uchopit-001"</t>
  </si>
  <si>
    <t xml:space="preserve">"uchovat-001"</t>
  </si>
  <si>
    <t xml:space="preserve">?EFF: .a</t>
  </si>
  <si>
    <t xml:space="preserve">"uchovat-se-001"</t>
  </si>
  <si>
    <t xml:space="preserve">"uchovávat-001"</t>
  </si>
  <si>
    <t xml:space="preserve">"uchránit-001"</t>
  </si>
  <si>
    <t xml:space="preserve">"uchvacovat-001"</t>
  </si>
  <si>
    <t xml:space="preserve">"uchvátit-001"</t>
  </si>
  <si>
    <t xml:space="preserve">"uchvátit-002"</t>
  </si>
  <si>
    <t xml:space="preserve">"uchylovat-se-001"</t>
  </si>
  <si>
    <t xml:space="preserve">Protagonist(ARG0/3), Deed(ARG1/4)</t>
  </si>
  <si>
    <t xml:space="preserve">PAT-&gt;Deed(ARG1/4)</t>
  </si>
  <si>
    <t xml:space="preserve">"uchylovat-se-002"</t>
  </si>
  <si>
    <t xml:space="preserve">Mover(ARG0/10,ARG1/2), Place()</t>
  </si>
  <si>
    <t xml:space="preserve">ACT-&gt;ARG0/10,ARG1/2</t>
  </si>
  <si>
    <t xml:space="preserve">ACT-&gt;Mover(ARG0/10,ARG1/2)</t>
  </si>
  <si>
    <t xml:space="preserve">"uchytit-se-001"</t>
  </si>
  <si>
    <t xml:space="preserve">"uchytit-se-002"</t>
  </si>
  <si>
    <t xml:space="preserve">"uchytit-se-003"</t>
  </si>
  <si>
    <t xml:space="preserve">"uchytnout-se-001"</t>
  </si>
  <si>
    <t xml:space="preserve">"ucházet-se-001"</t>
  </si>
  <si>
    <t xml:space="preserve">"uchýlit-se-001"</t>
  </si>
  <si>
    <t xml:space="preserve">"uchýlit-se-002"</t>
  </si>
  <si>
    <t xml:space="preserve">"ucpat-001"</t>
  </si>
  <si>
    <t xml:space="preserve">"ucpat-se-001"</t>
  </si>
  <si>
    <t xml:space="preserve">"uctít-001"</t>
  </si>
  <si>
    <t xml:space="preserve">"uctít-002"</t>
  </si>
  <si>
    <t xml:space="preserve">"uctívat-001"</t>
  </si>
  <si>
    <t xml:space="preserve">"ucuknout-001"</t>
  </si>
  <si>
    <t xml:space="preserve">"ucvaknout-001"</t>
  </si>
  <si>
    <t xml:space="preserve">"ucvaknout-002"</t>
  </si>
  <si>
    <t xml:space="preserve">"ucítit-001"</t>
  </si>
  <si>
    <t xml:space="preserve">"ucítit-002"</t>
  </si>
  <si>
    <t xml:space="preserve">"ucítit-003"</t>
  </si>
  <si>
    <t xml:space="preserve">CPHR: {nutkání,potřeba,...}.4</t>
  </si>
  <si>
    <t xml:space="preserve">"udat-001"</t>
  </si>
  <si>
    <t xml:space="preserve">"udat-002"</t>
  </si>
  <si>
    <t xml:space="preserve">"udat-003"</t>
  </si>
  <si>
    <t xml:space="preserve">"udat-004"</t>
  </si>
  <si>
    <t xml:space="preserve">"udat-005"</t>
  </si>
  <si>
    <t xml:space="preserve">DPHR: tón.S4</t>
  </si>
  <si>
    <t xml:space="preserve">"udeřit-001"</t>
  </si>
  <si>
    <t xml:space="preserve">"udeřit-002"</t>
  </si>
  <si>
    <t xml:space="preserve">"udeřit-003"</t>
  </si>
  <si>
    <t xml:space="preserve">"udeřit-004"</t>
  </si>
  <si>
    <t xml:space="preserve">"udeřit-005"</t>
  </si>
  <si>
    <t xml:space="preserve">"udeřit-se-001"</t>
  </si>
  <si>
    <t xml:space="preserve">"udit-001"</t>
  </si>
  <si>
    <t xml:space="preserve">"udivit-001"</t>
  </si>
  <si>
    <t xml:space="preserve">PAT-&gt;Experiencer()</t>
  </si>
  <si>
    <t xml:space="preserve">"udivovat-001"</t>
  </si>
  <si>
    <t xml:space="preserve">"udobřit-se-001"</t>
  </si>
  <si>
    <t xml:space="preserve">"udolat-001"</t>
  </si>
  <si>
    <t xml:space="preserve">ACT-&gt;ARG0/243,ARG2/6</t>
  </si>
  <si>
    <t xml:space="preserve">PAT-&gt;ARG0/1,ARG1/420</t>
  </si>
  <si>
    <t xml:space="preserve">"udržet-001"</t>
  </si>
  <si>
    <t xml:space="preserve">EFF-&gt;ARG1/78</t>
  </si>
  <si>
    <t xml:space="preserve">EFF-&gt;State</t>
  </si>
  <si>
    <t xml:space="preserve">EFF-&gt;State(ARG1/78)</t>
  </si>
  <si>
    <t xml:space="preserve">"udržet-002"</t>
  </si>
  <si>
    <t xml:space="preserve">"udržet-003"</t>
  </si>
  <si>
    <t xml:space="preserve">"udržet-004"</t>
  </si>
  <si>
    <t xml:space="preserve">"udržet-005"</t>
  </si>
  <si>
    <t xml:space="preserve">#alt[MANN,LOC]-&gt;State</t>
  </si>
  <si>
    <t xml:space="preserve">#alt[MANN,LOC]-&gt;State(ARG1/78)</t>
  </si>
  <si>
    <t xml:space="preserve">MANN-&gt;ARG1/78</t>
  </si>
  <si>
    <t xml:space="preserve">"udržet-006"</t>
  </si>
  <si>
    <t xml:space="preserve">"udržet-007"</t>
  </si>
  <si>
    <t xml:space="preserve">"udržet-008"</t>
  </si>
  <si>
    <t xml:space="preserve">DPHR: tempo.S4</t>
  </si>
  <si>
    <t xml:space="preserve">"udržet-se-001"</t>
  </si>
  <si>
    <t xml:space="preserve">"udržet-se-002"</t>
  </si>
  <si>
    <t xml:space="preserve">"udržet-se-003"</t>
  </si>
  <si>
    <t xml:space="preserve">DPHR-&gt;ARG1/124,ARG2/3551,ARG3/415</t>
  </si>
  <si>
    <t xml:space="preserve">DPHR[nad vodou]-&gt;State</t>
  </si>
  <si>
    <t xml:space="preserve">DPHR[nad vodou]-&gt;State(ARG1/124,ARG2/3551,ARG3/415)</t>
  </si>
  <si>
    <t xml:space="preserve">"udržet-si-001"</t>
  </si>
  <si>
    <t xml:space="preserve">"udržovat-001"</t>
  </si>
  <si>
    <t xml:space="preserve">EFF: .a</t>
  </si>
  <si>
    <t xml:space="preserve">"udržovat-002"</t>
  </si>
  <si>
    <t xml:space="preserve">"udržovat-003"</t>
  </si>
  <si>
    <t xml:space="preserve">"udržovat-004"</t>
  </si>
  <si>
    <t xml:space="preserve">DPHR[při životě]-&gt;State</t>
  </si>
  <si>
    <t xml:space="preserve">DPHR[při životě]-&gt;State(ARG1/78)</t>
  </si>
  <si>
    <t xml:space="preserve">"udržovat-005"</t>
  </si>
  <si>
    <t xml:space="preserve">"udržovat-006"</t>
  </si>
  <si>
    <t xml:space="preserve">CPHR: {styk}.4</t>
  </si>
  <si>
    <t xml:space="preserve">"udržovat-007"</t>
  </si>
  <si>
    <t xml:space="preserve">"udržovat-se-001"</t>
  </si>
  <si>
    <t xml:space="preserve">"udusit-001"</t>
  </si>
  <si>
    <t xml:space="preserve">"udusit-002"</t>
  </si>
  <si>
    <t xml:space="preserve">"udusit-se-001"</t>
  </si>
  <si>
    <t xml:space="preserve">"udát-se-001"</t>
  </si>
  <si>
    <t xml:space="preserve">ACT: 1; ↓že; tak-3</t>
  </si>
  <si>
    <t xml:space="preserve">"udát-se-002"</t>
  </si>
  <si>
    <t xml:space="preserve">"udávat-001"</t>
  </si>
  <si>
    <t xml:space="preserve">"udávat-002"</t>
  </si>
  <si>
    <t xml:space="preserve">"udávat-003"</t>
  </si>
  <si>
    <t xml:space="preserve">"udávat-004"</t>
  </si>
  <si>
    <t xml:space="preserve">"udávat-005"</t>
  </si>
  <si>
    <t xml:space="preserve">"udávat-006"</t>
  </si>
  <si>
    <t xml:space="preserve">"udílet-001"</t>
  </si>
  <si>
    <t xml:space="preserve">"udílet-002"</t>
  </si>
  <si>
    <t xml:space="preserve">"udýchat-se-001"</t>
  </si>
  <si>
    <t xml:space="preserve">"udělat-001"</t>
  </si>
  <si>
    <t xml:space="preserve">"udělat-002"</t>
  </si>
  <si>
    <t xml:space="preserve">"udělat-003"</t>
  </si>
  <si>
    <t xml:space="preserve">ACT-&gt;ARG0/737,ARG1/8,ARG2/3</t>
  </si>
  <si>
    <t xml:space="preserve">PAT-&gt;ARG1/1214,ARG3/1,ARG4/5</t>
  </si>
  <si>
    <t xml:space="preserve">ORIG-&gt;ARG1/1,ARG2/40</t>
  </si>
  <si>
    <t xml:space="preserve">"udělat-004"</t>
  </si>
  <si>
    <t xml:space="preserve">EFF: 7; .a7; .a1</t>
  </si>
  <si>
    <t xml:space="preserve">"udělat-005"</t>
  </si>
  <si>
    <t xml:space="preserve">"udělat-006"</t>
  </si>
  <si>
    <t xml:space="preserve">PAT: 4; ↓c; ↓že</t>
  </si>
  <si>
    <t xml:space="preserve">ACT-&gt;ARG0/321,ARG1/3,ARG3/1</t>
  </si>
  <si>
    <t xml:space="preserve">PAT-&gt;ARG1/470</t>
  </si>
  <si>
    <t xml:space="preserve">"udělat-007"</t>
  </si>
  <si>
    <t xml:space="preserve">"udělat-008"</t>
  </si>
  <si>
    <t xml:space="preserve">"udělat-009"</t>
  </si>
  <si>
    <t xml:space="preserve">"udělat-010"</t>
  </si>
  <si>
    <t xml:space="preserve">CPHR: {konec,nabídka,přítrž,...}.4</t>
  </si>
  <si>
    <t xml:space="preserve">"udělat-011"</t>
  </si>
  <si>
    <t xml:space="preserve">CPHR: {rešerše,závěr,...}.4</t>
  </si>
  <si>
    <t xml:space="preserve">"udělat-012"</t>
  </si>
  <si>
    <t xml:space="preserve">CPHR: {fotka,fotečka,fotografie,snímek,zápis,záznam,...}.4</t>
  </si>
  <si>
    <t xml:space="preserve">"udělat-013"</t>
  </si>
  <si>
    <t xml:space="preserve">CPHR: {deklarace,demolice,dohoda,expertíza,chyba,kompromis,konkurz,kontrola,krok,maturita,obchod,omezení,opatření,pokrok,pokus,prohlídka,předpoklad,rozhodnutí,skok,směna,spojení,škrt,státnice,úprava,ústupek,volba,výběr,výkup,výzkum,zásah,zátah,zkouška,změna,...}.4</t>
  </si>
  <si>
    <t xml:space="preserve">"udělat-014"</t>
  </si>
  <si>
    <t xml:space="preserve">DPHR: bankrot.S4</t>
  </si>
  <si>
    <t xml:space="preserve">"udělat-015"</t>
  </si>
  <si>
    <t xml:space="preserve">DPHR: dobře.@3</t>
  </si>
  <si>
    <t xml:space="preserve">DPHR[dobře, lépe, nejlépe]-&gt;Manner</t>
  </si>
  <si>
    <t xml:space="preserve">DPHR[dobře, lépe, nejlépe]-&gt;Manner()</t>
  </si>
  <si>
    <t xml:space="preserve">"udělat-016"</t>
  </si>
  <si>
    <t xml:space="preserve">DPHR: tečka.S4</t>
  </si>
  <si>
    <t xml:space="preserve">"udělat-017"</t>
  </si>
  <si>
    <t xml:space="preserve">"udělat-018"</t>
  </si>
  <si>
    <t xml:space="preserve">DPHR: obrat.S4[o-1[sto-2.S4[osmdesát.S4[stupeň.P2]]]]</t>
  </si>
  <si>
    <t xml:space="preserve">DPHR-&gt;ARG1/38</t>
  </si>
  <si>
    <t xml:space="preserve">DPHR[obrat]-&gt;Deed</t>
  </si>
  <si>
    <t xml:space="preserve">DPHR[obrat]-&gt;Deed(ARG1/38)</t>
  </si>
  <si>
    <t xml:space="preserve">"udělat-019"</t>
  </si>
  <si>
    <t xml:space="preserve">DPHR: tak-3.d</t>
  </si>
  <si>
    <t xml:space="preserve">"udělat-020"</t>
  </si>
  <si>
    <t xml:space="preserve">DPHR: paseka.S4</t>
  </si>
  <si>
    <t xml:space="preserve">"udělat-021"</t>
  </si>
  <si>
    <t xml:space="preserve">DPHR: sekec.S4,mazec.S4</t>
  </si>
  <si>
    <t xml:space="preserve">"udělat-022"</t>
  </si>
  <si>
    <t xml:space="preserve">"udělat-023"</t>
  </si>
  <si>
    <t xml:space="preserve">"udělat-se-001"</t>
  </si>
  <si>
    <t xml:space="preserve">"udělat-se-002"</t>
  </si>
  <si>
    <t xml:space="preserve">"udělat-se-003"</t>
  </si>
  <si>
    <t xml:space="preserve">"udělat-se-004"</t>
  </si>
  <si>
    <t xml:space="preserve">"udělat-se-005"</t>
  </si>
  <si>
    <t xml:space="preserve">"udělat-si-001"</t>
  </si>
  <si>
    <t xml:space="preserve">CPHR: {čas,den,legrace,názor,představa,sranda,úsudek,...}.4</t>
  </si>
  <si>
    <t xml:space="preserve">CPHR-&gt;ARG1/3,ARG2/156</t>
  </si>
  <si>
    <t xml:space="preserve">CPHR[RSTR]-&gt;Judgment</t>
  </si>
  <si>
    <t xml:space="preserve">CPHR[RSTR]-&gt;Judgment(ARG1/3,ARG2/156)</t>
  </si>
  <si>
    <t xml:space="preserve">"udělat-si-002"</t>
  </si>
  <si>
    <t xml:space="preserve">DPHR: obrázek.S4</t>
  </si>
  <si>
    <t xml:space="preserve">"udělat-si-003"</t>
  </si>
  <si>
    <t xml:space="preserve">"udělit-001"</t>
  </si>
  <si>
    <t xml:space="preserve">"udělit-002"</t>
  </si>
  <si>
    <t xml:space="preserve">ACT-&gt;ARG0/1357,ARG1/19,ARG2/4</t>
  </si>
  <si>
    <t xml:space="preserve">CPHR: {cena-1,milost,pochvala,pokuta,právo,pravomoc,rada-1,schválení,souhlas,uznání,zákaz,...}.4</t>
  </si>
  <si>
    <t xml:space="preserve">CPHR-&gt;ARG0/1,ARG1/1838,ARG2/17</t>
  </si>
  <si>
    <t xml:space="preserve">CPHR-&gt;Provided</t>
  </si>
  <si>
    <t xml:space="preserve">CPHR-&gt;Provided(ARG1/1291,ARG2/10)</t>
  </si>
  <si>
    <t xml:space="preserve">ADDR-&gt;ARG1/92,ARG2/922,ARG3/34</t>
  </si>
  <si>
    <t xml:space="preserve">"udělovat-001"</t>
  </si>
  <si>
    <t xml:space="preserve">"udělovat-002"</t>
  </si>
  <si>
    <t xml:space="preserve">ACT-&gt;ARG0/1155,ARG1/1,ARG2/4</t>
  </si>
  <si>
    <t xml:space="preserve">CPHR: {amnestie,autorizace,cena-2,pochvala,pokuta,povinnost,povýšení,právo,rada-1,souhlas,titul,trest,uznání,výsada,zmocnění,...}.4</t>
  </si>
  <si>
    <t xml:space="preserve">CPHR-&gt;ARG1/1672,ARG2/10</t>
  </si>
  <si>
    <t xml:space="preserve">ADDR-&gt;ARG1/65,ARG2/872,ARG3/34</t>
  </si>
  <si>
    <t xml:space="preserve">"udřít-se-001"</t>
  </si>
  <si>
    <t xml:space="preserve">"uhasit-001"</t>
  </si>
  <si>
    <t xml:space="preserve">"uhlídat-001"</t>
  </si>
  <si>
    <t xml:space="preserve">"uhnout-001"</t>
  </si>
  <si>
    <t xml:space="preserve">PAT: před+7; 3</t>
  </si>
  <si>
    <t xml:space="preserve">"uhnout-002"</t>
  </si>
  <si>
    <t xml:space="preserve">"uhnít-001"</t>
  </si>
  <si>
    <t xml:space="preserve">"uhnívat-001"</t>
  </si>
  <si>
    <t xml:space="preserve">"uhnízdit-se-001"</t>
  </si>
  <si>
    <t xml:space="preserve">"uhodit-001"</t>
  </si>
  <si>
    <t xml:space="preserve">"uhodit-002"</t>
  </si>
  <si>
    <t xml:space="preserve">"uhodit-003"</t>
  </si>
  <si>
    <t xml:space="preserve">"uhodit-004"</t>
  </si>
  <si>
    <t xml:space="preserve">"uhodit-se-001"</t>
  </si>
  <si>
    <t xml:space="preserve">"uhodnout-001"</t>
  </si>
  <si>
    <t xml:space="preserve">"uhořet-001"</t>
  </si>
  <si>
    <t xml:space="preserve">"uhrabat-001"</t>
  </si>
  <si>
    <t xml:space="preserve">"uhradit-001"</t>
  </si>
  <si>
    <t xml:space="preserve">"uhradit-002"</t>
  </si>
  <si>
    <t xml:space="preserve">"uhrazovat-001"</t>
  </si>
  <si>
    <t xml:space="preserve">"uhrát-001"</t>
  </si>
  <si>
    <t xml:space="preserve">"uhynout-001"</t>
  </si>
  <si>
    <t xml:space="preserve">"uhádnout-001"</t>
  </si>
  <si>
    <t xml:space="preserve">"uhájit-001"</t>
  </si>
  <si>
    <t xml:space="preserve">"uhánět-001"</t>
  </si>
  <si>
    <t xml:space="preserve">"uhánět-002"</t>
  </si>
  <si>
    <t xml:space="preserve">"uhánět-003"</t>
  </si>
  <si>
    <t xml:space="preserve">"uhánět-004"</t>
  </si>
  <si>
    <t xml:space="preserve">"uháčkovat-001"</t>
  </si>
  <si>
    <t xml:space="preserve">"uhýbat-001"</t>
  </si>
  <si>
    <t xml:space="preserve">"ujasnit-001"</t>
  </si>
  <si>
    <t xml:space="preserve">"ujasnit-si-001"</t>
  </si>
  <si>
    <t xml:space="preserve">"ujednat-001"</t>
  </si>
  <si>
    <t xml:space="preserve">"ujednávat-001"</t>
  </si>
  <si>
    <t xml:space="preserve">"ujet-001"</t>
  </si>
  <si>
    <t xml:space="preserve">"ujet-002"</t>
  </si>
  <si>
    <t xml:space="preserve">"ujet-003"</t>
  </si>
  <si>
    <t xml:space="preserve">"ujet-004"</t>
  </si>
  <si>
    <t xml:space="preserve">"ujistit-001"</t>
  </si>
  <si>
    <t xml:space="preserve">"ujistit-se-001"</t>
  </si>
  <si>
    <t xml:space="preserve">PAT: 7; o+6; ↓že; .s; ↓c; ↓zda</t>
  </si>
  <si>
    <t xml:space="preserve">"ujišťovat-001"</t>
  </si>
  <si>
    <t xml:space="preserve">"ujmout-se-001"</t>
  </si>
  <si>
    <t xml:space="preserve">"ujmout-se-002"</t>
  </si>
  <si>
    <t xml:space="preserve">"ujídat-001"</t>
  </si>
  <si>
    <t xml:space="preserve">Cause(ARG0/3), Resource(ARG1/3)</t>
  </si>
  <si>
    <t xml:space="preserve">ACT-&gt;Cause(ARG0/3)</t>
  </si>
  <si>
    <t xml:space="preserve">PAT-&gt;Resource(ARG1/3)</t>
  </si>
  <si>
    <t xml:space="preserve">"ujímat-se-001"</t>
  </si>
  <si>
    <t xml:space="preserve">"ujímat-se-002"</t>
  </si>
  <si>
    <t xml:space="preserve">"ujíst-001"</t>
  </si>
  <si>
    <t xml:space="preserve">"ujít-001"</t>
  </si>
  <si>
    <t xml:space="preserve">"ujít-002"</t>
  </si>
  <si>
    <t xml:space="preserve">"ujít-003"</t>
  </si>
  <si>
    <t xml:space="preserve">ACT-&gt;ARG0/19,ARG1/89</t>
  </si>
  <si>
    <t xml:space="preserve">ACT-&gt;Ignored</t>
  </si>
  <si>
    <t xml:space="preserve">ACT-&gt;Ignored(ARG1/79)</t>
  </si>
  <si>
    <t xml:space="preserve">PAT: 1; ↓že; ↓c</t>
  </si>
  <si>
    <t xml:space="preserve">PAT-&gt;ARG0/52,ARG1/22,ARG2/8</t>
  </si>
  <si>
    <t xml:space="preserve">PAT-&gt;Ignorer</t>
  </si>
  <si>
    <t xml:space="preserve">PAT-&gt;Ignorer(ARG0/52)</t>
  </si>
  <si>
    <t xml:space="preserve">"ujít-004"</t>
  </si>
  <si>
    <t xml:space="preserve">"ujíždět-001"</t>
  </si>
  <si>
    <t xml:space="preserve">"ujíždět-002"</t>
  </si>
  <si>
    <t xml:space="preserve">"ukamenovat-001"</t>
  </si>
  <si>
    <t xml:space="preserve">"ukapávat-001"</t>
  </si>
  <si>
    <t xml:space="preserve">"ukazovat-001"</t>
  </si>
  <si>
    <t xml:space="preserve">"ukazovat-002"</t>
  </si>
  <si>
    <t xml:space="preserve">ADDR-&gt;ARG1/44</t>
  </si>
  <si>
    <t xml:space="preserve">"ukazovat-003"</t>
  </si>
  <si>
    <t xml:space="preserve">"ukazovat-004"</t>
  </si>
  <si>
    <t xml:space="preserve">EFF-&gt;ARG1/83</t>
  </si>
  <si>
    <t xml:space="preserve">EFF-&gt;Proved</t>
  </si>
  <si>
    <t xml:space="preserve">EFF-&gt;Proved(ARG1/83)</t>
  </si>
  <si>
    <t xml:space="preserve">"ukazovat-005"</t>
  </si>
  <si>
    <t xml:space="preserve">"ukazovat-006"</t>
  </si>
  <si>
    <t xml:space="preserve">CPHR: {lítost,...}</t>
  </si>
  <si>
    <t xml:space="preserve">"ukazovat-007"</t>
  </si>
  <si>
    <t xml:space="preserve">"ukazovat-se-001"</t>
  </si>
  <si>
    <t xml:space="preserve">Phenomenon(ARG0/4,ARG1/64,ARG2/2), Attribute(ARG1/33)</t>
  </si>
  <si>
    <t xml:space="preserve">ACT-&gt;ARG0/4,ARG1/64,ARG2/2</t>
  </si>
  <si>
    <t xml:space="preserve">ACT-&gt;Phenomenon(ARG0/4,ARG1/64,ARG2/2)</t>
  </si>
  <si>
    <t xml:space="preserve">PAT: 7; 1[{jako,jakožto}:/AuxY]; být[.7]; .a1[{jako,jakožto}:/AuxY]</t>
  </si>
  <si>
    <t xml:space="preserve">PAT-&gt;Attribute(ARG1/33)</t>
  </si>
  <si>
    <t xml:space="preserve">"ukazovat-se-002"</t>
  </si>
  <si>
    <t xml:space="preserve">"ukazovat-se-003"</t>
  </si>
  <si>
    <t xml:space="preserve">"ukazovat-se-004"</t>
  </si>
  <si>
    <t xml:space="preserve">"ukazovat-se-005"</t>
  </si>
  <si>
    <t xml:space="preserve">ACT: 1; ↓že; ↓zda</t>
  </si>
  <si>
    <t xml:space="preserve">"ukecávat-001"</t>
  </si>
  <si>
    <t xml:space="preserve">"uklidit-001"</t>
  </si>
  <si>
    <t xml:space="preserve">"uklidit-002"</t>
  </si>
  <si>
    <t xml:space="preserve">DPHR: pod-1[koberec.S4]</t>
  </si>
  <si>
    <t xml:space="preserve">"uklidnit-001"</t>
  </si>
  <si>
    <t xml:space="preserve">"uklidnit-se-001"</t>
  </si>
  <si>
    <t xml:space="preserve">Phenomenon(ARG1/9)</t>
  </si>
  <si>
    <t xml:space="preserve">ACT-&gt;Phenomenon(ARG1/9)</t>
  </si>
  <si>
    <t xml:space="preserve">"uklidňovat-001"</t>
  </si>
  <si>
    <t xml:space="preserve">"uklidňovat-se-001"</t>
  </si>
  <si>
    <t xml:space="preserve">"--uklidňovat-se-002"</t>
  </si>
  <si>
    <t xml:space="preserve">"uklouznout-001"</t>
  </si>
  <si>
    <t xml:space="preserve">Protagonist(ARG1/2)</t>
  </si>
  <si>
    <t xml:space="preserve">ACT-&gt;Protagonist(ARG1/2)</t>
  </si>
  <si>
    <t xml:space="preserve">"ukládat-001"</t>
  </si>
  <si>
    <t xml:space="preserve">"ukládat-002"</t>
  </si>
  <si>
    <t xml:space="preserve">"ukládat-003"</t>
  </si>
  <si>
    <t xml:space="preserve">"ukládat-004"</t>
  </si>
  <si>
    <t xml:space="preserve">"ukládat-005"</t>
  </si>
  <si>
    <t xml:space="preserve">CPHR: {penále,podmínka,pokuta,povinnost,sankce,trest,úkol,...}.4</t>
  </si>
  <si>
    <t xml:space="preserve">"ukládat-se-001"</t>
  </si>
  <si>
    <t xml:space="preserve">"uklízet-001"</t>
  </si>
  <si>
    <t xml:space="preserve">"ukojit-001"</t>
  </si>
  <si>
    <t xml:space="preserve">"ukolébat-001"</t>
  </si>
  <si>
    <t xml:space="preserve">"ukonejšit-001"</t>
  </si>
  <si>
    <t xml:space="preserve">"ukončit-001"</t>
  </si>
  <si>
    <t xml:space="preserve">"ukončit-002"</t>
  </si>
  <si>
    <t xml:space="preserve">#alt[LOC,MANN,ACMP]-&gt;Value_final</t>
  </si>
  <si>
    <t xml:space="preserve">#alt[LOC,MANN,ACMP]-&gt;Value_final(ARG1/1,ARG2/22,ARG4/38,ARGM-EXT/392,ARGM-MNR/281)</t>
  </si>
  <si>
    <t xml:space="preserve">"--ukončit-003"</t>
  </si>
  <si>
    <t xml:space="preserve">"ukončovat-001"</t>
  </si>
  <si>
    <t xml:space="preserve">"ukopnout-001"</t>
  </si>
  <si>
    <t xml:space="preserve">"ukotvit-001"</t>
  </si>
  <si>
    <t xml:space="preserve">Protagonist(ARG0/2), Asset(ARG1/4), Goal(ARG2/2)</t>
  </si>
  <si>
    <t xml:space="preserve">PAT-&gt;Asset(ARG1/4)</t>
  </si>
  <si>
    <t xml:space="preserve">LOC-&gt;Goal</t>
  </si>
  <si>
    <t xml:space="preserve">LOC-&gt;Goal(ARG2/2)</t>
  </si>
  <si>
    <t xml:space="preserve">"ukousnout-001"</t>
  </si>
  <si>
    <t xml:space="preserve">DIR1-&gt;ARG1/1,ARG2/2</t>
  </si>
  <si>
    <t xml:space="preserve">DIR1-&gt;Source(ARG1/1,ARG2/2)</t>
  </si>
  <si>
    <t xml:space="preserve">"ukousnout-002"</t>
  </si>
  <si>
    <t xml:space="preserve">"ukout-001"</t>
  </si>
  <si>
    <t xml:space="preserve">"ukovat-001"</t>
  </si>
  <si>
    <t xml:space="preserve">ACT-&gt;ARG0/71,ARG1/1</t>
  </si>
  <si>
    <t xml:space="preserve">PAT-&gt;ARG1/143</t>
  </si>
  <si>
    <t xml:space="preserve">"ukočírovat-001"</t>
  </si>
  <si>
    <t xml:space="preserve">"ukořistit-001"</t>
  </si>
  <si>
    <t xml:space="preserve">ACT-&gt;ARG0/96</t>
  </si>
  <si>
    <t xml:space="preserve">"ukradnout-001"</t>
  </si>
  <si>
    <t xml:space="preserve">"ukrajovat-001"</t>
  </si>
  <si>
    <t xml:space="preserve">"ukrajovat-002"</t>
  </si>
  <si>
    <t xml:space="preserve">"ukrojit-001"</t>
  </si>
  <si>
    <t xml:space="preserve">"ukrádat-001"</t>
  </si>
  <si>
    <t xml:space="preserve">"ukrást-001"</t>
  </si>
  <si>
    <t xml:space="preserve">"ukrýt-001"</t>
  </si>
  <si>
    <t xml:space="preserve">"ukrývat-001"</t>
  </si>
  <si>
    <t xml:space="preserve">"ukrývat-se-001"</t>
  </si>
  <si>
    <t xml:space="preserve">"ukuchtit-001"</t>
  </si>
  <si>
    <t xml:space="preserve">"ukvapit-se-001"</t>
  </si>
  <si>
    <t xml:space="preserve">"ukájet-001"</t>
  </si>
  <si>
    <t xml:space="preserve">"ukázat-001"</t>
  </si>
  <si>
    <t xml:space="preserve">"ukázat-002"</t>
  </si>
  <si>
    <t xml:space="preserve">"ukázat-003"</t>
  </si>
  <si>
    <t xml:space="preserve">"ukázat-004"</t>
  </si>
  <si>
    <t xml:space="preserve">"ukázat-005"</t>
  </si>
  <si>
    <t xml:space="preserve">DPHR: dveře.4</t>
  </si>
  <si>
    <t xml:space="preserve">"ukázat-006"</t>
  </si>
  <si>
    <t xml:space="preserve">"ukázat-se-001"</t>
  </si>
  <si>
    <t xml:space="preserve">PAT: 7; .a1; 1[{jako,jakožto}:/AuxY]; .a1[{jako,jakožto}:/AuxY]; být[.7]; být[.1]</t>
  </si>
  <si>
    <t xml:space="preserve">"ukázat-se-002"</t>
  </si>
  <si>
    <t xml:space="preserve">"ukázat-se-003"</t>
  </si>
  <si>
    <t xml:space="preserve">"ukázat-se-004"</t>
  </si>
  <si>
    <t xml:space="preserve">ACT: 1; ↓že; ↓zda; ↓jak-2; ↓c</t>
  </si>
  <si>
    <t xml:space="preserve">"ukázat-se-005"</t>
  </si>
  <si>
    <t xml:space="preserve">"ukáznit-001"</t>
  </si>
  <si>
    <t xml:space="preserve">"ukáznit-se-001"</t>
  </si>
  <si>
    <t xml:space="preserve">"ukřižovat-001"</t>
  </si>
  <si>
    <t xml:space="preserve">"ulehnout-001"</t>
  </si>
  <si>
    <t xml:space="preserve">"ulehnout-002"</t>
  </si>
  <si>
    <t xml:space="preserve">"ulehčit-001"</t>
  </si>
  <si>
    <t xml:space="preserve">"ulehčovat-001"</t>
  </si>
  <si>
    <t xml:space="preserve">"ulejvat-se-001"</t>
  </si>
  <si>
    <t xml:space="preserve">"uletět-001"</t>
  </si>
  <si>
    <t xml:space="preserve">"uletět-002"</t>
  </si>
  <si>
    <t xml:space="preserve">"ulevit-001"</t>
  </si>
  <si>
    <t xml:space="preserve">"ulevit-se-001"</t>
  </si>
  <si>
    <t xml:space="preserve">"--ulevit-se-002"</t>
  </si>
  <si>
    <t xml:space="preserve">"ulevit-si-001"</t>
  </si>
  <si>
    <t xml:space="preserve">"ulomit-001"</t>
  </si>
  <si>
    <t xml:space="preserve">"ulomit-se-001"</t>
  </si>
  <si>
    <t xml:space="preserve">"uloupit-001"</t>
  </si>
  <si>
    <t xml:space="preserve">"uloupnout-001"</t>
  </si>
  <si>
    <t xml:space="preserve">"ulovit-001"</t>
  </si>
  <si>
    <t xml:space="preserve">"ulovit-002"</t>
  </si>
  <si>
    <t xml:space="preserve">"uložit-001"</t>
  </si>
  <si>
    <t xml:space="preserve">"uložit-002"</t>
  </si>
  <si>
    <t xml:space="preserve">"uložit-003"</t>
  </si>
  <si>
    <t xml:space="preserve">"uložit-004"</t>
  </si>
  <si>
    <t xml:space="preserve">CPHR: {napomenutí,pokuta,povinnost,sankce,trest,...}.4</t>
  </si>
  <si>
    <t xml:space="preserve">"ulpívat-001"</t>
  </si>
  <si>
    <t xml:space="preserve">"ulpívat-002"</t>
  </si>
  <si>
    <t xml:space="preserve">"ulpět-001"</t>
  </si>
  <si>
    <t xml:space="preserve">PAT-&gt;ARG1/119</t>
  </si>
  <si>
    <t xml:space="preserve">"ulámat-se-001"</t>
  </si>
  <si>
    <t xml:space="preserve">"ulít-001"</t>
  </si>
  <si>
    <t xml:space="preserve">Perpetrator(), Entity()</t>
  </si>
  <si>
    <t xml:space="preserve">"umanout-si-001"</t>
  </si>
  <si>
    <t xml:space="preserve">"umisťovat-001"</t>
  </si>
  <si>
    <t xml:space="preserve">ACT-&gt;ARG0/228,ARG1/1</t>
  </si>
  <si>
    <t xml:space="preserve">PAT-&gt;ARG1/737,ARG2/3</t>
  </si>
  <si>
    <t xml:space="preserve">"umisťovat-002"</t>
  </si>
  <si>
    <t xml:space="preserve">"umisťovat-se-001"</t>
  </si>
  <si>
    <t xml:space="preserve">"umlknout-001"</t>
  </si>
  <si>
    <t xml:space="preserve">"umlknout-002"</t>
  </si>
  <si>
    <t xml:space="preserve">"umluvit-001"</t>
  </si>
  <si>
    <t xml:space="preserve">?PAT: ↓aby; ↓že</t>
  </si>
  <si>
    <t xml:space="preserve">"umlčet-001"</t>
  </si>
  <si>
    <t xml:space="preserve">"umlčovat-001"</t>
  </si>
  <si>
    <t xml:space="preserve">"umocnit-001"</t>
  </si>
  <si>
    <t xml:space="preserve">"umocnit-002"</t>
  </si>
  <si>
    <t xml:space="preserve">"umocňovat-001"</t>
  </si>
  <si>
    <t xml:space="preserve">"umocňovat-002"</t>
  </si>
  <si>
    <t xml:space="preserve">"umoudřit-se-001"</t>
  </si>
  <si>
    <t xml:space="preserve">"umoudřit-se-002"</t>
  </si>
  <si>
    <t xml:space="preserve">"umořit-001"</t>
  </si>
  <si>
    <t xml:space="preserve">"umořovat-001"</t>
  </si>
  <si>
    <t xml:space="preserve">"umožnit-001"</t>
  </si>
  <si>
    <t xml:space="preserve">PAT: 4; .f; ↓že; ↓aby; ↓aby</t>
  </si>
  <si>
    <t xml:space="preserve">PAT-&gt;ARG1/921,ARG2/3</t>
  </si>
  <si>
    <t xml:space="preserve">"umožnit-002"</t>
  </si>
  <si>
    <t xml:space="preserve">PAT-&gt;ARG1/995,ARG2/87</t>
  </si>
  <si>
    <t xml:space="preserve">PAT[ACT]-&gt;Affected; PAT-&gt;Permitted</t>
  </si>
  <si>
    <t xml:space="preserve">PAT[ACT]-&gt;Affected(ARG1/455,ARG2/84); PAT-&gt;Permitted(ARG1/540,ARG2/3)</t>
  </si>
  <si>
    <t xml:space="preserve">"umožňovat-001"</t>
  </si>
  <si>
    <t xml:space="preserve">"umožňovat-002"</t>
  </si>
  <si>
    <t xml:space="preserve">"umíchat-001"</t>
  </si>
  <si>
    <t xml:space="preserve">"umínit-si-001"</t>
  </si>
  <si>
    <t xml:space="preserve">PAT: 4; ↓že; ↓jak-2; ↓aby; .f; ↓c</t>
  </si>
  <si>
    <t xml:space="preserve">"umírat-001"</t>
  </si>
  <si>
    <t xml:space="preserve">"umírnit-001"</t>
  </si>
  <si>
    <t xml:space="preserve">"umístit-001"</t>
  </si>
  <si>
    <t xml:space="preserve">"umístit-002"</t>
  </si>
  <si>
    <t xml:space="preserve">"umístit-se-001"</t>
  </si>
  <si>
    <t xml:space="preserve">"umísťovat-001"</t>
  </si>
  <si>
    <t xml:space="preserve">PAT-&gt;ARG1/575</t>
  </si>
  <si>
    <t xml:space="preserve">LOC-&gt;ARG1/2</t>
  </si>
  <si>
    <t xml:space="preserve">"umísťovat-002"</t>
  </si>
  <si>
    <t xml:space="preserve">"umísťovat-se-001"</t>
  </si>
  <si>
    <t xml:space="preserve">"umýt-001"</t>
  </si>
  <si>
    <t xml:space="preserve">PAT-&gt;ARG1/62,ARG2/6</t>
  </si>
  <si>
    <t xml:space="preserve">"umýt-si-001"</t>
  </si>
  <si>
    <t xml:space="preserve">Protagonist(ARG0/2), Undesirable(ARG1/2)</t>
  </si>
  <si>
    <t xml:space="preserve">DPHR: ruka.P4</t>
  </si>
  <si>
    <t xml:space="preserve">"umývat-001"</t>
  </si>
  <si>
    <t xml:space="preserve">"umět-001"</t>
  </si>
  <si>
    <t xml:space="preserve">"umřít-001"</t>
  </si>
  <si>
    <t xml:space="preserve">"unavit-001"</t>
  </si>
  <si>
    <t xml:space="preserve">"unavit-se-001"</t>
  </si>
  <si>
    <t xml:space="preserve">Protagonist(ARG0/6,ARG1/13)</t>
  </si>
  <si>
    <t xml:space="preserve">ACT-&gt;ARG0/6,ARG1/13</t>
  </si>
  <si>
    <t xml:space="preserve">ACT-&gt;Protagonist(ARG0/6,ARG1/13)</t>
  </si>
  <si>
    <t xml:space="preserve">"unavovat-001"</t>
  </si>
  <si>
    <t xml:space="preserve">"unikat-001"</t>
  </si>
  <si>
    <t xml:space="preserve">"unikat-002"</t>
  </si>
  <si>
    <t xml:space="preserve">"unikat-003"</t>
  </si>
  <si>
    <t xml:space="preserve">"unikat-004"</t>
  </si>
  <si>
    <t xml:space="preserve">"uniknout-001"</t>
  </si>
  <si>
    <t xml:space="preserve">"uniknout-002"</t>
  </si>
  <si>
    <t xml:space="preserve">"uniknout-003"</t>
  </si>
  <si>
    <t xml:space="preserve">"uniknout-004"</t>
  </si>
  <si>
    <t xml:space="preserve">"uniknout-005"</t>
  </si>
  <si>
    <t xml:space="preserve">ACT-&gt;ARG0/26,ARG1/1</t>
  </si>
  <si>
    <t xml:space="preserve">"unášet-001"</t>
  </si>
  <si>
    <t xml:space="preserve">"unášet-002"</t>
  </si>
  <si>
    <t xml:space="preserve">"unášet-003"</t>
  </si>
  <si>
    <t xml:space="preserve">"unést-001"</t>
  </si>
  <si>
    <t xml:space="preserve">Perpetrator(ARG0/2), Victim(ARG1/3), Area_1(), Area_2()</t>
  </si>
  <si>
    <t xml:space="preserve">"unést-002"</t>
  </si>
  <si>
    <t xml:space="preserve">"unést-003"</t>
  </si>
  <si>
    <t xml:space="preserve">"unést-004"</t>
  </si>
  <si>
    <t xml:space="preserve">"unést-005"</t>
  </si>
  <si>
    <t xml:space="preserve">"upadat-001"</t>
  </si>
  <si>
    <t xml:space="preserve">"upadnout-001"</t>
  </si>
  <si>
    <t xml:space="preserve">"upadnout-002"</t>
  </si>
  <si>
    <t xml:space="preserve">"upadnout-003"</t>
  </si>
  <si>
    <t xml:space="preserve">"upalovat-001"</t>
  </si>
  <si>
    <t xml:space="preserve">"upamatovat-si-001"</t>
  </si>
  <si>
    <t xml:space="preserve">PAT: 4; na+4; ↓že</t>
  </si>
  <si>
    <t xml:space="preserve">"upevnit-001"</t>
  </si>
  <si>
    <t xml:space="preserve">"upevnit-002"</t>
  </si>
  <si>
    <t xml:space="preserve">"upevnit-003"</t>
  </si>
  <si>
    <t xml:space="preserve">"upevnit-004"</t>
  </si>
  <si>
    <t xml:space="preserve">"upevnit-se-001"</t>
  </si>
  <si>
    <t xml:space="preserve">ACT-&gt;ARG0/7,ARG1/51,ARG4/1</t>
  </si>
  <si>
    <t xml:space="preserve">"upevňovat-001"</t>
  </si>
  <si>
    <t xml:space="preserve">"upgradovat-001"</t>
  </si>
  <si>
    <t xml:space="preserve">ORIG-&gt;ARG2/1,ARG3/24</t>
  </si>
  <si>
    <t xml:space="preserve">ORIG-&gt;State_initial(ARG2/1,ARG3/24)</t>
  </si>
  <si>
    <t xml:space="preserve">EFF-&gt;ARG2/5,ARG4/41</t>
  </si>
  <si>
    <t xml:space="preserve">EFF-&gt;State_final(ARG2/5,ARG4/41)</t>
  </si>
  <si>
    <t xml:space="preserve">"upisovat-001"</t>
  </si>
  <si>
    <t xml:space="preserve">Owner(ARG1/8), Asset(ARG3/6), Recipient()</t>
  </si>
  <si>
    <t xml:space="preserve">ACT-&gt;Owner(ARG1/8)</t>
  </si>
  <si>
    <t xml:space="preserve">PAT-&gt;ARG3/6</t>
  </si>
  <si>
    <t xml:space="preserve">PAT-&gt;Asset(ARG3/6)</t>
  </si>
  <si>
    <t xml:space="preserve">"upisovat-se-001"</t>
  </si>
  <si>
    <t xml:space="preserve">PAT: 7; k+3; .f; ↓že</t>
  </si>
  <si>
    <t xml:space="preserve">"uplatit-001"</t>
  </si>
  <si>
    <t xml:space="preserve">"uplatnit-001"</t>
  </si>
  <si>
    <t xml:space="preserve">ACT-&gt;ARG0/360,ARG1/736,ARG2/35</t>
  </si>
  <si>
    <t xml:space="preserve">ACT-&gt;Instrument; ACT-&gt;Protagonist</t>
  </si>
  <si>
    <t xml:space="preserve">ACT-&gt;Instrument(ARG1/704,ARG2/35); ACT-&gt;Protagonist(ARG0/360,ARG1/32)</t>
  </si>
  <si>
    <t xml:space="preserve">"uplatnit-se-001"</t>
  </si>
  <si>
    <t xml:space="preserve">"--uplatňovat-001"</t>
  </si>
  <si>
    <t xml:space="preserve">"uplatňovat-002"</t>
  </si>
  <si>
    <t xml:space="preserve">ACT-&gt;ARG0/812,ARG1/32</t>
  </si>
  <si>
    <t xml:space="preserve">PAT-&gt;ARG1/1317,ARG2/37</t>
  </si>
  <si>
    <t xml:space="preserve">"uplatňovat-se-001"</t>
  </si>
  <si>
    <t xml:space="preserve">"uplavat-001"</t>
  </si>
  <si>
    <t xml:space="preserve">"uplavat-002"</t>
  </si>
  <si>
    <t xml:space="preserve">"uplynout-001"</t>
  </si>
  <si>
    <t xml:space="preserve">"uplácet-001"</t>
  </si>
  <si>
    <t xml:space="preserve">"uplést-001"</t>
  </si>
  <si>
    <t xml:space="preserve">"uplést-si-001"</t>
  </si>
  <si>
    <t xml:space="preserve">DPHR: na-1[se.4$2&lt;6&gt;],bič.S4</t>
  </si>
  <si>
    <t xml:space="preserve">"upnout-se-001"</t>
  </si>
  <si>
    <t xml:space="preserve">"upomínat-001"</t>
  </si>
  <si>
    <t xml:space="preserve">PAT: na+4; ↓že; ↓aby; ↓c; .s</t>
  </si>
  <si>
    <t xml:space="preserve">"uposlechnout-001"</t>
  </si>
  <si>
    <t xml:space="preserve">ACT-&gt;ARG0/81,ARG1/3</t>
  </si>
  <si>
    <t xml:space="preserve">PAT-&gt;ARG1/118,ARG2/2</t>
  </si>
  <si>
    <t xml:space="preserve">"upotřebit-001"</t>
  </si>
  <si>
    <t xml:space="preserve">"upotřebovat-001"</t>
  </si>
  <si>
    <t xml:space="preserve">"upoutat-001"</t>
  </si>
  <si>
    <t xml:space="preserve">"upoutat-002"</t>
  </si>
  <si>
    <t xml:space="preserve">"upoutat-003"</t>
  </si>
  <si>
    <t xml:space="preserve">DPHR: pozornost-1.S4</t>
  </si>
  <si>
    <t xml:space="preserve">"--upoutat-004"</t>
  </si>
  <si>
    <t xml:space="preserve">DPHR: pozornost</t>
  </si>
  <si>
    <t xml:space="preserve">"upoutávat-001"</t>
  </si>
  <si>
    <t xml:space="preserve">"upouštět-001"</t>
  </si>
  <si>
    <t xml:space="preserve">"upouštět-002"</t>
  </si>
  <si>
    <t xml:space="preserve">"upozadit-001"</t>
  </si>
  <si>
    <t xml:space="preserve">"upozornit-001"</t>
  </si>
  <si>
    <t xml:space="preserve">PAT: na+4; ↓že; ↓aby; ↓c; .s; ↓ať</t>
  </si>
  <si>
    <t xml:space="preserve">"upozorňovat-001"</t>
  </si>
  <si>
    <t xml:space="preserve">"upravit-001"</t>
  </si>
  <si>
    <t xml:space="preserve">"upravit-002"</t>
  </si>
  <si>
    <t xml:space="preserve">"upravit-003"</t>
  </si>
  <si>
    <t xml:space="preserve">"upravovat-001"</t>
  </si>
  <si>
    <t xml:space="preserve">"upravovat-002"</t>
  </si>
  <si>
    <t xml:space="preserve">"uprchnout-001"</t>
  </si>
  <si>
    <t xml:space="preserve">"uprosit-001"</t>
  </si>
  <si>
    <t xml:space="preserve">"uprázdnit-001"</t>
  </si>
  <si>
    <t xml:space="preserve">"upsat-001"</t>
  </si>
  <si>
    <t xml:space="preserve">"upsat-002"</t>
  </si>
  <si>
    <t xml:space="preserve">"upsat-se-001"</t>
  </si>
  <si>
    <t xml:space="preserve">"upustit-001"</t>
  </si>
  <si>
    <t xml:space="preserve">"upustit-002"</t>
  </si>
  <si>
    <t xml:space="preserve">"upálit-001"</t>
  </si>
  <si>
    <t xml:space="preserve">"upéci-001"</t>
  </si>
  <si>
    <t xml:space="preserve">"upéci-002"</t>
  </si>
  <si>
    <t xml:space="preserve">"upíchnout-se-001"</t>
  </si>
  <si>
    <t xml:space="preserve">"upíjet-001"</t>
  </si>
  <si>
    <t xml:space="preserve">"upínat-se-001"</t>
  </si>
  <si>
    <t xml:space="preserve">"upírat-001"</t>
  </si>
  <si>
    <t xml:space="preserve">"upírat-002"</t>
  </si>
  <si>
    <t xml:space="preserve">"upít-001"</t>
  </si>
  <si>
    <t xml:space="preserve">"upít-se-001"</t>
  </si>
  <si>
    <t xml:space="preserve">"upřednostnit-001"</t>
  </si>
  <si>
    <t xml:space="preserve">"upřednostňovat-001"</t>
  </si>
  <si>
    <t xml:space="preserve">"upřesnit-001"</t>
  </si>
  <si>
    <t xml:space="preserve">"upřesňovat-001"</t>
  </si>
  <si>
    <t xml:space="preserve">"upřít-001"</t>
  </si>
  <si>
    <t xml:space="preserve">"upřít-002"</t>
  </si>
  <si>
    <t xml:space="preserve">CPHR: {pozornost-1,zrak,...}.4</t>
  </si>
  <si>
    <t xml:space="preserve">"urazit-001"</t>
  </si>
  <si>
    <t xml:space="preserve">Protagonist(ARG0/4), Attitudal(ARG1/8)</t>
  </si>
  <si>
    <t xml:space="preserve">PAT-&gt;Attitudal(ARG1/8)</t>
  </si>
  <si>
    <t xml:space="preserve">"urazit-002"</t>
  </si>
  <si>
    <t xml:space="preserve">"urazit-003"</t>
  </si>
  <si>
    <t xml:space="preserve">"urazit-se-001"</t>
  </si>
  <si>
    <t xml:space="preserve">"urgovat-001"</t>
  </si>
  <si>
    <t xml:space="preserve">ACT-&gt;ARG0/503,ARG1/3,ARG2/4</t>
  </si>
  <si>
    <t xml:space="preserve">PAT-&gt;ARG1/621,ARG2/112</t>
  </si>
  <si>
    <t xml:space="preserve">"urodit-se-001"</t>
  </si>
  <si>
    <t xml:space="preserve">"uronit-001"</t>
  </si>
  <si>
    <t xml:space="preserve">DPHR: slza.S4</t>
  </si>
  <si>
    <t xml:space="preserve">"urovnat-001"</t>
  </si>
  <si>
    <t xml:space="preserve">ACT-&gt;ARG0/154,ARG2/69</t>
  </si>
  <si>
    <t xml:space="preserve">PAT-&gt;ARG0/1,ARG1/331,ARG2/8</t>
  </si>
  <si>
    <t xml:space="preserve">"urovnávat-001"</t>
  </si>
  <si>
    <t xml:space="preserve">"urvat-001"</t>
  </si>
  <si>
    <t xml:space="preserve">"urychlit-001"</t>
  </si>
  <si>
    <t xml:space="preserve">ORIG-&gt;Value_initial()</t>
  </si>
  <si>
    <t xml:space="preserve">EFF-&gt;Value_final()</t>
  </si>
  <si>
    <t xml:space="preserve">"urychlovat-001"</t>
  </si>
  <si>
    <t xml:space="preserve">"urážet-001"</t>
  </si>
  <si>
    <t xml:space="preserve">"urážet-002"</t>
  </si>
  <si>
    <t xml:space="preserve">"určit-001"</t>
  </si>
  <si>
    <t xml:space="preserve">"určit-002"</t>
  </si>
  <si>
    <t xml:space="preserve">Authority(ARG0/47), Resource(ARG1/66,ARG2/1), Targeted(ARG2/15)</t>
  </si>
  <si>
    <t xml:space="preserve">PAT-&gt;ARG1/66,ARG2/1</t>
  </si>
  <si>
    <t xml:space="preserve">PAT-&gt;Resource(ARG1/66,ARG2/1)</t>
  </si>
  <si>
    <t xml:space="preserve">ADDR-&gt;Targeted(ARG2/15)</t>
  </si>
  <si>
    <t xml:space="preserve">"určit-003"</t>
  </si>
  <si>
    <t xml:space="preserve">"určit-004"</t>
  </si>
  <si>
    <t xml:space="preserve">EFF: 7; za+4; 4[{jako,jakožto}:/AuxY]; :a4[{jako,jakožto}:/AuxY]</t>
  </si>
  <si>
    <t xml:space="preserve">"určit-005"</t>
  </si>
  <si>
    <t xml:space="preserve">ACT-&gt;ARG0/344,ARG1/5</t>
  </si>
  <si>
    <t xml:space="preserve">PAT-&gt;ARG1/742,ARG2/6</t>
  </si>
  <si>
    <t xml:space="preserve">"určit-006"</t>
  </si>
  <si>
    <t xml:space="preserve">ACT-&gt;ARG0/385,ARG2/1</t>
  </si>
  <si>
    <t xml:space="preserve">PAT-&gt;ARG1/607</t>
  </si>
  <si>
    <t xml:space="preserve">"určit-007"</t>
  </si>
  <si>
    <t xml:space="preserve">"určovat-001"</t>
  </si>
  <si>
    <t xml:space="preserve">"určovat-002"</t>
  </si>
  <si>
    <t xml:space="preserve">"určovat-003"</t>
  </si>
  <si>
    <t xml:space="preserve">"určovat-004"</t>
  </si>
  <si>
    <t xml:space="preserve">"určovat-005"</t>
  </si>
  <si>
    <t xml:space="preserve">"usadit-001"</t>
  </si>
  <si>
    <t xml:space="preserve">"usadit-002"</t>
  </si>
  <si>
    <t xml:space="preserve">"usadit-se-001"</t>
  </si>
  <si>
    <t xml:space="preserve">"usadit-se-002"</t>
  </si>
  <si>
    <t xml:space="preserve">"usadit-se-003"</t>
  </si>
  <si>
    <t xml:space="preserve">"usadit-se-004"</t>
  </si>
  <si>
    <t xml:space="preserve">"usadit-se-005"</t>
  </si>
  <si>
    <t xml:space="preserve">"usazovat-001"</t>
  </si>
  <si>
    <t xml:space="preserve">"usazovat-se-001"</t>
  </si>
  <si>
    <t xml:space="preserve">"usazovat-se-002"</t>
  </si>
  <si>
    <t xml:space="preserve">"usazovat-se-003"</t>
  </si>
  <si>
    <t xml:space="preserve">"uschnout-001"</t>
  </si>
  <si>
    <t xml:space="preserve">"uschovat-001"</t>
  </si>
  <si>
    <t xml:space="preserve">"uschovávat-001"</t>
  </si>
  <si>
    <t xml:space="preserve">"usedat-001"</t>
  </si>
  <si>
    <t xml:space="preserve">"usedat-002"</t>
  </si>
  <si>
    <t xml:space="preserve">"usednout-001"</t>
  </si>
  <si>
    <t xml:space="preserve">"usednout-002"</t>
  </si>
  <si>
    <t xml:space="preserve">"useknout-001"</t>
  </si>
  <si>
    <t xml:space="preserve">"useknout-002"</t>
  </si>
  <si>
    <t xml:space="preserve">"usilovat-001"</t>
  </si>
  <si>
    <t xml:space="preserve">PAT: o+4; ↓c; .f; ↓aby</t>
  </si>
  <si>
    <t xml:space="preserve">ACT-&gt;ARG0/561</t>
  </si>
  <si>
    <t xml:space="preserve">PAT-&gt;ARG1/750,ARG2/2</t>
  </si>
  <si>
    <t xml:space="preserve">"uskladnit-001"</t>
  </si>
  <si>
    <t xml:space="preserve">"uskladňovat-001"</t>
  </si>
  <si>
    <t xml:space="preserve">"uskočit-001"</t>
  </si>
  <si>
    <t xml:space="preserve">"uskromnit-se-001"</t>
  </si>
  <si>
    <t xml:space="preserve">"uskrovnit-se-001"</t>
  </si>
  <si>
    <t xml:space="preserve">"uskrovňovat-se-001"</t>
  </si>
  <si>
    <t xml:space="preserve">"uskutečnit-001"</t>
  </si>
  <si>
    <t xml:space="preserve">"uskutečnit-002"</t>
  </si>
  <si>
    <t xml:space="preserve">CPHR: {koupě,operace,plán,platba,prodej,příkaz,...}.4</t>
  </si>
  <si>
    <t xml:space="preserve">"--uskutečnit-003"</t>
  </si>
  <si>
    <t xml:space="preserve">CPHR: {operace,platba,prodej,příkaz,...}.4</t>
  </si>
  <si>
    <t xml:space="preserve">"uskutečnit-se-001"</t>
  </si>
  <si>
    <t xml:space="preserve">"uskutečňovat-001"</t>
  </si>
  <si>
    <t xml:space="preserve">"uskutečňovat-se-001"</t>
  </si>
  <si>
    <t xml:space="preserve">"uslyšet-001"</t>
  </si>
  <si>
    <t xml:space="preserve">"uslyšet-002"</t>
  </si>
  <si>
    <t xml:space="preserve">"uslyšet-003"</t>
  </si>
  <si>
    <t xml:space="preserve">"uslyšet-004"</t>
  </si>
  <si>
    <t xml:space="preserve">"usmažit-001"</t>
  </si>
  <si>
    <t xml:space="preserve">"usmlouvat-001"</t>
  </si>
  <si>
    <t xml:space="preserve">"usmolit-001"</t>
  </si>
  <si>
    <t xml:space="preserve">"usmrcovat-001"</t>
  </si>
  <si>
    <t xml:space="preserve">"usmrtit-001"</t>
  </si>
  <si>
    <t xml:space="preserve">"usmyslet-si-001"</t>
  </si>
  <si>
    <t xml:space="preserve">"usmát-se-001"</t>
  </si>
  <si>
    <t xml:space="preserve">"usmívat-se-001"</t>
  </si>
  <si>
    <t xml:space="preserve">"usmívat-se-002"</t>
  </si>
  <si>
    <t xml:space="preserve">"usmířit-001"</t>
  </si>
  <si>
    <t xml:space="preserve">"usmířit-002"</t>
  </si>
  <si>
    <t xml:space="preserve">"usmířit-se-001"</t>
  </si>
  <si>
    <t xml:space="preserve">"usměrnit-001"</t>
  </si>
  <si>
    <t xml:space="preserve">"usměrňovat-001"</t>
  </si>
  <si>
    <t xml:space="preserve">"usnadnit-001"</t>
  </si>
  <si>
    <t xml:space="preserve">"usnadňovat-001"</t>
  </si>
  <si>
    <t xml:space="preserve">"usnout-001"</t>
  </si>
  <si>
    <t xml:space="preserve">"usnout-002"</t>
  </si>
  <si>
    <t xml:space="preserve">"usnést-se-001"</t>
  </si>
  <si>
    <t xml:space="preserve">PAT: na+6; ↓že; ↓zda; ↓jestli; ↓c; ↓aby; .f; .s</t>
  </si>
  <si>
    <t xml:space="preserve">"usoudit-001"</t>
  </si>
  <si>
    <t xml:space="preserve">ACT-&gt;ARG0/404,ARG1/19</t>
  </si>
  <si>
    <t xml:space="preserve">PAT-&gt;ARG1/678,ARG4/3</t>
  </si>
  <si>
    <t xml:space="preserve">"usoudit-002"</t>
  </si>
  <si>
    <t xml:space="preserve">"usoužit-001"</t>
  </si>
  <si>
    <t xml:space="preserve">"uspat-001"</t>
  </si>
  <si>
    <t xml:space="preserve">"uspat-se-001"</t>
  </si>
  <si>
    <t xml:space="preserve">"uspokojit-001"</t>
  </si>
  <si>
    <t xml:space="preserve">"uspokojovat-001"</t>
  </si>
  <si>
    <t xml:space="preserve">"uspořit-001"</t>
  </si>
  <si>
    <t xml:space="preserve">Asset_controller(ARG0/19,ARG3/4), Asset(ARG1/32), Resource(ARG2/4)</t>
  </si>
  <si>
    <t xml:space="preserve">ACT-&gt;ARG0/35,ARG3/8</t>
  </si>
  <si>
    <t xml:space="preserve">ACT-&gt;Asset_controller(ARG0/19,ARG3/4)</t>
  </si>
  <si>
    <t xml:space="preserve">PAT-&gt;ARG1/59</t>
  </si>
  <si>
    <t xml:space="preserve">PAT-&gt;Asset(ARG1/32)</t>
  </si>
  <si>
    <t xml:space="preserve">"uspořádat-001"</t>
  </si>
  <si>
    <t xml:space="preserve">"uspořádat-002"</t>
  </si>
  <si>
    <t xml:space="preserve">"uspořádat-003"</t>
  </si>
  <si>
    <t xml:space="preserve">ACT-&gt;ARG0/463,ARG1/2</t>
  </si>
  <si>
    <t xml:space="preserve">PAT-&gt;ARG1/613</t>
  </si>
  <si>
    <t xml:space="preserve">"uspořádat-004"</t>
  </si>
  <si>
    <t xml:space="preserve">"uspořádávat-001"</t>
  </si>
  <si>
    <t xml:space="preserve">"uspíšit-001"</t>
  </si>
  <si>
    <t xml:space="preserve">"uspěchat-001"</t>
  </si>
  <si>
    <t xml:space="preserve">"uspět-001"</t>
  </si>
  <si>
    <t xml:space="preserve">Protagonist(ARG0/25,ARG1/13), Goal(ARG1/16)</t>
  </si>
  <si>
    <t xml:space="preserve">ACT-&gt;ARG0/25,ARG1/13</t>
  </si>
  <si>
    <t xml:space="preserve">ACT-&gt;Protagonist(ARG0/25,ARG1/13)</t>
  </si>
  <si>
    <t xml:space="preserve">PAT-&gt;Goal(ARG1/16)</t>
  </si>
  <si>
    <t xml:space="preserve">"uspět-002"</t>
  </si>
  <si>
    <t xml:space="preserve">ACT-&gt;ARG0/54,ARG1/149</t>
  </si>
  <si>
    <t xml:space="preserve">"usrkávat-001"</t>
  </si>
  <si>
    <t xml:space="preserve">"ustalovat-001"</t>
  </si>
  <si>
    <t xml:space="preserve">"ustalovat-se-001"</t>
  </si>
  <si>
    <t xml:space="preserve">"ustanovit-001"</t>
  </si>
  <si>
    <t xml:space="preserve">"ustanovit-002"</t>
  </si>
  <si>
    <t xml:space="preserve">"ustanovit-003"</t>
  </si>
  <si>
    <t xml:space="preserve">"ustanovovat-001"</t>
  </si>
  <si>
    <t xml:space="preserve">"ustat-001"</t>
  </si>
  <si>
    <t xml:space="preserve">"ustat-002"</t>
  </si>
  <si>
    <t xml:space="preserve">"ustavit-001"</t>
  </si>
  <si>
    <t xml:space="preserve">"ustavit-002"</t>
  </si>
  <si>
    <t xml:space="preserve">"ustavovat-001"</t>
  </si>
  <si>
    <t xml:space="preserve">EFF: 7; za+4; .n4[{jako,jakožto}:/AuxY]</t>
  </si>
  <si>
    <t xml:space="preserve">"ustavovat-002"</t>
  </si>
  <si>
    <t xml:space="preserve">"ustlat-001"</t>
  </si>
  <si>
    <t xml:space="preserve">"ustlat-si-001"</t>
  </si>
  <si>
    <t xml:space="preserve">"ustoupit-001"</t>
  </si>
  <si>
    <t xml:space="preserve">"ustoupit-002"</t>
  </si>
  <si>
    <t xml:space="preserve">"ustoupit-003"</t>
  </si>
  <si>
    <t xml:space="preserve">Protagonist(ARG0/2), Area(ARG1/2)</t>
  </si>
  <si>
    <t xml:space="preserve">ACT-&gt;ARG0/40,ARG1/79</t>
  </si>
  <si>
    <t xml:space="preserve">DIR1-&gt;ARG1/6</t>
  </si>
  <si>
    <t xml:space="preserve">DIR1-&gt;Area(ARG1/2)</t>
  </si>
  <si>
    <t xml:space="preserve">"ustoupit-004"</t>
  </si>
  <si>
    <t xml:space="preserve">DIR1-&gt;ARG1/2</t>
  </si>
  <si>
    <t xml:space="preserve">"ustoupit-005"</t>
  </si>
  <si>
    <t xml:space="preserve">"ustoupit-006"</t>
  </si>
  <si>
    <t xml:space="preserve">"ustrnout-001"</t>
  </si>
  <si>
    <t xml:space="preserve">"ustrojit-001"</t>
  </si>
  <si>
    <t xml:space="preserve">"ustrojit-se-001"</t>
  </si>
  <si>
    <t xml:space="preserve">"ustupovat-001"</t>
  </si>
  <si>
    <t xml:space="preserve">"ustupovat-002"</t>
  </si>
  <si>
    <t xml:space="preserve">"ustupovat-003"</t>
  </si>
  <si>
    <t xml:space="preserve">"ustupovat-004"</t>
  </si>
  <si>
    <t xml:space="preserve">"ustupovat-005"</t>
  </si>
  <si>
    <t xml:space="preserve">"ustálit-001"</t>
  </si>
  <si>
    <t xml:space="preserve">"ustálit-se-001"</t>
  </si>
  <si>
    <t xml:space="preserve">"ustát-001"</t>
  </si>
  <si>
    <t xml:space="preserve">"ustávat-001"</t>
  </si>
  <si>
    <t xml:space="preserve">"ustávat-002"</t>
  </si>
  <si>
    <t xml:space="preserve">"usuzovat-001"</t>
  </si>
  <si>
    <t xml:space="preserve">ACT-&gt;ARG0/215,ARG1/19</t>
  </si>
  <si>
    <t xml:space="preserve">PAT-&gt;ARG1/291,ARG4/3</t>
  </si>
  <si>
    <t xml:space="preserve">"usuzovat-002"</t>
  </si>
  <si>
    <t xml:space="preserve">"usušit-001"</t>
  </si>
  <si>
    <t xml:space="preserve">"usvědčit-001"</t>
  </si>
  <si>
    <t xml:space="preserve">PAT-&gt;Offense(ARG2/23)</t>
  </si>
  <si>
    <t xml:space="preserve">ADDR-&gt;ARG1/40</t>
  </si>
  <si>
    <t xml:space="preserve">ADDR-&gt;Perpetrator(ARG1/40)</t>
  </si>
  <si>
    <t xml:space="preserve">"usvědčit-002"</t>
  </si>
  <si>
    <t xml:space="preserve">EFF: 7; 4[{jako,jakožto}:/AuxY]; za+4; .a4[{jako,jakožto}:/AuxY]; za-1[.a4]</t>
  </si>
  <si>
    <t xml:space="preserve">"usvědčovat-001"</t>
  </si>
  <si>
    <t xml:space="preserve">PAT: v+6,o+6</t>
  </si>
  <si>
    <t xml:space="preserve">"usíci-001"</t>
  </si>
  <si>
    <t xml:space="preserve">"usídlit-se-001"</t>
  </si>
  <si>
    <t xml:space="preserve">"usídlit-se-002"</t>
  </si>
  <si>
    <t xml:space="preserve">"usínat-001"</t>
  </si>
  <si>
    <t xml:space="preserve">"utahat-001"</t>
  </si>
  <si>
    <t xml:space="preserve">"utahovat-001"</t>
  </si>
  <si>
    <t xml:space="preserve">Affector(ARG0/12), Manipulated(ARG1/17)</t>
  </si>
  <si>
    <t xml:space="preserve">ACT-&gt;Affector(ARG0/12)</t>
  </si>
  <si>
    <t xml:space="preserve">PAT-&gt;Manipulated(ARG1/17)</t>
  </si>
  <si>
    <t xml:space="preserve">"utahovat-002"</t>
  </si>
  <si>
    <t xml:space="preserve">DPHR: opasek.S4</t>
  </si>
  <si>
    <t xml:space="preserve">"utahovat-si-001"</t>
  </si>
  <si>
    <t xml:space="preserve">"utahovat-si-002"</t>
  </si>
  <si>
    <t xml:space="preserve">"utajovat-001"</t>
  </si>
  <si>
    <t xml:space="preserve">"utichat-001"</t>
  </si>
  <si>
    <t xml:space="preserve">"utichnout-001"</t>
  </si>
  <si>
    <t xml:space="preserve">"utišit-001"</t>
  </si>
  <si>
    <t xml:space="preserve">"utišit-002"</t>
  </si>
  <si>
    <t xml:space="preserve">"utišit-se-001"</t>
  </si>
  <si>
    <t xml:space="preserve">"utišovat-001"</t>
  </si>
  <si>
    <t xml:space="preserve">"utkat-se-001"</t>
  </si>
  <si>
    <t xml:space="preserve">"utkat-se-002"</t>
  </si>
  <si>
    <t xml:space="preserve">"utkvít-001"</t>
  </si>
  <si>
    <t xml:space="preserve">"utkvít-002"</t>
  </si>
  <si>
    <t xml:space="preserve">"utkvět-001"</t>
  </si>
  <si>
    <t xml:space="preserve">ACT: 1; .v</t>
  </si>
  <si>
    <t xml:space="preserve">"utkvět-002"</t>
  </si>
  <si>
    <t xml:space="preserve">"utkávat-se-001"</t>
  </si>
  <si>
    <t xml:space="preserve">"utkávat-se-002"</t>
  </si>
  <si>
    <t xml:space="preserve">"utlačovat-001"</t>
  </si>
  <si>
    <t xml:space="preserve">"utlouci-001"</t>
  </si>
  <si>
    <t xml:space="preserve">"utloukat-001"</t>
  </si>
  <si>
    <t xml:space="preserve">"utlumit-001"</t>
  </si>
  <si>
    <t xml:space="preserve">"utlumit-002"</t>
  </si>
  <si>
    <t xml:space="preserve">"utlumit-se-001"</t>
  </si>
  <si>
    <t xml:space="preserve">"utnout-001"</t>
  </si>
  <si>
    <t xml:space="preserve">ACT-&gt;ARG0/182,ARG1/14</t>
  </si>
  <si>
    <t xml:space="preserve">PAT-&gt;ARG1/344,ARG2/1</t>
  </si>
  <si>
    <t xml:space="preserve">"utnout-se-001"</t>
  </si>
  <si>
    <t xml:space="preserve">DPHR: mistr:S1[tesař.S1]</t>
  </si>
  <si>
    <t xml:space="preserve">"utonout-001"</t>
  </si>
  <si>
    <t xml:space="preserve">"utopit-001"</t>
  </si>
  <si>
    <t xml:space="preserve">"utopit-002"</t>
  </si>
  <si>
    <t xml:space="preserve">"utopit-se-001"</t>
  </si>
  <si>
    <t xml:space="preserve">"utratit-001"</t>
  </si>
  <si>
    <t xml:space="preserve">?EFF: za+4,na+4</t>
  </si>
  <si>
    <t xml:space="preserve">"utratit-002"</t>
  </si>
  <si>
    <t xml:space="preserve">"utratit-003"</t>
  </si>
  <si>
    <t xml:space="preserve">EXT-&gt;ARG0/1,ARG1/112,ARG2/7,ARG3/143</t>
  </si>
  <si>
    <t xml:space="preserve">EXT-&gt;Resource</t>
  </si>
  <si>
    <t xml:space="preserve">EXT-&gt;Resource(ARG0/1,ARG1/112,ARG2/7,ARG3/143)</t>
  </si>
  <si>
    <t xml:space="preserve">?PAT: za+4; na+4</t>
  </si>
  <si>
    <t xml:space="preserve">"utrhnout-001"</t>
  </si>
  <si>
    <t xml:space="preserve">"utrhnout-se-001"</t>
  </si>
  <si>
    <t xml:space="preserve">"utrhnout-se-002"</t>
  </si>
  <si>
    <t xml:space="preserve">"utrhávat-001"</t>
  </si>
  <si>
    <t xml:space="preserve">"utrousit-001"</t>
  </si>
  <si>
    <t xml:space="preserve">"utrpět-001"</t>
  </si>
  <si>
    <t xml:space="preserve">Victim(ARG0/83), Harm(ARG1/75)</t>
  </si>
  <si>
    <t xml:space="preserve">ACT-&gt;Victim(ARG0/83)</t>
  </si>
  <si>
    <t xml:space="preserve">PAT-&gt;ARG1/75</t>
  </si>
  <si>
    <t xml:space="preserve">PAT-&gt;Harm</t>
  </si>
  <si>
    <t xml:space="preserve">PAT-&gt;Harm(ARG1/75)</t>
  </si>
  <si>
    <t xml:space="preserve">"utrpět-002"</t>
  </si>
  <si>
    <t xml:space="preserve">"utrácet-001"</t>
  </si>
  <si>
    <t xml:space="preserve">"utrácet-002"</t>
  </si>
  <si>
    <t xml:space="preserve">"utržit-001"</t>
  </si>
  <si>
    <t xml:space="preserve">PAT-&gt;Acquired()</t>
  </si>
  <si>
    <t xml:space="preserve">ORIG-&gt;ARG0/66,ARG1/44</t>
  </si>
  <si>
    <t xml:space="preserve">ORIG-&gt;Source(ARG0/66,ARG1/44)</t>
  </si>
  <si>
    <t xml:space="preserve">"utržit-002"</t>
  </si>
  <si>
    <t xml:space="preserve">"utuchat-001"</t>
  </si>
  <si>
    <t xml:space="preserve">"ututlat-001"</t>
  </si>
  <si>
    <t xml:space="preserve">"utužit-001"</t>
  </si>
  <si>
    <t xml:space="preserve">"utužovat-001"</t>
  </si>
  <si>
    <t xml:space="preserve">"utvořit-001"</t>
  </si>
  <si>
    <t xml:space="preserve">ORIG-&gt;ARG1/13</t>
  </si>
  <si>
    <t xml:space="preserve">"utvořit-002"</t>
  </si>
  <si>
    <t xml:space="preserve">CPHR: {rekord}.4</t>
  </si>
  <si>
    <t xml:space="preserve">"utvořit-se-001"</t>
  </si>
  <si>
    <t xml:space="preserve">"utvrdit-001"</t>
  </si>
  <si>
    <t xml:space="preserve">PAT: v+6; ↓že; ↓c</t>
  </si>
  <si>
    <t xml:space="preserve">"utvrdit-002"</t>
  </si>
  <si>
    <t xml:space="preserve">"utvrzovat-001"</t>
  </si>
  <si>
    <t xml:space="preserve">PAT: v+6; ↓že</t>
  </si>
  <si>
    <t xml:space="preserve">"utvrzovat-002"</t>
  </si>
  <si>
    <t xml:space="preserve">"utvářet-001"</t>
  </si>
  <si>
    <t xml:space="preserve">"utvářet-se-001"</t>
  </si>
  <si>
    <t xml:space="preserve">"utábořit-se-001"</t>
  </si>
  <si>
    <t xml:space="preserve">"utáhnout-001"</t>
  </si>
  <si>
    <t xml:space="preserve">"utáhnout-002"</t>
  </si>
  <si>
    <t xml:space="preserve">"utáhnout-003"</t>
  </si>
  <si>
    <t xml:space="preserve">"utápět-se-001"</t>
  </si>
  <si>
    <t xml:space="preserve">"utéci-001"</t>
  </si>
  <si>
    <t xml:space="preserve">ACT-&gt;ARG1/22,ARG2/8</t>
  </si>
  <si>
    <t xml:space="preserve">ACT-&gt;Desirable(ARG1/22,ARG2/8)</t>
  </si>
  <si>
    <t xml:space="preserve">PAT-&gt;ARG0/19,ARG1/10</t>
  </si>
  <si>
    <t xml:space="preserve">PAT-&gt;Protagonist(ARG0/19,ARG1/10)</t>
  </si>
  <si>
    <t xml:space="preserve">"utéci-002"</t>
  </si>
  <si>
    <t xml:space="preserve">"utéci-003"</t>
  </si>
  <si>
    <t xml:space="preserve">"utéci-se-001"</t>
  </si>
  <si>
    <t xml:space="preserve">"utíkat-001"</t>
  </si>
  <si>
    <t xml:space="preserve">"utíkat-002"</t>
  </si>
  <si>
    <t xml:space="preserve">"utíkat-003"</t>
  </si>
  <si>
    <t xml:space="preserve">"utírat-001"</t>
  </si>
  <si>
    <t xml:space="preserve">"utěšit-001"</t>
  </si>
  <si>
    <t xml:space="preserve">"utěšovat-001"</t>
  </si>
  <si>
    <t xml:space="preserve">"utřídit-001"</t>
  </si>
  <si>
    <t xml:space="preserve">"utřít-001"</t>
  </si>
  <si>
    <t xml:space="preserve">"uvadnout-001"</t>
  </si>
  <si>
    <t xml:space="preserve">"uvadnout-002"</t>
  </si>
  <si>
    <t xml:space="preserve">"uvalit-001"</t>
  </si>
  <si>
    <t xml:space="preserve">"uvalit-002"</t>
  </si>
  <si>
    <t xml:space="preserve">CPHR: {blokáda,břemeno,clo,daň,dluh,embargo,exekuce,hypotéka,karanténa,moratorium,opatření,penále,platba,podmínka,poplatek,právo,sankce,správa,úrok,vazba-1,zákaz,zátěž,...}.4</t>
  </si>
  <si>
    <t xml:space="preserve">ADDR: na+4; vůči+3</t>
  </si>
  <si>
    <t xml:space="preserve">"uvalovat-001"</t>
  </si>
  <si>
    <t xml:space="preserve">"uvalovat-002"</t>
  </si>
  <si>
    <t xml:space="preserve">CPHR: {blokáda,clo,daň,embargo,exekuce,hypotéka,karanténa,podmínka,poplatek,sankce,standarda,vazba-1,...}.4</t>
  </si>
  <si>
    <t xml:space="preserve">"uvařit-001"</t>
  </si>
  <si>
    <t xml:space="preserve">"uvařit-002"</t>
  </si>
  <si>
    <t xml:space="preserve">"uvažovat-001"</t>
  </si>
  <si>
    <t xml:space="preserve">"uvažovat-002"</t>
  </si>
  <si>
    <t xml:space="preserve">PAT: o+6; nad+7; ↓že; ↓zda; ↓jestli; ↓c; .s</t>
  </si>
  <si>
    <t xml:space="preserve">"uvažovat-003"</t>
  </si>
  <si>
    <t xml:space="preserve">"uvažovat-004"</t>
  </si>
  <si>
    <t xml:space="preserve">"uveřejnit-001"</t>
  </si>
  <si>
    <t xml:space="preserve">"uveřejnit-002"</t>
  </si>
  <si>
    <t xml:space="preserve">"uveřejňovat-001"</t>
  </si>
  <si>
    <t xml:space="preserve">"uveřejňovat-002"</t>
  </si>
  <si>
    <t xml:space="preserve">EFF-&gt;ARG0/1,ARG1/303</t>
  </si>
  <si>
    <t xml:space="preserve">EFF-&gt;Outcome(ARG0/1,ARG1/303)</t>
  </si>
  <si>
    <t xml:space="preserve">"uvidět-001"</t>
  </si>
  <si>
    <t xml:space="preserve">EFF: .f; ↓že; ↓jak-2</t>
  </si>
  <si>
    <t xml:space="preserve">"uvidět-002"</t>
  </si>
  <si>
    <t xml:space="preserve">"uvidět-003"</t>
  </si>
  <si>
    <t xml:space="preserve">"uvidět-004"</t>
  </si>
  <si>
    <t xml:space="preserve">"uvidět-se-001"</t>
  </si>
  <si>
    <t xml:space="preserve">"--uvidět-se-002"</t>
  </si>
  <si>
    <t xml:space="preserve">"uvolit-se-001"</t>
  </si>
  <si>
    <t xml:space="preserve">"uvolnit-001"</t>
  </si>
  <si>
    <t xml:space="preserve">"uvolnit-002"</t>
  </si>
  <si>
    <t xml:space="preserve">Authority(ARG0/1), Asset(ARG1/2)</t>
  </si>
  <si>
    <t xml:space="preserve">PAT-&gt;Asset(ARG1/2)</t>
  </si>
  <si>
    <t xml:space="preserve">"uvolnit-003"</t>
  </si>
  <si>
    <t xml:space="preserve">"uvolnit-004"</t>
  </si>
  <si>
    <t xml:space="preserve">PAT-&gt;Vacated</t>
  </si>
  <si>
    <t xml:space="preserve">PAT-&gt;Vacated(ARG1/6)</t>
  </si>
  <si>
    <t xml:space="preserve">"uvolnit-005"</t>
  </si>
  <si>
    <t xml:space="preserve">"uvolnit-006"</t>
  </si>
  <si>
    <t xml:space="preserve">"uvolnit-007"</t>
  </si>
  <si>
    <t xml:space="preserve">"uvolnit-008"</t>
  </si>
  <si>
    <t xml:space="preserve">"uvolnit-se-001"</t>
  </si>
  <si>
    <t xml:space="preserve">"uvolnit-se-002"</t>
  </si>
  <si>
    <t xml:space="preserve">"uvolnit-se-003"</t>
  </si>
  <si>
    <t xml:space="preserve">"uvolnit-se-004"</t>
  </si>
  <si>
    <t xml:space="preserve">"uvolnit-se-005"</t>
  </si>
  <si>
    <t xml:space="preserve">"uvolnit-se-006"</t>
  </si>
  <si>
    <t xml:space="preserve">"uvolňovat-001"</t>
  </si>
  <si>
    <t xml:space="preserve">"uvolňovat-002"</t>
  </si>
  <si>
    <t xml:space="preserve">"uvolňovat-003"</t>
  </si>
  <si>
    <t xml:space="preserve">"uvolňovat-004"</t>
  </si>
  <si>
    <t xml:space="preserve">"uvolňovat-se-001"</t>
  </si>
  <si>
    <t xml:space="preserve">"uvrhnout-001"</t>
  </si>
  <si>
    <t xml:space="preserve">"uvrhnout-002"</t>
  </si>
  <si>
    <t xml:space="preserve">"uvádět-001"</t>
  </si>
  <si>
    <t xml:space="preserve">PAT: 4; ↓že; ↓zda; ↓když; .s; ↓c</t>
  </si>
  <si>
    <t xml:space="preserve">"uvádět-002"</t>
  </si>
  <si>
    <t xml:space="preserve">"uvádět-003"</t>
  </si>
  <si>
    <t xml:space="preserve">"uvádět-004"</t>
  </si>
  <si>
    <t xml:space="preserve">Protagonist(ARG0/82), Focused(ARG1/129), Goal()</t>
  </si>
  <si>
    <t xml:space="preserve">ACT-&gt;Protagonist(ARG0/82)</t>
  </si>
  <si>
    <t xml:space="preserve">PAT-&gt;Focused(ARG1/129)</t>
  </si>
  <si>
    <t xml:space="preserve">"uvádět-005"</t>
  </si>
  <si>
    <t xml:space="preserve">"uvádět-006"</t>
  </si>
  <si>
    <t xml:space="preserve">"uvádět-007"</t>
  </si>
  <si>
    <t xml:space="preserve">"uvádět-008"</t>
  </si>
  <si>
    <t xml:space="preserve">"uvádět-009"</t>
  </si>
  <si>
    <t xml:space="preserve">DPHR: na-1[míra:4[pravý:#]]</t>
  </si>
  <si>
    <t xml:space="preserve">"uvádět-010"</t>
  </si>
  <si>
    <t xml:space="preserve">DPHR: v-1[život.S4]</t>
  </si>
  <si>
    <t xml:space="preserve">"uvádět-011"</t>
  </si>
  <si>
    <t xml:space="preserve">MANN-&gt;ARG1/8,ARG2/530</t>
  </si>
  <si>
    <t xml:space="preserve">MANN-&gt;Value</t>
  </si>
  <si>
    <t xml:space="preserve">MANN-&gt;Value(ARG1/8,ARG2/530)</t>
  </si>
  <si>
    <t xml:space="preserve">"uvázat-001"</t>
  </si>
  <si>
    <t xml:space="preserve">"uvázat-002"</t>
  </si>
  <si>
    <t xml:space="preserve">"uvázat-se-001"</t>
  </si>
  <si>
    <t xml:space="preserve">"uváznout-001"</t>
  </si>
  <si>
    <t xml:space="preserve">ACT-&gt;ARG0/1,ARG1/305,ARG2/2</t>
  </si>
  <si>
    <t xml:space="preserve">LOC-&gt;ARG1/37,ARG2/113,ARG3/92</t>
  </si>
  <si>
    <t xml:space="preserve">LOC-&gt;Outcome</t>
  </si>
  <si>
    <t xml:space="preserve">LOC-&gt;Outcome(ARG1/37,ARG2/113)</t>
  </si>
  <si>
    <t xml:space="preserve">"uvážit-001"</t>
  </si>
  <si>
    <t xml:space="preserve">"uvést-001"</t>
  </si>
  <si>
    <t xml:space="preserve">"uvést-002"</t>
  </si>
  <si>
    <t xml:space="preserve">"uvést-003"</t>
  </si>
  <si>
    <t xml:space="preserve">"uvést-004"</t>
  </si>
  <si>
    <t xml:space="preserve">PAT-&gt;ARG0/1,ARG1/284,ARG2/1</t>
  </si>
  <si>
    <t xml:space="preserve">"uvést-005"</t>
  </si>
  <si>
    <t xml:space="preserve">"uvést-006"</t>
  </si>
  <si>
    <t xml:space="preserve">"uvést-007"</t>
  </si>
  <si>
    <t xml:space="preserve">"uvést-008"</t>
  </si>
  <si>
    <t xml:space="preserve">CPHR: {důvod,vysvětlení,zdůvodnění}.4</t>
  </si>
  <si>
    <t xml:space="preserve">"uvést-009"</t>
  </si>
  <si>
    <t xml:space="preserve">CPHR: {opatření,...}.4</t>
  </si>
  <si>
    <t xml:space="preserve">"uvést-010"</t>
  </si>
  <si>
    <t xml:space="preserve">DPHR: na-1[míra:4[{správný,pravý}:#]]</t>
  </si>
  <si>
    <t xml:space="preserve">"uvést-011"</t>
  </si>
  <si>
    <t xml:space="preserve">"uvést-012"</t>
  </si>
  <si>
    <t xml:space="preserve">DPHR: do-1[pohyb.S2]</t>
  </si>
  <si>
    <t xml:space="preserve">"uvést-013"</t>
  </si>
  <si>
    <t xml:space="preserve">DPHR: v-1[platnost.S4]</t>
  </si>
  <si>
    <t xml:space="preserve">"uvést-se-001"</t>
  </si>
  <si>
    <t xml:space="preserve">"uvítat-001"</t>
  </si>
  <si>
    <t xml:space="preserve">"uvítat-002"</t>
  </si>
  <si>
    <t xml:space="preserve">PAT: 4; ↓aby; ↓jestli; ↓že; ↓kdyby</t>
  </si>
  <si>
    <t xml:space="preserve">"uvítat-003"</t>
  </si>
  <si>
    <t xml:space="preserve">"uvíznout-001"</t>
  </si>
  <si>
    <t xml:space="preserve">"uvíznout-002"</t>
  </si>
  <si>
    <t xml:space="preserve">ACT-&gt;ARG0/8,ARG1/151,ARG2/1</t>
  </si>
  <si>
    <t xml:space="preserve">LOC-&gt;ARG0/2,ARG1/15,ARG3/92</t>
  </si>
  <si>
    <t xml:space="preserve">LOC-&gt;Hindrance</t>
  </si>
  <si>
    <t xml:space="preserve">LOC-&gt;Hindrance(ARG0/2,ARG1/15)</t>
  </si>
  <si>
    <t xml:space="preserve">"uvíznout-003"</t>
  </si>
  <si>
    <t xml:space="preserve">"uvědomit-001"</t>
  </si>
  <si>
    <t xml:space="preserve">"uvědomit-si-001"</t>
  </si>
  <si>
    <t xml:space="preserve">"uvědomovat-si-001"</t>
  </si>
  <si>
    <t xml:space="preserve">"uvěznit-001"</t>
  </si>
  <si>
    <t xml:space="preserve">"uvězňovat-001"</t>
  </si>
  <si>
    <t xml:space="preserve">"uvěřit-001"</t>
  </si>
  <si>
    <t xml:space="preserve">"uvěřit-002"</t>
  </si>
  <si>
    <t xml:space="preserve">?PAT: 4; ↓že; ↓c</t>
  </si>
  <si>
    <t xml:space="preserve">"uzamknout-001"</t>
  </si>
  <si>
    <t xml:space="preserve">ACT-&gt;ARG0/51,ARG2/1</t>
  </si>
  <si>
    <t xml:space="preserve">"uzavírat-001"</t>
  </si>
  <si>
    <t xml:space="preserve">"uzavírat-002"</t>
  </si>
  <si>
    <t xml:space="preserve">Agent(ARG0/58,ARG1/18), Finished(ARG1/136)</t>
  </si>
  <si>
    <t xml:space="preserve">ACT-&gt;ARG0/58,ARG1/18</t>
  </si>
  <si>
    <t xml:space="preserve">ACT-&gt;Agent(ARG0/58,ARG1/18)</t>
  </si>
  <si>
    <t xml:space="preserve">PAT-&gt;ARG1/136</t>
  </si>
  <si>
    <t xml:space="preserve">PAT-&gt;Finished(ARG1/136)</t>
  </si>
  <si>
    <t xml:space="preserve">"uzavírat-003"</t>
  </si>
  <si>
    <t xml:space="preserve">"uzavírat-004"</t>
  </si>
  <si>
    <t xml:space="preserve">MANN-&gt;ARG1/1,ARG2/22,ARG4/38,ARGM-EXT/392,ARGM-MNR/281</t>
  </si>
  <si>
    <t xml:space="preserve">ACMP-&gt;ARG1/1,ARG2/22,ARG4/38,ARGM-EXT/392,ARGM-MNR/281</t>
  </si>
  <si>
    <t xml:space="preserve">"uzavírat-005"</t>
  </si>
  <si>
    <t xml:space="preserve">CPHR: {dohoda,kompromis,kontrakt,obchod,pojištění,příměří,sázka,smlouva,sňatek,...}.4</t>
  </si>
  <si>
    <t xml:space="preserve">"--uzavírat-006"</t>
  </si>
  <si>
    <t xml:space="preserve">"--uzavírat-007"</t>
  </si>
  <si>
    <t xml:space="preserve">"uzavírat-se-001"</t>
  </si>
  <si>
    <t xml:space="preserve">?PAT: 3; před+7; proti+3</t>
  </si>
  <si>
    <t xml:space="preserve">"uzavřít-001"</t>
  </si>
  <si>
    <t xml:space="preserve">"uzavřít-002"</t>
  </si>
  <si>
    <t xml:space="preserve">"uzavřít-003"</t>
  </si>
  <si>
    <t xml:space="preserve">"uzavřít-004"</t>
  </si>
  <si>
    <t xml:space="preserve">"uzavřít-005"</t>
  </si>
  <si>
    <t xml:space="preserve">"uzavřít-006"</t>
  </si>
  <si>
    <t xml:space="preserve">"uzavřít-007"</t>
  </si>
  <si>
    <t xml:space="preserve">"uzavřít-008"</t>
  </si>
  <si>
    <t xml:space="preserve">"uzavřít-009"</t>
  </si>
  <si>
    <t xml:space="preserve">"uzavřít-010"</t>
  </si>
  <si>
    <t xml:space="preserve">CPHR: {akvizice,dohoda,kontrakt,koupě,mír,nákup,obchod,partnerství,prodej,přátelství,příměří,sázka,smír,smlouva,sňatek,svazek,transakce,účet,vztah,...}.4</t>
  </si>
  <si>
    <t xml:space="preserve">ACT-&gt;ARG0/1106,ARG1/13,ARG2/5</t>
  </si>
  <si>
    <t xml:space="preserve">CPHR-&gt;ARG0/10,ARG1/2185,ARG2/305,ARG3/161,ARG4/7</t>
  </si>
  <si>
    <t xml:space="preserve">CPHR[PAT]-&gt;Goods; CPHR[#sb]-&gt;Party_benefited; CPHR[EXT]-&gt;Payment; CPHR[ORIG]-&gt;Seller</t>
  </si>
  <si>
    <t xml:space="preserve">CPHR[PAT]-&gt;Goods(ARG0/2,ARG1/927,ARG3/1); CPHR[#sb]-&gt;Party_benefited(ARG1/1,ARG4/7); CPHR[EXT]-&gt;Payment(ARG3/16); CPHR[ORIG]-&gt;Seller(ARG1/1,ARG2/70)</t>
  </si>
  <si>
    <t xml:space="preserve">CPHR[ADDR]-&gt;Buyer; CPHR[PAT]-&gt;Goods</t>
  </si>
  <si>
    <t xml:space="preserve">CPHR[ADDR]-&gt;Buyer(ARG2/6); CPHR[PAT]-&gt;Goods(ARG1/81)</t>
  </si>
  <si>
    <t xml:space="preserve">CPHR[ADDR]-&gt;Buyer; CPHR[PAT]-&gt;Goods; CPHR[#sth]-&gt;Recompensated</t>
  </si>
  <si>
    <t xml:space="preserve">CPHR[ADDR]-&gt;Buyer(ARG2/221); CPHR[PAT]-&gt;Goods(ARG0/8,ARG1/1170,ARG2/3); CPHR[#sth]-&gt;Recompensated(ARG1/1,ARG3/142)</t>
  </si>
  <si>
    <t xml:space="preserve">CPHR[PAT]-&gt;Participant_2</t>
  </si>
  <si>
    <t xml:space="preserve">CPHR[PAT]-&gt;Participant_2(ARG1/2)</t>
  </si>
  <si>
    <t xml:space="preserve">CPHR[EFF]-&gt;Outcome; CPHR[ADDR]-&gt;Participant_2; CPHR[PAT]-&gt;Prize</t>
  </si>
  <si>
    <t xml:space="preserve">CPHR[EFF]-&gt;Outcome(ARG1/1,ARG2/2); CPHR[ADDR]-&gt;Participant_2(ARG2/1,ARG3/1); CPHR[PAT]-&gt;Prize(ARG1/1,ARG2/2,ARG3/1)</t>
  </si>
  <si>
    <t xml:space="preserve">"--uzavřít-011"</t>
  </si>
  <si>
    <t xml:space="preserve">"--uzavřít-012"</t>
  </si>
  <si>
    <t xml:space="preserve">"uzavřít-se-001"</t>
  </si>
  <si>
    <t xml:space="preserve">"uzdravit-001"</t>
  </si>
  <si>
    <t xml:space="preserve">"uzdravit-se-001"</t>
  </si>
  <si>
    <t xml:space="preserve">"uzdravovat-001"</t>
  </si>
  <si>
    <t xml:space="preserve">"uzdravovat-002"</t>
  </si>
  <si>
    <t xml:space="preserve">"uzdravovat-se-001"</t>
  </si>
  <si>
    <t xml:space="preserve">"uzemnit-001"</t>
  </si>
  <si>
    <t xml:space="preserve">"uzlit-se-001"</t>
  </si>
  <si>
    <t xml:space="preserve">"uznat-001"</t>
  </si>
  <si>
    <t xml:space="preserve">EFF: 7; za+4; 4[{jako,jakožto}:/AuxY]; .a4[{jako,jakožto}:/AuxY]; ↓že</t>
  </si>
  <si>
    <t xml:space="preserve">"uznat-002"</t>
  </si>
  <si>
    <t xml:space="preserve">"--uznat-003"</t>
  </si>
  <si>
    <t xml:space="preserve">"uznávat-001"</t>
  </si>
  <si>
    <t xml:space="preserve">"uznávat-002"</t>
  </si>
  <si>
    <t xml:space="preserve">"uzobnout-001"</t>
  </si>
  <si>
    <t xml:space="preserve">"uzpůsobit-001"</t>
  </si>
  <si>
    <t xml:space="preserve">"uzpůsobit-002"</t>
  </si>
  <si>
    <t xml:space="preserve">"uzrát-001"</t>
  </si>
  <si>
    <t xml:space="preserve">"uzurpovat-001"</t>
  </si>
  <si>
    <t xml:space="preserve">"uzákonit-001"</t>
  </si>
  <si>
    <t xml:space="preserve">"uzákoňovat-001"</t>
  </si>
  <si>
    <t xml:space="preserve">"učarovat-001"</t>
  </si>
  <si>
    <t xml:space="preserve">"učesat-001"</t>
  </si>
  <si>
    <t xml:space="preserve">"učinit-001"</t>
  </si>
  <si>
    <t xml:space="preserve">"učinit-002"</t>
  </si>
  <si>
    <t xml:space="preserve">"učinit-003"</t>
  </si>
  <si>
    <t xml:space="preserve">Impactor(ARG0/2), Affected(ARG1/2), State_final(ARG2/2), State_initial()</t>
  </si>
  <si>
    <t xml:space="preserve">ACT-&gt;Impactor(ARG0/2)</t>
  </si>
  <si>
    <t xml:space="preserve">"učinit-004"</t>
  </si>
  <si>
    <t xml:space="preserve">"učinit-005"</t>
  </si>
  <si>
    <t xml:space="preserve">"učinit-006"</t>
  </si>
  <si>
    <t xml:space="preserve">CPHR: {konec,přítrž,...}.4</t>
  </si>
  <si>
    <t xml:space="preserve">"učinit-007"</t>
  </si>
  <si>
    <t xml:space="preserve">ACT-&gt;ARG0/877,ARG1/2</t>
  </si>
  <si>
    <t xml:space="preserve">CPHR: {nabídka,protinabídka,ústupek,...}.4</t>
  </si>
  <si>
    <t xml:space="preserve">CPHR-&gt;ARG1/1096,ARG2/61,ARG3/1</t>
  </si>
  <si>
    <t xml:space="preserve">ADDR-&gt;ARG1/13,ARG2/192,ARG3/93</t>
  </si>
  <si>
    <t xml:space="preserve">"učinit-008"</t>
  </si>
  <si>
    <t xml:space="preserve">CPHR: {shrnutí,závěr,...}.4</t>
  </si>
  <si>
    <t xml:space="preserve">"učinit-009"</t>
  </si>
  <si>
    <t xml:space="preserve">CPHR: {expertíza,chyba,kapitulace,kontrola,krok,návrh,objev,odhad,omezení,opatření,oznámení,pokrok,pokus,poznámka,prohlášení,prověrka,připomínka,přiznání,rozhodnutí,sázka,slib,volba,vyjádření,zátah,závazek,změna,...}.4</t>
  </si>
  <si>
    <t xml:space="preserve">"učinit-010"</t>
  </si>
  <si>
    <t xml:space="preserve">DPHR: zadost</t>
  </si>
  <si>
    <t xml:space="preserve">"učinit-011"</t>
  </si>
  <si>
    <t xml:space="preserve">DPHR: štěstí.S4</t>
  </si>
  <si>
    <t xml:space="preserve">"učinit-012"</t>
  </si>
  <si>
    <t xml:space="preserve">DPHR: svůj-1.NS4</t>
  </si>
  <si>
    <t xml:space="preserve">"učinit-si-001"</t>
  </si>
  <si>
    <t xml:space="preserve">CPHR: {názor,...}.4</t>
  </si>
  <si>
    <t xml:space="preserve">"učit-001"</t>
  </si>
  <si>
    <t xml:space="preserve">?PAT: 4; 3; .f; ↓že; ↓aby; ↓c</t>
  </si>
  <si>
    <t xml:space="preserve">"učit-se-001"</t>
  </si>
  <si>
    <t xml:space="preserve">?ORIG: od+2; na+6; z+2</t>
  </si>
  <si>
    <t xml:space="preserve">"učit-se-002"</t>
  </si>
  <si>
    <t xml:space="preserve">PAT: 7; na+4; 1[{jako,jakožto}:/AuxY]</t>
  </si>
  <si>
    <t xml:space="preserve">"učit-se-003"</t>
  </si>
  <si>
    <t xml:space="preserve">"učit-se-004"</t>
  </si>
  <si>
    <t xml:space="preserve">"--učit-se-005"</t>
  </si>
  <si>
    <t xml:space="preserve">"učívat-001"</t>
  </si>
  <si>
    <t xml:space="preserve">"učívávat-001"</t>
  </si>
  <si>
    <t xml:space="preserve">"uřezat-001"</t>
  </si>
  <si>
    <t xml:space="preserve">"uřvat-001"</t>
  </si>
  <si>
    <t xml:space="preserve">"uříznout-001"</t>
  </si>
  <si>
    <t xml:space="preserve">"ušetřit-001"</t>
  </si>
  <si>
    <t xml:space="preserve">ORIG-&gt;ARG2/4</t>
  </si>
  <si>
    <t xml:space="preserve">ORIG-&gt;Resource(ARG2/4)</t>
  </si>
  <si>
    <t xml:space="preserve">"ušetřit-002"</t>
  </si>
  <si>
    <t xml:space="preserve">?EFF: 2; před+7; proti+3; od+2</t>
  </si>
  <si>
    <t xml:space="preserve">"ušetřit-si-001"</t>
  </si>
  <si>
    <t xml:space="preserve">"ušklíbnout-se-001"</t>
  </si>
  <si>
    <t xml:space="preserve">PAT: na+4; nad+7</t>
  </si>
  <si>
    <t xml:space="preserve">"ušklíbnout-se-002"</t>
  </si>
  <si>
    <t xml:space="preserve">"uškodit-001"</t>
  </si>
  <si>
    <t xml:space="preserve">"uškrtit-001"</t>
  </si>
  <si>
    <t xml:space="preserve">"ušlapat-001"</t>
  </si>
  <si>
    <t xml:space="preserve">"ušlapat-002"</t>
  </si>
  <si>
    <t xml:space="preserve">"ušlapávat-001"</t>
  </si>
  <si>
    <t xml:space="preserve">"ušpinit-se-001"</t>
  </si>
  <si>
    <t xml:space="preserve">"uštědřit-001"</t>
  </si>
  <si>
    <t xml:space="preserve">CPHR: {branka,gól,pohlavek,políček,problém,rána,výprask,...}.4</t>
  </si>
  <si>
    <t xml:space="preserve">"ušít-001"</t>
  </si>
  <si>
    <t xml:space="preserve">"ušít-002"</t>
  </si>
  <si>
    <t xml:space="preserve">DPHR: na-1[míra.S4]</t>
  </si>
  <si>
    <t xml:space="preserve">"ušít-003"</t>
  </si>
  <si>
    <t xml:space="preserve">DPHR: na-1[tělo.4]</t>
  </si>
  <si>
    <t xml:space="preserve">"užasnout-001"</t>
  </si>
  <si>
    <t xml:space="preserve">PAT: nad+7; ↓c</t>
  </si>
  <si>
    <t xml:space="preserve">"uživit-001"</t>
  </si>
  <si>
    <t xml:space="preserve">"uživit-se-001"</t>
  </si>
  <si>
    <t xml:space="preserve">Protagonist(), Source()</t>
  </si>
  <si>
    <t xml:space="preserve">"užírat-001"</t>
  </si>
  <si>
    <t xml:space="preserve">"užírat-se-001"</t>
  </si>
  <si>
    <t xml:space="preserve">"užít-001"</t>
  </si>
  <si>
    <t xml:space="preserve">"užít-002"</t>
  </si>
  <si>
    <t xml:space="preserve">"užít-003"</t>
  </si>
  <si>
    <t xml:space="preserve">"užít-004"</t>
  </si>
  <si>
    <t xml:space="preserve">"užít-si-001"</t>
  </si>
  <si>
    <t xml:space="preserve">"užívat-001"</t>
  </si>
  <si>
    <t xml:space="preserve">"užívat-002"</t>
  </si>
  <si>
    <t xml:space="preserve">"užívat-003"</t>
  </si>
  <si>
    <t xml:space="preserve">"užívat-004"</t>
  </si>
  <si>
    <t xml:space="preserve">"--užívat-005"</t>
  </si>
  <si>
    <t xml:space="preserve">"užívat-si-001"</t>
  </si>
  <si>
    <t xml:space="preserve">"vadit-001"</t>
  </si>
  <si>
    <t xml:space="preserve">ACT: 1; ↓že; ↓když; .f; ↓jak-2; ↓kdyby; ↓c; ↓jestli</t>
  </si>
  <si>
    <t xml:space="preserve">"vadit-002"</t>
  </si>
  <si>
    <t xml:space="preserve">"vadnout-001"</t>
  </si>
  <si>
    <t xml:space="preserve">"valit-001"</t>
  </si>
  <si>
    <t xml:space="preserve">"valit-se-001"</t>
  </si>
  <si>
    <t xml:space="preserve">ACT-&gt;ARG0/11,ARG1/11,ARG2/5</t>
  </si>
  <si>
    <t xml:space="preserve">"valorizovat-001"</t>
  </si>
  <si>
    <t xml:space="preserve">"vandrovat-001"</t>
  </si>
  <si>
    <t xml:space="preserve">"vanout-001"</t>
  </si>
  <si>
    <t xml:space="preserve">"vanout-002"</t>
  </si>
  <si>
    <t xml:space="preserve">"varovat-001"</t>
  </si>
  <si>
    <t xml:space="preserve">Agent(ARG0/172), Situation_undesirable(ARG1/114,ARG2/61), Impactee(ARG1/53,ARG2/28)</t>
  </si>
  <si>
    <t xml:space="preserve">ACT-&gt;Agent(ARG0/172)</t>
  </si>
  <si>
    <t xml:space="preserve">PAT: před+7; ↓že; ↓aby; ↓ať; ↓c; .s</t>
  </si>
  <si>
    <t xml:space="preserve">PAT-&gt;ARG1/114,ARG2/61</t>
  </si>
  <si>
    <t xml:space="preserve">PAT-&gt;Situation_undesirable(ARG1/114,ARG2/61)</t>
  </si>
  <si>
    <t xml:space="preserve">ADDR-&gt;ARG1/53,ARG2/28</t>
  </si>
  <si>
    <t xml:space="preserve">ADDR-&gt;Impactee(ARG1/53,ARG2/28)</t>
  </si>
  <si>
    <t xml:space="preserve">"varovat-se-001"</t>
  </si>
  <si>
    <t xml:space="preserve">"vařit-001"</t>
  </si>
  <si>
    <t xml:space="preserve">"vařit-002"</t>
  </si>
  <si>
    <t xml:space="preserve">"vařit-003"</t>
  </si>
  <si>
    <t xml:space="preserve">"vařit-se-001"</t>
  </si>
  <si>
    <t xml:space="preserve">"vařívávat-001"</t>
  </si>
  <si>
    <t xml:space="preserve">"vběhnout-001"</t>
  </si>
  <si>
    <t xml:space="preserve">"vcházet-001"</t>
  </si>
  <si>
    <t xml:space="preserve">"vcházet-002"</t>
  </si>
  <si>
    <t xml:space="preserve">"vcítit-se-001"</t>
  </si>
  <si>
    <t xml:space="preserve">"vdechnout-001"</t>
  </si>
  <si>
    <t xml:space="preserve">DPHR: život.S4</t>
  </si>
  <si>
    <t xml:space="preserve">"vdát-001"</t>
  </si>
  <si>
    <t xml:space="preserve">"vdát-se-001"</t>
  </si>
  <si>
    <t xml:space="preserve">"vdávat-001"</t>
  </si>
  <si>
    <t xml:space="preserve">"vdávat-se-001"</t>
  </si>
  <si>
    <t xml:space="preserve">"vděčit-001"</t>
  </si>
  <si>
    <t xml:space="preserve">"vecpat-se-001"</t>
  </si>
  <si>
    <t xml:space="preserve">ACT-&gt;ARG0/162,ARG1/261,ARG2/2</t>
  </si>
  <si>
    <t xml:space="preserve">DIR3-&gt;ARG1/147,ARG2/1</t>
  </si>
  <si>
    <t xml:space="preserve">"vecpávat-001"</t>
  </si>
  <si>
    <t xml:space="preserve">"vegetovat-001"</t>
  </si>
  <si>
    <t xml:space="preserve">"vehnat-001"</t>
  </si>
  <si>
    <t xml:space="preserve">"vejít-001"</t>
  </si>
  <si>
    <t xml:space="preserve">"vejít-002"</t>
  </si>
  <si>
    <t xml:space="preserve">"vejít-003"</t>
  </si>
  <si>
    <t xml:space="preserve">ACT: 1; ↓že; ↓zda; ↓jestli; ↓c</t>
  </si>
  <si>
    <t xml:space="preserve">CPHR: v-1[{platnost,povědomí,styk,známost-2,život,...}.4]; do-1[{platnost,povědomí,styk,známost-2,...}.2]</t>
  </si>
  <si>
    <t xml:space="preserve">CPHR-&gt;ARG1/697,ARG2/2,ARG4/1</t>
  </si>
  <si>
    <t xml:space="preserve">CPHR-&gt;Acquired(ARG1/697,ARG2/2,ARG4/1)</t>
  </si>
  <si>
    <t xml:space="preserve">"vejít-se-001"</t>
  </si>
  <si>
    <t xml:space="preserve">"vejít-se-002"</t>
  </si>
  <si>
    <t xml:space="preserve">"velebit-001"</t>
  </si>
  <si>
    <t xml:space="preserve">"velet-001"</t>
  </si>
  <si>
    <t xml:space="preserve">PAT: 4; .f; ↓že; ↓aby; ↓ať; ↓c; k+3; .s</t>
  </si>
  <si>
    <t xml:space="preserve">"velet-002"</t>
  </si>
  <si>
    <t xml:space="preserve">"ventilovat-001"</t>
  </si>
  <si>
    <t xml:space="preserve">"ventilovat-002"</t>
  </si>
  <si>
    <t xml:space="preserve">"venčit-001"</t>
  </si>
  <si>
    <t xml:space="preserve">"vepsat-001"</t>
  </si>
  <si>
    <t xml:space="preserve">ACT-&gt;ARG0/119,ARG1/2,ARG2/26</t>
  </si>
  <si>
    <t xml:space="preserve">DIR3-&gt;ARG2/11</t>
  </si>
  <si>
    <t xml:space="preserve">"vepsat-se-001"</t>
  </si>
  <si>
    <t xml:space="preserve">"verbovat-001"</t>
  </si>
  <si>
    <t xml:space="preserve">"veselit-se-001"</t>
  </si>
  <si>
    <t xml:space="preserve">"veslovat-001"</t>
  </si>
  <si>
    <t xml:space="preserve">"vestavět-001"</t>
  </si>
  <si>
    <t xml:space="preserve">"vetkat-001"</t>
  </si>
  <si>
    <t xml:space="preserve">"vetknout-001"</t>
  </si>
  <si>
    <t xml:space="preserve">"vetovat-001"</t>
  </si>
  <si>
    <t xml:space="preserve">"vetřít-se-001"</t>
  </si>
  <si>
    <t xml:space="preserve">"večeřet-001"</t>
  </si>
  <si>
    <t xml:space="preserve">Ingestor(ARG0/1), Ingestibles()</t>
  </si>
  <si>
    <t xml:space="preserve">PAT-&gt;Ingestibles()</t>
  </si>
  <si>
    <t xml:space="preserve">"vhazovat-001"</t>
  </si>
  <si>
    <t xml:space="preserve">PAT-&gt;ARG1/284,ARG2/3</t>
  </si>
  <si>
    <t xml:space="preserve">DIR3-&gt;ARG2/3</t>
  </si>
  <si>
    <t xml:space="preserve">"vhlížet-001"</t>
  </si>
  <si>
    <t xml:space="preserve">"vhodit-001"</t>
  </si>
  <si>
    <t xml:space="preserve">"vhánět-001"</t>
  </si>
  <si>
    <t xml:space="preserve">"vidět-001"</t>
  </si>
  <si>
    <t xml:space="preserve">EFF: v+6; na+6</t>
  </si>
  <si>
    <t xml:space="preserve">"vidět-002"</t>
  </si>
  <si>
    <t xml:space="preserve">"vidět-003"</t>
  </si>
  <si>
    <t xml:space="preserve">EFF: .f; ↓že; ↓jak-2; ↓aby</t>
  </si>
  <si>
    <t xml:space="preserve">"vidět-004"</t>
  </si>
  <si>
    <t xml:space="preserve">"vidět-005"</t>
  </si>
  <si>
    <t xml:space="preserve">"vidět-006"</t>
  </si>
  <si>
    <t xml:space="preserve">PAT: 1; 4</t>
  </si>
  <si>
    <t xml:space="preserve">"vidět-007"</t>
  </si>
  <si>
    <t xml:space="preserve">PAT: 4; 2; ↓že; ↓jak-2; ↓jestli; ↓zda; ↓c; ↓aby; na+4; ↓když</t>
  </si>
  <si>
    <t xml:space="preserve">"vidět-008"</t>
  </si>
  <si>
    <t xml:space="preserve">"vidět-009"</t>
  </si>
  <si>
    <t xml:space="preserve">"vidět-010"</t>
  </si>
  <si>
    <t xml:space="preserve">"vidět-011"</t>
  </si>
  <si>
    <t xml:space="preserve">"vidět-012"</t>
  </si>
  <si>
    <t xml:space="preserve">DPHR: na-1[oko:P4[vlastní-1:#]]</t>
  </si>
  <si>
    <t xml:space="preserve">"vidět-013"</t>
  </si>
  <si>
    <t xml:space="preserve">DPHR: na-1[oko.P4[vlastní-1.#]]</t>
  </si>
  <si>
    <t xml:space="preserve">"vidět-014"</t>
  </si>
  <si>
    <t xml:space="preserve">DPHR: z-1[ruka.S2[první.#]]</t>
  </si>
  <si>
    <t xml:space="preserve">"vidět-015"</t>
  </si>
  <si>
    <t xml:space="preserve">"vidět-016"</t>
  </si>
  <si>
    <t xml:space="preserve">"--vidět-017"</t>
  </si>
  <si>
    <t xml:space="preserve">PAT: 1; 4; pro+4</t>
  </si>
  <si>
    <t xml:space="preserve">LOC: 1; 4; na+6; *</t>
  </si>
  <si>
    <t xml:space="preserve">"vidět-se-001"</t>
  </si>
  <si>
    <t xml:space="preserve">"--vidět-se-002"</t>
  </si>
  <si>
    <t xml:space="preserve">"viklat-se-001"</t>
  </si>
  <si>
    <t xml:space="preserve">"vinit-001"</t>
  </si>
  <si>
    <t xml:space="preserve">"vinout-se-001"</t>
  </si>
  <si>
    <t xml:space="preserve">"vinout-se-002"</t>
  </si>
  <si>
    <t xml:space="preserve">"viset-001"</t>
  </si>
  <si>
    <t xml:space="preserve">Entity(ARG1/13), Place(ARG2/2)</t>
  </si>
  <si>
    <t xml:space="preserve">ACT-&gt;ARG1/13</t>
  </si>
  <si>
    <t xml:space="preserve">ACT-&gt;Entity(ARG1/13)</t>
  </si>
  <si>
    <t xml:space="preserve">"viset-002"</t>
  </si>
  <si>
    <t xml:space="preserve">DPHR: jako[meč.S1[Damokles:#]]</t>
  </si>
  <si>
    <t xml:space="preserve">"viset-003"</t>
  </si>
  <si>
    <t xml:space="preserve">DPHR: otazník.1</t>
  </si>
  <si>
    <t xml:space="preserve">"viset-004"</t>
  </si>
  <si>
    <t xml:space="preserve">"viset-005"</t>
  </si>
  <si>
    <t xml:space="preserve">DPHR: na-1[vlásek.S6]</t>
  </si>
  <si>
    <t xml:space="preserve">"viset-006"</t>
  </si>
  <si>
    <t xml:space="preserve">"vjet-001"</t>
  </si>
  <si>
    <t xml:space="preserve">"vjíždět-001"</t>
  </si>
  <si>
    <t xml:space="preserve">"vklouznout-001"</t>
  </si>
  <si>
    <t xml:space="preserve">"vkládat-001"</t>
  </si>
  <si>
    <t xml:space="preserve">"vkládat-002"</t>
  </si>
  <si>
    <t xml:space="preserve">Agent(ARG0/94), Payment(ARG1/74), System(ARG2/5)</t>
  </si>
  <si>
    <t xml:space="preserve">ACT-&gt;ARG0/250,ARG1/1</t>
  </si>
  <si>
    <t xml:space="preserve">ACT-&gt;Agent(ARG0/94)</t>
  </si>
  <si>
    <t xml:space="preserve">PAT-&gt;ARG1/329,ARG2/3</t>
  </si>
  <si>
    <t xml:space="preserve">PAT-&gt;Payment(ARG1/74)</t>
  </si>
  <si>
    <t xml:space="preserve">DIR3-&gt;ARG2/7</t>
  </si>
  <si>
    <t xml:space="preserve">DIR3-&gt;System</t>
  </si>
  <si>
    <t xml:space="preserve">DIR3-&gt;System(ARG2/5)</t>
  </si>
  <si>
    <t xml:space="preserve">"vkročit-001"</t>
  </si>
  <si>
    <t xml:space="preserve">"vkrádat-se-001"</t>
  </si>
  <si>
    <t xml:space="preserve">"vkrást-se-001"</t>
  </si>
  <si>
    <t xml:space="preserve">"vlastnit-001"</t>
  </si>
  <si>
    <t xml:space="preserve">"vletět-001"</t>
  </si>
  <si>
    <t xml:space="preserve">"vlichotit-se-001"</t>
  </si>
  <si>
    <t xml:space="preserve">"vlnit-se-001"</t>
  </si>
  <si>
    <t xml:space="preserve">"vloupat-se-001"</t>
  </si>
  <si>
    <t xml:space="preserve">"vložit-001"</t>
  </si>
  <si>
    <t xml:space="preserve">"vložit-002"</t>
  </si>
  <si>
    <t xml:space="preserve">"vložit-se-001"</t>
  </si>
  <si>
    <t xml:space="preserve">"vládnout-001"</t>
  </si>
  <si>
    <t xml:space="preserve">"vládnout-002"</t>
  </si>
  <si>
    <t xml:space="preserve">"vládnout-003"</t>
  </si>
  <si>
    <t xml:space="preserve">Dominating(ARG0/1)</t>
  </si>
  <si>
    <t xml:space="preserve">ACT-&gt;Dominating</t>
  </si>
  <si>
    <t xml:space="preserve">ACT-&gt;Dominating(ARG0/1)</t>
  </si>
  <si>
    <t xml:space="preserve">"vlákat-001"</t>
  </si>
  <si>
    <t xml:space="preserve">PAT-&gt;ARG0/1,ARG1/60,ARG2/5,ARG3/1</t>
  </si>
  <si>
    <t xml:space="preserve">PAT-&gt;Attractee(ARG0/1,ARG1/60,ARG2/5,ARG3/1)</t>
  </si>
  <si>
    <t xml:space="preserve">DIR3-&gt;ARG0/2,ARG1/96,ARG2/9,ARG3/2</t>
  </si>
  <si>
    <t xml:space="preserve">DIR3-&gt;Goal(ARG0/2,ARG1/96,ARG2/9,ARG3/2)</t>
  </si>
  <si>
    <t xml:space="preserve">"vlát-001"</t>
  </si>
  <si>
    <t xml:space="preserve">"vláčet-001"</t>
  </si>
  <si>
    <t xml:space="preserve">"vléci-001"</t>
  </si>
  <si>
    <t xml:space="preserve">"vléci-se-001"</t>
  </si>
  <si>
    <t xml:space="preserve">"vléci-se-002"</t>
  </si>
  <si>
    <t xml:space="preserve">"vlétnout-001"</t>
  </si>
  <si>
    <t xml:space="preserve">"vlétnout-002"</t>
  </si>
  <si>
    <t xml:space="preserve">"vlévat-001"</t>
  </si>
  <si>
    <t xml:space="preserve">"vlévat-se-001"</t>
  </si>
  <si>
    <t xml:space="preserve">"vlézt-001"</t>
  </si>
  <si>
    <t xml:space="preserve">"vlézt-002"</t>
  </si>
  <si>
    <t xml:space="preserve">DPHR: do-1[hlava.S2]</t>
  </si>
  <si>
    <t xml:space="preserve">"vlézt-003"</t>
  </si>
  <si>
    <t xml:space="preserve">DPHR: na-1[záda.P4]</t>
  </si>
  <si>
    <t xml:space="preserve">"vlézt-004"</t>
  </si>
  <si>
    <t xml:space="preserve">"vlít-001"</t>
  </si>
  <si>
    <t xml:space="preserve">"vmanipulovat-001"</t>
  </si>
  <si>
    <t xml:space="preserve">"vmanévrovat-001"</t>
  </si>
  <si>
    <t xml:space="preserve">ACT-&gt;ARG0/320,ARG1/2</t>
  </si>
  <si>
    <t xml:space="preserve">PAT-&gt;ARG1/487,ARG2/3</t>
  </si>
  <si>
    <t xml:space="preserve">DIR3-&gt;ARG1/19,ARG2/24,ARG3/37</t>
  </si>
  <si>
    <t xml:space="preserve">"vmašírovat-001"</t>
  </si>
  <si>
    <t xml:space="preserve">"vmáčknout-001"</t>
  </si>
  <si>
    <t xml:space="preserve">"vmáčknout-002"</t>
  </si>
  <si>
    <t xml:space="preserve">"vměšovat-se-001"</t>
  </si>
  <si>
    <t xml:space="preserve">"vměšovat-se-002"</t>
  </si>
  <si>
    <t xml:space="preserve">"vniknout-001"</t>
  </si>
  <si>
    <t xml:space="preserve">"vnořit-001"</t>
  </si>
  <si>
    <t xml:space="preserve">"vnucovat-001"</t>
  </si>
  <si>
    <t xml:space="preserve">"vnucovat-se-001"</t>
  </si>
  <si>
    <t xml:space="preserve">"vnutit-001"</t>
  </si>
  <si>
    <t xml:space="preserve">"vnutit-se-001"</t>
  </si>
  <si>
    <t xml:space="preserve">"vnášet-001"</t>
  </si>
  <si>
    <t xml:space="preserve">"vnést-001"</t>
  </si>
  <si>
    <t xml:space="preserve">"vnímat-001"</t>
  </si>
  <si>
    <t xml:space="preserve">"vnímat-002"</t>
  </si>
  <si>
    <t xml:space="preserve">"vnímat-003"</t>
  </si>
  <si>
    <t xml:space="preserve">"vodit-001"</t>
  </si>
  <si>
    <t xml:space="preserve">ACT-&gt;ARG0/131</t>
  </si>
  <si>
    <t xml:space="preserve">PAT-&gt;ARG0/1,ARG1/249,ARG2/1</t>
  </si>
  <si>
    <t xml:space="preserve">"vojákovat-001"</t>
  </si>
  <si>
    <t xml:space="preserve">"volat-001"</t>
  </si>
  <si>
    <t xml:space="preserve">"volat-002"</t>
  </si>
  <si>
    <t xml:space="preserve">PAT: 4; ↓že; ↓zda; ↓jestli; ↓aby; .s; ↓c; ↓ať</t>
  </si>
  <si>
    <t xml:space="preserve">"volat-003"</t>
  </si>
  <si>
    <t xml:space="preserve">"volat-004"</t>
  </si>
  <si>
    <t xml:space="preserve">Agent(ARG0/31,ARG1/1), Chosen(ARG1/112)</t>
  </si>
  <si>
    <t xml:space="preserve">ACT-&gt;ARG0/31,ARG1/1</t>
  </si>
  <si>
    <t xml:space="preserve">ACT-&gt;Agent(ARG0/31,ARG1/1)</t>
  </si>
  <si>
    <t xml:space="preserve">PAT-&gt;Chosen(ARG1/112)</t>
  </si>
  <si>
    <t xml:space="preserve">"volat-005"</t>
  </si>
  <si>
    <t xml:space="preserve">"volat-006"</t>
  </si>
  <si>
    <t xml:space="preserve">ACT-&gt;ARG0/578,ARG1/3,ARG2/4</t>
  </si>
  <si>
    <t xml:space="preserve">PAT-&gt;ARG1/742,ARG2/81</t>
  </si>
  <si>
    <t xml:space="preserve">"volat-007"</t>
  </si>
  <si>
    <t xml:space="preserve">"volat-008"</t>
  </si>
  <si>
    <t xml:space="preserve">"volat-009"</t>
  </si>
  <si>
    <t xml:space="preserve">"--volat-si-001"</t>
  </si>
  <si>
    <t xml:space="preserve">"volit-001"</t>
  </si>
  <si>
    <t xml:space="preserve">"volit-002"</t>
  </si>
  <si>
    <t xml:space="preserve">"volávat-001"</t>
  </si>
  <si>
    <t xml:space="preserve">"vonět-001"</t>
  </si>
  <si>
    <t xml:space="preserve">"vonět-002"</t>
  </si>
  <si>
    <t xml:space="preserve">"voperovat-001"</t>
  </si>
  <si>
    <t xml:space="preserve">"vozit-001"</t>
  </si>
  <si>
    <t xml:space="preserve">"vozit-002"</t>
  </si>
  <si>
    <t xml:space="preserve">"vozit-se-001"</t>
  </si>
  <si>
    <t xml:space="preserve">"vozit-se-002"</t>
  </si>
  <si>
    <t xml:space="preserve">"vozívat-001"</t>
  </si>
  <si>
    <t xml:space="preserve">"vošukat-001"</t>
  </si>
  <si>
    <t xml:space="preserve">"vpadnout-001"</t>
  </si>
  <si>
    <t xml:space="preserve">"vpadnout-002"</t>
  </si>
  <si>
    <t xml:space="preserve">"vpadávat-001"</t>
  </si>
  <si>
    <t xml:space="preserve">"vpašovat-001"</t>
  </si>
  <si>
    <t xml:space="preserve">"vpisovat-001"</t>
  </si>
  <si>
    <t xml:space="preserve">PAT-&gt;ARG1/31,ARG2/8</t>
  </si>
  <si>
    <t xml:space="preserve">DIR3-&gt;Whole()</t>
  </si>
  <si>
    <t xml:space="preserve">"vplout-001"</t>
  </si>
  <si>
    <t xml:space="preserve">"vplouvat-001"</t>
  </si>
  <si>
    <t xml:space="preserve">"vplouvat-002"</t>
  </si>
  <si>
    <t xml:space="preserve">"vplynout-001"</t>
  </si>
  <si>
    <t xml:space="preserve">"vplést-001"</t>
  </si>
  <si>
    <t xml:space="preserve">"vplétat-001"</t>
  </si>
  <si>
    <t xml:space="preserve">"vplížit-se-001"</t>
  </si>
  <si>
    <t xml:space="preserve">"vpouštět-001"</t>
  </si>
  <si>
    <t xml:space="preserve">"vpravit-001"</t>
  </si>
  <si>
    <t xml:space="preserve">ACT-&gt;ARG0/162,ARG1/1</t>
  </si>
  <si>
    <t xml:space="preserve">PAT-&gt;ARG1/265,ARG2/3</t>
  </si>
  <si>
    <t xml:space="preserve">"vpravovat-se-001"</t>
  </si>
  <si>
    <t xml:space="preserve">"vpustit-001"</t>
  </si>
  <si>
    <t xml:space="preserve">"vpíjet-se-001"</t>
  </si>
  <si>
    <t xml:space="preserve">"vracet-001"</t>
  </si>
  <si>
    <t xml:space="preserve">"vracet-002"</t>
  </si>
  <si>
    <t xml:space="preserve">EFF: 3; do+2; k+3</t>
  </si>
  <si>
    <t xml:space="preserve">"vracet-003"</t>
  </si>
  <si>
    <t xml:space="preserve">"vracet-se-001"</t>
  </si>
  <si>
    <t xml:space="preserve">"vracet-se-002"</t>
  </si>
  <si>
    <t xml:space="preserve">"vracet-se-003"</t>
  </si>
  <si>
    <t xml:space="preserve">"vracet-se-004"</t>
  </si>
  <si>
    <t xml:space="preserve">"vracet-se-005"</t>
  </si>
  <si>
    <t xml:space="preserve">DPHR: do-1[forma.S2]</t>
  </si>
  <si>
    <t xml:space="preserve">"vracívat-se-001"</t>
  </si>
  <si>
    <t xml:space="preserve">"vrazit-001"</t>
  </si>
  <si>
    <t xml:space="preserve">"vrazit-002"</t>
  </si>
  <si>
    <t xml:space="preserve">"vrazit-003"</t>
  </si>
  <si>
    <t xml:space="preserve">DPHR: nůž.S4,do-1[záda.P2]</t>
  </si>
  <si>
    <t xml:space="preserve">"vrazit-004"</t>
  </si>
  <si>
    <t xml:space="preserve">"vrazit-005"</t>
  </si>
  <si>
    <t xml:space="preserve">"vraštit-001"</t>
  </si>
  <si>
    <t xml:space="preserve">"vraždit-001"</t>
  </si>
  <si>
    <t xml:space="preserve">"vrcholit-001"</t>
  </si>
  <si>
    <t xml:space="preserve">Culminating(ARG1/11)</t>
  </si>
  <si>
    <t xml:space="preserve">ACT-&gt;ARG1/11</t>
  </si>
  <si>
    <t xml:space="preserve">ACT-&gt;Culminating</t>
  </si>
  <si>
    <t xml:space="preserve">ACT-&gt;Culminating(ARG1/11)</t>
  </si>
  <si>
    <t xml:space="preserve">"vrhat-001"</t>
  </si>
  <si>
    <t xml:space="preserve">"vrhat-002"</t>
  </si>
  <si>
    <t xml:space="preserve">"vrhat-003"</t>
  </si>
  <si>
    <t xml:space="preserve">"vrhat-004"</t>
  </si>
  <si>
    <t xml:space="preserve">"vrhat-005"</t>
  </si>
  <si>
    <t xml:space="preserve">CPHR: {dojem,podezření,pochyby,stín,světlo,...}.4</t>
  </si>
  <si>
    <t xml:space="preserve">ACT-&gt;ARG0/345,ARG1/5,ARG2/38</t>
  </si>
  <si>
    <t xml:space="preserve">DIR3-&gt;ARG1/477,ARG2/17</t>
  </si>
  <si>
    <t xml:space="preserve">DIR3-&gt;Affected(ARG1/223,ARG2/4)</t>
  </si>
  <si>
    <t xml:space="preserve">DIR3-&gt;Phenomenon</t>
  </si>
  <si>
    <t xml:space="preserve">DIR3-&gt;Phenomenon(ARG1/152,ARG2/13)</t>
  </si>
  <si>
    <t xml:space="preserve">DIR3-&gt;Issue</t>
  </si>
  <si>
    <t xml:space="preserve">DIR3-&gt;Issue(ARG1/102)</t>
  </si>
  <si>
    <t xml:space="preserve">"vrhat-006"</t>
  </si>
  <si>
    <t xml:space="preserve">"vrhat-se-001"</t>
  </si>
  <si>
    <t xml:space="preserve">"vrhat-se-002"</t>
  </si>
  <si>
    <t xml:space="preserve">"--vrhat-se-003"</t>
  </si>
  <si>
    <t xml:space="preserve">"--vrhat-se-004"</t>
  </si>
  <si>
    <t xml:space="preserve">"vrhnout-001"</t>
  </si>
  <si>
    <t xml:space="preserve">"vrhnout-002"</t>
  </si>
  <si>
    <t xml:space="preserve">"vrhnout-003"</t>
  </si>
  <si>
    <t xml:space="preserve">CPHR: {podezření,stín,světlo,...}.4</t>
  </si>
  <si>
    <t xml:space="preserve">"vrhnout-se-001"</t>
  </si>
  <si>
    <t xml:space="preserve">ACT-&gt;ARG0/10,ARG1/4</t>
  </si>
  <si>
    <t xml:space="preserve">PAT-&gt;ARG1/7,ARG2/11</t>
  </si>
  <si>
    <t xml:space="preserve">"vrhnout-se-002"</t>
  </si>
  <si>
    <t xml:space="preserve">"vrhnout-se-003"</t>
  </si>
  <si>
    <t xml:space="preserve">DIR3-&gt;Opportunity</t>
  </si>
  <si>
    <t xml:space="preserve">DIR3-&gt;Opportunity(ARG1/12)</t>
  </si>
  <si>
    <t xml:space="preserve">"vrnět-001"</t>
  </si>
  <si>
    <t xml:space="preserve">"vrnět-se-001"</t>
  </si>
  <si>
    <t xml:space="preserve">"vrtat-001"</t>
  </si>
  <si>
    <t xml:space="preserve">"vrtat-002"</t>
  </si>
  <si>
    <t xml:space="preserve">"vrtat-003"</t>
  </si>
  <si>
    <t xml:space="preserve">"vrtat-se-001"</t>
  </si>
  <si>
    <t xml:space="preserve">"vrtat-se-002"</t>
  </si>
  <si>
    <t xml:space="preserve">"vrtět-001"</t>
  </si>
  <si>
    <t xml:space="preserve">"vrtět-se-001"</t>
  </si>
  <si>
    <t xml:space="preserve">"vrzat-001"</t>
  </si>
  <si>
    <t xml:space="preserve">"vrátit-001"</t>
  </si>
  <si>
    <t xml:space="preserve">"vrátit-002"</t>
  </si>
  <si>
    <t xml:space="preserve">EFF: 3; do+2; k+3; na+4</t>
  </si>
  <si>
    <t xml:space="preserve">"vrátit-003"</t>
  </si>
  <si>
    <t xml:space="preserve">"vrátit-004"</t>
  </si>
  <si>
    <t xml:space="preserve">ACT-&gt;ARG0/225</t>
  </si>
  <si>
    <t xml:space="preserve">PAT-&gt;ARG0/1,ARG1/432,ARG2/3</t>
  </si>
  <si>
    <t xml:space="preserve">DIR3-&gt;ARG1/1,ARG2/25</t>
  </si>
  <si>
    <t xml:space="preserve">"vrátit-005"</t>
  </si>
  <si>
    <t xml:space="preserve">DPHR: do-1[hra.S2]</t>
  </si>
  <si>
    <t xml:space="preserve">DPHR-&gt;ARG1/19,ARG2/22,ARG3/37</t>
  </si>
  <si>
    <t xml:space="preserve">DPHR[do hry]-&gt;State_final</t>
  </si>
  <si>
    <t xml:space="preserve">DPHR[do hry]-&gt;State_final(ARG1/19,ARG2/22,ARG3/37)</t>
  </si>
  <si>
    <t xml:space="preserve">"vrátit-006"</t>
  </si>
  <si>
    <t xml:space="preserve">"vrátit-se-001"</t>
  </si>
  <si>
    <t xml:space="preserve">"vrátit-se-002"</t>
  </si>
  <si>
    <t xml:space="preserve">"vrátit-se-003"</t>
  </si>
  <si>
    <t xml:space="preserve">"vrátit-se-004"</t>
  </si>
  <si>
    <t xml:space="preserve">"vrátit-se-005"</t>
  </si>
  <si>
    <t xml:space="preserve">"vrátit-se-006"</t>
  </si>
  <si>
    <t xml:space="preserve">?EFF: z+2</t>
  </si>
  <si>
    <t xml:space="preserve">"vrávorat-001"</t>
  </si>
  <si>
    <t xml:space="preserve">"vrážet-001"</t>
  </si>
  <si>
    <t xml:space="preserve">"vrýt-se-001"</t>
  </si>
  <si>
    <t xml:space="preserve">"vrčet-001"</t>
  </si>
  <si>
    <t xml:space="preserve">"vrčet-002"</t>
  </si>
  <si>
    <t xml:space="preserve">PAT-&gt;Impactee(ARG1/1,ARG2/1)</t>
  </si>
  <si>
    <t xml:space="preserve">"vrčet-003"</t>
  </si>
  <si>
    <t xml:space="preserve">"vršit-001"</t>
  </si>
  <si>
    <t xml:space="preserve">Protagonist(ARG0/1), Entity(ARG1/1)</t>
  </si>
  <si>
    <t xml:space="preserve">PAT-&gt;Entity(ARG1/1)</t>
  </si>
  <si>
    <t xml:space="preserve">"vršit-se-001"</t>
  </si>
  <si>
    <t xml:space="preserve">"vsadit-001"</t>
  </si>
  <si>
    <t xml:space="preserve">"vsadit-002"</t>
  </si>
  <si>
    <t xml:space="preserve">"vsadit-003"</t>
  </si>
  <si>
    <t xml:space="preserve">"vsadit-se-001"</t>
  </si>
  <si>
    <t xml:space="preserve">EFF: o-1.4[ten.4[že[.v]]]; o-1.4[ten.4[.c]]; ↓že</t>
  </si>
  <si>
    <t xml:space="preserve">"vstoupit-001"</t>
  </si>
  <si>
    <t xml:space="preserve">"vstoupit-002"</t>
  </si>
  <si>
    <t xml:space="preserve">"vstoupit-003"</t>
  </si>
  <si>
    <t xml:space="preserve">ACT-&gt;ARG0/164,ARG1/259</t>
  </si>
  <si>
    <t xml:space="preserve">"vstoupit-004"</t>
  </si>
  <si>
    <t xml:space="preserve">"vstoupit-005"</t>
  </si>
  <si>
    <t xml:space="preserve">CPHR: v-1[{platnost,známost-2,...}.4]</t>
  </si>
  <si>
    <t xml:space="preserve">"vstupovat-001"</t>
  </si>
  <si>
    <t xml:space="preserve">"vstupovat-002"</t>
  </si>
  <si>
    <t xml:space="preserve">"vstupovat-003"</t>
  </si>
  <si>
    <t xml:space="preserve">ACT-&gt;ARG0/210,ARG1/281</t>
  </si>
  <si>
    <t xml:space="preserve">DIR3-&gt;ARG1/213</t>
  </si>
  <si>
    <t xml:space="preserve">DIR3-&gt;Area</t>
  </si>
  <si>
    <t xml:space="preserve">DIR3-&gt;Area(ARG1/78)</t>
  </si>
  <si>
    <t xml:space="preserve">"vstupovat-004"</t>
  </si>
  <si>
    <t xml:space="preserve">"vstupovat-005"</t>
  </si>
  <si>
    <t xml:space="preserve">"vstát-001"</t>
  </si>
  <si>
    <t xml:space="preserve">"vstát-002"</t>
  </si>
  <si>
    <t xml:space="preserve">"vstávat-001"</t>
  </si>
  <si>
    <t xml:space="preserve">"vstávat-002"</t>
  </si>
  <si>
    <t xml:space="preserve">"vstávat-003"</t>
  </si>
  <si>
    <t xml:space="preserve">DPHR: vlas.P1[na-1[hlava.S6]],hrůza.S7</t>
  </si>
  <si>
    <t xml:space="preserve">"vstřebat-001"</t>
  </si>
  <si>
    <t xml:space="preserve">"vstřebávat-001"</t>
  </si>
  <si>
    <t xml:space="preserve">"vstřelit-001"</t>
  </si>
  <si>
    <t xml:space="preserve">"vstřikovat-001"</t>
  </si>
  <si>
    <t xml:space="preserve">"vstříknout-001"</t>
  </si>
  <si>
    <t xml:space="preserve">"vsunout-001"</t>
  </si>
  <si>
    <t xml:space="preserve">"vsázet-001"</t>
  </si>
  <si>
    <t xml:space="preserve">"vsázet-se-001"</t>
  </si>
  <si>
    <t xml:space="preserve">"vsítit-001"</t>
  </si>
  <si>
    <t xml:space="preserve">"vtahovat-001"</t>
  </si>
  <si>
    <t xml:space="preserve">"vtahovat-002"</t>
  </si>
  <si>
    <t xml:space="preserve">"vtipkovat-001"</t>
  </si>
  <si>
    <t xml:space="preserve">Communicator(ARG0/12), Information(ARG1/7,ARG2/4), Audience_Addressee()</t>
  </si>
  <si>
    <t xml:space="preserve">ACT-&gt;Communicator(ARG0/12)</t>
  </si>
  <si>
    <t xml:space="preserve">?PAT: o+6; ↓že; .s</t>
  </si>
  <si>
    <t xml:space="preserve">PAT-&gt;Information(ARG1/7,ARG2/4)</t>
  </si>
  <si>
    <t xml:space="preserve">"vtisknout-001"</t>
  </si>
  <si>
    <t xml:space="preserve">"vtisknout-002"</t>
  </si>
  <si>
    <t xml:space="preserve">"vtiskovat-001"</t>
  </si>
  <si>
    <t xml:space="preserve">"vtiskovat-002"</t>
  </si>
  <si>
    <t xml:space="preserve">"vtlačit-001"</t>
  </si>
  <si>
    <t xml:space="preserve">"vtlačovat-001"</t>
  </si>
  <si>
    <t xml:space="preserve">"vtrhnout-001"</t>
  </si>
  <si>
    <t xml:space="preserve">Mover(ARG0/9), Place(ARG1/12)</t>
  </si>
  <si>
    <t xml:space="preserve">ACT-&gt;Mover(ARG0/9)</t>
  </si>
  <si>
    <t xml:space="preserve">DIR3-&gt;Place(ARG1/12)</t>
  </si>
  <si>
    <t xml:space="preserve">"vtrhávat-001"</t>
  </si>
  <si>
    <t xml:space="preserve">"vtáhnout-001"</t>
  </si>
  <si>
    <t xml:space="preserve">"vtáhnout-002"</t>
  </si>
  <si>
    <t xml:space="preserve">"vtírat-se-001"</t>
  </si>
  <si>
    <t xml:space="preserve">"vtělit-001"</t>
  </si>
  <si>
    <t xml:space="preserve">ACT-&gt;ARG0/106,ARG1/2,ARG2/26</t>
  </si>
  <si>
    <t xml:space="preserve">PAT-&gt;ARG1/305</t>
  </si>
  <si>
    <t xml:space="preserve">"vtěsnat-001"</t>
  </si>
  <si>
    <t xml:space="preserve">"vtěsnat-se-001"</t>
  </si>
  <si>
    <t xml:space="preserve">"vybalancovat-001"</t>
  </si>
  <si>
    <t xml:space="preserve">"vybalit-001"</t>
  </si>
  <si>
    <t xml:space="preserve">"vybalovat-001"</t>
  </si>
  <si>
    <t xml:space="preserve">"vybalovat-002"</t>
  </si>
  <si>
    <t xml:space="preserve">"vybarvit-001"</t>
  </si>
  <si>
    <t xml:space="preserve">"vybarvovat-se-001"</t>
  </si>
  <si>
    <t xml:space="preserve">"vybavit-001"</t>
  </si>
  <si>
    <t xml:space="preserve">"vybavit-se-001"</t>
  </si>
  <si>
    <t xml:space="preserve">"vybavit-si-001"</t>
  </si>
  <si>
    <t xml:space="preserve">"vybavovat-001"</t>
  </si>
  <si>
    <t xml:space="preserve">"vybavovat-se-001"</t>
  </si>
  <si>
    <t xml:space="preserve">"vybavovat-se-002"</t>
  </si>
  <si>
    <t xml:space="preserve">"vybavovat-si-001"</t>
  </si>
  <si>
    <t xml:space="preserve">"vybičovat-001"</t>
  </si>
  <si>
    <t xml:space="preserve">Stimulus(ARG0/1), Cognizer()</t>
  </si>
  <si>
    <t xml:space="preserve">ACT-&gt;Stimulus(ARG0/1)</t>
  </si>
  <si>
    <t xml:space="preserve">CPHR: {zájem}.4</t>
  </si>
  <si>
    <t xml:space="preserve">LOC-&gt;Cognizer</t>
  </si>
  <si>
    <t xml:space="preserve">LOC-&gt;Cognizer()</t>
  </si>
  <si>
    <t xml:space="preserve">"--vybičovat-002"</t>
  </si>
  <si>
    <t xml:space="preserve">"vyblednout-001"</t>
  </si>
  <si>
    <t xml:space="preserve">"vybojovat-001"</t>
  </si>
  <si>
    <t xml:space="preserve">ACT-&gt;ARG0/57</t>
  </si>
  <si>
    <t xml:space="preserve">?ADDR: s+7; proti+3; nad+7</t>
  </si>
  <si>
    <t xml:space="preserve">ADDR-&gt;ARG1/1,ARG2/1,ARG3/6</t>
  </si>
  <si>
    <t xml:space="preserve">ADDR-&gt;Competitor</t>
  </si>
  <si>
    <t xml:space="preserve">ADDR-&gt;Competitor(ARG1/1,ARG2/1,ARG3/6)</t>
  </si>
  <si>
    <t xml:space="preserve">"vybojovat-002"</t>
  </si>
  <si>
    <t xml:space="preserve">ORIG-&gt;ARG1/1,ARG2/1,ARG3/6</t>
  </si>
  <si>
    <t xml:space="preserve">ORIG-&gt;Competitor</t>
  </si>
  <si>
    <t xml:space="preserve">ORIG-&gt;Competitor(ARG1/1,ARG2/1,ARG3/6)</t>
  </si>
  <si>
    <t xml:space="preserve">"vybombardovat-001"</t>
  </si>
  <si>
    <t xml:space="preserve">"vybouchnout-001"</t>
  </si>
  <si>
    <t xml:space="preserve">"vybouchnout-002"</t>
  </si>
  <si>
    <t xml:space="preserve">"--vybouchnout-003"</t>
  </si>
  <si>
    <t xml:space="preserve">"vyboulit-se-001"</t>
  </si>
  <si>
    <t xml:space="preserve">"vybourat-001"</t>
  </si>
  <si>
    <t xml:space="preserve">"vybourat-002"</t>
  </si>
  <si>
    <t xml:space="preserve">"vybourat-se-001"</t>
  </si>
  <si>
    <t xml:space="preserve">"vybourávat-001"</t>
  </si>
  <si>
    <t xml:space="preserve">"vybouřit-se-001"</t>
  </si>
  <si>
    <t xml:space="preserve">"vyboxovat-001"</t>
  </si>
  <si>
    <t xml:space="preserve">"vybočit-001"</t>
  </si>
  <si>
    <t xml:space="preserve">"vybočovat-001"</t>
  </si>
  <si>
    <t xml:space="preserve">"vybrakovat-001"</t>
  </si>
  <si>
    <t xml:space="preserve">"vybrat-001"</t>
  </si>
  <si>
    <t xml:space="preserve">"vybrat-002"</t>
  </si>
  <si>
    <t xml:space="preserve">"vybrat-003"</t>
  </si>
  <si>
    <t xml:space="preserve">"vybrat-004"</t>
  </si>
  <si>
    <t xml:space="preserve">"vybrat-005"</t>
  </si>
  <si>
    <t xml:space="preserve">"vybrousit-001"</t>
  </si>
  <si>
    <t xml:space="preserve">"vybrousit-002"</t>
  </si>
  <si>
    <t xml:space="preserve">"vybruslit-001"</t>
  </si>
  <si>
    <t xml:space="preserve">"vybrušovat-001"</t>
  </si>
  <si>
    <t xml:space="preserve">"vybuchnout-001"</t>
  </si>
  <si>
    <t xml:space="preserve">"vybuchnout-002"</t>
  </si>
  <si>
    <t xml:space="preserve">"vybuchnout-003"</t>
  </si>
  <si>
    <t xml:space="preserve">?PAT: v+4; 7</t>
  </si>
  <si>
    <t xml:space="preserve">"vybuchovat-001"</t>
  </si>
  <si>
    <t xml:space="preserve">"vybudit-001"</t>
  </si>
  <si>
    <t xml:space="preserve">"vybudovat-001"</t>
  </si>
  <si>
    <t xml:space="preserve">ACT-&gt;ARG0/270,ARG1/1</t>
  </si>
  <si>
    <t xml:space="preserve">PAT-&gt;ARG1/478</t>
  </si>
  <si>
    <t xml:space="preserve">ORIG-&gt;ARG2/206</t>
  </si>
  <si>
    <t xml:space="preserve">"vybudovat-002"</t>
  </si>
  <si>
    <t xml:space="preserve">"vybujet-001"</t>
  </si>
  <si>
    <t xml:space="preserve">"vyburcovat-001"</t>
  </si>
  <si>
    <t xml:space="preserve">ACT-&gt;ARG0/386</t>
  </si>
  <si>
    <t xml:space="preserve">PAT-&gt;ARG0/1,ARG1/625,ARG2/13</t>
  </si>
  <si>
    <t xml:space="preserve">PAT-&gt;Affected(ARG0/1,ARG1/593,ARG2/8)</t>
  </si>
  <si>
    <t xml:space="preserve">EFF-&gt;ARG1/298,ARG2/291</t>
  </si>
  <si>
    <t xml:space="preserve">EFF-&gt;Action(ARG1/282,ARG2/260)</t>
  </si>
  <si>
    <t xml:space="preserve">EFF-&gt;Goal(ARG1/16,ARG2/31)</t>
  </si>
  <si>
    <t xml:space="preserve">"vybídnout-001"</t>
  </si>
  <si>
    <t xml:space="preserve">"vybíhat-001"</t>
  </si>
  <si>
    <t xml:space="preserve">"vybíhat-002"</t>
  </si>
  <si>
    <t xml:space="preserve">"vybíhat-003"</t>
  </si>
  <si>
    <t xml:space="preserve">"vybíjet-001"</t>
  </si>
  <si>
    <t xml:space="preserve">"vybíjet-002"</t>
  </si>
  <si>
    <t xml:space="preserve">"vybílit-001"</t>
  </si>
  <si>
    <t xml:space="preserve">"vybírat-001"</t>
  </si>
  <si>
    <t xml:space="preserve">"vybírat-002"</t>
  </si>
  <si>
    <t xml:space="preserve">"vybírat-003"</t>
  </si>
  <si>
    <t xml:space="preserve">"vybít-001"</t>
  </si>
  <si>
    <t xml:space="preserve">"vybít-002"</t>
  </si>
  <si>
    <t xml:space="preserve">"vybízet-001"</t>
  </si>
  <si>
    <t xml:space="preserve">"vybýt-001"</t>
  </si>
  <si>
    <t xml:space="preserve">"vyběhat-001"</t>
  </si>
  <si>
    <t xml:space="preserve">"vyběhat-002"</t>
  </si>
  <si>
    <t xml:space="preserve">"vyběhnout-001"</t>
  </si>
  <si>
    <t xml:space="preserve">"vyběhnout-002"</t>
  </si>
  <si>
    <t xml:space="preserve">"vyběhnout-003"</t>
  </si>
  <si>
    <t xml:space="preserve">"vycachtat-se-001"</t>
  </si>
  <si>
    <t xml:space="preserve">"vycementovat-001"</t>
  </si>
  <si>
    <t xml:space="preserve">"vycestovat-001"</t>
  </si>
  <si>
    <t xml:space="preserve">"vychladit-001"</t>
  </si>
  <si>
    <t xml:space="preserve">"vychladnout-001"</t>
  </si>
  <si>
    <t xml:space="preserve">"vychladnout-002"</t>
  </si>
  <si>
    <t xml:space="preserve">"vychloubat-se-001"</t>
  </si>
  <si>
    <t xml:space="preserve">"vychodit-001"</t>
  </si>
  <si>
    <t xml:space="preserve">"vychovat-001"</t>
  </si>
  <si>
    <t xml:space="preserve">"vychovat-002"</t>
  </si>
  <si>
    <t xml:space="preserve">Authority(ARG0/2,ARG2/2), Impactee(ARG1/1,ARG2/12), Skill(ARG1/8,ARG2/1)</t>
  </si>
  <si>
    <t xml:space="preserve">ACT-&gt;ARG0/2,ARG2/2</t>
  </si>
  <si>
    <t xml:space="preserve">ACT-&gt;Authority(ARG0/2,ARG2/2)</t>
  </si>
  <si>
    <t xml:space="preserve">PAT-&gt;ARG1/1,ARG2/12</t>
  </si>
  <si>
    <t xml:space="preserve">PAT-&gt;Impactee(ARG1/1,ARG2/12)</t>
  </si>
  <si>
    <t xml:space="preserve">"vychovávat-001"</t>
  </si>
  <si>
    <t xml:space="preserve">"vychovávat-002"</t>
  </si>
  <si>
    <t xml:space="preserve">"vychrlit-001"</t>
  </si>
  <si>
    <t xml:space="preserve">"vychrlit-002"</t>
  </si>
  <si>
    <t xml:space="preserve">"vychutnat-001"</t>
  </si>
  <si>
    <t xml:space="preserve">"vychutnat-si-001"</t>
  </si>
  <si>
    <t xml:space="preserve">"vychutnávat-si-001"</t>
  </si>
  <si>
    <t xml:space="preserve">"vychutnávat-si-002"</t>
  </si>
  <si>
    <t xml:space="preserve">"vychvalovat-001"</t>
  </si>
  <si>
    <t xml:space="preserve">"vychylovat-se-001"</t>
  </si>
  <si>
    <t xml:space="preserve">"vychytat-001"</t>
  </si>
  <si>
    <t xml:space="preserve">"vychytat-002"</t>
  </si>
  <si>
    <t xml:space="preserve">"vycházet-001"</t>
  </si>
  <si>
    <t xml:space="preserve">PAT: 4[{jako,jakožto}:/AuxY]; .a4[{jako,jakožto}:/AuxY]</t>
  </si>
  <si>
    <t xml:space="preserve">"vycházet-002"</t>
  </si>
  <si>
    <t xml:space="preserve">"vycházet-003"</t>
  </si>
  <si>
    <t xml:space="preserve">PAT-&gt;ARG0/3,ARG1/52,ARG2/541,ARG3/5</t>
  </si>
  <si>
    <t xml:space="preserve">"vycházet-004"</t>
  </si>
  <si>
    <t xml:space="preserve">"vycházet-005"</t>
  </si>
  <si>
    <t xml:space="preserve">Participant_1(), Participant_2(), Manner()</t>
  </si>
  <si>
    <t xml:space="preserve">ACT-&gt;Participant_1()</t>
  </si>
  <si>
    <t xml:space="preserve">"vycházet-006"</t>
  </si>
  <si>
    <t xml:space="preserve">"vycházet-007"</t>
  </si>
  <si>
    <t xml:space="preserve">"vycházet-008"</t>
  </si>
  <si>
    <t xml:space="preserve">"vycházet-009"</t>
  </si>
  <si>
    <t xml:space="preserve">"vycházet-010"</t>
  </si>
  <si>
    <t xml:space="preserve">"vycházet-011"</t>
  </si>
  <si>
    <t xml:space="preserve">"vycházet-012"</t>
  </si>
  <si>
    <t xml:space="preserve">EXT: na+4; 4</t>
  </si>
  <si>
    <t xml:space="preserve">EXT-&gt;ARG2/136</t>
  </si>
  <si>
    <t xml:space="preserve">"vycházet-013"</t>
  </si>
  <si>
    <t xml:space="preserve">"vycházet-014"</t>
  </si>
  <si>
    <t xml:space="preserve">"vycházet-015"</t>
  </si>
  <si>
    <t xml:space="preserve">"vycházet-016"</t>
  </si>
  <si>
    <t xml:space="preserve">DPHR: vstříc</t>
  </si>
  <si>
    <t xml:space="preserve">"vycházet-017"</t>
  </si>
  <si>
    <t xml:space="preserve">"vycházet-018"</t>
  </si>
  <si>
    <t xml:space="preserve">PAT: ↓.1,aby</t>
  </si>
  <si>
    <t xml:space="preserve">"vycházet-019"</t>
  </si>
  <si>
    <t xml:space="preserve">"vycházet-020"</t>
  </si>
  <si>
    <t xml:space="preserve">PAT: 4; z+2</t>
  </si>
  <si>
    <t xml:space="preserve">"vychýlit-001"</t>
  </si>
  <si>
    <t xml:space="preserve">"vychýlit-se-001"</t>
  </si>
  <si>
    <t xml:space="preserve">"vycouvat-001"</t>
  </si>
  <si>
    <t xml:space="preserve">DIR1-&gt;ARG1/141,ARG2/1</t>
  </si>
  <si>
    <t xml:space="preserve">DIR1-&gt;Abandoned</t>
  </si>
  <si>
    <t xml:space="preserve">DIR1-&gt;Abandoned(ARG1/141,ARG2/1)</t>
  </si>
  <si>
    <t xml:space="preserve">"vycouvat-002"</t>
  </si>
  <si>
    <t xml:space="preserve">"vycucat-001"</t>
  </si>
  <si>
    <t xml:space="preserve">"vycucat-002"</t>
  </si>
  <si>
    <t xml:space="preserve">"vycucat-si-001"</t>
  </si>
  <si>
    <t xml:space="preserve">DPHR: z-1[prst.S2]</t>
  </si>
  <si>
    <t xml:space="preserve">"vycucávat-001"</t>
  </si>
  <si>
    <t xml:space="preserve">"vycvičit-001"</t>
  </si>
  <si>
    <t xml:space="preserve">"vycítit-001"</t>
  </si>
  <si>
    <t xml:space="preserve">"vycítit-002"</t>
  </si>
  <si>
    <t xml:space="preserve">"vydat-001"</t>
  </si>
  <si>
    <t xml:space="preserve">"vydat-002"</t>
  </si>
  <si>
    <t xml:space="preserve">"vydat-003"</t>
  </si>
  <si>
    <t xml:space="preserve">"vydat-004"</t>
  </si>
  <si>
    <t xml:space="preserve">"vydat-005"</t>
  </si>
  <si>
    <t xml:space="preserve">"vydat-006"</t>
  </si>
  <si>
    <t xml:space="preserve">"vydat-007"</t>
  </si>
  <si>
    <t xml:space="preserve">"vydat-008"</t>
  </si>
  <si>
    <t xml:space="preserve">"vydat-009"</t>
  </si>
  <si>
    <t xml:space="preserve">"vydat-010"</t>
  </si>
  <si>
    <t xml:space="preserve">PAT-&gt;ARG1/112,ARG2/2,ARG3/1</t>
  </si>
  <si>
    <t xml:space="preserve">PAT-&gt;Recompensated</t>
  </si>
  <si>
    <t xml:space="preserve">PAT-&gt;Recompensated(ARG1/112,ARG2/2,ARG3/1)</t>
  </si>
  <si>
    <t xml:space="preserve">"vydat-011"</t>
  </si>
  <si>
    <t xml:space="preserve">CPHR: {doporučení,instrukce,opatření,oznámení,pokárání,pokyn,požadavek,právo,prohlášení,příkaz,rozhodnutí,rozkaz,signál,souhlas,zákaz,...}.4</t>
  </si>
  <si>
    <t xml:space="preserve">CPHR-&gt;ARG0/5,ARG1/12570,ARG2/25,ARG3/29</t>
  </si>
  <si>
    <t xml:space="preserve">CPHR-&gt;Information(ARG0/5,ARG1/12570,ARG2/25,ARG3/29)</t>
  </si>
  <si>
    <t xml:space="preserve">"vydat-012"</t>
  </si>
  <si>
    <t xml:space="preserve">DPHR: na-1[milost:S4],na-1[nemilost-2:S4]</t>
  </si>
  <si>
    <t xml:space="preserve">"vydat-013"</t>
  </si>
  <si>
    <t xml:space="preserve">DPHR: všanc</t>
  </si>
  <si>
    <t xml:space="preserve">"--vydat-014"</t>
  </si>
  <si>
    <t xml:space="preserve">DPHR: zatykač.4</t>
  </si>
  <si>
    <t xml:space="preserve">"vydat-015"</t>
  </si>
  <si>
    <t xml:space="preserve">EXT: </t>
  </si>
  <si>
    <t xml:space="preserve">"vydat-016"</t>
  </si>
  <si>
    <t xml:space="preserve">CPHR: {rozhodnutí}.4</t>
  </si>
  <si>
    <t xml:space="preserve">"vydat-se-001"</t>
  </si>
  <si>
    <t xml:space="preserve">"vydat-se-002"</t>
  </si>
  <si>
    <t xml:space="preserve">"vydat-se-003"</t>
  </si>
  <si>
    <t xml:space="preserve">DPHR: v-1[stopa.P6[:u#]]</t>
  </si>
  <si>
    <t xml:space="preserve">"vydařit-se-001"</t>
  </si>
  <si>
    <t xml:space="preserve">ACT-&gt;ARG0/60,ARG1/146</t>
  </si>
  <si>
    <t xml:space="preserve">PAT-&gt;ARG0/2,ARG1/57,ARG2/144</t>
  </si>
  <si>
    <t xml:space="preserve">"vydechnout-si-001"</t>
  </si>
  <si>
    <t xml:space="preserve">"vydedukovat-001"</t>
  </si>
  <si>
    <t xml:space="preserve">"vydezinfikovat-001"</t>
  </si>
  <si>
    <t xml:space="preserve">"vydlabat-001"</t>
  </si>
  <si>
    <t xml:space="preserve">"vydlužit-si-001"</t>
  </si>
  <si>
    <t xml:space="preserve">"vydláždit-001"</t>
  </si>
  <si>
    <t xml:space="preserve">"vydláždit-002"</t>
  </si>
  <si>
    <t xml:space="preserve">"vydobýt-001"</t>
  </si>
  <si>
    <t xml:space="preserve">"vydojit-001"</t>
  </si>
  <si>
    <t xml:space="preserve">?ORIG: z+2; od+2; na+6</t>
  </si>
  <si>
    <t xml:space="preserve">"vydolovat-001"</t>
  </si>
  <si>
    <t xml:space="preserve">"vydolovat-002"</t>
  </si>
  <si>
    <t xml:space="preserve">"vydovádět-se-001"</t>
  </si>
  <si>
    <t xml:space="preserve">"vydražit-001"</t>
  </si>
  <si>
    <t xml:space="preserve">"vydrbat-001"</t>
  </si>
  <si>
    <t xml:space="preserve">"vydrápat-se-001"</t>
  </si>
  <si>
    <t xml:space="preserve">"vydržet-001"</t>
  </si>
  <si>
    <t xml:space="preserve">"vydržet-002"</t>
  </si>
  <si>
    <t xml:space="preserve">"vydržovat-001"</t>
  </si>
  <si>
    <t xml:space="preserve">"vydyndat-001"</t>
  </si>
  <si>
    <t xml:space="preserve">"vydávat-001"</t>
  </si>
  <si>
    <t xml:space="preserve">"vydávat-002"</t>
  </si>
  <si>
    <t xml:space="preserve">"vydávat-003"</t>
  </si>
  <si>
    <t xml:space="preserve">"vydávat-004"</t>
  </si>
  <si>
    <t xml:space="preserve">"vydávat-005"</t>
  </si>
  <si>
    <t xml:space="preserve">"vydávat-006"</t>
  </si>
  <si>
    <t xml:space="preserve">"vydávat-007"</t>
  </si>
  <si>
    <t xml:space="preserve">"vydávat-008"</t>
  </si>
  <si>
    <t xml:space="preserve">CPHR: {pokyn,povel,povolení,příkaz,rozkaz,souhlas,...}.4</t>
  </si>
  <si>
    <t xml:space="preserve">"vydávat-se-001"</t>
  </si>
  <si>
    <t xml:space="preserve">"vydávat-se-002"</t>
  </si>
  <si>
    <t xml:space="preserve">Pretending(ARG0/2,ARG1/3), Pretended(ARG1/5,ARG2/3)</t>
  </si>
  <si>
    <t xml:space="preserve">ACT-&gt;Pretending</t>
  </si>
  <si>
    <t xml:space="preserve">ACT-&gt;Pretending(ARG0/2,ARG1/3)</t>
  </si>
  <si>
    <t xml:space="preserve">PAT-&gt;ARG1/5,ARG2/3</t>
  </si>
  <si>
    <t xml:space="preserve">PAT-&gt;Pretended</t>
  </si>
  <si>
    <t xml:space="preserve">PAT-&gt;Pretended(ARG1/5,ARG2/3)</t>
  </si>
  <si>
    <t xml:space="preserve">"vydávat-se-003"</t>
  </si>
  <si>
    <t xml:space="preserve">"vydírat-001"</t>
  </si>
  <si>
    <t xml:space="preserve">Manipulator(ARG0/4), Victim(ARG1/2,ARG2/1)</t>
  </si>
  <si>
    <t xml:space="preserve">ACT-&gt;Manipulator(ARG0/4)</t>
  </si>
  <si>
    <t xml:space="preserve">PAT-&gt;ARG1/2,ARG2/1</t>
  </si>
  <si>
    <t xml:space="preserve">PAT-&gt;Victim(ARG1/2,ARG2/1)</t>
  </si>
  <si>
    <t xml:space="preserve">"vydýchat-se-001"</t>
  </si>
  <si>
    <t xml:space="preserve">"vydědit-001"</t>
  </si>
  <si>
    <t xml:space="preserve">"vydělat-001"</t>
  </si>
  <si>
    <t xml:space="preserve">?ORIG: na+6; z+2; za+4</t>
  </si>
  <si>
    <t xml:space="preserve">"vydělat-002"</t>
  </si>
  <si>
    <t xml:space="preserve">"vydělit-001"</t>
  </si>
  <si>
    <t xml:space="preserve">"vydělit-002"</t>
  </si>
  <si>
    <t xml:space="preserve">"vydělit-se-001"</t>
  </si>
  <si>
    <t xml:space="preserve">"vydělovat-se-001"</t>
  </si>
  <si>
    <t xml:space="preserve">"vydělávat-001"</t>
  </si>
  <si>
    <t xml:space="preserve">"vyděsit-001"</t>
  </si>
  <si>
    <t xml:space="preserve">"vyděsit-se-001"</t>
  </si>
  <si>
    <t xml:space="preserve">"vydřít-001"</t>
  </si>
  <si>
    <t xml:space="preserve">"vyexpedovat-001"</t>
  </si>
  <si>
    <t xml:space="preserve">"vyfasovat-001"</t>
  </si>
  <si>
    <t xml:space="preserve">"vyfasovat-002"</t>
  </si>
  <si>
    <t xml:space="preserve">"vyfotit-001"</t>
  </si>
  <si>
    <t xml:space="preserve">"vyfotit-002"</t>
  </si>
  <si>
    <t xml:space="preserve">"vyfotit-se-001"</t>
  </si>
  <si>
    <t xml:space="preserve">"vyfotografovat-001"</t>
  </si>
  <si>
    <t xml:space="preserve">"vyfotografovat-se-001"</t>
  </si>
  <si>
    <t xml:space="preserve">"vyfouknout-001"</t>
  </si>
  <si>
    <t xml:space="preserve">"vyfouknout-002"</t>
  </si>
  <si>
    <t xml:space="preserve">"vygenerovat-001"</t>
  </si>
  <si>
    <t xml:space="preserve">"vygradovat-001"</t>
  </si>
  <si>
    <t xml:space="preserve">"vygumovat-001"</t>
  </si>
  <si>
    <t xml:space="preserve">"vyhasnout-001"</t>
  </si>
  <si>
    <t xml:space="preserve">"vyhasnout-002"</t>
  </si>
  <si>
    <t xml:space="preserve">"vyhasínat-001"</t>
  </si>
  <si>
    <t xml:space="preserve">"vyhazovat-001"</t>
  </si>
  <si>
    <t xml:space="preserve">"vyhazovat-002"</t>
  </si>
  <si>
    <t xml:space="preserve">DPHR: okno.S7</t>
  </si>
  <si>
    <t xml:space="preserve">"vyhazovat-003"</t>
  </si>
  <si>
    <t xml:space="preserve">"vyhazovat-004"</t>
  </si>
  <si>
    <t xml:space="preserve">"vyhazovat-005"</t>
  </si>
  <si>
    <t xml:space="preserve">"--vyhazovat-006"</t>
  </si>
  <si>
    <t xml:space="preserve">DPHR: oknem</t>
  </si>
  <si>
    <t xml:space="preserve">"vyhecovat-001"</t>
  </si>
  <si>
    <t xml:space="preserve">?PAT: k+3; proti+3; ↓ať; .s</t>
  </si>
  <si>
    <t xml:space="preserve">"vyhladit-001"</t>
  </si>
  <si>
    <t xml:space="preserve">"vyhladit-002"</t>
  </si>
  <si>
    <t xml:space="preserve">"vyhladovět-001"</t>
  </si>
  <si>
    <t xml:space="preserve">"vyhladovět-002"</t>
  </si>
  <si>
    <t xml:space="preserve">"vyhlazovat-001"</t>
  </si>
  <si>
    <t xml:space="preserve">"vyhlašovat-001"</t>
  </si>
  <si>
    <t xml:space="preserve">"vyhlašovat-002"</t>
  </si>
  <si>
    <t xml:space="preserve">CPHR: {boj,preference,válka,...}.4</t>
  </si>
  <si>
    <t xml:space="preserve">"vyhledat-001"</t>
  </si>
  <si>
    <t xml:space="preserve">"vyhledávat-001"</t>
  </si>
  <si>
    <t xml:space="preserve">"vyhledávat-002"</t>
  </si>
  <si>
    <t xml:space="preserve">"vyhloubit-001"</t>
  </si>
  <si>
    <t xml:space="preserve">"vyhlásit-001"</t>
  </si>
  <si>
    <t xml:space="preserve">ACT-&gt;ARG0/44</t>
  </si>
  <si>
    <t xml:space="preserve">EFF-&gt;ARG1/74,ARG2/14</t>
  </si>
  <si>
    <t xml:space="preserve">"vyhlásit-002"</t>
  </si>
  <si>
    <t xml:space="preserve">"vyhlásit-003"</t>
  </si>
  <si>
    <t xml:space="preserve">CPHR: {boj,stávka,válka,...}.4</t>
  </si>
  <si>
    <t xml:space="preserve">"vyhláskovat-001"</t>
  </si>
  <si>
    <t xml:space="preserve">"vyhlédnout-001"</t>
  </si>
  <si>
    <t xml:space="preserve">"vyhlídnout-001"</t>
  </si>
  <si>
    <t xml:space="preserve">"vyhlížet-001"</t>
  </si>
  <si>
    <t xml:space="preserve">"vyhlížet-002"</t>
  </si>
  <si>
    <t xml:space="preserve">"vyhlížet-003"</t>
  </si>
  <si>
    <t xml:space="preserve">"vyhmátnout-001"</t>
  </si>
  <si>
    <t xml:space="preserve">"vyhnat-001"</t>
  </si>
  <si>
    <t xml:space="preserve">"vyhnat-002"</t>
  </si>
  <si>
    <t xml:space="preserve">"vyhnat-003"</t>
  </si>
  <si>
    <t xml:space="preserve">"vyhnat-004"</t>
  </si>
  <si>
    <t xml:space="preserve">"--vyhnat-005"</t>
  </si>
  <si>
    <t xml:space="preserve">"vyhnat-006"</t>
  </si>
  <si>
    <t xml:space="preserve">"vyhnout-se-001"</t>
  </si>
  <si>
    <t xml:space="preserve">"vyhnout-se-002"</t>
  </si>
  <si>
    <t xml:space="preserve">"vyhoblovat-001"</t>
  </si>
  <si>
    <t xml:space="preserve">"vyhodit-001"</t>
  </si>
  <si>
    <t xml:space="preserve">"vyhodit-002"</t>
  </si>
  <si>
    <t xml:space="preserve">"vyhodit-003"</t>
  </si>
  <si>
    <t xml:space="preserve">"vyhodit-004"</t>
  </si>
  <si>
    <t xml:space="preserve">"vyhodit-005"</t>
  </si>
  <si>
    <t xml:space="preserve">"vyhodit-si-001"</t>
  </si>
  <si>
    <t xml:space="preserve">DPHR: z-1[kopýtko.S2]</t>
  </si>
  <si>
    <t xml:space="preserve">"vyhodit-si-002"</t>
  </si>
  <si>
    <t xml:space="preserve">DPHR: z-1[kopyto.S2]</t>
  </si>
  <si>
    <t xml:space="preserve">"vyhodnocovat-001"</t>
  </si>
  <si>
    <t xml:space="preserve">"vyhodnotit-001"</t>
  </si>
  <si>
    <t xml:space="preserve">"vyhostit-001"</t>
  </si>
  <si>
    <t xml:space="preserve">"vyhotovit-001"</t>
  </si>
  <si>
    <t xml:space="preserve">"vyhotovit-002"</t>
  </si>
  <si>
    <t xml:space="preserve">"vyhoupnout-se-001"</t>
  </si>
  <si>
    <t xml:space="preserve">DIR3-&gt;ARG1/9,ARG2/48,ARG4/1380</t>
  </si>
  <si>
    <t xml:space="preserve">DIR3-&gt;Value_final</t>
  </si>
  <si>
    <t xml:space="preserve">DIR3-&gt;Value_final(ARG1/9,ARG2/48,ARG4/1380)</t>
  </si>
  <si>
    <t xml:space="preserve">"vyhoupnout-se-002"</t>
  </si>
  <si>
    <t xml:space="preserve">"vyhovovat-001"</t>
  </si>
  <si>
    <t xml:space="preserve">"vyhovovat-002"</t>
  </si>
  <si>
    <t xml:space="preserve">"vyhovět-001"</t>
  </si>
  <si>
    <t xml:space="preserve">"vyhořet-001"</t>
  </si>
  <si>
    <t xml:space="preserve">"vyhošťovat-001"</t>
  </si>
  <si>
    <t xml:space="preserve">"vyhrabat-001"</t>
  </si>
  <si>
    <t xml:space="preserve">"vyhrabat-se-001"</t>
  </si>
  <si>
    <t xml:space="preserve">"vyhrabávat-se-001"</t>
  </si>
  <si>
    <t xml:space="preserve">ACT-&gt;ARG0/34,ARG1/15</t>
  </si>
  <si>
    <t xml:space="preserve">"vyhradit-001"</t>
  </si>
  <si>
    <t xml:space="preserve">"vyhradit-002"</t>
  </si>
  <si>
    <t xml:space="preserve">"vyhradit-si-001"</t>
  </si>
  <si>
    <t xml:space="preserve">"vyhranit-001"</t>
  </si>
  <si>
    <t xml:space="preserve">"vyhranit-se-001"</t>
  </si>
  <si>
    <t xml:space="preserve">"vyhrazovat-si-001"</t>
  </si>
  <si>
    <t xml:space="preserve">"vyhraňovat-se-001"</t>
  </si>
  <si>
    <t xml:space="preserve">"vyhrknout-001"</t>
  </si>
  <si>
    <t xml:space="preserve">"vyhrknout-002"</t>
  </si>
  <si>
    <t xml:space="preserve">"vyhrnout-se-001"</t>
  </si>
  <si>
    <t xml:space="preserve">"vyhrocovat-se-001"</t>
  </si>
  <si>
    <t xml:space="preserve">ACT-&gt;ARG0/14,ARG1/224</t>
  </si>
  <si>
    <t xml:space="preserve">"vyhrotit-001"</t>
  </si>
  <si>
    <t xml:space="preserve">"vyhrotit-se-001"</t>
  </si>
  <si>
    <t xml:space="preserve">"vyhrožovat-001"</t>
  </si>
  <si>
    <t xml:space="preserve">PAT: 7; ↓že; .f</t>
  </si>
  <si>
    <t xml:space="preserve">"vyhrožovat-002"</t>
  </si>
  <si>
    <t xml:space="preserve">"vyhrát-001"</t>
  </si>
  <si>
    <t xml:space="preserve">ACT-&gt;ARG0/59</t>
  </si>
  <si>
    <t xml:space="preserve">PAT-&gt;ARG1/44,ARG2/1</t>
  </si>
  <si>
    <t xml:space="preserve">PAT-&gt;Competition(ARG1/44,ARG2/1)</t>
  </si>
  <si>
    <t xml:space="preserve">ADDR-&gt;Loser</t>
  </si>
  <si>
    <t xml:space="preserve">ADDR-&gt;Loser()</t>
  </si>
  <si>
    <t xml:space="preserve">"vyhrát-002"</t>
  </si>
  <si>
    <t xml:space="preserve">"vyhrát-se-001"</t>
  </si>
  <si>
    <t xml:space="preserve">"vyhrát-si-001"</t>
  </si>
  <si>
    <t xml:space="preserve">"vyhrávat-001"</t>
  </si>
  <si>
    <t xml:space="preserve">"vyhrávat-002"</t>
  </si>
  <si>
    <t xml:space="preserve">"vyhrávat-003"</t>
  </si>
  <si>
    <t xml:space="preserve">"vyhubit-001"</t>
  </si>
  <si>
    <t xml:space="preserve">"vyhubovat-001"</t>
  </si>
  <si>
    <t xml:space="preserve">"vyhynout-001"</t>
  </si>
  <si>
    <t xml:space="preserve">"vyhánět-001"</t>
  </si>
  <si>
    <t xml:space="preserve">"vyhánět-002"</t>
  </si>
  <si>
    <t xml:space="preserve">DIR3-&gt;ARG2/4,ARG4/94</t>
  </si>
  <si>
    <t xml:space="preserve">DIR3-&gt;Value_final(ARG2/4,ARG4/94)</t>
  </si>
  <si>
    <t xml:space="preserve">"vyházet-001"</t>
  </si>
  <si>
    <t xml:space="preserve">"vyházet-002"</t>
  </si>
  <si>
    <t xml:space="preserve">"vyházet-003"</t>
  </si>
  <si>
    <t xml:space="preserve">?PAT: za-1[.2]</t>
  </si>
  <si>
    <t xml:space="preserve">"vyházet-004"</t>
  </si>
  <si>
    <t xml:space="preserve">"vyháčkovat-001"</t>
  </si>
  <si>
    <t xml:space="preserve">"vyhýbat-se-001"</t>
  </si>
  <si>
    <t xml:space="preserve">"vyhřeznout-001"</t>
  </si>
  <si>
    <t xml:space="preserve">"vyhřezávat-001"</t>
  </si>
  <si>
    <t xml:space="preserve">"vyhřát-se-001"</t>
  </si>
  <si>
    <t xml:space="preserve">"vyhřívat-se-001"</t>
  </si>
  <si>
    <t xml:space="preserve">"vyinkasovat-001"</t>
  </si>
  <si>
    <t xml:space="preserve">"vyjadřovat-001"</t>
  </si>
  <si>
    <t xml:space="preserve">"vyjadřovat-002"</t>
  </si>
  <si>
    <t xml:space="preserve">CPHR: {důvěra,podpora,preference,soustrast,sympatie,úcta,uznání,...}.4</t>
  </si>
  <si>
    <t xml:space="preserve">"vyjadřovat-003"</t>
  </si>
  <si>
    <t xml:space="preserve">CPHR: {hodnocení,naděje,názor,nechápavost,nejistota,nesouhlas,obava,obdiv,odhodlání,ochota,poděkování,podezření,pochopení,pochyba,postoj,potěšení,protest,překvapení,přesvědčení,připravenost,rozčarování,rozhořčení,skepse,souhlas,spokojenost,stanovisko,údiv,uspokojení,úzkost,vůle,zájem,zklamání,znepokojení,...}.4; chápavost.~4</t>
  </si>
  <si>
    <t xml:space="preserve">CPHR-&gt;ARG1/152,ARG2/13</t>
  </si>
  <si>
    <t xml:space="preserve">CPHR[PAT]-&gt;Phenomenon(ARG1/152,ARG2/13)</t>
  </si>
  <si>
    <t xml:space="preserve">"vyjadřovat-se-001"</t>
  </si>
  <si>
    <t xml:space="preserve">PAT: k+3; o+6; ↓že; v+6; .s; ↓c</t>
  </si>
  <si>
    <t xml:space="preserve">"vyjadřovat-se-002"</t>
  </si>
  <si>
    <t xml:space="preserve">PAT: proti+3; pro+4</t>
  </si>
  <si>
    <t xml:space="preserve">"vyjadřovat-se-003"</t>
  </si>
  <si>
    <t xml:space="preserve">"vyjasnit-001"</t>
  </si>
  <si>
    <t xml:space="preserve">"vyjasňovat-001"</t>
  </si>
  <si>
    <t xml:space="preserve">"vyjasňovat-se-001"</t>
  </si>
  <si>
    <t xml:space="preserve">"vyjasňovat-se-002"</t>
  </si>
  <si>
    <t xml:space="preserve">"vyjednat-001"</t>
  </si>
  <si>
    <t xml:space="preserve">"vyjednávat-001"</t>
  </si>
  <si>
    <t xml:space="preserve">"vyjednávat-002"</t>
  </si>
  <si>
    <t xml:space="preserve">PAT: o+6; v+6</t>
  </si>
  <si>
    <t xml:space="preserve">"vyjet-001"</t>
  </si>
  <si>
    <t xml:space="preserve">"vyjet-002"</t>
  </si>
  <si>
    <t xml:space="preserve">"vyjet-003"</t>
  </si>
  <si>
    <t xml:space="preserve">"vyjet-004"</t>
  </si>
  <si>
    <t xml:space="preserve">"vyjet-005"</t>
  </si>
  <si>
    <t xml:space="preserve">"vyjet-si-001"</t>
  </si>
  <si>
    <t xml:space="preserve">"vyjevit-001"</t>
  </si>
  <si>
    <t xml:space="preserve">EFF: 4; ↓že; ↓zda; ↓c</t>
  </si>
  <si>
    <t xml:space="preserve">"vyjevit-se-001"</t>
  </si>
  <si>
    <t xml:space="preserve">PAT: 1[{jako,jakožto}:/AuxY]</t>
  </si>
  <si>
    <t xml:space="preserve">"vyjevit-se-002"</t>
  </si>
  <si>
    <t xml:space="preserve">"vyjezdit-se-001"</t>
  </si>
  <si>
    <t xml:space="preserve">"vyjmenovat-001"</t>
  </si>
  <si>
    <t xml:space="preserve">"vyjmenovávat-001"</t>
  </si>
  <si>
    <t xml:space="preserve">"vyjmout-001"</t>
  </si>
  <si>
    <t xml:space="preserve">PAT-&gt;Contained(ARG1/93)</t>
  </si>
  <si>
    <t xml:space="preserve">DIR1-&gt;ARG2/5</t>
  </si>
  <si>
    <t xml:space="preserve">DIR1-&gt;Container</t>
  </si>
  <si>
    <t xml:space="preserve">DIR1-&gt;Container(ARG2/5)</t>
  </si>
  <si>
    <t xml:space="preserve">"vyjmout-002"</t>
  </si>
  <si>
    <t xml:space="preserve">"vyjádřit-001"</t>
  </si>
  <si>
    <t xml:space="preserve">"vyjádřit-002"</t>
  </si>
  <si>
    <t xml:space="preserve">CPHR: {dík,důvěra,lítost,podpora,preference,soustrast,sympatie,úcta,účast,uznání,...}.4</t>
  </si>
  <si>
    <t xml:space="preserve">"vyjádřit-003"</t>
  </si>
  <si>
    <t xml:space="preserve">Perceiver(), Perceived()</t>
  </si>
  <si>
    <t xml:space="preserve">ACT-&gt;ARG0/303,ARG1/23</t>
  </si>
  <si>
    <t xml:space="preserve">ACT-&gt;Perceiver()</t>
  </si>
  <si>
    <t xml:space="preserve">CPHR: {hodnocení,chápavost,jistota,kritika,naděje,názor,nechápavost,nejistota,nesouhlas,obava,obdiv,očekávání,odhodlání,ochota,poděkování,podezření,pochopení,pochyba,politování,postoj,potěšení,protest,přání,překvapení,přesvědčení,připomínka,připravenost,rada,radost,rozčarování,rozhořčení,souhlas,spokojenost,stanovisko,touha,údiv,úleva,uspokojení,úzkost,úžas,vůle,zájem,zklamání,znepokojení,...}.4</t>
  </si>
  <si>
    <t xml:space="preserve">CPHR-&gt;ARG0/28,ARG1/313,ARG2/34</t>
  </si>
  <si>
    <t xml:space="preserve">CPHR[RSTR]-&gt;Feared</t>
  </si>
  <si>
    <t xml:space="preserve">CPHR[RSTR]-&gt;Feared(ARG0/28,ARG1/146)</t>
  </si>
  <si>
    <t xml:space="preserve">CPHR[PAT]-&gt;Issue</t>
  </si>
  <si>
    <t xml:space="preserve">CPHR[PAT]-&gt;Issue(ARG1/15,ARG2/21)</t>
  </si>
  <si>
    <t xml:space="preserve">CPHR[RSTR]-&gt;Perceived</t>
  </si>
  <si>
    <t xml:space="preserve">CPHR[RSTR]-&gt;Perceived()</t>
  </si>
  <si>
    <t xml:space="preserve">"vyjádřit-se-001"</t>
  </si>
  <si>
    <t xml:space="preserve">PAT: k+3; o+6; ↓že; v+6; ↓zda; .s; ↓c</t>
  </si>
  <si>
    <t xml:space="preserve">"vyjádřit-se-002"</t>
  </si>
  <si>
    <t xml:space="preserve">"vyjádřit-se-003"</t>
  </si>
  <si>
    <t xml:space="preserve">"vyjímat-001"</t>
  </si>
  <si>
    <t xml:space="preserve">PAT: 4; ↓že; .v</t>
  </si>
  <si>
    <t xml:space="preserve">PAT-&gt;ARG1/277,ARG2/1</t>
  </si>
  <si>
    <t xml:space="preserve">DIR1-&gt;ARG1/3,ARG2/19</t>
  </si>
  <si>
    <t xml:space="preserve">"vyjímat-se-001"</t>
  </si>
  <si>
    <t xml:space="preserve">"vyjít-001"</t>
  </si>
  <si>
    <t xml:space="preserve">"vyjít-002"</t>
  </si>
  <si>
    <t xml:space="preserve">"vyjít-003"</t>
  </si>
  <si>
    <t xml:space="preserve">"vyjít-004"</t>
  </si>
  <si>
    <t xml:space="preserve">"vyjít-005"</t>
  </si>
  <si>
    <t xml:space="preserve">"vyjít-006"</t>
  </si>
  <si>
    <t xml:space="preserve">"vyjít-007"</t>
  </si>
  <si>
    <t xml:space="preserve">"vyjít-008"</t>
  </si>
  <si>
    <t xml:space="preserve">"vyjít-009"</t>
  </si>
  <si>
    <t xml:space="preserve">"vyjít-010"</t>
  </si>
  <si>
    <t xml:space="preserve">PAT: 1; ↓že; ↓aby</t>
  </si>
  <si>
    <t xml:space="preserve">"vyjít-011"</t>
  </si>
  <si>
    <t xml:space="preserve">"vyjít-012"</t>
  </si>
  <si>
    <t xml:space="preserve">"vyjít-013"</t>
  </si>
  <si>
    <t xml:space="preserve">"vyjít-014"</t>
  </si>
  <si>
    <t xml:space="preserve">"vyjít-015"</t>
  </si>
  <si>
    <t xml:space="preserve">"vyjít-016"</t>
  </si>
  <si>
    <t xml:space="preserve">"vyjít-017"</t>
  </si>
  <si>
    <t xml:space="preserve">#alt[BEN|MANN|ACMP|CRIT]-&gt;Outcome</t>
  </si>
  <si>
    <t xml:space="preserve">#alt[BEN|MANN|ACMP|CRIT]-&gt;Outcome(ARG1/37,ARG2/113)</t>
  </si>
  <si>
    <t xml:space="preserve">"vyjít-018"</t>
  </si>
  <si>
    <t xml:space="preserve">"vyjít-019"</t>
  </si>
  <si>
    <t xml:space="preserve">"vyjít-020"</t>
  </si>
  <si>
    <t xml:space="preserve">"vyjít-021"</t>
  </si>
  <si>
    <t xml:space="preserve">DPHR: na-1[povrch.S4]</t>
  </si>
  <si>
    <t xml:space="preserve">"vyjít-022"</t>
  </si>
  <si>
    <t xml:space="preserve">DPHR: na-1[světlo.S4]</t>
  </si>
  <si>
    <t xml:space="preserve">"vyjít-023"</t>
  </si>
  <si>
    <t xml:space="preserve">"vyjít-024"</t>
  </si>
  <si>
    <t xml:space="preserve">TFHL: </t>
  </si>
  <si>
    <t xml:space="preserve">"vyjít-si-001"</t>
  </si>
  <si>
    <t xml:space="preserve">"vyjíždět-001"</t>
  </si>
  <si>
    <t xml:space="preserve">"vyjíždět-002"</t>
  </si>
  <si>
    <t xml:space="preserve">"vyjíždět-003"</t>
  </si>
  <si>
    <t xml:space="preserve">"vyjíždět-004"</t>
  </si>
  <si>
    <t xml:space="preserve">"vyjíždět-si-001"</t>
  </si>
  <si>
    <t xml:space="preserve">"vykalkulovat-001"</t>
  </si>
  <si>
    <t xml:space="preserve">"vykat-001"</t>
  </si>
  <si>
    <t xml:space="preserve">"vykazovat-001"</t>
  </si>
  <si>
    <t xml:space="preserve">"vykazovat-002"</t>
  </si>
  <si>
    <t xml:space="preserve">"vykazovat-003"</t>
  </si>
  <si>
    <t xml:space="preserve">"vykašlat-001"</t>
  </si>
  <si>
    <t xml:space="preserve">Agent(ARG0/3), Ejected(ARG1/4)</t>
  </si>
  <si>
    <t xml:space="preserve">PAT-&gt;Ejected</t>
  </si>
  <si>
    <t xml:space="preserve">PAT-&gt;Ejected(ARG1/4)</t>
  </si>
  <si>
    <t xml:space="preserve">"vykašlat-se-001"</t>
  </si>
  <si>
    <t xml:space="preserve">"vykecat-001"</t>
  </si>
  <si>
    <t xml:space="preserve">Speaker(), Information(), Audience_Addressee()</t>
  </si>
  <si>
    <t xml:space="preserve">"vykecat-002"</t>
  </si>
  <si>
    <t xml:space="preserve">"vykecat-se-001"</t>
  </si>
  <si>
    <t xml:space="preserve">"vyklepat-001"</t>
  </si>
  <si>
    <t xml:space="preserve">"vyklidit-001"</t>
  </si>
  <si>
    <t xml:space="preserve">"vyklidit-002"</t>
  </si>
  <si>
    <t xml:space="preserve">"vyklopit-001"</t>
  </si>
  <si>
    <t xml:space="preserve">"vyklopit-002"</t>
  </si>
  <si>
    <t xml:space="preserve">"vyklopit-003"</t>
  </si>
  <si>
    <t xml:space="preserve">"vykloubit-001"</t>
  </si>
  <si>
    <t xml:space="preserve">"vyklouznout-001"</t>
  </si>
  <si>
    <t xml:space="preserve">"vyklubat-se-001"</t>
  </si>
  <si>
    <t xml:space="preserve">"vyklusávat-001"</t>
  </si>
  <si>
    <t xml:space="preserve">"vykládat-001"</t>
  </si>
  <si>
    <t xml:space="preserve">"vykládat-002"</t>
  </si>
  <si>
    <t xml:space="preserve">"vykládat-003"</t>
  </si>
  <si>
    <t xml:space="preserve">"vykládat-004"</t>
  </si>
  <si>
    <t xml:space="preserve">"vykládat-005"</t>
  </si>
  <si>
    <t xml:space="preserve">"vykládat-006"</t>
  </si>
  <si>
    <t xml:space="preserve">EFF: 4; ↓že; .s; ↓c; ↓jak-2</t>
  </si>
  <si>
    <t xml:space="preserve">"vykládat-007"</t>
  </si>
  <si>
    <t xml:space="preserve">"vykládat-si-001"</t>
  </si>
  <si>
    <t xml:space="preserve">ACT-&gt;ARG0/676,ARG1/6,ARG2/1</t>
  </si>
  <si>
    <t xml:space="preserve">PAT-&gt;ARG1/275,ARG2/4</t>
  </si>
  <si>
    <t xml:space="preserve">EFF-&gt;ARG1/561,ARG2/158</t>
  </si>
  <si>
    <t xml:space="preserve">"--vykládat-si-002"</t>
  </si>
  <si>
    <t xml:space="preserve">EFF: ↓že; ↓c</t>
  </si>
  <si>
    <t xml:space="preserve">"vyklízet-001"</t>
  </si>
  <si>
    <t xml:space="preserve">DPHR: pozice.P4</t>
  </si>
  <si>
    <t xml:space="preserve">"vyklízet-002"</t>
  </si>
  <si>
    <t xml:space="preserve">"vyklízet-003"</t>
  </si>
  <si>
    <t xml:space="preserve">"vykoledovat-001"</t>
  </si>
  <si>
    <t xml:space="preserve">"vykolejit-001"</t>
  </si>
  <si>
    <t xml:space="preserve">Stimulus(ARG0/1), Attitudal(ARG1/1)</t>
  </si>
  <si>
    <t xml:space="preserve">PAT-&gt;Attitudal(ARG1/1)</t>
  </si>
  <si>
    <t xml:space="preserve">"vykompenzovat-001"</t>
  </si>
  <si>
    <t xml:space="preserve">"vykonat-001"</t>
  </si>
  <si>
    <t xml:space="preserve">"vykonat-002"</t>
  </si>
  <si>
    <t xml:space="preserve">CPHR: {excize,hodnocení,instruktáž,návštěva,ohledání,poradenství,průzkum,reorganizace,restrukturalizace,slib,správa,test,údržba,vklad,...}.4</t>
  </si>
  <si>
    <t xml:space="preserve">"vykonat-003"</t>
  </si>
  <si>
    <t xml:space="preserve">"vykonávat-001"</t>
  </si>
  <si>
    <t xml:space="preserve">ACT-&gt;ARG0/840,ARG1/40,ARG2/18,ARG3/1</t>
  </si>
  <si>
    <t xml:space="preserve">PAT-&gt;ARG0/1,ARG1/1133,ARG2/59,ARG3/1</t>
  </si>
  <si>
    <t xml:space="preserve">"vykonávat-002"</t>
  </si>
  <si>
    <t xml:space="preserve">"vykonávat-003"</t>
  </si>
  <si>
    <t xml:space="preserve">CPHR: {aktivita,činnost,dozor,funkce,hodnocení,instruktáž,inventarizace,obchod,ohledání,povinnost,povolání,práce,prohlídka,průzkum,reorganizace,restrukturalizace,slib,služba,test,údržba,úloha,veto,vklad,zkouška,...}.4</t>
  </si>
  <si>
    <t xml:space="preserve">ACT-&gt;ARG0/1138,ARG1/46,ARG2/18,ARG3/2</t>
  </si>
  <si>
    <t xml:space="preserve">CPHR-&gt;ARG0/1,ARG1/1208,ARG2/59,ARG3/1</t>
  </si>
  <si>
    <t xml:space="preserve">CPHR-&gt;Function</t>
  </si>
  <si>
    <t xml:space="preserve">CPHR-&gt;Function()</t>
  </si>
  <si>
    <t xml:space="preserve">CPHR[aktivita, činnost, práce]-&gt;Activity</t>
  </si>
  <si>
    <t xml:space="preserve">CPHR[aktivita, činnost, práce]-&gt;Activity(ARG1/432)</t>
  </si>
  <si>
    <t xml:space="preserve">"vykopat-001"</t>
  </si>
  <si>
    <t xml:space="preserve">"vykopat-002"</t>
  </si>
  <si>
    <t xml:space="preserve">DPHR: sekera:S4[válečný.#]</t>
  </si>
  <si>
    <t xml:space="preserve">"vykopat-003"</t>
  </si>
  <si>
    <t xml:space="preserve">"vykopávat-001"</t>
  </si>
  <si>
    <t xml:space="preserve">"vykopávat-002"</t>
  </si>
  <si>
    <t xml:space="preserve">"vykopírovat-001"</t>
  </si>
  <si>
    <t xml:space="preserve">"vykorespondovat-001"</t>
  </si>
  <si>
    <t xml:space="preserve">"vykostit-001"</t>
  </si>
  <si>
    <t xml:space="preserve">"vykouknout-001"</t>
  </si>
  <si>
    <t xml:space="preserve">"vykoumat-001"</t>
  </si>
  <si>
    <t xml:space="preserve">"vykoupat-001"</t>
  </si>
  <si>
    <t xml:space="preserve">"vykoupat-se-001"</t>
  </si>
  <si>
    <t xml:space="preserve">"vykoupit-001"</t>
  </si>
  <si>
    <t xml:space="preserve">"vykoupit-002"</t>
  </si>
  <si>
    <t xml:space="preserve">"vykoupit-003"</t>
  </si>
  <si>
    <t xml:space="preserve">?EFF: před+7; proti+3; z+2</t>
  </si>
  <si>
    <t xml:space="preserve">"vykouzlit-001"</t>
  </si>
  <si>
    <t xml:space="preserve">"vykouřit-001"</t>
  </si>
  <si>
    <t xml:space="preserve">"vykovat-001"</t>
  </si>
  <si>
    <t xml:space="preserve">"vykořenit-001"</t>
  </si>
  <si>
    <t xml:space="preserve">"vykořisťovat-001"</t>
  </si>
  <si>
    <t xml:space="preserve">"vykračovat-si-001"</t>
  </si>
  <si>
    <t xml:space="preserve">"vykreslit-001"</t>
  </si>
  <si>
    <t xml:space="preserve">PAT: 4; ↓c; .s</t>
  </si>
  <si>
    <t xml:space="preserve">"vykreslit-002"</t>
  </si>
  <si>
    <t xml:space="preserve">"vykreslit-se-001"</t>
  </si>
  <si>
    <t xml:space="preserve">"vykreslovat-001"</t>
  </si>
  <si>
    <t xml:space="preserve">"vykrmit-001"</t>
  </si>
  <si>
    <t xml:space="preserve">"vykrmovat-001"</t>
  </si>
  <si>
    <t xml:space="preserve">"vykroutit-se-001"</t>
  </si>
  <si>
    <t xml:space="preserve">PAT-&gt;Situation_undesirable(ARG1/17,ARG2/1)</t>
  </si>
  <si>
    <t xml:space="preserve">"vykročit-001"</t>
  </si>
  <si>
    <t xml:space="preserve">ACT-&gt;ARG0/46,ARG1/1</t>
  </si>
  <si>
    <t xml:space="preserve">DIR3-&gt;Path</t>
  </si>
  <si>
    <t xml:space="preserve">DIR3-&gt;Path(ARG1/4)</t>
  </si>
  <si>
    <t xml:space="preserve">"vykročit-002"</t>
  </si>
  <si>
    <t xml:space="preserve">"vykrvácet-001"</t>
  </si>
  <si>
    <t xml:space="preserve">"vykrystalizovat-001"</t>
  </si>
  <si>
    <t xml:space="preserve">ACT-&gt;ARG0/7,ARG1/55,ARG4/1</t>
  </si>
  <si>
    <t xml:space="preserve">"vykrádat-001"</t>
  </si>
  <si>
    <t xml:space="preserve">"vykrást-001"</t>
  </si>
  <si>
    <t xml:space="preserve">"vykrýt-001"</t>
  </si>
  <si>
    <t xml:space="preserve">"vykuchat-001"</t>
  </si>
  <si>
    <t xml:space="preserve">"vykukovat-001"</t>
  </si>
  <si>
    <t xml:space="preserve">"vykukovat-002"</t>
  </si>
  <si>
    <t xml:space="preserve">"vykulminovat-001"</t>
  </si>
  <si>
    <t xml:space="preserve">"vykupovat-001"</t>
  </si>
  <si>
    <t xml:space="preserve">"vykvasit-001"</t>
  </si>
  <si>
    <t xml:space="preserve">"vykvést-001"</t>
  </si>
  <si>
    <t xml:space="preserve">"vykvést-002"</t>
  </si>
  <si>
    <t xml:space="preserve">"vykydat-001"</t>
  </si>
  <si>
    <t xml:space="preserve">"vykynout-001"</t>
  </si>
  <si>
    <t xml:space="preserve">"vykácet-001"</t>
  </si>
  <si>
    <t xml:space="preserve">"vykálet-se-001"</t>
  </si>
  <si>
    <t xml:space="preserve">"vykázat-001"</t>
  </si>
  <si>
    <t xml:space="preserve">"vykázat-002"</t>
  </si>
  <si>
    <t xml:space="preserve">"vykázat-se-001"</t>
  </si>
  <si>
    <t xml:space="preserve">"vykřiknout-001"</t>
  </si>
  <si>
    <t xml:space="preserve">"vykřikovat-001"</t>
  </si>
  <si>
    <t xml:space="preserve">PAT: 4; ↓že; ↓aby; ↓ať; ↓c; .s</t>
  </si>
  <si>
    <t xml:space="preserve">"vykřikovat-002"</t>
  </si>
  <si>
    <t xml:space="preserve">"vyladit-001"</t>
  </si>
  <si>
    <t xml:space="preserve">"vylamovat-001"</t>
  </si>
  <si>
    <t xml:space="preserve">"vylamovat-002"</t>
  </si>
  <si>
    <t xml:space="preserve">"vylamovat-003"</t>
  </si>
  <si>
    <t xml:space="preserve">"vylekat-001"</t>
  </si>
  <si>
    <t xml:space="preserve">"vylekat-se-001"</t>
  </si>
  <si>
    <t xml:space="preserve">"vylepit-001"</t>
  </si>
  <si>
    <t xml:space="preserve">"vylepit-002"</t>
  </si>
  <si>
    <t xml:space="preserve">"vylepšit-001"</t>
  </si>
  <si>
    <t xml:space="preserve">"vylepšovat-001"</t>
  </si>
  <si>
    <t xml:space="preserve">"vyletět-001"</t>
  </si>
  <si>
    <t xml:space="preserve">"vyletět-002"</t>
  </si>
  <si>
    <t xml:space="preserve">"vyletět-003"</t>
  </si>
  <si>
    <t xml:space="preserve">"vyletět-004"</t>
  </si>
  <si>
    <t xml:space="preserve">ACT-&gt;ARG0/203,ARG1/3435,ARG2/13</t>
  </si>
  <si>
    <t xml:space="preserve">DIR3-&gt;ARG1/228,ARG2/64,ARG4/2270,ARGM-LOC/2</t>
  </si>
  <si>
    <t xml:space="preserve">DIR3-&gt;Value_final(ARG1/219,ARG2/16,ARG4/890,ARGM-LOC/2)</t>
  </si>
  <si>
    <t xml:space="preserve">"vyletět-005"</t>
  </si>
  <si>
    <t xml:space="preserve">"vyletět-006"</t>
  </si>
  <si>
    <t xml:space="preserve">"vylhávat-se-001"</t>
  </si>
  <si>
    <t xml:space="preserve">"vylidnit-001"</t>
  </si>
  <si>
    <t xml:space="preserve">"vylidnit-se-001"</t>
  </si>
  <si>
    <t xml:space="preserve">"vylodit-001"</t>
  </si>
  <si>
    <t xml:space="preserve">"vylodit-se-001"</t>
  </si>
  <si>
    <t xml:space="preserve">"vylomit-001"</t>
  </si>
  <si>
    <t xml:space="preserve">"vylomit-se-001"</t>
  </si>
  <si>
    <t xml:space="preserve">"vylosovat-001"</t>
  </si>
  <si>
    <t xml:space="preserve">"vyloupit-001"</t>
  </si>
  <si>
    <t xml:space="preserve">PAT-&gt;ARG1/3,ARG2/21</t>
  </si>
  <si>
    <t xml:space="preserve">PAT-&gt;Owner</t>
  </si>
  <si>
    <t xml:space="preserve">PAT-&gt;Owner(ARG1/2,ARG2/21)</t>
  </si>
  <si>
    <t xml:space="preserve">"vyloupnout-001"</t>
  </si>
  <si>
    <t xml:space="preserve">"vyloupnout-se-001"</t>
  </si>
  <si>
    <t xml:space="preserve">ACT-&gt;ARG0/28,ARG1/93</t>
  </si>
  <si>
    <t xml:space="preserve">ACT-&gt;Agent; ACT-&gt;Contained</t>
  </si>
  <si>
    <t xml:space="preserve">ACT-&gt;Agent(ARG0/28); ACT-&gt;Contained(ARG1/93)</t>
  </si>
  <si>
    <t xml:space="preserve">"vyloučit-001"</t>
  </si>
  <si>
    <t xml:space="preserve">"vyloučit-002"</t>
  </si>
  <si>
    <t xml:space="preserve">"vyloučit-003"</t>
  </si>
  <si>
    <t xml:space="preserve">"vyloučit-se-001"</t>
  </si>
  <si>
    <t xml:space="preserve">"vylovit-001"</t>
  </si>
  <si>
    <t xml:space="preserve">"vyloďovat-001"</t>
  </si>
  <si>
    <t xml:space="preserve">"vyložit-001"</t>
  </si>
  <si>
    <t xml:space="preserve">"vyložit-002"</t>
  </si>
  <si>
    <t xml:space="preserve">"vyložit-003"</t>
  </si>
  <si>
    <t xml:space="preserve">Protagonist(ARG0/7), Audience_Addressee()</t>
  </si>
  <si>
    <t xml:space="preserve">DPHR: karta.P4,na-1[stůl.S4]</t>
  </si>
  <si>
    <t xml:space="preserve">"vyluhovat-se-001"</t>
  </si>
  <si>
    <t xml:space="preserve">"vylustrovat-001"</t>
  </si>
  <si>
    <t xml:space="preserve">"vylučovat-001"</t>
  </si>
  <si>
    <t xml:space="preserve">"vylučovat-002"</t>
  </si>
  <si>
    <t xml:space="preserve">"vylučovat-003"</t>
  </si>
  <si>
    <t xml:space="preserve">"vylučovat-se-001"</t>
  </si>
  <si>
    <t xml:space="preserve">"vylákat-001"</t>
  </si>
  <si>
    <t xml:space="preserve">?ORIG: na+6; z+2; od+2</t>
  </si>
  <si>
    <t xml:space="preserve">"vylámat-001"</t>
  </si>
  <si>
    <t xml:space="preserve">"vylétnout-001"</t>
  </si>
  <si>
    <t xml:space="preserve">"vylétnout-002"</t>
  </si>
  <si>
    <t xml:space="preserve">"vylétnout-003"</t>
  </si>
  <si>
    <t xml:space="preserve">"vylétnout-004"</t>
  </si>
  <si>
    <t xml:space="preserve">"vylétnout-005"</t>
  </si>
  <si>
    <t xml:space="preserve">"vylévat-001"</t>
  </si>
  <si>
    <t xml:space="preserve">"vylévat-se-001"</t>
  </si>
  <si>
    <t xml:space="preserve">"vylévat-si-001"</t>
  </si>
  <si>
    <t xml:space="preserve">DPHR-&gt;ARG1/35</t>
  </si>
  <si>
    <t xml:space="preserve">DPHR[srdce]-&gt;Information</t>
  </si>
  <si>
    <t xml:space="preserve">DPHR[srdce]-&gt;Information(ARG1/35)</t>
  </si>
  <si>
    <t xml:space="preserve">PAT-&gt;Audience_Addressee(ARG2/3)</t>
  </si>
  <si>
    <t xml:space="preserve">"vylézat-001"</t>
  </si>
  <si>
    <t xml:space="preserve">"vylézt-001"</t>
  </si>
  <si>
    <t xml:space="preserve">"vylézt-002"</t>
  </si>
  <si>
    <t xml:space="preserve">"vylézt-003"</t>
  </si>
  <si>
    <t xml:space="preserve">"vylézt-004"</t>
  </si>
  <si>
    <t xml:space="preserve">"vylézt-005"</t>
  </si>
  <si>
    <t xml:space="preserve">"vylézt-006"</t>
  </si>
  <si>
    <t xml:space="preserve">"vylézt-007"</t>
  </si>
  <si>
    <t xml:space="preserve">"vyléčit-001"</t>
  </si>
  <si>
    <t xml:space="preserve">"vyléčit-002"</t>
  </si>
  <si>
    <t xml:space="preserve">"vyléčit-se-001"</t>
  </si>
  <si>
    <t xml:space="preserve">"vylít-001"</t>
  </si>
  <si>
    <t xml:space="preserve">"vylít-002"</t>
  </si>
  <si>
    <t xml:space="preserve">"vylítat-001"</t>
  </si>
  <si>
    <t xml:space="preserve">"vylítat-002"</t>
  </si>
  <si>
    <t xml:space="preserve">"vylítnout-001"</t>
  </si>
  <si>
    <t xml:space="preserve">"vylítnout-002"</t>
  </si>
  <si>
    <t xml:space="preserve">"vylítávat-001"</t>
  </si>
  <si>
    <t xml:space="preserve">"vylízat-001"</t>
  </si>
  <si>
    <t xml:space="preserve">"vylízat-se-001"</t>
  </si>
  <si>
    <t xml:space="preserve">"vylíčit-001"</t>
  </si>
  <si>
    <t xml:space="preserve">"vymalovat-001"</t>
  </si>
  <si>
    <t xml:space="preserve">"vymanit-001"</t>
  </si>
  <si>
    <t xml:space="preserve">"vymanit-se-001"</t>
  </si>
  <si>
    <t xml:space="preserve">"vymanévrovat-001"</t>
  </si>
  <si>
    <t xml:space="preserve">"vymazat-001"</t>
  </si>
  <si>
    <t xml:space="preserve">"vymazat-002"</t>
  </si>
  <si>
    <t xml:space="preserve">"vymazat-003"</t>
  </si>
  <si>
    <t xml:space="preserve">"vymazat-004"</t>
  </si>
  <si>
    <t xml:space="preserve">DPHR: z-1[hlava.S2]</t>
  </si>
  <si>
    <t xml:space="preserve">"vymačkat-001"</t>
  </si>
  <si>
    <t xml:space="preserve">"vymačkat-002"</t>
  </si>
  <si>
    <t xml:space="preserve">"vymetat-001"</t>
  </si>
  <si>
    <t xml:space="preserve">"vymetat-002"</t>
  </si>
  <si>
    <t xml:space="preserve">"vymezit-001"</t>
  </si>
  <si>
    <t xml:space="preserve">"vymezovat-001"</t>
  </si>
  <si>
    <t xml:space="preserve">"vymizet-001"</t>
  </si>
  <si>
    <t xml:space="preserve">"vymiňovat-si-001"</t>
  </si>
  <si>
    <t xml:space="preserve">"vymknout-se-001"</t>
  </si>
  <si>
    <t xml:space="preserve">Phenomenon(ARG0/6), Norm(ARG1/11)</t>
  </si>
  <si>
    <t xml:space="preserve">ACT-&gt;Phenomenon(ARG0/6)</t>
  </si>
  <si>
    <t xml:space="preserve">PAT-&gt;Norm(ARG1/11)</t>
  </si>
  <si>
    <t xml:space="preserve">"vymknout-se-002"</t>
  </si>
  <si>
    <t xml:space="preserve">DPHR: z-1[ruka.S2]; z-1[ruka.P2]</t>
  </si>
  <si>
    <t xml:space="preserve">"vymlouvat-001"</t>
  </si>
  <si>
    <t xml:space="preserve">"vymlouvat-se-001"</t>
  </si>
  <si>
    <t xml:space="preserve">"vymluvit-001"</t>
  </si>
  <si>
    <t xml:space="preserve">"vymluvit-se-001"</t>
  </si>
  <si>
    <t xml:space="preserve">"vymlátit-001"</t>
  </si>
  <si>
    <t xml:space="preserve">"vymoci-001"</t>
  </si>
  <si>
    <t xml:space="preserve">?ORIG: na+6; po+6; od+2; z+2</t>
  </si>
  <si>
    <t xml:space="preserve">"vymodlit-001"</t>
  </si>
  <si>
    <t xml:space="preserve">"vymočit-se-001"</t>
  </si>
  <si>
    <t xml:space="preserve">"vymrdat-001"</t>
  </si>
  <si>
    <t xml:space="preserve">"vymrdat-002"</t>
  </si>
  <si>
    <t xml:space="preserve">"vymrštit-001"</t>
  </si>
  <si>
    <t xml:space="preserve">"vymrštit-002"</t>
  </si>
  <si>
    <t xml:space="preserve">"vymrštit-003"</t>
  </si>
  <si>
    <t xml:space="preserve">"vymstít-se-001"</t>
  </si>
  <si>
    <t xml:space="preserve">"vymykat-se-001"</t>
  </si>
  <si>
    <t xml:space="preserve">"vymykat-se-002"</t>
  </si>
  <si>
    <t xml:space="preserve">"vymyslet-001"</t>
  </si>
  <si>
    <t xml:space="preserve">PAT: 4; ↓že; ↓zda; ↓jestli; ↓c; .f</t>
  </si>
  <si>
    <t xml:space="preserve">"vymyslet-002"</t>
  </si>
  <si>
    <t xml:space="preserve">EFF: 4; ↓že; ↓jak-2</t>
  </si>
  <si>
    <t xml:space="preserve">"vymyslet-si-001"</t>
  </si>
  <si>
    <t xml:space="preserve">Cognizer(), Topic()</t>
  </si>
  <si>
    <t xml:space="preserve">"vymyslet-si-002"</t>
  </si>
  <si>
    <t xml:space="preserve">"vymyslet-si-003"</t>
  </si>
  <si>
    <t xml:space="preserve">"vymyslit-001"</t>
  </si>
  <si>
    <t xml:space="preserve">"vymyslit-002"</t>
  </si>
  <si>
    <t xml:space="preserve">"vymyslit-si-001"</t>
  </si>
  <si>
    <t xml:space="preserve">"vymyslit-si-002"</t>
  </si>
  <si>
    <t xml:space="preserve">?PAT: o+6; na+4</t>
  </si>
  <si>
    <t xml:space="preserve">"vymáchat-001"</t>
  </si>
  <si>
    <t xml:space="preserve">"vymáhat-001"</t>
  </si>
  <si>
    <t xml:space="preserve">?ORIG: na+6; po+6; od+2</t>
  </si>
  <si>
    <t xml:space="preserve">"vymáčknout-001"</t>
  </si>
  <si>
    <t xml:space="preserve">PAT-&gt;ARG1/126</t>
  </si>
  <si>
    <t xml:space="preserve">ORIG-&gt;ARG1/2,ARG2/32</t>
  </si>
  <si>
    <t xml:space="preserve">ORIG-&gt;Whole</t>
  </si>
  <si>
    <t xml:space="preserve">ORIG-&gt;Whole(ARG2/11)</t>
  </si>
  <si>
    <t xml:space="preserve">ORIG-&gt;Owner(ARG1/2,ARG2/21)</t>
  </si>
  <si>
    <t xml:space="preserve">"vymáčknout-002"</t>
  </si>
  <si>
    <t xml:space="preserve">"vymést-001"</t>
  </si>
  <si>
    <t xml:space="preserve">"vymést-002"</t>
  </si>
  <si>
    <t xml:space="preserve">"vymínit-si-001"</t>
  </si>
  <si>
    <t xml:space="preserve">"vymírat-001"</t>
  </si>
  <si>
    <t xml:space="preserve">"vymýt-001"</t>
  </si>
  <si>
    <t xml:space="preserve">"vymýtit-001"</t>
  </si>
  <si>
    <t xml:space="preserve">"vymýtit-002"</t>
  </si>
  <si>
    <t xml:space="preserve">"vymývat-001"</t>
  </si>
  <si>
    <t xml:space="preserve">"vymýšlet-001"</t>
  </si>
  <si>
    <t xml:space="preserve">"vymýšlet-002"</t>
  </si>
  <si>
    <t xml:space="preserve">"vymýšlet-si-001"</t>
  </si>
  <si>
    <t xml:space="preserve">"vymýšlet-si-002"</t>
  </si>
  <si>
    <t xml:space="preserve">EFF-&gt;Topic()</t>
  </si>
  <si>
    <t xml:space="preserve">"vyměnit-001"</t>
  </si>
  <si>
    <t xml:space="preserve">"vyměnit-002"</t>
  </si>
  <si>
    <t xml:space="preserve">"vyměňovat-001"</t>
  </si>
  <si>
    <t xml:space="preserve">?ADDR: s+7; mezi-1[.P7]; mezi+7,mezi+7</t>
  </si>
  <si>
    <t xml:space="preserve">"vyměňovat-002"</t>
  </si>
  <si>
    <t xml:space="preserve">"--vyměňovat-si-001"</t>
  </si>
  <si>
    <t xml:space="preserve">"vyměřit-001"</t>
  </si>
  <si>
    <t xml:space="preserve">"vyměřovat-001"</t>
  </si>
  <si>
    <t xml:space="preserve">"vymřít-001"</t>
  </si>
  <si>
    <t xml:space="preserve">"vynachválit-si-001"</t>
  </si>
  <si>
    <t xml:space="preserve">PAT: 4; ↓jak-2; ↓že</t>
  </si>
  <si>
    <t xml:space="preserve">"vynacházet-se-001"</t>
  </si>
  <si>
    <t xml:space="preserve">"vynadat-001"</t>
  </si>
  <si>
    <t xml:space="preserve">"vynahradit-001"</t>
  </si>
  <si>
    <t xml:space="preserve">"vynahrazovat-001"</t>
  </si>
  <si>
    <t xml:space="preserve">"vynakládat-001"</t>
  </si>
  <si>
    <t xml:space="preserve">"vynaleznout-001"</t>
  </si>
  <si>
    <t xml:space="preserve">"vynaložit-001"</t>
  </si>
  <si>
    <t xml:space="preserve">"vynaložit-002"</t>
  </si>
  <si>
    <t xml:space="preserve">"vynaložit-003"</t>
  </si>
  <si>
    <t xml:space="preserve">"vynalézat-001"</t>
  </si>
  <si>
    <t xml:space="preserve">"vynalézt-001"</t>
  </si>
  <si>
    <t xml:space="preserve">"vyndat-001"</t>
  </si>
  <si>
    <t xml:space="preserve">"vyndat-002"</t>
  </si>
  <si>
    <t xml:space="preserve">"vyndavat-001"</t>
  </si>
  <si>
    <t xml:space="preserve">"vyndávat-001"</t>
  </si>
  <si>
    <t xml:space="preserve">"vyndávat-002"</t>
  </si>
  <si>
    <t xml:space="preserve">"vynechat-001"</t>
  </si>
  <si>
    <t xml:space="preserve">"vynechat-002"</t>
  </si>
  <si>
    <t xml:space="preserve">"vynechávat-001"</t>
  </si>
  <si>
    <t xml:space="preserve">"vynechávat-002"</t>
  </si>
  <si>
    <t xml:space="preserve">"vynikat-001"</t>
  </si>
  <si>
    <t xml:space="preserve">Superior(), Subordinate(), Skill()</t>
  </si>
  <si>
    <t xml:space="preserve">ACT-&gt;Superior</t>
  </si>
  <si>
    <t xml:space="preserve">ACT-&gt;Superior()</t>
  </si>
  <si>
    <t xml:space="preserve">PAT-&gt;Subordinate()</t>
  </si>
  <si>
    <t xml:space="preserve">"vyniknout-001"</t>
  </si>
  <si>
    <t xml:space="preserve">"vynosit-001"</t>
  </si>
  <si>
    <t xml:space="preserve">"vynořit-se-001"</t>
  </si>
  <si>
    <t xml:space="preserve">"vynořit-se-002"</t>
  </si>
  <si>
    <t xml:space="preserve">"vynořit-se-003"</t>
  </si>
  <si>
    <t xml:space="preserve">"vynořovat-se-001"</t>
  </si>
  <si>
    <t xml:space="preserve">"vynořovat-se-002"</t>
  </si>
  <si>
    <t xml:space="preserve">"vynucovat-001"</t>
  </si>
  <si>
    <t xml:space="preserve">"vynucovat-si-001"</t>
  </si>
  <si>
    <t xml:space="preserve">"vynulovat-001"</t>
  </si>
  <si>
    <t xml:space="preserve">"vynutit-001"</t>
  </si>
  <si>
    <t xml:space="preserve">"vynutit-si-001"</t>
  </si>
  <si>
    <t xml:space="preserve">"vynásobit-001"</t>
  </si>
  <si>
    <t xml:space="preserve">"vynášet-001"</t>
  </si>
  <si>
    <t xml:space="preserve">"vynášet-002"</t>
  </si>
  <si>
    <t xml:space="preserve">Helper(ARG0/2), Party_benefited(ARG1/5), Situation_harmful()</t>
  </si>
  <si>
    <t xml:space="preserve">PAT-&gt;Party_benefited(ARG1/5)</t>
  </si>
  <si>
    <t xml:space="preserve">"vynášet-003"</t>
  </si>
  <si>
    <t xml:space="preserve">"vynášet-004"</t>
  </si>
  <si>
    <t xml:space="preserve">"vynášet-005"</t>
  </si>
  <si>
    <t xml:space="preserve">"vynést-001"</t>
  </si>
  <si>
    <t xml:space="preserve">"vynést-002"</t>
  </si>
  <si>
    <t xml:space="preserve">"vynést-003"</t>
  </si>
  <si>
    <t xml:space="preserve">"vynést-004"</t>
  </si>
  <si>
    <t xml:space="preserve">"vynést-005"</t>
  </si>
  <si>
    <t xml:space="preserve">EXT-&gt;ARG1/654</t>
  </si>
  <si>
    <t xml:space="preserve">EXT-&gt;Acquired</t>
  </si>
  <si>
    <t xml:space="preserve">EXT-&gt;Acquired(ARG1/654)</t>
  </si>
  <si>
    <t xml:space="preserve">"vynést-006"</t>
  </si>
  <si>
    <t xml:space="preserve">ACT-&gt;ARG0/219,ARG2/1</t>
  </si>
  <si>
    <t xml:space="preserve">CPHR: {rozhodnutí,rozsudek,soud,trest,...}.4</t>
  </si>
  <si>
    <t xml:space="preserve">CPHR-&gt;ARG1/38</t>
  </si>
  <si>
    <t xml:space="preserve">"vyobrazit-001"</t>
  </si>
  <si>
    <t xml:space="preserve">PAT: 4; ↓c; ↓jak-2; ↓že</t>
  </si>
  <si>
    <t xml:space="preserve">"vyoperovat-001"</t>
  </si>
  <si>
    <t xml:space="preserve">"vyostřit-se-001"</t>
  </si>
  <si>
    <t xml:space="preserve">"vyostřovat-se-001"</t>
  </si>
  <si>
    <t xml:space="preserve">"vypadat-001"</t>
  </si>
  <si>
    <t xml:space="preserve">PAT: a.1; ↓že</t>
  </si>
  <si>
    <t xml:space="preserve">PAT-&gt;ARG1/241,ARG2/55,ARG3/10</t>
  </si>
  <si>
    <t xml:space="preserve">PAT-&gt;Judgment(ARG1/241,ARG2/55,ARG3/10)</t>
  </si>
  <si>
    <t xml:space="preserve">"vypadat-002"</t>
  </si>
  <si>
    <t xml:space="preserve">"vypadat-003"</t>
  </si>
  <si>
    <t xml:space="preserve">"vypadat-004"</t>
  </si>
  <si>
    <t xml:space="preserve">ALT-TFHL: </t>
  </si>
  <si>
    <t xml:space="preserve">TFHL-&gt;ARG1/241,ARG2/55,ARG3/10</t>
  </si>
  <si>
    <t xml:space="preserve">"vypadat-005"</t>
  </si>
  <si>
    <t xml:space="preserve">"vypadat-006"</t>
  </si>
  <si>
    <t xml:space="preserve">DPHR: jako[ze-1[škatulka.S2]]</t>
  </si>
  <si>
    <t xml:space="preserve">"vypadnout-001"</t>
  </si>
  <si>
    <t xml:space="preserve">"vypadnout-002"</t>
  </si>
  <si>
    <t xml:space="preserve">"vypadnout-003"</t>
  </si>
  <si>
    <t xml:space="preserve">"vypadnout-004"</t>
  </si>
  <si>
    <t xml:space="preserve">"vypadnout-005"</t>
  </si>
  <si>
    <t xml:space="preserve">"vypadnout-006"</t>
  </si>
  <si>
    <t xml:space="preserve">"vypadnout-007"</t>
  </si>
  <si>
    <t xml:space="preserve">"vypadnout-008"</t>
  </si>
  <si>
    <t xml:space="preserve">"vypadávat-001"</t>
  </si>
  <si>
    <t xml:space="preserve">"vypadávat-002"</t>
  </si>
  <si>
    <t xml:space="preserve">"vypalovat-001"</t>
  </si>
  <si>
    <t xml:space="preserve">"vypalovat-002"</t>
  </si>
  <si>
    <t xml:space="preserve">"vypalovat-003"</t>
  </si>
  <si>
    <t xml:space="preserve">"vypařit-se-001"</t>
  </si>
  <si>
    <t xml:space="preserve">"vypařovat-se-001"</t>
  </si>
  <si>
    <t xml:space="preserve">"vypisovat-001"</t>
  </si>
  <si>
    <t xml:space="preserve">"vypisovat-002"</t>
  </si>
  <si>
    <t xml:space="preserve">"vypisovat-003"</t>
  </si>
  <si>
    <t xml:space="preserve">"vypisovat-004"</t>
  </si>
  <si>
    <t xml:space="preserve">"vyplatit-001"</t>
  </si>
  <si>
    <t xml:space="preserve">"vyplatit-002"</t>
  </si>
  <si>
    <t xml:space="preserve">"vyplatit-003"</t>
  </si>
  <si>
    <t xml:space="preserve">"vyplatit-004"</t>
  </si>
  <si>
    <t xml:space="preserve">"vyplatit-005"</t>
  </si>
  <si>
    <t xml:space="preserve">Payer(ARG0/2), Payee(ARG1/7,ARG2/2)</t>
  </si>
  <si>
    <t xml:space="preserve">ACT-&gt;ARG0/380,ARG1/4,ARG2/8</t>
  </si>
  <si>
    <t xml:space="preserve">ACT-&gt;Payer(ARG0/2)</t>
  </si>
  <si>
    <t xml:space="preserve">PAT-&gt;ARG0/1,ARG1/117,ARG2/147,ARG3/4</t>
  </si>
  <si>
    <t xml:space="preserve">PAT-&gt;Payee(ARG1/7,ARG2/2)</t>
  </si>
  <si>
    <t xml:space="preserve">"vyplatit-se-001"</t>
  </si>
  <si>
    <t xml:space="preserve">ACT: 1; .f; ↓že; ↓kdyby</t>
  </si>
  <si>
    <t xml:space="preserve">"vyplatit-se-002"</t>
  </si>
  <si>
    <t xml:space="preserve">"vyplavat-001"</t>
  </si>
  <si>
    <t xml:space="preserve">"vyplavat-002"</t>
  </si>
  <si>
    <t xml:space="preserve">"vyplavat-se-001"</t>
  </si>
  <si>
    <t xml:space="preserve">"vyplavit-001"</t>
  </si>
  <si>
    <t xml:space="preserve">"vyplavit-002"</t>
  </si>
  <si>
    <t xml:space="preserve">"vyplazovat-001"</t>
  </si>
  <si>
    <t xml:space="preserve">"vyplašit-001"</t>
  </si>
  <si>
    <t xml:space="preserve">"vyplenit-001"</t>
  </si>
  <si>
    <t xml:space="preserve">"vyplivnout-001"</t>
  </si>
  <si>
    <t xml:space="preserve">"vyplivovat-001"</t>
  </si>
  <si>
    <t xml:space="preserve">"vyplnit-001"</t>
  </si>
  <si>
    <t xml:space="preserve">"vyplnit-002"</t>
  </si>
  <si>
    <t xml:space="preserve">Creator(), Information(ARG1/3)</t>
  </si>
  <si>
    <t xml:space="preserve">PAT-&gt;Information(ARG1/3)</t>
  </si>
  <si>
    <t xml:space="preserve">"vyplnit-003"</t>
  </si>
  <si>
    <t xml:space="preserve">"vyplnit-se-001"</t>
  </si>
  <si>
    <t xml:space="preserve">"vyplodit-001"</t>
  </si>
  <si>
    <t xml:space="preserve">"vyplout-001"</t>
  </si>
  <si>
    <t xml:space="preserve">"vyplouvat-001"</t>
  </si>
  <si>
    <t xml:space="preserve">"vyplouvat-002"</t>
  </si>
  <si>
    <t xml:space="preserve">"vyplynout-001"</t>
  </si>
  <si>
    <t xml:space="preserve">"vyplynovat-001"</t>
  </si>
  <si>
    <t xml:space="preserve">"vyplácet-001"</t>
  </si>
  <si>
    <t xml:space="preserve">PAT-&gt;ARG1/459,ARG2/29,ARG3/20</t>
  </si>
  <si>
    <t xml:space="preserve">ADDR-&gt;ARG0/1,ARG1/110,ARG2/145,ARG3/4</t>
  </si>
  <si>
    <t xml:space="preserve">"vyplácet-002"</t>
  </si>
  <si>
    <t xml:space="preserve">PAT-&gt;ARG1/7,ARG2/2</t>
  </si>
  <si>
    <t xml:space="preserve">"vyplácet-003"</t>
  </si>
  <si>
    <t xml:space="preserve">"vyplácet-004"</t>
  </si>
  <si>
    <t xml:space="preserve">"vyplácet-005"</t>
  </si>
  <si>
    <t xml:space="preserve">"vyplácet-se-001"</t>
  </si>
  <si>
    <t xml:space="preserve">"vypláchnout-001"</t>
  </si>
  <si>
    <t xml:space="preserve">"vyplétat-001"</t>
  </si>
  <si>
    <t xml:space="preserve">"vyplísnit-001"</t>
  </si>
  <si>
    <t xml:space="preserve">"vyplýtvat-001"</t>
  </si>
  <si>
    <t xml:space="preserve">"vyplývat-001"</t>
  </si>
  <si>
    <t xml:space="preserve">"vyplňovat-001"</t>
  </si>
  <si>
    <t xml:space="preserve">"vyplňovat-002"</t>
  </si>
  <si>
    <t xml:space="preserve">"vypnout-001"</t>
  </si>
  <si>
    <t xml:space="preserve">Activating(ARG0/9), Activated(ARG1/15)</t>
  </si>
  <si>
    <t xml:space="preserve">ACT-&gt;Activating</t>
  </si>
  <si>
    <t xml:space="preserve">ACT-&gt;Activating(ARG0/9)</t>
  </si>
  <si>
    <t xml:space="preserve">PAT-&gt;Activated</t>
  </si>
  <si>
    <t xml:space="preserve">PAT-&gt;Activated(ARG1/15)</t>
  </si>
  <si>
    <t xml:space="preserve">"vypnout-002"</t>
  </si>
  <si>
    <t xml:space="preserve">"vypnout-se-001"</t>
  </si>
  <si>
    <t xml:space="preserve">"vypochodovat-001"</t>
  </si>
  <si>
    <t xml:space="preserve">"vypodobňovat-001"</t>
  </si>
  <si>
    <t xml:space="preserve">"vypomoci-001"</t>
  </si>
  <si>
    <t xml:space="preserve">?PAT: 4; .f; s+7; v+6</t>
  </si>
  <si>
    <t xml:space="preserve">"vypomáhat-001"</t>
  </si>
  <si>
    <t xml:space="preserve">"vyporážet-001"</t>
  </si>
  <si>
    <t xml:space="preserve">"vyposlechnout-001"</t>
  </si>
  <si>
    <t xml:space="preserve">"vypotit-001"</t>
  </si>
  <si>
    <t xml:space="preserve">"vypotit-002"</t>
  </si>
  <si>
    <t xml:space="preserve">"vypouštět-001"</t>
  </si>
  <si>
    <t xml:space="preserve">"vypouštět-002"</t>
  </si>
  <si>
    <t xml:space="preserve">"vypovídat-001"</t>
  </si>
  <si>
    <t xml:space="preserve">"vypovídat-002"</t>
  </si>
  <si>
    <t xml:space="preserve">"vypovídat-003"</t>
  </si>
  <si>
    <t xml:space="preserve">"vypovídat-004"</t>
  </si>
  <si>
    <t xml:space="preserve">"vypovídat-005"</t>
  </si>
  <si>
    <t xml:space="preserve">"vypovídat-006"</t>
  </si>
  <si>
    <t xml:space="preserve">"vypovídat-007"</t>
  </si>
  <si>
    <t xml:space="preserve">EFF: 4; ↓že; ↓zda; ↓jestli</t>
  </si>
  <si>
    <t xml:space="preserve">"vypovídat-008"</t>
  </si>
  <si>
    <t xml:space="preserve">EFF-&gt;ARG1/7</t>
  </si>
  <si>
    <t xml:space="preserve">EFF-&gt;Information(ARG1/7)</t>
  </si>
  <si>
    <t xml:space="preserve">"vypovídat-se-001"</t>
  </si>
  <si>
    <t xml:space="preserve">"vypovědět-001"</t>
  </si>
  <si>
    <t xml:space="preserve">"vypovědět-002"</t>
  </si>
  <si>
    <t xml:space="preserve">"vypovědět-003"</t>
  </si>
  <si>
    <t xml:space="preserve">"vypovědět-004"</t>
  </si>
  <si>
    <t xml:space="preserve">"vypovědět-005"</t>
  </si>
  <si>
    <t xml:space="preserve">"vypovědět-006"</t>
  </si>
  <si>
    <t xml:space="preserve">CPHR: {válka,...}.4</t>
  </si>
  <si>
    <t xml:space="preserve">"vypovědět-007"</t>
  </si>
  <si>
    <t xml:space="preserve">DPHR: služba.S4</t>
  </si>
  <si>
    <t xml:space="preserve">"vypozorovat-001"</t>
  </si>
  <si>
    <t xml:space="preserve">"vypočíst-001"</t>
  </si>
  <si>
    <t xml:space="preserve">"vypočítat-001"</t>
  </si>
  <si>
    <t xml:space="preserve">"vypočítávat-001"</t>
  </si>
  <si>
    <t xml:space="preserve">"vypočítávat-002"</t>
  </si>
  <si>
    <t xml:space="preserve">"vypořádat-001"</t>
  </si>
  <si>
    <t xml:space="preserve">ADDR-&gt;ARG1/4,ARG2/2</t>
  </si>
  <si>
    <t xml:space="preserve">"vypořádat-002"</t>
  </si>
  <si>
    <t xml:space="preserve">"vypořádat-se-001"</t>
  </si>
  <si>
    <t xml:space="preserve">"vypořádávat-001"</t>
  </si>
  <si>
    <t xml:space="preserve">"vypořádávat-se-001"</t>
  </si>
  <si>
    <t xml:space="preserve">"vypracovat-001"</t>
  </si>
  <si>
    <t xml:space="preserve">Creator(ARG0/22,ARG2/2), Created(ARG1/35)</t>
  </si>
  <si>
    <t xml:space="preserve">ACT-&gt;ARG0/22,ARG2/2</t>
  </si>
  <si>
    <t xml:space="preserve">ACT-&gt;Creator(ARG0/22,ARG2/2)</t>
  </si>
  <si>
    <t xml:space="preserve">PAT-&gt;Created(ARG1/35)</t>
  </si>
  <si>
    <t xml:space="preserve">"vypracovat-se-001"</t>
  </si>
  <si>
    <t xml:space="preserve">?PAT: na+4; do+2; k+3</t>
  </si>
  <si>
    <t xml:space="preserve">"vypracovávat-001"</t>
  </si>
  <si>
    <t xml:space="preserve">"vypracovávat-se-001"</t>
  </si>
  <si>
    <t xml:space="preserve">"vyprat-001"</t>
  </si>
  <si>
    <t xml:space="preserve">"vyprat-002"</t>
  </si>
  <si>
    <t xml:space="preserve">"vypravit-001"</t>
  </si>
  <si>
    <t xml:space="preserve">"vypravit-002"</t>
  </si>
  <si>
    <t xml:space="preserve">DPHR: z-1.$2&lt;V&gt;[se.$2&lt;6&gt;$5&lt;2&gt;]</t>
  </si>
  <si>
    <t xml:space="preserve">"vypravit-se-001"</t>
  </si>
  <si>
    <t xml:space="preserve">"vypravovat-001"</t>
  </si>
  <si>
    <t xml:space="preserve">"vypravovat-002"</t>
  </si>
  <si>
    <t xml:space="preserve">"vypravovat-003"</t>
  </si>
  <si>
    <t xml:space="preserve">"vypravovat-se-001"</t>
  </si>
  <si>
    <t xml:space="preserve">"vyprazdňovat-001"</t>
  </si>
  <si>
    <t xml:space="preserve">Protagonist(ARG0/1), Container(ARG1/4)</t>
  </si>
  <si>
    <t xml:space="preserve">"vyprchat-001"</t>
  </si>
  <si>
    <t xml:space="preserve">"vyprodat-001"</t>
  </si>
  <si>
    <t xml:space="preserve">"vyprodukovat-001"</t>
  </si>
  <si>
    <t xml:space="preserve">"vyprodávat-001"</t>
  </si>
  <si>
    <t xml:space="preserve">"vyprofilovat-se-001"</t>
  </si>
  <si>
    <t xml:space="preserve">?PAT: na+4; do+2; 1[{jako,jakožto}:/AuxY]; .a1[{jako,jakožto}:/AuxY]</t>
  </si>
  <si>
    <t xml:space="preserve">"vyprojektovat-001"</t>
  </si>
  <si>
    <t xml:space="preserve">ACT-&gt;ARG0/268,ARG1/4</t>
  </si>
  <si>
    <t xml:space="preserve">"vyprostit-001"</t>
  </si>
  <si>
    <t xml:space="preserve">"--vyprostit-002"</t>
  </si>
  <si>
    <t xml:space="preserve">"vyprostit-se-001"</t>
  </si>
  <si>
    <t xml:space="preserve">"vyprovodit-001"</t>
  </si>
  <si>
    <t xml:space="preserve">"vyprovokovat-001"</t>
  </si>
  <si>
    <t xml:space="preserve">"vyprovokovat-002"</t>
  </si>
  <si>
    <t xml:space="preserve">"vyprovázet-001"</t>
  </si>
  <si>
    <t xml:space="preserve">ACT-&gt;ARG0/77</t>
  </si>
  <si>
    <t xml:space="preserve">PAT-&gt;ARG1/115</t>
  </si>
  <si>
    <t xml:space="preserve">"vyprošťovat-001"</t>
  </si>
  <si>
    <t xml:space="preserve">"vyprávět-001"</t>
  </si>
  <si>
    <t xml:space="preserve">"vyprávět-002"</t>
  </si>
  <si>
    <t xml:space="preserve">EFF: 4; ↓že; ↓jak-2; .s; ↓c; ↓jestli</t>
  </si>
  <si>
    <t xml:space="preserve">"vyprázdnit-001"</t>
  </si>
  <si>
    <t xml:space="preserve">"vyprázdnit-se-001"</t>
  </si>
  <si>
    <t xml:space="preserve">"vyprášit-001"</t>
  </si>
  <si>
    <t xml:space="preserve">"vypršet-001"</t>
  </si>
  <si>
    <t xml:space="preserve">ACT-&gt;ARG0/13,ARG1/190</t>
  </si>
  <si>
    <t xml:space="preserve">ACT-&gt;Desirable(ARG1/22)</t>
  </si>
  <si>
    <t xml:space="preserve">"vypsat-001"</t>
  </si>
  <si>
    <t xml:space="preserve">"vypsat-002"</t>
  </si>
  <si>
    <t xml:space="preserve">"vyptat-se-001"</t>
  </si>
  <si>
    <t xml:space="preserve">"vyptávat-se-001"</t>
  </si>
  <si>
    <t xml:space="preserve">"vypucovat-001"</t>
  </si>
  <si>
    <t xml:space="preserve">"vypudit-001"</t>
  </si>
  <si>
    <t xml:space="preserve">"vypuknout-001"</t>
  </si>
  <si>
    <t xml:space="preserve">"vypumpovat-001"</t>
  </si>
  <si>
    <t xml:space="preserve">"vypustit-001"</t>
  </si>
  <si>
    <t xml:space="preserve">"vypustit-002"</t>
  </si>
  <si>
    <t xml:space="preserve">"vypustit-003"</t>
  </si>
  <si>
    <t xml:space="preserve">"vypustit-004"</t>
  </si>
  <si>
    <t xml:space="preserve">"vypustit-005"</t>
  </si>
  <si>
    <t xml:space="preserve">"vypuzovat-001"</t>
  </si>
  <si>
    <t xml:space="preserve">"vypálit-001"</t>
  </si>
  <si>
    <t xml:space="preserve">"vypálit-002"</t>
  </si>
  <si>
    <t xml:space="preserve">DPHR: rybník:S4</t>
  </si>
  <si>
    <t xml:space="preserve">"vypálit-003"</t>
  </si>
  <si>
    <t xml:space="preserve">"vypálit-004"</t>
  </si>
  <si>
    <t xml:space="preserve">"vypárat-001"</t>
  </si>
  <si>
    <t xml:space="preserve">"vypást-001"</t>
  </si>
  <si>
    <t xml:space="preserve">"vypást-002"</t>
  </si>
  <si>
    <t xml:space="preserve">"vypátrat-001"</t>
  </si>
  <si>
    <t xml:space="preserve">"vypíchnout-001"</t>
  </si>
  <si>
    <t xml:space="preserve">"vypíchnout-002"</t>
  </si>
  <si>
    <t xml:space="preserve">"vypínat-001"</t>
  </si>
  <si>
    <t xml:space="preserve">"vypískat-001"</t>
  </si>
  <si>
    <t xml:space="preserve">"vypískávat-001"</t>
  </si>
  <si>
    <t xml:space="preserve">"vypít-001"</t>
  </si>
  <si>
    <t xml:space="preserve">"vypěnit-001"</t>
  </si>
  <si>
    <t xml:space="preserve">"vypěnit-002"</t>
  </si>
  <si>
    <t xml:space="preserve">"vypěstovat-001"</t>
  </si>
  <si>
    <t xml:space="preserve">"vypěstovat-002"</t>
  </si>
  <si>
    <t xml:space="preserve">"vypřáhnout-001"</t>
  </si>
  <si>
    <t xml:space="preserve">"vypůjčit-001"</t>
  </si>
  <si>
    <t xml:space="preserve">"vypůjčit-si-001"</t>
  </si>
  <si>
    <t xml:space="preserve">"vypůjčovat-si-001"</t>
  </si>
  <si>
    <t xml:space="preserve">"vyrazit-001"</t>
  </si>
  <si>
    <t xml:space="preserve">"vyrazit-002"</t>
  </si>
  <si>
    <t xml:space="preserve">"vyrazit-003"</t>
  </si>
  <si>
    <t xml:space="preserve">"vyrazit-004"</t>
  </si>
  <si>
    <t xml:space="preserve">"vyrazit-005"</t>
  </si>
  <si>
    <t xml:space="preserve">"vyrazit-006"</t>
  </si>
  <si>
    <t xml:space="preserve">"vyrazit-007"</t>
  </si>
  <si>
    <t xml:space="preserve">"vyrazit-si-001"</t>
  </si>
  <si>
    <t xml:space="preserve">"vyrašit-001"</t>
  </si>
  <si>
    <t xml:space="preserve">"vyrašit-002"</t>
  </si>
  <si>
    <t xml:space="preserve">"vyreklamovat-001"</t>
  </si>
  <si>
    <t xml:space="preserve">"vyretušovat-001"</t>
  </si>
  <si>
    <t xml:space="preserve">"vyrobit-001"</t>
  </si>
  <si>
    <t xml:space="preserve">"vyrojit-se-001"</t>
  </si>
  <si>
    <t xml:space="preserve">"vyrovnat-001"</t>
  </si>
  <si>
    <t xml:space="preserve">"vyrovnat-002"</t>
  </si>
  <si>
    <t xml:space="preserve">"vyrovnat-003"</t>
  </si>
  <si>
    <t xml:space="preserve">Comparator(ARG0/1), Compared_1(ARG1/9), Compared_2()</t>
  </si>
  <si>
    <t xml:space="preserve">ACT-&gt;Comparator(ARG0/1)</t>
  </si>
  <si>
    <t xml:space="preserve">PAT-&gt;Compared_1(ARG1/9)</t>
  </si>
  <si>
    <t xml:space="preserve">EFF-&gt;Compared_2()</t>
  </si>
  <si>
    <t xml:space="preserve">"vyrovnat-004"</t>
  </si>
  <si>
    <t xml:space="preserve">"vyrovnat-005"</t>
  </si>
  <si>
    <t xml:space="preserve">"vyrovnat-006"</t>
  </si>
  <si>
    <t xml:space="preserve">"vyrovnat-007"</t>
  </si>
  <si>
    <t xml:space="preserve">"--vyrovnat-008"</t>
  </si>
  <si>
    <t xml:space="preserve">DPHR: účty</t>
  </si>
  <si>
    <t xml:space="preserve">"vyrovnat-se-001"</t>
  </si>
  <si>
    <t xml:space="preserve">ACT-&gt;ARG0/50,ARG1/15</t>
  </si>
  <si>
    <t xml:space="preserve">PAT-&gt;ARG1/138,ARG2/21</t>
  </si>
  <si>
    <t xml:space="preserve">"vyrovnat-se-002"</t>
  </si>
  <si>
    <t xml:space="preserve">ACT-&gt;ARG0/63,ARG1/12</t>
  </si>
  <si>
    <t xml:space="preserve">PAT-&gt;ARG1/217,ARG2/18,ARG3/3,ARG4/5</t>
  </si>
  <si>
    <t xml:space="preserve">"vyrovnat-se-003"</t>
  </si>
  <si>
    <t xml:space="preserve">PAT-&gt;ARG1/4,ARG2/2</t>
  </si>
  <si>
    <t xml:space="preserve">PAT-&gt;Arguer_2</t>
  </si>
  <si>
    <t xml:space="preserve">PAT-&gt;Arguer_2(ARG1/4,ARG2/2)</t>
  </si>
  <si>
    <t xml:space="preserve">"vyrovnat-se-004"</t>
  </si>
  <si>
    <t xml:space="preserve">"vyrovnat-si-001"</t>
  </si>
  <si>
    <t xml:space="preserve">"vyrovnávat-001"</t>
  </si>
  <si>
    <t xml:space="preserve">"vyrovnávat-002"</t>
  </si>
  <si>
    <t xml:space="preserve">"vyrovnávat-se-001"</t>
  </si>
  <si>
    <t xml:space="preserve">"vyrozumět-001"</t>
  </si>
  <si>
    <t xml:space="preserve">PAT: o+6; ↓že; ↓c; .s</t>
  </si>
  <si>
    <t xml:space="preserve">"vyrozumět-002"</t>
  </si>
  <si>
    <t xml:space="preserve">"vyrubat-001"</t>
  </si>
  <si>
    <t xml:space="preserve">"vyrukovat-001"</t>
  </si>
  <si>
    <t xml:space="preserve">"vyrušit-001"</t>
  </si>
  <si>
    <t xml:space="preserve">"vyrušovat-001"</t>
  </si>
  <si>
    <t xml:space="preserve">"vyrvat-001"</t>
  </si>
  <si>
    <t xml:space="preserve">"vyrábět-001"</t>
  </si>
  <si>
    <t xml:space="preserve">"vyrážet-001"</t>
  </si>
  <si>
    <t xml:space="preserve">"vyrážet-002"</t>
  </si>
  <si>
    <t xml:space="preserve">"vyrážet-003"</t>
  </si>
  <si>
    <t xml:space="preserve">"vyrýt-001"</t>
  </si>
  <si>
    <t xml:space="preserve">"vyrýt-002"</t>
  </si>
  <si>
    <t xml:space="preserve">"vyrůst-001"</t>
  </si>
  <si>
    <t xml:space="preserve">PAT: v+4; do+2; na+4</t>
  </si>
  <si>
    <t xml:space="preserve">"vyrůst-002"</t>
  </si>
  <si>
    <t xml:space="preserve">"vyrůst-003"</t>
  </si>
  <si>
    <t xml:space="preserve">"vyrůst-004"</t>
  </si>
  <si>
    <t xml:space="preserve">"vyrůst-005"</t>
  </si>
  <si>
    <t xml:space="preserve">"vyrůstat-001"</t>
  </si>
  <si>
    <t xml:space="preserve">"vyrůstat-002"</t>
  </si>
  <si>
    <t xml:space="preserve">"vyrůstat-003"</t>
  </si>
  <si>
    <t xml:space="preserve">"vyrůstat-004"</t>
  </si>
  <si>
    <t xml:space="preserve">"vysadit-001"</t>
  </si>
  <si>
    <t xml:space="preserve">"vysadit-002"</t>
  </si>
  <si>
    <t xml:space="preserve">"vysadit-003"</t>
  </si>
  <si>
    <t xml:space="preserve">"vysadit-004"</t>
  </si>
  <si>
    <t xml:space="preserve">"vysadit-005"</t>
  </si>
  <si>
    <t xml:space="preserve">"vysadit-006"</t>
  </si>
  <si>
    <t xml:space="preserve">"vysazovat-001"</t>
  </si>
  <si>
    <t xml:space="preserve">"vysazovat-002"</t>
  </si>
  <si>
    <t xml:space="preserve">"vyschnout-001"</t>
  </si>
  <si>
    <t xml:space="preserve">"vyschnout-002"</t>
  </si>
  <si>
    <t xml:space="preserve">"vyschnout-003"</t>
  </si>
  <si>
    <t xml:space="preserve">"vysedat-001"</t>
  </si>
  <si>
    <t xml:space="preserve">"vysednout-001"</t>
  </si>
  <si>
    <t xml:space="preserve">"vysedávat-001"</t>
  </si>
  <si>
    <t xml:space="preserve">"vysedět-001"</t>
  </si>
  <si>
    <t xml:space="preserve">"vysekávat-001"</t>
  </si>
  <si>
    <t xml:space="preserve">"vysemenit-se-001"</t>
  </si>
  <si>
    <t xml:space="preserve">"vysilovat-001"</t>
  </si>
  <si>
    <t xml:space="preserve">"vyskočit-001"</t>
  </si>
  <si>
    <t xml:space="preserve">"vyskočit-002"</t>
  </si>
  <si>
    <t xml:space="preserve">"vyskočit-003"</t>
  </si>
  <si>
    <t xml:space="preserve">Mover(ARG0/1), Place()</t>
  </si>
  <si>
    <t xml:space="preserve">"vyskytnout-se-001"</t>
  </si>
  <si>
    <t xml:space="preserve">"vyskytnout-se-002"</t>
  </si>
  <si>
    <t xml:space="preserve">"vyskytovat-se-001"</t>
  </si>
  <si>
    <t xml:space="preserve">"vyskytovat-se-002"</t>
  </si>
  <si>
    <t xml:space="preserve">"vyskákat-001"</t>
  </si>
  <si>
    <t xml:space="preserve">"vyslat-001"</t>
  </si>
  <si>
    <t xml:space="preserve">"vyslat-002"</t>
  </si>
  <si>
    <t xml:space="preserve">"vyslechnout-001"</t>
  </si>
  <si>
    <t xml:space="preserve">"vyslechnout-002"</t>
  </si>
  <si>
    <t xml:space="preserve">"vyslechnout-si-001"</t>
  </si>
  <si>
    <t xml:space="preserve">"vysledovat-001"</t>
  </si>
  <si>
    <t xml:space="preserve">"vysloužit-001"</t>
  </si>
  <si>
    <t xml:space="preserve">"vysloužit-si-001"</t>
  </si>
  <si>
    <t xml:space="preserve">"vyslovit-001"</t>
  </si>
  <si>
    <t xml:space="preserve">"vyslovit-002"</t>
  </si>
  <si>
    <t xml:space="preserve">Speaker(), Phenomenon()</t>
  </si>
  <si>
    <t xml:space="preserve">PAT-&gt;Phenomenon()</t>
  </si>
  <si>
    <t xml:space="preserve">"vyslovit-003"</t>
  </si>
  <si>
    <t xml:space="preserve">CPHR: {důvěra,kompliment,nedůvěra,podpora,...}.4</t>
  </si>
  <si>
    <t xml:space="preserve">"vyslovit-004"</t>
  </si>
  <si>
    <t xml:space="preserve">ACT-&gt;ARG0/1224,ARG1/12,ARG3/9</t>
  </si>
  <si>
    <t xml:space="preserve">CPHR: {domněnka,hypotéza,idea,informace,lítost,myšlenka,námitka,názor,nesouhlas,obava,obvinění,podezření,potřeba,požadavek,přání,předpoklad,předpověď,přesvědčení,souhlas,spokojenost,tvrzení,uspokojení,verdikt,znepokojení,...}.4</t>
  </si>
  <si>
    <t xml:space="preserve">CPHR-&gt;ARG1/102,ARG2/4</t>
  </si>
  <si>
    <t xml:space="preserve">CPHR[RSTR]-&gt;Phenomenon</t>
  </si>
  <si>
    <t xml:space="preserve">CPHR[RSTR]-&gt;Phenomenon(ARG1/99,ARG2/4)</t>
  </si>
  <si>
    <t xml:space="preserve">CPHR-&gt;Phenomenon</t>
  </si>
  <si>
    <t xml:space="preserve">CPHR-&gt;Phenomenon(ARG1/3)</t>
  </si>
  <si>
    <t xml:space="preserve">"vyslovit-se-001"</t>
  </si>
  <si>
    <t xml:space="preserve">PAT: k+3; o+6; ↓že; v+6; .s</t>
  </si>
  <si>
    <t xml:space="preserve">"vyslovit-se-002"</t>
  </si>
  <si>
    <t xml:space="preserve">PAT: proti+3; za+4; pro+4; prospěch.S4[v-1,.2]</t>
  </si>
  <si>
    <t xml:space="preserve">"vyslovovat-001"</t>
  </si>
  <si>
    <t xml:space="preserve">"vyslovovat-002"</t>
  </si>
  <si>
    <t xml:space="preserve">"vyslovovat-003"</t>
  </si>
  <si>
    <t xml:space="preserve">CPHR: {domněnka,idea,lítost,myšlenka,názor,nesouhlas,obava,obvinění,podezření,potřeba,požadavek,přání,předpoklad,předpověď,přesvědčení,souhlas,spokojenost,uspokojení,verdikt,znepokojení,...}.4</t>
  </si>
  <si>
    <t xml:space="preserve">"vyslovovat-se-001"</t>
  </si>
  <si>
    <t xml:space="preserve">"vyslovovat-se-002"</t>
  </si>
  <si>
    <t xml:space="preserve">PAT: proti+3; za+4; pro+4; v-1[prospěch:4/AuxP,.2]</t>
  </si>
  <si>
    <t xml:space="preserve">"vyslyšet-001"</t>
  </si>
  <si>
    <t xml:space="preserve">"vyslýchat-001"</t>
  </si>
  <si>
    <t xml:space="preserve">PAT-&gt;ARG0/1,ARG1/21,ARG2/39</t>
  </si>
  <si>
    <t xml:space="preserve">PAT-&gt;Audience_Addressee(ARG0/1,ARG1/21,ARG2/39)</t>
  </si>
  <si>
    <t xml:space="preserve">"vysmát-se-001"</t>
  </si>
  <si>
    <t xml:space="preserve">"vysmívat-se-001"</t>
  </si>
  <si>
    <t xml:space="preserve">"vysnít-001"</t>
  </si>
  <si>
    <t xml:space="preserve">"vysnívat-si-001"</t>
  </si>
  <si>
    <t xml:space="preserve">"vysnívat-si-002"</t>
  </si>
  <si>
    <t xml:space="preserve">"vysochat-001"</t>
  </si>
  <si>
    <t xml:space="preserve">"vysolit-001"</t>
  </si>
  <si>
    <t xml:space="preserve">ADDR-&gt;ARG1/112,ARG2/2,ARG3/1</t>
  </si>
  <si>
    <t xml:space="preserve">ADDR-&gt;Recompensated</t>
  </si>
  <si>
    <t xml:space="preserve">ADDR-&gt;Recompensated(ARG1/112,ARG2/2,ARG3/1)</t>
  </si>
  <si>
    <t xml:space="preserve">"vysouvat-se-001"</t>
  </si>
  <si>
    <t xml:space="preserve">"vysoušet-001"</t>
  </si>
  <si>
    <t xml:space="preserve">"vyspat-se-001"</t>
  </si>
  <si>
    <t xml:space="preserve">"vyspravit-001"</t>
  </si>
  <si>
    <t xml:space="preserve">"vyspět-001"</t>
  </si>
  <si>
    <t xml:space="preserve">"vyspět-002"</t>
  </si>
  <si>
    <t xml:space="preserve">"vyspět-003"</t>
  </si>
  <si>
    <t xml:space="preserve">"vystartovat-001"</t>
  </si>
  <si>
    <t xml:space="preserve">"vystartovat-002"</t>
  </si>
  <si>
    <t xml:space="preserve">"vystavit-001"</t>
  </si>
  <si>
    <t xml:space="preserve">"vystavit-002"</t>
  </si>
  <si>
    <t xml:space="preserve">"vystavit-003"</t>
  </si>
  <si>
    <t xml:space="preserve">"vystavit-004"</t>
  </si>
  <si>
    <t xml:space="preserve">ACT-&gt;ARG0/340,ARG2/3</t>
  </si>
  <si>
    <t xml:space="preserve">PAT-&gt;ARG1/955,ARG2/5</t>
  </si>
  <si>
    <t xml:space="preserve">"vystavovat-001"</t>
  </si>
  <si>
    <t xml:space="preserve">"vystavovat-002"</t>
  </si>
  <si>
    <t xml:space="preserve">"vystavovat-003"</t>
  </si>
  <si>
    <t xml:space="preserve">"vystavovat-se-001"</t>
  </si>
  <si>
    <t xml:space="preserve">"vystavět-001"</t>
  </si>
  <si>
    <t xml:space="preserve">"vystavět-002"</t>
  </si>
  <si>
    <t xml:space="preserve">"vystačit-001"</t>
  </si>
  <si>
    <t xml:space="preserve">"vystačit-002"</t>
  </si>
  <si>
    <t xml:space="preserve">"vystačit-si-001"</t>
  </si>
  <si>
    <t xml:space="preserve">"vystačit-si-002"</t>
  </si>
  <si>
    <t xml:space="preserve">"vystihnout-001"</t>
  </si>
  <si>
    <t xml:space="preserve">"vystihovat-001"</t>
  </si>
  <si>
    <t xml:space="preserve">"vystlat-001"</t>
  </si>
  <si>
    <t xml:space="preserve">"vystopovat-001"</t>
  </si>
  <si>
    <t xml:space="preserve">"vystoupat-001"</t>
  </si>
  <si>
    <t xml:space="preserve">"vystoupat-002"</t>
  </si>
  <si>
    <t xml:space="preserve">"vystoupat-003"</t>
  </si>
  <si>
    <t xml:space="preserve">"vystoupit-001"</t>
  </si>
  <si>
    <t xml:space="preserve">"vystoupit-002"</t>
  </si>
  <si>
    <t xml:space="preserve">"vystoupit-003"</t>
  </si>
  <si>
    <t xml:space="preserve">"vystoupit-004"</t>
  </si>
  <si>
    <t xml:space="preserve">"vystoupit-005"</t>
  </si>
  <si>
    <t xml:space="preserve">"vystoupit-006"</t>
  </si>
  <si>
    <t xml:space="preserve">"vystoupit-007"</t>
  </si>
  <si>
    <t xml:space="preserve">"vystoupit-008"</t>
  </si>
  <si>
    <t xml:space="preserve">"vystoupit-009"</t>
  </si>
  <si>
    <t xml:space="preserve">"--vystoupit-010"</t>
  </si>
  <si>
    <t xml:space="preserve">"vystrašit-001"</t>
  </si>
  <si>
    <t xml:space="preserve">"vystrkovat-001"</t>
  </si>
  <si>
    <t xml:space="preserve">Mover(ARG0/1), Moved(ARG1/2), Area_1(), Area_2()</t>
  </si>
  <si>
    <t xml:space="preserve">"vystrkovat-002"</t>
  </si>
  <si>
    <t xml:space="preserve">DPHR: růžek.P4; tykadlo.P4</t>
  </si>
  <si>
    <t xml:space="preserve">"vystrnadit-001"</t>
  </si>
  <si>
    <t xml:space="preserve">"vystrčit-001"</t>
  </si>
  <si>
    <t xml:space="preserve">"vystrčit-002"</t>
  </si>
  <si>
    <t xml:space="preserve">"vystudovat-001"</t>
  </si>
  <si>
    <t xml:space="preserve">"vystupovat-001"</t>
  </si>
  <si>
    <t xml:space="preserve">PAT: proti+3; pro+4; vůči+3; za+4</t>
  </si>
  <si>
    <t xml:space="preserve">"vystupovat-002"</t>
  </si>
  <si>
    <t xml:space="preserve">ACT-&gt;ARG0/48,ARG1/7</t>
  </si>
  <si>
    <t xml:space="preserve">LOC-&gt;ARG1/49</t>
  </si>
  <si>
    <t xml:space="preserve">LOC-&gt;Role</t>
  </si>
  <si>
    <t xml:space="preserve">LOC-&gt;Role(ARG1/49)</t>
  </si>
  <si>
    <t xml:space="preserve">"vystupovat-003"</t>
  </si>
  <si>
    <t xml:space="preserve">"vystupovat-004"</t>
  </si>
  <si>
    <t xml:space="preserve">"vystupovat-005"</t>
  </si>
  <si>
    <t xml:space="preserve">MANN-&gt;Manner()</t>
  </si>
  <si>
    <t xml:space="preserve">"vystupovat-006"</t>
  </si>
  <si>
    <t xml:space="preserve">DPHR: do-1[popředí.2]</t>
  </si>
  <si>
    <t xml:space="preserve">"vystupovat-007"</t>
  </si>
  <si>
    <t xml:space="preserve">"vystupovat-008"</t>
  </si>
  <si>
    <t xml:space="preserve">"vystupovat-009"</t>
  </si>
  <si>
    <t xml:space="preserve">"vystupovat-010"</t>
  </si>
  <si>
    <t xml:space="preserve">DPHR: z-1[řada.S2]</t>
  </si>
  <si>
    <t xml:space="preserve">"vystupňovat-001"</t>
  </si>
  <si>
    <t xml:space="preserve">"vystupňovat-se-001"</t>
  </si>
  <si>
    <t xml:space="preserve">"vystydnout-001"</t>
  </si>
  <si>
    <t xml:space="preserve">"vystát-001"</t>
  </si>
  <si>
    <t xml:space="preserve">"vystát-002"</t>
  </si>
  <si>
    <t xml:space="preserve">"vystěhovat-001"</t>
  </si>
  <si>
    <t xml:space="preserve">"vystěhovat-se-001"</t>
  </si>
  <si>
    <t xml:space="preserve">"vystěhovávat-001"</t>
  </si>
  <si>
    <t xml:space="preserve">"vystřelit-001"</t>
  </si>
  <si>
    <t xml:space="preserve">Agent(ARG0/3), Projectile(ARG1/4), Target()</t>
  </si>
  <si>
    <t xml:space="preserve">PAT-&gt;Projectile(ARG1/4)</t>
  </si>
  <si>
    <t xml:space="preserve">"vystřelit-002"</t>
  </si>
  <si>
    <t xml:space="preserve">"vystřelit-003"</t>
  </si>
  <si>
    <t xml:space="preserve">"vystřelit-004"</t>
  </si>
  <si>
    <t xml:space="preserve">"vystřelovat-001"</t>
  </si>
  <si>
    <t xml:space="preserve">"vystřihnout-001"</t>
  </si>
  <si>
    <t xml:space="preserve">Removing(ARG0/1), Removed(ARG1/1), Place(ARG2/1)</t>
  </si>
  <si>
    <t xml:space="preserve">ACT-&gt;Removing(ARG0/1)</t>
  </si>
  <si>
    <t xml:space="preserve">PAT-&gt;Removed(ARG1/1)</t>
  </si>
  <si>
    <t xml:space="preserve">DIR1-&gt;Place(ARG2/1)</t>
  </si>
  <si>
    <t xml:space="preserve">"vystřihnout-002"</t>
  </si>
  <si>
    <t xml:space="preserve">"vystřihávat-001"</t>
  </si>
  <si>
    <t xml:space="preserve">"vystřihávat-002"</t>
  </si>
  <si>
    <t xml:space="preserve">"vystřihávat-003"</t>
  </si>
  <si>
    <t xml:space="preserve">"vystřídat-001"</t>
  </si>
  <si>
    <t xml:space="preserve">"vystřídat-002"</t>
  </si>
  <si>
    <t xml:space="preserve">"vystřídat-se-001"</t>
  </si>
  <si>
    <t xml:space="preserve">"vystříkat-001"</t>
  </si>
  <si>
    <t xml:space="preserve">"vystříkat-002"</t>
  </si>
  <si>
    <t xml:space="preserve">"vystřílet-001"</t>
  </si>
  <si>
    <t xml:space="preserve">"vystřízlivět-001"</t>
  </si>
  <si>
    <t xml:space="preserve">"vystřízlivět-002"</t>
  </si>
  <si>
    <t xml:space="preserve">ADDR-&gt;Affected(ARG1/3)</t>
  </si>
  <si>
    <t xml:space="preserve">"vysunout-se-001"</t>
  </si>
  <si>
    <t xml:space="preserve">"vysušit-001"</t>
  </si>
  <si>
    <t xml:space="preserve">"vysušovat-001"</t>
  </si>
  <si>
    <t xml:space="preserve">"vysvléci-001"</t>
  </si>
  <si>
    <t xml:space="preserve">"vysvlíknout-001"</t>
  </si>
  <si>
    <t xml:space="preserve">"vysvobodit-001"</t>
  </si>
  <si>
    <t xml:space="preserve">"vysvobozovat-001"</t>
  </si>
  <si>
    <t xml:space="preserve">"vysvítat-001"</t>
  </si>
  <si>
    <t xml:space="preserve">"vysvětit-001"</t>
  </si>
  <si>
    <t xml:space="preserve">"vysvětlit-001"</t>
  </si>
  <si>
    <t xml:space="preserve">"vysvětlit-002"</t>
  </si>
  <si>
    <t xml:space="preserve">"vysvětlit-si-001"</t>
  </si>
  <si>
    <t xml:space="preserve">"vysvětlovat-001"</t>
  </si>
  <si>
    <t xml:space="preserve">"--vysvětlovat-002"</t>
  </si>
  <si>
    <t xml:space="preserve">"vysvětlovat-si-001"</t>
  </si>
  <si>
    <t xml:space="preserve">"vysychat-001"</t>
  </si>
  <si>
    <t xml:space="preserve">"vysychat-002"</t>
  </si>
  <si>
    <t xml:space="preserve">"vysypat-001"</t>
  </si>
  <si>
    <t xml:space="preserve">"vysypat-002"</t>
  </si>
  <si>
    <t xml:space="preserve">"vysypat-003"</t>
  </si>
  <si>
    <t xml:space="preserve">"vysypat-004"</t>
  </si>
  <si>
    <t xml:space="preserve">"vysypat-005"</t>
  </si>
  <si>
    <t xml:space="preserve">"vysypat-se-001"</t>
  </si>
  <si>
    <t xml:space="preserve">"vysypávat-001"</t>
  </si>
  <si>
    <t xml:space="preserve">"vysypávat-002"</t>
  </si>
  <si>
    <t xml:space="preserve">"vysypávat-003"</t>
  </si>
  <si>
    <t xml:space="preserve">"vysypávat-se-001"</t>
  </si>
  <si>
    <t xml:space="preserve">"vysát-001"</t>
  </si>
  <si>
    <t xml:space="preserve">"vysát-002"</t>
  </si>
  <si>
    <t xml:space="preserve">"vysávat-001"</t>
  </si>
  <si>
    <t xml:space="preserve">"vysávat-002"</t>
  </si>
  <si>
    <t xml:space="preserve">"vysávat-003"</t>
  </si>
  <si>
    <t xml:space="preserve">"vysázet-001"</t>
  </si>
  <si>
    <t xml:space="preserve">"vysázet-002"</t>
  </si>
  <si>
    <t xml:space="preserve">"vysílat-001"</t>
  </si>
  <si>
    <t xml:space="preserve">"vysílat-002"</t>
  </si>
  <si>
    <t xml:space="preserve">"vysílat-003"</t>
  </si>
  <si>
    <t xml:space="preserve">"vysílat-004"</t>
  </si>
  <si>
    <t xml:space="preserve">"vysýpat-001"</t>
  </si>
  <si>
    <t xml:space="preserve">"vytahat-001"</t>
  </si>
  <si>
    <t xml:space="preserve">"vytahovat-001"</t>
  </si>
  <si>
    <t xml:space="preserve">DIR1-&gt;ARG2/16</t>
  </si>
  <si>
    <t xml:space="preserve">"vytahovat-002"</t>
  </si>
  <si>
    <t xml:space="preserve">"vytahovat-003"</t>
  </si>
  <si>
    <t xml:space="preserve">"vytahovat-004"</t>
  </si>
  <si>
    <t xml:space="preserve">"vytahovat-se-001"</t>
  </si>
  <si>
    <t xml:space="preserve">"vytancovat-se-001"</t>
  </si>
  <si>
    <t xml:space="preserve">"vytanout-001"</t>
  </si>
  <si>
    <t xml:space="preserve">"vytanout-002"</t>
  </si>
  <si>
    <t xml:space="preserve">DPHR: před-1[oko.P7]</t>
  </si>
  <si>
    <t xml:space="preserve">"vytasit-001"</t>
  </si>
  <si>
    <t xml:space="preserve">"vytasit-se-001"</t>
  </si>
  <si>
    <t xml:space="preserve">"vytempovat-001"</t>
  </si>
  <si>
    <t xml:space="preserve">"vytesat-001"</t>
  </si>
  <si>
    <t xml:space="preserve">"vytesávat-001"</t>
  </si>
  <si>
    <t xml:space="preserve">"vytetovat-001"</t>
  </si>
  <si>
    <t xml:space="preserve">"vytečkovat-001"</t>
  </si>
  <si>
    <t xml:space="preserve">"vytipovat-001"</t>
  </si>
  <si>
    <t xml:space="preserve">"vytipovávat-001"</t>
  </si>
  <si>
    <t xml:space="preserve">"vytisknout-001"</t>
  </si>
  <si>
    <t xml:space="preserve">"vytknout-001"</t>
  </si>
  <si>
    <t xml:space="preserve">"vytknout-002"</t>
  </si>
  <si>
    <t xml:space="preserve">ADDR-&gt;ARG1/17</t>
  </si>
  <si>
    <t xml:space="preserve">"vytknout-003"</t>
  </si>
  <si>
    <t xml:space="preserve">"vytlačit-001"</t>
  </si>
  <si>
    <t xml:space="preserve">"vytlačit-002"</t>
  </si>
  <si>
    <t xml:space="preserve">"vytlačit-003"</t>
  </si>
  <si>
    <t xml:space="preserve">ACT-&gt;ARG0/281,ARG1/6</t>
  </si>
  <si>
    <t xml:space="preserve">PAT-&gt;ARG1/505,ARG2/1,ARG4/6</t>
  </si>
  <si>
    <t xml:space="preserve">"vytlačit-004"</t>
  </si>
  <si>
    <t xml:space="preserve">"vytlačit-005"</t>
  </si>
  <si>
    <t xml:space="preserve">Device(), Created()</t>
  </si>
  <si>
    <t xml:space="preserve">ACT-&gt;Device()</t>
  </si>
  <si>
    <t xml:space="preserve">PAT-&gt;Created()</t>
  </si>
  <si>
    <t xml:space="preserve">"vytlačit-006"</t>
  </si>
  <si>
    <t xml:space="preserve">?EFF: na-1[.2]</t>
  </si>
  <si>
    <t xml:space="preserve">"vytlačovat-001"</t>
  </si>
  <si>
    <t xml:space="preserve">"vytlačovat-002"</t>
  </si>
  <si>
    <t xml:space="preserve">"vytlouci-001"</t>
  </si>
  <si>
    <t xml:space="preserve">"vytloukat-001"</t>
  </si>
  <si>
    <t xml:space="preserve">"vytopit-001"</t>
  </si>
  <si>
    <t xml:space="preserve">"vytočit-001"</t>
  </si>
  <si>
    <t xml:space="preserve">"vytočit-002"</t>
  </si>
  <si>
    <t xml:space="preserve">"vytočit-003"</t>
  </si>
  <si>
    <t xml:space="preserve">"vytratit-se-001"</t>
  </si>
  <si>
    <t xml:space="preserve">"vytrejdovat-001"</t>
  </si>
  <si>
    <t xml:space="preserve">"vytrhat-001"</t>
  </si>
  <si>
    <t xml:space="preserve">"vytrhnout-001"</t>
  </si>
  <si>
    <t xml:space="preserve">Agent(), Experiencer(ARG1/1), State_initial()</t>
  </si>
  <si>
    <t xml:space="preserve">"vytrhnout-002"</t>
  </si>
  <si>
    <t xml:space="preserve">Removing(ARG0/1), Removed(ARG1/2), Source()</t>
  </si>
  <si>
    <t xml:space="preserve">PAT-&gt;Removed(ARG1/2)</t>
  </si>
  <si>
    <t xml:space="preserve">"vytrhovat-001"</t>
  </si>
  <si>
    <t xml:space="preserve">"vytrhovat-002"</t>
  </si>
  <si>
    <t xml:space="preserve">"vytrhávat-001"</t>
  </si>
  <si>
    <t xml:space="preserve">"vytrhávat-002"</t>
  </si>
  <si>
    <t xml:space="preserve">DPHR: z-1[kořen.P2]</t>
  </si>
  <si>
    <t xml:space="preserve">"vytrpět-001"</t>
  </si>
  <si>
    <t xml:space="preserve">"vytrpět-si-001"</t>
  </si>
  <si>
    <t xml:space="preserve">"vytrubovat-001"</t>
  </si>
  <si>
    <t xml:space="preserve">Speaker(ARG0/2), Information(ARG1/7), Audience_Addressee()</t>
  </si>
  <si>
    <t xml:space="preserve">PAT-&gt;Information(ARG1/7)</t>
  </si>
  <si>
    <t xml:space="preserve">"vytrucovat-001"</t>
  </si>
  <si>
    <t xml:space="preserve">"vytrvat-001"</t>
  </si>
  <si>
    <t xml:space="preserve">ACT-&gt;ARG0/46,ARG1/47</t>
  </si>
  <si>
    <t xml:space="preserve">"vytrvat-002"</t>
  </si>
  <si>
    <t xml:space="preserve">ACT-&gt;ARG1/50</t>
  </si>
  <si>
    <t xml:space="preserve">"vytrvávat-001"</t>
  </si>
  <si>
    <t xml:space="preserve">"vytrácet-se-001"</t>
  </si>
  <si>
    <t xml:space="preserve">"vytrénovat-001"</t>
  </si>
  <si>
    <t xml:space="preserve">"vytušit-001"</t>
  </si>
  <si>
    <t xml:space="preserve">"vytvarovat-001"</t>
  </si>
  <si>
    <t xml:space="preserve">"vytvořit-001"</t>
  </si>
  <si>
    <t xml:space="preserve">ACT-&gt;ARG0/200,ARG1/3</t>
  </si>
  <si>
    <t xml:space="preserve">PAT-&gt;ARG1/288,ARG2/1</t>
  </si>
  <si>
    <t xml:space="preserve">"vytvořit-002"</t>
  </si>
  <si>
    <t xml:space="preserve">ACT-&gt;ARG0/1013,ARG1/5</t>
  </si>
  <si>
    <t xml:space="preserve">PAT-&gt;ARG1/1611,ARG2/2</t>
  </si>
  <si>
    <t xml:space="preserve">ORIG-&gt;ARG1/1,ARG2/24</t>
  </si>
  <si>
    <t xml:space="preserve">"vytvořit-003"</t>
  </si>
  <si>
    <t xml:space="preserve">"vytvořit-004"</t>
  </si>
  <si>
    <t xml:space="preserve">"vytvořit-005"</t>
  </si>
  <si>
    <t xml:space="preserve">CPHR: {zápis,záznam,...}.4</t>
  </si>
  <si>
    <t xml:space="preserve">"vytvořit-006"</t>
  </si>
  <si>
    <t xml:space="preserve">CPHR: {dojem}.4</t>
  </si>
  <si>
    <t xml:space="preserve">"vytvořit-se-001"</t>
  </si>
  <si>
    <t xml:space="preserve">"vytvářet-001"</t>
  </si>
  <si>
    <t xml:space="preserve">ACT-&gt;ARG0/525,ARG1/5,ARG2/3</t>
  </si>
  <si>
    <t xml:space="preserve">PAT-&gt;ARG1/921,ARG2/1,ARG3/1,ARG4/5</t>
  </si>
  <si>
    <t xml:space="preserve">"vytvářet-002"</t>
  </si>
  <si>
    <t xml:space="preserve">ACT-&gt;ARG0/1535,ARG1/10,ARG2/3</t>
  </si>
  <si>
    <t xml:space="preserve">PAT-&gt;ARG1/2529,ARG2/2,ARG3/1,ARG4/5</t>
  </si>
  <si>
    <t xml:space="preserve">ORIG-&gt;ARG1/2,ARG2/62</t>
  </si>
  <si>
    <t xml:space="preserve">"vytvářet-003"</t>
  </si>
  <si>
    <t xml:space="preserve">"vytvářet-004"</t>
  </si>
  <si>
    <t xml:space="preserve">"vytvářet-se-001"</t>
  </si>
  <si>
    <t xml:space="preserve">"vytypovat-001"</t>
  </si>
  <si>
    <t xml:space="preserve">"vytyčit-001"</t>
  </si>
  <si>
    <t xml:space="preserve">"vytyčovat-001"</t>
  </si>
  <si>
    <t xml:space="preserve">"vytáhnout-001"</t>
  </si>
  <si>
    <t xml:space="preserve">"vytáhnout-002"</t>
  </si>
  <si>
    <t xml:space="preserve">"vytáhnout-003"</t>
  </si>
  <si>
    <t xml:space="preserve">"vytáhnout-004"</t>
  </si>
  <si>
    <t xml:space="preserve">"vytáhnout-005"</t>
  </si>
  <si>
    <t xml:space="preserve">"vytáhnout-006"</t>
  </si>
  <si>
    <t xml:space="preserve">"vytáhnout-007"</t>
  </si>
  <si>
    <t xml:space="preserve">?ORIG: od+2,z+2,na+6</t>
  </si>
  <si>
    <t xml:space="preserve">"vytáhnout-008"</t>
  </si>
  <si>
    <t xml:space="preserve">"vytáhnout-009"</t>
  </si>
  <si>
    <t xml:space="preserve">"vytáhnout-010"</t>
  </si>
  <si>
    <t xml:space="preserve">"vytáhnout-se-001"</t>
  </si>
  <si>
    <t xml:space="preserve">"vytápět-001"</t>
  </si>
  <si>
    <t xml:space="preserve">"vytáčet-001"</t>
  </si>
  <si>
    <t xml:space="preserve">"vytáčet-002"</t>
  </si>
  <si>
    <t xml:space="preserve">"vytáčet-003"</t>
  </si>
  <si>
    <t xml:space="preserve">"vytáčet-004"</t>
  </si>
  <si>
    <t xml:space="preserve">"vytéci-001"</t>
  </si>
  <si>
    <t xml:space="preserve">"vytékat-001"</t>
  </si>
  <si>
    <t xml:space="preserve">"vytírat-001"</t>
  </si>
  <si>
    <t xml:space="preserve">"vytížit-001"</t>
  </si>
  <si>
    <t xml:space="preserve">"vytýkat-001"</t>
  </si>
  <si>
    <t xml:space="preserve">"vytýkat-002"</t>
  </si>
  <si>
    <t xml:space="preserve">"vytýčit-001"</t>
  </si>
  <si>
    <t xml:space="preserve">"vytěsnit-001"</t>
  </si>
  <si>
    <t xml:space="preserve">Cause(), Removed(ARG1/2), Place(ARG2/2)</t>
  </si>
  <si>
    <t xml:space="preserve">DIR1-&gt;ARG2/2</t>
  </si>
  <si>
    <t xml:space="preserve">DIR1-&gt;Place(ARG2/2)</t>
  </si>
  <si>
    <t xml:space="preserve">"vytěžit-001"</t>
  </si>
  <si>
    <t xml:space="preserve">"vytěžit-002"</t>
  </si>
  <si>
    <t xml:space="preserve">"vytřást-001"</t>
  </si>
  <si>
    <t xml:space="preserve">"vytříbit-001"</t>
  </si>
  <si>
    <t xml:space="preserve">Cause(), Improved()</t>
  </si>
  <si>
    <t xml:space="preserve">PAT-&gt;Improved()</t>
  </si>
  <si>
    <t xml:space="preserve">"vytříbit-se-001"</t>
  </si>
  <si>
    <t xml:space="preserve">"vytřídit-001"</t>
  </si>
  <si>
    <t xml:space="preserve">"vytřídit-002"</t>
  </si>
  <si>
    <t xml:space="preserve">"vytřít-001"</t>
  </si>
  <si>
    <t xml:space="preserve">"vyudit-001"</t>
  </si>
  <si>
    <t xml:space="preserve">"vyučit-001"</t>
  </si>
  <si>
    <t xml:space="preserve">PAT: 3; 7</t>
  </si>
  <si>
    <t xml:space="preserve">"vyučit-se-001"</t>
  </si>
  <si>
    <t xml:space="preserve">PAT: 7; 3; jako[.1]; na+4</t>
  </si>
  <si>
    <t xml:space="preserve">ACT-&gt;ARG0/51,ARG1/1,ARG2/14</t>
  </si>
  <si>
    <t xml:space="preserve">ACT-&gt;Authority; ACT-&gt;Impactee</t>
  </si>
  <si>
    <t xml:space="preserve">ACT-&gt;Authority(ARG0/2,ARG2/2); ACT-&gt;Impactee(ARG1/1,ARG2/12)</t>
  </si>
  <si>
    <t xml:space="preserve">PAT-&gt;ARG1/70,ARG2/1</t>
  </si>
  <si>
    <t xml:space="preserve">PAT-&gt;Skill(ARG1/8,ARG2/1)</t>
  </si>
  <si>
    <t xml:space="preserve">"vyučovat-001"</t>
  </si>
  <si>
    <t xml:space="preserve">"využít-001"</t>
  </si>
  <si>
    <t xml:space="preserve">PAT: 2; 4; ↓c</t>
  </si>
  <si>
    <t xml:space="preserve">"využívat-001"</t>
  </si>
  <si>
    <t xml:space="preserve">"využívat-002"</t>
  </si>
  <si>
    <t xml:space="preserve">"vyvalit-001"</t>
  </si>
  <si>
    <t xml:space="preserve">"vyvalit-se-001"</t>
  </si>
  <si>
    <t xml:space="preserve">"vyvalit-se-002"</t>
  </si>
  <si>
    <t xml:space="preserve">"vyvarovat-se-001"</t>
  </si>
  <si>
    <t xml:space="preserve">PAT: 2; .f</t>
  </si>
  <si>
    <t xml:space="preserve">"vyvařit-001"</t>
  </si>
  <si>
    <t xml:space="preserve">"vyvařovat-001"</t>
  </si>
  <si>
    <t xml:space="preserve">"vyvažovat-001"</t>
  </si>
  <si>
    <t xml:space="preserve">EFF-&gt;Entity_2(ARG2/8)</t>
  </si>
  <si>
    <t xml:space="preserve">"vyvdat-001"</t>
  </si>
  <si>
    <t xml:space="preserve">"vyvinout-001"</t>
  </si>
  <si>
    <t xml:space="preserve">"vyvinout-002"</t>
  </si>
  <si>
    <t xml:space="preserve">CPHR: {činnost,nátlak,snaha,tlak,úsilí,...}.4</t>
  </si>
  <si>
    <t xml:space="preserve">"vyvinout-se-001"</t>
  </si>
  <si>
    <t xml:space="preserve">"vyvinout-se-002"</t>
  </si>
  <si>
    <t xml:space="preserve">"vyvinout-se-003"</t>
  </si>
  <si>
    <t xml:space="preserve">"--vyvinout-se-004"</t>
  </si>
  <si>
    <t xml:space="preserve">"vyvlastnit-001"</t>
  </si>
  <si>
    <t xml:space="preserve">"vyvlastnit-002"</t>
  </si>
  <si>
    <t xml:space="preserve">"vyvléci-se-001"</t>
  </si>
  <si>
    <t xml:space="preserve">"vyvléknout-se-001"</t>
  </si>
  <si>
    <t xml:space="preserve">"vyvléknout-se-002"</t>
  </si>
  <si>
    <t xml:space="preserve">"vyvlíknout-se-001"</t>
  </si>
  <si>
    <t xml:space="preserve">"vyvodit-001"</t>
  </si>
  <si>
    <t xml:space="preserve">ORIG: z+2; odtud; odsud; odkudkoliv; odevšad; odtamtud; odjinud; odkud; odněkud; odnikud; odkudsi</t>
  </si>
  <si>
    <t xml:space="preserve">"vyvodit-002"</t>
  </si>
  <si>
    <t xml:space="preserve">"vyvolat-001"</t>
  </si>
  <si>
    <t xml:space="preserve">"vyvolat-002"</t>
  </si>
  <si>
    <t xml:space="preserve">"vyvolat-003"</t>
  </si>
  <si>
    <t xml:space="preserve">"vyvolat-004"</t>
  </si>
  <si>
    <t xml:space="preserve">CPHR: {debata,dohad,dojem,důvěra,emoce,hněv,konotace,kritika,mutace,naděje,nadšení,nálada,napětí,nedůvěra,nejistota,nevole,nevraživost,obava,obnovení,odpor,otázka,panika,pocit,pochybnost,potřeba,povyk,pozornost,požadavek,projev,protest,překvapení,přesvědčení,reakce,revoluce,rozčarování,rozčilení,rozpaky,roztržka,smích,snaha,spekulace,spor,strach,svár,trauma,trend,uzavření,vliv,vznesení,vzpomínka,zájem,zděšení,zloba,zmatek,zvědavost,...}.4</t>
  </si>
  <si>
    <t xml:space="preserve">"vyvolat-005"</t>
  </si>
  <si>
    <t xml:space="preserve">"vyvolat-006"</t>
  </si>
  <si>
    <t xml:space="preserve">"vyvolávat-001"</t>
  </si>
  <si>
    <t xml:space="preserve">"vyvolávat-002"</t>
  </si>
  <si>
    <t xml:space="preserve">"vyvolávat-003"</t>
  </si>
  <si>
    <t xml:space="preserve">CPHR: {děs,dohad,dojem,důvěra,konotace,kritika,megaotázka,megaproblém,nadšení,napětí,nedůvěra,neochota,nevole,obava,odpor,otázka,panika,pochybnost,problém,projev,protest,přesvědčení,reakce,rozkol,rozpaky,rozruch,snaha,sympatie,údiv,výkyv,vzpomínka,zájem,zděšení,zmatek,znepokojení,zvědavost,zvrat,...}.4</t>
  </si>
  <si>
    <t xml:space="preserve">"vyvolávat-004"</t>
  </si>
  <si>
    <t xml:space="preserve">"vyvolávat-005"</t>
  </si>
  <si>
    <t xml:space="preserve">"vyvozit-001"</t>
  </si>
  <si>
    <t xml:space="preserve">"vyvozovat-001"</t>
  </si>
  <si>
    <t xml:space="preserve">"vyvozovat-002"</t>
  </si>
  <si>
    <t xml:space="preserve">"vyvracet-001"</t>
  </si>
  <si>
    <t xml:space="preserve">Communicator(ARG0/2), Communicated(ARG1/4), Audience_Addressee()</t>
  </si>
  <si>
    <t xml:space="preserve">"vyvraždit-001"</t>
  </si>
  <si>
    <t xml:space="preserve">"vyvražďovat-001"</t>
  </si>
  <si>
    <t xml:space="preserve">"vyvrcholit-001"</t>
  </si>
  <si>
    <t xml:space="preserve">"vyvrhnout-001"</t>
  </si>
  <si>
    <t xml:space="preserve">"vyvrhnout-002"</t>
  </si>
  <si>
    <t xml:space="preserve">"vyvrhnout-003"</t>
  </si>
  <si>
    <t xml:space="preserve">"vyvrtat-001"</t>
  </si>
  <si>
    <t xml:space="preserve">"vyvrátit-001"</t>
  </si>
  <si>
    <t xml:space="preserve">"vyvstat-001"</t>
  </si>
  <si>
    <t xml:space="preserve">"vyvstávat-001"</t>
  </si>
  <si>
    <t xml:space="preserve">"vyvyšovat-se-001"</t>
  </si>
  <si>
    <t xml:space="preserve">PAT: nad-1[.4]</t>
  </si>
  <si>
    <t xml:space="preserve">"vyvzdorovat-001"</t>
  </si>
  <si>
    <t xml:space="preserve">"vyvádět-001"</t>
  </si>
  <si>
    <t xml:space="preserve">"vyvádět-002"</t>
  </si>
  <si>
    <t xml:space="preserve">ACT-&gt;ARG0/127,ARG1/1</t>
  </si>
  <si>
    <t xml:space="preserve">DPHR: z-1[míra.S2]</t>
  </si>
  <si>
    <t xml:space="preserve">DPHR-&gt;ARG1/18,ARG2/30,ARG3/46</t>
  </si>
  <si>
    <t xml:space="preserve">DPHR[z míry]-&gt;State_final</t>
  </si>
  <si>
    <t xml:space="preserve">DPHR[z míry]-&gt;State_final(ARG1/18,ARG2/30,ARG3/46)</t>
  </si>
  <si>
    <t xml:space="preserve">DPHR[z míry]-&gt;State_initial</t>
  </si>
  <si>
    <t xml:space="preserve">DPHR[z míry]-&gt;State_initial()</t>
  </si>
  <si>
    <t xml:space="preserve">PAT-&gt;ARG0/6,ARG1/188</t>
  </si>
  <si>
    <t xml:space="preserve">PAT-&gt;Affected(ARG1/129)</t>
  </si>
  <si>
    <t xml:space="preserve">"vyvádět-003"</t>
  </si>
  <si>
    <t xml:space="preserve">"vyvádět-004"</t>
  </si>
  <si>
    <t xml:space="preserve">"vyválet-001"</t>
  </si>
  <si>
    <t xml:space="preserve">"vyválet-se-001"</t>
  </si>
  <si>
    <t xml:space="preserve">"vyvázat-001"</t>
  </si>
  <si>
    <t xml:space="preserve">"vyváznout-001"</t>
  </si>
  <si>
    <t xml:space="preserve">"vyváznout-002"</t>
  </si>
  <si>
    <t xml:space="preserve">"vyvářet-001"</t>
  </si>
  <si>
    <t xml:space="preserve">"vyvážet-001"</t>
  </si>
  <si>
    <t xml:space="preserve">"vyvážit-001"</t>
  </si>
  <si>
    <t xml:space="preserve">"vyvážit-002"</t>
  </si>
  <si>
    <t xml:space="preserve">ACT-&gt;ARG0/11,ARG2/69</t>
  </si>
  <si>
    <t xml:space="preserve">PAT-&gt;ARG1/130</t>
  </si>
  <si>
    <t xml:space="preserve">"vyvést-001"</t>
  </si>
  <si>
    <t xml:space="preserve">"vyvést-002"</t>
  </si>
  <si>
    <t xml:space="preserve">"vyvést-003"</t>
  </si>
  <si>
    <t xml:space="preserve">"vyvést-004"</t>
  </si>
  <si>
    <t xml:space="preserve">DPHR: z-1[rovnováha.S2]</t>
  </si>
  <si>
    <t xml:space="preserve">DPHR[z rovnováhy]-&gt;State_initial</t>
  </si>
  <si>
    <t xml:space="preserve">DPHR[z rovnováhy]-&gt;State_initial()</t>
  </si>
  <si>
    <t xml:space="preserve">PAT-&gt;ARG0/6,ARG1/59</t>
  </si>
  <si>
    <t xml:space="preserve">"vyvést-005"</t>
  </si>
  <si>
    <t xml:space="preserve">"vyvést-se-001"</t>
  </si>
  <si>
    <t xml:space="preserve">"vyvézt-001"</t>
  </si>
  <si>
    <t xml:space="preserve">"vyvézt-002"</t>
  </si>
  <si>
    <t xml:space="preserve">"vyvíjet-001"</t>
  </si>
  <si>
    <t xml:space="preserve">"vyvíjet-002"</t>
  </si>
  <si>
    <t xml:space="preserve">CPHR: {aktivita,činnost,iniciativa,nátlak,snaha,tlak,úsilí,...}.4</t>
  </si>
  <si>
    <t xml:space="preserve">"vyvíjet-se-001"</t>
  </si>
  <si>
    <t xml:space="preserve">"vyvěrat-001"</t>
  </si>
  <si>
    <t xml:space="preserve">"vyvěrat-002"</t>
  </si>
  <si>
    <t xml:space="preserve">"vyvěsit-001"</t>
  </si>
  <si>
    <t xml:space="preserve">"vyvětrat-001"</t>
  </si>
  <si>
    <t xml:space="preserve">"vyvěšovat-001"</t>
  </si>
  <si>
    <t xml:space="preserve">"vyzařovat-001"</t>
  </si>
  <si>
    <t xml:space="preserve">ACT-&gt;ARG0/2,ARG1/50,ARG2/84</t>
  </si>
  <si>
    <t xml:space="preserve">ACT-&gt;Source(ARG0/2,ARG1/50,ARG2/84)</t>
  </si>
  <si>
    <t xml:space="preserve">PAT-&gt;ARG1/104,ARG2/22</t>
  </si>
  <si>
    <t xml:space="preserve">PAT-&gt;Entity(ARG1/104,ARG2/22)</t>
  </si>
  <si>
    <t xml:space="preserve">"vyzařovat-002"</t>
  </si>
  <si>
    <t xml:space="preserve">"vyzbrojit-001"</t>
  </si>
  <si>
    <t xml:space="preserve">"vyzbrojit-se-001"</t>
  </si>
  <si>
    <t xml:space="preserve">"vyzbrojovat-001"</t>
  </si>
  <si>
    <t xml:space="preserve">"vyzdobit-001"</t>
  </si>
  <si>
    <t xml:space="preserve">"vyzdvihnout-001"</t>
  </si>
  <si>
    <t xml:space="preserve">"vyzdvihnout-002"</t>
  </si>
  <si>
    <t xml:space="preserve">"vyzdvihnout-003"</t>
  </si>
  <si>
    <t xml:space="preserve">"vyzdvihovat-001"</t>
  </si>
  <si>
    <t xml:space="preserve">"vyzdívat-001"</t>
  </si>
  <si>
    <t xml:space="preserve">"vyzkoumat-001"</t>
  </si>
  <si>
    <t xml:space="preserve">"vyzkoušet-001"</t>
  </si>
  <si>
    <t xml:space="preserve">"vyzkoušet-si-001"</t>
  </si>
  <si>
    <t xml:space="preserve">"vyznamenat-001"</t>
  </si>
  <si>
    <t xml:space="preserve">"vyznamenat-se-001"</t>
  </si>
  <si>
    <t xml:space="preserve">"vyznat-se-001"</t>
  </si>
  <si>
    <t xml:space="preserve">"vyznat-se-002"</t>
  </si>
  <si>
    <t xml:space="preserve">"vyznat-se-003"</t>
  </si>
  <si>
    <t xml:space="preserve">"vyznat-se-004"</t>
  </si>
  <si>
    <t xml:space="preserve">"vyznačit-001"</t>
  </si>
  <si>
    <t xml:space="preserve">"vyznačovat-se-001"</t>
  </si>
  <si>
    <t xml:space="preserve">Entity(ARG0/26,ARG1/2), Attribute(ARG0/4,ARG1/77)</t>
  </si>
  <si>
    <t xml:space="preserve">ACT-&gt;ARG0/26,ARG1/2</t>
  </si>
  <si>
    <t xml:space="preserve">ACT-&gt;Entity(ARG0/26,ARG1/2)</t>
  </si>
  <si>
    <t xml:space="preserve">PAT-&gt;ARG0/4,ARG1/77</t>
  </si>
  <si>
    <t xml:space="preserve">PAT-&gt;Attribute(ARG0/4,ARG1/77)</t>
  </si>
  <si>
    <t xml:space="preserve">"vyznávat-001"</t>
  </si>
  <si>
    <t xml:space="preserve">"vyznít-001"</t>
  </si>
  <si>
    <t xml:space="preserve">#alt[MANN,BEN]-&gt;Judgment</t>
  </si>
  <si>
    <t xml:space="preserve">#alt[MANN,BEN]-&gt;Judgment(ARG1/241,ARG2/55,ARG3/10)</t>
  </si>
  <si>
    <t xml:space="preserve">"vyznívat-001"</t>
  </si>
  <si>
    <t xml:space="preserve">"vyzobávat-001"</t>
  </si>
  <si>
    <t xml:space="preserve">"vyzpovídat-001"</t>
  </si>
  <si>
    <t xml:space="preserve">"vyzpovídat-se-001"</t>
  </si>
  <si>
    <t xml:space="preserve">"vyzpívat-001"</t>
  </si>
  <si>
    <t xml:space="preserve">"vyzradit-001"</t>
  </si>
  <si>
    <t xml:space="preserve">"vyzrát-001"</t>
  </si>
  <si>
    <t xml:space="preserve">"vyzrát-002"</t>
  </si>
  <si>
    <t xml:space="preserve">"vyzrávat-001"</t>
  </si>
  <si>
    <t xml:space="preserve">"vyztužit-001"</t>
  </si>
  <si>
    <t xml:space="preserve">"vyzvat-001"</t>
  </si>
  <si>
    <t xml:space="preserve">"vyzvednout-001"</t>
  </si>
  <si>
    <t xml:space="preserve">"vyzvednout-002"</t>
  </si>
  <si>
    <t xml:space="preserve">"vyzvednout-003"</t>
  </si>
  <si>
    <t xml:space="preserve">Recipient(ARG0/4), Item(ARG1/11), Place()</t>
  </si>
  <si>
    <t xml:space="preserve">ACT-&gt;Recipient(ARG0/4)</t>
  </si>
  <si>
    <t xml:space="preserve">PAT-&gt;Item(ARG1/11)</t>
  </si>
  <si>
    <t xml:space="preserve">"vyzvedávat-001"</t>
  </si>
  <si>
    <t xml:space="preserve">"vyzvedávat-002"</t>
  </si>
  <si>
    <t xml:space="preserve">"vyzvonit-001"</t>
  </si>
  <si>
    <t xml:space="preserve">"vyzvrátit-001"</t>
  </si>
  <si>
    <t xml:space="preserve">"vyzvánět-001"</t>
  </si>
  <si>
    <t xml:space="preserve">"vyzvídat-001"</t>
  </si>
  <si>
    <t xml:space="preserve">?ORIG: od+2; na+6</t>
  </si>
  <si>
    <t xml:space="preserve">"vyzvědět-001"</t>
  </si>
  <si>
    <t xml:space="preserve">"vyzískat-001"</t>
  </si>
  <si>
    <t xml:space="preserve">"vyzývat-001"</t>
  </si>
  <si>
    <t xml:space="preserve">PAT: k+3; ↓aby; na+4; .f; .s</t>
  </si>
  <si>
    <t xml:space="preserve">"vyústit-001"</t>
  </si>
  <si>
    <t xml:space="preserve">Cause(ARG0/101), Effect(ARG2/115)</t>
  </si>
  <si>
    <t xml:space="preserve">ACT-&gt;Cause(ARG0/101)</t>
  </si>
  <si>
    <t xml:space="preserve">PAT: k+3; v+4; do+2</t>
  </si>
  <si>
    <t xml:space="preserve">PAT-&gt;ARG2/115</t>
  </si>
  <si>
    <t xml:space="preserve">PAT-&gt;Effect(ARG2/115)</t>
  </si>
  <si>
    <t xml:space="preserve">"vyústit-002"</t>
  </si>
  <si>
    <t xml:space="preserve">"vyústit-003"</t>
  </si>
  <si>
    <t xml:space="preserve">"vyúčtovat-001"</t>
  </si>
  <si>
    <t xml:space="preserve">"vyčerpat-001"</t>
  </si>
  <si>
    <t xml:space="preserve">"vyčerpat-002"</t>
  </si>
  <si>
    <t xml:space="preserve">"vyčerpat-003"</t>
  </si>
  <si>
    <t xml:space="preserve">"vyčerpat-004"</t>
  </si>
  <si>
    <t xml:space="preserve">"vyčerpat-se-001"</t>
  </si>
  <si>
    <t xml:space="preserve">"vyčerpávat-001"</t>
  </si>
  <si>
    <t xml:space="preserve">"vyčerpávat-002"</t>
  </si>
  <si>
    <t xml:space="preserve">"vyčerpávat-003"</t>
  </si>
  <si>
    <t xml:space="preserve">"vyčinit-001"</t>
  </si>
  <si>
    <t xml:space="preserve">"vyčistit-001"</t>
  </si>
  <si>
    <t xml:space="preserve">"vyčistit-002"</t>
  </si>
  <si>
    <t xml:space="preserve">"--vyčistit-003"</t>
  </si>
  <si>
    <t xml:space="preserve">"vyčkat-001"</t>
  </si>
  <si>
    <t xml:space="preserve">"vyčkat-002"</t>
  </si>
  <si>
    <t xml:space="preserve">?PAT: 4; 2; na+4; ↓že; ↓jestli; ↓až-2; ↓zda; ↓než-2</t>
  </si>
  <si>
    <t xml:space="preserve">"vyčkávat-001"</t>
  </si>
  <si>
    <t xml:space="preserve">"vyčkávat-002"</t>
  </si>
  <si>
    <t xml:space="preserve">?PAT: 4; 2; na+4; ↓že; ↓jestli; ↓až-2; ↓zda</t>
  </si>
  <si>
    <t xml:space="preserve">"vyčlenit-001"</t>
  </si>
  <si>
    <t xml:space="preserve">"vyčlenit-002"</t>
  </si>
  <si>
    <t xml:space="preserve">"vyčlenit-se-001"</t>
  </si>
  <si>
    <t xml:space="preserve">"vyčleňovat-001"</t>
  </si>
  <si>
    <t xml:space="preserve">"vyčleňovat-se-001"</t>
  </si>
  <si>
    <t xml:space="preserve">"vyčnívat-001"</t>
  </si>
  <si>
    <t xml:space="preserve">"vyčnívat-002"</t>
  </si>
  <si>
    <t xml:space="preserve">"vyčíhnout-si-001"</t>
  </si>
  <si>
    <t xml:space="preserve">"vyčíslit-001"</t>
  </si>
  <si>
    <t xml:space="preserve">"vyčíslovat-001"</t>
  </si>
  <si>
    <t xml:space="preserve">"vyčíst-001"</t>
  </si>
  <si>
    <t xml:space="preserve">"vyčíst-002"</t>
  </si>
  <si>
    <t xml:space="preserve">"vyčítat-001"</t>
  </si>
  <si>
    <t xml:space="preserve">"vyčítat-002"</t>
  </si>
  <si>
    <t xml:space="preserve">"vyřadit-001"</t>
  </si>
  <si>
    <t xml:space="preserve">Agent(ARG0/99), Affected(ARG1/165), State()</t>
  </si>
  <si>
    <t xml:space="preserve">ACT-&gt;ARG0/179</t>
  </si>
  <si>
    <t xml:space="preserve">ACT-&gt;Agent(ARG0/99)</t>
  </si>
  <si>
    <t xml:space="preserve">PAT-&gt;ARG1/349,ARG2/1</t>
  </si>
  <si>
    <t xml:space="preserve">PAT-&gt;Affected(ARG1/165)</t>
  </si>
  <si>
    <t xml:space="preserve">DIR1-&gt;State</t>
  </si>
  <si>
    <t xml:space="preserve">DIR1-&gt;State()</t>
  </si>
  <si>
    <t xml:space="preserve">"vyřadit-002"</t>
  </si>
  <si>
    <t xml:space="preserve">ACT-&gt;ARG0/99</t>
  </si>
  <si>
    <t xml:space="preserve">PAT-&gt;ARG1/165</t>
  </si>
  <si>
    <t xml:space="preserve">"vyřazovat-001"</t>
  </si>
  <si>
    <t xml:space="preserve">"vyřezat-001"</t>
  </si>
  <si>
    <t xml:space="preserve">"vyřezávat-001"</t>
  </si>
  <si>
    <t xml:space="preserve">"vyřezávat-002"</t>
  </si>
  <si>
    <t xml:space="preserve">"vyřešit-001"</t>
  </si>
  <si>
    <t xml:space="preserve">"vyřešit-002"</t>
  </si>
  <si>
    <t xml:space="preserve">"vyřizovat-001"</t>
  </si>
  <si>
    <t xml:space="preserve">"vyřizovat-002"</t>
  </si>
  <si>
    <t xml:space="preserve">"vyřizovat-003"</t>
  </si>
  <si>
    <t xml:space="preserve">"vyřizovat-004"</t>
  </si>
  <si>
    <t xml:space="preserve">DPHR: účet.P4</t>
  </si>
  <si>
    <t xml:space="preserve">"vyřknout-001"</t>
  </si>
  <si>
    <t xml:space="preserve">"vyřvávat-001"</t>
  </si>
  <si>
    <t xml:space="preserve">"vyřádit-se-001"</t>
  </si>
  <si>
    <t xml:space="preserve">"vyřídit-001"</t>
  </si>
  <si>
    <t xml:space="preserve">"vyřídit-002"</t>
  </si>
  <si>
    <t xml:space="preserve">"vyřídit-003"</t>
  </si>
  <si>
    <t xml:space="preserve">"vyřídit-004"</t>
  </si>
  <si>
    <t xml:space="preserve">"vyřídit-si-001"</t>
  </si>
  <si>
    <t xml:space="preserve">"vyříkat-si-001"</t>
  </si>
  <si>
    <t xml:space="preserve">"vyříznout-001"</t>
  </si>
  <si>
    <t xml:space="preserve">"vyšachovat-001"</t>
  </si>
  <si>
    <t xml:space="preserve">"vyšetřit-001"</t>
  </si>
  <si>
    <t xml:space="preserve">"vyšetřit-002"</t>
  </si>
  <si>
    <t xml:space="preserve">"vyšetřit-si-001"</t>
  </si>
  <si>
    <t xml:space="preserve">"vyšetřovat-001"</t>
  </si>
  <si>
    <t xml:space="preserve">"vyšetřovat-002"</t>
  </si>
  <si>
    <t xml:space="preserve">"vyškemrat-001"</t>
  </si>
  <si>
    <t xml:space="preserve">"vyškolit-001"</t>
  </si>
  <si>
    <t xml:space="preserve">"vyškrabat-001"</t>
  </si>
  <si>
    <t xml:space="preserve">"vyškrabat-002"</t>
  </si>
  <si>
    <t xml:space="preserve">"vyškrtnout-001"</t>
  </si>
  <si>
    <t xml:space="preserve">"vyškrábat-001"</t>
  </si>
  <si>
    <t xml:space="preserve">"vyškrábat-se-001"</t>
  </si>
  <si>
    <t xml:space="preserve">"vyškrábat-se-002"</t>
  </si>
  <si>
    <t xml:space="preserve">ORIG-&gt;ARG3/813,ARG4/6,ARGM-LOC/1</t>
  </si>
  <si>
    <t xml:space="preserve">PAT-&gt;ARG1/228,ARG2/64,ARG4/2270,ARGM-LOC/2</t>
  </si>
  <si>
    <t xml:space="preserve">"--vyškrábat-se-003"</t>
  </si>
  <si>
    <t xml:space="preserve">"vyšlapat-001"</t>
  </si>
  <si>
    <t xml:space="preserve">"vyšlapat-002"</t>
  </si>
  <si>
    <t xml:space="preserve">"vyšlapat-003"</t>
  </si>
  <si>
    <t xml:space="preserve">"vyšlapávat-001"</t>
  </si>
  <si>
    <t xml:space="preserve">"vyšlechtit-001"</t>
  </si>
  <si>
    <t xml:space="preserve">"vyšlehnout-001"</t>
  </si>
  <si>
    <t xml:space="preserve">"vyšlápnout-si-001"</t>
  </si>
  <si>
    <t xml:space="preserve">"vyšlápnout-si-002"</t>
  </si>
  <si>
    <t xml:space="preserve">"vyšmátrat-001"</t>
  </si>
  <si>
    <t xml:space="preserve">"vyšoupnout-001"</t>
  </si>
  <si>
    <t xml:space="preserve">"vyšperkovat-001"</t>
  </si>
  <si>
    <t xml:space="preserve">"vyšplhat-001"</t>
  </si>
  <si>
    <t xml:space="preserve">"vyšplhat-se-001"</t>
  </si>
  <si>
    <t xml:space="preserve">?PAT: na+4; přes+4; do+2; nad-1.4[.4]</t>
  </si>
  <si>
    <t xml:space="preserve">"vyšplhat-se-002"</t>
  </si>
  <si>
    <t xml:space="preserve">"vyšroubovat-001"</t>
  </si>
  <si>
    <t xml:space="preserve">"vyštvat-001"</t>
  </si>
  <si>
    <t xml:space="preserve">"vyštěknout-001"</t>
  </si>
  <si>
    <t xml:space="preserve">"vyšumět-001"</t>
  </si>
  <si>
    <t xml:space="preserve">"vyšupat-001"</t>
  </si>
  <si>
    <t xml:space="preserve">"vyšvihnout-se-001"</t>
  </si>
  <si>
    <t xml:space="preserve">"vyšvihnout-se-002"</t>
  </si>
  <si>
    <t xml:space="preserve">"vyšvindlovat-001"</t>
  </si>
  <si>
    <t xml:space="preserve">"vyšít-001"</t>
  </si>
  <si>
    <t xml:space="preserve">"vyšít-002"</t>
  </si>
  <si>
    <t xml:space="preserve">"vyšívat-001"</t>
  </si>
  <si>
    <t xml:space="preserve">"vyšňořit-001"</t>
  </si>
  <si>
    <t xml:space="preserve">"vyšťourat-001"</t>
  </si>
  <si>
    <t xml:space="preserve">"vyžadovat-001"</t>
  </si>
  <si>
    <t xml:space="preserve">"--vyžadovat-002"</t>
  </si>
  <si>
    <t xml:space="preserve">"vyžadovat-si-001"</t>
  </si>
  <si>
    <t xml:space="preserve">"vyždímat-001"</t>
  </si>
  <si>
    <t xml:space="preserve">"vyždímat-002"</t>
  </si>
  <si>
    <t xml:space="preserve">"vyžebrat-001"</t>
  </si>
  <si>
    <t xml:space="preserve">"vyžebrávat-001"</t>
  </si>
  <si>
    <t xml:space="preserve">"vyžehlit-001"</t>
  </si>
  <si>
    <t xml:space="preserve">"vyženit-001"</t>
  </si>
  <si>
    <t xml:space="preserve">"vyživit-001"</t>
  </si>
  <si>
    <t xml:space="preserve">"vyživovat-001"</t>
  </si>
  <si>
    <t xml:space="preserve">"vyžrat-001"</t>
  </si>
  <si>
    <t xml:space="preserve">"vyžádat-001"</t>
  </si>
  <si>
    <t xml:space="preserve">?ORIG: na+6; od+2; po+6</t>
  </si>
  <si>
    <t xml:space="preserve">"vyžádat-si-001"</t>
  </si>
  <si>
    <t xml:space="preserve">"vyžádat-si-002"</t>
  </si>
  <si>
    <t xml:space="preserve">"vyžít-se-001"</t>
  </si>
  <si>
    <t xml:space="preserve">"vyžívat-001"</t>
  </si>
  <si>
    <t xml:space="preserve">"vyžívat-se-001"</t>
  </si>
  <si>
    <t xml:space="preserve">"vzbouřit-se-001"</t>
  </si>
  <si>
    <t xml:space="preserve">"vzbudit-001"</t>
  </si>
  <si>
    <t xml:space="preserve">"vzbudit-002"</t>
  </si>
  <si>
    <t xml:space="preserve">CPHR: {cit,dojem,emoce,naděje,nadšení,nedůvěra,nelibost,nevole,nostalgie,obava,odpor,pobouření,pocit,podezření,pohoršení,pozornost-1,protest,pýcha,rozhořčení,rozpaky,strach,touha,tvorba,zájem,...}.4</t>
  </si>
  <si>
    <t xml:space="preserve">"vzbudit-se-001"</t>
  </si>
  <si>
    <t xml:space="preserve">"vzburcovat-001"</t>
  </si>
  <si>
    <t xml:space="preserve">"vzbuzovat-001"</t>
  </si>
  <si>
    <t xml:space="preserve">CPHR: {agresivita,dojem,důvěra,emoce,iluze,lítost,mrazení,naděje,nedůvěra,nedůvěra,nostalgie,obava,panika,pocit,podezření,pohoršení,pochyba,pochybnost,pozornost,radost,rozpaky,sympatie,touha,úsměv,zájem,závist,...}.4</t>
  </si>
  <si>
    <t xml:space="preserve">"vzchopit-se-001"</t>
  </si>
  <si>
    <t xml:space="preserve">PAT(z+2)-&gt;Situation_harmful</t>
  </si>
  <si>
    <t xml:space="preserve">PAT(z+2)-&gt;Situation_harmful()</t>
  </si>
  <si>
    <t xml:space="preserve">"vzchopit-se-002"</t>
  </si>
  <si>
    <t xml:space="preserve">"vzdalovat-se-001"</t>
  </si>
  <si>
    <t xml:space="preserve">PAT: od+2; 3</t>
  </si>
  <si>
    <t xml:space="preserve">"vzdalovat-se-002"</t>
  </si>
  <si>
    <t xml:space="preserve">ACT-&gt;ARG0/38,ARG1/196</t>
  </si>
  <si>
    <t xml:space="preserve">"vzdorovat-001"</t>
  </si>
  <si>
    <t xml:space="preserve">"vzdorovat-002"</t>
  </si>
  <si>
    <t xml:space="preserve">"vzdouvat-001"</t>
  </si>
  <si>
    <t xml:space="preserve">"vzdychat-001"</t>
  </si>
  <si>
    <t xml:space="preserve">"vzdálit-001"</t>
  </si>
  <si>
    <t xml:space="preserve">?ORIG: od+2; 3</t>
  </si>
  <si>
    <t xml:space="preserve">"vzdálit-002"</t>
  </si>
  <si>
    <t xml:space="preserve">"vzdálit-se-001"</t>
  </si>
  <si>
    <t xml:space="preserve">"vzdát-001"</t>
  </si>
  <si>
    <t xml:space="preserve">"vzdát-002"</t>
  </si>
  <si>
    <t xml:space="preserve">"vzdát-003"</t>
  </si>
  <si>
    <t xml:space="preserve">CPHR: {pocta,...}.4</t>
  </si>
  <si>
    <t xml:space="preserve">"vzdát-004"</t>
  </si>
  <si>
    <t xml:space="preserve">"vzdát-se-001"</t>
  </si>
  <si>
    <t xml:space="preserve">"vzdát-se-002"</t>
  </si>
  <si>
    <t xml:space="preserve">"vzdávat-001"</t>
  </si>
  <si>
    <t xml:space="preserve">"vzdávat-002"</t>
  </si>
  <si>
    <t xml:space="preserve">CPHR: {hold,pocta,...}.4</t>
  </si>
  <si>
    <t xml:space="preserve">"vzdávat-se-001"</t>
  </si>
  <si>
    <t xml:space="preserve">"vzdávat-se-002"</t>
  </si>
  <si>
    <t xml:space="preserve">"vzdělat-001"</t>
  </si>
  <si>
    <t xml:space="preserve">PAT-&gt;ARG1/13,ARG2/19</t>
  </si>
  <si>
    <t xml:space="preserve">PAT-&gt;Impactee(ARG1/13,ARG2/19)</t>
  </si>
  <si>
    <t xml:space="preserve">"vzdělávat-001"</t>
  </si>
  <si>
    <t xml:space="preserve">"vzedmout-001"</t>
  </si>
  <si>
    <t xml:space="preserve">"vzedmout-se-001"</t>
  </si>
  <si>
    <t xml:space="preserve">"vzejít-001"</t>
  </si>
  <si>
    <t xml:space="preserve">"vzejít-002"</t>
  </si>
  <si>
    <t xml:space="preserve">"vzepnout-se-001"</t>
  </si>
  <si>
    <t xml:space="preserve">"vzepřít-se-001"</t>
  </si>
  <si>
    <t xml:space="preserve">"vzhlédnout-001"</t>
  </si>
  <si>
    <t xml:space="preserve">"vzhlédnout-002"</t>
  </si>
  <si>
    <t xml:space="preserve">"vzhlížet-001"</t>
  </si>
  <si>
    <t xml:space="preserve">"vzhlížet-002"</t>
  </si>
  <si>
    <t xml:space="preserve">"vzkazovat-001"</t>
  </si>
  <si>
    <t xml:space="preserve">"vzklíčit-001"</t>
  </si>
  <si>
    <t xml:space="preserve">"vzkvétat-001"</t>
  </si>
  <si>
    <t xml:space="preserve">"vzkypět-001"</t>
  </si>
  <si>
    <t xml:space="preserve">"vzkázat-001"</t>
  </si>
  <si>
    <t xml:space="preserve">"vzkřísit-001"</t>
  </si>
  <si>
    <t xml:space="preserve">"vzlétnout-001"</t>
  </si>
  <si>
    <t xml:space="preserve">"vzmoci-se-001"</t>
  </si>
  <si>
    <t xml:space="preserve">"vznikat-001"</t>
  </si>
  <si>
    <t xml:space="preserve">"vznikat-002"</t>
  </si>
  <si>
    <t xml:space="preserve">CPHR: {povinnost,...}.1</t>
  </si>
  <si>
    <t xml:space="preserve">"vzniknout-001"</t>
  </si>
  <si>
    <t xml:space="preserve">"vzniknout-002"</t>
  </si>
  <si>
    <t xml:space="preserve">"vzniknout-003"</t>
  </si>
  <si>
    <t xml:space="preserve">"vznášet-001"</t>
  </si>
  <si>
    <t xml:space="preserve">ACT-&gt;ARG0/1262,ARG1/9,ARG2/4</t>
  </si>
  <si>
    <t xml:space="preserve">CPHR: {dotaz,kritika,možnost,nárok,obvinění,prosba,připomínka,sankce,...}.4</t>
  </si>
  <si>
    <t xml:space="preserve">CPHR-&gt;ARG1/782,ARG2/94</t>
  </si>
  <si>
    <t xml:space="preserve">CPHR[RSTR]-&gt;Required</t>
  </si>
  <si>
    <t xml:space="preserve">CPHR[RSTR]-&gt;Required(ARG1/605,ARG2/81)</t>
  </si>
  <si>
    <t xml:space="preserve">CPHR[PAT]-&gt;Issue; CPHR-&gt;Objection</t>
  </si>
  <si>
    <t xml:space="preserve">CPHR[PAT]-&gt;Issue(ARG1/24); CPHR-&gt;Objection(ARG1/1)</t>
  </si>
  <si>
    <t xml:space="preserve">?ADDR: na+4; vůči+3</t>
  </si>
  <si>
    <t xml:space="preserve">ADDR-&gt;ARG0/1,ARG1/499,ARG2/225</t>
  </si>
  <si>
    <t xml:space="preserve">ADDR-&gt;Accused(ARG1/118)</t>
  </si>
  <si>
    <t xml:space="preserve">ADDR-&gt;Perpetrator(ARG1/64)</t>
  </si>
  <si>
    <t xml:space="preserve">"--vznášet-002"</t>
  </si>
  <si>
    <t xml:space="preserve">CPHR: {možnost,nárok,obvinění,...}.4</t>
  </si>
  <si>
    <t xml:space="preserve">?ADDR: na+4; vůči+3; proti+3</t>
  </si>
  <si>
    <t xml:space="preserve">"vznášet-se-001"</t>
  </si>
  <si>
    <t xml:space="preserve">"vznášet-se-002"</t>
  </si>
  <si>
    <t xml:space="preserve">"vznést-001"</t>
  </si>
  <si>
    <t xml:space="preserve">CPHR: {dotaz,kritika,námitka,nárok,obvinění,otázka,pochyba,požadavek,prosba,protest,připomínka,sankce,žaloba,...}.4</t>
  </si>
  <si>
    <t xml:space="preserve">"--vznést-002"</t>
  </si>
  <si>
    <t xml:space="preserve">CPHR: {dotaz,kritika,námitka,obvinění,pochyba,prosba,protest,připomínka,sankce,žaloba,...}.4</t>
  </si>
  <si>
    <t xml:space="preserve">"vznít-se-001"</t>
  </si>
  <si>
    <t xml:space="preserve">"vznítit-se-001"</t>
  </si>
  <si>
    <t xml:space="preserve">"vzpamatovat-se-001"</t>
  </si>
  <si>
    <t xml:space="preserve">"vzpamatovávat-se-001"</t>
  </si>
  <si>
    <t xml:space="preserve">"vzplanout-001"</t>
  </si>
  <si>
    <t xml:space="preserve">"vzplanout-002"</t>
  </si>
  <si>
    <t xml:space="preserve">"vzplanout-003"</t>
  </si>
  <si>
    <t xml:space="preserve">"vzplanout-004"</t>
  </si>
  <si>
    <t xml:space="preserve">CPHR: {hněv,láska,nenávist,vztek,...}.7</t>
  </si>
  <si>
    <t xml:space="preserve">"vzpomenout-001"</t>
  </si>
  <si>
    <t xml:space="preserve">PAT: 4; na+4; ↓že; ↓zda; ↓jestli; ↓jak-2; .s; ↓c</t>
  </si>
  <si>
    <t xml:space="preserve">"vzpomenout-si-001"</t>
  </si>
  <si>
    <t xml:space="preserve">PAT: na+4; ↓že; ↓zda; ↓jestli; ↓jak-2; .s; ↓c; .f; ↓když; 4</t>
  </si>
  <si>
    <t xml:space="preserve">"vzpomínat-001"</t>
  </si>
  <si>
    <t xml:space="preserve">PAT: na+4; ↓že; ↓zda; ↓jestli; ↓jak-2; .s; ↓c; 4</t>
  </si>
  <si>
    <t xml:space="preserve">"vzpomínat-si-001"</t>
  </si>
  <si>
    <t xml:space="preserve">PAT: 4; na+4; ↓že; ↓zda; ↓jak; ↓jestli; .s; ↓c</t>
  </si>
  <si>
    <t xml:space="preserve">"vzpružit-001"</t>
  </si>
  <si>
    <t xml:space="preserve">"vzpínat-se-001"</t>
  </si>
  <si>
    <t xml:space="preserve">"vzpírat-se-001"</t>
  </si>
  <si>
    <t xml:space="preserve">"vzrušit-001"</t>
  </si>
  <si>
    <t xml:space="preserve">"vzrušovat-001"</t>
  </si>
  <si>
    <t xml:space="preserve">"vzrůst-001"</t>
  </si>
  <si>
    <t xml:space="preserve">"vzrůstat-001"</t>
  </si>
  <si>
    <t xml:space="preserve">"vztahovat-001"</t>
  </si>
  <si>
    <t xml:space="preserve">"vztahovat-se-001"</t>
  </si>
  <si>
    <t xml:space="preserve">PAT: na+4; k+3; do+2</t>
  </si>
  <si>
    <t xml:space="preserve">"vztekat-se-001"</t>
  </si>
  <si>
    <t xml:space="preserve">"vztyčit-001"</t>
  </si>
  <si>
    <t xml:space="preserve">"vztyčit-se-001"</t>
  </si>
  <si>
    <t xml:space="preserve">"vztyčovat-001"</t>
  </si>
  <si>
    <t xml:space="preserve">"vztyčovat-002"</t>
  </si>
  <si>
    <t xml:space="preserve">"vztáhnout-001"</t>
  </si>
  <si>
    <t xml:space="preserve">"vztáhnout-002"</t>
  </si>
  <si>
    <t xml:space="preserve">DPHR: pěst.S4</t>
  </si>
  <si>
    <t xml:space="preserve">PAT: na+4; po+6</t>
  </si>
  <si>
    <t xml:space="preserve">"vztáhnout-003"</t>
  </si>
  <si>
    <t xml:space="preserve">"vzít-001"</t>
  </si>
  <si>
    <t xml:space="preserve">"vzít-002"</t>
  </si>
  <si>
    <t xml:space="preserve">"vzít-003"</t>
  </si>
  <si>
    <t xml:space="preserve">ACT-&gt;ARG0/70,ARG1/1</t>
  </si>
  <si>
    <t xml:space="preserve">PAT-&gt;ARG0/1,ARG1/84,ARG3/1</t>
  </si>
  <si>
    <t xml:space="preserve">"vzít-004"</t>
  </si>
  <si>
    <t xml:space="preserve">"vzít-005"</t>
  </si>
  <si>
    <t xml:space="preserve">DIR1-&gt;ARG0/108,ARG1/3,ARG2/42</t>
  </si>
  <si>
    <t xml:space="preserve">DIR1-&gt;Owner(ARG0/108,ARG1/1,ARG2/21)</t>
  </si>
  <si>
    <t xml:space="preserve">"vzít-006"</t>
  </si>
  <si>
    <t xml:space="preserve">"vzít-007"</t>
  </si>
  <si>
    <t xml:space="preserve">"vzít-008"</t>
  </si>
  <si>
    <t xml:space="preserve">"vzít-009"</t>
  </si>
  <si>
    <t xml:space="preserve">PAT: 4; za+4</t>
  </si>
  <si>
    <t xml:space="preserve">"vzít-010"</t>
  </si>
  <si>
    <t xml:space="preserve">#alt[MANN,ACMP,CRIT,CPR]-&gt;Manner</t>
  </si>
  <si>
    <t xml:space="preserve">#alt[MANN,ACMP,CRIT,CPR]-&gt;Manner(ARG2/7)</t>
  </si>
  <si>
    <t xml:space="preserve">"vzít-011"</t>
  </si>
  <si>
    <t xml:space="preserve">"vzít-012"</t>
  </si>
  <si>
    <t xml:space="preserve">"vzít-013"</t>
  </si>
  <si>
    <t xml:space="preserve">"vzít-014"</t>
  </si>
  <si>
    <t xml:space="preserve">"vzít-015"</t>
  </si>
  <si>
    <t xml:space="preserve">"vzít-016"</t>
  </si>
  <si>
    <t xml:space="preserve">"vzít-017"</t>
  </si>
  <si>
    <t xml:space="preserve">"vzít-018"</t>
  </si>
  <si>
    <t xml:space="preserve">"vzít-019"</t>
  </si>
  <si>
    <t xml:space="preserve">CPHR: {právo,...}.4</t>
  </si>
  <si>
    <t xml:space="preserve">"vzít-020"</t>
  </si>
  <si>
    <t xml:space="preserve">"vzít-021"</t>
  </si>
  <si>
    <t xml:space="preserve">Protagonist(), Phenomenon(ARG1/1)</t>
  </si>
  <si>
    <t xml:space="preserve">DPHR: do-1[ruka:P2[svůj-1.FP2]]; do-1[ruka:P2]</t>
  </si>
  <si>
    <t xml:space="preserve">PAT-&gt;Phenomenon(ARG1/1)</t>
  </si>
  <si>
    <t xml:space="preserve">"vzít-022"</t>
  </si>
  <si>
    <t xml:space="preserve">DPHR: do-1[ruka:P2[svůj-1.P2]]</t>
  </si>
  <si>
    <t xml:space="preserve">"vzít-023"</t>
  </si>
  <si>
    <t xml:space="preserve">Agent(), Captive(), Place()</t>
  </si>
  <si>
    <t xml:space="preserve">DPHR: do-1[vazba-1.S2]</t>
  </si>
  <si>
    <t xml:space="preserve">DPHR[do vazby]-&gt;Place</t>
  </si>
  <si>
    <t xml:space="preserve">DPHR[do vazby]-&gt;Place()</t>
  </si>
  <si>
    <t xml:space="preserve">PAT-&gt;Captive</t>
  </si>
  <si>
    <t xml:space="preserve">PAT-&gt;Captive()</t>
  </si>
  <si>
    <t xml:space="preserve">"vzít-025"</t>
  </si>
  <si>
    <t xml:space="preserve">DPHR: na-1[milost.4]</t>
  </si>
  <si>
    <t xml:space="preserve">"vzít-026"</t>
  </si>
  <si>
    <t xml:space="preserve">"vzít-027"</t>
  </si>
  <si>
    <t xml:space="preserve">"vzít-028"</t>
  </si>
  <si>
    <t xml:space="preserve">DPHR: na-1[zřetel.S4]</t>
  </si>
  <si>
    <t xml:space="preserve">"vzít-029"</t>
  </si>
  <si>
    <t xml:space="preserve">DPHR: v-1[potaz.S4]</t>
  </si>
  <si>
    <t xml:space="preserve">"vzít-030"</t>
  </si>
  <si>
    <t xml:space="preserve">"vzít-031"</t>
  </si>
  <si>
    <t xml:space="preserve">DPHR: za-1[slovo.S4]</t>
  </si>
  <si>
    <t xml:space="preserve">"vzít-032"</t>
  </si>
  <si>
    <t xml:space="preserve">DPHR: za-1[svůj-1]</t>
  </si>
  <si>
    <t xml:space="preserve">"vzít-033"</t>
  </si>
  <si>
    <t xml:space="preserve">"vzít-034"</t>
  </si>
  <si>
    <t xml:space="preserve">DPHR: zpět; zpátky</t>
  </si>
  <si>
    <t xml:space="preserve">"vzít-035"</t>
  </si>
  <si>
    <t xml:space="preserve">DPHR: do-1[zaječí.P2]</t>
  </si>
  <si>
    <t xml:space="preserve">"vzít-036"</t>
  </si>
  <si>
    <t xml:space="preserve">DPHR: konec:4[rychlý:#]</t>
  </si>
  <si>
    <t xml:space="preserve">"vzít-037"</t>
  </si>
  <si>
    <t xml:space="preserve">DPHR: noha,na-1[rameno:P4]</t>
  </si>
  <si>
    <t xml:space="preserve">"vzít-038"</t>
  </si>
  <si>
    <t xml:space="preserve">DPHR: roh.S4</t>
  </si>
  <si>
    <t xml:space="preserve">"vzít-039"</t>
  </si>
  <si>
    <t xml:space="preserve">DPHR: za-1[svůj-1.NS4]</t>
  </si>
  <si>
    <t xml:space="preserve">"vzít-040"</t>
  </si>
  <si>
    <t xml:space="preserve">CPHR: {závazek}.4</t>
  </si>
  <si>
    <t xml:space="preserve">"vzít-041"</t>
  </si>
  <si>
    <t xml:space="preserve">DPHR: vítr.S4,z-1[plachta.P2]</t>
  </si>
  <si>
    <t xml:space="preserve">"vzít-042"</t>
  </si>
  <si>
    <t xml:space="preserve">DPHR: do-1[ruka:P2[vlastní.#]]</t>
  </si>
  <si>
    <t xml:space="preserve">"--vzít-043"</t>
  </si>
  <si>
    <t xml:space="preserve">"vzít-044"</t>
  </si>
  <si>
    <t xml:space="preserve">"vzít-045"</t>
  </si>
  <si>
    <t xml:space="preserve">"vzít-046"</t>
  </si>
  <si>
    <t xml:space="preserve">DPHR: plac.S4</t>
  </si>
  <si>
    <t xml:space="preserve">"vzít-047"</t>
  </si>
  <si>
    <t xml:space="preserve">DPHR: na-1[bedra.P4[svůj-1.#]]</t>
  </si>
  <si>
    <t xml:space="preserve">"vzít-048"</t>
  </si>
  <si>
    <t xml:space="preserve">"vzít-049"</t>
  </si>
  <si>
    <t xml:space="preserve">DPHR: do-1[zajetí.2]</t>
  </si>
  <si>
    <t xml:space="preserve">"vzít-050"</t>
  </si>
  <si>
    <t xml:space="preserve">"vzít-051"</t>
  </si>
  <si>
    <t xml:space="preserve">"vzít-052"</t>
  </si>
  <si>
    <t xml:space="preserve">"vzít-053"</t>
  </si>
  <si>
    <t xml:space="preserve">"vzít-054"</t>
  </si>
  <si>
    <t xml:space="preserve">"vzít-se-001"</t>
  </si>
  <si>
    <t xml:space="preserve">"vzít-se-002"</t>
  </si>
  <si>
    <t xml:space="preserve">"vzít-se-003"</t>
  </si>
  <si>
    <t xml:space="preserve">"vzít-se-004"</t>
  </si>
  <si>
    <t xml:space="preserve">DIR1-&gt;Origin</t>
  </si>
  <si>
    <t xml:space="preserve">DIR1-&gt;Origin()</t>
  </si>
  <si>
    <t xml:space="preserve">"vzít-se-005"</t>
  </si>
  <si>
    <t xml:space="preserve">DPHR: vzít[kde,se],tady</t>
  </si>
  <si>
    <t xml:space="preserve">"vzít-si-001"</t>
  </si>
  <si>
    <t xml:space="preserve">EFF-&gt;ARG1/3,ARG3/25</t>
  </si>
  <si>
    <t xml:space="preserve">EFF-&gt;Recompensated(ARG1/3,ARG3/25)</t>
  </si>
  <si>
    <t xml:space="preserve">"vzít-si-002"</t>
  </si>
  <si>
    <t xml:space="preserve">"vzít-si-003"</t>
  </si>
  <si>
    <t xml:space="preserve">"vzít-si-004"</t>
  </si>
  <si>
    <t xml:space="preserve">"vzít-si-005"</t>
  </si>
  <si>
    <t xml:space="preserve">"vzít-si-006"</t>
  </si>
  <si>
    <t xml:space="preserve">"vzít-si-007"</t>
  </si>
  <si>
    <t xml:space="preserve">Experiencer(), Phenomenon()</t>
  </si>
  <si>
    <t xml:space="preserve">DPHR: k-1[srdce.S3]</t>
  </si>
  <si>
    <t xml:space="preserve">"vzít-si-008"</t>
  </si>
  <si>
    <t xml:space="preserve">"vzít-si-009"</t>
  </si>
  <si>
    <t xml:space="preserve">"vzít-si-010"</t>
  </si>
  <si>
    <t xml:space="preserve">"vzít-si-011"</t>
  </si>
  <si>
    <t xml:space="preserve">"vzít-si-012"</t>
  </si>
  <si>
    <t xml:space="preserve">"vzít-si-013"</t>
  </si>
  <si>
    <t xml:space="preserve">DPHR: do-1[prádlo.S2]</t>
  </si>
  <si>
    <t xml:space="preserve">"vzít-si-014"</t>
  </si>
  <si>
    <t xml:space="preserve">"vzít-si-015"</t>
  </si>
  <si>
    <t xml:space="preserve">DPHR: za-1[vlastní.4#]; jako[vlastní.4#]; za-1[svůj-1.4]</t>
  </si>
  <si>
    <t xml:space="preserve">"vzít-si-016"</t>
  </si>
  <si>
    <t xml:space="preserve">"vzývat-001"</t>
  </si>
  <si>
    <t xml:space="preserve">"vábit-001"</t>
  </si>
  <si>
    <t xml:space="preserve">"váhat-001"</t>
  </si>
  <si>
    <t xml:space="preserve">?PAT: s+7; nad+7; .f; ↓zda</t>
  </si>
  <si>
    <t xml:space="preserve">"válet-001"</t>
  </si>
  <si>
    <t xml:space="preserve">"válet-se-001"</t>
  </si>
  <si>
    <t xml:space="preserve">"válet-se-002"</t>
  </si>
  <si>
    <t xml:space="preserve">"válčit-001"</t>
  </si>
  <si>
    <t xml:space="preserve">"válčit-002"</t>
  </si>
  <si>
    <t xml:space="preserve">"válčit-003"</t>
  </si>
  <si>
    <t xml:space="preserve">?PAT: za+4; o+4</t>
  </si>
  <si>
    <t xml:space="preserve">"vát-001"</t>
  </si>
  <si>
    <t xml:space="preserve">"vázat-001"</t>
  </si>
  <si>
    <t xml:space="preserve">"vázat-002"</t>
  </si>
  <si>
    <t xml:space="preserve">"vázat-003"</t>
  </si>
  <si>
    <t xml:space="preserve">"vázat-004"</t>
  </si>
  <si>
    <t xml:space="preserve">Influenced(ARG3/2), Influence(ARG1/1)</t>
  </si>
  <si>
    <t xml:space="preserve">ACT-&gt;Influence</t>
  </si>
  <si>
    <t xml:space="preserve">ACT-&gt;Influence(ARG1/1)</t>
  </si>
  <si>
    <t xml:space="preserve">PAT-&gt;Influenced(ARG3/2)</t>
  </si>
  <si>
    <t xml:space="preserve">"vázat-005"</t>
  </si>
  <si>
    <t xml:space="preserve">"vázat-006"</t>
  </si>
  <si>
    <t xml:space="preserve">"vázat-007"</t>
  </si>
  <si>
    <t xml:space="preserve">?PAT: k+3; .f; ↓aby</t>
  </si>
  <si>
    <t xml:space="preserve">"vázat-008"</t>
  </si>
  <si>
    <t xml:space="preserve">"vázat-se-001"</t>
  </si>
  <si>
    <t xml:space="preserve">"vázat-se-002"</t>
  </si>
  <si>
    <t xml:space="preserve">"vázat-se-003"</t>
  </si>
  <si>
    <t xml:space="preserve">"váznout-001"</t>
  </si>
  <si>
    <t xml:space="preserve">ACT-&gt;ARG0/7,ARG1/17,ARG2/1</t>
  </si>
  <si>
    <t xml:space="preserve">PAT-&gt;ARG0/2,ARG1/15</t>
  </si>
  <si>
    <t xml:space="preserve">"váznout-002"</t>
  </si>
  <si>
    <t xml:space="preserve">"vážit-001"</t>
  </si>
  <si>
    <t xml:space="preserve">Cognizer(), Evaluee()</t>
  </si>
  <si>
    <t xml:space="preserve">PAT-&gt;Evaluee()</t>
  </si>
  <si>
    <t xml:space="preserve">"vážit-002"</t>
  </si>
  <si>
    <t xml:space="preserve">"vážit-003"</t>
  </si>
  <si>
    <t xml:space="preserve">"vážit-004"</t>
  </si>
  <si>
    <t xml:space="preserve">EXT-&gt;ARG3/17</t>
  </si>
  <si>
    <t xml:space="preserve">"vážit-si-001"</t>
  </si>
  <si>
    <t xml:space="preserve">"vést-001"</t>
  </si>
  <si>
    <t xml:space="preserve">"vést-002"</t>
  </si>
  <si>
    <t xml:space="preserve">?ADDR: s+7; proti+3; nad+7; před+7</t>
  </si>
  <si>
    <t xml:space="preserve">"vést-003"</t>
  </si>
  <si>
    <t xml:space="preserve">"vést-004"</t>
  </si>
  <si>
    <t xml:space="preserve">ACT-&gt;ARG0/194</t>
  </si>
  <si>
    <t xml:space="preserve">PAT-&gt;ARG0/1,ARG1/307,ARG2/1</t>
  </si>
  <si>
    <t xml:space="preserve">"vést-005"</t>
  </si>
  <si>
    <t xml:space="preserve">"vést-006"</t>
  </si>
  <si>
    <t xml:space="preserve">"vést-007"</t>
  </si>
  <si>
    <t xml:space="preserve">Leader(ARG0/99), Group(ARG1/38)</t>
  </si>
  <si>
    <t xml:space="preserve">ACT-&gt;Leader(ARG0/99)</t>
  </si>
  <si>
    <t xml:space="preserve">PAT-&gt;Group(ARG1/38)</t>
  </si>
  <si>
    <t xml:space="preserve">"vést-008"</t>
  </si>
  <si>
    <t xml:space="preserve">"vést-009"</t>
  </si>
  <si>
    <t xml:space="preserve">"vést-010"</t>
  </si>
  <si>
    <t xml:space="preserve">"vést-011"</t>
  </si>
  <si>
    <t xml:space="preserve">"vést-012"</t>
  </si>
  <si>
    <t xml:space="preserve">"vést-013"</t>
  </si>
  <si>
    <t xml:space="preserve">CPHR: {boj,debata,dialog,diskuse,hovor,jednání,kampaň,komunikace,korespondence,nápor,obchod,operace,pohovor,pokus,polemika,propaganda,rozhovor,řízení,snaha,spor,tažení,úsilí,útok,válka,vyjednávání,...}.4</t>
  </si>
  <si>
    <t xml:space="preserve">"vést-014"</t>
  </si>
  <si>
    <t xml:space="preserve">CPHR: {obžaloba,proces,stíhání,žaloba,...}</t>
  </si>
  <si>
    <t xml:space="preserve">"vést-015"</t>
  </si>
  <si>
    <t xml:space="preserve">DPHR: řeč.P4</t>
  </si>
  <si>
    <t xml:space="preserve">"vést-016"</t>
  </si>
  <si>
    <t xml:space="preserve">DPHR: řeč:P4[hloupý.P4@1]</t>
  </si>
  <si>
    <t xml:space="preserve">"vést-017"</t>
  </si>
  <si>
    <t xml:space="preserve">"vést-018"</t>
  </si>
  <si>
    <t xml:space="preserve">"vést-019"</t>
  </si>
  <si>
    <t xml:space="preserve">Protagonist(), Manner()</t>
  </si>
  <si>
    <t xml:space="preserve">DPHR: styl.S4</t>
  </si>
  <si>
    <t xml:space="preserve">DPHR-&gt;Manner()</t>
  </si>
  <si>
    <t xml:space="preserve">"vést-020"</t>
  </si>
  <si>
    <t xml:space="preserve">"vést-021"</t>
  </si>
  <si>
    <t xml:space="preserve">DPHR: latina.S4[myslivecký.#]</t>
  </si>
  <si>
    <t xml:space="preserve">"vést-022"</t>
  </si>
  <si>
    <t xml:space="preserve">"vést-023"</t>
  </si>
  <si>
    <t xml:space="preserve">"vést-024"</t>
  </si>
  <si>
    <t xml:space="preserve">"vést-se-001"</t>
  </si>
  <si>
    <t xml:space="preserve">#alt[MANN,EXT]-&gt;Manner</t>
  </si>
  <si>
    <t xml:space="preserve">#alt[MANN,EXT]-&gt;Manner(ARG1/2,ARG2/2,ARGM-MNR/22)</t>
  </si>
  <si>
    <t xml:space="preserve">"vést-se-002"</t>
  </si>
  <si>
    <t xml:space="preserve">"vést-si-001"</t>
  </si>
  <si>
    <t xml:space="preserve">#alt[BEN,MANN,ACMP,CRIT,CPR]-&gt;Manner(ARG1/2,ARG2/2,ARGM-MNR/22)</t>
  </si>
  <si>
    <t xml:space="preserve">"vést-si-002"</t>
  </si>
  <si>
    <t xml:space="preserve">"vévodit-001"</t>
  </si>
  <si>
    <t xml:space="preserve">"vézt-001"</t>
  </si>
  <si>
    <t xml:space="preserve">"vézt-se-001"</t>
  </si>
  <si>
    <t xml:space="preserve">"vézt-se-002"</t>
  </si>
  <si>
    <t xml:space="preserve">"vídat-001"</t>
  </si>
  <si>
    <t xml:space="preserve">"--vídat-se-001"</t>
  </si>
  <si>
    <t xml:space="preserve">"vídávat-001"</t>
  </si>
  <si>
    <t xml:space="preserve">"--vídávat-se-001"</t>
  </si>
  <si>
    <t xml:space="preserve">"vítat-001"</t>
  </si>
  <si>
    <t xml:space="preserve">"vítat-002"</t>
  </si>
  <si>
    <t xml:space="preserve">"vítat-003"</t>
  </si>
  <si>
    <t xml:space="preserve">"vítat-004"</t>
  </si>
  <si>
    <t xml:space="preserve">"vítězit-001"</t>
  </si>
  <si>
    <t xml:space="preserve">?ADDR: nad+7</t>
  </si>
  <si>
    <t xml:space="preserve">"vířit-001"</t>
  </si>
  <si>
    <t xml:space="preserve">"výt-001"</t>
  </si>
  <si>
    <t xml:space="preserve">"včelařit-001"</t>
  </si>
  <si>
    <t xml:space="preserve">"včlenit-001"</t>
  </si>
  <si>
    <t xml:space="preserve">ACT-&gt;ARG0/262,ARG1/3,ARG2/26</t>
  </si>
  <si>
    <t xml:space="preserve">PAT-&gt;ARG1/560,ARG2/3</t>
  </si>
  <si>
    <t xml:space="preserve">DIR3-&gt;ARG2/13</t>
  </si>
  <si>
    <t xml:space="preserve">"včlenit-se-001"</t>
  </si>
  <si>
    <t xml:space="preserve">"včleňovat-001"</t>
  </si>
  <si>
    <t xml:space="preserve">"včleňovat-se-001"</t>
  </si>
  <si>
    <t xml:space="preserve">"vědět-001"</t>
  </si>
  <si>
    <t xml:space="preserve">PAT: 4; o+6; ↓jak-2; ↓c; ↓zda; ↓že; ↓jestli; .v</t>
  </si>
  <si>
    <t xml:space="preserve">"vědět-002"</t>
  </si>
  <si>
    <t xml:space="preserve">"vědět-003"</t>
  </si>
  <si>
    <t xml:space="preserve">"vědět-004"</t>
  </si>
  <si>
    <t xml:space="preserve">EFF: 4; ↓že; ↓zda; ↓jak-2; ↓jestli; ↓c</t>
  </si>
  <si>
    <t xml:space="preserve">"vědět-005"</t>
  </si>
  <si>
    <t xml:space="preserve">DPHR: svůj-1</t>
  </si>
  <si>
    <t xml:space="preserve">"vědět-006"</t>
  </si>
  <si>
    <t xml:space="preserve">DPHR: to.NS4</t>
  </si>
  <si>
    <t xml:space="preserve">"vědět-si-001"</t>
  </si>
  <si>
    <t xml:space="preserve">DPHR: rada-1.S2</t>
  </si>
  <si>
    <t xml:space="preserve">"věnovat-001"</t>
  </si>
  <si>
    <t xml:space="preserve">ACT-&gt;ARG0/314</t>
  </si>
  <si>
    <t xml:space="preserve">PAT-&gt;ARG1/444,ARG2/2</t>
  </si>
  <si>
    <t xml:space="preserve">ADDR-&gt;ARG1/10,ARG2/373,ARG4/2</t>
  </si>
  <si>
    <t xml:space="preserve">"věnovat-002"</t>
  </si>
  <si>
    <t xml:space="preserve">"věnovat-003"</t>
  </si>
  <si>
    <t xml:space="preserve">ACT-&gt;ARG0/91,ARG1/15</t>
  </si>
  <si>
    <t xml:space="preserve">CPHR: {čas,loajalita,péče,pozornost-1,prostor,přízeň,úsilí,úsilí,zájem,...}.4</t>
  </si>
  <si>
    <t xml:space="preserve">ADDR-&gt;ARG1/74</t>
  </si>
  <si>
    <t xml:space="preserve">ADDR-&gt;Focused(ARG1/74)</t>
  </si>
  <si>
    <t xml:space="preserve">"věnovat-se-001"</t>
  </si>
  <si>
    <t xml:space="preserve">"věstit-001"</t>
  </si>
  <si>
    <t xml:space="preserve">"věstit-002"</t>
  </si>
  <si>
    <t xml:space="preserve">DPHR: nic.S4[dobrý-1.NS2]</t>
  </si>
  <si>
    <t xml:space="preserve">DPHR-&gt;ARG1/220</t>
  </si>
  <si>
    <t xml:space="preserve">DPHR[nic dobrého]-&gt;Predicted</t>
  </si>
  <si>
    <t xml:space="preserve">DPHR[nic dobrého]-&gt;Predicted(ARG1/220)</t>
  </si>
  <si>
    <t xml:space="preserve">"větrat-001"</t>
  </si>
  <si>
    <t xml:space="preserve">"větrat-002"</t>
  </si>
  <si>
    <t xml:space="preserve">"větřit-001"</t>
  </si>
  <si>
    <t xml:space="preserve">"vězet-001"</t>
  </si>
  <si>
    <t xml:space="preserve">"vězet-002"</t>
  </si>
  <si>
    <t xml:space="preserve">"věznit-001"</t>
  </si>
  <si>
    <t xml:space="preserve">"věřit-001"</t>
  </si>
  <si>
    <t xml:space="preserve">PAT: 3; ↓že; ↓c; .v</t>
  </si>
  <si>
    <t xml:space="preserve">"věřit-002"</t>
  </si>
  <si>
    <t xml:space="preserve">"věřit-003"</t>
  </si>
  <si>
    <t xml:space="preserve">"věřit-004"</t>
  </si>
  <si>
    <t xml:space="preserve">?PAT: 4; ↓že; ↓c; .v</t>
  </si>
  <si>
    <t xml:space="preserve">"věřit-005"</t>
  </si>
  <si>
    <t xml:space="preserve">"věšet-001"</t>
  </si>
  <si>
    <t xml:space="preserve">"věštit-001"</t>
  </si>
  <si>
    <t xml:space="preserve">"vřeštět-001"</t>
  </si>
  <si>
    <t xml:space="preserve">"vřít-001"</t>
  </si>
  <si>
    <t xml:space="preserve">"vřít-002"</t>
  </si>
  <si>
    <t xml:space="preserve">"vřít-003"</t>
  </si>
  <si>
    <t xml:space="preserve">LOC-&gt;Agent</t>
  </si>
  <si>
    <t xml:space="preserve">LOC-&gt;Agent()</t>
  </si>
  <si>
    <t xml:space="preserve">"vřítit-se-001"</t>
  </si>
  <si>
    <t xml:space="preserve">"všimnout-si-001"</t>
  </si>
  <si>
    <t xml:space="preserve">ACT-&gt;ARG0/470,ARG1/6</t>
  </si>
  <si>
    <t xml:space="preserve">PAT-&gt;ARG1/648,ARG2/1,ARG3/4</t>
  </si>
  <si>
    <t xml:space="preserve">"všimnout-si-002"</t>
  </si>
  <si>
    <t xml:space="preserve">EFF: ↓že; ↓jak</t>
  </si>
  <si>
    <t xml:space="preserve">"vštípit-001"</t>
  </si>
  <si>
    <t xml:space="preserve">"vštěpovat-001"</t>
  </si>
  <si>
    <t xml:space="preserve">"všímat-si-001"</t>
  </si>
  <si>
    <t xml:space="preserve">ACT-&gt;ARG0/121,ARG1/15</t>
  </si>
  <si>
    <t xml:space="preserve">PAT-&gt;ARG1/131</t>
  </si>
  <si>
    <t xml:space="preserve">"vžít-se-001"</t>
  </si>
  <si>
    <t xml:space="preserve">"vžít-se-002"</t>
  </si>
  <si>
    <t xml:space="preserve">"zabalit-001"</t>
  </si>
  <si>
    <t xml:space="preserve">"zabalit-002"</t>
  </si>
  <si>
    <t xml:space="preserve">"zabarikádovat-001"</t>
  </si>
  <si>
    <t xml:space="preserve">"zabarvit-001"</t>
  </si>
  <si>
    <t xml:space="preserve">"zabarvit-002"</t>
  </si>
  <si>
    <t xml:space="preserve">"zabavit-001"</t>
  </si>
  <si>
    <t xml:space="preserve">"zabavit-002"</t>
  </si>
  <si>
    <t xml:space="preserve">"zabavit-se-001"</t>
  </si>
  <si>
    <t xml:space="preserve">"zabavovat-001"</t>
  </si>
  <si>
    <t xml:space="preserve">"zabavovat-se-001"</t>
  </si>
  <si>
    <t xml:space="preserve">"zabednit-001"</t>
  </si>
  <si>
    <t xml:space="preserve">"zabetonovat-001"</t>
  </si>
  <si>
    <t xml:space="preserve">"zabetonovat-002"</t>
  </si>
  <si>
    <t xml:space="preserve">"zabetonovat-003"</t>
  </si>
  <si>
    <t xml:space="preserve">"zabezpečit-001"</t>
  </si>
  <si>
    <t xml:space="preserve">"zabezpečit-002"</t>
  </si>
  <si>
    <t xml:space="preserve">"zabezpečovat-001"</t>
  </si>
  <si>
    <t xml:space="preserve">"zabezpečovat-002"</t>
  </si>
  <si>
    <t xml:space="preserve">"zablokovat-001"</t>
  </si>
  <si>
    <t xml:space="preserve">Impactor(ARG0/3), Place(ARG1/2)</t>
  </si>
  <si>
    <t xml:space="preserve">ACT-&gt;Impactor(ARG0/3)</t>
  </si>
  <si>
    <t xml:space="preserve">"zablokovat-002"</t>
  </si>
  <si>
    <t xml:space="preserve">"zablokovat-se-001"</t>
  </si>
  <si>
    <t xml:space="preserve">"zabloudit-001"</t>
  </si>
  <si>
    <t xml:space="preserve">"zablátit-001"</t>
  </si>
  <si>
    <t xml:space="preserve">"zablýskat-001"</t>
  </si>
  <si>
    <t xml:space="preserve">"zabodnout-001"</t>
  </si>
  <si>
    <t xml:space="preserve">"zabodnout-002"</t>
  </si>
  <si>
    <t xml:space="preserve">"zabodovat-001"</t>
  </si>
  <si>
    <t xml:space="preserve">"zabolet-001"</t>
  </si>
  <si>
    <t xml:space="preserve">"zabouchat-001"</t>
  </si>
  <si>
    <t xml:space="preserve">"zabouchnout-001"</t>
  </si>
  <si>
    <t xml:space="preserve">"zabouchnout-se-001"</t>
  </si>
  <si>
    <t xml:space="preserve">"zabořit-001"</t>
  </si>
  <si>
    <t xml:space="preserve">"zabrat-001"</t>
  </si>
  <si>
    <t xml:space="preserve">"zabrat-002"</t>
  </si>
  <si>
    <t xml:space="preserve">ACT: 1; ↓než-3</t>
  </si>
  <si>
    <t xml:space="preserve">PAT-&gt;Time(ARG1/59)</t>
  </si>
  <si>
    <t xml:space="preserve">"zabrat-003"</t>
  </si>
  <si>
    <t xml:space="preserve">"zabrat-004"</t>
  </si>
  <si>
    <t xml:space="preserve">"zabrat-005"</t>
  </si>
  <si>
    <t xml:space="preserve">"zabrat-006"</t>
  </si>
  <si>
    <t xml:space="preserve">"zabrat-007"</t>
  </si>
  <si>
    <t xml:space="preserve">"zabrat-008"</t>
  </si>
  <si>
    <t xml:space="preserve">"zabrat-009"</t>
  </si>
  <si>
    <t xml:space="preserve">"zabrat-010"</t>
  </si>
  <si>
    <t xml:space="preserve">"zabrat-se-001"</t>
  </si>
  <si>
    <t xml:space="preserve">"zabraňovat-001"</t>
  </si>
  <si>
    <t xml:space="preserve">PAT: v+6; ↓aby; .f</t>
  </si>
  <si>
    <t xml:space="preserve">"zabraňovat-002"</t>
  </si>
  <si>
    <t xml:space="preserve">"zabrnkat-001"</t>
  </si>
  <si>
    <t xml:space="preserve">"zabrnkat-002"</t>
  </si>
  <si>
    <t xml:space="preserve">"zabrousit-001"</t>
  </si>
  <si>
    <t xml:space="preserve">"zabručet-001"</t>
  </si>
  <si>
    <t xml:space="preserve">PAT: ↓že; ↓c; .s</t>
  </si>
  <si>
    <t xml:space="preserve">"zabrzdit-001"</t>
  </si>
  <si>
    <t xml:space="preserve">"zabrzdit-002"</t>
  </si>
  <si>
    <t xml:space="preserve">"zabránit-001"</t>
  </si>
  <si>
    <t xml:space="preserve">PAT: v+6; .f; ↓aby</t>
  </si>
  <si>
    <t xml:space="preserve">"zabránit-002"</t>
  </si>
  <si>
    <t xml:space="preserve">"zabudovat-001"</t>
  </si>
  <si>
    <t xml:space="preserve">"zabudovat-002"</t>
  </si>
  <si>
    <t xml:space="preserve">"zabušit-001"</t>
  </si>
  <si>
    <t xml:space="preserve">"zabydlet-se-001"</t>
  </si>
  <si>
    <t xml:space="preserve">"zabydlovat-se-001"</t>
  </si>
  <si>
    <t xml:space="preserve">"zabíhat-001"</t>
  </si>
  <si>
    <t xml:space="preserve">"zabíhat-002"</t>
  </si>
  <si>
    <t xml:space="preserve">"zabíjet-001"</t>
  </si>
  <si>
    <t xml:space="preserve">"zabíjet-se-001"</t>
  </si>
  <si>
    <t xml:space="preserve">ACT-&gt;ARG0/95,ARG1/210</t>
  </si>
  <si>
    <t xml:space="preserve">ACT-&gt;Cause; ACT-&gt;Victim</t>
  </si>
  <si>
    <t xml:space="preserve">ACT-&gt;Cause(ARG0/95); ACT-&gt;Victim(ARG1/210)</t>
  </si>
  <si>
    <t xml:space="preserve">"zabírat-001"</t>
  </si>
  <si>
    <t xml:space="preserve">"zabírat-002"</t>
  </si>
  <si>
    <t xml:space="preserve">"zabírat-003"</t>
  </si>
  <si>
    <t xml:space="preserve">"zabírat-004"</t>
  </si>
  <si>
    <t xml:space="preserve">"zabírat-005"</t>
  </si>
  <si>
    <t xml:space="preserve">"zabírat-006"</t>
  </si>
  <si>
    <t xml:space="preserve">"zabírat-007"</t>
  </si>
  <si>
    <t xml:space="preserve">"zabít-001"</t>
  </si>
  <si>
    <t xml:space="preserve">"zabít-002"</t>
  </si>
  <si>
    <t xml:space="preserve">DPHR: čas.S4</t>
  </si>
  <si>
    <t xml:space="preserve">"zabít-se-001"</t>
  </si>
  <si>
    <t xml:space="preserve">"zabývat-se-001"</t>
  </si>
  <si>
    <t xml:space="preserve">PAT-&gt;ARG0/1,ARG1/829,ARG2/354,ARG3/1</t>
  </si>
  <si>
    <t xml:space="preserve">"zaběhnout-001"</t>
  </si>
  <si>
    <t xml:space="preserve">"zaběhnout-002"</t>
  </si>
  <si>
    <t xml:space="preserve">"zaběhnout-003"</t>
  </si>
  <si>
    <t xml:space="preserve">"zaběhávat-001"</t>
  </si>
  <si>
    <t xml:space="preserve">"zabřednout-001"</t>
  </si>
  <si>
    <t xml:space="preserve">PAT-&gt;State(ARG2/5)</t>
  </si>
  <si>
    <t xml:space="preserve">"zacelit-001"</t>
  </si>
  <si>
    <t xml:space="preserve">"zacelit-se-001"</t>
  </si>
  <si>
    <t xml:space="preserve">Recovered(ARG1/1)</t>
  </si>
  <si>
    <t xml:space="preserve">ACT-&gt;Recovered(ARG1/1)</t>
  </si>
  <si>
    <t xml:space="preserve">"zacelovat-001"</t>
  </si>
  <si>
    <t xml:space="preserve">"zacelovat-002"</t>
  </si>
  <si>
    <t xml:space="preserve">"zachovat-001"</t>
  </si>
  <si>
    <t xml:space="preserve">"zachovat-002"</t>
  </si>
  <si>
    <t xml:space="preserve">"zachovat-003"</t>
  </si>
  <si>
    <t xml:space="preserve">"zachovat-004"</t>
  </si>
  <si>
    <t xml:space="preserve">ACT-&gt;ARG0/542,ARG1/213</t>
  </si>
  <si>
    <t xml:space="preserve">PAT-&gt;ARG1/811,ARG2/3</t>
  </si>
  <si>
    <t xml:space="preserve">"zachovat-005"</t>
  </si>
  <si>
    <t xml:space="preserve">"zachovat-006"</t>
  </si>
  <si>
    <t xml:space="preserve">DPHR: hlava.S4[chladná.#]</t>
  </si>
  <si>
    <t xml:space="preserve">"zachovat-se-001"</t>
  </si>
  <si>
    <t xml:space="preserve">"zachovat-se-002"</t>
  </si>
  <si>
    <t xml:space="preserve">"zachovat-si-001"</t>
  </si>
  <si>
    <t xml:space="preserve">"zachovávat-001"</t>
  </si>
  <si>
    <t xml:space="preserve">"zachovávat-002"</t>
  </si>
  <si>
    <t xml:space="preserve">ACT-&gt;ARG0/81,ARG1/4</t>
  </si>
  <si>
    <t xml:space="preserve">PAT-&gt;ARG1/115,ARG2/3</t>
  </si>
  <si>
    <t xml:space="preserve">"zachovávat-003"</t>
  </si>
  <si>
    <t xml:space="preserve">ACT-&gt;ARG0/461,ARG1/209</t>
  </si>
  <si>
    <t xml:space="preserve">PAT-&gt;ARG1/696</t>
  </si>
  <si>
    <t xml:space="preserve">"zachraňovat-001"</t>
  </si>
  <si>
    <t xml:space="preserve">"zachránit-001"</t>
  </si>
  <si>
    <t xml:space="preserve">?EFF: před+7; od+2</t>
  </si>
  <si>
    <t xml:space="preserve">"zachránit-002"</t>
  </si>
  <si>
    <t xml:space="preserve">"zachránit-se-001"</t>
  </si>
  <si>
    <t xml:space="preserve">"zachtít-se-001"</t>
  </si>
  <si>
    <t xml:space="preserve">PAT: 2; 4; .f</t>
  </si>
  <si>
    <t xml:space="preserve">"zachutnat-001"</t>
  </si>
  <si>
    <t xml:space="preserve">"zachvacovat-001"</t>
  </si>
  <si>
    <t xml:space="preserve">"zachvátit-001"</t>
  </si>
  <si>
    <t xml:space="preserve">"zachvět-se-001"</t>
  </si>
  <si>
    <t xml:space="preserve">"zachycovat-001"</t>
  </si>
  <si>
    <t xml:space="preserve">"zachycovat-002"</t>
  </si>
  <si>
    <t xml:space="preserve">"zachycovat-003"</t>
  </si>
  <si>
    <t xml:space="preserve">"zachytat-si-001"</t>
  </si>
  <si>
    <t xml:space="preserve">"zachytit-001"</t>
  </si>
  <si>
    <t xml:space="preserve">Connector(), Entity_1(), Entity_2()</t>
  </si>
  <si>
    <t xml:space="preserve">ACT-&gt;Connector()</t>
  </si>
  <si>
    <t xml:space="preserve">PAT-&gt;Entity_1()</t>
  </si>
  <si>
    <t xml:space="preserve">DIR3-&gt;Entity_2()</t>
  </si>
  <si>
    <t xml:space="preserve">"zachytit-002"</t>
  </si>
  <si>
    <t xml:space="preserve">"zachytit-003"</t>
  </si>
  <si>
    <t xml:space="preserve">"zachytit-004"</t>
  </si>
  <si>
    <t xml:space="preserve">"zachytit-005"</t>
  </si>
  <si>
    <t xml:space="preserve">"zachytit-006"</t>
  </si>
  <si>
    <t xml:space="preserve">"zachytit-se-001"</t>
  </si>
  <si>
    <t xml:space="preserve">"zachytávat-001"</t>
  </si>
  <si>
    <t xml:space="preserve">"zacházet-001"</t>
  </si>
  <si>
    <t xml:space="preserve">#alt[MANN,ACMP,CRIT,CPR]-&gt;Manner(ARG2/21,ARG3/1)</t>
  </si>
  <si>
    <t xml:space="preserve">"zacházet-002"</t>
  </si>
  <si>
    <t xml:space="preserve">"zacházet-003"</t>
  </si>
  <si>
    <t xml:space="preserve">DPHR: do-1[krajnost.P2]</t>
  </si>
  <si>
    <t xml:space="preserve">"zacházet-004"</t>
  </si>
  <si>
    <t xml:space="preserve">"zacházet-005"</t>
  </si>
  <si>
    <t xml:space="preserve">DPHR: do-1[detail.P2]</t>
  </si>
  <si>
    <t xml:space="preserve">"zacházet-006"</t>
  </si>
  <si>
    <t xml:space="preserve">"zacházet-007"</t>
  </si>
  <si>
    <t xml:space="preserve">"zaclonit-001"</t>
  </si>
  <si>
    <t xml:space="preserve">ADDR-&gt;ARG1/16,ARG2/71</t>
  </si>
  <si>
    <t xml:space="preserve">ADDR-&gt;Undesirable(ARG1/16,ARG2/71)</t>
  </si>
  <si>
    <t xml:space="preserve">"zacpat-001"</t>
  </si>
  <si>
    <t xml:space="preserve">"zacvaknout-001"</t>
  </si>
  <si>
    <t xml:space="preserve">"zacvičit-001"</t>
  </si>
  <si>
    <t xml:space="preserve">"zacvičit-002"</t>
  </si>
  <si>
    <t xml:space="preserve">"zacvičit-si-001"</t>
  </si>
  <si>
    <t xml:space="preserve">"zacvičovat-001"</t>
  </si>
  <si>
    <t xml:space="preserve">"zacílit-001"</t>
  </si>
  <si>
    <t xml:space="preserve">"zacílit-002"</t>
  </si>
  <si>
    <t xml:space="preserve">"zadaptovat-001"</t>
  </si>
  <si>
    <t xml:space="preserve">"zadat-001"</t>
  </si>
  <si>
    <t xml:space="preserve">"zadat-002"</t>
  </si>
  <si>
    <t xml:space="preserve">CPHR: {příkaz}.4</t>
  </si>
  <si>
    <t xml:space="preserve">"zadat-003"</t>
  </si>
  <si>
    <t xml:space="preserve">"zadat-004"</t>
  </si>
  <si>
    <t xml:space="preserve">"zadat-si-001"</t>
  </si>
  <si>
    <t xml:space="preserve">PAT: s+7; před+7</t>
  </si>
  <si>
    <t xml:space="preserve">"zadlužit-001"</t>
  </si>
  <si>
    <t xml:space="preserve">"zadlužit-se-001"</t>
  </si>
  <si>
    <t xml:space="preserve">"zadlužovat-001"</t>
  </si>
  <si>
    <t xml:space="preserve">"zadministrovat-001"</t>
  </si>
  <si>
    <t xml:space="preserve">"zadrhnout-se-001"</t>
  </si>
  <si>
    <t xml:space="preserve">ACT-&gt;ARG0/33,ARG1/151,ARG2/2</t>
  </si>
  <si>
    <t xml:space="preserve">"zadrhávat-se-001"</t>
  </si>
  <si>
    <t xml:space="preserve">PAT-&gt;ARG0/2,ARG1/32,ARG2/141</t>
  </si>
  <si>
    <t xml:space="preserve">PAT-&gt;State(ARG1/17,ARG2/141)</t>
  </si>
  <si>
    <t xml:space="preserve">"zadržet-001"</t>
  </si>
  <si>
    <t xml:space="preserve">"zadržet-002"</t>
  </si>
  <si>
    <t xml:space="preserve">"zadržet-003"</t>
  </si>
  <si>
    <t xml:space="preserve">"zadržovat-001"</t>
  </si>
  <si>
    <t xml:space="preserve">"zadržovat-002"</t>
  </si>
  <si>
    <t xml:space="preserve">Withholder(ARG0/9), Withheld(ARG1/17)</t>
  </si>
  <si>
    <t xml:space="preserve">ACT-&gt;Withholder</t>
  </si>
  <si>
    <t xml:space="preserve">ACT-&gt;Withholder(ARG0/9)</t>
  </si>
  <si>
    <t xml:space="preserve">PAT-&gt;Withheld(ARG1/17)</t>
  </si>
  <si>
    <t xml:space="preserve">"zadusit-001"</t>
  </si>
  <si>
    <t xml:space="preserve">"zadusit-se-001"</t>
  </si>
  <si>
    <t xml:space="preserve">"zadávat-001"</t>
  </si>
  <si>
    <t xml:space="preserve">"zadávat-002"</t>
  </si>
  <si>
    <t xml:space="preserve">"zadávat-003"</t>
  </si>
  <si>
    <t xml:space="preserve">"zadívat-se-001"</t>
  </si>
  <si>
    <t xml:space="preserve">"zadýchávat-se-001"</t>
  </si>
  <si>
    <t xml:space="preserve">"zadělat-001"</t>
  </si>
  <si>
    <t xml:space="preserve">"zaevidovat-001"</t>
  </si>
  <si>
    <t xml:space="preserve">"zafixovat-001"</t>
  </si>
  <si>
    <t xml:space="preserve">"zafungovat-001"</t>
  </si>
  <si>
    <t xml:space="preserve">"zagitovat-001"</t>
  </si>
  <si>
    <t xml:space="preserve">"zahajovat-001"</t>
  </si>
  <si>
    <t xml:space="preserve">"zahajovat-002"</t>
  </si>
  <si>
    <t xml:space="preserve">"zahajovat-003"</t>
  </si>
  <si>
    <t xml:space="preserve">LOC-&gt;Manner(ARGM-EXT/25,ARGM-MNR/21)</t>
  </si>
  <si>
    <t xml:space="preserve">"--zahajovat-004"</t>
  </si>
  <si>
    <t xml:space="preserve">"zahalit-001"</t>
  </si>
  <si>
    <t xml:space="preserve">"zahalovat-001"</t>
  </si>
  <si>
    <t xml:space="preserve">"zahanbit-001"</t>
  </si>
  <si>
    <t xml:space="preserve">"zahaprovat-001"</t>
  </si>
  <si>
    <t xml:space="preserve">"zahazovat-001"</t>
  </si>
  <si>
    <t xml:space="preserve">"zahladit-001"</t>
  </si>
  <si>
    <t xml:space="preserve">"zahlazovat-001"</t>
  </si>
  <si>
    <t xml:space="preserve">"zahledět-se-001"</t>
  </si>
  <si>
    <t xml:space="preserve">"zahlodat-001"</t>
  </si>
  <si>
    <t xml:space="preserve">ACT: v+6</t>
  </si>
  <si>
    <t xml:space="preserve">DPHR: červík.1; červík.1[pochybnost.2]</t>
  </si>
  <si>
    <t xml:space="preserve">?PAT: ↓zda</t>
  </si>
  <si>
    <t xml:space="preserve">"zahloubat-se-001"</t>
  </si>
  <si>
    <t xml:space="preserve">"zahltit-001"</t>
  </si>
  <si>
    <t xml:space="preserve">Supplier(ARG0/12,ARG1/1,ARG2/6), Recipient(ARG1/31,ARG2/1), Supplies(ARG2/9)</t>
  </si>
  <si>
    <t xml:space="preserve">ACT-&gt;ARG0/23,ARG1/3,ARG2/14</t>
  </si>
  <si>
    <t xml:space="preserve">ACT-&gt;Supplier(ARG0/12,ARG1/1,ARG2/6)</t>
  </si>
  <si>
    <t xml:space="preserve">PAT-&gt;ARG1/65,ARG2/5</t>
  </si>
  <si>
    <t xml:space="preserve">PAT-&gt;Recipient(ARG1/31,ARG2/1)</t>
  </si>
  <si>
    <t xml:space="preserve">"zahltit-se-001"</t>
  </si>
  <si>
    <t xml:space="preserve">"zahlédnout-001"</t>
  </si>
  <si>
    <t xml:space="preserve">"zahnat-001"</t>
  </si>
  <si>
    <t xml:space="preserve">"zahnat-002"</t>
  </si>
  <si>
    <t xml:space="preserve">"zahnat-003"</t>
  </si>
  <si>
    <t xml:space="preserve">PAT-&gt;ARG1/205,ARG2/1</t>
  </si>
  <si>
    <t xml:space="preserve">"zahnat-004"</t>
  </si>
  <si>
    <t xml:space="preserve">"zahnat-005"</t>
  </si>
  <si>
    <t xml:space="preserve">DPHR: do-1[kout.2]</t>
  </si>
  <si>
    <t xml:space="preserve">"zahnout-001"</t>
  </si>
  <si>
    <t xml:space="preserve">"zahnout-002"</t>
  </si>
  <si>
    <t xml:space="preserve">"zahodit-001"</t>
  </si>
  <si>
    <t xml:space="preserve">"zahodit-002"</t>
  </si>
  <si>
    <t xml:space="preserve">"zahojit-001"</t>
  </si>
  <si>
    <t xml:space="preserve">"zahojit-se-001"</t>
  </si>
  <si>
    <t xml:space="preserve">"zahojit-se-002"</t>
  </si>
  <si>
    <t xml:space="preserve">"zahoukat-001"</t>
  </si>
  <si>
    <t xml:space="preserve">"zahrabat-001"</t>
  </si>
  <si>
    <t xml:space="preserve">"zahrabat-002"</t>
  </si>
  <si>
    <t xml:space="preserve">"zahradit-001"</t>
  </si>
  <si>
    <t xml:space="preserve">"zahradit-002"</t>
  </si>
  <si>
    <t xml:space="preserve">"zahradničit-001"</t>
  </si>
  <si>
    <t xml:space="preserve">"zahrnout-001"</t>
  </si>
  <si>
    <t xml:space="preserve">"zahrnout-002"</t>
  </si>
  <si>
    <t xml:space="preserve">"zahrnout-003"</t>
  </si>
  <si>
    <t xml:space="preserve">"zahrnout-004"</t>
  </si>
  <si>
    <t xml:space="preserve">"zahrnovat-001"</t>
  </si>
  <si>
    <t xml:space="preserve">"zahrnovat-002"</t>
  </si>
  <si>
    <t xml:space="preserve">"zahrnovat-003"</t>
  </si>
  <si>
    <t xml:space="preserve">"zahrozit-001"</t>
  </si>
  <si>
    <t xml:space="preserve">"zahrát-001"</t>
  </si>
  <si>
    <t xml:space="preserve">"zahrát-002"</t>
  </si>
  <si>
    <t xml:space="preserve">"zahrát-003"</t>
  </si>
  <si>
    <t xml:space="preserve">"zahrát-004"</t>
  </si>
  <si>
    <t xml:space="preserve">DPHR: na-1[emoce.S4]</t>
  </si>
  <si>
    <t xml:space="preserve">"zahrát-si-001"</t>
  </si>
  <si>
    <t xml:space="preserve">"zahrát-si-002"</t>
  </si>
  <si>
    <t xml:space="preserve">PAT: 4; na+4; s+7</t>
  </si>
  <si>
    <t xml:space="preserve">"zahrávat-001"</t>
  </si>
  <si>
    <t xml:space="preserve">"zahrávat-si-001"</t>
  </si>
  <si>
    <t xml:space="preserve">"zahubit-001"</t>
  </si>
  <si>
    <t xml:space="preserve">"zahubit-002"</t>
  </si>
  <si>
    <t xml:space="preserve">"zahynout-001"</t>
  </si>
  <si>
    <t xml:space="preserve">"zahájit-001"</t>
  </si>
  <si>
    <t xml:space="preserve">"zahájit-002"</t>
  </si>
  <si>
    <t xml:space="preserve">"zahájit-003"</t>
  </si>
  <si>
    <t xml:space="preserve">"zaháknout-001"</t>
  </si>
  <si>
    <t xml:space="preserve">"zahálet-001"</t>
  </si>
  <si>
    <t xml:space="preserve">"zahánět-001"</t>
  </si>
  <si>
    <t xml:space="preserve">"zahánět-002"</t>
  </si>
  <si>
    <t xml:space="preserve">"zahánět-003"</t>
  </si>
  <si>
    <t xml:space="preserve">"zaházet-001"</t>
  </si>
  <si>
    <t xml:space="preserve">"zahýbat-001"</t>
  </si>
  <si>
    <t xml:space="preserve">"zahýbat-002"</t>
  </si>
  <si>
    <t xml:space="preserve">"zahýbat-si-001"</t>
  </si>
  <si>
    <t xml:space="preserve">DPHR: karta.P7</t>
  </si>
  <si>
    <t xml:space="preserve">"zahřát-001"</t>
  </si>
  <si>
    <t xml:space="preserve">"zahřát-002"</t>
  </si>
  <si>
    <t xml:space="preserve">"zahřát-se-001"</t>
  </si>
  <si>
    <t xml:space="preserve">"zahřívat-001"</t>
  </si>
  <si>
    <t xml:space="preserve">"zainteresovat-001"</t>
  </si>
  <si>
    <t xml:space="preserve">"zainvestovat-001"</t>
  </si>
  <si>
    <t xml:space="preserve">"zajet-001"</t>
  </si>
  <si>
    <t xml:space="preserve">"zajet-002"</t>
  </si>
  <si>
    <t xml:space="preserve">"zajet-003"</t>
  </si>
  <si>
    <t xml:space="preserve">"zajet-004"</t>
  </si>
  <si>
    <t xml:space="preserve">"zajet-si-001"</t>
  </si>
  <si>
    <t xml:space="preserve">"zajezdit-si-001"</t>
  </si>
  <si>
    <t xml:space="preserve">"zajiskřit-001"</t>
  </si>
  <si>
    <t xml:space="preserve">"zajiskřit-002"</t>
  </si>
  <si>
    <t xml:space="preserve">"zajistit-001"</t>
  </si>
  <si>
    <t xml:space="preserve">"zajistit-002"</t>
  </si>
  <si>
    <t xml:space="preserve">"zajistit-003"</t>
  </si>
  <si>
    <t xml:space="preserve">"zajistit-004"</t>
  </si>
  <si>
    <t xml:space="preserve">"zajišťovat-001"</t>
  </si>
  <si>
    <t xml:space="preserve">"zajišťovat-002"</t>
  </si>
  <si>
    <t xml:space="preserve">"zajišťovat-003"</t>
  </si>
  <si>
    <t xml:space="preserve">"zajmout-001"</t>
  </si>
  <si>
    <t xml:space="preserve">"zajásat-001"</t>
  </si>
  <si>
    <t xml:space="preserve">"zajímat-001"</t>
  </si>
  <si>
    <t xml:space="preserve">"zajímat-002"</t>
  </si>
  <si>
    <t xml:space="preserve">"zajímat-se-001"</t>
  </si>
  <si>
    <t xml:space="preserve">PAT: o+4; ↓jestli; ↓zda; ↓c</t>
  </si>
  <si>
    <t xml:space="preserve">"zajímkovat-001"</t>
  </si>
  <si>
    <t xml:space="preserve">"zajít-001"</t>
  </si>
  <si>
    <t xml:space="preserve">"zajít-002"</t>
  </si>
  <si>
    <t xml:space="preserve">"zajít-003"</t>
  </si>
  <si>
    <t xml:space="preserve">"zajít-si-001"</t>
  </si>
  <si>
    <t xml:space="preserve">"zajíždět-001"</t>
  </si>
  <si>
    <t xml:space="preserve">ACT-&gt;ARG0/195,ARG1/338</t>
  </si>
  <si>
    <t xml:space="preserve">DIR3-&gt;ARG1/145,ARG2/2</t>
  </si>
  <si>
    <t xml:space="preserve">"zakalkulovat-001"</t>
  </si>
  <si>
    <t xml:space="preserve">"zakalkulovat-002"</t>
  </si>
  <si>
    <t xml:space="preserve">"zakalkulovávat-001"</t>
  </si>
  <si>
    <t xml:space="preserve">"zakalkulovávat-002"</t>
  </si>
  <si>
    <t xml:space="preserve">"zakazovat-001"</t>
  </si>
  <si>
    <t xml:space="preserve">"zakleknout-001"</t>
  </si>
  <si>
    <t xml:space="preserve">"zaklepat-001"</t>
  </si>
  <si>
    <t xml:space="preserve">"zaklepat-002"</t>
  </si>
  <si>
    <t xml:space="preserve">DPHR: ten.NS4,na-1[dřevo.S4]</t>
  </si>
  <si>
    <t xml:space="preserve">"zaklepat-003"</t>
  </si>
  <si>
    <t xml:space="preserve">"zaklesnout-001"</t>
  </si>
  <si>
    <t xml:space="preserve">"zaklopýtnout-001"</t>
  </si>
  <si>
    <t xml:space="preserve">"zakládat-001"</t>
  </si>
  <si>
    <t xml:space="preserve">"zakládat-002"</t>
  </si>
  <si>
    <t xml:space="preserve">"zakládat-003"</t>
  </si>
  <si>
    <t xml:space="preserve">"zakládat-004"</t>
  </si>
  <si>
    <t xml:space="preserve">"zakládat-005"</t>
  </si>
  <si>
    <t xml:space="preserve">"zakládat-se-001"</t>
  </si>
  <si>
    <t xml:space="preserve">"zakládat-si-001"</t>
  </si>
  <si>
    <t xml:space="preserve">PAT: na+6; ↓aby</t>
  </si>
  <si>
    <t xml:space="preserve">"zaklínit-001"</t>
  </si>
  <si>
    <t xml:space="preserve">"zaklínit-002"</t>
  </si>
  <si>
    <t xml:space="preserve">"zaklít-001"</t>
  </si>
  <si>
    <t xml:space="preserve">"zaknihovat-001"</t>
  </si>
  <si>
    <t xml:space="preserve">"zakoktávat-se-001"</t>
  </si>
  <si>
    <t xml:space="preserve">"zakolísat-001"</t>
  </si>
  <si>
    <t xml:space="preserve">?PAT: ↓zda; ↓jestli; ↓c; .s</t>
  </si>
  <si>
    <t xml:space="preserve">"zakolísat-002"</t>
  </si>
  <si>
    <t xml:space="preserve">"zakomponovat-001"</t>
  </si>
  <si>
    <t xml:space="preserve">ACT-&gt;ARG0/32,ARG1/1,ARG2/28</t>
  </si>
  <si>
    <t xml:space="preserve">PAT-&gt;ARG0/26,ARG1/1103,ARG2/2</t>
  </si>
  <si>
    <t xml:space="preserve">LOC-&gt;ARG0/6,ARG1/6,ARG2/492</t>
  </si>
  <si>
    <t xml:space="preserve">LOC-&gt;Member_old</t>
  </si>
  <si>
    <t xml:space="preserve">LOC-&gt;Member_old(ARG0/6,ARG1/6,ARG2/492)</t>
  </si>
  <si>
    <t xml:space="preserve">LOC-&gt;Whole</t>
  </si>
  <si>
    <t xml:space="preserve">LOC-&gt;Whole()</t>
  </si>
  <si>
    <t xml:space="preserve">"zakomponovat-002"</t>
  </si>
  <si>
    <t xml:space="preserve">DIR3-&gt;ARG0/6,ARG1/44,ARG2/495</t>
  </si>
  <si>
    <t xml:space="preserve">"zakonzervovat-001"</t>
  </si>
  <si>
    <t xml:space="preserve">"zakončit-001"</t>
  </si>
  <si>
    <t xml:space="preserve">"zakončit-002"</t>
  </si>
  <si>
    <t xml:space="preserve">ALT-ACMP: </t>
  </si>
  <si>
    <t xml:space="preserve">"zakopat-001"</t>
  </si>
  <si>
    <t xml:space="preserve">"zakopat-002"</t>
  </si>
  <si>
    <t xml:space="preserve">"zakopat-003"</t>
  </si>
  <si>
    <t xml:space="preserve">DPHR: sekera.S4[válečný.#]</t>
  </si>
  <si>
    <t xml:space="preserve">"zakopat-004"</t>
  </si>
  <si>
    <t xml:space="preserve">"zakopat-se-001"</t>
  </si>
  <si>
    <t xml:space="preserve">"zakopnout-001"</t>
  </si>
  <si>
    <t xml:space="preserve">"zakopávat-001"</t>
  </si>
  <si>
    <t xml:space="preserve">"zakopávat-002"</t>
  </si>
  <si>
    <t xml:space="preserve">"zakopávat-003"</t>
  </si>
  <si>
    <t xml:space="preserve">"zakotvit-001"</t>
  </si>
  <si>
    <t xml:space="preserve">Authority(), Information(), Document()</t>
  </si>
  <si>
    <t xml:space="preserve">LOC-&gt;Document</t>
  </si>
  <si>
    <t xml:space="preserve">LOC-&gt;Document()</t>
  </si>
  <si>
    <t xml:space="preserve">"zakotvit-002"</t>
  </si>
  <si>
    <t xml:space="preserve">DIR3-&gt;Document</t>
  </si>
  <si>
    <t xml:space="preserve">DIR3-&gt;Document()</t>
  </si>
  <si>
    <t xml:space="preserve">"zakotvit-003"</t>
  </si>
  <si>
    <t xml:space="preserve">"zakotvovat-001"</t>
  </si>
  <si>
    <t xml:space="preserve">"zakotvovat-002"</t>
  </si>
  <si>
    <t xml:space="preserve">"zakotvovat-003"</t>
  </si>
  <si>
    <t xml:space="preserve">"zakoukat-se-001"</t>
  </si>
  <si>
    <t xml:space="preserve">"zakoukat-se-002"</t>
  </si>
  <si>
    <t xml:space="preserve">"zakoupit-001"</t>
  </si>
  <si>
    <t xml:space="preserve">"zakousnout-001"</t>
  </si>
  <si>
    <t xml:space="preserve">"zakousnout-se-001"</t>
  </si>
  <si>
    <t xml:space="preserve">"zakousnout-se-002"</t>
  </si>
  <si>
    <t xml:space="preserve">"zakouřit-si-001"</t>
  </si>
  <si>
    <t xml:space="preserve">"zakoušet-001"</t>
  </si>
  <si>
    <t xml:space="preserve">"zakořenit-001"</t>
  </si>
  <si>
    <t xml:space="preserve">"zakrajovat-001"</t>
  </si>
  <si>
    <t xml:space="preserve">"zakreslit-001"</t>
  </si>
  <si>
    <t xml:space="preserve">"zakreslovat-001"</t>
  </si>
  <si>
    <t xml:space="preserve">"zakrnět-001"</t>
  </si>
  <si>
    <t xml:space="preserve">"zakroutit-001"</t>
  </si>
  <si>
    <t xml:space="preserve">"zakročit-001"</t>
  </si>
  <si>
    <t xml:space="preserve">ACT-&gt;ARG0/35,ARG1/13</t>
  </si>
  <si>
    <t xml:space="preserve">?PAT: proti+3; vůči+3; prospěch.S4[v-1,.u#]; prospěch.S4[v-1,.2]</t>
  </si>
  <si>
    <t xml:space="preserve">"zakročovat-001"</t>
  </si>
  <si>
    <t xml:space="preserve">"zakrýt-001"</t>
  </si>
  <si>
    <t xml:space="preserve">"zakrýt-002"</t>
  </si>
  <si>
    <t xml:space="preserve">"zakrývat-001"</t>
  </si>
  <si>
    <t xml:space="preserve">"zakrývat-002"</t>
  </si>
  <si>
    <t xml:space="preserve">"zaktivizovat-001"</t>
  </si>
  <si>
    <t xml:space="preserve">"zaktivovat-001"</t>
  </si>
  <si>
    <t xml:space="preserve">"zaktualizovat-001"</t>
  </si>
  <si>
    <t xml:space="preserve">"zakuplovat-001"</t>
  </si>
  <si>
    <t xml:space="preserve">"zakusit-001"</t>
  </si>
  <si>
    <t xml:space="preserve">"zakusovat-se-001"</t>
  </si>
  <si>
    <t xml:space="preserve">"zakusovat-se-002"</t>
  </si>
  <si>
    <t xml:space="preserve">"zakusovat-se-003"</t>
  </si>
  <si>
    <t xml:space="preserve">"zakázat-001"</t>
  </si>
  <si>
    <t xml:space="preserve">"zakódovat-001"</t>
  </si>
  <si>
    <t xml:space="preserve">"zakódovat-002"</t>
  </si>
  <si>
    <t xml:space="preserve">"zakřiknout-001"</t>
  </si>
  <si>
    <t xml:space="preserve">"zakřiknout-002"</t>
  </si>
  <si>
    <t xml:space="preserve">"zakřivovat-001"</t>
  </si>
  <si>
    <t xml:space="preserve">"zakřičet-001"</t>
  </si>
  <si>
    <t xml:space="preserve">"zakřičet-si-001"</t>
  </si>
  <si>
    <t xml:space="preserve">"zalapat-001"</t>
  </si>
  <si>
    <t xml:space="preserve">"zalehnout-001"</t>
  </si>
  <si>
    <t xml:space="preserve">"zaleknout-se-001"</t>
  </si>
  <si>
    <t xml:space="preserve">"zalepit-001"</t>
  </si>
  <si>
    <t xml:space="preserve">"zalepit-002"</t>
  </si>
  <si>
    <t xml:space="preserve">"zalepovat-001"</t>
  </si>
  <si>
    <t xml:space="preserve">"zalesňovat-001"</t>
  </si>
  <si>
    <t xml:space="preserve">"zalhat-001"</t>
  </si>
  <si>
    <t xml:space="preserve">"zalichotit-001"</t>
  </si>
  <si>
    <t xml:space="preserve">"zalidnit-001"</t>
  </si>
  <si>
    <t xml:space="preserve">Protagonist(ARG2/3), Area(ARG1/4)</t>
  </si>
  <si>
    <t xml:space="preserve">ACT-&gt;ARG2/3</t>
  </si>
  <si>
    <t xml:space="preserve">ACT-&gt;Protagonist(ARG2/3)</t>
  </si>
  <si>
    <t xml:space="preserve">PAT-&gt;Area(ARG1/4)</t>
  </si>
  <si>
    <t xml:space="preserve">"zalistovat-001"</t>
  </si>
  <si>
    <t xml:space="preserve">LOC-&gt;Focused</t>
  </si>
  <si>
    <t xml:space="preserve">LOC-&gt;Focused()</t>
  </si>
  <si>
    <t xml:space="preserve">"zalitovat-001"</t>
  </si>
  <si>
    <t xml:space="preserve">"založit-001"</t>
  </si>
  <si>
    <t xml:space="preserve">"založit-002"</t>
  </si>
  <si>
    <t xml:space="preserve">"založit-003"</t>
  </si>
  <si>
    <t xml:space="preserve">"založit-004"</t>
  </si>
  <si>
    <t xml:space="preserve">"založit-005"</t>
  </si>
  <si>
    <t xml:space="preserve">"zalykat-se-001"</t>
  </si>
  <si>
    <t xml:space="preserve">"zalyžovat-si-001"</t>
  </si>
  <si>
    <t xml:space="preserve">"zalévat-001"</t>
  </si>
  <si>
    <t xml:space="preserve">"zalézat-001"</t>
  </si>
  <si>
    <t xml:space="preserve">"zalézt-001"</t>
  </si>
  <si>
    <t xml:space="preserve">"zalíbit-se-001"</t>
  </si>
  <si>
    <t xml:space="preserve">"zalít-001"</t>
  </si>
  <si>
    <t xml:space="preserve">"zalít-002"</t>
  </si>
  <si>
    <t xml:space="preserve">"zalít-003"</t>
  </si>
  <si>
    <t xml:space="preserve">"zalít-se-001"</t>
  </si>
  <si>
    <t xml:space="preserve">"zalívat-001"</t>
  </si>
  <si>
    <t xml:space="preserve">"zamanout-si-001"</t>
  </si>
  <si>
    <t xml:space="preserve">"zamaskovat-001"</t>
  </si>
  <si>
    <t xml:space="preserve">"zamerikanizovat-001"</t>
  </si>
  <si>
    <t xml:space="preserve">"zametat-001"</t>
  </si>
  <si>
    <t xml:space="preserve">"zamezit-001"</t>
  </si>
  <si>
    <t xml:space="preserve">PAT: v+6; 4; .f; ↓aby</t>
  </si>
  <si>
    <t xml:space="preserve">"zamezit-002"</t>
  </si>
  <si>
    <t xml:space="preserve">"zamezovat-001"</t>
  </si>
  <si>
    <t xml:space="preserve">"zamezovat-002"</t>
  </si>
  <si>
    <t xml:space="preserve">PAT: 4; 3; ↓aby</t>
  </si>
  <si>
    <t xml:space="preserve">"zameškat-001"</t>
  </si>
  <si>
    <t xml:space="preserve">"zamhouřit-001"</t>
  </si>
  <si>
    <t xml:space="preserve">"zamilovat-se-001"</t>
  </si>
  <si>
    <t xml:space="preserve">"zamilovat-si-001"</t>
  </si>
  <si>
    <t xml:space="preserve">"zamilovávat-se-001"</t>
  </si>
  <si>
    <t xml:space="preserve">"zamknout-001"</t>
  </si>
  <si>
    <t xml:space="preserve">"zamknout-002"</t>
  </si>
  <si>
    <t xml:space="preserve">"zamlouvat-se-001"</t>
  </si>
  <si>
    <t xml:space="preserve">"zamluvit-001"</t>
  </si>
  <si>
    <t xml:space="preserve">"zamluvit-002"</t>
  </si>
  <si>
    <t xml:space="preserve">"zamlčet-001"</t>
  </si>
  <si>
    <t xml:space="preserve">"zamlčovat-001"</t>
  </si>
  <si>
    <t xml:space="preserve">"zamlžit-001"</t>
  </si>
  <si>
    <t xml:space="preserve">Communicator(ARG0/8), Hidden(ARG1/13), Audience_Addressee()</t>
  </si>
  <si>
    <t xml:space="preserve">ACT-&gt;Communicator(ARG0/8)</t>
  </si>
  <si>
    <t xml:space="preserve">PAT-&gt;Hidden(ARG1/13)</t>
  </si>
  <si>
    <t xml:space="preserve">"zamlžovat-001"</t>
  </si>
  <si>
    <t xml:space="preserve">"zamnout-si-001"</t>
  </si>
  <si>
    <t xml:space="preserve">"zamotat-001"</t>
  </si>
  <si>
    <t xml:space="preserve">"zamotat-002"</t>
  </si>
  <si>
    <t xml:space="preserve">"zamotat-se-001"</t>
  </si>
  <si>
    <t xml:space="preserve">"zamotat-se-002"</t>
  </si>
  <si>
    <t xml:space="preserve">"zamotat-se-003"</t>
  </si>
  <si>
    <t xml:space="preserve">"zamotat-se-004"</t>
  </si>
  <si>
    <t xml:space="preserve">"zamotávat-001"</t>
  </si>
  <si>
    <t xml:space="preserve">"zamořit-001"</t>
  </si>
  <si>
    <t xml:space="preserve">"zamražovat-001"</t>
  </si>
  <si>
    <t xml:space="preserve">"zamručet-001"</t>
  </si>
  <si>
    <t xml:space="preserve">PAT: 4; ↓že; ↓ať; .s; ↓c</t>
  </si>
  <si>
    <t xml:space="preserve">"zamručet-002"</t>
  </si>
  <si>
    <t xml:space="preserve">"zamrzet-001"</t>
  </si>
  <si>
    <t xml:space="preserve">"zamrznout-001"</t>
  </si>
  <si>
    <t xml:space="preserve">"zamykat-001"</t>
  </si>
  <si>
    <t xml:space="preserve">"zamyslet-se-001"</t>
  </si>
  <si>
    <t xml:space="preserve">PAT: nad+7; ↓jestli; ↓zda; ↓c</t>
  </si>
  <si>
    <t xml:space="preserve">"zamyslit-se-001"</t>
  </si>
  <si>
    <t xml:space="preserve">"zamávat-001"</t>
  </si>
  <si>
    <t xml:space="preserve">"zamávat-002"</t>
  </si>
  <si>
    <t xml:space="preserve">"zamáčknout-001"</t>
  </si>
  <si>
    <t xml:space="preserve">"zamáčknout-002"</t>
  </si>
  <si>
    <t xml:space="preserve">"zamést-001"</t>
  </si>
  <si>
    <t xml:space="preserve">"zamést-002"</t>
  </si>
  <si>
    <t xml:space="preserve">"zamést-003"</t>
  </si>
  <si>
    <t xml:space="preserve">"zamést-004"</t>
  </si>
  <si>
    <t xml:space="preserve">DPHR: práh:S4[vlastní-1:#]; před-1[prah.S7[vlastni-1:#]]</t>
  </si>
  <si>
    <t xml:space="preserve">"zamíchat-001"</t>
  </si>
  <si>
    <t xml:space="preserve">PAT: 7; s+7; 4</t>
  </si>
  <si>
    <t xml:space="preserve">"zamítat-001"</t>
  </si>
  <si>
    <t xml:space="preserve">"zamítnout-001"</t>
  </si>
  <si>
    <t xml:space="preserve">"zamířit-001"</t>
  </si>
  <si>
    <t xml:space="preserve">"zamířit-002"</t>
  </si>
  <si>
    <t xml:space="preserve">"zamířit-003"</t>
  </si>
  <si>
    <t xml:space="preserve">"zamýšlet-001"</t>
  </si>
  <si>
    <t xml:space="preserve">"zamýšlet-002"</t>
  </si>
  <si>
    <t xml:space="preserve">"zamýšlet-se-001"</t>
  </si>
  <si>
    <t xml:space="preserve">"zaměnit-001"</t>
  </si>
  <si>
    <t xml:space="preserve">"zaměstnat-001"</t>
  </si>
  <si>
    <t xml:space="preserve">EFF-&gt;ARG1/4,ARG2/7</t>
  </si>
  <si>
    <t xml:space="preserve">EFF-&gt;Function(ARG1/4,ARG2/7)</t>
  </si>
  <si>
    <t xml:space="preserve">"zaměstnat-002"</t>
  </si>
  <si>
    <t xml:space="preserve">"zaměstnávat-001"</t>
  </si>
  <si>
    <t xml:space="preserve">"zaměstnávat-002"</t>
  </si>
  <si>
    <t xml:space="preserve">"zaměstnávat-se-001"</t>
  </si>
  <si>
    <t xml:space="preserve">"zaměňovat-001"</t>
  </si>
  <si>
    <t xml:space="preserve">"zaměřit-001"</t>
  </si>
  <si>
    <t xml:space="preserve">ALT-DIR3: *</t>
  </si>
  <si>
    <t xml:space="preserve">"zaměřit-002"</t>
  </si>
  <si>
    <t xml:space="preserve">Seeker(ARG0/26), Target(ARG1/35,ARG2/1)</t>
  </si>
  <si>
    <t xml:space="preserve">ACT-&gt;Seeker(ARG0/26)</t>
  </si>
  <si>
    <t xml:space="preserve">PAT-&gt;ARG1/35,ARG2/1</t>
  </si>
  <si>
    <t xml:space="preserve">PAT-&gt;Target(ARG1/35,ARG2/1)</t>
  </si>
  <si>
    <t xml:space="preserve">"zaměřit-se-001"</t>
  </si>
  <si>
    <t xml:space="preserve">ACT-&gt;ARG0/154,ARG1/97,ARG2/13</t>
  </si>
  <si>
    <t xml:space="preserve">PAT-&gt;ARG1/146,ARG2/100</t>
  </si>
  <si>
    <t xml:space="preserve">"zaměřit-se-002"</t>
  </si>
  <si>
    <t xml:space="preserve">"zaměřovat-001"</t>
  </si>
  <si>
    <t xml:space="preserve">"zaměřovat-002"</t>
  </si>
  <si>
    <t xml:space="preserve">"zaměřovat-003"</t>
  </si>
  <si>
    <t xml:space="preserve">"zaměřovat-se-001"</t>
  </si>
  <si>
    <t xml:space="preserve">"zanalyzovat-001"</t>
  </si>
  <si>
    <t xml:space="preserve">"zanechat-001"</t>
  </si>
  <si>
    <t xml:space="preserve">"zanechat-002"</t>
  </si>
  <si>
    <t xml:space="preserve">"zanechat-003"</t>
  </si>
  <si>
    <t xml:space="preserve">"zanechat-004"</t>
  </si>
  <si>
    <t xml:space="preserve">"zanechat-005"</t>
  </si>
  <si>
    <t xml:space="preserve">"zanechat-006"</t>
  </si>
  <si>
    <t xml:space="preserve">DPHR: napospas</t>
  </si>
  <si>
    <t xml:space="preserve">"zanechávat-001"</t>
  </si>
  <si>
    <t xml:space="preserve">"zanechávat-002"</t>
  </si>
  <si>
    <t xml:space="preserve">"zanedbat-001"</t>
  </si>
  <si>
    <t xml:space="preserve">"zanedbat-002"</t>
  </si>
  <si>
    <t xml:space="preserve">"zanedbávat-001"</t>
  </si>
  <si>
    <t xml:space="preserve">"zanedbávat-002"</t>
  </si>
  <si>
    <t xml:space="preserve">"zaneprázdnit-001"</t>
  </si>
  <si>
    <t xml:space="preserve">"zanevřít-001"</t>
  </si>
  <si>
    <t xml:space="preserve">"zanikat-001"</t>
  </si>
  <si>
    <t xml:space="preserve">"zanikat-002"</t>
  </si>
  <si>
    <t xml:space="preserve">CPHR: {nárok,povinnost,právo,...}.1</t>
  </si>
  <si>
    <t xml:space="preserve">"zaniknout-001"</t>
  </si>
  <si>
    <t xml:space="preserve">"zaniknout-002"</t>
  </si>
  <si>
    <t xml:space="preserve">"zaniknout-003"</t>
  </si>
  <si>
    <t xml:space="preserve">"zanotovat-001"</t>
  </si>
  <si>
    <t xml:space="preserve">"zanořovat-se-001"</t>
  </si>
  <si>
    <t xml:space="preserve">ACT-&gt;ARG0/71,ARG1/23</t>
  </si>
  <si>
    <t xml:space="preserve">DIR3-&gt;ARG1/78</t>
  </si>
  <si>
    <t xml:space="preserve">"zanášet-001"</t>
  </si>
  <si>
    <t xml:space="preserve">"zanést-001"</t>
  </si>
  <si>
    <t xml:space="preserve">"zanést-002"</t>
  </si>
  <si>
    <t xml:space="preserve">"zanést-003"</t>
  </si>
  <si>
    <t xml:space="preserve">PAT-&gt;ARG1/262,ARG2/3</t>
  </si>
  <si>
    <t xml:space="preserve">"zanést-004"</t>
  </si>
  <si>
    <t xml:space="preserve">"zanést-005"</t>
  </si>
  <si>
    <t xml:space="preserve">"zanést-006"</t>
  </si>
  <si>
    <t xml:space="preserve">"zaobalovat-001"</t>
  </si>
  <si>
    <t xml:space="preserve">"zaoblit-001"</t>
  </si>
  <si>
    <t xml:space="preserve">"zaobírat-se-001"</t>
  </si>
  <si>
    <t xml:space="preserve">"zaopatřovat-001"</t>
  </si>
  <si>
    <t xml:space="preserve">"zaostat-001"</t>
  </si>
  <si>
    <t xml:space="preserve">"zaostávat-001"</t>
  </si>
  <si>
    <t xml:space="preserve">"zaostřit-001"</t>
  </si>
  <si>
    <t xml:space="preserve">"zapadat-001"</t>
  </si>
  <si>
    <t xml:space="preserve">"zapadat-002"</t>
  </si>
  <si>
    <t xml:space="preserve">"zapadat-003"</t>
  </si>
  <si>
    <t xml:space="preserve">"zapadat-004"</t>
  </si>
  <si>
    <t xml:space="preserve">"zapadnout-001"</t>
  </si>
  <si>
    <t xml:space="preserve">"zapadnout-002"</t>
  </si>
  <si>
    <t xml:space="preserve">"zapadnout-003"</t>
  </si>
  <si>
    <t xml:space="preserve">"zapadnout-004"</t>
  </si>
  <si>
    <t xml:space="preserve">"zapalovat-001"</t>
  </si>
  <si>
    <t xml:space="preserve">"zapamatovat-si-001"</t>
  </si>
  <si>
    <t xml:space="preserve">"zapamatovat-si-002"</t>
  </si>
  <si>
    <t xml:space="preserve">"zapamatovávat-si-001"</t>
  </si>
  <si>
    <t xml:space="preserve">"zaparkovat-001"</t>
  </si>
  <si>
    <t xml:space="preserve">"zapečetit-001"</t>
  </si>
  <si>
    <t xml:space="preserve">"zapinkat-si-001"</t>
  </si>
  <si>
    <t xml:space="preserve">"zapisovat-001"</t>
  </si>
  <si>
    <t xml:space="preserve">LOC-&gt;ARG1/1,ARG2/27</t>
  </si>
  <si>
    <t xml:space="preserve">LOC-&gt;Place(ARG1/1,ARG2/27)</t>
  </si>
  <si>
    <t xml:space="preserve">"zapisovat-002"</t>
  </si>
  <si>
    <t xml:space="preserve">ACT-&gt;ARG0/174</t>
  </si>
  <si>
    <t xml:space="preserve">PAT-&gt;ARG1/201,ARG2/9,ARG3/2</t>
  </si>
  <si>
    <t xml:space="preserve">DIR3-&gt;ARG1/1,ARG2/32</t>
  </si>
  <si>
    <t xml:space="preserve">DIR3-&gt;Place(ARG1/1,ARG2/27)</t>
  </si>
  <si>
    <t xml:space="preserve">"zapisovat-003"</t>
  </si>
  <si>
    <t xml:space="preserve">"zaplatit-001"</t>
  </si>
  <si>
    <t xml:space="preserve">"zaplatit-002"</t>
  </si>
  <si>
    <t xml:space="preserve">"zaplatit-003"</t>
  </si>
  <si>
    <t xml:space="preserve">"zaplatit-004"</t>
  </si>
  <si>
    <t xml:space="preserve">DPHR: Pán.S1[Bůh]; pánbůh.S1</t>
  </si>
  <si>
    <t xml:space="preserve">?ACT: ↓že</t>
  </si>
  <si>
    <t xml:space="preserve">"zaplatit-005"</t>
  </si>
  <si>
    <t xml:space="preserve">"zaplatit-se-001"</t>
  </si>
  <si>
    <t xml:space="preserve">"zaplavat-001"</t>
  </si>
  <si>
    <t xml:space="preserve">"zaplavat-si-001"</t>
  </si>
  <si>
    <t xml:space="preserve">"zaplavit-001"</t>
  </si>
  <si>
    <t xml:space="preserve">ACT-&gt;ARG0/12,ARG1/1,ARG2/6</t>
  </si>
  <si>
    <t xml:space="preserve">PAT-&gt;ARG1/31,ARG2/1</t>
  </si>
  <si>
    <t xml:space="preserve">EFF-&gt;ARG2/9</t>
  </si>
  <si>
    <t xml:space="preserve">EFF-&gt;Supplies(ARG2/9)</t>
  </si>
  <si>
    <t xml:space="preserve">"zaplavit-002"</t>
  </si>
  <si>
    <t xml:space="preserve">ACT-&gt;ARG0/22,ARG1/3,ARG2/13</t>
  </si>
  <si>
    <t xml:space="preserve">PAT-&gt;ARG1/64,ARG2/5</t>
  </si>
  <si>
    <t xml:space="preserve">"zaplavit-003"</t>
  </si>
  <si>
    <t xml:space="preserve">"zaplavovat-001"</t>
  </si>
  <si>
    <t xml:space="preserve">"zaplavčíkovat-si-001"</t>
  </si>
  <si>
    <t xml:space="preserve">"zaplašit-001"</t>
  </si>
  <si>
    <t xml:space="preserve">"zaplnit-001"</t>
  </si>
  <si>
    <t xml:space="preserve">"zaplnit-se-001"</t>
  </si>
  <si>
    <t xml:space="preserve">"zaplombovat-001"</t>
  </si>
  <si>
    <t xml:space="preserve">"zaplynovat-001"</t>
  </si>
  <si>
    <t xml:space="preserve">"zaplácat-001"</t>
  </si>
  <si>
    <t xml:space="preserve">"zaplést-001"</t>
  </si>
  <si>
    <t xml:space="preserve">"zaplést-002"</t>
  </si>
  <si>
    <t xml:space="preserve">"zaplést-se-001"</t>
  </si>
  <si>
    <t xml:space="preserve">"zaplést-se-002"</t>
  </si>
  <si>
    <t xml:space="preserve">"zaplést-se-003"</t>
  </si>
  <si>
    <t xml:space="preserve">"zaplétat-001"</t>
  </si>
  <si>
    <t xml:space="preserve">"zaplétat-002"</t>
  </si>
  <si>
    <t xml:space="preserve">"zaplňovat-001"</t>
  </si>
  <si>
    <t xml:space="preserve">"zaplňovat-se-001"</t>
  </si>
  <si>
    <t xml:space="preserve">Filled(ARG0/1), Filling()</t>
  </si>
  <si>
    <t xml:space="preserve">ACT-&gt;Filled</t>
  </si>
  <si>
    <t xml:space="preserve">ACT-&gt;Filled(ARG0/1)</t>
  </si>
  <si>
    <t xml:space="preserve">PAT-&gt;Filling</t>
  </si>
  <si>
    <t xml:space="preserve">PAT-&gt;Filling()</t>
  </si>
  <si>
    <t xml:space="preserve">"zapnout-001"</t>
  </si>
  <si>
    <t xml:space="preserve">"zapnout-002"</t>
  </si>
  <si>
    <t xml:space="preserve">"zapnout-003"</t>
  </si>
  <si>
    <t xml:space="preserve">"zapnout-se-001"</t>
  </si>
  <si>
    <t xml:space="preserve">ACT-&gt;ARG0/9,ARG1/15</t>
  </si>
  <si>
    <t xml:space="preserve">ACT-&gt;Activated; ACT-&gt;Activating</t>
  </si>
  <si>
    <t xml:space="preserve">ACT-&gt;Activated(ARG1/15); ACT-&gt;Activating(ARG0/9)</t>
  </si>
  <si>
    <t xml:space="preserve">"zapochybovat-001"</t>
  </si>
  <si>
    <t xml:space="preserve">"zapojit-001"</t>
  </si>
  <si>
    <t xml:space="preserve">PAT: do+2; v+6</t>
  </si>
  <si>
    <t xml:space="preserve">PAT-&gt;ARG0/6,ARG1/6,ARG2/492</t>
  </si>
  <si>
    <t xml:space="preserve">PAT-&gt;Member_old</t>
  </si>
  <si>
    <t xml:space="preserve">PAT-&gt;Member_old(ARG0/6,ARG1/6,ARG2/492)</t>
  </si>
  <si>
    <t xml:space="preserve">ADDR-&gt;ARG1/1094,ARG2/2</t>
  </si>
  <si>
    <t xml:space="preserve">ADDR-&gt;Member_new</t>
  </si>
  <si>
    <t xml:space="preserve">ADDR-&gt;Member_new(ARG1/1094,ARG2/2)</t>
  </si>
  <si>
    <t xml:space="preserve">"zapojit-002"</t>
  </si>
  <si>
    <t xml:space="preserve">"zapojit-003"</t>
  </si>
  <si>
    <t xml:space="preserve">"zapojit-se-001"</t>
  </si>
  <si>
    <t xml:space="preserve">"zapojit-se-002"</t>
  </si>
  <si>
    <t xml:space="preserve">"zapojovat-001"</t>
  </si>
  <si>
    <t xml:space="preserve">LOC-&gt;ARG1/14,ARG2/3</t>
  </si>
  <si>
    <t xml:space="preserve">LOC-&gt;Source</t>
  </si>
  <si>
    <t xml:space="preserve">LOC-&gt;Source(ARG1/14,ARG2/3)</t>
  </si>
  <si>
    <t xml:space="preserve">"zapojovat-002"</t>
  </si>
  <si>
    <t xml:space="preserve">"zapojovat-se-001"</t>
  </si>
  <si>
    <t xml:space="preserve">"zapojovat-se-002"</t>
  </si>
  <si>
    <t xml:space="preserve">"zapomenout-001"</t>
  </si>
  <si>
    <t xml:space="preserve">PAT: 4; na+4; ↓že; ↓zda; ↓c; .f; ↓jak-2</t>
  </si>
  <si>
    <t xml:space="preserve">Cognizer(ARG0/16), Phenomenon(ARG1/28)</t>
  </si>
  <si>
    <t xml:space="preserve">ACT-&gt;Cognizer(ARG0/16)</t>
  </si>
  <si>
    <t xml:space="preserve">PAT-&gt;Phenomenon(ARG1/28)</t>
  </si>
  <si>
    <t xml:space="preserve">"zapomenout-002"</t>
  </si>
  <si>
    <t xml:space="preserve">"zapomínat-001"</t>
  </si>
  <si>
    <t xml:space="preserve">PAT: na+4; ↓že; ↓zda; ↓jestli; ↓c; .f; 4</t>
  </si>
  <si>
    <t xml:space="preserve">"zapotit-se-001"</t>
  </si>
  <si>
    <t xml:space="preserve">"zapotácet-se-001"</t>
  </si>
  <si>
    <t xml:space="preserve">"zapovídat-001"</t>
  </si>
  <si>
    <t xml:space="preserve">"započíst-001"</t>
  </si>
  <si>
    <t xml:space="preserve">Agent(ARG0/85,ARG1/1), Component(ARG1/161), Whole()</t>
  </si>
  <si>
    <t xml:space="preserve">ACT-&gt;ARG0/85,ARG1/1</t>
  </si>
  <si>
    <t xml:space="preserve">ACT-&gt;Agent(ARG0/85,ARG1/1)</t>
  </si>
  <si>
    <t xml:space="preserve">PAT-&gt;ARG1/161</t>
  </si>
  <si>
    <t xml:space="preserve">PAT-&gt;Component(ARG1/161)</t>
  </si>
  <si>
    <t xml:space="preserve">"započíst-002"</t>
  </si>
  <si>
    <t xml:space="preserve">"--započíst-003"</t>
  </si>
  <si>
    <t xml:space="preserve">EFF: NOT PARSED:.4[{jako,jakožto}/AuxY]</t>
  </si>
  <si>
    <t xml:space="preserve">"započít-001"</t>
  </si>
  <si>
    <t xml:space="preserve">PAT: 4; s+7; .f</t>
  </si>
  <si>
    <t xml:space="preserve">"započít-002"</t>
  </si>
  <si>
    <t xml:space="preserve">"započítat-001"</t>
  </si>
  <si>
    <t xml:space="preserve">"započítat-002"</t>
  </si>
  <si>
    <t xml:space="preserve">"--započítat-003"</t>
  </si>
  <si>
    <t xml:space="preserve">"započítávat-001"</t>
  </si>
  <si>
    <t xml:space="preserve">"započítávat-002"</t>
  </si>
  <si>
    <t xml:space="preserve">"zapracovat-001"</t>
  </si>
  <si>
    <t xml:space="preserve">"zapracovat-002"</t>
  </si>
  <si>
    <t xml:space="preserve">"zapracovat-003"</t>
  </si>
  <si>
    <t xml:space="preserve">"zapracovat-se-001"</t>
  </si>
  <si>
    <t xml:space="preserve">"zapracovávat-001"</t>
  </si>
  <si>
    <t xml:space="preserve">"zapracovávat-002"</t>
  </si>
  <si>
    <t xml:space="preserve">?PAT: v+6; do+2</t>
  </si>
  <si>
    <t xml:space="preserve">"zapracovávat-se-001"</t>
  </si>
  <si>
    <t xml:space="preserve">"zapraskat-001"</t>
  </si>
  <si>
    <t xml:space="preserve">"zapraskat-002"</t>
  </si>
  <si>
    <t xml:space="preserve">"zaprašovat-001"</t>
  </si>
  <si>
    <t xml:space="preserve">"zaprodat-001"</t>
  </si>
  <si>
    <t xml:space="preserve">"zaprodávat-001"</t>
  </si>
  <si>
    <t xml:space="preserve">"zaprodávat-se-001"</t>
  </si>
  <si>
    <t xml:space="preserve">"zaprotokolovat-001"</t>
  </si>
  <si>
    <t xml:space="preserve">"zaprášit-se-001"</t>
  </si>
  <si>
    <t xml:space="preserve">"zapršet-001"</t>
  </si>
  <si>
    <t xml:space="preserve">"zapsat-001"</t>
  </si>
  <si>
    <t xml:space="preserve">"zapsat-002"</t>
  </si>
  <si>
    <t xml:space="preserve">"zapsat-003"</t>
  </si>
  <si>
    <t xml:space="preserve">"zapsat-004"</t>
  </si>
  <si>
    <t xml:space="preserve">"zapsat-se-001"</t>
  </si>
  <si>
    <t xml:space="preserve">"zapsat-se-002"</t>
  </si>
  <si>
    <t xml:space="preserve">DIR3-&gt;ARG0/182,ARG1/101,ARG3/6</t>
  </si>
  <si>
    <t xml:space="preserve">DIR3-&gt;Member_new</t>
  </si>
  <si>
    <t xml:space="preserve">DIR3-&gt;Member_new(ARG0/182,ARG1/101,ARG3/6)</t>
  </si>
  <si>
    <t xml:space="preserve">"zapudit-001"</t>
  </si>
  <si>
    <t xml:space="preserve">"zapustit-001"</t>
  </si>
  <si>
    <t xml:space="preserve">"zapustit-002"</t>
  </si>
  <si>
    <t xml:space="preserve">"zapáchat-001"</t>
  </si>
  <si>
    <t xml:space="preserve">"zapálit-001"</t>
  </si>
  <si>
    <t xml:space="preserve">"zapéci-001"</t>
  </si>
  <si>
    <t xml:space="preserve">"zapíchnout-001"</t>
  </si>
  <si>
    <t xml:space="preserve">"zapíchnout-002"</t>
  </si>
  <si>
    <t xml:space="preserve">"zapíchnout-003"</t>
  </si>
  <si>
    <t xml:space="preserve">"zapíchávat-001"</t>
  </si>
  <si>
    <t xml:space="preserve">"zapíjet-001"</t>
  </si>
  <si>
    <t xml:space="preserve">"zapínat-001"</t>
  </si>
  <si>
    <t xml:space="preserve">ACT: </t>
  </si>
  <si>
    <t xml:space="preserve">"zapínat-002"</t>
  </si>
  <si>
    <t xml:space="preserve">"zapírat-001"</t>
  </si>
  <si>
    <t xml:space="preserve">"zapít-001"</t>
  </si>
  <si>
    <t xml:space="preserve">"zapět-001"</t>
  </si>
  <si>
    <t xml:space="preserve">"zapět-002"</t>
  </si>
  <si>
    <t xml:space="preserve">"zapět-003"</t>
  </si>
  <si>
    <t xml:space="preserve">"zapřáhnout-001"</t>
  </si>
  <si>
    <t xml:space="preserve">"zapřáhnout-002"</t>
  </si>
  <si>
    <t xml:space="preserve">"zapříst-001"</t>
  </si>
  <si>
    <t xml:space="preserve">"zapřít-001"</t>
  </si>
  <si>
    <t xml:space="preserve">"zapřít-se-001"</t>
  </si>
  <si>
    <t xml:space="preserve">"zapříčinit-001"</t>
  </si>
  <si>
    <t xml:space="preserve">"zapříčiňovat-001"</t>
  </si>
  <si>
    <t xml:space="preserve">"zapůjčit-001"</t>
  </si>
  <si>
    <t xml:space="preserve">"zapůjčit-si-001"</t>
  </si>
  <si>
    <t xml:space="preserve">"zapůsobit-001"</t>
  </si>
  <si>
    <t xml:space="preserve">Influencing(ARG0/7), Attitudal(ARG1/9)</t>
  </si>
  <si>
    <t xml:space="preserve">ACT-&gt;Influencing(ARG0/7)</t>
  </si>
  <si>
    <t xml:space="preserve">PAT-&gt;Attitudal(ARG1/9)</t>
  </si>
  <si>
    <t xml:space="preserve">"zaradovat-se-001"</t>
  </si>
  <si>
    <t xml:space="preserve">"zarazit-001"</t>
  </si>
  <si>
    <t xml:space="preserve">"zarazit-002"</t>
  </si>
  <si>
    <t xml:space="preserve">"zarazit-003"</t>
  </si>
  <si>
    <t xml:space="preserve">"zarazit-004"</t>
  </si>
  <si>
    <t xml:space="preserve">"zarazit-se-001"</t>
  </si>
  <si>
    <t xml:space="preserve">LOC-&gt;ARG0/2,ARG1/32,ARG2/141</t>
  </si>
  <si>
    <t xml:space="preserve">LOC-&gt;State(ARG1/17,ARG2/141)</t>
  </si>
  <si>
    <t xml:space="preserve">"zarazit-se-002"</t>
  </si>
  <si>
    <t xml:space="preserve">PAT: nad+7; ↓že</t>
  </si>
  <si>
    <t xml:space="preserve">"zarazit-se-003"</t>
  </si>
  <si>
    <t xml:space="preserve">"zareagovat-001"</t>
  </si>
  <si>
    <t xml:space="preserve">"zareagovat-002"</t>
  </si>
  <si>
    <t xml:space="preserve">EFF: .s; ↓že</t>
  </si>
  <si>
    <t xml:space="preserve">EFF-&gt;ARG1/1,ARG2/35</t>
  </si>
  <si>
    <t xml:space="preserve">EFF-&gt;Manner</t>
  </si>
  <si>
    <t xml:space="preserve">EFF-&gt;Manner(ARG1/1,ARG2/35)</t>
  </si>
  <si>
    <t xml:space="preserve">"zaregistrovat-001"</t>
  </si>
  <si>
    <t xml:space="preserve">"zaregistrovat-002"</t>
  </si>
  <si>
    <t xml:space="preserve">"zarezervovat-001"</t>
  </si>
  <si>
    <t xml:space="preserve">"zariskovat-001"</t>
  </si>
  <si>
    <t xml:space="preserve">"zarmoutit-001"</t>
  </si>
  <si>
    <t xml:space="preserve">"zaručit-001"</t>
  </si>
  <si>
    <t xml:space="preserve">"zaručit-se-001"</t>
  </si>
  <si>
    <t xml:space="preserve">PAT: za+4; ↓že; ↓že</t>
  </si>
  <si>
    <t xml:space="preserve">"zaručovat-001"</t>
  </si>
  <si>
    <t xml:space="preserve">"zarybařit-si-001"</t>
  </si>
  <si>
    <t xml:space="preserve">"zarychtovat-001"</t>
  </si>
  <si>
    <t xml:space="preserve">"zarámovat-001"</t>
  </si>
  <si>
    <t xml:space="preserve">"zarámovat-002"</t>
  </si>
  <si>
    <t xml:space="preserve">"zarážet-001"</t>
  </si>
  <si>
    <t xml:space="preserve">"zarážet-002"</t>
  </si>
  <si>
    <t xml:space="preserve">"zarážet-003"</t>
  </si>
  <si>
    <t xml:space="preserve">"zarýt-se-001"</t>
  </si>
  <si>
    <t xml:space="preserve">"zarývat-se-001"</t>
  </si>
  <si>
    <t xml:space="preserve">"zarýžovat-si-001"</t>
  </si>
  <si>
    <t xml:space="preserve">"zarůst-001"</t>
  </si>
  <si>
    <t xml:space="preserve">"zarůstat-001"</t>
  </si>
  <si>
    <t xml:space="preserve">"zarůstat-002"</t>
  </si>
  <si>
    <t xml:space="preserve">"zasadit-001"</t>
  </si>
  <si>
    <t xml:space="preserve">"zasadit-002"</t>
  </si>
  <si>
    <t xml:space="preserve">"zasadit-003"</t>
  </si>
  <si>
    <t xml:space="preserve">"zasadit-004"</t>
  </si>
  <si>
    <t xml:space="preserve">"zasadit-005"</t>
  </si>
  <si>
    <t xml:space="preserve">"zasadit-se-001"</t>
  </si>
  <si>
    <t xml:space="preserve">PAT: o+4; za+4</t>
  </si>
  <si>
    <t xml:space="preserve">"zasahovat-001"</t>
  </si>
  <si>
    <t xml:space="preserve">"zasahovat-002"</t>
  </si>
  <si>
    <t xml:space="preserve">"zasahovat-003"</t>
  </si>
  <si>
    <t xml:space="preserve">PAT: proti+3; vůči+3</t>
  </si>
  <si>
    <t xml:space="preserve">"zasahovat-004"</t>
  </si>
  <si>
    <t xml:space="preserve">"zasahovat-005"</t>
  </si>
  <si>
    <t xml:space="preserve">"zasalutovat-001"</t>
  </si>
  <si>
    <t xml:space="preserve">PAT-&gt;Party_benefited(ARG2/7)</t>
  </si>
  <si>
    <t xml:space="preserve">"zasazovat-001"</t>
  </si>
  <si>
    <t xml:space="preserve">"zasazovat-002"</t>
  </si>
  <si>
    <t xml:space="preserve">"--zasazovat-003"</t>
  </si>
  <si>
    <t xml:space="preserve">"zasazovat-se-001"</t>
  </si>
  <si>
    <t xml:space="preserve">"zaschnout-001"</t>
  </si>
  <si>
    <t xml:space="preserve">"zasebevraždit-se-001"</t>
  </si>
  <si>
    <t xml:space="preserve">"zasedat-001"</t>
  </si>
  <si>
    <t xml:space="preserve">"zasedat-002"</t>
  </si>
  <si>
    <t xml:space="preserve">"zasednout-001"</t>
  </si>
  <si>
    <t xml:space="preserve">"zasednout-002"</t>
  </si>
  <si>
    <t xml:space="preserve">"zasednout-003"</t>
  </si>
  <si>
    <t xml:space="preserve">"zaseknout-001"</t>
  </si>
  <si>
    <t xml:space="preserve">"zaseknout-002"</t>
  </si>
  <si>
    <t xml:space="preserve">"zaseknout-003"</t>
  </si>
  <si>
    <t xml:space="preserve">"zaseknout-004"</t>
  </si>
  <si>
    <t xml:space="preserve">"zaseknout-se-001"</t>
  </si>
  <si>
    <t xml:space="preserve">"zaskakovat-001"</t>
  </si>
  <si>
    <t xml:space="preserve">"zaskotačit-si-001"</t>
  </si>
  <si>
    <t xml:space="preserve">"zaskočit-001"</t>
  </si>
  <si>
    <t xml:space="preserve">"zaskočit-002"</t>
  </si>
  <si>
    <t xml:space="preserve">"zaskočit-003"</t>
  </si>
  <si>
    <t xml:space="preserve">"zaskočit-004"</t>
  </si>
  <si>
    <t xml:space="preserve">"zaslat-001"</t>
  </si>
  <si>
    <t xml:space="preserve">"zaslat-002"</t>
  </si>
  <si>
    <t xml:space="preserve">"zaslechnout-001"</t>
  </si>
  <si>
    <t xml:space="preserve">"zaslechnout-002"</t>
  </si>
  <si>
    <t xml:space="preserve">?EFF: .f; ↓jak-2; ↓že</t>
  </si>
  <si>
    <t xml:space="preserve">"zaslechnout-003"</t>
  </si>
  <si>
    <t xml:space="preserve">ACT: *</t>
  </si>
  <si>
    <t xml:space="preserve">"zaslepit-001"</t>
  </si>
  <si>
    <t xml:space="preserve">"zaslepit-002"</t>
  </si>
  <si>
    <t xml:space="preserve">"zaslepovat-001"</t>
  </si>
  <si>
    <t xml:space="preserve">"zasloužit-001"</t>
  </si>
  <si>
    <t xml:space="preserve">"zasloužit-se-001"</t>
  </si>
  <si>
    <t xml:space="preserve">"zasloužit-si-001"</t>
  </si>
  <si>
    <t xml:space="preserve">Deserving(ARG0/20), Deserved(ARG1/23), Source()</t>
  </si>
  <si>
    <t xml:space="preserve">ACT-&gt;Deserving</t>
  </si>
  <si>
    <t xml:space="preserve">ACT-&gt;Deserving(ARG0/20)</t>
  </si>
  <si>
    <t xml:space="preserve">PAT-&gt;Deserved</t>
  </si>
  <si>
    <t xml:space="preserve">PAT-&gt;Deserved(ARG1/23)</t>
  </si>
  <si>
    <t xml:space="preserve">"zasluhovat-001"</t>
  </si>
  <si>
    <t xml:space="preserve">"zasluhovat-se-001"</t>
  </si>
  <si>
    <t xml:space="preserve">"zasluhovat-si-001"</t>
  </si>
  <si>
    <t xml:space="preserve">"zasmečovat-si-001"</t>
  </si>
  <si>
    <t xml:space="preserve">"zasmrdět-001"</t>
  </si>
  <si>
    <t xml:space="preserve">"zasmát-se-001"</t>
  </si>
  <si>
    <t xml:space="preserve">"zasnoubit-se-001"</t>
  </si>
  <si>
    <t xml:space="preserve">"zaspat-001"</t>
  </si>
  <si>
    <t xml:space="preserve">"zaspat-002"</t>
  </si>
  <si>
    <t xml:space="preserve">"zaspat-003"</t>
  </si>
  <si>
    <t xml:space="preserve">"zasportovat-si-001"</t>
  </si>
  <si>
    <t xml:space="preserve">"zastarat-001"</t>
  </si>
  <si>
    <t xml:space="preserve">"zastarávat-001"</t>
  </si>
  <si>
    <t xml:space="preserve">"zastat-001"</t>
  </si>
  <si>
    <t xml:space="preserve">"zastat-se-001"</t>
  </si>
  <si>
    <t xml:space="preserve">"zastavit-001"</t>
  </si>
  <si>
    <t xml:space="preserve">"zastavit-002"</t>
  </si>
  <si>
    <t xml:space="preserve">"zastavit-003"</t>
  </si>
  <si>
    <t xml:space="preserve">"zastavit-004"</t>
  </si>
  <si>
    <t xml:space="preserve">Protagonist(ARG0/5,ARG1/14), Place(ARG1/1,ARG4/3)</t>
  </si>
  <si>
    <t xml:space="preserve">ACT-&gt;ARG0/5,ARG1/14</t>
  </si>
  <si>
    <t xml:space="preserve">ACT-&gt;Protagonist(ARG0/5,ARG1/14)</t>
  </si>
  <si>
    <t xml:space="preserve">"zastavit-005"</t>
  </si>
  <si>
    <t xml:space="preserve">"zastavit-006"</t>
  </si>
  <si>
    <t xml:space="preserve">"zastavit-se-001"</t>
  </si>
  <si>
    <t xml:space="preserve">ACT-&gt;ARG0/80,ARG1/96</t>
  </si>
  <si>
    <t xml:space="preserve">LOC-&gt;ARG1/82,ARG4/6</t>
  </si>
  <si>
    <t xml:space="preserve">LOC-&gt;Visited</t>
  </si>
  <si>
    <t xml:space="preserve">LOC-&gt;Visited(ARG1/81,ARG4/3)</t>
  </si>
  <si>
    <t xml:space="preserve">LOC-&gt;Place(ARG1/1,ARG4/3)</t>
  </si>
  <si>
    <t xml:space="preserve">"zastavit-se-002"</t>
  </si>
  <si>
    <t xml:space="preserve">ACT-&gt;ARG0/20,ARG1/185,ARG2/1</t>
  </si>
  <si>
    <t xml:space="preserve">"zastavit-se-003"</t>
  </si>
  <si>
    <t xml:space="preserve">ACT-&gt;ARG0/39,ARG1/302,ARG2/1</t>
  </si>
  <si>
    <t xml:space="preserve">"zastavit-se-004"</t>
  </si>
  <si>
    <t xml:space="preserve">"zastavovat-001"</t>
  </si>
  <si>
    <t xml:space="preserve">"zastavovat-002"</t>
  </si>
  <si>
    <t xml:space="preserve">"zastavovat-003"</t>
  </si>
  <si>
    <t xml:space="preserve">"zastavovat-004"</t>
  </si>
  <si>
    <t xml:space="preserve">"zastavovat-se-001"</t>
  </si>
  <si>
    <t xml:space="preserve">"zastavět-001"</t>
  </si>
  <si>
    <t xml:space="preserve">"zastihnout-001"</t>
  </si>
  <si>
    <t xml:space="preserve">"zastihnout-002"</t>
  </si>
  <si>
    <t xml:space="preserve">?EFF: .a4</t>
  </si>
  <si>
    <t xml:space="preserve">"zastiňovat-001"</t>
  </si>
  <si>
    <t xml:space="preserve">"zastiňovat-002"</t>
  </si>
  <si>
    <t xml:space="preserve">"zastiňovat-003"</t>
  </si>
  <si>
    <t xml:space="preserve">Item_profiled(ARG0/16), Item_standard(ARG1/17)</t>
  </si>
  <si>
    <t xml:space="preserve">ACT-&gt;Item_profiled</t>
  </si>
  <si>
    <t xml:space="preserve">ACT-&gt;Item_profiled(ARG0/16)</t>
  </si>
  <si>
    <t xml:space="preserve">PAT-&gt;Item_standard(ARG1/17)</t>
  </si>
  <si>
    <t xml:space="preserve">"zastoupit-001"</t>
  </si>
  <si>
    <t xml:space="preserve">"zastoupit-002"</t>
  </si>
  <si>
    <t xml:space="preserve">"zastrašit-001"</t>
  </si>
  <si>
    <t xml:space="preserve">"zastrašovat-001"</t>
  </si>
  <si>
    <t xml:space="preserve">"zastrkovat-001"</t>
  </si>
  <si>
    <t xml:space="preserve">DPHR: růžek.P4</t>
  </si>
  <si>
    <t xml:space="preserve">"zastrkávat-001"</t>
  </si>
  <si>
    <t xml:space="preserve">"zastrčit-001"</t>
  </si>
  <si>
    <t xml:space="preserve">"zastupovat-001"</t>
  </si>
  <si>
    <t xml:space="preserve">"zastydět-se-001"</t>
  </si>
  <si>
    <t xml:space="preserve">?PAT: za+4; .f; ↓c</t>
  </si>
  <si>
    <t xml:space="preserve">"zastávat-001"</t>
  </si>
  <si>
    <t xml:space="preserve">"zastávat-002"</t>
  </si>
  <si>
    <t xml:space="preserve">Representing(ARG0/2), Attribute(ARG1/3)</t>
  </si>
  <si>
    <t xml:space="preserve">ACT-&gt;Representing(ARG0/2)</t>
  </si>
  <si>
    <t xml:space="preserve">"zastávat-003"</t>
  </si>
  <si>
    <t xml:space="preserve">ACT-&gt;ARG0/614,ARG1/52</t>
  </si>
  <si>
    <t xml:space="preserve">CPHR: {linie,myšlenka,názor,pohled,postoj,přístup,stanovisko,...}.4</t>
  </si>
  <si>
    <t xml:space="preserve">CPHR-&gt;ARG1/158,ARG2/4</t>
  </si>
  <si>
    <t xml:space="preserve">CPHR-&gt;Opinion</t>
  </si>
  <si>
    <t xml:space="preserve">CPHR-&gt;Opinion(ARG1/59)</t>
  </si>
  <si>
    <t xml:space="preserve">"zastávat-se-001"</t>
  </si>
  <si>
    <t xml:space="preserve">"zastínit-001"</t>
  </si>
  <si>
    <t xml:space="preserve">"zastírat-001"</t>
  </si>
  <si>
    <t xml:space="preserve">"zastírat-002"</t>
  </si>
  <si>
    <t xml:space="preserve">"zastřelit-001"</t>
  </si>
  <si>
    <t xml:space="preserve">"zastřešit-001"</t>
  </si>
  <si>
    <t xml:space="preserve">"zastřešit-002"</t>
  </si>
  <si>
    <t xml:space="preserve">"zastřešit-003"</t>
  </si>
  <si>
    <t xml:space="preserve">"zastřešovat-001"</t>
  </si>
  <si>
    <t xml:space="preserve">"zastřešovat-002"</t>
  </si>
  <si>
    <t xml:space="preserve">"zastřihávat-001"</t>
  </si>
  <si>
    <t xml:space="preserve">"zastříkat-001"</t>
  </si>
  <si>
    <t xml:space="preserve">"zastřít-001"</t>
  </si>
  <si>
    <t xml:space="preserve">"zastřít-002"</t>
  </si>
  <si>
    <t xml:space="preserve">"zastřít-003"</t>
  </si>
  <si>
    <t xml:space="preserve">"zasunout-001"</t>
  </si>
  <si>
    <t xml:space="preserve">"zasvítit-001"</t>
  </si>
  <si>
    <t xml:space="preserve">"zasvítit-002"</t>
  </si>
  <si>
    <t xml:space="preserve">"zasvěcovat-001"</t>
  </si>
  <si>
    <t xml:space="preserve">"zasvěcovat-002"</t>
  </si>
  <si>
    <t xml:space="preserve">"zasvětit-001"</t>
  </si>
  <si>
    <t xml:space="preserve">"zasvětit-002"</t>
  </si>
  <si>
    <t xml:space="preserve">"zasvětit-003"</t>
  </si>
  <si>
    <t xml:space="preserve">"zasypat-001"</t>
  </si>
  <si>
    <t xml:space="preserve">"zasypat-002"</t>
  </si>
  <si>
    <t xml:space="preserve">"zasypat-003"</t>
  </si>
  <si>
    <t xml:space="preserve">"zasypávat-001"</t>
  </si>
  <si>
    <t xml:space="preserve">PAT-&gt;ARG2/9</t>
  </si>
  <si>
    <t xml:space="preserve">PAT-&gt;Supplies</t>
  </si>
  <si>
    <t xml:space="preserve">PAT-&gt;Supplies(ARG2/9)</t>
  </si>
  <si>
    <t xml:space="preserve">ADDR-&gt;ARG1/31,ARG2/1</t>
  </si>
  <si>
    <t xml:space="preserve">ADDR-&gt;Recipient(ARG1/31,ARG2/1)</t>
  </si>
  <si>
    <t xml:space="preserve">"zasyčet-001"</t>
  </si>
  <si>
    <t xml:space="preserve">"zasyčet-002"</t>
  </si>
  <si>
    <t xml:space="preserve">"zasáhnout-001"</t>
  </si>
  <si>
    <t xml:space="preserve">"zasáhnout-002"</t>
  </si>
  <si>
    <t xml:space="preserve">"zasáhnout-003"</t>
  </si>
  <si>
    <t xml:space="preserve">"zasáhnout-004"</t>
  </si>
  <si>
    <t xml:space="preserve">"zasáhnout-005"</t>
  </si>
  <si>
    <t xml:space="preserve">"zasílat-001"</t>
  </si>
  <si>
    <t xml:space="preserve">"zasílat-002"</t>
  </si>
  <si>
    <t xml:space="preserve">"zasít-001"</t>
  </si>
  <si>
    <t xml:space="preserve">"zatahat-001"</t>
  </si>
  <si>
    <t xml:space="preserve">DPHR: kočka.S4,za-1[ocas.S1]</t>
  </si>
  <si>
    <t xml:space="preserve">"zatahovat-001"</t>
  </si>
  <si>
    <t xml:space="preserve">"zatahovat-002"</t>
  </si>
  <si>
    <t xml:space="preserve">"zatajit-001"</t>
  </si>
  <si>
    <t xml:space="preserve">"zatajit-002"</t>
  </si>
  <si>
    <t xml:space="preserve">"zatajit-003"</t>
  </si>
  <si>
    <t xml:space="preserve">"zatajit-se-001"</t>
  </si>
  <si>
    <t xml:space="preserve">DPHR: dech.S1</t>
  </si>
  <si>
    <t xml:space="preserve">"zatajovat-001"</t>
  </si>
  <si>
    <t xml:space="preserve">"zatajovat-002"</t>
  </si>
  <si>
    <t xml:space="preserve">"zatancovat-001"</t>
  </si>
  <si>
    <t xml:space="preserve">"zatancovat-si-001"</t>
  </si>
  <si>
    <t xml:space="preserve">"zatancovat-si-002"</t>
  </si>
  <si>
    <t xml:space="preserve">"zatančit-001"</t>
  </si>
  <si>
    <t xml:space="preserve">"zatančit-si-001"</t>
  </si>
  <si>
    <t xml:space="preserve">"zatarasit-001"</t>
  </si>
  <si>
    <t xml:space="preserve">"zatavit-001"</t>
  </si>
  <si>
    <t xml:space="preserve">"zatelefonovat-001"</t>
  </si>
  <si>
    <t xml:space="preserve">"zatelefonovat-002"</t>
  </si>
  <si>
    <t xml:space="preserve">"zatelefonovat-003"</t>
  </si>
  <si>
    <t xml:space="preserve">"zatelefonovat-004"</t>
  </si>
  <si>
    <t xml:space="preserve">"zatelefonovat-si-001"</t>
  </si>
  <si>
    <t xml:space="preserve">"zatelefonovat-si-002"</t>
  </si>
  <si>
    <t xml:space="preserve">"--zatelefonovat-si-003"</t>
  </si>
  <si>
    <t xml:space="preserve">"zatemnit-001"</t>
  </si>
  <si>
    <t xml:space="preserve">"zatemnit-002"</t>
  </si>
  <si>
    <t xml:space="preserve">"zatemňovat-001"</t>
  </si>
  <si>
    <t xml:space="preserve">"zateplovat-001"</t>
  </si>
  <si>
    <t xml:space="preserve">"zatknout-001"</t>
  </si>
  <si>
    <t xml:space="preserve">"zatlačit-001"</t>
  </si>
  <si>
    <t xml:space="preserve">"zatlačit-002"</t>
  </si>
  <si>
    <t xml:space="preserve">"zatlačit-003"</t>
  </si>
  <si>
    <t xml:space="preserve">"--zatlačit-004"</t>
  </si>
  <si>
    <t xml:space="preserve">"zatlačovat-001"</t>
  </si>
  <si>
    <t xml:space="preserve">"zatleskat-001"</t>
  </si>
  <si>
    <t xml:space="preserve">"zatlouct-001"</t>
  </si>
  <si>
    <t xml:space="preserve">"zatloukat-001"</t>
  </si>
  <si>
    <t xml:space="preserve">"zatmelit-001"</t>
  </si>
  <si>
    <t xml:space="preserve">"zatnout-001"</t>
  </si>
  <si>
    <t xml:space="preserve">DPHR: tipec.S4</t>
  </si>
  <si>
    <t xml:space="preserve">"zatopit-001"</t>
  </si>
  <si>
    <t xml:space="preserve">"zatopit-002"</t>
  </si>
  <si>
    <t xml:space="preserve">"zatopit-003"</t>
  </si>
  <si>
    <t xml:space="preserve">"zatoulat-se-001"</t>
  </si>
  <si>
    <t xml:space="preserve">"zatoužit-001"</t>
  </si>
  <si>
    <t xml:space="preserve">"zatočit-001"</t>
  </si>
  <si>
    <t xml:space="preserve">"zatočit-002"</t>
  </si>
  <si>
    <t xml:space="preserve">"zatočit-se-001"</t>
  </si>
  <si>
    <t xml:space="preserve">"zatraktivnit-001"</t>
  </si>
  <si>
    <t xml:space="preserve">"zatratit-001"</t>
  </si>
  <si>
    <t xml:space="preserve">"zatrhnout-001"</t>
  </si>
  <si>
    <t xml:space="preserve">PAT: 4; .f; ↓že; ↓aby; ↓c</t>
  </si>
  <si>
    <t xml:space="preserve">"zatrnout-001"</t>
  </si>
  <si>
    <t xml:space="preserve">"zatrpknout-001"</t>
  </si>
  <si>
    <t xml:space="preserve">"zatrénovat-si-001"</t>
  </si>
  <si>
    <t xml:space="preserve">"zatvářit-se-001"</t>
  </si>
  <si>
    <t xml:space="preserve">"zatáhnout-001"</t>
  </si>
  <si>
    <t xml:space="preserve">"zatáhnout-002"</t>
  </si>
  <si>
    <t xml:space="preserve">"zatáhnout-003"</t>
  </si>
  <si>
    <t xml:space="preserve">DPHR: za-1[nit.S4]</t>
  </si>
  <si>
    <t xml:space="preserve">"zatáhnout-004"</t>
  </si>
  <si>
    <t xml:space="preserve">"zatáhnout-005"</t>
  </si>
  <si>
    <t xml:space="preserve">"zatáhnout-006"</t>
  </si>
  <si>
    <t xml:space="preserve">"zatáhnout-se-001"</t>
  </si>
  <si>
    <t xml:space="preserve">"zatáhnout-se-002"</t>
  </si>
  <si>
    <t xml:space="preserve">"zatápět-001"</t>
  </si>
  <si>
    <t xml:space="preserve">"zatáčet-001"</t>
  </si>
  <si>
    <t xml:space="preserve">"zatáčet-002"</t>
  </si>
  <si>
    <t xml:space="preserve">"zatáčet-003"</t>
  </si>
  <si>
    <t xml:space="preserve">"zatékat-001"</t>
  </si>
  <si>
    <t xml:space="preserve">"zatékat-002"</t>
  </si>
  <si>
    <t xml:space="preserve">"zatékat-003"</t>
  </si>
  <si>
    <t xml:space="preserve">"zatížit-001"</t>
  </si>
  <si>
    <t xml:space="preserve">"zatýkat-001"</t>
  </si>
  <si>
    <t xml:space="preserve">"zatěsnit-001"</t>
  </si>
  <si>
    <t xml:space="preserve">"zatěžovat-001"</t>
  </si>
  <si>
    <t xml:space="preserve">"zatěžovat-002"</t>
  </si>
  <si>
    <t xml:space="preserve">"zatřepat-001"</t>
  </si>
  <si>
    <t xml:space="preserve">"zatřepat-002"</t>
  </si>
  <si>
    <t xml:space="preserve">"--zatřepat-003"</t>
  </si>
  <si>
    <t xml:space="preserve">"zatřepat-se-001"</t>
  </si>
  <si>
    <t xml:space="preserve">"zatřepat-se-002"</t>
  </si>
  <si>
    <t xml:space="preserve">"zatřást-001"</t>
  </si>
  <si>
    <t xml:space="preserve">"zatřást-002"</t>
  </si>
  <si>
    <t xml:space="preserve">"zatřást-se-001"</t>
  </si>
  <si>
    <t xml:space="preserve">"zatřást-se-002"</t>
  </si>
  <si>
    <t xml:space="preserve">"zaujmout-001"</t>
  </si>
  <si>
    <t xml:space="preserve">ACT: 1; ↓že; ↓c; ↓jak-2</t>
  </si>
  <si>
    <t xml:space="preserve">"zaujmout-002"</t>
  </si>
  <si>
    <t xml:space="preserve">"zaujmout-003"</t>
  </si>
  <si>
    <t xml:space="preserve">"zaujmout-004"</t>
  </si>
  <si>
    <t xml:space="preserve">CPHR: {postoj,pozice,role,stanovisko,strategie,vztah,...}.4</t>
  </si>
  <si>
    <t xml:space="preserve">"zaujímat-001"</t>
  </si>
  <si>
    <t xml:space="preserve">"zaujímat-002"</t>
  </si>
  <si>
    <t xml:space="preserve">"zaujímat-003"</t>
  </si>
  <si>
    <t xml:space="preserve">"zaujímat-004"</t>
  </si>
  <si>
    <t xml:space="preserve">CPHR: {postoj,stanovisko,vztah,...}.4</t>
  </si>
  <si>
    <t xml:space="preserve">"zauzlovat-001"</t>
  </si>
  <si>
    <t xml:space="preserve">"zauzlovat-002"</t>
  </si>
  <si>
    <t xml:space="preserve">"zaučit-001"</t>
  </si>
  <si>
    <t xml:space="preserve">"zaučit-se-001"</t>
  </si>
  <si>
    <t xml:space="preserve">PAT: 7; v+6; na+4</t>
  </si>
  <si>
    <t xml:space="preserve">"zaučovat-001"</t>
  </si>
  <si>
    <t xml:space="preserve">?PAT: v+6; 4; .f</t>
  </si>
  <si>
    <t xml:space="preserve">"zaučovat-se-001"</t>
  </si>
  <si>
    <t xml:space="preserve">"zavadit-001"</t>
  </si>
  <si>
    <t xml:space="preserve">"zavalit-001"</t>
  </si>
  <si>
    <t xml:space="preserve">ACT-&gt;ARG0/34,ARG1/4,ARG2/19</t>
  </si>
  <si>
    <t xml:space="preserve">PAT-&gt;ARG1/95,ARG2/6</t>
  </si>
  <si>
    <t xml:space="preserve">"zavalit-002"</t>
  </si>
  <si>
    <t xml:space="preserve">"zavalit-003"</t>
  </si>
  <si>
    <t xml:space="preserve">"zavazovat-001"</t>
  </si>
  <si>
    <t xml:space="preserve">"zavazovat-002"</t>
  </si>
  <si>
    <t xml:space="preserve">"zavazovat-se-001"</t>
  </si>
  <si>
    <t xml:space="preserve">"zavařit-001"</t>
  </si>
  <si>
    <t xml:space="preserve">"zavařovat-001"</t>
  </si>
  <si>
    <t xml:space="preserve">"zavdat-001"</t>
  </si>
  <si>
    <t xml:space="preserve">CPHR: {podnět,příčina,...}.4</t>
  </si>
  <si>
    <t xml:space="preserve">"zavdávat-001"</t>
  </si>
  <si>
    <t xml:space="preserve">"zavděčit-se-001"</t>
  </si>
  <si>
    <t xml:space="preserve">"zavelet-001"</t>
  </si>
  <si>
    <t xml:space="preserve">PAT: k+3; 4; .f; ↓že; ↓aby; ↓ať; ↓c</t>
  </si>
  <si>
    <t xml:space="preserve">"zavinit-001"</t>
  </si>
  <si>
    <t xml:space="preserve">"zavinout-001"</t>
  </si>
  <si>
    <t xml:space="preserve">"zavládnout-001"</t>
  </si>
  <si>
    <t xml:space="preserve">"zavlát-001"</t>
  </si>
  <si>
    <t xml:space="preserve">"zavléci-001"</t>
  </si>
  <si>
    <t xml:space="preserve">"zavolat-001"</t>
  </si>
  <si>
    <t xml:space="preserve">PAT: 4; ↓že; ↓c; .s; ↓jestli</t>
  </si>
  <si>
    <t xml:space="preserve">"zavolat-002"</t>
  </si>
  <si>
    <t xml:space="preserve">"zavolat-003"</t>
  </si>
  <si>
    <t xml:space="preserve">"zavolat-004"</t>
  </si>
  <si>
    <t xml:space="preserve">"zavolat-005"</t>
  </si>
  <si>
    <t xml:space="preserve">"zavolat-006"</t>
  </si>
  <si>
    <t xml:space="preserve">"zavolat-007"</t>
  </si>
  <si>
    <t xml:space="preserve">"--zavolat-si-001"</t>
  </si>
  <si>
    <t xml:space="preserve">"zavonět-001"</t>
  </si>
  <si>
    <t xml:space="preserve">"zavraždit-001"</t>
  </si>
  <si>
    <t xml:space="preserve">"zavrhnout-001"</t>
  </si>
  <si>
    <t xml:space="preserve">"zavrhovat-001"</t>
  </si>
  <si>
    <t xml:space="preserve">"zavrtávat-se-001"</t>
  </si>
  <si>
    <t xml:space="preserve">"--zavrtávat-se-002"</t>
  </si>
  <si>
    <t xml:space="preserve">"zavrtět-001"</t>
  </si>
  <si>
    <t xml:space="preserve">"zavrtět-se-001"</t>
  </si>
  <si>
    <t xml:space="preserve">"zavrávorat-001"</t>
  </si>
  <si>
    <t xml:space="preserve">"završit-001"</t>
  </si>
  <si>
    <t xml:space="preserve">"završit-se-001"</t>
  </si>
  <si>
    <t xml:space="preserve">"završovat-001"</t>
  </si>
  <si>
    <t xml:space="preserve">"zavtipkovat-001"</t>
  </si>
  <si>
    <t xml:space="preserve">"zavzpomínat-001"</t>
  </si>
  <si>
    <t xml:space="preserve">"zavzpomínat-si-001"</t>
  </si>
  <si>
    <t xml:space="preserve">PAT: na+4; ↓že; ↓jestli; ↓zda; .s; ↓c</t>
  </si>
  <si>
    <t xml:space="preserve">"zavádět-001"</t>
  </si>
  <si>
    <t xml:space="preserve">"zavádět-002"</t>
  </si>
  <si>
    <t xml:space="preserve">"zavádět-003"</t>
  </si>
  <si>
    <t xml:space="preserve">"zavádět-004"</t>
  </si>
  <si>
    <t xml:space="preserve">"zavádět-005"</t>
  </si>
  <si>
    <t xml:space="preserve">DPHR: řeč.S4</t>
  </si>
  <si>
    <t xml:space="preserve">"zaváhat-001"</t>
  </si>
  <si>
    <t xml:space="preserve">"zavánět-001"</t>
  </si>
  <si>
    <t xml:space="preserve">Entity(ARG0/1), Attribute(ARG1/2)</t>
  </si>
  <si>
    <t xml:space="preserve">PAT-&gt;Attribute(ARG1/2)</t>
  </si>
  <si>
    <t xml:space="preserve">"zavánět-002"</t>
  </si>
  <si>
    <t xml:space="preserve">"zavát-001"</t>
  </si>
  <si>
    <t xml:space="preserve">"zavávat-001"</t>
  </si>
  <si>
    <t xml:space="preserve">"zavázat-001"</t>
  </si>
  <si>
    <t xml:space="preserve">"zavázat-se-001"</t>
  </si>
  <si>
    <t xml:space="preserve">"zavářet-001"</t>
  </si>
  <si>
    <t xml:space="preserve">"zavážet-001"</t>
  </si>
  <si>
    <t xml:space="preserve">"zavážet-002"</t>
  </si>
  <si>
    <t xml:space="preserve">"zavést-001"</t>
  </si>
  <si>
    <t xml:space="preserve">"zavést-002"</t>
  </si>
  <si>
    <t xml:space="preserve">"zavést-003"</t>
  </si>
  <si>
    <t xml:space="preserve">"zavést-004"</t>
  </si>
  <si>
    <t xml:space="preserve">"zavést-005"</t>
  </si>
  <si>
    <t xml:space="preserve">"zavést-006"</t>
  </si>
  <si>
    <t xml:space="preserve">"zavést-007"</t>
  </si>
  <si>
    <t xml:space="preserve">"zavést-se-001"</t>
  </si>
  <si>
    <t xml:space="preserve">"zavézt-001"</t>
  </si>
  <si>
    <t xml:space="preserve">"zavézt-002"</t>
  </si>
  <si>
    <t xml:space="preserve">"zavírat-001"</t>
  </si>
  <si>
    <t xml:space="preserve">"zavírat-002"</t>
  </si>
  <si>
    <t xml:space="preserve">"zavírat-003"</t>
  </si>
  <si>
    <t xml:space="preserve">"zavírat-004"</t>
  </si>
  <si>
    <t xml:space="preserve">"zavírat-005"</t>
  </si>
  <si>
    <t xml:space="preserve">"zavírat-006"</t>
  </si>
  <si>
    <t xml:space="preserve">"zavírat-007"</t>
  </si>
  <si>
    <t xml:space="preserve">"zavítat-001"</t>
  </si>
  <si>
    <t xml:space="preserve">"zavěsit-001"</t>
  </si>
  <si>
    <t xml:space="preserve">"zavětřit-001"</t>
  </si>
  <si>
    <t xml:space="preserve">"zavěšovat-001"</t>
  </si>
  <si>
    <t xml:space="preserve">"zavřít-001"</t>
  </si>
  <si>
    <t xml:space="preserve">"zavřít-002"</t>
  </si>
  <si>
    <t xml:space="preserve">"zavřít-003"</t>
  </si>
  <si>
    <t xml:space="preserve">"zavřít-004"</t>
  </si>
  <si>
    <t xml:space="preserve">"zavřít-005"</t>
  </si>
  <si>
    <t xml:space="preserve">"zavřít-006"</t>
  </si>
  <si>
    <t xml:space="preserve">DPHR: ústa.4</t>
  </si>
  <si>
    <t xml:space="preserve">"zavřít-007"</t>
  </si>
  <si>
    <t xml:space="preserve">"zavřít-008"</t>
  </si>
  <si>
    <t xml:space="preserve">"zavřít-se-001"</t>
  </si>
  <si>
    <t xml:space="preserve">Entity(ARG0/30,ARG1/102)</t>
  </si>
  <si>
    <t xml:space="preserve">ACT-&gt;ARG0/30,ARG1/102</t>
  </si>
  <si>
    <t xml:space="preserve">ACT-&gt;Entity(ARG0/30,ARG1/102)</t>
  </si>
  <si>
    <t xml:space="preserve">"zazelenit-se-001"</t>
  </si>
  <si>
    <t xml:space="preserve">"zazimovat-001"</t>
  </si>
  <si>
    <t xml:space="preserve">"zazimovávat-001"</t>
  </si>
  <si>
    <t xml:space="preserve">"zazlívat-001"</t>
  </si>
  <si>
    <t xml:space="preserve">"zazmatkovat-001"</t>
  </si>
  <si>
    <t xml:space="preserve">"zaznamenat-001"</t>
  </si>
  <si>
    <t xml:space="preserve">"zaznamenat-002"</t>
  </si>
  <si>
    <t xml:space="preserve">"zaznamenat-003"</t>
  </si>
  <si>
    <t xml:space="preserve">"zaznamenat-004"</t>
  </si>
  <si>
    <t xml:space="preserve">"zaznamenat-005"</t>
  </si>
  <si>
    <t xml:space="preserve">ACT-&gt;ARG0/240,ARG1/3500,ARG2/13</t>
  </si>
  <si>
    <t xml:space="preserve">CPHR: {dluh,kurz,minimum,nárůst,návrat,navýšení,nezdar,obrat,ohodnocení,podpora,pokles,poptávka,posun,problém,prodej,propad,příjem,rozkvět,růst,snížení,stagnace,tržba,úspěch,výdaj,výdělek,výhra,výkon,výkyv,výnos,vzestup,vzrůst,zisk,změna,zmírnění,zotavení,ztráta,zvrat,zvýšení,...}.4</t>
  </si>
  <si>
    <t xml:space="preserve">CPHR-&gt;ARG0/1,ARG1/257,ARG2/64,ARG4/2270,ARGM-LOC/2</t>
  </si>
  <si>
    <t xml:space="preserve">CPHR[RSTR]-&gt;Value_final</t>
  </si>
  <si>
    <t xml:space="preserve">CPHR[RSTR]-&gt;Value_final(ARG1/219,ARG2/16,ARG4/890,ARGM-LOC/2)</t>
  </si>
  <si>
    <t xml:space="preserve">CPHR[RSTR]-&gt;Value_final(ARG1/9,ARG2/48,ARG4/1380)</t>
  </si>
  <si>
    <t xml:space="preserve">CPHR[RSTR]-&gt;Provided</t>
  </si>
  <si>
    <t xml:space="preserve">CPHR[RSTR]-&gt;Provided(ARG0/1,ARG1/29)</t>
  </si>
  <si>
    <t xml:space="preserve">"--zaznamenat-006"</t>
  </si>
  <si>
    <t xml:space="preserve">CPHR: {kurz,nárůst,návrat,navýšení,nezdar,obrat,ohodnocení,pokles,posun,propad,rozkvět,růst,stagnace,úspěch,výhra,výkon,výkyv,vzestup,vzrůst,zisk,ztráta,zvrat,zvýšení,...}.4</t>
  </si>
  <si>
    <t xml:space="preserve">"zaznamenávat-001"</t>
  </si>
  <si>
    <t xml:space="preserve">"zaznamenávat-002"</t>
  </si>
  <si>
    <t xml:space="preserve">PAT: 4; ↓že; ↓jak-2; ↓zda; ↓jestli; ↓zda</t>
  </si>
  <si>
    <t xml:space="preserve">"zaznamenávat-003"</t>
  </si>
  <si>
    <t xml:space="preserve">"zaznamenávat-004"</t>
  </si>
  <si>
    <t xml:space="preserve">CPHR: {dluh,marže,nárůst,navýšení,obrat,pokles,poptávka,posun,propad,příjem,růst,snížení,tržba,úspěch,výdaj,výdělek,výnos,vzestup,vzrůst,zisk,ztráta,zvýšení,...}.4</t>
  </si>
  <si>
    <t xml:space="preserve">"--zaznamenávat-005"</t>
  </si>
  <si>
    <t xml:space="preserve">CPHR: {dluh,marže,nárůst,navýšení,obrat,pokles,poptávka,propad,příjem,růst,snížení,tržba,výdaj,výdělek,výnos,vzestup,vzrůst,zisk,ztráta,zvýšení,...}.4</t>
  </si>
  <si>
    <t xml:space="preserve">"zaznít-001"</t>
  </si>
  <si>
    <t xml:space="preserve">"zaznít-002"</t>
  </si>
  <si>
    <t xml:space="preserve">"--zaznít-003"</t>
  </si>
  <si>
    <t xml:space="preserve">"zaznívat-001"</t>
  </si>
  <si>
    <t xml:space="preserve">?PAT: z+2; od+2</t>
  </si>
  <si>
    <t xml:space="preserve">"zazpívat-001"</t>
  </si>
  <si>
    <t xml:space="preserve">"zazpívat-002"</t>
  </si>
  <si>
    <t xml:space="preserve">"zazpívat-003"</t>
  </si>
  <si>
    <t xml:space="preserve">"--zazpívat-si-001"</t>
  </si>
  <si>
    <t xml:space="preserve">"zazvonit-001"</t>
  </si>
  <si>
    <t xml:space="preserve">"zazářit-001"</t>
  </si>
  <si>
    <t xml:space="preserve">"zazářit-002"</t>
  </si>
  <si>
    <t xml:space="preserve">"zaúpět-001"</t>
  </si>
  <si>
    <t xml:space="preserve">PAT: 4; ↓že; ↓zda; ↓jestli; ↓aby; ↓ať; .s; ↓c</t>
  </si>
  <si>
    <t xml:space="preserve">"zaútočit-001"</t>
  </si>
  <si>
    <t xml:space="preserve">"zaúčtovat-001"</t>
  </si>
  <si>
    <t xml:space="preserve">"začlenit-001"</t>
  </si>
  <si>
    <t xml:space="preserve">"začlenit-se-001"</t>
  </si>
  <si>
    <t xml:space="preserve">"začleňovat-001"</t>
  </si>
  <si>
    <t xml:space="preserve">"začmuchat-001"</t>
  </si>
  <si>
    <t xml:space="preserve">"začoudit-se-001"</t>
  </si>
  <si>
    <t xml:space="preserve">"začínat-001"</t>
  </si>
  <si>
    <t xml:space="preserve">"začínat-002"</t>
  </si>
  <si>
    <t xml:space="preserve">"začínat-003"</t>
  </si>
  <si>
    <t xml:space="preserve">"začínat-004"</t>
  </si>
  <si>
    <t xml:space="preserve">"začínat-005"</t>
  </si>
  <si>
    <t xml:space="preserve">?PAT: 4; s+7; .f</t>
  </si>
  <si>
    <t xml:space="preserve">DPHR: od-1[píka.S2]</t>
  </si>
  <si>
    <t xml:space="preserve">"začínat-si-001"</t>
  </si>
  <si>
    <t xml:space="preserve">"začíst-se-001"</t>
  </si>
  <si>
    <t xml:space="preserve">"začít-001"</t>
  </si>
  <si>
    <t xml:space="preserve">"začít-002"</t>
  </si>
  <si>
    <t xml:space="preserve">"začít-003"</t>
  </si>
  <si>
    <t xml:space="preserve">DPHR: od-1[nula.S2]</t>
  </si>
  <si>
    <t xml:space="preserve">"začít-004"</t>
  </si>
  <si>
    <t xml:space="preserve">"začít-si-001"</t>
  </si>
  <si>
    <t xml:space="preserve">"zařadit-001"</t>
  </si>
  <si>
    <t xml:space="preserve">"zařadit-002"</t>
  </si>
  <si>
    <t xml:space="preserve">"zařadit-003"</t>
  </si>
  <si>
    <t xml:space="preserve">"--zařadit-004"</t>
  </si>
  <si>
    <t xml:space="preserve">"zařadit-se-001"</t>
  </si>
  <si>
    <t xml:space="preserve">"zařadit-se-002"</t>
  </si>
  <si>
    <t xml:space="preserve">"zařazovat-001"</t>
  </si>
  <si>
    <t xml:space="preserve">"zařazovat-002"</t>
  </si>
  <si>
    <t xml:space="preserve">ACT-&gt;ARG0/31,ARG1/1,ARG2/27</t>
  </si>
  <si>
    <t xml:space="preserve">PAT-&gt;ARG1/1123,ARG2/2</t>
  </si>
  <si>
    <t xml:space="preserve">DIR3-&gt;ARG0/6,ARG1/6,ARG2/514</t>
  </si>
  <si>
    <t xml:space="preserve">DIR3-&gt;Rank(ARG2/22)</t>
  </si>
  <si>
    <t xml:space="preserve">"zařazovat-se-001"</t>
  </si>
  <si>
    <t xml:space="preserve">PAT: mezi+4; k+3</t>
  </si>
  <si>
    <t xml:space="preserve">"zařeknout-se-001"</t>
  </si>
  <si>
    <t xml:space="preserve">"zařezávat-se-001"</t>
  </si>
  <si>
    <t xml:space="preserve">"zařizovat-001"</t>
  </si>
  <si>
    <t xml:space="preserve">"zařizovat-002"</t>
  </si>
  <si>
    <t xml:space="preserve">"zařvat-001"</t>
  </si>
  <si>
    <t xml:space="preserve">"zařídit-001"</t>
  </si>
  <si>
    <t xml:space="preserve">PAT: 4; ↓aby; ↓c; ↓že</t>
  </si>
  <si>
    <t xml:space="preserve">"zařídit-002"</t>
  </si>
  <si>
    <t xml:space="preserve">"zařídit-003"</t>
  </si>
  <si>
    <t xml:space="preserve">"zařídit-004"</t>
  </si>
  <si>
    <t xml:space="preserve">"zařídit-se-001"</t>
  </si>
  <si>
    <t xml:space="preserve">ACT-&gt;ARG0/72,ARG1/5</t>
  </si>
  <si>
    <t xml:space="preserve">PAT: podle+2</t>
  </si>
  <si>
    <t xml:space="preserve">PAT-&gt;Manner()</t>
  </si>
  <si>
    <t xml:space="preserve">"zařídit-se-002"</t>
  </si>
  <si>
    <t xml:space="preserve">"zařídit-se-003"</t>
  </si>
  <si>
    <t xml:space="preserve">"zařídit-se-004"</t>
  </si>
  <si>
    <t xml:space="preserve">"zaříkávat-001"</t>
  </si>
  <si>
    <t xml:space="preserve">"zaříznout-001"</t>
  </si>
  <si>
    <t xml:space="preserve">"zaříznout-002"</t>
  </si>
  <si>
    <t xml:space="preserve">"zaříznout-003"</t>
  </si>
  <si>
    <t xml:space="preserve">"zaříznout-se-001"</t>
  </si>
  <si>
    <t xml:space="preserve">"zašeptat-001"</t>
  </si>
  <si>
    <t xml:space="preserve">"zašeptat-002"</t>
  </si>
  <si>
    <t xml:space="preserve">"zašeptat-003"</t>
  </si>
  <si>
    <t xml:space="preserve">ACT-&gt;ARG0/13218,ARG1/39</t>
  </si>
  <si>
    <t xml:space="preserve">EFF-&gt;ARG0/4,ARG1/11732,ARG2/3,ARG3/30</t>
  </si>
  <si>
    <t xml:space="preserve">ADDR-&gt;ARG1/3,ARG2/352</t>
  </si>
  <si>
    <t xml:space="preserve">"zašermovat-001"</t>
  </si>
  <si>
    <t xml:space="preserve">"zašklebit-se-001"</t>
  </si>
  <si>
    <t xml:space="preserve">"zaškrtnout-001"</t>
  </si>
  <si>
    <t xml:space="preserve">"zašmodrchat-001"</t>
  </si>
  <si>
    <t xml:space="preserve">"zašněrovat-001"</t>
  </si>
  <si>
    <t xml:space="preserve">"zašoupnout-001"</t>
  </si>
  <si>
    <t xml:space="preserve">"zaštiťovat-001"</t>
  </si>
  <si>
    <t xml:space="preserve">"zaštukovat-001"</t>
  </si>
  <si>
    <t xml:space="preserve">"zaštípnout-se-001"</t>
  </si>
  <si>
    <t xml:space="preserve">"zaštítit-001"</t>
  </si>
  <si>
    <t xml:space="preserve">"zašátrat-001"</t>
  </si>
  <si>
    <t xml:space="preserve">"zašátrat-002"</t>
  </si>
  <si>
    <t xml:space="preserve">DIR3-&gt;ARG1/2</t>
  </si>
  <si>
    <t xml:space="preserve">"zašít-001"</t>
  </si>
  <si>
    <t xml:space="preserve">"zašívat-001"</t>
  </si>
  <si>
    <t xml:space="preserve">"zaťukat-001"</t>
  </si>
  <si>
    <t xml:space="preserve">"zažalovat-001"</t>
  </si>
  <si>
    <t xml:space="preserve">"zažalovat-002"</t>
  </si>
  <si>
    <t xml:space="preserve">"zažehnat-001"</t>
  </si>
  <si>
    <t xml:space="preserve">"zažehnout-001"</t>
  </si>
  <si>
    <t xml:space="preserve">"zažehnout-002"</t>
  </si>
  <si>
    <t xml:space="preserve">"zažádat-001"</t>
  </si>
  <si>
    <t xml:space="preserve">"zažádat-002"</t>
  </si>
  <si>
    <t xml:space="preserve">PAT: o+4; .f; ↓zda; ↓aby; ↓ať; .s; ↓c; ↓jestli</t>
  </si>
  <si>
    <t xml:space="preserve">"zažíhat-001"</t>
  </si>
  <si>
    <t xml:space="preserve">"zažít-001"</t>
  </si>
  <si>
    <t xml:space="preserve">PAT: 4; ↓že; ↓aby; ↓když</t>
  </si>
  <si>
    <t xml:space="preserve">"zažít-002"</t>
  </si>
  <si>
    <t xml:space="preserve">"zažít-se-001"</t>
  </si>
  <si>
    <t xml:space="preserve">"zažívat-001"</t>
  </si>
  <si>
    <t xml:space="preserve">"zbandat-001"</t>
  </si>
  <si>
    <t xml:space="preserve">?PAT: k+3; na+4; ↓aby; ↓ať; .s</t>
  </si>
  <si>
    <t xml:space="preserve">"zbankat-001"</t>
  </si>
  <si>
    <t xml:space="preserve">PAT: .f; k+3; do+2; ↓aby; ↓ať</t>
  </si>
  <si>
    <t xml:space="preserve">"zbankrotovat-001"</t>
  </si>
  <si>
    <t xml:space="preserve">"zbarvit-001"</t>
  </si>
  <si>
    <t xml:space="preserve">MANN-&gt;ARG2/41</t>
  </si>
  <si>
    <t xml:space="preserve">MANN-&gt;State_final</t>
  </si>
  <si>
    <t xml:space="preserve">MANN-&gt;State_final(ARG2/41)</t>
  </si>
  <si>
    <t xml:space="preserve">"zbarvit-se-001"</t>
  </si>
  <si>
    <t xml:space="preserve">"zbavit-001"</t>
  </si>
  <si>
    <t xml:space="preserve">PAT-&gt;ARG1/11,ARG2/25</t>
  </si>
  <si>
    <t xml:space="preserve">PAT-&gt;Undesirable(ARG1/11,ARG2/25)</t>
  </si>
  <si>
    <t xml:space="preserve">ADDR-&gt;ARG1/35,ARG2/12</t>
  </si>
  <si>
    <t xml:space="preserve">ADDR-&gt;Protagonist(ARG1/35,ARG2/12)</t>
  </si>
  <si>
    <t xml:space="preserve">"zbavit-se-001"</t>
  </si>
  <si>
    <t xml:space="preserve">"zbavovat-001"</t>
  </si>
  <si>
    <t xml:space="preserve">"zbavovat-se-001"</t>
  </si>
  <si>
    <t xml:space="preserve">"zbaštit-001"</t>
  </si>
  <si>
    <t xml:space="preserve">"zblbnout-001"</t>
  </si>
  <si>
    <t xml:space="preserve">"zblokovat-001"</t>
  </si>
  <si>
    <t xml:space="preserve">"zbláznit-se-001"</t>
  </si>
  <si>
    <t xml:space="preserve">"zbláznit-se-002"</t>
  </si>
  <si>
    <t xml:space="preserve">"zbohatnout-001"</t>
  </si>
  <si>
    <t xml:space="preserve">"zbortit-se-001"</t>
  </si>
  <si>
    <t xml:space="preserve">"zbourat-001"</t>
  </si>
  <si>
    <t xml:space="preserve">"zbourat-002"</t>
  </si>
  <si>
    <t xml:space="preserve">"zbořit-001"</t>
  </si>
  <si>
    <t xml:space="preserve">"zbořit-se-001"</t>
  </si>
  <si>
    <t xml:space="preserve">ACT-&gt;ARG0/85,ARG1/179,ARG2/6</t>
  </si>
  <si>
    <t xml:space="preserve">"zbožňovat-001"</t>
  </si>
  <si>
    <t xml:space="preserve">"zbrojit-001"</t>
  </si>
  <si>
    <t xml:space="preserve">"zbrousit-001"</t>
  </si>
  <si>
    <t xml:space="preserve">"zbrzdit-001"</t>
  </si>
  <si>
    <t xml:space="preserve">"zbrzdit-se-001"</t>
  </si>
  <si>
    <t xml:space="preserve">"zbrázdit-001"</t>
  </si>
  <si>
    <t xml:space="preserve">"zbrázdit-002"</t>
  </si>
  <si>
    <t xml:space="preserve">"zbudovat-001"</t>
  </si>
  <si>
    <t xml:space="preserve">"zbuntovat-001"</t>
  </si>
  <si>
    <t xml:space="preserve">"zbystřit-001"</t>
  </si>
  <si>
    <t xml:space="preserve">"zbystřit-002"</t>
  </si>
  <si>
    <t xml:space="preserve">"zbystřit-003"</t>
  </si>
  <si>
    <t xml:space="preserve">"zbít-001"</t>
  </si>
  <si>
    <t xml:space="preserve">"zbýt-001"</t>
  </si>
  <si>
    <t xml:space="preserve">Remainder(ARG1/15,ARG3/2), Protagonist(ARG0/6,ARG1/1,ARG2/1,ARG3/9)</t>
  </si>
  <si>
    <t xml:space="preserve">ACT-&gt;ARG1/15,ARG3/2</t>
  </si>
  <si>
    <t xml:space="preserve">ACT-&gt;Remainder</t>
  </si>
  <si>
    <t xml:space="preserve">ACT-&gt;Remainder(ARG1/15,ARG3/2)</t>
  </si>
  <si>
    <t xml:space="preserve">PAT-&gt;ARG0/6,ARG1/1,ARG2/1,ARG3/9</t>
  </si>
  <si>
    <t xml:space="preserve">PAT-&gt;Protagonist(ARG0/6,ARG1/1,ARG2/1,ARG3/9)</t>
  </si>
  <si>
    <t xml:space="preserve">"zbýt-002"</t>
  </si>
  <si>
    <t xml:space="preserve">"zbýt-003"</t>
  </si>
  <si>
    <t xml:space="preserve">?PAT: na+4; pro+4</t>
  </si>
  <si>
    <t xml:space="preserve">"zbýt-004"</t>
  </si>
  <si>
    <t xml:space="preserve">Value_final(ARG1/4), Whole(ARG1/1,ARG3/3)</t>
  </si>
  <si>
    <t xml:space="preserve">ACT-&gt;Value_final</t>
  </si>
  <si>
    <t xml:space="preserve">ACT-&gt;Value_final(ARG1/4)</t>
  </si>
  <si>
    <t xml:space="preserve">PAT-&gt;ARG1/1,ARG3/3</t>
  </si>
  <si>
    <t xml:space="preserve">PAT-&gt;Whole(ARG1/1,ARG3/3)</t>
  </si>
  <si>
    <t xml:space="preserve">"zbýt-005"</t>
  </si>
  <si>
    <t xml:space="preserve">"zbývat-001"</t>
  </si>
  <si>
    <t xml:space="preserve">"zbývat-002"</t>
  </si>
  <si>
    <t xml:space="preserve">"zbývat-003"</t>
  </si>
  <si>
    <t xml:space="preserve">"zbývat-004"</t>
  </si>
  <si>
    <t xml:space="preserve">"zbývat-005"</t>
  </si>
  <si>
    <t xml:space="preserve">"zběhnout-001"</t>
  </si>
  <si>
    <t xml:space="preserve">"zcestovat-001"</t>
  </si>
  <si>
    <t xml:space="preserve">"zchladit-001"</t>
  </si>
  <si>
    <t xml:space="preserve">"zchladit-002"</t>
  </si>
  <si>
    <t xml:space="preserve">"zchladit-se-001"</t>
  </si>
  <si>
    <t xml:space="preserve">"zchladnout-001"</t>
  </si>
  <si>
    <t xml:space="preserve">"zchladnout-002"</t>
  </si>
  <si>
    <t xml:space="preserve">"zchodit-001"</t>
  </si>
  <si>
    <t xml:space="preserve">"zchudnout-001"</t>
  </si>
  <si>
    <t xml:space="preserve">"zcizit-001"</t>
  </si>
  <si>
    <t xml:space="preserve">"zdanit-001"</t>
  </si>
  <si>
    <t xml:space="preserve">Authority(ARG0/1), Asset(ARG2/2,ARG3/4)</t>
  </si>
  <si>
    <t xml:space="preserve">PAT-&gt;ARG2/2,ARG3/4</t>
  </si>
  <si>
    <t xml:space="preserve">PAT-&gt;Asset(ARG2/2,ARG3/4)</t>
  </si>
  <si>
    <t xml:space="preserve">"zdaňovat-001"</t>
  </si>
  <si>
    <t xml:space="preserve">"zdařit-se-001"</t>
  </si>
  <si>
    <t xml:space="preserve">"zdechnout-001"</t>
  </si>
  <si>
    <t xml:space="preserve">"zdecimovat-001"</t>
  </si>
  <si>
    <t xml:space="preserve">"zdeformovat-001"</t>
  </si>
  <si>
    <t xml:space="preserve">"zdeformovat-002"</t>
  </si>
  <si>
    <t xml:space="preserve">"zdeformovat-se-001"</t>
  </si>
  <si>
    <t xml:space="preserve">"zdemolovat-001"</t>
  </si>
  <si>
    <t xml:space="preserve">"zdeptat-001"</t>
  </si>
  <si>
    <t xml:space="preserve">"zdesetinásobit-001"</t>
  </si>
  <si>
    <t xml:space="preserve">"zdesetinásobit-se-001"</t>
  </si>
  <si>
    <t xml:space="preserve">"zdevastovat-001"</t>
  </si>
  <si>
    <t xml:space="preserve">"zdiskreditovat-001"</t>
  </si>
  <si>
    <t xml:space="preserve">"zdivočet-001"</t>
  </si>
  <si>
    <t xml:space="preserve">"zdobit-001"</t>
  </si>
  <si>
    <t xml:space="preserve">Attribute(ARG2/4), Wearer(ARG1/2)</t>
  </si>
  <si>
    <t xml:space="preserve">ACT-&gt;ARG0/6,ARG2/4</t>
  </si>
  <si>
    <t xml:space="preserve">ACT-&gt;Attribute</t>
  </si>
  <si>
    <t xml:space="preserve">ACT-&gt;Attribute(ARG2/4)</t>
  </si>
  <si>
    <t xml:space="preserve">PAT-&gt;Wearer(ARG1/2)</t>
  </si>
  <si>
    <t xml:space="preserve">"zdobit-002"</t>
  </si>
  <si>
    <t xml:space="preserve">"zdokonalit-001"</t>
  </si>
  <si>
    <t xml:space="preserve">"zdokonalit-se-001"</t>
  </si>
  <si>
    <t xml:space="preserve">"zdokonalovat-001"</t>
  </si>
  <si>
    <t xml:space="preserve">"zdokonalovat-se-001"</t>
  </si>
  <si>
    <t xml:space="preserve">"zdolat-001"</t>
  </si>
  <si>
    <t xml:space="preserve">"zdolávat-001"</t>
  </si>
  <si>
    <t xml:space="preserve">"zdolávat-002"</t>
  </si>
  <si>
    <t xml:space="preserve">"zdomácnět-001"</t>
  </si>
  <si>
    <t xml:space="preserve">"zdostupnit-001"</t>
  </si>
  <si>
    <t xml:space="preserve">"zdramatizovat-001"</t>
  </si>
  <si>
    <t xml:space="preserve">"zdravit-001"</t>
  </si>
  <si>
    <t xml:space="preserve">"--zdravit-se-001"</t>
  </si>
  <si>
    <t xml:space="preserve">"zdražit-001"</t>
  </si>
  <si>
    <t xml:space="preserve">"zdražit-002"</t>
  </si>
  <si>
    <t xml:space="preserve">"zdražovat-001"</t>
  </si>
  <si>
    <t xml:space="preserve">"zdrhnout-001"</t>
  </si>
  <si>
    <t xml:space="preserve">"zdrsnit-001"</t>
  </si>
  <si>
    <t xml:space="preserve">"zdrsnět-001"</t>
  </si>
  <si>
    <t xml:space="preserve">"zdrtit-001"</t>
  </si>
  <si>
    <t xml:space="preserve">ACT-&gt;ARG0/119,ARG2/83</t>
  </si>
  <si>
    <t xml:space="preserve">PAT-&gt;ARG1/303</t>
  </si>
  <si>
    <t xml:space="preserve">"zdráhat-se-001"</t>
  </si>
  <si>
    <t xml:space="preserve">PAT: .f; 2</t>
  </si>
  <si>
    <t xml:space="preserve">"zdržet-001"</t>
  </si>
  <si>
    <t xml:space="preserve">"zdržet-se-001"</t>
  </si>
  <si>
    <t xml:space="preserve">"zdržet-se-002"</t>
  </si>
  <si>
    <t xml:space="preserve">"zdržet-se-003"</t>
  </si>
  <si>
    <t xml:space="preserve">"zdržovat-001"</t>
  </si>
  <si>
    <t xml:space="preserve">PAT: od+2; v+6</t>
  </si>
  <si>
    <t xml:space="preserve">"zdržovat-002"</t>
  </si>
  <si>
    <t xml:space="preserve">"zdržovat-se-001"</t>
  </si>
  <si>
    <t xml:space="preserve">"zdvihat-001"</t>
  </si>
  <si>
    <t xml:space="preserve">"zdvihnout-001"</t>
  </si>
  <si>
    <t xml:space="preserve">"zdvihnout-002"</t>
  </si>
  <si>
    <t xml:space="preserve">"zdvihnout-003"</t>
  </si>
  <si>
    <t xml:space="preserve">"zdvojnásobit-001"</t>
  </si>
  <si>
    <t xml:space="preserve">ORIG-&gt;ARG3/11,ARG4/9</t>
  </si>
  <si>
    <t xml:space="preserve">ORIG-&gt;Value_initial(ARG3/11,ARG4/9)</t>
  </si>
  <si>
    <t xml:space="preserve">EFF-&gt;ARG3/4,ARG4/28</t>
  </si>
  <si>
    <t xml:space="preserve">EFF-&gt;Value_final(ARG3/4,ARG4/28)</t>
  </si>
  <si>
    <t xml:space="preserve">"zdvojnásobit-se-001"</t>
  </si>
  <si>
    <t xml:space="preserve">ACT-&gt;ARG0/19,ARG1/125</t>
  </si>
  <si>
    <t xml:space="preserve">ACT-&gt;Agent; ACT-&gt;Item</t>
  </si>
  <si>
    <t xml:space="preserve">ACT-&gt;Agent(ARG0/19,ARG1/44); ACT-&gt;Item(ARG1/81)</t>
  </si>
  <si>
    <t xml:space="preserve">PAT-&gt;ARG3/4,ARG4/28</t>
  </si>
  <si>
    <t xml:space="preserve">PAT-&gt;Value_final(ARG3/4,ARG4/28)</t>
  </si>
  <si>
    <t xml:space="preserve">"zdvojnásobovat-001"</t>
  </si>
  <si>
    <t xml:space="preserve">"zdvojnásobovat-se-001"</t>
  </si>
  <si>
    <t xml:space="preserve">"zdát-se-001"</t>
  </si>
  <si>
    <t xml:space="preserve">ACT: 3; pro+4</t>
  </si>
  <si>
    <t xml:space="preserve">PAT: 1; ↓že; .f; ↓aby</t>
  </si>
  <si>
    <t xml:space="preserve">EFF: 7; být[.7]; .a1; .a7; .a1[{jako,jakožto}:/AuxY]; ↓že; .f; .d</t>
  </si>
  <si>
    <t xml:space="preserve">"zdát-se-002"</t>
  </si>
  <si>
    <t xml:space="preserve">"zdát-se-003"</t>
  </si>
  <si>
    <t xml:space="preserve">"zdát-se-004"</t>
  </si>
  <si>
    <t xml:space="preserve">"zdát-se-005"</t>
  </si>
  <si>
    <t xml:space="preserve">PAT: být.f</t>
  </si>
  <si>
    <t xml:space="preserve">"zdít-001"</t>
  </si>
  <si>
    <t xml:space="preserve">"zdědit-001"</t>
  </si>
  <si>
    <t xml:space="preserve">ORIG-&gt;Owner_initial</t>
  </si>
  <si>
    <t xml:space="preserve">ORIG-&gt;Owner_initial()</t>
  </si>
  <si>
    <t xml:space="preserve">"zděsit-001"</t>
  </si>
  <si>
    <t xml:space="preserve">"zděsit-se-001"</t>
  </si>
  <si>
    <t xml:space="preserve">ACT-&gt;ARG0/131,ARG1/30</t>
  </si>
  <si>
    <t xml:space="preserve">"zdřímnout-si-001"</t>
  </si>
  <si>
    <t xml:space="preserve">"zdůraznit-001"</t>
  </si>
  <si>
    <t xml:space="preserve">PAT: 4; ↓že; ↓ať; ↓aby; ↓c; .s; .v</t>
  </si>
  <si>
    <t xml:space="preserve">"zdůraznit-002"</t>
  </si>
  <si>
    <t xml:space="preserve">"zdůrazňovat-001"</t>
  </si>
  <si>
    <t xml:space="preserve">PAT: 4; ↓že; ↓ať; ↓aby; ↓c; .s</t>
  </si>
  <si>
    <t xml:space="preserve">"zdůrazňovat-002"</t>
  </si>
  <si>
    <t xml:space="preserve">"zdůvodnit-001"</t>
  </si>
  <si>
    <t xml:space="preserve">"zdůvodňovat-001"</t>
  </si>
  <si>
    <t xml:space="preserve">"zedničit-001"</t>
  </si>
  <si>
    <t xml:space="preserve">"zefektivnit-001"</t>
  </si>
  <si>
    <t xml:space="preserve">Agent(), Improved()</t>
  </si>
  <si>
    <t xml:space="preserve">"zefektivňovat-001"</t>
  </si>
  <si>
    <t xml:space="preserve">"zelenat-se-001"</t>
  </si>
  <si>
    <t xml:space="preserve">"zelenat-se-002"</t>
  </si>
  <si>
    <t xml:space="preserve">"zemdlévat-001"</t>
  </si>
  <si>
    <t xml:space="preserve">"zemřít-001"</t>
  </si>
  <si>
    <t xml:space="preserve">"zepsout-001"</t>
  </si>
  <si>
    <t xml:space="preserve">"zeptat-se-001"</t>
  </si>
  <si>
    <t xml:space="preserve">"zesilovat-001"</t>
  </si>
  <si>
    <t xml:space="preserve">"zesilovat-002"</t>
  </si>
  <si>
    <t xml:space="preserve">"zesilovat-003"</t>
  </si>
  <si>
    <t xml:space="preserve">"zesilovat-se-001"</t>
  </si>
  <si>
    <t xml:space="preserve">"zeslabit-001"</t>
  </si>
  <si>
    <t xml:space="preserve">ACT-&gt;ARG0/721,ARG1/26</t>
  </si>
  <si>
    <t xml:space="preserve">PAT-&gt;ARG1/1348,ARG2/10,ARG4/19</t>
  </si>
  <si>
    <t xml:space="preserve">ORIG-&gt;ARG3/99,ARG4/1</t>
  </si>
  <si>
    <t xml:space="preserve">EFF-&gt;ARG2/50,ARG3/1,ARG4/184,ARG5/1</t>
  </si>
  <si>
    <t xml:space="preserve">"zeslabovat-001"</t>
  </si>
  <si>
    <t xml:space="preserve">"zeslábnout-001"</t>
  </si>
  <si>
    <t xml:space="preserve">PAT-&gt;ARG3/1</t>
  </si>
  <si>
    <t xml:space="preserve">PAT-&gt;State_final(ARG3/1)</t>
  </si>
  <si>
    <t xml:space="preserve">"zesměšnit-001"</t>
  </si>
  <si>
    <t xml:space="preserve">PAT-&gt;ARG0/1,ARG1/17</t>
  </si>
  <si>
    <t xml:space="preserve">"zesměšňovat-001"</t>
  </si>
  <si>
    <t xml:space="preserve">"zestručnit-001"</t>
  </si>
  <si>
    <t xml:space="preserve">"zestárnout-001"</t>
  </si>
  <si>
    <t xml:space="preserve">"zestátnit-001"</t>
  </si>
  <si>
    <t xml:space="preserve">Agent(ARG0/3), Property(ARG1/4)</t>
  </si>
  <si>
    <t xml:space="preserve">PAT-&gt;Property(ARG1/4)</t>
  </si>
  <si>
    <t xml:space="preserve">"zestátňovat-001"</t>
  </si>
  <si>
    <t xml:space="preserve">"zesílit-001"</t>
  </si>
  <si>
    <t xml:space="preserve">"zesílit-002"</t>
  </si>
  <si>
    <t xml:space="preserve">"zet-001"</t>
  </si>
  <si>
    <t xml:space="preserve">"zet-002"</t>
  </si>
  <si>
    <t xml:space="preserve">DPHR: prázdnota.S7</t>
  </si>
  <si>
    <t xml:space="preserve">"zevšeobecňovat-001"</t>
  </si>
  <si>
    <t xml:space="preserve">"zezelenat-001"</t>
  </si>
  <si>
    <t xml:space="preserve">"zečtyřnásobit-001"</t>
  </si>
  <si>
    <t xml:space="preserve">"zečtyřnásobit-se-001"</t>
  </si>
  <si>
    <t xml:space="preserve">"zešedivět-001"</t>
  </si>
  <si>
    <t xml:space="preserve">"zeštíhlet-001"</t>
  </si>
  <si>
    <t xml:space="preserve">"zeštíhlet-002"</t>
  </si>
  <si>
    <t xml:space="preserve">"zeštíhlit-001"</t>
  </si>
  <si>
    <t xml:space="preserve">Agent(ARG0/4), Entity(ARG1/24), State_final(), State_initial()</t>
  </si>
  <si>
    <t xml:space="preserve">PAT-&gt;Entity(ARG1/24)</t>
  </si>
  <si>
    <t xml:space="preserve">"zeštíhlovat-001"</t>
  </si>
  <si>
    <t xml:space="preserve">"zežloutnout-001"</t>
  </si>
  <si>
    <t xml:space="preserve">"zfalšovat-001"</t>
  </si>
  <si>
    <t xml:space="preserve">"zfanatizovat-001"</t>
  </si>
  <si>
    <t xml:space="preserve">"zfilmovat-001"</t>
  </si>
  <si>
    <t xml:space="preserve">"zformovat-001"</t>
  </si>
  <si>
    <t xml:space="preserve">"zformovat-se-001"</t>
  </si>
  <si>
    <t xml:space="preserve">"zformulovat-001"</t>
  </si>
  <si>
    <t xml:space="preserve">"zhanobit-001"</t>
  </si>
  <si>
    <t xml:space="preserve">"zhasnout-001"</t>
  </si>
  <si>
    <t xml:space="preserve">"zhasnout-002"</t>
  </si>
  <si>
    <t xml:space="preserve">"zhasnout-003"</t>
  </si>
  <si>
    <t xml:space="preserve">"zhasnout-se-001"</t>
  </si>
  <si>
    <t xml:space="preserve">"zhasínat-001"</t>
  </si>
  <si>
    <t xml:space="preserve">"zhatit-001"</t>
  </si>
  <si>
    <t xml:space="preserve">"zhlavovat-001"</t>
  </si>
  <si>
    <t xml:space="preserve">"zhlédnout-001"</t>
  </si>
  <si>
    <t xml:space="preserve">"zhlédnout-002"</t>
  </si>
  <si>
    <t xml:space="preserve">"zhlížet-se-001"</t>
  </si>
  <si>
    <t xml:space="preserve">"zhmotnit-001"</t>
  </si>
  <si>
    <t xml:space="preserve">"zhmotňovat-se-001"</t>
  </si>
  <si>
    <t xml:space="preserve">"zhodnocovat-001"</t>
  </si>
  <si>
    <t xml:space="preserve">"zhodnocovat-se-001"</t>
  </si>
  <si>
    <t xml:space="preserve">"zhodnotit-001"</t>
  </si>
  <si>
    <t xml:space="preserve">?EFF: v+4</t>
  </si>
  <si>
    <t xml:space="preserve">"zhodnotit-002"</t>
  </si>
  <si>
    <t xml:space="preserve">"zhodnotit-003"</t>
  </si>
  <si>
    <t xml:space="preserve">"zhodnotit-se-001"</t>
  </si>
  <si>
    <t xml:space="preserve">"zhojit-001"</t>
  </si>
  <si>
    <t xml:space="preserve">"zhoršit-001"</t>
  </si>
  <si>
    <t xml:space="preserve">"zhoršit-se-001"</t>
  </si>
  <si>
    <t xml:space="preserve">ACT-&gt;ARG0/1,ARG1/168</t>
  </si>
  <si>
    <t xml:space="preserve">"zhoršovat-001"</t>
  </si>
  <si>
    <t xml:space="preserve">"zhoršovat-se-001"</t>
  </si>
  <si>
    <t xml:space="preserve">"zhospodárnit-001"</t>
  </si>
  <si>
    <t xml:space="preserve">"zhostit-se-001"</t>
  </si>
  <si>
    <t xml:space="preserve">"zhotovit-001"</t>
  </si>
  <si>
    <t xml:space="preserve">ACT-&gt;ARG0/524,ARG1/5,ARG2/3</t>
  </si>
  <si>
    <t xml:space="preserve">PAT-&gt;ARG1/923,ARG3/1,ARG4/5</t>
  </si>
  <si>
    <t xml:space="preserve">"zhotovovat-001"</t>
  </si>
  <si>
    <t xml:space="preserve">"zhoupnout-se-001"</t>
  </si>
  <si>
    <t xml:space="preserve">"zhoustnout-001"</t>
  </si>
  <si>
    <t xml:space="preserve">"zhořknout-001"</t>
  </si>
  <si>
    <t xml:space="preserve">"zhroutit-se-001"</t>
  </si>
  <si>
    <t xml:space="preserve">"zhroutit-se-002"</t>
  </si>
  <si>
    <t xml:space="preserve">"zhroutit-se-003"</t>
  </si>
  <si>
    <t xml:space="preserve">"zhroutit-se-004"</t>
  </si>
  <si>
    <t xml:space="preserve">"zhrozit-se-001"</t>
  </si>
  <si>
    <t xml:space="preserve">"zhrudkovatět-001"</t>
  </si>
  <si>
    <t xml:space="preserve">"zhubnout-001"</t>
  </si>
  <si>
    <t xml:space="preserve">"zhumanizovat-001"</t>
  </si>
  <si>
    <t xml:space="preserve">"zhuntovat-001"</t>
  </si>
  <si>
    <t xml:space="preserve">"zhušťovat-001"</t>
  </si>
  <si>
    <t xml:space="preserve">"zhušťovat-002"</t>
  </si>
  <si>
    <t xml:space="preserve">"zhypnotizovat-001"</t>
  </si>
  <si>
    <t xml:space="preserve">"zhysterizovat-001"</t>
  </si>
  <si>
    <t xml:space="preserve">"zhýčkat-001"</t>
  </si>
  <si>
    <t xml:space="preserve">"zhřešit-001"</t>
  </si>
  <si>
    <t xml:space="preserve">"zideologizovat-001"</t>
  </si>
  <si>
    <t xml:space="preserve">"zinscenovat-001"</t>
  </si>
  <si>
    <t xml:space="preserve">ACT-&gt;ARG0/194,ARG1/8</t>
  </si>
  <si>
    <t xml:space="preserve">PAT-&gt;ARG1/244</t>
  </si>
  <si>
    <t xml:space="preserve">"zintenzivňovat-001"</t>
  </si>
  <si>
    <t xml:space="preserve">"zintenzívnit-001"</t>
  </si>
  <si>
    <t xml:space="preserve">"--zintenzívnit-se-001"</t>
  </si>
  <si>
    <t xml:space="preserve">"zintenzívňovat-001"</t>
  </si>
  <si>
    <t xml:space="preserve">"zintrikovat-001"</t>
  </si>
  <si>
    <t xml:space="preserve">"zjasňovat-se-001"</t>
  </si>
  <si>
    <t xml:space="preserve">"zjednat-001"</t>
  </si>
  <si>
    <t xml:space="preserve">"zjednat-002"</t>
  </si>
  <si>
    <t xml:space="preserve">CPHR: {klid,náprava,pořádek,spravedlnost,...}.4</t>
  </si>
  <si>
    <t xml:space="preserve">"zjednat-003"</t>
  </si>
  <si>
    <t xml:space="preserve">"zjednodušit-001"</t>
  </si>
  <si>
    <t xml:space="preserve">"zjednodušit-002"</t>
  </si>
  <si>
    <t xml:space="preserve">"zjednodušit-se-001"</t>
  </si>
  <si>
    <t xml:space="preserve">"zjednodušovat-001"</t>
  </si>
  <si>
    <t xml:space="preserve">"zjednodušovat-002"</t>
  </si>
  <si>
    <t xml:space="preserve">"zjednávat-001"</t>
  </si>
  <si>
    <t xml:space="preserve">"zjednávat-002"</t>
  </si>
  <si>
    <t xml:space="preserve">CPHR: {klid,náprava,...}.4</t>
  </si>
  <si>
    <t xml:space="preserve">"zjemnit-001"</t>
  </si>
  <si>
    <t xml:space="preserve">"zjevit-se-001"</t>
  </si>
  <si>
    <t xml:space="preserve">"zjevit-se-002"</t>
  </si>
  <si>
    <t xml:space="preserve">"zjevovat-se-001"</t>
  </si>
  <si>
    <t xml:space="preserve">"zjistit-001"</t>
  </si>
  <si>
    <t xml:space="preserve">PAT: na+4; o+6</t>
  </si>
  <si>
    <t xml:space="preserve">?ORIG: u+2; od+2</t>
  </si>
  <si>
    <t xml:space="preserve">"zjistit-002"</t>
  </si>
  <si>
    <t xml:space="preserve">"zjitřit-001"</t>
  </si>
  <si>
    <t xml:space="preserve">"zjitřovat-001"</t>
  </si>
  <si>
    <t xml:space="preserve">"zjizvit-001"</t>
  </si>
  <si>
    <t xml:space="preserve">"zjišťovat-001"</t>
  </si>
  <si>
    <t xml:space="preserve">EFF: 4; ↓že; ↓zda; .v</t>
  </si>
  <si>
    <t xml:space="preserve">"zjišťovat-002"</t>
  </si>
  <si>
    <t xml:space="preserve">PAT: 4; ↓zda; ↓jestli; ↓že; ↓c; .v</t>
  </si>
  <si>
    <t xml:space="preserve">"zkalit-001"</t>
  </si>
  <si>
    <t xml:space="preserve">"zkapalnit-001"</t>
  </si>
  <si>
    <t xml:space="preserve">"zkazit-001"</t>
  </si>
  <si>
    <t xml:space="preserve">"zkazit-se-001"</t>
  </si>
  <si>
    <t xml:space="preserve">Spoiled(ARG1/3)</t>
  </si>
  <si>
    <t xml:space="preserve">ACT-&gt;Spoiled</t>
  </si>
  <si>
    <t xml:space="preserve">ACT-&gt;Spoiled(ARG1/3)</t>
  </si>
  <si>
    <t xml:space="preserve">"zklamat-001"</t>
  </si>
  <si>
    <t xml:space="preserve">"zklamat-002"</t>
  </si>
  <si>
    <t xml:space="preserve">"zklidnit-001"</t>
  </si>
  <si>
    <t xml:space="preserve">"zklidnit-se-001"</t>
  </si>
  <si>
    <t xml:space="preserve">"zkolabovat-001"</t>
  </si>
  <si>
    <t xml:space="preserve">"zkolaudovat-001"</t>
  </si>
  <si>
    <t xml:space="preserve">"zkombinovat-001"</t>
  </si>
  <si>
    <t xml:space="preserve">"zkomolit-001"</t>
  </si>
  <si>
    <t xml:space="preserve">"zkompletovat-001"</t>
  </si>
  <si>
    <t xml:space="preserve">"zkomplikovat-001"</t>
  </si>
  <si>
    <t xml:space="preserve">"zkomplikovat-se-001"</t>
  </si>
  <si>
    <t xml:space="preserve">"zkomponovat-001"</t>
  </si>
  <si>
    <t xml:space="preserve">"zkoncentrovat-se-001"</t>
  </si>
  <si>
    <t xml:space="preserve">"zkoncipovat-001"</t>
  </si>
  <si>
    <t xml:space="preserve">"zkonfiskovat-001"</t>
  </si>
  <si>
    <t xml:space="preserve">"zkonsolidovat-001"</t>
  </si>
  <si>
    <t xml:space="preserve">"zkonsolidovat-se-001"</t>
  </si>
  <si>
    <t xml:space="preserve">"zkonstruovat-001"</t>
  </si>
  <si>
    <t xml:space="preserve">"zkontaktovat-001"</t>
  </si>
  <si>
    <t xml:space="preserve">"zkontrolovat-001"</t>
  </si>
  <si>
    <t xml:space="preserve">"zkonvertovat-001"</t>
  </si>
  <si>
    <t xml:space="preserve">"zkonzistentnit-001"</t>
  </si>
  <si>
    <t xml:space="preserve">"zkonzolidovat-001"</t>
  </si>
  <si>
    <t xml:space="preserve">"zkonzumovat-001"</t>
  </si>
  <si>
    <t xml:space="preserve">"zkoordinovat-001"</t>
  </si>
  <si>
    <t xml:space="preserve">"zkopat-001"</t>
  </si>
  <si>
    <t xml:space="preserve">"zkopírovat-001"</t>
  </si>
  <si>
    <t xml:space="preserve">"--zkopírovat-002"</t>
  </si>
  <si>
    <t xml:space="preserve">"zkorigovat-001"</t>
  </si>
  <si>
    <t xml:space="preserve">"zkorumpovat-001"</t>
  </si>
  <si>
    <t xml:space="preserve">"zkoumat-001"</t>
  </si>
  <si>
    <t xml:space="preserve">"zkoušet-001"</t>
  </si>
  <si>
    <t xml:space="preserve">"zkoušet-002"</t>
  </si>
  <si>
    <t xml:space="preserve">?ORIG: z+2; 4</t>
  </si>
  <si>
    <t xml:space="preserve">"zkoušet-003"</t>
  </si>
  <si>
    <t xml:space="preserve">"zkoušet-004"</t>
  </si>
  <si>
    <t xml:space="preserve">"zkoušet-005"</t>
  </si>
  <si>
    <t xml:space="preserve">"zkoušet-006"</t>
  </si>
  <si>
    <t xml:space="preserve">ACT-&gt;ARG0/480,ARG1/1</t>
  </si>
  <si>
    <t xml:space="preserve">PAT: 4; .f; ↓zda; ↓jestli; ↓c</t>
  </si>
  <si>
    <t xml:space="preserve">PAT-&gt;ARG1/658,ARG2/2</t>
  </si>
  <si>
    <t xml:space="preserve">"zkoušet-si-001"</t>
  </si>
  <si>
    <t xml:space="preserve">"zkrachovat-001"</t>
  </si>
  <si>
    <t xml:space="preserve">"zkracovat-001"</t>
  </si>
  <si>
    <t xml:space="preserve">PAT-&gt;ARG1/192</t>
  </si>
  <si>
    <t xml:space="preserve">ORIG-&gt;ARG2/1,ARG3/19,ARG4/1</t>
  </si>
  <si>
    <t xml:space="preserve">EFF-&gt;ARG2/10,ARG4/33</t>
  </si>
  <si>
    <t xml:space="preserve">"zkreslit-001"</t>
  </si>
  <si>
    <t xml:space="preserve">"zkreslovat-001"</t>
  </si>
  <si>
    <t xml:space="preserve">PAT-&gt;ARG1/43</t>
  </si>
  <si>
    <t xml:space="preserve">"zkritizovat-001"</t>
  </si>
  <si>
    <t xml:space="preserve">PAT-&gt;ARG1/191,ARG2/3</t>
  </si>
  <si>
    <t xml:space="preserve">"zkrotit-001"</t>
  </si>
  <si>
    <t xml:space="preserve">"zkrotit-002"</t>
  </si>
  <si>
    <t xml:space="preserve">"zkrouhnout-001"</t>
  </si>
  <si>
    <t xml:space="preserve">"zkroutit-se-001"</t>
  </si>
  <si>
    <t xml:space="preserve">"zkrvavit-001"</t>
  </si>
  <si>
    <t xml:space="preserve">"zkrátit-001"</t>
  </si>
  <si>
    <t xml:space="preserve">"zkrátit-002"</t>
  </si>
  <si>
    <t xml:space="preserve">"zkrátit-se-001"</t>
  </si>
  <si>
    <t xml:space="preserve">PAT-&gt;Value_final()</t>
  </si>
  <si>
    <t xml:space="preserve">"zkrášlit-001"</t>
  </si>
  <si>
    <t xml:space="preserve">"zkultivovat-001"</t>
  </si>
  <si>
    <t xml:space="preserve">"zkusit-001"</t>
  </si>
  <si>
    <t xml:space="preserve">"zkusit-002"</t>
  </si>
  <si>
    <t xml:space="preserve">"zkusit-003"</t>
  </si>
  <si>
    <t xml:space="preserve">"zkusit-004"</t>
  </si>
  <si>
    <t xml:space="preserve">"zkusit-005"</t>
  </si>
  <si>
    <t xml:space="preserve">DPHR: na-1[pěst:S4[vlastní-1.#]]</t>
  </si>
  <si>
    <t xml:space="preserve">"zkusit-006"</t>
  </si>
  <si>
    <t xml:space="preserve">"zkusit-007"</t>
  </si>
  <si>
    <t xml:space="preserve">"zkusit-si-001"</t>
  </si>
  <si>
    <t xml:space="preserve">"zkusit-si-002"</t>
  </si>
  <si>
    <t xml:space="preserve">"zkvalitnit-001"</t>
  </si>
  <si>
    <t xml:space="preserve">"zkvalitňovat-001"</t>
  </si>
  <si>
    <t xml:space="preserve">"zkysnout-001"</t>
  </si>
  <si>
    <t xml:space="preserve">"zkřivit-001"</t>
  </si>
  <si>
    <t xml:space="preserve">"zkřížit-001"</t>
  </si>
  <si>
    <t xml:space="preserve">"zkřížit-002"</t>
  </si>
  <si>
    <t xml:space="preserve">"zlegalizovat-001"</t>
  </si>
  <si>
    <t xml:space="preserve">"zlehčit-001"</t>
  </si>
  <si>
    <t xml:space="preserve">"zlehčovat-001"</t>
  </si>
  <si>
    <t xml:space="preserve">"zlenivět-001"</t>
  </si>
  <si>
    <t xml:space="preserve">"zlepšit-001"</t>
  </si>
  <si>
    <t xml:space="preserve">"zlepšit-se-001"</t>
  </si>
  <si>
    <t xml:space="preserve">ACT-&gt;ARG0/1,ARG1/553,ARG4/70</t>
  </si>
  <si>
    <t xml:space="preserve">ACT-&gt;Improved</t>
  </si>
  <si>
    <t xml:space="preserve">ACT-&gt;Improved(ARG1/354,ARG4/70)</t>
  </si>
  <si>
    <t xml:space="preserve">PAT-&gt;ARG1/354,ARG2/60,ARG4/181</t>
  </si>
  <si>
    <t xml:space="preserve">PAT-&gt;Improved; PAT-&gt;State_final</t>
  </si>
  <si>
    <t xml:space="preserve">PAT-&gt;Improved(ARG1/354,ARG4/70); PAT-&gt;State_final(ARG2/5,ARG4/41)</t>
  </si>
  <si>
    <t xml:space="preserve">PAT-&gt;State_final(ARG2/55,ARG4/70)</t>
  </si>
  <si>
    <t xml:space="preserve">ORIG-&gt;ARG2/1,ARG3/29</t>
  </si>
  <si>
    <t xml:space="preserve">ORIG-&gt;State_initial(ARG3/5)</t>
  </si>
  <si>
    <t xml:space="preserve">"zlepšovat-001"</t>
  </si>
  <si>
    <t xml:space="preserve">"zlepšovat-se-001"</t>
  </si>
  <si>
    <t xml:space="preserve">"zlepšovat-se-002"</t>
  </si>
  <si>
    <t xml:space="preserve">ACT-&gt;ARG0/20,ARG1/1998,ARG2/8</t>
  </si>
  <si>
    <t xml:space="preserve">"zlevnit-001"</t>
  </si>
  <si>
    <t xml:space="preserve">"zlevnit-002"</t>
  </si>
  <si>
    <t xml:space="preserve">"zlevňovat-001"</t>
  </si>
  <si>
    <t xml:space="preserve">"zliberalizovat-001"</t>
  </si>
  <si>
    <t xml:space="preserve">"zlidovět-001"</t>
  </si>
  <si>
    <t xml:space="preserve">"zlikvidovat-001"</t>
  </si>
  <si>
    <t xml:space="preserve">"zlobit-001"</t>
  </si>
  <si>
    <t xml:space="preserve">"zlobit-002"</t>
  </si>
  <si>
    <t xml:space="preserve">"zlobit-se-001"</t>
  </si>
  <si>
    <t xml:space="preserve">"zlomit-001"</t>
  </si>
  <si>
    <t xml:space="preserve">"zlomit-002"</t>
  </si>
  <si>
    <t xml:space="preserve">"zlomit-003"</t>
  </si>
  <si>
    <t xml:space="preserve">"zlomit-004"</t>
  </si>
  <si>
    <t xml:space="preserve">"zlomit-se-001"</t>
  </si>
  <si>
    <t xml:space="preserve">"zlořečit-001"</t>
  </si>
  <si>
    <t xml:space="preserve">ADDR-&gt;ARG1/18,ARG2/6</t>
  </si>
  <si>
    <t xml:space="preserve">PAT-&gt;ARG1/90,ARG2/11</t>
  </si>
  <si>
    <t xml:space="preserve">"zlákat-001"</t>
  </si>
  <si>
    <t xml:space="preserve">?PAT: k+3; .f; ↓aby; ↓ať; na+4</t>
  </si>
  <si>
    <t xml:space="preserve">"zlámat-001"</t>
  </si>
  <si>
    <t xml:space="preserve">"zlíbit-se-001"</t>
  </si>
  <si>
    <t xml:space="preserve">"zmalomyslnět-001"</t>
  </si>
  <si>
    <t xml:space="preserve">"zmalátnit-001"</t>
  </si>
  <si>
    <t xml:space="preserve">"zmalířštět-001"</t>
  </si>
  <si>
    <t xml:space="preserve">"zmanipulovat-001"</t>
  </si>
  <si>
    <t xml:space="preserve">"zmapovat-001"</t>
  </si>
  <si>
    <t xml:space="preserve">"zmarnit-001"</t>
  </si>
  <si>
    <t xml:space="preserve">"zmasakrovat-001"</t>
  </si>
  <si>
    <t xml:space="preserve">"zmačknout-001"</t>
  </si>
  <si>
    <t xml:space="preserve">"zmařit-001"</t>
  </si>
  <si>
    <t xml:space="preserve">"zmařit-002"</t>
  </si>
  <si>
    <t xml:space="preserve">"zmehnout-001"</t>
  </si>
  <si>
    <t xml:space="preserve">"zmenšit-001"</t>
  </si>
  <si>
    <t xml:space="preserve">"zmenšit-se-001"</t>
  </si>
  <si>
    <t xml:space="preserve">"zmenšovat-001"</t>
  </si>
  <si>
    <t xml:space="preserve">"zmenšovat-se-001"</t>
  </si>
  <si>
    <t xml:space="preserve">"zmeškat-001"</t>
  </si>
  <si>
    <t xml:space="preserve">"zminimalizovat-001"</t>
  </si>
  <si>
    <t xml:space="preserve">"zmizet-001"</t>
  </si>
  <si>
    <t xml:space="preserve">"zmiňovat-001"</t>
  </si>
  <si>
    <t xml:space="preserve">"--zmiňovat-002"</t>
  </si>
  <si>
    <t xml:space="preserve">"zmiňovat-se-001"</t>
  </si>
  <si>
    <t xml:space="preserve">"zmiňovat-se-002"</t>
  </si>
  <si>
    <t xml:space="preserve">ACT-&gt;ARG0/13433,ARG1/39</t>
  </si>
  <si>
    <t xml:space="preserve">EFF-&gt;ARG0/4,ARG1/11977,ARG2/3,ARG3/30</t>
  </si>
  <si>
    <t xml:space="preserve">PAT-&gt;ARG0/4,ARG1/11977,ARG2/3,ARG3/30</t>
  </si>
  <si>
    <t xml:space="preserve">PAT-&gt;Information(ARG0/4,ARG1/11732,ARG2/3,ARG3/30)</t>
  </si>
  <si>
    <t xml:space="preserve">ADDR-&gt;ARG1/3,ARG2/353</t>
  </si>
  <si>
    <t xml:space="preserve">"zmlknout-001"</t>
  </si>
  <si>
    <t xml:space="preserve">"zmlátit-001"</t>
  </si>
  <si>
    <t xml:space="preserve">"zmnohonásobit-001"</t>
  </si>
  <si>
    <t xml:space="preserve">"zmobilizovat-001"</t>
  </si>
  <si>
    <t xml:space="preserve">"zmoci-001"</t>
  </si>
  <si>
    <t xml:space="preserve">"zmoci-002"</t>
  </si>
  <si>
    <t xml:space="preserve">"zmoci-se-001"</t>
  </si>
  <si>
    <t xml:space="preserve">"zmocnit-001"</t>
  </si>
  <si>
    <t xml:space="preserve">"zmocnit-se-001"</t>
  </si>
  <si>
    <t xml:space="preserve">"zmocnit-se-002"</t>
  </si>
  <si>
    <t xml:space="preserve">"zmocnit-se-003"</t>
  </si>
  <si>
    <t xml:space="preserve">CPHR: {nenávist,strach,...}.1</t>
  </si>
  <si>
    <t xml:space="preserve">"zmocňovat-001"</t>
  </si>
  <si>
    <t xml:space="preserve">"zmocňovat-se-001"</t>
  </si>
  <si>
    <t xml:space="preserve">"zmodernizovat-001"</t>
  </si>
  <si>
    <t xml:space="preserve">"zmoknout-001"</t>
  </si>
  <si>
    <t xml:space="preserve">"zmonopolizovat-001"</t>
  </si>
  <si>
    <t xml:space="preserve">"zmotat-001"</t>
  </si>
  <si>
    <t xml:space="preserve">"zmrazit-001"</t>
  </si>
  <si>
    <t xml:space="preserve">"zmrazovat-001"</t>
  </si>
  <si>
    <t xml:space="preserve">"zmrzačit-001"</t>
  </si>
  <si>
    <t xml:space="preserve">"zmrznout-001"</t>
  </si>
  <si>
    <t xml:space="preserve">"zmutovat-001"</t>
  </si>
  <si>
    <t xml:space="preserve">"zmužnět-001"</t>
  </si>
  <si>
    <t xml:space="preserve">"zmydlit-001"</t>
  </si>
  <si>
    <t xml:space="preserve">"zmáchat-001"</t>
  </si>
  <si>
    <t xml:space="preserve">"zmást-001"</t>
  </si>
  <si>
    <t xml:space="preserve">"zmátořit-se-001"</t>
  </si>
  <si>
    <t xml:space="preserve">"zmáčknout-001"</t>
  </si>
  <si>
    <t xml:space="preserve">"zmínit-001"</t>
  </si>
  <si>
    <t xml:space="preserve">"zmínit-se-001"</t>
  </si>
  <si>
    <t xml:space="preserve">"zmínit-se-002"</t>
  </si>
  <si>
    <t xml:space="preserve">"zmírat-001"</t>
  </si>
  <si>
    <t xml:space="preserve">"zmírnit-001"</t>
  </si>
  <si>
    <t xml:space="preserve">ACT-&gt;ARG0/177,ARG1/1</t>
  </si>
  <si>
    <t xml:space="preserve">PAT-&gt;ARG1/308,ARG2/1</t>
  </si>
  <si>
    <t xml:space="preserve">"zmírnit-se-001"</t>
  </si>
  <si>
    <t xml:space="preserve">"zmírnět-001"</t>
  </si>
  <si>
    <t xml:space="preserve">"zmírňovat-001"</t>
  </si>
  <si>
    <t xml:space="preserve">"zmírňovat-se-001"</t>
  </si>
  <si>
    <t xml:space="preserve">"zmítat-001"</t>
  </si>
  <si>
    <t xml:space="preserve">Cause(ARG2/1), Victim(ARG1/2)</t>
  </si>
  <si>
    <t xml:space="preserve">ACT-&gt;ARG2/1</t>
  </si>
  <si>
    <t xml:space="preserve">ACT-&gt;Cause(ARG2/1)</t>
  </si>
  <si>
    <t xml:space="preserve">"zmítat-se-001"</t>
  </si>
  <si>
    <t xml:space="preserve">"zmýlit-se-001"</t>
  </si>
  <si>
    <t xml:space="preserve">"změknout-001"</t>
  </si>
  <si>
    <t xml:space="preserve">"změkčit-001"</t>
  </si>
  <si>
    <t xml:space="preserve">"změkčovat-001"</t>
  </si>
  <si>
    <t xml:space="preserve">"změnit-001"</t>
  </si>
  <si>
    <t xml:space="preserve">"změnit-002"</t>
  </si>
  <si>
    <t xml:space="preserve">"změnit-003"</t>
  </si>
  <si>
    <t xml:space="preserve">Property(), Owner(), New()</t>
  </si>
  <si>
    <t xml:space="preserve">ACT-&gt;Property</t>
  </si>
  <si>
    <t xml:space="preserve">ACT-&gt;Property()</t>
  </si>
  <si>
    <t xml:space="preserve">PAT-&gt;Owner()</t>
  </si>
  <si>
    <t xml:space="preserve">"změnit-004"</t>
  </si>
  <si>
    <t xml:space="preserve">DPHR: k-1[dobrý.a3]</t>
  </si>
  <si>
    <t xml:space="preserve">"změnit-005"</t>
  </si>
  <si>
    <t xml:space="preserve">DPHR: k-1[dobrý.NS3@2]</t>
  </si>
  <si>
    <t xml:space="preserve">"změnit-se-001"</t>
  </si>
  <si>
    <t xml:space="preserve">"změřit-001"</t>
  </si>
  <si>
    <t xml:space="preserve">"změřit-002"</t>
  </si>
  <si>
    <t xml:space="preserve">"znamenat-001"</t>
  </si>
  <si>
    <t xml:space="preserve">PAT: 4; .f; ↓že; ↓aby; .s; ↓c; .v</t>
  </si>
  <si>
    <t xml:space="preserve">"znamenat-002"</t>
  </si>
  <si>
    <t xml:space="preserve">"značit-001"</t>
  </si>
  <si>
    <t xml:space="preserve">"značit-002"</t>
  </si>
  <si>
    <t xml:space="preserve">"znechucovat-001"</t>
  </si>
  <si>
    <t xml:space="preserve">"znechutit-001"</t>
  </si>
  <si>
    <t xml:space="preserve">"znegovat-001"</t>
  </si>
  <si>
    <t xml:space="preserve">"znehodnocovat-001"</t>
  </si>
  <si>
    <t xml:space="preserve">ACT-&gt;ARG0/100,ARG2/9</t>
  </si>
  <si>
    <t xml:space="preserve">PAT-&gt;ARG1/201</t>
  </si>
  <si>
    <t xml:space="preserve">"znehodnotit-001"</t>
  </si>
  <si>
    <t xml:space="preserve">"znehodnotit-002"</t>
  </si>
  <si>
    <t xml:space="preserve">"znehodnotit-se-001"</t>
  </si>
  <si>
    <t xml:space="preserve">"znejistit-001"</t>
  </si>
  <si>
    <t xml:space="preserve">ACT-&gt;ARG0/74,ARG1/1,ARG2/2</t>
  </si>
  <si>
    <t xml:space="preserve">PAT-&gt;ARG0/6,ARG1/118</t>
  </si>
  <si>
    <t xml:space="preserve">"znejistět-001"</t>
  </si>
  <si>
    <t xml:space="preserve">"znejistět-002"</t>
  </si>
  <si>
    <t xml:space="preserve">"zneklidnit-001"</t>
  </si>
  <si>
    <t xml:space="preserve">"zneklidnět-001"</t>
  </si>
  <si>
    <t xml:space="preserve">"zneklidňovat-001"</t>
  </si>
  <si>
    <t xml:space="preserve">"znemožnit-001"</t>
  </si>
  <si>
    <t xml:space="preserve">"znemožňovat-001"</t>
  </si>
  <si>
    <t xml:space="preserve">"znepokojit-001"</t>
  </si>
  <si>
    <t xml:space="preserve">"znepokojovat-001"</t>
  </si>
  <si>
    <t xml:space="preserve">"znepokojovat-se-001"</t>
  </si>
  <si>
    <t xml:space="preserve">"znepřátelit-001"</t>
  </si>
  <si>
    <t xml:space="preserve">"znepřátelit-si-001"</t>
  </si>
  <si>
    <t xml:space="preserve">"znepříjemnit-001"</t>
  </si>
  <si>
    <t xml:space="preserve">"znepříjemňovat-001"</t>
  </si>
  <si>
    <t xml:space="preserve">"znervóznit-001"</t>
  </si>
  <si>
    <t xml:space="preserve">ACT-&gt;ARG0/60,ARG1/1,ARG2/5</t>
  </si>
  <si>
    <t xml:space="preserve">PAT-&gt;ARG0/6,ARG1/91</t>
  </si>
  <si>
    <t xml:space="preserve">"znervóznit-002"</t>
  </si>
  <si>
    <t xml:space="preserve">ACT-&gt;ARG0/6,ARG1/58</t>
  </si>
  <si>
    <t xml:space="preserve">ACT-&gt;Affected(ARG0/6,ARG1/58)</t>
  </si>
  <si>
    <t xml:space="preserve">PAT-&gt;ARG0/40,ARG1/1</t>
  </si>
  <si>
    <t xml:space="preserve">PAT-&gt;Stimulus(ARG0/40,ARG1/1)</t>
  </si>
  <si>
    <t xml:space="preserve">"znervóznět-001"</t>
  </si>
  <si>
    <t xml:space="preserve">"znervózňovat-001"</t>
  </si>
  <si>
    <t xml:space="preserve">ACT-&gt;ARG0/87,ARG1/1,ARG2/5</t>
  </si>
  <si>
    <t xml:space="preserve">PAT-&gt;ARG0/6,ARG1/123</t>
  </si>
  <si>
    <t xml:space="preserve">"znesnadnit-001"</t>
  </si>
  <si>
    <t xml:space="preserve">"znesnadňovat-001"</t>
  </si>
  <si>
    <t xml:space="preserve">"znesvěcovat-001"</t>
  </si>
  <si>
    <t xml:space="preserve">"znetvořit-001"</t>
  </si>
  <si>
    <t xml:space="preserve">"zneuctít-001"</t>
  </si>
  <si>
    <t xml:space="preserve">"zneužít-001"</t>
  </si>
  <si>
    <t xml:space="preserve">"zneužívat-001"</t>
  </si>
  <si>
    <t xml:space="preserve">"znevažovat-001"</t>
  </si>
  <si>
    <t xml:space="preserve">"znevážit-001"</t>
  </si>
  <si>
    <t xml:space="preserve">PAT-&gt;ARG0/1,ARG1/23,ARG2/2</t>
  </si>
  <si>
    <t xml:space="preserve">"znevýhodnit-001"</t>
  </si>
  <si>
    <t xml:space="preserve">"znevýhodňovat-001"</t>
  </si>
  <si>
    <t xml:space="preserve">"znečistit-001"</t>
  </si>
  <si>
    <t xml:space="preserve">"znečišťovat-001"</t>
  </si>
  <si>
    <t xml:space="preserve">"zneškodnit-001"</t>
  </si>
  <si>
    <t xml:space="preserve">"znivelizovat-001"</t>
  </si>
  <si>
    <t xml:space="preserve">"zničit-001"</t>
  </si>
  <si>
    <t xml:space="preserve">"zničit-se-001"</t>
  </si>
  <si>
    <t xml:space="preserve">"znormalizovat-001"</t>
  </si>
  <si>
    <t xml:space="preserve">"znovuobjevit-001"</t>
  </si>
  <si>
    <t xml:space="preserve">"znovuobjevovat-001"</t>
  </si>
  <si>
    <t xml:space="preserve">"znovuobnovit-001"</t>
  </si>
  <si>
    <t xml:space="preserve">"znovuotevřít-001"</t>
  </si>
  <si>
    <t xml:space="preserve">ACT-&gt;ARG0/137,ARG1/11,ARG2/2</t>
  </si>
  <si>
    <t xml:space="preserve">"znovuzvolit-001"</t>
  </si>
  <si>
    <t xml:space="preserve">"známkovat-001"</t>
  </si>
  <si>
    <t xml:space="preserve">"znárodnit-001"</t>
  </si>
  <si>
    <t xml:space="preserve">"znárodňovat-001"</t>
  </si>
  <si>
    <t xml:space="preserve">"znásilnit-001"</t>
  </si>
  <si>
    <t xml:space="preserve">"znásilnit-002"</t>
  </si>
  <si>
    <t xml:space="preserve">Perpetrator(ARG0/5), Victim(ARG1/6)</t>
  </si>
  <si>
    <t xml:space="preserve">ACT-&gt;Perpetrator(ARG0/5)</t>
  </si>
  <si>
    <t xml:space="preserve">PAT-&gt;Victim(ARG1/6)</t>
  </si>
  <si>
    <t xml:space="preserve">"znásilňovat-001"</t>
  </si>
  <si>
    <t xml:space="preserve">"znásilňovat-002"</t>
  </si>
  <si>
    <t xml:space="preserve">"znásobit-001"</t>
  </si>
  <si>
    <t xml:space="preserve">"znásobit-002"</t>
  </si>
  <si>
    <t xml:space="preserve">"znásobit-se-001"</t>
  </si>
  <si>
    <t xml:space="preserve">"znásobovat-001"</t>
  </si>
  <si>
    <t xml:space="preserve">"znásobovat-se-001"</t>
  </si>
  <si>
    <t xml:space="preserve">"znát-001"</t>
  </si>
  <si>
    <t xml:space="preserve">"znát-002"</t>
  </si>
  <si>
    <t xml:space="preserve">"znát-003"</t>
  </si>
  <si>
    <t xml:space="preserve">"znát-004"</t>
  </si>
  <si>
    <t xml:space="preserve">"znát-005"</t>
  </si>
  <si>
    <t xml:space="preserve">Cognizer(), Entity()</t>
  </si>
  <si>
    <t xml:space="preserve">"znát-006"</t>
  </si>
  <si>
    <t xml:space="preserve">"znát-se-001"</t>
  </si>
  <si>
    <t xml:space="preserve">"--znát-se-002"</t>
  </si>
  <si>
    <t xml:space="preserve">"znázorňovat-001"</t>
  </si>
  <si>
    <t xml:space="preserve">"znít-001"</t>
  </si>
  <si>
    <t xml:space="preserve">"znít-002"</t>
  </si>
  <si>
    <t xml:space="preserve">"znít-003"</t>
  </si>
  <si>
    <t xml:space="preserve">"znít-004"</t>
  </si>
  <si>
    <t xml:space="preserve">"znít-005"</t>
  </si>
  <si>
    <t xml:space="preserve">"zněkolikanásobit-001"</t>
  </si>
  <si>
    <t xml:space="preserve">"zobchodovat-001"</t>
  </si>
  <si>
    <t xml:space="preserve">"zobecňovat-001"</t>
  </si>
  <si>
    <t xml:space="preserve">Generalizing(), Generalized(ARG1/1)</t>
  </si>
  <si>
    <t xml:space="preserve">ACT-&gt;Generalizing</t>
  </si>
  <si>
    <t xml:space="preserve">ACT-&gt;Generalizing()</t>
  </si>
  <si>
    <t xml:space="preserve">PAT-&gt;Generalized</t>
  </si>
  <si>
    <t xml:space="preserve">PAT-&gt;Generalized(ARG1/1)</t>
  </si>
  <si>
    <t xml:space="preserve">"zobrazit-001"</t>
  </si>
  <si>
    <t xml:space="preserve">"zobrazit-002"</t>
  </si>
  <si>
    <t xml:space="preserve">"zobrazit-se-001"</t>
  </si>
  <si>
    <t xml:space="preserve">"zobrazovat-001"</t>
  </si>
  <si>
    <t xml:space="preserve">"zobrazovat-se-001"</t>
  </si>
  <si>
    <t xml:space="preserve">"zocelit-001"</t>
  </si>
  <si>
    <t xml:space="preserve">"zocelit-se-001"</t>
  </si>
  <si>
    <t xml:space="preserve">"zodpovídat-001"</t>
  </si>
  <si>
    <t xml:space="preserve">"zodpovídat-002"</t>
  </si>
  <si>
    <t xml:space="preserve">"zodpovídat-se-001"</t>
  </si>
  <si>
    <t xml:space="preserve">Protagonist(), Action(), Authority()</t>
  </si>
  <si>
    <t xml:space="preserve">PAT: z+2; za+4</t>
  </si>
  <si>
    <t xml:space="preserve">PAT-&gt;Action()</t>
  </si>
  <si>
    <t xml:space="preserve">ADDR-&gt;Authority()</t>
  </si>
  <si>
    <t xml:space="preserve">"zodpovědět-001"</t>
  </si>
  <si>
    <t xml:space="preserve">PAT: 4; .f; ↓c; ↓zda</t>
  </si>
  <si>
    <t xml:space="preserve">"zohavit-001"</t>
  </si>
  <si>
    <t xml:space="preserve">"zohlednit-001"</t>
  </si>
  <si>
    <t xml:space="preserve">"zohledňovat-001"</t>
  </si>
  <si>
    <t xml:space="preserve">PAT: 4; ↓jak-2; ↓že; ↓c</t>
  </si>
  <si>
    <t xml:space="preserve">"zopakovat-001"</t>
  </si>
  <si>
    <t xml:space="preserve">PAT: 4; ↓zda; ↓jestli; ↓aby; .s; ↓c</t>
  </si>
  <si>
    <t xml:space="preserve">"zopakovat-002"</t>
  </si>
  <si>
    <t xml:space="preserve">"zopakovat-003"</t>
  </si>
  <si>
    <t xml:space="preserve">"zopakovat-se-001"</t>
  </si>
  <si>
    <t xml:space="preserve">"zoptimalizovat-001"</t>
  </si>
  <si>
    <t xml:space="preserve">"zorganizovat-001"</t>
  </si>
  <si>
    <t xml:space="preserve">"zorientovat-se-001"</t>
  </si>
  <si>
    <t xml:space="preserve">"zosnovat-001"</t>
  </si>
  <si>
    <t xml:space="preserve">"zosobňovat-001"</t>
  </si>
  <si>
    <t xml:space="preserve">"zostřit-001"</t>
  </si>
  <si>
    <t xml:space="preserve">"zostřit-se-001"</t>
  </si>
  <si>
    <t xml:space="preserve">"zostřovat-001"</t>
  </si>
  <si>
    <t xml:space="preserve">"zotavit-001"</t>
  </si>
  <si>
    <t xml:space="preserve">"zotavit-se-001"</t>
  </si>
  <si>
    <t xml:space="preserve">"zotavovat-se-001"</t>
  </si>
  <si>
    <t xml:space="preserve">"zoufat-si-001"</t>
  </si>
  <si>
    <t xml:space="preserve">"zout-001"</t>
  </si>
  <si>
    <t xml:space="preserve">"zout-002"</t>
  </si>
  <si>
    <t xml:space="preserve">"zošklivit-si-001"</t>
  </si>
  <si>
    <t xml:space="preserve">"zpanikařit-001"</t>
  </si>
  <si>
    <t xml:space="preserve">"zpeněžit-001"</t>
  </si>
  <si>
    <t xml:space="preserve">"zpeněžovat-001"</t>
  </si>
  <si>
    <t xml:space="preserve">"zpestřit-001"</t>
  </si>
  <si>
    <t xml:space="preserve">"zpestřovat-001"</t>
  </si>
  <si>
    <t xml:space="preserve">"zpevnit-001"</t>
  </si>
  <si>
    <t xml:space="preserve">Stabilizing(ARG0/1,ARG1/32), Value(ARG1/2), Value_final(ARG4/8), Value_initial(ARG3/1)</t>
  </si>
  <si>
    <t xml:space="preserve">ACT-&gt;ARG0/1,ARG1/32</t>
  </si>
  <si>
    <t xml:space="preserve">ACT-&gt;Stabilizing(ARG0/1,ARG1/32)</t>
  </si>
  <si>
    <t xml:space="preserve">PAT-&gt;Value(ARG1/2)</t>
  </si>
  <si>
    <t xml:space="preserve">EFF-&gt;ARG4/8</t>
  </si>
  <si>
    <t xml:space="preserve">EFF-&gt;Value_final(ARG4/8)</t>
  </si>
  <si>
    <t xml:space="preserve">"zpevnit-002"</t>
  </si>
  <si>
    <t xml:space="preserve">"zpevňovat-001"</t>
  </si>
  <si>
    <t xml:space="preserve">"zpečetit-001"</t>
  </si>
  <si>
    <t xml:space="preserve">"zplanýrovat-001"</t>
  </si>
  <si>
    <t xml:space="preserve">"zplizovat-001"</t>
  </si>
  <si>
    <t xml:space="preserve">"zplnoletnit-001"</t>
  </si>
  <si>
    <t xml:space="preserve">"zplnomocnit-001"</t>
  </si>
  <si>
    <t xml:space="preserve">"zplnomocňovat-001"</t>
  </si>
  <si>
    <t xml:space="preserve">"zplodit-001"</t>
  </si>
  <si>
    <t xml:space="preserve">"zplodit-002"</t>
  </si>
  <si>
    <t xml:space="preserve">"zploštit-001"</t>
  </si>
  <si>
    <t xml:space="preserve">"zpochybnit-001"</t>
  </si>
  <si>
    <t xml:space="preserve">"zpochybňovat-001"</t>
  </si>
  <si>
    <t xml:space="preserve">"zpodobňovat-001"</t>
  </si>
  <si>
    <t xml:space="preserve">"zpohodlnět-001"</t>
  </si>
  <si>
    <t xml:space="preserve">"zpolitizovat-001"</t>
  </si>
  <si>
    <t xml:space="preserve">"zpomalit-001"</t>
  </si>
  <si>
    <t xml:space="preserve">"zpomalit-002"</t>
  </si>
  <si>
    <t xml:space="preserve">"zpomalit-se-001"</t>
  </si>
  <si>
    <t xml:space="preserve">"zpomalit-se-002"</t>
  </si>
  <si>
    <t xml:space="preserve">"zpomalovat-001"</t>
  </si>
  <si>
    <t xml:space="preserve">"zpomalovat-002"</t>
  </si>
  <si>
    <t xml:space="preserve">"zpomalovat-se-001"</t>
  </si>
  <si>
    <t xml:space="preserve">"zpopelnit-001"</t>
  </si>
  <si>
    <t xml:space="preserve">"zpopularizovat-001"</t>
  </si>
  <si>
    <t xml:space="preserve">"zpotit-se-001"</t>
  </si>
  <si>
    <t xml:space="preserve">"zpovídat-001"</t>
  </si>
  <si>
    <t xml:space="preserve">"zpozdit-001"</t>
  </si>
  <si>
    <t xml:space="preserve">"zpozdit-se-001"</t>
  </si>
  <si>
    <t xml:space="preserve">"zpozdit-se-002"</t>
  </si>
  <si>
    <t xml:space="preserve">"zpozornět-001"</t>
  </si>
  <si>
    <t xml:space="preserve">"zpozorovat-001"</t>
  </si>
  <si>
    <t xml:space="preserve">"zpožďovat-001"</t>
  </si>
  <si>
    <t xml:space="preserve">"zpožďovat-se-001"</t>
  </si>
  <si>
    <t xml:space="preserve">"zpracovat-001"</t>
  </si>
  <si>
    <t xml:space="preserve">"zpracovat-002"</t>
  </si>
  <si>
    <t xml:space="preserve">"zpracovat-003"</t>
  </si>
  <si>
    <t xml:space="preserve">"zpracovat-004"</t>
  </si>
  <si>
    <t xml:space="preserve">"zpracovávat-001"</t>
  </si>
  <si>
    <t xml:space="preserve">"zpracovávat-002"</t>
  </si>
  <si>
    <t xml:space="preserve">"zpracovávat-003"</t>
  </si>
  <si>
    <t xml:space="preserve">"zpracovávat-004"</t>
  </si>
  <si>
    <t xml:space="preserve">"zpravit-001"</t>
  </si>
  <si>
    <t xml:space="preserve">"zprivatizovat-001"</t>
  </si>
  <si>
    <t xml:space="preserve">"zprofanovat-001"</t>
  </si>
  <si>
    <t xml:space="preserve">"zpronevěřit-001"</t>
  </si>
  <si>
    <t xml:space="preserve">"zpronevěřit-se-001"</t>
  </si>
  <si>
    <t xml:space="preserve">"zprostit-001"</t>
  </si>
  <si>
    <t xml:space="preserve">"zprostředkovat-001"</t>
  </si>
  <si>
    <t xml:space="preserve">"zprostředkovat-002"</t>
  </si>
  <si>
    <t xml:space="preserve">"zprostředkovávat-001"</t>
  </si>
  <si>
    <t xml:space="preserve">"zprotivit-se-001"</t>
  </si>
  <si>
    <t xml:space="preserve">"zprovoznit-001"</t>
  </si>
  <si>
    <t xml:space="preserve">"zprošťovat-001"</t>
  </si>
  <si>
    <t xml:space="preserve">"zprůhledňovat-001"</t>
  </si>
  <si>
    <t xml:space="preserve">"zprůměrovat-001"</t>
  </si>
  <si>
    <t xml:space="preserve">"zpuchřet-001"</t>
  </si>
  <si>
    <t xml:space="preserve">"zpustošit-001"</t>
  </si>
  <si>
    <t xml:space="preserve">"zpytovat-001"</t>
  </si>
  <si>
    <t xml:space="preserve">"zpívat-001"</t>
  </si>
  <si>
    <t xml:space="preserve">"zpívat-002"</t>
  </si>
  <si>
    <t xml:space="preserve">"zpívat-003"</t>
  </si>
  <si>
    <t xml:space="preserve">"zpívat-004"</t>
  </si>
  <si>
    <t xml:space="preserve">"zpívat-005"</t>
  </si>
  <si>
    <t xml:space="preserve">"zpívávat-001"</t>
  </si>
  <si>
    <t xml:space="preserve">"zpětinásobit-se-001"</t>
  </si>
  <si>
    <t xml:space="preserve">"zpřehlednit-001"</t>
  </si>
  <si>
    <t xml:space="preserve">"zpřeházet-001"</t>
  </si>
  <si>
    <t xml:space="preserve">"zpřesnit-001"</t>
  </si>
  <si>
    <t xml:space="preserve">"zpřesňovat-001"</t>
  </si>
  <si>
    <t xml:space="preserve">"zpřetrhat-001"</t>
  </si>
  <si>
    <t xml:space="preserve">"zpříjemnit-001"</t>
  </si>
  <si>
    <t xml:space="preserve">"zpříjemňovat-001"</t>
  </si>
  <si>
    <t xml:space="preserve">"zpřísnit-001"</t>
  </si>
  <si>
    <t xml:space="preserve">"zpřísnět-001"</t>
  </si>
  <si>
    <t xml:space="preserve">"zpřístupnit-001"</t>
  </si>
  <si>
    <t xml:space="preserve">ACT-&gt;ARG0/268,ARG2/3</t>
  </si>
  <si>
    <t xml:space="preserve">PAT-&gt;ARG1/473,ARG2/5</t>
  </si>
  <si>
    <t xml:space="preserve">ADDR-&gt;ARG1/12,ARG2/174,ARG3/29</t>
  </si>
  <si>
    <t xml:space="preserve">"zpřístupnit-002"</t>
  </si>
  <si>
    <t xml:space="preserve">"zpřístupňovat-001"</t>
  </si>
  <si>
    <t xml:space="preserve">"zpřísňovat-001"</t>
  </si>
  <si>
    <t xml:space="preserve">"způsobit-001"</t>
  </si>
  <si>
    <t xml:space="preserve">"způsobit-002"</t>
  </si>
  <si>
    <t xml:space="preserve">"způsobovat-001"</t>
  </si>
  <si>
    <t xml:space="preserve">"způsobovat-002"</t>
  </si>
  <si>
    <t xml:space="preserve">"zracionalizovat-001"</t>
  </si>
  <si>
    <t xml:space="preserve">"zradit-001"</t>
  </si>
  <si>
    <t xml:space="preserve">"zranit-001"</t>
  </si>
  <si>
    <t xml:space="preserve">"zranit-002"</t>
  </si>
  <si>
    <t xml:space="preserve">"zranit-se-001"</t>
  </si>
  <si>
    <t xml:space="preserve">"zrazovat-001"</t>
  </si>
  <si>
    <t xml:space="preserve">"zrazovat-002"</t>
  </si>
  <si>
    <t xml:space="preserve">"zračit-se-001"</t>
  </si>
  <si>
    <t xml:space="preserve">"zrcadlit-001"</t>
  </si>
  <si>
    <t xml:space="preserve">"zrealizovat-001"</t>
  </si>
  <si>
    <t xml:space="preserve">"zredukovat-001"</t>
  </si>
  <si>
    <t xml:space="preserve">"zredukovat-002"</t>
  </si>
  <si>
    <t xml:space="preserve">"zreformovat-001"</t>
  </si>
  <si>
    <t xml:space="preserve">"zregulovat-001"</t>
  </si>
  <si>
    <t xml:space="preserve">"zrekapitulovat-001"</t>
  </si>
  <si>
    <t xml:space="preserve">"zrekonstruovat-001"</t>
  </si>
  <si>
    <t xml:space="preserve">"zrekonstruovat-002"</t>
  </si>
  <si>
    <t xml:space="preserve">"zrenovovat-001"</t>
  </si>
  <si>
    <t xml:space="preserve">"zreorganizovat-001"</t>
  </si>
  <si>
    <t xml:space="preserve">"zrestaurovat-001"</t>
  </si>
  <si>
    <t xml:space="preserve">"zrevidovat-001"</t>
  </si>
  <si>
    <t xml:space="preserve">"zrodit-001"</t>
  </si>
  <si>
    <t xml:space="preserve">"zrodit-se-001"</t>
  </si>
  <si>
    <t xml:space="preserve">PAT(z+2)[ACT]-&gt;Source</t>
  </si>
  <si>
    <t xml:space="preserve">PAT(z+2)[ACT]-&gt;Source(ARG0/2)</t>
  </si>
  <si>
    <t xml:space="preserve">"zrudnout-001"</t>
  </si>
  <si>
    <t xml:space="preserve">"zruinovat-001"</t>
  </si>
  <si>
    <t xml:space="preserve">"zrušit-001"</t>
  </si>
  <si>
    <t xml:space="preserve">"zrušit-002"</t>
  </si>
  <si>
    <t xml:space="preserve">"zrychlit-001"</t>
  </si>
  <si>
    <t xml:space="preserve">"zrychlit-002"</t>
  </si>
  <si>
    <t xml:space="preserve">Changing(), Value_final(), Value_initial()</t>
  </si>
  <si>
    <t xml:space="preserve">"zrychlit-se-001"</t>
  </si>
  <si>
    <t xml:space="preserve">"zrychlovat-001"</t>
  </si>
  <si>
    <t xml:space="preserve">"zrychlovat-002"</t>
  </si>
  <si>
    <t xml:space="preserve">"zrychlovat-se-001"</t>
  </si>
  <si>
    <t xml:space="preserve">"zrychtovat-001"</t>
  </si>
  <si>
    <t xml:space="preserve">"zrát-001"</t>
  </si>
  <si>
    <t xml:space="preserve">"zrýt-001"</t>
  </si>
  <si>
    <t xml:space="preserve">"zrůžovět-001"</t>
  </si>
  <si>
    <t xml:space="preserve">"ztenčit-001"</t>
  </si>
  <si>
    <t xml:space="preserve">"ztenčit-se-001"</t>
  </si>
  <si>
    <t xml:space="preserve">"ztenčovat-001"</t>
  </si>
  <si>
    <t xml:space="preserve">"ztenčovat-se-001"</t>
  </si>
  <si>
    <t xml:space="preserve">"ztichnout-001"</t>
  </si>
  <si>
    <t xml:space="preserve">"ztišit-se-001"</t>
  </si>
  <si>
    <t xml:space="preserve">"ztlouci-001"</t>
  </si>
  <si>
    <t xml:space="preserve">"ztloustnout-001"</t>
  </si>
  <si>
    <t xml:space="preserve">"ztlumit-001"</t>
  </si>
  <si>
    <t xml:space="preserve">"ztmavnout-001"</t>
  </si>
  <si>
    <t xml:space="preserve">"ztmavnout-002"</t>
  </si>
  <si>
    <t xml:space="preserve">"ztotožnit-001"</t>
  </si>
  <si>
    <t xml:space="preserve">"ztotožnit-se-001"</t>
  </si>
  <si>
    <t xml:space="preserve">Compared_1(ARG0/1), Phenomenon(), Compared_2()</t>
  </si>
  <si>
    <t xml:space="preserve">ACT-&gt;Compared_1(ARG0/1)</t>
  </si>
  <si>
    <t xml:space="preserve">PAT: ↓že; v+6</t>
  </si>
  <si>
    <t xml:space="preserve">ADDR-&gt;Compared_2</t>
  </si>
  <si>
    <t xml:space="preserve">ADDR-&gt;Compared_2()</t>
  </si>
  <si>
    <t xml:space="preserve">"ztotožnit-se-002"</t>
  </si>
  <si>
    <t xml:space="preserve">"ztotožňovat-001"</t>
  </si>
  <si>
    <t xml:space="preserve">"ztotožňovat-se-001"</t>
  </si>
  <si>
    <t xml:space="preserve">PAT: ↓že; v+6; na+6</t>
  </si>
  <si>
    <t xml:space="preserve">"ztotožňovat-se-002"</t>
  </si>
  <si>
    <t xml:space="preserve">"ztrapnit-001"</t>
  </si>
  <si>
    <t xml:space="preserve">"ztrapňovat-001"</t>
  </si>
  <si>
    <t xml:space="preserve">"ztratit-001"</t>
  </si>
  <si>
    <t xml:space="preserve">"ztratit-002"</t>
  </si>
  <si>
    <t xml:space="preserve">"ztratit-003"</t>
  </si>
  <si>
    <t xml:space="preserve">"ztratit-004"</t>
  </si>
  <si>
    <t xml:space="preserve">"ztratit-005"</t>
  </si>
  <si>
    <t xml:space="preserve">"ztratit-006"</t>
  </si>
  <si>
    <t xml:space="preserve">"ztratit-007"</t>
  </si>
  <si>
    <t xml:space="preserve">CPHR: {chuť,možnost,příležitost,šance,...}.4</t>
  </si>
  <si>
    <t xml:space="preserve">"ztratit-008"</t>
  </si>
  <si>
    <t xml:space="preserve">"ztratit-009"</t>
  </si>
  <si>
    <t xml:space="preserve">DPHR: z-1[dohled.S2]</t>
  </si>
  <si>
    <t xml:space="preserve">"ztratit-010"</t>
  </si>
  <si>
    <t xml:space="preserve">DPHR: z-1[doslech.S2]</t>
  </si>
  <si>
    <t xml:space="preserve">"ztratit-011"</t>
  </si>
  <si>
    <t xml:space="preserve">"ztratit-se-001"</t>
  </si>
  <si>
    <t xml:space="preserve">"ztratit-se-002"</t>
  </si>
  <si>
    <t xml:space="preserve">"ztrhat-001"</t>
  </si>
  <si>
    <t xml:space="preserve">"ztrojnásobit-001"</t>
  </si>
  <si>
    <t xml:space="preserve">"ztrojnásobit-se-001"</t>
  </si>
  <si>
    <t xml:space="preserve">"ztroskotat-001"</t>
  </si>
  <si>
    <t xml:space="preserve">"ztroskotat-002"</t>
  </si>
  <si>
    <t xml:space="preserve">"ztroskotávat-001"</t>
  </si>
  <si>
    <t xml:space="preserve">"ztrpknout-001"</t>
  </si>
  <si>
    <t xml:space="preserve">"ztrpčovat-001"</t>
  </si>
  <si>
    <t xml:space="preserve">"ztrácet-001"</t>
  </si>
  <si>
    <t xml:space="preserve">"ztrácet-002"</t>
  </si>
  <si>
    <t xml:space="preserve">"ztrácet-003"</t>
  </si>
  <si>
    <t xml:space="preserve">"ztrácet-004"</t>
  </si>
  <si>
    <t xml:space="preserve">"ztrácet-005"</t>
  </si>
  <si>
    <t xml:space="preserve">"ztrácet-006"</t>
  </si>
  <si>
    <t xml:space="preserve">CPHR: {chuť,příležitost,zájem,...}.4</t>
  </si>
  <si>
    <t xml:space="preserve">CPHR-&gt;ARG1/198,ARG2/1</t>
  </si>
  <si>
    <t xml:space="preserve">CPHR-&gt;Lost</t>
  </si>
  <si>
    <t xml:space="preserve">CPHR-&gt;Lost(ARG1/198,ARG2/1)</t>
  </si>
  <si>
    <t xml:space="preserve">"ztrácet-007"</t>
  </si>
  <si>
    <t xml:space="preserve">"ztrácet-008"</t>
  </si>
  <si>
    <t xml:space="preserve">"ztrácet-009"</t>
  </si>
  <si>
    <t xml:space="preserve">"--ztrácet-010"</t>
  </si>
  <si>
    <t xml:space="preserve">DPHR: půdu.S4</t>
  </si>
  <si>
    <t xml:space="preserve">"ztrácet-se-001"</t>
  </si>
  <si>
    <t xml:space="preserve">"ztuhnout-001"</t>
  </si>
  <si>
    <t xml:space="preserve">"ztuhnout-002"</t>
  </si>
  <si>
    <t xml:space="preserve">"ztupit-001"</t>
  </si>
  <si>
    <t xml:space="preserve">"ztvrdit-001"</t>
  </si>
  <si>
    <t xml:space="preserve">"ztvárnit-001"</t>
  </si>
  <si>
    <t xml:space="preserve">"ztvárňovat-001"</t>
  </si>
  <si>
    <t xml:space="preserve">"ztížit-001"</t>
  </si>
  <si>
    <t xml:space="preserve">"ztělesnit-001"</t>
  </si>
  <si>
    <t xml:space="preserve">Representing(ARG2/3), Represented(ARG1/5)</t>
  </si>
  <si>
    <t xml:space="preserve">ACT-&gt;Representing(ARG2/3)</t>
  </si>
  <si>
    <t xml:space="preserve">PAT-&gt;Represented(ARG1/5)</t>
  </si>
  <si>
    <t xml:space="preserve">"ztělesňovat-001"</t>
  </si>
  <si>
    <t xml:space="preserve">"ztěžovat-001"</t>
  </si>
  <si>
    <t xml:space="preserve">"ztřískat-001"</t>
  </si>
  <si>
    <t xml:space="preserve">"zuřit-001"</t>
  </si>
  <si>
    <t xml:space="preserve">"zuřit-002"</t>
  </si>
  <si>
    <t xml:space="preserve">"zušlechtit-001"</t>
  </si>
  <si>
    <t xml:space="preserve">"zužitkovat-001"</t>
  </si>
  <si>
    <t xml:space="preserve">"zužovat-001"</t>
  </si>
  <si>
    <t xml:space="preserve">"zužovat-002"</t>
  </si>
  <si>
    <t xml:space="preserve">"zužovat-se-001"</t>
  </si>
  <si>
    <t xml:space="preserve">"zužovat-se-002"</t>
  </si>
  <si>
    <t xml:space="preserve">"zvadnout-001"</t>
  </si>
  <si>
    <t xml:space="preserve">"zvadnout-002"</t>
  </si>
  <si>
    <t xml:space="preserve">"zvažovat-001"</t>
  </si>
  <si>
    <t xml:space="preserve">ADDR: mezi+7</t>
  </si>
  <si>
    <t xml:space="preserve">"zvažovat-002"</t>
  </si>
  <si>
    <t xml:space="preserve">"zvedat-001"</t>
  </si>
  <si>
    <t xml:space="preserve">"zvedat-002"</t>
  </si>
  <si>
    <t xml:space="preserve">"zvedat-se-001"</t>
  </si>
  <si>
    <t xml:space="preserve">"zvedat-se-002"</t>
  </si>
  <si>
    <t xml:space="preserve">"zvedat-se-003"</t>
  </si>
  <si>
    <t xml:space="preserve">"zvednout-001"</t>
  </si>
  <si>
    <t xml:space="preserve">"zvednout-002"</t>
  </si>
  <si>
    <t xml:space="preserve">"zvednout-003"</t>
  </si>
  <si>
    <t xml:space="preserve">CPHR: {naděje,...}.4</t>
  </si>
  <si>
    <t xml:space="preserve">"--zvednout-004"</t>
  </si>
  <si>
    <t xml:space="preserve">"zvednout-se-001"</t>
  </si>
  <si>
    <t xml:space="preserve">"zvednout-se-002"</t>
  </si>
  <si>
    <t xml:space="preserve">"zvednout-se-003"</t>
  </si>
  <si>
    <t xml:space="preserve">"zvednout-se-004"</t>
  </si>
  <si>
    <t xml:space="preserve">"zvelebit-001"</t>
  </si>
  <si>
    <t xml:space="preserve">"zvelebovat-001"</t>
  </si>
  <si>
    <t xml:space="preserve">"zveličit-001"</t>
  </si>
  <si>
    <t xml:space="preserve">"zveličovat-001"</t>
  </si>
  <si>
    <t xml:space="preserve">"zveřejnit-001"</t>
  </si>
  <si>
    <t xml:space="preserve">"zveřejnit-002"</t>
  </si>
  <si>
    <t xml:space="preserve">"zveřejňovat-001"</t>
  </si>
  <si>
    <t xml:space="preserve">"zveřejňovat-002"</t>
  </si>
  <si>
    <t xml:space="preserve">"zviditelnit-001"</t>
  </si>
  <si>
    <t xml:space="preserve">"zviditelnit-002"</t>
  </si>
  <si>
    <t xml:space="preserve">"zvlnit-se-001"</t>
  </si>
  <si>
    <t xml:space="preserve">ACT-&gt;ARG0/1,ARG1/12</t>
  </si>
  <si>
    <t xml:space="preserve">"zvládat-001"</t>
  </si>
  <si>
    <t xml:space="preserve">ACT-&gt;ARG0/285,ARG1/4</t>
  </si>
  <si>
    <t xml:space="preserve">PAT-&gt;ARG1/371</t>
  </si>
  <si>
    <t xml:space="preserve">"zvládat-002"</t>
  </si>
  <si>
    <t xml:space="preserve">"zvládat-003"</t>
  </si>
  <si>
    <t xml:space="preserve">"zvládnout-001"</t>
  </si>
  <si>
    <t xml:space="preserve">"zvládnout-002"</t>
  </si>
  <si>
    <t xml:space="preserve">DPHR: na-1[výborný.FS4@1$11&lt;A&gt;]</t>
  </si>
  <si>
    <t xml:space="preserve">PAT-&gt;ARG1/99</t>
  </si>
  <si>
    <t xml:space="preserve">"zvládnout-003"</t>
  </si>
  <si>
    <t xml:space="preserve">"zvládnout-004"</t>
  </si>
  <si>
    <t xml:space="preserve">"--zvládnout-005"</t>
  </si>
  <si>
    <t xml:space="preserve">"zvolat-001"</t>
  </si>
  <si>
    <t xml:space="preserve">"zvolit-001"</t>
  </si>
  <si>
    <t xml:space="preserve">PAT: 4; ↓c; ↓aby</t>
  </si>
  <si>
    <t xml:space="preserve">"zvolit-002"</t>
  </si>
  <si>
    <t xml:space="preserve">"zvolnit-001"</t>
  </si>
  <si>
    <t xml:space="preserve">"zvonit-001"</t>
  </si>
  <si>
    <t xml:space="preserve">Source(ARG1/1)</t>
  </si>
  <si>
    <t xml:space="preserve">ACT-&gt;Source(ARG1/1)</t>
  </si>
  <si>
    <t xml:space="preserve">"zvonit-002"</t>
  </si>
  <si>
    <t xml:space="preserve">"zvonit-003"</t>
  </si>
  <si>
    <t xml:space="preserve">DPHR: hrana.S1</t>
  </si>
  <si>
    <t xml:space="preserve">"zvorat-001"</t>
  </si>
  <si>
    <t xml:space="preserve">"zvracet-001"</t>
  </si>
  <si>
    <t xml:space="preserve">"zvrhnout-se-001"</t>
  </si>
  <si>
    <t xml:space="preserve">Changing(ARG1/1), Undesirable(ARG4/2)</t>
  </si>
  <si>
    <t xml:space="preserve">PAT-&gt;ARG4/2</t>
  </si>
  <si>
    <t xml:space="preserve">PAT-&gt;Undesirable(ARG4/2)</t>
  </si>
  <si>
    <t xml:space="preserve">"zvrhnout-se-002"</t>
  </si>
  <si>
    <t xml:space="preserve">"zvrtnout-se-001"</t>
  </si>
  <si>
    <t xml:space="preserve">"zvrátit-001"</t>
  </si>
  <si>
    <t xml:space="preserve">"zvrátit-se-001"</t>
  </si>
  <si>
    <t xml:space="preserve">"zvučet-001"</t>
  </si>
  <si>
    <t xml:space="preserve">"zvykat-si-001"</t>
  </si>
  <si>
    <t xml:space="preserve">PAT: na+4; .f; ↓že</t>
  </si>
  <si>
    <t xml:space="preserve">"zvyknout-si-001"</t>
  </si>
  <si>
    <t xml:space="preserve">"zvyšovat-001"</t>
  </si>
  <si>
    <t xml:space="preserve">"zvyšovat-se-001"</t>
  </si>
  <si>
    <t xml:space="preserve">"zvát-001"</t>
  </si>
  <si>
    <t xml:space="preserve">"zvát-002"</t>
  </si>
  <si>
    <t xml:space="preserve">"zvážit-001"</t>
  </si>
  <si>
    <t xml:space="preserve">"zvážnět-001"</t>
  </si>
  <si>
    <t xml:space="preserve">"zvítězit-001"</t>
  </si>
  <si>
    <t xml:space="preserve">?ADDR: proti+3; nad+7</t>
  </si>
  <si>
    <t xml:space="preserve">"zvýhodnit-001"</t>
  </si>
  <si>
    <t xml:space="preserve">"zvýhodňovat-001"</t>
  </si>
  <si>
    <t xml:space="preserve">"zvýraznit-001"</t>
  </si>
  <si>
    <t xml:space="preserve">"zvýrazňovat-001"</t>
  </si>
  <si>
    <t xml:space="preserve">"zvýšit-001"</t>
  </si>
  <si>
    <t xml:space="preserve">"zvýšit-002"</t>
  </si>
  <si>
    <t xml:space="preserve">"zvýšit-se-001"</t>
  </si>
  <si>
    <t xml:space="preserve">"zvědět-001"</t>
  </si>
  <si>
    <t xml:space="preserve">"zvědět-002"</t>
  </si>
  <si>
    <t xml:space="preserve">"zvěstovat-001"</t>
  </si>
  <si>
    <t xml:space="preserve">"zvětšit-001"</t>
  </si>
  <si>
    <t xml:space="preserve">"zvětšit-se-001"</t>
  </si>
  <si>
    <t xml:space="preserve">"zvětšovat-001"</t>
  </si>
  <si>
    <t xml:space="preserve">"zvětšovat-se-001"</t>
  </si>
  <si>
    <t xml:space="preserve">"zvěčnit-001"</t>
  </si>
  <si>
    <t xml:space="preserve">"zábst-001"</t>
  </si>
  <si>
    <t xml:space="preserve">"záležet-001"</t>
  </si>
  <si>
    <t xml:space="preserve">ACT: 1; ↓zda; ↓že; ↓jestli; ↓jak; ↓c</t>
  </si>
  <si>
    <t xml:space="preserve">PAT: na+6; ↓c</t>
  </si>
  <si>
    <t xml:space="preserve">Outcome(ARG0/46,ARG1/1,ARG2/1), Determinant(ARG1/84,ARG2/1)</t>
  </si>
  <si>
    <t xml:space="preserve">ACT-&gt;ARG0/46,ARG1/1,ARG2/1</t>
  </si>
  <si>
    <t xml:space="preserve">ACT-&gt;Outcome</t>
  </si>
  <si>
    <t xml:space="preserve">ACT-&gt;Outcome(ARG0/46,ARG1/1,ARG2/1)</t>
  </si>
  <si>
    <t xml:space="preserve">PAT-&gt;ARG1/84,ARG2/1</t>
  </si>
  <si>
    <t xml:space="preserve">PAT-&gt;Determinant</t>
  </si>
  <si>
    <t xml:space="preserve">PAT-&gt;Determinant(ARG1/84,ARG2/1)</t>
  </si>
  <si>
    <t xml:space="preserve">"záležet-002"</t>
  </si>
  <si>
    <t xml:space="preserve">"zápasit-001"</t>
  </si>
  <si>
    <t xml:space="preserve">"zápasit-002"</t>
  </si>
  <si>
    <t xml:space="preserve">"zápolit-001"</t>
  </si>
  <si>
    <t xml:space="preserve">"zásobit-001"</t>
  </si>
  <si>
    <t xml:space="preserve">ADDR-&gt;ARG0/1,ARG1/14,ARG2/73</t>
  </si>
  <si>
    <t xml:space="preserve">ADDR-&gt;Recipient(ARG0/1,ARG1/14,ARG2/73)</t>
  </si>
  <si>
    <t xml:space="preserve">PAT-&gt;ARG1/91,ARG2/17</t>
  </si>
  <si>
    <t xml:space="preserve">PAT-&gt;Supplies(ARG1/91,ARG2/17)</t>
  </si>
  <si>
    <t xml:space="preserve">"zásobovat-001"</t>
  </si>
  <si>
    <t xml:space="preserve">ACT-&gt;ARG0/433</t>
  </si>
  <si>
    <t xml:space="preserve">ADDR-&gt;ARG0/1,ARG1/20,ARG2/456,ARG4/2</t>
  </si>
  <si>
    <t xml:space="preserve">PAT-&gt;ARG1/579,ARG2/25</t>
  </si>
  <si>
    <t xml:space="preserve">"závidět-001"</t>
  </si>
  <si>
    <t xml:space="preserve">PAT: 4; ↓c; ↓když</t>
  </si>
  <si>
    <t xml:space="preserve">"záviset-001"</t>
  </si>
  <si>
    <t xml:space="preserve">ACT: 1; ↓zda; ↓že; ↓c; ↓aby</t>
  </si>
  <si>
    <t xml:space="preserve">"závodit-001"</t>
  </si>
  <si>
    <t xml:space="preserve">?PAT: o+4; 4</t>
  </si>
  <si>
    <t xml:space="preserve">"závodit-si-001"</t>
  </si>
  <si>
    <t xml:space="preserve">"zářit-001"</t>
  </si>
  <si>
    <t xml:space="preserve">"zářit-002"</t>
  </si>
  <si>
    <t xml:space="preserve">"zírat-001"</t>
  </si>
  <si>
    <t xml:space="preserve">ACT-&gt;ARG0/188,ARG1/1</t>
  </si>
  <si>
    <t xml:space="preserve">PAT-&gt;ARG1/265,ARG2/2</t>
  </si>
  <si>
    <t xml:space="preserve">"zírat-002"</t>
  </si>
  <si>
    <t xml:space="preserve">DIR3-&gt;ARG1/179,ARG2/2</t>
  </si>
  <si>
    <t xml:space="preserve">DIR3-&gt;Inspected</t>
  </si>
  <si>
    <t xml:space="preserve">DIR3-&gt;Inspected(ARG1/103,ARG2/1)</t>
  </si>
  <si>
    <t xml:space="preserve">"zírat-003"</t>
  </si>
  <si>
    <t xml:space="preserve">CPHR: {překvapení,údiv,...}.7</t>
  </si>
  <si>
    <t xml:space="preserve">"získat-001"</t>
  </si>
  <si>
    <t xml:space="preserve">ACT-&gt;ARG0/2308,ARG1/27</t>
  </si>
  <si>
    <t xml:space="preserve">PAT-&gt;ARG1/3390,ARG2/4,ARG3/2,ARG4/2</t>
  </si>
  <si>
    <t xml:space="preserve">ORIG-&gt;ARG1/15,ARG2/360,ARG3/13</t>
  </si>
  <si>
    <t xml:space="preserve">"získat-002"</t>
  </si>
  <si>
    <t xml:space="preserve">"získat-003"</t>
  </si>
  <si>
    <t xml:space="preserve">"získat-004"</t>
  </si>
  <si>
    <t xml:space="preserve">"získat-005"</t>
  </si>
  <si>
    <t xml:space="preserve">PAT: na+6; 4</t>
  </si>
  <si>
    <t xml:space="preserve">"získat-006"</t>
  </si>
  <si>
    <t xml:space="preserve">CPHR: {dojem,pocit,podezření,podnět,prospěch,přesvědčení,...}.4</t>
  </si>
  <si>
    <t xml:space="preserve">"získat-007"</t>
  </si>
  <si>
    <t xml:space="preserve">CPHR: {důvěra,důvod,důvod,impuls,kontrola,možnost,odpověď,odpověď,opatření,oprávnění,podíl,podnět,podpora,podpora,povolení,právo,prospěch,představa,přehled,příležitost,příslib,přístup,rada,respekt,respekt,schválení,slib,souhlas,svolení,vědomost,vliv,výhoda,výhoda,zákaz,zákaz,zkušenost,znalost,...}.4</t>
  </si>
  <si>
    <t xml:space="preserve">"získat-008"</t>
  </si>
  <si>
    <t xml:space="preserve">"--získat-009"</t>
  </si>
  <si>
    <t xml:space="preserve">"získávat-001"</t>
  </si>
  <si>
    <t xml:space="preserve">"získávat-002"</t>
  </si>
  <si>
    <t xml:space="preserve">"získávat-003"</t>
  </si>
  <si>
    <t xml:space="preserve">"získávat-004"</t>
  </si>
  <si>
    <t xml:space="preserve">CPHR: {dojem,přesvědčení,...}.4</t>
  </si>
  <si>
    <t xml:space="preserve">"získávat-005"</t>
  </si>
  <si>
    <t xml:space="preserve">CPHR: {důvěra,impuls,možnost,nápad,náskok,povolení,právo,přehled,příslib,přístup,respekt,slib,souhlas,vliv,znalost,zkušenost,...}.4</t>
  </si>
  <si>
    <t xml:space="preserve">"zúročit-001"</t>
  </si>
  <si>
    <t xml:space="preserve">"zúročit-se-001"</t>
  </si>
  <si>
    <t xml:space="preserve">"zútulnit-001"</t>
  </si>
  <si>
    <t xml:space="preserve">"zúčastnit-se-001"</t>
  </si>
  <si>
    <t xml:space="preserve">PAT: 2; na+6</t>
  </si>
  <si>
    <t xml:space="preserve">"zúčastňovat-se-001"</t>
  </si>
  <si>
    <t xml:space="preserve">"zúčtovat-001"</t>
  </si>
  <si>
    <t xml:space="preserve">"zúčtovat-002"</t>
  </si>
  <si>
    <t xml:space="preserve">"zúžit-001"</t>
  </si>
  <si>
    <t xml:space="preserve">"zúžit-002"</t>
  </si>
  <si>
    <t xml:space="preserve">"zúžit-se-001"</t>
  </si>
  <si>
    <t xml:space="preserve">"zúžit-se-002"</t>
  </si>
  <si>
    <t xml:space="preserve">"zčervenat-001"</t>
  </si>
  <si>
    <t xml:space="preserve">"zčitelnit-001"</t>
  </si>
  <si>
    <t xml:space="preserve">"zčtyřnásobit-se-001"</t>
  </si>
  <si>
    <t xml:space="preserve">"zřeknout-se-001"</t>
  </si>
  <si>
    <t xml:space="preserve">"zřezat-001"</t>
  </si>
  <si>
    <t xml:space="preserve">"zřizovat-001"</t>
  </si>
  <si>
    <t xml:space="preserve">"zříci-se-001"</t>
  </si>
  <si>
    <t xml:space="preserve">"zřídit-001"</t>
  </si>
  <si>
    <t xml:space="preserve">"zřídit-002"</t>
  </si>
  <si>
    <t xml:space="preserve">"zříkat-se-001"</t>
  </si>
  <si>
    <t xml:space="preserve">"zřít-001"</t>
  </si>
  <si>
    <t xml:space="preserve">"zřítit-se-001"</t>
  </si>
  <si>
    <t xml:space="preserve">"zřítit-se-002"</t>
  </si>
  <si>
    <t xml:space="preserve">Destroyed(ARG1/39)</t>
  </si>
  <si>
    <t xml:space="preserve">ACT-&gt;Destroyed</t>
  </si>
  <si>
    <t xml:space="preserve">ACT-&gt;Destroyed(ARG1/39)</t>
  </si>
  <si>
    <t xml:space="preserve">"zůstat-001"</t>
  </si>
  <si>
    <t xml:space="preserve">"zůstat-002"</t>
  </si>
  <si>
    <t xml:space="preserve">PAT: 7; .a1; .a7; .f</t>
  </si>
  <si>
    <t xml:space="preserve">"zůstat-003"</t>
  </si>
  <si>
    <t xml:space="preserve">PAT: při+6; s+7</t>
  </si>
  <si>
    <t xml:space="preserve">"zůstat-004"</t>
  </si>
  <si>
    <t xml:space="preserve">"zůstat-005"</t>
  </si>
  <si>
    <t xml:space="preserve">"zůstat-006"</t>
  </si>
  <si>
    <t xml:space="preserve">#alt[LOC, MANN, ACMP]-&gt;State</t>
  </si>
  <si>
    <t xml:space="preserve">#alt[LOC, MANN, ACMP]-&gt;State(ARG1/124,ARG2/3551,ARG3/415)</t>
  </si>
  <si>
    <t xml:space="preserve">"zůstat-007"</t>
  </si>
  <si>
    <t xml:space="preserve">ACT: na+6; při+6; u+2; v+6</t>
  </si>
  <si>
    <t xml:space="preserve">"zůstat-008"</t>
  </si>
  <si>
    <t xml:space="preserve">DPHR: sám.1</t>
  </si>
  <si>
    <t xml:space="preserve">PAT: v+6; s+7; na+4</t>
  </si>
  <si>
    <t xml:space="preserve">"zůstat-009"</t>
  </si>
  <si>
    <t xml:space="preserve">DPHR: na-1[ocet.S4]</t>
  </si>
  <si>
    <t xml:space="preserve">"zůstat-010"</t>
  </si>
  <si>
    <t xml:space="preserve">"zůstat-011"</t>
  </si>
  <si>
    <t xml:space="preserve">DPHR[ve hře]-&gt;State</t>
  </si>
  <si>
    <t xml:space="preserve">DPHR[ve hře]-&gt;State(ARG1/124,ARG2/3551,ARG3/415)</t>
  </si>
  <si>
    <t xml:space="preserve">"zůstat-012"</t>
  </si>
  <si>
    <t xml:space="preserve">DPHR: stát-3.f</t>
  </si>
  <si>
    <t xml:space="preserve">"zůstat-013"</t>
  </si>
  <si>
    <t xml:space="preserve">"--zůstat-014"</t>
  </si>
  <si>
    <t xml:space="preserve">"zůstávat-001"</t>
  </si>
  <si>
    <t xml:space="preserve">"zůstávat-002"</t>
  </si>
  <si>
    <t xml:space="preserve">"zůstávat-003"</t>
  </si>
  <si>
    <t xml:space="preserve">ACT: 1; ↓zda; ↓že; ↓c</t>
  </si>
  <si>
    <t xml:space="preserve">PAT: s+7; 7; .a1; .a7; .f</t>
  </si>
  <si>
    <t xml:space="preserve">"zůstávat-004"</t>
  </si>
  <si>
    <t xml:space="preserve">"zůstávat-005"</t>
  </si>
  <si>
    <t xml:space="preserve">"zůstávat-006"</t>
  </si>
  <si>
    <t xml:space="preserve">"zůstávat-007"</t>
  </si>
  <si>
    <t xml:space="preserve">ACT: u+2; na+6; při+6</t>
  </si>
  <si>
    <t xml:space="preserve">"zůstávat-008"</t>
  </si>
  <si>
    <t xml:space="preserve">DPHR: při-1[starý-2.N6]</t>
  </si>
  <si>
    <t xml:space="preserve">"zůstávat-009"</t>
  </si>
  <si>
    <t xml:space="preserve">"zůstávat-010"</t>
  </si>
  <si>
    <t xml:space="preserve">DPHR: rozum.S1,stát-3.f$11&lt;A&gt;</t>
  </si>
  <si>
    <t xml:space="preserve">"zůstávat-011"</t>
  </si>
  <si>
    <t xml:space="preserve">PAT: u+2</t>
  </si>
  <si>
    <t xml:space="preserve">"zželet-se-001"</t>
  </si>
  <si>
    <t xml:space="preserve">"úpět-001"</t>
  </si>
  <si>
    <t xml:space="preserve">?PAT: nad+7; na+4; ↓že; ↓c</t>
  </si>
  <si>
    <t xml:space="preserve">"úročit-001"</t>
  </si>
  <si>
    <t xml:space="preserve">"ústit-001"</t>
  </si>
  <si>
    <t xml:space="preserve">"ústit-002"</t>
  </si>
  <si>
    <t xml:space="preserve">"útočit-001"</t>
  </si>
  <si>
    <t xml:space="preserve">"úvěrovat-001"</t>
  </si>
  <si>
    <t xml:space="preserve">ACT-&gt;ARG0/295</t>
  </si>
  <si>
    <t xml:space="preserve">PAT-&gt;ARG1/448,ARG2/2</t>
  </si>
  <si>
    <t xml:space="preserve">"účastnit-se-001"</t>
  </si>
  <si>
    <t xml:space="preserve">"účinkovat-001"</t>
  </si>
  <si>
    <t xml:space="preserve">"účinkovat-002"</t>
  </si>
  <si>
    <t xml:space="preserve">"účtovat-001"</t>
  </si>
  <si>
    <t xml:space="preserve">ADDR-&gt;ARG1/2,ARG2/22,ARG3/1</t>
  </si>
  <si>
    <t xml:space="preserve">ADDR-&gt;Payer</t>
  </si>
  <si>
    <t xml:space="preserve">ADDR-&gt;Payer(ARG1/2,ARG2/22,ARG3/1)</t>
  </si>
  <si>
    <t xml:space="preserve">"účtovat-si-001"</t>
  </si>
  <si>
    <t xml:space="preserve">"účtovat-si-002"</t>
  </si>
  <si>
    <t xml:space="preserve">"úřadovat-001"</t>
  </si>
  <si>
    <t xml:space="preserve">"čalounit-001"</t>
  </si>
  <si>
    <t xml:space="preserve">"čapnout-001"</t>
  </si>
  <si>
    <t xml:space="preserve">"čapnout-002"</t>
  </si>
  <si>
    <t xml:space="preserve">"časovat-001"</t>
  </si>
  <si>
    <t xml:space="preserve">"častovat-001"</t>
  </si>
  <si>
    <t xml:space="preserve">"častovat-002"</t>
  </si>
  <si>
    <t xml:space="preserve">"čekat-001"</t>
  </si>
  <si>
    <t xml:space="preserve">"čekat-002"</t>
  </si>
  <si>
    <t xml:space="preserve">PAT: 4; na+4; ↓jestli; ↓zda; ↓zdali; ↓že; ↓c</t>
  </si>
  <si>
    <t xml:space="preserve">"čekat-003"</t>
  </si>
  <si>
    <t xml:space="preserve">PAT: 4; na+4; ↓že; ↓jestli; ↓až-2; ↓zda; ↓než-2</t>
  </si>
  <si>
    <t xml:space="preserve">"čekat-004"</t>
  </si>
  <si>
    <t xml:space="preserve">"čekat-006"</t>
  </si>
  <si>
    <t xml:space="preserve">"čekat-007"</t>
  </si>
  <si>
    <t xml:space="preserve">PAT: ↓že; ↓až-3; ↓než</t>
  </si>
  <si>
    <t xml:space="preserve">"čekat-se-001"</t>
  </si>
  <si>
    <t xml:space="preserve">"čekávat-001"</t>
  </si>
  <si>
    <t xml:space="preserve">PAT: 4; na+4; ↓že; ↓jestli; ↓až-2; ↓zda</t>
  </si>
  <si>
    <t xml:space="preserve">"čelit-001"</t>
  </si>
  <si>
    <t xml:space="preserve">"čepovat-001"</t>
  </si>
  <si>
    <t xml:space="preserve">"čerpat-001"</t>
  </si>
  <si>
    <t xml:space="preserve">?ORIG: z+2; od+2; odtud; odkud; odkudkoliv; odevšad; odtamtud; odjinud; odtud; odněkud; odnikud; odkudsi</t>
  </si>
  <si>
    <t xml:space="preserve">"čerpat-002"</t>
  </si>
  <si>
    <t xml:space="preserve">"--čerpat-003"</t>
  </si>
  <si>
    <t xml:space="preserve">"čertit-se-001"</t>
  </si>
  <si>
    <t xml:space="preserve">"česat-001"</t>
  </si>
  <si>
    <t xml:space="preserve">"česat-002"</t>
  </si>
  <si>
    <t xml:space="preserve">"česat-003"</t>
  </si>
  <si>
    <t xml:space="preserve">"česávat-001"</t>
  </si>
  <si>
    <t xml:space="preserve">"čeřit-001"</t>
  </si>
  <si>
    <t xml:space="preserve">"čeřit-002"</t>
  </si>
  <si>
    <t xml:space="preserve">DPHR: hladina.4</t>
  </si>
  <si>
    <t xml:space="preserve">"čichat-001"</t>
  </si>
  <si>
    <t xml:space="preserve">"činit-001"</t>
  </si>
  <si>
    <t xml:space="preserve">"činit-002"</t>
  </si>
  <si>
    <t xml:space="preserve">"činit-003"</t>
  </si>
  <si>
    <t xml:space="preserve">Cause(), Affected(ARG1/5), State_final(ARG1/8)</t>
  </si>
  <si>
    <t xml:space="preserve">EFF-&gt;ARG1/8</t>
  </si>
  <si>
    <t xml:space="preserve">EFF-&gt;State_final(ARG1/8)</t>
  </si>
  <si>
    <t xml:space="preserve">"činit-004"</t>
  </si>
  <si>
    <t xml:space="preserve">EFF: .a7</t>
  </si>
  <si>
    <t xml:space="preserve">"činit-005"</t>
  </si>
  <si>
    <t xml:space="preserve">PAT: 4; .d; tak-3; ↓c</t>
  </si>
  <si>
    <t xml:space="preserve">"činit-006"</t>
  </si>
  <si>
    <t xml:space="preserve">"činit-007"</t>
  </si>
  <si>
    <t xml:space="preserve">"činit-008"</t>
  </si>
  <si>
    <t xml:space="preserve">"činit-009"</t>
  </si>
  <si>
    <t xml:space="preserve">CPHR: {doporučení,nabídka,...}.4</t>
  </si>
  <si>
    <t xml:space="preserve">"činit-010"</t>
  </si>
  <si>
    <t xml:space="preserve">CPHR: {závěr,závěr,...}.4</t>
  </si>
  <si>
    <t xml:space="preserve">"činit-011"</t>
  </si>
  <si>
    <t xml:space="preserve">CPHR: {expertíza,kontrola,krok,omezení,opatření,pokrok,pokus,prohlášení,rozhodnutí,zátah,...}.4</t>
  </si>
  <si>
    <t xml:space="preserve">"--činit-012"</t>
  </si>
  <si>
    <t xml:space="preserve">"činit-se-001"</t>
  </si>
  <si>
    <t xml:space="preserve">"činit-si-001"</t>
  </si>
  <si>
    <t xml:space="preserve">"činit-si-002"</t>
  </si>
  <si>
    <t xml:space="preserve">"čistit-001"</t>
  </si>
  <si>
    <t xml:space="preserve">"čišet-001"</t>
  </si>
  <si>
    <t xml:space="preserve">"čišet-002"</t>
  </si>
  <si>
    <t xml:space="preserve">"členit-001"</t>
  </si>
  <si>
    <t xml:space="preserve">"čmajznout-001"</t>
  </si>
  <si>
    <t xml:space="preserve">"čnět-001"</t>
  </si>
  <si>
    <t xml:space="preserve">"čouhat-001"</t>
  </si>
  <si>
    <t xml:space="preserve">"čpět-001"</t>
  </si>
  <si>
    <t xml:space="preserve">"črtat-001"</t>
  </si>
  <si>
    <t xml:space="preserve">"čumět-001"</t>
  </si>
  <si>
    <t xml:space="preserve">"čumět-002"</t>
  </si>
  <si>
    <t xml:space="preserve">"čučet-001"</t>
  </si>
  <si>
    <t xml:space="preserve">"čučet-002"</t>
  </si>
  <si>
    <t xml:space="preserve">"čvachtat-se-001"</t>
  </si>
  <si>
    <t xml:space="preserve">"číhat-001"</t>
  </si>
  <si>
    <t xml:space="preserve">PAT: 4; na+4; ↓jestli; ↓až-2; ↓zda</t>
  </si>
  <si>
    <t xml:space="preserve">"číslovat-001"</t>
  </si>
  <si>
    <t xml:space="preserve">"číst-001"</t>
  </si>
  <si>
    <t xml:space="preserve">"číst-002"</t>
  </si>
  <si>
    <t xml:space="preserve">"číst-003"</t>
  </si>
  <si>
    <t xml:space="preserve">"číst-004"</t>
  </si>
  <si>
    <t xml:space="preserve">"číst-005"</t>
  </si>
  <si>
    <t xml:space="preserve">Cognizer()</t>
  </si>
  <si>
    <t xml:space="preserve">"čítat-001"</t>
  </si>
  <si>
    <t xml:space="preserve">"čítat-002"</t>
  </si>
  <si>
    <t xml:space="preserve">"čítávat-001"</t>
  </si>
  <si>
    <t xml:space="preserve">"čůrat-001"</t>
  </si>
  <si>
    <t xml:space="preserve">"řadit-001"</t>
  </si>
  <si>
    <t xml:space="preserve">DIR3-&gt;ARG2/22</t>
  </si>
  <si>
    <t xml:space="preserve">"řadit-002"</t>
  </si>
  <si>
    <t xml:space="preserve">DIR3-&gt;ARG1/74,ARG2/36</t>
  </si>
  <si>
    <t xml:space="preserve">DIR3-&gt;Name</t>
  </si>
  <si>
    <t xml:space="preserve">DIR3-&gt;Name(ARG1/74,ARG2/14)</t>
  </si>
  <si>
    <t xml:space="preserve">"řadit-003"</t>
  </si>
  <si>
    <t xml:space="preserve">Adjusting(ARG1/3), Adjusted(ARG1/3)</t>
  </si>
  <si>
    <t xml:space="preserve">ACT-&gt;Adjusting(ARG1/3)</t>
  </si>
  <si>
    <t xml:space="preserve">PAT-&gt;Adjusted(ARG1/3)</t>
  </si>
  <si>
    <t xml:space="preserve">"řadit-se-001"</t>
  </si>
  <si>
    <t xml:space="preserve">"řadit-se-002"</t>
  </si>
  <si>
    <t xml:space="preserve">"ředit-001"</t>
  </si>
  <si>
    <t xml:space="preserve">"řehtat-se-001"</t>
  </si>
  <si>
    <t xml:space="preserve">"řezat-001"</t>
  </si>
  <si>
    <t xml:space="preserve">"řezat-002"</t>
  </si>
  <si>
    <t xml:space="preserve">"řezat-003"</t>
  </si>
  <si>
    <t xml:space="preserve">"řečnit-001"</t>
  </si>
  <si>
    <t xml:space="preserve">"řešit-001"</t>
  </si>
  <si>
    <t xml:space="preserve">"řešit-002"</t>
  </si>
  <si>
    <t xml:space="preserve">"řinčet-001"</t>
  </si>
  <si>
    <t xml:space="preserve">"řvát-001"</t>
  </si>
  <si>
    <t xml:space="preserve">"řvát-002"</t>
  </si>
  <si>
    <t xml:space="preserve">"řádit-001"</t>
  </si>
  <si>
    <t xml:space="preserve">"říci-001"</t>
  </si>
  <si>
    <t xml:space="preserve">PAT: o+4; ↓aby; ↓ať; ↓zda; ↓jestli; .s; ↓c</t>
  </si>
  <si>
    <t xml:space="preserve">"říci-002"</t>
  </si>
  <si>
    <t xml:space="preserve">"říci-003"</t>
  </si>
  <si>
    <t xml:space="preserve">"říci-004"</t>
  </si>
  <si>
    <t xml:space="preserve">"říci-005"</t>
  </si>
  <si>
    <t xml:space="preserve">PAT: 3; na+4; proti+3</t>
  </si>
  <si>
    <t xml:space="preserve">"říci-006"</t>
  </si>
  <si>
    <t xml:space="preserve">"říci-007"</t>
  </si>
  <si>
    <t xml:space="preserve">"říci-008"</t>
  </si>
  <si>
    <t xml:space="preserve">EFF: 4; ↓že; ↓aby; ↓ať; ↓jak-2; ↓jestli; ↓zda; .s; ↓c</t>
  </si>
  <si>
    <t xml:space="preserve">?PAT: o+6; co-1.4</t>
  </si>
  <si>
    <t xml:space="preserve">"říci-009"</t>
  </si>
  <si>
    <t xml:space="preserve">EFF: 4; ↓že; ↓zda; ↓jak-2; .s; ↓c</t>
  </si>
  <si>
    <t xml:space="preserve">"říci-010"</t>
  </si>
  <si>
    <t xml:space="preserve">"říci-011"</t>
  </si>
  <si>
    <t xml:space="preserve">?EFF: 4[{jako,jakožto}:/AuxY]</t>
  </si>
  <si>
    <t xml:space="preserve">"říci-012"</t>
  </si>
  <si>
    <t xml:space="preserve">"říci-si-001"</t>
  </si>
  <si>
    <t xml:space="preserve">PAT: ↓že; .s; ↓c</t>
  </si>
  <si>
    <t xml:space="preserve">"--říci-si-002"</t>
  </si>
  <si>
    <t xml:space="preserve">"--říct-si-001"</t>
  </si>
  <si>
    <t xml:space="preserve">"řídit-001"</t>
  </si>
  <si>
    <t xml:space="preserve">"řídit-002"</t>
  </si>
  <si>
    <t xml:space="preserve">"řídit-003"</t>
  </si>
  <si>
    <t xml:space="preserve">"řídit-se-001"</t>
  </si>
  <si>
    <t xml:space="preserve">PAT: 7; podle+2</t>
  </si>
  <si>
    <t xml:space="preserve">"řídnout-001"</t>
  </si>
  <si>
    <t xml:space="preserve">"říkat-001"</t>
  </si>
  <si>
    <t xml:space="preserve">"říkat-002"</t>
  </si>
  <si>
    <t xml:space="preserve">PAT-&gt;ARG0/4,ARG1/11732,ARG2/3,ARG3/30</t>
  </si>
  <si>
    <t xml:space="preserve">"říkat-003"</t>
  </si>
  <si>
    <t xml:space="preserve">"říkat-004"</t>
  </si>
  <si>
    <t xml:space="preserve">EFF: 1; 5; tak-3; jak-3; ↓že; jakpak</t>
  </si>
  <si>
    <t xml:space="preserve">"říkat-005"</t>
  </si>
  <si>
    <t xml:space="preserve">"říkat-006"</t>
  </si>
  <si>
    <t xml:space="preserve">"říkat-007"</t>
  </si>
  <si>
    <t xml:space="preserve">ADDR: 3; k+3</t>
  </si>
  <si>
    <t xml:space="preserve">"říkat-008"</t>
  </si>
  <si>
    <t xml:space="preserve">"říkat-009"</t>
  </si>
  <si>
    <t xml:space="preserve">DPHR: nic.S4</t>
  </si>
  <si>
    <t xml:space="preserve">"říkat-010"</t>
  </si>
  <si>
    <t xml:space="preserve">"říkat-si-001"</t>
  </si>
  <si>
    <t xml:space="preserve">"--říkat-si-002"</t>
  </si>
  <si>
    <t xml:space="preserve">PAT: ↓že; ↓jestli; .s; ↓c</t>
  </si>
  <si>
    <t xml:space="preserve">"--říkat-si-003"</t>
  </si>
  <si>
    <t xml:space="preserve">"říkávat-001"</t>
  </si>
  <si>
    <t xml:space="preserve">EFF: 1; 5; tak-3; jak-3</t>
  </si>
  <si>
    <t xml:space="preserve">"říkávat-002"</t>
  </si>
  <si>
    <t xml:space="preserve">"říkávat-003"</t>
  </si>
  <si>
    <t xml:space="preserve">"řítit-se-001"</t>
  </si>
  <si>
    <t xml:space="preserve">"řítit-se-002"</t>
  </si>
  <si>
    <t xml:space="preserve">"říznout-001"</t>
  </si>
  <si>
    <t xml:space="preserve">"říznout-se-001"</t>
  </si>
  <si>
    <t xml:space="preserve">"šedivět-001"</t>
  </si>
  <si>
    <t xml:space="preserve">"šelestit-001"</t>
  </si>
  <si>
    <t xml:space="preserve">"šeptat-001"</t>
  </si>
  <si>
    <t xml:space="preserve">"šeptat-002"</t>
  </si>
  <si>
    <t xml:space="preserve">"šeptat-003"</t>
  </si>
  <si>
    <t xml:space="preserve">EFF: 4; ↓že; ↓ať; ↓aby; ↓jestli; ↓zda; ↓c; .s</t>
  </si>
  <si>
    <t xml:space="preserve">?ADDR: 3; k+3</t>
  </si>
  <si>
    <t xml:space="preserve">"šermovat-001"</t>
  </si>
  <si>
    <t xml:space="preserve">"šetřit-001"</t>
  </si>
  <si>
    <t xml:space="preserve">"šetřit-002"</t>
  </si>
  <si>
    <t xml:space="preserve">Asset_controller(), Asset()</t>
  </si>
  <si>
    <t xml:space="preserve">ACT-&gt;Asset_controller()</t>
  </si>
  <si>
    <t xml:space="preserve">"šetřit-003"</t>
  </si>
  <si>
    <t xml:space="preserve">"šetřit-004"</t>
  </si>
  <si>
    <t xml:space="preserve">"šetřit-005"</t>
  </si>
  <si>
    <t xml:space="preserve">"šidit-001"</t>
  </si>
  <si>
    <t xml:space="preserve">"šikanovat-001"</t>
  </si>
  <si>
    <t xml:space="preserve">"šilhat-001"</t>
  </si>
  <si>
    <t xml:space="preserve">"šilhat-002"</t>
  </si>
  <si>
    <t xml:space="preserve">"šklebit-se-001"</t>
  </si>
  <si>
    <t xml:space="preserve">"škobrtnout-001"</t>
  </si>
  <si>
    <t xml:space="preserve">"škodit-001"</t>
  </si>
  <si>
    <t xml:space="preserve">ACT: 1; ↓kdyby; .f; ↓c</t>
  </si>
  <si>
    <t xml:space="preserve">"školit-001"</t>
  </si>
  <si>
    <t xml:space="preserve">PAT: o+6; v+6; ↓že; ↓aby; ↓ať; .s; ↓c</t>
  </si>
  <si>
    <t xml:space="preserve">ADDR-&gt;ARG1/1,ARG2/12</t>
  </si>
  <si>
    <t xml:space="preserve">ADDR-&gt;Impactee(ARG1/1,ARG2/12)</t>
  </si>
  <si>
    <t xml:space="preserve">"školit-002"</t>
  </si>
  <si>
    <t xml:space="preserve">"škrabat-001"</t>
  </si>
  <si>
    <t xml:space="preserve">"škrtat-001"</t>
  </si>
  <si>
    <t xml:space="preserve">"škrtat-002"</t>
  </si>
  <si>
    <t xml:space="preserve">"škrtit-001"</t>
  </si>
  <si>
    <t xml:space="preserve">"škrtit-002"</t>
  </si>
  <si>
    <t xml:space="preserve">"škrtnout-001"</t>
  </si>
  <si>
    <t xml:space="preserve">"škrtnout-002"</t>
  </si>
  <si>
    <t xml:space="preserve">"škrábat-001"</t>
  </si>
  <si>
    <t xml:space="preserve">"škrábat-002"</t>
  </si>
  <si>
    <t xml:space="preserve">"škrábat-003"</t>
  </si>
  <si>
    <t xml:space="preserve">"škrábat-se-001"</t>
  </si>
  <si>
    <t xml:space="preserve">"škrábnout-001"</t>
  </si>
  <si>
    <t xml:space="preserve">"škubat-001"</t>
  </si>
  <si>
    <t xml:space="preserve">"škudlit-001"</t>
  </si>
  <si>
    <t xml:space="preserve">"škudlit-002"</t>
  </si>
  <si>
    <t xml:space="preserve">"škvařit-001"</t>
  </si>
  <si>
    <t xml:space="preserve">"šlapat-001"</t>
  </si>
  <si>
    <t xml:space="preserve">"šlapat-002"</t>
  </si>
  <si>
    <t xml:space="preserve">DPHR: na-1[pata.P4]</t>
  </si>
  <si>
    <t xml:space="preserve">"šlapat-003"</t>
  </si>
  <si>
    <t xml:space="preserve">"šlapat-004"</t>
  </si>
  <si>
    <t xml:space="preserve">"šlapat-005"</t>
  </si>
  <si>
    <t xml:space="preserve">"šlápnout-001"</t>
  </si>
  <si>
    <t xml:space="preserve">"šlápnout-002"</t>
  </si>
  <si>
    <t xml:space="preserve">"šmajdat-001"</t>
  </si>
  <si>
    <t xml:space="preserve">"šmakovat-001"</t>
  </si>
  <si>
    <t xml:space="preserve">"šmátrat-001"</t>
  </si>
  <si>
    <t xml:space="preserve">"šnorchlovat-001"</t>
  </si>
  <si>
    <t xml:space="preserve">"šněrovat-001"</t>
  </si>
  <si>
    <t xml:space="preserve">"šněrovat-002"</t>
  </si>
  <si>
    <t xml:space="preserve">"šokovat-001"</t>
  </si>
  <si>
    <t xml:space="preserve">"šoupat-001"</t>
  </si>
  <si>
    <t xml:space="preserve">"šoupnout-001"</t>
  </si>
  <si>
    <t xml:space="preserve">"šoupnout-002"</t>
  </si>
  <si>
    <t xml:space="preserve">"šoustnout-si-001"</t>
  </si>
  <si>
    <t xml:space="preserve">"špehovat-001"</t>
  </si>
  <si>
    <t xml:space="preserve">"špinit-001"</t>
  </si>
  <si>
    <t xml:space="preserve">"špitat-001"</t>
  </si>
  <si>
    <t xml:space="preserve">"špitnout-001"</t>
  </si>
  <si>
    <t xml:space="preserve">"špitnout-002"</t>
  </si>
  <si>
    <t xml:space="preserve">"šplhat-001"</t>
  </si>
  <si>
    <t xml:space="preserve">"šplhat-se-001"</t>
  </si>
  <si>
    <t xml:space="preserve">"šplhat-se-002"</t>
  </si>
  <si>
    <t xml:space="preserve">"šplhnout-si-001"</t>
  </si>
  <si>
    <t xml:space="preserve">"šplouchat-001"</t>
  </si>
  <si>
    <t xml:space="preserve">"šponovat-001"</t>
  </si>
  <si>
    <t xml:space="preserve">"špulit-se-001"</t>
  </si>
  <si>
    <t xml:space="preserve">"šroubovat-001"</t>
  </si>
  <si>
    <t xml:space="preserve">"šroubovat-002"</t>
  </si>
  <si>
    <t xml:space="preserve">"štvát-001"</t>
  </si>
  <si>
    <t xml:space="preserve">"štvát-002"</t>
  </si>
  <si>
    <t xml:space="preserve">"štípat-001"</t>
  </si>
  <si>
    <t xml:space="preserve">"štípat-002"</t>
  </si>
  <si>
    <t xml:space="preserve">"štípat-003"</t>
  </si>
  <si>
    <t xml:space="preserve">"štípnout-001"</t>
  </si>
  <si>
    <t xml:space="preserve">"štípnout-002"</t>
  </si>
  <si>
    <t xml:space="preserve">"štítit-se-001"</t>
  </si>
  <si>
    <t xml:space="preserve">?PAT: 2; .f</t>
  </si>
  <si>
    <t xml:space="preserve">"štěkat-001"</t>
  </si>
  <si>
    <t xml:space="preserve">"štěpit-001"</t>
  </si>
  <si>
    <t xml:space="preserve">"štěpit-se-001"</t>
  </si>
  <si>
    <t xml:space="preserve">"šukat-001"</t>
  </si>
  <si>
    <t xml:space="preserve">"šumět-001"</t>
  </si>
  <si>
    <t xml:space="preserve">"šustit-001"</t>
  </si>
  <si>
    <t xml:space="preserve">"šustit-002"</t>
  </si>
  <si>
    <t xml:space="preserve">"šuškat-001"</t>
  </si>
  <si>
    <t xml:space="preserve">"šuškat-002"</t>
  </si>
  <si>
    <t xml:space="preserve">"šuškat-003"</t>
  </si>
  <si>
    <t xml:space="preserve">"švihnout-001"</t>
  </si>
  <si>
    <t xml:space="preserve">"šáhnout-001"</t>
  </si>
  <si>
    <t xml:space="preserve">"šáhnout-002"</t>
  </si>
  <si>
    <t xml:space="preserve">"šálit-001"</t>
  </si>
  <si>
    <t xml:space="preserve">"šárat-001"</t>
  </si>
  <si>
    <t xml:space="preserve">"šátrat-001"</t>
  </si>
  <si>
    <t xml:space="preserve">"šéfovat-001"</t>
  </si>
  <si>
    <t xml:space="preserve">"šíbovat-001"</t>
  </si>
  <si>
    <t xml:space="preserve">"šílet-001"</t>
  </si>
  <si>
    <t xml:space="preserve">"šít-001"</t>
  </si>
  <si>
    <t xml:space="preserve">"šít-002"</t>
  </si>
  <si>
    <t xml:space="preserve">"šířit-001"</t>
  </si>
  <si>
    <t xml:space="preserve">"šířit-002"</t>
  </si>
  <si>
    <t xml:space="preserve">"šířit-se-001"</t>
  </si>
  <si>
    <t xml:space="preserve">"šňupat-001"</t>
  </si>
  <si>
    <t xml:space="preserve">"šťouchat-001"</t>
  </si>
  <si>
    <t xml:space="preserve">"šťouchat-se-001"</t>
  </si>
  <si>
    <t xml:space="preserve">"šťourat-001"</t>
  </si>
  <si>
    <t xml:space="preserve">PAT: v+6; do+2</t>
  </si>
  <si>
    <t xml:space="preserve">"šťourat-se-001"</t>
  </si>
  <si>
    <t xml:space="preserve">Removing(ARG0/1), Place(ARG1/1)</t>
  </si>
  <si>
    <t xml:space="preserve">LOC-&gt;ARG1/3</t>
  </si>
  <si>
    <t xml:space="preserve">"šůrovat-001"</t>
  </si>
  <si>
    <t xml:space="preserve">"ťukat-001"</t>
  </si>
  <si>
    <t xml:space="preserve">"ťukat-002"</t>
  </si>
  <si>
    <t xml:space="preserve">"ťukat-si-001"</t>
  </si>
  <si>
    <t xml:space="preserve">"ťuknout-001"</t>
  </si>
  <si>
    <t xml:space="preserve">"žadonit-001"</t>
  </si>
  <si>
    <t xml:space="preserve">PAT: o+4; ↓aby; ↓ať; .s; ↓c</t>
  </si>
  <si>
    <t xml:space="preserve">"žalovat-001"</t>
  </si>
  <si>
    <t xml:space="preserve">"žalovat-002"</t>
  </si>
  <si>
    <t xml:space="preserve">"žalovat-003"</t>
  </si>
  <si>
    <t xml:space="preserve">"žalovat-004"</t>
  </si>
  <si>
    <t xml:space="preserve">"žasnout-001"</t>
  </si>
  <si>
    <t xml:space="preserve">PAT: nad+7; ↓že; ↓c</t>
  </si>
  <si>
    <t xml:space="preserve">PAT-&gt;Perceived()</t>
  </si>
  <si>
    <t xml:space="preserve">"ždímat-001"</t>
  </si>
  <si>
    <t xml:space="preserve">"žebrat-001"</t>
  </si>
  <si>
    <t xml:space="preserve">?PAT: o+4; ↓aby; ↓ať; .s; ↓c; 4</t>
  </si>
  <si>
    <t xml:space="preserve">Scrounger(ARG0/2), Desirable(ARG1/2)</t>
  </si>
  <si>
    <t xml:space="preserve">ACT-&gt;Scrounger</t>
  </si>
  <si>
    <t xml:space="preserve">ACT-&gt;Scrounger(ARG0/2)</t>
  </si>
  <si>
    <t xml:space="preserve">"žehlit-001"</t>
  </si>
  <si>
    <t xml:space="preserve">"žehlívat-001"</t>
  </si>
  <si>
    <t xml:space="preserve">"žehnat-001"</t>
  </si>
  <si>
    <t xml:space="preserve">Authority(ARG0/1), Party_benefited(ARG1/3)</t>
  </si>
  <si>
    <t xml:space="preserve">PAT-&gt;Party_benefited(ARG1/3)</t>
  </si>
  <si>
    <t xml:space="preserve">"žehrat-001"</t>
  </si>
  <si>
    <t xml:space="preserve">PAT: na+4; ↓že; ↓c</t>
  </si>
  <si>
    <t xml:space="preserve">"ženit-se-001"</t>
  </si>
  <si>
    <t xml:space="preserve">"žertovat-001"</t>
  </si>
  <si>
    <t xml:space="preserve">"žhavit-001"</t>
  </si>
  <si>
    <t xml:space="preserve">"žirovat-001"</t>
  </si>
  <si>
    <t xml:space="preserve">"živit-001"</t>
  </si>
  <si>
    <t xml:space="preserve">"živit-002"</t>
  </si>
  <si>
    <t xml:space="preserve">"živit-se-001"</t>
  </si>
  <si>
    <t xml:space="preserve">"živit-se-002"</t>
  </si>
  <si>
    <t xml:space="preserve">PAT-&gt;Source()</t>
  </si>
  <si>
    <t xml:space="preserve">"živořit-001"</t>
  </si>
  <si>
    <t xml:space="preserve">"žonglovat-001"</t>
  </si>
  <si>
    <t xml:space="preserve">"žrát-001"</t>
  </si>
  <si>
    <t xml:space="preserve">"žrát-002"</t>
  </si>
  <si>
    <t xml:space="preserve">"žvanit-001"</t>
  </si>
  <si>
    <t xml:space="preserve">"žvýkat-001"</t>
  </si>
  <si>
    <t xml:space="preserve">Ingestor(ARG0/2), Ingestibles(ARG1/6)</t>
  </si>
  <si>
    <t xml:space="preserve">PAT-&gt;Ingestibles(ARG1/6)</t>
  </si>
  <si>
    <t xml:space="preserve">"žádat-001"</t>
  </si>
  <si>
    <t xml:space="preserve">PAT: o+4; .f; ↓zda; ↓jestli; ↓aby; ↓ať; .s; ↓c</t>
  </si>
  <si>
    <t xml:space="preserve">ACT-&gt;ARG0/1112,ARG1/3,ARG2/4</t>
  </si>
  <si>
    <t xml:space="preserve">PAT-&gt;ARG1/1274,ARG2/84</t>
  </si>
  <si>
    <t xml:space="preserve">ADDR-&gt;ARG1/83,ARG2/183</t>
  </si>
  <si>
    <t xml:space="preserve">"žádat-002"</t>
  </si>
  <si>
    <t xml:space="preserve">"žárlit-001"</t>
  </si>
  <si>
    <t xml:space="preserve">"žít-001"</t>
  </si>
  <si>
    <t xml:space="preserve">"žít-002"</t>
  </si>
  <si>
    <t xml:space="preserve">"žít-003"</t>
  </si>
  <si>
    <t xml:space="preserve">Participant_1(ARG0/64), Participant_2()</t>
  </si>
  <si>
    <t xml:space="preserve">ACT-&gt;ARG0/64</t>
  </si>
  <si>
    <t xml:space="preserve">ACT-&gt;Participant_1(ARG0/64)</t>
  </si>
  <si>
    <t xml:space="preserve">"žít-004"</t>
  </si>
  <si>
    <t xml:space="preserve">"žít-005"</t>
  </si>
  <si>
    <t xml:space="preserve">Protagonist(ARG0/11)</t>
  </si>
  <si>
    <t xml:space="preserve">"žít-006"</t>
  </si>
  <si>
    <t xml:space="preserve">DPHR: z-1[ruka.S2],do-1[ústa.P2]</t>
  </si>
  <si>
    <t xml:space="preserve">"žít-007"</t>
  </si>
  <si>
    <t xml:space="preserve">DPHR: život.S7[vlastní-1.$11&lt;A&gt;#,svůj-1.#]</t>
  </si>
  <si>
    <t xml:space="preserve">"žít-si-001"</t>
  </si>
  <si>
    <t xml:space="preserve">"žít-si-002"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</si>
</sst>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742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85"/>
    <col collapsed="false" customWidth="true" hidden="false" outlineLevel="0" max="2" min="2" style="0" width="50.34"/>
    <col collapsed="false" customWidth="true" hidden="false" outlineLevel="0" max="3" min="3" style="0" width="39.36"/>
    <col collapsed="false" customWidth="true" hidden="false" outlineLevel="0" max="5" min="5" style="0" width="80.3"/>
    <col collapsed="false" customWidth="true" hidden="false" outlineLevel="0" max="6" min="6" style="0" width="151.65"/>
    <col collapsed="false" customWidth="true" hidden="false" outlineLevel="0" max="8" min="8" style="0" width="33.84"/>
    <col collapsed="false" customWidth="true" hidden="false" outlineLevel="0" max="9" min="9" style="0" width="119.94"/>
    <col collapsed="false" customWidth="true" hidden="false" outlineLevel="0" max="11" min="11" style="0" width="62.07"/>
    <col collapsed="false" customWidth="true" hidden="false" outlineLevel="0" max="12" min="12" style="0" width="112.14"/>
    <col collapsed="false" customWidth="true" hidden="false" outlineLevel="0" max="14" min="14" style="0" width="25.35"/>
    <col collapsed="false" customWidth="true" hidden="false" outlineLevel="0" max="15" min="15" style="0" width="93.23"/>
    <col collapsed="false" customWidth="true" hidden="false" outlineLevel="0" max="17" min="17" style="0" width="61.1"/>
    <col collapsed="false" customWidth="true" hidden="false" outlineLevel="0" max="18" min="18" style="0" width="111.45"/>
    <col collapsed="false" customWidth="true" hidden="false" outlineLevel="0" max="20" min="20" style="0" width="17.15"/>
    <col collapsed="false" customWidth="true" hidden="false" outlineLevel="0" max="21" min="21" style="0" width="78.49"/>
    <col collapsed="false" customWidth="true" hidden="false" outlineLevel="0" max="23" min="23" style="0" width="32.59"/>
    <col collapsed="false" customWidth="true" hidden="false" outlineLevel="0" max="24" min="24" style="0" width="80.58"/>
  </cols>
  <sheetData>
    <row r="1" customFormat="false" ht="12.8" hidden="false" customHeight="false" outlineLevel="0" collapsed="false">
      <c r="A1" s="0" t="s">
        <v>0</v>
      </c>
      <c r="B1" s="0" t="str">
        <f aca="false">HYPERLINK("https://lindat.mff.cuni.cz/services/teitok/pdtc10/index.php?action=vallex&amp;frame=v-w1f1", "= (v-w1f1)")</f>
        <v>= (v-w1f1)</v>
      </c>
    </row>
    <row r="2" customFormat="false" ht="12.8" hidden="false" customHeight="false" outlineLevel="0" collapsed="false">
      <c r="B2" s="0" t="s">
        <v>1</v>
      </c>
    </row>
    <row r="3" customFormat="false" ht="12.8" hidden="false" customHeight="false" outlineLevel="0" collapsed="false">
      <c r="B3" s="0" t="s">
        <v>2</v>
      </c>
    </row>
    <row r="5" customFormat="false" ht="12.8" hidden="false" customHeight="false" outlineLevel="0" collapsed="false">
      <c r="A5" s="0" t="s">
        <v>3</v>
      </c>
      <c r="B5" s="0" t="str">
        <f aca="false">HYPERLINK("https://lindat.mff.cuni.cz/services/teitok/pdtc10/index.php?action=vallex&amp;frame=v-w3f1", "abdikovat (v-w3f1)")</f>
        <v>abdikovat (v-w3f1)</v>
      </c>
    </row>
    <row r="6" customFormat="false" ht="12.8" hidden="false" customHeight="false" outlineLevel="0" collapsed="false">
      <c r="B6" s="0" t="s">
        <v>1</v>
      </c>
    </row>
    <row r="8" customFormat="false" ht="12.8" hidden="false" customHeight="false" outlineLevel="0" collapsed="false">
      <c r="A8" s="0" t="s">
        <v>4</v>
      </c>
      <c r="B8" s="0" t="str">
        <f aca="false">HYPERLINK("https://lindat.mff.cuni.cz/services/teitok/pdtc10/index.php?action=vallex&amp;frame=v-w5f1", "absentovat (v-w5f1)")</f>
        <v>absentovat (v-w5f1)</v>
      </c>
    </row>
    <row r="9" customFormat="false" ht="12.8" hidden="false" customHeight="false" outlineLevel="0" collapsed="false">
      <c r="B9" s="0" t="s">
        <v>1</v>
      </c>
    </row>
    <row r="10" customFormat="false" ht="12.8" hidden="false" customHeight="false" outlineLevel="0" collapsed="false">
      <c r="B10" s="0" t="s">
        <v>5</v>
      </c>
    </row>
    <row r="12" customFormat="false" ht="12.8" hidden="false" customHeight="false" outlineLevel="0" collapsed="false">
      <c r="A12" s="0" t="s">
        <v>6</v>
      </c>
      <c r="B12" s="0" t="str">
        <f aca="false">HYPERLINK("https://lindat.mff.cuni.cz/services/teitok/pdtc10/index.php?action=vallex&amp;frame=v-w5f2", "absentovat (v-w5f2)")</f>
        <v>absentovat (v-w5f2)</v>
      </c>
    </row>
    <row r="13" customFormat="false" ht="12.8" hidden="false" customHeight="false" outlineLevel="0" collapsed="false">
      <c r="B13" s="0" t="s">
        <v>1</v>
      </c>
    </row>
    <row r="15" customFormat="false" ht="12.8" hidden="false" customHeight="false" outlineLevel="0" collapsed="false">
      <c r="A15" s="0" t="s">
        <v>7</v>
      </c>
      <c r="B15" s="0" t="str">
        <f aca="false">HYPERLINK("https://lindat.mff.cuni.cz/services/teitok/pdtc10/index.php?action=vallex&amp;frame=v-w9f5_ZU", "absolvovat (v-w9f5_ZU)")</f>
        <v>absolvovat (v-w9f5_ZU)</v>
      </c>
    </row>
    <row r="16" customFormat="false" ht="12.8" hidden="false" customHeight="false" outlineLevel="0" collapsed="false">
      <c r="B16" s="0" t="s">
        <v>1</v>
      </c>
    </row>
    <row r="17" customFormat="false" ht="12.8" hidden="false" customHeight="false" outlineLevel="0" collapsed="false">
      <c r="B17" s="0" t="s">
        <v>8</v>
      </c>
    </row>
    <row r="19" customFormat="false" ht="12.8" hidden="false" customHeight="false" outlineLevel="0" collapsed="false">
      <c r="A19" s="0" t="s">
        <v>7</v>
      </c>
      <c r="B19" s="0" t="str">
        <f aca="false">HYPERLINK("https://lindat.mff.cuni.cz/services/teitok/pdtc10/index.php?action=vallex&amp;frame=v-w9f1", "absolvovat (v-w9f1) - substituted with v-w9f5_ZU")</f>
        <v>absolvovat (v-w9f1) - substituted with v-w9f5_ZU</v>
      </c>
      <c r="E19" s="0" t="str">
        <f aca="false">HYPERLINK("https://lindat.mff.cuni.cz/services/SynSemClass40/SynSemClass40.html?veclass=vec00601#vec00601-ces-cm00001", "vec00601")</f>
        <v>vec00601</v>
      </c>
      <c r="F19" s="0" t="s">
        <v>9</v>
      </c>
    </row>
    <row r="20" customFormat="false" ht="12.8" hidden="false" customHeight="false" outlineLevel="0" collapsed="false">
      <c r="B20" s="0" t="s">
        <v>1</v>
      </c>
      <c r="C20" s="0" t="s">
        <v>10</v>
      </c>
      <c r="E20" s="0" t="s">
        <v>11</v>
      </c>
      <c r="F20" s="0" t="s">
        <v>12</v>
      </c>
    </row>
    <row r="21" customFormat="false" ht="12.8" hidden="false" customHeight="false" outlineLevel="0" collapsed="false">
      <c r="B21" s="0" t="s">
        <v>8</v>
      </c>
      <c r="C21" s="0" t="s">
        <v>13</v>
      </c>
      <c r="E21" s="0" t="s">
        <v>14</v>
      </c>
      <c r="F21" s="0" t="s">
        <v>15</v>
      </c>
    </row>
    <row r="23" customFormat="false" ht="12.8" hidden="false" customHeight="false" outlineLevel="0" collapsed="false">
      <c r="A23" s="0" t="s">
        <v>7</v>
      </c>
      <c r="B23" s="0" t="str">
        <f aca="false">HYPERLINK("https://lindat.mff.cuni.cz/services/teitok/pdtc10/index.php?action=vallex&amp;frame=v-w9f4_ZU", "absolvovat (v-w9f4_ZU) - substituted with v-w9f5_ZU")</f>
        <v>absolvovat (v-w9f4_ZU) - substituted with v-w9f5_ZU</v>
      </c>
    </row>
    <row r="24" customFormat="false" ht="12.8" hidden="false" customHeight="false" outlineLevel="0" collapsed="false">
      <c r="B24" s="0" t="s">
        <v>1</v>
      </c>
    </row>
    <row r="25" customFormat="false" ht="12.8" hidden="false" customHeight="false" outlineLevel="0" collapsed="false">
      <c r="B25" s="0" t="s">
        <v>8</v>
      </c>
    </row>
    <row r="27" customFormat="false" ht="12.8" hidden="false" customHeight="false" outlineLevel="0" collapsed="false">
      <c r="A27" s="0" t="s">
        <v>16</v>
      </c>
      <c r="B27" s="0" t="str">
        <f aca="false">HYPERLINK("https://lindat.mff.cuni.cz/services/teitok/pdtc10/index.php?action=vallex&amp;frame=v-w9f3_ZU", "absolvovat (v-w9f3_ZU)")</f>
        <v>absolvovat (v-w9f3_ZU)</v>
      </c>
    </row>
    <row r="28" customFormat="false" ht="12.8" hidden="false" customHeight="false" outlineLevel="0" collapsed="false">
      <c r="B28" s="0" t="s">
        <v>1</v>
      </c>
    </row>
    <row r="29" customFormat="false" ht="12.8" hidden="false" customHeight="false" outlineLevel="0" collapsed="false">
      <c r="B29" s="0" t="s">
        <v>8</v>
      </c>
    </row>
    <row r="31" customFormat="false" ht="12.8" hidden="false" customHeight="false" outlineLevel="0" collapsed="false">
      <c r="A31" s="0" t="s">
        <v>16</v>
      </c>
      <c r="B31" s="0" t="str">
        <f aca="false">HYPERLINK("https://lindat.mff.cuni.cz/services/teitok/pdtc10/index.php?action=vallex&amp;frame=v-w9f2_ZU", "absolvovat (v-w9f2_ZU) - substituted with v-w9f3_ZU")</f>
        <v>absolvovat (v-w9f2_ZU) - substituted with v-w9f3_ZU</v>
      </c>
    </row>
    <row r="32" customFormat="false" ht="12.8" hidden="false" customHeight="false" outlineLevel="0" collapsed="false">
      <c r="B32" s="0" t="s">
        <v>1</v>
      </c>
    </row>
    <row r="33" customFormat="false" ht="12.8" hidden="false" customHeight="false" outlineLevel="0" collapsed="false">
      <c r="B33" s="0" t="s">
        <v>8</v>
      </c>
    </row>
    <row r="35" customFormat="false" ht="12.8" hidden="false" customHeight="false" outlineLevel="0" collapsed="false">
      <c r="A35" s="0" t="s">
        <v>17</v>
      </c>
      <c r="B35" s="0" t="str">
        <f aca="false">HYPERLINK("https://lindat.mff.cuni.cz/services/teitok/pdtc10/index.php?action=vallex&amp;frame=v-w10f1", "absorbovat (v-w10f1)")</f>
        <v>absorbovat (v-w10f1)</v>
      </c>
      <c r="E35" s="0" t="str">
        <f aca="false">HYPERLINK("https://lindat.mff.cuni.cz/services/SynSemClass40/SynSemClass40.html?veclass=vec00476#vec00476-ces-cm00002", "vec00476")</f>
        <v>vec00476</v>
      </c>
      <c r="F35" s="0" t="s">
        <v>18</v>
      </c>
    </row>
    <row r="36" customFormat="false" ht="12.8" hidden="false" customHeight="false" outlineLevel="0" collapsed="false">
      <c r="B36" s="0" t="s">
        <v>1</v>
      </c>
      <c r="C36" s="0" t="s">
        <v>19</v>
      </c>
      <c r="E36" s="0" t="s">
        <v>20</v>
      </c>
      <c r="F36" s="0" t="s">
        <v>21</v>
      </c>
    </row>
    <row r="37" customFormat="false" ht="12.8" hidden="false" customHeight="false" outlineLevel="0" collapsed="false">
      <c r="B37" s="0" t="s">
        <v>8</v>
      </c>
      <c r="C37" s="0" t="s">
        <v>22</v>
      </c>
      <c r="E37" s="0" t="s">
        <v>23</v>
      </c>
      <c r="F37" s="0" t="s">
        <v>24</v>
      </c>
    </row>
    <row r="39" customFormat="false" ht="12.8" hidden="false" customHeight="false" outlineLevel="0" collapsed="false">
      <c r="A39" s="0" t="s">
        <v>25</v>
      </c>
      <c r="B39" s="0" t="str">
        <f aca="false">HYPERLINK("https://lindat.mff.cuni.cz/services/teitok/pdtc10/index.php?action=vallex&amp;frame=v-w12f2", "abstrahovat (v-w12f2)")</f>
        <v>abstrahovat (v-w12f2)</v>
      </c>
    </row>
    <row r="40" customFormat="false" ht="12.8" hidden="false" customHeight="false" outlineLevel="0" collapsed="false">
      <c r="B40" s="0" t="s">
        <v>1</v>
      </c>
    </row>
    <row r="41" customFormat="false" ht="12.8" hidden="false" customHeight="false" outlineLevel="0" collapsed="false">
      <c r="B41" s="0" t="s">
        <v>26</v>
      </c>
    </row>
    <row r="43" customFormat="false" ht="12.8" hidden="false" customHeight="false" outlineLevel="0" collapsed="false">
      <c r="A43" s="0" t="s">
        <v>27</v>
      </c>
      <c r="B43" s="0" t="str">
        <f aca="false">HYPERLINK("https://lindat.mff.cuni.cz/services/teitok/pdtc10/index.php?action=vallex&amp;frame=v-w12f1", "abstrahovat (v-w12f1)")</f>
        <v>abstrahovat (v-w12f1)</v>
      </c>
    </row>
    <row r="44" customFormat="false" ht="12.8" hidden="false" customHeight="false" outlineLevel="0" collapsed="false">
      <c r="B44" s="0" t="s">
        <v>1</v>
      </c>
    </row>
    <row r="46" customFormat="false" ht="12.8" hidden="false" customHeight="false" outlineLevel="0" collapsed="false">
      <c r="A46" s="0" t="s">
        <v>28</v>
      </c>
      <c r="B46" s="0" t="str">
        <f aca="false">HYPERLINK("https://lindat.mff.cuni.cz/services/teitok/pdtc10/index.php?action=vallex&amp;frame=v-w15f1", "adaptovat (v-w15f1)")</f>
        <v>adaptovat (v-w15f1)</v>
      </c>
      <c r="E46" s="0" t="str">
        <f aca="false">HYPERLINK("https://lindat.mff.cuni.cz/services/SynSemClass40/SynSemClass40.html?veclass=vec00095#vec00095-ces-cm00002", "vec00095")</f>
        <v>vec00095</v>
      </c>
      <c r="F46" s="0" t="s">
        <v>29</v>
      </c>
    </row>
    <row r="47" customFormat="false" ht="12.8" hidden="false" customHeight="false" outlineLevel="0" collapsed="false">
      <c r="B47" s="0" t="s">
        <v>1</v>
      </c>
      <c r="C47" s="0" t="s">
        <v>30</v>
      </c>
      <c r="E47" s="0" t="s">
        <v>31</v>
      </c>
      <c r="F47" s="0" t="s">
        <v>32</v>
      </c>
    </row>
    <row r="48" customFormat="false" ht="12.8" hidden="false" customHeight="false" outlineLevel="0" collapsed="false">
      <c r="B48" s="0" t="s">
        <v>8</v>
      </c>
      <c r="C48" s="0" t="s">
        <v>33</v>
      </c>
      <c r="E48" s="0" t="s">
        <v>34</v>
      </c>
      <c r="F48" s="0" t="s">
        <v>35</v>
      </c>
    </row>
    <row r="49" customFormat="false" ht="12.8" hidden="false" customHeight="false" outlineLevel="0" collapsed="false">
      <c r="B49" s="0" t="s">
        <v>36</v>
      </c>
      <c r="C49" s="0" t="s">
        <v>37</v>
      </c>
      <c r="E49" s="0" t="s">
        <v>38</v>
      </c>
      <c r="F49" s="0" t="s">
        <v>39</v>
      </c>
    </row>
    <row r="50" customFormat="false" ht="12.8" hidden="false" customHeight="false" outlineLevel="0" collapsed="false">
      <c r="B50" s="0" t="s">
        <v>40</v>
      </c>
      <c r="C50" s="0" t="s">
        <v>41</v>
      </c>
      <c r="E50" s="0" t="s">
        <v>42</v>
      </c>
      <c r="F50" s="0" t="s">
        <v>43</v>
      </c>
    </row>
    <row r="52" customFormat="false" ht="12.8" hidden="false" customHeight="false" outlineLevel="0" collapsed="false">
      <c r="A52" s="0" t="s">
        <v>44</v>
      </c>
      <c r="B52" s="0" t="str">
        <f aca="false">HYPERLINK("https://lindat.mff.cuni.cz/services/teitok/pdtc10/index.php?action=vallex&amp;frame=v-w16f1", "adaptovat se (v-w16f1)")</f>
        <v>adaptovat se (v-w16f1)</v>
      </c>
    </row>
    <row r="53" customFormat="false" ht="12.8" hidden="false" customHeight="false" outlineLevel="0" collapsed="false">
      <c r="B53" s="0" t="s">
        <v>1</v>
      </c>
    </row>
    <row r="54" customFormat="false" ht="12.8" hidden="false" customHeight="false" outlineLevel="0" collapsed="false">
      <c r="B54" s="0" t="s">
        <v>45</v>
      </c>
    </row>
    <row r="56" customFormat="false" ht="12.8" hidden="false" customHeight="false" outlineLevel="0" collapsed="false">
      <c r="A56" s="0" t="s">
        <v>46</v>
      </c>
      <c r="B56" s="0" t="str">
        <f aca="false">HYPERLINK("https://lindat.mff.cuni.cz/services/teitok/pdtc10/index.php?action=vallex&amp;frame=v-w20f1", "adoptovat (v-w20f1)")</f>
        <v>adoptovat (v-w20f1)</v>
      </c>
    </row>
    <row r="57" customFormat="false" ht="12.8" hidden="false" customHeight="false" outlineLevel="0" collapsed="false">
      <c r="B57" s="0" t="s">
        <v>1</v>
      </c>
    </row>
    <row r="58" customFormat="false" ht="12.8" hidden="false" customHeight="false" outlineLevel="0" collapsed="false">
      <c r="B58" s="0" t="s">
        <v>8</v>
      </c>
    </row>
    <row r="60" customFormat="false" ht="12.8" hidden="false" customHeight="false" outlineLevel="0" collapsed="false">
      <c r="A60" s="0" t="s">
        <v>47</v>
      </c>
      <c r="B60" s="0" t="str">
        <f aca="false">HYPERLINK("https://lindat.mff.cuni.cz/services/teitok/pdtc10/index.php?action=vallex&amp;frame=v-w23f1", "adresovat (v-w23f1)")</f>
        <v>adresovat (v-w23f1)</v>
      </c>
      <c r="E60" s="0" t="str">
        <f aca="false">HYPERLINK("https://lindat.mff.cuni.cz/services/SynSemClass40/SynSemClass40.html?veclass=vec00602#vec00602-ces-cm00001", "vec00602")</f>
        <v>vec00602</v>
      </c>
      <c r="F60" s="0" t="s">
        <v>48</v>
      </c>
    </row>
    <row r="61" customFormat="false" ht="12.8" hidden="false" customHeight="false" outlineLevel="0" collapsed="false">
      <c r="B61" s="0" t="s">
        <v>1</v>
      </c>
      <c r="E61" s="0" t="s">
        <v>31</v>
      </c>
      <c r="F61" s="0" t="s">
        <v>49</v>
      </c>
    </row>
    <row r="62" customFormat="false" ht="12.8" hidden="false" customHeight="false" outlineLevel="0" collapsed="false">
      <c r="B62" s="0" t="s">
        <v>8</v>
      </c>
      <c r="E62" s="0" t="s">
        <v>50</v>
      </c>
      <c r="F62" s="0" t="s">
        <v>51</v>
      </c>
    </row>
    <row r="63" customFormat="false" ht="12.8" hidden="false" customHeight="false" outlineLevel="0" collapsed="false">
      <c r="B63" s="0" t="s">
        <v>52</v>
      </c>
      <c r="E63" s="0" t="s">
        <v>53</v>
      </c>
      <c r="F63" s="0" t="s">
        <v>54</v>
      </c>
    </row>
    <row r="65" customFormat="false" ht="12.8" hidden="false" customHeight="false" outlineLevel="0" collapsed="false">
      <c r="A65" s="0" t="s">
        <v>55</v>
      </c>
      <c r="B65" s="0" t="str">
        <f aca="false">HYPERLINK("https://lindat.mff.cuni.cz/services/teitok/pdtc10/index.php?action=vallex&amp;frame=v-whsa_1919hsa_1920", "agitovat (v-whsa_1919hsa_1920)")</f>
        <v>agitovat (v-whsa_1919hsa_1920)</v>
      </c>
    </row>
    <row r="66" customFormat="false" ht="12.8" hidden="false" customHeight="false" outlineLevel="0" collapsed="false">
      <c r="B66" s="0" t="s">
        <v>1</v>
      </c>
    </row>
    <row r="67" customFormat="false" ht="12.8" hidden="false" customHeight="false" outlineLevel="0" collapsed="false">
      <c r="B67" s="0" t="s">
        <v>56</v>
      </c>
    </row>
    <row r="69" customFormat="false" ht="12.8" hidden="false" customHeight="false" outlineLevel="0" collapsed="false">
      <c r="A69" s="0" t="s">
        <v>57</v>
      </c>
      <c r="B69" s="0" t="str">
        <f aca="false">HYPERLINK("https://lindat.mff.cuni.cz/services/teitok/pdtc10/index.php?action=vallex&amp;frame=v-w28f1", "akcelerovat (v-w28f1)")</f>
        <v>akcelerovat (v-w28f1)</v>
      </c>
    </row>
    <row r="70" customFormat="false" ht="12.8" hidden="false" customHeight="false" outlineLevel="0" collapsed="false">
      <c r="B70" s="0" t="s">
        <v>1</v>
      </c>
    </row>
    <row r="72" customFormat="false" ht="12.8" hidden="false" customHeight="false" outlineLevel="0" collapsed="false">
      <c r="A72" s="0" t="s">
        <v>58</v>
      </c>
      <c r="B72" s="0" t="str">
        <f aca="false">HYPERLINK("https://lindat.mff.cuni.cz/services/teitok/pdtc10/index.php?action=vallex&amp;frame=v-w31f1", "akcentovat (v-w31f1)")</f>
        <v>akcentovat (v-w31f1)</v>
      </c>
    </row>
    <row r="73" customFormat="false" ht="12.8" hidden="false" customHeight="false" outlineLevel="0" collapsed="false">
      <c r="B73" s="0" t="s">
        <v>1</v>
      </c>
    </row>
    <row r="74" customFormat="false" ht="12.8" hidden="false" customHeight="false" outlineLevel="0" collapsed="false">
      <c r="B74" s="0" t="s">
        <v>59</v>
      </c>
    </row>
    <row r="76" customFormat="false" ht="12.8" hidden="false" customHeight="false" outlineLevel="0" collapsed="false">
      <c r="A76" s="0" t="s">
        <v>60</v>
      </c>
      <c r="B76" s="0" t="str">
        <f aca="false">HYPERLINK("https://lindat.mff.cuni.cz/services/teitok/pdtc10/index.php?action=vallex&amp;frame=v-w34f1", "akceptovat (v-w34f1)")</f>
        <v>akceptovat (v-w34f1)</v>
      </c>
      <c r="E76" s="0" t="str">
        <f aca="false">HYPERLINK("https://lindat.mff.cuni.cz/services/SynSemClass40/SynSemClass40.html?veclass=vec00120#vec00120-ces-cm00002", "vec00120")</f>
        <v>vec00120</v>
      </c>
      <c r="F76" s="0" t="s">
        <v>61</v>
      </c>
    </row>
    <row r="77" customFormat="false" ht="12.8" hidden="false" customHeight="false" outlineLevel="0" collapsed="false">
      <c r="B77" s="0" t="s">
        <v>1</v>
      </c>
      <c r="C77" s="0" t="s">
        <v>62</v>
      </c>
      <c r="E77" s="0" t="s">
        <v>63</v>
      </c>
      <c r="F77" s="0" t="s">
        <v>64</v>
      </c>
    </row>
    <row r="78" customFormat="false" ht="12.8" hidden="false" customHeight="false" outlineLevel="0" collapsed="false">
      <c r="B78" s="0" t="s">
        <v>59</v>
      </c>
      <c r="C78" s="0" t="s">
        <v>65</v>
      </c>
      <c r="E78" s="0" t="s">
        <v>66</v>
      </c>
      <c r="F78" s="0" t="s">
        <v>67</v>
      </c>
    </row>
    <row r="80" customFormat="false" ht="12.8" hidden="false" customHeight="false" outlineLevel="0" collapsed="false">
      <c r="A80" s="0" t="s">
        <v>68</v>
      </c>
      <c r="B80" s="0" t="str">
        <f aca="false">HYPERLINK("https://lindat.mff.cuni.cz/services/teitok/pdtc10/index.php?action=vallex&amp;frame=v-w11998_ZUf2_ZU", "aklimatizovat se (v-w11998_ZUf2_ZU)")</f>
        <v>aklimatizovat se (v-w11998_ZUf2_ZU)</v>
      </c>
    </row>
    <row r="81" customFormat="false" ht="12.8" hidden="false" customHeight="false" outlineLevel="0" collapsed="false">
      <c r="B81" s="0" t="s">
        <v>1</v>
      </c>
    </row>
    <row r="82" customFormat="false" ht="12.8" hidden="false" customHeight="false" outlineLevel="0" collapsed="false">
      <c r="B82" s="0" t="s">
        <v>69</v>
      </c>
    </row>
    <row r="84" customFormat="false" ht="12.8" hidden="false" customHeight="false" outlineLevel="0" collapsed="false">
      <c r="A84" s="0" t="s">
        <v>68</v>
      </c>
      <c r="B84" s="0" t="str">
        <f aca="false">HYPERLINK("https://lindat.mff.cuni.cz/services/teitok/pdtc10/index.php?action=vallex&amp;frame=v-w11998_ZUf1_ZU", "aklimatizovat se (v-w11998_ZUf1_ZU) - substituted with v-w11998_ZUf2_ZU")</f>
        <v>aklimatizovat se (v-w11998_ZUf1_ZU) - substituted with v-w11998_ZUf2_ZU</v>
      </c>
    </row>
    <row r="85" customFormat="false" ht="12.8" hidden="false" customHeight="false" outlineLevel="0" collapsed="false">
      <c r="B85" s="0" t="s">
        <v>1</v>
      </c>
    </row>
    <row r="86" customFormat="false" ht="12.8" hidden="false" customHeight="false" outlineLevel="0" collapsed="false">
      <c r="B86" s="0" t="s">
        <v>69</v>
      </c>
    </row>
    <row r="88" customFormat="false" ht="12.8" hidden="false" customHeight="false" outlineLevel="0" collapsed="false">
      <c r="A88" s="0" t="s">
        <v>70</v>
      </c>
      <c r="B88" s="0" t="str">
        <f aca="false">HYPERLINK("https://lindat.mff.cuni.cz/services/teitok/pdtc10/index.php?action=vallex&amp;frame=v-w36f1", "akreditovat (v-w36f1)")</f>
        <v>akreditovat (v-w36f1)</v>
      </c>
    </row>
    <row r="89" customFormat="false" ht="12.8" hidden="false" customHeight="false" outlineLevel="0" collapsed="false">
      <c r="B89" s="0" t="s">
        <v>1</v>
      </c>
    </row>
    <row r="90" customFormat="false" ht="12.8" hidden="false" customHeight="false" outlineLevel="0" collapsed="false">
      <c r="B90" s="0" t="s">
        <v>8</v>
      </c>
    </row>
    <row r="92" customFormat="false" ht="12.8" hidden="false" customHeight="false" outlineLevel="0" collapsed="false">
      <c r="A92" s="0" t="s">
        <v>71</v>
      </c>
      <c r="B92" s="0" t="str">
        <f aca="false">HYPERLINK("https://lindat.mff.cuni.cz/services/teitok/pdtc10/index.php?action=vallex&amp;frame=v-w39f1", "aktivizovat (v-w39f1)")</f>
        <v>aktivizovat (v-w39f1)</v>
      </c>
    </row>
    <row r="93" customFormat="false" ht="12.8" hidden="false" customHeight="false" outlineLevel="0" collapsed="false">
      <c r="B93" s="0" t="s">
        <v>1</v>
      </c>
    </row>
    <row r="94" customFormat="false" ht="12.8" hidden="false" customHeight="false" outlineLevel="0" collapsed="false">
      <c r="B94" s="0" t="s">
        <v>8</v>
      </c>
    </row>
    <row r="96" customFormat="false" ht="12.8" hidden="false" customHeight="false" outlineLevel="0" collapsed="false">
      <c r="A96" s="0" t="s">
        <v>72</v>
      </c>
      <c r="B96" s="0" t="str">
        <f aca="false">HYPERLINK("https://lindat.mff.cuni.cz/services/teitok/pdtc10/index.php?action=vallex&amp;frame=v-w40f1", "aktivizovat se (v-w40f1)")</f>
        <v>aktivizovat se (v-w40f1)</v>
      </c>
    </row>
    <row r="97" customFormat="false" ht="12.8" hidden="false" customHeight="false" outlineLevel="0" collapsed="false">
      <c r="B97" s="0" t="s">
        <v>1</v>
      </c>
    </row>
    <row r="99" customFormat="false" ht="12.8" hidden="false" customHeight="false" outlineLevel="0" collapsed="false">
      <c r="A99" s="0" t="s">
        <v>73</v>
      </c>
      <c r="B99" s="0" t="str">
        <f aca="false">HYPERLINK("https://lindat.mff.cuni.cz/services/teitok/pdtc10/index.php?action=vallex&amp;frame=v-w10527f2", "aktivovat (v-w10527f2)")</f>
        <v>aktivovat (v-w10527f2)</v>
      </c>
      <c r="E99" s="0" t="str">
        <f aca="false">HYPERLINK("https://lindat.mff.cuni.cz/services/SynSemClass40/SynSemClass40.html?veclass=vec00038#vec00038-ces-cm00065", "vec00038")</f>
        <v>vec00038</v>
      </c>
      <c r="F99" s="0" t="s">
        <v>74</v>
      </c>
    </row>
    <row r="100" customFormat="false" ht="12.8" hidden="false" customHeight="false" outlineLevel="0" collapsed="false">
      <c r="B100" s="0" t="s">
        <v>1</v>
      </c>
      <c r="C100" s="0" t="s">
        <v>75</v>
      </c>
      <c r="E100" s="0" t="s">
        <v>76</v>
      </c>
      <c r="F100" s="0" t="s">
        <v>77</v>
      </c>
    </row>
    <row r="101" customFormat="false" ht="12.8" hidden="false" customHeight="false" outlineLevel="0" collapsed="false">
      <c r="B101" s="0" t="s">
        <v>8</v>
      </c>
      <c r="C101" s="0" t="s">
        <v>78</v>
      </c>
      <c r="E101" s="0" t="s">
        <v>79</v>
      </c>
      <c r="F101" s="0" t="s">
        <v>80</v>
      </c>
    </row>
    <row r="103" customFormat="false" ht="12.8" hidden="false" customHeight="false" outlineLevel="0" collapsed="false">
      <c r="A103" s="0" t="s">
        <v>81</v>
      </c>
      <c r="B103" s="0" t="str">
        <f aca="false">HYPERLINK("https://lindat.mff.cuni.cz/services/teitok/pdtc10/index.php?action=vallex&amp;frame=v-w42f1", "aktualizovat (v-w42f1)")</f>
        <v>aktualizovat (v-w42f1)</v>
      </c>
      <c r="E103" s="0" t="str">
        <f aca="false">HYPERLINK("https://lindat.mff.cuni.cz/services/SynSemClass40/SynSemClass40.html?veclass=vec00436#vec00436-ces-cm00002", "vec00436")</f>
        <v>vec00436</v>
      </c>
      <c r="F103" s="0" t="s">
        <v>82</v>
      </c>
    </row>
    <row r="104" customFormat="false" ht="12.8" hidden="false" customHeight="false" outlineLevel="0" collapsed="false">
      <c r="B104" s="0" t="s">
        <v>1</v>
      </c>
      <c r="C104" s="0" t="s">
        <v>83</v>
      </c>
      <c r="E104" s="0" t="s">
        <v>84</v>
      </c>
      <c r="F104" s="0" t="s">
        <v>85</v>
      </c>
    </row>
    <row r="105" customFormat="false" ht="12.8" hidden="false" customHeight="false" outlineLevel="0" collapsed="false">
      <c r="B105" s="0" t="s">
        <v>8</v>
      </c>
      <c r="C105" s="0" t="s">
        <v>86</v>
      </c>
      <c r="E105" s="0" t="s">
        <v>87</v>
      </c>
      <c r="F105" s="0" t="s">
        <v>88</v>
      </c>
    </row>
    <row r="107" customFormat="false" ht="12.8" hidden="false" customHeight="false" outlineLevel="0" collapsed="false">
      <c r="A107" s="0" t="s">
        <v>89</v>
      </c>
      <c r="B107" s="0" t="str">
        <f aca="false">HYPERLINK("https://lindat.mff.cuni.cz/services/teitok/pdtc10/index.php?action=vallex&amp;frame=v-w44f1", "akumulovat (v-w44f1)")</f>
        <v>akumulovat (v-w44f1)</v>
      </c>
      <c r="E107" s="0" t="str">
        <f aca="false">HYPERLINK("https://lindat.mff.cuni.cz/services/SynSemClass40/SynSemClass40.html?veclass=vec00443#vec00443-ces-cm00002", "vec00443")</f>
        <v>vec00443</v>
      </c>
      <c r="F107" s="0" t="s">
        <v>90</v>
      </c>
    </row>
    <row r="108" customFormat="false" ht="12.8" hidden="false" customHeight="false" outlineLevel="0" collapsed="false">
      <c r="B108" s="0" t="s">
        <v>1</v>
      </c>
      <c r="C108" s="0" t="s">
        <v>91</v>
      </c>
      <c r="E108" s="0" t="s">
        <v>92</v>
      </c>
      <c r="F108" s="0" t="s">
        <v>93</v>
      </c>
    </row>
    <row r="109" customFormat="false" ht="12.8" hidden="false" customHeight="false" outlineLevel="0" collapsed="false">
      <c r="B109" s="0" t="s">
        <v>8</v>
      </c>
      <c r="C109" s="0" t="s">
        <v>94</v>
      </c>
      <c r="E109" s="0" t="s">
        <v>95</v>
      </c>
      <c r="F109" s="0" t="s">
        <v>96</v>
      </c>
    </row>
    <row r="111" customFormat="false" ht="12.8" hidden="false" customHeight="false" outlineLevel="0" collapsed="false">
      <c r="A111" s="0" t="s">
        <v>97</v>
      </c>
      <c r="B111" s="0" t="str">
        <f aca="false">HYPERLINK("https://lindat.mff.cuni.cz/services/teitok/pdtc10/index.php?action=vallex&amp;frame=v-w46f1", "alarmovat (v-w46f1)")</f>
        <v>alarmovat (v-w46f1)</v>
      </c>
    </row>
    <row r="112" customFormat="false" ht="12.8" hidden="false" customHeight="false" outlineLevel="0" collapsed="false">
      <c r="B112" s="0" t="s">
        <v>1</v>
      </c>
    </row>
    <row r="113" customFormat="false" ht="12.8" hidden="false" customHeight="false" outlineLevel="0" collapsed="false">
      <c r="B113" s="0" t="s">
        <v>98</v>
      </c>
    </row>
    <row r="114" customFormat="false" ht="12.8" hidden="false" customHeight="false" outlineLevel="0" collapsed="false">
      <c r="B114" s="0" t="s">
        <v>99</v>
      </c>
    </row>
    <row r="116" customFormat="false" ht="12.8" hidden="false" customHeight="false" outlineLevel="0" collapsed="false">
      <c r="A116" s="0" t="s">
        <v>100</v>
      </c>
      <c r="B116" s="0" t="str">
        <f aca="false">HYPERLINK("https://lindat.mff.cuni.cz/services/teitok/pdtc10/index.php?action=vallex&amp;frame=v-w10972f3", "alokovat (v-w10972f3)")</f>
        <v>alokovat (v-w10972f3)</v>
      </c>
    </row>
    <row r="117" customFormat="false" ht="12.8" hidden="false" customHeight="false" outlineLevel="0" collapsed="false">
      <c r="B117" s="0" t="s">
        <v>1</v>
      </c>
    </row>
    <row r="118" customFormat="false" ht="12.8" hidden="false" customHeight="false" outlineLevel="0" collapsed="false">
      <c r="B118" s="0" t="s">
        <v>8</v>
      </c>
    </row>
    <row r="119" customFormat="false" ht="12.8" hidden="false" customHeight="false" outlineLevel="0" collapsed="false">
      <c r="B119" s="0" t="s">
        <v>36</v>
      </c>
    </row>
    <row r="120" customFormat="false" ht="12.8" hidden="false" customHeight="false" outlineLevel="0" collapsed="false">
      <c r="B120" s="0" t="s">
        <v>101</v>
      </c>
    </row>
    <row r="122" customFormat="false" ht="12.8" hidden="false" customHeight="false" outlineLevel="0" collapsed="false">
      <c r="A122" s="0" t="s">
        <v>102</v>
      </c>
      <c r="B122" s="0" t="str">
        <f aca="false">HYPERLINK("https://lindat.mff.cuni.cz/services/teitok/pdtc10/index.php?action=vallex&amp;frame=v-w54f1", "alternovat (v-w54f1)")</f>
        <v>alternovat (v-w54f1)</v>
      </c>
    </row>
    <row r="123" customFormat="false" ht="12.8" hidden="false" customHeight="false" outlineLevel="0" collapsed="false">
      <c r="B123" s="0" t="s">
        <v>1</v>
      </c>
    </row>
    <row r="124" customFormat="false" ht="12.8" hidden="false" customHeight="false" outlineLevel="0" collapsed="false">
      <c r="B124" s="0" t="s">
        <v>103</v>
      </c>
    </row>
    <row r="126" customFormat="false" ht="12.8" hidden="false" customHeight="false" outlineLevel="0" collapsed="false">
      <c r="A126" s="0" t="s">
        <v>104</v>
      </c>
      <c r="B126" s="0" t="str">
        <f aca="false">HYPERLINK("https://lindat.mff.cuni.cz/services/teitok/pdtc10/index.php?action=vallex&amp;frame=v-w56f1", "amputovat (v-w56f1)")</f>
        <v>amputovat (v-w56f1)</v>
      </c>
      <c r="E126" s="0" t="str">
        <f aca="false">HYPERLINK("https://lindat.mff.cuni.cz/services/SynSemClass40/SynSemClass40.html?veclass=vec01456#vec01456-ces-cm00001", "vec01456")</f>
        <v>vec01456</v>
      </c>
      <c r="F126" s="0" t="s">
        <v>105</v>
      </c>
    </row>
    <row r="127" customFormat="false" ht="12.8" hidden="false" customHeight="false" outlineLevel="0" collapsed="false">
      <c r="B127" s="0" t="s">
        <v>1</v>
      </c>
      <c r="C127" s="0" t="s">
        <v>106</v>
      </c>
      <c r="E127" s="0" t="s">
        <v>107</v>
      </c>
      <c r="F127" s="0" t="s">
        <v>108</v>
      </c>
    </row>
    <row r="128" customFormat="false" ht="12.8" hidden="false" customHeight="false" outlineLevel="0" collapsed="false">
      <c r="B128" s="0" t="s">
        <v>8</v>
      </c>
      <c r="C128" s="0" t="s">
        <v>109</v>
      </c>
      <c r="E128" s="0" t="s">
        <v>110</v>
      </c>
      <c r="F128" s="0" t="s">
        <v>111</v>
      </c>
    </row>
    <row r="130" customFormat="false" ht="12.8" hidden="false" customHeight="false" outlineLevel="0" collapsed="false">
      <c r="A130" s="0" t="s">
        <v>112</v>
      </c>
      <c r="B130" s="0" t="str">
        <f aca="false">HYPERLINK("https://lindat.mff.cuni.cz/services/teitok/pdtc10/index.php?action=vallex&amp;frame=v-w59f1", "analyzovat (v-w59f1)")</f>
        <v>analyzovat (v-w59f1)</v>
      </c>
      <c r="E130" s="0" t="str">
        <f aca="false">HYPERLINK("https://lindat.mff.cuni.cz/services/SynSemClass40/SynSemClass40.html?veclass=vec00090#vec00090-ces-cm00002", "vec00090")</f>
        <v>vec00090</v>
      </c>
      <c r="F130" s="0" t="s">
        <v>113</v>
      </c>
    </row>
    <row r="131" customFormat="false" ht="12.8" hidden="false" customHeight="false" outlineLevel="0" collapsed="false">
      <c r="B131" s="0" t="s">
        <v>1</v>
      </c>
      <c r="C131" s="0" t="s">
        <v>114</v>
      </c>
      <c r="E131" s="0" t="s">
        <v>115</v>
      </c>
      <c r="F131" s="0" t="s">
        <v>116</v>
      </c>
    </row>
    <row r="132" customFormat="false" ht="12.8" hidden="false" customHeight="false" outlineLevel="0" collapsed="false">
      <c r="B132" s="0" t="s">
        <v>117</v>
      </c>
      <c r="C132" s="0" t="s">
        <v>118</v>
      </c>
      <c r="E132" s="0" t="s">
        <v>119</v>
      </c>
      <c r="F132" s="0" t="s">
        <v>120</v>
      </c>
    </row>
    <row r="134" customFormat="false" ht="12.8" hidden="false" customHeight="false" outlineLevel="0" collapsed="false">
      <c r="A134" s="0" t="s">
        <v>121</v>
      </c>
      <c r="B134" s="0" t="str">
        <f aca="false">HYPERLINK("https://lindat.mff.cuni.cz/services/teitok/pdtc10/index.php?action=vallex&amp;frame=v-w61f1", "anektovat (v-w61f1)")</f>
        <v>anektovat (v-w61f1)</v>
      </c>
    </row>
    <row r="135" customFormat="false" ht="12.8" hidden="false" customHeight="false" outlineLevel="0" collapsed="false">
      <c r="B135" s="0" t="s">
        <v>1</v>
      </c>
    </row>
    <row r="136" customFormat="false" ht="12.8" hidden="false" customHeight="false" outlineLevel="0" collapsed="false">
      <c r="B136" s="0" t="s">
        <v>8</v>
      </c>
    </row>
    <row r="138" customFormat="false" ht="12.8" hidden="false" customHeight="false" outlineLevel="0" collapsed="false">
      <c r="A138" s="0" t="s">
        <v>122</v>
      </c>
      <c r="B138" s="0" t="str">
        <f aca="false">HYPERLINK("https://lindat.mff.cuni.cz/services/teitok/pdtc10/index.php?action=vallex&amp;frame=v-w64f1", "angažovat (v-w64f1)")</f>
        <v>angažovat (v-w64f1)</v>
      </c>
    </row>
    <row r="139" customFormat="false" ht="12.8" hidden="false" customHeight="false" outlineLevel="0" collapsed="false">
      <c r="B139" s="0" t="s">
        <v>1</v>
      </c>
    </row>
    <row r="140" customFormat="false" ht="12.8" hidden="false" customHeight="false" outlineLevel="0" collapsed="false">
      <c r="B140" s="0" t="s">
        <v>8</v>
      </c>
    </row>
    <row r="141" customFormat="false" ht="12.8" hidden="false" customHeight="false" outlineLevel="0" collapsed="false">
      <c r="B141" s="0" t="s">
        <v>123</v>
      </c>
    </row>
    <row r="143" customFormat="false" ht="12.8" hidden="false" customHeight="false" outlineLevel="0" collapsed="false">
      <c r="A143" s="0" t="s">
        <v>124</v>
      </c>
      <c r="B143" s="0" t="str">
        <f aca="false">HYPERLINK("https://lindat.mff.cuni.cz/services/teitok/pdtc10/index.php?action=vallex&amp;frame=v-w64f2_ZU", "angažovat (v-w64f2_ZU)")</f>
        <v>angažovat (v-w64f2_ZU)</v>
      </c>
    </row>
    <row r="144" customFormat="false" ht="12.8" hidden="false" customHeight="false" outlineLevel="0" collapsed="false">
      <c r="B144" s="0" t="s">
        <v>1</v>
      </c>
    </row>
    <row r="145" customFormat="false" ht="12.8" hidden="false" customHeight="false" outlineLevel="0" collapsed="false">
      <c r="B145" s="0" t="s">
        <v>8</v>
      </c>
    </row>
    <row r="147" customFormat="false" ht="12.8" hidden="false" customHeight="false" outlineLevel="0" collapsed="false">
      <c r="A147" s="0" t="s">
        <v>125</v>
      </c>
      <c r="B147" s="0" t="str">
        <f aca="false">HYPERLINK("https://lindat.mff.cuni.cz/services/teitok/pdtc10/index.php?action=vallex&amp;frame=v-w65f1", "angažovat se (v-w65f1)")</f>
        <v>angažovat se (v-w65f1)</v>
      </c>
      <c r="E147" s="0" t="str">
        <f aca="false">HYPERLINK("https://lindat.mff.cuni.cz/services/SynSemClass40/SynSemClass40.html?veclass=vec00067#vec00067-ces-cm00003", "vec00067")</f>
        <v>vec00067</v>
      </c>
      <c r="F147" s="0" t="s">
        <v>126</v>
      </c>
      <c r="H147" s="0" t="str">
        <f aca="false">HYPERLINK("https://lindat.mff.cuni.cz/services/SynSemClass40/SynSemClass40.html?veclass=vec01458#vec01458-ces-cm00008", "vec01458")</f>
        <v>vec01458</v>
      </c>
      <c r="I147" s="0" t="s">
        <v>127</v>
      </c>
    </row>
    <row r="148" customFormat="false" ht="12.8" hidden="false" customHeight="false" outlineLevel="0" collapsed="false">
      <c r="B148" s="0" t="s">
        <v>1</v>
      </c>
      <c r="C148" s="0" t="s">
        <v>128</v>
      </c>
      <c r="E148" s="0" t="s">
        <v>11</v>
      </c>
      <c r="F148" s="0" t="s">
        <v>129</v>
      </c>
      <c r="H148" s="0" t="s">
        <v>31</v>
      </c>
      <c r="I148" s="0" t="s">
        <v>130</v>
      </c>
    </row>
    <row r="150" customFormat="false" ht="12.8" hidden="false" customHeight="false" outlineLevel="0" collapsed="false">
      <c r="A150" s="0" t="s">
        <v>131</v>
      </c>
      <c r="B150" s="0" t="str">
        <f aca="false">HYPERLINK("https://lindat.mff.cuni.cz/services/teitok/pdtc10/index.php?action=vallex&amp;frame=v-w67f1", "anoncovat (v-w67f1)")</f>
        <v>anoncovat (v-w67f1)</v>
      </c>
    </row>
    <row r="151" customFormat="false" ht="12.8" hidden="false" customHeight="false" outlineLevel="0" collapsed="false">
      <c r="B151" s="0" t="s">
        <v>1</v>
      </c>
    </row>
    <row r="152" customFormat="false" ht="12.8" hidden="false" customHeight="false" outlineLevel="0" collapsed="false">
      <c r="B152" s="0" t="s">
        <v>8</v>
      </c>
    </row>
    <row r="153" customFormat="false" ht="12.8" hidden="false" customHeight="false" outlineLevel="0" collapsed="false">
      <c r="B153" s="0" t="s">
        <v>132</v>
      </c>
    </row>
    <row r="155" customFormat="false" ht="12.8" hidden="false" customHeight="false" outlineLevel="0" collapsed="false">
      <c r="A155" s="0" t="s">
        <v>133</v>
      </c>
      <c r="B155" s="0" t="str">
        <f aca="false">HYPERLINK("https://lindat.mff.cuni.cz/services/teitok/pdtc10/index.php?action=vallex&amp;frame=v-w70f1", "anulovat (v-w70f1)")</f>
        <v>anulovat (v-w70f1)</v>
      </c>
      <c r="E155" s="0" t="str">
        <f aca="false">HYPERLINK("https://lindat.mff.cuni.cz/services/SynSemClass40/SynSemClass40.html?veclass=vec00198#vec00198-ces-cm00002", "vec00198")</f>
        <v>vec00198</v>
      </c>
      <c r="F155" s="0" t="s">
        <v>134</v>
      </c>
      <c r="H155" s="0" t="str">
        <f aca="false">HYPERLINK("https://lindat.mff.cuni.cz/services/SynSemClass40/SynSemClass40.html?veclass=vec01482#vec01482-ces-cm00011", "vec01482")</f>
        <v>vec01482</v>
      </c>
      <c r="I155" s="0" t="s">
        <v>135</v>
      </c>
    </row>
    <row r="156" customFormat="false" ht="12.8" hidden="false" customHeight="false" outlineLevel="0" collapsed="false">
      <c r="B156" s="0" t="s">
        <v>1</v>
      </c>
      <c r="C156" s="0" t="s">
        <v>136</v>
      </c>
      <c r="E156" s="0" t="s">
        <v>31</v>
      </c>
      <c r="F156" s="0" t="s">
        <v>137</v>
      </c>
      <c r="H156" s="0" t="s">
        <v>76</v>
      </c>
      <c r="I156" s="0" t="s">
        <v>138</v>
      </c>
    </row>
    <row r="157" customFormat="false" ht="12.8" hidden="false" customHeight="false" outlineLevel="0" collapsed="false">
      <c r="B157" s="0" t="s">
        <v>8</v>
      </c>
      <c r="C157" s="0" t="s">
        <v>139</v>
      </c>
      <c r="E157" s="0" t="s">
        <v>140</v>
      </c>
      <c r="F157" s="0" t="s">
        <v>141</v>
      </c>
      <c r="H157" s="0" t="s">
        <v>142</v>
      </c>
      <c r="I157" s="0" t="s">
        <v>143</v>
      </c>
    </row>
    <row r="159" customFormat="false" ht="12.8" hidden="false" customHeight="false" outlineLevel="0" collapsed="false">
      <c r="A159" s="0" t="s">
        <v>144</v>
      </c>
      <c r="B159" s="0" t="str">
        <f aca="false">HYPERLINK("https://lindat.mff.cuni.cz/services/teitok/pdtc10/index.php?action=vallex&amp;frame=v-w72f1", "apelovat (v-w72f1)")</f>
        <v>apelovat (v-w72f1)</v>
      </c>
      <c r="E159" s="0" t="str">
        <f aca="false">HYPERLINK("https://lindat.mff.cuni.cz/services/SynSemClass40/SynSemClass40.html?veclass=vec00057#vec00057-ces-cm00085", "vec00057")</f>
        <v>vec00057</v>
      </c>
      <c r="F159" s="0" t="s">
        <v>145</v>
      </c>
    </row>
    <row r="160" customFormat="false" ht="12.8" hidden="false" customHeight="false" outlineLevel="0" collapsed="false">
      <c r="B160" s="0" t="s">
        <v>1</v>
      </c>
      <c r="C160" s="0" t="s">
        <v>146</v>
      </c>
      <c r="E160" s="0" t="s">
        <v>147</v>
      </c>
      <c r="F160" s="0" t="s">
        <v>148</v>
      </c>
    </row>
    <row r="161" customFormat="false" ht="12.8" hidden="false" customHeight="false" outlineLevel="0" collapsed="false">
      <c r="B161" s="0" t="s">
        <v>45</v>
      </c>
      <c r="C161" s="0" t="s">
        <v>149</v>
      </c>
      <c r="E161" s="0" t="s">
        <v>150</v>
      </c>
      <c r="F161" s="0" t="s">
        <v>151</v>
      </c>
    </row>
    <row r="163" customFormat="false" ht="12.8" hidden="false" customHeight="false" outlineLevel="0" collapsed="false">
      <c r="A163" s="0" t="s">
        <v>152</v>
      </c>
      <c r="B163" s="0" t="str">
        <f aca="false">HYPERLINK("https://lindat.mff.cuni.cz/services/teitok/pdtc10/index.php?action=vallex&amp;frame=v-w73f1", "aplaudovat (v-w73f1)")</f>
        <v>aplaudovat (v-w73f1)</v>
      </c>
      <c r="E163" s="0" t="str">
        <f aca="false">HYPERLINK("https://lindat.mff.cuni.cz/services/SynSemClass40/SynSemClass40.html?veclass=vec00135#vec00135-ces-cm00024", "vec00135")</f>
        <v>vec00135</v>
      </c>
      <c r="F163" s="0" t="s">
        <v>153</v>
      </c>
    </row>
    <row r="164" customFormat="false" ht="12.8" hidden="false" customHeight="false" outlineLevel="0" collapsed="false">
      <c r="B164" s="0" t="s">
        <v>1</v>
      </c>
      <c r="C164" s="0" t="s">
        <v>154</v>
      </c>
      <c r="E164" s="0" t="s">
        <v>155</v>
      </c>
      <c r="F164" s="0" t="s">
        <v>156</v>
      </c>
    </row>
    <row r="165" customFormat="false" ht="12.8" hidden="false" customHeight="false" outlineLevel="0" collapsed="false">
      <c r="B165" s="0" t="s">
        <v>157</v>
      </c>
      <c r="C165" s="0" t="s">
        <v>158</v>
      </c>
      <c r="E165" s="0" t="s">
        <v>159</v>
      </c>
      <c r="F165" s="0" t="s">
        <v>160</v>
      </c>
    </row>
    <row r="167" customFormat="false" ht="12.8" hidden="false" customHeight="false" outlineLevel="0" collapsed="false">
      <c r="A167" s="0" t="s">
        <v>161</v>
      </c>
      <c r="B167" s="0" t="str">
        <f aca="false">HYPERLINK("https://lindat.mff.cuni.cz/services/teitok/pdtc10/index.php?action=vallex&amp;frame=v-w76f3", "aplikovat (v-w76f3)")</f>
        <v>aplikovat (v-w76f3)</v>
      </c>
    </row>
    <row r="168" customFormat="false" ht="12.8" hidden="false" customHeight="false" outlineLevel="0" collapsed="false">
      <c r="B168" s="0" t="s">
        <v>1</v>
      </c>
    </row>
    <row r="169" customFormat="false" ht="12.8" hidden="false" customHeight="false" outlineLevel="0" collapsed="false">
      <c r="B169" s="0" t="s">
        <v>8</v>
      </c>
    </row>
    <row r="170" customFormat="false" ht="12.8" hidden="false" customHeight="false" outlineLevel="0" collapsed="false">
      <c r="B170" s="0" t="s">
        <v>162</v>
      </c>
    </row>
    <row r="172" customFormat="false" ht="12.8" hidden="false" customHeight="false" outlineLevel="0" collapsed="false">
      <c r="A172" s="0" t="s">
        <v>163</v>
      </c>
      <c r="B172" s="0" t="str">
        <f aca="false">HYPERLINK("https://lindat.mff.cuni.cz/services/teitok/pdtc10/index.php?action=vallex&amp;frame=v-w76f2", "aplikovat (v-w76f2)")</f>
        <v>aplikovat (v-w76f2)</v>
      </c>
    </row>
    <row r="173" customFormat="false" ht="12.8" hidden="false" customHeight="false" outlineLevel="0" collapsed="false">
      <c r="B173" s="0" t="s">
        <v>1</v>
      </c>
    </row>
    <row r="174" customFormat="false" ht="12.8" hidden="false" customHeight="false" outlineLevel="0" collapsed="false">
      <c r="B174" s="0" t="s">
        <v>8</v>
      </c>
    </row>
    <row r="175" customFormat="false" ht="12.8" hidden="false" customHeight="false" outlineLevel="0" collapsed="false">
      <c r="B175" s="0" t="s">
        <v>164</v>
      </c>
    </row>
    <row r="177" customFormat="false" ht="12.8" hidden="false" customHeight="false" outlineLevel="0" collapsed="false">
      <c r="A177" s="0" t="s">
        <v>165</v>
      </c>
      <c r="B177" s="0" t="str">
        <f aca="false">HYPERLINK("https://lindat.mff.cuni.cz/services/teitok/pdtc10/index.php?action=vallex&amp;frame=v-w76f1", "aplikovat (v-w76f1)")</f>
        <v>aplikovat (v-w76f1)</v>
      </c>
      <c r="E177" s="0" t="str">
        <f aca="false">HYPERLINK("https://lindat.mff.cuni.cz/services/SynSemClass40/SynSemClass40.html?veclass=vec00079#vec00079-ces-cm00002", "vec00079")</f>
        <v>vec00079</v>
      </c>
      <c r="F177" s="0" t="s">
        <v>166</v>
      </c>
    </row>
    <row r="178" customFormat="false" ht="12.8" hidden="false" customHeight="false" outlineLevel="0" collapsed="false">
      <c r="B178" s="0" t="s">
        <v>1</v>
      </c>
      <c r="C178" s="0" t="s">
        <v>167</v>
      </c>
      <c r="E178" s="0" t="s">
        <v>11</v>
      </c>
      <c r="F178" s="0" t="s">
        <v>168</v>
      </c>
    </row>
    <row r="179" customFormat="false" ht="12.8" hidden="false" customHeight="false" outlineLevel="0" collapsed="false">
      <c r="B179" s="0" t="s">
        <v>8</v>
      </c>
      <c r="C179" s="0" t="s">
        <v>169</v>
      </c>
      <c r="E179" s="0" t="s">
        <v>170</v>
      </c>
      <c r="F179" s="0" t="s">
        <v>171</v>
      </c>
    </row>
    <row r="181" customFormat="false" ht="12.8" hidden="false" customHeight="false" outlineLevel="0" collapsed="false">
      <c r="A181" s="0" t="s">
        <v>172</v>
      </c>
      <c r="B181" s="0" t="str">
        <f aca="false">HYPERLINK("https://lindat.mff.cuni.cz/services/teitok/pdtc10/index.php?action=vallex&amp;frame=v-w81f1", "archivovat (v-w81f1)")</f>
        <v>archivovat (v-w81f1)</v>
      </c>
    </row>
    <row r="182" customFormat="false" ht="12.8" hidden="false" customHeight="false" outlineLevel="0" collapsed="false">
      <c r="B182" s="0" t="s">
        <v>1</v>
      </c>
    </row>
    <row r="183" customFormat="false" ht="12.8" hidden="false" customHeight="false" outlineLevel="0" collapsed="false">
      <c r="B183" s="0" t="s">
        <v>8</v>
      </c>
    </row>
    <row r="185" customFormat="false" ht="12.8" hidden="false" customHeight="false" outlineLevel="0" collapsed="false">
      <c r="A185" s="0" t="s">
        <v>173</v>
      </c>
      <c r="B185" s="0" t="str">
        <f aca="false">HYPERLINK("https://lindat.mff.cuni.cz/services/teitok/pdtc10/index.php?action=vallex&amp;frame=v-w79f1", "argumentovat (v-w79f1)")</f>
        <v>argumentovat (v-w79f1)</v>
      </c>
      <c r="E185" s="0" t="str">
        <f aca="false">HYPERLINK("https://lindat.mff.cuni.cz/services/SynSemClass40/SynSemClass40.html?veclass=vec00201#vec00201-ces-cm00001", "vec00201")</f>
        <v>vec00201</v>
      </c>
      <c r="F185" s="0" t="s">
        <v>174</v>
      </c>
    </row>
    <row r="186" customFormat="false" ht="12.8" hidden="false" customHeight="false" outlineLevel="0" collapsed="false">
      <c r="B186" s="0" t="s">
        <v>1</v>
      </c>
      <c r="C186" s="0" t="s">
        <v>175</v>
      </c>
      <c r="E186" s="0" t="s">
        <v>176</v>
      </c>
      <c r="F186" s="0" t="s">
        <v>177</v>
      </c>
    </row>
    <row r="187" customFormat="false" ht="12.8" hidden="false" customHeight="false" outlineLevel="0" collapsed="false">
      <c r="B187" s="0" t="s">
        <v>178</v>
      </c>
      <c r="C187" s="0" t="s">
        <v>179</v>
      </c>
      <c r="E187" s="0" t="s">
        <v>180</v>
      </c>
      <c r="F187" s="0" t="s">
        <v>181</v>
      </c>
    </row>
    <row r="189" customFormat="false" ht="12.8" hidden="false" customHeight="false" outlineLevel="0" collapsed="false">
      <c r="A189" s="0" t="s">
        <v>182</v>
      </c>
      <c r="B189" s="0" t="str">
        <f aca="false">HYPERLINK("https://lindat.mff.cuni.cz/services/teitok/pdtc10/index.php?action=vallex&amp;frame=v-w10929f2", "asfaltovat (v-w10929f2)")</f>
        <v>asfaltovat (v-w10929f2)</v>
      </c>
    </row>
    <row r="190" customFormat="false" ht="12.8" hidden="false" customHeight="false" outlineLevel="0" collapsed="false">
      <c r="B190" s="0" t="s">
        <v>1</v>
      </c>
    </row>
    <row r="191" customFormat="false" ht="12.8" hidden="false" customHeight="false" outlineLevel="0" collapsed="false">
      <c r="B191" s="0" t="s">
        <v>8</v>
      </c>
    </row>
    <row r="193" customFormat="false" ht="12.8" hidden="false" customHeight="false" outlineLevel="0" collapsed="false">
      <c r="A193" s="0" t="s">
        <v>183</v>
      </c>
      <c r="B193" s="0" t="str">
        <f aca="false">HYPERLINK("https://lindat.mff.cuni.cz/services/teitok/pdtc10/index.php?action=vallex&amp;frame=v-w12217_ZUf1_ZU", "asimilovat (v-w12217_ZUf1_ZU)")</f>
        <v>asimilovat (v-w12217_ZUf1_ZU)</v>
      </c>
    </row>
    <row r="194" customFormat="false" ht="12.8" hidden="false" customHeight="false" outlineLevel="0" collapsed="false">
      <c r="B194" s="0" t="s">
        <v>1</v>
      </c>
    </row>
    <row r="195" customFormat="false" ht="12.8" hidden="false" customHeight="false" outlineLevel="0" collapsed="false">
      <c r="B195" s="0" t="s">
        <v>8</v>
      </c>
    </row>
    <row r="197" customFormat="false" ht="12.8" hidden="false" customHeight="false" outlineLevel="0" collapsed="false">
      <c r="A197" s="0" t="s">
        <v>184</v>
      </c>
      <c r="B197" s="0" t="str">
        <f aca="false">HYPERLINK("https://lindat.mff.cuni.cz/services/teitok/pdtc10/index.php?action=vallex&amp;frame=v-w90f1", "asistovat (v-w90f1)")</f>
        <v>asistovat (v-w90f1)</v>
      </c>
      <c r="E197" s="0" t="str">
        <f aca="false">HYPERLINK("https://lindat.mff.cuni.cz/services/SynSemClass40/SynSemClass40.html?veclass=vec00067#vec00067-ces-cm00004", "vec00067")</f>
        <v>vec00067</v>
      </c>
      <c r="F197" s="0" t="s">
        <v>126</v>
      </c>
    </row>
    <row r="198" customFormat="false" ht="12.8" hidden="false" customHeight="false" outlineLevel="0" collapsed="false">
      <c r="B198" s="0" t="s">
        <v>1</v>
      </c>
      <c r="C198" s="0" t="s">
        <v>185</v>
      </c>
      <c r="E198" s="0" t="s">
        <v>11</v>
      </c>
      <c r="F198" s="0" t="s">
        <v>129</v>
      </c>
    </row>
    <row r="199" customFormat="false" ht="12.8" hidden="false" customHeight="false" outlineLevel="0" collapsed="false">
      <c r="B199" s="0" t="s">
        <v>186</v>
      </c>
      <c r="C199" s="0" t="s">
        <v>187</v>
      </c>
      <c r="E199" s="0" t="s">
        <v>188</v>
      </c>
      <c r="F199" s="0" t="s">
        <v>189</v>
      </c>
    </row>
    <row r="201" customFormat="false" ht="12.8" hidden="false" customHeight="false" outlineLevel="0" collapsed="false">
      <c r="A201" s="0" t="s">
        <v>190</v>
      </c>
      <c r="B201" s="0" t="str">
        <f aca="false">HYPERLINK("https://lindat.mff.cuni.cz/services/teitok/pdtc10/index.php?action=vallex&amp;frame=v-w92f1", "asociovat (v-w92f1)")</f>
        <v>asociovat (v-w92f1)</v>
      </c>
    </row>
    <row r="202" customFormat="false" ht="12.8" hidden="false" customHeight="false" outlineLevel="0" collapsed="false">
      <c r="B202" s="0" t="s">
        <v>1</v>
      </c>
    </row>
    <row r="203" customFormat="false" ht="12.8" hidden="false" customHeight="false" outlineLevel="0" collapsed="false">
      <c r="B203" s="0" t="s">
        <v>8</v>
      </c>
    </row>
    <row r="205" customFormat="false" ht="12.8" hidden="false" customHeight="false" outlineLevel="0" collapsed="false">
      <c r="A205" s="0" t="s">
        <v>191</v>
      </c>
      <c r="B205" s="0" t="str">
        <f aca="false">HYPERLINK("https://lindat.mff.cuni.cz/services/teitok/pdtc10/index.php?action=vallex&amp;frame=v-w93f2", "aspirovat (v-w93f2)")</f>
        <v>aspirovat (v-w93f2)</v>
      </c>
    </row>
    <row r="206" customFormat="false" ht="12.8" hidden="false" customHeight="false" outlineLevel="0" collapsed="false">
      <c r="B206" s="0" t="s">
        <v>1</v>
      </c>
    </row>
    <row r="207" customFormat="false" ht="12.8" hidden="false" customHeight="false" outlineLevel="0" collapsed="false">
      <c r="B207" s="0" t="s">
        <v>192</v>
      </c>
    </row>
    <row r="209" customFormat="false" ht="12.8" hidden="false" customHeight="false" outlineLevel="0" collapsed="false">
      <c r="A209" s="0" t="s">
        <v>191</v>
      </c>
      <c r="B209" s="0" t="str">
        <f aca="false">HYPERLINK("https://lindat.mff.cuni.cz/services/teitok/pdtc10/index.php?action=vallex&amp;frame=v-w93f1", "aspirovat (v-w93f1) - substituted with v-w93f2")</f>
        <v>aspirovat (v-w93f1) - substituted with v-w93f2</v>
      </c>
    </row>
    <row r="210" customFormat="false" ht="12.8" hidden="false" customHeight="false" outlineLevel="0" collapsed="false">
      <c r="B210" s="0" t="s">
        <v>1</v>
      </c>
    </row>
    <row r="211" customFormat="false" ht="12.8" hidden="false" customHeight="false" outlineLevel="0" collapsed="false">
      <c r="B211" s="0" t="s">
        <v>192</v>
      </c>
    </row>
    <row r="213" customFormat="false" ht="12.8" hidden="false" customHeight="false" outlineLevel="0" collapsed="false">
      <c r="A213" s="0" t="s">
        <v>193</v>
      </c>
      <c r="B213" s="0" t="str">
        <f aca="false">HYPERLINK("https://lindat.mff.cuni.cz/services/teitok/pdtc10/index.php?action=vallex&amp;frame=v-w95f1", "atakovat (v-w95f1)")</f>
        <v>atakovat (v-w95f1)</v>
      </c>
      <c r="E213" s="0" t="str">
        <f aca="false">HYPERLINK("https://lindat.mff.cuni.cz/services/SynSemClass40/SynSemClass40.html?veclass=vec00441#vec00441-ces-cm00002", "vec00441")</f>
        <v>vec00441</v>
      </c>
      <c r="F213" s="0" t="s">
        <v>194</v>
      </c>
    </row>
    <row r="214" customFormat="false" ht="12.8" hidden="false" customHeight="false" outlineLevel="0" collapsed="false">
      <c r="B214" s="0" t="s">
        <v>1</v>
      </c>
      <c r="C214" s="0" t="s">
        <v>195</v>
      </c>
      <c r="E214" s="0" t="s">
        <v>196</v>
      </c>
      <c r="F214" s="0" t="s">
        <v>197</v>
      </c>
    </row>
    <row r="215" customFormat="false" ht="12.8" hidden="false" customHeight="false" outlineLevel="0" collapsed="false">
      <c r="B215" s="0" t="s">
        <v>8</v>
      </c>
      <c r="C215" s="0" t="s">
        <v>198</v>
      </c>
      <c r="E215" s="0" t="s">
        <v>199</v>
      </c>
      <c r="F215" s="0" t="s">
        <v>200</v>
      </c>
    </row>
    <row r="217" customFormat="false" ht="12.8" hidden="false" customHeight="false" outlineLevel="0" collapsed="false">
      <c r="A217" s="0" t="s">
        <v>201</v>
      </c>
      <c r="B217" s="0" t="str">
        <f aca="false">HYPERLINK("https://lindat.mff.cuni.cz/services/teitok/pdtc10/index.php?action=vallex&amp;frame=v-w98f1", "atomizovat (v-w98f1)")</f>
        <v>atomizovat (v-w98f1)</v>
      </c>
    </row>
    <row r="218" customFormat="false" ht="12.8" hidden="false" customHeight="false" outlineLevel="0" collapsed="false">
      <c r="B218" s="0" t="s">
        <v>1</v>
      </c>
    </row>
    <row r="219" customFormat="false" ht="12.8" hidden="false" customHeight="false" outlineLevel="0" collapsed="false">
      <c r="B219" s="0" t="s">
        <v>8</v>
      </c>
    </row>
    <row r="220" customFormat="false" ht="12.8" hidden="false" customHeight="false" outlineLevel="0" collapsed="false">
      <c r="B220" s="0" t="s">
        <v>101</v>
      </c>
    </row>
    <row r="222" customFormat="false" ht="12.8" hidden="false" customHeight="false" outlineLevel="0" collapsed="false">
      <c r="A222" s="0" t="s">
        <v>202</v>
      </c>
      <c r="B222" s="0" t="str">
        <f aca="false">HYPERLINK("https://lindat.mff.cuni.cz/services/teitok/pdtc10/index.php?action=vallex&amp;frame=v-w11166f2", "automatizovat (v-w11166f2)")</f>
        <v>automatizovat (v-w11166f2)</v>
      </c>
    </row>
    <row r="223" customFormat="false" ht="12.8" hidden="false" customHeight="false" outlineLevel="0" collapsed="false">
      <c r="B223" s="0" t="s">
        <v>1</v>
      </c>
    </row>
    <row r="224" customFormat="false" ht="12.8" hidden="false" customHeight="false" outlineLevel="0" collapsed="false">
      <c r="B224" s="0" t="s">
        <v>8</v>
      </c>
    </row>
    <row r="226" customFormat="false" ht="12.8" hidden="false" customHeight="false" outlineLevel="0" collapsed="false">
      <c r="A226" s="0" t="s">
        <v>203</v>
      </c>
      <c r="B226" s="0" t="str">
        <f aca="false">HYPERLINK("https://lindat.mff.cuni.cz/services/teitok/pdtc10/index.php?action=vallex&amp;frame=v-w11025f2", "autorizovat (v-w11025f2)")</f>
        <v>autorizovat (v-w11025f2)</v>
      </c>
      <c r="E226" s="0" t="str">
        <f aca="false">HYPERLINK("https://lindat.mff.cuni.cz/services/SynSemClass40/SynSemClass40.html?veclass=vec00078#vec00078-ces-cm00074", "vec00078")</f>
        <v>vec00078</v>
      </c>
      <c r="F226" s="0" t="s">
        <v>204</v>
      </c>
    </row>
    <row r="227" customFormat="false" ht="12.8" hidden="false" customHeight="false" outlineLevel="0" collapsed="false">
      <c r="B227" s="0" t="s">
        <v>1</v>
      </c>
      <c r="C227" s="0" t="s">
        <v>205</v>
      </c>
      <c r="E227" s="0" t="s">
        <v>206</v>
      </c>
      <c r="F227" s="0" t="s">
        <v>207</v>
      </c>
    </row>
    <row r="228" customFormat="false" ht="12.8" hidden="false" customHeight="false" outlineLevel="0" collapsed="false">
      <c r="B228" s="0" t="s">
        <v>8</v>
      </c>
      <c r="C228" s="0" t="s">
        <v>208</v>
      </c>
      <c r="E228" s="0" t="s">
        <v>209</v>
      </c>
      <c r="F228" s="0" t="s">
        <v>210</v>
      </c>
    </row>
    <row r="230" customFormat="false" ht="12.8" hidden="false" customHeight="false" outlineLevel="0" collapsed="false">
      <c r="A230" s="0" t="s">
        <v>211</v>
      </c>
      <c r="B230" s="0" t="str">
        <f aca="false">HYPERLINK("https://lindat.mff.cuni.cz/services/teitok/pdtc10/index.php?action=vallex&amp;frame=v-w12131_ZUf1_ZU", "avansovat (v-w12131_ZUf1_ZU)")</f>
        <v>avansovat (v-w12131_ZUf1_ZU)</v>
      </c>
    </row>
    <row r="231" customFormat="false" ht="12.8" hidden="false" customHeight="false" outlineLevel="0" collapsed="false">
      <c r="B231" s="0" t="s">
        <v>1</v>
      </c>
    </row>
    <row r="232" customFormat="false" ht="12.8" hidden="false" customHeight="false" outlineLevel="0" collapsed="false">
      <c r="B232" s="0" t="s">
        <v>69</v>
      </c>
    </row>
    <row r="234" customFormat="false" ht="12.8" hidden="false" customHeight="false" outlineLevel="0" collapsed="false">
      <c r="A234" s="0" t="s">
        <v>212</v>
      </c>
      <c r="B234" s="0" t="str">
        <f aca="false">HYPERLINK("https://lindat.mff.cuni.cz/services/teitok/pdtc10/index.php?action=vallex&amp;frame=v-w105f1", "avizovat (v-w105f1)")</f>
        <v>avizovat (v-w105f1)</v>
      </c>
      <c r="E234" s="0" t="str">
        <f aca="false">HYPERLINK("https://lindat.mff.cuni.cz/services/SynSemClass40/SynSemClass40.html?veclass=vec00060#vec00060-ces-cm00002", "vec00060")</f>
        <v>vec00060</v>
      </c>
      <c r="F234" s="0" t="s">
        <v>213</v>
      </c>
    </row>
    <row r="235" customFormat="false" ht="12.8" hidden="false" customHeight="false" outlineLevel="0" collapsed="false">
      <c r="B235" s="0" t="s">
        <v>1</v>
      </c>
      <c r="C235" s="0" t="s">
        <v>214</v>
      </c>
      <c r="E235" s="0" t="s">
        <v>147</v>
      </c>
      <c r="F235" s="0" t="s">
        <v>215</v>
      </c>
    </row>
    <row r="236" customFormat="false" ht="12.8" hidden="false" customHeight="false" outlineLevel="0" collapsed="false">
      <c r="B236" s="0" t="s">
        <v>216</v>
      </c>
      <c r="C236" s="0" t="s">
        <v>217</v>
      </c>
      <c r="E236" s="0" t="s">
        <v>218</v>
      </c>
      <c r="F236" s="0" t="s">
        <v>219</v>
      </c>
    </row>
    <row r="237" customFormat="false" ht="12.8" hidden="false" customHeight="false" outlineLevel="0" collapsed="false">
      <c r="B237" s="0" t="s">
        <v>132</v>
      </c>
      <c r="C237" s="0" t="s">
        <v>220</v>
      </c>
      <c r="E237" s="0" t="s">
        <v>221</v>
      </c>
      <c r="F237" s="0" t="s">
        <v>222</v>
      </c>
    </row>
    <row r="239" customFormat="false" ht="12.8" hidden="false" customHeight="false" outlineLevel="0" collapsed="false">
      <c r="A239" s="0" t="s">
        <v>223</v>
      </c>
      <c r="B239" s="0" t="str">
        <f aca="false">HYPERLINK("https://lindat.mff.cuni.cz/services/teitok/pdtc10/index.php?action=vallex&amp;frame=v-whsa_1897hsa_1898", "bacit (v-whsa_1897hsa_1898)")</f>
        <v>bacit (v-whsa_1897hsa_1898)</v>
      </c>
    </row>
    <row r="240" customFormat="false" ht="12.8" hidden="false" customHeight="false" outlineLevel="0" collapsed="false">
      <c r="B240" s="0" t="s">
        <v>1</v>
      </c>
    </row>
    <row r="241" customFormat="false" ht="12.8" hidden="false" customHeight="false" outlineLevel="0" collapsed="false">
      <c r="B241" s="0" t="s">
        <v>8</v>
      </c>
    </row>
    <row r="243" customFormat="false" ht="12.8" hidden="false" customHeight="false" outlineLevel="0" collapsed="false">
      <c r="A243" s="0" t="s">
        <v>224</v>
      </c>
      <c r="B243" s="0" t="str">
        <f aca="false">HYPERLINK("https://lindat.mff.cuni.cz/services/teitok/pdtc10/index.php?action=vallex&amp;frame=v-w108f1", "bagatelizovat (v-w108f1)")</f>
        <v>bagatelizovat (v-w108f1)</v>
      </c>
      <c r="E243" s="0" t="str">
        <f aca="false">HYPERLINK("https://lindat.mff.cuni.cz/services/SynSemClass40/SynSemClass40.html?veclass=vec00801#vec00801-ces-cm00001", "vec00801")</f>
        <v>vec00801</v>
      </c>
      <c r="F243" s="0" t="s">
        <v>225</v>
      </c>
    </row>
    <row r="244" customFormat="false" ht="12.8" hidden="false" customHeight="false" outlineLevel="0" collapsed="false">
      <c r="B244" s="0" t="s">
        <v>1</v>
      </c>
      <c r="C244" s="0" t="s">
        <v>226</v>
      </c>
      <c r="E244" s="0" t="s">
        <v>31</v>
      </c>
      <c r="F244" s="0" t="s">
        <v>227</v>
      </c>
    </row>
    <row r="245" customFormat="false" ht="12.8" hidden="false" customHeight="false" outlineLevel="0" collapsed="false">
      <c r="B245" s="0" t="s">
        <v>228</v>
      </c>
      <c r="C245" s="0" t="s">
        <v>229</v>
      </c>
      <c r="E245" s="0" t="s">
        <v>230</v>
      </c>
      <c r="F245" s="0" t="s">
        <v>231</v>
      </c>
    </row>
    <row r="247" customFormat="false" ht="12.8" hidden="false" customHeight="false" outlineLevel="0" collapsed="false">
      <c r="A247" s="0" t="s">
        <v>232</v>
      </c>
      <c r="B247" s="0" t="str">
        <f aca="false">HYPERLINK("https://lindat.mff.cuni.cz/services/teitok/pdtc10/index.php?action=vallex&amp;frame=v-w111f1", "balancovat (v-w111f1)")</f>
        <v>balancovat (v-w111f1)</v>
      </c>
      <c r="E247" s="0" t="str">
        <f aca="false">HYPERLINK("https://lindat.mff.cuni.cz/services/SynSemClass40/SynSemClass40.html?veclass=vec00070#vec00070-ces-cm00002", "vec00070")</f>
        <v>vec00070</v>
      </c>
      <c r="F247" s="0" t="s">
        <v>233</v>
      </c>
    </row>
    <row r="248" customFormat="false" ht="12.8" hidden="false" customHeight="false" outlineLevel="0" collapsed="false">
      <c r="B248" s="0" t="s">
        <v>1</v>
      </c>
      <c r="C248" s="0" t="s">
        <v>234</v>
      </c>
      <c r="E248" s="0" t="s">
        <v>235</v>
      </c>
      <c r="F248" s="0" t="s">
        <v>236</v>
      </c>
    </row>
    <row r="250" customFormat="false" ht="12.8" hidden="false" customHeight="false" outlineLevel="0" collapsed="false">
      <c r="A250" s="0" t="s">
        <v>237</v>
      </c>
      <c r="B250" s="0" t="str">
        <f aca="false">HYPERLINK("https://lindat.mff.cuni.cz/services/teitok/pdtc10/index.php?action=vallex&amp;frame=v-w113f2", "balit (v-w113f2)")</f>
        <v>balit (v-w113f2)</v>
      </c>
      <c r="E250" s="0" t="str">
        <f aca="false">HYPERLINK("https://lindat.mff.cuni.cz/services/SynSemClass40/SynSemClass40.html?veclass=vec00603#vec00603-ces-cm00001", "vec00603")</f>
        <v>vec00603</v>
      </c>
      <c r="F250" s="0" t="s">
        <v>238</v>
      </c>
    </row>
    <row r="251" customFormat="false" ht="12.8" hidden="false" customHeight="false" outlineLevel="0" collapsed="false">
      <c r="B251" s="0" t="s">
        <v>1</v>
      </c>
      <c r="C251" s="0" t="s">
        <v>239</v>
      </c>
      <c r="E251" s="0" t="s">
        <v>240</v>
      </c>
      <c r="F251" s="0" t="s">
        <v>241</v>
      </c>
    </row>
    <row r="252" customFormat="false" ht="12.8" hidden="false" customHeight="false" outlineLevel="0" collapsed="false">
      <c r="B252" s="0" t="s">
        <v>8</v>
      </c>
      <c r="C252" s="0" t="s">
        <v>242</v>
      </c>
      <c r="E252" s="0" t="s">
        <v>243</v>
      </c>
      <c r="F252" s="0" t="s">
        <v>244</v>
      </c>
    </row>
    <row r="253" customFormat="false" ht="12.8" hidden="false" customHeight="false" outlineLevel="0" collapsed="false">
      <c r="B253" s="0" t="s">
        <v>245</v>
      </c>
    </row>
    <row r="255" customFormat="false" ht="12.8" hidden="false" customHeight="false" outlineLevel="0" collapsed="false">
      <c r="A255" s="0" t="s">
        <v>246</v>
      </c>
      <c r="B255" s="0" t="str">
        <f aca="false">HYPERLINK("https://lindat.mff.cuni.cz/services/teitok/pdtc10/index.php?action=vallex&amp;frame=v-w113f1", "balit (v-w113f1)")</f>
        <v>balit (v-w113f1)</v>
      </c>
      <c r="E255" s="0" t="str">
        <f aca="false">HYPERLINK("https://lindat.mff.cuni.cz/services/SynSemClass40/SynSemClass40.html?veclass=vec00603#vec00603-ces-cm00008", "vec00603")</f>
        <v>vec00603</v>
      </c>
      <c r="F255" s="0" t="s">
        <v>238</v>
      </c>
    </row>
    <row r="256" customFormat="false" ht="12.8" hidden="false" customHeight="false" outlineLevel="0" collapsed="false">
      <c r="B256" s="0" t="s">
        <v>1</v>
      </c>
      <c r="C256" s="0" t="s">
        <v>239</v>
      </c>
      <c r="E256" s="0" t="s">
        <v>240</v>
      </c>
      <c r="F256" s="0" t="s">
        <v>241</v>
      </c>
    </row>
    <row r="257" customFormat="false" ht="12.8" hidden="false" customHeight="false" outlineLevel="0" collapsed="false">
      <c r="B257" s="0" t="s">
        <v>8</v>
      </c>
      <c r="C257" s="0" t="s">
        <v>242</v>
      </c>
      <c r="E257" s="0" t="s">
        <v>243</v>
      </c>
      <c r="F257" s="0" t="s">
        <v>244</v>
      </c>
    </row>
    <row r="259" customFormat="false" ht="12.8" hidden="false" customHeight="false" outlineLevel="0" collapsed="false">
      <c r="A259" s="0" t="s">
        <v>247</v>
      </c>
      <c r="B259" s="0" t="str">
        <f aca="false">HYPERLINK("https://lindat.mff.cuni.cz/services/teitok/pdtc10/index.php?action=vallex&amp;frame=v-w113f4", "balit (v-w113f4)")</f>
        <v>balit (v-w113f4)</v>
      </c>
    </row>
    <row r="260" customFormat="false" ht="12.8" hidden="false" customHeight="false" outlineLevel="0" collapsed="false">
      <c r="B260" s="0" t="s">
        <v>1</v>
      </c>
    </row>
    <row r="261" customFormat="false" ht="12.8" hidden="false" customHeight="false" outlineLevel="0" collapsed="false">
      <c r="B261" s="0" t="s">
        <v>8</v>
      </c>
    </row>
    <row r="263" customFormat="false" ht="12.8" hidden="false" customHeight="false" outlineLevel="0" collapsed="false">
      <c r="A263" s="0" t="s">
        <v>248</v>
      </c>
      <c r="B263" s="0" t="str">
        <f aca="false">HYPERLINK("https://lindat.mff.cuni.cz/services/teitok/pdtc10/index.php?action=vallex&amp;frame=v-w113f3", "balit (v-w113f3)")</f>
        <v>balit (v-w113f3)</v>
      </c>
    </row>
    <row r="264" customFormat="false" ht="12.8" hidden="false" customHeight="false" outlineLevel="0" collapsed="false">
      <c r="B264" s="0" t="s">
        <v>1</v>
      </c>
    </row>
    <row r="265" customFormat="false" ht="12.8" hidden="false" customHeight="false" outlineLevel="0" collapsed="false">
      <c r="B265" s="0" t="s">
        <v>249</v>
      </c>
    </row>
    <row r="267" customFormat="false" ht="12.8" hidden="false" customHeight="false" outlineLevel="0" collapsed="false">
      <c r="A267" s="0" t="s">
        <v>250</v>
      </c>
      <c r="B267" s="0" t="str">
        <f aca="false">HYPERLINK("https://lindat.mff.cuni.cz/services/teitok/pdtc10/index.php?action=vallex&amp;frame=v-w113f5_ZU", "balit (v-w113f5_ZU)")</f>
        <v>balit (v-w113f5_ZU)</v>
      </c>
    </row>
    <row r="268" customFormat="false" ht="12.8" hidden="false" customHeight="false" outlineLevel="0" collapsed="false">
      <c r="B268" s="0" t="s">
        <v>1</v>
      </c>
    </row>
    <row r="269" customFormat="false" ht="12.8" hidden="false" customHeight="false" outlineLevel="0" collapsed="false">
      <c r="B269" s="0" t="s">
        <v>8</v>
      </c>
    </row>
    <row r="271" customFormat="false" ht="12.8" hidden="false" customHeight="false" outlineLevel="0" collapsed="false">
      <c r="A271" s="0" t="s">
        <v>251</v>
      </c>
      <c r="B271" s="0" t="str">
        <f aca="false">HYPERLINK("https://lindat.mff.cuni.cz/services/teitok/pdtc10/index.php?action=vallex&amp;frame=v-w114f1", "balit se (v-w114f1)")</f>
        <v>balit se (v-w114f1)</v>
      </c>
    </row>
    <row r="272" customFormat="false" ht="12.8" hidden="false" customHeight="false" outlineLevel="0" collapsed="false">
      <c r="B272" s="0" t="s">
        <v>1</v>
      </c>
    </row>
    <row r="274" customFormat="false" ht="12.8" hidden="false" customHeight="false" outlineLevel="0" collapsed="false">
      <c r="A274" s="0" t="s">
        <v>252</v>
      </c>
      <c r="B274" s="0" t="str">
        <f aca="false">HYPERLINK("https://lindat.mff.cuni.cz/services/teitok/pdtc10/index.php?action=vallex&amp;frame=v-w118f1", "bankrotovat (v-w118f1)")</f>
        <v>bankrotovat (v-w118f1)</v>
      </c>
    </row>
    <row r="275" customFormat="false" ht="12.8" hidden="false" customHeight="false" outlineLevel="0" collapsed="false">
      <c r="B275" s="0" t="s">
        <v>1</v>
      </c>
    </row>
    <row r="277" customFormat="false" ht="12.8" hidden="false" customHeight="false" outlineLevel="0" collapsed="false">
      <c r="A277" s="0" t="s">
        <v>253</v>
      </c>
      <c r="B277" s="0" t="str">
        <f aca="false">HYPERLINK("https://lindat.mff.cuni.cz/services/teitok/pdtc10/index.php?action=vallex&amp;frame=v-w121f1", "barvit (v-w121f1)")</f>
        <v>barvit (v-w121f1)</v>
      </c>
      <c r="E277" s="0" t="str">
        <f aca="false">HYPERLINK("https://lindat.mff.cuni.cz/services/SynSemClass40/SynSemClass40.html?veclass=vec01481#vec01481-ces-cm00001", "vec01481")</f>
        <v>vec01481</v>
      </c>
      <c r="F277" s="0" t="s">
        <v>254</v>
      </c>
    </row>
    <row r="278" customFormat="false" ht="12.8" hidden="false" customHeight="false" outlineLevel="0" collapsed="false">
      <c r="B278" s="0" t="s">
        <v>1</v>
      </c>
      <c r="C278" s="0" t="s">
        <v>255</v>
      </c>
      <c r="E278" s="0" t="s">
        <v>84</v>
      </c>
      <c r="F278" s="0" t="s">
        <v>256</v>
      </c>
    </row>
    <row r="279" customFormat="false" ht="12.8" hidden="false" customHeight="false" outlineLevel="0" collapsed="false">
      <c r="B279" s="0" t="s">
        <v>8</v>
      </c>
      <c r="C279" s="0" t="s">
        <v>257</v>
      </c>
      <c r="E279" s="0" t="s">
        <v>87</v>
      </c>
      <c r="F279" s="0" t="s">
        <v>258</v>
      </c>
    </row>
    <row r="281" customFormat="false" ht="12.8" hidden="false" customHeight="false" outlineLevel="0" collapsed="false">
      <c r="A281" s="0" t="s">
        <v>259</v>
      </c>
      <c r="B281" s="0" t="str">
        <f aca="false">HYPERLINK("https://lindat.mff.cuni.cz/services/teitok/pdtc10/index.php?action=vallex&amp;frame=v-w126f1", "batolit se (v-w126f1)")</f>
        <v>batolit se (v-w126f1)</v>
      </c>
    </row>
    <row r="282" customFormat="false" ht="12.8" hidden="false" customHeight="false" outlineLevel="0" collapsed="false">
      <c r="B282" s="0" t="s">
        <v>1</v>
      </c>
    </row>
    <row r="284" customFormat="false" ht="12.8" hidden="false" customHeight="false" outlineLevel="0" collapsed="false">
      <c r="A284" s="0" t="s">
        <v>260</v>
      </c>
      <c r="B284" s="0" t="str">
        <f aca="false">HYPERLINK("https://lindat.mff.cuni.cz/services/teitok/pdtc10/index.php?action=vallex&amp;frame=v-w128f2", "bavit (v-w128f2)")</f>
        <v>bavit (v-w128f2)</v>
      </c>
    </row>
    <row r="285" customFormat="false" ht="12.8" hidden="false" customHeight="false" outlineLevel="0" collapsed="false">
      <c r="B285" s="0" t="s">
        <v>1</v>
      </c>
    </row>
    <row r="286" customFormat="false" ht="12.8" hidden="false" customHeight="false" outlineLevel="0" collapsed="false">
      <c r="B286" s="0" t="s">
        <v>8</v>
      </c>
    </row>
    <row r="288" customFormat="false" ht="12.8" hidden="false" customHeight="false" outlineLevel="0" collapsed="false">
      <c r="A288" s="0" t="s">
        <v>261</v>
      </c>
      <c r="B288" s="0" t="str">
        <f aca="false">HYPERLINK("https://lindat.mff.cuni.cz/services/teitok/pdtc10/index.php?action=vallex&amp;frame=v-w128f1", "bavit (v-w128f1)")</f>
        <v>bavit (v-w128f1)</v>
      </c>
      <c r="E288" s="0" t="str">
        <f aca="false">HYPERLINK("https://lindat.mff.cuni.cz/services/SynSemClass40/SynSemClass40.html?veclass=vec00231#vec00231-ces-cm00052", "vec00231")</f>
        <v>vec00231</v>
      </c>
      <c r="F288" s="0" t="s">
        <v>262</v>
      </c>
      <c r="H288" s="0" t="str">
        <f aca="false">HYPERLINK("https://lindat.mff.cuni.cz/services/SynSemClass40/SynSemClass40.html?veclass=vec00609#vec00609-ces-cm00003", "vec00609")</f>
        <v>vec00609</v>
      </c>
      <c r="I288" s="0" t="s">
        <v>263</v>
      </c>
    </row>
    <row r="289" customFormat="false" ht="12.8" hidden="false" customHeight="false" outlineLevel="0" collapsed="false">
      <c r="B289" s="0" t="s">
        <v>264</v>
      </c>
      <c r="C289" s="0" t="s">
        <v>265</v>
      </c>
      <c r="E289" s="0" t="s">
        <v>266</v>
      </c>
      <c r="F289" s="0" t="s">
        <v>267</v>
      </c>
      <c r="H289" s="0" t="s">
        <v>266</v>
      </c>
      <c r="I289" s="0" t="s">
        <v>268</v>
      </c>
    </row>
    <row r="290" customFormat="false" ht="12.8" hidden="false" customHeight="false" outlineLevel="0" collapsed="false">
      <c r="B290" s="0" t="s">
        <v>269</v>
      </c>
      <c r="C290" s="0" t="s">
        <v>270</v>
      </c>
      <c r="E290" s="0" t="s">
        <v>271</v>
      </c>
      <c r="F290" s="0" t="s">
        <v>272</v>
      </c>
      <c r="H290" s="0" t="s">
        <v>271</v>
      </c>
      <c r="I290" s="0" t="s">
        <v>273</v>
      </c>
    </row>
    <row r="292" customFormat="false" ht="12.8" hidden="false" customHeight="false" outlineLevel="0" collapsed="false">
      <c r="A292" s="0" t="s">
        <v>274</v>
      </c>
      <c r="B292" s="0" t="str">
        <f aca="false">HYPERLINK("https://lindat.mff.cuni.cz/services/teitok/pdtc10/index.php?action=vallex&amp;frame=v-w129f4_ZU", "bavit se (v-w129f4_ZU)")</f>
        <v>bavit se (v-w129f4_ZU)</v>
      </c>
    </row>
    <row r="293" customFormat="false" ht="12.8" hidden="false" customHeight="false" outlineLevel="0" collapsed="false">
      <c r="B293" s="0" t="s">
        <v>1</v>
      </c>
    </row>
    <row r="294" customFormat="false" ht="12.8" hidden="false" customHeight="false" outlineLevel="0" collapsed="false">
      <c r="B294" s="0" t="s">
        <v>275</v>
      </c>
    </row>
    <row r="295" customFormat="false" ht="12.8" hidden="false" customHeight="false" outlineLevel="0" collapsed="false">
      <c r="B295" s="0" t="s">
        <v>276</v>
      </c>
    </row>
    <row r="297" customFormat="false" ht="12.8" hidden="false" customHeight="false" outlineLevel="0" collapsed="false">
      <c r="A297" s="0" t="s">
        <v>274</v>
      </c>
      <c r="B297" s="0" t="str">
        <f aca="false">HYPERLINK("https://lindat.mff.cuni.cz/services/teitok/pdtc10/index.php?action=vallex&amp;frame=v-w129f1", "bavit se (v-w129f1) - substituted with v-w129f4_ZU")</f>
        <v>bavit se (v-w129f1) - substituted with v-w129f4_ZU</v>
      </c>
      <c r="E297" s="0" t="str">
        <f aca="false">HYPERLINK("https://lindat.mff.cuni.cz/services/SynSemClass40/SynSemClass40.html?veclass=vec00031#vec00031-ces-cm00002", "vec00031")</f>
        <v>vec00031</v>
      </c>
      <c r="F297" s="0" t="s">
        <v>277</v>
      </c>
    </row>
    <row r="298" customFormat="false" ht="12.8" hidden="false" customHeight="false" outlineLevel="0" collapsed="false">
      <c r="B298" s="0" t="s">
        <v>1</v>
      </c>
      <c r="C298" s="0" t="s">
        <v>278</v>
      </c>
      <c r="E298" s="0" t="s">
        <v>147</v>
      </c>
      <c r="F298" s="0" t="s">
        <v>279</v>
      </c>
    </row>
    <row r="299" customFormat="false" ht="12.8" hidden="false" customHeight="false" outlineLevel="0" collapsed="false">
      <c r="B299" s="0" t="s">
        <v>275</v>
      </c>
      <c r="C299" s="0" t="s">
        <v>280</v>
      </c>
      <c r="E299" s="0" t="s">
        <v>218</v>
      </c>
      <c r="F299" s="0" t="s">
        <v>281</v>
      </c>
    </row>
    <row r="300" customFormat="false" ht="12.8" hidden="false" customHeight="false" outlineLevel="0" collapsed="false">
      <c r="B300" s="0" t="s">
        <v>276</v>
      </c>
      <c r="C300" s="0" t="s">
        <v>282</v>
      </c>
      <c r="E300" s="0" t="s">
        <v>221</v>
      </c>
      <c r="F300" s="0" t="s">
        <v>283</v>
      </c>
    </row>
    <row r="302" customFormat="false" ht="12.8" hidden="false" customHeight="false" outlineLevel="0" collapsed="false">
      <c r="A302" s="0" t="s">
        <v>284</v>
      </c>
      <c r="B302" s="0" t="str">
        <f aca="false">HYPERLINK("https://lindat.mff.cuni.cz/services/teitok/pdtc10/index.php?action=vallex&amp;frame=v-w129f3", "bavit se (v-w129f3)")</f>
        <v>bavit se (v-w129f3)</v>
      </c>
      <c r="E302" s="0" t="str">
        <f aca="false">HYPERLINK("https://lindat.mff.cuni.cz/services/SynSemClass40/SynSemClass40.html?veclass=vec01458#vec01458-ces-cm00001", "vec01458")</f>
        <v>vec01458</v>
      </c>
      <c r="F302" s="0" t="s">
        <v>127</v>
      </c>
    </row>
    <row r="303" customFormat="false" ht="12.8" hidden="false" customHeight="false" outlineLevel="0" collapsed="false">
      <c r="B303" s="0" t="s">
        <v>1</v>
      </c>
      <c r="C303" s="0" t="s">
        <v>285</v>
      </c>
      <c r="E303" s="0" t="s">
        <v>31</v>
      </c>
      <c r="F303" s="0" t="s">
        <v>130</v>
      </c>
    </row>
    <row r="304" customFormat="false" ht="12.8" hidden="false" customHeight="false" outlineLevel="0" collapsed="false">
      <c r="B304" s="0" t="s">
        <v>286</v>
      </c>
      <c r="C304" s="0" t="s">
        <v>287</v>
      </c>
      <c r="E304" s="0" t="s">
        <v>14</v>
      </c>
      <c r="F304" s="0" t="s">
        <v>288</v>
      </c>
    </row>
    <row r="306" customFormat="false" ht="12.8" hidden="false" customHeight="false" outlineLevel="0" collapsed="false">
      <c r="A306" s="0" t="s">
        <v>289</v>
      </c>
      <c r="B306" s="0" t="str">
        <f aca="false">HYPERLINK("https://lindat.mff.cuni.cz/services/teitok/pdtc10/index.php?action=vallex&amp;frame=v-w129f2", "bavit se (v-w129f2)")</f>
        <v>bavit se (v-w129f2)</v>
      </c>
    </row>
    <row r="307" customFormat="false" ht="12.8" hidden="false" customHeight="false" outlineLevel="0" collapsed="false">
      <c r="B307" s="0" t="s">
        <v>1</v>
      </c>
    </row>
    <row r="309" customFormat="false" ht="12.8" hidden="false" customHeight="false" outlineLevel="0" collapsed="false">
      <c r="A309" s="0" t="s">
        <v>290</v>
      </c>
      <c r="B309" s="0" t="str">
        <f aca="false">HYPERLINK("https://lindat.mff.cuni.cz/services/teitok/pdtc10/index.php?action=vallex&amp;frame=v-w130f1", "bazírovat (v-w130f1)")</f>
        <v>bazírovat (v-w130f1)</v>
      </c>
    </row>
    <row r="310" customFormat="false" ht="12.8" hidden="false" customHeight="false" outlineLevel="0" collapsed="false">
      <c r="B310" s="0" t="s">
        <v>1</v>
      </c>
    </row>
    <row r="311" customFormat="false" ht="12.8" hidden="false" customHeight="false" outlineLevel="0" collapsed="false">
      <c r="B311" s="0" t="s">
        <v>291</v>
      </c>
    </row>
    <row r="313" customFormat="false" ht="12.8" hidden="false" customHeight="false" outlineLevel="0" collapsed="false">
      <c r="A313" s="0" t="s">
        <v>292</v>
      </c>
      <c r="B313" s="0" t="str">
        <f aca="false">HYPERLINK("https://lindat.mff.cuni.cz/services/teitok/pdtc10/index.php?action=vallex&amp;frame=v-w12148_ZUf1_ZU", "baštit (v-w12148_ZUf1_ZU)")</f>
        <v>baštit (v-w12148_ZUf1_ZU)</v>
      </c>
    </row>
    <row r="314" customFormat="false" ht="12.8" hidden="false" customHeight="false" outlineLevel="0" collapsed="false">
      <c r="B314" s="0" t="s">
        <v>1</v>
      </c>
    </row>
    <row r="315" customFormat="false" ht="12.8" hidden="false" customHeight="false" outlineLevel="0" collapsed="false">
      <c r="B315" s="0" t="s">
        <v>8</v>
      </c>
    </row>
    <row r="317" customFormat="false" ht="12.8" hidden="false" customHeight="false" outlineLevel="0" collapsed="false">
      <c r="A317" s="0" t="s">
        <v>293</v>
      </c>
      <c r="B317" s="0" t="str">
        <f aca="false">HYPERLINK("https://lindat.mff.cuni.cz/services/teitok/pdtc10/index.php?action=vallex&amp;frame=v-w131f1", "bdít (v-w131f1)")</f>
        <v>bdít (v-w131f1)</v>
      </c>
    </row>
    <row r="318" customFormat="false" ht="12.8" hidden="false" customHeight="false" outlineLevel="0" collapsed="false">
      <c r="B318" s="0" t="s">
        <v>1</v>
      </c>
    </row>
    <row r="319" customFormat="false" ht="12.8" hidden="false" customHeight="false" outlineLevel="0" collapsed="false">
      <c r="B319" s="0" t="s">
        <v>294</v>
      </c>
    </row>
    <row r="321" customFormat="false" ht="12.8" hidden="false" customHeight="false" outlineLevel="0" collapsed="false">
      <c r="A321" s="0" t="s">
        <v>295</v>
      </c>
      <c r="B321" s="0" t="str">
        <f aca="false">HYPERLINK("https://lindat.mff.cuni.cz/services/teitok/pdtc10/index.php?action=vallex&amp;frame=v-w131f2", "bdít (v-w131f2)")</f>
        <v>bdít (v-w131f2)</v>
      </c>
    </row>
    <row r="322" customFormat="false" ht="12.8" hidden="false" customHeight="false" outlineLevel="0" collapsed="false">
      <c r="B322" s="0" t="s">
        <v>1</v>
      </c>
    </row>
    <row r="324" customFormat="false" ht="12.8" hidden="false" customHeight="false" outlineLevel="0" collapsed="false">
      <c r="A324" s="0" t="s">
        <v>296</v>
      </c>
      <c r="B324" s="0" t="str">
        <f aca="false">HYPERLINK("https://lindat.mff.cuni.cz/services/teitok/pdtc10/index.php?action=vallex&amp;frame=v-w137f1", "belhat se (v-w137f1)")</f>
        <v>belhat se (v-w137f1)</v>
      </c>
    </row>
    <row r="325" customFormat="false" ht="12.8" hidden="false" customHeight="false" outlineLevel="0" collapsed="false">
      <c r="B325" s="0" t="s">
        <v>1</v>
      </c>
    </row>
    <row r="327" customFormat="false" ht="12.8" hidden="false" customHeight="false" outlineLevel="0" collapsed="false">
      <c r="A327" s="0" t="s">
        <v>297</v>
      </c>
      <c r="B327" s="0" t="str">
        <f aca="false">HYPERLINK("https://lindat.mff.cuni.cz/services/teitok/pdtc10/index.php?action=vallex&amp;frame=v-w10966f2", "benefitovat (v-w10966f2)")</f>
        <v>benefitovat (v-w10966f2)</v>
      </c>
    </row>
    <row r="328" customFormat="false" ht="12.8" hidden="false" customHeight="false" outlineLevel="0" collapsed="false">
      <c r="B328" s="0" t="s">
        <v>1</v>
      </c>
    </row>
    <row r="329" customFormat="false" ht="12.8" hidden="false" customHeight="false" outlineLevel="0" collapsed="false">
      <c r="B329" s="0" t="s">
        <v>298</v>
      </c>
    </row>
    <row r="331" customFormat="false" ht="12.8" hidden="false" customHeight="false" outlineLevel="0" collapsed="false">
      <c r="A331" s="0" t="s">
        <v>299</v>
      </c>
      <c r="B331" s="0" t="str">
        <f aca="false">HYPERLINK("https://lindat.mff.cuni.cz/services/teitok/pdtc10/index.php?action=vallex&amp;frame=v-w11950_ZUf2_ZU", "betonovat (v-w11950_ZUf2_ZU)")</f>
        <v>betonovat (v-w11950_ZUf2_ZU)</v>
      </c>
    </row>
    <row r="332" customFormat="false" ht="12.8" hidden="false" customHeight="false" outlineLevel="0" collapsed="false">
      <c r="B332" s="0" t="s">
        <v>1</v>
      </c>
    </row>
    <row r="333" customFormat="false" ht="12.8" hidden="false" customHeight="false" outlineLevel="0" collapsed="false">
      <c r="B333" s="0" t="s">
        <v>8</v>
      </c>
    </row>
    <row r="335" customFormat="false" ht="12.8" hidden="false" customHeight="false" outlineLevel="0" collapsed="false">
      <c r="A335" s="0" t="s">
        <v>299</v>
      </c>
      <c r="B335" s="0" t="str">
        <f aca="false">HYPERLINK("https://lindat.mff.cuni.cz/services/teitok/pdtc10/index.php?action=vallex&amp;frame=v-w11950_ZUf1_ZU", "betonovat (v-w11950_ZUf1_ZU) - substituted with v-w11950_ZUf2_ZU")</f>
        <v>betonovat (v-w11950_ZUf1_ZU) - substituted with v-w11950_ZUf2_ZU</v>
      </c>
    </row>
    <row r="336" customFormat="false" ht="12.8" hidden="false" customHeight="false" outlineLevel="0" collapsed="false">
      <c r="B336" s="0" t="s">
        <v>1</v>
      </c>
    </row>
    <row r="337" customFormat="false" ht="12.8" hidden="false" customHeight="false" outlineLevel="0" collapsed="false">
      <c r="B337" s="0" t="s">
        <v>8</v>
      </c>
    </row>
    <row r="339" customFormat="false" ht="12.8" hidden="false" customHeight="false" outlineLevel="0" collapsed="false">
      <c r="A339" s="0" t="s">
        <v>300</v>
      </c>
      <c r="B339" s="0" t="str">
        <f aca="false">HYPERLINK("https://lindat.mff.cuni.cz/services/teitok/pdtc10/index.php?action=vallex&amp;frame=v-w132f1", "bečet (v-w132f1)")</f>
        <v>bečet (v-w132f1)</v>
      </c>
    </row>
    <row r="340" customFormat="false" ht="12.8" hidden="false" customHeight="false" outlineLevel="0" collapsed="false">
      <c r="B340" s="0" t="s">
        <v>1</v>
      </c>
    </row>
    <row r="342" customFormat="false" ht="12.8" hidden="false" customHeight="false" outlineLevel="0" collapsed="false">
      <c r="A342" s="0" t="s">
        <v>301</v>
      </c>
      <c r="B342" s="0" t="str">
        <f aca="false">HYPERLINK("https://lindat.mff.cuni.cz/services/teitok/pdtc10/index.php?action=vallex&amp;frame=v-w149f1", "bilancovat (v-w149f1)")</f>
        <v>bilancovat (v-w149f1)</v>
      </c>
      <c r="E342" s="0" t="str">
        <f aca="false">HYPERLINK("https://lindat.mff.cuni.cz/services/SynSemClass40/SynSemClass40.html?veclass=vec01304#vec01304-ces-cm00001", "vec01304")</f>
        <v>vec01304</v>
      </c>
      <c r="F342" s="0" t="s">
        <v>302</v>
      </c>
    </row>
    <row r="343" customFormat="false" ht="12.8" hidden="false" customHeight="false" outlineLevel="0" collapsed="false">
      <c r="B343" s="0" t="s">
        <v>1</v>
      </c>
      <c r="C343" s="0" t="s">
        <v>303</v>
      </c>
      <c r="E343" s="0" t="s">
        <v>115</v>
      </c>
      <c r="F343" s="0" t="s">
        <v>304</v>
      </c>
    </row>
    <row r="344" customFormat="false" ht="12.8" hidden="false" customHeight="false" outlineLevel="0" collapsed="false">
      <c r="B344" s="0" t="s">
        <v>305</v>
      </c>
      <c r="C344" s="0" t="s">
        <v>306</v>
      </c>
      <c r="E344" s="0" t="s">
        <v>119</v>
      </c>
      <c r="F344" s="0" t="s">
        <v>307</v>
      </c>
    </row>
    <row r="346" customFormat="false" ht="12.8" hidden="false" customHeight="false" outlineLevel="0" collapsed="false">
      <c r="A346" s="0" t="s">
        <v>308</v>
      </c>
      <c r="B346" s="0" t="str">
        <f aca="false">HYPERLINK("https://lindat.mff.cuni.cz/services/teitok/pdtc10/index.php?action=vallex&amp;frame=v-w147f1", "bičovat (v-w147f1)")</f>
        <v>bičovat (v-w147f1)</v>
      </c>
    </row>
    <row r="347" customFormat="false" ht="12.8" hidden="false" customHeight="false" outlineLevel="0" collapsed="false">
      <c r="B347" s="0" t="s">
        <v>1</v>
      </c>
    </row>
    <row r="348" customFormat="false" ht="12.8" hidden="false" customHeight="false" outlineLevel="0" collapsed="false">
      <c r="B348" s="0" t="s">
        <v>8</v>
      </c>
    </row>
    <row r="350" customFormat="false" ht="12.8" hidden="false" customHeight="false" outlineLevel="0" collapsed="false">
      <c r="A350" s="0" t="s">
        <v>309</v>
      </c>
      <c r="B350" s="0" t="str">
        <f aca="false">HYPERLINK("https://lindat.mff.cuni.cz/services/teitok/pdtc10/index.php?action=vallex&amp;frame=v-w12020_ZUf1_ZU", "biřmovat (v-w12020_ZUf1_ZU)")</f>
        <v>biřmovat (v-w12020_ZUf1_ZU)</v>
      </c>
    </row>
    <row r="351" customFormat="false" ht="12.8" hidden="false" customHeight="false" outlineLevel="0" collapsed="false">
      <c r="B351" s="0" t="s">
        <v>1</v>
      </c>
    </row>
    <row r="352" customFormat="false" ht="12.8" hidden="false" customHeight="false" outlineLevel="0" collapsed="false">
      <c r="B352" s="0" t="s">
        <v>8</v>
      </c>
    </row>
    <row r="354" customFormat="false" ht="12.8" hidden="false" customHeight="false" outlineLevel="0" collapsed="false">
      <c r="A354" s="0" t="s">
        <v>310</v>
      </c>
      <c r="B354" s="0" t="str">
        <f aca="false">HYPERLINK("https://lindat.mff.cuni.cz/services/teitok/pdtc10/index.php?action=vallex&amp;frame=v-w155f1", "blahopřát (v-w155f1)")</f>
        <v>blahopřát (v-w155f1)</v>
      </c>
    </row>
    <row r="355" customFormat="false" ht="12.8" hidden="false" customHeight="false" outlineLevel="0" collapsed="false">
      <c r="B355" s="0" t="s">
        <v>1</v>
      </c>
    </row>
    <row r="356" customFormat="false" ht="12.8" hidden="false" customHeight="false" outlineLevel="0" collapsed="false">
      <c r="B356" s="0" t="s">
        <v>311</v>
      </c>
    </row>
    <row r="357" customFormat="false" ht="12.8" hidden="false" customHeight="false" outlineLevel="0" collapsed="false">
      <c r="B357" s="0" t="s">
        <v>52</v>
      </c>
    </row>
    <row r="359" customFormat="false" ht="12.8" hidden="false" customHeight="false" outlineLevel="0" collapsed="false">
      <c r="A359" s="0" t="s">
        <v>312</v>
      </c>
      <c r="B359" s="0" t="str">
        <f aca="false">HYPERLINK("https://lindat.mff.cuni.cz/services/teitok/pdtc10/index.php?action=vallex&amp;frame=v-w10196f2", "blahořečit (v-w10196f2)")</f>
        <v>blahořečit (v-w10196f2)</v>
      </c>
    </row>
    <row r="360" customFormat="false" ht="12.8" hidden="false" customHeight="false" outlineLevel="0" collapsed="false">
      <c r="B360" s="0" t="s">
        <v>1</v>
      </c>
    </row>
    <row r="361" customFormat="false" ht="12.8" hidden="false" customHeight="false" outlineLevel="0" collapsed="false">
      <c r="B361" s="0" t="s">
        <v>52</v>
      </c>
    </row>
    <row r="362" customFormat="false" ht="12.8" hidden="false" customHeight="false" outlineLevel="0" collapsed="false">
      <c r="B362" s="0" t="s">
        <v>313</v>
      </c>
    </row>
    <row r="364" customFormat="false" ht="12.8" hidden="false" customHeight="false" outlineLevel="0" collapsed="false">
      <c r="A364" s="0" t="s">
        <v>314</v>
      </c>
      <c r="B364" s="0" t="str">
        <f aca="false">HYPERLINK("https://lindat.mff.cuni.cz/services/teitok/pdtc10/index.php?action=vallex&amp;frame=v-w157f1", "blamovat (v-w157f1)")</f>
        <v>blamovat (v-w157f1)</v>
      </c>
    </row>
    <row r="365" customFormat="false" ht="12.8" hidden="false" customHeight="false" outlineLevel="0" collapsed="false">
      <c r="B365" s="0" t="s">
        <v>1</v>
      </c>
    </row>
    <row r="366" customFormat="false" ht="12.8" hidden="false" customHeight="false" outlineLevel="0" collapsed="false">
      <c r="B366" s="0" t="s">
        <v>8</v>
      </c>
    </row>
    <row r="368" customFormat="false" ht="12.8" hidden="false" customHeight="false" outlineLevel="0" collapsed="false">
      <c r="A368" s="0" t="s">
        <v>315</v>
      </c>
      <c r="B368" s="0" t="str">
        <f aca="false">HYPERLINK("https://lindat.mff.cuni.cz/services/teitok/pdtc10/index.php?action=vallex&amp;frame=v-whsa_1409f1_ZU", "blbnout (v-whsa_1409f1_ZU)")</f>
        <v>blbnout (v-whsa_1409f1_ZU)</v>
      </c>
    </row>
    <row r="369" customFormat="false" ht="12.8" hidden="false" customHeight="false" outlineLevel="0" collapsed="false">
      <c r="B369" s="0" t="s">
        <v>1</v>
      </c>
    </row>
    <row r="371" customFormat="false" ht="12.8" hidden="false" customHeight="false" outlineLevel="0" collapsed="false">
      <c r="A371" s="0" t="s">
        <v>315</v>
      </c>
      <c r="B371" s="0" t="str">
        <f aca="false">HYPERLINK("https://lindat.mff.cuni.cz/services/teitok/pdtc10/index.php?action=vallex&amp;frame=v-whsa_1409hsa_1410", "blbnout (v-whsa_1409hsa_1410) - substituted with v-whsa_1409f1_ZU")</f>
        <v>blbnout (v-whsa_1409hsa_1410) - substituted with v-whsa_1409f1_ZU</v>
      </c>
    </row>
    <row r="372" customFormat="false" ht="12.8" hidden="false" customHeight="false" outlineLevel="0" collapsed="false">
      <c r="B372" s="0" t="s">
        <v>1</v>
      </c>
    </row>
    <row r="374" customFormat="false" ht="12.8" hidden="false" customHeight="false" outlineLevel="0" collapsed="false">
      <c r="A374" s="0" t="s">
        <v>316</v>
      </c>
      <c r="B374" s="0" t="str">
        <f aca="false">HYPERLINK("https://lindat.mff.cuni.cz/services/teitok/pdtc10/index.php?action=vallex&amp;frame=v-w158f1", "blednout (v-w158f1)")</f>
        <v>blednout (v-w158f1)</v>
      </c>
    </row>
    <row r="375" customFormat="false" ht="12.8" hidden="false" customHeight="false" outlineLevel="0" collapsed="false">
      <c r="B375" s="0" t="s">
        <v>1</v>
      </c>
    </row>
    <row r="377" customFormat="false" ht="12.8" hidden="false" customHeight="false" outlineLevel="0" collapsed="false">
      <c r="A377" s="0" t="s">
        <v>317</v>
      </c>
      <c r="B377" s="0" t="str">
        <f aca="false">HYPERLINK("https://lindat.mff.cuni.cz/services/teitok/pdtc10/index.php?action=vallex&amp;frame=v-w12230_ZUf1_ZU", "blekotat (v-w12230_ZUf1_ZU)")</f>
        <v>blekotat (v-w12230_ZUf1_ZU)</v>
      </c>
    </row>
    <row r="378" customFormat="false" ht="12.8" hidden="false" customHeight="false" outlineLevel="0" collapsed="false">
      <c r="B378" s="0" t="s">
        <v>1</v>
      </c>
    </row>
    <row r="379" customFormat="false" ht="12.8" hidden="false" customHeight="false" outlineLevel="0" collapsed="false">
      <c r="B379" s="0" t="s">
        <v>318</v>
      </c>
    </row>
    <row r="380" customFormat="false" ht="12.8" hidden="false" customHeight="false" outlineLevel="0" collapsed="false">
      <c r="B380" s="0" t="s">
        <v>319</v>
      </c>
    </row>
    <row r="382" customFormat="false" ht="12.8" hidden="false" customHeight="false" outlineLevel="0" collapsed="false">
      <c r="A382" s="0" t="s">
        <v>320</v>
      </c>
      <c r="B382" s="0" t="str">
        <f aca="false">HYPERLINK("https://lindat.mff.cuni.cz/services/teitok/pdtc10/index.php?action=vallex&amp;frame=v-w10399f2", "blikat (v-w10399f2)")</f>
        <v>blikat (v-w10399f2)</v>
      </c>
      <c r="E382" s="0" t="str">
        <f aca="false">HYPERLINK("https://lindat.mff.cuni.cz/services/SynSemClass40/SynSemClass40.html?veclass=vec01173#vec01173-ces-cm00002", "vec01173")</f>
        <v>vec01173</v>
      </c>
      <c r="F382" s="0" t="s">
        <v>321</v>
      </c>
    </row>
    <row r="383" customFormat="false" ht="12.8" hidden="false" customHeight="false" outlineLevel="0" collapsed="false">
      <c r="B383" s="0" t="s">
        <v>1</v>
      </c>
      <c r="C383" s="0" t="s">
        <v>322</v>
      </c>
      <c r="E383" s="0" t="s">
        <v>11</v>
      </c>
      <c r="F383" s="0" t="s">
        <v>323</v>
      </c>
    </row>
    <row r="385" customFormat="false" ht="12.8" hidden="false" customHeight="false" outlineLevel="0" collapsed="false">
      <c r="A385" s="0" t="s">
        <v>324</v>
      </c>
      <c r="B385" s="0" t="str">
        <f aca="false">HYPERLINK("https://lindat.mff.cuni.cz/services/teitok/pdtc10/index.php?action=vallex&amp;frame=v-w165f1", "blokovat (v-w165f1)")</f>
        <v>blokovat (v-w165f1)</v>
      </c>
      <c r="E385" s="0" t="str">
        <f aca="false">HYPERLINK("https://lindat.mff.cuni.cz/services/SynSemClass40/SynSemClass40.html?veclass=vec00174#vec00174-ces-cm00077", "vec00174")</f>
        <v>vec00174</v>
      </c>
      <c r="F385" s="0" t="s">
        <v>325</v>
      </c>
    </row>
    <row r="386" customFormat="false" ht="12.8" hidden="false" customHeight="false" outlineLevel="0" collapsed="false">
      <c r="B386" s="0" t="s">
        <v>1</v>
      </c>
      <c r="C386" s="0" t="s">
        <v>326</v>
      </c>
      <c r="E386" s="0" t="s">
        <v>76</v>
      </c>
      <c r="F386" s="0" t="s">
        <v>327</v>
      </c>
    </row>
    <row r="387" customFormat="false" ht="12.8" hidden="false" customHeight="false" outlineLevel="0" collapsed="false">
      <c r="B387" s="0" t="s">
        <v>8</v>
      </c>
      <c r="C387" s="0" t="s">
        <v>328</v>
      </c>
      <c r="E387" s="0" t="s">
        <v>188</v>
      </c>
      <c r="F387" s="0" t="s">
        <v>329</v>
      </c>
    </row>
    <row r="389" customFormat="false" ht="12.8" hidden="false" customHeight="false" outlineLevel="0" collapsed="false">
      <c r="A389" s="0" t="s">
        <v>330</v>
      </c>
      <c r="B389" s="0" t="str">
        <f aca="false">HYPERLINK("https://lindat.mff.cuni.cz/services/teitok/pdtc10/index.php?action=vallex&amp;frame=v-w167f1", "bloudit (v-w167f1)")</f>
        <v>bloudit (v-w167f1)</v>
      </c>
    </row>
    <row r="390" customFormat="false" ht="12.8" hidden="false" customHeight="false" outlineLevel="0" collapsed="false">
      <c r="B390" s="0" t="s">
        <v>1</v>
      </c>
    </row>
    <row r="392" customFormat="false" ht="12.8" hidden="false" customHeight="false" outlineLevel="0" collapsed="false">
      <c r="A392" s="0" t="s">
        <v>331</v>
      </c>
      <c r="B392" s="0" t="str">
        <f aca="false">HYPERLINK("https://lindat.mff.cuni.cz/services/teitok/pdtc10/index.php?action=vallex&amp;frame=v-whsa_1026hsa_1027", "bloumat (v-whsa_1026hsa_1027)")</f>
        <v>bloumat (v-whsa_1026hsa_1027)</v>
      </c>
      <c r="E392" s="0" t="str">
        <f aca="false">HYPERLINK("https://lindat.mff.cuni.cz/services/SynSemClass40/SynSemClass40.html?veclass=vec01025#vec01025-ces-cm00042", "vec01025")</f>
        <v>vec01025</v>
      </c>
      <c r="F392" s="0" t="s">
        <v>332</v>
      </c>
    </row>
    <row r="393" customFormat="false" ht="12.8" hidden="false" customHeight="false" outlineLevel="0" collapsed="false">
      <c r="B393" s="0" t="s">
        <v>1</v>
      </c>
      <c r="C393" s="0" t="s">
        <v>333</v>
      </c>
      <c r="E393" s="0" t="s">
        <v>334</v>
      </c>
      <c r="F393" s="0" t="s">
        <v>335</v>
      </c>
    </row>
    <row r="394" customFormat="false" ht="12.8" hidden="false" customHeight="false" outlineLevel="0" collapsed="false">
      <c r="B394" s="0" t="s">
        <v>336</v>
      </c>
      <c r="C394" s="0" t="s">
        <v>337</v>
      </c>
      <c r="E394" s="0" t="s">
        <v>338</v>
      </c>
      <c r="F394" s="0" t="s">
        <v>339</v>
      </c>
    </row>
    <row r="396" customFormat="false" ht="12.8" hidden="false" customHeight="false" outlineLevel="0" collapsed="false">
      <c r="A396" s="0" t="s">
        <v>340</v>
      </c>
      <c r="B396" s="0" t="str">
        <f aca="false">HYPERLINK("https://lindat.mff.cuni.cz/services/teitok/pdtc10/index.php?action=vallex&amp;frame=v-w12201_ZUf1_ZU", "bláznit (v-w12201_ZUf1_ZU)")</f>
        <v>bláznit (v-w12201_ZUf1_ZU)</v>
      </c>
    </row>
    <row r="397" customFormat="false" ht="12.8" hidden="false" customHeight="false" outlineLevel="0" collapsed="false">
      <c r="B397" s="0" t="s">
        <v>1</v>
      </c>
    </row>
    <row r="399" customFormat="false" ht="12.8" hidden="false" customHeight="false" outlineLevel="0" collapsed="false">
      <c r="A399" s="0" t="s">
        <v>341</v>
      </c>
      <c r="B399" s="0" t="str">
        <f aca="false">HYPERLINK("https://lindat.mff.cuni.cz/services/teitok/pdtc10/index.php?action=vallex&amp;frame=v-w12201_ZUf2_ZU", "bláznit (v-w12201_ZUf2_ZU)")</f>
        <v>bláznit (v-w12201_ZUf2_ZU)</v>
      </c>
    </row>
    <row r="400" customFormat="false" ht="12.8" hidden="false" customHeight="false" outlineLevel="0" collapsed="false">
      <c r="B400" s="0" t="s">
        <v>1</v>
      </c>
    </row>
    <row r="402" customFormat="false" ht="12.8" hidden="false" customHeight="false" outlineLevel="0" collapsed="false">
      <c r="A402" s="0" t="s">
        <v>342</v>
      </c>
      <c r="B402" s="0" t="str">
        <f aca="false">HYPERLINK("https://lindat.mff.cuni.cz/services/teitok/pdtc10/index.php?action=vallex&amp;frame=v-w162f4", "blížit se (v-w162f4)")</f>
        <v>blížit se (v-w162f4)</v>
      </c>
      <c r="E402" s="0" t="str">
        <f aca="false">HYPERLINK("https://lindat.mff.cuni.cz/services/SynSemClass40/SynSemClass40.html?veclass=vec01001#vec01001-ces-cm00003", "vec01001")</f>
        <v>vec01001</v>
      </c>
      <c r="F402" s="0" t="s">
        <v>343</v>
      </c>
      <c r="H402" s="0" t="str">
        <f aca="false">HYPERLINK("https://lindat.mff.cuni.cz/services/SynSemClass40/SynSemClass40.html?veclass=vec01201#vec01201-ces-cm00009", "vec01201")</f>
        <v>vec01201</v>
      </c>
      <c r="I402" s="0" t="s">
        <v>344</v>
      </c>
    </row>
    <row r="403" customFormat="false" ht="12.8" hidden="false" customHeight="false" outlineLevel="0" collapsed="false">
      <c r="B403" s="0" t="s">
        <v>345</v>
      </c>
      <c r="C403" s="0" t="s">
        <v>346</v>
      </c>
      <c r="E403" s="0" t="s">
        <v>347</v>
      </c>
      <c r="F403" s="0" t="s">
        <v>348</v>
      </c>
      <c r="H403" s="0" t="s">
        <v>235</v>
      </c>
      <c r="I403" s="0" t="s">
        <v>349</v>
      </c>
    </row>
    <row r="404" customFormat="false" ht="12.8" hidden="false" customHeight="false" outlineLevel="0" collapsed="false">
      <c r="B404" s="0" t="s">
        <v>350</v>
      </c>
      <c r="C404" s="0" t="s">
        <v>351</v>
      </c>
      <c r="E404" s="0" t="s">
        <v>352</v>
      </c>
      <c r="F404" s="0" t="s">
        <v>353</v>
      </c>
      <c r="H404" s="0" t="s">
        <v>354</v>
      </c>
      <c r="I404" s="0" t="s">
        <v>355</v>
      </c>
    </row>
    <row r="406" customFormat="false" ht="12.8" hidden="false" customHeight="false" outlineLevel="0" collapsed="false">
      <c r="A406" s="0" t="s">
        <v>356</v>
      </c>
      <c r="B406" s="0" t="str">
        <f aca="false">HYPERLINK("https://lindat.mff.cuni.cz/services/teitok/pdtc10/index.php?action=vallex&amp;frame=v-w162f1", "blížit se (v-w162f1)")</f>
        <v>blížit se (v-w162f1)</v>
      </c>
      <c r="E406" s="0" t="str">
        <f aca="false">HYPERLINK("https://lindat.mff.cuni.cz/services/SynSemClass40/SynSemClass40.html?veclass=vec01001#vec01001-ces-cm00001", "vec01001")</f>
        <v>vec01001</v>
      </c>
      <c r="F406" s="0" t="s">
        <v>343</v>
      </c>
    </row>
    <row r="407" customFormat="false" ht="12.8" hidden="false" customHeight="false" outlineLevel="0" collapsed="false">
      <c r="B407" s="0" t="s">
        <v>1</v>
      </c>
      <c r="C407" s="0" t="s">
        <v>357</v>
      </c>
      <c r="E407" s="0" t="s">
        <v>347</v>
      </c>
      <c r="F407" s="0" t="s">
        <v>348</v>
      </c>
    </row>
    <row r="408" customFormat="false" ht="12.8" hidden="false" customHeight="false" outlineLevel="0" collapsed="false">
      <c r="B408" s="0" t="s">
        <v>186</v>
      </c>
      <c r="C408" s="0" t="s">
        <v>358</v>
      </c>
      <c r="E408" s="0" t="s">
        <v>352</v>
      </c>
      <c r="F408" s="0" t="s">
        <v>353</v>
      </c>
    </row>
    <row r="410" customFormat="false" ht="12.8" hidden="false" customHeight="false" outlineLevel="0" collapsed="false">
      <c r="A410" s="0" t="s">
        <v>359</v>
      </c>
      <c r="B410" s="0" t="str">
        <f aca="false">HYPERLINK("https://lindat.mff.cuni.cz/services/teitok/pdtc10/index.php?action=vallex&amp;frame=v-w162f5", "blížit se (v-w162f5)")</f>
        <v>blížit se (v-w162f5)</v>
      </c>
      <c r="E410" s="0" t="str">
        <f aca="false">HYPERLINK("https://lindat.mff.cuni.cz/services/SynSemClass40/SynSemClass40.html?veclass=vec01201#vec01201-ces-cm00002", "vec01201")</f>
        <v>vec01201</v>
      </c>
      <c r="F410" s="0" t="s">
        <v>344</v>
      </c>
    </row>
    <row r="411" customFormat="false" ht="12.8" hidden="false" customHeight="false" outlineLevel="0" collapsed="false">
      <c r="B411" s="0" t="s">
        <v>1</v>
      </c>
      <c r="C411" s="0" t="s">
        <v>360</v>
      </c>
      <c r="E411" s="0" t="s">
        <v>235</v>
      </c>
      <c r="F411" s="0" t="s">
        <v>349</v>
      </c>
    </row>
    <row r="412" customFormat="false" ht="12.8" hidden="false" customHeight="false" outlineLevel="0" collapsed="false">
      <c r="B412" s="0" t="s">
        <v>361</v>
      </c>
      <c r="C412" s="0" t="s">
        <v>362</v>
      </c>
      <c r="E412" s="0" t="s">
        <v>363</v>
      </c>
      <c r="F412" s="0" t="s">
        <v>364</v>
      </c>
    </row>
    <row r="414" customFormat="false" ht="12.8" hidden="false" customHeight="false" outlineLevel="0" collapsed="false">
      <c r="A414" s="0" t="s">
        <v>365</v>
      </c>
      <c r="B414" s="0" t="str">
        <f aca="false">HYPERLINK("https://lindat.mff.cuni.cz/services/teitok/pdtc10/index.php?action=vallex&amp;frame=v-w162f3", "blížit se (v-w162f3)")</f>
        <v>blížit se (v-w162f3)</v>
      </c>
      <c r="E414" s="0" t="str">
        <f aca="false">HYPERLINK("https://lindat.mff.cuni.cz/services/SynSemClass40/SynSemClass40.html?veclass=vec01390#vec01390-ces-cm00001", "vec01390")</f>
        <v>vec01390</v>
      </c>
      <c r="F414" s="0" t="s">
        <v>366</v>
      </c>
    </row>
    <row r="415" customFormat="false" ht="12.8" hidden="false" customHeight="false" outlineLevel="0" collapsed="false">
      <c r="B415" s="0" t="s">
        <v>1</v>
      </c>
      <c r="C415" s="0" t="s">
        <v>367</v>
      </c>
      <c r="E415" s="0" t="s">
        <v>334</v>
      </c>
      <c r="F415" s="0" t="s">
        <v>368</v>
      </c>
    </row>
    <row r="416" customFormat="false" ht="12.8" hidden="false" customHeight="false" outlineLevel="0" collapsed="false">
      <c r="B416" s="0" t="s">
        <v>164</v>
      </c>
      <c r="C416" s="0" t="s">
        <v>369</v>
      </c>
      <c r="E416" s="0" t="s">
        <v>370</v>
      </c>
      <c r="F416" s="0" t="s">
        <v>371</v>
      </c>
    </row>
    <row r="418" customFormat="false" ht="12.8" hidden="false" customHeight="false" outlineLevel="0" collapsed="false">
      <c r="A418" s="0" t="s">
        <v>372</v>
      </c>
      <c r="B418" s="0" t="str">
        <f aca="false">HYPERLINK("https://lindat.mff.cuni.cz/services/teitok/pdtc10/index.php?action=vallex&amp;frame=v-w162f2", "blížit se (v-w162f2)")</f>
        <v>blížit se (v-w162f2)</v>
      </c>
      <c r="E418" s="0" t="str">
        <f aca="false">HYPERLINK("https://lindat.mff.cuni.cz/services/SynSemClass40/SynSemClass40.html?veclass=vec00097#vec00097-ces-cm00002", "vec00097")</f>
        <v>vec00097</v>
      </c>
      <c r="F418" s="0" t="s">
        <v>373</v>
      </c>
    </row>
    <row r="419" customFormat="false" ht="12.8" hidden="false" customHeight="false" outlineLevel="0" collapsed="false">
      <c r="B419" s="0" t="s">
        <v>1</v>
      </c>
      <c r="C419" s="0" t="s">
        <v>374</v>
      </c>
      <c r="E419" s="0" t="s">
        <v>375</v>
      </c>
      <c r="F419" s="0" t="s">
        <v>376</v>
      </c>
    </row>
    <row r="421" customFormat="false" ht="12.8" hidden="false" customHeight="false" outlineLevel="0" collapsed="false">
      <c r="A421" s="0" t="s">
        <v>377</v>
      </c>
      <c r="B421" s="0" t="str">
        <f aca="false">HYPERLINK("https://lindat.mff.cuni.cz/services/teitok/pdtc10/index.php?action=vallex&amp;frame=v-w168f1", "blýskat se (v-w168f1)")</f>
        <v>blýskat se (v-w168f1)</v>
      </c>
    </row>
    <row r="423" customFormat="false" ht="12.8" hidden="false" customHeight="false" outlineLevel="0" collapsed="false">
      <c r="A423" s="0" t="s">
        <v>378</v>
      </c>
      <c r="B423" s="0" t="str">
        <f aca="false">HYPERLINK("https://lindat.mff.cuni.cz/services/teitok/pdtc10/index.php?action=vallex&amp;frame=v-w168f3_ZU", "blýskat se (v-w168f3_ZU)")</f>
        <v>blýskat se (v-w168f3_ZU)</v>
      </c>
    </row>
    <row r="424" customFormat="false" ht="12.8" hidden="false" customHeight="false" outlineLevel="0" collapsed="false">
      <c r="B424" s="0" t="s">
        <v>1</v>
      </c>
    </row>
    <row r="426" customFormat="false" ht="12.8" hidden="false" customHeight="false" outlineLevel="0" collapsed="false">
      <c r="A426" s="0" t="s">
        <v>378</v>
      </c>
      <c r="B426" s="0" t="str">
        <f aca="false">HYPERLINK("https://lindat.mff.cuni.cz/services/teitok/pdtc10/index.php?action=vallex&amp;frame=v-w168f2_ZU", "blýskat se (v-w168f2_ZU) - substituted with v-w168f3_ZU")</f>
        <v>blýskat se (v-w168f2_ZU) - substituted with v-w168f3_ZU</v>
      </c>
    </row>
    <row r="427" customFormat="false" ht="12.8" hidden="false" customHeight="false" outlineLevel="0" collapsed="false">
      <c r="B427" s="0" t="s">
        <v>1</v>
      </c>
    </row>
    <row r="429" customFormat="false" ht="12.8" hidden="false" customHeight="false" outlineLevel="0" collapsed="false">
      <c r="A429" s="0" t="s">
        <v>379</v>
      </c>
      <c r="B429" s="0" t="str">
        <f aca="false">HYPERLINK("https://lindat.mff.cuni.cz/services/teitok/pdtc10/index.php?action=vallex&amp;frame=v-w169f1", "blýsknout se (v-w169f1)")</f>
        <v>blýsknout se (v-w169f1)</v>
      </c>
    </row>
    <row r="430" customFormat="false" ht="12.8" hidden="false" customHeight="false" outlineLevel="0" collapsed="false">
      <c r="B430" s="0" t="s">
        <v>1</v>
      </c>
    </row>
    <row r="431" customFormat="false" ht="12.8" hidden="false" customHeight="false" outlineLevel="0" collapsed="false">
      <c r="B431" s="0" t="s">
        <v>380</v>
      </c>
    </row>
    <row r="432" customFormat="false" ht="12.8" hidden="false" customHeight="false" outlineLevel="0" collapsed="false">
      <c r="B432" s="0" t="s">
        <v>381</v>
      </c>
    </row>
    <row r="434" customFormat="false" ht="12.8" hidden="false" customHeight="false" outlineLevel="0" collapsed="false">
      <c r="A434" s="0" t="s">
        <v>382</v>
      </c>
      <c r="B434" s="0" t="str">
        <f aca="false">HYPERLINK("https://lindat.mff.cuni.cz/services/teitok/pdtc10/index.php?action=vallex&amp;frame=v-w170f1", "bodnout (v-w170f1)")</f>
        <v>bodnout (v-w170f1)</v>
      </c>
      <c r="E434" s="0" t="str">
        <f aca="false">HYPERLINK("https://lindat.mff.cuni.cz/services/SynSemClass40/SynSemClass40.html?veclass=vec01543#vec01543-ces-cm00001", "vec01543")</f>
        <v>vec01543</v>
      </c>
      <c r="F434" s="0" t="s">
        <v>383</v>
      </c>
    </row>
    <row r="435" customFormat="false" ht="12.8" hidden="false" customHeight="false" outlineLevel="0" collapsed="false">
      <c r="B435" s="0" t="s">
        <v>1</v>
      </c>
      <c r="E435" s="0" t="s">
        <v>31</v>
      </c>
      <c r="F435" s="0" t="s">
        <v>49</v>
      </c>
    </row>
    <row r="436" customFormat="false" ht="12.8" hidden="false" customHeight="false" outlineLevel="0" collapsed="false">
      <c r="B436" s="0" t="s">
        <v>8</v>
      </c>
      <c r="E436" s="0" t="s">
        <v>384</v>
      </c>
      <c r="F436" s="0" t="s">
        <v>385</v>
      </c>
    </row>
    <row r="438" customFormat="false" ht="12.8" hidden="false" customHeight="false" outlineLevel="0" collapsed="false">
      <c r="A438" s="0" t="s">
        <v>386</v>
      </c>
      <c r="B438" s="0" t="str">
        <f aca="false">HYPERLINK("https://lindat.mff.cuni.cz/services/teitok/pdtc10/index.php?action=vallex&amp;frame=v-w170f2", "bodnout (v-w170f2)")</f>
        <v>bodnout (v-w170f2)</v>
      </c>
    </row>
    <row r="439" customFormat="false" ht="12.8" hidden="false" customHeight="false" outlineLevel="0" collapsed="false">
      <c r="B439" s="0" t="s">
        <v>264</v>
      </c>
    </row>
    <row r="440" customFormat="false" ht="12.8" hidden="false" customHeight="false" outlineLevel="0" collapsed="false">
      <c r="B440" s="0" t="s">
        <v>5</v>
      </c>
    </row>
    <row r="442" customFormat="false" ht="12.8" hidden="false" customHeight="false" outlineLevel="0" collapsed="false">
      <c r="A442" s="0" t="s">
        <v>387</v>
      </c>
      <c r="B442" s="0" t="str">
        <f aca="false">HYPERLINK("https://lindat.mff.cuni.cz/services/teitok/pdtc10/index.php?action=vallex&amp;frame=v-w170f3", "bodnout (v-w170f3)")</f>
        <v>bodnout (v-w170f3)</v>
      </c>
      <c r="E442" s="0" t="str">
        <f aca="false">HYPERLINK("https://lindat.mff.cuni.cz/services/SynSemClass40/SynSemClass40.html?veclass=vec01543#vec01543-ces-cm00003", "vec01543")</f>
        <v>vec01543</v>
      </c>
      <c r="F442" s="0" t="s">
        <v>383</v>
      </c>
    </row>
    <row r="443" customFormat="false" ht="12.8" hidden="false" customHeight="false" outlineLevel="0" collapsed="false">
      <c r="B443" s="0" t="s">
        <v>1</v>
      </c>
      <c r="E443" s="0" t="s">
        <v>31</v>
      </c>
      <c r="F443" s="0" t="s">
        <v>49</v>
      </c>
    </row>
    <row r="444" customFormat="false" ht="12.8" hidden="false" customHeight="false" outlineLevel="0" collapsed="false">
      <c r="B444" s="0" t="s">
        <v>164</v>
      </c>
      <c r="E444" s="0" t="s">
        <v>388</v>
      </c>
      <c r="F444" s="0" t="s">
        <v>389</v>
      </c>
    </row>
    <row r="445" customFormat="false" ht="12.8" hidden="false" customHeight="false" outlineLevel="0" collapsed="false">
      <c r="B445" s="0" t="s">
        <v>390</v>
      </c>
      <c r="E445" s="0" t="s">
        <v>170</v>
      </c>
      <c r="F445" s="0" t="s">
        <v>391</v>
      </c>
    </row>
    <row r="447" customFormat="false" ht="12.8" hidden="false" customHeight="false" outlineLevel="0" collapsed="false">
      <c r="A447" s="0" t="s">
        <v>392</v>
      </c>
      <c r="B447" s="0" t="str">
        <f aca="false">HYPERLINK("https://lindat.mff.cuni.cz/services/teitok/pdtc10/index.php?action=vallex&amp;frame=v-w172f2", "bodovat (v-w172f2)")</f>
        <v>bodovat (v-w172f2)</v>
      </c>
    </row>
    <row r="448" customFormat="false" ht="12.8" hidden="false" customHeight="false" outlineLevel="0" collapsed="false">
      <c r="B448" s="0" t="s">
        <v>1</v>
      </c>
    </row>
    <row r="449" customFormat="false" ht="12.8" hidden="false" customHeight="false" outlineLevel="0" collapsed="false">
      <c r="B449" s="0" t="s">
        <v>8</v>
      </c>
    </row>
    <row r="451" customFormat="false" ht="12.8" hidden="false" customHeight="false" outlineLevel="0" collapsed="false">
      <c r="A451" s="0" t="s">
        <v>393</v>
      </c>
      <c r="B451" s="0" t="str">
        <f aca="false">HYPERLINK("https://lindat.mff.cuni.cz/services/teitok/pdtc10/index.php?action=vallex&amp;frame=v-w172f1", "bodovat (v-w172f1)")</f>
        <v>bodovat (v-w172f1)</v>
      </c>
    </row>
    <row r="452" customFormat="false" ht="12.8" hidden="false" customHeight="false" outlineLevel="0" collapsed="false">
      <c r="B452" s="0" t="s">
        <v>1</v>
      </c>
    </row>
    <row r="453" customFormat="false" ht="12.8" hidden="false" customHeight="false" outlineLevel="0" collapsed="false">
      <c r="B453" s="0" t="s">
        <v>394</v>
      </c>
    </row>
    <row r="455" customFormat="false" ht="12.8" hidden="false" customHeight="false" outlineLevel="0" collapsed="false">
      <c r="A455" s="0" t="s">
        <v>395</v>
      </c>
      <c r="B455" s="0" t="str">
        <f aca="false">HYPERLINK("https://lindat.mff.cuni.cz/services/teitok/pdtc10/index.php?action=vallex&amp;frame=v-w173f1", "bohatnout (v-w173f1)")</f>
        <v>bohatnout (v-w173f1)</v>
      </c>
    </row>
    <row r="456" customFormat="false" ht="12.8" hidden="false" customHeight="false" outlineLevel="0" collapsed="false">
      <c r="B456" s="0" t="s">
        <v>1</v>
      </c>
    </row>
    <row r="457" customFormat="false" ht="12.8" hidden="false" customHeight="false" outlineLevel="0" collapsed="false">
      <c r="B457" s="0" t="s">
        <v>396</v>
      </c>
    </row>
    <row r="458" customFormat="false" ht="12.8" hidden="false" customHeight="false" outlineLevel="0" collapsed="false">
      <c r="B458" s="0" t="s">
        <v>397</v>
      </c>
    </row>
    <row r="460" customFormat="false" ht="12.8" hidden="false" customHeight="false" outlineLevel="0" collapsed="false">
      <c r="A460" s="0" t="s">
        <v>398</v>
      </c>
      <c r="B460" s="0" t="str">
        <f aca="false">HYPERLINK("https://lindat.mff.cuni.cz/services/teitok/pdtc10/index.php?action=vallex&amp;frame=v-w177f1", "bojkotovat (v-w177f1)")</f>
        <v>bojkotovat (v-w177f1)</v>
      </c>
      <c r="E460" s="0" t="str">
        <f aca="false">HYPERLINK("https://lindat.mff.cuni.cz/services/SynSemClass40/SynSemClass40.html?veclass=vec00050#vec00050-ces-cm00093", "vec00050")</f>
        <v>vec00050</v>
      </c>
      <c r="F460" s="0" t="s">
        <v>399</v>
      </c>
    </row>
    <row r="461" customFormat="false" ht="12.8" hidden="false" customHeight="false" outlineLevel="0" collapsed="false">
      <c r="B461" s="0" t="s">
        <v>1</v>
      </c>
      <c r="C461" s="0" t="s">
        <v>400</v>
      </c>
      <c r="E461" s="0" t="s">
        <v>206</v>
      </c>
      <c r="F461" s="0" t="s">
        <v>401</v>
      </c>
    </row>
    <row r="462" customFormat="false" ht="12.8" hidden="false" customHeight="false" outlineLevel="0" collapsed="false">
      <c r="B462" s="0" t="s">
        <v>402</v>
      </c>
      <c r="C462" s="0" t="s">
        <v>403</v>
      </c>
      <c r="E462" s="0" t="s">
        <v>66</v>
      </c>
      <c r="F462" s="0" t="s">
        <v>404</v>
      </c>
    </row>
    <row r="464" customFormat="false" ht="12.8" hidden="false" customHeight="false" outlineLevel="0" collapsed="false">
      <c r="A464" s="0" t="s">
        <v>405</v>
      </c>
      <c r="B464" s="0" t="str">
        <f aca="false">HYPERLINK("https://lindat.mff.cuni.cz/services/teitok/pdtc10/index.php?action=vallex&amp;frame=v-w178f2", "bojovat (v-w178f2)")</f>
        <v>bojovat (v-w178f2)</v>
      </c>
      <c r="E464" s="0" t="str">
        <f aca="false">HYPERLINK("https://lindat.mff.cuni.cz/services/SynSemClass40/SynSemClass40.html?veclass=vec00205#vec00205-ces-cm00003", "vec00205")</f>
        <v>vec00205</v>
      </c>
      <c r="F464" s="0" t="s">
        <v>406</v>
      </c>
    </row>
    <row r="465" customFormat="false" ht="12.8" hidden="false" customHeight="false" outlineLevel="0" collapsed="false">
      <c r="B465" s="0" t="s">
        <v>1</v>
      </c>
      <c r="C465" s="0" t="s">
        <v>407</v>
      </c>
      <c r="E465" s="0" t="s">
        <v>11</v>
      </c>
      <c r="F465" s="0" t="s">
        <v>408</v>
      </c>
    </row>
    <row r="466" customFormat="false" ht="12.8" hidden="false" customHeight="false" outlineLevel="0" collapsed="false">
      <c r="B466" s="0" t="s">
        <v>409</v>
      </c>
      <c r="C466" s="0" t="s">
        <v>410</v>
      </c>
      <c r="E466" s="0" t="s">
        <v>411</v>
      </c>
      <c r="F466" s="0" t="s">
        <v>412</v>
      </c>
    </row>
    <row r="468" customFormat="false" ht="12.8" hidden="false" customHeight="false" outlineLevel="0" collapsed="false">
      <c r="A468" s="0" t="s">
        <v>413</v>
      </c>
      <c r="B468" s="0" t="str">
        <f aca="false">HYPERLINK("https://lindat.mff.cuni.cz/services/teitok/pdtc10/index.php?action=vallex&amp;frame=v-w178f1", "bojovat (v-w178f1)")</f>
        <v>bojovat (v-w178f1)</v>
      </c>
      <c r="E468" s="0" t="str">
        <f aca="false">HYPERLINK("https://lindat.mff.cuni.cz/services/SynSemClass40/SynSemClass40.html?veclass=vec00121#vec00121-ces-cm00002", "vec00121")</f>
        <v>vec00121</v>
      </c>
      <c r="F468" s="0" t="s">
        <v>414</v>
      </c>
    </row>
    <row r="469" customFormat="false" ht="12.8" hidden="false" customHeight="false" outlineLevel="0" collapsed="false">
      <c r="B469" s="0" t="s">
        <v>1</v>
      </c>
      <c r="C469" s="0" t="s">
        <v>415</v>
      </c>
      <c r="E469" s="0" t="s">
        <v>416</v>
      </c>
      <c r="F469" s="0" t="s">
        <v>417</v>
      </c>
    </row>
    <row r="470" customFormat="false" ht="12.8" hidden="false" customHeight="false" outlineLevel="0" collapsed="false">
      <c r="B470" s="0" t="s">
        <v>418</v>
      </c>
      <c r="C470" s="0" t="s">
        <v>419</v>
      </c>
      <c r="E470" s="0" t="s">
        <v>420</v>
      </c>
      <c r="F470" s="0" t="s">
        <v>421</v>
      </c>
    </row>
    <row r="471" customFormat="false" ht="12.8" hidden="false" customHeight="false" outlineLevel="0" collapsed="false">
      <c r="B471" s="0" t="s">
        <v>422</v>
      </c>
      <c r="C471" s="0" t="s">
        <v>423</v>
      </c>
      <c r="E471" s="0" t="s">
        <v>424</v>
      </c>
      <c r="F471" s="0" t="s">
        <v>425</v>
      </c>
    </row>
    <row r="473" customFormat="false" ht="12.8" hidden="false" customHeight="false" outlineLevel="0" collapsed="false">
      <c r="A473" s="0" t="s">
        <v>426</v>
      </c>
      <c r="B473" s="0" t="str">
        <f aca="false">HYPERLINK("https://lindat.mff.cuni.cz/services/teitok/pdtc10/index.php?action=vallex&amp;frame=v-w178hsa_269", "bojovat (v-w178hsa_269)")</f>
        <v>bojovat (v-w178hsa_269)</v>
      </c>
      <c r="E473" s="0" t="str">
        <f aca="false">HYPERLINK("https://lindat.mff.cuni.cz/services/SynSemClass40/SynSemClass40.html?veclass=vec01002#vec01002-ces-cm00001", "vec01002")</f>
        <v>vec01002</v>
      </c>
      <c r="F473" s="0" t="s">
        <v>427</v>
      </c>
    </row>
    <row r="474" customFormat="false" ht="12.8" hidden="false" customHeight="false" outlineLevel="0" collapsed="false">
      <c r="B474" s="0" t="s">
        <v>1</v>
      </c>
      <c r="C474" s="0" t="s">
        <v>428</v>
      </c>
      <c r="E474" s="0" t="s">
        <v>429</v>
      </c>
      <c r="F474" s="0" t="s">
        <v>430</v>
      </c>
    </row>
    <row r="475" customFormat="false" ht="12.8" hidden="false" customHeight="false" outlineLevel="0" collapsed="false">
      <c r="B475" s="0" t="s">
        <v>8</v>
      </c>
      <c r="C475" s="0" t="s">
        <v>431</v>
      </c>
      <c r="E475" s="0" t="s">
        <v>432</v>
      </c>
      <c r="F475" s="0" t="s">
        <v>433</v>
      </c>
    </row>
    <row r="477" customFormat="false" ht="12.8" hidden="false" customHeight="false" outlineLevel="0" collapsed="false">
      <c r="A477" s="0" t="s">
        <v>434</v>
      </c>
      <c r="B477" s="0" t="str">
        <f aca="false">HYPERLINK("https://lindat.mff.cuni.cz/services/teitok/pdtc10/index.php?action=vallex&amp;frame=v-w183f1", "bolet (v-w183f1)")</f>
        <v>bolet (v-w183f1)</v>
      </c>
      <c r="E477" s="0" t="str">
        <f aca="false">HYPERLINK("https://lindat.mff.cuni.cz/services/SynSemClass40/SynSemClass40.html?veclass=vec00547#vec00547-ces-cm00027", "vec00547")</f>
        <v>vec00547</v>
      </c>
      <c r="F477" s="0" t="s">
        <v>435</v>
      </c>
    </row>
    <row r="478" customFormat="false" ht="12.8" hidden="false" customHeight="false" outlineLevel="0" collapsed="false">
      <c r="B478" s="0" t="s">
        <v>264</v>
      </c>
      <c r="C478" s="0" t="s">
        <v>436</v>
      </c>
      <c r="E478" s="0" t="s">
        <v>437</v>
      </c>
      <c r="F478" s="0" t="s">
        <v>438</v>
      </c>
    </row>
    <row r="479" customFormat="false" ht="12.8" hidden="false" customHeight="false" outlineLevel="0" collapsed="false">
      <c r="B479" s="0" t="s">
        <v>439</v>
      </c>
      <c r="C479" s="0" t="s">
        <v>440</v>
      </c>
      <c r="E479" s="0" t="s">
        <v>411</v>
      </c>
      <c r="F479" s="0" t="s">
        <v>441</v>
      </c>
    </row>
    <row r="481" customFormat="false" ht="12.8" hidden="false" customHeight="false" outlineLevel="0" collapsed="false">
      <c r="A481" s="0" t="s">
        <v>442</v>
      </c>
      <c r="B481" s="0" t="str">
        <f aca="false">HYPERLINK("https://lindat.mff.cuni.cz/services/teitok/pdtc10/index.php?action=vallex&amp;frame=v-w183f2", "bolet (v-w183f2)")</f>
        <v>bolet (v-w183f2)</v>
      </c>
    </row>
    <row r="482" customFormat="false" ht="12.8" hidden="false" customHeight="false" outlineLevel="0" collapsed="false">
      <c r="B482" s="0" t="s">
        <v>264</v>
      </c>
    </row>
    <row r="483" customFormat="false" ht="12.8" hidden="false" customHeight="false" outlineLevel="0" collapsed="false">
      <c r="B483" s="0" t="s">
        <v>5</v>
      </c>
    </row>
    <row r="485" customFormat="false" ht="12.8" hidden="false" customHeight="false" outlineLevel="0" collapsed="false">
      <c r="A485" s="0" t="s">
        <v>443</v>
      </c>
      <c r="B485" s="0" t="str">
        <f aca="false">HYPERLINK("https://lindat.mff.cuni.cz/services/teitok/pdtc10/index.php?action=vallex&amp;frame=v-w183f3_ZU", "bolet (v-w183f3_ZU)")</f>
        <v>bolet (v-w183f3_ZU)</v>
      </c>
    </row>
    <row r="486" customFormat="false" ht="12.8" hidden="false" customHeight="false" outlineLevel="0" collapsed="false">
      <c r="B486" s="0" t="s">
        <v>1</v>
      </c>
    </row>
    <row r="487" customFormat="false" ht="12.8" hidden="false" customHeight="false" outlineLevel="0" collapsed="false">
      <c r="B487" s="0" t="s">
        <v>444</v>
      </c>
    </row>
    <row r="489" customFormat="false" ht="12.8" hidden="false" customHeight="false" outlineLevel="0" collapsed="false">
      <c r="A489" s="0" t="s">
        <v>445</v>
      </c>
      <c r="B489" s="0" t="str">
        <f aca="false">HYPERLINK("https://lindat.mff.cuni.cz/services/teitok/pdtc10/index.php?action=vallex&amp;frame=v-w185f1", "bombardovat (v-w185f1)")</f>
        <v>bombardovat (v-w185f1)</v>
      </c>
      <c r="E489" s="0" t="str">
        <f aca="false">HYPERLINK("https://lindat.mff.cuni.cz/services/SynSemClass40/SynSemClass40.html?veclass=vec00604#vec00604-ces-cm00001", "vec00604")</f>
        <v>vec00604</v>
      </c>
      <c r="F489" s="0" t="s">
        <v>446</v>
      </c>
    </row>
    <row r="490" customFormat="false" ht="12.8" hidden="false" customHeight="false" outlineLevel="0" collapsed="false">
      <c r="B490" s="0" t="s">
        <v>1</v>
      </c>
      <c r="C490" s="0" t="s">
        <v>447</v>
      </c>
      <c r="E490" s="0" t="s">
        <v>196</v>
      </c>
      <c r="F490" s="0" t="s">
        <v>448</v>
      </c>
    </row>
    <row r="491" customFormat="false" ht="12.8" hidden="false" customHeight="false" outlineLevel="0" collapsed="false">
      <c r="B491" s="0" t="s">
        <v>8</v>
      </c>
      <c r="C491" s="0" t="s">
        <v>449</v>
      </c>
      <c r="E491" s="0" t="s">
        <v>450</v>
      </c>
      <c r="F491" s="0" t="s">
        <v>451</v>
      </c>
    </row>
    <row r="493" customFormat="false" ht="12.8" hidden="false" customHeight="false" outlineLevel="0" collapsed="false">
      <c r="A493" s="0" t="s">
        <v>452</v>
      </c>
      <c r="B493" s="0" t="str">
        <f aca="false">HYPERLINK("https://lindat.mff.cuni.cz/services/teitok/pdtc10/index.php?action=vallex&amp;frame=v-w186f1", "bortit se (v-w186f1)")</f>
        <v>bortit se (v-w186f1)</v>
      </c>
    </row>
    <row r="494" customFormat="false" ht="12.8" hidden="false" customHeight="false" outlineLevel="0" collapsed="false">
      <c r="B494" s="0" t="s">
        <v>1</v>
      </c>
    </row>
    <row r="496" customFormat="false" ht="12.8" hidden="false" customHeight="false" outlineLevel="0" collapsed="false">
      <c r="A496" s="0" t="s">
        <v>453</v>
      </c>
      <c r="B496" s="0" t="str">
        <f aca="false">HYPERLINK("https://lindat.mff.cuni.cz/services/teitok/pdtc10/index.php?action=vallex&amp;frame=v-w11731_ZUf3_ZU", "bouchat (v-w11731_ZUf3_ZU)")</f>
        <v>bouchat (v-w11731_ZUf3_ZU)</v>
      </c>
    </row>
    <row r="497" customFormat="false" ht="12.8" hidden="false" customHeight="false" outlineLevel="0" collapsed="false">
      <c r="B497" s="0" t="s">
        <v>1</v>
      </c>
    </row>
    <row r="498" customFormat="false" ht="12.8" hidden="false" customHeight="false" outlineLevel="0" collapsed="false">
      <c r="B498" s="0" t="s">
        <v>454</v>
      </c>
    </row>
    <row r="500" customFormat="false" ht="12.8" hidden="false" customHeight="false" outlineLevel="0" collapsed="false">
      <c r="A500" s="0" t="s">
        <v>453</v>
      </c>
      <c r="B500" s="0" t="str">
        <f aca="false">HYPERLINK("https://lindat.mff.cuni.cz/services/teitok/pdtc10/index.php?action=vallex&amp;frame=v-w11731_ZUf1_ZU", "bouchat (v-w11731_ZUf1_ZU) - substituted with v-w11731_ZUf3_ZU")</f>
        <v>bouchat (v-w11731_ZUf1_ZU) - substituted with v-w11731_ZUf3_ZU</v>
      </c>
    </row>
    <row r="501" customFormat="false" ht="12.8" hidden="false" customHeight="false" outlineLevel="0" collapsed="false">
      <c r="B501" s="0" t="s">
        <v>1</v>
      </c>
    </row>
    <row r="502" customFormat="false" ht="12.8" hidden="false" customHeight="false" outlineLevel="0" collapsed="false">
      <c r="B502" s="0" t="s">
        <v>454</v>
      </c>
    </row>
    <row r="504" customFormat="false" ht="12.8" hidden="false" customHeight="false" outlineLevel="0" collapsed="false">
      <c r="A504" s="0" t="s">
        <v>453</v>
      </c>
      <c r="B504" s="0" t="str">
        <f aca="false">HYPERLINK("https://lindat.mff.cuni.cz/services/teitok/pdtc10/index.php?action=vallex&amp;frame=v-w11731_ZUf2_ZU", "bouchat (v-w11731_ZUf2_ZU) - substituted with v-w11731_ZUf3_ZU")</f>
        <v>bouchat (v-w11731_ZUf2_ZU) - substituted with v-w11731_ZUf3_ZU</v>
      </c>
    </row>
    <row r="505" customFormat="false" ht="12.8" hidden="false" customHeight="false" outlineLevel="0" collapsed="false">
      <c r="B505" s="0" t="s">
        <v>1</v>
      </c>
    </row>
    <row r="506" customFormat="false" ht="12.8" hidden="false" customHeight="false" outlineLevel="0" collapsed="false">
      <c r="B506" s="0" t="s">
        <v>454</v>
      </c>
    </row>
    <row r="508" customFormat="false" ht="12.8" hidden="false" customHeight="false" outlineLevel="0" collapsed="false">
      <c r="A508" s="0" t="s">
        <v>455</v>
      </c>
      <c r="B508" s="0" t="str">
        <f aca="false">HYPERLINK("https://lindat.mff.cuni.cz/services/teitok/pdtc10/index.php?action=vallex&amp;frame=v-w189f4", "bouchnout (v-w189f4)")</f>
        <v>bouchnout (v-w189f4)</v>
      </c>
    </row>
    <row r="509" customFormat="false" ht="12.8" hidden="false" customHeight="false" outlineLevel="0" collapsed="false">
      <c r="B509" s="0" t="s">
        <v>1</v>
      </c>
    </row>
    <row r="510" customFormat="false" ht="12.8" hidden="false" customHeight="false" outlineLevel="0" collapsed="false">
      <c r="B510" s="0" t="s">
        <v>8</v>
      </c>
    </row>
    <row r="512" customFormat="false" ht="12.8" hidden="false" customHeight="false" outlineLevel="0" collapsed="false">
      <c r="A512" s="0" t="s">
        <v>456</v>
      </c>
      <c r="B512" s="0" t="str">
        <f aca="false">HYPERLINK("https://lindat.mff.cuni.cz/services/teitok/pdtc10/index.php?action=vallex&amp;frame=v-w189f3", "bouchnout (v-w189f3)")</f>
        <v>bouchnout (v-w189f3)</v>
      </c>
      <c r="E512" s="0" t="str">
        <f aca="false">HYPERLINK("https://lindat.mff.cuni.cz/services/SynSemClass40/SynSemClass40.html?veclass=vec01428#vec01428-ces-cm00001", "vec01428")</f>
        <v>vec01428</v>
      </c>
      <c r="F512" s="0" t="s">
        <v>457</v>
      </c>
      <c r="H512" s="0" t="str">
        <f aca="false">HYPERLINK("https://lindat.mff.cuni.cz/services/SynSemClass40/SynSemClass40.html?veclass=vec01532#vec01532-ces-cm00006", "vec01532")</f>
        <v>vec01532</v>
      </c>
      <c r="I512" s="0" t="s">
        <v>458</v>
      </c>
    </row>
    <row r="513" customFormat="false" ht="12.8" hidden="false" customHeight="false" outlineLevel="0" collapsed="false">
      <c r="B513" s="0" t="s">
        <v>1</v>
      </c>
      <c r="C513" s="0" t="s">
        <v>459</v>
      </c>
      <c r="E513" s="0" t="s">
        <v>31</v>
      </c>
      <c r="F513" s="0" t="s">
        <v>460</v>
      </c>
      <c r="H513" s="0" t="s">
        <v>196</v>
      </c>
      <c r="I513" s="0" t="s">
        <v>461</v>
      </c>
    </row>
    <row r="514" customFormat="false" ht="12.8" hidden="false" customHeight="false" outlineLevel="0" collapsed="false">
      <c r="B514" s="0" t="s">
        <v>286</v>
      </c>
      <c r="C514" s="0" t="s">
        <v>462</v>
      </c>
      <c r="E514" s="0" t="s">
        <v>170</v>
      </c>
      <c r="F514" s="0" t="s">
        <v>391</v>
      </c>
      <c r="H514" s="0" t="s">
        <v>450</v>
      </c>
      <c r="I514" s="0" t="s">
        <v>463</v>
      </c>
    </row>
    <row r="516" customFormat="false" ht="12.8" hidden="false" customHeight="false" outlineLevel="0" collapsed="false">
      <c r="A516" s="0" t="s">
        <v>464</v>
      </c>
      <c r="B516" s="0" t="str">
        <f aca="false">HYPERLINK("https://lindat.mff.cuni.cz/services/teitok/pdtc10/index.php?action=vallex&amp;frame=v-w189f1", "bouchnout (v-w189f1)")</f>
        <v>bouchnout (v-w189f1)</v>
      </c>
    </row>
    <row r="517" customFormat="false" ht="12.8" hidden="false" customHeight="false" outlineLevel="0" collapsed="false">
      <c r="B517" s="0" t="s">
        <v>1</v>
      </c>
    </row>
    <row r="519" customFormat="false" ht="12.8" hidden="false" customHeight="false" outlineLevel="0" collapsed="false">
      <c r="A519" s="0" t="s">
        <v>465</v>
      </c>
      <c r="B519" s="0" t="str">
        <f aca="false">HYPERLINK("https://lindat.mff.cuni.cz/services/teitok/pdtc10/index.php?action=vallex&amp;frame=v-w189f2", "bouchnout (v-w189f2)")</f>
        <v>bouchnout (v-w189f2)</v>
      </c>
    </row>
    <row r="520" customFormat="false" ht="12.8" hidden="false" customHeight="false" outlineLevel="0" collapsed="false">
      <c r="B520" s="0" t="s">
        <v>1</v>
      </c>
    </row>
    <row r="522" customFormat="false" ht="12.8" hidden="false" customHeight="false" outlineLevel="0" collapsed="false">
      <c r="A522" s="0" t="s">
        <v>466</v>
      </c>
      <c r="B522" s="0" t="str">
        <f aca="false">HYPERLINK("https://lindat.mff.cuni.cz/services/teitok/pdtc10/index.php?action=vallex&amp;frame=v-w11938_ZUf1_ZU", "bouchnout se (v-w11938_ZUf1_ZU)")</f>
        <v>bouchnout se (v-w11938_ZUf1_ZU)</v>
      </c>
    </row>
    <row r="523" customFormat="false" ht="12.8" hidden="false" customHeight="false" outlineLevel="0" collapsed="false">
      <c r="B523" s="0" t="s">
        <v>1</v>
      </c>
    </row>
    <row r="525" customFormat="false" ht="12.8" hidden="false" customHeight="false" outlineLevel="0" collapsed="false">
      <c r="A525" s="0" t="s">
        <v>467</v>
      </c>
      <c r="B525" s="0" t="str">
        <f aca="false">HYPERLINK("https://lindat.mff.cuni.cz/services/teitok/pdtc10/index.php?action=vallex&amp;frame=v-w191f1", "bourat (v-w191f1)")</f>
        <v>bourat (v-w191f1)</v>
      </c>
    </row>
    <row r="526" customFormat="false" ht="12.8" hidden="false" customHeight="false" outlineLevel="0" collapsed="false">
      <c r="B526" s="0" t="s">
        <v>1</v>
      </c>
    </row>
    <row r="527" customFormat="false" ht="12.8" hidden="false" customHeight="false" outlineLevel="0" collapsed="false">
      <c r="B527" s="0" t="s">
        <v>305</v>
      </c>
    </row>
    <row r="528" customFormat="false" ht="12.8" hidden="false" customHeight="false" outlineLevel="0" collapsed="false">
      <c r="B528" s="0" t="s">
        <v>101</v>
      </c>
    </row>
    <row r="530" customFormat="false" ht="12.8" hidden="false" customHeight="false" outlineLevel="0" collapsed="false">
      <c r="A530" s="0" t="s">
        <v>468</v>
      </c>
      <c r="B530" s="0" t="str">
        <f aca="false">HYPERLINK("https://lindat.mff.cuni.cz/services/teitok/pdtc10/index.php?action=vallex&amp;frame=v-w192f1", "bouřit (v-w192f1)")</f>
        <v>bouřit (v-w192f1)</v>
      </c>
      <c r="E530" s="0" t="str">
        <f aca="false">HYPERLINK("https://lindat.mff.cuni.cz/services/SynSemClass40/SynSemClass40.html?veclass=vec01486#vec01486-ces-cm00001", "vec01486")</f>
        <v>vec01486</v>
      </c>
      <c r="F530" s="0" t="s">
        <v>469</v>
      </c>
      <c r="H530" s="0" t="str">
        <f aca="false">HYPERLINK("https://lindat.mff.cuni.cz/services/SynSemClass40/SynSemClass40.html?veclass=vec01487#vec01487-ces-cm00001", "vec01487")</f>
        <v>vec01487</v>
      </c>
      <c r="I530" s="0" t="s">
        <v>470</v>
      </c>
    </row>
    <row r="531" customFormat="false" ht="12.8" hidden="false" customHeight="false" outlineLevel="0" collapsed="false">
      <c r="B531" s="0" t="s">
        <v>1</v>
      </c>
      <c r="C531" s="0" t="s">
        <v>471</v>
      </c>
      <c r="E531" s="0" t="s">
        <v>31</v>
      </c>
      <c r="F531" s="0" t="s">
        <v>49</v>
      </c>
      <c r="H531" s="0" t="s">
        <v>472</v>
      </c>
      <c r="I531" s="0" t="s">
        <v>473</v>
      </c>
    </row>
    <row r="533" customFormat="false" ht="12.8" hidden="false" customHeight="false" outlineLevel="0" collapsed="false">
      <c r="A533" s="0" t="s">
        <v>474</v>
      </c>
      <c r="B533" s="0" t="str">
        <f aca="false">HYPERLINK("https://lindat.mff.cuni.cz/services/teitok/pdtc10/index.php?action=vallex&amp;frame=v-w192f2", "bouřit (v-w192f2)")</f>
        <v>bouřit (v-w192f2)</v>
      </c>
      <c r="E533" s="0" t="str">
        <f aca="false">HYPERLINK("https://lindat.mff.cuni.cz/services/SynSemClass40/SynSemClass40.html?veclass=vec01487#vec01487-ces-cm00002", "vec01487")</f>
        <v>vec01487</v>
      </c>
      <c r="F533" s="0" t="s">
        <v>470</v>
      </c>
    </row>
    <row r="534" customFormat="false" ht="12.8" hidden="false" customHeight="false" outlineLevel="0" collapsed="false">
      <c r="B534" s="0" t="s">
        <v>1</v>
      </c>
      <c r="C534" s="0" t="s">
        <v>471</v>
      </c>
      <c r="E534" s="0" t="s">
        <v>472</v>
      </c>
      <c r="F534" s="0" t="s">
        <v>473</v>
      </c>
    </row>
    <row r="536" customFormat="false" ht="12.8" hidden="false" customHeight="false" outlineLevel="0" collapsed="false">
      <c r="A536" s="0" t="s">
        <v>475</v>
      </c>
      <c r="B536" s="0" t="str">
        <f aca="false">HYPERLINK("https://lindat.mff.cuni.cz/services/teitok/pdtc10/index.php?action=vallex&amp;frame=v-w193f1", "bouřit se (v-w193f1)")</f>
        <v>bouřit se (v-w193f1)</v>
      </c>
      <c r="E536" s="0" t="str">
        <f aca="false">HYPERLINK("https://lindat.mff.cuni.cz/services/SynSemClass40/SynSemClass40.html?veclass=vec00461#vec00461-ces-cm00042", "vec00461")</f>
        <v>vec00461</v>
      </c>
      <c r="F536" s="0" t="s">
        <v>476</v>
      </c>
    </row>
    <row r="537" customFormat="false" ht="12.8" hidden="false" customHeight="false" outlineLevel="0" collapsed="false">
      <c r="B537" s="0" t="s">
        <v>1</v>
      </c>
      <c r="C537" s="0" t="s">
        <v>477</v>
      </c>
      <c r="E537" s="0" t="s">
        <v>478</v>
      </c>
      <c r="F537" s="0" t="s">
        <v>479</v>
      </c>
    </row>
    <row r="539" customFormat="false" ht="12.8" hidden="false" customHeight="false" outlineLevel="0" collapsed="false">
      <c r="A539" s="0" t="s">
        <v>480</v>
      </c>
      <c r="B539" s="0" t="str">
        <f aca="false">HYPERLINK("https://lindat.mff.cuni.cz/services/teitok/pdtc10/index.php?action=vallex&amp;frame=v-w194f1", "boxovat (v-w194f1)")</f>
        <v>boxovat (v-w194f1)</v>
      </c>
      <c r="E539" s="0" t="str">
        <f aca="false">HYPERLINK("https://lindat.mff.cuni.cz/services/SynSemClass40/SynSemClass40.html?veclass=vec01488#vec01488-ces-cm00004", "vec01488")</f>
        <v>vec01488</v>
      </c>
      <c r="F539" s="0" t="s">
        <v>481</v>
      </c>
    </row>
    <row r="540" customFormat="false" ht="12.8" hidden="false" customHeight="false" outlineLevel="0" collapsed="false">
      <c r="B540" s="0" t="s">
        <v>1</v>
      </c>
      <c r="C540" s="0" t="s">
        <v>459</v>
      </c>
      <c r="E540" s="0" t="s">
        <v>416</v>
      </c>
      <c r="F540" s="0" t="s">
        <v>482</v>
      </c>
    </row>
    <row r="542" customFormat="false" ht="12.8" hidden="false" customHeight="false" outlineLevel="0" collapsed="false">
      <c r="A542" s="0" t="s">
        <v>483</v>
      </c>
      <c r="B542" s="0" t="str">
        <f aca="false">HYPERLINK("https://lindat.mff.cuni.cz/services/teitok/pdtc10/index.php?action=vallex&amp;frame=v-w206f2", "brblat (v-w206f2)")</f>
        <v>brblat (v-w206f2)</v>
      </c>
      <c r="E542" s="0" t="str">
        <f aca="false">HYPERLINK("https://lindat.mff.cuni.cz/services/SynSemClass40/SynSemClass40.html?veclass=vec00132#vec00132-ces-cm00002", "vec00132")</f>
        <v>vec00132</v>
      </c>
      <c r="F542" s="0" t="s">
        <v>484</v>
      </c>
      <c r="H542" s="0" t="str">
        <f aca="false">HYPERLINK("https://lindat.mff.cuni.cz/services/SynSemClass40/SynSemClass40.html?veclass=vec01489#vec01489-ces-cm00001", "vec01489")</f>
        <v>vec01489</v>
      </c>
      <c r="I542" s="0" t="s">
        <v>485</v>
      </c>
    </row>
    <row r="543" customFormat="false" ht="12.8" hidden="false" customHeight="false" outlineLevel="0" collapsed="false">
      <c r="B543" s="0" t="s">
        <v>1</v>
      </c>
      <c r="C543" s="0" t="s">
        <v>486</v>
      </c>
      <c r="E543" s="0" t="s">
        <v>63</v>
      </c>
      <c r="F543" s="0" t="s">
        <v>487</v>
      </c>
      <c r="H543" s="0" t="s">
        <v>63</v>
      </c>
      <c r="I543" s="0" t="s">
        <v>488</v>
      </c>
    </row>
    <row r="544" customFormat="false" ht="12.8" hidden="false" customHeight="false" outlineLevel="0" collapsed="false">
      <c r="B544" s="0" t="s">
        <v>489</v>
      </c>
      <c r="C544" s="0" t="s">
        <v>490</v>
      </c>
      <c r="E544" s="0" t="s">
        <v>230</v>
      </c>
      <c r="F544" s="0" t="s">
        <v>491</v>
      </c>
      <c r="H544" s="0" t="s">
        <v>230</v>
      </c>
      <c r="I544" s="0" t="s">
        <v>492</v>
      </c>
    </row>
    <row r="546" customFormat="false" ht="12.8" hidden="false" customHeight="false" outlineLevel="0" collapsed="false">
      <c r="A546" s="0" t="s">
        <v>483</v>
      </c>
      <c r="B546" s="0" t="str">
        <f aca="false">HYPERLINK("https://lindat.mff.cuni.cz/services/teitok/pdtc10/index.php?action=vallex&amp;frame=v-w206f1", "brblat (v-w206f1) - substituted with v-w206f2")</f>
        <v>brblat (v-w206f1) - substituted with v-w206f2</v>
      </c>
    </row>
    <row r="547" customFormat="false" ht="12.8" hidden="false" customHeight="false" outlineLevel="0" collapsed="false">
      <c r="B547" s="0" t="s">
        <v>1</v>
      </c>
    </row>
    <row r="548" customFormat="false" ht="12.8" hidden="false" customHeight="false" outlineLevel="0" collapsed="false">
      <c r="B548" s="0" t="s">
        <v>489</v>
      </c>
    </row>
    <row r="550" customFormat="false" ht="12.8" hidden="false" customHeight="false" outlineLevel="0" collapsed="false">
      <c r="A550" s="0" t="s">
        <v>493</v>
      </c>
      <c r="B550" s="0" t="str">
        <f aca="false">HYPERLINK("https://lindat.mff.cuni.cz/services/teitok/pdtc10/index.php?action=vallex&amp;frame=v-w10657f2", "brebentit (v-w10657f2)")</f>
        <v>brebentit (v-w10657f2)</v>
      </c>
    </row>
    <row r="551" customFormat="false" ht="12.8" hidden="false" customHeight="false" outlineLevel="0" collapsed="false">
      <c r="B551" s="0" t="s">
        <v>1</v>
      </c>
    </row>
    <row r="552" customFormat="false" ht="12.8" hidden="false" customHeight="false" outlineLevel="0" collapsed="false">
      <c r="B552" s="0" t="s">
        <v>8</v>
      </c>
    </row>
    <row r="554" customFormat="false" ht="12.8" hidden="false" customHeight="false" outlineLevel="0" collapsed="false">
      <c r="A554" s="0" t="s">
        <v>494</v>
      </c>
      <c r="B554" s="0" t="str">
        <f aca="false">HYPERLINK("https://lindat.mff.cuni.cz/services/teitok/pdtc10/index.php?action=vallex&amp;frame=v-w10657f4_ZU", "brebentit (v-w10657f4_ZU)")</f>
        <v>brebentit (v-w10657f4_ZU)</v>
      </c>
    </row>
    <row r="555" customFormat="false" ht="12.8" hidden="false" customHeight="false" outlineLevel="0" collapsed="false">
      <c r="B555" s="0" t="s">
        <v>1</v>
      </c>
    </row>
    <row r="556" customFormat="false" ht="12.8" hidden="false" customHeight="false" outlineLevel="0" collapsed="false">
      <c r="B556" s="0" t="s">
        <v>495</v>
      </c>
    </row>
    <row r="557" customFormat="false" ht="12.8" hidden="false" customHeight="false" outlineLevel="0" collapsed="false">
      <c r="B557" s="0" t="s">
        <v>496</v>
      </c>
    </row>
    <row r="559" customFormat="false" ht="12.8" hidden="false" customHeight="false" outlineLevel="0" collapsed="false">
      <c r="A559" s="0" t="s">
        <v>494</v>
      </c>
      <c r="B559" s="0" t="str">
        <f aca="false">HYPERLINK("https://lindat.mff.cuni.cz/services/teitok/pdtc10/index.php?action=vallex&amp;frame=v-w10657f3_ZU", "brebentit (v-w10657f3_ZU) - substituted with v-w10657f4_ZU")</f>
        <v>brebentit (v-w10657f3_ZU) - substituted with v-w10657f4_ZU</v>
      </c>
    </row>
    <row r="560" customFormat="false" ht="12.8" hidden="false" customHeight="false" outlineLevel="0" collapsed="false">
      <c r="B560" s="0" t="s">
        <v>1</v>
      </c>
    </row>
    <row r="561" customFormat="false" ht="12.8" hidden="false" customHeight="false" outlineLevel="0" collapsed="false">
      <c r="B561" s="0" t="s">
        <v>495</v>
      </c>
    </row>
    <row r="562" customFormat="false" ht="12.8" hidden="false" customHeight="false" outlineLevel="0" collapsed="false">
      <c r="B562" s="0" t="s">
        <v>496</v>
      </c>
    </row>
    <row r="564" customFormat="false" ht="12.8" hidden="false" customHeight="false" outlineLevel="0" collapsed="false">
      <c r="A564" s="0" t="s">
        <v>497</v>
      </c>
      <c r="B564" s="0" t="str">
        <f aca="false">HYPERLINK("https://lindat.mff.cuni.cz/services/teitok/pdtc10/index.php?action=vallex&amp;frame=v-w10702f2", "brečet (v-w10702f2)")</f>
        <v>brečet (v-w10702f2)</v>
      </c>
    </row>
    <row r="565" customFormat="false" ht="12.8" hidden="false" customHeight="false" outlineLevel="0" collapsed="false">
      <c r="B565" s="0" t="s">
        <v>1</v>
      </c>
    </row>
    <row r="567" customFormat="false" ht="12.8" hidden="false" customHeight="false" outlineLevel="0" collapsed="false">
      <c r="A567" s="0" t="s">
        <v>498</v>
      </c>
      <c r="B567" s="0" t="str">
        <f aca="false">HYPERLINK("https://lindat.mff.cuni.cz/services/teitok/pdtc10/index.php?action=vallex&amp;frame=v-w12339_MMf1_MM", "brnkat (v-w12339_MMf1_MM)")</f>
        <v>brnkat (v-w12339_MMf1_MM)</v>
      </c>
    </row>
    <row r="568" customFormat="false" ht="12.8" hidden="false" customHeight="false" outlineLevel="0" collapsed="false">
      <c r="B568" s="0" t="s">
        <v>1</v>
      </c>
    </row>
    <row r="570" customFormat="false" ht="12.8" hidden="false" customHeight="false" outlineLevel="0" collapsed="false">
      <c r="A570" s="0" t="s">
        <v>499</v>
      </c>
      <c r="B570" s="0" t="str">
        <f aca="false">HYPERLINK("https://lindat.mff.cuni.cz/services/teitok/pdtc10/index.php?action=vallex&amp;frame=v-whsa_1115hsa_1116", "brnknout (v-whsa_1115hsa_1116)")</f>
        <v>brnknout (v-whsa_1115hsa_1116)</v>
      </c>
    </row>
    <row r="571" customFormat="false" ht="12.8" hidden="false" customHeight="false" outlineLevel="0" collapsed="false">
      <c r="B571" s="0" t="s">
        <v>1</v>
      </c>
    </row>
    <row r="572" customFormat="false" ht="12.8" hidden="false" customHeight="false" outlineLevel="0" collapsed="false">
      <c r="B572" s="0" t="s">
        <v>500</v>
      </c>
    </row>
    <row r="573" customFormat="false" ht="12.8" hidden="false" customHeight="false" outlineLevel="0" collapsed="false">
      <c r="B573" s="0" t="s">
        <v>52</v>
      </c>
    </row>
    <row r="575" customFormat="false" ht="12.8" hidden="false" customHeight="false" outlineLevel="0" collapsed="false">
      <c r="A575" s="0" t="s">
        <v>501</v>
      </c>
      <c r="B575" s="0" t="str">
        <f aca="false">HYPERLINK("https://lindat.mff.cuni.cz/services/teitok/pdtc10/index.php?action=vallex&amp;frame=v-w208f1", "brodit se (v-w208f1)")</f>
        <v>brodit se (v-w208f1)</v>
      </c>
    </row>
    <row r="576" customFormat="false" ht="12.8" hidden="false" customHeight="false" outlineLevel="0" collapsed="false">
      <c r="B576" s="0" t="s">
        <v>1</v>
      </c>
    </row>
    <row r="578" customFormat="false" ht="12.8" hidden="false" customHeight="false" outlineLevel="0" collapsed="false">
      <c r="A578" s="0" t="s">
        <v>502</v>
      </c>
      <c r="B578" s="0" t="str">
        <f aca="false">HYPERLINK("https://lindat.mff.cuni.cz/services/teitok/pdtc10/index.php?action=vallex&amp;frame=v-w208hsa_560", "brodit se (v-w208hsa_560)")</f>
        <v>brodit se (v-w208hsa_560)</v>
      </c>
      <c r="E578" s="0" t="str">
        <f aca="false">HYPERLINK("https://lindat.mff.cuni.cz/services/SynSemClass40/SynSemClass40.html?veclass=vec00205#vec00205-ces-cm00058", "vec00205")</f>
        <v>vec00205</v>
      </c>
      <c r="F578" s="0" t="s">
        <v>406</v>
      </c>
    </row>
    <row r="579" customFormat="false" ht="12.8" hidden="false" customHeight="false" outlineLevel="0" collapsed="false">
      <c r="B579" s="0" t="s">
        <v>1</v>
      </c>
      <c r="C579" s="0" t="s">
        <v>407</v>
      </c>
      <c r="E579" s="0" t="s">
        <v>11</v>
      </c>
      <c r="F579" s="0" t="s">
        <v>408</v>
      </c>
    </row>
    <row r="580" customFormat="false" ht="12.8" hidden="false" customHeight="false" outlineLevel="0" collapsed="false">
      <c r="B580" s="0" t="s">
        <v>286</v>
      </c>
      <c r="C580" s="0" t="s">
        <v>410</v>
      </c>
      <c r="E580" s="0" t="s">
        <v>411</v>
      </c>
      <c r="F580" s="0" t="s">
        <v>412</v>
      </c>
    </row>
    <row r="582" customFormat="false" ht="12.8" hidden="false" customHeight="false" outlineLevel="0" collapsed="false">
      <c r="A582" s="0" t="s">
        <v>503</v>
      </c>
      <c r="B582" s="0" t="str">
        <f aca="false">HYPERLINK("https://lindat.mff.cuni.cz/services/teitok/pdtc10/index.php?action=vallex&amp;frame=v-w209f1", "brojit (v-w209f1)")</f>
        <v>brojit (v-w209f1)</v>
      </c>
    </row>
    <row r="583" customFormat="false" ht="12.8" hidden="false" customHeight="false" outlineLevel="0" collapsed="false">
      <c r="B583" s="0" t="s">
        <v>1</v>
      </c>
    </row>
    <row r="584" customFormat="false" ht="12.8" hidden="false" customHeight="false" outlineLevel="0" collapsed="false">
      <c r="B584" s="0" t="s">
        <v>504</v>
      </c>
    </row>
    <row r="586" customFormat="false" ht="12.8" hidden="false" customHeight="false" outlineLevel="0" collapsed="false">
      <c r="A586" s="0" t="s">
        <v>505</v>
      </c>
      <c r="B586" s="0" t="str">
        <f aca="false">HYPERLINK("https://lindat.mff.cuni.cz/services/teitok/pdtc10/index.php?action=vallex&amp;frame=v-w11504_ZUf1_ZU", "broukat (v-w11504_ZUf1_ZU)")</f>
        <v>broukat (v-w11504_ZUf1_ZU)</v>
      </c>
      <c r="E586" s="0" t="str">
        <f aca="false">HYPERLINK("https://lindat.mff.cuni.cz/services/SynSemClass40/SynSemClass40.html?veclass=vec00794#vec00794-ces-cm00006", "vec00794")</f>
        <v>vec00794</v>
      </c>
      <c r="F586" s="0" t="s">
        <v>506</v>
      </c>
    </row>
    <row r="587" customFormat="false" ht="12.8" hidden="false" customHeight="false" outlineLevel="0" collapsed="false">
      <c r="B587" s="0" t="s">
        <v>1</v>
      </c>
      <c r="C587" s="0" t="s">
        <v>428</v>
      </c>
      <c r="E587" s="0" t="s">
        <v>147</v>
      </c>
      <c r="F587" s="0" t="s">
        <v>507</v>
      </c>
    </row>
    <row r="588" customFormat="false" ht="12.8" hidden="false" customHeight="false" outlineLevel="0" collapsed="false">
      <c r="B588" s="0" t="s">
        <v>508</v>
      </c>
      <c r="C588" s="0" t="s">
        <v>158</v>
      </c>
      <c r="E588" s="0" t="s">
        <v>218</v>
      </c>
      <c r="F588" s="0" t="s">
        <v>509</v>
      </c>
    </row>
    <row r="590" customFormat="false" ht="12.8" hidden="false" customHeight="false" outlineLevel="0" collapsed="false">
      <c r="A590" s="0" t="s">
        <v>510</v>
      </c>
      <c r="B590" s="0" t="str">
        <f aca="false">HYPERLINK("https://lindat.mff.cuni.cz/services/teitok/pdtc10/index.php?action=vallex&amp;frame=v-w210f1", "brousit (v-w210f1)")</f>
        <v>brousit (v-w210f1)</v>
      </c>
      <c r="E590" s="0" t="str">
        <f aca="false">HYPERLINK("https://lindat.mff.cuni.cz/services/SynSemClass40/SynSemClass40.html?veclass=vec01462#vec01462-ces-cm00001", "vec01462")</f>
        <v>vec01462</v>
      </c>
      <c r="F590" s="0" t="s">
        <v>511</v>
      </c>
    </row>
    <row r="591" customFormat="false" ht="12.8" hidden="false" customHeight="false" outlineLevel="0" collapsed="false">
      <c r="B591" s="0" t="s">
        <v>1</v>
      </c>
      <c r="C591" s="0" t="s">
        <v>512</v>
      </c>
      <c r="E591" s="0" t="s">
        <v>31</v>
      </c>
      <c r="F591" s="0" t="s">
        <v>513</v>
      </c>
    </row>
    <row r="592" customFormat="false" ht="12.8" hidden="false" customHeight="false" outlineLevel="0" collapsed="false">
      <c r="B592" s="0" t="s">
        <v>8</v>
      </c>
      <c r="C592" s="0" t="s">
        <v>462</v>
      </c>
      <c r="E592" s="0" t="s">
        <v>514</v>
      </c>
      <c r="F592" s="0" t="s">
        <v>515</v>
      </c>
    </row>
    <row r="594" customFormat="false" ht="12.8" hidden="false" customHeight="false" outlineLevel="0" collapsed="false">
      <c r="A594" s="0" t="s">
        <v>516</v>
      </c>
      <c r="B594" s="0" t="str">
        <f aca="false">HYPERLINK("https://lindat.mff.cuni.cz/services/teitok/pdtc10/index.php?action=vallex&amp;frame=v-w211f1", "brousit si (v-w211f1)")</f>
        <v>brousit si (v-w211f1)</v>
      </c>
      <c r="E594" s="0" t="str">
        <f aca="false">HYPERLINK("https://lindat.mff.cuni.cz/services/SynSemClass40/SynSemClass40.html?veclass=vec00117#vec00117-ces-cm00094", "vec00117")</f>
        <v>vec00117</v>
      </c>
      <c r="F594" s="0" t="s">
        <v>517</v>
      </c>
    </row>
    <row r="595" customFormat="false" ht="12.8" hidden="false" customHeight="false" outlineLevel="0" collapsed="false">
      <c r="B595" s="0" t="s">
        <v>1</v>
      </c>
      <c r="C595" s="0" t="s">
        <v>518</v>
      </c>
      <c r="E595" s="0" t="s">
        <v>519</v>
      </c>
      <c r="F595" s="0" t="s">
        <v>520</v>
      </c>
    </row>
    <row r="596" customFormat="false" ht="12.8" hidden="false" customHeight="false" outlineLevel="0" collapsed="false">
      <c r="B596" s="0" t="s">
        <v>521</v>
      </c>
    </row>
    <row r="597" customFormat="false" ht="12.8" hidden="false" customHeight="false" outlineLevel="0" collapsed="false">
      <c r="B597" s="0" t="s">
        <v>45</v>
      </c>
      <c r="C597" s="0" t="s">
        <v>522</v>
      </c>
      <c r="E597" s="0" t="s">
        <v>523</v>
      </c>
      <c r="F597" s="0" t="s">
        <v>524</v>
      </c>
    </row>
    <row r="599" customFormat="false" ht="12.8" hidden="false" customHeight="false" outlineLevel="0" collapsed="false">
      <c r="A599" s="0" t="s">
        <v>525</v>
      </c>
      <c r="B599" s="0" t="str">
        <f aca="false">HYPERLINK("https://lindat.mff.cuni.cz/services/teitok/pdtc10/index.php?action=vallex&amp;frame=v-whsa_1232hsa_1233", "brouzdat (v-whsa_1232hsa_1233)")</f>
        <v>brouzdat (v-whsa_1232hsa_1233)</v>
      </c>
    </row>
    <row r="600" customFormat="false" ht="12.8" hidden="false" customHeight="false" outlineLevel="0" collapsed="false">
      <c r="B600" s="0" t="s">
        <v>1</v>
      </c>
    </row>
    <row r="601" customFormat="false" ht="12.8" hidden="false" customHeight="false" outlineLevel="0" collapsed="false">
      <c r="B601" s="0" t="s">
        <v>8</v>
      </c>
    </row>
    <row r="603" customFormat="false" ht="12.8" hidden="false" customHeight="false" outlineLevel="0" collapsed="false">
      <c r="A603" s="0" t="s">
        <v>526</v>
      </c>
      <c r="B603" s="0" t="str">
        <f aca="false">HYPERLINK("https://lindat.mff.cuni.cz/services/teitok/pdtc10/index.php?action=vallex&amp;frame=v-whsa_1836hsa_1837", "brouzdat se (v-whsa_1836hsa_1837)")</f>
        <v>brouzdat se (v-whsa_1836hsa_1837)</v>
      </c>
    </row>
    <row r="604" customFormat="false" ht="12.8" hidden="false" customHeight="false" outlineLevel="0" collapsed="false">
      <c r="B604" s="0" t="s">
        <v>1</v>
      </c>
    </row>
    <row r="606" customFormat="false" ht="12.8" hidden="false" customHeight="false" outlineLevel="0" collapsed="false">
      <c r="A606" s="0" t="s">
        <v>527</v>
      </c>
      <c r="B606" s="0" t="str">
        <f aca="false">HYPERLINK("https://lindat.mff.cuni.cz/services/teitok/pdtc10/index.php?action=vallex&amp;frame=v-w215f1", "brumlat (v-w215f1)")</f>
        <v>brumlat (v-w215f1)</v>
      </c>
      <c r="E606" s="0" t="str">
        <f aca="false">HYPERLINK("https://lindat.mff.cuni.cz/services/SynSemClass40/SynSemClass40.html?veclass=vec00633#vec00633-ces-cm00006", "vec00633")</f>
        <v>vec00633</v>
      </c>
      <c r="F606" s="0" t="s">
        <v>528</v>
      </c>
      <c r="H606" s="0" t="str">
        <f aca="false">HYPERLINK("https://lindat.mff.cuni.cz/services/SynSemClass40/SynSemClass40.html?veclass=vec01489#vec01489-ces-cm00003", "vec01489")</f>
        <v>vec01489</v>
      </c>
      <c r="I606" s="0" t="s">
        <v>485</v>
      </c>
    </row>
    <row r="607" customFormat="false" ht="12.8" hidden="false" customHeight="false" outlineLevel="0" collapsed="false">
      <c r="B607" s="0" t="s">
        <v>1</v>
      </c>
      <c r="C607" s="0" t="s">
        <v>106</v>
      </c>
      <c r="E607" s="0" t="s">
        <v>147</v>
      </c>
      <c r="F607" s="0" t="s">
        <v>529</v>
      </c>
      <c r="H607" s="0" t="s">
        <v>63</v>
      </c>
      <c r="I607" s="0" t="s">
        <v>488</v>
      </c>
    </row>
    <row r="608" customFormat="false" ht="12.8" hidden="false" customHeight="false" outlineLevel="0" collapsed="false">
      <c r="B608" s="0" t="s">
        <v>530</v>
      </c>
      <c r="C608" s="0" t="s">
        <v>531</v>
      </c>
      <c r="E608" s="0" t="s">
        <v>532</v>
      </c>
      <c r="F608" s="0" t="s">
        <v>533</v>
      </c>
      <c r="H608" s="0" t="s">
        <v>230</v>
      </c>
      <c r="I608" s="0" t="s">
        <v>492</v>
      </c>
    </row>
    <row r="610" customFormat="false" ht="12.8" hidden="false" customHeight="false" outlineLevel="0" collapsed="false">
      <c r="A610" s="0" t="s">
        <v>534</v>
      </c>
      <c r="B610" s="0" t="str">
        <f aca="false">HYPERLINK("https://lindat.mff.cuni.cz/services/teitok/pdtc10/index.php?action=vallex&amp;frame=v-w217f1", "bruslit (v-w217f1)")</f>
        <v>bruslit (v-w217f1)</v>
      </c>
    </row>
    <row r="611" customFormat="false" ht="12.8" hidden="false" customHeight="false" outlineLevel="0" collapsed="false">
      <c r="B611" s="0" t="s">
        <v>1</v>
      </c>
    </row>
    <row r="613" customFormat="false" ht="12.8" hidden="false" customHeight="false" outlineLevel="0" collapsed="false">
      <c r="A613" s="0" t="s">
        <v>535</v>
      </c>
      <c r="B613" s="0" t="str">
        <f aca="false">HYPERLINK("https://lindat.mff.cuni.cz/services/teitok/pdtc10/index.php?action=vallex&amp;frame=v-w217f2_ZU", "bruslit (v-w217f2_ZU)")</f>
        <v>bruslit (v-w217f2_ZU)</v>
      </c>
    </row>
    <row r="614" customFormat="false" ht="12.8" hidden="false" customHeight="false" outlineLevel="0" collapsed="false">
      <c r="B614" s="0" t="s">
        <v>1</v>
      </c>
    </row>
    <row r="615" customFormat="false" ht="12.8" hidden="false" customHeight="false" outlineLevel="0" collapsed="false">
      <c r="B615" s="0" t="s">
        <v>536</v>
      </c>
    </row>
    <row r="617" customFormat="false" ht="12.8" hidden="false" customHeight="false" outlineLevel="0" collapsed="false">
      <c r="A617" s="0" t="s">
        <v>537</v>
      </c>
      <c r="B617" s="0" t="str">
        <f aca="false">HYPERLINK("https://lindat.mff.cuni.cz/services/teitok/pdtc10/index.php?action=vallex&amp;frame=v-whsa_376hsa_377", "bruslívat (v-whsa_376hsa_377)")</f>
        <v>bruslívat (v-whsa_376hsa_377)</v>
      </c>
    </row>
    <row r="618" customFormat="false" ht="12.8" hidden="false" customHeight="false" outlineLevel="0" collapsed="false">
      <c r="B618" s="0" t="s">
        <v>1</v>
      </c>
    </row>
    <row r="620" customFormat="false" ht="12.8" hidden="false" customHeight="false" outlineLevel="0" collapsed="false">
      <c r="A620" s="0" t="s">
        <v>538</v>
      </c>
      <c r="B620" s="0" t="str">
        <f aca="false">HYPERLINK("https://lindat.mff.cuni.cz/services/teitok/pdtc10/index.php?action=vallex&amp;frame=v-w10673f2", "bručet (v-w10673f2)")</f>
        <v>bručet (v-w10673f2)</v>
      </c>
      <c r="E620" s="0" t="str">
        <f aca="false">HYPERLINK("https://lindat.mff.cuni.cz/services/SynSemClass40/SynSemClass40.html?veclass=vec00633#vec00633-ces-cm00007", "vec00633")</f>
        <v>vec00633</v>
      </c>
      <c r="F620" s="0" t="s">
        <v>528</v>
      </c>
      <c r="H620" s="0" t="str">
        <f aca="false">HYPERLINK("https://lindat.mff.cuni.cz/services/SynSemClass40/SynSemClass40.html?veclass=vec01489#vec01489-ces-cm00002", "vec01489")</f>
        <v>vec01489</v>
      </c>
      <c r="I620" s="0" t="s">
        <v>485</v>
      </c>
      <c r="K620" s="0" t="str">
        <f aca="false">HYPERLINK("https://lindat.mff.cuni.cz/services/SynSemClass40/SynSemClass40.html?veclass=vec01540#vec01540-ces-cm00001", "vec01540")</f>
        <v>vec01540</v>
      </c>
      <c r="L620" s="0" t="s">
        <v>539</v>
      </c>
    </row>
    <row r="621" customFormat="false" ht="12.8" hidden="false" customHeight="false" outlineLevel="0" collapsed="false">
      <c r="B621" s="0" t="s">
        <v>1</v>
      </c>
      <c r="C621" s="0" t="s">
        <v>106</v>
      </c>
      <c r="E621" s="0" t="s">
        <v>147</v>
      </c>
      <c r="F621" s="0" t="s">
        <v>529</v>
      </c>
      <c r="H621" s="0" t="s">
        <v>63</v>
      </c>
      <c r="I621" s="0" t="s">
        <v>488</v>
      </c>
      <c r="K621" s="0" t="s">
        <v>155</v>
      </c>
      <c r="L621" s="0" t="s">
        <v>540</v>
      </c>
    </row>
    <row r="622" customFormat="false" ht="12.8" hidden="false" customHeight="false" outlineLevel="0" collapsed="false">
      <c r="B622" s="0" t="s">
        <v>530</v>
      </c>
      <c r="C622" s="0" t="s">
        <v>531</v>
      </c>
      <c r="E622" s="0" t="s">
        <v>532</v>
      </c>
      <c r="F622" s="0" t="s">
        <v>533</v>
      </c>
      <c r="H622" s="0" t="s">
        <v>230</v>
      </c>
      <c r="I622" s="0" t="s">
        <v>492</v>
      </c>
    </row>
    <row r="624" customFormat="false" ht="12.8" hidden="false" customHeight="false" outlineLevel="0" collapsed="false">
      <c r="A624" s="0" t="s">
        <v>541</v>
      </c>
      <c r="B624" s="0" t="str">
        <f aca="false">HYPERLINK("https://lindat.mff.cuni.cz/services/teitok/pdtc10/index.php?action=vallex&amp;frame=v-w220f1", "brzdit (v-w220f1)")</f>
        <v>brzdit (v-w220f1)</v>
      </c>
      <c r="E624" s="0" t="str">
        <f aca="false">HYPERLINK("https://lindat.mff.cuni.cz/services/SynSemClass40/SynSemClass40.html?veclass=vec00486#vec00486-ces-cm00018", "vec00486")</f>
        <v>vec00486</v>
      </c>
      <c r="F624" s="0" t="s">
        <v>542</v>
      </c>
    </row>
    <row r="625" customFormat="false" ht="12.8" hidden="false" customHeight="false" outlineLevel="0" collapsed="false">
      <c r="B625" s="0" t="s">
        <v>1</v>
      </c>
      <c r="C625" s="0" t="s">
        <v>543</v>
      </c>
      <c r="E625" s="0" t="s">
        <v>206</v>
      </c>
      <c r="F625" s="0" t="s">
        <v>544</v>
      </c>
    </row>
    <row r="626" customFormat="false" ht="12.8" hidden="false" customHeight="false" outlineLevel="0" collapsed="false">
      <c r="B626" s="0" t="s">
        <v>8</v>
      </c>
      <c r="C626" s="0" t="s">
        <v>545</v>
      </c>
      <c r="E626" s="0" t="s">
        <v>79</v>
      </c>
      <c r="F626" s="0" t="s">
        <v>546</v>
      </c>
    </row>
    <row r="628" customFormat="false" ht="12.8" hidden="false" customHeight="false" outlineLevel="0" collapsed="false">
      <c r="A628" s="0" t="s">
        <v>547</v>
      </c>
      <c r="B628" s="0" t="str">
        <f aca="false">HYPERLINK("https://lindat.mff.cuni.cz/services/teitok/pdtc10/index.php?action=vallex&amp;frame=v-w220f2", "brzdit (v-w220f2)")</f>
        <v>brzdit (v-w220f2)</v>
      </c>
      <c r="E628" s="0" t="str">
        <f aca="false">HYPERLINK("https://lindat.mff.cuni.cz/services/SynSemClass40/SynSemClass40.html?veclass=vec00392#vec00392-ces-cm00006", "vec00392")</f>
        <v>vec00392</v>
      </c>
      <c r="F628" s="0" t="s">
        <v>548</v>
      </c>
    </row>
    <row r="629" customFormat="false" ht="12.8" hidden="false" customHeight="false" outlineLevel="0" collapsed="false">
      <c r="B629" s="0" t="s">
        <v>1</v>
      </c>
      <c r="C629" s="0" t="s">
        <v>549</v>
      </c>
      <c r="E629" s="0" t="s">
        <v>31</v>
      </c>
      <c r="F629" s="0" t="s">
        <v>550</v>
      </c>
    </row>
    <row r="630" customFormat="false" ht="12.8" hidden="false" customHeight="false" outlineLevel="0" collapsed="false">
      <c r="B630" s="0" t="s">
        <v>98</v>
      </c>
      <c r="C630" s="0" t="s">
        <v>551</v>
      </c>
      <c r="E630" s="0" t="s">
        <v>552</v>
      </c>
      <c r="F630" s="0" t="s">
        <v>553</v>
      </c>
    </row>
    <row r="631" customFormat="false" ht="12.8" hidden="false" customHeight="false" outlineLevel="0" collapsed="false">
      <c r="B631" s="0" t="s">
        <v>554</v>
      </c>
    </row>
    <row r="633" customFormat="false" ht="12.8" hidden="false" customHeight="false" outlineLevel="0" collapsed="false">
      <c r="A633" s="0" t="s">
        <v>555</v>
      </c>
      <c r="B633" s="0" t="str">
        <f aca="false">HYPERLINK("https://lindat.mff.cuni.cz/services/teitok/pdtc10/index.php?action=vallex&amp;frame=v-w198f2", "bránit (v-w198f2)")</f>
        <v>bránit (v-w198f2)</v>
      </c>
      <c r="E633" s="0" t="str">
        <f aca="false">HYPERLINK("https://lindat.mff.cuni.cz/services/SynSemClass40/SynSemClass40.html?veclass=vec00367#vec00367-ces-cm00002", "vec00367")</f>
        <v>vec00367</v>
      </c>
      <c r="F633" s="0" t="s">
        <v>556</v>
      </c>
    </row>
    <row r="634" customFormat="false" ht="12.8" hidden="false" customHeight="false" outlineLevel="0" collapsed="false">
      <c r="B634" s="0" t="s">
        <v>1</v>
      </c>
      <c r="C634" s="0" t="s">
        <v>557</v>
      </c>
      <c r="E634" s="0" t="s">
        <v>206</v>
      </c>
      <c r="F634" s="0" t="s">
        <v>558</v>
      </c>
    </row>
    <row r="635" customFormat="false" ht="12.8" hidden="false" customHeight="false" outlineLevel="0" collapsed="false">
      <c r="B635" s="0" t="s">
        <v>559</v>
      </c>
      <c r="C635" s="0" t="s">
        <v>560</v>
      </c>
      <c r="E635" s="0" t="s">
        <v>561</v>
      </c>
      <c r="F635" s="0" t="s">
        <v>562</v>
      </c>
    </row>
    <row r="636" customFormat="false" ht="12.8" hidden="false" customHeight="false" outlineLevel="0" collapsed="false">
      <c r="B636" s="0" t="s">
        <v>132</v>
      </c>
      <c r="C636" s="0" t="s">
        <v>563</v>
      </c>
      <c r="E636" s="0" t="s">
        <v>564</v>
      </c>
      <c r="F636" s="0" t="s">
        <v>565</v>
      </c>
    </row>
    <row r="638" customFormat="false" ht="12.8" hidden="false" customHeight="false" outlineLevel="0" collapsed="false">
      <c r="A638" s="0" t="s">
        <v>566</v>
      </c>
      <c r="B638" s="0" t="str">
        <f aca="false">HYPERLINK("https://lindat.mff.cuni.cz/services/teitok/pdtc10/index.php?action=vallex&amp;frame=v-w198f3", "bránit (v-w198f3)")</f>
        <v>bránit (v-w198f3)</v>
      </c>
      <c r="E638" s="0" t="str">
        <f aca="false">HYPERLINK("https://lindat.mff.cuni.cz/services/SynSemClass40/SynSemClass40.html?veclass=vec00244#vec00244-ces-cm00003", "vec00244")</f>
        <v>vec00244</v>
      </c>
      <c r="F638" s="0" t="s">
        <v>567</v>
      </c>
    </row>
    <row r="639" customFormat="false" ht="12.8" hidden="false" customHeight="false" outlineLevel="0" collapsed="false">
      <c r="B639" s="0" t="s">
        <v>1</v>
      </c>
      <c r="C639" s="0" t="s">
        <v>568</v>
      </c>
      <c r="E639" s="0" t="s">
        <v>569</v>
      </c>
      <c r="F639" s="0" t="s">
        <v>570</v>
      </c>
    </row>
    <row r="640" customFormat="false" ht="12.8" hidden="false" customHeight="false" outlineLevel="0" collapsed="false">
      <c r="B640" s="0" t="s">
        <v>8</v>
      </c>
      <c r="C640" s="0" t="s">
        <v>571</v>
      </c>
      <c r="E640" s="0" t="s">
        <v>572</v>
      </c>
      <c r="F640" s="0" t="s">
        <v>573</v>
      </c>
    </row>
    <row r="641" customFormat="false" ht="12.8" hidden="false" customHeight="false" outlineLevel="0" collapsed="false">
      <c r="B641" s="0" t="s">
        <v>574</v>
      </c>
      <c r="C641" s="0" t="s">
        <v>575</v>
      </c>
      <c r="E641" s="0" t="s">
        <v>576</v>
      </c>
      <c r="F641" s="0" t="s">
        <v>577</v>
      </c>
    </row>
    <row r="643" customFormat="false" ht="12.8" hidden="false" customHeight="false" outlineLevel="0" collapsed="false">
      <c r="A643" s="0" t="s">
        <v>578</v>
      </c>
      <c r="B643" s="0" t="str">
        <f aca="false">HYPERLINK("https://lindat.mff.cuni.cz/services/teitok/pdtc10/index.php?action=vallex&amp;frame=v-w198f1", "bránit (v-w198f1)")</f>
        <v>bránit (v-w198f1)</v>
      </c>
      <c r="E643" s="0" t="str">
        <f aca="false">HYPERLINK("https://lindat.mff.cuni.cz/services/SynSemClass40/SynSemClass40.html?veclass=vec00174#vec00174-ces-cm00002", "vec00174")</f>
        <v>vec00174</v>
      </c>
      <c r="F643" s="0" t="s">
        <v>325</v>
      </c>
    </row>
    <row r="644" customFormat="false" ht="12.8" hidden="false" customHeight="false" outlineLevel="0" collapsed="false">
      <c r="B644" s="0" t="s">
        <v>1</v>
      </c>
      <c r="C644" s="0" t="s">
        <v>326</v>
      </c>
      <c r="E644" s="0" t="s">
        <v>76</v>
      </c>
      <c r="F644" s="0" t="s">
        <v>327</v>
      </c>
    </row>
    <row r="645" customFormat="false" ht="12.8" hidden="false" customHeight="false" outlineLevel="0" collapsed="false">
      <c r="B645" s="0" t="s">
        <v>186</v>
      </c>
      <c r="C645" s="0" t="s">
        <v>328</v>
      </c>
      <c r="E645" s="0" t="s">
        <v>188</v>
      </c>
      <c r="F645" s="0" t="s">
        <v>329</v>
      </c>
    </row>
    <row r="647" customFormat="false" ht="12.8" hidden="false" customHeight="false" outlineLevel="0" collapsed="false">
      <c r="A647" s="0" t="s">
        <v>579</v>
      </c>
      <c r="B647" s="0" t="str">
        <f aca="false">HYPERLINK("https://lindat.mff.cuni.cz/services/teitok/pdtc10/index.php?action=vallex&amp;frame=v-w199f1", "bránit se (v-w199f1)")</f>
        <v>bránit se (v-w199f1)</v>
      </c>
      <c r="E647" s="0" t="str">
        <f aca="false">HYPERLINK("https://lindat.mff.cuni.cz/services/SynSemClass40/SynSemClass40.html?veclass=vec00024#vec00024-ces-cm00005", "vec00024")</f>
        <v>vec00024</v>
      </c>
      <c r="F647" s="0" t="s">
        <v>580</v>
      </c>
    </row>
    <row r="648" customFormat="false" ht="12.8" hidden="false" customHeight="false" outlineLevel="0" collapsed="false">
      <c r="B648" s="0" t="s">
        <v>1</v>
      </c>
      <c r="C648" s="0" t="s">
        <v>581</v>
      </c>
      <c r="E648" s="0" t="s">
        <v>582</v>
      </c>
      <c r="F648" s="0" t="s">
        <v>583</v>
      </c>
    </row>
    <row r="649" customFormat="false" ht="12.8" hidden="false" customHeight="false" outlineLevel="0" collapsed="false">
      <c r="B649" s="0" t="s">
        <v>584</v>
      </c>
      <c r="C649" s="0" t="s">
        <v>585</v>
      </c>
      <c r="E649" s="0" t="s">
        <v>532</v>
      </c>
      <c r="F649" s="0" t="s">
        <v>586</v>
      </c>
    </row>
    <row r="651" customFormat="false" ht="12.8" hidden="false" customHeight="false" outlineLevel="0" collapsed="false">
      <c r="A651" s="0" t="s">
        <v>587</v>
      </c>
      <c r="B651" s="0" t="str">
        <f aca="false">HYPERLINK("https://lindat.mff.cuni.cz/services/teitok/pdtc10/index.php?action=vallex&amp;frame=v-w202f8", "brát (v-w202f8)")</f>
        <v>brát (v-w202f8)</v>
      </c>
      <c r="E651" s="0" t="str">
        <f aca="false">HYPERLINK("https://lindat.mff.cuni.cz/services/SynSemClass40/SynSemClass40.html?veclass=vec00704#vec00704-ces-cm00030", "vec00704")</f>
        <v>vec00704</v>
      </c>
      <c r="F651" s="0" t="s">
        <v>588</v>
      </c>
      <c r="H651" s="0" t="str">
        <f aca="false">HYPERLINK("https://lindat.mff.cuni.cz/services/SynSemClass40/SynSemClass40.html?veclass=vec01425#vec01425-ces-cm00001", "vec01425")</f>
        <v>vec01425</v>
      </c>
      <c r="I651" s="0" t="s">
        <v>589</v>
      </c>
    </row>
    <row r="652" customFormat="false" ht="12.8" hidden="false" customHeight="false" outlineLevel="0" collapsed="false">
      <c r="B652" s="0" t="s">
        <v>1</v>
      </c>
      <c r="C652" s="0" t="s">
        <v>590</v>
      </c>
      <c r="E652" s="0" t="s">
        <v>31</v>
      </c>
      <c r="F652" s="0" t="s">
        <v>591</v>
      </c>
      <c r="H652" s="0" t="s">
        <v>31</v>
      </c>
      <c r="I652" s="0" t="s">
        <v>592</v>
      </c>
    </row>
    <row r="653" customFormat="false" ht="12.8" hidden="false" customHeight="false" outlineLevel="0" collapsed="false">
      <c r="B653" s="0" t="s">
        <v>8</v>
      </c>
      <c r="C653" s="0" t="s">
        <v>593</v>
      </c>
      <c r="E653" s="0" t="s">
        <v>594</v>
      </c>
      <c r="F653" s="0" t="s">
        <v>595</v>
      </c>
      <c r="H653" s="0" t="s">
        <v>594</v>
      </c>
      <c r="I653" s="0" t="s">
        <v>596</v>
      </c>
    </row>
    <row r="654" customFormat="false" ht="12.8" hidden="false" customHeight="false" outlineLevel="0" collapsed="false">
      <c r="B654" s="0" t="s">
        <v>52</v>
      </c>
      <c r="C654" s="0" t="s">
        <v>597</v>
      </c>
      <c r="E654" s="0" t="s">
        <v>598</v>
      </c>
      <c r="F654" s="0" t="s">
        <v>599</v>
      </c>
      <c r="H654" s="0" t="s">
        <v>598</v>
      </c>
      <c r="I654" s="0" t="s">
        <v>600</v>
      </c>
    </row>
    <row r="656" customFormat="false" ht="12.8" hidden="false" customHeight="false" outlineLevel="0" collapsed="false">
      <c r="A656" s="0" t="s">
        <v>601</v>
      </c>
      <c r="B656" s="0" t="str">
        <f aca="false">HYPERLINK("https://lindat.mff.cuni.cz/services/teitok/pdtc10/index.php?action=vallex&amp;frame=v-w202f42_ZU", "brát (v-w202f42_ZU)")</f>
        <v>brát (v-w202f42_ZU)</v>
      </c>
    </row>
    <row r="657" customFormat="false" ht="12.8" hidden="false" customHeight="false" outlineLevel="0" collapsed="false">
      <c r="B657" s="0" t="s">
        <v>1</v>
      </c>
    </row>
    <row r="658" customFormat="false" ht="12.8" hidden="false" customHeight="false" outlineLevel="0" collapsed="false">
      <c r="B658" s="0" t="s">
        <v>8</v>
      </c>
    </row>
    <row r="659" customFormat="false" ht="12.8" hidden="false" customHeight="false" outlineLevel="0" collapsed="false">
      <c r="B659" s="0" t="s">
        <v>602</v>
      </c>
    </row>
    <row r="661" customFormat="false" ht="12.8" hidden="false" customHeight="false" outlineLevel="0" collapsed="false">
      <c r="A661" s="0" t="s">
        <v>601</v>
      </c>
      <c r="B661" s="0" t="str">
        <f aca="false">HYPERLINK("https://lindat.mff.cuni.cz/services/teitok/pdtc10/index.php?action=vallex&amp;frame=v-w202f4", "brát (v-w202f4) - substituted with v-w202f42_ZU")</f>
        <v>brát (v-w202f4) - substituted with v-w202f42_ZU</v>
      </c>
      <c r="E661" s="0" t="str">
        <f aca="false">HYPERLINK("https://lindat.mff.cuni.cz/services/SynSemClass40/SynSemClass40.html?veclass=vec00532#vec00532-ces-cm00025", "vec00532")</f>
        <v>vec00532</v>
      </c>
      <c r="F661" s="0" t="s">
        <v>603</v>
      </c>
      <c r="H661" s="0" t="str">
        <f aca="false">HYPERLINK("https://lindat.mff.cuni.cz/services/SynSemClass40/SynSemClass40.html?veclass=vec00613#vec00613-ces-cm00128", "vec00613")</f>
        <v>vec00613</v>
      </c>
      <c r="I661" s="0" t="s">
        <v>604</v>
      </c>
    </row>
    <row r="662" customFormat="false" ht="12.8" hidden="false" customHeight="false" outlineLevel="0" collapsed="false">
      <c r="B662" s="0" t="s">
        <v>1</v>
      </c>
      <c r="C662" s="0" t="s">
        <v>605</v>
      </c>
      <c r="E662" s="0" t="s">
        <v>606</v>
      </c>
      <c r="F662" s="0" t="s">
        <v>607</v>
      </c>
      <c r="H662" s="0" t="s">
        <v>31</v>
      </c>
      <c r="I662" s="0" t="s">
        <v>608</v>
      </c>
    </row>
    <row r="663" customFormat="false" ht="12.8" hidden="false" customHeight="false" outlineLevel="0" collapsed="false">
      <c r="B663" s="0" t="s">
        <v>8</v>
      </c>
      <c r="C663" s="0" t="s">
        <v>609</v>
      </c>
      <c r="E663" s="0" t="s">
        <v>610</v>
      </c>
      <c r="F663" s="0" t="s">
        <v>611</v>
      </c>
      <c r="H663" s="0" t="s">
        <v>384</v>
      </c>
      <c r="I663" s="0" t="s">
        <v>612</v>
      </c>
    </row>
    <row r="664" customFormat="false" ht="12.8" hidden="false" customHeight="false" outlineLevel="0" collapsed="false">
      <c r="B664" s="0" t="s">
        <v>602</v>
      </c>
      <c r="C664" s="0" t="s">
        <v>613</v>
      </c>
      <c r="E664" s="0" t="s">
        <v>614</v>
      </c>
      <c r="F664" s="0" t="s">
        <v>615</v>
      </c>
    </row>
    <row r="666" customFormat="false" ht="12.8" hidden="false" customHeight="false" outlineLevel="0" collapsed="false">
      <c r="A666" s="0" t="s">
        <v>616</v>
      </c>
      <c r="B666" s="0" t="str">
        <f aca="false">HYPERLINK("https://lindat.mff.cuni.cz/services/teitok/pdtc10/index.php?action=vallex&amp;frame=v-w202f6", "brát (v-w202f6)")</f>
        <v>brát (v-w202f6)</v>
      </c>
    </row>
    <row r="667" customFormat="false" ht="12.8" hidden="false" customHeight="false" outlineLevel="0" collapsed="false">
      <c r="B667" s="0" t="s">
        <v>1</v>
      </c>
    </row>
    <row r="668" customFormat="false" ht="12.8" hidden="false" customHeight="false" outlineLevel="0" collapsed="false">
      <c r="B668" s="0" t="s">
        <v>8</v>
      </c>
    </row>
    <row r="669" customFormat="false" ht="12.8" hidden="false" customHeight="false" outlineLevel="0" collapsed="false">
      <c r="B669" s="0" t="s">
        <v>602</v>
      </c>
    </row>
    <row r="671" customFormat="false" ht="12.8" hidden="false" customHeight="false" outlineLevel="0" collapsed="false">
      <c r="A671" s="0" t="s">
        <v>617</v>
      </c>
      <c r="B671" s="0" t="str">
        <f aca="false">HYPERLINK("https://lindat.mff.cuni.cz/services/teitok/pdtc10/index.php?action=vallex&amp;frame=v-w202f43_ZU", "brát (v-w202f43_ZU)")</f>
        <v>brát (v-w202f43_ZU)</v>
      </c>
    </row>
    <row r="672" customFormat="false" ht="12.8" hidden="false" customHeight="false" outlineLevel="0" collapsed="false">
      <c r="B672" s="0" t="s">
        <v>1</v>
      </c>
    </row>
    <row r="673" customFormat="false" ht="12.8" hidden="false" customHeight="false" outlineLevel="0" collapsed="false">
      <c r="B673" s="0" t="s">
        <v>59</v>
      </c>
    </row>
    <row r="674" customFormat="false" ht="12.8" hidden="false" customHeight="false" outlineLevel="0" collapsed="false">
      <c r="B674" s="0" t="s">
        <v>618</v>
      </c>
    </row>
    <row r="676" customFormat="false" ht="12.8" hidden="false" customHeight="false" outlineLevel="0" collapsed="false">
      <c r="A676" s="0" t="s">
        <v>617</v>
      </c>
      <c r="B676" s="0" t="str">
        <f aca="false">HYPERLINK("https://lindat.mff.cuni.cz/services/teitok/pdtc10/index.php?action=vallex&amp;frame=v-w202f1", "brát (v-w202f1) - substituted with v-w202f43_ZU")</f>
        <v>brát (v-w202f1) - substituted with v-w202f43_ZU</v>
      </c>
      <c r="E676" s="0" t="str">
        <f aca="false">HYPERLINK("https://lindat.mff.cuni.cz/services/SynSemClass40/SynSemClass40.html?veclass=vec00402#vec00402-ces-cm00001", "vec00402")</f>
        <v>vec00402</v>
      </c>
      <c r="F676" s="0" t="s">
        <v>619</v>
      </c>
    </row>
    <row r="677" customFormat="false" ht="12.8" hidden="false" customHeight="false" outlineLevel="0" collapsed="false">
      <c r="B677" s="0" t="s">
        <v>1</v>
      </c>
      <c r="C677" s="0" t="s">
        <v>620</v>
      </c>
      <c r="E677" s="0" t="s">
        <v>621</v>
      </c>
      <c r="F677" s="0" t="s">
        <v>622</v>
      </c>
    </row>
    <row r="678" customFormat="false" ht="12.8" hidden="false" customHeight="false" outlineLevel="0" collapsed="false">
      <c r="B678" s="0" t="s">
        <v>59</v>
      </c>
      <c r="C678" s="0" t="s">
        <v>623</v>
      </c>
      <c r="E678" s="0" t="s">
        <v>180</v>
      </c>
      <c r="F678" s="0" t="s">
        <v>624</v>
      </c>
    </row>
    <row r="679" customFormat="false" ht="12.8" hidden="false" customHeight="false" outlineLevel="0" collapsed="false">
      <c r="B679" s="0" t="s">
        <v>618</v>
      </c>
      <c r="C679" s="0" t="s">
        <v>625</v>
      </c>
      <c r="E679" s="0" t="s">
        <v>626</v>
      </c>
      <c r="F679" s="0" t="s">
        <v>627</v>
      </c>
    </row>
    <row r="681" customFormat="false" ht="12.8" hidden="false" customHeight="false" outlineLevel="0" collapsed="false">
      <c r="A681" s="0" t="s">
        <v>617</v>
      </c>
      <c r="B681" s="0" t="str">
        <f aca="false">HYPERLINK("https://lindat.mff.cuni.cz/services/teitok/pdtc10/index.php?action=vallex&amp;frame=v-w202f31_ZU", "brát (v-w202f31_ZU) - substituted with v-w202f43_ZU")</f>
        <v>brát (v-w202f31_ZU) - substituted with v-w202f43_ZU</v>
      </c>
    </row>
    <row r="682" customFormat="false" ht="12.8" hidden="false" customHeight="false" outlineLevel="0" collapsed="false">
      <c r="B682" s="0" t="s">
        <v>1</v>
      </c>
    </row>
    <row r="683" customFormat="false" ht="12.8" hidden="false" customHeight="false" outlineLevel="0" collapsed="false">
      <c r="B683" s="0" t="s">
        <v>59</v>
      </c>
    </row>
    <row r="684" customFormat="false" ht="12.8" hidden="false" customHeight="false" outlineLevel="0" collapsed="false">
      <c r="B684" s="0" t="s">
        <v>618</v>
      </c>
    </row>
    <row r="686" customFormat="false" ht="12.8" hidden="false" customHeight="false" outlineLevel="0" collapsed="false">
      <c r="A686" s="0" t="s">
        <v>617</v>
      </c>
      <c r="B686" s="0" t="str">
        <f aca="false">HYPERLINK("https://lindat.mff.cuni.cz/services/teitok/pdtc10/index.php?action=vallex&amp;frame=v-w202hsa_1928", "brát (v-w202hsa_1928) - substituted with v-w202f43_ZU")</f>
        <v>brát (v-w202hsa_1928) - substituted with v-w202f43_ZU</v>
      </c>
    </row>
    <row r="687" customFormat="false" ht="12.8" hidden="false" customHeight="false" outlineLevel="0" collapsed="false">
      <c r="B687" s="0" t="s">
        <v>1</v>
      </c>
    </row>
    <row r="688" customFormat="false" ht="12.8" hidden="false" customHeight="false" outlineLevel="0" collapsed="false">
      <c r="B688" s="0" t="s">
        <v>59</v>
      </c>
    </row>
    <row r="689" customFormat="false" ht="12.8" hidden="false" customHeight="false" outlineLevel="0" collapsed="false">
      <c r="B689" s="0" t="s">
        <v>618</v>
      </c>
    </row>
    <row r="691" customFormat="false" ht="12.8" hidden="false" customHeight="false" outlineLevel="0" collapsed="false">
      <c r="A691" s="0" t="s">
        <v>628</v>
      </c>
      <c r="B691" s="0" t="str">
        <f aca="false">HYPERLINK("https://lindat.mff.cuni.cz/services/teitok/pdtc10/index.php?action=vallex&amp;frame=v-w202f15", "brát (v-w202f15)")</f>
        <v>brát (v-w202f15)</v>
      </c>
    </row>
    <row r="692" customFormat="false" ht="12.8" hidden="false" customHeight="false" outlineLevel="0" collapsed="false">
      <c r="B692" s="0" t="s">
        <v>629</v>
      </c>
    </row>
    <row r="693" customFormat="false" ht="12.8" hidden="false" customHeight="false" outlineLevel="0" collapsed="false">
      <c r="B693" s="0" t="s">
        <v>8</v>
      </c>
    </row>
    <row r="694" customFormat="false" ht="12.8" hidden="false" customHeight="false" outlineLevel="0" collapsed="false">
      <c r="B694" s="0" t="s">
        <v>5</v>
      </c>
    </row>
    <row r="696" customFormat="false" ht="12.8" hidden="false" customHeight="false" outlineLevel="0" collapsed="false">
      <c r="A696" s="0" t="s">
        <v>630</v>
      </c>
      <c r="B696" s="0" t="str">
        <f aca="false">HYPERLINK("https://lindat.mff.cuni.cz/services/teitok/pdtc10/index.php?action=vallex&amp;frame=v-w202f39_ZU", "brát (v-w202f39_ZU)")</f>
        <v>brát (v-w202f39_ZU)</v>
      </c>
    </row>
    <row r="697" customFormat="false" ht="12.8" hidden="false" customHeight="false" outlineLevel="0" collapsed="false">
      <c r="B697" s="0" t="s">
        <v>1</v>
      </c>
    </row>
    <row r="698" customFormat="false" ht="12.8" hidden="false" customHeight="false" outlineLevel="0" collapsed="false">
      <c r="B698" s="0" t="s">
        <v>8</v>
      </c>
    </row>
    <row r="699" customFormat="false" ht="12.8" hidden="false" customHeight="false" outlineLevel="0" collapsed="false">
      <c r="B699" s="0" t="s">
        <v>631</v>
      </c>
    </row>
    <row r="701" customFormat="false" ht="12.8" hidden="false" customHeight="false" outlineLevel="0" collapsed="false">
      <c r="A701" s="0" t="s">
        <v>630</v>
      </c>
      <c r="B701" s="0" t="str">
        <f aca="false">HYPERLINK("https://lindat.mff.cuni.cz/services/teitok/pdtc10/index.php?action=vallex&amp;frame=v-w202f25", "brát (v-w202f25) - substituted with v-w202f39_ZU")</f>
        <v>brát (v-w202f25) - substituted with v-w202f39_ZU</v>
      </c>
    </row>
    <row r="702" customFormat="false" ht="12.8" hidden="false" customHeight="false" outlineLevel="0" collapsed="false">
      <c r="B702" s="0" t="s">
        <v>1</v>
      </c>
    </row>
    <row r="703" customFormat="false" ht="12.8" hidden="false" customHeight="false" outlineLevel="0" collapsed="false">
      <c r="B703" s="0" t="s">
        <v>8</v>
      </c>
    </row>
    <row r="704" customFormat="false" ht="12.8" hidden="false" customHeight="false" outlineLevel="0" collapsed="false">
      <c r="B704" s="0" t="s">
        <v>631</v>
      </c>
    </row>
    <row r="706" customFormat="false" ht="12.8" hidden="false" customHeight="false" outlineLevel="0" collapsed="false">
      <c r="A706" s="0" t="s">
        <v>632</v>
      </c>
      <c r="B706" s="0" t="str">
        <f aca="false">HYPERLINK("https://lindat.mff.cuni.cz/services/teitok/pdtc10/index.php?action=vallex&amp;frame=v-w202f35_ZU", "brát (v-w202f35_ZU)")</f>
        <v>brát (v-w202f35_ZU)</v>
      </c>
    </row>
    <row r="707" customFormat="false" ht="12.8" hidden="false" customHeight="false" outlineLevel="0" collapsed="false">
      <c r="B707" s="0" t="s">
        <v>1</v>
      </c>
    </row>
    <row r="708" customFormat="false" ht="12.8" hidden="false" customHeight="false" outlineLevel="0" collapsed="false">
      <c r="B708" s="0" t="s">
        <v>8</v>
      </c>
    </row>
    <row r="709" customFormat="false" ht="12.8" hidden="false" customHeight="false" outlineLevel="0" collapsed="false">
      <c r="B709" s="0" t="s">
        <v>602</v>
      </c>
    </row>
    <row r="711" customFormat="false" ht="12.8" hidden="false" customHeight="false" outlineLevel="0" collapsed="false">
      <c r="A711" s="0" t="s">
        <v>632</v>
      </c>
      <c r="B711" s="0" t="str">
        <f aca="false">HYPERLINK("https://lindat.mff.cuni.cz/services/teitok/pdtc10/index.php?action=vallex&amp;frame=v-w202f3", "brát (v-w202f3) - substituted with v-w202f35_ZU")</f>
        <v>brát (v-w202f3) - substituted with v-w202f35_ZU</v>
      </c>
    </row>
    <row r="712" customFormat="false" ht="12.8" hidden="false" customHeight="false" outlineLevel="0" collapsed="false">
      <c r="B712" s="0" t="s">
        <v>1</v>
      </c>
    </row>
    <row r="713" customFormat="false" ht="12.8" hidden="false" customHeight="false" outlineLevel="0" collapsed="false">
      <c r="B713" s="0" t="s">
        <v>8</v>
      </c>
    </row>
    <row r="714" customFormat="false" ht="12.8" hidden="false" customHeight="false" outlineLevel="0" collapsed="false">
      <c r="B714" s="0" t="s">
        <v>602</v>
      </c>
    </row>
    <row r="716" customFormat="false" ht="12.8" hidden="false" customHeight="false" outlineLevel="0" collapsed="false">
      <c r="A716" s="0" t="s">
        <v>633</v>
      </c>
      <c r="B716" s="0" t="str">
        <f aca="false">HYPERLINK("https://lindat.mff.cuni.cz/services/teitok/pdtc10/index.php?action=vallex&amp;frame=v-w202f5", "brát (v-w202f5)")</f>
        <v>brát (v-w202f5)</v>
      </c>
    </row>
    <row r="717" customFormat="false" ht="12.8" hidden="false" customHeight="false" outlineLevel="0" collapsed="false">
      <c r="B717" s="0" t="s">
        <v>1</v>
      </c>
    </row>
    <row r="718" customFormat="false" ht="12.8" hidden="false" customHeight="false" outlineLevel="0" collapsed="false">
      <c r="B718" s="0" t="s">
        <v>8</v>
      </c>
    </row>
    <row r="720" customFormat="false" ht="12.8" hidden="false" customHeight="false" outlineLevel="0" collapsed="false">
      <c r="A720" s="0" t="s">
        <v>634</v>
      </c>
      <c r="B720" s="0" t="str">
        <f aca="false">HYPERLINK("https://lindat.mff.cuni.cz/services/teitok/pdtc10/index.php?action=vallex&amp;frame=v-w202f7", "brát (v-w202f7)")</f>
        <v>brát (v-w202f7)</v>
      </c>
    </row>
    <row r="721" customFormat="false" ht="12.8" hidden="false" customHeight="false" outlineLevel="0" collapsed="false">
      <c r="B721" s="0" t="s">
        <v>1</v>
      </c>
    </row>
    <row r="722" customFormat="false" ht="12.8" hidden="false" customHeight="false" outlineLevel="0" collapsed="false">
      <c r="B722" s="0" t="s">
        <v>8</v>
      </c>
    </row>
    <row r="724" customFormat="false" ht="12.8" hidden="false" customHeight="false" outlineLevel="0" collapsed="false">
      <c r="A724" s="0" t="s">
        <v>635</v>
      </c>
      <c r="B724" s="0" t="str">
        <f aca="false">HYPERLINK("https://lindat.mff.cuni.cz/services/teitok/pdtc10/index.php?action=vallex&amp;frame=v-w202f9", "brát (v-w202f9)")</f>
        <v>brát (v-w202f9)</v>
      </c>
      <c r="E724" s="0" t="str">
        <f aca="false">HYPERLINK("https://lindat.mff.cuni.cz/services/SynSemClass40/SynSemClass40.html?veclass=vec01003#vec01003-ces-cm00002", "vec01003")</f>
        <v>vec01003</v>
      </c>
      <c r="F724" s="0" t="s">
        <v>636</v>
      </c>
    </row>
    <row r="725" customFormat="false" ht="12.8" hidden="false" customHeight="false" outlineLevel="0" collapsed="false">
      <c r="B725" s="0" t="s">
        <v>1</v>
      </c>
      <c r="C725" s="0" t="s">
        <v>106</v>
      </c>
      <c r="E725" s="0" t="s">
        <v>637</v>
      </c>
      <c r="F725" s="0" t="s">
        <v>638</v>
      </c>
    </row>
    <row r="726" customFormat="false" ht="12.8" hidden="false" customHeight="false" outlineLevel="0" collapsed="false">
      <c r="B726" s="0" t="s">
        <v>8</v>
      </c>
      <c r="C726" s="0" t="s">
        <v>639</v>
      </c>
      <c r="E726" s="0" t="s">
        <v>640</v>
      </c>
      <c r="F726" s="0" t="s">
        <v>641</v>
      </c>
    </row>
    <row r="727" customFormat="false" ht="12.8" hidden="false" customHeight="false" outlineLevel="0" collapsed="false">
      <c r="B727" s="0" t="s">
        <v>642</v>
      </c>
      <c r="C727" s="0" t="s">
        <v>643</v>
      </c>
      <c r="E727" s="0" t="s">
        <v>644</v>
      </c>
      <c r="F727" s="0" t="s">
        <v>645</v>
      </c>
    </row>
    <row r="728" customFormat="false" ht="12.8" hidden="false" customHeight="false" outlineLevel="0" collapsed="false">
      <c r="B728" s="0" t="s">
        <v>646</v>
      </c>
      <c r="C728" s="0" t="s">
        <v>647</v>
      </c>
      <c r="E728" s="0" t="s">
        <v>644</v>
      </c>
      <c r="F728" s="0" t="s">
        <v>645</v>
      </c>
    </row>
    <row r="729" customFormat="false" ht="12.8" hidden="false" customHeight="false" outlineLevel="0" collapsed="false">
      <c r="B729" s="0" t="s">
        <v>648</v>
      </c>
      <c r="C729" s="0" t="s">
        <v>649</v>
      </c>
      <c r="E729" s="0" t="s">
        <v>644</v>
      </c>
      <c r="F729" s="0" t="s">
        <v>645</v>
      </c>
    </row>
    <row r="730" customFormat="false" ht="12.8" hidden="false" customHeight="false" outlineLevel="0" collapsed="false">
      <c r="B730" s="0" t="s">
        <v>650</v>
      </c>
      <c r="C730" s="0" t="s">
        <v>651</v>
      </c>
      <c r="E730" s="0" t="s">
        <v>644</v>
      </c>
      <c r="F730" s="0" t="s">
        <v>645</v>
      </c>
    </row>
    <row r="731" customFormat="false" ht="12.8" hidden="false" customHeight="false" outlineLevel="0" collapsed="false">
      <c r="B731" s="0" t="s">
        <v>652</v>
      </c>
      <c r="C731" s="0" t="s">
        <v>653</v>
      </c>
      <c r="E731" s="0" t="s">
        <v>644</v>
      </c>
      <c r="F731" s="0" t="s">
        <v>645</v>
      </c>
    </row>
    <row r="733" customFormat="false" ht="12.8" hidden="false" customHeight="false" outlineLevel="0" collapsed="false">
      <c r="A733" s="0" t="s">
        <v>654</v>
      </c>
      <c r="B733" s="0" t="str">
        <f aca="false">HYPERLINK("https://lindat.mff.cuni.cz/services/teitok/pdtc10/index.php?action=vallex&amp;frame=v-w202f11", "brát (v-w202f11)")</f>
        <v>brát (v-w202f11)</v>
      </c>
    </row>
    <row r="734" customFormat="false" ht="12.8" hidden="false" customHeight="false" outlineLevel="0" collapsed="false">
      <c r="B734" s="0" t="s">
        <v>1</v>
      </c>
    </row>
    <row r="735" customFormat="false" ht="12.8" hidden="false" customHeight="false" outlineLevel="0" collapsed="false">
      <c r="B735" s="0" t="s">
        <v>8</v>
      </c>
    </row>
    <row r="737" customFormat="false" ht="12.8" hidden="false" customHeight="false" outlineLevel="0" collapsed="false">
      <c r="A737" s="0" t="s">
        <v>655</v>
      </c>
      <c r="B737" s="0" t="str">
        <f aca="false">HYPERLINK("https://lindat.mff.cuni.cz/services/teitok/pdtc10/index.php?action=vallex&amp;frame=v-w202f41_ZU", "brát (v-w202f41_ZU)")</f>
        <v>brát (v-w202f41_ZU)</v>
      </c>
    </row>
    <row r="738" customFormat="false" ht="12.8" hidden="false" customHeight="false" outlineLevel="0" collapsed="false">
      <c r="B738" s="0" t="s">
        <v>1</v>
      </c>
    </row>
    <row r="739" customFormat="false" ht="12.8" hidden="false" customHeight="false" outlineLevel="0" collapsed="false">
      <c r="B739" s="0" t="s">
        <v>8</v>
      </c>
    </row>
    <row r="741" customFormat="false" ht="12.8" hidden="false" customHeight="false" outlineLevel="0" collapsed="false">
      <c r="A741" s="0" t="s">
        <v>655</v>
      </c>
      <c r="B741" s="0" t="str">
        <f aca="false">HYPERLINK("https://lindat.mff.cuni.cz/services/teitok/pdtc10/index.php?action=vallex&amp;frame=v-w202f27", "brát (v-w202f27) - substituted with v-w202f41_ZU")</f>
        <v>brát (v-w202f27) - substituted with v-w202f41_ZU</v>
      </c>
      <c r="E741" s="0" t="str">
        <f aca="false">HYPERLINK("https://lindat.mff.cuni.cz/services/SynSemClass40/SynSemClass40.html?veclass=vec01004#vec01004-ces-cm00001", "vec01004")</f>
        <v>vec01004</v>
      </c>
      <c r="F741" s="0" t="s">
        <v>656</v>
      </c>
    </row>
    <row r="742" customFormat="false" ht="12.8" hidden="false" customHeight="false" outlineLevel="0" collapsed="false">
      <c r="B742" s="0" t="s">
        <v>1</v>
      </c>
      <c r="C742" s="0" t="s">
        <v>657</v>
      </c>
      <c r="E742" s="0" t="s">
        <v>658</v>
      </c>
      <c r="F742" s="0" t="s">
        <v>659</v>
      </c>
    </row>
    <row r="743" customFormat="false" ht="12.8" hidden="false" customHeight="false" outlineLevel="0" collapsed="false">
      <c r="B743" s="0" t="s">
        <v>8</v>
      </c>
      <c r="C743" s="0" t="s">
        <v>660</v>
      </c>
      <c r="E743" s="0" t="s">
        <v>661</v>
      </c>
      <c r="F743" s="0" t="s">
        <v>662</v>
      </c>
    </row>
    <row r="745" customFormat="false" ht="12.8" hidden="false" customHeight="false" outlineLevel="0" collapsed="false">
      <c r="A745" s="0" t="s">
        <v>663</v>
      </c>
      <c r="B745" s="0" t="str">
        <f aca="false">HYPERLINK("https://lindat.mff.cuni.cz/services/teitok/pdtc10/index.php?action=vallex&amp;frame=v-w202f18", "brát (v-w202f18)")</f>
        <v>brát (v-w202f18)</v>
      </c>
    </row>
    <row r="746" customFormat="false" ht="12.8" hidden="false" customHeight="false" outlineLevel="0" collapsed="false">
      <c r="B746" s="0" t="s">
        <v>1</v>
      </c>
    </row>
    <row r="747" customFormat="false" ht="12.8" hidden="false" customHeight="false" outlineLevel="0" collapsed="false">
      <c r="B747" s="0" t="s">
        <v>45</v>
      </c>
    </row>
    <row r="749" customFormat="false" ht="12.8" hidden="false" customHeight="false" outlineLevel="0" collapsed="false">
      <c r="A749" s="0" t="s">
        <v>664</v>
      </c>
      <c r="B749" s="0" t="str">
        <f aca="false">HYPERLINK("https://lindat.mff.cuni.cz/services/teitok/pdtc10/index.php?action=vallex&amp;frame=v-w202f23", "brát (v-w202f23)")</f>
        <v>brát (v-w202f23)</v>
      </c>
    </row>
    <row r="750" customFormat="false" ht="12.8" hidden="false" customHeight="false" outlineLevel="0" collapsed="false">
      <c r="B750" s="0" t="s">
        <v>1</v>
      </c>
    </row>
    <row r="751" customFormat="false" ht="12.8" hidden="false" customHeight="false" outlineLevel="0" collapsed="false">
      <c r="B751" s="0" t="s">
        <v>665</v>
      </c>
    </row>
    <row r="753" customFormat="false" ht="12.8" hidden="false" customHeight="false" outlineLevel="0" collapsed="false">
      <c r="A753" s="0" t="s">
        <v>666</v>
      </c>
      <c r="B753" s="0" t="str">
        <f aca="false">HYPERLINK("https://lindat.mff.cuni.cz/services/teitok/pdtc10/index.php?action=vallex&amp;frame=v-w202f29_ZU", "brát (v-w202f29_ZU)")</f>
        <v>brát (v-w202f29_ZU)</v>
      </c>
    </row>
    <row r="754" customFormat="false" ht="12.8" hidden="false" customHeight="false" outlineLevel="0" collapsed="false">
      <c r="B754" s="0" t="s">
        <v>1</v>
      </c>
    </row>
    <row r="755" customFormat="false" ht="12.8" hidden="false" customHeight="false" outlineLevel="0" collapsed="false">
      <c r="B755" s="0" t="s">
        <v>8</v>
      </c>
    </row>
    <row r="757" customFormat="false" ht="12.8" hidden="false" customHeight="false" outlineLevel="0" collapsed="false">
      <c r="A757" s="0" t="s">
        <v>667</v>
      </c>
      <c r="B757" s="0" t="str">
        <f aca="false">HYPERLINK("https://lindat.mff.cuni.cz/services/teitok/pdtc10/index.php?action=vallex&amp;frame=v-w202f26", "brát (v-w202f26)")</f>
        <v>brát (v-w202f26)</v>
      </c>
    </row>
    <row r="758" customFormat="false" ht="12.8" hidden="false" customHeight="false" outlineLevel="0" collapsed="false">
      <c r="B758" s="0" t="s">
        <v>1</v>
      </c>
    </row>
    <row r="760" customFormat="false" ht="12.8" hidden="false" customHeight="false" outlineLevel="0" collapsed="false">
      <c r="A760" s="0" t="s">
        <v>668</v>
      </c>
      <c r="B760" s="0" t="str">
        <f aca="false">HYPERLINK("https://lindat.mff.cuni.cz/services/teitok/pdtc10/index.php?action=vallex&amp;frame=v-w202f28", "brát (v-w202f28)")</f>
        <v>brát (v-w202f28)</v>
      </c>
    </row>
    <row r="761" customFormat="false" ht="12.8" hidden="false" customHeight="false" outlineLevel="0" collapsed="false">
      <c r="B761" s="0" t="s">
        <v>629</v>
      </c>
    </row>
    <row r="762" customFormat="false" ht="12.8" hidden="false" customHeight="false" outlineLevel="0" collapsed="false">
      <c r="B762" s="0" t="s">
        <v>669</v>
      </c>
    </row>
    <row r="763" customFormat="false" ht="12.8" hidden="false" customHeight="false" outlineLevel="0" collapsed="false">
      <c r="B763" s="0" t="s">
        <v>52</v>
      </c>
    </row>
    <row r="765" customFormat="false" ht="12.8" hidden="false" customHeight="false" outlineLevel="0" collapsed="false">
      <c r="A765" s="0" t="s">
        <v>670</v>
      </c>
      <c r="B765" s="0" t="str">
        <f aca="false">HYPERLINK("https://lindat.mff.cuni.cz/services/teitok/pdtc10/index.php?action=vallex&amp;frame=v-w202f10", "brát (v-w202f10)")</f>
        <v>brát (v-w202f10)</v>
      </c>
    </row>
    <row r="766" customFormat="false" ht="12.8" hidden="false" customHeight="false" outlineLevel="0" collapsed="false">
      <c r="B766" s="0" t="s">
        <v>1</v>
      </c>
    </row>
    <row r="767" customFormat="false" ht="12.8" hidden="false" customHeight="false" outlineLevel="0" collapsed="false">
      <c r="B767" s="0" t="s">
        <v>671</v>
      </c>
    </row>
    <row r="769" customFormat="false" ht="12.8" hidden="false" customHeight="false" outlineLevel="0" collapsed="false">
      <c r="A769" s="0" t="s">
        <v>672</v>
      </c>
      <c r="B769" s="0" t="str">
        <f aca="false">HYPERLINK("https://lindat.mff.cuni.cz/services/teitok/pdtc10/index.php?action=vallex&amp;frame=v-w202f20", "brát (v-w202f20)")</f>
        <v>brát (v-w202f20)</v>
      </c>
    </row>
    <row r="770" customFormat="false" ht="12.8" hidden="false" customHeight="false" outlineLevel="0" collapsed="false">
      <c r="B770" s="0" t="s">
        <v>1</v>
      </c>
    </row>
    <row r="771" customFormat="false" ht="12.8" hidden="false" customHeight="false" outlineLevel="0" collapsed="false">
      <c r="B771" s="0" t="s">
        <v>673</v>
      </c>
    </row>
    <row r="773" customFormat="false" ht="12.8" hidden="false" customHeight="false" outlineLevel="0" collapsed="false">
      <c r="A773" s="0" t="s">
        <v>674</v>
      </c>
      <c r="B773" s="0" t="str">
        <f aca="false">HYPERLINK("https://lindat.mff.cuni.cz/services/teitok/pdtc10/index.php?action=vallex&amp;frame=v-w202f14", "brát (v-w202f14)")</f>
        <v>brát (v-w202f14)</v>
      </c>
    </row>
    <row r="774" customFormat="false" ht="12.8" hidden="false" customHeight="false" outlineLevel="0" collapsed="false">
      <c r="B774" s="0" t="s">
        <v>1</v>
      </c>
    </row>
    <row r="775" customFormat="false" ht="12.8" hidden="false" customHeight="false" outlineLevel="0" collapsed="false">
      <c r="B775" s="0" t="s">
        <v>675</v>
      </c>
    </row>
    <row r="776" customFormat="false" ht="12.8" hidden="false" customHeight="false" outlineLevel="0" collapsed="false">
      <c r="B776" s="0" t="s">
        <v>59</v>
      </c>
    </row>
    <row r="778" customFormat="false" ht="12.8" hidden="false" customHeight="false" outlineLevel="0" collapsed="false">
      <c r="A778" s="0" t="s">
        <v>676</v>
      </c>
      <c r="B778" s="0" t="str">
        <f aca="false">HYPERLINK("https://lindat.mff.cuni.cz/services/teitok/pdtc10/index.php?action=vallex&amp;frame=v-w202f19", "brát (v-w202f19)")</f>
        <v>brát (v-w202f19)</v>
      </c>
      <c r="E778" s="0" t="str">
        <f aca="false">HYPERLINK("https://lindat.mff.cuni.cz/services/SynSemClass40/SynSemClass40.html?veclass=vec01003#vec01003-ces-cm00001", "vec01003")</f>
        <v>vec01003</v>
      </c>
      <c r="F778" s="0" t="s">
        <v>636</v>
      </c>
    </row>
    <row r="779" customFormat="false" ht="12.8" hidden="false" customHeight="false" outlineLevel="0" collapsed="false">
      <c r="B779" s="0" t="s">
        <v>1</v>
      </c>
      <c r="C779" s="0" t="s">
        <v>106</v>
      </c>
      <c r="E779" s="0" t="s">
        <v>637</v>
      </c>
      <c r="F779" s="0" t="s">
        <v>638</v>
      </c>
    </row>
    <row r="780" customFormat="false" ht="12.8" hidden="false" customHeight="false" outlineLevel="0" collapsed="false">
      <c r="B780" s="0" t="s">
        <v>677</v>
      </c>
      <c r="C780" s="0" t="s">
        <v>678</v>
      </c>
      <c r="E780" s="0" t="s">
        <v>679</v>
      </c>
      <c r="F780" s="0" t="s">
        <v>680</v>
      </c>
    </row>
    <row r="781" customFormat="false" ht="12.8" hidden="false" customHeight="false" outlineLevel="0" collapsed="false">
      <c r="B781" s="0" t="s">
        <v>228</v>
      </c>
      <c r="C781" s="0" t="s">
        <v>639</v>
      </c>
      <c r="E781" s="0" t="s">
        <v>640</v>
      </c>
      <c r="F781" s="0" t="s">
        <v>641</v>
      </c>
    </row>
    <row r="783" customFormat="false" ht="12.8" hidden="false" customHeight="false" outlineLevel="0" collapsed="false">
      <c r="A783" s="0" t="s">
        <v>681</v>
      </c>
      <c r="B783" s="0" t="str">
        <f aca="false">HYPERLINK("https://lindat.mff.cuni.cz/services/teitok/pdtc10/index.php?action=vallex&amp;frame=v-w202f12", "brát (v-w202f12)")</f>
        <v>brát (v-w202f12)</v>
      </c>
    </row>
    <row r="784" customFormat="false" ht="12.8" hidden="false" customHeight="false" outlineLevel="0" collapsed="false">
      <c r="B784" s="0" t="s">
        <v>1</v>
      </c>
    </row>
    <row r="785" customFormat="false" ht="12.8" hidden="false" customHeight="false" outlineLevel="0" collapsed="false">
      <c r="B785" s="0" t="s">
        <v>682</v>
      </c>
    </row>
    <row r="786" customFormat="false" ht="12.8" hidden="false" customHeight="false" outlineLevel="0" collapsed="false">
      <c r="B786" s="0" t="s">
        <v>228</v>
      </c>
    </row>
    <row r="788" customFormat="false" ht="12.8" hidden="false" customHeight="false" outlineLevel="0" collapsed="false">
      <c r="A788" s="0" t="s">
        <v>683</v>
      </c>
      <c r="B788" s="0" t="str">
        <f aca="false">HYPERLINK("https://lindat.mff.cuni.cz/services/teitok/pdtc10/index.php?action=vallex&amp;frame=v-w202f13", "brát (v-w202f13)")</f>
        <v>brát (v-w202f13)</v>
      </c>
    </row>
    <row r="789" customFormat="false" ht="12.8" hidden="false" customHeight="false" outlineLevel="0" collapsed="false">
      <c r="B789" s="0" t="s">
        <v>1</v>
      </c>
    </row>
    <row r="790" customFormat="false" ht="12.8" hidden="false" customHeight="false" outlineLevel="0" collapsed="false">
      <c r="B790" s="0" t="s">
        <v>684</v>
      </c>
    </row>
    <row r="791" customFormat="false" ht="12.8" hidden="false" customHeight="false" outlineLevel="0" collapsed="false">
      <c r="B791" s="0" t="s">
        <v>228</v>
      </c>
    </row>
    <row r="793" customFormat="false" ht="12.8" hidden="false" customHeight="false" outlineLevel="0" collapsed="false">
      <c r="A793" s="0" t="s">
        <v>685</v>
      </c>
      <c r="B793" s="0" t="str">
        <f aca="false">HYPERLINK("https://lindat.mff.cuni.cz/services/teitok/pdtc10/index.php?action=vallex&amp;frame=v-w202f2", "brát (v-w202f2)")</f>
        <v>brát (v-w202f2)</v>
      </c>
      <c r="E793" s="0" t="str">
        <f aca="false">HYPERLINK("https://lindat.mff.cuni.cz/services/SynSemClass40/SynSemClass40.html?veclass=vec00149#vec00149-ces-cm00002", "vec00149")</f>
        <v>vec00149</v>
      </c>
      <c r="F793" s="0" t="s">
        <v>686</v>
      </c>
    </row>
    <row r="794" customFormat="false" ht="12.8" hidden="false" customHeight="false" outlineLevel="0" collapsed="false">
      <c r="B794" s="0" t="s">
        <v>1</v>
      </c>
      <c r="C794" s="0" t="s">
        <v>687</v>
      </c>
      <c r="E794" s="0" t="s">
        <v>621</v>
      </c>
      <c r="F794" s="0" t="s">
        <v>688</v>
      </c>
    </row>
    <row r="795" customFormat="false" ht="12.8" hidden="false" customHeight="false" outlineLevel="0" collapsed="false">
      <c r="B795" s="0" t="s">
        <v>689</v>
      </c>
    </row>
    <row r="796" customFormat="false" ht="12.8" hidden="false" customHeight="false" outlineLevel="0" collapsed="false">
      <c r="B796" s="0" t="s">
        <v>228</v>
      </c>
      <c r="C796" s="0" t="s">
        <v>690</v>
      </c>
      <c r="E796" s="0" t="s">
        <v>209</v>
      </c>
      <c r="F796" s="0" t="s">
        <v>691</v>
      </c>
    </row>
    <row r="798" customFormat="false" ht="12.8" hidden="false" customHeight="false" outlineLevel="0" collapsed="false">
      <c r="A798" s="0" t="s">
        <v>692</v>
      </c>
      <c r="B798" s="0" t="str">
        <f aca="false">HYPERLINK("https://lindat.mff.cuni.cz/services/teitok/pdtc10/index.php?action=vallex&amp;frame=v-w202f24", "brát (v-w202f24)")</f>
        <v>brát (v-w202f24)</v>
      </c>
    </row>
    <row r="799" customFormat="false" ht="12.8" hidden="false" customHeight="false" outlineLevel="0" collapsed="false">
      <c r="B799" s="0" t="s">
        <v>1</v>
      </c>
    </row>
    <row r="800" customFormat="false" ht="12.8" hidden="false" customHeight="false" outlineLevel="0" collapsed="false">
      <c r="B800" s="0" t="s">
        <v>693</v>
      </c>
    </row>
    <row r="801" customFormat="false" ht="12.8" hidden="false" customHeight="false" outlineLevel="0" collapsed="false">
      <c r="B801" s="0" t="s">
        <v>286</v>
      </c>
    </row>
    <row r="803" customFormat="false" ht="12.8" hidden="false" customHeight="false" outlineLevel="0" collapsed="false">
      <c r="A803" s="0" t="s">
        <v>694</v>
      </c>
      <c r="B803" s="0" t="str">
        <f aca="false">HYPERLINK("https://lindat.mff.cuni.cz/services/teitok/pdtc10/index.php?action=vallex&amp;frame=v-w202f22", "brát (v-w202f22)")</f>
        <v>brát (v-w202f22)</v>
      </c>
    </row>
    <row r="804" customFormat="false" ht="12.8" hidden="false" customHeight="false" outlineLevel="0" collapsed="false">
      <c r="B804" s="0" t="s">
        <v>1</v>
      </c>
    </row>
    <row r="805" customFormat="false" ht="12.8" hidden="false" customHeight="false" outlineLevel="0" collapsed="false">
      <c r="B805" s="0" t="s">
        <v>695</v>
      </c>
    </row>
    <row r="806" customFormat="false" ht="12.8" hidden="false" customHeight="false" outlineLevel="0" collapsed="false">
      <c r="B806" s="0" t="s">
        <v>8</v>
      </c>
    </row>
    <row r="808" customFormat="false" ht="12.8" hidden="false" customHeight="false" outlineLevel="0" collapsed="false">
      <c r="A808" s="0" t="s">
        <v>696</v>
      </c>
      <c r="B808" s="0" t="str">
        <f aca="false">HYPERLINK("https://lindat.mff.cuni.cz/services/teitok/pdtc10/index.php?action=vallex&amp;frame=v-w202f34_ZU", "brát (v-w202f34_ZU)")</f>
        <v>brát (v-w202f34_ZU)</v>
      </c>
    </row>
    <row r="809" customFormat="false" ht="12.8" hidden="false" customHeight="false" outlineLevel="0" collapsed="false">
      <c r="B809" s="0" t="s">
        <v>1</v>
      </c>
    </row>
    <row r="810" customFormat="false" ht="12.8" hidden="false" customHeight="false" outlineLevel="0" collapsed="false">
      <c r="B810" s="0" t="s">
        <v>697</v>
      </c>
    </row>
    <row r="811" customFormat="false" ht="12.8" hidden="false" customHeight="false" outlineLevel="0" collapsed="false">
      <c r="B811" s="0" t="s">
        <v>336</v>
      </c>
    </row>
    <row r="813" customFormat="false" ht="12.8" hidden="false" customHeight="false" outlineLevel="0" collapsed="false">
      <c r="A813" s="0" t="s">
        <v>696</v>
      </c>
      <c r="B813" s="0" t="str">
        <f aca="false">HYPERLINK("https://lindat.mff.cuni.cz/services/teitok/pdtc10/index.php?action=vallex&amp;frame=v-w202f21", "brát (v-w202f21) - substituted with v-w202f34_ZU")</f>
        <v>brát (v-w202f21) - substituted with v-w202f34_ZU</v>
      </c>
    </row>
    <row r="814" customFormat="false" ht="12.8" hidden="false" customHeight="false" outlineLevel="0" collapsed="false">
      <c r="B814" s="0" t="s">
        <v>1</v>
      </c>
    </row>
    <row r="815" customFormat="false" ht="12.8" hidden="false" customHeight="false" outlineLevel="0" collapsed="false">
      <c r="B815" s="0" t="s">
        <v>697</v>
      </c>
    </row>
    <row r="816" customFormat="false" ht="12.8" hidden="false" customHeight="false" outlineLevel="0" collapsed="false">
      <c r="B816" s="0" t="s">
        <v>336</v>
      </c>
    </row>
    <row r="818" customFormat="false" ht="12.8" hidden="false" customHeight="false" outlineLevel="0" collapsed="false">
      <c r="A818" s="0" t="s">
        <v>698</v>
      </c>
      <c r="B818" s="0" t="str">
        <f aca="false">HYPERLINK("https://lindat.mff.cuni.cz/services/teitok/pdtc10/index.php?action=vallex&amp;frame=v-w202f17", "brát (v-w202f17)")</f>
        <v>brát (v-w202f17)</v>
      </c>
    </row>
    <row r="819" customFormat="false" ht="12.8" hidden="false" customHeight="false" outlineLevel="0" collapsed="false">
      <c r="B819" s="0" t="s">
        <v>1</v>
      </c>
    </row>
    <row r="820" customFormat="false" ht="12.8" hidden="false" customHeight="false" outlineLevel="0" collapsed="false">
      <c r="B820" s="0" t="s">
        <v>699</v>
      </c>
    </row>
    <row r="822" customFormat="false" ht="12.8" hidden="false" customHeight="false" outlineLevel="0" collapsed="false">
      <c r="A822" s="0" t="s">
        <v>700</v>
      </c>
      <c r="B822" s="0" t="str">
        <f aca="false">HYPERLINK("https://lindat.mff.cuni.cz/services/teitok/pdtc10/index.php?action=vallex&amp;frame=v-w202f16", "brát (v-w202f16)")</f>
        <v>brát (v-w202f16)</v>
      </c>
    </row>
    <row r="823" customFormat="false" ht="12.8" hidden="false" customHeight="false" outlineLevel="0" collapsed="false">
      <c r="B823" s="0" t="s">
        <v>1</v>
      </c>
    </row>
    <row r="824" customFormat="false" ht="12.8" hidden="false" customHeight="false" outlineLevel="0" collapsed="false">
      <c r="B824" s="0" t="s">
        <v>701</v>
      </c>
    </row>
    <row r="826" customFormat="false" ht="12.8" hidden="false" customHeight="false" outlineLevel="0" collapsed="false">
      <c r="A826" s="0" t="s">
        <v>702</v>
      </c>
      <c r="B826" s="0" t="str">
        <f aca="false">HYPERLINK("https://lindat.mff.cuni.cz/services/teitok/pdtc10/index.php?action=vallex&amp;frame=v-w202f30_ZU", "brát (v-w202f30_ZU)")</f>
        <v>brát (v-w202f30_ZU)</v>
      </c>
      <c r="E826" s="0" t="str">
        <f aca="false">HYPERLINK("https://lindat.mff.cuni.cz/services/SynSemClass40/SynSemClass40.html?veclass=vec01005#vec01005-ces-cm00001", "vec01005")</f>
        <v>vec01005</v>
      </c>
      <c r="F826" s="0" t="s">
        <v>703</v>
      </c>
    </row>
    <row r="827" customFormat="false" ht="12.8" hidden="false" customHeight="false" outlineLevel="0" collapsed="false">
      <c r="B827" s="0" t="s">
        <v>1</v>
      </c>
      <c r="E827" s="0" t="s">
        <v>76</v>
      </c>
      <c r="F827" s="0" t="s">
        <v>704</v>
      </c>
    </row>
    <row r="828" customFormat="false" ht="12.8" hidden="false" customHeight="false" outlineLevel="0" collapsed="false">
      <c r="B828" s="0" t="s">
        <v>705</v>
      </c>
    </row>
    <row r="829" customFormat="false" ht="12.8" hidden="false" customHeight="false" outlineLevel="0" collapsed="false">
      <c r="B829" s="0" t="s">
        <v>186</v>
      </c>
      <c r="E829" s="0" t="s">
        <v>706</v>
      </c>
      <c r="F829" s="0" t="s">
        <v>707</v>
      </c>
    </row>
    <row r="831" customFormat="false" ht="12.8" hidden="false" customHeight="false" outlineLevel="0" collapsed="false">
      <c r="A831" s="0" t="s">
        <v>702</v>
      </c>
      <c r="B831" s="0" t="str">
        <f aca="false">HYPERLINK("https://lindat.mff.cuni.cz/services/teitok/pdtc10/index.php?action=vallex&amp;frame=v-w202hsa_1078", "brát (v-w202hsa_1078) - substituted with v-w202f30_ZU")</f>
        <v>brát (v-w202hsa_1078) - substituted with v-w202f30_ZU</v>
      </c>
    </row>
    <row r="832" customFormat="false" ht="12.8" hidden="false" customHeight="false" outlineLevel="0" collapsed="false">
      <c r="B832" s="0" t="s">
        <v>1</v>
      </c>
    </row>
    <row r="833" customFormat="false" ht="12.8" hidden="false" customHeight="false" outlineLevel="0" collapsed="false">
      <c r="B833" s="0" t="s">
        <v>705</v>
      </c>
    </row>
    <row r="834" customFormat="false" ht="12.8" hidden="false" customHeight="false" outlineLevel="0" collapsed="false">
      <c r="B834" s="0" t="s">
        <v>186</v>
      </c>
    </row>
    <row r="836" customFormat="false" ht="12.8" hidden="false" customHeight="false" outlineLevel="0" collapsed="false">
      <c r="A836" s="0" t="s">
        <v>708</v>
      </c>
      <c r="B836" s="0" t="str">
        <f aca="false">HYPERLINK("https://lindat.mff.cuni.cz/services/teitok/pdtc10/index.php?action=vallex&amp;frame=v-w202f33_ZU", "brát (v-w202f33_ZU)")</f>
        <v>brát (v-w202f33_ZU)</v>
      </c>
    </row>
    <row r="837" customFormat="false" ht="12.8" hidden="false" customHeight="false" outlineLevel="0" collapsed="false">
      <c r="B837" s="0" t="s">
        <v>1</v>
      </c>
    </row>
    <row r="838" customFormat="false" ht="12.8" hidden="false" customHeight="false" outlineLevel="0" collapsed="false">
      <c r="B838" s="0" t="s">
        <v>361</v>
      </c>
    </row>
    <row r="840" customFormat="false" ht="12.8" hidden="false" customHeight="false" outlineLevel="0" collapsed="false">
      <c r="A840" s="0" t="s">
        <v>709</v>
      </c>
      <c r="B840" s="0" t="str">
        <f aca="false">HYPERLINK("https://lindat.mff.cuni.cz/services/teitok/pdtc10/index.php?action=vallex&amp;frame=v-w202f36_ZU", "brát (v-w202f36_ZU)")</f>
        <v>brát (v-w202f36_ZU)</v>
      </c>
    </row>
    <row r="841" customFormat="false" ht="12.8" hidden="false" customHeight="false" outlineLevel="0" collapsed="false">
      <c r="B841" s="0" t="s">
        <v>1</v>
      </c>
    </row>
    <row r="842" customFormat="false" ht="12.8" hidden="false" customHeight="false" outlineLevel="0" collapsed="false">
      <c r="B842" s="0" t="s">
        <v>8</v>
      </c>
    </row>
    <row r="844" customFormat="false" ht="12.8" hidden="false" customHeight="false" outlineLevel="0" collapsed="false">
      <c r="A844" s="0" t="s">
        <v>710</v>
      </c>
      <c r="B844" s="0" t="str">
        <f aca="false">HYPERLINK("https://lindat.mff.cuni.cz/services/teitok/pdtc10/index.php?action=vallex&amp;frame=v-w202f37_ZU", "brát (v-w202f37_ZU)")</f>
        <v>brát (v-w202f37_ZU)</v>
      </c>
    </row>
    <row r="845" customFormat="false" ht="12.8" hidden="false" customHeight="false" outlineLevel="0" collapsed="false">
      <c r="B845" s="0" t="s">
        <v>1</v>
      </c>
    </row>
    <row r="846" customFormat="false" ht="12.8" hidden="false" customHeight="false" outlineLevel="0" collapsed="false">
      <c r="B846" s="0" t="s">
        <v>8</v>
      </c>
    </row>
    <row r="848" customFormat="false" ht="12.8" hidden="false" customHeight="false" outlineLevel="0" collapsed="false">
      <c r="A848" s="0" t="s">
        <v>711</v>
      </c>
      <c r="B848" s="0" t="str">
        <f aca="false">HYPERLINK("https://lindat.mff.cuni.cz/services/teitok/pdtc10/index.php?action=vallex&amp;frame=v-w202f38_ZU", "brát (v-w202f38_ZU)")</f>
        <v>brát (v-w202f38_ZU)</v>
      </c>
    </row>
    <row r="849" customFormat="false" ht="12.8" hidden="false" customHeight="false" outlineLevel="0" collapsed="false">
      <c r="B849" s="0" t="s">
        <v>1</v>
      </c>
    </row>
    <row r="850" customFormat="false" ht="12.8" hidden="false" customHeight="false" outlineLevel="0" collapsed="false">
      <c r="B850" s="0" t="s">
        <v>8</v>
      </c>
    </row>
    <row r="852" customFormat="false" ht="12.8" hidden="false" customHeight="false" outlineLevel="0" collapsed="false">
      <c r="A852" s="0" t="s">
        <v>711</v>
      </c>
      <c r="B852" s="0" t="str">
        <f aca="false">HYPERLINK("https://lindat.mff.cuni.cz/services/teitok/pdtc10/index.php?action=vallex&amp;frame=v-w202f32_ZU", "brát (v-w202f32_ZU) - substituted with v-w202f38_ZU")</f>
        <v>brát (v-w202f32_ZU) - substituted with v-w202f38_ZU</v>
      </c>
    </row>
    <row r="853" customFormat="false" ht="12.8" hidden="false" customHeight="false" outlineLevel="0" collapsed="false">
      <c r="B853" s="0" t="s">
        <v>1</v>
      </c>
    </row>
    <row r="854" customFormat="false" ht="12.8" hidden="false" customHeight="false" outlineLevel="0" collapsed="false">
      <c r="B854" s="0" t="s">
        <v>8</v>
      </c>
    </row>
    <row r="856" customFormat="false" ht="12.8" hidden="false" customHeight="false" outlineLevel="0" collapsed="false">
      <c r="A856" s="0" t="s">
        <v>712</v>
      </c>
      <c r="B856" s="0" t="str">
        <f aca="false">HYPERLINK("https://lindat.mff.cuni.cz/services/teitok/pdtc10/index.php?action=vallex&amp;frame=v-w202f44_ZU", "brát (v-w202f44_ZU)")</f>
        <v>brát (v-w202f44_ZU)</v>
      </c>
    </row>
    <row r="857" customFormat="false" ht="12.8" hidden="false" customHeight="false" outlineLevel="0" collapsed="false">
      <c r="B857" s="0" t="s">
        <v>1</v>
      </c>
    </row>
    <row r="858" customFormat="false" ht="12.8" hidden="false" customHeight="false" outlineLevel="0" collapsed="false">
      <c r="B858" s="0" t="s">
        <v>713</v>
      </c>
    </row>
    <row r="860" customFormat="false" ht="12.8" hidden="false" customHeight="false" outlineLevel="0" collapsed="false">
      <c r="A860" s="0" t="s">
        <v>714</v>
      </c>
      <c r="B860" s="0" t="str">
        <f aca="false">HYPERLINK("https://lindat.mff.cuni.cz/services/teitok/pdtc10/index.php?action=vallex&amp;frame=v-w202f45_MM", "brát (v-w202f45_MM)")</f>
        <v>brát (v-w202f45_MM)</v>
      </c>
    </row>
    <row r="861" customFormat="false" ht="12.8" hidden="false" customHeight="false" outlineLevel="0" collapsed="false">
      <c r="B861" s="0" t="s">
        <v>1</v>
      </c>
    </row>
    <row r="862" customFormat="false" ht="12.8" hidden="false" customHeight="false" outlineLevel="0" collapsed="false">
      <c r="B862" s="0" t="s">
        <v>305</v>
      </c>
    </row>
    <row r="864" customFormat="false" ht="12.8" hidden="false" customHeight="false" outlineLevel="0" collapsed="false">
      <c r="A864" s="0" t="s">
        <v>714</v>
      </c>
      <c r="B864" s="0" t="str">
        <f aca="false">HYPERLINK("https://lindat.mff.cuni.cz/services/teitok/pdtc10/index.php?action=vallex&amp;frame=v-w202f40_ZU", "brát (v-w202f40_ZU) - substituted with v-w202f45_MM")</f>
        <v>brát (v-w202f40_ZU) - substituted with v-w202f45_MM</v>
      </c>
    </row>
    <row r="865" customFormat="false" ht="12.8" hidden="false" customHeight="false" outlineLevel="0" collapsed="false">
      <c r="B865" s="0" t="s">
        <v>1</v>
      </c>
    </row>
    <row r="866" customFormat="false" ht="12.8" hidden="false" customHeight="false" outlineLevel="0" collapsed="false">
      <c r="B866" s="0" t="s">
        <v>305</v>
      </c>
    </row>
    <row r="868" customFormat="false" ht="12.8" hidden="false" customHeight="false" outlineLevel="0" collapsed="false">
      <c r="A868" s="0" t="s">
        <v>714</v>
      </c>
      <c r="B868" s="0" t="str">
        <f aca="false">HYPERLINK("https://lindat.mff.cuni.cz/services/teitok/pdtc10/index.php?action=vallex&amp;frame=v-w202hsa_1926", "brát (v-w202hsa_1926) - substituted with v-w202f45_MM")</f>
        <v>brát (v-w202hsa_1926) - substituted with v-w202f45_MM</v>
      </c>
    </row>
    <row r="869" customFormat="false" ht="12.8" hidden="false" customHeight="false" outlineLevel="0" collapsed="false">
      <c r="B869" s="0" t="s">
        <v>1</v>
      </c>
    </row>
    <row r="870" customFormat="false" ht="12.8" hidden="false" customHeight="false" outlineLevel="0" collapsed="false">
      <c r="B870" s="0" t="s">
        <v>305</v>
      </c>
    </row>
    <row r="872" customFormat="false" ht="12.8" hidden="false" customHeight="false" outlineLevel="0" collapsed="false">
      <c r="A872" s="0" t="s">
        <v>715</v>
      </c>
      <c r="B872" s="0" t="str">
        <f aca="false">HYPERLINK("https://lindat.mff.cuni.cz/services/teitok/pdtc10/index.php?action=vallex&amp;frame=v-w202hsa_1927", "brát (v-w202hsa_1927)")</f>
        <v>brát (v-w202hsa_1927)</v>
      </c>
    </row>
    <row r="873" customFormat="false" ht="12.8" hidden="false" customHeight="false" outlineLevel="0" collapsed="false">
      <c r="B873" s="0" t="s">
        <v>1</v>
      </c>
    </row>
    <row r="874" customFormat="false" ht="12.8" hidden="false" customHeight="false" outlineLevel="0" collapsed="false">
      <c r="B874" s="0" t="s">
        <v>8</v>
      </c>
    </row>
    <row r="875" customFormat="false" ht="12.8" hidden="false" customHeight="false" outlineLevel="0" collapsed="false">
      <c r="B875" s="0" t="s">
        <v>631</v>
      </c>
    </row>
    <row r="877" customFormat="false" ht="12.8" hidden="false" customHeight="false" outlineLevel="0" collapsed="false">
      <c r="A877" s="0" t="s">
        <v>716</v>
      </c>
      <c r="B877" s="0" t="str">
        <f aca="false">HYPERLINK("https://lindat.mff.cuni.cz/services/teitok/pdtc10/index.php?action=vallex&amp;frame=v-w203f2", "brát se (v-w203f2)")</f>
        <v>brát se (v-w203f2)</v>
      </c>
    </row>
    <row r="878" customFormat="false" ht="12.8" hidden="false" customHeight="false" outlineLevel="0" collapsed="false">
      <c r="B878" s="0" t="s">
        <v>1</v>
      </c>
    </row>
    <row r="879" customFormat="false" ht="12.8" hidden="false" customHeight="false" outlineLevel="0" collapsed="false">
      <c r="B879" s="0" t="s">
        <v>536</v>
      </c>
    </row>
    <row r="880" customFormat="false" ht="12.8" hidden="false" customHeight="false" outlineLevel="0" collapsed="false">
      <c r="B880" s="0" t="s">
        <v>5</v>
      </c>
    </row>
    <row r="882" customFormat="false" ht="12.8" hidden="false" customHeight="false" outlineLevel="0" collapsed="false">
      <c r="A882" s="0" t="s">
        <v>717</v>
      </c>
      <c r="B882" s="0" t="str">
        <f aca="false">HYPERLINK("https://lindat.mff.cuni.cz/services/teitok/pdtc10/index.php?action=vallex&amp;frame=v-w203f1", "brát se (v-w203f1)")</f>
        <v>brát se (v-w203f1)</v>
      </c>
    </row>
    <row r="883" customFormat="false" ht="12.8" hidden="false" customHeight="false" outlineLevel="0" collapsed="false">
      <c r="B883" s="0" t="s">
        <v>1</v>
      </c>
    </row>
    <row r="884" customFormat="false" ht="12.8" hidden="false" customHeight="false" outlineLevel="0" collapsed="false">
      <c r="B884" s="0" t="s">
        <v>718</v>
      </c>
    </row>
    <row r="886" customFormat="false" ht="12.8" hidden="false" customHeight="false" outlineLevel="0" collapsed="false">
      <c r="A886" s="0" t="s">
        <v>719</v>
      </c>
      <c r="B886" s="0" t="str">
        <f aca="false">HYPERLINK("https://lindat.mff.cuni.cz/services/teitok/pdtc10/index.php?action=vallex&amp;frame=v-w203f3", "brát se (v-w203f3)")</f>
        <v>brát se (v-w203f3)</v>
      </c>
    </row>
    <row r="887" customFormat="false" ht="12.8" hidden="false" customHeight="false" outlineLevel="0" collapsed="false">
      <c r="B887" s="0" t="s">
        <v>1</v>
      </c>
    </row>
    <row r="888" customFormat="false" ht="12.8" hidden="false" customHeight="false" outlineLevel="0" collapsed="false">
      <c r="B888" s="0" t="s">
        <v>5</v>
      </c>
    </row>
    <row r="890" customFormat="false" ht="12.8" hidden="false" customHeight="false" outlineLevel="0" collapsed="false">
      <c r="A890" s="0" t="s">
        <v>720</v>
      </c>
      <c r="B890" s="0" t="str">
        <f aca="false">HYPERLINK("https://lindat.mff.cuni.cz/services/teitok/pdtc10/index.php?action=vallex&amp;frame=v-w203hsa_1930", "brát se (v-w203hsa_1930)")</f>
        <v>brát se (v-w203hsa_1930)</v>
      </c>
    </row>
    <row r="891" customFormat="false" ht="12.8" hidden="false" customHeight="false" outlineLevel="0" collapsed="false">
      <c r="B891" s="0" t="s">
        <v>1</v>
      </c>
    </row>
    <row r="892" customFormat="false" ht="12.8" hidden="false" customHeight="false" outlineLevel="0" collapsed="false">
      <c r="B892" s="0" t="s">
        <v>721</v>
      </c>
    </row>
    <row r="894" customFormat="false" ht="12.8" hidden="false" customHeight="false" outlineLevel="0" collapsed="false">
      <c r="A894" s="0" t="s">
        <v>722</v>
      </c>
      <c r="B894" s="0" t="str">
        <f aca="false">HYPERLINK("https://lindat.mff.cuni.cz/services/teitok/pdtc10/index.php?action=vallex&amp;frame=v-w204f1", "brát si (v-w204f1)")</f>
        <v>brát si (v-w204f1)</v>
      </c>
    </row>
    <row r="895" customFormat="false" ht="12.8" hidden="false" customHeight="false" outlineLevel="0" collapsed="false">
      <c r="B895" s="0" t="s">
        <v>1</v>
      </c>
    </row>
    <row r="896" customFormat="false" ht="12.8" hidden="false" customHeight="false" outlineLevel="0" collapsed="false">
      <c r="B896" s="0" t="s">
        <v>8</v>
      </c>
    </row>
    <row r="897" customFormat="false" ht="12.8" hidden="false" customHeight="false" outlineLevel="0" collapsed="false">
      <c r="B897" s="0" t="s">
        <v>723</v>
      </c>
    </row>
    <row r="899" customFormat="false" ht="12.8" hidden="false" customHeight="false" outlineLevel="0" collapsed="false">
      <c r="A899" s="0" t="s">
        <v>724</v>
      </c>
      <c r="B899" s="0" t="str">
        <f aca="false">HYPERLINK("https://lindat.mff.cuni.cz/services/teitok/pdtc10/index.php?action=vallex&amp;frame=v-w204f2", "brát si (v-w204f2)")</f>
        <v>brát si (v-w204f2)</v>
      </c>
      <c r="E899" s="0" t="str">
        <f aca="false">HYPERLINK("https://lindat.mff.cuni.cz/services/SynSemClass40/SynSemClass40.html?veclass=vec01003#vec01003-ces-cm00003", "vec01003")</f>
        <v>vec01003</v>
      </c>
      <c r="F899" s="0" t="s">
        <v>636</v>
      </c>
    </row>
    <row r="900" customFormat="false" ht="12.8" hidden="false" customHeight="false" outlineLevel="0" collapsed="false">
      <c r="B900" s="0" t="s">
        <v>1</v>
      </c>
      <c r="C900" s="0" t="s">
        <v>106</v>
      </c>
      <c r="E900" s="0" t="s">
        <v>637</v>
      </c>
      <c r="F900" s="0" t="s">
        <v>638</v>
      </c>
    </row>
    <row r="901" customFormat="false" ht="12.8" hidden="false" customHeight="false" outlineLevel="0" collapsed="false">
      <c r="B901" s="0" t="s">
        <v>8</v>
      </c>
      <c r="C901" s="0" t="s">
        <v>639</v>
      </c>
      <c r="E901" s="0" t="s">
        <v>640</v>
      </c>
      <c r="F901" s="0" t="s">
        <v>641</v>
      </c>
    </row>
    <row r="902" customFormat="false" ht="12.8" hidden="false" customHeight="false" outlineLevel="0" collapsed="false">
      <c r="B902" s="0" t="s">
        <v>725</v>
      </c>
      <c r="C902" s="0" t="s">
        <v>726</v>
      </c>
    </row>
    <row r="903" customFormat="false" ht="12.8" hidden="false" customHeight="false" outlineLevel="0" collapsed="false">
      <c r="B903" s="0" t="s">
        <v>642</v>
      </c>
      <c r="C903" s="0" t="s">
        <v>643</v>
      </c>
      <c r="E903" s="0" t="s">
        <v>644</v>
      </c>
      <c r="F903" s="0" t="s">
        <v>645</v>
      </c>
    </row>
    <row r="904" customFormat="false" ht="12.8" hidden="false" customHeight="false" outlineLevel="0" collapsed="false">
      <c r="B904" s="0" t="s">
        <v>646</v>
      </c>
      <c r="C904" s="0" t="s">
        <v>647</v>
      </c>
      <c r="E904" s="0" t="s">
        <v>644</v>
      </c>
      <c r="F904" s="0" t="s">
        <v>645</v>
      </c>
    </row>
    <row r="905" customFormat="false" ht="12.8" hidden="false" customHeight="false" outlineLevel="0" collapsed="false">
      <c r="B905" s="0" t="s">
        <v>648</v>
      </c>
      <c r="C905" s="0" t="s">
        <v>649</v>
      </c>
      <c r="E905" s="0" t="s">
        <v>644</v>
      </c>
      <c r="F905" s="0" t="s">
        <v>645</v>
      </c>
    </row>
    <row r="906" customFormat="false" ht="12.8" hidden="false" customHeight="false" outlineLevel="0" collapsed="false">
      <c r="B906" s="0" t="s">
        <v>650</v>
      </c>
      <c r="C906" s="0" t="s">
        <v>651</v>
      </c>
      <c r="E906" s="0" t="s">
        <v>644</v>
      </c>
      <c r="F906" s="0" t="s">
        <v>645</v>
      </c>
    </row>
    <row r="907" customFormat="false" ht="12.8" hidden="false" customHeight="false" outlineLevel="0" collapsed="false">
      <c r="B907" s="0" t="s">
        <v>652</v>
      </c>
      <c r="C907" s="0" t="s">
        <v>653</v>
      </c>
      <c r="E907" s="0" t="s">
        <v>644</v>
      </c>
      <c r="F907" s="0" t="s">
        <v>645</v>
      </c>
    </row>
    <row r="909" customFormat="false" ht="12.8" hidden="false" customHeight="false" outlineLevel="0" collapsed="false">
      <c r="A909" s="0" t="s">
        <v>727</v>
      </c>
      <c r="B909" s="0" t="str">
        <f aca="false">HYPERLINK("https://lindat.mff.cuni.cz/services/teitok/pdtc10/index.php?action=vallex&amp;frame=v-w204f3", "brát si (v-w204f3)")</f>
        <v>brát si (v-w204f3)</v>
      </c>
    </row>
    <row r="910" customFormat="false" ht="12.8" hidden="false" customHeight="false" outlineLevel="0" collapsed="false">
      <c r="B910" s="0" t="s">
        <v>1</v>
      </c>
    </row>
    <row r="911" customFormat="false" ht="12.8" hidden="false" customHeight="false" outlineLevel="0" collapsed="false">
      <c r="B911" s="0" t="s">
        <v>728</v>
      </c>
    </row>
    <row r="912" customFormat="false" ht="12.8" hidden="false" customHeight="false" outlineLevel="0" collapsed="false">
      <c r="B912" s="0" t="s">
        <v>8</v>
      </c>
    </row>
    <row r="914" customFormat="false" ht="12.8" hidden="false" customHeight="false" outlineLevel="0" collapsed="false">
      <c r="A914" s="0" t="s">
        <v>729</v>
      </c>
      <c r="B914" s="0" t="str">
        <f aca="false">HYPERLINK("https://lindat.mff.cuni.cz/services/teitok/pdtc10/index.php?action=vallex&amp;frame=v-w204f6_ZU", "brát si (v-w204f6_ZU)")</f>
        <v>brát si (v-w204f6_ZU)</v>
      </c>
    </row>
    <row r="915" customFormat="false" ht="12.8" hidden="false" customHeight="false" outlineLevel="0" collapsed="false">
      <c r="B915" s="0" t="s">
        <v>1</v>
      </c>
    </row>
    <row r="916" customFormat="false" ht="12.8" hidden="false" customHeight="false" outlineLevel="0" collapsed="false">
      <c r="B916" s="0" t="s">
        <v>695</v>
      </c>
    </row>
    <row r="917" customFormat="false" ht="12.8" hidden="false" customHeight="false" outlineLevel="0" collapsed="false">
      <c r="B917" s="0" t="s">
        <v>305</v>
      </c>
    </row>
    <row r="919" customFormat="false" ht="12.8" hidden="false" customHeight="false" outlineLevel="0" collapsed="false">
      <c r="A919" s="0" t="s">
        <v>729</v>
      </c>
      <c r="B919" s="0" t="str">
        <f aca="false">HYPERLINK("https://lindat.mff.cuni.cz/services/teitok/pdtc10/index.php?action=vallex&amp;frame=v-w204f5_ZU", "brát si (v-w204f5_ZU) - substituted with v-w204f6_ZU")</f>
        <v>brát si (v-w204f5_ZU) - substituted with v-w204f6_ZU</v>
      </c>
    </row>
    <row r="920" customFormat="false" ht="12.8" hidden="false" customHeight="false" outlineLevel="0" collapsed="false">
      <c r="B920" s="0" t="s">
        <v>1</v>
      </c>
    </row>
    <row r="921" customFormat="false" ht="12.8" hidden="false" customHeight="false" outlineLevel="0" collapsed="false">
      <c r="B921" s="0" t="s">
        <v>695</v>
      </c>
    </row>
    <row r="922" customFormat="false" ht="12.8" hidden="false" customHeight="false" outlineLevel="0" collapsed="false">
      <c r="B922" s="0" t="s">
        <v>305</v>
      </c>
    </row>
    <row r="924" customFormat="false" ht="12.8" hidden="false" customHeight="false" outlineLevel="0" collapsed="false">
      <c r="A924" s="0" t="s">
        <v>730</v>
      </c>
      <c r="B924" s="0" t="str">
        <f aca="false">HYPERLINK("https://lindat.mff.cuni.cz/services/teitok/pdtc10/index.php?action=vallex&amp;frame=v-w204f4_ZU", "brát si (v-w204f4_ZU)")</f>
        <v>brát si (v-w204f4_ZU)</v>
      </c>
      <c r="E924" s="0" t="str">
        <f aca="false">HYPERLINK("https://lindat.mff.cuni.cz/services/SynSemClass40/SynSemClass40.html?veclass=vec00435#vec00435-ces-cm00007", "vec00435")</f>
        <v>vec00435</v>
      </c>
      <c r="F924" s="0" t="s">
        <v>731</v>
      </c>
    </row>
    <row r="925" customFormat="false" ht="12.8" hidden="false" customHeight="false" outlineLevel="0" collapsed="false">
      <c r="B925" s="0" t="s">
        <v>1</v>
      </c>
      <c r="C925" s="0" t="s">
        <v>732</v>
      </c>
      <c r="E925" s="0" t="s">
        <v>147</v>
      </c>
      <c r="F925" s="0" t="s">
        <v>733</v>
      </c>
    </row>
    <row r="926" customFormat="false" ht="12.8" hidden="false" customHeight="false" outlineLevel="0" collapsed="false">
      <c r="B926" s="0" t="s">
        <v>734</v>
      </c>
    </row>
    <row r="928" customFormat="false" ht="12.8" hidden="false" customHeight="false" outlineLevel="0" collapsed="false">
      <c r="A928" s="0" t="s">
        <v>735</v>
      </c>
      <c r="B928" s="0" t="str">
        <f aca="false">HYPERLINK("https://lindat.mff.cuni.cz/services/teitok/pdtc10/index.php?action=vallex&amp;frame=v-w204hsa_1475", "brát si (v-w204hsa_1475)")</f>
        <v>brát si (v-w204hsa_1475)</v>
      </c>
    </row>
    <row r="929" customFormat="false" ht="12.8" hidden="false" customHeight="false" outlineLevel="0" collapsed="false">
      <c r="B929" s="0" t="s">
        <v>1</v>
      </c>
    </row>
    <row r="930" customFormat="false" ht="12.8" hidden="false" customHeight="false" outlineLevel="0" collapsed="false">
      <c r="B930" s="0" t="s">
        <v>8</v>
      </c>
    </row>
    <row r="931" customFormat="false" ht="12.8" hidden="false" customHeight="false" outlineLevel="0" collapsed="false">
      <c r="B931" s="0" t="s">
        <v>602</v>
      </c>
    </row>
    <row r="933" customFormat="false" ht="12.8" hidden="false" customHeight="false" outlineLevel="0" collapsed="false">
      <c r="A933" s="0" t="s">
        <v>736</v>
      </c>
      <c r="B933" s="0" t="str">
        <f aca="false">HYPERLINK("https://lindat.mff.cuni.cz/services/teitok/pdtc10/index.php?action=vallex&amp;frame=v-w204hsa_1476", "brát si (v-w204hsa_1476)")</f>
        <v>brát si (v-w204hsa_1476)</v>
      </c>
    </row>
    <row r="934" customFormat="false" ht="12.8" hidden="false" customHeight="false" outlineLevel="0" collapsed="false">
      <c r="B934" s="0" t="s">
        <v>1</v>
      </c>
    </row>
    <row r="935" customFormat="false" ht="12.8" hidden="false" customHeight="false" outlineLevel="0" collapsed="false">
      <c r="B935" s="0" t="s">
        <v>8</v>
      </c>
    </row>
    <row r="937" customFormat="false" ht="12.8" hidden="false" customHeight="false" outlineLevel="0" collapsed="false">
      <c r="A937" s="0" t="s">
        <v>737</v>
      </c>
      <c r="B937" s="0" t="str">
        <f aca="false">HYPERLINK("https://lindat.mff.cuni.cz/services/teitok/pdtc10/index.php?action=vallex&amp;frame=v-whsa_1346hsa_1347", "brávat (v-whsa_1346hsa_1347)")</f>
        <v>brávat (v-whsa_1346hsa_1347)</v>
      </c>
    </row>
    <row r="938" customFormat="false" ht="12.8" hidden="false" customHeight="false" outlineLevel="0" collapsed="false">
      <c r="B938" s="0" t="s">
        <v>1</v>
      </c>
    </row>
    <row r="939" customFormat="false" ht="12.8" hidden="false" customHeight="false" outlineLevel="0" collapsed="false">
      <c r="B939" s="0" t="s">
        <v>8</v>
      </c>
    </row>
    <row r="941" customFormat="false" ht="12.8" hidden="false" customHeight="false" outlineLevel="0" collapsed="false">
      <c r="A941" s="0" t="s">
        <v>738</v>
      </c>
      <c r="B941" s="0" t="str">
        <f aca="false">HYPERLINK("https://lindat.mff.cuni.cz/services/teitok/pdtc10/index.php?action=vallex&amp;frame=v-w205f1", "brázdit (v-w205f1)")</f>
        <v>brázdit (v-w205f1)</v>
      </c>
    </row>
    <row r="942" customFormat="false" ht="12.8" hidden="false" customHeight="false" outlineLevel="0" collapsed="false">
      <c r="B942" s="0" t="s">
        <v>1</v>
      </c>
    </row>
    <row r="943" customFormat="false" ht="12.8" hidden="false" customHeight="false" outlineLevel="0" collapsed="false">
      <c r="B943" s="0" t="s">
        <v>8</v>
      </c>
    </row>
    <row r="945" customFormat="false" ht="12.8" hidden="false" customHeight="false" outlineLevel="0" collapsed="false">
      <c r="A945" s="0" t="s">
        <v>739</v>
      </c>
      <c r="B945" s="0" t="str">
        <f aca="false">HYPERLINK("https://lindat.mff.cuni.cz/services/teitok/pdtc10/index.php?action=vallex&amp;frame=v-w205f2", "brázdit (v-w205f2)")</f>
        <v>brázdit (v-w205f2)</v>
      </c>
    </row>
    <row r="946" customFormat="false" ht="12.8" hidden="false" customHeight="false" outlineLevel="0" collapsed="false">
      <c r="B946" s="0" t="s">
        <v>1</v>
      </c>
    </row>
    <row r="947" customFormat="false" ht="12.8" hidden="false" customHeight="false" outlineLevel="0" collapsed="false">
      <c r="B947" s="0" t="s">
        <v>8</v>
      </c>
    </row>
    <row r="949" customFormat="false" ht="12.8" hidden="false" customHeight="false" outlineLevel="0" collapsed="false">
      <c r="A949" s="0" t="s">
        <v>740</v>
      </c>
      <c r="B949" s="0" t="str">
        <f aca="false">HYPERLINK("https://lindat.mff.cuni.cz/services/teitok/pdtc10/index.php?action=vallex&amp;frame=v-w222f1", "bubnovat (v-w222f1)")</f>
        <v>bubnovat (v-w222f1)</v>
      </c>
    </row>
    <row r="950" customFormat="false" ht="12.8" hidden="false" customHeight="false" outlineLevel="0" collapsed="false">
      <c r="B950" s="0" t="s">
        <v>1</v>
      </c>
    </row>
    <row r="952" customFormat="false" ht="12.8" hidden="false" customHeight="false" outlineLevel="0" collapsed="false">
      <c r="A952" s="0" t="s">
        <v>741</v>
      </c>
      <c r="B952" s="0" t="str">
        <f aca="false">HYPERLINK("https://lindat.mff.cuni.cz/services/teitok/pdtc10/index.php?action=vallex&amp;frame=v-w224f2", "budit (v-w224f2)")</f>
        <v>budit (v-w224f2)</v>
      </c>
      <c r="E952" s="0" t="str">
        <f aca="false">HYPERLINK("https://lindat.mff.cuni.cz/services/SynSemClass40/SynSemClass40.html?veclass=vec01471#vec01471-ces-cm00001", "vec01471")</f>
        <v>vec01471</v>
      </c>
      <c r="F952" s="0" t="s">
        <v>742</v>
      </c>
    </row>
    <row r="953" customFormat="false" ht="12.8" hidden="false" customHeight="false" outlineLevel="0" collapsed="false">
      <c r="B953" s="0" t="s">
        <v>1</v>
      </c>
      <c r="C953" s="0" t="s">
        <v>459</v>
      </c>
      <c r="E953" s="0" t="s">
        <v>76</v>
      </c>
      <c r="F953" s="0" t="s">
        <v>743</v>
      </c>
    </row>
    <row r="954" customFormat="false" ht="12.8" hidden="false" customHeight="false" outlineLevel="0" collapsed="false">
      <c r="B954" s="0" t="s">
        <v>8</v>
      </c>
      <c r="C954" s="0" t="s">
        <v>744</v>
      </c>
      <c r="E954" s="0" t="s">
        <v>142</v>
      </c>
      <c r="F954" s="0" t="s">
        <v>745</v>
      </c>
    </row>
    <row r="955" customFormat="false" ht="12.8" hidden="false" customHeight="false" outlineLevel="0" collapsed="false">
      <c r="B955" s="0" t="s">
        <v>36</v>
      </c>
      <c r="E955" s="0" t="s">
        <v>746</v>
      </c>
      <c r="F955" s="0" t="s">
        <v>747</v>
      </c>
    </row>
    <row r="957" customFormat="false" ht="12.8" hidden="false" customHeight="false" outlineLevel="0" collapsed="false">
      <c r="A957" s="0" t="s">
        <v>748</v>
      </c>
      <c r="B957" s="0" t="str">
        <f aca="false">HYPERLINK("https://lindat.mff.cuni.cz/services/teitok/pdtc10/index.php?action=vallex&amp;frame=v-w224hsa_390", "budit (v-w224hsa_390)")</f>
        <v>budit (v-w224hsa_390)</v>
      </c>
      <c r="E957" s="0" t="str">
        <f aca="false">HYPERLINK("https://lindat.mff.cuni.cz/services/SynSemClass40/SynSemClass40.html?veclass=vec00196#vec00196-ces-cm00004", "vec00196")</f>
        <v>vec00196</v>
      </c>
      <c r="F957" s="0" t="s">
        <v>749</v>
      </c>
    </row>
    <row r="958" customFormat="false" ht="12.8" hidden="false" customHeight="false" outlineLevel="0" collapsed="false">
      <c r="B958" s="0" t="s">
        <v>1</v>
      </c>
      <c r="C958" s="0" t="s">
        <v>750</v>
      </c>
      <c r="E958" s="0" t="s">
        <v>76</v>
      </c>
      <c r="F958" s="0" t="s">
        <v>751</v>
      </c>
    </row>
    <row r="959" customFormat="false" ht="12.8" hidden="false" customHeight="false" outlineLevel="0" collapsed="false">
      <c r="B959" s="0" t="s">
        <v>752</v>
      </c>
      <c r="C959" s="0" t="s">
        <v>753</v>
      </c>
      <c r="E959" s="0" t="s">
        <v>754</v>
      </c>
      <c r="F959" s="0" t="s">
        <v>755</v>
      </c>
    </row>
    <row r="960" customFormat="false" ht="12.8" hidden="false" customHeight="false" outlineLevel="0" collapsed="false">
      <c r="B960" s="0" t="s">
        <v>5</v>
      </c>
      <c r="C960" s="0" t="s">
        <v>756</v>
      </c>
      <c r="E960" s="0" t="s">
        <v>757</v>
      </c>
      <c r="F960" s="0" t="s">
        <v>758</v>
      </c>
    </row>
    <row r="962" customFormat="false" ht="12.8" hidden="false" customHeight="false" outlineLevel="0" collapsed="false">
      <c r="A962" s="0" t="s">
        <v>748</v>
      </c>
      <c r="B962" s="0" t="str">
        <f aca="false">HYPERLINK("https://lindat.mff.cuni.cz/services/teitok/pdtc10/index.php?action=vallex&amp;frame=v-w224f1", "budit (v-w224f1) - substituted with v-w224hsa_390")</f>
        <v>budit (v-w224f1) - substituted with v-w224hsa_390</v>
      </c>
    </row>
    <row r="963" customFormat="false" ht="12.8" hidden="false" customHeight="false" outlineLevel="0" collapsed="false">
      <c r="B963" s="0" t="s">
        <v>1</v>
      </c>
    </row>
    <row r="964" customFormat="false" ht="12.8" hidden="false" customHeight="false" outlineLevel="0" collapsed="false">
      <c r="B964" s="0" t="s">
        <v>752</v>
      </c>
    </row>
    <row r="965" customFormat="false" ht="12.8" hidden="false" customHeight="false" outlineLevel="0" collapsed="false">
      <c r="B965" s="0" t="s">
        <v>5</v>
      </c>
    </row>
    <row r="967" customFormat="false" ht="12.8" hidden="false" customHeight="false" outlineLevel="0" collapsed="false">
      <c r="A967" s="0" t="s">
        <v>748</v>
      </c>
      <c r="B967" s="0" t="str">
        <f aca="false">HYPERLINK("https://lindat.mff.cuni.cz/services/teitok/pdtc10/index.php?action=vallex&amp;frame=v-w224f3_ZU", "budit (v-w224f3_ZU) - substituted with v-w224hsa_390")</f>
        <v>budit (v-w224f3_ZU) - substituted with v-w224hsa_390</v>
      </c>
    </row>
    <row r="968" customFormat="false" ht="12.8" hidden="false" customHeight="false" outlineLevel="0" collapsed="false">
      <c r="B968" s="0" t="s">
        <v>1</v>
      </c>
    </row>
    <row r="969" customFormat="false" ht="12.8" hidden="false" customHeight="false" outlineLevel="0" collapsed="false">
      <c r="B969" s="0" t="s">
        <v>752</v>
      </c>
    </row>
    <row r="970" customFormat="false" ht="12.8" hidden="false" customHeight="false" outlineLevel="0" collapsed="false">
      <c r="B970" s="0" t="s">
        <v>5</v>
      </c>
    </row>
    <row r="972" customFormat="false" ht="12.8" hidden="false" customHeight="false" outlineLevel="0" collapsed="false">
      <c r="A972" s="0" t="s">
        <v>759</v>
      </c>
      <c r="B972" s="0" t="str">
        <f aca="false">HYPERLINK("https://lindat.mff.cuni.cz/services/teitok/pdtc10/index.php?action=vallex&amp;frame=v-w225f1", "budit se (v-w225f1)")</f>
        <v>budit se (v-w225f1)</v>
      </c>
      <c r="E972" s="0" t="str">
        <f aca="false">HYPERLINK("https://lindat.mff.cuni.cz/services/SynSemClass40/SynSemClass40.html?veclass=vec00880#vec00880-ces-cm00009", "vec00880")</f>
        <v>vec00880</v>
      </c>
      <c r="F972" s="0" t="s">
        <v>760</v>
      </c>
    </row>
    <row r="973" customFormat="false" ht="12.8" hidden="false" customHeight="false" outlineLevel="0" collapsed="false">
      <c r="B973" s="0" t="s">
        <v>1</v>
      </c>
      <c r="C973" s="0" t="s">
        <v>761</v>
      </c>
      <c r="E973" s="0" t="s">
        <v>11</v>
      </c>
      <c r="F973" s="0" t="s">
        <v>762</v>
      </c>
    </row>
    <row r="974" customFormat="false" ht="12.8" hidden="false" customHeight="false" outlineLevel="0" collapsed="false">
      <c r="B974" s="0" t="s">
        <v>763</v>
      </c>
      <c r="E974" s="0" t="s">
        <v>354</v>
      </c>
      <c r="F974" s="0" t="s">
        <v>764</v>
      </c>
    </row>
    <row r="976" customFormat="false" ht="12.8" hidden="false" customHeight="false" outlineLevel="0" collapsed="false">
      <c r="A976" s="0" t="s">
        <v>765</v>
      </c>
      <c r="B976" s="0" t="str">
        <f aca="false">HYPERLINK("https://lindat.mff.cuni.cz/services/teitok/pdtc10/index.php?action=vallex&amp;frame=v-w228f2", "budovat (v-w228f2)")</f>
        <v>budovat (v-w228f2)</v>
      </c>
      <c r="E976" s="0" t="str">
        <f aca="false">HYPERLINK("https://lindat.mff.cuni.cz/services/SynSemClass40/SynSemClass40.html?veclass=vec01118#vec01118-ces-cm00003", "vec01118")</f>
        <v>vec01118</v>
      </c>
      <c r="F976" s="0" t="s">
        <v>766</v>
      </c>
    </row>
    <row r="977" customFormat="false" ht="12.8" hidden="false" customHeight="false" outlineLevel="0" collapsed="false">
      <c r="B977" s="0" t="s">
        <v>1</v>
      </c>
      <c r="C977" s="0" t="s">
        <v>767</v>
      </c>
      <c r="E977" s="0" t="s">
        <v>768</v>
      </c>
      <c r="F977" s="0" t="s">
        <v>769</v>
      </c>
    </row>
    <row r="978" customFormat="false" ht="12.8" hidden="false" customHeight="false" outlineLevel="0" collapsed="false">
      <c r="B978" s="0" t="s">
        <v>8</v>
      </c>
      <c r="C978" s="0" t="s">
        <v>770</v>
      </c>
      <c r="E978" s="0" t="s">
        <v>771</v>
      </c>
      <c r="F978" s="0" t="s">
        <v>772</v>
      </c>
    </row>
    <row r="979" customFormat="false" ht="12.8" hidden="false" customHeight="false" outlineLevel="0" collapsed="false">
      <c r="B979" s="0" t="s">
        <v>773</v>
      </c>
      <c r="C979" s="0" t="s">
        <v>774</v>
      </c>
      <c r="E979" s="0" t="s">
        <v>775</v>
      </c>
      <c r="F979" s="0" t="s">
        <v>776</v>
      </c>
    </row>
    <row r="981" customFormat="false" ht="12.8" hidden="false" customHeight="false" outlineLevel="0" collapsed="false">
      <c r="A981" s="0" t="s">
        <v>777</v>
      </c>
      <c r="B981" s="0" t="str">
        <f aca="false">HYPERLINK("https://lindat.mff.cuni.cz/services/teitok/pdtc10/index.php?action=vallex&amp;frame=v-w228f1", "budovat (v-w228f1)")</f>
        <v>budovat (v-w228f1)</v>
      </c>
      <c r="E981" s="0" t="str">
        <f aca="false">HYPERLINK("https://lindat.mff.cuni.cz/services/SynSemClass40/SynSemClass40.html?veclass=vec00084#vec00084-ces-cm00003", "vec00084")</f>
        <v>vec00084</v>
      </c>
      <c r="F981" s="0" t="s">
        <v>778</v>
      </c>
      <c r="H981" s="0" t="str">
        <f aca="false">HYPERLINK("https://lindat.mff.cuni.cz/services/SynSemClass40/SynSemClass40.html?veclass=vec00179#vec00179-ces-cm00002", "vec00179")</f>
        <v>vec00179</v>
      </c>
      <c r="I981" s="0" t="s">
        <v>779</v>
      </c>
    </row>
    <row r="982" customFormat="false" ht="12.8" hidden="false" customHeight="false" outlineLevel="0" collapsed="false">
      <c r="B982" s="0" t="s">
        <v>1</v>
      </c>
      <c r="C982" s="0" t="s">
        <v>780</v>
      </c>
      <c r="E982" s="0" t="s">
        <v>31</v>
      </c>
      <c r="F982" s="0" t="s">
        <v>781</v>
      </c>
      <c r="H982" s="0" t="s">
        <v>768</v>
      </c>
      <c r="I982" s="0" t="s">
        <v>782</v>
      </c>
    </row>
    <row r="983" customFormat="false" ht="12.8" hidden="false" customHeight="false" outlineLevel="0" collapsed="false">
      <c r="B983" s="0" t="s">
        <v>8</v>
      </c>
      <c r="C983" s="0" t="s">
        <v>783</v>
      </c>
      <c r="E983" s="0" t="s">
        <v>771</v>
      </c>
      <c r="F983" s="0" t="s">
        <v>784</v>
      </c>
      <c r="H983" s="0" t="s">
        <v>771</v>
      </c>
      <c r="I983" s="0" t="s">
        <v>785</v>
      </c>
    </row>
    <row r="984" customFormat="false" ht="12.8" hidden="false" customHeight="false" outlineLevel="0" collapsed="false">
      <c r="B984" s="0" t="s">
        <v>36</v>
      </c>
      <c r="C984" s="0" t="s">
        <v>786</v>
      </c>
      <c r="E984" s="0" t="s">
        <v>787</v>
      </c>
      <c r="F984" s="0" t="s">
        <v>788</v>
      </c>
      <c r="H984" s="0" t="s">
        <v>787</v>
      </c>
      <c r="I984" s="0" t="s">
        <v>789</v>
      </c>
    </row>
    <row r="986" customFormat="false" ht="12.8" hidden="false" customHeight="false" outlineLevel="0" collapsed="false">
      <c r="A986" s="0" t="s">
        <v>790</v>
      </c>
      <c r="B986" s="0" t="str">
        <f aca="false">HYPERLINK("https://lindat.mff.cuni.cz/services/teitok/pdtc10/index.php?action=vallex&amp;frame=v-w231f1", "bujet (v-w231f1)")</f>
        <v>bujet (v-w231f1)</v>
      </c>
    </row>
    <row r="987" customFormat="false" ht="12.8" hidden="false" customHeight="false" outlineLevel="0" collapsed="false">
      <c r="B987" s="0" t="s">
        <v>1</v>
      </c>
    </row>
    <row r="989" customFormat="false" ht="12.8" hidden="false" customHeight="false" outlineLevel="0" collapsed="false">
      <c r="A989" s="0" t="s">
        <v>791</v>
      </c>
      <c r="B989" s="0" t="str">
        <f aca="false">HYPERLINK("https://lindat.mff.cuni.cz/services/teitok/pdtc10/index.php?action=vallex&amp;frame=v-w234f1", "burcovat (v-w234f1)")</f>
        <v>burcovat (v-w234f1)</v>
      </c>
    </row>
    <row r="990" customFormat="false" ht="12.8" hidden="false" customHeight="false" outlineLevel="0" collapsed="false">
      <c r="B990" s="0" t="s">
        <v>1</v>
      </c>
    </row>
    <row r="991" customFormat="false" ht="12.8" hidden="false" customHeight="false" outlineLevel="0" collapsed="false">
      <c r="B991" s="0" t="s">
        <v>98</v>
      </c>
    </row>
    <row r="992" customFormat="false" ht="12.8" hidden="false" customHeight="false" outlineLevel="0" collapsed="false">
      <c r="B992" s="0" t="s">
        <v>99</v>
      </c>
    </row>
    <row r="994" customFormat="false" ht="12.8" hidden="false" customHeight="false" outlineLevel="0" collapsed="false">
      <c r="A994" s="0" t="s">
        <v>792</v>
      </c>
      <c r="B994" s="0" t="str">
        <f aca="false">HYPERLINK("https://lindat.mff.cuni.cz/services/teitok/pdtc10/index.php?action=vallex&amp;frame=v-w232f1", "burácet (v-w232f1)")</f>
        <v>burácet (v-w232f1)</v>
      </c>
      <c r="E994" s="0" t="str">
        <f aca="false">HYPERLINK("https://lindat.mff.cuni.cz/services/SynSemClass40/SynSemClass40.html?veclass=vec01348#vec01348-ces-cm00001", "vec01348")</f>
        <v>vec01348</v>
      </c>
      <c r="F994" s="0" t="s">
        <v>793</v>
      </c>
      <c r="H994" s="0" t="str">
        <f aca="false">HYPERLINK("https://lindat.mff.cuni.cz/services/SynSemClass40/SynSemClass40.html?veclass=vec01487#vec01487-ces-cm00004", "vec01487")</f>
        <v>vec01487</v>
      </c>
      <c r="I994" s="0" t="s">
        <v>470</v>
      </c>
    </row>
    <row r="995" customFormat="false" ht="12.8" hidden="false" customHeight="false" outlineLevel="0" collapsed="false">
      <c r="B995" s="0" t="s">
        <v>1</v>
      </c>
      <c r="C995" s="0" t="s">
        <v>226</v>
      </c>
      <c r="E995" s="0" t="s">
        <v>794</v>
      </c>
      <c r="F995" s="0" t="s">
        <v>795</v>
      </c>
      <c r="H995" s="0" t="s">
        <v>472</v>
      </c>
      <c r="I995" s="0" t="s">
        <v>473</v>
      </c>
    </row>
    <row r="997" customFormat="false" ht="12.8" hidden="false" customHeight="false" outlineLevel="0" collapsed="false">
      <c r="A997" s="0" t="s">
        <v>796</v>
      </c>
      <c r="B997" s="0" t="str">
        <f aca="false">HYPERLINK("https://lindat.mff.cuni.cz/services/teitok/pdtc10/index.php?action=vallex&amp;frame=v-w10291f2", "bučet (v-w10291f2)")</f>
        <v>bučet (v-w10291f2)</v>
      </c>
      <c r="E997" s="0" t="str">
        <f aca="false">HYPERLINK("https://lindat.mff.cuni.cz/services/SynSemClass40/SynSemClass40.html?veclass=vec00633#vec00633-ces-cm00002", "vec00633")</f>
        <v>vec00633</v>
      </c>
      <c r="F997" s="0" t="s">
        <v>528</v>
      </c>
    </row>
    <row r="998" customFormat="false" ht="12.8" hidden="false" customHeight="false" outlineLevel="0" collapsed="false">
      <c r="B998" s="0" t="s">
        <v>1</v>
      </c>
      <c r="C998" s="0" t="s">
        <v>512</v>
      </c>
      <c r="E998" s="0" t="s">
        <v>147</v>
      </c>
      <c r="F998" s="0" t="s">
        <v>529</v>
      </c>
    </row>
    <row r="999" customFormat="false" ht="12.8" hidden="false" customHeight="false" outlineLevel="0" collapsed="false">
      <c r="B999" s="0" t="s">
        <v>797</v>
      </c>
      <c r="C999" s="0" t="s">
        <v>798</v>
      </c>
      <c r="E999" s="0" t="s">
        <v>532</v>
      </c>
      <c r="F999" s="0" t="s">
        <v>533</v>
      </c>
    </row>
    <row r="1001" customFormat="false" ht="12.8" hidden="false" customHeight="false" outlineLevel="0" collapsed="false">
      <c r="A1001" s="0" t="s">
        <v>799</v>
      </c>
      <c r="B1001" s="0" t="str">
        <f aca="false">HYPERLINK("https://lindat.mff.cuni.cz/services/teitok/pdtc10/index.php?action=vallex&amp;frame=v-w237f4", "bušit (v-w237f4)")</f>
        <v>bušit (v-w237f4)</v>
      </c>
      <c r="E1001" s="0" t="str">
        <f aca="false">HYPERLINK("https://lindat.mff.cuni.cz/services/SynSemClass40/SynSemClass40.html?veclass=vec01488#vec01488-ces-cm00008", "vec01488")</f>
        <v>vec01488</v>
      </c>
      <c r="F1001" s="0" t="s">
        <v>481</v>
      </c>
    </row>
    <row r="1002" customFormat="false" ht="12.8" hidden="false" customHeight="false" outlineLevel="0" collapsed="false">
      <c r="B1002" s="0" t="s">
        <v>1</v>
      </c>
      <c r="C1002" s="0" t="s">
        <v>459</v>
      </c>
      <c r="E1002" s="0" t="s">
        <v>416</v>
      </c>
      <c r="F1002" s="0" t="s">
        <v>482</v>
      </c>
    </row>
    <row r="1003" customFormat="false" ht="12.8" hidden="false" customHeight="false" outlineLevel="0" collapsed="false">
      <c r="B1003" s="0" t="s">
        <v>8</v>
      </c>
      <c r="C1003" s="0" t="s">
        <v>800</v>
      </c>
      <c r="E1003" s="0" t="s">
        <v>801</v>
      </c>
      <c r="F1003" s="0" t="s">
        <v>802</v>
      </c>
    </row>
    <row r="1005" customFormat="false" ht="12.8" hidden="false" customHeight="false" outlineLevel="0" collapsed="false">
      <c r="A1005" s="0" t="s">
        <v>803</v>
      </c>
      <c r="B1005" s="0" t="str">
        <f aca="false">HYPERLINK("https://lindat.mff.cuni.cz/services/teitok/pdtc10/index.php?action=vallex&amp;frame=v-w237f2", "bušit (v-w237f2)")</f>
        <v>bušit (v-w237f2)</v>
      </c>
    </row>
    <row r="1006" customFormat="false" ht="12.8" hidden="false" customHeight="false" outlineLevel="0" collapsed="false">
      <c r="B1006" s="0" t="s">
        <v>804</v>
      </c>
    </row>
    <row r="1007" customFormat="false" ht="12.8" hidden="false" customHeight="false" outlineLevel="0" collapsed="false">
      <c r="B1007" s="0" t="s">
        <v>439</v>
      </c>
    </row>
    <row r="1009" customFormat="false" ht="12.8" hidden="false" customHeight="false" outlineLevel="0" collapsed="false">
      <c r="A1009" s="0" t="s">
        <v>805</v>
      </c>
      <c r="B1009" s="0" t="str">
        <f aca="false">HYPERLINK("https://lindat.mff.cuni.cz/services/teitok/pdtc10/index.php?action=vallex&amp;frame=v-w237f3", "bušit (v-w237f3)")</f>
        <v>bušit (v-w237f3)</v>
      </c>
    </row>
    <row r="1010" customFormat="false" ht="12.8" hidden="false" customHeight="false" outlineLevel="0" collapsed="false">
      <c r="B1010" s="0" t="s">
        <v>804</v>
      </c>
    </row>
    <row r="1011" customFormat="false" ht="12.8" hidden="false" customHeight="false" outlineLevel="0" collapsed="false">
      <c r="B1011" s="0" t="s">
        <v>5</v>
      </c>
    </row>
    <row r="1013" customFormat="false" ht="12.8" hidden="false" customHeight="false" outlineLevel="0" collapsed="false">
      <c r="A1013" s="0" t="s">
        <v>806</v>
      </c>
      <c r="B1013" s="0" t="str">
        <f aca="false">HYPERLINK("https://lindat.mff.cuni.cz/services/teitok/pdtc10/index.php?action=vallex&amp;frame=v-w237f1", "bušit (v-w237f1)")</f>
        <v>bušit (v-w237f1)</v>
      </c>
    </row>
    <row r="1014" customFormat="false" ht="12.8" hidden="false" customHeight="false" outlineLevel="0" collapsed="false">
      <c r="B1014" s="0" t="s">
        <v>1</v>
      </c>
    </row>
    <row r="1015" customFormat="false" ht="12.8" hidden="false" customHeight="false" outlineLevel="0" collapsed="false">
      <c r="B1015" s="0" t="s">
        <v>164</v>
      </c>
    </row>
    <row r="1017" customFormat="false" ht="12.8" hidden="false" customHeight="false" outlineLevel="0" collapsed="false">
      <c r="A1017" s="0" t="s">
        <v>807</v>
      </c>
      <c r="B1017" s="0" t="str">
        <f aca="false">HYPERLINK("https://lindat.mff.cuni.cz/services/teitok/pdtc10/index.php?action=vallex&amp;frame=v-w237hsa_479", "bušit (v-w237hsa_479)")</f>
        <v>bušit (v-w237hsa_479)</v>
      </c>
    </row>
    <row r="1018" customFormat="false" ht="12.8" hidden="false" customHeight="false" outlineLevel="0" collapsed="false">
      <c r="B1018" s="0" t="s">
        <v>1</v>
      </c>
    </row>
    <row r="1019" customFormat="false" ht="12.8" hidden="false" customHeight="false" outlineLevel="0" collapsed="false">
      <c r="B1019" s="0" t="s">
        <v>164</v>
      </c>
    </row>
    <row r="1021" customFormat="false" ht="12.8" hidden="false" customHeight="false" outlineLevel="0" collapsed="false">
      <c r="A1021" s="0" t="s">
        <v>808</v>
      </c>
      <c r="B1021" s="0" t="str">
        <f aca="false">HYPERLINK("https://lindat.mff.cuni.cz/services/teitok/pdtc10/index.php?action=vallex&amp;frame=v-w239f1", "bydlet (v-w239f1)")</f>
        <v>bydlet (v-w239f1)</v>
      </c>
    </row>
    <row r="1022" customFormat="false" ht="12.8" hidden="false" customHeight="false" outlineLevel="0" collapsed="false">
      <c r="B1022" s="0" t="s">
        <v>1</v>
      </c>
    </row>
    <row r="1023" customFormat="false" ht="12.8" hidden="false" customHeight="false" outlineLevel="0" collapsed="false">
      <c r="B1023" s="0" t="s">
        <v>5</v>
      </c>
    </row>
    <row r="1025" customFormat="false" ht="12.8" hidden="false" customHeight="false" outlineLevel="0" collapsed="false">
      <c r="A1025" s="0" t="s">
        <v>809</v>
      </c>
      <c r="B1025" s="0" t="str">
        <f aca="false">HYPERLINK("https://lindat.mff.cuni.cz/services/teitok/pdtc10/index.php?action=vallex&amp;frame=v-w240f1", "bydlívat (v-w240f1)")</f>
        <v>bydlívat (v-w240f1)</v>
      </c>
    </row>
    <row r="1026" customFormat="false" ht="12.8" hidden="false" customHeight="false" outlineLevel="0" collapsed="false">
      <c r="B1026" s="0" t="s">
        <v>1</v>
      </c>
    </row>
    <row r="1027" customFormat="false" ht="12.8" hidden="false" customHeight="false" outlineLevel="0" collapsed="false">
      <c r="B1027" s="0" t="s">
        <v>5</v>
      </c>
    </row>
    <row r="1029" customFormat="false" ht="12.8" hidden="false" customHeight="false" outlineLevel="0" collapsed="false">
      <c r="A1029" s="0" t="s">
        <v>810</v>
      </c>
      <c r="B1029" s="0" t="str">
        <f aca="false">HYPERLINK("https://lindat.mff.cuni.cz/services/teitok/pdtc10/index.php?action=vallex&amp;frame=v-w107f1", "bádat (v-w107f1)")</f>
        <v>bádat (v-w107f1)</v>
      </c>
    </row>
    <row r="1030" customFormat="false" ht="12.8" hidden="false" customHeight="false" outlineLevel="0" collapsed="false">
      <c r="B1030" s="0" t="s">
        <v>1</v>
      </c>
    </row>
    <row r="1031" customFormat="false" ht="12.8" hidden="false" customHeight="false" outlineLevel="0" collapsed="false">
      <c r="B1031" s="0" t="s">
        <v>811</v>
      </c>
    </row>
    <row r="1033" customFormat="false" ht="12.8" hidden="false" customHeight="false" outlineLevel="0" collapsed="false">
      <c r="A1033" s="0" t="s">
        <v>812</v>
      </c>
      <c r="B1033" s="0" t="str">
        <f aca="false">HYPERLINK("https://lindat.mff.cuni.cz/services/teitok/pdtc10/index.php?action=vallex&amp;frame=v-w125f1", "básnit (v-w125f1)")</f>
        <v>básnit (v-w125f1)</v>
      </c>
    </row>
    <row r="1034" customFormat="false" ht="12.8" hidden="false" customHeight="false" outlineLevel="0" collapsed="false">
      <c r="B1034" s="0" t="s">
        <v>1</v>
      </c>
    </row>
    <row r="1035" customFormat="false" ht="12.8" hidden="false" customHeight="false" outlineLevel="0" collapsed="false">
      <c r="B1035" s="0" t="s">
        <v>496</v>
      </c>
    </row>
    <row r="1037" customFormat="false" ht="12.8" hidden="false" customHeight="false" outlineLevel="0" collapsed="false">
      <c r="A1037" s="0" t="s">
        <v>813</v>
      </c>
      <c r="B1037" s="0" t="str">
        <f aca="false">HYPERLINK("https://lindat.mff.cuni.cz/services/teitok/pdtc10/index.php?action=vallex&amp;frame=v-w127f2", "bát se (v-w127f2)")</f>
        <v>bát se (v-w127f2)</v>
      </c>
    </row>
    <row r="1038" customFormat="false" ht="12.8" hidden="false" customHeight="false" outlineLevel="0" collapsed="false">
      <c r="B1038" s="0" t="s">
        <v>1</v>
      </c>
    </row>
    <row r="1039" customFormat="false" ht="12.8" hidden="false" customHeight="false" outlineLevel="0" collapsed="false">
      <c r="B1039" s="0" t="s">
        <v>814</v>
      </c>
    </row>
    <row r="1041" customFormat="false" ht="12.8" hidden="false" customHeight="false" outlineLevel="0" collapsed="false">
      <c r="A1041" s="0" t="s">
        <v>815</v>
      </c>
      <c r="B1041" s="0" t="str">
        <f aca="false">HYPERLINK("https://lindat.mff.cuni.cz/services/teitok/pdtc10/index.php?action=vallex&amp;frame=v-w127f1", "bát se (v-w127f1)")</f>
        <v>bát se (v-w127f1)</v>
      </c>
      <c r="E1041" s="0" t="str">
        <f aca="false">HYPERLINK("https://lindat.mff.cuni.cz/services/SynSemClass40/SynSemClass40.html?veclass=vec00243#vec00243-ces-cm00002", "vec00243")</f>
        <v>vec00243</v>
      </c>
      <c r="F1041" s="0" t="s">
        <v>816</v>
      </c>
    </row>
    <row r="1042" customFormat="false" ht="12.8" hidden="false" customHeight="false" outlineLevel="0" collapsed="false">
      <c r="B1042" s="0" t="s">
        <v>1</v>
      </c>
      <c r="C1042" s="0" t="s">
        <v>817</v>
      </c>
      <c r="E1042" s="0" t="s">
        <v>155</v>
      </c>
      <c r="F1042" s="0" t="s">
        <v>818</v>
      </c>
    </row>
    <row r="1043" customFormat="false" ht="12.8" hidden="false" customHeight="false" outlineLevel="0" collapsed="false">
      <c r="B1043" s="0" t="s">
        <v>819</v>
      </c>
      <c r="C1043" s="0" t="s">
        <v>820</v>
      </c>
      <c r="E1043" s="0" t="s">
        <v>821</v>
      </c>
      <c r="F1043" s="0" t="s">
        <v>822</v>
      </c>
    </row>
    <row r="1045" customFormat="false" ht="12.8" hidden="false" customHeight="false" outlineLevel="0" collapsed="false">
      <c r="A1045" s="0" t="s">
        <v>823</v>
      </c>
      <c r="B1045" s="0" t="str">
        <f aca="false">HYPERLINK("https://lindat.mff.cuni.cz/services/teitok/pdtc10/index.php?action=vallex&amp;frame=v-w150f1", "bít (v-w150f1)")</f>
        <v>bít (v-w150f1)</v>
      </c>
      <c r="E1045" s="0" t="str">
        <f aca="false">HYPERLINK("https://lindat.mff.cuni.cz/services/SynSemClass40/SynSemClass40.html?veclass=vec00992#vec00992-ces-cm00002", "vec00992")</f>
        <v>vec00992</v>
      </c>
      <c r="F1045" s="0" t="s">
        <v>824</v>
      </c>
      <c r="H1045" s="0" t="str">
        <f aca="false">HYPERLINK("https://lindat.mff.cuni.cz/services/SynSemClass40/SynSemClass40.html?veclass=vec01488#vec01488-ces-cm00001", "vec01488")</f>
        <v>vec01488</v>
      </c>
      <c r="I1045" s="0" t="s">
        <v>481</v>
      </c>
    </row>
    <row r="1046" customFormat="false" ht="12.8" hidden="false" customHeight="false" outlineLevel="0" collapsed="false">
      <c r="B1046" s="0" t="s">
        <v>1</v>
      </c>
      <c r="C1046" s="0" t="s">
        <v>825</v>
      </c>
      <c r="E1046" s="0" t="s">
        <v>196</v>
      </c>
      <c r="F1046" s="0" t="s">
        <v>826</v>
      </c>
      <c r="H1046" s="0" t="s">
        <v>416</v>
      </c>
      <c r="I1046" s="0" t="s">
        <v>482</v>
      </c>
    </row>
    <row r="1047" customFormat="false" ht="12.8" hidden="false" customHeight="false" outlineLevel="0" collapsed="false">
      <c r="B1047" s="0" t="s">
        <v>8</v>
      </c>
      <c r="C1047" s="0" t="s">
        <v>827</v>
      </c>
      <c r="E1047" s="0" t="s">
        <v>199</v>
      </c>
      <c r="F1047" s="0" t="s">
        <v>828</v>
      </c>
      <c r="H1047" s="0" t="s">
        <v>801</v>
      </c>
      <c r="I1047" s="0" t="s">
        <v>802</v>
      </c>
    </row>
    <row r="1049" customFormat="false" ht="12.8" hidden="false" customHeight="false" outlineLevel="0" collapsed="false">
      <c r="A1049" s="0" t="s">
        <v>829</v>
      </c>
      <c r="B1049" s="0" t="str">
        <f aca="false">HYPERLINK("https://lindat.mff.cuni.cz/services/teitok/pdtc10/index.php?action=vallex&amp;frame=v-w150f2", "bít (v-w150f2)")</f>
        <v>bít (v-w150f2)</v>
      </c>
    </row>
    <row r="1050" customFormat="false" ht="12.8" hidden="false" customHeight="false" outlineLevel="0" collapsed="false">
      <c r="B1050" s="0" t="s">
        <v>1</v>
      </c>
    </row>
    <row r="1051" customFormat="false" ht="12.8" hidden="false" customHeight="false" outlineLevel="0" collapsed="false">
      <c r="B1051" s="0" t="s">
        <v>830</v>
      </c>
    </row>
    <row r="1053" customFormat="false" ht="12.8" hidden="false" customHeight="false" outlineLevel="0" collapsed="false">
      <c r="A1053" s="0" t="s">
        <v>831</v>
      </c>
      <c r="B1053" s="0" t="str">
        <f aca="false">HYPERLINK("https://lindat.mff.cuni.cz/services/teitok/pdtc10/index.php?action=vallex&amp;frame=v-w150f3_ZU", "bít (v-w150f3_ZU)")</f>
        <v>bít (v-w150f3_ZU)</v>
      </c>
    </row>
    <row r="1054" customFormat="false" ht="12.8" hidden="false" customHeight="false" outlineLevel="0" collapsed="false">
      <c r="B1054" s="0" t="s">
        <v>1</v>
      </c>
    </row>
    <row r="1055" customFormat="false" ht="12.8" hidden="false" customHeight="false" outlineLevel="0" collapsed="false">
      <c r="B1055" s="0" t="s">
        <v>832</v>
      </c>
    </row>
    <row r="1057" customFormat="false" ht="12.8" hidden="false" customHeight="false" outlineLevel="0" collapsed="false">
      <c r="A1057" s="0" t="s">
        <v>833</v>
      </c>
      <c r="B1057" s="0" t="str">
        <f aca="false">HYPERLINK("https://lindat.mff.cuni.cz/services/teitok/pdtc10/index.php?action=vallex&amp;frame=v-w150f4_ZU", "bít (v-w150f4_ZU)")</f>
        <v>bít (v-w150f4_ZU)</v>
      </c>
    </row>
    <row r="1058" customFormat="false" ht="12.8" hidden="false" customHeight="false" outlineLevel="0" collapsed="false">
      <c r="B1058" s="0" t="s">
        <v>1</v>
      </c>
    </row>
    <row r="1059" customFormat="false" ht="12.8" hidden="false" customHeight="false" outlineLevel="0" collapsed="false">
      <c r="B1059" s="0" t="s">
        <v>8</v>
      </c>
    </row>
    <row r="1061" customFormat="false" ht="12.8" hidden="false" customHeight="false" outlineLevel="0" collapsed="false">
      <c r="A1061" s="0" t="s">
        <v>834</v>
      </c>
      <c r="B1061" s="0" t="str">
        <f aca="false">HYPERLINK("https://lindat.mff.cuni.cz/services/teitok/pdtc10/index.php?action=vallex&amp;frame=v-w243hsa_80", "být (v-w243hsa_80)")</f>
        <v>být (v-w243hsa_80)</v>
      </c>
    </row>
    <row r="1062" customFormat="false" ht="12.8" hidden="false" customHeight="false" outlineLevel="0" collapsed="false">
      <c r="B1062" s="0" t="s">
        <v>835</v>
      </c>
    </row>
    <row r="1063" customFormat="false" ht="12.8" hidden="false" customHeight="false" outlineLevel="0" collapsed="false">
      <c r="B1063" s="0" t="s">
        <v>836</v>
      </c>
    </row>
    <row r="1064" customFormat="false" ht="12.8" hidden="false" customHeight="false" outlineLevel="0" collapsed="false">
      <c r="B1064" s="0" t="s">
        <v>837</v>
      </c>
    </row>
    <row r="1066" customFormat="false" ht="12.8" hidden="false" customHeight="false" outlineLevel="0" collapsed="false">
      <c r="A1066" s="0" t="s">
        <v>834</v>
      </c>
      <c r="B1066" s="0" t="str">
        <f aca="false">HYPERLINK("https://lindat.mff.cuni.cz/services/teitok/pdtc10/index.php?action=vallex&amp;frame=v-w243f21", "být (v-w243f21) - substituted with v-w243hsa_80")</f>
        <v>být (v-w243f21) - substituted with v-w243hsa_80</v>
      </c>
    </row>
    <row r="1067" customFormat="false" ht="12.8" hidden="false" customHeight="false" outlineLevel="0" collapsed="false">
      <c r="B1067" s="0" t="s">
        <v>835</v>
      </c>
    </row>
    <row r="1068" customFormat="false" ht="12.8" hidden="false" customHeight="false" outlineLevel="0" collapsed="false">
      <c r="B1068" s="0" t="s">
        <v>836</v>
      </c>
    </row>
    <row r="1069" customFormat="false" ht="12.8" hidden="false" customHeight="false" outlineLevel="0" collapsed="false">
      <c r="B1069" s="0" t="s">
        <v>837</v>
      </c>
    </row>
    <row r="1071" customFormat="false" ht="12.8" hidden="false" customHeight="false" outlineLevel="0" collapsed="false">
      <c r="A1071" s="0" t="s">
        <v>838</v>
      </c>
      <c r="B1071" s="0" t="str">
        <f aca="false">HYPERLINK("https://lindat.mff.cuni.cz/services/teitok/pdtc10/index.php?action=vallex&amp;frame=v-w243f22", "být (v-w243f22)")</f>
        <v>být (v-w243f22)</v>
      </c>
    </row>
    <row r="1072" customFormat="false" ht="12.8" hidden="false" customHeight="false" outlineLevel="0" collapsed="false">
      <c r="B1072" s="0" t="s">
        <v>1</v>
      </c>
    </row>
    <row r="1073" customFormat="false" ht="12.8" hidden="false" customHeight="false" outlineLevel="0" collapsed="false">
      <c r="B1073" s="0" t="s">
        <v>439</v>
      </c>
    </row>
    <row r="1074" customFormat="false" ht="12.8" hidden="false" customHeight="false" outlineLevel="0" collapsed="false">
      <c r="B1074" s="0" t="s">
        <v>839</v>
      </c>
    </row>
    <row r="1076" customFormat="false" ht="12.8" hidden="false" customHeight="false" outlineLevel="0" collapsed="false">
      <c r="A1076" s="0" t="s">
        <v>840</v>
      </c>
      <c r="B1076" s="0" t="str">
        <f aca="false">HYPERLINK("https://lindat.mff.cuni.cz/services/teitok/pdtc10/index.php?action=vallex&amp;frame=v-w243f47", "být (v-w243f47)")</f>
        <v>být (v-w243f47)</v>
      </c>
    </row>
    <row r="1077" customFormat="false" ht="12.8" hidden="false" customHeight="false" outlineLevel="0" collapsed="false">
      <c r="B1077" s="0" t="s">
        <v>804</v>
      </c>
    </row>
    <row r="1078" customFormat="false" ht="12.8" hidden="false" customHeight="false" outlineLevel="0" collapsed="false">
      <c r="B1078" s="0" t="s">
        <v>439</v>
      </c>
    </row>
    <row r="1079" customFormat="false" ht="12.8" hidden="false" customHeight="false" outlineLevel="0" collapsed="false">
      <c r="B1079" s="0" t="s">
        <v>841</v>
      </c>
    </row>
    <row r="1081" customFormat="false" ht="12.8" hidden="false" customHeight="false" outlineLevel="0" collapsed="false">
      <c r="A1081" s="0" t="s">
        <v>842</v>
      </c>
      <c r="B1081" s="0" t="str">
        <f aca="false">HYPERLINK("https://lindat.mff.cuni.cz/services/teitok/pdtc10/index.php?action=vallex&amp;frame=v-w243f137_ZU", "být (v-w243f137_ZU)")</f>
        <v>být (v-w243f137_ZU)</v>
      </c>
    </row>
    <row r="1082" customFormat="false" ht="12.8" hidden="false" customHeight="false" outlineLevel="0" collapsed="false">
      <c r="B1082" s="0" t="s">
        <v>843</v>
      </c>
    </row>
    <row r="1083" customFormat="false" ht="12.8" hidden="false" customHeight="false" outlineLevel="0" collapsed="false">
      <c r="B1083" s="0" t="s">
        <v>291</v>
      </c>
    </row>
    <row r="1084" customFormat="false" ht="12.8" hidden="false" customHeight="false" outlineLevel="0" collapsed="false">
      <c r="B1084" s="0" t="s">
        <v>844</v>
      </c>
    </row>
    <row r="1086" customFormat="false" ht="12.8" hidden="false" customHeight="false" outlineLevel="0" collapsed="false">
      <c r="A1086" s="0" t="s">
        <v>842</v>
      </c>
      <c r="B1086" s="0" t="str">
        <f aca="false">HYPERLINK("https://lindat.mff.cuni.cz/services/teitok/pdtc10/index.php?action=vallex&amp;frame=v-w243f119_ZU", "být (v-w243f119_ZU) - substituted with v-w243f137_ZU")</f>
        <v>být (v-w243f119_ZU) - substituted with v-w243f137_ZU</v>
      </c>
    </row>
    <row r="1087" customFormat="false" ht="12.8" hidden="false" customHeight="false" outlineLevel="0" collapsed="false">
      <c r="B1087" s="0" t="s">
        <v>843</v>
      </c>
    </row>
    <row r="1088" customFormat="false" ht="12.8" hidden="false" customHeight="false" outlineLevel="0" collapsed="false">
      <c r="B1088" s="0" t="s">
        <v>291</v>
      </c>
    </row>
    <row r="1089" customFormat="false" ht="12.8" hidden="false" customHeight="false" outlineLevel="0" collapsed="false">
      <c r="B1089" s="0" t="s">
        <v>844</v>
      </c>
    </row>
    <row r="1091" customFormat="false" ht="12.8" hidden="false" customHeight="false" outlineLevel="0" collapsed="false">
      <c r="A1091" s="0" t="s">
        <v>842</v>
      </c>
      <c r="B1091" s="0" t="str">
        <f aca="false">HYPERLINK("https://lindat.mff.cuni.cz/services/teitok/pdtc10/index.php?action=vallex&amp;frame=v-w243f136_ZU", "být (v-w243f136_ZU) - substituted with v-w243f137_ZU")</f>
        <v>být (v-w243f136_ZU) - substituted with v-w243f137_ZU</v>
      </c>
    </row>
    <row r="1092" customFormat="false" ht="12.8" hidden="false" customHeight="false" outlineLevel="0" collapsed="false">
      <c r="B1092" s="0" t="s">
        <v>843</v>
      </c>
    </row>
    <row r="1093" customFormat="false" ht="12.8" hidden="false" customHeight="false" outlineLevel="0" collapsed="false">
      <c r="B1093" s="0" t="s">
        <v>291</v>
      </c>
    </row>
    <row r="1094" customFormat="false" ht="12.8" hidden="false" customHeight="false" outlineLevel="0" collapsed="false">
      <c r="B1094" s="0" t="s">
        <v>844</v>
      </c>
    </row>
    <row r="1096" customFormat="false" ht="12.8" hidden="false" customHeight="false" outlineLevel="0" collapsed="false">
      <c r="A1096" s="0" t="s">
        <v>842</v>
      </c>
      <c r="B1096" s="0" t="str">
        <f aca="false">HYPERLINK("https://lindat.mff.cuni.cz/services/teitok/pdtc10/index.php?action=vallex&amp;frame=v-w243f78_ZU", "být (v-w243f78_ZU) - substituted with v-w243f137_ZU")</f>
        <v>být (v-w243f78_ZU) - substituted with v-w243f137_ZU</v>
      </c>
    </row>
    <row r="1097" customFormat="false" ht="12.8" hidden="false" customHeight="false" outlineLevel="0" collapsed="false">
      <c r="B1097" s="0" t="s">
        <v>843</v>
      </c>
    </row>
    <row r="1098" customFormat="false" ht="12.8" hidden="false" customHeight="false" outlineLevel="0" collapsed="false">
      <c r="B1098" s="0" t="s">
        <v>291</v>
      </c>
    </row>
    <row r="1099" customFormat="false" ht="12.8" hidden="false" customHeight="false" outlineLevel="0" collapsed="false">
      <c r="B1099" s="0" t="s">
        <v>844</v>
      </c>
    </row>
    <row r="1101" customFormat="false" ht="12.8" hidden="false" customHeight="false" outlineLevel="0" collapsed="false">
      <c r="A1101" s="0" t="s">
        <v>842</v>
      </c>
      <c r="B1101" s="0" t="str">
        <f aca="false">HYPERLINK("https://lindat.mff.cuni.cz/services/teitok/pdtc10/index.php?action=vallex&amp;frame=v-w243f84_ZU", "být (v-w243f84_ZU) - substituted with v-w243f137_ZU")</f>
        <v>být (v-w243f84_ZU) - substituted with v-w243f137_ZU</v>
      </c>
    </row>
    <row r="1102" customFormat="false" ht="12.8" hidden="false" customHeight="false" outlineLevel="0" collapsed="false">
      <c r="B1102" s="0" t="s">
        <v>843</v>
      </c>
    </row>
    <row r="1103" customFormat="false" ht="12.8" hidden="false" customHeight="false" outlineLevel="0" collapsed="false">
      <c r="B1103" s="0" t="s">
        <v>291</v>
      </c>
    </row>
    <row r="1104" customFormat="false" ht="12.8" hidden="false" customHeight="false" outlineLevel="0" collapsed="false">
      <c r="B1104" s="0" t="s">
        <v>844</v>
      </c>
    </row>
    <row r="1106" customFormat="false" ht="12.8" hidden="false" customHeight="false" outlineLevel="0" collapsed="false">
      <c r="A1106" s="0" t="s">
        <v>845</v>
      </c>
      <c r="B1106" s="0" t="str">
        <f aca="false">HYPERLINK("https://lindat.mff.cuni.cz/services/teitok/pdtc10/index.php?action=vallex&amp;frame=v-w243f25", "být (v-w243f25)")</f>
        <v>být (v-w243f25)</v>
      </c>
    </row>
    <row r="1107" customFormat="false" ht="12.8" hidden="false" customHeight="false" outlineLevel="0" collapsed="false">
      <c r="B1107" s="0" t="s">
        <v>1</v>
      </c>
    </row>
    <row r="1108" customFormat="false" ht="12.8" hidden="false" customHeight="false" outlineLevel="0" collapsed="false">
      <c r="B1108" s="0" t="s">
        <v>186</v>
      </c>
    </row>
    <row r="1110" customFormat="false" ht="12.8" hidden="false" customHeight="false" outlineLevel="0" collapsed="false">
      <c r="A1110" s="0" t="s">
        <v>846</v>
      </c>
      <c r="B1110" s="0" t="str">
        <f aca="false">HYPERLINK("https://lindat.mff.cuni.cz/services/teitok/pdtc10/index.php?action=vallex&amp;frame=v-w243f177_ZU", "být (v-w243f177_ZU)")</f>
        <v>být (v-w243f177_ZU)</v>
      </c>
    </row>
    <row r="1111" customFormat="false" ht="12.8" hidden="false" customHeight="false" outlineLevel="0" collapsed="false">
      <c r="B1111" s="0" t="s">
        <v>804</v>
      </c>
    </row>
    <row r="1112" customFormat="false" ht="12.8" hidden="false" customHeight="false" outlineLevel="0" collapsed="false">
      <c r="B1112" s="0" t="s">
        <v>439</v>
      </c>
    </row>
    <row r="1114" customFormat="false" ht="12.8" hidden="false" customHeight="false" outlineLevel="0" collapsed="false">
      <c r="A1114" s="0" t="s">
        <v>846</v>
      </c>
      <c r="B1114" s="0" t="str">
        <f aca="false">HYPERLINK("https://lindat.mff.cuni.cz/services/teitok/pdtc10/index.php?action=vallex&amp;frame=v-w243f7", "být (v-w243f7) - substituted with v-w243f177_ZU")</f>
        <v>být (v-w243f7) - substituted with v-w243f177_ZU</v>
      </c>
    </row>
    <row r="1115" customFormat="false" ht="12.8" hidden="false" customHeight="false" outlineLevel="0" collapsed="false">
      <c r="B1115" s="0" t="s">
        <v>804</v>
      </c>
    </row>
    <row r="1116" customFormat="false" ht="12.8" hidden="false" customHeight="false" outlineLevel="0" collapsed="false">
      <c r="B1116" s="0" t="s">
        <v>439</v>
      </c>
    </row>
    <row r="1118" customFormat="false" ht="12.8" hidden="false" customHeight="false" outlineLevel="0" collapsed="false">
      <c r="A1118" s="0" t="s">
        <v>847</v>
      </c>
      <c r="B1118" s="0" t="str">
        <f aca="false">HYPERLINK("https://lindat.mff.cuni.cz/services/teitok/pdtc10/index.php?action=vallex&amp;frame=v-w243f187_MM", "být (v-w243f187_MM)")</f>
        <v>být (v-w243f187_MM)</v>
      </c>
    </row>
    <row r="1119" customFormat="false" ht="12.8" hidden="false" customHeight="false" outlineLevel="0" collapsed="false">
      <c r="B1119" s="0" t="s">
        <v>848</v>
      </c>
    </row>
    <row r="1120" customFormat="false" ht="12.8" hidden="false" customHeight="false" outlineLevel="0" collapsed="false">
      <c r="B1120" s="0" t="s">
        <v>849</v>
      </c>
    </row>
    <row r="1122" customFormat="false" ht="12.8" hidden="false" customHeight="false" outlineLevel="0" collapsed="false">
      <c r="A1122" s="0" t="s">
        <v>847</v>
      </c>
      <c r="B1122" s="0" t="str">
        <f aca="false">HYPERLINK("https://lindat.mff.cuni.cz/services/teitok/pdtc10/index.php?action=vallex&amp;frame=v-w243f1", "být (v-w243f1) - substituted with v-w243f187_MM")</f>
        <v>být (v-w243f1) - substituted with v-w243f187_MM</v>
      </c>
    </row>
    <row r="1123" customFormat="false" ht="12.8" hidden="false" customHeight="false" outlineLevel="0" collapsed="false">
      <c r="B1123" s="0" t="s">
        <v>848</v>
      </c>
    </row>
    <row r="1124" customFormat="false" ht="12.8" hidden="false" customHeight="false" outlineLevel="0" collapsed="false">
      <c r="B1124" s="0" t="s">
        <v>849</v>
      </c>
    </row>
    <row r="1126" customFormat="false" ht="12.8" hidden="false" customHeight="false" outlineLevel="0" collapsed="false">
      <c r="A1126" s="0" t="s">
        <v>847</v>
      </c>
      <c r="B1126" s="0" t="str">
        <f aca="false">HYPERLINK("https://lindat.mff.cuni.cz/services/teitok/pdtc10/index.php?action=vallex&amp;frame=v-w243f179_ZU", "být (v-w243f179_ZU) - substituted with v-w243f187_MM")</f>
        <v>být (v-w243f179_ZU) - substituted with v-w243f187_MM</v>
      </c>
    </row>
    <row r="1127" customFormat="false" ht="12.8" hidden="false" customHeight="false" outlineLevel="0" collapsed="false">
      <c r="B1127" s="0" t="s">
        <v>848</v>
      </c>
    </row>
    <row r="1128" customFormat="false" ht="12.8" hidden="false" customHeight="false" outlineLevel="0" collapsed="false">
      <c r="B1128" s="0" t="s">
        <v>849</v>
      </c>
    </row>
    <row r="1130" customFormat="false" ht="12.8" hidden="false" customHeight="false" outlineLevel="0" collapsed="false">
      <c r="A1130" s="0" t="s">
        <v>847</v>
      </c>
      <c r="B1130" s="0" t="str">
        <f aca="false">HYPERLINK("https://lindat.mff.cuni.cz/services/teitok/pdtc10/index.php?action=vallex&amp;frame=v-w243f186_MM", "být (v-w243f186_MM) - substituted with v-w243f187_MM")</f>
        <v>být (v-w243f186_MM) - substituted with v-w243f187_MM</v>
      </c>
    </row>
    <row r="1131" customFormat="false" ht="12.8" hidden="false" customHeight="false" outlineLevel="0" collapsed="false">
      <c r="B1131" s="0" t="s">
        <v>848</v>
      </c>
    </row>
    <row r="1132" customFormat="false" ht="12.8" hidden="false" customHeight="false" outlineLevel="0" collapsed="false">
      <c r="B1132" s="0" t="s">
        <v>849</v>
      </c>
    </row>
    <row r="1134" customFormat="false" ht="12.8" hidden="false" customHeight="false" outlineLevel="0" collapsed="false">
      <c r="A1134" s="0" t="s">
        <v>847</v>
      </c>
      <c r="B1134" s="0" t="str">
        <f aca="false">HYPERLINK("https://lindat.mff.cuni.cz/services/teitok/pdtc10/index.php?action=vallex&amp;frame=v-w243f56_ZU", "být (v-w243f56_ZU) - substituted with v-w243f187_MM")</f>
        <v>být (v-w243f56_ZU) - substituted with v-w243f187_MM</v>
      </c>
    </row>
    <row r="1135" customFormat="false" ht="12.8" hidden="false" customHeight="false" outlineLevel="0" collapsed="false">
      <c r="B1135" s="0" t="s">
        <v>848</v>
      </c>
    </row>
    <row r="1136" customFormat="false" ht="12.8" hidden="false" customHeight="false" outlineLevel="0" collapsed="false">
      <c r="B1136" s="0" t="s">
        <v>849</v>
      </c>
    </row>
    <row r="1138" customFormat="false" ht="12.8" hidden="false" customHeight="false" outlineLevel="0" collapsed="false">
      <c r="A1138" s="0" t="s">
        <v>847</v>
      </c>
      <c r="B1138" s="0" t="str">
        <f aca="false">HYPERLINK("https://lindat.mff.cuni.cz/services/teitok/pdtc10/index.php?action=vallex&amp;frame=v-w243f80_ZU", "být (v-w243f80_ZU) - substituted with v-w243f187_MM")</f>
        <v>být (v-w243f80_ZU) - substituted with v-w243f187_MM</v>
      </c>
    </row>
    <row r="1139" customFormat="false" ht="12.8" hidden="false" customHeight="false" outlineLevel="0" collapsed="false">
      <c r="B1139" s="0" t="s">
        <v>848</v>
      </c>
    </row>
    <row r="1140" customFormat="false" ht="12.8" hidden="false" customHeight="false" outlineLevel="0" collapsed="false">
      <c r="B1140" s="0" t="s">
        <v>849</v>
      </c>
    </row>
    <row r="1142" customFormat="false" ht="12.8" hidden="false" customHeight="false" outlineLevel="0" collapsed="false">
      <c r="A1142" s="0" t="s">
        <v>850</v>
      </c>
      <c r="B1142" s="0" t="str">
        <f aca="false">HYPERLINK("https://lindat.mff.cuni.cz/services/teitok/pdtc10/index.php?action=vallex&amp;frame=v-w243f65_ZU", "být (v-w243f65_ZU)")</f>
        <v>být (v-w243f65_ZU)</v>
      </c>
    </row>
    <row r="1143" customFormat="false" ht="12.8" hidden="false" customHeight="false" outlineLevel="0" collapsed="false">
      <c r="B1143" s="0" t="s">
        <v>1</v>
      </c>
    </row>
    <row r="1144" customFormat="false" ht="12.8" hidden="false" customHeight="false" outlineLevel="0" collapsed="false">
      <c r="B1144" s="0" t="s">
        <v>318</v>
      </c>
    </row>
    <row r="1146" customFormat="false" ht="12.8" hidden="false" customHeight="false" outlineLevel="0" collapsed="false">
      <c r="A1146" s="0" t="s">
        <v>851</v>
      </c>
      <c r="B1146" s="0" t="str">
        <f aca="false">HYPERLINK("https://lindat.mff.cuni.cz/services/teitok/pdtc10/index.php?action=vallex&amp;frame=v-w243f16", "být (v-w243f16)")</f>
        <v>být (v-w243f16)</v>
      </c>
    </row>
    <row r="1147" customFormat="false" ht="12.8" hidden="false" customHeight="false" outlineLevel="0" collapsed="false">
      <c r="B1147" s="0" t="s">
        <v>804</v>
      </c>
    </row>
    <row r="1148" customFormat="false" ht="12.8" hidden="false" customHeight="false" outlineLevel="0" collapsed="false">
      <c r="B1148" s="0" t="s">
        <v>852</v>
      </c>
    </row>
    <row r="1150" customFormat="false" ht="12.8" hidden="false" customHeight="false" outlineLevel="0" collapsed="false">
      <c r="A1150" s="0" t="s">
        <v>853</v>
      </c>
      <c r="B1150" s="0" t="str">
        <f aca="false">HYPERLINK("https://lindat.mff.cuni.cz/services/teitok/pdtc10/index.php?action=vallex&amp;frame=v-w243f26", "být (v-w243f26)")</f>
        <v>být (v-w243f26)</v>
      </c>
    </row>
    <row r="1151" customFormat="false" ht="12.8" hidden="false" customHeight="false" outlineLevel="0" collapsed="false">
      <c r="B1151" s="0" t="s">
        <v>854</v>
      </c>
    </row>
    <row r="1152" customFormat="false" ht="12.8" hidden="false" customHeight="false" outlineLevel="0" collapsed="false">
      <c r="B1152" s="0" t="s">
        <v>855</v>
      </c>
    </row>
    <row r="1154" customFormat="false" ht="12.8" hidden="false" customHeight="false" outlineLevel="0" collapsed="false">
      <c r="A1154" s="0" t="s">
        <v>856</v>
      </c>
      <c r="B1154" s="0" t="str">
        <f aca="false">HYPERLINK("https://lindat.mff.cuni.cz/services/teitok/pdtc10/index.php?action=vallex&amp;frame=v-w243f181_ZU", "být (v-w243f181_ZU)")</f>
        <v>být (v-w243f181_ZU)</v>
      </c>
    </row>
    <row r="1155" customFormat="false" ht="12.8" hidden="false" customHeight="false" outlineLevel="0" collapsed="false">
      <c r="B1155" s="0" t="s">
        <v>857</v>
      </c>
    </row>
    <row r="1157" customFormat="false" ht="12.8" hidden="false" customHeight="false" outlineLevel="0" collapsed="false">
      <c r="A1157" s="0" t="s">
        <v>856</v>
      </c>
      <c r="B1157" s="0" t="str">
        <f aca="false">HYPERLINK("https://lindat.mff.cuni.cz/services/teitok/pdtc10/index.php?action=vallex&amp;frame=v-w243f173_ZU", "být (v-w243f173_ZU) - substituted with v-w243f181_ZU")</f>
        <v>být (v-w243f173_ZU) - substituted with v-w243f181_ZU</v>
      </c>
    </row>
    <row r="1158" customFormat="false" ht="12.8" hidden="false" customHeight="false" outlineLevel="0" collapsed="false">
      <c r="B1158" s="0" t="s">
        <v>857</v>
      </c>
    </row>
    <row r="1160" customFormat="false" ht="12.8" hidden="false" customHeight="false" outlineLevel="0" collapsed="false">
      <c r="A1160" s="0" t="s">
        <v>856</v>
      </c>
      <c r="B1160" s="0" t="str">
        <f aca="false">HYPERLINK("https://lindat.mff.cuni.cz/services/teitok/pdtc10/index.php?action=vallex&amp;frame=v-w243f176_ZU", "být (v-w243f176_ZU) - substituted with v-w243f181_ZU")</f>
        <v>být (v-w243f176_ZU) - substituted with v-w243f181_ZU</v>
      </c>
    </row>
    <row r="1161" customFormat="false" ht="12.8" hidden="false" customHeight="false" outlineLevel="0" collapsed="false">
      <c r="B1161" s="0" t="s">
        <v>857</v>
      </c>
    </row>
    <row r="1163" customFormat="false" ht="12.8" hidden="false" customHeight="false" outlineLevel="0" collapsed="false">
      <c r="A1163" s="0" t="s">
        <v>856</v>
      </c>
      <c r="B1163" s="0" t="str">
        <f aca="false">HYPERLINK("https://lindat.mff.cuni.cz/services/teitok/pdtc10/index.php?action=vallex&amp;frame=v-w243f178_ZU", "být (v-w243f178_ZU) - substituted with v-w243f181_ZU")</f>
        <v>být (v-w243f178_ZU) - substituted with v-w243f181_ZU</v>
      </c>
    </row>
    <row r="1164" customFormat="false" ht="12.8" hidden="false" customHeight="false" outlineLevel="0" collapsed="false">
      <c r="B1164" s="0" t="s">
        <v>857</v>
      </c>
    </row>
    <row r="1166" customFormat="false" ht="12.8" hidden="false" customHeight="false" outlineLevel="0" collapsed="false">
      <c r="A1166" s="0" t="s">
        <v>856</v>
      </c>
      <c r="B1166" s="0" t="str">
        <f aca="false">HYPERLINK("https://lindat.mff.cuni.cz/services/teitok/pdtc10/index.php?action=vallex&amp;frame=v-w243f2", "být (v-w243f2) - substituted with v-w243f181_ZU")</f>
        <v>být (v-w243f2) - substituted with v-w243f181_ZU</v>
      </c>
    </row>
    <row r="1167" customFormat="false" ht="12.8" hidden="false" customHeight="false" outlineLevel="0" collapsed="false">
      <c r="B1167" s="0" t="s">
        <v>857</v>
      </c>
    </row>
    <row r="1169" customFormat="false" ht="12.8" hidden="false" customHeight="false" outlineLevel="0" collapsed="false">
      <c r="A1169" s="0" t="s">
        <v>858</v>
      </c>
      <c r="B1169" s="0" t="str">
        <f aca="false">HYPERLINK("https://lindat.mff.cuni.cz/services/teitok/pdtc10/index.php?action=vallex&amp;frame=v-w243f10", "být (v-w243f10)")</f>
        <v>být (v-w243f10)</v>
      </c>
    </row>
    <row r="1170" customFormat="false" ht="12.8" hidden="false" customHeight="false" outlineLevel="0" collapsed="false">
      <c r="B1170" s="0" t="s">
        <v>859</v>
      </c>
    </row>
    <row r="1172" customFormat="false" ht="12.8" hidden="false" customHeight="false" outlineLevel="0" collapsed="false">
      <c r="A1172" s="0" t="s">
        <v>860</v>
      </c>
      <c r="B1172" s="0" t="str">
        <f aca="false">HYPERLINK("https://lindat.mff.cuni.cz/services/teitok/pdtc10/index.php?action=vallex&amp;frame=v-w243f53", "být (v-w243f53)")</f>
        <v>být (v-w243f53)</v>
      </c>
    </row>
    <row r="1173" customFormat="false" ht="12.8" hidden="false" customHeight="false" outlineLevel="0" collapsed="false">
      <c r="B1173" s="0" t="s">
        <v>861</v>
      </c>
    </row>
    <row r="1175" customFormat="false" ht="12.8" hidden="false" customHeight="false" outlineLevel="0" collapsed="false">
      <c r="A1175" s="0" t="s">
        <v>862</v>
      </c>
      <c r="B1175" s="0" t="str">
        <f aca="false">HYPERLINK("https://lindat.mff.cuni.cz/services/teitok/pdtc10/index.php?action=vallex&amp;frame=v-w243f18", "být (v-w243f18)")</f>
        <v>být (v-w243f18)</v>
      </c>
    </row>
    <row r="1176" customFormat="false" ht="12.8" hidden="false" customHeight="false" outlineLevel="0" collapsed="false">
      <c r="B1176" s="0" t="s">
        <v>863</v>
      </c>
    </row>
    <row r="1178" customFormat="false" ht="12.8" hidden="false" customHeight="false" outlineLevel="0" collapsed="false">
      <c r="A1178" s="0" t="s">
        <v>864</v>
      </c>
      <c r="B1178" s="0" t="str">
        <f aca="false">HYPERLINK("https://lindat.mff.cuni.cz/services/teitok/pdtc10/index.php?action=vallex&amp;frame=v-w243f54", "být (v-w243f54)")</f>
        <v>být (v-w243f54)</v>
      </c>
    </row>
    <row r="1179" customFormat="false" ht="12.8" hidden="false" customHeight="false" outlineLevel="0" collapsed="false">
      <c r="B1179" s="0" t="s">
        <v>865</v>
      </c>
    </row>
    <row r="1181" customFormat="false" ht="12.8" hidden="false" customHeight="false" outlineLevel="0" collapsed="false">
      <c r="A1181" s="0" t="s">
        <v>866</v>
      </c>
      <c r="B1181" s="0" t="str">
        <f aca="false">HYPERLINK("https://lindat.mff.cuni.cz/services/teitok/pdtc10/index.php?action=vallex&amp;frame=v-w243f34", "být (v-w243f34)")</f>
        <v>být (v-w243f34)</v>
      </c>
    </row>
    <row r="1182" customFormat="false" ht="12.8" hidden="false" customHeight="false" outlineLevel="0" collapsed="false">
      <c r="B1182" s="0" t="s">
        <v>867</v>
      </c>
    </row>
    <row r="1184" customFormat="false" ht="12.8" hidden="false" customHeight="false" outlineLevel="0" collapsed="false">
      <c r="A1184" s="0" t="s">
        <v>868</v>
      </c>
      <c r="B1184" s="0" t="str">
        <f aca="false">HYPERLINK("https://lindat.mff.cuni.cz/services/teitok/pdtc10/index.php?action=vallex&amp;frame=v-w243f6", "být (v-w243f6)")</f>
        <v>být (v-w243f6)</v>
      </c>
    </row>
    <row r="1185" customFormat="false" ht="12.8" hidden="false" customHeight="false" outlineLevel="0" collapsed="false">
      <c r="B1185" s="0" t="s">
        <v>725</v>
      </c>
    </row>
    <row r="1186" customFormat="false" ht="12.8" hidden="false" customHeight="false" outlineLevel="0" collapsed="false">
      <c r="B1186" s="0" t="s">
        <v>642</v>
      </c>
    </row>
    <row r="1187" customFormat="false" ht="12.8" hidden="false" customHeight="false" outlineLevel="0" collapsed="false">
      <c r="B1187" s="0" t="s">
        <v>646</v>
      </c>
    </row>
    <row r="1188" customFormat="false" ht="12.8" hidden="false" customHeight="false" outlineLevel="0" collapsed="false">
      <c r="B1188" s="0" t="s">
        <v>648</v>
      </c>
    </row>
    <row r="1189" customFormat="false" ht="12.8" hidden="false" customHeight="false" outlineLevel="0" collapsed="false">
      <c r="B1189" s="0" t="s">
        <v>650</v>
      </c>
    </row>
    <row r="1190" customFormat="false" ht="12.8" hidden="false" customHeight="false" outlineLevel="0" collapsed="false">
      <c r="B1190" s="0" t="s">
        <v>652</v>
      </c>
    </row>
    <row r="1192" customFormat="false" ht="12.8" hidden="false" customHeight="false" outlineLevel="0" collapsed="false">
      <c r="A1192" s="0" t="s">
        <v>869</v>
      </c>
      <c r="B1192" s="0" t="str">
        <f aca="false">HYPERLINK("https://lindat.mff.cuni.cz/services/teitok/pdtc10/index.php?action=vallex&amp;frame=v-w243f13", "být (v-w243f13)")</f>
        <v>být (v-w243f13)</v>
      </c>
    </row>
    <row r="1193" customFormat="false" ht="12.8" hidden="false" customHeight="false" outlineLevel="0" collapsed="false">
      <c r="B1193" s="0" t="s">
        <v>870</v>
      </c>
    </row>
    <row r="1194" customFormat="false" ht="12.8" hidden="false" customHeight="false" outlineLevel="0" collapsed="false">
      <c r="B1194" s="0" t="s">
        <v>871</v>
      </c>
    </row>
    <row r="1195" customFormat="false" ht="12.8" hidden="false" customHeight="false" outlineLevel="0" collapsed="false">
      <c r="B1195" s="0" t="s">
        <v>52</v>
      </c>
    </row>
    <row r="1197" customFormat="false" ht="12.8" hidden="false" customHeight="false" outlineLevel="0" collapsed="false">
      <c r="A1197" s="0" t="s">
        <v>872</v>
      </c>
      <c r="B1197" s="0" t="str">
        <f aca="false">HYPERLINK("https://lindat.mff.cuni.cz/services/teitok/pdtc10/index.php?action=vallex&amp;frame=v-w243f17", "být (v-w243f17)")</f>
        <v>být (v-w243f17)</v>
      </c>
    </row>
    <row r="1198" customFormat="false" ht="12.8" hidden="false" customHeight="false" outlineLevel="0" collapsed="false">
      <c r="B1198" s="0" t="s">
        <v>873</v>
      </c>
    </row>
    <row r="1199" customFormat="false" ht="12.8" hidden="false" customHeight="false" outlineLevel="0" collapsed="false">
      <c r="B1199" s="0" t="s">
        <v>874</v>
      </c>
    </row>
    <row r="1200" customFormat="false" ht="12.8" hidden="false" customHeight="false" outlineLevel="0" collapsed="false">
      <c r="B1200" s="0" t="s">
        <v>52</v>
      </c>
    </row>
    <row r="1202" customFormat="false" ht="12.8" hidden="false" customHeight="false" outlineLevel="0" collapsed="false">
      <c r="A1202" s="0" t="s">
        <v>875</v>
      </c>
      <c r="B1202" s="0" t="str">
        <f aca="false">HYPERLINK("https://lindat.mff.cuni.cz/services/teitok/pdtc10/index.php?action=vallex&amp;frame=v-w243f185_MM", "být (v-w243f185_MM)")</f>
        <v>být (v-w243f185_MM)</v>
      </c>
    </row>
    <row r="1203" customFormat="false" ht="12.8" hidden="false" customHeight="false" outlineLevel="0" collapsed="false">
      <c r="B1203" s="0" t="s">
        <v>876</v>
      </c>
    </row>
    <row r="1204" customFormat="false" ht="12.8" hidden="false" customHeight="false" outlineLevel="0" collapsed="false">
      <c r="B1204" s="0" t="s">
        <v>877</v>
      </c>
    </row>
    <row r="1206" customFormat="false" ht="12.8" hidden="false" customHeight="false" outlineLevel="0" collapsed="false">
      <c r="A1206" s="0" t="s">
        <v>875</v>
      </c>
      <c r="B1206" s="0" t="str">
        <f aca="false">HYPERLINK("https://lindat.mff.cuni.cz/services/teitok/pdtc10/index.php?action=vallex&amp;frame=v-w243f124_ZU", "být (v-w243f124_ZU) - substituted with v-w243f185_MM")</f>
        <v>být (v-w243f124_ZU) - substituted with v-w243f185_MM</v>
      </c>
    </row>
    <row r="1207" customFormat="false" ht="12.8" hidden="false" customHeight="false" outlineLevel="0" collapsed="false">
      <c r="B1207" s="0" t="s">
        <v>876</v>
      </c>
    </row>
    <row r="1208" customFormat="false" ht="12.8" hidden="false" customHeight="false" outlineLevel="0" collapsed="false">
      <c r="B1208" s="0" t="s">
        <v>877</v>
      </c>
    </row>
    <row r="1210" customFormat="false" ht="12.8" hidden="false" customHeight="false" outlineLevel="0" collapsed="false">
      <c r="A1210" s="0" t="s">
        <v>875</v>
      </c>
      <c r="B1210" s="0" t="str">
        <f aca="false">HYPERLINK("https://lindat.mff.cuni.cz/services/teitok/pdtc10/index.php?action=vallex&amp;frame=v-w243f3", "být (v-w243f3) - substituted with v-w243f185_MM")</f>
        <v>být (v-w243f3) - substituted with v-w243f185_MM</v>
      </c>
    </row>
    <row r="1211" customFormat="false" ht="12.8" hidden="false" customHeight="false" outlineLevel="0" collapsed="false">
      <c r="B1211" s="0" t="s">
        <v>876</v>
      </c>
    </row>
    <row r="1212" customFormat="false" ht="12.8" hidden="false" customHeight="false" outlineLevel="0" collapsed="false">
      <c r="B1212" s="0" t="s">
        <v>877</v>
      </c>
    </row>
    <row r="1214" customFormat="false" ht="12.8" hidden="false" customHeight="false" outlineLevel="0" collapsed="false">
      <c r="A1214" s="0" t="s">
        <v>878</v>
      </c>
      <c r="B1214" s="0" t="str">
        <f aca="false">HYPERLINK("https://lindat.mff.cuni.cz/services/teitok/pdtc10/index.php?action=vallex&amp;frame=v-w243f125_ZU", "být (v-w243f125_ZU)")</f>
        <v>být (v-w243f125_ZU)</v>
      </c>
    </row>
    <row r="1215" customFormat="false" ht="12.8" hidden="false" customHeight="false" outlineLevel="0" collapsed="false">
      <c r="B1215" s="0" t="s">
        <v>879</v>
      </c>
    </row>
    <row r="1216" customFormat="false" ht="12.8" hidden="false" customHeight="false" outlineLevel="0" collapsed="false">
      <c r="B1216" s="0" t="s">
        <v>880</v>
      </c>
    </row>
    <row r="1218" customFormat="false" ht="12.8" hidden="false" customHeight="false" outlineLevel="0" collapsed="false">
      <c r="A1218" s="0" t="s">
        <v>878</v>
      </c>
      <c r="B1218" s="0" t="str">
        <f aca="false">HYPERLINK("https://lindat.mff.cuni.cz/services/teitok/pdtc10/index.php?action=vallex&amp;frame=v-w243f4", "být (v-w243f4) - substituted with v-w243f125_ZU")</f>
        <v>být (v-w243f4) - substituted with v-w243f125_ZU</v>
      </c>
    </row>
    <row r="1219" customFormat="false" ht="12.8" hidden="false" customHeight="false" outlineLevel="0" collapsed="false">
      <c r="B1219" s="0" t="s">
        <v>879</v>
      </c>
    </row>
    <row r="1220" customFormat="false" ht="12.8" hidden="false" customHeight="false" outlineLevel="0" collapsed="false">
      <c r="B1220" s="0" t="s">
        <v>880</v>
      </c>
    </row>
    <row r="1222" customFormat="false" ht="12.8" hidden="false" customHeight="false" outlineLevel="0" collapsed="false">
      <c r="A1222" s="0" t="s">
        <v>878</v>
      </c>
      <c r="B1222" s="0" t="str">
        <f aca="false">HYPERLINK("https://lindat.mff.cuni.cz/services/teitok/pdtc10/index.php?action=vallex&amp;frame=v-w243f58_ZU", "být (v-w243f58_ZU) - substituted with v-w243f125_ZU")</f>
        <v>být (v-w243f58_ZU) - substituted with v-w243f125_ZU</v>
      </c>
    </row>
    <row r="1223" customFormat="false" ht="12.8" hidden="false" customHeight="false" outlineLevel="0" collapsed="false">
      <c r="B1223" s="0" t="s">
        <v>879</v>
      </c>
    </row>
    <row r="1224" customFormat="false" ht="12.8" hidden="false" customHeight="false" outlineLevel="0" collapsed="false">
      <c r="B1224" s="0" t="s">
        <v>880</v>
      </c>
    </row>
    <row r="1226" customFormat="false" ht="12.8" hidden="false" customHeight="false" outlineLevel="0" collapsed="false">
      <c r="A1226" s="0" t="s">
        <v>878</v>
      </c>
      <c r="B1226" s="0" t="str">
        <f aca="false">HYPERLINK("https://lindat.mff.cuni.cz/services/teitok/pdtc10/index.php?action=vallex&amp;frame=v-w243hsa_84", "být (v-w243hsa_84) - substituted with v-w243f125_ZU")</f>
        <v>být (v-w243hsa_84) - substituted with v-w243f125_ZU</v>
      </c>
    </row>
    <row r="1227" customFormat="false" ht="12.8" hidden="false" customHeight="false" outlineLevel="0" collapsed="false">
      <c r="B1227" s="0" t="s">
        <v>879</v>
      </c>
    </row>
    <row r="1228" customFormat="false" ht="12.8" hidden="false" customHeight="false" outlineLevel="0" collapsed="false">
      <c r="B1228" s="0" t="s">
        <v>880</v>
      </c>
    </row>
    <row r="1230" customFormat="false" ht="12.8" hidden="false" customHeight="false" outlineLevel="0" collapsed="false">
      <c r="A1230" s="0" t="s">
        <v>881</v>
      </c>
      <c r="B1230" s="0" t="str">
        <f aca="false">HYPERLINK("https://lindat.mff.cuni.cz/services/teitok/pdtc10/index.php?action=vallex&amp;frame=v-w243f118_ZU", "být (v-w243f118_ZU)")</f>
        <v>být (v-w243f118_ZU)</v>
      </c>
    </row>
    <row r="1231" customFormat="false" ht="12.8" hidden="false" customHeight="false" outlineLevel="0" collapsed="false">
      <c r="B1231" s="0" t="s">
        <v>1</v>
      </c>
    </row>
    <row r="1232" customFormat="false" ht="12.8" hidden="false" customHeight="false" outlineLevel="0" collapsed="false">
      <c r="B1232" s="0" t="s">
        <v>882</v>
      </c>
    </row>
    <row r="1233" customFormat="false" ht="12.8" hidden="false" customHeight="false" outlineLevel="0" collapsed="false">
      <c r="B1233" s="0" t="s">
        <v>883</v>
      </c>
    </row>
    <row r="1234" customFormat="false" ht="12.8" hidden="false" customHeight="false" outlineLevel="0" collapsed="false">
      <c r="B1234" s="0" t="s">
        <v>276</v>
      </c>
    </row>
    <row r="1236" customFormat="false" ht="12.8" hidden="false" customHeight="false" outlineLevel="0" collapsed="false">
      <c r="A1236" s="0" t="s">
        <v>881</v>
      </c>
      <c r="B1236" s="0" t="str">
        <f aca="false">HYPERLINK("https://lindat.mff.cuni.cz/services/teitok/pdtc10/index.php?action=vallex&amp;frame=v-w243f72_ZU", "být (v-w243f72_ZU) - substituted with v-w243f118_ZU")</f>
        <v>být (v-w243f72_ZU) - substituted with v-w243f118_ZU</v>
      </c>
    </row>
    <row r="1237" customFormat="false" ht="12.8" hidden="false" customHeight="false" outlineLevel="0" collapsed="false">
      <c r="B1237" s="0" t="s">
        <v>1</v>
      </c>
    </row>
    <row r="1238" customFormat="false" ht="12.8" hidden="false" customHeight="false" outlineLevel="0" collapsed="false">
      <c r="B1238" s="0" t="s">
        <v>882</v>
      </c>
    </row>
    <row r="1239" customFormat="false" ht="12.8" hidden="false" customHeight="false" outlineLevel="0" collapsed="false">
      <c r="B1239" s="0" t="s">
        <v>883</v>
      </c>
    </row>
    <row r="1240" customFormat="false" ht="12.8" hidden="false" customHeight="false" outlineLevel="0" collapsed="false">
      <c r="B1240" s="0" t="s">
        <v>276</v>
      </c>
    </row>
    <row r="1242" customFormat="false" ht="12.8" hidden="false" customHeight="false" outlineLevel="0" collapsed="false">
      <c r="A1242" s="0" t="s">
        <v>881</v>
      </c>
      <c r="B1242" s="0" t="str">
        <f aca="false">HYPERLINK("https://lindat.mff.cuni.cz/services/teitok/pdtc10/index.php?action=vallex&amp;frame=v-w243f75_ZU", "být (v-w243f75_ZU) - substituted with v-w243f118_ZU")</f>
        <v>být (v-w243f75_ZU) - substituted with v-w243f118_ZU</v>
      </c>
    </row>
    <row r="1243" customFormat="false" ht="12.8" hidden="false" customHeight="false" outlineLevel="0" collapsed="false">
      <c r="B1243" s="0" t="s">
        <v>1</v>
      </c>
    </row>
    <row r="1244" customFormat="false" ht="12.8" hidden="false" customHeight="false" outlineLevel="0" collapsed="false">
      <c r="B1244" s="0" t="s">
        <v>882</v>
      </c>
    </row>
    <row r="1245" customFormat="false" ht="12.8" hidden="false" customHeight="false" outlineLevel="0" collapsed="false">
      <c r="B1245" s="0" t="s">
        <v>883</v>
      </c>
    </row>
    <row r="1246" customFormat="false" ht="12.8" hidden="false" customHeight="false" outlineLevel="0" collapsed="false">
      <c r="B1246" s="0" t="s">
        <v>276</v>
      </c>
    </row>
    <row r="1248" customFormat="false" ht="12.8" hidden="false" customHeight="false" outlineLevel="0" collapsed="false">
      <c r="A1248" s="0" t="s">
        <v>884</v>
      </c>
      <c r="B1248" s="0" t="str">
        <f aca="false">HYPERLINK("https://lindat.mff.cuni.cz/services/teitok/pdtc10/index.php?action=vallex&amp;frame=v-w243f36", "být (v-w243f36)")</f>
        <v>být (v-w243f36)</v>
      </c>
    </row>
    <row r="1249" customFormat="false" ht="12.8" hidden="false" customHeight="false" outlineLevel="0" collapsed="false">
      <c r="B1249" s="0" t="s">
        <v>1</v>
      </c>
    </row>
    <row r="1250" customFormat="false" ht="12.8" hidden="false" customHeight="false" outlineLevel="0" collapsed="false">
      <c r="B1250" s="0" t="s">
        <v>885</v>
      </c>
    </row>
    <row r="1251" customFormat="false" ht="12.8" hidden="false" customHeight="false" outlineLevel="0" collapsed="false">
      <c r="B1251" s="0" t="s">
        <v>886</v>
      </c>
    </row>
    <row r="1253" customFormat="false" ht="12.8" hidden="false" customHeight="false" outlineLevel="0" collapsed="false">
      <c r="A1253" s="0" t="s">
        <v>887</v>
      </c>
      <c r="B1253" s="0" t="str">
        <f aca="false">HYPERLINK("https://lindat.mff.cuni.cz/services/teitok/pdtc10/index.php?action=vallex&amp;frame=v-w243f12", "být (v-w243f12)")</f>
        <v>být (v-w243f12)</v>
      </c>
      <c r="E1253" s="0" t="str">
        <f aca="false">HYPERLINK("https://lindat.mff.cuni.cz/services/SynSemClass40/SynSemClass40.html?veclass=vec01455#vec01455-ces-cm00001", "vec01455")</f>
        <v>vec01455</v>
      </c>
      <c r="F1253" s="0" t="s">
        <v>888</v>
      </c>
    </row>
    <row r="1254" customFormat="false" ht="12.8" hidden="false" customHeight="false" outlineLevel="0" collapsed="false">
      <c r="B1254" s="0" t="s">
        <v>1</v>
      </c>
      <c r="C1254" s="0" t="s">
        <v>889</v>
      </c>
      <c r="E1254" s="0" t="s">
        <v>11</v>
      </c>
      <c r="F1254" s="0" t="s">
        <v>890</v>
      </c>
    </row>
    <row r="1255" customFormat="false" ht="12.8" hidden="false" customHeight="false" outlineLevel="0" collapsed="false">
      <c r="B1255" s="0" t="s">
        <v>891</v>
      </c>
    </row>
    <row r="1256" customFormat="false" ht="12.8" hidden="false" customHeight="false" outlineLevel="0" collapsed="false">
      <c r="B1256" s="0" t="s">
        <v>886</v>
      </c>
      <c r="C1256" s="0" t="s">
        <v>892</v>
      </c>
      <c r="E1256" s="0" t="s">
        <v>893</v>
      </c>
      <c r="F1256" s="0" t="s">
        <v>894</v>
      </c>
    </row>
    <row r="1258" customFormat="false" ht="12.8" hidden="false" customHeight="false" outlineLevel="0" collapsed="false">
      <c r="A1258" s="0" t="s">
        <v>895</v>
      </c>
      <c r="B1258" s="0" t="str">
        <f aca="false">HYPERLINK("https://lindat.mff.cuni.cz/services/teitok/pdtc10/index.php?action=vallex&amp;frame=v-w243f43", "být (v-w243f43)")</f>
        <v>být (v-w243f43)</v>
      </c>
    </row>
    <row r="1259" customFormat="false" ht="12.8" hidden="false" customHeight="false" outlineLevel="0" collapsed="false">
      <c r="B1259" s="0" t="s">
        <v>1</v>
      </c>
    </row>
    <row r="1260" customFormat="false" ht="12.8" hidden="false" customHeight="false" outlineLevel="0" collapsed="false">
      <c r="B1260" s="0" t="s">
        <v>896</v>
      </c>
    </row>
    <row r="1261" customFormat="false" ht="12.8" hidden="false" customHeight="false" outlineLevel="0" collapsed="false">
      <c r="B1261" s="0" t="s">
        <v>721</v>
      </c>
    </row>
    <row r="1263" customFormat="false" ht="12.8" hidden="false" customHeight="false" outlineLevel="0" collapsed="false">
      <c r="A1263" s="0" t="s">
        <v>897</v>
      </c>
      <c r="B1263" s="0" t="str">
        <f aca="false">HYPERLINK("https://lindat.mff.cuni.cz/services/teitok/pdtc10/index.php?action=vallex&amp;frame=v-w243f122_ZU", "být (v-w243f122_ZU)")</f>
        <v>být (v-w243f122_ZU)</v>
      </c>
    </row>
    <row r="1264" customFormat="false" ht="12.8" hidden="false" customHeight="false" outlineLevel="0" collapsed="false">
      <c r="B1264" s="0" t="s">
        <v>1</v>
      </c>
    </row>
    <row r="1265" customFormat="false" ht="12.8" hidden="false" customHeight="false" outlineLevel="0" collapsed="false">
      <c r="B1265" s="0" t="s">
        <v>898</v>
      </c>
    </row>
    <row r="1266" customFormat="false" ht="12.8" hidden="false" customHeight="false" outlineLevel="0" collapsed="false">
      <c r="B1266" s="0" t="s">
        <v>186</v>
      </c>
    </row>
    <row r="1268" customFormat="false" ht="12.8" hidden="false" customHeight="false" outlineLevel="0" collapsed="false">
      <c r="A1268" s="0" t="s">
        <v>897</v>
      </c>
      <c r="B1268" s="0" t="str">
        <f aca="false">HYPERLINK("https://lindat.mff.cuni.cz/services/teitok/pdtc10/index.php?action=vallex&amp;frame=v-w243f100_ZU", "být (v-w243f100_ZU) - substituted with v-w243f122_ZU")</f>
        <v>být (v-w243f100_ZU) - substituted with v-w243f122_ZU</v>
      </c>
    </row>
    <row r="1269" customFormat="false" ht="12.8" hidden="false" customHeight="false" outlineLevel="0" collapsed="false">
      <c r="B1269" s="0" t="s">
        <v>1</v>
      </c>
    </row>
    <row r="1270" customFormat="false" ht="12.8" hidden="false" customHeight="false" outlineLevel="0" collapsed="false">
      <c r="B1270" s="0" t="s">
        <v>898</v>
      </c>
    </row>
    <row r="1271" customFormat="false" ht="12.8" hidden="false" customHeight="false" outlineLevel="0" collapsed="false">
      <c r="B1271" s="0" t="s">
        <v>186</v>
      </c>
    </row>
    <row r="1273" customFormat="false" ht="12.8" hidden="false" customHeight="false" outlineLevel="0" collapsed="false">
      <c r="A1273" s="0" t="s">
        <v>897</v>
      </c>
      <c r="B1273" s="0" t="str">
        <f aca="false">HYPERLINK("https://lindat.mff.cuni.cz/services/teitok/pdtc10/index.php?action=vallex&amp;frame=v-w243f121_ZU", "být (v-w243f121_ZU) - substituted with v-w243f122_ZU")</f>
        <v>být (v-w243f121_ZU) - substituted with v-w243f122_ZU</v>
      </c>
    </row>
    <row r="1274" customFormat="false" ht="12.8" hidden="false" customHeight="false" outlineLevel="0" collapsed="false">
      <c r="B1274" s="0" t="s">
        <v>1</v>
      </c>
    </row>
    <row r="1275" customFormat="false" ht="12.8" hidden="false" customHeight="false" outlineLevel="0" collapsed="false">
      <c r="B1275" s="0" t="s">
        <v>898</v>
      </c>
    </row>
    <row r="1276" customFormat="false" ht="12.8" hidden="false" customHeight="false" outlineLevel="0" collapsed="false">
      <c r="B1276" s="0" t="s">
        <v>186</v>
      </c>
    </row>
    <row r="1278" customFormat="false" ht="12.8" hidden="false" customHeight="false" outlineLevel="0" collapsed="false">
      <c r="A1278" s="0" t="s">
        <v>897</v>
      </c>
      <c r="B1278" s="0" t="str">
        <f aca="false">HYPERLINK("https://lindat.mff.cuni.cz/services/teitok/pdtc10/index.php?action=vallex&amp;frame=v-w243f62_ZU", "být (v-w243f62_ZU) - substituted with v-w243f122_ZU")</f>
        <v>být (v-w243f62_ZU) - substituted with v-w243f122_ZU</v>
      </c>
    </row>
    <row r="1279" customFormat="false" ht="12.8" hidden="false" customHeight="false" outlineLevel="0" collapsed="false">
      <c r="B1279" s="0" t="s">
        <v>1</v>
      </c>
    </row>
    <row r="1280" customFormat="false" ht="12.8" hidden="false" customHeight="false" outlineLevel="0" collapsed="false">
      <c r="B1280" s="0" t="s">
        <v>898</v>
      </c>
    </row>
    <row r="1281" customFormat="false" ht="12.8" hidden="false" customHeight="false" outlineLevel="0" collapsed="false">
      <c r="B1281" s="0" t="s">
        <v>186</v>
      </c>
    </row>
    <row r="1283" customFormat="false" ht="12.8" hidden="false" customHeight="false" outlineLevel="0" collapsed="false">
      <c r="A1283" s="0" t="s">
        <v>897</v>
      </c>
      <c r="B1283" s="0" t="str">
        <f aca="false">HYPERLINK("https://lindat.mff.cuni.cz/services/teitok/pdtc10/index.php?action=vallex&amp;frame=v-w243f63_ZU", "být (v-w243f63_ZU) - substituted with v-w243f122_ZU")</f>
        <v>být (v-w243f63_ZU) - substituted with v-w243f122_ZU</v>
      </c>
    </row>
    <row r="1284" customFormat="false" ht="12.8" hidden="false" customHeight="false" outlineLevel="0" collapsed="false">
      <c r="B1284" s="0" t="s">
        <v>1</v>
      </c>
    </row>
    <row r="1285" customFormat="false" ht="12.8" hidden="false" customHeight="false" outlineLevel="0" collapsed="false">
      <c r="B1285" s="0" t="s">
        <v>898</v>
      </c>
    </row>
    <row r="1286" customFormat="false" ht="12.8" hidden="false" customHeight="false" outlineLevel="0" collapsed="false">
      <c r="B1286" s="0" t="s">
        <v>186</v>
      </c>
    </row>
    <row r="1288" customFormat="false" ht="12.8" hidden="false" customHeight="false" outlineLevel="0" collapsed="false">
      <c r="A1288" s="0" t="s">
        <v>899</v>
      </c>
      <c r="B1288" s="0" t="str">
        <f aca="false">HYPERLINK("https://lindat.mff.cuni.cz/services/teitok/pdtc10/index.php?action=vallex&amp;frame=v-w243f61_ZU", "být (v-w243f61_ZU)")</f>
        <v>být (v-w243f61_ZU)</v>
      </c>
    </row>
    <row r="1289" customFormat="false" ht="12.8" hidden="false" customHeight="false" outlineLevel="0" collapsed="false">
      <c r="B1289" s="0" t="s">
        <v>1</v>
      </c>
    </row>
    <row r="1290" customFormat="false" ht="12.8" hidden="false" customHeight="false" outlineLevel="0" collapsed="false">
      <c r="B1290" s="0" t="s">
        <v>900</v>
      </c>
    </row>
    <row r="1291" customFormat="false" ht="12.8" hidden="false" customHeight="false" outlineLevel="0" collapsed="false">
      <c r="B1291" s="0" t="s">
        <v>45</v>
      </c>
    </row>
    <row r="1293" customFormat="false" ht="12.8" hidden="false" customHeight="false" outlineLevel="0" collapsed="false">
      <c r="A1293" s="0" t="s">
        <v>901</v>
      </c>
      <c r="B1293" s="0" t="str">
        <f aca="false">HYPERLINK("https://lindat.mff.cuni.cz/services/teitok/pdtc10/index.php?action=vallex&amp;frame=v-w243f127_ZU", "být (v-w243f127_ZU)")</f>
        <v>být (v-w243f127_ZU)</v>
      </c>
    </row>
    <row r="1294" customFormat="false" ht="12.8" hidden="false" customHeight="false" outlineLevel="0" collapsed="false">
      <c r="B1294" s="0" t="s">
        <v>1</v>
      </c>
    </row>
    <row r="1295" customFormat="false" ht="12.8" hidden="false" customHeight="false" outlineLevel="0" collapsed="false">
      <c r="B1295" s="0" t="s">
        <v>902</v>
      </c>
    </row>
    <row r="1296" customFormat="false" ht="12.8" hidden="false" customHeight="false" outlineLevel="0" collapsed="false">
      <c r="B1296" s="0" t="s">
        <v>903</v>
      </c>
    </row>
    <row r="1298" customFormat="false" ht="12.8" hidden="false" customHeight="false" outlineLevel="0" collapsed="false">
      <c r="A1298" s="0" t="s">
        <v>901</v>
      </c>
      <c r="B1298" s="0" t="str">
        <f aca="false">HYPERLINK("https://lindat.mff.cuni.cz/services/teitok/pdtc10/index.php?action=vallex&amp;frame=v-w243f126_ZU", "být (v-w243f126_ZU) - substituted with v-w243f127_ZU")</f>
        <v>být (v-w243f126_ZU) - substituted with v-w243f127_ZU</v>
      </c>
    </row>
    <row r="1299" customFormat="false" ht="12.8" hidden="false" customHeight="false" outlineLevel="0" collapsed="false">
      <c r="B1299" s="0" t="s">
        <v>1</v>
      </c>
    </row>
    <row r="1300" customFormat="false" ht="12.8" hidden="false" customHeight="false" outlineLevel="0" collapsed="false">
      <c r="B1300" s="0" t="s">
        <v>902</v>
      </c>
    </row>
    <row r="1301" customFormat="false" ht="12.8" hidden="false" customHeight="false" outlineLevel="0" collapsed="false">
      <c r="B1301" s="0" t="s">
        <v>903</v>
      </c>
    </row>
    <row r="1303" customFormat="false" ht="12.8" hidden="false" customHeight="false" outlineLevel="0" collapsed="false">
      <c r="A1303" s="0" t="s">
        <v>901</v>
      </c>
      <c r="B1303" s="0" t="str">
        <f aca="false">HYPERLINK("https://lindat.mff.cuni.cz/services/teitok/pdtc10/index.php?action=vallex&amp;frame=v-w243f66_ZU", "být (v-w243f66_ZU) - substituted with v-w243f127_ZU")</f>
        <v>být (v-w243f66_ZU) - substituted with v-w243f127_ZU</v>
      </c>
    </row>
    <row r="1304" customFormat="false" ht="12.8" hidden="false" customHeight="false" outlineLevel="0" collapsed="false">
      <c r="B1304" s="0" t="s">
        <v>1</v>
      </c>
    </row>
    <row r="1305" customFormat="false" ht="12.8" hidden="false" customHeight="false" outlineLevel="0" collapsed="false">
      <c r="B1305" s="0" t="s">
        <v>902</v>
      </c>
    </row>
    <row r="1306" customFormat="false" ht="12.8" hidden="false" customHeight="false" outlineLevel="0" collapsed="false">
      <c r="B1306" s="0" t="s">
        <v>903</v>
      </c>
    </row>
    <row r="1308" customFormat="false" ht="12.8" hidden="false" customHeight="false" outlineLevel="0" collapsed="false">
      <c r="A1308" s="0" t="s">
        <v>901</v>
      </c>
      <c r="B1308" s="0" t="str">
        <f aca="false">HYPERLINK("https://lindat.mff.cuni.cz/services/teitok/pdtc10/index.php?action=vallex&amp;frame=v-w243f67_ZU", "být (v-w243f67_ZU) - substituted with v-w243f127_ZU")</f>
        <v>být (v-w243f67_ZU) - substituted with v-w243f127_ZU</v>
      </c>
    </row>
    <row r="1309" customFormat="false" ht="12.8" hidden="false" customHeight="false" outlineLevel="0" collapsed="false">
      <c r="B1309" s="0" t="s">
        <v>1</v>
      </c>
    </row>
    <row r="1310" customFormat="false" ht="12.8" hidden="false" customHeight="false" outlineLevel="0" collapsed="false">
      <c r="B1310" s="0" t="s">
        <v>902</v>
      </c>
    </row>
    <row r="1311" customFormat="false" ht="12.8" hidden="false" customHeight="false" outlineLevel="0" collapsed="false">
      <c r="B1311" s="0" t="s">
        <v>903</v>
      </c>
    </row>
    <row r="1313" customFormat="false" ht="12.8" hidden="false" customHeight="false" outlineLevel="0" collapsed="false">
      <c r="A1313" s="0" t="s">
        <v>901</v>
      </c>
      <c r="B1313" s="0" t="str">
        <f aca="false">HYPERLINK("https://lindat.mff.cuni.cz/services/teitok/pdtc10/index.php?action=vallex&amp;frame=v-w243f82_ZU", "být (v-w243f82_ZU) - substituted with v-w243f127_ZU")</f>
        <v>být (v-w243f82_ZU) - substituted with v-w243f127_ZU</v>
      </c>
    </row>
    <row r="1314" customFormat="false" ht="12.8" hidden="false" customHeight="false" outlineLevel="0" collapsed="false">
      <c r="B1314" s="0" t="s">
        <v>1</v>
      </c>
    </row>
    <row r="1315" customFormat="false" ht="12.8" hidden="false" customHeight="false" outlineLevel="0" collapsed="false">
      <c r="B1315" s="0" t="s">
        <v>902</v>
      </c>
    </row>
    <row r="1316" customFormat="false" ht="12.8" hidden="false" customHeight="false" outlineLevel="0" collapsed="false">
      <c r="B1316" s="0" t="s">
        <v>903</v>
      </c>
    </row>
    <row r="1318" customFormat="false" ht="12.8" hidden="false" customHeight="false" outlineLevel="0" collapsed="false">
      <c r="A1318" s="0" t="s">
        <v>904</v>
      </c>
      <c r="B1318" s="0" t="str">
        <f aca="false">HYPERLINK("https://lindat.mff.cuni.cz/services/teitok/pdtc10/index.php?action=vallex&amp;frame=v-w243f57_ZU", "být (v-w243f57_ZU)")</f>
        <v>být (v-w243f57_ZU)</v>
      </c>
    </row>
    <row r="1319" customFormat="false" ht="12.8" hidden="false" customHeight="false" outlineLevel="0" collapsed="false">
      <c r="B1319" s="0" t="s">
        <v>1</v>
      </c>
    </row>
    <row r="1320" customFormat="false" ht="12.8" hidden="false" customHeight="false" outlineLevel="0" collapsed="false">
      <c r="B1320" s="0" t="s">
        <v>905</v>
      </c>
    </row>
    <row r="1321" customFormat="false" ht="12.8" hidden="false" customHeight="false" outlineLevel="0" collapsed="false">
      <c r="B1321" s="0" t="s">
        <v>721</v>
      </c>
    </row>
    <row r="1323" customFormat="false" ht="12.8" hidden="false" customHeight="false" outlineLevel="0" collapsed="false">
      <c r="A1323" s="0" t="s">
        <v>906</v>
      </c>
      <c r="B1323" s="0" t="str">
        <f aca="false">HYPERLINK("https://lindat.mff.cuni.cz/services/teitok/pdtc10/index.php?action=vallex&amp;frame=v-w243f96_ZU", "být (v-w243f96_ZU)")</f>
        <v>být (v-w243f96_ZU)</v>
      </c>
    </row>
    <row r="1324" customFormat="false" ht="12.8" hidden="false" customHeight="false" outlineLevel="0" collapsed="false">
      <c r="B1324" s="0" t="s">
        <v>907</v>
      </c>
    </row>
    <row r="1325" customFormat="false" ht="12.8" hidden="false" customHeight="false" outlineLevel="0" collapsed="false">
      <c r="B1325" s="0" t="s">
        <v>908</v>
      </c>
    </row>
    <row r="1326" customFormat="false" ht="12.8" hidden="false" customHeight="false" outlineLevel="0" collapsed="false">
      <c r="B1326" s="0" t="s">
        <v>909</v>
      </c>
    </row>
    <row r="1328" customFormat="false" ht="12.8" hidden="false" customHeight="false" outlineLevel="0" collapsed="false">
      <c r="A1328" s="0" t="s">
        <v>906</v>
      </c>
      <c r="B1328" s="0" t="str">
        <f aca="false">HYPERLINK("https://lindat.mff.cuni.cz/services/teitok/pdtc10/index.php?action=vallex&amp;frame=v-w243f11", "být (v-w243f11) - substituted with v-w243f96_ZU")</f>
        <v>být (v-w243f11) - substituted with v-w243f96_ZU</v>
      </c>
    </row>
    <row r="1329" customFormat="false" ht="12.8" hidden="false" customHeight="false" outlineLevel="0" collapsed="false">
      <c r="B1329" s="0" t="s">
        <v>907</v>
      </c>
    </row>
    <row r="1330" customFormat="false" ht="12.8" hidden="false" customHeight="false" outlineLevel="0" collapsed="false">
      <c r="B1330" s="0" t="s">
        <v>908</v>
      </c>
    </row>
    <row r="1331" customFormat="false" ht="12.8" hidden="false" customHeight="false" outlineLevel="0" collapsed="false">
      <c r="B1331" s="0" t="s">
        <v>909</v>
      </c>
    </row>
    <row r="1333" customFormat="false" ht="12.8" hidden="false" customHeight="false" outlineLevel="0" collapsed="false">
      <c r="A1333" s="0" t="s">
        <v>910</v>
      </c>
      <c r="B1333" s="0" t="str">
        <f aca="false">HYPERLINK("https://lindat.mff.cuni.cz/services/teitok/pdtc10/index.php?action=vallex&amp;frame=v-w243f95_ZU", "být (v-w243f95_ZU)")</f>
        <v>být (v-w243f95_ZU)</v>
      </c>
      <c r="E1333" s="0" t="str">
        <f aca="false">HYPERLINK("https://lindat.mff.cuni.cz/services/SynSemClass40/SynSemClass40.html?veclass=vec00032#vec00032-ces-cm00191", "vec00032")</f>
        <v>vec00032</v>
      </c>
      <c r="F1333" s="0" t="s">
        <v>911</v>
      </c>
      <c r="H1333" s="0" t="str">
        <f aca="false">HYPERLINK("https://lindat.mff.cuni.cz/services/SynSemClass40/SynSemClass40.html?veclass=vec01320#vec01320-ces-cm00002", "vec01320")</f>
        <v>vec01320</v>
      </c>
      <c r="I1333" s="0" t="s">
        <v>912</v>
      </c>
    </row>
    <row r="1334" customFormat="false" ht="12.8" hidden="false" customHeight="false" outlineLevel="0" collapsed="false">
      <c r="B1334" s="0" t="s">
        <v>1</v>
      </c>
      <c r="C1334" s="0" t="s">
        <v>913</v>
      </c>
      <c r="E1334" s="0" t="s">
        <v>914</v>
      </c>
      <c r="F1334" s="0" t="s">
        <v>915</v>
      </c>
      <c r="H1334" s="0" t="s">
        <v>155</v>
      </c>
      <c r="I1334" s="0" t="s">
        <v>916</v>
      </c>
    </row>
    <row r="1335" customFormat="false" ht="12.8" hidden="false" customHeight="false" outlineLevel="0" collapsed="false">
      <c r="B1335" s="0" t="s">
        <v>917</v>
      </c>
    </row>
    <row r="1336" customFormat="false" ht="12.8" hidden="false" customHeight="false" outlineLevel="0" collapsed="false">
      <c r="B1336" s="0" t="s">
        <v>918</v>
      </c>
      <c r="C1336" s="0" t="s">
        <v>919</v>
      </c>
      <c r="E1336" s="0" t="s">
        <v>920</v>
      </c>
      <c r="F1336" s="0" t="s">
        <v>921</v>
      </c>
      <c r="H1336" s="0" t="s">
        <v>922</v>
      </c>
      <c r="I1336" s="0" t="s">
        <v>923</v>
      </c>
    </row>
    <row r="1338" customFormat="false" ht="12.8" hidden="false" customHeight="false" outlineLevel="0" collapsed="false">
      <c r="A1338" s="0" t="s">
        <v>910</v>
      </c>
      <c r="B1338" s="0" t="str">
        <f aca="false">HYPERLINK("https://lindat.mff.cuni.cz/services/teitok/pdtc10/index.php?action=vallex&amp;frame=v-w243f14", "být (v-w243f14) - substituted with v-w243f95_ZU")</f>
        <v>být (v-w243f14) - substituted with v-w243f95_ZU</v>
      </c>
    </row>
    <row r="1339" customFormat="false" ht="12.8" hidden="false" customHeight="false" outlineLevel="0" collapsed="false">
      <c r="B1339" s="0" t="s">
        <v>1</v>
      </c>
    </row>
    <row r="1340" customFormat="false" ht="12.8" hidden="false" customHeight="false" outlineLevel="0" collapsed="false">
      <c r="B1340" s="0" t="s">
        <v>917</v>
      </c>
    </row>
    <row r="1341" customFormat="false" ht="12.8" hidden="false" customHeight="false" outlineLevel="0" collapsed="false">
      <c r="B1341" s="0" t="s">
        <v>918</v>
      </c>
    </row>
    <row r="1343" customFormat="false" ht="12.8" hidden="false" customHeight="false" outlineLevel="0" collapsed="false">
      <c r="A1343" s="0" t="s">
        <v>924</v>
      </c>
      <c r="B1343" s="0" t="str">
        <f aca="false">HYPERLINK("https://lindat.mff.cuni.cz/services/teitok/pdtc10/index.php?action=vallex&amp;frame=v-w243f8", "být (v-w243f8)")</f>
        <v>být (v-w243f8)</v>
      </c>
      <c r="E1343" s="0" t="str">
        <f aca="false">HYPERLINK("https://lindat.mff.cuni.cz/services/SynSemClass40/SynSemClass40.html?veclass=vec00153#vec00153-ces-cm00036", "vec00153")</f>
        <v>vec00153</v>
      </c>
      <c r="F1343" s="0" t="s">
        <v>925</v>
      </c>
    </row>
    <row r="1344" customFormat="false" ht="12.8" hidden="false" customHeight="false" outlineLevel="0" collapsed="false">
      <c r="B1344" s="0" t="s">
        <v>1</v>
      </c>
      <c r="C1344" s="0" t="s">
        <v>926</v>
      </c>
      <c r="E1344" s="0" t="s">
        <v>11</v>
      </c>
      <c r="F1344" s="0" t="s">
        <v>927</v>
      </c>
    </row>
    <row r="1345" customFormat="false" ht="12.8" hidden="false" customHeight="false" outlineLevel="0" collapsed="false">
      <c r="B1345" s="0" t="s">
        <v>928</v>
      </c>
    </row>
    <row r="1346" customFormat="false" ht="12.8" hidden="false" customHeight="false" outlineLevel="0" collapsed="false">
      <c r="B1346" s="0" t="s">
        <v>852</v>
      </c>
      <c r="C1346" s="0" t="s">
        <v>929</v>
      </c>
      <c r="E1346" s="0" t="s">
        <v>930</v>
      </c>
      <c r="F1346" s="0" t="s">
        <v>931</v>
      </c>
    </row>
    <row r="1348" customFormat="false" ht="12.8" hidden="false" customHeight="false" outlineLevel="0" collapsed="false">
      <c r="A1348" s="0" t="s">
        <v>932</v>
      </c>
      <c r="B1348" s="0" t="str">
        <f aca="false">HYPERLINK("https://lindat.mff.cuni.cz/services/teitok/pdtc10/index.php?action=vallex&amp;frame=v-w243f94_ZU", "být (v-w243f94_ZU)")</f>
        <v>být (v-w243f94_ZU)</v>
      </c>
    </row>
    <row r="1349" customFormat="false" ht="12.8" hidden="false" customHeight="false" outlineLevel="0" collapsed="false">
      <c r="B1349" s="0" t="s">
        <v>861</v>
      </c>
    </row>
    <row r="1350" customFormat="false" ht="12.8" hidden="false" customHeight="false" outlineLevel="0" collapsed="false">
      <c r="B1350" s="0" t="s">
        <v>933</v>
      </c>
    </row>
    <row r="1351" customFormat="false" ht="12.8" hidden="false" customHeight="false" outlineLevel="0" collapsed="false">
      <c r="B1351" s="0" t="s">
        <v>855</v>
      </c>
    </row>
    <row r="1353" customFormat="false" ht="12.8" hidden="false" customHeight="false" outlineLevel="0" collapsed="false">
      <c r="A1353" s="0" t="s">
        <v>932</v>
      </c>
      <c r="B1353" s="0" t="str">
        <f aca="false">HYPERLINK("https://lindat.mff.cuni.cz/services/teitok/pdtc10/index.php?action=vallex&amp;frame=v-w243f93_ZU", "být (v-w243f93_ZU) - substituted with v-w243f94_ZU")</f>
        <v>být (v-w243f93_ZU) - substituted with v-w243f94_ZU</v>
      </c>
    </row>
    <row r="1354" customFormat="false" ht="12.8" hidden="false" customHeight="false" outlineLevel="0" collapsed="false">
      <c r="B1354" s="0" t="s">
        <v>861</v>
      </c>
    </row>
    <row r="1355" customFormat="false" ht="12.8" hidden="false" customHeight="false" outlineLevel="0" collapsed="false">
      <c r="B1355" s="0" t="s">
        <v>933</v>
      </c>
    </row>
    <row r="1356" customFormat="false" ht="12.8" hidden="false" customHeight="false" outlineLevel="0" collapsed="false">
      <c r="B1356" s="0" t="s">
        <v>855</v>
      </c>
    </row>
    <row r="1358" customFormat="false" ht="12.8" hidden="false" customHeight="false" outlineLevel="0" collapsed="false">
      <c r="A1358" s="0" t="s">
        <v>934</v>
      </c>
      <c r="B1358" s="0" t="str">
        <f aca="false">HYPERLINK("https://lindat.mff.cuni.cz/services/teitok/pdtc10/index.php?action=vallex&amp;frame=v-w243f87_ZU", "být (v-w243f87_ZU)")</f>
        <v>být (v-w243f87_ZU)</v>
      </c>
    </row>
    <row r="1359" customFormat="false" ht="12.8" hidden="false" customHeight="false" outlineLevel="0" collapsed="false">
      <c r="B1359" s="0" t="s">
        <v>935</v>
      </c>
    </row>
    <row r="1360" customFormat="false" ht="12.8" hidden="false" customHeight="false" outlineLevel="0" collapsed="false">
      <c r="B1360" s="0" t="s">
        <v>936</v>
      </c>
    </row>
    <row r="1361" customFormat="false" ht="12.8" hidden="false" customHeight="false" outlineLevel="0" collapsed="false">
      <c r="B1361" s="0" t="s">
        <v>855</v>
      </c>
    </row>
    <row r="1363" customFormat="false" ht="12.8" hidden="false" customHeight="false" outlineLevel="0" collapsed="false">
      <c r="A1363" s="0" t="s">
        <v>934</v>
      </c>
      <c r="B1363" s="0" t="str">
        <f aca="false">HYPERLINK("https://lindat.mff.cuni.cz/services/teitok/pdtc10/index.php?action=vallex&amp;frame=v-w243f81_ZU", "být (v-w243f81_ZU) - substituted with v-w243f87_ZU")</f>
        <v>být (v-w243f81_ZU) - substituted with v-w243f87_ZU</v>
      </c>
    </row>
    <row r="1364" customFormat="false" ht="12.8" hidden="false" customHeight="false" outlineLevel="0" collapsed="false">
      <c r="B1364" s="0" t="s">
        <v>935</v>
      </c>
    </row>
    <row r="1365" customFormat="false" ht="12.8" hidden="false" customHeight="false" outlineLevel="0" collapsed="false">
      <c r="B1365" s="0" t="s">
        <v>936</v>
      </c>
    </row>
    <row r="1366" customFormat="false" ht="12.8" hidden="false" customHeight="false" outlineLevel="0" collapsed="false">
      <c r="B1366" s="0" t="s">
        <v>855</v>
      </c>
    </row>
    <row r="1368" customFormat="false" ht="12.8" hidden="false" customHeight="false" outlineLevel="0" collapsed="false">
      <c r="A1368" s="0" t="s">
        <v>934</v>
      </c>
      <c r="B1368" s="0" t="str">
        <f aca="false">HYPERLINK("https://lindat.mff.cuni.cz/services/teitok/pdtc10/index.php?action=vallex&amp;frame=v-w243f86_ZU", "být (v-w243f86_ZU) - substituted with v-w243f87_ZU")</f>
        <v>být (v-w243f86_ZU) - substituted with v-w243f87_ZU</v>
      </c>
    </row>
    <row r="1369" customFormat="false" ht="12.8" hidden="false" customHeight="false" outlineLevel="0" collapsed="false">
      <c r="B1369" s="0" t="s">
        <v>935</v>
      </c>
    </row>
    <row r="1370" customFormat="false" ht="12.8" hidden="false" customHeight="false" outlineLevel="0" collapsed="false">
      <c r="B1370" s="0" t="s">
        <v>936</v>
      </c>
    </row>
    <row r="1371" customFormat="false" ht="12.8" hidden="false" customHeight="false" outlineLevel="0" collapsed="false">
      <c r="B1371" s="0" t="s">
        <v>855</v>
      </c>
    </row>
    <row r="1373" customFormat="false" ht="12.8" hidden="false" customHeight="false" outlineLevel="0" collapsed="false">
      <c r="A1373" s="0" t="s">
        <v>937</v>
      </c>
      <c r="B1373" s="0" t="str">
        <f aca="false">HYPERLINK("https://lindat.mff.cuni.cz/services/teitok/pdtc10/index.php?action=vallex&amp;frame=v-w243f92_ZU", "být (v-w243f92_ZU)")</f>
        <v>být (v-w243f92_ZU)</v>
      </c>
    </row>
    <row r="1374" customFormat="false" ht="12.8" hidden="false" customHeight="false" outlineLevel="0" collapsed="false">
      <c r="B1374" s="0" t="s">
        <v>938</v>
      </c>
    </row>
    <row r="1375" customFormat="false" ht="12.8" hidden="false" customHeight="false" outlineLevel="0" collapsed="false">
      <c r="B1375" s="0" t="s">
        <v>939</v>
      </c>
    </row>
    <row r="1376" customFormat="false" ht="12.8" hidden="false" customHeight="false" outlineLevel="0" collapsed="false">
      <c r="B1376" s="0" t="s">
        <v>855</v>
      </c>
    </row>
    <row r="1378" customFormat="false" ht="12.8" hidden="false" customHeight="false" outlineLevel="0" collapsed="false">
      <c r="A1378" s="0" t="s">
        <v>940</v>
      </c>
      <c r="B1378" s="0" t="str">
        <f aca="false">HYPERLINK("https://lindat.mff.cuni.cz/services/teitok/pdtc10/index.php?action=vallex&amp;frame=v-w243f28", "být (v-w243f28)")</f>
        <v>být (v-w243f28)</v>
      </c>
    </row>
    <row r="1379" customFormat="false" ht="12.8" hidden="false" customHeight="false" outlineLevel="0" collapsed="false">
      <c r="B1379" s="0" t="s">
        <v>941</v>
      </c>
    </row>
    <row r="1380" customFormat="false" ht="12.8" hidden="false" customHeight="false" outlineLevel="0" collapsed="false">
      <c r="B1380" s="0" t="s">
        <v>942</v>
      </c>
    </row>
    <row r="1382" customFormat="false" ht="12.8" hidden="false" customHeight="false" outlineLevel="0" collapsed="false">
      <c r="A1382" s="0" t="s">
        <v>943</v>
      </c>
      <c r="B1382" s="0" t="str">
        <f aca="false">HYPERLINK("https://lindat.mff.cuni.cz/services/teitok/pdtc10/index.php?action=vallex&amp;frame=v-w243f35", "být (v-w243f35)")</f>
        <v>být (v-w243f35)</v>
      </c>
    </row>
    <row r="1383" customFormat="false" ht="12.8" hidden="false" customHeight="false" outlineLevel="0" collapsed="false">
      <c r="B1383" s="0" t="s">
        <v>944</v>
      </c>
    </row>
    <row r="1384" customFormat="false" ht="12.8" hidden="false" customHeight="false" outlineLevel="0" collapsed="false">
      <c r="B1384" s="0" t="s">
        <v>945</v>
      </c>
    </row>
    <row r="1386" customFormat="false" ht="12.8" hidden="false" customHeight="false" outlineLevel="0" collapsed="false">
      <c r="A1386" s="0" t="s">
        <v>946</v>
      </c>
      <c r="B1386" s="0" t="str">
        <f aca="false">HYPERLINK("https://lindat.mff.cuni.cz/services/teitok/pdtc10/index.php?action=vallex&amp;frame=v-w243f9", "být (v-w243f9)")</f>
        <v>být (v-w243f9)</v>
      </c>
    </row>
    <row r="1387" customFormat="false" ht="12.8" hidden="false" customHeight="false" outlineLevel="0" collapsed="false">
      <c r="B1387" s="0" t="s">
        <v>947</v>
      </c>
    </row>
    <row r="1388" customFormat="false" ht="12.8" hidden="false" customHeight="false" outlineLevel="0" collapsed="false">
      <c r="B1388" s="0" t="s">
        <v>948</v>
      </c>
    </row>
    <row r="1390" customFormat="false" ht="12.8" hidden="false" customHeight="false" outlineLevel="0" collapsed="false">
      <c r="A1390" s="0" t="s">
        <v>949</v>
      </c>
      <c r="B1390" s="0" t="str">
        <f aca="false">HYPERLINK("https://lindat.mff.cuni.cz/services/teitok/pdtc10/index.php?action=vallex&amp;frame=v-w243f29", "být (v-w243f29)")</f>
        <v>být (v-w243f29)</v>
      </c>
    </row>
    <row r="1391" customFormat="false" ht="12.8" hidden="false" customHeight="false" outlineLevel="0" collapsed="false">
      <c r="B1391" s="0" t="s">
        <v>843</v>
      </c>
    </row>
    <row r="1392" customFormat="false" ht="12.8" hidden="false" customHeight="false" outlineLevel="0" collapsed="false">
      <c r="B1392" s="0" t="s">
        <v>950</v>
      </c>
    </row>
    <row r="1394" customFormat="false" ht="12.8" hidden="false" customHeight="false" outlineLevel="0" collapsed="false">
      <c r="A1394" s="0" t="s">
        <v>951</v>
      </c>
      <c r="B1394" s="0" t="str">
        <f aca="false">HYPERLINK("https://lindat.mff.cuni.cz/services/teitok/pdtc10/index.php?action=vallex&amp;frame=v-w243f51", "být (v-w243f51)")</f>
        <v>být (v-w243f51)</v>
      </c>
    </row>
    <row r="1395" customFormat="false" ht="12.8" hidden="false" customHeight="false" outlineLevel="0" collapsed="false">
      <c r="B1395" s="0" t="s">
        <v>1</v>
      </c>
    </row>
    <row r="1396" customFormat="false" ht="12.8" hidden="false" customHeight="false" outlineLevel="0" collapsed="false">
      <c r="B1396" s="0" t="s">
        <v>952</v>
      </c>
    </row>
    <row r="1398" customFormat="false" ht="12.8" hidden="false" customHeight="false" outlineLevel="0" collapsed="false">
      <c r="A1398" s="0" t="s">
        <v>953</v>
      </c>
      <c r="B1398" s="0" t="str">
        <f aca="false">HYPERLINK("https://lindat.mff.cuni.cz/services/teitok/pdtc10/index.php?action=vallex&amp;frame=v-w243f5", "být (v-w243f5)")</f>
        <v>být (v-w243f5)</v>
      </c>
      <c r="E1398" s="0" t="str">
        <f aca="false">HYPERLINK("https://lindat.mff.cuni.cz/services/SynSemClass40/SynSemClass40.html?veclass=vec00017#vec00017-ces-cm00003", "vec00017")</f>
        <v>vec00017</v>
      </c>
      <c r="F1398" s="0" t="s">
        <v>954</v>
      </c>
      <c r="H1398" s="0" t="str">
        <f aca="false">HYPERLINK("https://lindat.mff.cuni.cz/services/SynSemClass40/SynSemClass40.html?veclass=vec01229#vec01229-ces-cm00001", "vec01229")</f>
        <v>vec01229</v>
      </c>
      <c r="I1398" s="0" t="s">
        <v>955</v>
      </c>
    </row>
    <row r="1399" customFormat="false" ht="12.8" hidden="false" customHeight="false" outlineLevel="0" collapsed="false">
      <c r="B1399" s="0" t="s">
        <v>1</v>
      </c>
      <c r="C1399" s="0" t="s">
        <v>956</v>
      </c>
      <c r="E1399" s="0" t="s">
        <v>957</v>
      </c>
      <c r="F1399" s="0" t="s">
        <v>958</v>
      </c>
      <c r="H1399" s="0" t="s">
        <v>11</v>
      </c>
      <c r="I1399" s="0" t="s">
        <v>959</v>
      </c>
    </row>
    <row r="1400" customFormat="false" ht="12.8" hidden="false" customHeight="false" outlineLevel="0" collapsed="false">
      <c r="B1400" s="0" t="s">
        <v>960</v>
      </c>
    </row>
    <row r="1402" customFormat="false" ht="12.8" hidden="false" customHeight="false" outlineLevel="0" collapsed="false">
      <c r="A1402" s="0" t="s">
        <v>961</v>
      </c>
      <c r="B1402" s="0" t="str">
        <f aca="false">HYPERLINK("https://lindat.mff.cuni.cz/services/teitok/pdtc10/index.php?action=vallex&amp;frame=v-w243f38", "být (v-w243f38)")</f>
        <v>být (v-w243f38)</v>
      </c>
    </row>
    <row r="1403" customFormat="false" ht="12.8" hidden="false" customHeight="false" outlineLevel="0" collapsed="false">
      <c r="B1403" s="0" t="s">
        <v>1</v>
      </c>
    </row>
    <row r="1404" customFormat="false" ht="12.8" hidden="false" customHeight="false" outlineLevel="0" collapsed="false">
      <c r="B1404" s="0" t="s">
        <v>962</v>
      </c>
    </row>
    <row r="1406" customFormat="false" ht="12.8" hidden="false" customHeight="false" outlineLevel="0" collapsed="false">
      <c r="A1406" s="0" t="s">
        <v>963</v>
      </c>
      <c r="B1406" s="0" t="str">
        <f aca="false">HYPERLINK("https://lindat.mff.cuni.cz/services/teitok/pdtc10/index.php?action=vallex&amp;frame=v-w243f20", "být (v-w243f20)")</f>
        <v>být (v-w243f20)</v>
      </c>
    </row>
    <row r="1407" customFormat="false" ht="12.8" hidden="false" customHeight="false" outlineLevel="0" collapsed="false">
      <c r="B1407" s="0" t="s">
        <v>1</v>
      </c>
    </row>
    <row r="1408" customFormat="false" ht="12.8" hidden="false" customHeight="false" outlineLevel="0" collapsed="false">
      <c r="B1408" s="0" t="s">
        <v>964</v>
      </c>
    </row>
    <row r="1410" customFormat="false" ht="12.8" hidden="false" customHeight="false" outlineLevel="0" collapsed="false">
      <c r="A1410" s="0" t="s">
        <v>965</v>
      </c>
      <c r="B1410" s="0" t="str">
        <f aca="false">HYPERLINK("https://lindat.mff.cuni.cz/services/teitok/pdtc10/index.php?action=vallex&amp;frame=v-w243f46", "být (v-w243f46)")</f>
        <v>být (v-w243f46)</v>
      </c>
    </row>
    <row r="1411" customFormat="false" ht="12.8" hidden="false" customHeight="false" outlineLevel="0" collapsed="false">
      <c r="B1411" s="0" t="s">
        <v>1</v>
      </c>
    </row>
    <row r="1412" customFormat="false" ht="12.8" hidden="false" customHeight="false" outlineLevel="0" collapsed="false">
      <c r="B1412" s="0" t="s">
        <v>966</v>
      </c>
    </row>
    <row r="1414" customFormat="false" ht="12.8" hidden="false" customHeight="false" outlineLevel="0" collapsed="false">
      <c r="A1414" s="0" t="s">
        <v>967</v>
      </c>
      <c r="B1414" s="0" t="str">
        <f aca="false">HYPERLINK("https://lindat.mff.cuni.cz/services/teitok/pdtc10/index.php?action=vallex&amp;frame=v-w243f50", "být (v-w243f50)")</f>
        <v>být (v-w243f50)</v>
      </c>
    </row>
    <row r="1415" customFormat="false" ht="12.8" hidden="false" customHeight="false" outlineLevel="0" collapsed="false">
      <c r="B1415" s="0" t="s">
        <v>1</v>
      </c>
    </row>
    <row r="1416" customFormat="false" ht="12.8" hidden="false" customHeight="false" outlineLevel="0" collapsed="false">
      <c r="B1416" s="0" t="s">
        <v>968</v>
      </c>
    </row>
    <row r="1418" customFormat="false" ht="12.8" hidden="false" customHeight="false" outlineLevel="0" collapsed="false">
      <c r="A1418" s="0" t="s">
        <v>969</v>
      </c>
      <c r="B1418" s="0" t="str">
        <f aca="false">HYPERLINK("https://lindat.mff.cuni.cz/services/teitok/pdtc10/index.php?action=vallex&amp;frame=v-w243f52", "být (v-w243f52)")</f>
        <v>být (v-w243f52)</v>
      </c>
    </row>
    <row r="1419" customFormat="false" ht="12.8" hidden="false" customHeight="false" outlineLevel="0" collapsed="false">
      <c r="B1419" s="0" t="s">
        <v>1</v>
      </c>
    </row>
    <row r="1420" customFormat="false" ht="12.8" hidden="false" customHeight="false" outlineLevel="0" collapsed="false">
      <c r="B1420" s="0" t="s">
        <v>970</v>
      </c>
    </row>
    <row r="1422" customFormat="false" ht="12.8" hidden="false" customHeight="false" outlineLevel="0" collapsed="false">
      <c r="A1422" s="0" t="s">
        <v>971</v>
      </c>
      <c r="B1422" s="0" t="str">
        <f aca="false">HYPERLINK("https://lindat.mff.cuni.cz/services/teitok/pdtc10/index.php?action=vallex&amp;frame=v-w243f49", "být (v-w243f49)")</f>
        <v>být (v-w243f49)</v>
      </c>
    </row>
    <row r="1423" customFormat="false" ht="12.8" hidden="false" customHeight="false" outlineLevel="0" collapsed="false">
      <c r="B1423" s="0" t="s">
        <v>1</v>
      </c>
    </row>
    <row r="1424" customFormat="false" ht="12.8" hidden="false" customHeight="false" outlineLevel="0" collapsed="false">
      <c r="B1424" s="0" t="s">
        <v>972</v>
      </c>
    </row>
    <row r="1426" customFormat="false" ht="12.8" hidden="false" customHeight="false" outlineLevel="0" collapsed="false">
      <c r="A1426" s="0" t="s">
        <v>973</v>
      </c>
      <c r="B1426" s="0" t="str">
        <f aca="false">HYPERLINK("https://lindat.mff.cuni.cz/services/teitok/pdtc10/index.php?action=vallex&amp;frame=v-w243f37", "být (v-w243f37)")</f>
        <v>být (v-w243f37)</v>
      </c>
      <c r="E1426" s="0" t="str">
        <f aca="false">HYPERLINK("https://lindat.mff.cuni.cz/services/SynSemClass40/SynSemClass40.html?veclass=vec01455#vec01455-ces-cm00002", "vec01455")</f>
        <v>vec01455</v>
      </c>
      <c r="F1426" s="0" t="s">
        <v>888</v>
      </c>
    </row>
    <row r="1427" customFormat="false" ht="12.8" hidden="false" customHeight="false" outlineLevel="0" collapsed="false">
      <c r="B1427" s="0" t="s">
        <v>1</v>
      </c>
      <c r="C1427" s="0" t="s">
        <v>889</v>
      </c>
      <c r="E1427" s="0" t="s">
        <v>11</v>
      </c>
      <c r="F1427" s="0" t="s">
        <v>890</v>
      </c>
    </row>
    <row r="1428" customFormat="false" ht="12.8" hidden="false" customHeight="false" outlineLevel="0" collapsed="false">
      <c r="B1428" s="0" t="s">
        <v>974</v>
      </c>
    </row>
    <row r="1430" customFormat="false" ht="12.8" hidden="false" customHeight="false" outlineLevel="0" collapsed="false">
      <c r="A1430" s="0" t="s">
        <v>975</v>
      </c>
      <c r="B1430" s="0" t="str">
        <f aca="false">HYPERLINK("https://lindat.mff.cuni.cz/services/teitok/pdtc10/index.php?action=vallex&amp;frame=v-w243f24", "být (v-w243f24)")</f>
        <v>být (v-w243f24)</v>
      </c>
    </row>
    <row r="1431" customFormat="false" ht="12.8" hidden="false" customHeight="false" outlineLevel="0" collapsed="false">
      <c r="B1431" s="0" t="s">
        <v>1</v>
      </c>
    </row>
    <row r="1432" customFormat="false" ht="12.8" hidden="false" customHeight="false" outlineLevel="0" collapsed="false">
      <c r="B1432" s="0" t="s">
        <v>976</v>
      </c>
    </row>
    <row r="1434" customFormat="false" ht="12.8" hidden="false" customHeight="false" outlineLevel="0" collapsed="false">
      <c r="A1434" s="0" t="s">
        <v>977</v>
      </c>
      <c r="B1434" s="0" t="str">
        <f aca="false">HYPERLINK("https://lindat.mff.cuni.cz/services/teitok/pdtc10/index.php?action=vallex&amp;frame=v-w243f40", "být (v-w243f40)")</f>
        <v>být (v-w243f40)</v>
      </c>
    </row>
    <row r="1435" customFormat="false" ht="12.8" hidden="false" customHeight="false" outlineLevel="0" collapsed="false">
      <c r="B1435" s="0" t="s">
        <v>1</v>
      </c>
    </row>
    <row r="1436" customFormat="false" ht="12.8" hidden="false" customHeight="false" outlineLevel="0" collapsed="false">
      <c r="B1436" s="0" t="s">
        <v>978</v>
      </c>
    </row>
    <row r="1438" customFormat="false" ht="12.8" hidden="false" customHeight="false" outlineLevel="0" collapsed="false">
      <c r="A1438" s="0" t="s">
        <v>979</v>
      </c>
      <c r="B1438" s="0" t="str">
        <f aca="false">HYPERLINK("https://lindat.mff.cuni.cz/services/teitok/pdtc10/index.php?action=vallex&amp;frame=v-w243f42", "být (v-w243f42)")</f>
        <v>být (v-w243f42)</v>
      </c>
    </row>
    <row r="1439" customFormat="false" ht="12.8" hidden="false" customHeight="false" outlineLevel="0" collapsed="false">
      <c r="B1439" s="0" t="s">
        <v>1</v>
      </c>
    </row>
    <row r="1440" customFormat="false" ht="12.8" hidden="false" customHeight="false" outlineLevel="0" collapsed="false">
      <c r="B1440" s="0" t="s">
        <v>980</v>
      </c>
    </row>
    <row r="1442" customFormat="false" ht="12.8" hidden="false" customHeight="false" outlineLevel="0" collapsed="false">
      <c r="A1442" s="0" t="s">
        <v>981</v>
      </c>
      <c r="B1442" s="0" t="str">
        <f aca="false">HYPERLINK("https://lindat.mff.cuni.cz/services/teitok/pdtc10/index.php?action=vallex&amp;frame=v-w243f32", "být (v-w243f32)")</f>
        <v>být (v-w243f32)</v>
      </c>
      <c r="E1442" s="0" t="str">
        <f aca="false">HYPERLINK("https://lindat.mff.cuni.cz/services/SynSemClass40/SynSemClass40.html?veclass=vec01229#vec01229-ces-cm00002", "vec01229")</f>
        <v>vec01229</v>
      </c>
      <c r="F1442" s="0" t="s">
        <v>955</v>
      </c>
    </row>
    <row r="1443" customFormat="false" ht="12.8" hidden="false" customHeight="false" outlineLevel="0" collapsed="false">
      <c r="B1443" s="0" t="s">
        <v>1</v>
      </c>
      <c r="E1443" s="0" t="s">
        <v>11</v>
      </c>
      <c r="F1443" s="0" t="s">
        <v>959</v>
      </c>
    </row>
    <row r="1444" customFormat="false" ht="12.8" hidden="false" customHeight="false" outlineLevel="0" collapsed="false">
      <c r="B1444" s="0" t="s">
        <v>982</v>
      </c>
    </row>
    <row r="1446" customFormat="false" ht="12.8" hidden="false" customHeight="false" outlineLevel="0" collapsed="false">
      <c r="A1446" s="0" t="s">
        <v>983</v>
      </c>
      <c r="B1446" s="0" t="str">
        <f aca="false">HYPERLINK("https://lindat.mff.cuni.cz/services/teitok/pdtc10/index.php?action=vallex&amp;frame=v-w243f44", "být (v-w243f44)")</f>
        <v>být (v-w243f44)</v>
      </c>
    </row>
    <row r="1447" customFormat="false" ht="12.8" hidden="false" customHeight="false" outlineLevel="0" collapsed="false">
      <c r="B1447" s="0" t="s">
        <v>1</v>
      </c>
    </row>
    <row r="1448" customFormat="false" ht="12.8" hidden="false" customHeight="false" outlineLevel="0" collapsed="false">
      <c r="B1448" s="0" t="s">
        <v>984</v>
      </c>
    </row>
    <row r="1450" customFormat="false" ht="12.8" hidden="false" customHeight="false" outlineLevel="0" collapsed="false">
      <c r="A1450" s="0" t="s">
        <v>985</v>
      </c>
      <c r="B1450" s="0" t="str">
        <f aca="false">HYPERLINK("https://lindat.mff.cuni.cz/services/teitok/pdtc10/index.php?action=vallex&amp;frame=v-w243f15", "být (v-w243f15)")</f>
        <v>být (v-w243f15)</v>
      </c>
      <c r="E1450" s="0" t="str">
        <f aca="false">HYPERLINK("https://lindat.mff.cuni.cz/services/SynSemClass40/SynSemClass40.html?veclass=vec00226#vec00226-ces-cm00017_SL", "vec00226")</f>
        <v>vec00226</v>
      </c>
      <c r="F1450" s="0" t="s">
        <v>986</v>
      </c>
    </row>
    <row r="1451" customFormat="false" ht="12.8" hidden="false" customHeight="false" outlineLevel="0" collapsed="false">
      <c r="B1451" s="0" t="s">
        <v>1</v>
      </c>
      <c r="E1451" s="0" t="s">
        <v>987</v>
      </c>
      <c r="F1451" s="0" t="s">
        <v>988</v>
      </c>
    </row>
    <row r="1452" customFormat="false" ht="12.8" hidden="false" customHeight="false" outlineLevel="0" collapsed="false">
      <c r="B1452" s="0" t="s">
        <v>989</v>
      </c>
    </row>
    <row r="1454" customFormat="false" ht="12.8" hidden="false" customHeight="false" outlineLevel="0" collapsed="false">
      <c r="A1454" s="0" t="s">
        <v>990</v>
      </c>
      <c r="B1454" s="0" t="str">
        <f aca="false">HYPERLINK("https://lindat.mff.cuni.cz/services/teitok/pdtc10/index.php?action=vallex&amp;frame=v-w243f48", "být (v-w243f48)")</f>
        <v>být (v-w243f48)</v>
      </c>
    </row>
    <row r="1455" customFormat="false" ht="12.8" hidden="false" customHeight="false" outlineLevel="0" collapsed="false">
      <c r="B1455" s="0" t="s">
        <v>1</v>
      </c>
    </row>
    <row r="1456" customFormat="false" ht="12.8" hidden="false" customHeight="false" outlineLevel="0" collapsed="false">
      <c r="B1456" s="0" t="s">
        <v>991</v>
      </c>
    </row>
    <row r="1458" customFormat="false" ht="12.8" hidden="false" customHeight="false" outlineLevel="0" collapsed="false">
      <c r="A1458" s="0" t="s">
        <v>992</v>
      </c>
      <c r="B1458" s="0" t="str">
        <f aca="false">HYPERLINK("https://lindat.mff.cuni.cz/services/teitok/pdtc10/index.php?action=vallex&amp;frame=v-w243f41", "být (v-w243f41)")</f>
        <v>být (v-w243f41)</v>
      </c>
      <c r="E1458" s="0" t="str">
        <f aca="false">HYPERLINK("https://lindat.mff.cuni.cz/services/SynSemClass40/SynSemClass40.html?veclass=vec00256#vec00256-ces-cm00069_SL", "vec00256")</f>
        <v>vec00256</v>
      </c>
      <c r="F1458" s="0" t="s">
        <v>993</v>
      </c>
    </row>
    <row r="1459" customFormat="false" ht="12.8" hidden="false" customHeight="false" outlineLevel="0" collapsed="false">
      <c r="B1459" s="0" t="s">
        <v>1</v>
      </c>
      <c r="C1459" s="0" t="s">
        <v>994</v>
      </c>
      <c r="E1459" s="0" t="s">
        <v>995</v>
      </c>
      <c r="F1459" s="0" t="s">
        <v>996</v>
      </c>
    </row>
    <row r="1460" customFormat="false" ht="12.8" hidden="false" customHeight="false" outlineLevel="0" collapsed="false">
      <c r="B1460" s="0" t="s">
        <v>997</v>
      </c>
    </row>
    <row r="1462" customFormat="false" ht="12.8" hidden="false" customHeight="false" outlineLevel="0" collapsed="false">
      <c r="A1462" s="0" t="s">
        <v>998</v>
      </c>
      <c r="B1462" s="0" t="str">
        <f aca="false">HYPERLINK("https://lindat.mff.cuni.cz/services/teitok/pdtc10/index.php?action=vallex&amp;frame=v-w243f33", "být (v-w243f33)")</f>
        <v>být (v-w243f33)</v>
      </c>
    </row>
    <row r="1463" customFormat="false" ht="12.8" hidden="false" customHeight="false" outlineLevel="0" collapsed="false">
      <c r="B1463" s="0" t="s">
        <v>1</v>
      </c>
    </row>
    <row r="1464" customFormat="false" ht="12.8" hidden="false" customHeight="false" outlineLevel="0" collapsed="false">
      <c r="B1464" s="0" t="s">
        <v>999</v>
      </c>
    </row>
    <row r="1466" customFormat="false" ht="12.8" hidden="false" customHeight="false" outlineLevel="0" collapsed="false">
      <c r="A1466" s="0" t="s">
        <v>1000</v>
      </c>
      <c r="B1466" s="0" t="str">
        <f aca="false">HYPERLINK("https://lindat.mff.cuni.cz/services/teitok/pdtc10/index.php?action=vallex&amp;frame=v-w243f45", "být (v-w243f45)")</f>
        <v>být (v-w243f45)</v>
      </c>
    </row>
    <row r="1467" customFormat="false" ht="12.8" hidden="false" customHeight="false" outlineLevel="0" collapsed="false">
      <c r="B1467" s="0" t="s">
        <v>1</v>
      </c>
    </row>
    <row r="1468" customFormat="false" ht="12.8" hidden="false" customHeight="false" outlineLevel="0" collapsed="false">
      <c r="B1468" s="0" t="s">
        <v>1001</v>
      </c>
    </row>
    <row r="1470" customFormat="false" ht="12.8" hidden="false" customHeight="false" outlineLevel="0" collapsed="false">
      <c r="A1470" s="0" t="s">
        <v>1002</v>
      </c>
      <c r="B1470" s="0" t="str">
        <f aca="false">HYPERLINK("https://lindat.mff.cuni.cz/services/teitok/pdtc10/index.php?action=vallex&amp;frame=v-w243f30", "být (v-w243f30)")</f>
        <v>být (v-w243f30)</v>
      </c>
    </row>
    <row r="1471" customFormat="false" ht="12.8" hidden="false" customHeight="false" outlineLevel="0" collapsed="false">
      <c r="B1471" s="0" t="s">
        <v>1</v>
      </c>
    </row>
    <row r="1472" customFormat="false" ht="12.8" hidden="false" customHeight="false" outlineLevel="0" collapsed="false">
      <c r="B1472" s="0" t="s">
        <v>1003</v>
      </c>
    </row>
    <row r="1474" customFormat="false" ht="12.8" hidden="false" customHeight="false" outlineLevel="0" collapsed="false">
      <c r="A1474" s="0" t="s">
        <v>1004</v>
      </c>
      <c r="B1474" s="0" t="str">
        <f aca="false">HYPERLINK("https://lindat.mff.cuni.cz/services/teitok/pdtc10/index.php?action=vallex&amp;frame=v-w243f27", "být (v-w243f27)")</f>
        <v>být (v-w243f27)</v>
      </c>
    </row>
    <row r="1475" customFormat="false" ht="12.8" hidden="false" customHeight="false" outlineLevel="0" collapsed="false">
      <c r="B1475" s="0" t="s">
        <v>1</v>
      </c>
    </row>
    <row r="1476" customFormat="false" ht="12.8" hidden="false" customHeight="false" outlineLevel="0" collapsed="false">
      <c r="B1476" s="0" t="s">
        <v>1005</v>
      </c>
    </row>
    <row r="1478" customFormat="false" ht="12.8" hidden="false" customHeight="false" outlineLevel="0" collapsed="false">
      <c r="A1478" s="0" t="s">
        <v>1006</v>
      </c>
      <c r="B1478" s="0" t="str">
        <f aca="false">HYPERLINK("https://lindat.mff.cuni.cz/services/teitok/pdtc10/index.php?action=vallex&amp;frame=v-w243f19", "být (v-w243f19)")</f>
        <v>být (v-w243f19)</v>
      </c>
      <c r="E1478" s="0" t="str">
        <f aca="false">HYPERLINK("https://lindat.mff.cuni.cz/services/SynSemClass40/SynSemClass40.html?veclass=vec01203#vec01203-ces-cm00001", "vec01203")</f>
        <v>vec01203</v>
      </c>
      <c r="F1478" s="0" t="s">
        <v>1007</v>
      </c>
    </row>
    <row r="1479" customFormat="false" ht="12.8" hidden="false" customHeight="false" outlineLevel="0" collapsed="false">
      <c r="B1479" s="0" t="s">
        <v>1008</v>
      </c>
      <c r="E1479" s="0" t="s">
        <v>1009</v>
      </c>
      <c r="F1479" s="0" t="s">
        <v>1010</v>
      </c>
    </row>
    <row r="1480" customFormat="false" ht="12.8" hidden="false" customHeight="false" outlineLevel="0" collapsed="false">
      <c r="B1480" s="0" t="s">
        <v>1011</v>
      </c>
    </row>
    <row r="1482" customFormat="false" ht="12.8" hidden="false" customHeight="false" outlineLevel="0" collapsed="false">
      <c r="A1482" s="0" t="s">
        <v>1012</v>
      </c>
      <c r="B1482" s="0" t="str">
        <f aca="false">HYPERLINK("https://lindat.mff.cuni.cz/services/teitok/pdtc10/index.php?action=vallex&amp;frame=v-w243f23", "být (v-w243f23)")</f>
        <v>být (v-w243f23)</v>
      </c>
    </row>
    <row r="1483" customFormat="false" ht="12.8" hidden="false" customHeight="false" outlineLevel="0" collapsed="false">
      <c r="B1483" s="0" t="s">
        <v>1013</v>
      </c>
    </row>
    <row r="1484" customFormat="false" ht="12.8" hidden="false" customHeight="false" outlineLevel="0" collapsed="false">
      <c r="B1484" s="0" t="s">
        <v>1014</v>
      </c>
    </row>
    <row r="1486" customFormat="false" ht="12.8" hidden="false" customHeight="false" outlineLevel="0" collapsed="false">
      <c r="A1486" s="0" t="s">
        <v>1015</v>
      </c>
      <c r="B1486" s="0" t="str">
        <f aca="false">HYPERLINK("https://lindat.mff.cuni.cz/services/teitok/pdtc10/index.php?action=vallex&amp;frame=v-w243f77_ZU", "být (v-w243f77_ZU)")</f>
        <v>být (v-w243f77_ZU)</v>
      </c>
    </row>
    <row r="1487" customFormat="false" ht="12.8" hidden="false" customHeight="false" outlineLevel="0" collapsed="false">
      <c r="B1487" s="0" t="s">
        <v>1016</v>
      </c>
    </row>
    <row r="1488" customFormat="false" ht="12.8" hidden="false" customHeight="false" outlineLevel="0" collapsed="false">
      <c r="B1488" s="0" t="s">
        <v>1017</v>
      </c>
    </row>
    <row r="1490" customFormat="false" ht="12.8" hidden="false" customHeight="false" outlineLevel="0" collapsed="false">
      <c r="A1490" s="0" t="s">
        <v>1018</v>
      </c>
      <c r="B1490" s="0" t="str">
        <f aca="false">HYPERLINK("https://lindat.mff.cuni.cz/services/teitok/pdtc10/index.php?action=vallex&amp;frame=v-w243f59_ZU", "být (v-w243f59_ZU)")</f>
        <v>být (v-w243f59_ZU)</v>
      </c>
    </row>
    <row r="1491" customFormat="false" ht="12.8" hidden="false" customHeight="false" outlineLevel="0" collapsed="false">
      <c r="B1491" s="0" t="s">
        <v>835</v>
      </c>
    </row>
    <row r="1492" customFormat="false" ht="12.8" hidden="false" customHeight="false" outlineLevel="0" collapsed="false">
      <c r="B1492" s="0" t="s">
        <v>1019</v>
      </c>
    </row>
    <row r="1494" customFormat="false" ht="12.8" hidden="false" customHeight="false" outlineLevel="0" collapsed="false">
      <c r="A1494" s="0" t="s">
        <v>1018</v>
      </c>
      <c r="B1494" s="0" t="str">
        <f aca="false">HYPERLINK("https://lindat.mff.cuni.cz/services/teitok/pdtc10/index.php?action=vallex&amp;frame=v-w243f31", "být (v-w243f31) - substituted with v-w243f59_ZU")</f>
        <v>být (v-w243f31) - substituted with v-w243f59_ZU</v>
      </c>
    </row>
    <row r="1495" customFormat="false" ht="12.8" hidden="false" customHeight="false" outlineLevel="0" collapsed="false">
      <c r="B1495" s="0" t="s">
        <v>835</v>
      </c>
    </row>
    <row r="1496" customFormat="false" ht="12.8" hidden="false" customHeight="false" outlineLevel="0" collapsed="false">
      <c r="B1496" s="0" t="s">
        <v>1019</v>
      </c>
    </row>
    <row r="1498" customFormat="false" ht="12.8" hidden="false" customHeight="false" outlineLevel="0" collapsed="false">
      <c r="A1498" s="0" t="s">
        <v>1020</v>
      </c>
      <c r="B1498" s="0" t="str">
        <f aca="false">HYPERLINK("https://lindat.mff.cuni.cz/services/teitok/pdtc10/index.php?action=vallex&amp;frame=v-w243f88_ZU", "být (v-w243f88_ZU)")</f>
        <v>být (v-w243f88_ZU)</v>
      </c>
    </row>
    <row r="1499" customFormat="false" ht="12.8" hidden="false" customHeight="false" outlineLevel="0" collapsed="false">
      <c r="B1499" s="0" t="s">
        <v>1</v>
      </c>
    </row>
    <row r="1500" customFormat="false" ht="12.8" hidden="false" customHeight="false" outlineLevel="0" collapsed="false">
      <c r="B1500" s="0" t="s">
        <v>1021</v>
      </c>
    </row>
    <row r="1502" customFormat="false" ht="12.8" hidden="false" customHeight="false" outlineLevel="0" collapsed="false">
      <c r="A1502" s="0" t="s">
        <v>1022</v>
      </c>
      <c r="B1502" s="0" t="str">
        <f aca="false">HYPERLINK("https://lindat.mff.cuni.cz/services/teitok/pdtc10/index.php?action=vallex&amp;frame=v-w243f172_ZU", "být (v-w243f172_ZU)")</f>
        <v>být (v-w243f172_ZU)</v>
      </c>
    </row>
    <row r="1503" customFormat="false" ht="12.8" hidden="false" customHeight="false" outlineLevel="0" collapsed="false">
      <c r="B1503" s="0" t="s">
        <v>1</v>
      </c>
    </row>
    <row r="1504" customFormat="false" ht="12.8" hidden="false" customHeight="false" outlineLevel="0" collapsed="false">
      <c r="B1504" s="0" t="s">
        <v>1023</v>
      </c>
    </row>
    <row r="1506" customFormat="false" ht="12.8" hidden="false" customHeight="false" outlineLevel="0" collapsed="false">
      <c r="A1506" s="0" t="s">
        <v>1022</v>
      </c>
      <c r="B1506" s="0" t="str">
        <f aca="false">HYPERLINK("https://lindat.mff.cuni.cz/services/teitok/pdtc10/index.php?action=vallex&amp;frame=v-w243f171_ZU", "být (v-w243f171_ZU) - substituted with v-w243f172_ZU")</f>
        <v>být (v-w243f171_ZU) - substituted with v-w243f172_ZU</v>
      </c>
    </row>
    <row r="1507" customFormat="false" ht="12.8" hidden="false" customHeight="false" outlineLevel="0" collapsed="false">
      <c r="B1507" s="0" t="s">
        <v>1</v>
      </c>
    </row>
    <row r="1508" customFormat="false" ht="12.8" hidden="false" customHeight="false" outlineLevel="0" collapsed="false">
      <c r="B1508" s="0" t="s">
        <v>1023</v>
      </c>
    </row>
    <row r="1510" customFormat="false" ht="12.8" hidden="false" customHeight="false" outlineLevel="0" collapsed="false">
      <c r="A1510" s="0" t="s">
        <v>1022</v>
      </c>
      <c r="B1510" s="0" t="str">
        <f aca="false">HYPERLINK("https://lindat.mff.cuni.cz/services/teitok/pdtc10/index.php?action=vallex&amp;frame=v-w243f90_ZU", "být (v-w243f90_ZU) - substituted with v-w243f172_ZU")</f>
        <v>být (v-w243f90_ZU) - substituted with v-w243f172_ZU</v>
      </c>
    </row>
    <row r="1511" customFormat="false" ht="12.8" hidden="false" customHeight="false" outlineLevel="0" collapsed="false">
      <c r="B1511" s="0" t="s">
        <v>1</v>
      </c>
    </row>
    <row r="1512" customFormat="false" ht="12.8" hidden="false" customHeight="false" outlineLevel="0" collapsed="false">
      <c r="B1512" s="0" t="s">
        <v>1023</v>
      </c>
    </row>
    <row r="1514" customFormat="false" ht="12.8" hidden="false" customHeight="false" outlineLevel="0" collapsed="false">
      <c r="A1514" s="0" t="s">
        <v>1024</v>
      </c>
      <c r="B1514" s="0" t="str">
        <f aca="false">HYPERLINK("https://lindat.mff.cuni.cz/services/teitok/pdtc10/index.php?action=vallex&amp;frame=v-w243f68_ZU", "být (v-w243f68_ZU)")</f>
        <v>být (v-w243f68_ZU)</v>
      </c>
    </row>
    <row r="1515" customFormat="false" ht="12.8" hidden="false" customHeight="false" outlineLevel="0" collapsed="false">
      <c r="B1515" s="0" t="s">
        <v>1</v>
      </c>
    </row>
    <row r="1516" customFormat="false" ht="12.8" hidden="false" customHeight="false" outlineLevel="0" collapsed="false">
      <c r="B1516" s="0" t="s">
        <v>1025</v>
      </c>
    </row>
    <row r="1518" customFormat="false" ht="12.8" hidden="false" customHeight="false" outlineLevel="0" collapsed="false">
      <c r="A1518" s="0" t="s">
        <v>1026</v>
      </c>
      <c r="B1518" s="0" t="str">
        <f aca="false">HYPERLINK("https://lindat.mff.cuni.cz/services/teitok/pdtc10/index.php?action=vallex&amp;frame=v-w243f64_ZU", "být (v-w243f64_ZU)")</f>
        <v>být (v-w243f64_ZU)</v>
      </c>
    </row>
    <row r="1519" customFormat="false" ht="12.8" hidden="false" customHeight="false" outlineLevel="0" collapsed="false">
      <c r="B1519" s="0" t="s">
        <v>1</v>
      </c>
    </row>
    <row r="1520" customFormat="false" ht="12.8" hidden="false" customHeight="false" outlineLevel="0" collapsed="false">
      <c r="B1520" s="0" t="s">
        <v>1027</v>
      </c>
    </row>
    <row r="1522" customFormat="false" ht="12.8" hidden="false" customHeight="false" outlineLevel="0" collapsed="false">
      <c r="A1522" s="0" t="s">
        <v>1028</v>
      </c>
      <c r="B1522" s="0" t="str">
        <f aca="false">HYPERLINK("https://lindat.mff.cuni.cz/services/teitok/pdtc10/index.php?action=vallex&amp;frame=v-w243f74_ZU", "být (v-w243f74_ZU)")</f>
        <v>být (v-w243f74_ZU)</v>
      </c>
    </row>
    <row r="1523" customFormat="false" ht="12.8" hidden="false" customHeight="false" outlineLevel="0" collapsed="false">
      <c r="B1523" s="0" t="s">
        <v>1</v>
      </c>
    </row>
    <row r="1524" customFormat="false" ht="12.8" hidden="false" customHeight="false" outlineLevel="0" collapsed="false">
      <c r="B1524" s="0" t="s">
        <v>1029</v>
      </c>
    </row>
    <row r="1526" customFormat="false" ht="12.8" hidden="false" customHeight="false" outlineLevel="0" collapsed="false">
      <c r="A1526" s="0" t="s">
        <v>1030</v>
      </c>
      <c r="B1526" s="0" t="str">
        <f aca="false">HYPERLINK("https://lindat.mff.cuni.cz/services/teitok/pdtc10/index.php?action=vallex&amp;frame=v-w243f89_ZU", "být (v-w243f89_ZU)")</f>
        <v>být (v-w243f89_ZU)</v>
      </c>
    </row>
    <row r="1527" customFormat="false" ht="12.8" hidden="false" customHeight="false" outlineLevel="0" collapsed="false">
      <c r="B1527" s="0" t="s">
        <v>1</v>
      </c>
    </row>
    <row r="1528" customFormat="false" ht="12.8" hidden="false" customHeight="false" outlineLevel="0" collapsed="false">
      <c r="B1528" s="0" t="s">
        <v>1031</v>
      </c>
    </row>
    <row r="1530" customFormat="false" ht="12.8" hidden="false" customHeight="false" outlineLevel="0" collapsed="false">
      <c r="A1530" s="0" t="s">
        <v>1030</v>
      </c>
      <c r="B1530" s="0" t="str">
        <f aca="false">HYPERLINK("https://lindat.mff.cuni.cz/services/teitok/pdtc10/index.php?action=vallex&amp;frame=v-w243f73_ZU", "být (v-w243f73_ZU) - substituted with v-w243f89_ZU")</f>
        <v>být (v-w243f73_ZU) - substituted with v-w243f89_ZU</v>
      </c>
    </row>
    <row r="1531" customFormat="false" ht="12.8" hidden="false" customHeight="false" outlineLevel="0" collapsed="false">
      <c r="B1531" s="0" t="s">
        <v>1</v>
      </c>
    </row>
    <row r="1532" customFormat="false" ht="12.8" hidden="false" customHeight="false" outlineLevel="0" collapsed="false">
      <c r="B1532" s="0" t="s">
        <v>1031</v>
      </c>
    </row>
    <row r="1534" customFormat="false" ht="12.8" hidden="false" customHeight="false" outlineLevel="0" collapsed="false">
      <c r="A1534" s="0" t="s">
        <v>1032</v>
      </c>
      <c r="B1534" s="0" t="str">
        <f aca="false">HYPERLINK("https://lindat.mff.cuni.cz/services/teitok/pdtc10/index.php?action=vallex&amp;frame=v-w243f55_ZU", "být (v-w243f55_ZU)")</f>
        <v>být (v-w243f55_ZU)</v>
      </c>
      <c r="E1534" s="0" t="str">
        <f aca="false">HYPERLINK("https://lindat.mff.cuni.cz/services/SynSemClass40/SynSemClass40.html?veclass=vec00153#vec00153-ces-cm00037", "vec00153")</f>
        <v>vec00153</v>
      </c>
      <c r="F1534" s="0" t="s">
        <v>925</v>
      </c>
    </row>
    <row r="1535" customFormat="false" ht="12.8" hidden="false" customHeight="false" outlineLevel="0" collapsed="false">
      <c r="B1535" s="0" t="s">
        <v>1</v>
      </c>
      <c r="C1535" s="0" t="s">
        <v>926</v>
      </c>
      <c r="E1535" s="0" t="s">
        <v>11</v>
      </c>
      <c r="F1535" s="0" t="s">
        <v>927</v>
      </c>
    </row>
    <row r="1536" customFormat="false" ht="12.8" hidden="false" customHeight="false" outlineLevel="0" collapsed="false">
      <c r="B1536" s="0" t="s">
        <v>1033</v>
      </c>
      <c r="C1536" s="0" t="s">
        <v>1034</v>
      </c>
      <c r="E1536" s="0" t="s">
        <v>1035</v>
      </c>
      <c r="F1536" s="0" t="s">
        <v>1036</v>
      </c>
    </row>
    <row r="1538" customFormat="false" ht="12.8" hidden="false" customHeight="false" outlineLevel="0" collapsed="false">
      <c r="A1538" s="0" t="s">
        <v>1037</v>
      </c>
      <c r="B1538" s="0" t="str">
        <f aca="false">HYPERLINK("https://lindat.mff.cuni.cz/services/teitok/pdtc10/index.php?action=vallex&amp;frame=v-w243f91_ZU", "být (v-w243f91_ZU)")</f>
        <v>být (v-w243f91_ZU)</v>
      </c>
    </row>
    <row r="1539" customFormat="false" ht="12.8" hidden="false" customHeight="false" outlineLevel="0" collapsed="false">
      <c r="B1539" s="0" t="s">
        <v>1</v>
      </c>
    </row>
    <row r="1540" customFormat="false" ht="12.8" hidden="false" customHeight="false" outlineLevel="0" collapsed="false">
      <c r="B1540" s="0" t="s">
        <v>1038</v>
      </c>
    </row>
    <row r="1542" customFormat="false" ht="12.8" hidden="false" customHeight="false" outlineLevel="0" collapsed="false">
      <c r="A1542" s="0" t="s">
        <v>1039</v>
      </c>
      <c r="B1542" s="0" t="str">
        <f aca="false">HYPERLINK("https://lindat.mff.cuni.cz/services/teitok/pdtc10/index.php?action=vallex&amp;frame=v-w243f85_ZU", "být (v-w243f85_ZU)")</f>
        <v>být (v-w243f85_ZU)</v>
      </c>
    </row>
    <row r="1543" customFormat="false" ht="12.8" hidden="false" customHeight="false" outlineLevel="0" collapsed="false">
      <c r="B1543" s="0" t="s">
        <v>1</v>
      </c>
    </row>
    <row r="1544" customFormat="false" ht="12.8" hidden="false" customHeight="false" outlineLevel="0" collapsed="false">
      <c r="B1544" s="0" t="s">
        <v>1040</v>
      </c>
    </row>
    <row r="1546" customFormat="false" ht="12.8" hidden="false" customHeight="false" outlineLevel="0" collapsed="false">
      <c r="A1546" s="0" t="s">
        <v>1041</v>
      </c>
      <c r="B1546" s="0" t="str">
        <f aca="false">HYPERLINK("https://lindat.mff.cuni.cz/services/teitok/pdtc10/index.php?action=vallex&amp;frame=v-w243f60_ZU", "být (v-w243f60_ZU)")</f>
        <v>být (v-w243f60_ZU)</v>
      </c>
    </row>
    <row r="1547" customFormat="false" ht="12.8" hidden="false" customHeight="false" outlineLevel="0" collapsed="false">
      <c r="B1547" s="0" t="s">
        <v>1</v>
      </c>
    </row>
    <row r="1548" customFormat="false" ht="12.8" hidden="false" customHeight="false" outlineLevel="0" collapsed="false">
      <c r="B1548" s="0" t="s">
        <v>1042</v>
      </c>
    </row>
    <row r="1550" customFormat="false" ht="12.8" hidden="false" customHeight="false" outlineLevel="0" collapsed="false">
      <c r="A1550" s="0" t="s">
        <v>1043</v>
      </c>
      <c r="B1550" s="0" t="str">
        <f aca="false">HYPERLINK("https://lindat.mff.cuni.cz/services/teitok/pdtc10/index.php?action=vallex&amp;frame=v-w243f71_ZU", "být (v-w243f71_ZU)")</f>
        <v>být (v-w243f71_ZU)</v>
      </c>
    </row>
    <row r="1551" customFormat="false" ht="12.8" hidden="false" customHeight="false" outlineLevel="0" collapsed="false">
      <c r="B1551" s="0" t="s">
        <v>1</v>
      </c>
    </row>
    <row r="1552" customFormat="false" ht="12.8" hidden="false" customHeight="false" outlineLevel="0" collapsed="false">
      <c r="B1552" s="0" t="s">
        <v>1044</v>
      </c>
    </row>
    <row r="1554" customFormat="false" ht="12.8" hidden="false" customHeight="false" outlineLevel="0" collapsed="false">
      <c r="A1554" s="0" t="s">
        <v>1045</v>
      </c>
      <c r="B1554" s="0" t="str">
        <f aca="false">HYPERLINK("https://lindat.mff.cuni.cz/services/teitok/pdtc10/index.php?action=vallex&amp;frame=v-w243hsa_60", "být (v-w243hsa_60)")</f>
        <v>být (v-w243hsa_60)</v>
      </c>
    </row>
    <row r="1555" customFormat="false" ht="12.8" hidden="false" customHeight="false" outlineLevel="0" collapsed="false">
      <c r="B1555" s="0" t="s">
        <v>1046</v>
      </c>
    </row>
    <row r="1556" customFormat="false" ht="12.8" hidden="false" customHeight="false" outlineLevel="0" collapsed="false">
      <c r="B1556" s="0" t="s">
        <v>1047</v>
      </c>
    </row>
    <row r="1558" customFormat="false" ht="12.8" hidden="false" customHeight="false" outlineLevel="0" collapsed="false">
      <c r="A1558" s="0" t="s">
        <v>1045</v>
      </c>
      <c r="B1558" s="0" t="str">
        <f aca="false">HYPERLINK("https://lindat.mff.cuni.cz/services/teitok/pdtc10/index.php?action=vallex&amp;frame=v-w243f70_ZU", "být (v-w243f70_ZU) - substituted with v-w243hsa_60")</f>
        <v>být (v-w243f70_ZU) - substituted with v-w243hsa_60</v>
      </c>
      <c r="E1558" s="0" t="str">
        <f aca="false">HYPERLINK("https://lindat.mff.cuni.cz/services/SynSemClass40/SynSemClass40.html?veclass=vec00153#vec00153-ces-cm00002", "vec00153")</f>
        <v>vec00153</v>
      </c>
      <c r="F1558" s="0" t="s">
        <v>925</v>
      </c>
    </row>
    <row r="1559" customFormat="false" ht="12.8" hidden="false" customHeight="false" outlineLevel="0" collapsed="false">
      <c r="B1559" s="0" t="s">
        <v>1046</v>
      </c>
      <c r="C1559" s="0" t="s">
        <v>926</v>
      </c>
      <c r="E1559" s="0" t="s">
        <v>11</v>
      </c>
      <c r="F1559" s="0" t="s">
        <v>927</v>
      </c>
    </row>
    <row r="1560" customFormat="false" ht="12.8" hidden="false" customHeight="false" outlineLevel="0" collapsed="false">
      <c r="B1560" s="0" t="s">
        <v>1047</v>
      </c>
      <c r="C1560" s="0" t="s">
        <v>1034</v>
      </c>
      <c r="E1560" s="0" t="s">
        <v>1048</v>
      </c>
      <c r="F1560" s="0" t="s">
        <v>1049</v>
      </c>
    </row>
    <row r="1562" customFormat="false" ht="12.8" hidden="false" customHeight="false" outlineLevel="0" collapsed="false">
      <c r="A1562" s="0" t="s">
        <v>1050</v>
      </c>
      <c r="B1562" s="0" t="str">
        <f aca="false">HYPERLINK("https://lindat.mff.cuni.cz/services/teitok/pdtc10/index.php?action=vallex&amp;frame=v-w243f69_ZU", "být (v-w243f69_ZU)")</f>
        <v>být (v-w243f69_ZU)</v>
      </c>
      <c r="E1562" s="0" t="str">
        <f aca="false">HYPERLINK("https://lindat.mff.cuni.cz/services/SynSemClass40/SynSemClass40.html?veclass=vec00221#vec00221-ces-cm00056", "vec00221")</f>
        <v>vec00221</v>
      </c>
      <c r="F1562" s="0" t="s">
        <v>1051</v>
      </c>
    </row>
    <row r="1563" customFormat="false" ht="12.8" hidden="false" customHeight="false" outlineLevel="0" collapsed="false">
      <c r="B1563" s="0" t="s">
        <v>1</v>
      </c>
      <c r="C1563" s="0" t="s">
        <v>1052</v>
      </c>
      <c r="E1563" s="0" t="s">
        <v>1053</v>
      </c>
      <c r="F1563" s="0" t="s">
        <v>1054</v>
      </c>
    </row>
    <row r="1564" customFormat="false" ht="12.8" hidden="false" customHeight="false" outlineLevel="0" collapsed="false">
      <c r="B1564" s="0" t="s">
        <v>1055</v>
      </c>
    </row>
    <row r="1566" customFormat="false" ht="12.8" hidden="false" customHeight="false" outlineLevel="0" collapsed="false">
      <c r="A1566" s="0" t="s">
        <v>1056</v>
      </c>
      <c r="B1566" s="0" t="str">
        <f aca="false">HYPERLINK("https://lindat.mff.cuni.cz/services/teitok/pdtc10/index.php?action=vallex&amp;frame=v-w243f39", "být (v-w243f39)")</f>
        <v>být (v-w243f39)</v>
      </c>
    </row>
    <row r="1567" customFormat="false" ht="12.8" hidden="false" customHeight="false" outlineLevel="0" collapsed="false">
      <c r="B1567" s="0" t="s">
        <v>1057</v>
      </c>
    </row>
    <row r="1568" customFormat="false" ht="12.8" hidden="false" customHeight="false" outlineLevel="0" collapsed="false">
      <c r="B1568" s="0" t="s">
        <v>855</v>
      </c>
    </row>
    <row r="1570" customFormat="false" ht="12.8" hidden="false" customHeight="false" outlineLevel="0" collapsed="false">
      <c r="A1570" s="0" t="s">
        <v>1058</v>
      </c>
      <c r="B1570" s="0" t="str">
        <f aca="false">HYPERLINK("https://lindat.mff.cuni.cz/services/teitok/pdtc10/index.php?action=vallex&amp;frame=v-w243hsa_81", "být (v-w243hsa_81)")</f>
        <v>být (v-w243hsa_81)</v>
      </c>
    </row>
    <row r="1571" customFormat="false" ht="12.8" hidden="false" customHeight="false" outlineLevel="0" collapsed="false">
      <c r="B1571" s="0" t="s">
        <v>1</v>
      </c>
    </row>
    <row r="1572" customFormat="false" ht="12.8" hidden="false" customHeight="false" outlineLevel="0" collapsed="false">
      <c r="B1572" s="0" t="s">
        <v>721</v>
      </c>
    </row>
    <row r="1574" customFormat="false" ht="12.8" hidden="false" customHeight="false" outlineLevel="0" collapsed="false">
      <c r="A1574" s="0" t="s">
        <v>1059</v>
      </c>
      <c r="B1574" s="0" t="str">
        <f aca="false">HYPERLINK("https://lindat.mff.cuni.cz/services/teitok/pdtc10/index.php?action=vallex&amp;frame=v-w243f123_ZU", "být (v-w243f123_ZU)")</f>
        <v>být (v-w243f123_ZU)</v>
      </c>
    </row>
    <row r="1575" customFormat="false" ht="12.8" hidden="false" customHeight="false" outlineLevel="0" collapsed="false">
      <c r="B1575" s="0" t="s">
        <v>1</v>
      </c>
    </row>
    <row r="1576" customFormat="false" ht="12.8" hidden="false" customHeight="false" outlineLevel="0" collapsed="false">
      <c r="B1576" s="0" t="s">
        <v>1060</v>
      </c>
    </row>
    <row r="1577" customFormat="false" ht="12.8" hidden="false" customHeight="false" outlineLevel="0" collapsed="false">
      <c r="B1577" s="0" t="s">
        <v>276</v>
      </c>
    </row>
    <row r="1579" customFormat="false" ht="12.8" hidden="false" customHeight="false" outlineLevel="0" collapsed="false">
      <c r="A1579" s="0" t="s">
        <v>1059</v>
      </c>
      <c r="B1579" s="0" t="str">
        <f aca="false">HYPERLINK("https://lindat.mff.cuni.cz/services/teitok/pdtc10/index.php?action=vallex&amp;frame=v-w243hsa_82", "být (v-w243hsa_82) - substituted with v-w243f123_ZU")</f>
        <v>být (v-w243hsa_82) - substituted with v-w243f123_ZU</v>
      </c>
    </row>
    <row r="1580" customFormat="false" ht="12.8" hidden="false" customHeight="false" outlineLevel="0" collapsed="false">
      <c r="B1580" s="0" t="s">
        <v>1</v>
      </c>
    </row>
    <row r="1581" customFormat="false" ht="12.8" hidden="false" customHeight="false" outlineLevel="0" collapsed="false">
      <c r="B1581" s="0" t="s">
        <v>1060</v>
      </c>
    </row>
    <row r="1582" customFormat="false" ht="12.8" hidden="false" customHeight="false" outlineLevel="0" collapsed="false">
      <c r="B1582" s="0" t="s">
        <v>276</v>
      </c>
    </row>
    <row r="1584" customFormat="false" ht="12.8" hidden="false" customHeight="false" outlineLevel="0" collapsed="false">
      <c r="A1584" s="0" t="s">
        <v>1061</v>
      </c>
      <c r="B1584" s="0" t="str">
        <f aca="false">HYPERLINK("https://lindat.mff.cuni.cz/services/teitok/pdtc10/index.php?action=vallex&amp;frame=v-w243hsa_83", "být (v-w243hsa_83)")</f>
        <v>být (v-w243hsa_83)</v>
      </c>
    </row>
    <row r="1585" customFormat="false" ht="12.8" hidden="false" customHeight="false" outlineLevel="0" collapsed="false">
      <c r="B1585" s="0" t="s">
        <v>1016</v>
      </c>
    </row>
    <row r="1586" customFormat="false" ht="12.8" hidden="false" customHeight="false" outlineLevel="0" collapsed="false">
      <c r="B1586" s="0" t="s">
        <v>291</v>
      </c>
    </row>
    <row r="1588" customFormat="false" ht="12.8" hidden="false" customHeight="false" outlineLevel="0" collapsed="false">
      <c r="A1588" s="0" t="s">
        <v>1062</v>
      </c>
      <c r="B1588" s="0" t="str">
        <f aca="false">HYPERLINK("https://lindat.mff.cuni.cz/services/teitok/pdtc10/index.php?action=vallex&amp;frame=v-w243f101_ZU", "být (v-w243f101_ZU)")</f>
        <v>být (v-w243f101_ZU)</v>
      </c>
    </row>
    <row r="1589" customFormat="false" ht="12.8" hidden="false" customHeight="false" outlineLevel="0" collapsed="false">
      <c r="B1589" s="0" t="s">
        <v>1</v>
      </c>
    </row>
    <row r="1590" customFormat="false" ht="12.8" hidden="false" customHeight="false" outlineLevel="0" collapsed="false">
      <c r="B1590" s="0" t="s">
        <v>1063</v>
      </c>
    </row>
    <row r="1592" customFormat="false" ht="12.8" hidden="false" customHeight="false" outlineLevel="0" collapsed="false">
      <c r="A1592" s="0" t="s">
        <v>1062</v>
      </c>
      <c r="B1592" s="0" t="str">
        <f aca="false">HYPERLINK("https://lindat.mff.cuni.cz/services/teitok/pdtc10/index.php?action=vallex&amp;frame=v-w243hsa_86", "být (v-w243hsa_86) - substituted with v-w243f101_ZU")</f>
        <v>být (v-w243hsa_86) - substituted with v-w243f101_ZU</v>
      </c>
    </row>
    <row r="1593" customFormat="false" ht="12.8" hidden="false" customHeight="false" outlineLevel="0" collapsed="false">
      <c r="B1593" s="0" t="s">
        <v>1</v>
      </c>
    </row>
    <row r="1594" customFormat="false" ht="12.8" hidden="false" customHeight="false" outlineLevel="0" collapsed="false">
      <c r="B1594" s="0" t="s">
        <v>1063</v>
      </c>
    </row>
    <row r="1596" customFormat="false" ht="12.8" hidden="false" customHeight="false" outlineLevel="0" collapsed="false">
      <c r="A1596" s="0" t="s">
        <v>1064</v>
      </c>
      <c r="B1596" s="0" t="str">
        <f aca="false">HYPERLINK("https://lindat.mff.cuni.cz/services/teitok/pdtc10/index.php?action=vallex&amp;frame=v-w243f102_ZU", "být (v-w243f102_ZU)")</f>
        <v>být (v-w243f102_ZU)</v>
      </c>
      <c r="E1596" s="0" t="str">
        <f aca="false">HYPERLINK("https://lindat.mff.cuni.cz/services/SynSemClass40/SynSemClass40.html?veclass=vec00233#vec00233-ces-cm00086", "vec00233")</f>
        <v>vec00233</v>
      </c>
      <c r="F1596" s="0" t="s">
        <v>1065</v>
      </c>
    </row>
    <row r="1597" customFormat="false" ht="12.8" hidden="false" customHeight="false" outlineLevel="0" collapsed="false">
      <c r="B1597" s="0" t="s">
        <v>1</v>
      </c>
      <c r="C1597" s="0" t="s">
        <v>1066</v>
      </c>
      <c r="E1597" s="0" t="s">
        <v>1067</v>
      </c>
      <c r="F1597" s="0" t="s">
        <v>1068</v>
      </c>
    </row>
    <row r="1598" customFormat="false" ht="12.8" hidden="false" customHeight="false" outlineLevel="0" collapsed="false">
      <c r="B1598" s="0" t="s">
        <v>1069</v>
      </c>
    </row>
    <row r="1600" customFormat="false" ht="12.8" hidden="false" customHeight="false" outlineLevel="0" collapsed="false">
      <c r="A1600" s="0" t="s">
        <v>1064</v>
      </c>
      <c r="B1600" s="0" t="str">
        <f aca="false">HYPERLINK("https://lindat.mff.cuni.cz/services/teitok/pdtc10/index.php?action=vallex&amp;frame=v-w243hsa_89", "být (v-w243hsa_89) - substituted with v-w243f102_ZU")</f>
        <v>být (v-w243hsa_89) - substituted with v-w243f102_ZU</v>
      </c>
    </row>
    <row r="1601" customFormat="false" ht="12.8" hidden="false" customHeight="false" outlineLevel="0" collapsed="false">
      <c r="B1601" s="0" t="s">
        <v>1</v>
      </c>
    </row>
    <row r="1602" customFormat="false" ht="12.8" hidden="false" customHeight="false" outlineLevel="0" collapsed="false">
      <c r="B1602" s="0" t="s">
        <v>1069</v>
      </c>
    </row>
    <row r="1604" customFormat="false" ht="12.8" hidden="false" customHeight="false" outlineLevel="0" collapsed="false">
      <c r="A1604" s="0" t="s">
        <v>1070</v>
      </c>
      <c r="B1604" s="0" t="str">
        <f aca="false">HYPERLINK("https://lindat.mff.cuni.cz/services/teitok/pdtc10/index.php?action=vallex&amp;frame=v-w243f103_ZU", "být (v-w243f103_ZU)")</f>
        <v>být (v-w243f103_ZU)</v>
      </c>
    </row>
    <row r="1605" customFormat="false" ht="12.8" hidden="false" customHeight="false" outlineLevel="0" collapsed="false">
      <c r="B1605" s="0" t="s">
        <v>1</v>
      </c>
    </row>
    <row r="1606" customFormat="false" ht="12.8" hidden="false" customHeight="false" outlineLevel="0" collapsed="false">
      <c r="B1606" s="0" t="s">
        <v>1071</v>
      </c>
    </row>
    <row r="1608" customFormat="false" ht="12.8" hidden="false" customHeight="false" outlineLevel="0" collapsed="false">
      <c r="A1608" s="0" t="s">
        <v>1070</v>
      </c>
      <c r="B1608" s="0" t="str">
        <f aca="false">HYPERLINK("https://lindat.mff.cuni.cz/services/teitok/pdtc10/index.php?action=vallex&amp;frame=v-w243hsa_90", "být (v-w243hsa_90) - substituted with v-w243f103_ZU")</f>
        <v>být (v-w243hsa_90) - substituted with v-w243f103_ZU</v>
      </c>
    </row>
    <row r="1609" customFormat="false" ht="12.8" hidden="false" customHeight="false" outlineLevel="0" collapsed="false">
      <c r="B1609" s="0" t="s">
        <v>1</v>
      </c>
    </row>
    <row r="1610" customFormat="false" ht="12.8" hidden="false" customHeight="false" outlineLevel="0" collapsed="false">
      <c r="B1610" s="0" t="s">
        <v>1071</v>
      </c>
    </row>
    <row r="1612" customFormat="false" ht="12.8" hidden="false" customHeight="false" outlineLevel="0" collapsed="false">
      <c r="A1612" s="0" t="s">
        <v>1072</v>
      </c>
      <c r="B1612" s="0" t="str">
        <f aca="false">HYPERLINK("https://lindat.mff.cuni.cz/services/teitok/pdtc10/index.php?action=vallex&amp;frame=v-w243f99_ZU", "být (v-w243f99_ZU)")</f>
        <v>být (v-w243f99_ZU)</v>
      </c>
    </row>
    <row r="1613" customFormat="false" ht="12.8" hidden="false" customHeight="false" outlineLevel="0" collapsed="false">
      <c r="B1613" s="0" t="s">
        <v>1</v>
      </c>
    </row>
    <row r="1614" customFormat="false" ht="12.8" hidden="false" customHeight="false" outlineLevel="0" collapsed="false">
      <c r="B1614" s="0" t="s">
        <v>1073</v>
      </c>
    </row>
    <row r="1615" customFormat="false" ht="12.8" hidden="false" customHeight="false" outlineLevel="0" collapsed="false">
      <c r="B1615" s="0" t="s">
        <v>157</v>
      </c>
    </row>
    <row r="1617" customFormat="false" ht="12.8" hidden="false" customHeight="false" outlineLevel="0" collapsed="false">
      <c r="A1617" s="0" t="s">
        <v>1072</v>
      </c>
      <c r="B1617" s="0" t="str">
        <f aca="false">HYPERLINK("https://lindat.mff.cuni.cz/services/teitok/pdtc10/index.php?action=vallex&amp;frame=v-w243hsa_91", "být (v-w243hsa_91) - substituted with v-w243f99_ZU")</f>
        <v>být (v-w243hsa_91) - substituted with v-w243f99_ZU</v>
      </c>
    </row>
    <row r="1618" customFormat="false" ht="12.8" hidden="false" customHeight="false" outlineLevel="0" collapsed="false">
      <c r="B1618" s="0" t="s">
        <v>1</v>
      </c>
    </row>
    <row r="1619" customFormat="false" ht="12.8" hidden="false" customHeight="false" outlineLevel="0" collapsed="false">
      <c r="B1619" s="0" t="s">
        <v>1073</v>
      </c>
    </row>
    <row r="1620" customFormat="false" ht="12.8" hidden="false" customHeight="false" outlineLevel="0" collapsed="false">
      <c r="B1620" s="0" t="s">
        <v>157</v>
      </c>
    </row>
    <row r="1622" customFormat="false" ht="12.8" hidden="false" customHeight="false" outlineLevel="0" collapsed="false">
      <c r="A1622" s="0" t="s">
        <v>1074</v>
      </c>
      <c r="B1622" s="0" t="str">
        <f aca="false">HYPERLINK("https://lindat.mff.cuni.cz/services/teitok/pdtc10/index.php?action=vallex&amp;frame=v-w243f104_ZU", "být (v-w243f104_ZU)")</f>
        <v>být (v-w243f104_ZU)</v>
      </c>
    </row>
    <row r="1623" customFormat="false" ht="12.8" hidden="false" customHeight="false" outlineLevel="0" collapsed="false">
      <c r="B1623" s="0" t="s">
        <v>1</v>
      </c>
    </row>
    <row r="1624" customFormat="false" ht="12.8" hidden="false" customHeight="false" outlineLevel="0" collapsed="false">
      <c r="B1624" s="0" t="s">
        <v>1075</v>
      </c>
    </row>
    <row r="1626" customFormat="false" ht="12.8" hidden="false" customHeight="false" outlineLevel="0" collapsed="false">
      <c r="A1626" s="0" t="s">
        <v>1074</v>
      </c>
      <c r="B1626" s="0" t="str">
        <f aca="false">HYPERLINK("https://lindat.mff.cuni.cz/services/teitok/pdtc10/index.php?action=vallex&amp;frame=v-w243hsa_92", "být (v-w243hsa_92) - substituted with v-w243f104_ZU")</f>
        <v>být (v-w243hsa_92) - substituted with v-w243f104_ZU</v>
      </c>
    </row>
    <row r="1627" customFormat="false" ht="12.8" hidden="false" customHeight="false" outlineLevel="0" collapsed="false">
      <c r="B1627" s="0" t="s">
        <v>1</v>
      </c>
    </row>
    <row r="1628" customFormat="false" ht="12.8" hidden="false" customHeight="false" outlineLevel="0" collapsed="false">
      <c r="B1628" s="0" t="s">
        <v>1075</v>
      </c>
    </row>
    <row r="1630" customFormat="false" ht="12.8" hidden="false" customHeight="false" outlineLevel="0" collapsed="false">
      <c r="A1630" s="0" t="s">
        <v>1076</v>
      </c>
      <c r="B1630" s="0" t="str">
        <f aca="false">HYPERLINK("https://lindat.mff.cuni.cz/services/teitok/pdtc10/index.php?action=vallex&amp;frame=v-w243f105_ZU", "být (v-w243f105_ZU)")</f>
        <v>být (v-w243f105_ZU)</v>
      </c>
      <c r="E1630" s="0" t="str">
        <f aca="false">HYPERLINK("https://lindat.mff.cuni.cz/services/SynSemClass40/SynSemClass40.html?veclass=vec00017#vec00017-ces-cm00006", "vec00017")</f>
        <v>vec00017</v>
      </c>
      <c r="F1630" s="0" t="s">
        <v>954</v>
      </c>
    </row>
    <row r="1631" customFormat="false" ht="12.8" hidden="false" customHeight="false" outlineLevel="0" collapsed="false">
      <c r="B1631" s="0" t="s">
        <v>1</v>
      </c>
      <c r="C1631" s="0" t="s">
        <v>956</v>
      </c>
      <c r="E1631" s="0" t="s">
        <v>957</v>
      </c>
      <c r="F1631" s="0" t="s">
        <v>958</v>
      </c>
    </row>
    <row r="1632" customFormat="false" ht="12.8" hidden="false" customHeight="false" outlineLevel="0" collapsed="false">
      <c r="B1632" s="0" t="s">
        <v>1077</v>
      </c>
    </row>
    <row r="1634" customFormat="false" ht="12.8" hidden="false" customHeight="false" outlineLevel="0" collapsed="false">
      <c r="A1634" s="0" t="s">
        <v>1076</v>
      </c>
      <c r="B1634" s="0" t="str">
        <f aca="false">HYPERLINK("https://lindat.mff.cuni.cz/services/teitok/pdtc10/index.php?action=vallex&amp;frame=v-w243hsa_93", "být (v-w243hsa_93) - substituted with v-w243f105_ZU")</f>
        <v>být (v-w243hsa_93) - substituted with v-w243f105_ZU</v>
      </c>
    </row>
    <row r="1635" customFormat="false" ht="12.8" hidden="false" customHeight="false" outlineLevel="0" collapsed="false">
      <c r="B1635" s="0" t="s">
        <v>1</v>
      </c>
    </row>
    <row r="1636" customFormat="false" ht="12.8" hidden="false" customHeight="false" outlineLevel="0" collapsed="false">
      <c r="B1636" s="0" t="s">
        <v>1077</v>
      </c>
    </row>
    <row r="1638" customFormat="false" ht="12.8" hidden="false" customHeight="false" outlineLevel="0" collapsed="false">
      <c r="A1638" s="0" t="s">
        <v>1078</v>
      </c>
      <c r="B1638" s="0" t="str">
        <f aca="false">HYPERLINK("https://lindat.mff.cuni.cz/services/teitok/pdtc10/index.php?action=vallex&amp;frame=v-w243f106_ZU", "být (v-w243f106_ZU)")</f>
        <v>být (v-w243f106_ZU)</v>
      </c>
    </row>
    <row r="1639" customFormat="false" ht="12.8" hidden="false" customHeight="false" outlineLevel="0" collapsed="false">
      <c r="B1639" s="0" t="s">
        <v>1</v>
      </c>
    </row>
    <row r="1640" customFormat="false" ht="12.8" hidden="false" customHeight="false" outlineLevel="0" collapsed="false">
      <c r="B1640" s="0" t="s">
        <v>1079</v>
      </c>
    </row>
    <row r="1642" customFormat="false" ht="12.8" hidden="false" customHeight="false" outlineLevel="0" collapsed="false">
      <c r="A1642" s="0" t="s">
        <v>1078</v>
      </c>
      <c r="B1642" s="0" t="str">
        <f aca="false">HYPERLINK("https://lindat.mff.cuni.cz/services/teitok/pdtc10/index.php?action=vallex&amp;frame=v-w243hsa_94", "být (v-w243hsa_94) - substituted with v-w243f106_ZU")</f>
        <v>být (v-w243hsa_94) - substituted with v-w243f106_ZU</v>
      </c>
    </row>
    <row r="1643" customFormat="false" ht="12.8" hidden="false" customHeight="false" outlineLevel="0" collapsed="false">
      <c r="B1643" s="0" t="s">
        <v>1</v>
      </c>
    </row>
    <row r="1644" customFormat="false" ht="12.8" hidden="false" customHeight="false" outlineLevel="0" collapsed="false">
      <c r="B1644" s="0" t="s">
        <v>1079</v>
      </c>
    </row>
    <row r="1646" customFormat="false" ht="12.8" hidden="false" customHeight="false" outlineLevel="0" collapsed="false">
      <c r="A1646" s="0" t="s">
        <v>1080</v>
      </c>
      <c r="B1646" s="0" t="str">
        <f aca="false">HYPERLINK("https://lindat.mff.cuni.cz/services/teitok/pdtc10/index.php?action=vallex&amp;frame=v-w243f107_ZU", "být (v-w243f107_ZU)")</f>
        <v>být (v-w243f107_ZU)</v>
      </c>
      <c r="E1646" s="0" t="str">
        <f aca="false">HYPERLINK("https://lindat.mff.cuni.cz/services/SynSemClass40/SynSemClass40.html?veclass=vec00309#vec00309-ces-cm00075", "vec00309")</f>
        <v>vec00309</v>
      </c>
      <c r="F1646" s="0" t="s">
        <v>1081</v>
      </c>
      <c r="H1646" s="0" t="str">
        <f aca="false">HYPERLINK("https://lindat.mff.cuni.cz/services/SynSemClass40/SynSemClass40.html?veclass=vec01475#vec01475-ces-cm00001", "vec01475")</f>
        <v>vec01475</v>
      </c>
      <c r="I1646" s="0" t="s">
        <v>1082</v>
      </c>
    </row>
    <row r="1647" customFormat="false" ht="12.8" hidden="false" customHeight="false" outlineLevel="0" collapsed="false">
      <c r="B1647" s="0" t="s">
        <v>1</v>
      </c>
      <c r="C1647" s="0" t="s">
        <v>1083</v>
      </c>
      <c r="E1647" s="0" t="s">
        <v>1084</v>
      </c>
      <c r="F1647" s="0" t="s">
        <v>1085</v>
      </c>
      <c r="H1647" s="0" t="s">
        <v>1086</v>
      </c>
      <c r="I1647" s="0" t="s">
        <v>1087</v>
      </c>
    </row>
    <row r="1648" customFormat="false" ht="12.8" hidden="false" customHeight="false" outlineLevel="0" collapsed="false">
      <c r="B1648" s="0" t="s">
        <v>1088</v>
      </c>
      <c r="C1648" s="0" t="s">
        <v>1089</v>
      </c>
      <c r="E1648" s="0" t="s">
        <v>1090</v>
      </c>
      <c r="F1648" s="0" t="s">
        <v>1091</v>
      </c>
      <c r="H1648" s="0" t="s">
        <v>1092</v>
      </c>
      <c r="I1648" s="0" t="s">
        <v>1093</v>
      </c>
    </row>
    <row r="1650" customFormat="false" ht="12.8" hidden="false" customHeight="false" outlineLevel="0" collapsed="false">
      <c r="A1650" s="0" t="s">
        <v>1080</v>
      </c>
      <c r="B1650" s="0" t="str">
        <f aca="false">HYPERLINK("https://lindat.mff.cuni.cz/services/teitok/pdtc10/index.php?action=vallex&amp;frame=v-w243hsa_95", "být (v-w243hsa_95) - substituted with v-w243f107_ZU")</f>
        <v>být (v-w243hsa_95) - substituted with v-w243f107_ZU</v>
      </c>
    </row>
    <row r="1651" customFormat="false" ht="12.8" hidden="false" customHeight="false" outlineLevel="0" collapsed="false">
      <c r="B1651" s="0" t="s">
        <v>1</v>
      </c>
    </row>
    <row r="1652" customFormat="false" ht="12.8" hidden="false" customHeight="false" outlineLevel="0" collapsed="false">
      <c r="B1652" s="0" t="s">
        <v>1088</v>
      </c>
    </row>
    <row r="1654" customFormat="false" ht="12.8" hidden="false" customHeight="false" outlineLevel="0" collapsed="false">
      <c r="A1654" s="0" t="s">
        <v>1094</v>
      </c>
      <c r="B1654" s="0" t="str">
        <f aca="false">HYPERLINK("https://lindat.mff.cuni.cz/services/teitok/pdtc10/index.php?action=vallex&amp;frame=v-w243f120_ZU", "být (v-w243f120_ZU)")</f>
        <v>být (v-w243f120_ZU)</v>
      </c>
    </row>
    <row r="1655" customFormat="false" ht="12.8" hidden="false" customHeight="false" outlineLevel="0" collapsed="false">
      <c r="B1655" s="0" t="s">
        <v>1</v>
      </c>
    </row>
    <row r="1656" customFormat="false" ht="12.8" hidden="false" customHeight="false" outlineLevel="0" collapsed="false">
      <c r="B1656" s="0" t="s">
        <v>1095</v>
      </c>
    </row>
    <row r="1657" customFormat="false" ht="12.8" hidden="false" customHeight="false" outlineLevel="0" collapsed="false">
      <c r="B1657" s="0" t="s">
        <v>157</v>
      </c>
    </row>
    <row r="1659" customFormat="false" ht="12.8" hidden="false" customHeight="false" outlineLevel="0" collapsed="false">
      <c r="A1659" s="0" t="s">
        <v>1094</v>
      </c>
      <c r="B1659" s="0" t="str">
        <f aca="false">HYPERLINK("https://lindat.mff.cuni.cz/services/teitok/pdtc10/index.php?action=vallex&amp;frame=v-w243hsa_96", "být (v-w243hsa_96) - substituted with v-w243f120_ZU")</f>
        <v>být (v-w243hsa_96) - substituted with v-w243f120_ZU</v>
      </c>
    </row>
    <row r="1660" customFormat="false" ht="12.8" hidden="false" customHeight="false" outlineLevel="0" collapsed="false">
      <c r="B1660" s="0" t="s">
        <v>1</v>
      </c>
    </row>
    <row r="1661" customFormat="false" ht="12.8" hidden="false" customHeight="false" outlineLevel="0" collapsed="false">
      <c r="B1661" s="0" t="s">
        <v>1095</v>
      </c>
    </row>
    <row r="1662" customFormat="false" ht="12.8" hidden="false" customHeight="false" outlineLevel="0" collapsed="false">
      <c r="B1662" s="0" t="s">
        <v>157</v>
      </c>
    </row>
    <row r="1664" customFormat="false" ht="12.8" hidden="false" customHeight="false" outlineLevel="0" collapsed="false">
      <c r="A1664" s="0" t="s">
        <v>1096</v>
      </c>
      <c r="B1664" s="0" t="str">
        <f aca="false">HYPERLINK("https://lindat.mff.cuni.cz/services/teitok/pdtc10/index.php?action=vallex&amp;frame=v-w243f109_ZU", "být (v-w243f109_ZU)")</f>
        <v>být (v-w243f109_ZU)</v>
      </c>
    </row>
    <row r="1665" customFormat="false" ht="12.8" hidden="false" customHeight="false" outlineLevel="0" collapsed="false">
      <c r="B1665" s="0" t="s">
        <v>1</v>
      </c>
    </row>
    <row r="1666" customFormat="false" ht="12.8" hidden="false" customHeight="false" outlineLevel="0" collapsed="false">
      <c r="B1666" s="0" t="s">
        <v>1097</v>
      </c>
    </row>
    <row r="1668" customFormat="false" ht="12.8" hidden="false" customHeight="false" outlineLevel="0" collapsed="false">
      <c r="A1668" s="0" t="s">
        <v>1096</v>
      </c>
      <c r="B1668" s="0" t="str">
        <f aca="false">HYPERLINK("https://lindat.mff.cuni.cz/services/teitok/pdtc10/index.php?action=vallex&amp;frame=v-w243hsa_97", "být (v-w243hsa_97) - substituted with v-w243f109_ZU")</f>
        <v>být (v-w243hsa_97) - substituted with v-w243f109_ZU</v>
      </c>
    </row>
    <row r="1669" customFormat="false" ht="12.8" hidden="false" customHeight="false" outlineLevel="0" collapsed="false">
      <c r="B1669" s="0" t="s">
        <v>1</v>
      </c>
    </row>
    <row r="1670" customFormat="false" ht="12.8" hidden="false" customHeight="false" outlineLevel="0" collapsed="false">
      <c r="B1670" s="0" t="s">
        <v>1097</v>
      </c>
    </row>
    <row r="1672" customFormat="false" ht="12.8" hidden="false" customHeight="false" outlineLevel="0" collapsed="false">
      <c r="A1672" s="0" t="s">
        <v>1098</v>
      </c>
      <c r="B1672" s="0" t="str">
        <f aca="false">HYPERLINK("https://lindat.mff.cuni.cz/services/teitok/pdtc10/index.php?action=vallex&amp;frame=v-w243f111_ZU", "být (v-w243f111_ZU)")</f>
        <v>být (v-w243f111_ZU)</v>
      </c>
    </row>
    <row r="1673" customFormat="false" ht="12.8" hidden="false" customHeight="false" outlineLevel="0" collapsed="false">
      <c r="B1673" s="0" t="s">
        <v>1</v>
      </c>
    </row>
    <row r="1674" customFormat="false" ht="12.8" hidden="false" customHeight="false" outlineLevel="0" collapsed="false">
      <c r="B1674" s="0" t="s">
        <v>1099</v>
      </c>
    </row>
    <row r="1676" customFormat="false" ht="12.8" hidden="false" customHeight="false" outlineLevel="0" collapsed="false">
      <c r="A1676" s="0" t="s">
        <v>1098</v>
      </c>
      <c r="B1676" s="0" t="str">
        <f aca="false">HYPERLINK("https://lindat.mff.cuni.cz/services/teitok/pdtc10/index.php?action=vallex&amp;frame=v-w243hsa_98", "být (v-w243hsa_98) - substituted with v-w243f111_ZU")</f>
        <v>být (v-w243hsa_98) - substituted with v-w243f111_ZU</v>
      </c>
    </row>
    <row r="1677" customFormat="false" ht="12.8" hidden="false" customHeight="false" outlineLevel="0" collapsed="false">
      <c r="B1677" s="0" t="s">
        <v>1</v>
      </c>
    </row>
    <row r="1678" customFormat="false" ht="12.8" hidden="false" customHeight="false" outlineLevel="0" collapsed="false">
      <c r="B1678" s="0" t="s">
        <v>1099</v>
      </c>
    </row>
    <row r="1680" customFormat="false" ht="12.8" hidden="false" customHeight="false" outlineLevel="0" collapsed="false">
      <c r="A1680" s="0" t="s">
        <v>1100</v>
      </c>
      <c r="B1680" s="0" t="str">
        <f aca="false">HYPERLINK("https://lindat.mff.cuni.cz/services/teitok/pdtc10/index.php?action=vallex&amp;frame=v-w243f98_ZU", "být (v-w243f98_ZU)")</f>
        <v>být (v-w243f98_ZU)</v>
      </c>
      <c r="E1680" s="0" t="str">
        <f aca="false">HYPERLINK("https://lindat.mff.cuni.cz/services/SynSemClass40/SynSemClass40.html?veclass=vec01209#vec01209-ces-cm00001", "vec01209")</f>
        <v>vec01209</v>
      </c>
      <c r="F1680" s="0" t="s">
        <v>1101</v>
      </c>
    </row>
    <row r="1681" customFormat="false" ht="12.8" hidden="false" customHeight="false" outlineLevel="0" collapsed="false">
      <c r="B1681" s="0" t="s">
        <v>1102</v>
      </c>
      <c r="E1681" s="0" t="s">
        <v>1103</v>
      </c>
      <c r="F1681" s="0" t="s">
        <v>1104</v>
      </c>
    </row>
    <row r="1682" customFormat="false" ht="12.8" hidden="false" customHeight="false" outlineLevel="0" collapsed="false">
      <c r="B1682" s="0" t="s">
        <v>1105</v>
      </c>
    </row>
    <row r="1684" customFormat="false" ht="12.8" hidden="false" customHeight="false" outlineLevel="0" collapsed="false">
      <c r="A1684" s="0" t="s">
        <v>1100</v>
      </c>
      <c r="B1684" s="0" t="str">
        <f aca="false">HYPERLINK("https://lindat.mff.cuni.cz/services/teitok/pdtc10/index.php?action=vallex&amp;frame=v-w243hsa_99", "být (v-w243hsa_99) - substituted with v-w243f98_ZU")</f>
        <v>být (v-w243hsa_99) - substituted with v-w243f98_ZU</v>
      </c>
    </row>
    <row r="1685" customFormat="false" ht="12.8" hidden="false" customHeight="false" outlineLevel="0" collapsed="false">
      <c r="B1685" s="0" t="s">
        <v>1102</v>
      </c>
    </row>
    <row r="1686" customFormat="false" ht="12.8" hidden="false" customHeight="false" outlineLevel="0" collapsed="false">
      <c r="B1686" s="0" t="s">
        <v>1105</v>
      </c>
    </row>
    <row r="1688" customFormat="false" ht="12.8" hidden="false" customHeight="false" outlineLevel="0" collapsed="false">
      <c r="A1688" s="0" t="s">
        <v>1106</v>
      </c>
      <c r="B1688" s="0" t="str">
        <f aca="false">HYPERLINK("https://lindat.mff.cuni.cz/services/teitok/pdtc10/index.php?action=vallex&amp;frame=v-w243hsa_100", "být (v-w243hsa_100)")</f>
        <v>být (v-w243hsa_100)</v>
      </c>
    </row>
    <row r="1689" customFormat="false" ht="12.8" hidden="false" customHeight="false" outlineLevel="0" collapsed="false">
      <c r="B1689" s="0" t="s">
        <v>1</v>
      </c>
    </row>
    <row r="1690" customFormat="false" ht="12.8" hidden="false" customHeight="false" outlineLevel="0" collapsed="false">
      <c r="B1690" s="0" t="s">
        <v>1107</v>
      </c>
    </row>
    <row r="1691" customFormat="false" ht="12.8" hidden="false" customHeight="false" outlineLevel="0" collapsed="false">
      <c r="B1691" s="0" t="s">
        <v>298</v>
      </c>
    </row>
    <row r="1693" customFormat="false" ht="12.8" hidden="false" customHeight="false" outlineLevel="0" collapsed="false">
      <c r="A1693" s="0" t="s">
        <v>1108</v>
      </c>
      <c r="B1693" s="0" t="str">
        <f aca="false">HYPERLINK("https://lindat.mff.cuni.cz/services/teitok/pdtc10/index.php?action=vallex&amp;frame=v-w243f115_ZU", "být (v-w243f115_ZU)")</f>
        <v>být (v-w243f115_ZU)</v>
      </c>
      <c r="E1693" s="0" t="str">
        <f aca="false">HYPERLINK("https://lindat.mff.cuni.cz/services/SynSemClass40/SynSemClass40.html?veclass=vec00162#vec00162-ces-cm00054_SL", "vec00162")</f>
        <v>vec00162</v>
      </c>
      <c r="F1693" s="0" t="s">
        <v>1109</v>
      </c>
    </row>
    <row r="1694" customFormat="false" ht="12.8" hidden="false" customHeight="false" outlineLevel="0" collapsed="false">
      <c r="B1694" s="0" t="s">
        <v>1</v>
      </c>
      <c r="C1694" s="0" t="s">
        <v>1110</v>
      </c>
      <c r="E1694" s="0" t="s">
        <v>1111</v>
      </c>
      <c r="F1694" s="0" t="s">
        <v>1112</v>
      </c>
    </row>
    <row r="1695" customFormat="false" ht="12.8" hidden="false" customHeight="false" outlineLevel="0" collapsed="false">
      <c r="B1695" s="0" t="s">
        <v>1113</v>
      </c>
    </row>
    <row r="1697" customFormat="false" ht="12.8" hidden="false" customHeight="false" outlineLevel="0" collapsed="false">
      <c r="A1697" s="0" t="s">
        <v>1108</v>
      </c>
      <c r="B1697" s="0" t="str">
        <f aca="false">HYPERLINK("https://lindat.mff.cuni.cz/services/teitok/pdtc10/index.php?action=vallex&amp;frame=v-w243hsa_101", "být (v-w243hsa_101) - substituted with v-w243f115_ZU")</f>
        <v>být (v-w243hsa_101) - substituted with v-w243f115_ZU</v>
      </c>
    </row>
    <row r="1698" customFormat="false" ht="12.8" hidden="false" customHeight="false" outlineLevel="0" collapsed="false">
      <c r="B1698" s="0" t="s">
        <v>1</v>
      </c>
    </row>
    <row r="1699" customFormat="false" ht="12.8" hidden="false" customHeight="false" outlineLevel="0" collapsed="false">
      <c r="B1699" s="0" t="s">
        <v>1113</v>
      </c>
    </row>
    <row r="1701" customFormat="false" ht="12.8" hidden="false" customHeight="false" outlineLevel="0" collapsed="false">
      <c r="A1701" s="0" t="s">
        <v>1114</v>
      </c>
      <c r="B1701" s="0" t="str">
        <f aca="false">HYPERLINK("https://lindat.mff.cuni.cz/services/teitok/pdtc10/index.php?action=vallex&amp;frame=v-w243f116_ZU", "být (v-w243f116_ZU)")</f>
        <v>být (v-w243f116_ZU)</v>
      </c>
    </row>
    <row r="1702" customFormat="false" ht="12.8" hidden="false" customHeight="false" outlineLevel="0" collapsed="false">
      <c r="B1702" s="0" t="s">
        <v>1</v>
      </c>
    </row>
    <row r="1703" customFormat="false" ht="12.8" hidden="false" customHeight="false" outlineLevel="0" collapsed="false">
      <c r="B1703" s="0" t="s">
        <v>1115</v>
      </c>
    </row>
    <row r="1705" customFormat="false" ht="12.8" hidden="false" customHeight="false" outlineLevel="0" collapsed="false">
      <c r="A1705" s="0" t="s">
        <v>1114</v>
      </c>
      <c r="B1705" s="0" t="str">
        <f aca="false">HYPERLINK("https://lindat.mff.cuni.cz/services/teitok/pdtc10/index.php?action=vallex&amp;frame=v-w243hsa_102", "být (v-w243hsa_102) - substituted with v-w243f116_ZU")</f>
        <v>být (v-w243hsa_102) - substituted with v-w243f116_ZU</v>
      </c>
    </row>
    <row r="1706" customFormat="false" ht="12.8" hidden="false" customHeight="false" outlineLevel="0" collapsed="false">
      <c r="B1706" s="0" t="s">
        <v>1</v>
      </c>
    </row>
    <row r="1707" customFormat="false" ht="12.8" hidden="false" customHeight="false" outlineLevel="0" collapsed="false">
      <c r="B1707" s="0" t="s">
        <v>1115</v>
      </c>
    </row>
    <row r="1709" customFormat="false" ht="12.8" hidden="false" customHeight="false" outlineLevel="0" collapsed="false">
      <c r="A1709" s="0" t="s">
        <v>1116</v>
      </c>
      <c r="B1709" s="0" t="str">
        <f aca="false">HYPERLINK("https://lindat.mff.cuni.cz/services/teitok/pdtc10/index.php?action=vallex&amp;frame=v-w243f117_ZU", "být (v-w243f117_ZU)")</f>
        <v>být (v-w243f117_ZU)</v>
      </c>
    </row>
    <row r="1710" customFormat="false" ht="12.8" hidden="false" customHeight="false" outlineLevel="0" collapsed="false">
      <c r="B1710" s="0" t="s">
        <v>1</v>
      </c>
    </row>
    <row r="1711" customFormat="false" ht="12.8" hidden="false" customHeight="false" outlineLevel="0" collapsed="false">
      <c r="B1711" s="0" t="s">
        <v>1117</v>
      </c>
    </row>
    <row r="1713" customFormat="false" ht="12.8" hidden="false" customHeight="false" outlineLevel="0" collapsed="false">
      <c r="A1713" s="0" t="s">
        <v>1116</v>
      </c>
      <c r="B1713" s="0" t="str">
        <f aca="false">HYPERLINK("https://lindat.mff.cuni.cz/services/teitok/pdtc10/index.php?action=vallex&amp;frame=v-w243hsa_103", "být (v-w243hsa_103) - substituted with v-w243f117_ZU")</f>
        <v>být (v-w243hsa_103) - substituted with v-w243f117_ZU</v>
      </c>
    </row>
    <row r="1714" customFormat="false" ht="12.8" hidden="false" customHeight="false" outlineLevel="0" collapsed="false">
      <c r="B1714" s="0" t="s">
        <v>1</v>
      </c>
    </row>
    <row r="1715" customFormat="false" ht="12.8" hidden="false" customHeight="false" outlineLevel="0" collapsed="false">
      <c r="B1715" s="0" t="s">
        <v>1117</v>
      </c>
    </row>
    <row r="1717" customFormat="false" ht="12.8" hidden="false" customHeight="false" outlineLevel="0" collapsed="false">
      <c r="A1717" s="0" t="s">
        <v>1118</v>
      </c>
      <c r="B1717" s="0" t="str">
        <f aca="false">HYPERLINK("https://lindat.mff.cuni.cz/services/teitok/pdtc10/index.php?action=vallex&amp;frame=v-w243f114_ZU", "být (v-w243f114_ZU)")</f>
        <v>být (v-w243f114_ZU)</v>
      </c>
    </row>
    <row r="1718" customFormat="false" ht="12.8" hidden="false" customHeight="false" outlineLevel="0" collapsed="false">
      <c r="B1718" s="0" t="s">
        <v>1</v>
      </c>
    </row>
    <row r="1719" customFormat="false" ht="12.8" hidden="false" customHeight="false" outlineLevel="0" collapsed="false">
      <c r="B1719" s="0" t="s">
        <v>1119</v>
      </c>
    </row>
    <row r="1720" customFormat="false" ht="12.8" hidden="false" customHeight="false" outlineLevel="0" collapsed="false">
      <c r="B1720" s="0" t="s">
        <v>909</v>
      </c>
    </row>
    <row r="1722" customFormat="false" ht="12.8" hidden="false" customHeight="false" outlineLevel="0" collapsed="false">
      <c r="A1722" s="0" t="s">
        <v>1118</v>
      </c>
      <c r="B1722" s="0" t="str">
        <f aca="false">HYPERLINK("https://lindat.mff.cuni.cz/services/teitok/pdtc10/index.php?action=vallex&amp;frame=v-w243hsa_104", "být (v-w243hsa_104) - substituted with v-w243f114_ZU")</f>
        <v>být (v-w243hsa_104) - substituted with v-w243f114_ZU</v>
      </c>
    </row>
    <row r="1723" customFormat="false" ht="12.8" hidden="false" customHeight="false" outlineLevel="0" collapsed="false">
      <c r="B1723" s="0" t="s">
        <v>1</v>
      </c>
    </row>
    <row r="1724" customFormat="false" ht="12.8" hidden="false" customHeight="false" outlineLevel="0" collapsed="false">
      <c r="B1724" s="0" t="s">
        <v>1119</v>
      </c>
    </row>
    <row r="1725" customFormat="false" ht="12.8" hidden="false" customHeight="false" outlineLevel="0" collapsed="false">
      <c r="B1725" s="0" t="s">
        <v>909</v>
      </c>
    </row>
    <row r="1727" customFormat="false" ht="12.8" hidden="false" customHeight="false" outlineLevel="0" collapsed="false">
      <c r="A1727" s="0" t="s">
        <v>1120</v>
      </c>
      <c r="B1727" s="0" t="str">
        <f aca="false">HYPERLINK("https://lindat.mff.cuni.cz/services/teitok/pdtc10/index.php?action=vallex&amp;frame=v-w243f112_ZU", "být (v-w243f112_ZU)")</f>
        <v>být (v-w243f112_ZU)</v>
      </c>
    </row>
    <row r="1728" customFormat="false" ht="12.8" hidden="false" customHeight="false" outlineLevel="0" collapsed="false">
      <c r="B1728" s="0" t="s">
        <v>1</v>
      </c>
    </row>
    <row r="1729" customFormat="false" ht="12.8" hidden="false" customHeight="false" outlineLevel="0" collapsed="false">
      <c r="B1729" s="0" t="s">
        <v>1121</v>
      </c>
    </row>
    <row r="1731" customFormat="false" ht="12.8" hidden="false" customHeight="false" outlineLevel="0" collapsed="false">
      <c r="A1731" s="0" t="s">
        <v>1120</v>
      </c>
      <c r="B1731" s="0" t="str">
        <f aca="false">HYPERLINK("https://lindat.mff.cuni.cz/services/teitok/pdtc10/index.php?action=vallex&amp;frame=v-w243hsa_106", "být (v-w243hsa_106) - substituted with v-w243f112_ZU")</f>
        <v>být (v-w243hsa_106) - substituted with v-w243f112_ZU</v>
      </c>
    </row>
    <row r="1732" customFormat="false" ht="12.8" hidden="false" customHeight="false" outlineLevel="0" collapsed="false">
      <c r="B1732" s="0" t="s">
        <v>1</v>
      </c>
    </row>
    <row r="1733" customFormat="false" ht="12.8" hidden="false" customHeight="false" outlineLevel="0" collapsed="false">
      <c r="B1733" s="0" t="s">
        <v>1121</v>
      </c>
    </row>
    <row r="1735" customFormat="false" ht="12.8" hidden="false" customHeight="false" outlineLevel="0" collapsed="false">
      <c r="A1735" s="0" t="s">
        <v>1122</v>
      </c>
      <c r="B1735" s="0" t="str">
        <f aca="false">HYPERLINK("https://lindat.mff.cuni.cz/services/teitok/pdtc10/index.php?action=vallex&amp;frame=v-w243f113_ZU", "být (v-w243f113_ZU)")</f>
        <v>být (v-w243f113_ZU)</v>
      </c>
    </row>
    <row r="1736" customFormat="false" ht="12.8" hidden="false" customHeight="false" outlineLevel="0" collapsed="false">
      <c r="B1736" s="0" t="s">
        <v>1</v>
      </c>
    </row>
    <row r="1737" customFormat="false" ht="12.8" hidden="false" customHeight="false" outlineLevel="0" collapsed="false">
      <c r="B1737" s="0" t="s">
        <v>1123</v>
      </c>
    </row>
    <row r="1738" customFormat="false" ht="12.8" hidden="false" customHeight="false" outlineLevel="0" collapsed="false">
      <c r="B1738" s="0" t="s">
        <v>294</v>
      </c>
    </row>
    <row r="1740" customFormat="false" ht="12.8" hidden="false" customHeight="false" outlineLevel="0" collapsed="false">
      <c r="A1740" s="0" t="s">
        <v>1122</v>
      </c>
      <c r="B1740" s="0" t="str">
        <f aca="false">HYPERLINK("https://lindat.mff.cuni.cz/services/teitok/pdtc10/index.php?action=vallex&amp;frame=v-w243hsa_107", "být (v-w243hsa_107) - substituted with v-w243f113_ZU")</f>
        <v>být (v-w243hsa_107) - substituted with v-w243f113_ZU</v>
      </c>
    </row>
    <row r="1741" customFormat="false" ht="12.8" hidden="false" customHeight="false" outlineLevel="0" collapsed="false">
      <c r="B1741" s="0" t="s">
        <v>1</v>
      </c>
    </row>
    <row r="1742" customFormat="false" ht="12.8" hidden="false" customHeight="false" outlineLevel="0" collapsed="false">
      <c r="B1742" s="0" t="s">
        <v>1123</v>
      </c>
    </row>
    <row r="1743" customFormat="false" ht="12.8" hidden="false" customHeight="false" outlineLevel="0" collapsed="false">
      <c r="B1743" s="0" t="s">
        <v>294</v>
      </c>
    </row>
    <row r="1745" customFormat="false" ht="12.8" hidden="false" customHeight="false" outlineLevel="0" collapsed="false">
      <c r="A1745" s="0" t="s">
        <v>1124</v>
      </c>
      <c r="B1745" s="0" t="str">
        <f aca="false">HYPERLINK("https://lindat.mff.cuni.cz/services/teitok/pdtc10/index.php?action=vallex&amp;frame=v-w243f97_ZU", "být (v-w243f97_ZU)")</f>
        <v>být (v-w243f97_ZU)</v>
      </c>
    </row>
    <row r="1746" customFormat="false" ht="12.8" hidden="false" customHeight="false" outlineLevel="0" collapsed="false">
      <c r="B1746" s="0" t="s">
        <v>1</v>
      </c>
    </row>
    <row r="1747" customFormat="false" ht="12.8" hidden="false" customHeight="false" outlineLevel="0" collapsed="false">
      <c r="B1747" s="0" t="s">
        <v>1125</v>
      </c>
    </row>
    <row r="1749" customFormat="false" ht="12.8" hidden="false" customHeight="false" outlineLevel="0" collapsed="false">
      <c r="A1749" s="0" t="s">
        <v>1126</v>
      </c>
      <c r="B1749" s="0" t="str">
        <f aca="false">HYPERLINK("https://lindat.mff.cuni.cz/services/teitok/pdtc10/index.php?action=vallex&amp;frame=v-w243f108_ZU", "být (v-w243f108_ZU)")</f>
        <v>být (v-w243f108_ZU)</v>
      </c>
    </row>
    <row r="1750" customFormat="false" ht="12.8" hidden="false" customHeight="false" outlineLevel="0" collapsed="false">
      <c r="B1750" s="0" t="s">
        <v>1</v>
      </c>
    </row>
    <row r="1751" customFormat="false" ht="12.8" hidden="false" customHeight="false" outlineLevel="0" collapsed="false">
      <c r="B1751" s="0" t="s">
        <v>1127</v>
      </c>
    </row>
    <row r="1753" customFormat="false" ht="12.8" hidden="false" customHeight="false" outlineLevel="0" collapsed="false">
      <c r="A1753" s="0" t="s">
        <v>1128</v>
      </c>
      <c r="B1753" s="0" t="str">
        <f aca="false">HYPERLINK("https://lindat.mff.cuni.cz/services/teitok/pdtc10/index.php?action=vallex&amp;frame=v-w243f110_ZU", "být (v-w243f110_ZU)")</f>
        <v>být (v-w243f110_ZU)</v>
      </c>
    </row>
    <row r="1754" customFormat="false" ht="12.8" hidden="false" customHeight="false" outlineLevel="0" collapsed="false">
      <c r="B1754" s="0" t="s">
        <v>1</v>
      </c>
    </row>
    <row r="1755" customFormat="false" ht="12.8" hidden="false" customHeight="false" outlineLevel="0" collapsed="false">
      <c r="B1755" s="0" t="s">
        <v>1129</v>
      </c>
    </row>
    <row r="1757" customFormat="false" ht="12.8" hidden="false" customHeight="false" outlineLevel="0" collapsed="false">
      <c r="A1757" s="0" t="s">
        <v>1130</v>
      </c>
      <c r="B1757" s="0" t="str">
        <f aca="false">HYPERLINK("https://lindat.mff.cuni.cz/services/teitok/pdtc10/index.php?action=vallex&amp;frame=v-w243hsa_58", "být (v-w243hsa_58)")</f>
        <v>být (v-w243hsa_58)</v>
      </c>
    </row>
    <row r="1758" customFormat="false" ht="12.8" hidden="false" customHeight="false" outlineLevel="0" collapsed="false">
      <c r="B1758" s="0" t="s">
        <v>1131</v>
      </c>
    </row>
    <row r="1760" customFormat="false" ht="12.8" hidden="false" customHeight="false" outlineLevel="0" collapsed="false">
      <c r="A1760" s="0" t="s">
        <v>1132</v>
      </c>
      <c r="B1760" s="0" t="str">
        <f aca="false">HYPERLINK("https://lindat.mff.cuni.cz/services/teitok/pdtc10/index.php?action=vallex&amp;frame=v-w243hsa_59", "být (v-w243hsa_59)")</f>
        <v>být (v-w243hsa_59)</v>
      </c>
    </row>
    <row r="1761" customFormat="false" ht="12.8" hidden="false" customHeight="false" outlineLevel="0" collapsed="false">
      <c r="B1761" s="0" t="s">
        <v>1133</v>
      </c>
    </row>
    <row r="1763" customFormat="false" ht="12.8" hidden="false" customHeight="false" outlineLevel="0" collapsed="false">
      <c r="A1763" s="0" t="s">
        <v>1134</v>
      </c>
      <c r="B1763" s="0" t="str">
        <f aca="false">HYPERLINK("https://lindat.mff.cuni.cz/services/teitok/pdtc10/index.php?action=vallex&amp;frame=v-w243hsa_61", "být (v-w243hsa_61)")</f>
        <v>být (v-w243hsa_61)</v>
      </c>
    </row>
    <row r="1764" customFormat="false" ht="12.8" hidden="false" customHeight="false" outlineLevel="0" collapsed="false">
      <c r="B1764" s="0" t="s">
        <v>1</v>
      </c>
    </row>
    <row r="1766" customFormat="false" ht="12.8" hidden="false" customHeight="false" outlineLevel="0" collapsed="false">
      <c r="A1766" s="0" t="s">
        <v>1135</v>
      </c>
      <c r="B1766" s="0" t="str">
        <f aca="false">HYPERLINK("https://lindat.mff.cuni.cz/services/teitok/pdtc10/index.php?action=vallex&amp;frame=v-w243hsa_62", "být (v-w243hsa_62)")</f>
        <v>být (v-w243hsa_62)</v>
      </c>
    </row>
    <row r="1767" customFormat="false" ht="12.8" hidden="false" customHeight="false" outlineLevel="0" collapsed="false">
      <c r="B1767" s="0" t="s">
        <v>1</v>
      </c>
    </row>
    <row r="1769" customFormat="false" ht="12.8" hidden="false" customHeight="false" outlineLevel="0" collapsed="false">
      <c r="A1769" s="0" t="s">
        <v>1136</v>
      </c>
      <c r="B1769" s="0" t="str">
        <f aca="false">HYPERLINK("https://lindat.mff.cuni.cz/services/teitok/pdtc10/index.php?action=vallex&amp;frame=v-w243hsa_63", "být (v-w243hsa_63)")</f>
        <v>být (v-w243hsa_63)</v>
      </c>
    </row>
    <row r="1770" customFormat="false" ht="12.8" hidden="false" customHeight="false" outlineLevel="0" collapsed="false">
      <c r="B1770" s="0" t="s">
        <v>1</v>
      </c>
    </row>
    <row r="1771" customFormat="false" ht="12.8" hidden="false" customHeight="false" outlineLevel="0" collapsed="false">
      <c r="B1771" s="0" t="s">
        <v>1137</v>
      </c>
    </row>
    <row r="1773" customFormat="false" ht="12.8" hidden="false" customHeight="false" outlineLevel="0" collapsed="false">
      <c r="A1773" s="0" t="s">
        <v>1138</v>
      </c>
      <c r="B1773" s="0" t="str">
        <f aca="false">HYPERLINK("https://lindat.mff.cuni.cz/services/teitok/pdtc10/index.php?action=vallex&amp;frame=v-w243hsa_64", "být (v-w243hsa_64)")</f>
        <v>být (v-w243hsa_64)</v>
      </c>
    </row>
    <row r="1774" customFormat="false" ht="12.8" hidden="false" customHeight="false" outlineLevel="0" collapsed="false">
      <c r="B1774" s="0" t="s">
        <v>1</v>
      </c>
    </row>
    <row r="1775" customFormat="false" ht="12.8" hidden="false" customHeight="false" outlineLevel="0" collapsed="false">
      <c r="B1775" s="0" t="s">
        <v>45</v>
      </c>
    </row>
    <row r="1777" customFormat="false" ht="12.8" hidden="false" customHeight="false" outlineLevel="0" collapsed="false">
      <c r="A1777" s="0" t="s">
        <v>1139</v>
      </c>
      <c r="B1777" s="0" t="str">
        <f aca="false">HYPERLINK("https://lindat.mff.cuni.cz/services/teitok/pdtc10/index.php?action=vallex&amp;frame=v-w243f79_ZU", "být (v-w243f79_ZU)")</f>
        <v>být (v-w243f79_ZU)</v>
      </c>
    </row>
    <row r="1778" customFormat="false" ht="12.8" hidden="false" customHeight="false" outlineLevel="0" collapsed="false">
      <c r="B1778" s="0" t="s">
        <v>1</v>
      </c>
    </row>
    <row r="1779" customFormat="false" ht="12.8" hidden="false" customHeight="false" outlineLevel="0" collapsed="false">
      <c r="B1779" s="0" t="s">
        <v>1047</v>
      </c>
    </row>
    <row r="1781" customFormat="false" ht="12.8" hidden="false" customHeight="false" outlineLevel="0" collapsed="false">
      <c r="A1781" s="0" t="s">
        <v>1140</v>
      </c>
      <c r="B1781" s="0" t="str">
        <f aca="false">HYPERLINK("https://lindat.mff.cuni.cz/services/teitok/pdtc10/index.php?action=vallex&amp;frame=v-w243f83_ZU", "být (v-w243f83_ZU)")</f>
        <v>být (v-w243f83_ZU)</v>
      </c>
    </row>
    <row r="1782" customFormat="false" ht="12.8" hidden="false" customHeight="false" outlineLevel="0" collapsed="false">
      <c r="B1782" s="0" t="s">
        <v>1</v>
      </c>
    </row>
    <row r="1783" customFormat="false" ht="12.8" hidden="false" customHeight="false" outlineLevel="0" collapsed="false">
      <c r="B1783" s="0" t="s">
        <v>1141</v>
      </c>
    </row>
    <row r="1784" customFormat="false" ht="12.8" hidden="false" customHeight="false" outlineLevel="0" collapsed="false">
      <c r="B1784" s="0" t="s">
        <v>1142</v>
      </c>
    </row>
    <row r="1786" customFormat="false" ht="12.8" hidden="false" customHeight="false" outlineLevel="0" collapsed="false">
      <c r="A1786" s="0" t="s">
        <v>1140</v>
      </c>
      <c r="B1786" s="0" t="str">
        <f aca="false">HYPERLINK("https://lindat.mff.cuni.cz/services/teitok/pdtc10/index.php?action=vallex&amp;frame=v-w243f76_ZU", "být (v-w243f76_ZU) - substituted with v-w243f83_ZU")</f>
        <v>být (v-w243f76_ZU) - substituted with v-w243f83_ZU</v>
      </c>
    </row>
    <row r="1787" customFormat="false" ht="12.8" hidden="false" customHeight="false" outlineLevel="0" collapsed="false">
      <c r="B1787" s="0" t="s">
        <v>1</v>
      </c>
    </row>
    <row r="1788" customFormat="false" ht="12.8" hidden="false" customHeight="false" outlineLevel="0" collapsed="false">
      <c r="B1788" s="0" t="s">
        <v>1141</v>
      </c>
    </row>
    <row r="1789" customFormat="false" ht="12.8" hidden="false" customHeight="false" outlineLevel="0" collapsed="false">
      <c r="B1789" s="0" t="s">
        <v>1142</v>
      </c>
    </row>
    <row r="1791" customFormat="false" ht="12.8" hidden="false" customHeight="false" outlineLevel="0" collapsed="false">
      <c r="A1791" s="0" t="s">
        <v>1143</v>
      </c>
      <c r="B1791" s="0" t="str">
        <f aca="false">HYPERLINK("https://lindat.mff.cuni.cz/services/teitok/pdtc10/index.php?action=vallex&amp;frame=v-w243hsa_85", "být (v-w243hsa_85)")</f>
        <v>být (v-w243hsa_85)</v>
      </c>
    </row>
    <row r="1792" customFormat="false" ht="12.8" hidden="false" customHeight="false" outlineLevel="0" collapsed="false">
      <c r="B1792" s="0" t="s">
        <v>1</v>
      </c>
    </row>
    <row r="1793" customFormat="false" ht="12.8" hidden="false" customHeight="false" outlineLevel="0" collapsed="false">
      <c r="B1793" s="0" t="s">
        <v>1144</v>
      </c>
    </row>
    <row r="1794" customFormat="false" ht="12.8" hidden="false" customHeight="false" outlineLevel="0" collapsed="false">
      <c r="B1794" s="0" t="s">
        <v>1145</v>
      </c>
    </row>
    <row r="1796" customFormat="false" ht="12.8" hidden="false" customHeight="false" outlineLevel="0" collapsed="false">
      <c r="A1796" s="0" t="s">
        <v>1146</v>
      </c>
      <c r="B1796" s="0" t="str">
        <f aca="false">HYPERLINK("https://lindat.mff.cuni.cz/services/teitok/pdtc10/index.php?action=vallex&amp;frame=v-w243hsa_88", "být (v-w243hsa_88)")</f>
        <v>být (v-w243hsa_88)</v>
      </c>
    </row>
    <row r="1797" customFormat="false" ht="12.8" hidden="false" customHeight="false" outlineLevel="0" collapsed="false">
      <c r="B1797" s="0" t="s">
        <v>1</v>
      </c>
    </row>
    <row r="1798" customFormat="false" ht="12.8" hidden="false" customHeight="false" outlineLevel="0" collapsed="false">
      <c r="B1798" s="0" t="s">
        <v>1147</v>
      </c>
    </row>
    <row r="1800" customFormat="false" ht="12.8" hidden="false" customHeight="false" outlineLevel="0" collapsed="false">
      <c r="A1800" s="0" t="s">
        <v>1148</v>
      </c>
      <c r="B1800" s="0" t="str">
        <f aca="false">HYPERLINK("https://lindat.mff.cuni.cz/services/teitok/pdtc10/index.php?action=vallex&amp;frame=v-w243f128_ZU", "být (v-w243f128_ZU)")</f>
        <v>být (v-w243f128_ZU)</v>
      </c>
    </row>
    <row r="1801" customFormat="false" ht="12.8" hidden="false" customHeight="false" outlineLevel="0" collapsed="false">
      <c r="B1801" s="0" t="s">
        <v>1</v>
      </c>
    </row>
    <row r="1802" customFormat="false" ht="12.8" hidden="false" customHeight="false" outlineLevel="0" collapsed="false">
      <c r="B1802" s="0" t="s">
        <v>1149</v>
      </c>
    </row>
    <row r="1804" customFormat="false" ht="12.8" hidden="false" customHeight="false" outlineLevel="0" collapsed="false">
      <c r="A1804" s="0" t="s">
        <v>1148</v>
      </c>
      <c r="B1804" s="0" t="str">
        <f aca="false">HYPERLINK("https://lindat.mff.cuni.cz/services/teitok/pdtc10/index.php?action=vallex&amp;frame=v-w243hsa_87", "být (v-w243hsa_87) - substituted with v-w243f128_ZU")</f>
        <v>být (v-w243hsa_87) - substituted with v-w243f128_ZU</v>
      </c>
    </row>
    <row r="1805" customFormat="false" ht="12.8" hidden="false" customHeight="false" outlineLevel="0" collapsed="false">
      <c r="B1805" s="0" t="s">
        <v>1</v>
      </c>
    </row>
    <row r="1806" customFormat="false" ht="12.8" hidden="false" customHeight="false" outlineLevel="0" collapsed="false">
      <c r="B1806" s="0" t="s">
        <v>1149</v>
      </c>
    </row>
    <row r="1808" customFormat="false" ht="12.8" hidden="false" customHeight="false" outlineLevel="0" collapsed="false">
      <c r="A1808" s="0" t="s">
        <v>1150</v>
      </c>
      <c r="B1808" s="0" t="str">
        <f aca="false">HYPERLINK("https://lindat.mff.cuni.cz/services/teitok/pdtc10/index.php?action=vallex&amp;frame=v-w243f129_ZU", "být (v-w243f129_ZU)")</f>
        <v>být (v-w243f129_ZU)</v>
      </c>
    </row>
    <row r="1809" customFormat="false" ht="12.8" hidden="false" customHeight="false" outlineLevel="0" collapsed="false">
      <c r="B1809" s="0" t="s">
        <v>843</v>
      </c>
    </row>
    <row r="1810" customFormat="false" ht="12.8" hidden="false" customHeight="false" outlineLevel="0" collapsed="false">
      <c r="B1810" s="0" t="s">
        <v>1151</v>
      </c>
    </row>
    <row r="1811" customFormat="false" ht="12.8" hidden="false" customHeight="false" outlineLevel="0" collapsed="false">
      <c r="B1811" s="0" t="s">
        <v>496</v>
      </c>
    </row>
    <row r="1813" customFormat="false" ht="12.8" hidden="false" customHeight="false" outlineLevel="0" collapsed="false">
      <c r="A1813" s="0" t="s">
        <v>1150</v>
      </c>
      <c r="B1813" s="0" t="str">
        <f aca="false">HYPERLINK("https://lindat.mff.cuni.cz/services/teitok/pdtc10/index.php?action=vallex&amp;frame=v-w243hsa_105", "být (v-w243hsa_105) - substituted with v-w243f129_ZU")</f>
        <v>být (v-w243hsa_105) - substituted with v-w243f129_ZU</v>
      </c>
    </row>
    <row r="1814" customFormat="false" ht="12.8" hidden="false" customHeight="false" outlineLevel="0" collapsed="false">
      <c r="B1814" s="0" t="s">
        <v>843</v>
      </c>
    </row>
    <row r="1815" customFormat="false" ht="12.8" hidden="false" customHeight="false" outlineLevel="0" collapsed="false">
      <c r="B1815" s="0" t="s">
        <v>1151</v>
      </c>
    </row>
    <row r="1816" customFormat="false" ht="12.8" hidden="false" customHeight="false" outlineLevel="0" collapsed="false">
      <c r="B1816" s="0" t="s">
        <v>496</v>
      </c>
    </row>
    <row r="1818" customFormat="false" ht="12.8" hidden="false" customHeight="false" outlineLevel="0" collapsed="false">
      <c r="A1818" s="0" t="s">
        <v>1152</v>
      </c>
      <c r="B1818" s="0" t="str">
        <f aca="false">HYPERLINK("https://lindat.mff.cuni.cz/services/teitok/pdtc10/index.php?action=vallex&amp;frame=v-w243f130_ZU", "být (v-w243f130_ZU)")</f>
        <v>být (v-w243f130_ZU)</v>
      </c>
    </row>
    <row r="1819" customFormat="false" ht="12.8" hidden="false" customHeight="false" outlineLevel="0" collapsed="false">
      <c r="B1819" s="0" t="s">
        <v>859</v>
      </c>
    </row>
    <row r="1820" customFormat="false" ht="12.8" hidden="false" customHeight="false" outlineLevel="0" collapsed="false">
      <c r="B1820" s="0" t="s">
        <v>1153</v>
      </c>
    </row>
    <row r="1822" customFormat="false" ht="12.8" hidden="false" customHeight="false" outlineLevel="0" collapsed="false">
      <c r="A1822" s="0" t="s">
        <v>1152</v>
      </c>
      <c r="B1822" s="0" t="str">
        <f aca="false">HYPERLINK("https://lindat.mff.cuni.cz/services/teitok/pdtc10/index.php?action=vallex&amp;frame=v-w243hsa_65", "být (v-w243hsa_65) - substituted with v-w243f130_ZU")</f>
        <v>být (v-w243hsa_65) - substituted with v-w243f130_ZU</v>
      </c>
    </row>
    <row r="1823" customFormat="false" ht="12.8" hidden="false" customHeight="false" outlineLevel="0" collapsed="false">
      <c r="B1823" s="0" t="s">
        <v>859</v>
      </c>
    </row>
    <row r="1824" customFormat="false" ht="12.8" hidden="false" customHeight="false" outlineLevel="0" collapsed="false">
      <c r="B1824" s="0" t="s">
        <v>1153</v>
      </c>
    </row>
    <row r="1826" customFormat="false" ht="12.8" hidden="false" customHeight="false" outlineLevel="0" collapsed="false">
      <c r="A1826" s="0" t="s">
        <v>1154</v>
      </c>
      <c r="B1826" s="0" t="str">
        <f aca="false">HYPERLINK("https://lindat.mff.cuni.cz/services/teitok/pdtc10/index.php?action=vallex&amp;frame=v-w243f131_ZU", "být (v-w243f131_ZU)")</f>
        <v>být (v-w243f131_ZU)</v>
      </c>
    </row>
    <row r="1827" customFormat="false" ht="12.8" hidden="false" customHeight="false" outlineLevel="0" collapsed="false">
      <c r="B1827" s="0" t="s">
        <v>1</v>
      </c>
    </row>
    <row r="1828" customFormat="false" ht="12.8" hidden="false" customHeight="false" outlineLevel="0" collapsed="false">
      <c r="B1828" s="0" t="s">
        <v>1155</v>
      </c>
    </row>
    <row r="1830" customFormat="false" ht="12.8" hidden="false" customHeight="false" outlineLevel="0" collapsed="false">
      <c r="A1830" s="0" t="s">
        <v>1154</v>
      </c>
      <c r="B1830" s="0" t="str">
        <f aca="false">HYPERLINK("https://lindat.mff.cuni.cz/services/teitok/pdtc10/index.php?action=vallex&amp;frame=v-w243hsa_66", "být (v-w243hsa_66) - substituted with v-w243f131_ZU")</f>
        <v>být (v-w243hsa_66) - substituted with v-w243f131_ZU</v>
      </c>
    </row>
    <row r="1831" customFormat="false" ht="12.8" hidden="false" customHeight="false" outlineLevel="0" collapsed="false">
      <c r="B1831" s="0" t="s">
        <v>1</v>
      </c>
    </row>
    <row r="1832" customFormat="false" ht="12.8" hidden="false" customHeight="false" outlineLevel="0" collapsed="false">
      <c r="B1832" s="0" t="s">
        <v>1155</v>
      </c>
    </row>
    <row r="1834" customFormat="false" ht="12.8" hidden="false" customHeight="false" outlineLevel="0" collapsed="false">
      <c r="A1834" s="0" t="s">
        <v>1156</v>
      </c>
      <c r="B1834" s="0" t="str">
        <f aca="false">HYPERLINK("https://lindat.mff.cuni.cz/services/teitok/pdtc10/index.php?action=vallex&amp;frame=v-w243f132_ZU", "být (v-w243f132_ZU)")</f>
        <v>být (v-w243f132_ZU)</v>
      </c>
    </row>
    <row r="1835" customFormat="false" ht="12.8" hidden="false" customHeight="false" outlineLevel="0" collapsed="false">
      <c r="B1835" s="0" t="s">
        <v>1</v>
      </c>
    </row>
    <row r="1836" customFormat="false" ht="12.8" hidden="false" customHeight="false" outlineLevel="0" collapsed="false">
      <c r="B1836" s="0" t="s">
        <v>1157</v>
      </c>
    </row>
    <row r="1838" customFormat="false" ht="12.8" hidden="false" customHeight="false" outlineLevel="0" collapsed="false">
      <c r="A1838" s="0" t="s">
        <v>1156</v>
      </c>
      <c r="B1838" s="0" t="str">
        <f aca="false">HYPERLINK("https://lindat.mff.cuni.cz/services/teitok/pdtc10/index.php?action=vallex&amp;frame=v-w243hsa_68", "být (v-w243hsa_68) - substituted with v-w243f132_ZU")</f>
        <v>být (v-w243hsa_68) - substituted with v-w243f132_ZU</v>
      </c>
    </row>
    <row r="1839" customFormat="false" ht="12.8" hidden="false" customHeight="false" outlineLevel="0" collapsed="false">
      <c r="B1839" s="0" t="s">
        <v>1</v>
      </c>
    </row>
    <row r="1840" customFormat="false" ht="12.8" hidden="false" customHeight="false" outlineLevel="0" collapsed="false">
      <c r="B1840" s="0" t="s">
        <v>1157</v>
      </c>
    </row>
    <row r="1842" customFormat="false" ht="12.8" hidden="false" customHeight="false" outlineLevel="0" collapsed="false">
      <c r="A1842" s="0" t="s">
        <v>1158</v>
      </c>
      <c r="B1842" s="0" t="str">
        <f aca="false">HYPERLINK("https://lindat.mff.cuni.cz/services/teitok/pdtc10/index.php?action=vallex&amp;frame=v-w243f133_ZU", "být (v-w243f133_ZU)")</f>
        <v>být (v-w243f133_ZU)</v>
      </c>
    </row>
    <row r="1843" customFormat="false" ht="12.8" hidden="false" customHeight="false" outlineLevel="0" collapsed="false">
      <c r="B1843" s="0" t="s">
        <v>1</v>
      </c>
    </row>
    <row r="1844" customFormat="false" ht="12.8" hidden="false" customHeight="false" outlineLevel="0" collapsed="false">
      <c r="B1844" s="0" t="s">
        <v>1159</v>
      </c>
    </row>
    <row r="1846" customFormat="false" ht="12.8" hidden="false" customHeight="false" outlineLevel="0" collapsed="false">
      <c r="A1846" s="0" t="s">
        <v>1158</v>
      </c>
      <c r="B1846" s="0" t="str">
        <f aca="false">HYPERLINK("https://lindat.mff.cuni.cz/services/teitok/pdtc10/index.php?action=vallex&amp;frame=v-w243hsa_69", "být (v-w243hsa_69) - substituted with v-w243f133_ZU")</f>
        <v>být (v-w243hsa_69) - substituted with v-w243f133_ZU</v>
      </c>
    </row>
    <row r="1847" customFormat="false" ht="12.8" hidden="false" customHeight="false" outlineLevel="0" collapsed="false">
      <c r="B1847" s="0" t="s">
        <v>1</v>
      </c>
    </row>
    <row r="1848" customFormat="false" ht="12.8" hidden="false" customHeight="false" outlineLevel="0" collapsed="false">
      <c r="B1848" s="0" t="s">
        <v>1159</v>
      </c>
    </row>
    <row r="1850" customFormat="false" ht="12.8" hidden="false" customHeight="false" outlineLevel="0" collapsed="false">
      <c r="A1850" s="0" t="s">
        <v>1160</v>
      </c>
      <c r="B1850" s="0" t="str">
        <f aca="false">HYPERLINK("https://lindat.mff.cuni.cz/services/teitok/pdtc10/index.php?action=vallex&amp;frame=v-w243f134_ZU", "být (v-w243f134_ZU)")</f>
        <v>být (v-w243f134_ZU)</v>
      </c>
    </row>
    <row r="1851" customFormat="false" ht="12.8" hidden="false" customHeight="false" outlineLevel="0" collapsed="false">
      <c r="B1851" s="0" t="s">
        <v>1</v>
      </c>
    </row>
    <row r="1852" customFormat="false" ht="12.8" hidden="false" customHeight="false" outlineLevel="0" collapsed="false">
      <c r="B1852" s="0" t="s">
        <v>1161</v>
      </c>
    </row>
    <row r="1854" customFormat="false" ht="12.8" hidden="false" customHeight="false" outlineLevel="0" collapsed="false">
      <c r="A1854" s="0" t="s">
        <v>1160</v>
      </c>
      <c r="B1854" s="0" t="str">
        <f aca="false">HYPERLINK("https://lindat.mff.cuni.cz/services/teitok/pdtc10/index.php?action=vallex&amp;frame=v-w243hsa_70", "být (v-w243hsa_70) - substituted with v-w243f134_ZU")</f>
        <v>být (v-w243hsa_70) - substituted with v-w243f134_ZU</v>
      </c>
    </row>
    <row r="1855" customFormat="false" ht="12.8" hidden="false" customHeight="false" outlineLevel="0" collapsed="false">
      <c r="B1855" s="0" t="s">
        <v>1</v>
      </c>
    </row>
    <row r="1856" customFormat="false" ht="12.8" hidden="false" customHeight="false" outlineLevel="0" collapsed="false">
      <c r="B1856" s="0" t="s">
        <v>1161</v>
      </c>
    </row>
    <row r="1858" customFormat="false" ht="12.8" hidden="false" customHeight="false" outlineLevel="0" collapsed="false">
      <c r="A1858" s="0" t="s">
        <v>1162</v>
      </c>
      <c r="B1858" s="0" t="str">
        <f aca="false">HYPERLINK("https://lindat.mff.cuni.cz/services/teitok/pdtc10/index.php?action=vallex&amp;frame=v-w243f135_ZU", "být (v-w243f135_ZU)")</f>
        <v>být (v-w243f135_ZU)</v>
      </c>
    </row>
    <row r="1859" customFormat="false" ht="12.8" hidden="false" customHeight="false" outlineLevel="0" collapsed="false">
      <c r="B1859" s="0" t="s">
        <v>1</v>
      </c>
    </row>
    <row r="1860" customFormat="false" ht="12.8" hidden="false" customHeight="false" outlineLevel="0" collapsed="false">
      <c r="B1860" s="0" t="s">
        <v>1163</v>
      </c>
    </row>
    <row r="1861" customFormat="false" ht="12.8" hidden="false" customHeight="false" outlineLevel="0" collapsed="false">
      <c r="B1861" s="0" t="s">
        <v>298</v>
      </c>
    </row>
    <row r="1863" customFormat="false" ht="12.8" hidden="false" customHeight="false" outlineLevel="0" collapsed="false">
      <c r="A1863" s="0" t="s">
        <v>1162</v>
      </c>
      <c r="B1863" s="0" t="str">
        <f aca="false">HYPERLINK("https://lindat.mff.cuni.cz/services/teitok/pdtc10/index.php?action=vallex&amp;frame=v-w243hsa_74", "být (v-w243hsa_74) - substituted with v-w243f135_ZU")</f>
        <v>být (v-w243hsa_74) - substituted with v-w243f135_ZU</v>
      </c>
    </row>
    <row r="1864" customFormat="false" ht="12.8" hidden="false" customHeight="false" outlineLevel="0" collapsed="false">
      <c r="B1864" s="0" t="s">
        <v>1</v>
      </c>
    </row>
    <row r="1865" customFormat="false" ht="12.8" hidden="false" customHeight="false" outlineLevel="0" collapsed="false">
      <c r="B1865" s="0" t="s">
        <v>1163</v>
      </c>
    </row>
    <row r="1866" customFormat="false" ht="12.8" hidden="false" customHeight="false" outlineLevel="0" collapsed="false">
      <c r="B1866" s="0" t="s">
        <v>298</v>
      </c>
    </row>
    <row r="1868" customFormat="false" ht="12.8" hidden="false" customHeight="false" outlineLevel="0" collapsed="false">
      <c r="A1868" s="0" t="s">
        <v>1164</v>
      </c>
      <c r="B1868" s="0" t="str">
        <f aca="false">HYPERLINK("https://lindat.mff.cuni.cz/services/teitok/pdtc10/index.php?action=vallex&amp;frame=v-w243f139_ZU", "být (v-w243f139_ZU)")</f>
        <v>být (v-w243f139_ZU)</v>
      </c>
    </row>
    <row r="1869" customFormat="false" ht="12.8" hidden="false" customHeight="false" outlineLevel="0" collapsed="false">
      <c r="B1869" s="0" t="s">
        <v>1</v>
      </c>
    </row>
    <row r="1870" customFormat="false" ht="12.8" hidden="false" customHeight="false" outlineLevel="0" collapsed="false">
      <c r="B1870" s="0" t="s">
        <v>1165</v>
      </c>
    </row>
    <row r="1872" customFormat="false" ht="12.8" hidden="false" customHeight="false" outlineLevel="0" collapsed="false">
      <c r="A1872" s="0" t="s">
        <v>1164</v>
      </c>
      <c r="B1872" s="0" t="str">
        <f aca="false">HYPERLINK("https://lindat.mff.cuni.cz/services/teitok/pdtc10/index.php?action=vallex&amp;frame=v-w243hsa_73", "být (v-w243hsa_73) - substituted with v-w243f139_ZU")</f>
        <v>být (v-w243hsa_73) - substituted with v-w243f139_ZU</v>
      </c>
    </row>
    <row r="1873" customFormat="false" ht="12.8" hidden="false" customHeight="false" outlineLevel="0" collapsed="false">
      <c r="B1873" s="0" t="s">
        <v>1</v>
      </c>
    </row>
    <row r="1874" customFormat="false" ht="12.8" hidden="false" customHeight="false" outlineLevel="0" collapsed="false">
      <c r="B1874" s="0" t="s">
        <v>1165</v>
      </c>
    </row>
    <row r="1876" customFormat="false" ht="12.8" hidden="false" customHeight="false" outlineLevel="0" collapsed="false">
      <c r="A1876" s="0" t="s">
        <v>1166</v>
      </c>
      <c r="B1876" s="0" t="str">
        <f aca="false">HYPERLINK("https://lindat.mff.cuni.cz/services/teitok/pdtc10/index.php?action=vallex&amp;frame=v-w243f140_ZU", "být (v-w243f140_ZU)")</f>
        <v>být (v-w243f140_ZU)</v>
      </c>
    </row>
    <row r="1877" customFormat="false" ht="12.8" hidden="false" customHeight="false" outlineLevel="0" collapsed="false">
      <c r="B1877" s="0" t="s">
        <v>1</v>
      </c>
    </row>
    <row r="1878" customFormat="false" ht="12.8" hidden="false" customHeight="false" outlineLevel="0" collapsed="false">
      <c r="B1878" s="0" t="s">
        <v>1167</v>
      </c>
    </row>
    <row r="1880" customFormat="false" ht="12.8" hidden="false" customHeight="false" outlineLevel="0" collapsed="false">
      <c r="A1880" s="0" t="s">
        <v>1166</v>
      </c>
      <c r="B1880" s="0" t="str">
        <f aca="false">HYPERLINK("https://lindat.mff.cuni.cz/services/teitok/pdtc10/index.php?action=vallex&amp;frame=v-w243hsa_71", "být (v-w243hsa_71) - substituted with v-w243f140_ZU")</f>
        <v>být (v-w243hsa_71) - substituted with v-w243f140_ZU</v>
      </c>
    </row>
    <row r="1881" customFormat="false" ht="12.8" hidden="false" customHeight="false" outlineLevel="0" collapsed="false">
      <c r="B1881" s="0" t="s">
        <v>1</v>
      </c>
    </row>
    <row r="1882" customFormat="false" ht="12.8" hidden="false" customHeight="false" outlineLevel="0" collapsed="false">
      <c r="B1882" s="0" t="s">
        <v>1167</v>
      </c>
    </row>
    <row r="1884" customFormat="false" ht="12.8" hidden="false" customHeight="false" outlineLevel="0" collapsed="false">
      <c r="A1884" s="0" t="s">
        <v>1168</v>
      </c>
      <c r="B1884" s="0" t="str">
        <f aca="false">HYPERLINK("https://lindat.mff.cuni.cz/services/teitok/pdtc10/index.php?action=vallex&amp;frame=v-w243f141_ZU", "být (v-w243f141_ZU)")</f>
        <v>být (v-w243f141_ZU)</v>
      </c>
    </row>
    <row r="1885" customFormat="false" ht="12.8" hidden="false" customHeight="false" outlineLevel="0" collapsed="false">
      <c r="B1885" s="0" t="s">
        <v>1131</v>
      </c>
    </row>
    <row r="1886" customFormat="false" ht="12.8" hidden="false" customHeight="false" outlineLevel="0" collapsed="false">
      <c r="B1886" s="0" t="s">
        <v>1169</v>
      </c>
    </row>
    <row r="1888" customFormat="false" ht="12.8" hidden="false" customHeight="false" outlineLevel="0" collapsed="false">
      <c r="A1888" s="0" t="s">
        <v>1168</v>
      </c>
      <c r="B1888" s="0" t="str">
        <f aca="false">HYPERLINK("https://lindat.mff.cuni.cz/services/teitok/pdtc10/index.php?action=vallex&amp;frame=v-w243hsa_75", "být (v-w243hsa_75) - substituted with v-w243f141_ZU")</f>
        <v>být (v-w243hsa_75) - substituted with v-w243f141_ZU</v>
      </c>
    </row>
    <row r="1889" customFormat="false" ht="12.8" hidden="false" customHeight="false" outlineLevel="0" collapsed="false">
      <c r="B1889" s="0" t="s">
        <v>1131</v>
      </c>
    </row>
    <row r="1890" customFormat="false" ht="12.8" hidden="false" customHeight="false" outlineLevel="0" collapsed="false">
      <c r="B1890" s="0" t="s">
        <v>1169</v>
      </c>
    </row>
    <row r="1892" customFormat="false" ht="12.8" hidden="false" customHeight="false" outlineLevel="0" collapsed="false">
      <c r="A1892" s="0" t="s">
        <v>1170</v>
      </c>
      <c r="B1892" s="0" t="str">
        <f aca="false">HYPERLINK("https://lindat.mff.cuni.cz/services/teitok/pdtc10/index.php?action=vallex&amp;frame=v-w243f142_ZU", "být (v-w243f142_ZU)")</f>
        <v>být (v-w243f142_ZU)</v>
      </c>
    </row>
    <row r="1893" customFormat="false" ht="12.8" hidden="false" customHeight="false" outlineLevel="0" collapsed="false">
      <c r="B1893" s="0" t="s">
        <v>1</v>
      </c>
    </row>
    <row r="1894" customFormat="false" ht="12.8" hidden="false" customHeight="false" outlineLevel="0" collapsed="false">
      <c r="B1894" s="0" t="s">
        <v>1171</v>
      </c>
    </row>
    <row r="1896" customFormat="false" ht="12.8" hidden="false" customHeight="false" outlineLevel="0" collapsed="false">
      <c r="A1896" s="0" t="s">
        <v>1170</v>
      </c>
      <c r="B1896" s="0" t="str">
        <f aca="false">HYPERLINK("https://lindat.mff.cuni.cz/services/teitok/pdtc10/index.php?action=vallex&amp;frame=v-w243hsa_76", "být (v-w243hsa_76) - substituted with v-w243f142_ZU")</f>
        <v>být (v-w243hsa_76) - substituted with v-w243f142_ZU</v>
      </c>
    </row>
    <row r="1897" customFormat="false" ht="12.8" hidden="false" customHeight="false" outlineLevel="0" collapsed="false">
      <c r="B1897" s="0" t="s">
        <v>1</v>
      </c>
    </row>
    <row r="1898" customFormat="false" ht="12.8" hidden="false" customHeight="false" outlineLevel="0" collapsed="false">
      <c r="B1898" s="0" t="s">
        <v>1171</v>
      </c>
    </row>
    <row r="1900" customFormat="false" ht="12.8" hidden="false" customHeight="false" outlineLevel="0" collapsed="false">
      <c r="A1900" s="0" t="s">
        <v>1172</v>
      </c>
      <c r="B1900" s="0" t="str">
        <f aca="false">HYPERLINK("https://lindat.mff.cuni.cz/services/teitok/pdtc10/index.php?action=vallex&amp;frame=v-w243f143_ZU", "být (v-w243f143_ZU)")</f>
        <v>být (v-w243f143_ZU)</v>
      </c>
    </row>
    <row r="1901" customFormat="false" ht="12.8" hidden="false" customHeight="false" outlineLevel="0" collapsed="false">
      <c r="B1901" s="0" t="s">
        <v>1</v>
      </c>
    </row>
    <row r="1902" customFormat="false" ht="12.8" hidden="false" customHeight="false" outlineLevel="0" collapsed="false">
      <c r="B1902" s="0" t="s">
        <v>1173</v>
      </c>
    </row>
    <row r="1904" customFormat="false" ht="12.8" hidden="false" customHeight="false" outlineLevel="0" collapsed="false">
      <c r="A1904" s="0" t="s">
        <v>1172</v>
      </c>
      <c r="B1904" s="0" t="str">
        <f aca="false">HYPERLINK("https://lindat.mff.cuni.cz/services/teitok/pdtc10/index.php?action=vallex&amp;frame=v-w243hsa_77", "být (v-w243hsa_77) - substituted with v-w243f143_ZU")</f>
        <v>být (v-w243hsa_77) - substituted with v-w243f143_ZU</v>
      </c>
    </row>
    <row r="1905" customFormat="false" ht="12.8" hidden="false" customHeight="false" outlineLevel="0" collapsed="false">
      <c r="B1905" s="0" t="s">
        <v>1</v>
      </c>
    </row>
    <row r="1906" customFormat="false" ht="12.8" hidden="false" customHeight="false" outlineLevel="0" collapsed="false">
      <c r="B1906" s="0" t="s">
        <v>1173</v>
      </c>
    </row>
    <row r="1908" customFormat="false" ht="12.8" hidden="false" customHeight="false" outlineLevel="0" collapsed="false">
      <c r="A1908" s="0" t="s">
        <v>1174</v>
      </c>
      <c r="B1908" s="0" t="str">
        <f aca="false">HYPERLINK("https://lindat.mff.cuni.cz/services/teitok/pdtc10/index.php?action=vallex&amp;frame=v-w243f144_ZU", "být (v-w243f144_ZU)")</f>
        <v>být (v-w243f144_ZU)</v>
      </c>
    </row>
    <row r="1909" customFormat="false" ht="12.8" hidden="false" customHeight="false" outlineLevel="0" collapsed="false">
      <c r="B1909" s="0" t="s">
        <v>1</v>
      </c>
    </row>
    <row r="1910" customFormat="false" ht="12.8" hidden="false" customHeight="false" outlineLevel="0" collapsed="false">
      <c r="B1910" s="0" t="s">
        <v>1175</v>
      </c>
    </row>
    <row r="1911" customFormat="false" ht="12.8" hidden="false" customHeight="false" outlineLevel="0" collapsed="false">
      <c r="B1911" s="0" t="s">
        <v>721</v>
      </c>
    </row>
    <row r="1913" customFormat="false" ht="12.8" hidden="false" customHeight="false" outlineLevel="0" collapsed="false">
      <c r="A1913" s="0" t="s">
        <v>1174</v>
      </c>
      <c r="B1913" s="0" t="str">
        <f aca="false">HYPERLINK("https://lindat.mff.cuni.cz/services/teitok/pdtc10/index.php?action=vallex&amp;frame=v-w243hsa_78", "být (v-w243hsa_78) - substituted with v-w243f144_ZU")</f>
        <v>být (v-w243hsa_78) - substituted with v-w243f144_ZU</v>
      </c>
    </row>
    <row r="1914" customFormat="false" ht="12.8" hidden="false" customHeight="false" outlineLevel="0" collapsed="false">
      <c r="B1914" s="0" t="s">
        <v>1</v>
      </c>
    </row>
    <row r="1915" customFormat="false" ht="12.8" hidden="false" customHeight="false" outlineLevel="0" collapsed="false">
      <c r="B1915" s="0" t="s">
        <v>1175</v>
      </c>
    </row>
    <row r="1916" customFormat="false" ht="12.8" hidden="false" customHeight="false" outlineLevel="0" collapsed="false">
      <c r="B1916" s="0" t="s">
        <v>721</v>
      </c>
    </row>
    <row r="1918" customFormat="false" ht="12.8" hidden="false" customHeight="false" outlineLevel="0" collapsed="false">
      <c r="A1918" s="0" t="s">
        <v>1176</v>
      </c>
      <c r="B1918" s="0" t="str">
        <f aca="false">HYPERLINK("https://lindat.mff.cuni.cz/services/teitok/pdtc10/index.php?action=vallex&amp;frame=v-w243f145_ZU", "být (v-w243f145_ZU)")</f>
        <v>být (v-w243f145_ZU)</v>
      </c>
    </row>
    <row r="1919" customFormat="false" ht="12.8" hidden="false" customHeight="false" outlineLevel="0" collapsed="false">
      <c r="B1919" s="0" t="s">
        <v>1</v>
      </c>
    </row>
    <row r="1920" customFormat="false" ht="12.8" hidden="false" customHeight="false" outlineLevel="0" collapsed="false">
      <c r="B1920" s="0" t="s">
        <v>1177</v>
      </c>
    </row>
    <row r="1922" customFormat="false" ht="12.8" hidden="false" customHeight="false" outlineLevel="0" collapsed="false">
      <c r="A1922" s="0" t="s">
        <v>1176</v>
      </c>
      <c r="B1922" s="0" t="str">
        <f aca="false">HYPERLINK("https://lindat.mff.cuni.cz/services/teitok/pdtc10/index.php?action=vallex&amp;frame=v-w243hsa_79", "být (v-w243hsa_79) - substituted with v-w243f145_ZU")</f>
        <v>být (v-w243hsa_79) - substituted with v-w243f145_ZU</v>
      </c>
    </row>
    <row r="1923" customFormat="false" ht="12.8" hidden="false" customHeight="false" outlineLevel="0" collapsed="false">
      <c r="B1923" s="0" t="s">
        <v>1</v>
      </c>
    </row>
    <row r="1924" customFormat="false" ht="12.8" hidden="false" customHeight="false" outlineLevel="0" collapsed="false">
      <c r="B1924" s="0" t="s">
        <v>1177</v>
      </c>
    </row>
    <row r="1926" customFormat="false" ht="12.8" hidden="false" customHeight="false" outlineLevel="0" collapsed="false">
      <c r="A1926" s="0" t="s">
        <v>1178</v>
      </c>
      <c r="B1926" s="0" t="str">
        <f aca="false">HYPERLINK("https://lindat.mff.cuni.cz/services/teitok/pdtc10/index.php?action=vallex&amp;frame=v-w243f146_ZU", "být (v-w243f146_ZU)")</f>
        <v>být (v-w243f146_ZU)</v>
      </c>
    </row>
    <row r="1927" customFormat="false" ht="12.8" hidden="false" customHeight="false" outlineLevel="0" collapsed="false">
      <c r="B1927" s="0" t="s">
        <v>1</v>
      </c>
    </row>
    <row r="1928" customFormat="false" ht="12.8" hidden="false" customHeight="false" outlineLevel="0" collapsed="false">
      <c r="B1928" s="0" t="s">
        <v>1179</v>
      </c>
    </row>
    <row r="1929" customFormat="false" ht="12.8" hidden="false" customHeight="false" outlineLevel="0" collapsed="false">
      <c r="B1929" s="0" t="s">
        <v>721</v>
      </c>
    </row>
    <row r="1931" customFormat="false" ht="12.8" hidden="false" customHeight="false" outlineLevel="0" collapsed="false">
      <c r="A1931" s="0" t="s">
        <v>1178</v>
      </c>
      <c r="B1931" s="0" t="str">
        <f aca="false">HYPERLINK("https://lindat.mff.cuni.cz/services/teitok/pdtc10/index.php?action=vallex&amp;frame=v-w243hsb_80", "být (v-w243hsb_80) - substituted with v-w243f146_ZU")</f>
        <v>být (v-w243hsb_80) - substituted with v-w243f146_ZU</v>
      </c>
    </row>
    <row r="1932" customFormat="false" ht="12.8" hidden="false" customHeight="false" outlineLevel="0" collapsed="false">
      <c r="B1932" s="0" t="s">
        <v>1</v>
      </c>
    </row>
    <row r="1933" customFormat="false" ht="12.8" hidden="false" customHeight="false" outlineLevel="0" collapsed="false">
      <c r="B1933" s="0" t="s">
        <v>1179</v>
      </c>
    </row>
    <row r="1934" customFormat="false" ht="12.8" hidden="false" customHeight="false" outlineLevel="0" collapsed="false">
      <c r="B1934" s="0" t="s">
        <v>721</v>
      </c>
    </row>
    <row r="1936" customFormat="false" ht="12.8" hidden="false" customHeight="false" outlineLevel="0" collapsed="false">
      <c r="A1936" s="0" t="s">
        <v>1180</v>
      </c>
      <c r="B1936" s="0" t="str">
        <f aca="false">HYPERLINK("https://lindat.mff.cuni.cz/services/teitok/pdtc10/index.php?action=vallex&amp;frame=v-w243f147_ZU", "být (v-w243f147_ZU)")</f>
        <v>být (v-w243f147_ZU)</v>
      </c>
    </row>
    <row r="1937" customFormat="false" ht="12.8" hidden="false" customHeight="false" outlineLevel="0" collapsed="false">
      <c r="B1937" s="0" t="s">
        <v>1181</v>
      </c>
    </row>
    <row r="1938" customFormat="false" ht="12.8" hidden="false" customHeight="false" outlineLevel="0" collapsed="false">
      <c r="B1938" s="0" t="s">
        <v>1182</v>
      </c>
    </row>
    <row r="1940" customFormat="false" ht="12.8" hidden="false" customHeight="false" outlineLevel="0" collapsed="false">
      <c r="A1940" s="0" t="s">
        <v>1180</v>
      </c>
      <c r="B1940" s="0" t="str">
        <f aca="false">HYPERLINK("https://lindat.mff.cuni.cz/services/teitok/pdtc10/index.php?action=vallex&amp;frame=v-w243hsb_81", "být (v-w243hsb_81) - substituted with v-w243f147_ZU")</f>
        <v>být (v-w243hsb_81) - substituted with v-w243f147_ZU</v>
      </c>
    </row>
    <row r="1941" customFormat="false" ht="12.8" hidden="false" customHeight="false" outlineLevel="0" collapsed="false">
      <c r="B1941" s="0" t="s">
        <v>1181</v>
      </c>
    </row>
    <row r="1942" customFormat="false" ht="12.8" hidden="false" customHeight="false" outlineLevel="0" collapsed="false">
      <c r="B1942" s="0" t="s">
        <v>1182</v>
      </c>
    </row>
    <row r="1944" customFormat="false" ht="12.8" hidden="false" customHeight="false" outlineLevel="0" collapsed="false">
      <c r="A1944" s="0" t="s">
        <v>1183</v>
      </c>
      <c r="B1944" s="0" t="str">
        <f aca="false">HYPERLINK("https://lindat.mff.cuni.cz/services/teitok/pdtc10/index.php?action=vallex&amp;frame=v-w243f148_ZU", "být (v-w243f148_ZU)")</f>
        <v>být (v-w243f148_ZU)</v>
      </c>
    </row>
    <row r="1945" customFormat="false" ht="12.8" hidden="false" customHeight="false" outlineLevel="0" collapsed="false">
      <c r="B1945" s="0" t="s">
        <v>1184</v>
      </c>
    </row>
    <row r="1947" customFormat="false" ht="12.8" hidden="false" customHeight="false" outlineLevel="0" collapsed="false">
      <c r="A1947" s="0" t="s">
        <v>1183</v>
      </c>
      <c r="B1947" s="0" t="str">
        <f aca="false">HYPERLINK("https://lindat.mff.cuni.cz/services/teitok/pdtc10/index.php?action=vallex&amp;frame=v-w243hsb_82", "být (v-w243hsb_82) - substituted with v-w243f148_ZU")</f>
        <v>být (v-w243hsb_82) - substituted with v-w243f148_ZU</v>
      </c>
    </row>
    <row r="1948" customFormat="false" ht="12.8" hidden="false" customHeight="false" outlineLevel="0" collapsed="false">
      <c r="B1948" s="0" t="s">
        <v>1184</v>
      </c>
    </row>
    <row r="1950" customFormat="false" ht="12.8" hidden="false" customHeight="false" outlineLevel="0" collapsed="false">
      <c r="A1950" s="0" t="s">
        <v>1185</v>
      </c>
      <c r="B1950" s="0" t="str">
        <f aca="false">HYPERLINK("https://lindat.mff.cuni.cz/services/teitok/pdtc10/index.php?action=vallex&amp;frame=v-w243f149_ZU", "být (v-w243f149_ZU)")</f>
        <v>být (v-w243f149_ZU)</v>
      </c>
    </row>
    <row r="1951" customFormat="false" ht="12.8" hidden="false" customHeight="false" outlineLevel="0" collapsed="false">
      <c r="B1951" s="0" t="s">
        <v>1</v>
      </c>
    </row>
    <row r="1952" customFormat="false" ht="12.8" hidden="false" customHeight="false" outlineLevel="0" collapsed="false">
      <c r="B1952" s="0" t="s">
        <v>1186</v>
      </c>
    </row>
    <row r="1953" customFormat="false" ht="12.8" hidden="false" customHeight="false" outlineLevel="0" collapsed="false">
      <c r="B1953" s="0" t="s">
        <v>1187</v>
      </c>
    </row>
    <row r="1955" customFormat="false" ht="12.8" hidden="false" customHeight="false" outlineLevel="0" collapsed="false">
      <c r="A1955" s="0" t="s">
        <v>1185</v>
      </c>
      <c r="B1955" s="0" t="str">
        <f aca="false">HYPERLINK("https://lindat.mff.cuni.cz/services/teitok/pdtc10/index.php?action=vallex&amp;frame=v-w243hsb_83", "být (v-w243hsb_83) - substituted with v-w243f149_ZU")</f>
        <v>být (v-w243hsb_83) - substituted with v-w243f149_ZU</v>
      </c>
    </row>
    <row r="1956" customFormat="false" ht="12.8" hidden="false" customHeight="false" outlineLevel="0" collapsed="false">
      <c r="B1956" s="0" t="s">
        <v>1</v>
      </c>
    </row>
    <row r="1957" customFormat="false" ht="12.8" hidden="false" customHeight="false" outlineLevel="0" collapsed="false">
      <c r="B1957" s="0" t="s">
        <v>1186</v>
      </c>
    </row>
    <row r="1958" customFormat="false" ht="12.8" hidden="false" customHeight="false" outlineLevel="0" collapsed="false">
      <c r="B1958" s="0" t="s">
        <v>1187</v>
      </c>
    </row>
    <row r="1960" customFormat="false" ht="12.8" hidden="false" customHeight="false" outlineLevel="0" collapsed="false">
      <c r="A1960" s="0" t="s">
        <v>1188</v>
      </c>
      <c r="B1960" s="0" t="str">
        <f aca="false">HYPERLINK("https://lindat.mff.cuni.cz/services/teitok/pdtc10/index.php?action=vallex&amp;frame=v-w243f151_ZU", "být (v-w243f151_ZU)")</f>
        <v>být (v-w243f151_ZU)</v>
      </c>
    </row>
    <row r="1961" customFormat="false" ht="12.8" hidden="false" customHeight="false" outlineLevel="0" collapsed="false">
      <c r="B1961" s="0" t="s">
        <v>1</v>
      </c>
    </row>
    <row r="1962" customFormat="false" ht="12.8" hidden="false" customHeight="false" outlineLevel="0" collapsed="false">
      <c r="B1962" s="0" t="s">
        <v>1189</v>
      </c>
    </row>
    <row r="1964" customFormat="false" ht="12.8" hidden="false" customHeight="false" outlineLevel="0" collapsed="false">
      <c r="A1964" s="0" t="s">
        <v>1188</v>
      </c>
      <c r="B1964" s="0" t="str">
        <f aca="false">HYPERLINK("https://lindat.mff.cuni.cz/services/teitok/pdtc10/index.php?action=vallex&amp;frame=v-w243f150_ZU", "být (v-w243f150_ZU) - substituted with v-w243f151_ZU")</f>
        <v>být (v-w243f150_ZU) - substituted with v-w243f151_ZU</v>
      </c>
    </row>
    <row r="1965" customFormat="false" ht="12.8" hidden="false" customHeight="false" outlineLevel="0" collapsed="false">
      <c r="B1965" s="0" t="s">
        <v>1</v>
      </c>
    </row>
    <row r="1966" customFormat="false" ht="12.8" hidden="false" customHeight="false" outlineLevel="0" collapsed="false">
      <c r="B1966" s="0" t="s">
        <v>1189</v>
      </c>
    </row>
    <row r="1968" customFormat="false" ht="12.8" hidden="false" customHeight="false" outlineLevel="0" collapsed="false">
      <c r="A1968" s="0" t="s">
        <v>1188</v>
      </c>
      <c r="B1968" s="0" t="str">
        <f aca="false">HYPERLINK("https://lindat.mff.cuni.cz/services/teitok/pdtc10/index.php?action=vallex&amp;frame=v-w243hsa_67", "být (v-w243hsa_67) - substituted with v-w243f151_ZU")</f>
        <v>být (v-w243hsa_67) - substituted with v-w243f151_ZU</v>
      </c>
    </row>
    <row r="1969" customFormat="false" ht="12.8" hidden="false" customHeight="false" outlineLevel="0" collapsed="false">
      <c r="B1969" s="0" t="s">
        <v>1</v>
      </c>
    </row>
    <row r="1970" customFormat="false" ht="12.8" hidden="false" customHeight="false" outlineLevel="0" collapsed="false">
      <c r="B1970" s="0" t="s">
        <v>1189</v>
      </c>
    </row>
    <row r="1972" customFormat="false" ht="12.8" hidden="false" customHeight="false" outlineLevel="0" collapsed="false">
      <c r="A1972" s="0" t="s">
        <v>1190</v>
      </c>
      <c r="B1972" s="0" t="str">
        <f aca="false">HYPERLINK("https://lindat.mff.cuni.cz/services/teitok/pdtc10/index.php?action=vallex&amp;frame=v-w243f153_ZU", "být (v-w243f153_ZU)")</f>
        <v>být (v-w243f153_ZU)</v>
      </c>
    </row>
    <row r="1973" customFormat="false" ht="12.8" hidden="false" customHeight="false" outlineLevel="0" collapsed="false">
      <c r="B1973" s="0" t="s">
        <v>345</v>
      </c>
    </row>
    <row r="1974" customFormat="false" ht="12.8" hidden="false" customHeight="false" outlineLevel="0" collapsed="false">
      <c r="B1974" s="0" t="s">
        <v>1191</v>
      </c>
    </row>
    <row r="1976" customFormat="false" ht="12.8" hidden="false" customHeight="false" outlineLevel="0" collapsed="false">
      <c r="A1976" s="0" t="s">
        <v>1192</v>
      </c>
      <c r="B1976" s="0" t="str">
        <f aca="false">HYPERLINK("https://lindat.mff.cuni.cz/services/teitok/pdtc10/index.php?action=vallex&amp;frame=v-w243f154_ZU", "být (v-w243f154_ZU)")</f>
        <v>být (v-w243f154_ZU)</v>
      </c>
    </row>
    <row r="1977" customFormat="false" ht="12.8" hidden="false" customHeight="false" outlineLevel="0" collapsed="false">
      <c r="B1977" s="0" t="s">
        <v>1</v>
      </c>
    </row>
    <row r="1978" customFormat="false" ht="12.8" hidden="false" customHeight="false" outlineLevel="0" collapsed="false">
      <c r="B1978" s="0" t="s">
        <v>1193</v>
      </c>
    </row>
    <row r="1980" customFormat="false" ht="12.8" hidden="false" customHeight="false" outlineLevel="0" collapsed="false">
      <c r="A1980" s="0" t="s">
        <v>1194</v>
      </c>
      <c r="B1980" s="0" t="str">
        <f aca="false">HYPERLINK("https://lindat.mff.cuni.cz/services/teitok/pdtc10/index.php?action=vallex&amp;frame=v-w243f155_ZU", "být (v-w243f155_ZU)")</f>
        <v>být (v-w243f155_ZU)</v>
      </c>
    </row>
    <row r="1981" customFormat="false" ht="12.8" hidden="false" customHeight="false" outlineLevel="0" collapsed="false">
      <c r="B1981" s="0" t="s">
        <v>1</v>
      </c>
    </row>
    <row r="1982" customFormat="false" ht="12.8" hidden="false" customHeight="false" outlineLevel="0" collapsed="false">
      <c r="B1982" s="0" t="s">
        <v>1195</v>
      </c>
    </row>
    <row r="1984" customFormat="false" ht="12.8" hidden="false" customHeight="false" outlineLevel="0" collapsed="false">
      <c r="A1984" s="0" t="s">
        <v>1196</v>
      </c>
      <c r="B1984" s="0" t="str">
        <f aca="false">HYPERLINK("https://lindat.mff.cuni.cz/services/teitok/pdtc10/index.php?action=vallex&amp;frame=v-w243f156_ZU", "být (v-w243f156_ZU)")</f>
        <v>být (v-w243f156_ZU)</v>
      </c>
    </row>
    <row r="1985" customFormat="false" ht="12.8" hidden="false" customHeight="false" outlineLevel="0" collapsed="false">
      <c r="B1985" s="0" t="s">
        <v>345</v>
      </c>
    </row>
    <row r="1986" customFormat="false" ht="12.8" hidden="false" customHeight="false" outlineLevel="0" collapsed="false">
      <c r="B1986" s="0" t="s">
        <v>1197</v>
      </c>
    </row>
    <row r="1988" customFormat="false" ht="12.8" hidden="false" customHeight="false" outlineLevel="0" collapsed="false">
      <c r="A1988" s="0" t="s">
        <v>1196</v>
      </c>
      <c r="B1988" s="0" t="str">
        <f aca="false">HYPERLINK("https://lindat.mff.cuni.cz/services/teitok/pdtc10/index.php?action=vallex&amp;frame=v-w243f152_ZU", "být (v-w243f152_ZU) - substituted with v-w243f156_ZU")</f>
        <v>být (v-w243f152_ZU) - substituted with v-w243f156_ZU</v>
      </c>
    </row>
    <row r="1989" customFormat="false" ht="12.8" hidden="false" customHeight="false" outlineLevel="0" collapsed="false">
      <c r="B1989" s="0" t="s">
        <v>345</v>
      </c>
    </row>
    <row r="1990" customFormat="false" ht="12.8" hidden="false" customHeight="false" outlineLevel="0" collapsed="false">
      <c r="B1990" s="0" t="s">
        <v>1197</v>
      </c>
    </row>
    <row r="1992" customFormat="false" ht="12.8" hidden="false" customHeight="false" outlineLevel="0" collapsed="false">
      <c r="A1992" s="0" t="s">
        <v>1198</v>
      </c>
      <c r="B1992" s="0" t="str">
        <f aca="false">HYPERLINK("https://lindat.mff.cuni.cz/services/teitok/pdtc10/index.php?action=vallex&amp;frame=v-w243f159_ZU", "být (v-w243f159_ZU)")</f>
        <v>být (v-w243f159_ZU)</v>
      </c>
    </row>
    <row r="1993" customFormat="false" ht="12.8" hidden="false" customHeight="false" outlineLevel="0" collapsed="false">
      <c r="B1993" s="0" t="s">
        <v>1</v>
      </c>
    </row>
    <row r="1994" customFormat="false" ht="12.8" hidden="false" customHeight="false" outlineLevel="0" collapsed="false">
      <c r="B1994" s="0" t="s">
        <v>1199</v>
      </c>
    </row>
    <row r="1996" customFormat="false" ht="12.8" hidden="false" customHeight="false" outlineLevel="0" collapsed="false">
      <c r="A1996" s="0" t="s">
        <v>1200</v>
      </c>
      <c r="B1996" s="0" t="str">
        <f aca="false">HYPERLINK("https://lindat.mff.cuni.cz/services/teitok/pdtc10/index.php?action=vallex&amp;frame=v-w243f160_ZU", "být (v-w243f160_ZU)")</f>
        <v>být (v-w243f160_ZU)</v>
      </c>
    </row>
    <row r="1997" customFormat="false" ht="12.8" hidden="false" customHeight="false" outlineLevel="0" collapsed="false">
      <c r="B1997" s="0" t="s">
        <v>1</v>
      </c>
    </row>
    <row r="1998" customFormat="false" ht="12.8" hidden="false" customHeight="false" outlineLevel="0" collapsed="false">
      <c r="B1998" s="0" t="s">
        <v>1201</v>
      </c>
    </row>
    <row r="2000" customFormat="false" ht="12.8" hidden="false" customHeight="false" outlineLevel="0" collapsed="false">
      <c r="A2000" s="0" t="s">
        <v>1202</v>
      </c>
      <c r="B2000" s="0" t="str">
        <f aca="false">HYPERLINK("https://lindat.mff.cuni.cz/services/teitok/pdtc10/index.php?action=vallex&amp;frame=v-w243f161_ZU", "být (v-w243f161_ZU)")</f>
        <v>být (v-w243f161_ZU)</v>
      </c>
    </row>
    <row r="2001" customFormat="false" ht="12.8" hidden="false" customHeight="false" outlineLevel="0" collapsed="false">
      <c r="B2001" s="0" t="s">
        <v>859</v>
      </c>
    </row>
    <row r="2002" customFormat="false" ht="12.8" hidden="false" customHeight="false" outlineLevel="0" collapsed="false">
      <c r="B2002" s="0" t="s">
        <v>1203</v>
      </c>
    </row>
    <row r="2004" customFormat="false" ht="12.8" hidden="false" customHeight="false" outlineLevel="0" collapsed="false">
      <c r="A2004" s="0" t="s">
        <v>1204</v>
      </c>
      <c r="B2004" s="0" t="str">
        <f aca="false">HYPERLINK("https://lindat.mff.cuni.cz/services/teitok/pdtc10/index.php?action=vallex&amp;frame=v-w243f162_ZU", "být (v-w243f162_ZU)")</f>
        <v>být (v-w243f162_ZU)</v>
      </c>
    </row>
    <row r="2005" customFormat="false" ht="12.8" hidden="false" customHeight="false" outlineLevel="0" collapsed="false">
      <c r="B2005" s="0" t="s">
        <v>1</v>
      </c>
    </row>
    <row r="2006" customFormat="false" ht="12.8" hidden="false" customHeight="false" outlineLevel="0" collapsed="false">
      <c r="B2006" s="0" t="s">
        <v>26</v>
      </c>
    </row>
    <row r="2008" customFormat="false" ht="12.8" hidden="false" customHeight="false" outlineLevel="0" collapsed="false">
      <c r="A2008" s="0" t="s">
        <v>1205</v>
      </c>
      <c r="B2008" s="0" t="str">
        <f aca="false">HYPERLINK("https://lindat.mff.cuni.cz/services/teitok/pdtc10/index.php?action=vallex&amp;frame=v-w243f163_ZU", "být (v-w243f163_ZU)")</f>
        <v>být (v-w243f163_ZU)</v>
      </c>
    </row>
    <row r="2009" customFormat="false" ht="12.8" hidden="false" customHeight="false" outlineLevel="0" collapsed="false">
      <c r="B2009" s="0" t="s">
        <v>1206</v>
      </c>
    </row>
    <row r="2010" customFormat="false" ht="12.8" hidden="false" customHeight="false" outlineLevel="0" collapsed="false">
      <c r="B2010" s="0" t="s">
        <v>1207</v>
      </c>
    </row>
    <row r="2011" customFormat="false" ht="12.8" hidden="false" customHeight="false" outlineLevel="0" collapsed="false">
      <c r="B2011" s="0" t="s">
        <v>855</v>
      </c>
    </row>
    <row r="2013" customFormat="false" ht="12.8" hidden="false" customHeight="false" outlineLevel="0" collapsed="false">
      <c r="A2013" s="0" t="s">
        <v>1208</v>
      </c>
      <c r="B2013" s="0" t="str">
        <f aca="false">HYPERLINK("https://lindat.mff.cuni.cz/services/teitok/pdtc10/index.php?action=vallex&amp;frame=v-w243f165_ZU", "být (v-w243f165_ZU)")</f>
        <v>být (v-w243f165_ZU)</v>
      </c>
    </row>
    <row r="2014" customFormat="false" ht="12.8" hidden="false" customHeight="false" outlineLevel="0" collapsed="false">
      <c r="B2014" s="0" t="s">
        <v>1</v>
      </c>
    </row>
    <row r="2015" customFormat="false" ht="12.8" hidden="false" customHeight="false" outlineLevel="0" collapsed="false">
      <c r="B2015" s="0" t="s">
        <v>1209</v>
      </c>
    </row>
    <row r="2017" customFormat="false" ht="12.8" hidden="false" customHeight="false" outlineLevel="0" collapsed="false">
      <c r="A2017" s="0" t="s">
        <v>1208</v>
      </c>
      <c r="B2017" s="0" t="str">
        <f aca="false">HYPERLINK("https://lindat.mff.cuni.cz/services/teitok/pdtc10/index.php?action=vallex&amp;frame=v-w243f157_ZU", "být (v-w243f157_ZU) - substituted with v-w243f165_ZU")</f>
        <v>být (v-w243f157_ZU) - substituted with v-w243f165_ZU</v>
      </c>
    </row>
    <row r="2018" customFormat="false" ht="12.8" hidden="false" customHeight="false" outlineLevel="0" collapsed="false">
      <c r="B2018" s="0" t="s">
        <v>1</v>
      </c>
    </row>
    <row r="2019" customFormat="false" ht="12.8" hidden="false" customHeight="false" outlineLevel="0" collapsed="false">
      <c r="B2019" s="0" t="s">
        <v>1209</v>
      </c>
    </row>
    <row r="2021" customFormat="false" ht="12.8" hidden="false" customHeight="false" outlineLevel="0" collapsed="false">
      <c r="A2021" s="0" t="s">
        <v>1208</v>
      </c>
      <c r="B2021" s="0" t="str">
        <f aca="false">HYPERLINK("https://lindat.mff.cuni.cz/services/teitok/pdtc10/index.php?action=vallex&amp;frame=v-w243f158_ZU", "být (v-w243f158_ZU) - substituted with v-w243f165_ZU")</f>
        <v>být (v-w243f158_ZU) - substituted with v-w243f165_ZU</v>
      </c>
    </row>
    <row r="2022" customFormat="false" ht="12.8" hidden="false" customHeight="false" outlineLevel="0" collapsed="false">
      <c r="B2022" s="0" t="s">
        <v>1</v>
      </c>
    </row>
    <row r="2023" customFormat="false" ht="12.8" hidden="false" customHeight="false" outlineLevel="0" collapsed="false">
      <c r="B2023" s="0" t="s">
        <v>1209</v>
      </c>
    </row>
    <row r="2025" customFormat="false" ht="12.8" hidden="false" customHeight="false" outlineLevel="0" collapsed="false">
      <c r="A2025" s="0" t="s">
        <v>1208</v>
      </c>
      <c r="B2025" s="0" t="str">
        <f aca="false">HYPERLINK("https://lindat.mff.cuni.cz/services/teitok/pdtc10/index.php?action=vallex&amp;frame=v-w243f164_ZU", "být (v-w243f164_ZU) - substituted with v-w243f165_ZU")</f>
        <v>být (v-w243f164_ZU) - substituted with v-w243f165_ZU</v>
      </c>
    </row>
    <row r="2026" customFormat="false" ht="12.8" hidden="false" customHeight="false" outlineLevel="0" collapsed="false">
      <c r="B2026" s="0" t="s">
        <v>1</v>
      </c>
    </row>
    <row r="2027" customFormat="false" ht="12.8" hidden="false" customHeight="false" outlineLevel="0" collapsed="false">
      <c r="B2027" s="0" t="s">
        <v>1209</v>
      </c>
    </row>
    <row r="2029" customFormat="false" ht="12.8" hidden="false" customHeight="false" outlineLevel="0" collapsed="false">
      <c r="A2029" s="0" t="s">
        <v>1210</v>
      </c>
      <c r="B2029" s="0" t="str">
        <f aca="false">HYPERLINK("https://lindat.mff.cuni.cz/services/teitok/pdtc10/index.php?action=vallex&amp;frame=v-w243f166_ZU", "být (v-w243f166_ZU)")</f>
        <v>být (v-w243f166_ZU)</v>
      </c>
    </row>
    <row r="2030" customFormat="false" ht="12.8" hidden="false" customHeight="false" outlineLevel="0" collapsed="false">
      <c r="B2030" s="0" t="s">
        <v>1</v>
      </c>
    </row>
    <row r="2031" customFormat="false" ht="12.8" hidden="false" customHeight="false" outlineLevel="0" collapsed="false">
      <c r="B2031" s="0" t="s">
        <v>536</v>
      </c>
    </row>
    <row r="2033" customFormat="false" ht="12.8" hidden="false" customHeight="false" outlineLevel="0" collapsed="false">
      <c r="A2033" s="0" t="s">
        <v>1211</v>
      </c>
      <c r="B2033" s="0" t="str">
        <f aca="false">HYPERLINK("https://lindat.mff.cuni.cz/services/teitok/pdtc10/index.php?action=vallex&amp;frame=v-w243f167_ZU", "být (v-w243f167_ZU)")</f>
        <v>být (v-w243f167_ZU)</v>
      </c>
    </row>
    <row r="2034" customFormat="false" ht="12.8" hidden="false" customHeight="false" outlineLevel="0" collapsed="false">
      <c r="B2034" s="0" t="s">
        <v>1</v>
      </c>
    </row>
    <row r="2035" customFormat="false" ht="12.8" hidden="false" customHeight="false" outlineLevel="0" collapsed="false">
      <c r="B2035" s="0" t="s">
        <v>1212</v>
      </c>
    </row>
    <row r="2037" customFormat="false" ht="12.8" hidden="false" customHeight="false" outlineLevel="0" collapsed="false">
      <c r="A2037" s="0" t="s">
        <v>1213</v>
      </c>
      <c r="B2037" s="0" t="str">
        <f aca="false">HYPERLINK("https://lindat.mff.cuni.cz/services/teitok/pdtc10/index.php?action=vallex&amp;frame=v-w243f168_ZU", "být (v-w243f168_ZU)")</f>
        <v>být (v-w243f168_ZU)</v>
      </c>
    </row>
    <row r="2038" customFormat="false" ht="12.8" hidden="false" customHeight="false" outlineLevel="0" collapsed="false">
      <c r="B2038" s="0" t="s">
        <v>1</v>
      </c>
    </row>
    <row r="2039" customFormat="false" ht="12.8" hidden="false" customHeight="false" outlineLevel="0" collapsed="false">
      <c r="B2039" s="0" t="s">
        <v>1214</v>
      </c>
    </row>
    <row r="2041" customFormat="false" ht="12.8" hidden="false" customHeight="false" outlineLevel="0" collapsed="false">
      <c r="A2041" s="0" t="s">
        <v>1215</v>
      </c>
      <c r="B2041" s="0" t="str">
        <f aca="false">HYPERLINK("https://lindat.mff.cuni.cz/services/teitok/pdtc10/index.php?action=vallex&amp;frame=v-w243f169_ZU", "být (v-w243f169_ZU)")</f>
        <v>být (v-w243f169_ZU)</v>
      </c>
    </row>
    <row r="2042" customFormat="false" ht="12.8" hidden="false" customHeight="false" outlineLevel="0" collapsed="false">
      <c r="B2042" s="0" t="s">
        <v>1</v>
      </c>
    </row>
    <row r="2043" customFormat="false" ht="12.8" hidden="false" customHeight="false" outlineLevel="0" collapsed="false">
      <c r="B2043" s="0" t="s">
        <v>1216</v>
      </c>
    </row>
    <row r="2045" customFormat="false" ht="12.8" hidden="false" customHeight="false" outlineLevel="0" collapsed="false">
      <c r="A2045" s="0" t="s">
        <v>1215</v>
      </c>
      <c r="B2045" s="0" t="str">
        <f aca="false">HYPERLINK("https://lindat.mff.cuni.cz/services/teitok/pdtc10/index.php?action=vallex&amp;frame=v-w243f138_ZU", "být (v-w243f138_ZU) - substituted with v-w243f169_ZU")</f>
        <v>být (v-w243f138_ZU) - substituted with v-w243f169_ZU</v>
      </c>
    </row>
    <row r="2046" customFormat="false" ht="12.8" hidden="false" customHeight="false" outlineLevel="0" collapsed="false">
      <c r="B2046" s="0" t="s">
        <v>1</v>
      </c>
    </row>
    <row r="2047" customFormat="false" ht="12.8" hidden="false" customHeight="false" outlineLevel="0" collapsed="false">
      <c r="B2047" s="0" t="s">
        <v>1216</v>
      </c>
    </row>
    <row r="2049" customFormat="false" ht="12.8" hidden="false" customHeight="false" outlineLevel="0" collapsed="false">
      <c r="A2049" s="0" t="s">
        <v>1215</v>
      </c>
      <c r="B2049" s="0" t="str">
        <f aca="false">HYPERLINK("https://lindat.mff.cuni.cz/services/teitok/pdtc10/index.php?action=vallex&amp;frame=v-w243hsa_72", "být (v-w243hsa_72) - substituted with v-w243f169_ZU")</f>
        <v>být (v-w243hsa_72) - substituted with v-w243f169_ZU</v>
      </c>
    </row>
    <row r="2050" customFormat="false" ht="12.8" hidden="false" customHeight="false" outlineLevel="0" collapsed="false">
      <c r="B2050" s="0" t="s">
        <v>1</v>
      </c>
    </row>
    <row r="2051" customFormat="false" ht="12.8" hidden="false" customHeight="false" outlineLevel="0" collapsed="false">
      <c r="B2051" s="0" t="s">
        <v>1216</v>
      </c>
    </row>
    <row r="2053" customFormat="false" ht="12.8" hidden="false" customHeight="false" outlineLevel="0" collapsed="false">
      <c r="A2053" s="0" t="s">
        <v>1217</v>
      </c>
      <c r="B2053" s="0" t="str">
        <f aca="false">HYPERLINK("https://lindat.mff.cuni.cz/services/teitok/pdtc10/index.php?action=vallex&amp;frame=v-w243f170_ZU", "být (v-w243f170_ZU)")</f>
        <v>být (v-w243f170_ZU)</v>
      </c>
    </row>
    <row r="2054" customFormat="false" ht="12.8" hidden="false" customHeight="false" outlineLevel="0" collapsed="false">
      <c r="B2054" s="0" t="s">
        <v>1</v>
      </c>
    </row>
    <row r="2055" customFormat="false" ht="12.8" hidden="false" customHeight="false" outlineLevel="0" collapsed="false">
      <c r="B2055" s="0" t="s">
        <v>1218</v>
      </c>
    </row>
    <row r="2057" customFormat="false" ht="12.8" hidden="false" customHeight="false" outlineLevel="0" collapsed="false">
      <c r="A2057" s="0" t="s">
        <v>1219</v>
      </c>
      <c r="B2057" s="0" t="str">
        <f aca="false">HYPERLINK("https://lindat.mff.cuni.cz/services/teitok/pdtc10/index.php?action=vallex&amp;frame=v-w243f174_ZU", "být (v-w243f174_ZU)")</f>
        <v>být (v-w243f174_ZU)</v>
      </c>
    </row>
    <row r="2058" customFormat="false" ht="12.8" hidden="false" customHeight="false" outlineLevel="0" collapsed="false">
      <c r="B2058" s="0" t="s">
        <v>1</v>
      </c>
    </row>
    <row r="2059" customFormat="false" ht="12.8" hidden="false" customHeight="false" outlineLevel="0" collapsed="false">
      <c r="B2059" s="0" t="s">
        <v>1220</v>
      </c>
    </row>
    <row r="2061" customFormat="false" ht="12.8" hidden="false" customHeight="false" outlineLevel="0" collapsed="false">
      <c r="A2061" s="0" t="s">
        <v>1221</v>
      </c>
      <c r="B2061" s="0" t="str">
        <f aca="false">HYPERLINK("https://lindat.mff.cuni.cz/services/teitok/pdtc10/index.php?action=vallex&amp;frame=v-w243f175_ZU", "být (v-w243f175_ZU)")</f>
        <v>být (v-w243f175_ZU)</v>
      </c>
    </row>
    <row r="2062" customFormat="false" ht="12.8" hidden="false" customHeight="false" outlineLevel="0" collapsed="false">
      <c r="B2062" s="0" t="s">
        <v>1</v>
      </c>
    </row>
    <row r="2063" customFormat="false" ht="12.8" hidden="false" customHeight="false" outlineLevel="0" collapsed="false">
      <c r="B2063" s="0" t="s">
        <v>1222</v>
      </c>
    </row>
    <row r="2065" customFormat="false" ht="12.8" hidden="false" customHeight="false" outlineLevel="0" collapsed="false">
      <c r="A2065" s="0" t="s">
        <v>1223</v>
      </c>
      <c r="B2065" s="0" t="str">
        <f aca="false">HYPERLINK("https://lindat.mff.cuni.cz/services/teitok/pdtc10/index.php?action=vallex&amp;frame=v-w243f180_ZU", "být (v-w243f180_ZU)")</f>
        <v>být (v-w243f180_ZU)</v>
      </c>
    </row>
    <row r="2066" customFormat="false" ht="12.8" hidden="false" customHeight="false" outlineLevel="0" collapsed="false">
      <c r="B2066" s="0" t="s">
        <v>1</v>
      </c>
    </row>
    <row r="2067" customFormat="false" ht="12.8" hidden="false" customHeight="false" outlineLevel="0" collapsed="false">
      <c r="B2067" s="0" t="s">
        <v>1224</v>
      </c>
    </row>
    <row r="2069" customFormat="false" ht="12.8" hidden="false" customHeight="false" outlineLevel="0" collapsed="false">
      <c r="A2069" s="0" t="s">
        <v>1225</v>
      </c>
      <c r="B2069" s="0" t="str">
        <f aca="false">HYPERLINK("https://lindat.mff.cuni.cz/services/teitok/pdtc10/index.php?action=vallex&amp;frame=v-w243f182_ZU", "být (v-w243f182_ZU)")</f>
        <v>být (v-w243f182_ZU)</v>
      </c>
    </row>
    <row r="2070" customFormat="false" ht="12.8" hidden="false" customHeight="false" outlineLevel="0" collapsed="false">
      <c r="B2070" s="0" t="s">
        <v>1</v>
      </c>
    </row>
    <row r="2071" customFormat="false" ht="12.8" hidden="false" customHeight="false" outlineLevel="0" collapsed="false">
      <c r="B2071" s="0" t="s">
        <v>1226</v>
      </c>
    </row>
    <row r="2073" customFormat="false" ht="12.8" hidden="false" customHeight="false" outlineLevel="0" collapsed="false">
      <c r="A2073" s="0" t="s">
        <v>1227</v>
      </c>
      <c r="B2073" s="0" t="str">
        <f aca="false">HYPERLINK("https://lindat.mff.cuni.cz/services/teitok/pdtc10/index.php?action=vallex&amp;frame=v-w243f184_ZU", "být (v-w243f184_ZU)")</f>
        <v>být (v-w243f184_ZU)</v>
      </c>
    </row>
    <row r="2074" customFormat="false" ht="12.8" hidden="false" customHeight="false" outlineLevel="0" collapsed="false">
      <c r="B2074" s="0" t="s">
        <v>1</v>
      </c>
    </row>
    <row r="2075" customFormat="false" ht="12.8" hidden="false" customHeight="false" outlineLevel="0" collapsed="false">
      <c r="B2075" s="0" t="s">
        <v>1228</v>
      </c>
    </row>
    <row r="2076" customFormat="false" ht="12.8" hidden="false" customHeight="false" outlineLevel="0" collapsed="false">
      <c r="B2076" s="0" t="s">
        <v>1229</v>
      </c>
    </row>
    <row r="2078" customFormat="false" ht="12.8" hidden="false" customHeight="false" outlineLevel="0" collapsed="false">
      <c r="A2078" s="0" t="s">
        <v>1227</v>
      </c>
      <c r="B2078" s="0" t="str">
        <f aca="false">HYPERLINK("https://lindat.mff.cuni.cz/services/teitok/pdtc10/index.php?action=vallex&amp;frame=v-w243f183_ZU", "být (v-w243f183_ZU) - substituted with v-w243f184_ZU")</f>
        <v>být (v-w243f183_ZU) - substituted with v-w243f184_ZU</v>
      </c>
    </row>
    <row r="2079" customFormat="false" ht="12.8" hidden="false" customHeight="false" outlineLevel="0" collapsed="false">
      <c r="B2079" s="0" t="s">
        <v>1</v>
      </c>
    </row>
    <row r="2080" customFormat="false" ht="12.8" hidden="false" customHeight="false" outlineLevel="0" collapsed="false">
      <c r="B2080" s="0" t="s">
        <v>1228</v>
      </c>
    </row>
    <row r="2081" customFormat="false" ht="12.8" hidden="false" customHeight="false" outlineLevel="0" collapsed="false">
      <c r="B2081" s="0" t="s">
        <v>1229</v>
      </c>
    </row>
    <row r="2083" customFormat="false" ht="12.8" hidden="false" customHeight="false" outlineLevel="0" collapsed="false">
      <c r="A2083" s="0" t="s">
        <v>1230</v>
      </c>
      <c r="B2083" s="0" t="str">
        <f aca="false">HYPERLINK("https://lindat.mff.cuni.cz/services/teitok/pdtc10/index.php?action=vallex&amp;frame=v-w243f188_MM", "být (v-w243f188_MM)")</f>
        <v>být (v-w243f188_MM)</v>
      </c>
    </row>
    <row r="2084" customFormat="false" ht="12.8" hidden="false" customHeight="false" outlineLevel="0" collapsed="false">
      <c r="B2084" s="0" t="s">
        <v>1</v>
      </c>
    </row>
    <row r="2085" customFormat="false" ht="12.8" hidden="false" customHeight="false" outlineLevel="0" collapsed="false">
      <c r="B2085" s="0" t="s">
        <v>1231</v>
      </c>
    </row>
    <row r="2087" customFormat="false" ht="12.8" hidden="false" customHeight="false" outlineLevel="0" collapsed="false">
      <c r="A2087" s="0" t="s">
        <v>1232</v>
      </c>
      <c r="B2087" s="0" t="str">
        <f aca="false">HYPERLINK("https://lindat.mff.cuni.cz/services/teitok/pdtc10/index.php?action=vallex&amp;frame=v-w243f189_MM", "být (v-w243f189_MM)")</f>
        <v>být (v-w243f189_MM)</v>
      </c>
    </row>
    <row r="2088" customFormat="false" ht="12.8" hidden="false" customHeight="false" outlineLevel="0" collapsed="false">
      <c r="B2088" s="0" t="s">
        <v>1</v>
      </c>
    </row>
    <row r="2089" customFormat="false" ht="12.8" hidden="false" customHeight="false" outlineLevel="0" collapsed="false">
      <c r="B2089" s="0" t="s">
        <v>1233</v>
      </c>
    </row>
    <row r="2091" customFormat="false" ht="12.8" hidden="false" customHeight="false" outlineLevel="0" collapsed="false">
      <c r="A2091" s="0" t="s">
        <v>1234</v>
      </c>
      <c r="B2091" s="0" t="str">
        <f aca="false">HYPERLINK("https://lindat.mff.cuni.cz/services/teitok/pdtc10/index.php?action=vallex&amp;frame=v-w243f190_MM", "být (v-w243f190_MM)")</f>
        <v>být (v-w243f190_MM)</v>
      </c>
    </row>
    <row r="2092" customFormat="false" ht="12.8" hidden="false" customHeight="false" outlineLevel="0" collapsed="false">
      <c r="B2092" s="0" t="s">
        <v>1</v>
      </c>
    </row>
    <row r="2093" customFormat="false" ht="12.8" hidden="false" customHeight="false" outlineLevel="0" collapsed="false">
      <c r="B2093" s="0" t="s">
        <v>1235</v>
      </c>
    </row>
    <row r="2094" customFormat="false" ht="12.8" hidden="false" customHeight="false" outlineLevel="0" collapsed="false">
      <c r="B2094" s="0" t="s">
        <v>1236</v>
      </c>
    </row>
    <row r="2096" customFormat="false" ht="12.8" hidden="false" customHeight="false" outlineLevel="0" collapsed="false">
      <c r="A2096" s="0" t="s">
        <v>1237</v>
      </c>
      <c r="B2096" s="0" t="str">
        <f aca="false">HYPERLINK("https://lindat.mff.cuni.cz/services/teitok/pdtc10/index.php?action=vallex&amp;frame=v-w243f191_MM", "být (v-w243f191_MM)")</f>
        <v>být (v-w243f191_MM)</v>
      </c>
    </row>
    <row r="2097" customFormat="false" ht="12.8" hidden="false" customHeight="false" outlineLevel="0" collapsed="false">
      <c r="B2097" s="0" t="s">
        <v>1</v>
      </c>
    </row>
    <row r="2098" customFormat="false" ht="12.8" hidden="false" customHeight="false" outlineLevel="0" collapsed="false">
      <c r="B2098" s="0" t="s">
        <v>1238</v>
      </c>
    </row>
    <row r="2099" customFormat="false" ht="12.8" hidden="false" customHeight="false" outlineLevel="0" collapsed="false">
      <c r="B2099" s="0" t="s">
        <v>444</v>
      </c>
    </row>
    <row r="2101" customFormat="false" ht="12.8" hidden="false" customHeight="false" outlineLevel="0" collapsed="false">
      <c r="A2101" s="0" t="s">
        <v>1239</v>
      </c>
      <c r="B2101" s="0" t="str">
        <f aca="false">HYPERLINK("https://lindat.mff.cuni.cz/services/teitok/pdtc10/index.php?action=vallex&amp;frame=v-w243f192_MM", "být (v-w243f192_MM)")</f>
        <v>být (v-w243f192_MM)</v>
      </c>
    </row>
    <row r="2102" customFormat="false" ht="12.8" hidden="false" customHeight="false" outlineLevel="0" collapsed="false">
      <c r="B2102" s="0" t="s">
        <v>1</v>
      </c>
    </row>
    <row r="2103" customFormat="false" ht="12.8" hidden="false" customHeight="false" outlineLevel="0" collapsed="false">
      <c r="B2103" s="0" t="s">
        <v>1240</v>
      </c>
    </row>
    <row r="2105" customFormat="false" ht="12.8" hidden="false" customHeight="false" outlineLevel="0" collapsed="false">
      <c r="A2105" s="0" t="s">
        <v>1241</v>
      </c>
      <c r="B2105" s="0" t="str">
        <f aca="false">HYPERLINK("https://lindat.mff.cuni.cz/services/teitok/pdtc10/index.php?action=vallex&amp;frame=v-w243f193_MM", "být (v-w243f193_MM)")</f>
        <v>být (v-w243f193_MM)</v>
      </c>
    </row>
    <row r="2106" customFormat="false" ht="12.8" hidden="false" customHeight="false" outlineLevel="0" collapsed="false">
      <c r="B2106" s="0" t="s">
        <v>879</v>
      </c>
    </row>
    <row r="2107" customFormat="false" ht="12.8" hidden="false" customHeight="false" outlineLevel="0" collapsed="false">
      <c r="B2107" s="0" t="s">
        <v>1242</v>
      </c>
    </row>
    <row r="2109" customFormat="false" ht="12.8" hidden="false" customHeight="false" outlineLevel="0" collapsed="false">
      <c r="A2109" s="0" t="s">
        <v>1243</v>
      </c>
      <c r="B2109" s="0" t="str">
        <f aca="false">HYPERLINK("https://lindat.mff.cuni.cz/services/teitok/pdtc10/index.php?action=vallex&amp;frame=v-w243f194_MM", "být (v-w243f194_MM)")</f>
        <v>být (v-w243f194_MM)</v>
      </c>
    </row>
    <row r="2110" customFormat="false" ht="12.8" hidden="false" customHeight="false" outlineLevel="0" collapsed="false">
      <c r="B2110" s="0" t="s">
        <v>1</v>
      </c>
    </row>
    <row r="2111" customFormat="false" ht="12.8" hidden="false" customHeight="false" outlineLevel="0" collapsed="false">
      <c r="B2111" s="0" t="s">
        <v>1244</v>
      </c>
    </row>
    <row r="2113" customFormat="false" ht="12.8" hidden="false" customHeight="false" outlineLevel="0" collapsed="false">
      <c r="A2113" s="0" t="s">
        <v>1245</v>
      </c>
      <c r="B2113" s="0" t="str">
        <f aca="false">HYPERLINK("https://lindat.mff.cuni.cz/services/teitok/pdtc10/index.php?action=vallex&amp;frame=v-whsa_1156hsa_1157", "být si (v-whsa_1156hsa_1157)")</f>
        <v>být si (v-whsa_1156hsa_1157)</v>
      </c>
    </row>
    <row r="2114" customFormat="false" ht="12.8" hidden="false" customHeight="false" outlineLevel="0" collapsed="false">
      <c r="B2114" s="0" t="s">
        <v>1</v>
      </c>
    </row>
    <row r="2115" customFormat="false" ht="12.8" hidden="false" customHeight="false" outlineLevel="0" collapsed="false">
      <c r="B2115" s="0" t="s">
        <v>721</v>
      </c>
    </row>
    <row r="2116" customFormat="false" ht="12.8" hidden="false" customHeight="false" outlineLevel="0" collapsed="false">
      <c r="B2116" s="0" t="s">
        <v>852</v>
      </c>
    </row>
    <row r="2118" customFormat="false" ht="12.8" hidden="false" customHeight="false" outlineLevel="0" collapsed="false">
      <c r="A2118" s="0" t="s">
        <v>1246</v>
      </c>
      <c r="B2118" s="0" t="str">
        <f aca="false">HYPERLINK("https://lindat.mff.cuni.cz/services/teitok/pdtc10/index.php?action=vallex&amp;frame=v-w245f20", "bývat (v-w245f20)")</f>
        <v>bývat (v-w245f20)</v>
      </c>
    </row>
    <row r="2119" customFormat="false" ht="12.8" hidden="false" customHeight="false" outlineLevel="0" collapsed="false">
      <c r="B2119" s="0" t="s">
        <v>1</v>
      </c>
    </row>
    <row r="2120" customFormat="false" ht="12.8" hidden="false" customHeight="false" outlineLevel="0" collapsed="false">
      <c r="B2120" s="0" t="s">
        <v>439</v>
      </c>
    </row>
    <row r="2121" customFormat="false" ht="12.8" hidden="false" customHeight="false" outlineLevel="0" collapsed="false">
      <c r="B2121" s="0" t="s">
        <v>839</v>
      </c>
    </row>
    <row r="2123" customFormat="false" ht="12.8" hidden="false" customHeight="false" outlineLevel="0" collapsed="false">
      <c r="A2123" s="0" t="s">
        <v>1247</v>
      </c>
      <c r="B2123" s="0" t="str">
        <f aca="false">HYPERLINK("https://lindat.mff.cuni.cz/services/teitok/pdtc10/index.php?action=vallex&amp;frame=v-w245f3", "bývat (v-w245f3)")</f>
        <v>bývat (v-w245f3)</v>
      </c>
      <c r="E2123" s="0" t="str">
        <f aca="false">HYPERLINK("https://lindat.mff.cuni.cz/services/SynSemClass40/SynSemClass40.html?veclass=vec00199#vec00199-ces-cm00024", "vec00199")</f>
        <v>vec00199</v>
      </c>
      <c r="F2123" s="0" t="s">
        <v>1248</v>
      </c>
    </row>
    <row r="2124" customFormat="false" ht="12.8" hidden="false" customHeight="false" outlineLevel="0" collapsed="false">
      <c r="B2124" s="0" t="s">
        <v>1249</v>
      </c>
      <c r="C2124" s="0" t="s">
        <v>1250</v>
      </c>
      <c r="E2124" s="0" t="s">
        <v>957</v>
      </c>
      <c r="F2124" s="0" t="s">
        <v>1251</v>
      </c>
    </row>
    <row r="2125" customFormat="false" ht="12.8" hidden="false" customHeight="false" outlineLevel="0" collapsed="false">
      <c r="B2125" s="0" t="s">
        <v>1252</v>
      </c>
      <c r="C2125" s="0" t="s">
        <v>1253</v>
      </c>
      <c r="E2125" s="0" t="s">
        <v>354</v>
      </c>
      <c r="F2125" s="0" t="s">
        <v>1254</v>
      </c>
    </row>
    <row r="2127" customFormat="false" ht="12.8" hidden="false" customHeight="false" outlineLevel="0" collapsed="false">
      <c r="A2127" s="0" t="s">
        <v>1255</v>
      </c>
      <c r="B2127" s="0" t="str">
        <f aca="false">HYPERLINK("https://lindat.mff.cuni.cz/services/teitok/pdtc10/index.php?action=vallex&amp;frame=v-w245f15", "bývat (v-w245f15)")</f>
        <v>bývat (v-w245f15)</v>
      </c>
    </row>
    <row r="2128" customFormat="false" ht="12.8" hidden="false" customHeight="false" outlineLevel="0" collapsed="false">
      <c r="B2128" s="0" t="s">
        <v>1</v>
      </c>
    </row>
    <row r="2129" customFormat="false" ht="12.8" hidden="false" customHeight="false" outlineLevel="0" collapsed="false">
      <c r="B2129" s="0" t="s">
        <v>186</v>
      </c>
    </row>
    <row r="2131" customFormat="false" ht="12.8" hidden="false" customHeight="false" outlineLevel="0" collapsed="false">
      <c r="A2131" s="0" t="s">
        <v>1256</v>
      </c>
      <c r="B2131" s="0" t="str">
        <f aca="false">HYPERLINK("https://lindat.mff.cuni.cz/services/teitok/pdtc10/index.php?action=vallex&amp;frame=v-w245f24", "bývat (v-w245f24)")</f>
        <v>bývat (v-w245f24)</v>
      </c>
    </row>
    <row r="2132" customFormat="false" ht="12.8" hidden="false" customHeight="false" outlineLevel="0" collapsed="false">
      <c r="B2132" s="0" t="s">
        <v>1</v>
      </c>
    </row>
    <row r="2133" customFormat="false" ht="12.8" hidden="false" customHeight="false" outlineLevel="0" collapsed="false">
      <c r="B2133" s="0" t="s">
        <v>291</v>
      </c>
    </row>
    <row r="2135" customFormat="false" ht="12.8" hidden="false" customHeight="false" outlineLevel="0" collapsed="false">
      <c r="A2135" s="0" t="s">
        <v>1257</v>
      </c>
      <c r="B2135" s="0" t="str">
        <f aca="false">HYPERLINK("https://lindat.mff.cuni.cz/services/teitok/pdtc10/index.php?action=vallex&amp;frame=v-w245f6", "bývat (v-w245f6)")</f>
        <v>bývat (v-w245f6)</v>
      </c>
    </row>
    <row r="2136" customFormat="false" ht="12.8" hidden="false" customHeight="false" outlineLevel="0" collapsed="false">
      <c r="B2136" s="0" t="s">
        <v>804</v>
      </c>
    </row>
    <row r="2137" customFormat="false" ht="12.8" hidden="false" customHeight="false" outlineLevel="0" collapsed="false">
      <c r="B2137" s="0" t="s">
        <v>439</v>
      </c>
    </row>
    <row r="2139" customFormat="false" ht="12.8" hidden="false" customHeight="false" outlineLevel="0" collapsed="false">
      <c r="A2139" s="0" t="s">
        <v>1258</v>
      </c>
      <c r="B2139" s="0" t="str">
        <f aca="false">HYPERLINK("https://lindat.mff.cuni.cz/services/teitok/pdtc10/index.php?action=vallex&amp;frame=v-w245f8", "bývat (v-w245f8)")</f>
        <v>bývat (v-w245f8)</v>
      </c>
    </row>
    <row r="2140" customFormat="false" ht="12.8" hidden="false" customHeight="false" outlineLevel="0" collapsed="false">
      <c r="B2140" s="0" t="s">
        <v>1</v>
      </c>
    </row>
    <row r="2141" customFormat="false" ht="12.8" hidden="false" customHeight="false" outlineLevel="0" collapsed="false">
      <c r="B2141" s="0" t="s">
        <v>1259</v>
      </c>
    </row>
    <row r="2143" customFormat="false" ht="12.8" hidden="false" customHeight="false" outlineLevel="0" collapsed="false">
      <c r="A2143" s="0" t="s">
        <v>1260</v>
      </c>
      <c r="B2143" s="0" t="str">
        <f aca="false">HYPERLINK("https://lindat.mff.cuni.cz/services/teitok/pdtc10/index.php?action=vallex&amp;frame=v-w245f9", "bývat (v-w245f9)")</f>
        <v>bývat (v-w245f9)</v>
      </c>
    </row>
    <row r="2144" customFormat="false" ht="12.8" hidden="false" customHeight="false" outlineLevel="0" collapsed="false">
      <c r="B2144" s="0" t="s">
        <v>1</v>
      </c>
    </row>
    <row r="2145" customFormat="false" ht="12.8" hidden="false" customHeight="false" outlineLevel="0" collapsed="false">
      <c r="B2145" s="0" t="s">
        <v>839</v>
      </c>
    </row>
    <row r="2147" customFormat="false" ht="12.8" hidden="false" customHeight="false" outlineLevel="0" collapsed="false">
      <c r="A2147" s="0" t="s">
        <v>1261</v>
      </c>
      <c r="B2147" s="0" t="str">
        <f aca="false">HYPERLINK("https://lindat.mff.cuni.cz/services/teitok/pdtc10/index.php?action=vallex&amp;frame=v-w245f4", "bývat (v-w245f4)")</f>
        <v>bývat (v-w245f4)</v>
      </c>
    </row>
    <row r="2148" customFormat="false" ht="12.8" hidden="false" customHeight="false" outlineLevel="0" collapsed="false">
      <c r="B2148" s="0" t="s">
        <v>1</v>
      </c>
    </row>
    <row r="2149" customFormat="false" ht="12.8" hidden="false" customHeight="false" outlineLevel="0" collapsed="false">
      <c r="B2149" s="0" t="s">
        <v>1262</v>
      </c>
    </row>
    <row r="2151" customFormat="false" ht="12.8" hidden="false" customHeight="false" outlineLevel="0" collapsed="false">
      <c r="A2151" s="0" t="s">
        <v>1263</v>
      </c>
      <c r="B2151" s="0" t="str">
        <f aca="false">HYPERLINK("https://lindat.mff.cuni.cz/services/teitok/pdtc10/index.php?action=vallex&amp;frame=v-w245f12", "bývat (v-w245f12)")</f>
        <v>bývat (v-w245f12)</v>
      </c>
    </row>
    <row r="2152" customFormat="false" ht="12.8" hidden="false" customHeight="false" outlineLevel="0" collapsed="false">
      <c r="B2152" s="0" t="s">
        <v>1</v>
      </c>
    </row>
    <row r="2153" customFormat="false" ht="12.8" hidden="false" customHeight="false" outlineLevel="0" collapsed="false">
      <c r="B2153" s="0" t="s">
        <v>5</v>
      </c>
    </row>
    <row r="2155" customFormat="false" ht="12.8" hidden="false" customHeight="false" outlineLevel="0" collapsed="false">
      <c r="A2155" s="0" t="s">
        <v>1264</v>
      </c>
      <c r="B2155" s="0" t="str">
        <f aca="false">HYPERLINK("https://lindat.mff.cuni.cz/services/teitok/pdtc10/index.php?action=vallex&amp;frame=v-w245f13", "bývat (v-w245f13)")</f>
        <v>bývat (v-w245f13)</v>
      </c>
    </row>
    <row r="2156" customFormat="false" ht="12.8" hidden="false" customHeight="false" outlineLevel="0" collapsed="false">
      <c r="B2156" s="0" t="s">
        <v>1</v>
      </c>
    </row>
    <row r="2157" customFormat="false" ht="12.8" hidden="false" customHeight="false" outlineLevel="0" collapsed="false">
      <c r="B2157" s="0" t="s">
        <v>863</v>
      </c>
    </row>
    <row r="2159" customFormat="false" ht="12.8" hidden="false" customHeight="false" outlineLevel="0" collapsed="false">
      <c r="A2159" s="0" t="s">
        <v>1265</v>
      </c>
      <c r="B2159" s="0" t="str">
        <f aca="false">HYPERLINK("https://lindat.mff.cuni.cz/services/teitok/pdtc10/index.php?action=vallex&amp;frame=v-w245f7", "bývat (v-w245f7)")</f>
        <v>bývat (v-w245f7)</v>
      </c>
    </row>
    <row r="2160" customFormat="false" ht="12.8" hidden="false" customHeight="false" outlineLevel="0" collapsed="false">
      <c r="B2160" s="0" t="s">
        <v>804</v>
      </c>
    </row>
    <row r="2161" customFormat="false" ht="12.8" hidden="false" customHeight="false" outlineLevel="0" collapsed="false">
      <c r="B2161" s="0" t="s">
        <v>852</v>
      </c>
    </row>
    <row r="2163" customFormat="false" ht="12.8" hidden="false" customHeight="false" outlineLevel="0" collapsed="false">
      <c r="A2163" s="0" t="s">
        <v>1266</v>
      </c>
      <c r="B2163" s="0" t="str">
        <f aca="false">HYPERLINK("https://lindat.mff.cuni.cz/services/teitok/pdtc10/index.php?action=vallex&amp;frame=v-w245f11", "bývat (v-w245f11)")</f>
        <v>bývat (v-w245f11)</v>
      </c>
    </row>
    <row r="2164" customFormat="false" ht="12.8" hidden="false" customHeight="false" outlineLevel="0" collapsed="false">
      <c r="B2164" s="0" t="s">
        <v>1</v>
      </c>
    </row>
    <row r="2165" customFormat="false" ht="12.8" hidden="false" customHeight="false" outlineLevel="0" collapsed="false">
      <c r="B2165" s="0" t="s">
        <v>1267</v>
      </c>
    </row>
    <row r="2167" customFormat="false" ht="12.8" hidden="false" customHeight="false" outlineLevel="0" collapsed="false">
      <c r="A2167" s="0" t="s">
        <v>1268</v>
      </c>
      <c r="B2167" s="0" t="str">
        <f aca="false">HYPERLINK("https://lindat.mff.cuni.cz/services/teitok/pdtc10/index.php?action=vallex&amp;frame=v-w245f22", "bývat (v-w245f22)")</f>
        <v>bývat (v-w245f22)</v>
      </c>
    </row>
    <row r="2168" customFormat="false" ht="12.8" hidden="false" customHeight="false" outlineLevel="0" collapsed="false">
      <c r="B2168" s="0" t="s">
        <v>1269</v>
      </c>
    </row>
    <row r="2170" customFormat="false" ht="12.8" hidden="false" customHeight="false" outlineLevel="0" collapsed="false">
      <c r="A2170" s="0" t="s">
        <v>1270</v>
      </c>
      <c r="B2170" s="0" t="str">
        <f aca="false">HYPERLINK("https://lindat.mff.cuni.cz/services/teitok/pdtc10/index.php?action=vallex&amp;frame=v-w245f1", "bývat (v-w245f1)")</f>
        <v>bývat (v-w245f1)</v>
      </c>
    </row>
    <row r="2171" customFormat="false" ht="12.8" hidden="false" customHeight="false" outlineLevel="0" collapsed="false">
      <c r="B2171" s="0" t="s">
        <v>1271</v>
      </c>
    </row>
    <row r="2173" customFormat="false" ht="12.8" hidden="false" customHeight="false" outlineLevel="0" collapsed="false">
      <c r="A2173" s="0" t="s">
        <v>1272</v>
      </c>
      <c r="B2173" s="0" t="str">
        <f aca="false">HYPERLINK("https://lindat.mff.cuni.cz/services/teitok/pdtc10/index.php?action=vallex&amp;frame=v-w245f2", "bývat (v-w245f2)")</f>
        <v>bývat (v-w245f2)</v>
      </c>
    </row>
    <row r="2174" customFormat="false" ht="12.8" hidden="false" customHeight="false" outlineLevel="0" collapsed="false">
      <c r="B2174" s="0" t="s">
        <v>345</v>
      </c>
    </row>
    <row r="2176" customFormat="false" ht="12.8" hidden="false" customHeight="false" outlineLevel="0" collapsed="false">
      <c r="A2176" s="0" t="s">
        <v>1273</v>
      </c>
      <c r="B2176" s="0" t="str">
        <f aca="false">HYPERLINK("https://lindat.mff.cuni.cz/services/teitok/pdtc10/index.php?action=vallex&amp;frame=v-w245f10", "bývat (v-w245f10)")</f>
        <v>bývat (v-w245f10)</v>
      </c>
    </row>
    <row r="2177" customFormat="false" ht="12.8" hidden="false" customHeight="false" outlineLevel="0" collapsed="false">
      <c r="B2177" s="0" t="s">
        <v>859</v>
      </c>
    </row>
    <row r="2179" customFormat="false" ht="12.8" hidden="false" customHeight="false" outlineLevel="0" collapsed="false">
      <c r="A2179" s="0" t="s">
        <v>1274</v>
      </c>
      <c r="B2179" s="0" t="str">
        <f aca="false">HYPERLINK("https://lindat.mff.cuni.cz/services/teitok/pdtc10/index.php?action=vallex&amp;frame=v-w245f19", "bývat (v-w245f19)")</f>
        <v>bývat (v-w245f19)</v>
      </c>
    </row>
    <row r="2180" customFormat="false" ht="12.8" hidden="false" customHeight="false" outlineLevel="0" collapsed="false">
      <c r="B2180" s="0" t="s">
        <v>861</v>
      </c>
    </row>
    <row r="2182" customFormat="false" ht="12.8" hidden="false" customHeight="false" outlineLevel="0" collapsed="false">
      <c r="A2182" s="0" t="s">
        <v>1275</v>
      </c>
      <c r="B2182" s="0" t="str">
        <f aca="false">HYPERLINK("https://lindat.mff.cuni.cz/services/teitok/pdtc10/index.php?action=vallex&amp;frame=v-w245f5", "bývat (v-w245f5)")</f>
        <v>bývat (v-w245f5)</v>
      </c>
    </row>
    <row r="2183" customFormat="false" ht="12.8" hidden="false" customHeight="false" outlineLevel="0" collapsed="false">
      <c r="B2183" s="0" t="s">
        <v>852</v>
      </c>
    </row>
    <row r="2185" customFormat="false" ht="12.8" hidden="false" customHeight="false" outlineLevel="0" collapsed="false">
      <c r="A2185" s="0" t="s">
        <v>1276</v>
      </c>
      <c r="B2185" s="0" t="str">
        <f aca="false">HYPERLINK("https://lindat.mff.cuni.cz/services/teitok/pdtc10/index.php?action=vallex&amp;frame=v-w245f14", "bývat (v-w245f14)")</f>
        <v>bývat (v-w245f14)</v>
      </c>
    </row>
    <row r="2186" customFormat="false" ht="12.8" hidden="false" customHeight="false" outlineLevel="0" collapsed="false">
      <c r="B2186" s="0" t="s">
        <v>865</v>
      </c>
    </row>
    <row r="2188" customFormat="false" ht="12.8" hidden="false" customHeight="false" outlineLevel="0" collapsed="false">
      <c r="A2188" s="0" t="s">
        <v>1277</v>
      </c>
      <c r="B2188" s="0" t="str">
        <f aca="false">HYPERLINK("https://lindat.mff.cuni.cz/services/teitok/pdtc10/index.php?action=vallex&amp;frame=v-w245f21", "bývat (v-w245f21)")</f>
        <v>bývat (v-w245f21)</v>
      </c>
    </row>
    <row r="2189" customFormat="false" ht="12.8" hidden="false" customHeight="false" outlineLevel="0" collapsed="false">
      <c r="B2189" s="0" t="s">
        <v>867</v>
      </c>
    </row>
    <row r="2191" customFormat="false" ht="12.8" hidden="false" customHeight="false" outlineLevel="0" collapsed="false">
      <c r="A2191" s="0" t="s">
        <v>1278</v>
      </c>
      <c r="B2191" s="0" t="str">
        <f aca="false">HYPERLINK("https://lindat.mff.cuni.cz/services/teitok/pdtc10/index.php?action=vallex&amp;frame=v-w245f16", "bývat (v-w245f16)")</f>
        <v>bývat (v-w245f16)</v>
      </c>
    </row>
    <row r="2192" customFormat="false" ht="12.8" hidden="false" customHeight="false" outlineLevel="0" collapsed="false">
      <c r="B2192" s="0" t="s">
        <v>1279</v>
      </c>
    </row>
    <row r="2193" customFormat="false" ht="12.8" hidden="false" customHeight="false" outlineLevel="0" collapsed="false">
      <c r="B2193" s="0" t="s">
        <v>1280</v>
      </c>
    </row>
    <row r="2194" customFormat="false" ht="12.8" hidden="false" customHeight="false" outlineLevel="0" collapsed="false">
      <c r="B2194" s="0" t="s">
        <v>52</v>
      </c>
    </row>
    <row r="2196" customFormat="false" ht="12.8" hidden="false" customHeight="false" outlineLevel="0" collapsed="false">
      <c r="A2196" s="0" t="s">
        <v>1281</v>
      </c>
      <c r="B2196" s="0" t="str">
        <f aca="false">HYPERLINK("https://lindat.mff.cuni.cz/services/teitok/pdtc10/index.php?action=vallex&amp;frame=v-w245f17", "bývat (v-w245f17)")</f>
        <v>bývat (v-w245f17)</v>
      </c>
    </row>
    <row r="2197" customFormat="false" ht="12.8" hidden="false" customHeight="false" outlineLevel="0" collapsed="false">
      <c r="B2197" s="0" t="s">
        <v>1282</v>
      </c>
    </row>
    <row r="2198" customFormat="false" ht="12.8" hidden="false" customHeight="false" outlineLevel="0" collapsed="false">
      <c r="B2198" s="0" t="s">
        <v>1283</v>
      </c>
    </row>
    <row r="2200" customFormat="false" ht="12.8" hidden="false" customHeight="false" outlineLevel="0" collapsed="false">
      <c r="A2200" s="0" t="s">
        <v>1284</v>
      </c>
      <c r="B2200" s="0" t="str">
        <f aca="false">HYPERLINK("https://lindat.mff.cuni.cz/services/teitok/pdtc10/index.php?action=vallex&amp;frame=v-w245f18", "bývat (v-w245f18)")</f>
        <v>bývat (v-w245f18)</v>
      </c>
    </row>
    <row r="2201" customFormat="false" ht="12.8" hidden="false" customHeight="false" outlineLevel="0" collapsed="false">
      <c r="B2201" s="0" t="s">
        <v>1285</v>
      </c>
    </row>
    <row r="2202" customFormat="false" ht="12.8" hidden="false" customHeight="false" outlineLevel="0" collapsed="false">
      <c r="B2202" s="0" t="s">
        <v>1286</v>
      </c>
    </row>
    <row r="2204" customFormat="false" ht="12.8" hidden="false" customHeight="false" outlineLevel="0" collapsed="false">
      <c r="A2204" s="0" t="s">
        <v>1287</v>
      </c>
      <c r="B2204" s="0" t="str">
        <f aca="false">HYPERLINK("https://lindat.mff.cuni.cz/services/teitok/pdtc10/index.php?action=vallex&amp;frame=v-w245f23", "bývat (v-w245f23)")</f>
        <v>bývat (v-w245f23)</v>
      </c>
    </row>
    <row r="2205" customFormat="false" ht="12.8" hidden="false" customHeight="false" outlineLevel="0" collapsed="false">
      <c r="B2205" s="0" t="s">
        <v>804</v>
      </c>
    </row>
    <row r="2206" customFormat="false" ht="12.8" hidden="false" customHeight="false" outlineLevel="0" collapsed="false">
      <c r="B2206" s="0" t="s">
        <v>1288</v>
      </c>
    </row>
    <row r="2207" customFormat="false" ht="12.8" hidden="false" customHeight="false" outlineLevel="0" collapsed="false">
      <c r="B2207" s="0" t="s">
        <v>1289</v>
      </c>
    </row>
    <row r="2209" customFormat="false" ht="12.8" hidden="false" customHeight="false" outlineLevel="0" collapsed="false">
      <c r="A2209" s="0" t="s">
        <v>1290</v>
      </c>
      <c r="B2209" s="0" t="str">
        <f aca="false">HYPERLINK("https://lindat.mff.cuni.cz/services/teitok/pdtc10/index.php?action=vallex&amp;frame=v-w246f1", "bývávat (v-w246f1)")</f>
        <v>bývávat (v-w246f1)</v>
      </c>
    </row>
    <row r="2210" customFormat="false" ht="12.8" hidden="false" customHeight="false" outlineLevel="0" collapsed="false">
      <c r="B2210" s="0" t="s">
        <v>1249</v>
      </c>
    </row>
    <row r="2211" customFormat="false" ht="12.8" hidden="false" customHeight="false" outlineLevel="0" collapsed="false">
      <c r="B2211" s="0" t="s">
        <v>1252</v>
      </c>
    </row>
    <row r="2213" customFormat="false" ht="12.8" hidden="false" customHeight="false" outlineLevel="0" collapsed="false">
      <c r="A2213" s="0" t="s">
        <v>1291</v>
      </c>
      <c r="B2213" s="0" t="str">
        <f aca="false">HYPERLINK("https://lindat.mff.cuni.cz/services/teitok/pdtc10/index.php?action=vallex&amp;frame=v-w246f2_ZU", "bývávat (v-w246f2_ZU)")</f>
        <v>bývávat (v-w246f2_ZU)</v>
      </c>
    </row>
    <row r="2214" customFormat="false" ht="12.8" hidden="false" customHeight="false" outlineLevel="0" collapsed="false">
      <c r="B2214" s="0" t="s">
        <v>1271</v>
      </c>
    </row>
    <row r="2216" customFormat="false" ht="12.8" hidden="false" customHeight="false" outlineLevel="0" collapsed="false">
      <c r="A2216" s="0" t="s">
        <v>1291</v>
      </c>
      <c r="B2216" s="0" t="str">
        <f aca="false">HYPERLINK("https://lindat.mff.cuni.cz/services/teitok/pdtc10/index.php?action=vallex&amp;frame=v-w246hsa_1226", "bývávat (v-w246hsa_1226) - substituted with v-w246f2_ZU")</f>
        <v>bývávat (v-w246hsa_1226) - substituted with v-w246f2_ZU</v>
      </c>
    </row>
    <row r="2217" customFormat="false" ht="12.8" hidden="false" customHeight="false" outlineLevel="0" collapsed="false">
      <c r="B2217" s="0" t="s">
        <v>1271</v>
      </c>
    </row>
    <row r="2219" customFormat="false" ht="12.8" hidden="false" customHeight="false" outlineLevel="0" collapsed="false">
      <c r="A2219" s="0" t="s">
        <v>1292</v>
      </c>
      <c r="B2219" s="0" t="str">
        <f aca="false">HYPERLINK("https://lindat.mff.cuni.cz/services/teitok/pdtc10/index.php?action=vallex&amp;frame=v-w133hsa_358", "bědovat (v-w133hsa_358)")</f>
        <v>bědovat (v-w133hsa_358)</v>
      </c>
      <c r="E2219" s="0" t="str">
        <f aca="false">HYPERLINK("https://lindat.mff.cuni.cz/services/SynSemClass40/SynSemClass40.html?veclass=vec00132#vec00132-ces-cm00020", "vec00132")</f>
        <v>vec00132</v>
      </c>
      <c r="F2219" s="0" t="s">
        <v>484</v>
      </c>
      <c r="H2219" s="0" t="str">
        <f aca="false">HYPERLINK("https://lindat.mff.cuni.cz/services/SynSemClass40/SynSemClass40.html?veclass=vec00428#vec00428-ces-cm00003", "vec00428")</f>
        <v>vec00428</v>
      </c>
      <c r="I2219" s="0" t="s">
        <v>1293</v>
      </c>
      <c r="K2219" s="0" t="str">
        <f aca="false">HYPERLINK("https://lindat.mff.cuni.cz/services/SynSemClass40/SynSemClass40.html?veclass=vec00867#vec00867-ces-cm00003", "vec00867")</f>
        <v>vec00867</v>
      </c>
      <c r="L2219" s="0" t="s">
        <v>1294</v>
      </c>
    </row>
    <row r="2220" customFormat="false" ht="12.8" hidden="false" customHeight="false" outlineLevel="0" collapsed="false">
      <c r="B2220" s="0" t="s">
        <v>1</v>
      </c>
      <c r="C2220" s="0" t="s">
        <v>1295</v>
      </c>
      <c r="E2220" s="0" t="s">
        <v>63</v>
      </c>
      <c r="F2220" s="0" t="s">
        <v>487</v>
      </c>
      <c r="H2220" s="0" t="s">
        <v>155</v>
      </c>
      <c r="I2220" s="0" t="s">
        <v>156</v>
      </c>
      <c r="K2220" s="0" t="s">
        <v>266</v>
      </c>
      <c r="L2220" s="0" t="s">
        <v>1296</v>
      </c>
    </row>
    <row r="2221" customFormat="false" ht="12.8" hidden="false" customHeight="false" outlineLevel="0" collapsed="false">
      <c r="B2221" s="0" t="s">
        <v>1297</v>
      </c>
      <c r="C2221" s="0" t="s">
        <v>1298</v>
      </c>
      <c r="E2221" s="0" t="s">
        <v>230</v>
      </c>
      <c r="F2221" s="0" t="s">
        <v>491</v>
      </c>
      <c r="H2221" s="0" t="s">
        <v>34</v>
      </c>
      <c r="I2221" s="0" t="s">
        <v>1299</v>
      </c>
      <c r="K2221" s="0" t="s">
        <v>271</v>
      </c>
      <c r="L2221" s="0" t="s">
        <v>1300</v>
      </c>
    </row>
    <row r="2223" customFormat="false" ht="12.8" hidden="false" customHeight="false" outlineLevel="0" collapsed="false">
      <c r="A2223" s="0" t="s">
        <v>1292</v>
      </c>
      <c r="B2223" s="0" t="str">
        <f aca="false">HYPERLINK("https://lindat.mff.cuni.cz/services/teitok/pdtc10/index.php?action=vallex&amp;frame=v-w133f1", "bědovat (v-w133f1) - substituted with v-w133hsa_358")</f>
        <v>bědovat (v-w133f1) - substituted with v-w133hsa_358</v>
      </c>
    </row>
    <row r="2224" customFormat="false" ht="12.8" hidden="false" customHeight="false" outlineLevel="0" collapsed="false">
      <c r="B2224" s="0" t="s">
        <v>1</v>
      </c>
    </row>
    <row r="2225" customFormat="false" ht="12.8" hidden="false" customHeight="false" outlineLevel="0" collapsed="false">
      <c r="B2225" s="0" t="s">
        <v>1297</v>
      </c>
    </row>
    <row r="2227" customFormat="false" ht="12.8" hidden="false" customHeight="false" outlineLevel="0" collapsed="false">
      <c r="A2227" s="0" t="s">
        <v>1301</v>
      </c>
      <c r="B2227" s="0" t="str">
        <f aca="false">HYPERLINK("https://lindat.mff.cuni.cz/services/teitok/pdtc10/index.php?action=vallex&amp;frame=v-w136f4", "běhat (v-w136f4)")</f>
        <v>běhat (v-w136f4)</v>
      </c>
    </row>
    <row r="2228" customFormat="false" ht="12.8" hidden="false" customHeight="false" outlineLevel="0" collapsed="false">
      <c r="B2228" s="0" t="s">
        <v>1</v>
      </c>
    </row>
    <row r="2229" customFormat="false" ht="12.8" hidden="false" customHeight="false" outlineLevel="0" collapsed="false">
      <c r="B2229" s="0" t="s">
        <v>8</v>
      </c>
    </row>
    <row r="2231" customFormat="false" ht="12.8" hidden="false" customHeight="false" outlineLevel="0" collapsed="false">
      <c r="A2231" s="0" t="s">
        <v>1302</v>
      </c>
      <c r="B2231" s="0" t="str">
        <f aca="false">HYPERLINK("https://lindat.mff.cuni.cz/services/teitok/pdtc10/index.php?action=vallex&amp;frame=v-w136f5_ZU", "běhat (v-w136f5_ZU)")</f>
        <v>běhat (v-w136f5_ZU)</v>
      </c>
    </row>
    <row r="2232" customFormat="false" ht="12.8" hidden="false" customHeight="false" outlineLevel="0" collapsed="false">
      <c r="B2232" s="0" t="s">
        <v>1</v>
      </c>
    </row>
    <row r="2234" customFormat="false" ht="12.8" hidden="false" customHeight="false" outlineLevel="0" collapsed="false">
      <c r="A2234" s="0" t="s">
        <v>1302</v>
      </c>
      <c r="B2234" s="0" t="str">
        <f aca="false">HYPERLINK("https://lindat.mff.cuni.cz/services/teitok/pdtc10/index.php?action=vallex&amp;frame=v-w136f2", "běhat (v-w136f2) - substituted with v-w136f5_ZU")</f>
        <v>běhat (v-w136f2) - substituted with v-w136f5_ZU</v>
      </c>
      <c r="E2234" s="0" t="str">
        <f aca="false">HYPERLINK("https://lindat.mff.cuni.cz/services/SynSemClass40/SynSemClass40.html?veclass=vec01085#vec01085-ces-cm00011", "vec01085")</f>
        <v>vec01085</v>
      </c>
      <c r="F2234" s="0" t="s">
        <v>1303</v>
      </c>
    </row>
    <row r="2235" customFormat="false" ht="12.8" hidden="false" customHeight="false" outlineLevel="0" collapsed="false">
      <c r="B2235" s="0" t="s">
        <v>1</v>
      </c>
      <c r="C2235" s="0" t="s">
        <v>512</v>
      </c>
      <c r="E2235" s="0" t="s">
        <v>334</v>
      </c>
      <c r="F2235" s="0" t="s">
        <v>1304</v>
      </c>
    </row>
    <row r="2237" customFormat="false" ht="12.8" hidden="false" customHeight="false" outlineLevel="0" collapsed="false">
      <c r="A2237" s="0" t="s">
        <v>1305</v>
      </c>
      <c r="B2237" s="0" t="str">
        <f aca="false">HYPERLINK("https://lindat.mff.cuni.cz/services/teitok/pdtc10/index.php?action=vallex&amp;frame=v-w136f3", "běhat (v-w136f3)")</f>
        <v>běhat (v-w136f3)</v>
      </c>
      <c r="E2237" s="0" t="str">
        <f aca="false">HYPERLINK("https://lindat.mff.cuni.cz/services/SynSemClass40/SynSemClass40.html?veclass=vec00221#vec00221-ces-cm00051", "vec00221")</f>
        <v>vec00221</v>
      </c>
      <c r="F2237" s="0" t="s">
        <v>1051</v>
      </c>
    </row>
    <row r="2238" customFormat="false" ht="12.8" hidden="false" customHeight="false" outlineLevel="0" collapsed="false">
      <c r="B2238" s="0" t="s">
        <v>1</v>
      </c>
      <c r="C2238" s="0" t="s">
        <v>1052</v>
      </c>
      <c r="E2238" s="0" t="s">
        <v>1053</v>
      </c>
      <c r="F2238" s="0" t="s">
        <v>1054</v>
      </c>
    </row>
    <row r="2240" customFormat="false" ht="12.8" hidden="false" customHeight="false" outlineLevel="0" collapsed="false">
      <c r="A2240" s="0" t="s">
        <v>1306</v>
      </c>
      <c r="B2240" s="0" t="str">
        <f aca="false">HYPERLINK("https://lindat.mff.cuni.cz/services/teitok/pdtc10/index.php?action=vallex&amp;frame=v-w136f1", "běhat (v-w136f1)")</f>
        <v>běhat (v-w136f1)</v>
      </c>
    </row>
    <row r="2241" customFormat="false" ht="12.8" hidden="false" customHeight="false" outlineLevel="0" collapsed="false">
      <c r="B2241" s="0" t="s">
        <v>804</v>
      </c>
    </row>
    <row r="2242" customFormat="false" ht="12.8" hidden="false" customHeight="false" outlineLevel="0" collapsed="false">
      <c r="B2242" s="0" t="s">
        <v>1307</v>
      </c>
    </row>
    <row r="2244" customFormat="false" ht="12.8" hidden="false" customHeight="false" outlineLevel="0" collapsed="false">
      <c r="A2244" s="0" t="s">
        <v>1308</v>
      </c>
      <c r="B2244" s="0" t="str">
        <f aca="false">HYPERLINK("https://lindat.mff.cuni.cz/services/teitok/pdtc10/index.php?action=vallex&amp;frame=v-w136hsa_274", "běhat (v-w136hsa_274)")</f>
        <v>běhat (v-w136hsa_274)</v>
      </c>
    </row>
    <row r="2245" customFormat="false" ht="12.8" hidden="false" customHeight="false" outlineLevel="0" collapsed="false">
      <c r="B2245" s="0" t="s">
        <v>1</v>
      </c>
    </row>
    <row r="2246" customFormat="false" ht="12.8" hidden="false" customHeight="false" outlineLevel="0" collapsed="false">
      <c r="B2246" s="0" t="s">
        <v>164</v>
      </c>
    </row>
    <row r="2248" customFormat="false" ht="12.8" hidden="false" customHeight="false" outlineLevel="0" collapsed="false">
      <c r="A2248" s="0" t="s">
        <v>1309</v>
      </c>
      <c r="B2248" s="0" t="str">
        <f aca="false">HYPERLINK("https://lindat.mff.cuni.cz/services/teitok/pdtc10/index.php?action=vallex&amp;frame=v-whsa_1946hsa_1947", "bělat se (v-whsa_1946hsa_1947)")</f>
        <v>bělat se (v-whsa_1946hsa_1947)</v>
      </c>
    </row>
    <row r="2249" customFormat="false" ht="12.8" hidden="false" customHeight="false" outlineLevel="0" collapsed="false">
      <c r="B2249" s="0" t="s">
        <v>1</v>
      </c>
    </row>
    <row r="2251" customFormat="false" ht="12.8" hidden="false" customHeight="false" outlineLevel="0" collapsed="false">
      <c r="A2251" s="0" t="s">
        <v>1310</v>
      </c>
      <c r="B2251" s="0" t="str">
        <f aca="false">HYPERLINK("https://lindat.mff.cuni.cz/services/teitok/pdtc10/index.php?action=vallex&amp;frame=v-w146f2", "běžet (v-w146f2)")</f>
        <v>běžet (v-w146f2)</v>
      </c>
    </row>
    <row r="2252" customFormat="false" ht="12.8" hidden="false" customHeight="false" outlineLevel="0" collapsed="false">
      <c r="B2252" s="0" t="s">
        <v>1</v>
      </c>
    </row>
    <row r="2253" customFormat="false" ht="12.8" hidden="false" customHeight="false" outlineLevel="0" collapsed="false">
      <c r="B2253" s="0" t="s">
        <v>8</v>
      </c>
    </row>
    <row r="2255" customFormat="false" ht="12.8" hidden="false" customHeight="false" outlineLevel="0" collapsed="false">
      <c r="A2255" s="0" t="s">
        <v>1311</v>
      </c>
      <c r="B2255" s="0" t="str">
        <f aca="false">HYPERLINK("https://lindat.mff.cuni.cz/services/teitok/pdtc10/index.php?action=vallex&amp;frame=v-w146f7", "běžet (v-w146f7)")</f>
        <v>běžet (v-w146f7)</v>
      </c>
    </row>
    <row r="2256" customFormat="false" ht="12.8" hidden="false" customHeight="false" outlineLevel="0" collapsed="false">
      <c r="B2256" s="0" t="s">
        <v>804</v>
      </c>
    </row>
    <row r="2257" customFormat="false" ht="12.8" hidden="false" customHeight="false" outlineLevel="0" collapsed="false">
      <c r="B2257" s="0" t="s">
        <v>814</v>
      </c>
    </row>
    <row r="2259" customFormat="false" ht="12.8" hidden="false" customHeight="false" outlineLevel="0" collapsed="false">
      <c r="A2259" s="0" t="s">
        <v>1312</v>
      </c>
      <c r="B2259" s="0" t="str">
        <f aca="false">HYPERLINK("https://lindat.mff.cuni.cz/services/teitok/pdtc10/index.php?action=vallex&amp;frame=v-w146f9_ZU", "běžet (v-w146f9_ZU)")</f>
        <v>běžet (v-w146f9_ZU)</v>
      </c>
    </row>
    <row r="2260" customFormat="false" ht="12.8" hidden="false" customHeight="false" outlineLevel="0" collapsed="false">
      <c r="B2260" s="0" t="s">
        <v>1</v>
      </c>
    </row>
    <row r="2261" customFormat="false" ht="12.8" hidden="false" customHeight="false" outlineLevel="0" collapsed="false">
      <c r="B2261" s="0" t="s">
        <v>164</v>
      </c>
    </row>
    <row r="2263" customFormat="false" ht="12.8" hidden="false" customHeight="false" outlineLevel="0" collapsed="false">
      <c r="A2263" s="0" t="s">
        <v>1312</v>
      </c>
      <c r="B2263" s="0" t="str">
        <f aca="false">HYPERLINK("https://lindat.mff.cuni.cz/services/teitok/pdtc10/index.php?action=vallex&amp;frame=v-w146f4", "běžet (v-w146f4) - substituted with v-w146f9_ZU")</f>
        <v>běžet (v-w146f4) - substituted with v-w146f9_ZU</v>
      </c>
      <c r="E2263" s="0" t="str">
        <f aca="false">HYPERLINK("https://lindat.mff.cuni.cz/services/SynSemClass40/SynSemClass40.html?veclass=vec00227#vec00227-ces-cm00121", "vec00227")</f>
        <v>vec00227</v>
      </c>
      <c r="F2263" s="0" t="s">
        <v>1313</v>
      </c>
    </row>
    <row r="2264" customFormat="false" ht="12.8" hidden="false" customHeight="false" outlineLevel="0" collapsed="false">
      <c r="B2264" s="0" t="s">
        <v>1</v>
      </c>
      <c r="C2264" s="0" t="s">
        <v>83</v>
      </c>
      <c r="E2264" s="0" t="s">
        <v>334</v>
      </c>
      <c r="F2264" s="0" t="s">
        <v>1314</v>
      </c>
    </row>
    <row r="2265" customFormat="false" ht="12.8" hidden="false" customHeight="false" outlineLevel="0" collapsed="false">
      <c r="B2265" s="0" t="s">
        <v>164</v>
      </c>
      <c r="E2265" s="0" t="s">
        <v>1315</v>
      </c>
      <c r="F2265" s="0" t="s">
        <v>1316</v>
      </c>
    </row>
    <row r="2267" customFormat="false" ht="12.8" hidden="false" customHeight="false" outlineLevel="0" collapsed="false">
      <c r="A2267" s="0" t="s">
        <v>1317</v>
      </c>
      <c r="B2267" s="0" t="str">
        <f aca="false">HYPERLINK("https://lindat.mff.cuni.cz/services/teitok/pdtc10/index.php?action=vallex&amp;frame=v-w146f1", "běžet (v-w146f1)")</f>
        <v>běžet (v-w146f1)</v>
      </c>
      <c r="E2267" s="0" t="str">
        <f aca="false">HYPERLINK("https://lindat.mff.cuni.cz/services/SynSemClass40/SynSemClass40.html?veclass=vec00261#vec00261-ces-cm00002", "vec00261")</f>
        <v>vec00261</v>
      </c>
      <c r="F2267" s="0" t="s">
        <v>1318</v>
      </c>
    </row>
    <row r="2268" customFormat="false" ht="12.8" hidden="false" customHeight="false" outlineLevel="0" collapsed="false">
      <c r="B2268" s="0" t="s">
        <v>1</v>
      </c>
      <c r="C2268" s="0" t="s">
        <v>1319</v>
      </c>
      <c r="E2268" s="0" t="s">
        <v>375</v>
      </c>
      <c r="F2268" s="0" t="s">
        <v>1320</v>
      </c>
    </row>
    <row r="2270" customFormat="false" ht="12.8" hidden="false" customHeight="false" outlineLevel="0" collapsed="false">
      <c r="A2270" s="0" t="s">
        <v>1321</v>
      </c>
      <c r="B2270" s="0" t="str">
        <f aca="false">HYPERLINK("https://lindat.mff.cuni.cz/services/teitok/pdtc10/index.php?action=vallex&amp;frame=v-w146f3", "běžet (v-w146f3)")</f>
        <v>běžet (v-w146f3)</v>
      </c>
      <c r="E2270" s="0" t="str">
        <f aca="false">HYPERLINK("https://lindat.mff.cuni.cz/services/SynSemClass40/SynSemClass40.html?veclass=vec00227#vec00227-ces-cm00120", "vec00227")</f>
        <v>vec00227</v>
      </c>
      <c r="F2270" s="0" t="s">
        <v>1313</v>
      </c>
      <c r="H2270" s="0" t="str">
        <f aca="false">HYPERLINK("https://lindat.mff.cuni.cz/services/SynSemClass40/SynSemClass40.html?veclass=vec01085#vec01085-ces-cm00012", "vec01085")</f>
        <v>vec01085</v>
      </c>
      <c r="I2270" s="0" t="s">
        <v>1303</v>
      </c>
    </row>
    <row r="2271" customFormat="false" ht="12.8" hidden="false" customHeight="false" outlineLevel="0" collapsed="false">
      <c r="B2271" s="0" t="s">
        <v>1</v>
      </c>
      <c r="C2271" s="0" t="s">
        <v>1322</v>
      </c>
      <c r="E2271" s="0" t="s">
        <v>334</v>
      </c>
      <c r="F2271" s="0" t="s">
        <v>1314</v>
      </c>
      <c r="H2271" s="0" t="s">
        <v>334</v>
      </c>
      <c r="I2271" s="0" t="s">
        <v>1304</v>
      </c>
    </row>
    <row r="2273" customFormat="false" ht="12.8" hidden="false" customHeight="false" outlineLevel="0" collapsed="false">
      <c r="A2273" s="0" t="s">
        <v>1323</v>
      </c>
      <c r="B2273" s="0" t="str">
        <f aca="false">HYPERLINK("https://lindat.mff.cuni.cz/services/teitok/pdtc10/index.php?action=vallex&amp;frame=v-w146f6", "běžet (v-w146f6)")</f>
        <v>běžet (v-w146f6)</v>
      </c>
      <c r="E2273" s="0" t="str">
        <f aca="false">HYPERLINK("https://lindat.mff.cuni.cz/services/SynSemClass40/SynSemClass40.html?veclass=vec00221#vec00221-ces-cm00003", "vec00221")</f>
        <v>vec00221</v>
      </c>
      <c r="F2273" s="0" t="s">
        <v>1051</v>
      </c>
    </row>
    <row r="2274" customFormat="false" ht="12.8" hidden="false" customHeight="false" outlineLevel="0" collapsed="false">
      <c r="B2274" s="0" t="s">
        <v>1</v>
      </c>
      <c r="C2274" s="0" t="s">
        <v>1052</v>
      </c>
      <c r="E2274" s="0" t="s">
        <v>1053</v>
      </c>
      <c r="F2274" s="0" t="s">
        <v>1054</v>
      </c>
    </row>
    <row r="2276" customFormat="false" ht="12.8" hidden="false" customHeight="false" outlineLevel="0" collapsed="false">
      <c r="A2276" s="0" t="s">
        <v>1324</v>
      </c>
      <c r="B2276" s="0" t="str">
        <f aca="false">HYPERLINK("https://lindat.mff.cuni.cz/services/teitok/pdtc10/index.php?action=vallex&amp;frame=v-w146f8_ZU", "běžet (v-w146f8_ZU)")</f>
        <v>běžet (v-w146f8_ZU)</v>
      </c>
      <c r="E2276" s="0" t="str">
        <f aca="false">HYPERLINK("https://lindat.mff.cuni.cz/services/SynSemClass40/SynSemClass40.html?veclass=vec00261#vec00261-ces-cm00033", "vec00261")</f>
        <v>vec00261</v>
      </c>
      <c r="F2276" s="0" t="s">
        <v>1318</v>
      </c>
    </row>
    <row r="2277" customFormat="false" ht="12.8" hidden="false" customHeight="false" outlineLevel="0" collapsed="false">
      <c r="B2277" s="0" t="s">
        <v>1</v>
      </c>
      <c r="C2277" s="0" t="s">
        <v>1319</v>
      </c>
      <c r="E2277" s="0" t="s">
        <v>375</v>
      </c>
      <c r="F2277" s="0" t="s">
        <v>1320</v>
      </c>
    </row>
    <row r="2279" customFormat="false" ht="12.8" hidden="false" customHeight="false" outlineLevel="0" collapsed="false">
      <c r="A2279" s="0" t="s">
        <v>1325</v>
      </c>
      <c r="B2279" s="0" t="str">
        <f aca="false">HYPERLINK("https://lindat.mff.cuni.cz/services/teitok/pdtc10/index.php?action=vallex&amp;frame=v-w146f5", "běžet (v-w146f5)")</f>
        <v>běžet (v-w146f5)</v>
      </c>
    </row>
    <row r="2280" customFormat="false" ht="12.8" hidden="false" customHeight="false" outlineLevel="0" collapsed="false">
      <c r="B2280" s="0" t="s">
        <v>1</v>
      </c>
    </row>
    <row r="2281" customFormat="false" ht="12.8" hidden="false" customHeight="false" outlineLevel="0" collapsed="false">
      <c r="B2281" s="0" t="s">
        <v>1326</v>
      </c>
    </row>
    <row r="2283" customFormat="false" ht="12.8" hidden="false" customHeight="false" outlineLevel="0" collapsed="false">
      <c r="A2283" s="0" t="s">
        <v>1327</v>
      </c>
      <c r="B2283" s="0" t="str">
        <f aca="false">HYPERLINK("https://lindat.mff.cuni.cz/services/teitok/pdtc10/index.php?action=vallex&amp;frame=v-w146hsa_413", "běžet (v-w146hsa_413)")</f>
        <v>běžet (v-w146hsa_413)</v>
      </c>
    </row>
    <row r="2284" customFormat="false" ht="12.8" hidden="false" customHeight="false" outlineLevel="0" collapsed="false">
      <c r="B2284" s="0" t="s">
        <v>1</v>
      </c>
    </row>
    <row r="2286" customFormat="false" ht="12.8" hidden="false" customHeight="false" outlineLevel="0" collapsed="false">
      <c r="A2286" s="0" t="s">
        <v>1328</v>
      </c>
      <c r="B2286" s="0" t="str">
        <f aca="false">HYPERLINK("https://lindat.mff.cuni.cz/services/teitok/pdtc10/index.php?action=vallex&amp;frame=v-w11959_ZUf1_ZU", "běžkařit (v-w11959_ZUf1_ZU)")</f>
        <v>běžkařit (v-w11959_ZUf1_ZU)</v>
      </c>
    </row>
    <row r="2287" customFormat="false" ht="12.8" hidden="false" customHeight="false" outlineLevel="0" collapsed="false">
      <c r="B2287" s="0" t="s">
        <v>1</v>
      </c>
    </row>
    <row r="2289" customFormat="false" ht="12.8" hidden="false" customHeight="false" outlineLevel="0" collapsed="false">
      <c r="A2289" s="0" t="s">
        <v>1329</v>
      </c>
      <c r="B2289" s="0" t="str">
        <f aca="false">HYPERLINK("https://lindat.mff.cuni.cz/services/teitok/pdtc10/index.php?action=vallex&amp;frame=v-whsa_372hsa_373", "běžkovat (v-whsa_372hsa_373)")</f>
        <v>běžkovat (v-whsa_372hsa_373)</v>
      </c>
    </row>
    <row r="2290" customFormat="false" ht="12.8" hidden="false" customHeight="false" outlineLevel="0" collapsed="false">
      <c r="B2290" s="0" t="s">
        <v>1</v>
      </c>
    </row>
    <row r="2292" customFormat="false" ht="12.8" hidden="false" customHeight="false" outlineLevel="0" collapsed="false">
      <c r="A2292" s="0" t="s">
        <v>1330</v>
      </c>
      <c r="B2292" s="0" t="str">
        <f aca="false">HYPERLINK("https://lindat.mff.cuni.cz/services/teitok/pdtc10/index.php?action=vallex&amp;frame=v-w11973_ZUf1_ZU", "cachtat se (v-w11973_ZUf1_ZU)")</f>
        <v>cachtat se (v-w11973_ZUf1_ZU)</v>
      </c>
    </row>
    <row r="2293" customFormat="false" ht="12.8" hidden="false" customHeight="false" outlineLevel="0" collapsed="false">
      <c r="B2293" s="0" t="s">
        <v>1</v>
      </c>
    </row>
    <row r="2295" customFormat="false" ht="12.8" hidden="false" customHeight="false" outlineLevel="0" collapsed="false">
      <c r="A2295" s="0" t="s">
        <v>1331</v>
      </c>
      <c r="B2295" s="0" t="str">
        <f aca="false">HYPERLINK("https://lindat.mff.cuni.cz/services/teitok/pdtc10/index.php?action=vallex&amp;frame=v-w247f1", "cedit (v-w247f1)")</f>
        <v>cedit (v-w247f1)</v>
      </c>
    </row>
    <row r="2296" customFormat="false" ht="12.8" hidden="false" customHeight="false" outlineLevel="0" collapsed="false">
      <c r="B2296" s="0" t="s">
        <v>1</v>
      </c>
    </row>
    <row r="2297" customFormat="false" ht="12.8" hidden="false" customHeight="false" outlineLevel="0" collapsed="false">
      <c r="B2297" s="0" t="s">
        <v>1332</v>
      </c>
    </row>
    <row r="2298" customFormat="false" ht="12.8" hidden="false" customHeight="false" outlineLevel="0" collapsed="false">
      <c r="B2298" s="0" t="s">
        <v>1333</v>
      </c>
    </row>
    <row r="2300" customFormat="false" ht="12.8" hidden="false" customHeight="false" outlineLevel="0" collapsed="false">
      <c r="A2300" s="0" t="s">
        <v>1334</v>
      </c>
      <c r="B2300" s="0" t="str">
        <f aca="false">HYPERLINK("https://lindat.mff.cuni.cz/services/teitok/pdtc10/index.php?action=vallex&amp;frame=v-w247f2_ZU", "cedit (v-w247f2_ZU)")</f>
        <v>cedit (v-w247f2_ZU)</v>
      </c>
    </row>
    <row r="2301" customFormat="false" ht="12.8" hidden="false" customHeight="false" outlineLevel="0" collapsed="false">
      <c r="B2301" s="0" t="s">
        <v>1</v>
      </c>
    </row>
    <row r="2302" customFormat="false" ht="12.8" hidden="false" customHeight="false" outlineLevel="0" collapsed="false">
      <c r="B2302" s="0" t="s">
        <v>8</v>
      </c>
    </row>
    <row r="2304" customFormat="false" ht="12.8" hidden="false" customHeight="false" outlineLevel="0" collapsed="false">
      <c r="A2304" s="0" t="s">
        <v>1335</v>
      </c>
      <c r="B2304" s="0" t="str">
        <f aca="false">HYPERLINK("https://lindat.mff.cuni.cz/services/teitok/pdtc10/index.php?action=vallex&amp;frame=v-w248f2", "cejchovat (v-w248f2)")</f>
        <v>cejchovat (v-w248f2)</v>
      </c>
    </row>
    <row r="2305" customFormat="false" ht="12.8" hidden="false" customHeight="false" outlineLevel="0" collapsed="false">
      <c r="B2305" s="0" t="s">
        <v>1</v>
      </c>
    </row>
    <row r="2306" customFormat="false" ht="12.8" hidden="false" customHeight="false" outlineLevel="0" collapsed="false">
      <c r="B2306" s="0" t="s">
        <v>8</v>
      </c>
    </row>
    <row r="2307" customFormat="false" ht="12.8" hidden="false" customHeight="false" outlineLevel="0" collapsed="false">
      <c r="B2307" s="0" t="s">
        <v>1336</v>
      </c>
    </row>
    <row r="2309" customFormat="false" ht="12.8" hidden="false" customHeight="false" outlineLevel="0" collapsed="false">
      <c r="A2309" s="0" t="s">
        <v>1337</v>
      </c>
      <c r="B2309" s="0" t="str">
        <f aca="false">HYPERLINK("https://lindat.mff.cuni.cz/services/teitok/pdtc10/index.php?action=vallex&amp;frame=v-w248f1", "cejchovat (v-w248f1)")</f>
        <v>cejchovat (v-w248f1)</v>
      </c>
    </row>
    <row r="2310" customFormat="false" ht="12.8" hidden="false" customHeight="false" outlineLevel="0" collapsed="false">
      <c r="B2310" s="0" t="s">
        <v>1</v>
      </c>
    </row>
    <row r="2311" customFormat="false" ht="12.8" hidden="false" customHeight="false" outlineLevel="0" collapsed="false">
      <c r="B2311" s="0" t="s">
        <v>8</v>
      </c>
    </row>
    <row r="2313" customFormat="false" ht="12.8" hidden="false" customHeight="false" outlineLevel="0" collapsed="false">
      <c r="A2313" s="0" t="s">
        <v>1338</v>
      </c>
      <c r="B2313" s="0" t="str">
        <f aca="false">HYPERLINK("https://lindat.mff.cuni.cz/services/teitok/pdtc10/index.php?action=vallex&amp;frame=v-w249f1", "ceknout (v-w249f1)")</f>
        <v>ceknout (v-w249f1)</v>
      </c>
    </row>
    <row r="2314" customFormat="false" ht="12.8" hidden="false" customHeight="false" outlineLevel="0" collapsed="false">
      <c r="B2314" s="0" t="s">
        <v>1</v>
      </c>
    </row>
    <row r="2315" customFormat="false" ht="12.8" hidden="false" customHeight="false" outlineLevel="0" collapsed="false">
      <c r="B2315" s="0" t="s">
        <v>1339</v>
      </c>
    </row>
    <row r="2316" customFormat="false" ht="12.8" hidden="false" customHeight="false" outlineLevel="0" collapsed="false">
      <c r="B2316" s="0" t="s">
        <v>132</v>
      </c>
    </row>
    <row r="2318" customFormat="false" ht="12.8" hidden="false" customHeight="false" outlineLevel="0" collapsed="false">
      <c r="A2318" s="0" t="s">
        <v>1340</v>
      </c>
      <c r="B2318" s="0" t="str">
        <f aca="false">HYPERLINK("https://lindat.mff.cuni.cz/services/teitok/pdtc10/index.php?action=vallex&amp;frame=v-w10992f2", "celebrovat (v-w10992f2)")</f>
        <v>celebrovat (v-w10992f2)</v>
      </c>
    </row>
    <row r="2319" customFormat="false" ht="12.8" hidden="false" customHeight="false" outlineLevel="0" collapsed="false">
      <c r="B2319" s="0" t="s">
        <v>1</v>
      </c>
    </row>
    <row r="2320" customFormat="false" ht="12.8" hidden="false" customHeight="false" outlineLevel="0" collapsed="false">
      <c r="B2320" s="0" t="s">
        <v>8</v>
      </c>
    </row>
    <row r="2322" customFormat="false" ht="12.8" hidden="false" customHeight="false" outlineLevel="0" collapsed="false">
      <c r="A2322" s="0" t="s">
        <v>1341</v>
      </c>
      <c r="B2322" s="0" t="str">
        <f aca="false">HYPERLINK("https://lindat.mff.cuni.cz/services/teitok/pdtc10/index.php?action=vallex&amp;frame=v-w250f1", "cementovat (v-w250f1)")</f>
        <v>cementovat (v-w250f1)</v>
      </c>
    </row>
    <row r="2323" customFormat="false" ht="12.8" hidden="false" customHeight="false" outlineLevel="0" collapsed="false">
      <c r="B2323" s="0" t="s">
        <v>1</v>
      </c>
    </row>
    <row r="2324" customFormat="false" ht="12.8" hidden="false" customHeight="false" outlineLevel="0" collapsed="false">
      <c r="B2324" s="0" t="s">
        <v>8</v>
      </c>
    </row>
    <row r="2326" customFormat="false" ht="12.8" hidden="false" customHeight="false" outlineLevel="0" collapsed="false">
      <c r="A2326" s="0" t="s">
        <v>1342</v>
      </c>
      <c r="B2326" s="0" t="str">
        <f aca="false">HYPERLINK("https://lindat.mff.cuni.cz/services/teitok/pdtc10/index.php?action=vallex&amp;frame=v-w252f2", "cenit (v-w252f2)")</f>
        <v>cenit (v-w252f2)</v>
      </c>
      <c r="E2326" s="0" t="str">
        <f aca="false">HYPERLINK("https://lindat.mff.cuni.cz/services/SynSemClass40/SynSemClass40.html?veclass=vec00322#vec00322-ces-cm00111", "vec00322")</f>
        <v>vec00322</v>
      </c>
      <c r="F2326" s="0" t="s">
        <v>1343</v>
      </c>
    </row>
    <row r="2327" customFormat="false" ht="12.8" hidden="false" customHeight="false" outlineLevel="0" collapsed="false">
      <c r="B2327" s="0" t="s">
        <v>1</v>
      </c>
      <c r="C2327" s="0" t="s">
        <v>1344</v>
      </c>
      <c r="E2327" s="0" t="s">
        <v>206</v>
      </c>
      <c r="F2327" s="0" t="s">
        <v>1345</v>
      </c>
    </row>
    <row r="2328" customFormat="false" ht="12.8" hidden="false" customHeight="false" outlineLevel="0" collapsed="false">
      <c r="B2328" s="0" t="s">
        <v>59</v>
      </c>
      <c r="C2328" s="0" t="s">
        <v>1346</v>
      </c>
      <c r="E2328" s="0" t="s">
        <v>1347</v>
      </c>
      <c r="F2328" s="0" t="s">
        <v>1348</v>
      </c>
    </row>
    <row r="2329" customFormat="false" ht="12.8" hidden="false" customHeight="false" outlineLevel="0" collapsed="false">
      <c r="B2329" s="0" t="s">
        <v>101</v>
      </c>
      <c r="C2329" s="0" t="s">
        <v>1349</v>
      </c>
      <c r="E2329" s="0" t="s">
        <v>1350</v>
      </c>
      <c r="F2329" s="0" t="s">
        <v>1351</v>
      </c>
    </row>
    <row r="2331" customFormat="false" ht="12.8" hidden="false" customHeight="false" outlineLevel="0" collapsed="false">
      <c r="A2331" s="0" t="s">
        <v>1352</v>
      </c>
      <c r="B2331" s="0" t="str">
        <f aca="false">HYPERLINK("https://lindat.mff.cuni.cz/services/teitok/pdtc10/index.php?action=vallex&amp;frame=v-w252f1", "cenit (v-w252f1)")</f>
        <v>cenit (v-w252f1)</v>
      </c>
    </row>
    <row r="2332" customFormat="false" ht="12.8" hidden="false" customHeight="false" outlineLevel="0" collapsed="false">
      <c r="B2332" s="0" t="s">
        <v>1</v>
      </c>
    </row>
    <row r="2333" customFormat="false" ht="12.8" hidden="false" customHeight="false" outlineLevel="0" collapsed="false">
      <c r="B2333" s="0" t="s">
        <v>8</v>
      </c>
    </row>
    <row r="2335" customFormat="false" ht="12.8" hidden="false" customHeight="false" outlineLevel="0" collapsed="false">
      <c r="A2335" s="0" t="s">
        <v>1353</v>
      </c>
      <c r="B2335" s="0" t="str">
        <f aca="false">HYPERLINK("https://lindat.mff.cuni.cz/services/teitok/pdtc10/index.php?action=vallex&amp;frame=v-w253f1", "cenit si (v-w253f1)")</f>
        <v>cenit si (v-w253f1)</v>
      </c>
    </row>
    <row r="2336" customFormat="false" ht="12.8" hidden="false" customHeight="false" outlineLevel="0" collapsed="false">
      <c r="B2336" s="0" t="s">
        <v>1</v>
      </c>
    </row>
    <row r="2337" customFormat="false" ht="12.8" hidden="false" customHeight="false" outlineLevel="0" collapsed="false">
      <c r="B2337" s="0" t="s">
        <v>1354</v>
      </c>
    </row>
    <row r="2339" customFormat="false" ht="12.8" hidden="false" customHeight="false" outlineLevel="0" collapsed="false">
      <c r="A2339" s="0" t="s">
        <v>1355</v>
      </c>
      <c r="B2339" s="0" t="str">
        <f aca="false">HYPERLINK("https://lindat.mff.cuni.cz/services/teitok/pdtc10/index.php?action=vallex&amp;frame=v-w253hsa_1304", "cenit si (v-w253hsa_1304)")</f>
        <v>cenit si (v-w253hsa_1304)</v>
      </c>
      <c r="E2339" s="0" t="str">
        <f aca="false">HYPERLINK("https://lindat.mff.cuni.cz/services/SynSemClass40/SynSemClass40.html?veclass=vec00322#vec00322-ces-cm00112", "vec00322")</f>
        <v>vec00322</v>
      </c>
      <c r="F2339" s="0" t="s">
        <v>1343</v>
      </c>
    </row>
    <row r="2340" customFormat="false" ht="12.8" hidden="false" customHeight="false" outlineLevel="0" collapsed="false">
      <c r="B2340" s="0" t="s">
        <v>1</v>
      </c>
      <c r="C2340" s="0" t="s">
        <v>1344</v>
      </c>
      <c r="E2340" s="0" t="s">
        <v>206</v>
      </c>
      <c r="F2340" s="0" t="s">
        <v>1345</v>
      </c>
    </row>
    <row r="2341" customFormat="false" ht="12.8" hidden="false" customHeight="false" outlineLevel="0" collapsed="false">
      <c r="B2341" s="0" t="s">
        <v>1356</v>
      </c>
      <c r="C2341" s="0" t="s">
        <v>1346</v>
      </c>
      <c r="E2341" s="0" t="s">
        <v>1347</v>
      </c>
      <c r="F2341" s="0" t="s">
        <v>1348</v>
      </c>
    </row>
    <row r="2342" customFormat="false" ht="12.8" hidden="false" customHeight="false" outlineLevel="0" collapsed="false">
      <c r="B2342" s="0" t="s">
        <v>101</v>
      </c>
      <c r="C2342" s="0" t="s">
        <v>1349</v>
      </c>
      <c r="E2342" s="0" t="s">
        <v>1350</v>
      </c>
      <c r="F2342" s="0" t="s">
        <v>1351</v>
      </c>
    </row>
    <row r="2344" customFormat="false" ht="12.8" hidden="false" customHeight="false" outlineLevel="0" collapsed="false">
      <c r="A2344" s="0" t="s">
        <v>1357</v>
      </c>
      <c r="B2344" s="0" t="str">
        <f aca="false">HYPERLINK("https://lindat.mff.cuni.cz/services/teitok/pdtc10/index.php?action=vallex&amp;frame=v-w257f1", "centralizovat (v-w257f1)")</f>
        <v>centralizovat (v-w257f1)</v>
      </c>
      <c r="E2344" s="0" t="str">
        <f aca="false">HYPERLINK("https://lindat.mff.cuni.cz/services/SynSemClass40/SynSemClass40.html?veclass=vec00804#vec00804-ces-cm00001", "vec00804")</f>
        <v>vec00804</v>
      </c>
      <c r="F2344" s="0" t="s">
        <v>1358</v>
      </c>
    </row>
    <row r="2345" customFormat="false" ht="12.8" hidden="false" customHeight="false" outlineLevel="0" collapsed="false">
      <c r="B2345" s="0" t="s">
        <v>1</v>
      </c>
      <c r="E2345" s="0" t="s">
        <v>206</v>
      </c>
      <c r="F2345" s="0" t="s">
        <v>1359</v>
      </c>
    </row>
    <row r="2346" customFormat="false" ht="12.8" hidden="false" customHeight="false" outlineLevel="0" collapsed="false">
      <c r="B2346" s="0" t="s">
        <v>8</v>
      </c>
      <c r="C2346" s="0" t="s">
        <v>798</v>
      </c>
      <c r="E2346" s="0" t="s">
        <v>1360</v>
      </c>
      <c r="F2346" s="0" t="s">
        <v>1361</v>
      </c>
    </row>
    <row r="2348" customFormat="false" ht="12.8" hidden="false" customHeight="false" outlineLevel="0" collapsed="false">
      <c r="A2348" s="0" t="s">
        <v>1362</v>
      </c>
      <c r="B2348" s="0" t="str">
        <f aca="false">HYPERLINK("https://lindat.mff.cuni.cz/services/teitok/pdtc10/index.php?action=vallex&amp;frame=v-w258f1", "centrovat (v-w258f1)")</f>
        <v>centrovat (v-w258f1)</v>
      </c>
    </row>
    <row r="2349" customFormat="false" ht="12.8" hidden="false" customHeight="false" outlineLevel="0" collapsed="false">
      <c r="B2349" s="0" t="s">
        <v>1</v>
      </c>
    </row>
    <row r="2351" customFormat="false" ht="12.8" hidden="false" customHeight="false" outlineLevel="0" collapsed="false">
      <c r="A2351" s="0" t="s">
        <v>1363</v>
      </c>
      <c r="B2351" s="0" t="str">
        <f aca="false">HYPERLINK("https://lindat.mff.cuni.cz/services/teitok/pdtc10/index.php?action=vallex&amp;frame=v-w11192f2", "cenzurovat (v-w11192f2)")</f>
        <v>cenzurovat (v-w11192f2)</v>
      </c>
      <c r="E2351" s="0" t="str">
        <f aca="false">HYPERLINK("https://lindat.mff.cuni.cz/services/SynSemClass40/SynSemClass40.html?veclass=vec01008#vec01008-ces-cm00001", "vec01008")</f>
        <v>vec01008</v>
      </c>
      <c r="F2351" s="0" t="s">
        <v>1364</v>
      </c>
    </row>
    <row r="2352" customFormat="false" ht="12.8" hidden="false" customHeight="false" outlineLevel="0" collapsed="false">
      <c r="B2352" s="0" t="s">
        <v>1</v>
      </c>
      <c r="C2352" s="0" t="s">
        <v>459</v>
      </c>
      <c r="E2352" s="0" t="s">
        <v>206</v>
      </c>
      <c r="F2352" s="0" t="s">
        <v>1365</v>
      </c>
    </row>
    <row r="2353" customFormat="false" ht="12.8" hidden="false" customHeight="false" outlineLevel="0" collapsed="false">
      <c r="B2353" s="0" t="s">
        <v>8</v>
      </c>
      <c r="C2353" s="0" t="s">
        <v>462</v>
      </c>
      <c r="E2353" s="0" t="s">
        <v>218</v>
      </c>
      <c r="F2353" s="0" t="s">
        <v>1366</v>
      </c>
    </row>
    <row r="2355" customFormat="false" ht="12.8" hidden="false" customHeight="false" outlineLevel="0" collapsed="false">
      <c r="A2355" s="0" t="s">
        <v>1367</v>
      </c>
      <c r="B2355" s="0" t="str">
        <f aca="false">HYPERLINK("https://lindat.mff.cuni.cz/services/teitok/pdtc10/index.php?action=vallex&amp;frame=v-w263f1", "cestovat (v-w263f1)")</f>
        <v>cestovat (v-w263f1)</v>
      </c>
      <c r="E2355" s="0" t="str">
        <f aca="false">HYPERLINK("https://lindat.mff.cuni.cz/services/SynSemClass40/SynSemClass40.html?veclass=vec00403#vec00403-ces-cm00001", "vec00403")</f>
        <v>vec00403</v>
      </c>
      <c r="F2355" s="0" t="s">
        <v>1368</v>
      </c>
    </row>
    <row r="2356" customFormat="false" ht="12.8" hidden="false" customHeight="false" outlineLevel="0" collapsed="false">
      <c r="B2356" s="0" t="s">
        <v>1</v>
      </c>
      <c r="C2356" s="0" t="s">
        <v>1369</v>
      </c>
      <c r="E2356" s="0" t="s">
        <v>11</v>
      </c>
      <c r="F2356" s="0" t="s">
        <v>1370</v>
      </c>
    </row>
    <row r="2358" customFormat="false" ht="12.8" hidden="false" customHeight="false" outlineLevel="0" collapsed="false">
      <c r="A2358" s="0" t="s">
        <v>1371</v>
      </c>
      <c r="B2358" s="0" t="str">
        <f aca="false">HYPERLINK("https://lindat.mff.cuni.cz/services/teitok/pdtc10/index.php?action=vallex&amp;frame=v-w1167f1", "charakterizovat (v-w1167f1)")</f>
        <v>charakterizovat (v-w1167f1)</v>
      </c>
      <c r="E2358" s="0" t="str">
        <f aca="false">HYPERLINK("https://lindat.mff.cuni.cz/services/SynSemClass40/SynSemClass40.html?veclass=vec00417#vec00417-ces-cm00001", "vec00417")</f>
        <v>vec00417</v>
      </c>
      <c r="F2358" s="0" t="s">
        <v>1372</v>
      </c>
    </row>
    <row r="2359" customFormat="false" ht="12.8" hidden="false" customHeight="false" outlineLevel="0" collapsed="false">
      <c r="B2359" s="0" t="s">
        <v>1</v>
      </c>
      <c r="C2359" s="0" t="s">
        <v>1373</v>
      </c>
      <c r="E2359" s="0" t="s">
        <v>63</v>
      </c>
      <c r="F2359" s="0" t="s">
        <v>1374</v>
      </c>
    </row>
    <row r="2360" customFormat="false" ht="12.8" hidden="false" customHeight="false" outlineLevel="0" collapsed="false">
      <c r="B2360" s="0" t="s">
        <v>8</v>
      </c>
      <c r="C2360" s="0" t="s">
        <v>1375</v>
      </c>
      <c r="E2360" s="0" t="s">
        <v>1376</v>
      </c>
      <c r="F2360" s="0" t="s">
        <v>1377</v>
      </c>
    </row>
    <row r="2362" customFormat="false" ht="12.8" hidden="false" customHeight="false" outlineLevel="0" collapsed="false">
      <c r="A2362" s="0" t="s">
        <v>1378</v>
      </c>
      <c r="B2362" s="0" t="str">
        <f aca="false">HYPERLINK("https://lindat.mff.cuni.cz/services/teitok/pdtc10/index.php?action=vallex&amp;frame=v-whsa_1601f1_ZU", "chatovat (v-whsa_1601f1_ZU)")</f>
        <v>chatovat (v-whsa_1601f1_ZU)</v>
      </c>
    </row>
    <row r="2363" customFormat="false" ht="12.8" hidden="false" customHeight="false" outlineLevel="0" collapsed="false">
      <c r="B2363" s="0" t="s">
        <v>1</v>
      </c>
    </row>
    <row r="2364" customFormat="false" ht="12.8" hidden="false" customHeight="false" outlineLevel="0" collapsed="false">
      <c r="B2364" s="0" t="s">
        <v>276</v>
      </c>
    </row>
    <row r="2365" customFormat="false" ht="12.8" hidden="false" customHeight="false" outlineLevel="0" collapsed="false">
      <c r="B2365" s="0" t="s">
        <v>496</v>
      </c>
    </row>
    <row r="2367" customFormat="false" ht="12.8" hidden="false" customHeight="false" outlineLevel="0" collapsed="false">
      <c r="A2367" s="0" t="s">
        <v>1378</v>
      </c>
      <c r="B2367" s="0" t="str">
        <f aca="false">HYPERLINK("https://lindat.mff.cuni.cz/services/teitok/pdtc10/index.php?action=vallex&amp;frame=v-whsa_1601hsa_1602", "chatovat (v-whsa_1601hsa_1602) - substituted with v-whsa_1601f1_ZU")</f>
        <v>chatovat (v-whsa_1601hsa_1602) - substituted with v-whsa_1601f1_ZU</v>
      </c>
    </row>
    <row r="2368" customFormat="false" ht="12.8" hidden="false" customHeight="false" outlineLevel="0" collapsed="false">
      <c r="B2368" s="0" t="s">
        <v>1</v>
      </c>
    </row>
    <row r="2369" customFormat="false" ht="12.8" hidden="false" customHeight="false" outlineLevel="0" collapsed="false">
      <c r="B2369" s="0" t="s">
        <v>276</v>
      </c>
    </row>
    <row r="2370" customFormat="false" ht="12.8" hidden="false" customHeight="false" outlineLevel="0" collapsed="false">
      <c r="B2370" s="0" t="s">
        <v>496</v>
      </c>
    </row>
    <row r="2372" customFormat="false" ht="12.8" hidden="false" customHeight="false" outlineLevel="0" collapsed="false">
      <c r="A2372" s="0" t="s">
        <v>1379</v>
      </c>
      <c r="B2372" s="0" t="str">
        <f aca="false">HYPERLINK("https://lindat.mff.cuni.cz/services/teitok/pdtc10/index.php?action=vallex&amp;frame=v-whsb_913hsa_914", "chcát (v-whsb_913hsa_914)")</f>
        <v>chcát (v-whsb_913hsa_914)</v>
      </c>
    </row>
    <row r="2373" customFormat="false" ht="12.8" hidden="false" customHeight="false" outlineLevel="0" collapsed="false">
      <c r="B2373" s="0" t="s">
        <v>1</v>
      </c>
    </row>
    <row r="2375" customFormat="false" ht="12.8" hidden="false" customHeight="false" outlineLevel="0" collapsed="false">
      <c r="A2375" s="0" t="s">
        <v>1380</v>
      </c>
      <c r="B2375" s="0" t="str">
        <f aca="false">HYPERLINK("https://lindat.mff.cuni.cz/services/teitok/pdtc10/index.php?action=vallex&amp;frame=v-w1172f1", "chladit (v-w1172f1)")</f>
        <v>chladit (v-w1172f1)</v>
      </c>
    </row>
    <row r="2376" customFormat="false" ht="12.8" hidden="false" customHeight="false" outlineLevel="0" collapsed="false">
      <c r="B2376" s="0" t="s">
        <v>1</v>
      </c>
    </row>
    <row r="2377" customFormat="false" ht="12.8" hidden="false" customHeight="false" outlineLevel="0" collapsed="false">
      <c r="B2377" s="0" t="s">
        <v>8</v>
      </c>
    </row>
    <row r="2379" customFormat="false" ht="12.8" hidden="false" customHeight="false" outlineLevel="0" collapsed="false">
      <c r="A2379" s="0" t="s">
        <v>1381</v>
      </c>
      <c r="B2379" s="0" t="str">
        <f aca="false">HYPERLINK("https://lindat.mff.cuni.cz/services/teitok/pdtc10/index.php?action=vallex&amp;frame=v-w1173f1", "chladnout (v-w1173f1)")</f>
        <v>chladnout (v-w1173f1)</v>
      </c>
    </row>
    <row r="2380" customFormat="false" ht="12.8" hidden="false" customHeight="false" outlineLevel="0" collapsed="false">
      <c r="B2380" s="0" t="s">
        <v>1</v>
      </c>
    </row>
    <row r="2382" customFormat="false" ht="12.8" hidden="false" customHeight="false" outlineLevel="0" collapsed="false">
      <c r="A2382" s="0" t="s">
        <v>1382</v>
      </c>
      <c r="B2382" s="0" t="str">
        <f aca="false">HYPERLINK("https://lindat.mff.cuni.cz/services/teitok/pdtc10/index.php?action=vallex&amp;frame=v-w1173f2", "chladnout (v-w1173f2)")</f>
        <v>chladnout (v-w1173f2)</v>
      </c>
    </row>
    <row r="2383" customFormat="false" ht="12.8" hidden="false" customHeight="false" outlineLevel="0" collapsed="false">
      <c r="B2383" s="0" t="s">
        <v>1</v>
      </c>
    </row>
    <row r="2385" customFormat="false" ht="12.8" hidden="false" customHeight="false" outlineLevel="0" collapsed="false">
      <c r="A2385" s="0" t="s">
        <v>1383</v>
      </c>
      <c r="B2385" s="0" t="str">
        <f aca="false">HYPERLINK("https://lindat.mff.cuni.cz/services/teitok/pdtc10/index.php?action=vallex&amp;frame=v-w12095_ZUf1_ZU", "chlastat (v-w12095_ZUf1_ZU)")</f>
        <v>chlastat (v-w12095_ZUf1_ZU)</v>
      </c>
    </row>
    <row r="2386" customFormat="false" ht="12.8" hidden="false" customHeight="false" outlineLevel="0" collapsed="false">
      <c r="B2386" s="0" t="s">
        <v>1</v>
      </c>
    </row>
    <row r="2387" customFormat="false" ht="12.8" hidden="false" customHeight="false" outlineLevel="0" collapsed="false">
      <c r="B2387" s="0" t="s">
        <v>8</v>
      </c>
    </row>
    <row r="2389" customFormat="false" ht="12.8" hidden="false" customHeight="false" outlineLevel="0" collapsed="false">
      <c r="A2389" s="0" t="s">
        <v>1384</v>
      </c>
      <c r="B2389" s="0" t="str">
        <f aca="false">HYPERLINK("https://lindat.mff.cuni.cz/services/teitok/pdtc10/index.php?action=vallex&amp;frame=v-w1177f1", "chlubit se (v-w1177f1)")</f>
        <v>chlubit se (v-w1177f1)</v>
      </c>
      <c r="E2389" s="0" t="str">
        <f aca="false">HYPERLINK("https://lindat.mff.cuni.cz/services/SynSemClass40/SynSemClass40.html?veclass=vec00418#vec00418-ces-cm00001", "vec00418")</f>
        <v>vec00418</v>
      </c>
      <c r="F2389" s="0" t="s">
        <v>1385</v>
      </c>
    </row>
    <row r="2390" customFormat="false" ht="12.8" hidden="false" customHeight="false" outlineLevel="0" collapsed="false">
      <c r="B2390" s="0" t="s">
        <v>1</v>
      </c>
      <c r="C2390" s="0" t="s">
        <v>255</v>
      </c>
      <c r="E2390" s="0" t="s">
        <v>1386</v>
      </c>
      <c r="F2390" s="0" t="s">
        <v>1387</v>
      </c>
    </row>
    <row r="2391" customFormat="false" ht="12.8" hidden="false" customHeight="false" outlineLevel="0" collapsed="false">
      <c r="B2391" s="0" t="s">
        <v>380</v>
      </c>
      <c r="C2391" s="0" t="s">
        <v>1388</v>
      </c>
      <c r="E2391" s="0" t="s">
        <v>1389</v>
      </c>
      <c r="F2391" s="0" t="s">
        <v>1390</v>
      </c>
    </row>
    <row r="2392" customFormat="false" ht="12.8" hidden="false" customHeight="false" outlineLevel="0" collapsed="false">
      <c r="B2392" s="0" t="s">
        <v>381</v>
      </c>
      <c r="C2392" s="0" t="s">
        <v>1391</v>
      </c>
      <c r="E2392" s="0" t="s">
        <v>1392</v>
      </c>
      <c r="F2392" s="0" t="s">
        <v>1393</v>
      </c>
    </row>
    <row r="2394" customFormat="false" ht="12.8" hidden="false" customHeight="false" outlineLevel="0" collapsed="false">
      <c r="A2394" s="0" t="s">
        <v>1394</v>
      </c>
      <c r="B2394" s="0" t="str">
        <f aca="false">HYPERLINK("https://lindat.mff.cuni.cz/services/teitok/pdtc10/index.php?action=vallex&amp;frame=v-w1174f1", "chlácholit (v-w1174f1)")</f>
        <v>chlácholit (v-w1174f1)</v>
      </c>
      <c r="E2394" s="0" t="str">
        <f aca="false">HYPERLINK("https://lindat.mff.cuni.cz/services/SynSemClass40/SynSemClass40.html?veclass=vec00536#vec00536-ces-cm00016", "vec00536")</f>
        <v>vec00536</v>
      </c>
      <c r="F2394" s="0" t="s">
        <v>1395</v>
      </c>
    </row>
    <row r="2395" customFormat="false" ht="12.8" hidden="false" customHeight="false" outlineLevel="0" collapsed="false">
      <c r="B2395" s="0" t="s">
        <v>1</v>
      </c>
      <c r="C2395" s="0" t="s">
        <v>1396</v>
      </c>
      <c r="E2395" s="0" t="s">
        <v>1103</v>
      </c>
      <c r="F2395" s="0" t="s">
        <v>1397</v>
      </c>
    </row>
    <row r="2396" customFormat="false" ht="12.8" hidden="false" customHeight="false" outlineLevel="0" collapsed="false">
      <c r="B2396" s="0" t="s">
        <v>8</v>
      </c>
      <c r="C2396" s="0" t="s">
        <v>1398</v>
      </c>
      <c r="E2396" s="0" t="s">
        <v>1399</v>
      </c>
      <c r="F2396" s="0" t="s">
        <v>1400</v>
      </c>
    </row>
    <row r="2398" customFormat="false" ht="12.8" hidden="false" customHeight="false" outlineLevel="0" collapsed="false">
      <c r="A2398" s="0" t="s">
        <v>1401</v>
      </c>
      <c r="B2398" s="0" t="str">
        <f aca="false">HYPERLINK("https://lindat.mff.cuni.cz/services/teitok/pdtc10/index.php?action=vallex&amp;frame=v-w1179f6", "chodit (v-w1179f6)")</f>
        <v>chodit (v-w1179f6)</v>
      </c>
      <c r="E2398" s="0" t="str">
        <f aca="false">HYPERLINK("https://lindat.mff.cuni.cz/services/SynSemClass40/SynSemClass40.html?veclass=vec01025#vec01025-ces-cm00003", "vec01025")</f>
        <v>vec01025</v>
      </c>
      <c r="F2398" s="0" t="s">
        <v>332</v>
      </c>
    </row>
    <row r="2399" customFormat="false" ht="12.8" hidden="false" customHeight="false" outlineLevel="0" collapsed="false">
      <c r="B2399" s="0" t="s">
        <v>1</v>
      </c>
      <c r="C2399" s="0" t="s">
        <v>333</v>
      </c>
      <c r="E2399" s="0" t="s">
        <v>334</v>
      </c>
      <c r="F2399" s="0" t="s">
        <v>335</v>
      </c>
    </row>
    <row r="2400" customFormat="false" ht="12.8" hidden="false" customHeight="false" outlineLevel="0" collapsed="false">
      <c r="B2400" s="0" t="s">
        <v>8</v>
      </c>
      <c r="C2400" s="0" t="s">
        <v>800</v>
      </c>
      <c r="E2400" s="0" t="s">
        <v>1402</v>
      </c>
      <c r="F2400" s="0" t="s">
        <v>1403</v>
      </c>
    </row>
    <row r="2402" customFormat="false" ht="12.8" hidden="false" customHeight="false" outlineLevel="0" collapsed="false">
      <c r="A2402" s="0" t="s">
        <v>1404</v>
      </c>
      <c r="B2402" s="0" t="str">
        <f aca="false">HYPERLINK("https://lindat.mff.cuni.cz/services/teitok/pdtc10/index.php?action=vallex&amp;frame=v-w1179f13_ZU", "chodit (v-w1179f13_ZU)")</f>
        <v>chodit (v-w1179f13_ZU)</v>
      </c>
    </row>
    <row r="2403" customFormat="false" ht="12.8" hidden="false" customHeight="false" outlineLevel="0" collapsed="false">
      <c r="B2403" s="0" t="s">
        <v>1</v>
      </c>
    </row>
    <row r="2404" customFormat="false" ht="12.8" hidden="false" customHeight="false" outlineLevel="0" collapsed="false">
      <c r="B2404" s="0" t="s">
        <v>1405</v>
      </c>
    </row>
    <row r="2406" customFormat="false" ht="12.8" hidden="false" customHeight="false" outlineLevel="0" collapsed="false">
      <c r="A2406" s="0" t="s">
        <v>1404</v>
      </c>
      <c r="B2406" s="0" t="str">
        <f aca="false">HYPERLINK("https://lindat.mff.cuni.cz/services/teitok/pdtc10/index.php?action=vallex&amp;frame=v-w1179f8", "chodit (v-w1179f8) - substituted with v-w1179f13_ZU")</f>
        <v>chodit (v-w1179f8) - substituted with v-w1179f13_ZU</v>
      </c>
    </row>
    <row r="2407" customFormat="false" ht="12.8" hidden="false" customHeight="false" outlineLevel="0" collapsed="false">
      <c r="B2407" s="0" t="s">
        <v>1</v>
      </c>
    </row>
    <row r="2408" customFormat="false" ht="12.8" hidden="false" customHeight="false" outlineLevel="0" collapsed="false">
      <c r="B2408" s="0" t="s">
        <v>1405</v>
      </c>
    </row>
    <row r="2410" customFormat="false" ht="12.8" hidden="false" customHeight="false" outlineLevel="0" collapsed="false">
      <c r="A2410" s="0" t="s">
        <v>1406</v>
      </c>
      <c r="B2410" s="0" t="str">
        <f aca="false">HYPERLINK("https://lindat.mff.cuni.cz/services/teitok/pdtc10/index.php?action=vallex&amp;frame=v-w1179f4", "chodit (v-w1179f4)")</f>
        <v>chodit (v-w1179f4)</v>
      </c>
    </row>
    <row r="2411" customFormat="false" ht="12.8" hidden="false" customHeight="false" outlineLevel="0" collapsed="false">
      <c r="B2411" s="0" t="s">
        <v>1</v>
      </c>
    </row>
    <row r="2412" customFormat="false" ht="12.8" hidden="false" customHeight="false" outlineLevel="0" collapsed="false">
      <c r="B2412" s="0" t="s">
        <v>721</v>
      </c>
    </row>
    <row r="2414" customFormat="false" ht="12.8" hidden="false" customHeight="false" outlineLevel="0" collapsed="false">
      <c r="A2414" s="0" t="s">
        <v>1407</v>
      </c>
      <c r="B2414" s="0" t="str">
        <f aca="false">HYPERLINK("https://lindat.mff.cuni.cz/services/teitok/pdtc10/index.php?action=vallex&amp;frame=v-w1179f7", "chodit (v-w1179f7)")</f>
        <v>chodit (v-w1179f7)</v>
      </c>
    </row>
    <row r="2415" customFormat="false" ht="12.8" hidden="false" customHeight="false" outlineLevel="0" collapsed="false">
      <c r="B2415" s="0" t="s">
        <v>1</v>
      </c>
    </row>
    <row r="2416" customFormat="false" ht="12.8" hidden="false" customHeight="false" outlineLevel="0" collapsed="false">
      <c r="B2416" s="0" t="s">
        <v>1408</v>
      </c>
    </row>
    <row r="2418" customFormat="false" ht="12.8" hidden="false" customHeight="false" outlineLevel="0" collapsed="false">
      <c r="A2418" s="0" t="s">
        <v>1409</v>
      </c>
      <c r="B2418" s="0" t="str">
        <f aca="false">HYPERLINK("https://lindat.mff.cuni.cz/services/teitok/pdtc10/index.php?action=vallex&amp;frame=v-w1179f21_ZU", "chodit (v-w1179f21_ZU)")</f>
        <v>chodit (v-w1179f21_ZU)</v>
      </c>
    </row>
    <row r="2419" customFormat="false" ht="12.8" hidden="false" customHeight="false" outlineLevel="0" collapsed="false">
      <c r="B2419" s="0" t="s">
        <v>1</v>
      </c>
    </row>
    <row r="2420" customFormat="false" ht="12.8" hidden="false" customHeight="false" outlineLevel="0" collapsed="false">
      <c r="B2420" s="0" t="s">
        <v>336</v>
      </c>
    </row>
    <row r="2422" customFormat="false" ht="12.8" hidden="false" customHeight="false" outlineLevel="0" collapsed="false">
      <c r="A2422" s="0" t="s">
        <v>1409</v>
      </c>
      <c r="B2422" s="0" t="str">
        <f aca="false">HYPERLINK("https://lindat.mff.cuni.cz/services/teitok/pdtc10/index.php?action=vallex&amp;frame=v-w1179f19_ZU", "chodit (v-w1179f19_ZU) - substituted with v-w1179f21_ZU")</f>
        <v>chodit (v-w1179f19_ZU) - substituted with v-w1179f21_ZU</v>
      </c>
    </row>
    <row r="2423" customFormat="false" ht="12.8" hidden="false" customHeight="false" outlineLevel="0" collapsed="false">
      <c r="B2423" s="0" t="s">
        <v>1</v>
      </c>
    </row>
    <row r="2424" customFormat="false" ht="12.8" hidden="false" customHeight="false" outlineLevel="0" collapsed="false">
      <c r="B2424" s="0" t="s">
        <v>336</v>
      </c>
    </row>
    <row r="2426" customFormat="false" ht="12.8" hidden="false" customHeight="false" outlineLevel="0" collapsed="false">
      <c r="A2426" s="0" t="s">
        <v>1409</v>
      </c>
      <c r="B2426" s="0" t="str">
        <f aca="false">HYPERLINK("https://lindat.mff.cuni.cz/services/teitok/pdtc10/index.php?action=vallex&amp;frame=v-w1179f5", "chodit (v-w1179f5) - substituted with v-w1179f21_ZU")</f>
        <v>chodit (v-w1179f5) - substituted with v-w1179f21_ZU</v>
      </c>
    </row>
    <row r="2427" customFormat="false" ht="12.8" hidden="false" customHeight="false" outlineLevel="0" collapsed="false">
      <c r="B2427" s="0" t="s">
        <v>1</v>
      </c>
    </row>
    <row r="2428" customFormat="false" ht="12.8" hidden="false" customHeight="false" outlineLevel="0" collapsed="false">
      <c r="B2428" s="0" t="s">
        <v>336</v>
      </c>
    </row>
    <row r="2430" customFormat="false" ht="12.8" hidden="false" customHeight="false" outlineLevel="0" collapsed="false">
      <c r="A2430" s="0" t="s">
        <v>1410</v>
      </c>
      <c r="B2430" s="0" t="str">
        <f aca="false">HYPERLINK("https://lindat.mff.cuni.cz/services/teitok/pdtc10/index.php?action=vallex&amp;frame=v-w1179f27_ZU", "chodit (v-w1179f27_ZU)")</f>
        <v>chodit (v-w1179f27_ZU)</v>
      </c>
    </row>
    <row r="2431" customFormat="false" ht="12.8" hidden="false" customHeight="false" outlineLevel="0" collapsed="false">
      <c r="B2431" s="0" t="s">
        <v>1</v>
      </c>
    </row>
    <row r="2432" customFormat="false" ht="12.8" hidden="false" customHeight="false" outlineLevel="0" collapsed="false">
      <c r="B2432" s="0" t="s">
        <v>164</v>
      </c>
    </row>
    <row r="2434" customFormat="false" ht="12.8" hidden="false" customHeight="false" outlineLevel="0" collapsed="false">
      <c r="A2434" s="0" t="s">
        <v>1410</v>
      </c>
      <c r="B2434" s="0" t="str">
        <f aca="false">HYPERLINK("https://lindat.mff.cuni.cz/services/teitok/pdtc10/index.php?action=vallex&amp;frame=v-w1179f1", "chodit (v-w1179f1) - substituted with v-w1179f27_ZU")</f>
        <v>chodit (v-w1179f1) - substituted with v-w1179f27_ZU</v>
      </c>
      <c r="E2434" s="0" t="str">
        <f aca="false">HYPERLINK("https://lindat.mff.cuni.cz/services/SynSemClass40/SynSemClass40.html?veclass=vec00042#vec00042-ces-cm00002", "vec00042")</f>
        <v>vec00042</v>
      </c>
      <c r="F2434" s="0" t="s">
        <v>1411</v>
      </c>
      <c r="H2434" s="0" t="str">
        <f aca="false">HYPERLINK("https://lindat.mff.cuni.cz/services/SynSemClass40/SynSemClass40.html?veclass=vec00227#vec00227-ces-cm00008", "vec00227")</f>
        <v>vec00227</v>
      </c>
      <c r="I2434" s="0" t="s">
        <v>1313</v>
      </c>
    </row>
    <row r="2435" customFormat="false" ht="12.8" hidden="false" customHeight="false" outlineLevel="0" collapsed="false">
      <c r="B2435" s="0" t="s">
        <v>1</v>
      </c>
      <c r="C2435" s="0" t="s">
        <v>1412</v>
      </c>
      <c r="E2435" s="0" t="s">
        <v>1413</v>
      </c>
      <c r="F2435" s="0" t="s">
        <v>1414</v>
      </c>
      <c r="H2435" s="0" t="s">
        <v>334</v>
      </c>
      <c r="I2435" s="0" t="s">
        <v>1314</v>
      </c>
    </row>
    <row r="2436" customFormat="false" ht="12.8" hidden="false" customHeight="false" outlineLevel="0" collapsed="false">
      <c r="B2436" s="0" t="s">
        <v>164</v>
      </c>
      <c r="C2436" s="0" t="s">
        <v>1415</v>
      </c>
      <c r="E2436" s="0" t="s">
        <v>1416</v>
      </c>
      <c r="F2436" s="0" t="s">
        <v>1417</v>
      </c>
      <c r="H2436" s="0" t="s">
        <v>1315</v>
      </c>
      <c r="I2436" s="0" t="s">
        <v>1316</v>
      </c>
    </row>
    <row r="2438" customFormat="false" ht="12.8" hidden="false" customHeight="false" outlineLevel="0" collapsed="false">
      <c r="A2438" s="0" t="s">
        <v>1410</v>
      </c>
      <c r="B2438" s="0" t="str">
        <f aca="false">HYPERLINK("https://lindat.mff.cuni.cz/services/teitok/pdtc10/index.php?action=vallex&amp;frame=v-w1179f12_ZU", "chodit (v-w1179f12_ZU) - substituted with v-w1179f27_ZU")</f>
        <v>chodit (v-w1179f12_ZU) - substituted with v-w1179f27_ZU</v>
      </c>
    </row>
    <row r="2439" customFormat="false" ht="12.8" hidden="false" customHeight="false" outlineLevel="0" collapsed="false">
      <c r="B2439" s="0" t="s">
        <v>1</v>
      </c>
    </row>
    <row r="2440" customFormat="false" ht="12.8" hidden="false" customHeight="false" outlineLevel="0" collapsed="false">
      <c r="B2440" s="0" t="s">
        <v>164</v>
      </c>
    </row>
    <row r="2442" customFormat="false" ht="12.8" hidden="false" customHeight="false" outlineLevel="0" collapsed="false">
      <c r="A2442" s="0" t="s">
        <v>1410</v>
      </c>
      <c r="B2442" s="0" t="str">
        <f aca="false">HYPERLINK("https://lindat.mff.cuni.cz/services/teitok/pdtc10/index.php?action=vallex&amp;frame=v-w1179f23_ZU", "chodit (v-w1179f23_ZU) - substituted with v-w1179f27_ZU")</f>
        <v>chodit (v-w1179f23_ZU) - substituted with v-w1179f27_ZU</v>
      </c>
    </row>
    <row r="2443" customFormat="false" ht="12.8" hidden="false" customHeight="false" outlineLevel="0" collapsed="false">
      <c r="B2443" s="0" t="s">
        <v>1</v>
      </c>
    </row>
    <row r="2444" customFormat="false" ht="12.8" hidden="false" customHeight="false" outlineLevel="0" collapsed="false">
      <c r="B2444" s="0" t="s">
        <v>164</v>
      </c>
    </row>
    <row r="2446" customFormat="false" ht="12.8" hidden="false" customHeight="false" outlineLevel="0" collapsed="false">
      <c r="A2446" s="0" t="s">
        <v>1418</v>
      </c>
      <c r="B2446" s="0" t="str">
        <f aca="false">HYPERLINK("https://lindat.mff.cuni.cz/services/teitok/pdtc10/index.php?action=vallex&amp;frame=v-w1179f16_ZU", "chodit (v-w1179f16_ZU)")</f>
        <v>chodit (v-w1179f16_ZU)</v>
      </c>
    </row>
    <row r="2447" customFormat="false" ht="12.8" hidden="false" customHeight="false" outlineLevel="0" collapsed="false">
      <c r="B2447" s="0" t="s">
        <v>1</v>
      </c>
    </row>
    <row r="2449" customFormat="false" ht="12.8" hidden="false" customHeight="false" outlineLevel="0" collapsed="false">
      <c r="A2449" s="0" t="s">
        <v>1418</v>
      </c>
      <c r="B2449" s="0" t="str">
        <f aca="false">HYPERLINK("https://lindat.mff.cuni.cz/services/teitok/pdtc10/index.php?action=vallex&amp;frame=v-w1179f15_ZU", "chodit (v-w1179f15_ZU) - substituted with v-w1179f16_ZU")</f>
        <v>chodit (v-w1179f15_ZU) - substituted with v-w1179f16_ZU</v>
      </c>
    </row>
    <row r="2450" customFormat="false" ht="12.8" hidden="false" customHeight="false" outlineLevel="0" collapsed="false">
      <c r="B2450" s="0" t="s">
        <v>1</v>
      </c>
    </row>
    <row r="2452" customFormat="false" ht="12.8" hidden="false" customHeight="false" outlineLevel="0" collapsed="false">
      <c r="A2452" s="0" t="s">
        <v>1418</v>
      </c>
      <c r="B2452" s="0" t="str">
        <f aca="false">HYPERLINK("https://lindat.mff.cuni.cz/services/teitok/pdtc10/index.php?action=vallex&amp;frame=v-w1179f2", "chodit (v-w1179f2) - substituted with v-w1179f16_ZU")</f>
        <v>chodit (v-w1179f2) - substituted with v-w1179f16_ZU</v>
      </c>
    </row>
    <row r="2453" customFormat="false" ht="12.8" hidden="false" customHeight="false" outlineLevel="0" collapsed="false">
      <c r="B2453" s="0" t="s">
        <v>1</v>
      </c>
    </row>
    <row r="2455" customFormat="false" ht="12.8" hidden="false" customHeight="false" outlineLevel="0" collapsed="false">
      <c r="A2455" s="0" t="s">
        <v>1419</v>
      </c>
      <c r="B2455" s="0" t="str">
        <f aca="false">HYPERLINK("https://lindat.mff.cuni.cz/services/teitok/pdtc10/index.php?action=vallex&amp;frame=v-w1179f18_ZU", "chodit (v-w1179f18_ZU)")</f>
        <v>chodit (v-w1179f18_ZU)</v>
      </c>
    </row>
    <row r="2456" customFormat="false" ht="12.8" hidden="false" customHeight="false" outlineLevel="0" collapsed="false">
      <c r="B2456" s="0" t="s">
        <v>1</v>
      </c>
    </row>
    <row r="2458" customFormat="false" ht="12.8" hidden="false" customHeight="false" outlineLevel="0" collapsed="false">
      <c r="A2458" s="0" t="s">
        <v>1419</v>
      </c>
      <c r="B2458" s="0" t="str">
        <f aca="false">HYPERLINK("https://lindat.mff.cuni.cz/services/teitok/pdtc10/index.php?action=vallex&amp;frame=v-w1179f3", "chodit (v-w1179f3) - substituted with v-w1179f18_ZU")</f>
        <v>chodit (v-w1179f3) - substituted with v-w1179f18_ZU</v>
      </c>
    </row>
    <row r="2459" customFormat="false" ht="12.8" hidden="false" customHeight="false" outlineLevel="0" collapsed="false">
      <c r="B2459" s="0" t="s">
        <v>1</v>
      </c>
    </row>
    <row r="2461" customFormat="false" ht="12.8" hidden="false" customHeight="false" outlineLevel="0" collapsed="false">
      <c r="A2461" s="0" t="s">
        <v>1420</v>
      </c>
      <c r="B2461" s="0" t="str">
        <f aca="false">HYPERLINK("https://lindat.mff.cuni.cz/services/teitok/pdtc10/index.php?action=vallex&amp;frame=v-w1179f9_ZU", "chodit (v-w1179f9_ZU)")</f>
        <v>chodit (v-w1179f9_ZU)</v>
      </c>
    </row>
    <row r="2462" customFormat="false" ht="12.8" hidden="false" customHeight="false" outlineLevel="0" collapsed="false">
      <c r="B2462" s="0" t="s">
        <v>1</v>
      </c>
    </row>
    <row r="2463" customFormat="false" ht="12.8" hidden="false" customHeight="false" outlineLevel="0" collapsed="false">
      <c r="B2463" s="0" t="s">
        <v>1421</v>
      </c>
    </row>
    <row r="2465" customFormat="false" ht="12.8" hidden="false" customHeight="false" outlineLevel="0" collapsed="false">
      <c r="A2465" s="0" t="s">
        <v>1420</v>
      </c>
      <c r="B2465" s="0" t="str">
        <f aca="false">HYPERLINK("https://lindat.mff.cuni.cz/services/teitok/pdtc10/index.php?action=vallex&amp;frame=v-w1179hsa_1320", "chodit (v-w1179hsa_1320) - substituted with v-w1179f9_ZU")</f>
        <v>chodit (v-w1179hsa_1320) - substituted with v-w1179f9_ZU</v>
      </c>
    </row>
    <row r="2466" customFormat="false" ht="12.8" hidden="false" customHeight="false" outlineLevel="0" collapsed="false">
      <c r="B2466" s="0" t="s">
        <v>1</v>
      </c>
    </row>
    <row r="2467" customFormat="false" ht="12.8" hidden="false" customHeight="false" outlineLevel="0" collapsed="false">
      <c r="B2467" s="0" t="s">
        <v>1421</v>
      </c>
    </row>
    <row r="2469" customFormat="false" ht="12.8" hidden="false" customHeight="false" outlineLevel="0" collapsed="false">
      <c r="A2469" s="0" t="s">
        <v>1422</v>
      </c>
      <c r="B2469" s="0" t="str">
        <f aca="false">HYPERLINK("https://lindat.mff.cuni.cz/services/teitok/pdtc10/index.php?action=vallex&amp;frame=v-w1179f10_ZU", "chodit (v-w1179f10_ZU)")</f>
        <v>chodit (v-w1179f10_ZU)</v>
      </c>
    </row>
    <row r="2470" customFormat="false" ht="12.8" hidden="false" customHeight="false" outlineLevel="0" collapsed="false">
      <c r="B2470" s="0" t="s">
        <v>1</v>
      </c>
    </row>
    <row r="2471" customFormat="false" ht="12.8" hidden="false" customHeight="false" outlineLevel="0" collapsed="false">
      <c r="B2471" s="0" t="s">
        <v>1423</v>
      </c>
    </row>
    <row r="2472" customFormat="false" ht="12.8" hidden="false" customHeight="false" outlineLevel="0" collapsed="false">
      <c r="B2472" s="0" t="s">
        <v>336</v>
      </c>
    </row>
    <row r="2474" customFormat="false" ht="12.8" hidden="false" customHeight="false" outlineLevel="0" collapsed="false">
      <c r="A2474" s="0" t="s">
        <v>1422</v>
      </c>
      <c r="B2474" s="0" t="str">
        <f aca="false">HYPERLINK("https://lindat.mff.cuni.cz/services/teitok/pdtc10/index.php?action=vallex&amp;frame=v-w1179hsa_1321", "chodit (v-w1179hsa_1321) - substituted with v-w1179f10_ZU")</f>
        <v>chodit (v-w1179hsa_1321) - substituted with v-w1179f10_ZU</v>
      </c>
    </row>
    <row r="2475" customFormat="false" ht="12.8" hidden="false" customHeight="false" outlineLevel="0" collapsed="false">
      <c r="B2475" s="0" t="s">
        <v>1</v>
      </c>
    </row>
    <row r="2476" customFormat="false" ht="12.8" hidden="false" customHeight="false" outlineLevel="0" collapsed="false">
      <c r="B2476" s="0" t="s">
        <v>1423</v>
      </c>
    </row>
    <row r="2477" customFormat="false" ht="12.8" hidden="false" customHeight="false" outlineLevel="0" collapsed="false">
      <c r="B2477" s="0" t="s">
        <v>336</v>
      </c>
    </row>
    <row r="2479" customFormat="false" ht="12.8" hidden="false" customHeight="false" outlineLevel="0" collapsed="false">
      <c r="A2479" s="0" t="s">
        <v>1424</v>
      </c>
      <c r="B2479" s="0" t="str">
        <f aca="false">HYPERLINK("https://lindat.mff.cuni.cz/services/teitok/pdtc10/index.php?action=vallex&amp;frame=v-w1179f11_ZU", "chodit (v-w1179f11_ZU)")</f>
        <v>chodit (v-w1179f11_ZU)</v>
      </c>
    </row>
    <row r="2480" customFormat="false" ht="12.8" hidden="false" customHeight="false" outlineLevel="0" collapsed="false">
      <c r="B2480" s="0" t="s">
        <v>804</v>
      </c>
    </row>
    <row r="2481" customFormat="false" ht="12.8" hidden="false" customHeight="false" outlineLevel="0" collapsed="false">
      <c r="B2481" s="0" t="s">
        <v>439</v>
      </c>
    </row>
    <row r="2483" customFormat="false" ht="12.8" hidden="false" customHeight="false" outlineLevel="0" collapsed="false">
      <c r="A2483" s="0" t="s">
        <v>1425</v>
      </c>
      <c r="B2483" s="0" t="str">
        <f aca="false">HYPERLINK("https://lindat.mff.cuni.cz/services/teitok/pdtc10/index.php?action=vallex&amp;frame=v-w1179f17_ZU", "chodit (v-w1179f17_ZU)")</f>
        <v>chodit (v-w1179f17_ZU)</v>
      </c>
    </row>
    <row r="2484" customFormat="false" ht="12.8" hidden="false" customHeight="false" outlineLevel="0" collapsed="false">
      <c r="B2484" s="0" t="s">
        <v>1</v>
      </c>
    </row>
    <row r="2485" customFormat="false" ht="12.8" hidden="false" customHeight="false" outlineLevel="0" collapsed="false">
      <c r="B2485" s="0" t="s">
        <v>186</v>
      </c>
    </row>
    <row r="2487" customFormat="false" ht="12.8" hidden="false" customHeight="false" outlineLevel="0" collapsed="false">
      <c r="A2487" s="0" t="s">
        <v>1425</v>
      </c>
      <c r="B2487" s="0" t="str">
        <f aca="false">HYPERLINK("https://lindat.mff.cuni.cz/services/teitok/pdtc10/index.php?action=vallex&amp;frame=v-w1179hsa_1117", "chodit (v-w1179hsa_1117) - substituted with v-w1179f17_ZU")</f>
        <v>chodit (v-w1179hsa_1117) - substituted with v-w1179f17_ZU</v>
      </c>
    </row>
    <row r="2488" customFormat="false" ht="12.8" hidden="false" customHeight="false" outlineLevel="0" collapsed="false">
      <c r="B2488" s="0" t="s">
        <v>1</v>
      </c>
    </row>
    <row r="2489" customFormat="false" ht="12.8" hidden="false" customHeight="false" outlineLevel="0" collapsed="false">
      <c r="B2489" s="0" t="s">
        <v>186</v>
      </c>
    </row>
    <row r="2491" customFormat="false" ht="12.8" hidden="false" customHeight="false" outlineLevel="0" collapsed="false">
      <c r="A2491" s="0" t="s">
        <v>1426</v>
      </c>
      <c r="B2491" s="0" t="str">
        <f aca="false">HYPERLINK("https://lindat.mff.cuni.cz/services/teitok/pdtc10/index.php?action=vallex&amp;frame=v-w1179f20_ZU", "chodit (v-w1179f20_ZU)")</f>
        <v>chodit (v-w1179f20_ZU)</v>
      </c>
    </row>
    <row r="2492" customFormat="false" ht="12.8" hidden="false" customHeight="false" outlineLevel="0" collapsed="false">
      <c r="B2492" s="0" t="s">
        <v>804</v>
      </c>
    </row>
    <row r="2493" customFormat="false" ht="12.8" hidden="false" customHeight="false" outlineLevel="0" collapsed="false">
      <c r="B2493" s="0" t="s">
        <v>1427</v>
      </c>
    </row>
    <row r="2495" customFormat="false" ht="12.8" hidden="false" customHeight="false" outlineLevel="0" collapsed="false">
      <c r="A2495" s="0" t="s">
        <v>1428</v>
      </c>
      <c r="B2495" s="0" t="str">
        <f aca="false">HYPERLINK("https://lindat.mff.cuni.cz/services/teitok/pdtc10/index.php?action=vallex&amp;frame=v-w1179f25_ZU", "chodit (v-w1179f25_ZU)")</f>
        <v>chodit (v-w1179f25_ZU)</v>
      </c>
    </row>
    <row r="2496" customFormat="false" ht="12.8" hidden="false" customHeight="false" outlineLevel="0" collapsed="false">
      <c r="B2496" s="0" t="s">
        <v>1</v>
      </c>
    </row>
    <row r="2497" customFormat="false" ht="12.8" hidden="false" customHeight="false" outlineLevel="0" collapsed="false">
      <c r="B2497" s="0" t="s">
        <v>361</v>
      </c>
    </row>
    <row r="2499" customFormat="false" ht="12.8" hidden="false" customHeight="false" outlineLevel="0" collapsed="false">
      <c r="A2499" s="0" t="s">
        <v>1428</v>
      </c>
      <c r="B2499" s="0" t="str">
        <f aca="false">HYPERLINK("https://lindat.mff.cuni.cz/services/teitok/pdtc10/index.php?action=vallex&amp;frame=v-w1179f14_ZU", "chodit (v-w1179f14_ZU) - substituted with v-w1179f25_ZU")</f>
        <v>chodit (v-w1179f14_ZU) - substituted with v-w1179f25_ZU</v>
      </c>
    </row>
    <row r="2500" customFormat="false" ht="12.8" hidden="false" customHeight="false" outlineLevel="0" collapsed="false">
      <c r="B2500" s="0" t="s">
        <v>1</v>
      </c>
    </row>
    <row r="2501" customFormat="false" ht="12.8" hidden="false" customHeight="false" outlineLevel="0" collapsed="false">
      <c r="B2501" s="0" t="s">
        <v>361</v>
      </c>
    </row>
    <row r="2503" customFormat="false" ht="12.8" hidden="false" customHeight="false" outlineLevel="0" collapsed="false">
      <c r="A2503" s="0" t="s">
        <v>1428</v>
      </c>
      <c r="B2503" s="0" t="str">
        <f aca="false">HYPERLINK("https://lindat.mff.cuni.cz/services/teitok/pdtc10/index.php?action=vallex&amp;frame=v-w1179f24_ZU", "chodit (v-w1179f24_ZU) - substituted with v-w1179f25_ZU")</f>
        <v>chodit (v-w1179f24_ZU) - substituted with v-w1179f25_ZU</v>
      </c>
    </row>
    <row r="2504" customFormat="false" ht="12.8" hidden="false" customHeight="false" outlineLevel="0" collapsed="false">
      <c r="B2504" s="0" t="s">
        <v>1</v>
      </c>
    </row>
    <row r="2505" customFormat="false" ht="12.8" hidden="false" customHeight="false" outlineLevel="0" collapsed="false">
      <c r="B2505" s="0" t="s">
        <v>361</v>
      </c>
    </row>
    <row r="2507" customFormat="false" ht="12.8" hidden="false" customHeight="false" outlineLevel="0" collapsed="false">
      <c r="A2507" s="0" t="s">
        <v>1429</v>
      </c>
      <c r="B2507" s="0" t="str">
        <f aca="false">HYPERLINK("https://lindat.mff.cuni.cz/services/teitok/pdtc10/index.php?action=vallex&amp;frame=v-w1179f26_ZU", "chodit (v-w1179f26_ZU)")</f>
        <v>chodit (v-w1179f26_ZU)</v>
      </c>
    </row>
    <row r="2508" customFormat="false" ht="12.8" hidden="false" customHeight="false" outlineLevel="0" collapsed="false">
      <c r="B2508" s="0" t="s">
        <v>1</v>
      </c>
    </row>
    <row r="2509" customFormat="false" ht="12.8" hidden="false" customHeight="false" outlineLevel="0" collapsed="false">
      <c r="B2509" s="0" t="s">
        <v>1430</v>
      </c>
    </row>
    <row r="2510" customFormat="false" ht="12.8" hidden="false" customHeight="false" outlineLevel="0" collapsed="false">
      <c r="B2510" s="0" t="s">
        <v>855</v>
      </c>
    </row>
    <row r="2512" customFormat="false" ht="12.8" hidden="false" customHeight="false" outlineLevel="0" collapsed="false">
      <c r="A2512" s="0" t="s">
        <v>1431</v>
      </c>
      <c r="B2512" s="0" t="str">
        <f aca="false">HYPERLINK("https://lindat.mff.cuni.cz/services/teitok/pdtc10/index.php?action=vallex&amp;frame=v-w1179f29_ZU", "chodit (v-w1179f29_ZU)")</f>
        <v>chodit (v-w1179f29_ZU)</v>
      </c>
    </row>
    <row r="2513" customFormat="false" ht="12.8" hidden="false" customHeight="false" outlineLevel="0" collapsed="false">
      <c r="B2513" s="0" t="s">
        <v>1</v>
      </c>
    </row>
    <row r="2514" customFormat="false" ht="12.8" hidden="false" customHeight="false" outlineLevel="0" collapsed="false">
      <c r="B2514" s="0" t="s">
        <v>1262</v>
      </c>
    </row>
    <row r="2516" customFormat="false" ht="12.8" hidden="false" customHeight="false" outlineLevel="0" collapsed="false">
      <c r="A2516" s="0" t="s">
        <v>1431</v>
      </c>
      <c r="B2516" s="0" t="str">
        <f aca="false">HYPERLINK("https://lindat.mff.cuni.cz/services/teitok/pdtc10/index.php?action=vallex&amp;frame=v-w1179f22_ZU", "chodit (v-w1179f22_ZU) - substituted with v-w1179f29_ZU")</f>
        <v>chodit (v-w1179f22_ZU) - substituted with v-w1179f29_ZU</v>
      </c>
    </row>
    <row r="2517" customFormat="false" ht="12.8" hidden="false" customHeight="false" outlineLevel="0" collapsed="false">
      <c r="B2517" s="0" t="s">
        <v>1</v>
      </c>
    </row>
    <row r="2518" customFormat="false" ht="12.8" hidden="false" customHeight="false" outlineLevel="0" collapsed="false">
      <c r="B2518" s="0" t="s">
        <v>1262</v>
      </c>
    </row>
    <row r="2520" customFormat="false" ht="12.8" hidden="false" customHeight="false" outlineLevel="0" collapsed="false">
      <c r="A2520" s="0" t="s">
        <v>1431</v>
      </c>
      <c r="B2520" s="0" t="str">
        <f aca="false">HYPERLINK("https://lindat.mff.cuni.cz/services/teitok/pdtc10/index.php?action=vallex&amp;frame=v-w1179f28_ZU", "chodit (v-w1179f28_ZU) - substituted with v-w1179f29_ZU")</f>
        <v>chodit (v-w1179f28_ZU) - substituted with v-w1179f29_ZU</v>
      </c>
    </row>
    <row r="2521" customFormat="false" ht="12.8" hidden="false" customHeight="false" outlineLevel="0" collapsed="false">
      <c r="B2521" s="0" t="s">
        <v>1</v>
      </c>
    </row>
    <row r="2522" customFormat="false" ht="12.8" hidden="false" customHeight="false" outlineLevel="0" collapsed="false">
      <c r="B2522" s="0" t="s">
        <v>1262</v>
      </c>
    </row>
    <row r="2524" customFormat="false" ht="12.8" hidden="false" customHeight="false" outlineLevel="0" collapsed="false">
      <c r="A2524" s="0" t="s">
        <v>1432</v>
      </c>
      <c r="B2524" s="0" t="str">
        <f aca="false">HYPERLINK("https://lindat.mff.cuni.cz/services/teitok/pdtc10/index.php?action=vallex&amp;frame=v-whsa_430hsa_431", "chodívat (v-whsa_430hsa_431)")</f>
        <v>chodívat (v-whsa_430hsa_431)</v>
      </c>
    </row>
    <row r="2525" customFormat="false" ht="12.8" hidden="false" customHeight="false" outlineLevel="0" collapsed="false">
      <c r="B2525" s="0" t="s">
        <v>1</v>
      </c>
    </row>
    <row r="2527" customFormat="false" ht="12.8" hidden="false" customHeight="false" outlineLevel="0" collapsed="false">
      <c r="A2527" s="0" t="s">
        <v>1433</v>
      </c>
      <c r="B2527" s="0" t="str">
        <f aca="false">HYPERLINK("https://lindat.mff.cuni.cz/services/teitok/pdtc10/index.php?action=vallex&amp;frame=v-whsa_430hsa_432", "chodívat (v-whsa_430hsa_432)")</f>
        <v>chodívat (v-whsa_430hsa_432)</v>
      </c>
    </row>
    <row r="2528" customFormat="false" ht="12.8" hidden="false" customHeight="false" outlineLevel="0" collapsed="false">
      <c r="B2528" s="0" t="s">
        <v>1</v>
      </c>
    </row>
    <row r="2529" customFormat="false" ht="12.8" hidden="false" customHeight="false" outlineLevel="0" collapsed="false">
      <c r="B2529" s="0" t="s">
        <v>164</v>
      </c>
    </row>
    <row r="2531" customFormat="false" ht="12.8" hidden="false" customHeight="false" outlineLevel="0" collapsed="false">
      <c r="A2531" s="0" t="s">
        <v>1434</v>
      </c>
      <c r="B2531" s="0" t="str">
        <f aca="false">HYPERLINK("https://lindat.mff.cuni.cz/services/teitok/pdtc10/index.php?action=vallex&amp;frame=v-whsa_319hsa_320", "chodívávat (v-whsa_319hsa_320)")</f>
        <v>chodívávat (v-whsa_319hsa_320)</v>
      </c>
    </row>
    <row r="2532" customFormat="false" ht="12.8" hidden="false" customHeight="false" outlineLevel="0" collapsed="false">
      <c r="B2532" s="0" t="s">
        <v>1</v>
      </c>
    </row>
    <row r="2533" customFormat="false" ht="12.8" hidden="false" customHeight="false" outlineLevel="0" collapsed="false">
      <c r="B2533" s="0" t="s">
        <v>164</v>
      </c>
    </row>
    <row r="2535" customFormat="false" ht="12.8" hidden="false" customHeight="false" outlineLevel="0" collapsed="false">
      <c r="A2535" s="0" t="s">
        <v>1435</v>
      </c>
      <c r="B2535" s="0" t="str">
        <f aca="false">HYPERLINK("https://lindat.mff.cuni.cz/services/teitok/pdtc10/index.php?action=vallex&amp;frame=v-w1180f1", "chopit se (v-w1180f1)")</f>
        <v>chopit se (v-w1180f1)</v>
      </c>
      <c r="E2535" s="0" t="str">
        <f aca="false">HYPERLINK("https://lindat.mff.cuni.cz/services/SynSemClass40/SynSemClass40.html?veclass=vec00613#vec00613-ces-cm00001", "vec00613")</f>
        <v>vec00613</v>
      </c>
      <c r="F2535" s="0" t="s">
        <v>604</v>
      </c>
    </row>
    <row r="2536" customFormat="false" ht="12.8" hidden="false" customHeight="false" outlineLevel="0" collapsed="false">
      <c r="B2536" s="0" t="s">
        <v>1</v>
      </c>
      <c r="C2536" s="0" t="s">
        <v>1436</v>
      </c>
      <c r="E2536" s="0" t="s">
        <v>31</v>
      </c>
      <c r="F2536" s="0" t="s">
        <v>608</v>
      </c>
    </row>
    <row r="2537" customFormat="false" ht="12.8" hidden="false" customHeight="false" outlineLevel="0" collapsed="false">
      <c r="B2537" s="0" t="s">
        <v>1289</v>
      </c>
      <c r="C2537" s="0" t="s">
        <v>1437</v>
      </c>
      <c r="E2537" s="0" t="s">
        <v>384</v>
      </c>
      <c r="F2537" s="0" t="s">
        <v>612</v>
      </c>
    </row>
    <row r="2539" customFormat="false" ht="12.8" hidden="false" customHeight="false" outlineLevel="0" collapsed="false">
      <c r="A2539" s="0" t="s">
        <v>1438</v>
      </c>
      <c r="B2539" s="0" t="str">
        <f aca="false">HYPERLINK("https://lindat.mff.cuni.cz/services/teitok/pdtc10/index.php?action=vallex&amp;frame=v-whsa_1215hsa_1216", "choulit se (v-whsa_1215hsa_1216)")</f>
        <v>choulit se (v-whsa_1215hsa_1216)</v>
      </c>
    </row>
    <row r="2540" customFormat="false" ht="12.8" hidden="false" customHeight="false" outlineLevel="0" collapsed="false">
      <c r="B2540" s="0" t="s">
        <v>1</v>
      </c>
    </row>
    <row r="2541" customFormat="false" ht="12.8" hidden="false" customHeight="false" outlineLevel="0" collapsed="false">
      <c r="B2541" s="0" t="s">
        <v>311</v>
      </c>
    </row>
    <row r="2543" customFormat="false" ht="12.8" hidden="false" customHeight="false" outlineLevel="0" collapsed="false">
      <c r="A2543" s="0" t="s">
        <v>1439</v>
      </c>
      <c r="B2543" s="0" t="str">
        <f aca="false">HYPERLINK("https://lindat.mff.cuni.cz/services/teitok/pdtc10/index.php?action=vallex&amp;frame=v-w1184f1", "chovat (v-w1184f1)")</f>
        <v>chovat (v-w1184f1)</v>
      </c>
      <c r="E2543" s="0" t="str">
        <f aca="false">HYPERLINK("https://lindat.mff.cuni.cz/services/SynSemClass40/SynSemClass40.html?veclass=vec00468#vec00468-ces-cm00004", "vec00468")</f>
        <v>vec00468</v>
      </c>
      <c r="F2543" s="0" t="s">
        <v>1440</v>
      </c>
    </row>
    <row r="2544" customFormat="false" ht="12.8" hidden="false" customHeight="false" outlineLevel="0" collapsed="false">
      <c r="B2544" s="0" t="s">
        <v>1</v>
      </c>
      <c r="C2544" s="0" t="s">
        <v>333</v>
      </c>
      <c r="E2544" s="0" t="s">
        <v>1441</v>
      </c>
      <c r="F2544" s="0" t="s">
        <v>1442</v>
      </c>
    </row>
    <row r="2545" customFormat="false" ht="12.8" hidden="false" customHeight="false" outlineLevel="0" collapsed="false">
      <c r="B2545" s="0" t="s">
        <v>8</v>
      </c>
      <c r="C2545" s="0" t="s">
        <v>1443</v>
      </c>
      <c r="E2545" s="0" t="s">
        <v>1444</v>
      </c>
      <c r="F2545" s="0" t="s">
        <v>1445</v>
      </c>
    </row>
    <row r="2547" customFormat="false" ht="12.8" hidden="false" customHeight="false" outlineLevel="0" collapsed="false">
      <c r="A2547" s="0" t="s">
        <v>1446</v>
      </c>
      <c r="B2547" s="0" t="str">
        <f aca="false">HYPERLINK("https://lindat.mff.cuni.cz/services/teitok/pdtc10/index.php?action=vallex&amp;frame=v-w1184f4", "chovat (v-w1184f4)")</f>
        <v>chovat (v-w1184f4)</v>
      </c>
    </row>
    <row r="2548" customFormat="false" ht="12.8" hidden="false" customHeight="false" outlineLevel="0" collapsed="false">
      <c r="B2548" s="0" t="s">
        <v>1</v>
      </c>
    </row>
    <row r="2549" customFormat="false" ht="12.8" hidden="false" customHeight="false" outlineLevel="0" collapsed="false">
      <c r="B2549" s="0" t="s">
        <v>8</v>
      </c>
    </row>
    <row r="2551" customFormat="false" ht="12.8" hidden="false" customHeight="false" outlineLevel="0" collapsed="false">
      <c r="A2551" s="0" t="s">
        <v>1447</v>
      </c>
      <c r="B2551" s="0" t="str">
        <f aca="false">HYPERLINK("https://lindat.mff.cuni.cz/services/teitok/pdtc10/index.php?action=vallex&amp;frame=v-w1184f5", "chovat (v-w1184f5)")</f>
        <v>chovat (v-w1184f5)</v>
      </c>
    </row>
    <row r="2552" customFormat="false" ht="12.8" hidden="false" customHeight="false" outlineLevel="0" collapsed="false">
      <c r="B2552" s="0" t="s">
        <v>1</v>
      </c>
    </row>
    <row r="2554" customFormat="false" ht="12.8" hidden="false" customHeight="false" outlineLevel="0" collapsed="false">
      <c r="A2554" s="0" t="s">
        <v>1448</v>
      </c>
      <c r="B2554" s="0" t="str">
        <f aca="false">HYPERLINK("https://lindat.mff.cuni.cz/services/teitok/pdtc10/index.php?action=vallex&amp;frame=v-w1184hsa_1046", "chovat (v-w1184hsa_1046)")</f>
        <v>chovat (v-w1184hsa_1046)</v>
      </c>
    </row>
    <row r="2555" customFormat="false" ht="12.8" hidden="false" customHeight="false" outlineLevel="0" collapsed="false">
      <c r="B2555" s="0" t="s">
        <v>1</v>
      </c>
    </row>
    <row r="2556" customFormat="false" ht="12.8" hidden="false" customHeight="false" outlineLevel="0" collapsed="false">
      <c r="B2556" s="0" t="s">
        <v>1449</v>
      </c>
    </row>
    <row r="2558" customFormat="false" ht="12.8" hidden="false" customHeight="false" outlineLevel="0" collapsed="false">
      <c r="A2558" s="0" t="s">
        <v>1448</v>
      </c>
      <c r="B2558" s="0" t="str">
        <f aca="false">HYPERLINK("https://lindat.mff.cuni.cz/services/teitok/pdtc10/index.php?action=vallex&amp;frame=v-w1184f2", "chovat (v-w1184f2) - substituted with v-w1184hsa_1046")</f>
        <v>chovat (v-w1184f2) - substituted with v-w1184hsa_1046</v>
      </c>
    </row>
    <row r="2559" customFormat="false" ht="12.8" hidden="false" customHeight="false" outlineLevel="0" collapsed="false">
      <c r="B2559" s="0" t="s">
        <v>1</v>
      </c>
    </row>
    <row r="2560" customFormat="false" ht="12.8" hidden="false" customHeight="false" outlineLevel="0" collapsed="false">
      <c r="B2560" s="0" t="s">
        <v>1449</v>
      </c>
    </row>
    <row r="2562" customFormat="false" ht="12.8" hidden="false" customHeight="false" outlineLevel="0" collapsed="false">
      <c r="A2562" s="0" t="s">
        <v>1450</v>
      </c>
      <c r="B2562" s="0" t="str">
        <f aca="false">HYPERLINK("https://lindat.mff.cuni.cz/services/teitok/pdtc10/index.php?action=vallex&amp;frame=v-w1184f3", "chovat (v-w1184f3)")</f>
        <v>chovat (v-w1184f3)</v>
      </c>
    </row>
    <row r="2563" customFormat="false" ht="12.8" hidden="false" customHeight="false" outlineLevel="0" collapsed="false">
      <c r="B2563" s="0" t="s">
        <v>1</v>
      </c>
    </row>
    <row r="2564" customFormat="false" ht="12.8" hidden="false" customHeight="false" outlineLevel="0" collapsed="false">
      <c r="B2564" s="0" t="s">
        <v>1451</v>
      </c>
    </row>
    <row r="2565" customFormat="false" ht="12.8" hidden="false" customHeight="false" outlineLevel="0" collapsed="false">
      <c r="B2565" s="0" t="s">
        <v>8</v>
      </c>
    </row>
    <row r="2567" customFormat="false" ht="12.8" hidden="false" customHeight="false" outlineLevel="0" collapsed="false">
      <c r="A2567" s="0" t="s">
        <v>1452</v>
      </c>
      <c r="B2567" s="0" t="str">
        <f aca="false">HYPERLINK("https://lindat.mff.cuni.cz/services/teitok/pdtc10/index.php?action=vallex&amp;frame=v-w1186f1", "chovat se (v-w1186f1)")</f>
        <v>chovat se (v-w1186f1)</v>
      </c>
      <c r="E2567" s="0" t="str">
        <f aca="false">HYPERLINK("https://lindat.mff.cuni.cz/services/SynSemClass40/SynSemClass40.html?veclass=vec00225#vec00225-ces-cm00009", "vec00225")</f>
        <v>vec00225</v>
      </c>
      <c r="F2567" s="0" t="s">
        <v>1453</v>
      </c>
      <c r="H2567" s="0" t="str">
        <f aca="false">HYPERLINK("https://lindat.mff.cuni.cz/services/SynSemClass40/SynSemClass40.html?veclass=vec01299#vec01299-ces-cm00009", "vec01299")</f>
        <v>vec01299</v>
      </c>
      <c r="I2567" s="0" t="s">
        <v>1454</v>
      </c>
    </row>
    <row r="2568" customFormat="false" ht="12.8" hidden="false" customHeight="false" outlineLevel="0" collapsed="false">
      <c r="B2568" s="0" t="s">
        <v>1</v>
      </c>
      <c r="C2568" s="0" t="s">
        <v>1455</v>
      </c>
      <c r="E2568" s="0" t="s">
        <v>11</v>
      </c>
      <c r="F2568" s="0" t="s">
        <v>1456</v>
      </c>
      <c r="H2568" s="0" t="s">
        <v>11</v>
      </c>
      <c r="I2568" s="0" t="s">
        <v>1457</v>
      </c>
    </row>
    <row r="2569" customFormat="false" ht="12.8" hidden="false" customHeight="false" outlineLevel="0" collapsed="false">
      <c r="B2569" s="0" t="s">
        <v>725</v>
      </c>
      <c r="E2569" s="0" t="s">
        <v>1458</v>
      </c>
      <c r="F2569" s="0" t="s">
        <v>1459</v>
      </c>
    </row>
    <row r="2570" customFormat="false" ht="12.8" hidden="false" customHeight="false" outlineLevel="0" collapsed="false">
      <c r="B2570" s="0" t="s">
        <v>642</v>
      </c>
      <c r="C2570" s="0" t="s">
        <v>1460</v>
      </c>
      <c r="E2570" s="0" t="s">
        <v>1458</v>
      </c>
      <c r="F2570" s="0" t="s">
        <v>1459</v>
      </c>
      <c r="H2570" s="0" t="s">
        <v>930</v>
      </c>
      <c r="I2570" s="0" t="s">
        <v>1461</v>
      </c>
    </row>
    <row r="2571" customFormat="false" ht="12.8" hidden="false" customHeight="false" outlineLevel="0" collapsed="false">
      <c r="B2571" s="0" t="s">
        <v>648</v>
      </c>
      <c r="E2571" s="0" t="s">
        <v>1458</v>
      </c>
      <c r="F2571" s="0" t="s">
        <v>1459</v>
      </c>
    </row>
    <row r="2572" customFormat="false" ht="12.8" hidden="false" customHeight="false" outlineLevel="0" collapsed="false">
      <c r="B2572" s="0" t="s">
        <v>650</v>
      </c>
      <c r="E2572" s="0" t="s">
        <v>1458</v>
      </c>
      <c r="F2572" s="0" t="s">
        <v>1459</v>
      </c>
    </row>
    <row r="2573" customFormat="false" ht="12.8" hidden="false" customHeight="false" outlineLevel="0" collapsed="false">
      <c r="B2573" s="0" t="s">
        <v>652</v>
      </c>
      <c r="E2573" s="0" t="s">
        <v>1458</v>
      </c>
      <c r="F2573" s="0" t="s">
        <v>1459</v>
      </c>
    </row>
    <row r="2575" customFormat="false" ht="12.8" hidden="false" customHeight="false" outlineLevel="0" collapsed="false">
      <c r="A2575" s="0" t="s">
        <v>1462</v>
      </c>
      <c r="B2575" s="0" t="str">
        <f aca="false">HYPERLINK("https://lindat.mff.cuni.cz/services/teitok/pdtc10/index.php?action=vallex&amp;frame=v-whsa_333hsa_334", "chovávat (v-whsa_333hsa_334)")</f>
        <v>chovávat (v-whsa_333hsa_334)</v>
      </c>
    </row>
    <row r="2576" customFormat="false" ht="12.8" hidden="false" customHeight="false" outlineLevel="0" collapsed="false">
      <c r="B2576" s="0" t="s">
        <v>1</v>
      </c>
    </row>
    <row r="2577" customFormat="false" ht="12.8" hidden="false" customHeight="false" outlineLevel="0" collapsed="false">
      <c r="B2577" s="0" t="s">
        <v>8</v>
      </c>
    </row>
    <row r="2579" customFormat="false" ht="12.8" hidden="false" customHeight="false" outlineLevel="0" collapsed="false">
      <c r="A2579" s="0" t="s">
        <v>1463</v>
      </c>
      <c r="B2579" s="0" t="str">
        <f aca="false">HYPERLINK("https://lindat.mff.cuni.cz/services/teitok/pdtc10/index.php?action=vallex&amp;frame=v-w1190f1", "christianizovat (v-w1190f1)")</f>
        <v>christianizovat (v-w1190f1)</v>
      </c>
    </row>
    <row r="2580" customFormat="false" ht="12.8" hidden="false" customHeight="false" outlineLevel="0" collapsed="false">
      <c r="B2580" s="0" t="s">
        <v>1</v>
      </c>
    </row>
    <row r="2581" customFormat="false" ht="12.8" hidden="false" customHeight="false" outlineLevel="0" collapsed="false">
      <c r="B2581" s="0" t="s">
        <v>8</v>
      </c>
    </row>
    <row r="2583" customFormat="false" ht="12.8" hidden="false" customHeight="false" outlineLevel="0" collapsed="false">
      <c r="A2583" s="0" t="s">
        <v>1464</v>
      </c>
      <c r="B2583" s="0" t="str">
        <f aca="false">HYPERLINK("https://lindat.mff.cuni.cz/services/teitok/pdtc10/index.php?action=vallex&amp;frame=v-w1191f1", "chrlit (v-w1191f1)")</f>
        <v>chrlit (v-w1191f1)</v>
      </c>
      <c r="E2583" s="0" t="str">
        <f aca="false">HYPERLINK("https://lindat.mff.cuni.cz/services/SynSemClass40/SynSemClass40.html?veclass=vec00614#vec00614-ces-cm00001", "vec00614")</f>
        <v>vec00614</v>
      </c>
      <c r="F2583" s="0" t="s">
        <v>1465</v>
      </c>
    </row>
    <row r="2584" customFormat="false" ht="12.8" hidden="false" customHeight="false" outlineLevel="0" collapsed="false">
      <c r="B2584" s="0" t="s">
        <v>1</v>
      </c>
      <c r="C2584" s="0" t="s">
        <v>512</v>
      </c>
      <c r="E2584" s="0" t="s">
        <v>768</v>
      </c>
      <c r="F2584" s="0" t="s">
        <v>1466</v>
      </c>
    </row>
    <row r="2585" customFormat="false" ht="12.8" hidden="false" customHeight="false" outlineLevel="0" collapsed="false">
      <c r="B2585" s="0" t="s">
        <v>8</v>
      </c>
      <c r="C2585" s="0" t="s">
        <v>531</v>
      </c>
      <c r="E2585" s="0" t="s">
        <v>771</v>
      </c>
      <c r="F2585" s="0" t="s">
        <v>1467</v>
      </c>
    </row>
    <row r="2587" customFormat="false" ht="12.8" hidden="false" customHeight="false" outlineLevel="0" collapsed="false">
      <c r="A2587" s="0" t="s">
        <v>1468</v>
      </c>
      <c r="B2587" s="0" t="str">
        <f aca="false">HYPERLINK("https://lindat.mff.cuni.cz/services/teitok/pdtc10/index.php?action=vallex&amp;frame=v-w1189f3_ZU", "chránit (v-w1189f3_ZU)")</f>
        <v>chránit (v-w1189f3_ZU)</v>
      </c>
    </row>
    <row r="2588" customFormat="false" ht="12.8" hidden="false" customHeight="false" outlineLevel="0" collapsed="false">
      <c r="B2588" s="0" t="s">
        <v>1</v>
      </c>
    </row>
    <row r="2589" customFormat="false" ht="12.8" hidden="false" customHeight="false" outlineLevel="0" collapsed="false">
      <c r="B2589" s="0" t="s">
        <v>8</v>
      </c>
    </row>
    <row r="2590" customFormat="false" ht="12.8" hidden="false" customHeight="false" outlineLevel="0" collapsed="false">
      <c r="B2590" s="0" t="s">
        <v>1469</v>
      </c>
    </row>
    <row r="2592" customFormat="false" ht="12.8" hidden="false" customHeight="false" outlineLevel="0" collapsed="false">
      <c r="A2592" s="0" t="s">
        <v>1468</v>
      </c>
      <c r="B2592" s="0" t="str">
        <f aca="false">HYPERLINK("https://lindat.mff.cuni.cz/services/teitok/pdtc10/index.php?action=vallex&amp;frame=v-w1189f1", "chránit (v-w1189f1) - substituted with v-w1189f3_ZU")</f>
        <v>chránit (v-w1189f1) - substituted with v-w1189f3_ZU</v>
      </c>
    </row>
    <row r="2593" customFormat="false" ht="12.8" hidden="false" customHeight="false" outlineLevel="0" collapsed="false">
      <c r="B2593" s="0" t="s">
        <v>1</v>
      </c>
    </row>
    <row r="2594" customFormat="false" ht="12.8" hidden="false" customHeight="false" outlineLevel="0" collapsed="false">
      <c r="B2594" s="0" t="s">
        <v>8</v>
      </c>
    </row>
    <row r="2595" customFormat="false" ht="12.8" hidden="false" customHeight="false" outlineLevel="0" collapsed="false">
      <c r="B2595" s="0" t="s">
        <v>1469</v>
      </c>
    </row>
    <row r="2597" customFormat="false" ht="12.8" hidden="false" customHeight="false" outlineLevel="0" collapsed="false">
      <c r="A2597" s="0" t="s">
        <v>1468</v>
      </c>
      <c r="B2597" s="0" t="str">
        <f aca="false">HYPERLINK("https://lindat.mff.cuni.cz/services/teitok/pdtc10/index.php?action=vallex&amp;frame=v-w1189hsa_853", "chránit (v-w1189hsa_853) - substituted with v-w1189f3_ZU")</f>
        <v>chránit (v-w1189hsa_853) - substituted with v-w1189f3_ZU</v>
      </c>
      <c r="E2597" s="0" t="str">
        <f aca="false">HYPERLINK("https://lindat.mff.cuni.cz/services/SynSemClass40/SynSemClass40.html?veclass=vec00024#vec00024-ces-cm00001", "vec00024")</f>
        <v>vec00024</v>
      </c>
      <c r="F2597" s="0" t="s">
        <v>580</v>
      </c>
      <c r="H2597" s="0" t="str">
        <f aca="false">HYPERLINK("https://lindat.mff.cuni.cz/services/SynSemClass40/SynSemClass40.html?veclass=vec01503#vec01503-ces-cm00001", "vec01503")</f>
        <v>vec01503</v>
      </c>
      <c r="I2597" s="0" t="s">
        <v>1470</v>
      </c>
    </row>
    <row r="2598" customFormat="false" ht="12.8" hidden="false" customHeight="false" outlineLevel="0" collapsed="false">
      <c r="B2598" s="0" t="s">
        <v>1</v>
      </c>
      <c r="C2598" s="0" t="s">
        <v>1471</v>
      </c>
      <c r="E2598" s="0" t="s">
        <v>569</v>
      </c>
      <c r="F2598" s="0" t="s">
        <v>1472</v>
      </c>
      <c r="H2598" s="0" t="s">
        <v>569</v>
      </c>
      <c r="I2598" s="0" t="s">
        <v>1473</v>
      </c>
    </row>
    <row r="2599" customFormat="false" ht="12.8" hidden="false" customHeight="false" outlineLevel="0" collapsed="false">
      <c r="B2599" s="0" t="s">
        <v>8</v>
      </c>
      <c r="C2599" s="0" t="s">
        <v>1474</v>
      </c>
      <c r="E2599" s="0" t="s">
        <v>34</v>
      </c>
      <c r="F2599" s="0" t="s">
        <v>1475</v>
      </c>
      <c r="H2599" s="0" t="s">
        <v>572</v>
      </c>
      <c r="I2599" s="0" t="s">
        <v>1476</v>
      </c>
    </row>
    <row r="2600" customFormat="false" ht="12.8" hidden="false" customHeight="false" outlineLevel="0" collapsed="false">
      <c r="B2600" s="0" t="s">
        <v>1469</v>
      </c>
      <c r="C2600" s="0" t="s">
        <v>1477</v>
      </c>
      <c r="E2600" s="0" t="s">
        <v>1478</v>
      </c>
      <c r="F2600" s="0" t="s">
        <v>1479</v>
      </c>
      <c r="H2600" s="0" t="s">
        <v>1480</v>
      </c>
      <c r="I2600" s="0" t="s">
        <v>1481</v>
      </c>
    </row>
    <row r="2602" customFormat="false" ht="12.8" hidden="false" customHeight="false" outlineLevel="0" collapsed="false">
      <c r="A2602" s="0" t="s">
        <v>1482</v>
      </c>
      <c r="B2602" s="0" t="str">
        <f aca="false">HYPERLINK("https://lindat.mff.cuni.cz/services/teitok/pdtc10/index.php?action=vallex&amp;frame=v-w1189f2_ZU", "chránit (v-w1189f2_ZU)")</f>
        <v>chránit (v-w1189f2_ZU)</v>
      </c>
    </row>
    <row r="2603" customFormat="false" ht="12.8" hidden="false" customHeight="false" outlineLevel="0" collapsed="false">
      <c r="B2603" s="0" t="s">
        <v>1483</v>
      </c>
    </row>
    <row r="2604" customFormat="false" ht="12.8" hidden="false" customHeight="false" outlineLevel="0" collapsed="false">
      <c r="B2604" s="0" t="s">
        <v>264</v>
      </c>
    </row>
    <row r="2605" customFormat="false" ht="12.8" hidden="false" customHeight="false" outlineLevel="0" collapsed="false">
      <c r="B2605" s="0" t="s">
        <v>574</v>
      </c>
    </row>
    <row r="2607" customFormat="false" ht="12.8" hidden="false" customHeight="false" outlineLevel="0" collapsed="false">
      <c r="A2607" s="0" t="s">
        <v>1482</v>
      </c>
      <c r="B2607" s="0" t="str">
        <f aca="false">HYPERLINK("https://lindat.mff.cuni.cz/services/teitok/pdtc10/index.php?action=vallex&amp;frame=v-w1189hsa_722", "chránit (v-w1189hsa_722) - substituted with v-w1189f2_ZU")</f>
        <v>chránit (v-w1189hsa_722) - substituted with v-w1189f2_ZU</v>
      </c>
    </row>
    <row r="2608" customFormat="false" ht="12.8" hidden="false" customHeight="false" outlineLevel="0" collapsed="false">
      <c r="B2608" s="0" t="s">
        <v>1483</v>
      </c>
    </row>
    <row r="2609" customFormat="false" ht="12.8" hidden="false" customHeight="false" outlineLevel="0" collapsed="false">
      <c r="B2609" s="0" t="s">
        <v>264</v>
      </c>
    </row>
    <row r="2610" customFormat="false" ht="12.8" hidden="false" customHeight="false" outlineLevel="0" collapsed="false">
      <c r="B2610" s="0" t="s">
        <v>574</v>
      </c>
    </row>
    <row r="2612" customFormat="false" ht="12.8" hidden="false" customHeight="false" outlineLevel="0" collapsed="false">
      <c r="A2612" s="0" t="s">
        <v>1484</v>
      </c>
      <c r="B2612" s="0" t="str">
        <f aca="false">HYPERLINK("https://lindat.mff.cuni.cz/services/teitok/pdtc10/index.php?action=vallex&amp;frame=v-w10703f2", "chrápat (v-w10703f2)")</f>
        <v>chrápat (v-w10703f2)</v>
      </c>
      <c r="E2612" s="0" t="str">
        <f aca="false">HYPERLINK("https://lindat.mff.cuni.cz/services/SynSemClass40/SynSemClass40.html?veclass=vec01110#vec01110-ces-cm00002", "vec01110")</f>
        <v>vec01110</v>
      </c>
      <c r="F2612" s="0" t="s">
        <v>1485</v>
      </c>
    </row>
    <row r="2613" customFormat="false" ht="12.8" hidden="false" customHeight="false" outlineLevel="0" collapsed="false">
      <c r="B2613" s="0" t="s">
        <v>1</v>
      </c>
      <c r="C2613" s="0" t="s">
        <v>459</v>
      </c>
      <c r="E2613" s="0" t="s">
        <v>11</v>
      </c>
      <c r="F2613" s="0" t="s">
        <v>1486</v>
      </c>
    </row>
    <row r="2615" customFormat="false" ht="12.8" hidden="false" customHeight="false" outlineLevel="0" collapsed="false">
      <c r="A2615" s="0" t="s">
        <v>1487</v>
      </c>
      <c r="B2615" s="0" t="str">
        <f aca="false">HYPERLINK("https://lindat.mff.cuni.cz/services/teitok/pdtc10/index.php?action=vallex&amp;frame=v-w1193f3_ZU", "chtít (v-w1193f3_ZU)")</f>
        <v>chtít (v-w1193f3_ZU)</v>
      </c>
    </row>
    <row r="2616" customFormat="false" ht="12.8" hidden="false" customHeight="false" outlineLevel="0" collapsed="false">
      <c r="B2616" s="0" t="s">
        <v>1</v>
      </c>
    </row>
    <row r="2617" customFormat="false" ht="12.8" hidden="false" customHeight="false" outlineLevel="0" collapsed="false">
      <c r="B2617" s="0" t="s">
        <v>1488</v>
      </c>
    </row>
    <row r="2618" customFormat="false" ht="12.8" hidden="false" customHeight="false" outlineLevel="0" collapsed="false">
      <c r="B2618" s="0" t="s">
        <v>1489</v>
      </c>
    </row>
    <row r="2620" customFormat="false" ht="12.8" hidden="false" customHeight="false" outlineLevel="0" collapsed="false">
      <c r="A2620" s="0" t="s">
        <v>1487</v>
      </c>
      <c r="B2620" s="0" t="str">
        <f aca="false">HYPERLINK("https://lindat.mff.cuni.cz/services/teitok/pdtc10/index.php?action=vallex&amp;frame=v-w1193f1", "chtít (v-w1193f1) - substituted with v-w1193f3_ZU")</f>
        <v>chtít (v-w1193f1) - substituted with v-w1193f3_ZU</v>
      </c>
      <c r="E2620" s="0" t="str">
        <f aca="false">HYPERLINK("https://lindat.mff.cuni.cz/services/SynSemClass40/SynSemClass40.html?veclass=vec00272#vec00272-ces-cm00012", "vec00272")</f>
        <v>vec00272</v>
      </c>
      <c r="F2620" s="0" t="s">
        <v>1490</v>
      </c>
    </row>
    <row r="2621" customFormat="false" ht="12.8" hidden="false" customHeight="false" outlineLevel="0" collapsed="false">
      <c r="B2621" s="0" t="s">
        <v>1</v>
      </c>
      <c r="C2621" s="0" t="s">
        <v>1491</v>
      </c>
      <c r="E2621" s="0" t="s">
        <v>1492</v>
      </c>
      <c r="F2621" s="0" t="s">
        <v>1493</v>
      </c>
    </row>
    <row r="2622" customFormat="false" ht="12.8" hidden="false" customHeight="false" outlineLevel="0" collapsed="false">
      <c r="B2622" s="0" t="s">
        <v>1488</v>
      </c>
      <c r="C2622" s="0" t="s">
        <v>1494</v>
      </c>
      <c r="E2622" s="0" t="s">
        <v>1495</v>
      </c>
      <c r="F2622" s="0" t="s">
        <v>1496</v>
      </c>
    </row>
    <row r="2623" customFormat="false" ht="12.8" hidden="false" customHeight="false" outlineLevel="0" collapsed="false">
      <c r="B2623" s="0" t="s">
        <v>1489</v>
      </c>
      <c r="C2623" s="0" t="s">
        <v>1497</v>
      </c>
      <c r="E2623" s="0" t="s">
        <v>1498</v>
      </c>
      <c r="F2623" s="0" t="s">
        <v>1499</v>
      </c>
    </row>
    <row r="2625" customFormat="false" ht="12.8" hidden="false" customHeight="false" outlineLevel="0" collapsed="false">
      <c r="A2625" s="0" t="s">
        <v>1500</v>
      </c>
      <c r="B2625" s="0" t="str">
        <f aca="false">HYPERLINK("https://lindat.mff.cuni.cz/services/teitok/pdtc10/index.php?action=vallex&amp;frame=v-w1193hsa_1073", "chtít (v-w1193hsa_1073)")</f>
        <v>chtít (v-w1193hsa_1073)</v>
      </c>
    </row>
    <row r="2626" customFormat="false" ht="12.8" hidden="false" customHeight="false" outlineLevel="0" collapsed="false">
      <c r="B2626" s="0" t="s">
        <v>804</v>
      </c>
    </row>
    <row r="2627" customFormat="false" ht="12.8" hidden="false" customHeight="false" outlineLevel="0" collapsed="false">
      <c r="B2627" s="0" t="s">
        <v>1501</v>
      </c>
    </row>
    <row r="2628" customFormat="false" ht="12.8" hidden="false" customHeight="false" outlineLevel="0" collapsed="false">
      <c r="B2628" s="0" t="s">
        <v>1502</v>
      </c>
    </row>
    <row r="2630" customFormat="false" ht="12.8" hidden="false" customHeight="false" outlineLevel="0" collapsed="false">
      <c r="A2630" s="0" t="s">
        <v>1500</v>
      </c>
      <c r="B2630" s="0" t="str">
        <f aca="false">HYPERLINK("https://lindat.mff.cuni.cz/services/teitok/pdtc10/index.php?action=vallex&amp;frame=v-w1193f2", "chtít (v-w1193f2) - substituted with v-w1193hsa_1073")</f>
        <v>chtít (v-w1193f2) - substituted with v-w1193hsa_1073</v>
      </c>
    </row>
    <row r="2631" customFormat="false" ht="12.8" hidden="false" customHeight="false" outlineLevel="0" collapsed="false">
      <c r="B2631" s="0" t="s">
        <v>804</v>
      </c>
    </row>
    <row r="2632" customFormat="false" ht="12.8" hidden="false" customHeight="false" outlineLevel="0" collapsed="false">
      <c r="B2632" s="0" t="s">
        <v>1501</v>
      </c>
    </row>
    <row r="2633" customFormat="false" ht="12.8" hidden="false" customHeight="false" outlineLevel="0" collapsed="false">
      <c r="B2633" s="0" t="s">
        <v>1502</v>
      </c>
    </row>
    <row r="2635" customFormat="false" ht="12.8" hidden="false" customHeight="false" outlineLevel="0" collapsed="false">
      <c r="A2635" s="0" t="s">
        <v>1503</v>
      </c>
      <c r="B2635" s="0" t="str">
        <f aca="false">HYPERLINK("https://lindat.mff.cuni.cz/services/teitok/pdtc10/index.php?action=vallex&amp;frame=v-w1194f1", "chudnout (v-w1194f1)")</f>
        <v>chudnout (v-w1194f1)</v>
      </c>
    </row>
    <row r="2636" customFormat="false" ht="12.8" hidden="false" customHeight="false" outlineLevel="0" collapsed="false">
      <c r="B2636" s="0" t="s">
        <v>1</v>
      </c>
    </row>
    <row r="2637" customFormat="false" ht="12.8" hidden="false" customHeight="false" outlineLevel="0" collapsed="false">
      <c r="B2637" s="0" t="s">
        <v>396</v>
      </c>
    </row>
    <row r="2639" customFormat="false" ht="12.8" hidden="false" customHeight="false" outlineLevel="0" collapsed="false">
      <c r="A2639" s="0" t="s">
        <v>1504</v>
      </c>
      <c r="B2639" s="0" t="str">
        <f aca="false">HYPERLINK("https://lindat.mff.cuni.cz/services/teitok/pdtc10/index.php?action=vallex&amp;frame=v-w1197f1", "chutnat (v-w1197f1)")</f>
        <v>chutnat (v-w1197f1)</v>
      </c>
    </row>
    <row r="2640" customFormat="false" ht="12.8" hidden="false" customHeight="false" outlineLevel="0" collapsed="false">
      <c r="B2640" s="0" t="s">
        <v>804</v>
      </c>
    </row>
    <row r="2641" customFormat="false" ht="12.8" hidden="false" customHeight="false" outlineLevel="0" collapsed="false">
      <c r="B2641" s="0" t="s">
        <v>439</v>
      </c>
    </row>
    <row r="2643" customFormat="false" ht="12.8" hidden="false" customHeight="false" outlineLevel="0" collapsed="false">
      <c r="A2643" s="0" t="s">
        <v>1505</v>
      </c>
      <c r="B2643" s="0" t="str">
        <f aca="false">HYPERLINK("https://lindat.mff.cuni.cz/services/teitok/pdtc10/index.php?action=vallex&amp;frame=v-w1197f3_ZU", "chutnat (v-w1197f3_ZU)")</f>
        <v>chutnat (v-w1197f3_ZU)</v>
      </c>
      <c r="E2643" s="0" t="str">
        <f aca="false">HYPERLINK("https://lindat.mff.cuni.cz/services/SynSemClass40/SynSemClass40.html?veclass=vec01026#vec01026-ces-cm00001", "vec01026")</f>
        <v>vec01026</v>
      </c>
      <c r="F2643" s="0" t="s">
        <v>1506</v>
      </c>
    </row>
    <row r="2644" customFormat="false" ht="12.8" hidden="false" customHeight="false" outlineLevel="0" collapsed="false">
      <c r="B2644" s="0" t="s">
        <v>1</v>
      </c>
      <c r="C2644" s="0" t="s">
        <v>1507</v>
      </c>
      <c r="E2644" s="0" t="s">
        <v>1508</v>
      </c>
      <c r="F2644" s="0" t="s">
        <v>1509</v>
      </c>
    </row>
    <row r="2645" customFormat="false" ht="12.8" hidden="false" customHeight="false" outlineLevel="0" collapsed="false">
      <c r="B2645" s="0" t="s">
        <v>1510</v>
      </c>
      <c r="C2645" s="0" t="s">
        <v>1511</v>
      </c>
      <c r="E2645" s="0" t="s">
        <v>1512</v>
      </c>
      <c r="F2645" s="0" t="s">
        <v>1513</v>
      </c>
    </row>
    <row r="2647" customFormat="false" ht="12.8" hidden="false" customHeight="false" outlineLevel="0" collapsed="false">
      <c r="A2647" s="0" t="s">
        <v>1505</v>
      </c>
      <c r="B2647" s="0" t="str">
        <f aca="false">HYPERLINK("https://lindat.mff.cuni.cz/services/teitok/pdtc10/index.php?action=vallex&amp;frame=v-w1197f2_ZU", "chutnat (v-w1197f2_ZU) - substituted with v-w1197f3_ZU")</f>
        <v>chutnat (v-w1197f2_ZU) - substituted with v-w1197f3_ZU</v>
      </c>
    </row>
    <row r="2648" customFormat="false" ht="12.8" hidden="false" customHeight="false" outlineLevel="0" collapsed="false">
      <c r="B2648" s="0" t="s">
        <v>1</v>
      </c>
    </row>
    <row r="2649" customFormat="false" ht="12.8" hidden="false" customHeight="false" outlineLevel="0" collapsed="false">
      <c r="B2649" s="0" t="s">
        <v>1510</v>
      </c>
    </row>
    <row r="2651" customFormat="false" ht="12.8" hidden="false" customHeight="false" outlineLevel="0" collapsed="false">
      <c r="A2651" s="0" t="s">
        <v>1514</v>
      </c>
      <c r="B2651" s="0" t="str">
        <f aca="false">HYPERLINK("https://lindat.mff.cuni.cz/services/teitok/pdtc10/index.php?action=vallex&amp;frame=v-w1197f4_ZU", "chutnat (v-w1197f4_ZU)")</f>
        <v>chutnat (v-w1197f4_ZU)</v>
      </c>
    </row>
    <row r="2652" customFormat="false" ht="12.8" hidden="false" customHeight="false" outlineLevel="0" collapsed="false">
      <c r="B2652" s="0" t="s">
        <v>1</v>
      </c>
    </row>
    <row r="2653" customFormat="false" ht="12.8" hidden="false" customHeight="false" outlineLevel="0" collapsed="false">
      <c r="B2653" s="0" t="s">
        <v>8</v>
      </c>
    </row>
    <row r="2655" customFormat="false" ht="12.8" hidden="false" customHeight="false" outlineLevel="0" collapsed="false">
      <c r="A2655" s="0" t="s">
        <v>1515</v>
      </c>
      <c r="B2655" s="0" t="str">
        <f aca="false">HYPERLINK("https://lindat.mff.cuni.cz/services/teitok/pdtc10/index.php?action=vallex&amp;frame=v-w1199f2_ZU", "chválit (v-w1199f2_ZU)")</f>
        <v>chválit (v-w1199f2_ZU)</v>
      </c>
      <c r="E2655" s="0" t="str">
        <f aca="false">HYPERLINK("https://lindat.mff.cuni.cz/services/SynSemClass40/SynSemClass40.html?veclass=vec00675#vec00675-ces-cm00002", "vec00675")</f>
        <v>vec00675</v>
      </c>
      <c r="F2655" s="0" t="s">
        <v>1516</v>
      </c>
    </row>
    <row r="2656" customFormat="false" ht="12.8" hidden="false" customHeight="false" outlineLevel="0" collapsed="false">
      <c r="B2656" s="0" t="s">
        <v>1</v>
      </c>
      <c r="C2656" s="0" t="s">
        <v>1517</v>
      </c>
      <c r="E2656" s="0" t="s">
        <v>206</v>
      </c>
      <c r="F2656" s="0" t="s">
        <v>1518</v>
      </c>
    </row>
    <row r="2657" customFormat="false" ht="12.8" hidden="false" customHeight="false" outlineLevel="0" collapsed="false">
      <c r="B2657" s="0" t="s">
        <v>500</v>
      </c>
      <c r="C2657" s="0" t="s">
        <v>1519</v>
      </c>
      <c r="E2657" s="0" t="s">
        <v>159</v>
      </c>
      <c r="F2657" s="0" t="s">
        <v>1520</v>
      </c>
    </row>
    <row r="2659" customFormat="false" ht="12.8" hidden="false" customHeight="false" outlineLevel="0" collapsed="false">
      <c r="A2659" s="0" t="s">
        <v>1515</v>
      </c>
      <c r="B2659" s="0" t="str">
        <f aca="false">HYPERLINK("https://lindat.mff.cuni.cz/services/teitok/pdtc10/index.php?action=vallex&amp;frame=v-w1199f1", "chválit (v-w1199f1) - substituted with v-w1199f2_ZU")</f>
        <v>chválit (v-w1199f1) - substituted with v-w1199f2_ZU</v>
      </c>
    </row>
    <row r="2660" customFormat="false" ht="12.8" hidden="false" customHeight="false" outlineLevel="0" collapsed="false">
      <c r="B2660" s="0" t="s">
        <v>1</v>
      </c>
    </row>
    <row r="2661" customFormat="false" ht="12.8" hidden="false" customHeight="false" outlineLevel="0" collapsed="false">
      <c r="B2661" s="0" t="s">
        <v>500</v>
      </c>
    </row>
    <row r="2663" customFormat="false" ht="12.8" hidden="false" customHeight="false" outlineLevel="0" collapsed="false">
      <c r="A2663" s="0" t="s">
        <v>1521</v>
      </c>
      <c r="B2663" s="0" t="str">
        <f aca="false">HYPERLINK("https://lindat.mff.cuni.cz/services/teitok/pdtc10/index.php?action=vallex&amp;frame=v-w1200f1", "chvástat se (v-w1200f1)")</f>
        <v>chvástat se (v-w1200f1)</v>
      </c>
      <c r="E2663" s="0" t="str">
        <f aca="false">HYPERLINK("https://lindat.mff.cuni.cz/services/SynSemClass40/SynSemClass40.html?veclass=vec00418#vec00418-ces-cm00009", "vec00418")</f>
        <v>vec00418</v>
      </c>
      <c r="F2663" s="0" t="s">
        <v>1385</v>
      </c>
    </row>
    <row r="2664" customFormat="false" ht="12.8" hidden="false" customHeight="false" outlineLevel="0" collapsed="false">
      <c r="B2664" s="0" t="s">
        <v>1</v>
      </c>
      <c r="C2664" s="0" t="s">
        <v>255</v>
      </c>
      <c r="E2664" s="0" t="s">
        <v>1386</v>
      </c>
      <c r="F2664" s="0" t="s">
        <v>1387</v>
      </c>
    </row>
    <row r="2665" customFormat="false" ht="12.8" hidden="false" customHeight="false" outlineLevel="0" collapsed="false">
      <c r="B2665" s="0" t="s">
        <v>380</v>
      </c>
      <c r="C2665" s="0" t="s">
        <v>1388</v>
      </c>
      <c r="E2665" s="0" t="s">
        <v>1389</v>
      </c>
      <c r="F2665" s="0" t="s">
        <v>1390</v>
      </c>
    </row>
    <row r="2666" customFormat="false" ht="12.8" hidden="false" customHeight="false" outlineLevel="0" collapsed="false">
      <c r="B2666" s="0" t="s">
        <v>132</v>
      </c>
      <c r="C2666" s="0" t="s">
        <v>1391</v>
      </c>
      <c r="E2666" s="0" t="s">
        <v>1392</v>
      </c>
      <c r="F2666" s="0" t="s">
        <v>1393</v>
      </c>
    </row>
    <row r="2668" customFormat="false" ht="12.8" hidden="false" customHeight="false" outlineLevel="0" collapsed="false">
      <c r="A2668" s="0" t="s">
        <v>1522</v>
      </c>
      <c r="B2668" s="0" t="str">
        <f aca="false">HYPERLINK("https://lindat.mff.cuni.cz/services/teitok/pdtc10/index.php?action=vallex&amp;frame=v-w10991f3", "chvátat (v-w10991f3)")</f>
        <v>chvátat (v-w10991f3)</v>
      </c>
    </row>
    <row r="2669" customFormat="false" ht="12.8" hidden="false" customHeight="false" outlineLevel="0" collapsed="false">
      <c r="B2669" s="0" t="s">
        <v>1</v>
      </c>
    </row>
    <row r="2670" customFormat="false" ht="12.8" hidden="false" customHeight="false" outlineLevel="0" collapsed="false">
      <c r="B2670" s="0" t="s">
        <v>721</v>
      </c>
    </row>
    <row r="2672" customFormat="false" ht="12.8" hidden="false" customHeight="false" outlineLevel="0" collapsed="false">
      <c r="A2672" s="0" t="s">
        <v>1523</v>
      </c>
      <c r="B2672" s="0" t="str">
        <f aca="false">HYPERLINK("https://lindat.mff.cuni.cz/services/teitok/pdtc10/index.php?action=vallex&amp;frame=v-w10991f2", "chvátat (v-w10991f2)")</f>
        <v>chvátat (v-w10991f2)</v>
      </c>
    </row>
    <row r="2673" customFormat="false" ht="12.8" hidden="false" customHeight="false" outlineLevel="0" collapsed="false">
      <c r="B2673" s="0" t="s">
        <v>1</v>
      </c>
    </row>
    <row r="2675" customFormat="false" ht="12.8" hidden="false" customHeight="false" outlineLevel="0" collapsed="false">
      <c r="A2675" s="0" t="s">
        <v>1524</v>
      </c>
      <c r="B2675" s="0" t="str">
        <f aca="false">HYPERLINK("https://lindat.mff.cuni.cz/services/teitok/pdtc10/index.php?action=vallex&amp;frame=v-w1202f1", "chvět se (v-w1202f1)")</f>
        <v>chvět se (v-w1202f1)</v>
      </c>
    </row>
    <row r="2676" customFormat="false" ht="12.8" hidden="false" customHeight="false" outlineLevel="0" collapsed="false">
      <c r="B2676" s="0" t="s">
        <v>1</v>
      </c>
    </row>
    <row r="2678" customFormat="false" ht="12.8" hidden="false" customHeight="false" outlineLevel="0" collapsed="false">
      <c r="A2678" s="0" t="s">
        <v>1525</v>
      </c>
      <c r="B2678" s="0" t="str">
        <f aca="false">HYPERLINK("https://lindat.mff.cuni.cz/services/teitok/pdtc10/index.php?action=vallex&amp;frame=v-w10460f2", "chybit (v-w10460f2)")</f>
        <v>chybit (v-w10460f2)</v>
      </c>
      <c r="E2678" s="0" t="str">
        <f aca="false">HYPERLINK("https://lindat.mff.cuni.cz/services/SynSemClass40/SynSemClass40.html?veclass=vec00839#vec00839-ces-cm00005", "vec00839")</f>
        <v>vec00839</v>
      </c>
      <c r="F2678" s="0" t="s">
        <v>1526</v>
      </c>
    </row>
    <row r="2679" customFormat="false" ht="12.8" hidden="false" customHeight="false" outlineLevel="0" collapsed="false">
      <c r="B2679" s="0" t="s">
        <v>1</v>
      </c>
      <c r="C2679" s="0" t="s">
        <v>447</v>
      </c>
      <c r="E2679" s="0" t="s">
        <v>1527</v>
      </c>
      <c r="F2679" s="0" t="s">
        <v>1528</v>
      </c>
    </row>
    <row r="2681" customFormat="false" ht="12.8" hidden="false" customHeight="false" outlineLevel="0" collapsed="false">
      <c r="A2681" s="0" t="s">
        <v>1529</v>
      </c>
      <c r="B2681" s="0" t="str">
        <f aca="false">HYPERLINK("https://lindat.mff.cuni.cz/services/teitok/pdtc10/index.php?action=vallex&amp;frame=v-w1205f1", "chybovat (v-w1205f1)")</f>
        <v>chybovat (v-w1205f1)</v>
      </c>
      <c r="E2681" s="0" t="str">
        <f aca="false">HYPERLINK("https://lindat.mff.cuni.cz/services/SynSemClass40/SynSemClass40.html?veclass=vec00839#vec00839-ces-cm00002", "vec00839")</f>
        <v>vec00839</v>
      </c>
      <c r="F2681" s="0" t="s">
        <v>1526</v>
      </c>
    </row>
    <row r="2682" customFormat="false" ht="12.8" hidden="false" customHeight="false" outlineLevel="0" collapsed="false">
      <c r="B2682" s="0" t="s">
        <v>1</v>
      </c>
      <c r="C2682" s="0" t="s">
        <v>447</v>
      </c>
      <c r="E2682" s="0" t="s">
        <v>1527</v>
      </c>
      <c r="F2682" s="0" t="s">
        <v>1528</v>
      </c>
    </row>
    <row r="2684" customFormat="false" ht="12.8" hidden="false" customHeight="false" outlineLevel="0" collapsed="false">
      <c r="A2684" s="0" t="s">
        <v>1530</v>
      </c>
      <c r="B2684" s="0" t="str">
        <f aca="false">HYPERLINK("https://lindat.mff.cuni.cz/services/teitok/pdtc10/index.php?action=vallex&amp;frame=v-w1204f1", "chybět (v-w1204f1)")</f>
        <v>chybět (v-w1204f1)</v>
      </c>
      <c r="E2684" s="0" t="str">
        <f aca="false">HYPERLINK("https://lindat.mff.cuni.cz/services/SynSemClass40/SynSemClass40.html?veclass=vec00419#vec00419-ces-cm00001", "vec00419")</f>
        <v>vec00419</v>
      </c>
      <c r="F2684" s="0" t="s">
        <v>1531</v>
      </c>
    </row>
    <row r="2685" customFormat="false" ht="12.8" hidden="false" customHeight="false" outlineLevel="0" collapsed="false">
      <c r="B2685" s="0" t="s">
        <v>843</v>
      </c>
      <c r="C2685" s="0" t="s">
        <v>1532</v>
      </c>
      <c r="E2685" s="0" t="s">
        <v>1533</v>
      </c>
      <c r="F2685" s="0" t="s">
        <v>1534</v>
      </c>
    </row>
    <row r="2686" customFormat="false" ht="12.8" hidden="false" customHeight="false" outlineLevel="0" collapsed="false">
      <c r="B2686" s="0" t="s">
        <v>186</v>
      </c>
      <c r="C2686" s="0" t="s">
        <v>1535</v>
      </c>
      <c r="E2686" s="0" t="s">
        <v>1536</v>
      </c>
      <c r="F2686" s="0" t="s">
        <v>1537</v>
      </c>
    </row>
    <row r="2688" customFormat="false" ht="12.8" hidden="false" customHeight="false" outlineLevel="0" collapsed="false">
      <c r="A2688" s="0" t="s">
        <v>1538</v>
      </c>
      <c r="B2688" s="0" t="str">
        <f aca="false">HYPERLINK("https://lindat.mff.cuni.cz/services/teitok/pdtc10/index.php?action=vallex&amp;frame=v-w1204f4", "chybět (v-w1204f4)")</f>
        <v>chybět (v-w1204f4)</v>
      </c>
      <c r="E2688" s="0" t="str">
        <f aca="false">HYPERLINK("https://lindat.mff.cuni.cz/services/SynSemClass40/SynSemClass40.html?veclass=vec00483#vec00483-ces-cm00003", "vec00483")</f>
        <v>vec00483</v>
      </c>
      <c r="F2688" s="0" t="s">
        <v>1539</v>
      </c>
    </row>
    <row r="2689" customFormat="false" ht="12.8" hidden="false" customHeight="false" outlineLevel="0" collapsed="false">
      <c r="B2689" s="0" t="s">
        <v>804</v>
      </c>
      <c r="C2689" s="0" t="s">
        <v>1540</v>
      </c>
      <c r="E2689" s="0" t="s">
        <v>1541</v>
      </c>
      <c r="F2689" s="0" t="s">
        <v>1542</v>
      </c>
    </row>
    <row r="2690" customFormat="false" ht="12.8" hidden="false" customHeight="false" outlineLevel="0" collapsed="false">
      <c r="B2690" s="0" t="s">
        <v>439</v>
      </c>
      <c r="C2690" s="0" t="s">
        <v>1543</v>
      </c>
      <c r="E2690" s="0" t="s">
        <v>1544</v>
      </c>
      <c r="F2690" s="0" t="s">
        <v>1545</v>
      </c>
    </row>
    <row r="2692" customFormat="false" ht="12.8" hidden="false" customHeight="false" outlineLevel="0" collapsed="false">
      <c r="A2692" s="0" t="s">
        <v>1546</v>
      </c>
      <c r="B2692" s="0" t="str">
        <f aca="false">HYPERLINK("https://lindat.mff.cuni.cz/services/teitok/pdtc10/index.php?action=vallex&amp;frame=v-w1204f2", "chybět (v-w1204f2)")</f>
        <v>chybět (v-w1204f2)</v>
      </c>
    </row>
    <row r="2693" customFormat="false" ht="12.8" hidden="false" customHeight="false" outlineLevel="0" collapsed="false">
      <c r="B2693" s="0" t="s">
        <v>1</v>
      </c>
    </row>
    <row r="2694" customFormat="false" ht="12.8" hidden="false" customHeight="false" outlineLevel="0" collapsed="false">
      <c r="B2694" s="0" t="s">
        <v>5</v>
      </c>
    </row>
    <row r="2696" customFormat="false" ht="12.8" hidden="false" customHeight="false" outlineLevel="0" collapsed="false">
      <c r="A2696" s="0" t="s">
        <v>1547</v>
      </c>
      <c r="B2696" s="0" t="str">
        <f aca="false">HYPERLINK("https://lindat.mff.cuni.cz/services/teitok/pdtc10/index.php?action=vallex&amp;frame=v-w1204f3", "chybět (v-w1204f3)")</f>
        <v>chybět (v-w1204f3)</v>
      </c>
    </row>
    <row r="2697" customFormat="false" ht="12.8" hidden="false" customHeight="false" outlineLevel="0" collapsed="false">
      <c r="B2697" s="0" t="s">
        <v>835</v>
      </c>
    </row>
    <row r="2699" customFormat="false" ht="12.8" hidden="false" customHeight="false" outlineLevel="0" collapsed="false">
      <c r="A2699" s="0" t="s">
        <v>1548</v>
      </c>
      <c r="B2699" s="0" t="str">
        <f aca="false">HYPERLINK("https://lindat.mff.cuni.cz/services/teitok/pdtc10/index.php?action=vallex&amp;frame=v-w1204f5_ZU", "chybět (v-w1204f5_ZU)")</f>
        <v>chybět (v-w1204f5_ZU)</v>
      </c>
    </row>
    <row r="2700" customFormat="false" ht="12.8" hidden="false" customHeight="false" outlineLevel="0" collapsed="false">
      <c r="B2700" s="0" t="s">
        <v>1</v>
      </c>
    </row>
    <row r="2701" customFormat="false" ht="12.8" hidden="false" customHeight="false" outlineLevel="0" collapsed="false">
      <c r="B2701" s="0" t="s">
        <v>186</v>
      </c>
    </row>
    <row r="2702" customFormat="false" ht="12.8" hidden="false" customHeight="false" outlineLevel="0" collapsed="false">
      <c r="B2702" s="0" t="s">
        <v>1549</v>
      </c>
    </row>
    <row r="2704" customFormat="false" ht="12.8" hidden="false" customHeight="false" outlineLevel="0" collapsed="false">
      <c r="A2704" s="0" t="s">
        <v>1550</v>
      </c>
      <c r="B2704" s="0" t="str">
        <f aca="false">HYPERLINK("https://lindat.mff.cuni.cz/services/teitok/pdtc10/index.php?action=vallex&amp;frame=v-w1208f1", "chystat (v-w1208f1)")</f>
        <v>chystat (v-w1208f1)</v>
      </c>
    </row>
    <row r="2705" customFormat="false" ht="12.8" hidden="false" customHeight="false" outlineLevel="0" collapsed="false">
      <c r="B2705" s="0" t="s">
        <v>1</v>
      </c>
    </row>
    <row r="2706" customFormat="false" ht="12.8" hidden="false" customHeight="false" outlineLevel="0" collapsed="false">
      <c r="B2706" s="0" t="s">
        <v>8</v>
      </c>
    </row>
    <row r="2707" customFormat="false" ht="12.8" hidden="false" customHeight="false" outlineLevel="0" collapsed="false">
      <c r="B2707" s="0" t="s">
        <v>36</v>
      </c>
    </row>
    <row r="2709" customFormat="false" ht="12.8" hidden="false" customHeight="false" outlineLevel="0" collapsed="false">
      <c r="A2709" s="0" t="s">
        <v>1551</v>
      </c>
      <c r="B2709" s="0" t="str">
        <f aca="false">HYPERLINK("https://lindat.mff.cuni.cz/services/teitok/pdtc10/index.php?action=vallex&amp;frame=v-w1208f2", "chystat (v-w1208f2)")</f>
        <v>chystat (v-w1208f2)</v>
      </c>
      <c r="E2709" s="0" t="str">
        <f aca="false">HYPERLINK("https://lindat.mff.cuni.cz/services/SynSemClass40/SynSemClass40.html?veclass=vec00502#vec00502-ces-cm00030", "vec00502")</f>
        <v>vec00502</v>
      </c>
      <c r="F2709" s="0" t="s">
        <v>1552</v>
      </c>
    </row>
    <row r="2710" customFormat="false" ht="12.8" hidden="false" customHeight="false" outlineLevel="0" collapsed="false">
      <c r="B2710" s="0" t="s">
        <v>1</v>
      </c>
      <c r="C2710" s="0" t="s">
        <v>1553</v>
      </c>
      <c r="E2710" s="0" t="s">
        <v>31</v>
      </c>
      <c r="F2710" s="0" t="s">
        <v>1554</v>
      </c>
    </row>
    <row r="2711" customFormat="false" ht="12.8" hidden="false" customHeight="false" outlineLevel="0" collapsed="false">
      <c r="B2711" s="0" t="s">
        <v>8</v>
      </c>
      <c r="C2711" s="0" t="s">
        <v>1555</v>
      </c>
      <c r="E2711" s="0" t="s">
        <v>1556</v>
      </c>
      <c r="F2711" s="0" t="s">
        <v>1557</v>
      </c>
    </row>
    <row r="2713" customFormat="false" ht="12.8" hidden="false" customHeight="false" outlineLevel="0" collapsed="false">
      <c r="A2713" s="0" t="s">
        <v>1558</v>
      </c>
      <c r="B2713" s="0" t="str">
        <f aca="false">HYPERLINK("https://lindat.mff.cuni.cz/services/teitok/pdtc10/index.php?action=vallex&amp;frame=v-w1209f2_ZU", "chystat se (v-w1209f2_ZU)")</f>
        <v>chystat se (v-w1209f2_ZU)</v>
      </c>
    </row>
    <row r="2714" customFormat="false" ht="12.8" hidden="false" customHeight="false" outlineLevel="0" collapsed="false">
      <c r="B2714" s="0" t="s">
        <v>1</v>
      </c>
    </row>
    <row r="2715" customFormat="false" ht="12.8" hidden="false" customHeight="false" outlineLevel="0" collapsed="false">
      <c r="B2715" s="0" t="s">
        <v>1559</v>
      </c>
    </row>
    <row r="2717" customFormat="false" ht="12.8" hidden="false" customHeight="false" outlineLevel="0" collapsed="false">
      <c r="A2717" s="0" t="s">
        <v>1558</v>
      </c>
      <c r="B2717" s="0" t="str">
        <f aca="false">HYPERLINK("https://lindat.mff.cuni.cz/services/teitok/pdtc10/index.php?action=vallex&amp;frame=v-w1209f1", "chystat se (v-w1209f1) - substituted with v-w1209f2_ZU")</f>
        <v>chystat se (v-w1209f1) - substituted with v-w1209f2_ZU</v>
      </c>
      <c r="E2717" s="0" t="str">
        <f aca="false">HYPERLINK("https://lindat.mff.cuni.cz/services/SynSemClass40/SynSemClass40.html?veclass=vec00290#vec00290-ces-cm00002", "vec00290")</f>
        <v>vec00290</v>
      </c>
      <c r="F2717" s="0" t="s">
        <v>1560</v>
      </c>
    </row>
    <row r="2718" customFormat="false" ht="12.8" hidden="false" customHeight="false" outlineLevel="0" collapsed="false">
      <c r="B2718" s="0" t="s">
        <v>1</v>
      </c>
      <c r="C2718" s="0" t="s">
        <v>1561</v>
      </c>
      <c r="E2718" s="0" t="s">
        <v>11</v>
      </c>
      <c r="F2718" s="0" t="s">
        <v>1562</v>
      </c>
    </row>
    <row r="2719" customFormat="false" ht="12.8" hidden="false" customHeight="false" outlineLevel="0" collapsed="false">
      <c r="B2719" s="0" t="s">
        <v>1559</v>
      </c>
      <c r="C2719" s="0" t="s">
        <v>1563</v>
      </c>
      <c r="E2719" s="0" t="s">
        <v>79</v>
      </c>
      <c r="F2719" s="0" t="s">
        <v>1564</v>
      </c>
    </row>
    <row r="2721" customFormat="false" ht="12.8" hidden="false" customHeight="false" outlineLevel="0" collapsed="false">
      <c r="A2721" s="0" t="s">
        <v>1565</v>
      </c>
      <c r="B2721" s="0" t="str">
        <f aca="false">HYPERLINK("https://lindat.mff.cuni.cz/services/teitok/pdtc10/index.php?action=vallex&amp;frame=v-w1211f1", "chytat (v-w1211f1)")</f>
        <v>chytat (v-w1211f1)</v>
      </c>
      <c r="E2721" s="0" t="str">
        <f aca="false">HYPERLINK("https://lindat.mff.cuni.cz/services/SynSemClass40/SynSemClass40.html?veclass=vec00615#vec00615-ces-cm00007", "vec00615")</f>
        <v>vec00615</v>
      </c>
      <c r="F2721" s="0" t="s">
        <v>1566</v>
      </c>
    </row>
    <row r="2722" customFormat="false" ht="12.8" hidden="false" customHeight="false" outlineLevel="0" collapsed="false">
      <c r="B2722" s="0" t="s">
        <v>1</v>
      </c>
      <c r="C2722" s="0" t="s">
        <v>512</v>
      </c>
      <c r="E2722" s="0" t="s">
        <v>1567</v>
      </c>
      <c r="F2722" s="0" t="s">
        <v>1568</v>
      </c>
    </row>
    <row r="2723" customFormat="false" ht="12.8" hidden="false" customHeight="false" outlineLevel="0" collapsed="false">
      <c r="B2723" s="0" t="s">
        <v>8</v>
      </c>
      <c r="C2723" s="0" t="s">
        <v>744</v>
      </c>
      <c r="E2723" s="0" t="s">
        <v>1569</v>
      </c>
      <c r="F2723" s="0" t="s">
        <v>1570</v>
      </c>
    </row>
    <row r="2725" customFormat="false" ht="12.8" hidden="false" customHeight="false" outlineLevel="0" collapsed="false">
      <c r="A2725" s="0" t="s">
        <v>1571</v>
      </c>
      <c r="B2725" s="0" t="str">
        <f aca="false">HYPERLINK("https://lindat.mff.cuni.cz/services/teitok/pdtc10/index.php?action=vallex&amp;frame=v-w1211f6_ZU", "chytat (v-w1211f6_ZU)")</f>
        <v>chytat (v-w1211f6_ZU)</v>
      </c>
    </row>
    <row r="2726" customFormat="false" ht="12.8" hidden="false" customHeight="false" outlineLevel="0" collapsed="false">
      <c r="B2726" s="0" t="s">
        <v>1</v>
      </c>
    </row>
    <row r="2727" customFormat="false" ht="12.8" hidden="false" customHeight="false" outlineLevel="0" collapsed="false">
      <c r="B2727" s="0" t="s">
        <v>8</v>
      </c>
    </row>
    <row r="2729" customFormat="false" ht="12.8" hidden="false" customHeight="false" outlineLevel="0" collapsed="false">
      <c r="A2729" s="0" t="s">
        <v>1571</v>
      </c>
      <c r="B2729" s="0" t="str">
        <f aca="false">HYPERLINK("https://lindat.mff.cuni.cz/services/teitok/pdtc10/index.php?action=vallex&amp;frame=v-w1211f3", "chytat (v-w1211f3) - substituted with v-w1211f6_ZU")</f>
        <v>chytat (v-w1211f3) - substituted with v-w1211f6_ZU</v>
      </c>
      <c r="E2729" s="0" t="str">
        <f aca="false">HYPERLINK("https://lindat.mff.cuni.cz/services/SynSemClass40/SynSemClass40.html?veclass=vec00126#vec00126-ces-cm00007", "vec00126")</f>
        <v>vec00126</v>
      </c>
      <c r="F2729" s="0" t="s">
        <v>1572</v>
      </c>
    </row>
    <row r="2730" customFormat="false" ht="12.8" hidden="false" customHeight="false" outlineLevel="0" collapsed="false">
      <c r="B2730" s="0" t="s">
        <v>1</v>
      </c>
      <c r="C2730" s="0" t="s">
        <v>459</v>
      </c>
      <c r="E2730" s="0" t="s">
        <v>1573</v>
      </c>
      <c r="F2730" s="0" t="s">
        <v>1574</v>
      </c>
    </row>
    <row r="2731" customFormat="false" ht="12.8" hidden="false" customHeight="false" outlineLevel="0" collapsed="false">
      <c r="B2731" s="0" t="s">
        <v>8</v>
      </c>
      <c r="C2731" s="0" t="s">
        <v>1575</v>
      </c>
      <c r="E2731" s="0" t="s">
        <v>142</v>
      </c>
      <c r="F2731" s="0" t="s">
        <v>1576</v>
      </c>
    </row>
    <row r="2733" customFormat="false" ht="12.8" hidden="false" customHeight="false" outlineLevel="0" collapsed="false">
      <c r="A2733" s="0" t="s">
        <v>1577</v>
      </c>
      <c r="B2733" s="0" t="str">
        <f aca="false">HYPERLINK("https://lindat.mff.cuni.cz/services/teitok/pdtc10/index.php?action=vallex&amp;frame=v-w1211f2", "chytat (v-w1211f2)")</f>
        <v>chytat (v-w1211f2)</v>
      </c>
    </row>
    <row r="2734" customFormat="false" ht="12.8" hidden="false" customHeight="false" outlineLevel="0" collapsed="false">
      <c r="B2734" s="0" t="s">
        <v>1</v>
      </c>
    </row>
    <row r="2735" customFormat="false" ht="12.8" hidden="false" customHeight="false" outlineLevel="0" collapsed="false">
      <c r="B2735" s="0" t="s">
        <v>8</v>
      </c>
    </row>
    <row r="2737" customFormat="false" ht="12.8" hidden="false" customHeight="false" outlineLevel="0" collapsed="false">
      <c r="A2737" s="0" t="s">
        <v>1578</v>
      </c>
      <c r="B2737" s="0" t="str">
        <f aca="false">HYPERLINK("https://lindat.mff.cuni.cz/services/teitok/pdtc10/index.php?action=vallex&amp;frame=v-w1211f4_ZU", "chytat (v-w1211f4_ZU)")</f>
        <v>chytat (v-w1211f4_ZU)</v>
      </c>
    </row>
    <row r="2738" customFormat="false" ht="12.8" hidden="false" customHeight="false" outlineLevel="0" collapsed="false">
      <c r="B2738" s="0" t="s">
        <v>1</v>
      </c>
    </row>
    <row r="2740" customFormat="false" ht="12.8" hidden="false" customHeight="false" outlineLevel="0" collapsed="false">
      <c r="A2740" s="0" t="s">
        <v>1578</v>
      </c>
      <c r="B2740" s="0" t="str">
        <f aca="false">HYPERLINK("https://lindat.mff.cuni.cz/services/teitok/pdtc10/index.php?action=vallex&amp;frame=v-w1211hsa_1222", "chytat (v-w1211hsa_1222) - substituted with v-w1211f4_ZU")</f>
        <v>chytat (v-w1211hsa_1222) - substituted with v-w1211f4_ZU</v>
      </c>
    </row>
    <row r="2741" customFormat="false" ht="12.8" hidden="false" customHeight="false" outlineLevel="0" collapsed="false">
      <c r="B2741" s="0" t="s">
        <v>1</v>
      </c>
    </row>
    <row r="2743" customFormat="false" ht="12.8" hidden="false" customHeight="false" outlineLevel="0" collapsed="false">
      <c r="A2743" s="0" t="s">
        <v>1579</v>
      </c>
      <c r="B2743" s="0" t="str">
        <f aca="false">HYPERLINK("https://lindat.mff.cuni.cz/services/teitok/pdtc10/index.php?action=vallex&amp;frame=v-w1211f5_ZU", "chytat (v-w1211f5_ZU)")</f>
        <v>chytat (v-w1211f5_ZU)</v>
      </c>
    </row>
    <row r="2744" customFormat="false" ht="12.8" hidden="false" customHeight="false" outlineLevel="0" collapsed="false">
      <c r="B2744" s="0" t="s">
        <v>1</v>
      </c>
    </row>
    <row r="2745" customFormat="false" ht="12.8" hidden="false" customHeight="false" outlineLevel="0" collapsed="false">
      <c r="B2745" s="0" t="s">
        <v>8</v>
      </c>
    </row>
    <row r="2747" customFormat="false" ht="12.8" hidden="false" customHeight="false" outlineLevel="0" collapsed="false">
      <c r="A2747" s="0" t="s">
        <v>1580</v>
      </c>
      <c r="B2747" s="0" t="str">
        <f aca="false">HYPERLINK("https://lindat.mff.cuni.cz/services/teitok/pdtc10/index.php?action=vallex&amp;frame=v-w1211hsa_1038", "chytat (v-w1211hsa_1038)")</f>
        <v>chytat (v-w1211hsa_1038)</v>
      </c>
    </row>
    <row r="2748" customFormat="false" ht="12.8" hidden="false" customHeight="false" outlineLevel="0" collapsed="false">
      <c r="B2748" s="0" t="s">
        <v>1</v>
      </c>
    </row>
    <row r="2749" customFormat="false" ht="12.8" hidden="false" customHeight="false" outlineLevel="0" collapsed="false">
      <c r="B2749" s="0" t="s">
        <v>8</v>
      </c>
    </row>
    <row r="2751" customFormat="false" ht="12.8" hidden="false" customHeight="false" outlineLevel="0" collapsed="false">
      <c r="A2751" s="0" t="s">
        <v>1581</v>
      </c>
      <c r="B2751" s="0" t="str">
        <f aca="false">HYPERLINK("https://lindat.mff.cuni.cz/services/teitok/pdtc10/index.php?action=vallex&amp;frame=v-w11256f1", "chytat se (v-w11256f1)")</f>
        <v>chytat se (v-w11256f1)</v>
      </c>
    </row>
    <row r="2752" customFormat="false" ht="12.8" hidden="false" customHeight="false" outlineLevel="0" collapsed="false">
      <c r="B2752" s="0" t="s">
        <v>1</v>
      </c>
    </row>
    <row r="2753" customFormat="false" ht="12.8" hidden="false" customHeight="false" outlineLevel="0" collapsed="false">
      <c r="B2753" s="0" t="s">
        <v>1289</v>
      </c>
    </row>
    <row r="2755" customFormat="false" ht="12.8" hidden="false" customHeight="false" outlineLevel="0" collapsed="false">
      <c r="A2755" s="0" t="s">
        <v>1582</v>
      </c>
      <c r="B2755" s="0" t="str">
        <f aca="false">HYPERLINK("https://lindat.mff.cuni.cz/services/teitok/pdtc10/index.php?action=vallex&amp;frame=v-w11256f2_ZU", "chytat se (v-w11256f2_ZU)")</f>
        <v>chytat se (v-w11256f2_ZU)</v>
      </c>
    </row>
    <row r="2756" customFormat="false" ht="12.8" hidden="false" customHeight="false" outlineLevel="0" collapsed="false">
      <c r="B2756" s="0" t="s">
        <v>1</v>
      </c>
    </row>
    <row r="2757" customFormat="false" ht="12.8" hidden="false" customHeight="false" outlineLevel="0" collapsed="false">
      <c r="B2757" s="0" t="s">
        <v>1583</v>
      </c>
    </row>
    <row r="2759" customFormat="false" ht="12.8" hidden="false" customHeight="false" outlineLevel="0" collapsed="false">
      <c r="A2759" s="0" t="s">
        <v>1582</v>
      </c>
      <c r="B2759" s="0" t="str">
        <f aca="false">HYPERLINK("https://lindat.mff.cuni.cz/services/teitok/pdtc10/index.php?action=vallex&amp;frame=v-w11256hsa_1825", "chytat se (v-w11256hsa_1825) - substituted with v-w11256f2_ZU")</f>
        <v>chytat se (v-w11256hsa_1825) - substituted with v-w11256f2_ZU</v>
      </c>
    </row>
    <row r="2760" customFormat="false" ht="12.8" hidden="false" customHeight="false" outlineLevel="0" collapsed="false">
      <c r="B2760" s="0" t="s">
        <v>1</v>
      </c>
    </row>
    <row r="2761" customFormat="false" ht="12.8" hidden="false" customHeight="false" outlineLevel="0" collapsed="false">
      <c r="B2761" s="0" t="s">
        <v>1583</v>
      </c>
    </row>
    <row r="2763" customFormat="false" ht="12.8" hidden="false" customHeight="false" outlineLevel="0" collapsed="false">
      <c r="A2763" s="0" t="s">
        <v>1584</v>
      </c>
      <c r="B2763" s="0" t="str">
        <f aca="false">HYPERLINK("https://lindat.mff.cuni.cz/services/teitok/pdtc10/index.php?action=vallex&amp;frame=v-w11256f4_ZU", "chytat se (v-w11256f4_ZU)")</f>
        <v>chytat se (v-w11256f4_ZU)</v>
      </c>
    </row>
    <row r="2764" customFormat="false" ht="12.8" hidden="false" customHeight="false" outlineLevel="0" collapsed="false">
      <c r="B2764" s="0" t="s">
        <v>1</v>
      </c>
    </row>
    <row r="2765" customFormat="false" ht="12.8" hidden="false" customHeight="false" outlineLevel="0" collapsed="false">
      <c r="B2765" s="0" t="s">
        <v>1289</v>
      </c>
    </row>
    <row r="2767" customFormat="false" ht="12.8" hidden="false" customHeight="false" outlineLevel="0" collapsed="false">
      <c r="A2767" s="0" t="s">
        <v>1584</v>
      </c>
      <c r="B2767" s="0" t="str">
        <f aca="false">HYPERLINK("https://lindat.mff.cuni.cz/services/teitok/pdtc10/index.php?action=vallex&amp;frame=v-w11256f3_ZU", "chytat se (v-w11256f3_ZU) - substituted with v-w11256f4_ZU")</f>
        <v>chytat se (v-w11256f3_ZU) - substituted with v-w11256f4_ZU</v>
      </c>
    </row>
    <row r="2768" customFormat="false" ht="12.8" hidden="false" customHeight="false" outlineLevel="0" collapsed="false">
      <c r="B2768" s="0" t="s">
        <v>1</v>
      </c>
    </row>
    <row r="2769" customFormat="false" ht="12.8" hidden="false" customHeight="false" outlineLevel="0" collapsed="false">
      <c r="B2769" s="0" t="s">
        <v>1289</v>
      </c>
    </row>
    <row r="2771" customFormat="false" ht="12.8" hidden="false" customHeight="false" outlineLevel="0" collapsed="false">
      <c r="A2771" s="0" t="s">
        <v>1585</v>
      </c>
      <c r="B2771" s="0" t="str">
        <f aca="false">HYPERLINK("https://lindat.mff.cuni.cz/services/teitok/pdtc10/index.php?action=vallex&amp;frame=v-w1212f1", "chytit (v-w1212f1)")</f>
        <v>chytit (v-w1212f1)</v>
      </c>
      <c r="E2771" s="0" t="str">
        <f aca="false">HYPERLINK("https://lindat.mff.cuni.cz/services/SynSemClass40/SynSemClass40.html?veclass=vec00615#vec00615-ces-cm00001", "vec00615")</f>
        <v>vec00615</v>
      </c>
      <c r="F2771" s="0" t="s">
        <v>1566</v>
      </c>
    </row>
    <row r="2772" customFormat="false" ht="12.8" hidden="false" customHeight="false" outlineLevel="0" collapsed="false">
      <c r="B2772" s="0" t="s">
        <v>1</v>
      </c>
      <c r="C2772" s="0" t="s">
        <v>512</v>
      </c>
      <c r="E2772" s="0" t="s">
        <v>1567</v>
      </c>
      <c r="F2772" s="0" t="s">
        <v>1568</v>
      </c>
    </row>
    <row r="2773" customFormat="false" ht="12.8" hidden="false" customHeight="false" outlineLevel="0" collapsed="false">
      <c r="B2773" s="0" t="s">
        <v>8</v>
      </c>
      <c r="C2773" s="0" t="s">
        <v>744</v>
      </c>
      <c r="E2773" s="0" t="s">
        <v>1569</v>
      </c>
      <c r="F2773" s="0" t="s">
        <v>1570</v>
      </c>
    </row>
    <row r="2775" customFormat="false" ht="12.8" hidden="false" customHeight="false" outlineLevel="0" collapsed="false">
      <c r="A2775" s="0" t="s">
        <v>1586</v>
      </c>
      <c r="B2775" s="0" t="str">
        <f aca="false">HYPERLINK("https://lindat.mff.cuni.cz/services/teitok/pdtc10/index.php?action=vallex&amp;frame=v-w1212f10_ZU", "chytit (v-w1212f10_ZU)")</f>
        <v>chytit (v-w1212f10_ZU)</v>
      </c>
    </row>
    <row r="2776" customFormat="false" ht="12.8" hidden="false" customHeight="false" outlineLevel="0" collapsed="false">
      <c r="B2776" s="0" t="s">
        <v>1</v>
      </c>
    </row>
    <row r="2777" customFormat="false" ht="12.8" hidden="false" customHeight="false" outlineLevel="0" collapsed="false">
      <c r="B2777" s="0" t="s">
        <v>8</v>
      </c>
    </row>
    <row r="2779" customFormat="false" ht="12.8" hidden="false" customHeight="false" outlineLevel="0" collapsed="false">
      <c r="A2779" s="0" t="s">
        <v>1586</v>
      </c>
      <c r="B2779" s="0" t="str">
        <f aca="false">HYPERLINK("https://lindat.mff.cuni.cz/services/teitok/pdtc10/index.php?action=vallex&amp;frame=v-w1212f3", "chytit (v-w1212f3) - substituted with v-w1212f10_ZU")</f>
        <v>chytit (v-w1212f3) - substituted with v-w1212f10_ZU</v>
      </c>
      <c r="E2779" s="0" t="str">
        <f aca="false">HYPERLINK("https://lindat.mff.cuni.cz/services/SynSemClass40/SynSemClass40.html?veclass=vec00126#vec00126-ces-cm00002", "vec00126")</f>
        <v>vec00126</v>
      </c>
      <c r="F2779" s="0" t="s">
        <v>1572</v>
      </c>
    </row>
    <row r="2780" customFormat="false" ht="12.8" hidden="false" customHeight="false" outlineLevel="0" collapsed="false">
      <c r="B2780" s="0" t="s">
        <v>1</v>
      </c>
      <c r="C2780" s="0" t="s">
        <v>459</v>
      </c>
      <c r="E2780" s="0" t="s">
        <v>1573</v>
      </c>
      <c r="F2780" s="0" t="s">
        <v>1574</v>
      </c>
    </row>
    <row r="2781" customFormat="false" ht="12.8" hidden="false" customHeight="false" outlineLevel="0" collapsed="false">
      <c r="B2781" s="0" t="s">
        <v>8</v>
      </c>
      <c r="C2781" s="0" t="s">
        <v>1575</v>
      </c>
      <c r="E2781" s="0" t="s">
        <v>142</v>
      </c>
      <c r="F2781" s="0" t="s">
        <v>1576</v>
      </c>
    </row>
    <row r="2783" customFormat="false" ht="12.8" hidden="false" customHeight="false" outlineLevel="0" collapsed="false">
      <c r="A2783" s="0" t="s">
        <v>1587</v>
      </c>
      <c r="B2783" s="0" t="str">
        <f aca="false">HYPERLINK("https://lindat.mff.cuni.cz/services/teitok/pdtc10/index.php?action=vallex&amp;frame=v-w1212f4", "chytit (v-w1212f4)")</f>
        <v>chytit (v-w1212f4)</v>
      </c>
    </row>
    <row r="2784" customFormat="false" ht="12.8" hidden="false" customHeight="false" outlineLevel="0" collapsed="false">
      <c r="B2784" s="0" t="s">
        <v>1</v>
      </c>
    </row>
    <row r="2785" customFormat="false" ht="12.8" hidden="false" customHeight="false" outlineLevel="0" collapsed="false">
      <c r="B2785" s="0" t="s">
        <v>8</v>
      </c>
    </row>
    <row r="2787" customFormat="false" ht="12.8" hidden="false" customHeight="false" outlineLevel="0" collapsed="false">
      <c r="A2787" s="0" t="s">
        <v>1588</v>
      </c>
      <c r="B2787" s="0" t="str">
        <f aca="false">HYPERLINK("https://lindat.mff.cuni.cz/services/teitok/pdtc10/index.php?action=vallex&amp;frame=v-w1212f2", "chytit (v-w1212f2)")</f>
        <v>chytit (v-w1212f2)</v>
      </c>
      <c r="E2787" s="0" t="str">
        <f aca="false">HYPERLINK("https://lindat.mff.cuni.cz/services/SynSemClass40/SynSemClass40.html?veclass=vec01517#vec01517-ces-cm00007", "vec01517")</f>
        <v>vec01517</v>
      </c>
      <c r="F2787" s="0" t="s">
        <v>1589</v>
      </c>
    </row>
    <row r="2788" customFormat="false" ht="12.8" hidden="false" customHeight="false" outlineLevel="0" collapsed="false">
      <c r="B2788" s="0" t="s">
        <v>1</v>
      </c>
      <c r="E2788" s="0" t="s">
        <v>1590</v>
      </c>
      <c r="F2788" s="0" t="s">
        <v>1591</v>
      </c>
    </row>
    <row r="2789" customFormat="false" ht="12.8" hidden="false" customHeight="false" outlineLevel="0" collapsed="false">
      <c r="B2789" s="0" t="s">
        <v>763</v>
      </c>
      <c r="E2789" s="0" t="s">
        <v>1592</v>
      </c>
      <c r="F2789" s="0" t="s">
        <v>1593</v>
      </c>
    </row>
    <row r="2791" customFormat="false" ht="12.8" hidden="false" customHeight="false" outlineLevel="0" collapsed="false">
      <c r="A2791" s="0" t="s">
        <v>1594</v>
      </c>
      <c r="B2791" s="0" t="str">
        <f aca="false">HYPERLINK("https://lindat.mff.cuni.cz/services/teitok/pdtc10/index.php?action=vallex&amp;frame=v-w1212hsa_417", "chytit (v-w1212hsa_417)")</f>
        <v>chytit (v-w1212hsa_417)</v>
      </c>
      <c r="E2791" s="0" t="str">
        <f aca="false">HYPERLINK("https://lindat.mff.cuni.cz/services/SynSemClass40/SynSemClass40.html?veclass=vec00390#vec00390-ces-cm00033", "vec00390")</f>
        <v>vec00390</v>
      </c>
      <c r="F2791" s="0" t="s">
        <v>1595</v>
      </c>
    </row>
    <row r="2792" customFormat="false" ht="12.8" hidden="false" customHeight="false" outlineLevel="0" collapsed="false">
      <c r="B2792" s="0" t="s">
        <v>1</v>
      </c>
      <c r="C2792" s="0" t="s">
        <v>1596</v>
      </c>
      <c r="E2792" s="0" t="s">
        <v>1597</v>
      </c>
      <c r="F2792" s="0" t="s">
        <v>1598</v>
      </c>
    </row>
    <row r="2793" customFormat="false" ht="12.8" hidden="false" customHeight="false" outlineLevel="0" collapsed="false">
      <c r="B2793" s="0" t="s">
        <v>1599</v>
      </c>
    </row>
    <row r="2795" customFormat="false" ht="12.8" hidden="false" customHeight="false" outlineLevel="0" collapsed="false">
      <c r="A2795" s="0" t="s">
        <v>1594</v>
      </c>
      <c r="B2795" s="0" t="str">
        <f aca="false">HYPERLINK("https://lindat.mff.cuni.cz/services/teitok/pdtc10/index.php?action=vallex&amp;frame=v-w1212f5_ZU", "chytit (v-w1212f5_ZU) - substituted with v-w1212hsa_417")</f>
        <v>chytit (v-w1212f5_ZU) - substituted with v-w1212hsa_417</v>
      </c>
    </row>
    <row r="2796" customFormat="false" ht="12.8" hidden="false" customHeight="false" outlineLevel="0" collapsed="false">
      <c r="B2796" s="0" t="s">
        <v>1</v>
      </c>
    </row>
    <row r="2797" customFormat="false" ht="12.8" hidden="false" customHeight="false" outlineLevel="0" collapsed="false">
      <c r="B2797" s="0" t="s">
        <v>1599</v>
      </c>
    </row>
    <row r="2799" customFormat="false" ht="12.8" hidden="false" customHeight="false" outlineLevel="0" collapsed="false">
      <c r="A2799" s="0" t="s">
        <v>1594</v>
      </c>
      <c r="B2799" s="0" t="str">
        <f aca="false">HYPERLINK("https://lindat.mff.cuni.cz/services/teitok/pdtc10/index.php?action=vallex&amp;frame=v-w1212f6_ZU", "chytit (v-w1212f6_ZU) - substituted with v-w1212hsa_417")</f>
        <v>chytit (v-w1212f6_ZU) - substituted with v-w1212hsa_417</v>
      </c>
    </row>
    <row r="2800" customFormat="false" ht="12.8" hidden="false" customHeight="false" outlineLevel="0" collapsed="false">
      <c r="B2800" s="0" t="s">
        <v>1</v>
      </c>
    </row>
    <row r="2801" customFormat="false" ht="12.8" hidden="false" customHeight="false" outlineLevel="0" collapsed="false">
      <c r="B2801" s="0" t="s">
        <v>1599</v>
      </c>
    </row>
    <row r="2803" customFormat="false" ht="12.8" hidden="false" customHeight="false" outlineLevel="0" collapsed="false">
      <c r="A2803" s="0" t="s">
        <v>1600</v>
      </c>
      <c r="B2803" s="0" t="str">
        <f aca="false">HYPERLINK("https://lindat.mff.cuni.cz/services/teitok/pdtc10/index.php?action=vallex&amp;frame=v-w1212f8_ZU", "chytit (v-w1212f8_ZU)")</f>
        <v>chytit (v-w1212f8_ZU)</v>
      </c>
    </row>
    <row r="2804" customFormat="false" ht="12.8" hidden="false" customHeight="false" outlineLevel="0" collapsed="false">
      <c r="B2804" s="0" t="s">
        <v>1</v>
      </c>
    </row>
    <row r="2805" customFormat="false" ht="12.8" hidden="false" customHeight="false" outlineLevel="0" collapsed="false">
      <c r="B2805" s="0" t="s">
        <v>1601</v>
      </c>
    </row>
    <row r="2806" customFormat="false" ht="12.8" hidden="false" customHeight="false" outlineLevel="0" collapsed="false">
      <c r="B2806" s="0" t="s">
        <v>8</v>
      </c>
    </row>
    <row r="2808" customFormat="false" ht="12.8" hidden="false" customHeight="false" outlineLevel="0" collapsed="false">
      <c r="A2808" s="0" t="s">
        <v>1600</v>
      </c>
      <c r="B2808" s="0" t="str">
        <f aca="false">HYPERLINK("https://lindat.mff.cuni.cz/services/teitok/pdtc10/index.php?action=vallex&amp;frame=v-w1212hsa_418", "chytit (v-w1212hsa_418) - substituted with v-w1212f8_ZU")</f>
        <v>chytit (v-w1212hsa_418) - substituted with v-w1212f8_ZU</v>
      </c>
    </row>
    <row r="2809" customFormat="false" ht="12.8" hidden="false" customHeight="false" outlineLevel="0" collapsed="false">
      <c r="B2809" s="0" t="s">
        <v>1</v>
      </c>
    </row>
    <row r="2810" customFormat="false" ht="12.8" hidden="false" customHeight="false" outlineLevel="0" collapsed="false">
      <c r="B2810" s="0" t="s">
        <v>1601</v>
      </c>
    </row>
    <row r="2811" customFormat="false" ht="12.8" hidden="false" customHeight="false" outlineLevel="0" collapsed="false">
      <c r="B2811" s="0" t="s">
        <v>8</v>
      </c>
    </row>
    <row r="2813" customFormat="false" ht="12.8" hidden="false" customHeight="false" outlineLevel="0" collapsed="false">
      <c r="A2813" s="0" t="s">
        <v>1602</v>
      </c>
      <c r="B2813" s="0" t="str">
        <f aca="false">HYPERLINK("https://lindat.mff.cuni.cz/services/teitok/pdtc10/index.php?action=vallex&amp;frame=v-w1212f7_ZU", "chytit (v-w1212f7_ZU)")</f>
        <v>chytit (v-w1212f7_ZU)</v>
      </c>
      <c r="E2813" s="0" t="str">
        <f aca="false">HYPERLINK("https://lindat.mff.cuni.cz/services/SynSemClass40/SynSemClass40.html?veclass=vec00825#vec00825-ces-cm00001", "vec00825")</f>
        <v>vec00825</v>
      </c>
      <c r="F2813" s="0" t="s">
        <v>1603</v>
      </c>
    </row>
    <row r="2814" customFormat="false" ht="12.8" hidden="false" customHeight="false" outlineLevel="0" collapsed="false">
      <c r="B2814" s="0" t="s">
        <v>1</v>
      </c>
      <c r="E2814" s="0" t="s">
        <v>1604</v>
      </c>
      <c r="F2814" s="0" t="s">
        <v>1605</v>
      </c>
    </row>
    <row r="2815" customFormat="false" ht="12.8" hidden="false" customHeight="false" outlineLevel="0" collapsed="false">
      <c r="B2815" s="0" t="s">
        <v>1606</v>
      </c>
    </row>
    <row r="2817" customFormat="false" ht="12.8" hidden="false" customHeight="false" outlineLevel="0" collapsed="false">
      <c r="A2817" s="0" t="s">
        <v>1607</v>
      </c>
      <c r="B2817" s="0" t="str">
        <f aca="false">HYPERLINK("https://lindat.mff.cuni.cz/services/teitok/pdtc10/index.php?action=vallex&amp;frame=v-w1212f9_ZU", "chytit (v-w1212f9_ZU)")</f>
        <v>chytit (v-w1212f9_ZU)</v>
      </c>
    </row>
    <row r="2818" customFormat="false" ht="12.8" hidden="false" customHeight="false" outlineLevel="0" collapsed="false">
      <c r="B2818" s="0" t="s">
        <v>1</v>
      </c>
    </row>
    <row r="2819" customFormat="false" ht="12.8" hidden="false" customHeight="false" outlineLevel="0" collapsed="false">
      <c r="B2819" s="0" t="s">
        <v>8</v>
      </c>
    </row>
    <row r="2821" customFormat="false" ht="12.8" hidden="false" customHeight="false" outlineLevel="0" collapsed="false">
      <c r="A2821" s="0" t="s">
        <v>1608</v>
      </c>
      <c r="B2821" s="0" t="str">
        <f aca="false">HYPERLINK("https://lindat.mff.cuni.cz/services/teitok/pdtc10/index.php?action=vallex&amp;frame=v-w1212hsa_1421", "chytit (v-w1212hsa_1421)")</f>
        <v>chytit (v-w1212hsa_1421)</v>
      </c>
    </row>
    <row r="2822" customFormat="false" ht="12.8" hidden="false" customHeight="false" outlineLevel="0" collapsed="false">
      <c r="B2822" s="0" t="s">
        <v>1</v>
      </c>
    </row>
    <row r="2823" customFormat="false" ht="12.8" hidden="false" customHeight="false" outlineLevel="0" collapsed="false">
      <c r="B2823" s="0" t="s">
        <v>8</v>
      </c>
    </row>
    <row r="2825" customFormat="false" ht="12.8" hidden="false" customHeight="false" outlineLevel="0" collapsed="false">
      <c r="A2825" s="0" t="s">
        <v>1609</v>
      </c>
      <c r="B2825" s="0" t="str">
        <f aca="false">HYPERLINK("https://lindat.mff.cuni.cz/services/teitok/pdtc10/index.php?action=vallex&amp;frame=v-w1212hsa_1422", "chytit (v-w1212hsa_1422)")</f>
        <v>chytit (v-w1212hsa_1422)</v>
      </c>
    </row>
    <row r="2826" customFormat="false" ht="12.8" hidden="false" customHeight="false" outlineLevel="0" collapsed="false">
      <c r="B2826" s="0" t="s">
        <v>1</v>
      </c>
    </row>
    <row r="2827" customFormat="false" ht="12.8" hidden="false" customHeight="false" outlineLevel="0" collapsed="false">
      <c r="B2827" s="0" t="s">
        <v>8</v>
      </c>
    </row>
    <row r="2829" customFormat="false" ht="12.8" hidden="false" customHeight="false" outlineLevel="0" collapsed="false">
      <c r="A2829" s="0" t="s">
        <v>1610</v>
      </c>
      <c r="B2829" s="0" t="str">
        <f aca="false">HYPERLINK("https://lindat.mff.cuni.cz/services/teitok/pdtc10/index.php?action=vallex&amp;frame=v-w1212hsa_1423", "chytit (v-w1212hsa_1423)")</f>
        <v>chytit (v-w1212hsa_1423)</v>
      </c>
    </row>
    <row r="2830" customFormat="false" ht="12.8" hidden="false" customHeight="false" outlineLevel="0" collapsed="false">
      <c r="B2830" s="0" t="s">
        <v>1</v>
      </c>
    </row>
    <row r="2831" customFormat="false" ht="12.8" hidden="false" customHeight="false" outlineLevel="0" collapsed="false">
      <c r="B2831" s="0" t="s">
        <v>8</v>
      </c>
    </row>
    <row r="2832" customFormat="false" ht="12.8" hidden="false" customHeight="false" outlineLevel="0" collapsed="false">
      <c r="B2832" s="0" t="s">
        <v>602</v>
      </c>
    </row>
    <row r="2834" customFormat="false" ht="12.8" hidden="false" customHeight="false" outlineLevel="0" collapsed="false">
      <c r="A2834" s="0" t="s">
        <v>1611</v>
      </c>
      <c r="B2834" s="0" t="str">
        <f aca="false">HYPERLINK("https://lindat.mff.cuni.cz/services/teitok/pdtc10/index.php?action=vallex&amp;frame=v-w1213f3", "chytit se (v-w1213f3)")</f>
        <v>chytit se (v-w1213f3)</v>
      </c>
      <c r="E2834" s="0" t="str">
        <f aca="false">HYPERLINK("https://lindat.mff.cuni.cz/services/SynSemClass40/SynSemClass40.html?veclass=vec00616#vec00616-ces-cm00001", "vec00616")</f>
        <v>vec00616</v>
      </c>
      <c r="F2834" s="0" t="s">
        <v>1612</v>
      </c>
    </row>
    <row r="2835" customFormat="false" ht="12.8" hidden="false" customHeight="false" outlineLevel="0" collapsed="false">
      <c r="B2835" s="0" t="s">
        <v>1</v>
      </c>
      <c r="C2835" s="0" t="s">
        <v>512</v>
      </c>
      <c r="E2835" s="0" t="s">
        <v>11</v>
      </c>
      <c r="F2835" s="0" t="s">
        <v>1613</v>
      </c>
    </row>
    <row r="2836" customFormat="false" ht="12.8" hidden="false" customHeight="false" outlineLevel="0" collapsed="false">
      <c r="B2836" s="0" t="s">
        <v>1289</v>
      </c>
      <c r="C2836" s="0" t="s">
        <v>800</v>
      </c>
      <c r="E2836" s="0" t="s">
        <v>14</v>
      </c>
      <c r="F2836" s="0" t="s">
        <v>1614</v>
      </c>
    </row>
    <row r="2838" customFormat="false" ht="12.8" hidden="false" customHeight="false" outlineLevel="0" collapsed="false">
      <c r="A2838" s="0" t="s">
        <v>1615</v>
      </c>
      <c r="B2838" s="0" t="str">
        <f aca="false">HYPERLINK("https://lindat.mff.cuni.cz/services/teitok/pdtc10/index.php?action=vallex&amp;frame=v-w1213f4", "chytit se (v-w1213f4)")</f>
        <v>chytit se (v-w1213f4)</v>
      </c>
    </row>
    <row r="2839" customFormat="false" ht="12.8" hidden="false" customHeight="false" outlineLevel="0" collapsed="false">
      <c r="B2839" s="0" t="s">
        <v>1</v>
      </c>
    </row>
    <row r="2840" customFormat="false" ht="12.8" hidden="false" customHeight="false" outlineLevel="0" collapsed="false">
      <c r="B2840" s="0" t="s">
        <v>1289</v>
      </c>
    </row>
    <row r="2842" customFormat="false" ht="12.8" hidden="false" customHeight="false" outlineLevel="0" collapsed="false">
      <c r="A2842" s="0" t="s">
        <v>1616</v>
      </c>
      <c r="B2842" s="0" t="str">
        <f aca="false">HYPERLINK("https://lindat.mff.cuni.cz/services/teitok/pdtc10/index.php?action=vallex&amp;frame=v-w1213f5_ZU", "chytit se (v-w1213f5_ZU)")</f>
        <v>chytit se (v-w1213f5_ZU)</v>
      </c>
      <c r="E2842" s="0" t="str">
        <f aca="false">HYPERLINK("https://lindat.mff.cuni.cz/services/SynSemClass40/SynSemClass40.html?veclass=vec01115#vec01115-ces-cm00007", "vec01115")</f>
        <v>vec01115</v>
      </c>
      <c r="F2842" s="0" t="s">
        <v>1617</v>
      </c>
    </row>
    <row r="2843" customFormat="false" ht="12.8" hidden="false" customHeight="false" outlineLevel="0" collapsed="false">
      <c r="B2843" s="0" t="s">
        <v>1</v>
      </c>
      <c r="C2843" s="0" t="s">
        <v>1618</v>
      </c>
      <c r="E2843" s="0" t="s">
        <v>11</v>
      </c>
      <c r="F2843" s="0" t="s">
        <v>1619</v>
      </c>
    </row>
    <row r="2844" customFormat="false" ht="12.8" hidden="false" customHeight="false" outlineLevel="0" collapsed="false">
      <c r="B2844" s="0" t="s">
        <v>454</v>
      </c>
      <c r="C2844" s="0" t="s">
        <v>1620</v>
      </c>
      <c r="E2844" s="0" t="s">
        <v>363</v>
      </c>
      <c r="F2844" s="0" t="s">
        <v>1621</v>
      </c>
    </row>
    <row r="2846" customFormat="false" ht="12.8" hidden="false" customHeight="false" outlineLevel="0" collapsed="false">
      <c r="A2846" s="0" t="s">
        <v>1622</v>
      </c>
      <c r="B2846" s="0" t="str">
        <f aca="false">HYPERLINK("https://lindat.mff.cuni.cz/services/teitok/pdtc10/index.php?action=vallex&amp;frame=v-w1213f1", "chytit se (v-w1213f1)")</f>
        <v>chytit se (v-w1213f1)</v>
      </c>
    </row>
    <row r="2847" customFormat="false" ht="12.8" hidden="false" customHeight="false" outlineLevel="0" collapsed="false">
      <c r="B2847" s="0" t="s">
        <v>1</v>
      </c>
    </row>
    <row r="2849" customFormat="false" ht="12.8" hidden="false" customHeight="false" outlineLevel="0" collapsed="false">
      <c r="A2849" s="0" t="s">
        <v>1623</v>
      </c>
      <c r="B2849" s="0" t="str">
        <f aca="false">HYPERLINK("https://lindat.mff.cuni.cz/services/teitok/pdtc10/index.php?action=vallex&amp;frame=v-w1213f8_ZU", "chytit se (v-w1213f8_ZU)")</f>
        <v>chytit se (v-w1213f8_ZU)</v>
      </c>
    </row>
    <row r="2850" customFormat="false" ht="12.8" hidden="false" customHeight="false" outlineLevel="0" collapsed="false">
      <c r="B2850" s="0" t="s">
        <v>1</v>
      </c>
    </row>
    <row r="2852" customFormat="false" ht="12.8" hidden="false" customHeight="false" outlineLevel="0" collapsed="false">
      <c r="A2852" s="0" t="s">
        <v>1623</v>
      </c>
      <c r="B2852" s="0" t="str">
        <f aca="false">HYPERLINK("https://lindat.mff.cuni.cz/services/teitok/pdtc10/index.php?action=vallex&amp;frame=v-w1213f2", "chytit se (v-w1213f2) - substituted with v-w1213f8_ZU")</f>
        <v>chytit se (v-w1213f2) - substituted with v-w1213f8_ZU</v>
      </c>
    </row>
    <row r="2853" customFormat="false" ht="12.8" hidden="false" customHeight="false" outlineLevel="0" collapsed="false">
      <c r="B2853" s="0" t="s">
        <v>1</v>
      </c>
    </row>
    <row r="2855" customFormat="false" ht="12.8" hidden="false" customHeight="false" outlineLevel="0" collapsed="false">
      <c r="A2855" s="0" t="s">
        <v>1624</v>
      </c>
      <c r="B2855" s="0" t="str">
        <f aca="false">HYPERLINK("https://lindat.mff.cuni.cz/services/teitok/pdtc10/index.php?action=vallex&amp;frame=v-w1213f6_ZU", "chytit se (v-w1213f6_ZU)")</f>
        <v>chytit se (v-w1213f6_ZU)</v>
      </c>
    </row>
    <row r="2856" customFormat="false" ht="12.8" hidden="false" customHeight="false" outlineLevel="0" collapsed="false">
      <c r="B2856" s="0" t="s">
        <v>1</v>
      </c>
    </row>
    <row r="2857" customFormat="false" ht="12.8" hidden="false" customHeight="false" outlineLevel="0" collapsed="false">
      <c r="B2857" s="0" t="s">
        <v>814</v>
      </c>
    </row>
    <row r="2859" customFormat="false" ht="12.8" hidden="false" customHeight="false" outlineLevel="0" collapsed="false">
      <c r="A2859" s="0" t="s">
        <v>1624</v>
      </c>
      <c r="B2859" s="0" t="str">
        <f aca="false">HYPERLINK("https://lindat.mff.cuni.cz/services/teitok/pdtc10/index.php?action=vallex&amp;frame=v-w1213hsa_791", "chytit se (v-w1213hsa_791) - substituted with v-w1213f6_ZU")</f>
        <v>chytit se (v-w1213hsa_791) - substituted with v-w1213f6_ZU</v>
      </c>
    </row>
    <row r="2860" customFormat="false" ht="12.8" hidden="false" customHeight="false" outlineLevel="0" collapsed="false">
      <c r="B2860" s="0" t="s">
        <v>1</v>
      </c>
    </row>
    <row r="2861" customFormat="false" ht="12.8" hidden="false" customHeight="false" outlineLevel="0" collapsed="false">
      <c r="B2861" s="0" t="s">
        <v>814</v>
      </c>
    </row>
    <row r="2863" customFormat="false" ht="12.8" hidden="false" customHeight="false" outlineLevel="0" collapsed="false">
      <c r="A2863" s="0" t="s">
        <v>1625</v>
      </c>
      <c r="B2863" s="0" t="str">
        <f aca="false">HYPERLINK("https://lindat.mff.cuni.cz/services/teitok/pdtc10/index.php?action=vallex&amp;frame=v-w1213f7_ZU", "chytit se (v-w1213f7_ZU)")</f>
        <v>chytit se (v-w1213f7_ZU)</v>
      </c>
    </row>
    <row r="2864" customFormat="false" ht="12.8" hidden="false" customHeight="false" outlineLevel="0" collapsed="false">
      <c r="B2864" s="0" t="s">
        <v>1</v>
      </c>
    </row>
    <row r="2865" customFormat="false" ht="12.8" hidden="false" customHeight="false" outlineLevel="0" collapsed="false">
      <c r="B2865" s="0" t="s">
        <v>721</v>
      </c>
    </row>
    <row r="2867" customFormat="false" ht="12.8" hidden="false" customHeight="false" outlineLevel="0" collapsed="false">
      <c r="A2867" s="0" t="s">
        <v>1626</v>
      </c>
      <c r="B2867" s="0" t="str">
        <f aca="false">HYPERLINK("https://lindat.mff.cuni.cz/services/teitok/pdtc10/index.php?action=vallex&amp;frame=v-whsa_1015f1_ZU", "chytnout (v-whsa_1015f1_ZU)")</f>
        <v>chytnout (v-whsa_1015f1_ZU)</v>
      </c>
    </row>
    <row r="2868" customFormat="false" ht="12.8" hidden="false" customHeight="false" outlineLevel="0" collapsed="false">
      <c r="B2868" s="0" t="s">
        <v>1</v>
      </c>
    </row>
    <row r="2870" customFormat="false" ht="12.8" hidden="false" customHeight="false" outlineLevel="0" collapsed="false">
      <c r="A2870" s="0" t="s">
        <v>1626</v>
      </c>
      <c r="B2870" s="0" t="str">
        <f aca="false">HYPERLINK("https://lindat.mff.cuni.cz/services/teitok/pdtc10/index.php?action=vallex&amp;frame=v-whsa_1015hsa_1016", "chytnout (v-whsa_1015hsa_1016) - substituted with v-whsa_1015f1_ZU")</f>
        <v>chytnout (v-whsa_1015hsa_1016) - substituted with v-whsa_1015f1_ZU</v>
      </c>
    </row>
    <row r="2871" customFormat="false" ht="12.8" hidden="false" customHeight="false" outlineLevel="0" collapsed="false">
      <c r="B2871" s="0" t="s">
        <v>1</v>
      </c>
    </row>
    <row r="2873" customFormat="false" ht="12.8" hidden="false" customHeight="false" outlineLevel="0" collapsed="false">
      <c r="A2873" s="0" t="s">
        <v>1627</v>
      </c>
      <c r="B2873" s="0" t="str">
        <f aca="false">HYPERLINK("https://lindat.mff.cuni.cz/services/teitok/pdtc10/index.php?action=vallex&amp;frame=v-whsa_1015f2_ZU", "chytnout (v-whsa_1015f2_ZU)")</f>
        <v>chytnout (v-whsa_1015f2_ZU)</v>
      </c>
    </row>
    <row r="2874" customFormat="false" ht="12.8" hidden="false" customHeight="false" outlineLevel="0" collapsed="false">
      <c r="B2874" s="0" t="s">
        <v>1</v>
      </c>
    </row>
    <row r="2875" customFormat="false" ht="12.8" hidden="false" customHeight="false" outlineLevel="0" collapsed="false">
      <c r="B2875" s="0" t="s">
        <v>8</v>
      </c>
    </row>
    <row r="2877" customFormat="false" ht="12.8" hidden="false" customHeight="false" outlineLevel="0" collapsed="false">
      <c r="A2877" s="0" t="s">
        <v>1628</v>
      </c>
      <c r="B2877" s="0" t="str">
        <f aca="false">HYPERLINK("https://lindat.mff.cuni.cz/services/teitok/pdtc10/index.php?action=vallex&amp;frame=v-whsa_1015f3_ZU", "chytnout (v-whsa_1015f3_ZU)")</f>
        <v>chytnout (v-whsa_1015f3_ZU)</v>
      </c>
    </row>
    <row r="2878" customFormat="false" ht="12.8" hidden="false" customHeight="false" outlineLevel="0" collapsed="false">
      <c r="B2878" s="0" t="s">
        <v>1</v>
      </c>
    </row>
    <row r="2879" customFormat="false" ht="12.8" hidden="false" customHeight="false" outlineLevel="0" collapsed="false">
      <c r="B2879" s="0" t="s">
        <v>8</v>
      </c>
    </row>
    <row r="2881" customFormat="false" ht="12.8" hidden="false" customHeight="false" outlineLevel="0" collapsed="false">
      <c r="A2881" s="0" t="s">
        <v>1629</v>
      </c>
      <c r="B2881" s="0" t="str">
        <f aca="false">HYPERLINK("https://lindat.mff.cuni.cz/services/teitok/pdtc10/index.php?action=vallex&amp;frame=v-whsa_1015f4_ZU", "chytnout (v-whsa_1015f4_ZU)")</f>
        <v>chytnout (v-whsa_1015f4_ZU)</v>
      </c>
    </row>
    <row r="2882" customFormat="false" ht="12.8" hidden="false" customHeight="false" outlineLevel="0" collapsed="false">
      <c r="B2882" s="0" t="s">
        <v>1</v>
      </c>
    </row>
    <row r="2883" customFormat="false" ht="12.8" hidden="false" customHeight="false" outlineLevel="0" collapsed="false">
      <c r="B2883" s="0" t="s">
        <v>8</v>
      </c>
    </row>
    <row r="2884" customFormat="false" ht="12.8" hidden="false" customHeight="false" outlineLevel="0" collapsed="false">
      <c r="B2884" s="0" t="s">
        <v>602</v>
      </c>
    </row>
    <row r="2886" customFormat="false" ht="12.8" hidden="false" customHeight="false" outlineLevel="0" collapsed="false">
      <c r="A2886" s="0" t="s">
        <v>1630</v>
      </c>
      <c r="B2886" s="0" t="str">
        <f aca="false">HYPERLINK("https://lindat.mff.cuni.cz/services/teitok/pdtc10/index.php?action=vallex&amp;frame=v-whsa_1015f5_ZU", "chytnout (v-whsa_1015f5_ZU)")</f>
        <v>chytnout (v-whsa_1015f5_ZU)</v>
      </c>
    </row>
    <row r="2887" customFormat="false" ht="12.8" hidden="false" customHeight="false" outlineLevel="0" collapsed="false">
      <c r="B2887" s="0" t="s">
        <v>1</v>
      </c>
    </row>
    <row r="2888" customFormat="false" ht="12.8" hidden="false" customHeight="false" outlineLevel="0" collapsed="false">
      <c r="B2888" s="0" t="s">
        <v>8</v>
      </c>
    </row>
    <row r="2890" customFormat="false" ht="12.8" hidden="false" customHeight="false" outlineLevel="0" collapsed="false">
      <c r="A2890" s="0" t="s">
        <v>1630</v>
      </c>
      <c r="B2890" s="0" t="str">
        <f aca="false">HYPERLINK("https://lindat.mff.cuni.cz/services/teitok/pdtc10/index.php?action=vallex&amp;frame=v-whsa_1015hsa_1017", "chytnout (v-whsa_1015hsa_1017) - substituted with v-whsa_1015f5_ZU")</f>
        <v>chytnout (v-whsa_1015hsa_1017) - substituted with v-whsa_1015f5_ZU</v>
      </c>
    </row>
    <row r="2891" customFormat="false" ht="12.8" hidden="false" customHeight="false" outlineLevel="0" collapsed="false">
      <c r="B2891" s="0" t="s">
        <v>1</v>
      </c>
    </row>
    <row r="2892" customFormat="false" ht="12.8" hidden="false" customHeight="false" outlineLevel="0" collapsed="false">
      <c r="B2892" s="0" t="s">
        <v>8</v>
      </c>
    </row>
    <row r="2894" customFormat="false" ht="12.8" hidden="false" customHeight="false" outlineLevel="0" collapsed="false">
      <c r="A2894" s="0" t="s">
        <v>1631</v>
      </c>
      <c r="B2894" s="0" t="str">
        <f aca="false">HYPERLINK("https://lindat.mff.cuni.cz/services/teitok/pdtc10/index.php?action=vallex&amp;frame=v-whsa_1015f6_ZU", "chytnout (v-whsa_1015f6_ZU)")</f>
        <v>chytnout (v-whsa_1015f6_ZU)</v>
      </c>
    </row>
    <row r="2895" customFormat="false" ht="12.8" hidden="false" customHeight="false" outlineLevel="0" collapsed="false">
      <c r="B2895" s="0" t="s">
        <v>1</v>
      </c>
    </row>
    <row r="2896" customFormat="false" ht="12.8" hidden="false" customHeight="false" outlineLevel="0" collapsed="false">
      <c r="B2896" s="0" t="s">
        <v>8</v>
      </c>
    </row>
    <row r="2898" customFormat="false" ht="12.8" hidden="false" customHeight="false" outlineLevel="0" collapsed="false">
      <c r="A2898" s="0" t="s">
        <v>1632</v>
      </c>
      <c r="B2898" s="0" t="str">
        <f aca="false">HYPERLINK("https://lindat.mff.cuni.cz/services/teitok/pdtc10/index.php?action=vallex&amp;frame=v-whsa_1015f7_ZU", "chytnout (v-whsa_1015f7_ZU)")</f>
        <v>chytnout (v-whsa_1015f7_ZU)</v>
      </c>
    </row>
    <row r="2899" customFormat="false" ht="12.8" hidden="false" customHeight="false" outlineLevel="0" collapsed="false">
      <c r="B2899" s="0" t="s">
        <v>1</v>
      </c>
    </row>
    <row r="2900" customFormat="false" ht="12.8" hidden="false" customHeight="false" outlineLevel="0" collapsed="false">
      <c r="B2900" s="0" t="s">
        <v>8</v>
      </c>
    </row>
    <row r="2901" customFormat="false" ht="12.8" hidden="false" customHeight="false" outlineLevel="0" collapsed="false">
      <c r="B2901" s="0" t="s">
        <v>1633</v>
      </c>
    </row>
    <row r="2903" customFormat="false" ht="12.8" hidden="false" customHeight="false" outlineLevel="0" collapsed="false">
      <c r="A2903" s="0" t="s">
        <v>1632</v>
      </c>
      <c r="B2903" s="0" t="str">
        <f aca="false">HYPERLINK("https://lindat.mff.cuni.cz/services/teitok/pdtc10/index.php?action=vallex&amp;frame=v-whsa_1015hsa_1020", "chytnout (v-whsa_1015hsa_1020) - substituted with v-whsa_1015f7_ZU")</f>
        <v>chytnout (v-whsa_1015hsa_1020) - substituted with v-whsa_1015f7_ZU</v>
      </c>
    </row>
    <row r="2904" customFormat="false" ht="12.8" hidden="false" customHeight="false" outlineLevel="0" collapsed="false">
      <c r="B2904" s="0" t="s">
        <v>1</v>
      </c>
    </row>
    <row r="2905" customFormat="false" ht="12.8" hidden="false" customHeight="false" outlineLevel="0" collapsed="false">
      <c r="B2905" s="0" t="s">
        <v>8</v>
      </c>
    </row>
    <row r="2906" customFormat="false" ht="12.8" hidden="false" customHeight="false" outlineLevel="0" collapsed="false">
      <c r="B2906" s="0" t="s">
        <v>1633</v>
      </c>
    </row>
    <row r="2908" customFormat="false" ht="12.8" hidden="false" customHeight="false" outlineLevel="0" collapsed="false">
      <c r="A2908" s="0" t="s">
        <v>1634</v>
      </c>
      <c r="B2908" s="0" t="str">
        <f aca="false">HYPERLINK("https://lindat.mff.cuni.cz/services/teitok/pdtc10/index.php?action=vallex&amp;frame=v-whsa_1015hsa_1018", "chytnout (v-whsa_1015hsa_1018)")</f>
        <v>chytnout (v-whsa_1015hsa_1018)</v>
      </c>
    </row>
    <row r="2909" customFormat="false" ht="12.8" hidden="false" customHeight="false" outlineLevel="0" collapsed="false">
      <c r="B2909" s="0" t="s">
        <v>1</v>
      </c>
    </row>
    <row r="2910" customFormat="false" ht="12.8" hidden="false" customHeight="false" outlineLevel="0" collapsed="false">
      <c r="B2910" s="0" t="s">
        <v>8</v>
      </c>
    </row>
    <row r="2912" customFormat="false" ht="12.8" hidden="false" customHeight="false" outlineLevel="0" collapsed="false">
      <c r="A2912" s="0" t="s">
        <v>1635</v>
      </c>
      <c r="B2912" s="0" t="str">
        <f aca="false">HYPERLINK("https://lindat.mff.cuni.cz/services/teitok/pdtc10/index.php?action=vallex&amp;frame=v-whsa_1015hsa_1019", "chytnout (v-whsa_1015hsa_1019)")</f>
        <v>chytnout (v-whsa_1015hsa_1019)</v>
      </c>
    </row>
    <row r="2913" customFormat="false" ht="12.8" hidden="false" customHeight="false" outlineLevel="0" collapsed="false">
      <c r="B2913" s="0" t="s">
        <v>1</v>
      </c>
    </row>
    <row r="2914" customFormat="false" ht="12.8" hidden="false" customHeight="false" outlineLevel="0" collapsed="false">
      <c r="B2914" s="0" t="s">
        <v>8</v>
      </c>
    </row>
    <row r="2916" customFormat="false" ht="12.8" hidden="false" customHeight="false" outlineLevel="0" collapsed="false">
      <c r="A2916" s="0" t="s">
        <v>1636</v>
      </c>
      <c r="B2916" s="0" t="str">
        <f aca="false">HYPERLINK("https://lindat.mff.cuni.cz/services/teitok/pdtc10/index.php?action=vallex&amp;frame=v-w1214f1", "chytnout se (v-w1214f1)")</f>
        <v>chytnout se (v-w1214f1)</v>
      </c>
    </row>
    <row r="2917" customFormat="false" ht="12.8" hidden="false" customHeight="false" outlineLevel="0" collapsed="false">
      <c r="B2917" s="0" t="s">
        <v>1</v>
      </c>
    </row>
    <row r="2919" customFormat="false" ht="12.8" hidden="false" customHeight="false" outlineLevel="0" collapsed="false">
      <c r="A2919" s="0" t="s">
        <v>1637</v>
      </c>
      <c r="B2919" s="0" t="str">
        <f aca="false">HYPERLINK("https://lindat.mff.cuni.cz/services/teitok/pdtc10/index.php?action=vallex&amp;frame=v-w1214f2_ZU", "chytnout se (v-w1214f2_ZU)")</f>
        <v>chytnout se (v-w1214f2_ZU)</v>
      </c>
    </row>
    <row r="2920" customFormat="false" ht="12.8" hidden="false" customHeight="false" outlineLevel="0" collapsed="false">
      <c r="B2920" s="0" t="s">
        <v>1</v>
      </c>
    </row>
    <row r="2921" customFormat="false" ht="12.8" hidden="false" customHeight="false" outlineLevel="0" collapsed="false">
      <c r="B2921" s="0" t="s">
        <v>1289</v>
      </c>
    </row>
    <row r="2923" customFormat="false" ht="12.8" hidden="false" customHeight="false" outlineLevel="0" collapsed="false">
      <c r="A2923" s="0" t="s">
        <v>1638</v>
      </c>
      <c r="B2923" s="0" t="str">
        <f aca="false">HYPERLINK("https://lindat.mff.cuni.cz/services/teitok/pdtc10/index.php?action=vallex&amp;frame=v-w1214f3_ZU", "chytnout se (v-w1214f3_ZU)")</f>
        <v>chytnout se (v-w1214f3_ZU)</v>
      </c>
    </row>
    <row r="2924" customFormat="false" ht="12.8" hidden="false" customHeight="false" outlineLevel="0" collapsed="false">
      <c r="B2924" s="0" t="s">
        <v>1</v>
      </c>
    </row>
    <row r="2925" customFormat="false" ht="12.8" hidden="false" customHeight="false" outlineLevel="0" collapsed="false">
      <c r="B2925" s="0" t="s">
        <v>1289</v>
      </c>
    </row>
    <row r="2927" customFormat="false" ht="12.8" hidden="false" customHeight="false" outlineLevel="0" collapsed="false">
      <c r="A2927" s="0" t="s">
        <v>1639</v>
      </c>
      <c r="B2927" s="0" t="str">
        <f aca="false">HYPERLINK("https://lindat.mff.cuni.cz/services/teitok/pdtc10/index.php?action=vallex&amp;frame=v-w1162f1", "chápat (v-w1162f1)")</f>
        <v>chápat (v-w1162f1)</v>
      </c>
      <c r="E2927" s="0" t="str">
        <f aca="false">HYPERLINK("https://lindat.mff.cuni.cz/services/SynSemClass40/SynSemClass40.html?veclass=vec00402#vec00402-ces-cm00004", "vec00402")</f>
        <v>vec00402</v>
      </c>
      <c r="F2927" s="0" t="s">
        <v>619</v>
      </c>
    </row>
    <row r="2928" customFormat="false" ht="12.8" hidden="false" customHeight="false" outlineLevel="0" collapsed="false">
      <c r="B2928" s="0" t="s">
        <v>1</v>
      </c>
      <c r="C2928" s="0" t="s">
        <v>620</v>
      </c>
      <c r="E2928" s="0" t="s">
        <v>621</v>
      </c>
      <c r="F2928" s="0" t="s">
        <v>622</v>
      </c>
    </row>
    <row r="2929" customFormat="false" ht="12.8" hidden="false" customHeight="false" outlineLevel="0" collapsed="false">
      <c r="B2929" s="0" t="s">
        <v>8</v>
      </c>
      <c r="C2929" s="0" t="s">
        <v>623</v>
      </c>
      <c r="E2929" s="0" t="s">
        <v>180</v>
      </c>
      <c r="F2929" s="0" t="s">
        <v>624</v>
      </c>
    </row>
    <row r="2930" customFormat="false" ht="12.8" hidden="false" customHeight="false" outlineLevel="0" collapsed="false">
      <c r="B2930" s="0" t="s">
        <v>1640</v>
      </c>
      <c r="C2930" s="0" t="s">
        <v>625</v>
      </c>
      <c r="E2930" s="0" t="s">
        <v>626</v>
      </c>
      <c r="F2930" s="0" t="s">
        <v>627</v>
      </c>
    </row>
    <row r="2932" customFormat="false" ht="12.8" hidden="false" customHeight="false" outlineLevel="0" collapsed="false">
      <c r="A2932" s="0" t="s">
        <v>1641</v>
      </c>
      <c r="B2932" s="0" t="str">
        <f aca="false">HYPERLINK("https://lindat.mff.cuni.cz/services/teitok/pdtc10/index.php?action=vallex&amp;frame=v-w1162f4", "chápat (v-w1162f4)")</f>
        <v>chápat (v-w1162f4)</v>
      </c>
    </row>
    <row r="2933" customFormat="false" ht="12.8" hidden="false" customHeight="false" outlineLevel="0" collapsed="false">
      <c r="B2933" s="0" t="s">
        <v>1</v>
      </c>
    </row>
    <row r="2934" customFormat="false" ht="12.8" hidden="false" customHeight="false" outlineLevel="0" collapsed="false">
      <c r="B2934" s="0" t="s">
        <v>1642</v>
      </c>
    </row>
    <row r="2935" customFormat="false" ht="12.8" hidden="false" customHeight="false" outlineLevel="0" collapsed="false">
      <c r="B2935" s="0" t="s">
        <v>319</v>
      </c>
    </row>
    <row r="2937" customFormat="false" ht="12.8" hidden="false" customHeight="false" outlineLevel="0" collapsed="false">
      <c r="A2937" s="0" t="s">
        <v>1643</v>
      </c>
      <c r="B2937" s="0" t="str">
        <f aca="false">HYPERLINK("https://lindat.mff.cuni.cz/services/teitok/pdtc10/index.php?action=vallex&amp;frame=v-w1162f2", "chápat (v-w1162f2)")</f>
        <v>chápat (v-w1162f2)</v>
      </c>
      <c r="E2937" s="0" t="str">
        <f aca="false">HYPERLINK("https://lindat.mff.cuni.cz/services/SynSemClass40/SynSemClass40.html?veclass=vec00107#vec00107-ces-cm00028", "vec00107")</f>
        <v>vec00107</v>
      </c>
      <c r="F2937" s="0" t="s">
        <v>1644</v>
      </c>
      <c r="H2937" s="0" t="str">
        <f aca="false">HYPERLINK("https://lindat.mff.cuni.cz/services/SynSemClass40/SynSemClass40.html?veclass=vec01446#vec01446-ces-cm00006", "vec01446")</f>
        <v>vec01446</v>
      </c>
      <c r="I2937" s="0" t="s">
        <v>1645</v>
      </c>
    </row>
    <row r="2938" customFormat="false" ht="12.8" hidden="false" customHeight="false" outlineLevel="0" collapsed="false">
      <c r="B2938" s="0" t="s">
        <v>1</v>
      </c>
      <c r="C2938" s="0" t="s">
        <v>1646</v>
      </c>
      <c r="E2938" s="0" t="s">
        <v>621</v>
      </c>
      <c r="F2938" s="0" t="s">
        <v>1647</v>
      </c>
      <c r="H2938" s="0" t="s">
        <v>155</v>
      </c>
      <c r="I2938" s="0" t="s">
        <v>1648</v>
      </c>
    </row>
    <row r="2939" customFormat="false" ht="12.8" hidden="false" customHeight="false" outlineLevel="0" collapsed="false">
      <c r="B2939" s="0" t="s">
        <v>1649</v>
      </c>
      <c r="C2939" s="0" t="s">
        <v>1650</v>
      </c>
      <c r="E2939" s="0" t="s">
        <v>180</v>
      </c>
      <c r="F2939" s="0" t="s">
        <v>1651</v>
      </c>
      <c r="H2939" s="0" t="s">
        <v>142</v>
      </c>
      <c r="I2939" s="0" t="s">
        <v>1652</v>
      </c>
    </row>
    <row r="2941" customFormat="false" ht="12.8" hidden="false" customHeight="false" outlineLevel="0" collapsed="false">
      <c r="A2941" s="0" t="s">
        <v>1653</v>
      </c>
      <c r="B2941" s="0" t="str">
        <f aca="false">HYPERLINK("https://lindat.mff.cuni.cz/services/teitok/pdtc10/index.php?action=vallex&amp;frame=v-w1162f3", "chápat (v-w1162f3)")</f>
        <v>chápat (v-w1162f3)</v>
      </c>
    </row>
    <row r="2942" customFormat="false" ht="12.8" hidden="false" customHeight="false" outlineLevel="0" collapsed="false">
      <c r="B2942" s="0" t="s">
        <v>1</v>
      </c>
    </row>
    <row r="2943" customFormat="false" ht="12.8" hidden="false" customHeight="false" outlineLevel="0" collapsed="false">
      <c r="B2943" s="0" t="s">
        <v>8</v>
      </c>
    </row>
    <row r="2944" customFormat="false" ht="12.8" hidden="false" customHeight="false" outlineLevel="0" collapsed="false">
      <c r="B2944" s="0" t="s">
        <v>642</v>
      </c>
    </row>
    <row r="2945" customFormat="false" ht="12.8" hidden="false" customHeight="false" outlineLevel="0" collapsed="false">
      <c r="B2945" s="0" t="s">
        <v>648</v>
      </c>
    </row>
    <row r="2946" customFormat="false" ht="12.8" hidden="false" customHeight="false" outlineLevel="0" collapsed="false">
      <c r="B2946" s="0" t="s">
        <v>650</v>
      </c>
    </row>
    <row r="2947" customFormat="false" ht="12.8" hidden="false" customHeight="false" outlineLevel="0" collapsed="false">
      <c r="B2947" s="0" t="s">
        <v>652</v>
      </c>
    </row>
    <row r="2949" customFormat="false" ht="12.8" hidden="false" customHeight="false" outlineLevel="0" collapsed="false">
      <c r="A2949" s="0" t="s">
        <v>1654</v>
      </c>
      <c r="B2949" s="0" t="str">
        <f aca="false">HYPERLINK("https://lindat.mff.cuni.cz/services/teitok/pdtc10/index.php?action=vallex&amp;frame=v-w1163f1", "chápat se (v-w1163f1)")</f>
        <v>chápat se (v-w1163f1)</v>
      </c>
      <c r="E2949" s="0" t="str">
        <f aca="false">HYPERLINK("https://lindat.mff.cuni.cz/services/SynSemClass40/SynSemClass40.html?veclass=vec00613#vec00613-ces-cm00176", "vec00613")</f>
        <v>vec00613</v>
      </c>
      <c r="F2949" s="0" t="s">
        <v>604</v>
      </c>
    </row>
    <row r="2950" customFormat="false" ht="12.8" hidden="false" customHeight="false" outlineLevel="0" collapsed="false">
      <c r="B2950" s="0" t="s">
        <v>1</v>
      </c>
      <c r="C2950" s="0" t="s">
        <v>1436</v>
      </c>
      <c r="E2950" s="0" t="s">
        <v>31</v>
      </c>
      <c r="F2950" s="0" t="s">
        <v>608</v>
      </c>
    </row>
    <row r="2951" customFormat="false" ht="12.8" hidden="false" customHeight="false" outlineLevel="0" collapsed="false">
      <c r="B2951" s="0" t="s">
        <v>1289</v>
      </c>
      <c r="C2951" s="0" t="s">
        <v>1437</v>
      </c>
      <c r="E2951" s="0" t="s">
        <v>384</v>
      </c>
      <c r="F2951" s="0" t="s">
        <v>612</v>
      </c>
    </row>
    <row r="2953" customFormat="false" ht="12.8" hidden="false" customHeight="false" outlineLevel="0" collapsed="false">
      <c r="A2953" s="0" t="s">
        <v>1655</v>
      </c>
      <c r="B2953" s="0" t="str">
        <f aca="false">HYPERLINK("https://lindat.mff.cuni.cz/services/teitok/pdtc10/index.php?action=vallex&amp;frame=v-w1171f1", "chátrat (v-w1171f1)")</f>
        <v>chátrat (v-w1171f1)</v>
      </c>
    </row>
    <row r="2954" customFormat="false" ht="12.8" hidden="false" customHeight="false" outlineLevel="0" collapsed="false">
      <c r="B2954" s="0" t="s">
        <v>1</v>
      </c>
    </row>
    <row r="2956" customFormat="false" ht="12.8" hidden="false" customHeight="false" outlineLevel="0" collapsed="false">
      <c r="A2956" s="0" t="s">
        <v>1656</v>
      </c>
      <c r="B2956" s="0" t="str">
        <f aca="false">HYPERLINK("https://lindat.mff.cuni.cz/services/teitok/pdtc10/index.php?action=vallex&amp;frame=v-w1206f1", "chýlit se (v-w1206f1)")</f>
        <v>chýlit se (v-w1206f1)</v>
      </c>
      <c r="E2956" s="0" t="str">
        <f aca="false">HYPERLINK("https://lindat.mff.cuni.cz/services/SynSemClass40/SynSemClass40.html?veclass=vec01201#vec01201-ces-cm00003", "vec01201")</f>
        <v>vec01201</v>
      </c>
      <c r="F2956" s="0" t="s">
        <v>344</v>
      </c>
    </row>
    <row r="2957" customFormat="false" ht="12.8" hidden="false" customHeight="false" outlineLevel="0" collapsed="false">
      <c r="B2957" s="0" t="s">
        <v>1</v>
      </c>
      <c r="C2957" s="0" t="s">
        <v>360</v>
      </c>
      <c r="E2957" s="0" t="s">
        <v>235</v>
      </c>
      <c r="F2957" s="0" t="s">
        <v>349</v>
      </c>
    </row>
    <row r="2958" customFormat="false" ht="12.8" hidden="false" customHeight="false" outlineLevel="0" collapsed="false">
      <c r="B2958" s="0" t="s">
        <v>311</v>
      </c>
      <c r="C2958" s="0" t="s">
        <v>1657</v>
      </c>
      <c r="E2958" s="0" t="s">
        <v>354</v>
      </c>
      <c r="F2958" s="0" t="s">
        <v>355</v>
      </c>
    </row>
    <row r="2960" customFormat="false" ht="12.8" hidden="false" customHeight="false" outlineLevel="0" collapsed="false">
      <c r="A2960" s="0" t="s">
        <v>1658</v>
      </c>
      <c r="B2960" s="0" t="str">
        <f aca="false">HYPERLINK("https://lindat.mff.cuni.cz/services/teitok/pdtc10/index.php?action=vallex&amp;frame=v-whsa_1771hsa_1772", "chňapat (v-whsa_1771hsa_1772)")</f>
        <v>chňapat (v-whsa_1771hsa_1772)</v>
      </c>
    </row>
    <row r="2961" customFormat="false" ht="12.8" hidden="false" customHeight="false" outlineLevel="0" collapsed="false">
      <c r="B2961" s="0" t="s">
        <v>1</v>
      </c>
    </row>
    <row r="2962" customFormat="false" ht="12.8" hidden="false" customHeight="false" outlineLevel="0" collapsed="false">
      <c r="B2962" s="0" t="s">
        <v>1659</v>
      </c>
    </row>
    <row r="2964" customFormat="false" ht="12.8" hidden="false" customHeight="false" outlineLevel="0" collapsed="false">
      <c r="A2964" s="0" t="s">
        <v>1660</v>
      </c>
      <c r="B2964" s="0" t="str">
        <f aca="false">HYPERLINK("https://lindat.mff.cuni.cz/services/teitok/pdtc10/index.php?action=vallex&amp;frame=v-w11110f2", "chňapnout (v-w11110f2)")</f>
        <v>chňapnout (v-w11110f2)</v>
      </c>
    </row>
    <row r="2965" customFormat="false" ht="12.8" hidden="false" customHeight="false" outlineLevel="0" collapsed="false">
      <c r="B2965" s="0" t="s">
        <v>1</v>
      </c>
    </row>
    <row r="2966" customFormat="false" ht="12.8" hidden="false" customHeight="false" outlineLevel="0" collapsed="false">
      <c r="B2966" s="0" t="s">
        <v>1659</v>
      </c>
    </row>
    <row r="2968" customFormat="false" ht="12.8" hidden="false" customHeight="false" outlineLevel="0" collapsed="false">
      <c r="A2968" s="0" t="s">
        <v>1661</v>
      </c>
      <c r="B2968" s="0" t="str">
        <f aca="false">HYPERLINK("https://lindat.mff.cuni.cz/services/teitok/pdtc10/index.php?action=vallex&amp;frame=v-w10193f2", "chřadnout (v-w10193f2)")</f>
        <v>chřadnout (v-w10193f2)</v>
      </c>
    </row>
    <row r="2969" customFormat="false" ht="12.8" hidden="false" customHeight="false" outlineLevel="0" collapsed="false">
      <c r="B2969" s="0" t="s">
        <v>1</v>
      </c>
    </row>
    <row r="2971" customFormat="false" ht="12.8" hidden="false" customHeight="false" outlineLevel="0" collapsed="false">
      <c r="A2971" s="0" t="s">
        <v>1662</v>
      </c>
      <c r="B2971" s="0" t="str">
        <f aca="false">HYPERLINK("https://lindat.mff.cuni.cz/services/teitok/pdtc10/index.php?action=vallex&amp;frame=v-w267f2", "cinkat (v-w267f2)")</f>
        <v>cinkat (v-w267f2)</v>
      </c>
      <c r="E2971" s="0" t="str">
        <f aca="false">HYPERLINK("https://lindat.mff.cuni.cz/services/SynSemClass40/SynSemClass40.html?veclass=vec01196#vec01196-ces-cm00004", "vec01196")</f>
        <v>vec01196</v>
      </c>
      <c r="F2971" s="0" t="s">
        <v>1663</v>
      </c>
    </row>
    <row r="2972" customFormat="false" ht="12.8" hidden="false" customHeight="false" outlineLevel="0" collapsed="false">
      <c r="B2972" s="0" t="s">
        <v>1</v>
      </c>
      <c r="C2972" s="0" t="s">
        <v>1664</v>
      </c>
      <c r="E2972" s="0" t="s">
        <v>1665</v>
      </c>
      <c r="F2972" s="0" t="s">
        <v>1666</v>
      </c>
    </row>
    <row r="2973" customFormat="false" ht="12.8" hidden="false" customHeight="false" outlineLevel="0" collapsed="false">
      <c r="B2973" s="0" t="s">
        <v>286</v>
      </c>
      <c r="C2973" s="0" t="s">
        <v>800</v>
      </c>
      <c r="E2973" s="0" t="s">
        <v>170</v>
      </c>
      <c r="F2973" s="0" t="s">
        <v>1667</v>
      </c>
    </row>
    <row r="2975" customFormat="false" ht="12.8" hidden="false" customHeight="false" outlineLevel="0" collapsed="false">
      <c r="A2975" s="0" t="s">
        <v>1668</v>
      </c>
      <c r="B2975" s="0" t="str">
        <f aca="false">HYPERLINK("https://lindat.mff.cuni.cz/services/teitok/pdtc10/index.php?action=vallex&amp;frame=v-w267f1", "cinkat (v-w267f1)")</f>
        <v>cinkat (v-w267f1)</v>
      </c>
    </row>
    <row r="2976" customFormat="false" ht="12.8" hidden="false" customHeight="false" outlineLevel="0" collapsed="false">
      <c r="B2976" s="0" t="s">
        <v>1</v>
      </c>
    </row>
    <row r="2978" customFormat="false" ht="12.8" hidden="false" customHeight="false" outlineLevel="0" collapsed="false">
      <c r="A2978" s="0" t="s">
        <v>1669</v>
      </c>
      <c r="B2978" s="0" t="str">
        <f aca="false">HYPERLINK("https://lindat.mff.cuni.cz/services/teitok/pdtc10/index.php?action=vallex&amp;frame=v-whsa_347hsa_348", "cinknout (v-whsa_347hsa_348)")</f>
        <v>cinknout (v-whsa_347hsa_348)</v>
      </c>
    </row>
    <row r="2979" customFormat="false" ht="12.8" hidden="false" customHeight="false" outlineLevel="0" collapsed="false">
      <c r="B2979" s="0" t="s">
        <v>1</v>
      </c>
    </row>
    <row r="2980" customFormat="false" ht="12.8" hidden="false" customHeight="false" outlineLevel="0" collapsed="false">
      <c r="B2980" s="0" t="s">
        <v>500</v>
      </c>
    </row>
    <row r="2981" customFormat="false" ht="12.8" hidden="false" customHeight="false" outlineLevel="0" collapsed="false">
      <c r="B2981" s="0" t="s">
        <v>52</v>
      </c>
    </row>
    <row r="2983" customFormat="false" ht="12.8" hidden="false" customHeight="false" outlineLevel="0" collapsed="false">
      <c r="A2983" s="0" t="s">
        <v>1670</v>
      </c>
      <c r="B2983" s="0" t="str">
        <f aca="false">HYPERLINK("https://lindat.mff.cuni.cz/services/teitok/pdtc10/index.php?action=vallex&amp;frame=v-w269f1", "cirkulovat (v-w269f1)")</f>
        <v>cirkulovat (v-w269f1)</v>
      </c>
    </row>
    <row r="2984" customFormat="false" ht="12.8" hidden="false" customHeight="false" outlineLevel="0" collapsed="false">
      <c r="B2984" s="0" t="s">
        <v>1</v>
      </c>
    </row>
    <row r="2986" customFormat="false" ht="12.8" hidden="false" customHeight="false" outlineLevel="0" collapsed="false">
      <c r="A2986" s="0" t="s">
        <v>1671</v>
      </c>
      <c r="B2986" s="0" t="str">
        <f aca="false">HYPERLINK("https://lindat.mff.cuni.cz/services/teitok/pdtc10/index.php?action=vallex&amp;frame=v-w279f1", "citovat (v-w279f1)")</f>
        <v>citovat (v-w279f1)</v>
      </c>
      <c r="E2986" s="0" t="str">
        <f aca="false">HYPERLINK("https://lindat.mff.cuni.cz/services/SynSemClass40/SynSemClass40.html?veclass=vec01009#vec01009-ces-cm00001", "vec01009")</f>
        <v>vec01009</v>
      </c>
      <c r="F2986" s="0" t="s">
        <v>1672</v>
      </c>
    </row>
    <row r="2987" customFormat="false" ht="12.8" hidden="false" customHeight="false" outlineLevel="0" collapsed="false">
      <c r="B2987" s="0" t="s">
        <v>1</v>
      </c>
      <c r="C2987" s="0" t="s">
        <v>1673</v>
      </c>
      <c r="E2987" s="0" t="s">
        <v>147</v>
      </c>
      <c r="F2987" s="0" t="s">
        <v>1674</v>
      </c>
    </row>
    <row r="2988" customFormat="false" ht="12.8" hidden="false" customHeight="false" outlineLevel="0" collapsed="false">
      <c r="B2988" s="0" t="s">
        <v>500</v>
      </c>
      <c r="C2988" s="0" t="s">
        <v>1675</v>
      </c>
      <c r="E2988" s="0" t="s">
        <v>50</v>
      </c>
      <c r="F2988" s="0" t="s">
        <v>1676</v>
      </c>
    </row>
    <row r="2990" customFormat="false" ht="12.8" hidden="false" customHeight="false" outlineLevel="0" collapsed="false">
      <c r="A2990" s="0" t="s">
        <v>1677</v>
      </c>
      <c r="B2990" s="0" t="str">
        <f aca="false">HYPERLINK("https://lindat.mff.cuni.cz/services/teitok/pdtc10/index.php?action=vallex&amp;frame=v-w281f1", "civilizovat (v-w281f1)")</f>
        <v>civilizovat (v-w281f1)</v>
      </c>
    </row>
    <row r="2991" customFormat="false" ht="12.8" hidden="false" customHeight="false" outlineLevel="0" collapsed="false">
      <c r="B2991" s="0" t="s">
        <v>1</v>
      </c>
    </row>
    <row r="2992" customFormat="false" ht="12.8" hidden="false" customHeight="false" outlineLevel="0" collapsed="false">
      <c r="B2992" s="0" t="s">
        <v>8</v>
      </c>
    </row>
    <row r="2994" customFormat="false" ht="12.8" hidden="false" customHeight="false" outlineLevel="0" collapsed="false">
      <c r="A2994" s="0" t="s">
        <v>1678</v>
      </c>
      <c r="B2994" s="0" t="str">
        <f aca="false">HYPERLINK("https://lindat.mff.cuni.cz/services/teitok/pdtc10/index.php?action=vallex&amp;frame=v-w10922f2", "civět (v-w10922f2)")</f>
        <v>civět (v-w10922f2)</v>
      </c>
    </row>
    <row r="2995" customFormat="false" ht="12.8" hidden="false" customHeight="false" outlineLevel="0" collapsed="false">
      <c r="B2995" s="0" t="s">
        <v>1</v>
      </c>
    </row>
    <row r="2996" customFormat="false" ht="12.8" hidden="false" customHeight="false" outlineLevel="0" collapsed="false">
      <c r="B2996" s="0" t="s">
        <v>1679</v>
      </c>
    </row>
    <row r="2998" customFormat="false" ht="12.8" hidden="false" customHeight="false" outlineLevel="0" collapsed="false">
      <c r="A2998" s="0" t="s">
        <v>1680</v>
      </c>
      <c r="B2998" s="0" t="str">
        <f aca="false">HYPERLINK("https://lindat.mff.cuni.cz/services/teitok/pdtc10/index.php?action=vallex&amp;frame=v-w282f1", "cizelovat (v-w282f1)")</f>
        <v>cizelovat (v-w282f1)</v>
      </c>
      <c r="E2998" s="0" t="str">
        <f aca="false">HYPERLINK("https://lindat.mff.cuni.cz/services/SynSemClass40/SynSemClass40.html?veclass=vec01250#vec01250-ces-cm00005", "vec01250")</f>
        <v>vec01250</v>
      </c>
      <c r="F2998" s="0" t="s">
        <v>511</v>
      </c>
    </row>
    <row r="2999" customFormat="false" ht="12.8" hidden="false" customHeight="false" outlineLevel="0" collapsed="false">
      <c r="B2999" s="0" t="s">
        <v>1</v>
      </c>
      <c r="C2999" s="0" t="s">
        <v>512</v>
      </c>
      <c r="E2999" s="0" t="s">
        <v>31</v>
      </c>
      <c r="F2999" s="0" t="s">
        <v>513</v>
      </c>
    </row>
    <row r="3000" customFormat="false" ht="12.8" hidden="false" customHeight="false" outlineLevel="0" collapsed="false">
      <c r="B3000" s="0" t="s">
        <v>8</v>
      </c>
      <c r="C3000" s="0" t="s">
        <v>462</v>
      </c>
      <c r="E3000" s="0" t="s">
        <v>514</v>
      </c>
      <c r="F3000" s="0" t="s">
        <v>515</v>
      </c>
    </row>
    <row r="3002" customFormat="false" ht="12.8" hidden="false" customHeight="false" outlineLevel="0" collapsed="false">
      <c r="A3002" s="0" t="s">
        <v>1681</v>
      </c>
      <c r="B3002" s="0" t="str">
        <f aca="false">HYPERLINK("https://lindat.mff.cuni.cz/services/teitok/pdtc10/index.php?action=vallex&amp;frame=v-w284f1", "claimovat (v-w284f1)")</f>
        <v>claimovat (v-w284f1)</v>
      </c>
    </row>
    <row r="3003" customFormat="false" ht="12.8" hidden="false" customHeight="false" outlineLevel="0" collapsed="false">
      <c r="B3003" s="0" t="s">
        <v>1</v>
      </c>
    </row>
    <row r="3004" customFormat="false" ht="12.8" hidden="false" customHeight="false" outlineLevel="0" collapsed="false">
      <c r="B3004" s="0" t="s">
        <v>1682</v>
      </c>
    </row>
    <row r="3005" customFormat="false" ht="12.8" hidden="false" customHeight="false" outlineLevel="0" collapsed="false">
      <c r="B3005" s="0" t="s">
        <v>1683</v>
      </c>
    </row>
    <row r="3007" customFormat="false" ht="12.8" hidden="false" customHeight="false" outlineLevel="0" collapsed="false">
      <c r="A3007" s="0" t="s">
        <v>1684</v>
      </c>
      <c r="B3007" s="0" t="str">
        <f aca="false">HYPERLINK("https://lindat.mff.cuni.cz/services/teitok/pdtc10/index.php?action=vallex&amp;frame=v-w285f1", "clít (v-w285f1)")</f>
        <v>clít (v-w285f1)</v>
      </c>
    </row>
    <row r="3008" customFormat="false" ht="12.8" hidden="false" customHeight="false" outlineLevel="0" collapsed="false">
      <c r="B3008" s="0" t="s">
        <v>1</v>
      </c>
    </row>
    <row r="3009" customFormat="false" ht="12.8" hidden="false" customHeight="false" outlineLevel="0" collapsed="false">
      <c r="B3009" s="0" t="s">
        <v>8</v>
      </c>
    </row>
    <row r="3011" customFormat="false" ht="12.8" hidden="false" customHeight="false" outlineLevel="0" collapsed="false">
      <c r="A3011" s="0" t="s">
        <v>1685</v>
      </c>
      <c r="B3011" s="0" t="str">
        <f aca="false">HYPERLINK("https://lindat.mff.cuni.cz/services/teitok/pdtc10/index.php?action=vallex&amp;frame=v-w288f1", "couvat (v-w288f1)")</f>
        <v>couvat (v-w288f1)</v>
      </c>
      <c r="E3011" s="0" t="str">
        <f aca="false">HYPERLINK("https://lindat.mff.cuni.cz/services/SynSemClass40/SynSemClass40.html?veclass=vec00942#vec00942-ces-cm00014", "vec00942")</f>
        <v>vec00942</v>
      </c>
      <c r="F3011" s="0" t="s">
        <v>1686</v>
      </c>
    </row>
    <row r="3012" customFormat="false" ht="12.8" hidden="false" customHeight="false" outlineLevel="0" collapsed="false">
      <c r="B3012" s="0" t="s">
        <v>1</v>
      </c>
      <c r="C3012" s="0" t="s">
        <v>1687</v>
      </c>
      <c r="E3012" s="0" t="s">
        <v>11</v>
      </c>
      <c r="F3012" s="0" t="s">
        <v>1688</v>
      </c>
    </row>
    <row r="3013" customFormat="false" ht="12.8" hidden="false" customHeight="false" outlineLevel="0" collapsed="false">
      <c r="B3013" s="0" t="s">
        <v>1689</v>
      </c>
      <c r="C3013" s="0" t="s">
        <v>1690</v>
      </c>
      <c r="E3013" s="0" t="s">
        <v>140</v>
      </c>
      <c r="F3013" s="0" t="s">
        <v>1691</v>
      </c>
    </row>
    <row r="3015" customFormat="false" ht="12.8" hidden="false" customHeight="false" outlineLevel="0" collapsed="false">
      <c r="A3015" s="0" t="s">
        <v>1692</v>
      </c>
      <c r="B3015" s="0" t="str">
        <f aca="false">HYPERLINK("https://lindat.mff.cuni.cz/services/teitok/pdtc10/index.php?action=vallex&amp;frame=v-w10667hsa_259", "couvnout (v-w10667hsa_259)")</f>
        <v>couvnout (v-w10667hsa_259)</v>
      </c>
      <c r="E3015" s="0" t="str">
        <f aca="false">HYPERLINK("https://lindat.mff.cuni.cz/services/SynSemClass40/SynSemClass40.html?veclass=vec00942#vec00942-ces-cm00002", "vec00942")</f>
        <v>vec00942</v>
      </c>
      <c r="F3015" s="0" t="s">
        <v>1686</v>
      </c>
    </row>
    <row r="3016" customFormat="false" ht="12.8" hidden="false" customHeight="false" outlineLevel="0" collapsed="false">
      <c r="B3016" s="0" t="s">
        <v>1</v>
      </c>
      <c r="C3016" s="0" t="s">
        <v>1687</v>
      </c>
      <c r="E3016" s="0" t="s">
        <v>11</v>
      </c>
      <c r="F3016" s="0" t="s">
        <v>1688</v>
      </c>
    </row>
    <row r="3017" customFormat="false" ht="12.8" hidden="false" customHeight="false" outlineLevel="0" collapsed="false">
      <c r="B3017" s="0" t="s">
        <v>1693</v>
      </c>
      <c r="C3017" s="0" t="s">
        <v>1690</v>
      </c>
      <c r="E3017" s="0" t="s">
        <v>140</v>
      </c>
      <c r="F3017" s="0" t="s">
        <v>1691</v>
      </c>
    </row>
    <row r="3019" customFormat="false" ht="12.8" hidden="false" customHeight="false" outlineLevel="0" collapsed="false">
      <c r="A3019" s="0" t="s">
        <v>1692</v>
      </c>
      <c r="B3019" s="0" t="str">
        <f aca="false">HYPERLINK("https://lindat.mff.cuni.cz/services/teitok/pdtc10/index.php?action=vallex&amp;frame=v-w10667f2", "couvnout (v-w10667f2) - substituted with v-w10667hsa_259")</f>
        <v>couvnout (v-w10667f2) - substituted with v-w10667hsa_259</v>
      </c>
    </row>
    <row r="3020" customFormat="false" ht="12.8" hidden="false" customHeight="false" outlineLevel="0" collapsed="false">
      <c r="B3020" s="0" t="s">
        <v>1</v>
      </c>
    </row>
    <row r="3021" customFormat="false" ht="12.8" hidden="false" customHeight="false" outlineLevel="0" collapsed="false">
      <c r="B3021" s="0" t="s">
        <v>1693</v>
      </c>
    </row>
    <row r="3023" customFormat="false" ht="12.8" hidden="false" customHeight="false" outlineLevel="0" collapsed="false">
      <c r="A3023" s="0" t="s">
        <v>1694</v>
      </c>
      <c r="B3023" s="0" t="str">
        <f aca="false">HYPERLINK("https://lindat.mff.cuni.cz/services/teitok/pdtc10/index.php?action=vallex&amp;frame=v-w10667hsa_221", "couvnout (v-w10667hsa_221)")</f>
        <v>couvnout (v-w10667hsa_221)</v>
      </c>
    </row>
    <row r="3024" customFormat="false" ht="12.8" hidden="false" customHeight="false" outlineLevel="0" collapsed="false">
      <c r="B3024" s="0" t="s">
        <v>1</v>
      </c>
    </row>
    <row r="3026" customFormat="false" ht="12.8" hidden="false" customHeight="false" outlineLevel="0" collapsed="false">
      <c r="A3026" s="0" t="s">
        <v>1695</v>
      </c>
      <c r="B3026" s="0" t="str">
        <f aca="false">HYPERLINK("https://lindat.mff.cuni.cz/services/teitok/pdtc10/index.php?action=vallex&amp;frame=v-w289f1", "cpát (v-w289f1)")</f>
        <v>cpát (v-w289f1)</v>
      </c>
    </row>
    <row r="3027" customFormat="false" ht="12.8" hidden="false" customHeight="false" outlineLevel="0" collapsed="false">
      <c r="B3027" s="0" t="s">
        <v>1</v>
      </c>
    </row>
    <row r="3028" customFormat="false" ht="12.8" hidden="false" customHeight="false" outlineLevel="0" collapsed="false">
      <c r="B3028" s="0" t="s">
        <v>8</v>
      </c>
    </row>
    <row r="3029" customFormat="false" ht="12.8" hidden="false" customHeight="false" outlineLevel="0" collapsed="false">
      <c r="B3029" s="0" t="s">
        <v>1696</v>
      </c>
    </row>
    <row r="3031" customFormat="false" ht="12.8" hidden="false" customHeight="false" outlineLevel="0" collapsed="false">
      <c r="A3031" s="0" t="s">
        <v>1697</v>
      </c>
      <c r="B3031" s="0" t="str">
        <f aca="false">HYPERLINK("https://lindat.mff.cuni.cz/services/teitok/pdtc10/index.php?action=vallex&amp;frame=v-w289f3_ZU", "cpát (v-w289f3_ZU)")</f>
        <v>cpát (v-w289f3_ZU)</v>
      </c>
      <c r="E3031" s="0" t="str">
        <f aca="false">HYPERLINK("https://lindat.mff.cuni.cz/services/SynSemClass40/SynSemClass40.html?veclass=vec00147#vec00147-ces-cm00241", "vec00147")</f>
        <v>vec00147</v>
      </c>
      <c r="F3031" s="0" t="s">
        <v>1698</v>
      </c>
    </row>
    <row r="3032" customFormat="false" ht="12.8" hidden="false" customHeight="false" outlineLevel="0" collapsed="false">
      <c r="B3032" s="0" t="s">
        <v>1</v>
      </c>
      <c r="C3032" s="0" t="s">
        <v>1699</v>
      </c>
      <c r="E3032" s="0" t="s">
        <v>11</v>
      </c>
      <c r="F3032" s="0" t="s">
        <v>1700</v>
      </c>
    </row>
    <row r="3033" customFormat="false" ht="12.8" hidden="false" customHeight="false" outlineLevel="0" collapsed="false">
      <c r="B3033" s="0" t="s">
        <v>8</v>
      </c>
      <c r="C3033" s="0" t="s">
        <v>1701</v>
      </c>
      <c r="E3033" s="0" t="s">
        <v>1702</v>
      </c>
      <c r="F3033" s="0" t="s">
        <v>1703</v>
      </c>
    </row>
    <row r="3034" customFormat="false" ht="12.8" hidden="false" customHeight="false" outlineLevel="0" collapsed="false">
      <c r="B3034" s="0" t="s">
        <v>164</v>
      </c>
      <c r="C3034" s="0" t="s">
        <v>1704</v>
      </c>
      <c r="E3034" s="0" t="s">
        <v>1705</v>
      </c>
      <c r="F3034" s="0" t="s">
        <v>1706</v>
      </c>
    </row>
    <row r="3036" customFormat="false" ht="12.8" hidden="false" customHeight="false" outlineLevel="0" collapsed="false">
      <c r="A3036" s="0" t="s">
        <v>1707</v>
      </c>
      <c r="B3036" s="0" t="str">
        <f aca="false">HYPERLINK("https://lindat.mff.cuni.cz/services/teitok/pdtc10/index.php?action=vallex&amp;frame=v-w289f2_ZU", "cpát (v-w289f2_ZU)")</f>
        <v>cpát (v-w289f2_ZU)</v>
      </c>
    </row>
    <row r="3037" customFormat="false" ht="12.8" hidden="false" customHeight="false" outlineLevel="0" collapsed="false">
      <c r="B3037" s="0" t="s">
        <v>1</v>
      </c>
    </row>
    <row r="3038" customFormat="false" ht="12.8" hidden="false" customHeight="false" outlineLevel="0" collapsed="false">
      <c r="B3038" s="0" t="s">
        <v>8</v>
      </c>
    </row>
    <row r="3039" customFormat="false" ht="12.8" hidden="false" customHeight="false" outlineLevel="0" collapsed="false">
      <c r="B3039" s="0" t="s">
        <v>164</v>
      </c>
    </row>
    <row r="3041" customFormat="false" ht="12.8" hidden="false" customHeight="false" outlineLevel="0" collapsed="false">
      <c r="A3041" s="0" t="s">
        <v>1708</v>
      </c>
      <c r="B3041" s="0" t="str">
        <f aca="false">HYPERLINK("https://lindat.mff.cuni.cz/services/teitok/pdtc10/index.php?action=vallex&amp;frame=v-w289f4_MM", "cpát (v-w289f4_MM)")</f>
        <v>cpát (v-w289f4_MM)</v>
      </c>
    </row>
    <row r="3042" customFormat="false" ht="12.8" hidden="false" customHeight="false" outlineLevel="0" collapsed="false">
      <c r="B3042" s="0" t="s">
        <v>1</v>
      </c>
    </row>
    <row r="3043" customFormat="false" ht="12.8" hidden="false" customHeight="false" outlineLevel="0" collapsed="false">
      <c r="B3043" s="0" t="s">
        <v>8</v>
      </c>
    </row>
    <row r="3044" customFormat="false" ht="12.8" hidden="false" customHeight="false" outlineLevel="0" collapsed="false">
      <c r="B3044" s="0" t="s">
        <v>52</v>
      </c>
    </row>
    <row r="3046" customFormat="false" ht="12.8" hidden="false" customHeight="false" outlineLevel="0" collapsed="false">
      <c r="A3046" s="0" t="s">
        <v>1709</v>
      </c>
      <c r="B3046" s="0" t="str">
        <f aca="false">HYPERLINK("https://lindat.mff.cuni.cz/services/teitok/pdtc10/index.php?action=vallex&amp;frame=v-w290f2", "cpát se (v-w290f2)")</f>
        <v>cpát se (v-w290f2)</v>
      </c>
    </row>
    <row r="3047" customFormat="false" ht="12.8" hidden="false" customHeight="false" outlineLevel="0" collapsed="false">
      <c r="B3047" s="0" t="s">
        <v>1</v>
      </c>
    </row>
    <row r="3048" customFormat="false" ht="12.8" hidden="false" customHeight="false" outlineLevel="0" collapsed="false">
      <c r="B3048" s="0" t="s">
        <v>164</v>
      </c>
    </row>
    <row r="3050" customFormat="false" ht="12.8" hidden="false" customHeight="false" outlineLevel="0" collapsed="false">
      <c r="A3050" s="0" t="s">
        <v>1710</v>
      </c>
      <c r="B3050" s="0" t="str">
        <f aca="false">HYPERLINK("https://lindat.mff.cuni.cz/services/teitok/pdtc10/index.php?action=vallex&amp;frame=v-w290f1", "cpát se (v-w290f1)")</f>
        <v>cpát se (v-w290f1)</v>
      </c>
    </row>
    <row r="3051" customFormat="false" ht="12.8" hidden="false" customHeight="false" outlineLevel="0" collapsed="false">
      <c r="B3051" s="0" t="s">
        <v>1</v>
      </c>
    </row>
    <row r="3053" customFormat="false" ht="12.8" hidden="false" customHeight="false" outlineLevel="0" collapsed="false">
      <c r="A3053" s="0" t="s">
        <v>1711</v>
      </c>
      <c r="B3053" s="0" t="str">
        <f aca="false">HYPERLINK("https://lindat.mff.cuni.cz/services/teitok/pdtc10/index.php?action=vallex&amp;frame=v-w291f1", "crčet (v-w291f1)")</f>
        <v>crčet (v-w291f1)</v>
      </c>
    </row>
    <row r="3054" customFormat="false" ht="12.8" hidden="false" customHeight="false" outlineLevel="0" collapsed="false">
      <c r="B3054" s="0" t="s">
        <v>1</v>
      </c>
    </row>
    <row r="3056" customFormat="false" ht="12.8" hidden="false" customHeight="false" outlineLevel="0" collapsed="false">
      <c r="A3056" s="0" t="s">
        <v>1712</v>
      </c>
      <c r="B3056" s="0" t="str">
        <f aca="false">HYPERLINK("https://lindat.mff.cuni.cz/services/teitok/pdtc10/index.php?action=vallex&amp;frame=v-w292f1", "ctít (v-w292f1)")</f>
        <v>ctít (v-w292f1)</v>
      </c>
    </row>
    <row r="3057" customFormat="false" ht="12.8" hidden="false" customHeight="false" outlineLevel="0" collapsed="false">
      <c r="B3057" s="0" t="s">
        <v>1</v>
      </c>
    </row>
    <row r="3058" customFormat="false" ht="12.8" hidden="false" customHeight="false" outlineLevel="0" collapsed="false">
      <c r="B3058" s="0" t="s">
        <v>228</v>
      </c>
    </row>
    <row r="3060" customFormat="false" ht="12.8" hidden="false" customHeight="false" outlineLevel="0" collapsed="false">
      <c r="A3060" s="0" t="s">
        <v>1713</v>
      </c>
      <c r="B3060" s="0" t="str">
        <f aca="false">HYPERLINK("https://lindat.mff.cuni.cz/services/teitok/pdtc10/index.php?action=vallex&amp;frame=v-w294f3", "cukat (v-w294f3)")</f>
        <v>cukat (v-w294f3)</v>
      </c>
    </row>
    <row r="3061" customFormat="false" ht="12.8" hidden="false" customHeight="false" outlineLevel="0" collapsed="false">
      <c r="B3061" s="0" t="s">
        <v>1</v>
      </c>
    </row>
    <row r="3062" customFormat="false" ht="12.8" hidden="false" customHeight="false" outlineLevel="0" collapsed="false">
      <c r="B3062" s="0" t="s">
        <v>286</v>
      </c>
    </row>
    <row r="3064" customFormat="false" ht="12.8" hidden="false" customHeight="false" outlineLevel="0" collapsed="false">
      <c r="A3064" s="0" t="s">
        <v>1714</v>
      </c>
      <c r="B3064" s="0" t="str">
        <f aca="false">HYPERLINK("https://lindat.mff.cuni.cz/services/teitok/pdtc10/index.php?action=vallex&amp;frame=v-w294f2", "cukat (v-w294f2)")</f>
        <v>cukat (v-w294f2)</v>
      </c>
    </row>
    <row r="3065" customFormat="false" ht="12.8" hidden="false" customHeight="false" outlineLevel="0" collapsed="false">
      <c r="B3065" s="0" t="s">
        <v>804</v>
      </c>
    </row>
    <row r="3066" customFormat="false" ht="12.8" hidden="false" customHeight="false" outlineLevel="0" collapsed="false">
      <c r="B3066" s="0" t="s">
        <v>439</v>
      </c>
    </row>
    <row r="3068" customFormat="false" ht="12.8" hidden="false" customHeight="false" outlineLevel="0" collapsed="false">
      <c r="A3068" s="0" t="s">
        <v>1715</v>
      </c>
      <c r="B3068" s="0" t="str">
        <f aca="false">HYPERLINK("https://lindat.mff.cuni.cz/services/teitok/pdtc10/index.php?action=vallex&amp;frame=v-w294f1", "cukat (v-w294f1)")</f>
        <v>cukat (v-w294f1)</v>
      </c>
    </row>
    <row r="3069" customFormat="false" ht="12.8" hidden="false" customHeight="false" outlineLevel="0" collapsed="false">
      <c r="B3069" s="0" t="s">
        <v>804</v>
      </c>
    </row>
    <row r="3070" customFormat="false" ht="12.8" hidden="false" customHeight="false" outlineLevel="0" collapsed="false">
      <c r="B3070" s="0" t="s">
        <v>5</v>
      </c>
    </row>
    <row r="3072" customFormat="false" ht="12.8" hidden="false" customHeight="false" outlineLevel="0" collapsed="false">
      <c r="A3072" s="0" t="s">
        <v>1716</v>
      </c>
      <c r="B3072" s="0" t="str">
        <f aca="false">HYPERLINK("https://lindat.mff.cuni.cz/services/teitok/pdtc10/index.php?action=vallex&amp;frame=v-w12268_ZUf1_ZU", "cukat se (v-w12268_ZUf1_ZU)")</f>
        <v>cukat se (v-w12268_ZUf1_ZU)</v>
      </c>
    </row>
    <row r="3073" customFormat="false" ht="12.8" hidden="false" customHeight="false" outlineLevel="0" collapsed="false">
      <c r="B3073" s="0" t="s">
        <v>1</v>
      </c>
    </row>
    <row r="3075" customFormat="false" ht="12.8" hidden="false" customHeight="false" outlineLevel="0" collapsed="false">
      <c r="A3075" s="0" t="s">
        <v>1717</v>
      </c>
      <c r="B3075" s="0" t="str">
        <f aca="false">HYPERLINK("https://lindat.mff.cuni.cz/services/teitok/pdtc10/index.php?action=vallex&amp;frame=v-w12285_MMf2_MM", "cuknout (v-w12285_MMf2_MM)")</f>
        <v>cuknout (v-w12285_MMf2_MM)</v>
      </c>
    </row>
    <row r="3076" customFormat="false" ht="12.8" hidden="false" customHeight="false" outlineLevel="0" collapsed="false">
      <c r="B3076" s="0" t="s">
        <v>1</v>
      </c>
    </row>
    <row r="3078" customFormat="false" ht="12.8" hidden="false" customHeight="false" outlineLevel="0" collapsed="false">
      <c r="A3078" s="0" t="s">
        <v>1717</v>
      </c>
      <c r="B3078" s="0" t="str">
        <f aca="false">HYPERLINK("https://lindat.mff.cuni.cz/services/teitok/pdtc10/index.php?action=vallex&amp;frame=v-w12285_MMf1_MM", "cuknout (v-w12285_MMf1_MM) - substituted with v-w12285_MMf2_MM")</f>
        <v>cuknout (v-w12285_MMf1_MM) - substituted with v-w12285_MMf2_MM</v>
      </c>
    </row>
    <row r="3079" customFormat="false" ht="12.8" hidden="false" customHeight="false" outlineLevel="0" collapsed="false">
      <c r="B3079" s="0" t="s">
        <v>1</v>
      </c>
    </row>
    <row r="3081" customFormat="false" ht="12.8" hidden="false" customHeight="false" outlineLevel="0" collapsed="false">
      <c r="A3081" s="0" t="s">
        <v>1718</v>
      </c>
      <c r="B3081" s="0" t="str">
        <f aca="false">HYPERLINK("https://lindat.mff.cuni.cz/services/teitok/pdtc10/index.php?action=vallex&amp;frame=v-whsa_1556hsa_1557", "cupkat (v-whsa_1556hsa_1557)")</f>
        <v>cupkat (v-whsa_1556hsa_1557)</v>
      </c>
    </row>
    <row r="3082" customFormat="false" ht="12.8" hidden="false" customHeight="false" outlineLevel="0" collapsed="false">
      <c r="B3082" s="0" t="s">
        <v>1</v>
      </c>
    </row>
    <row r="3084" customFormat="false" ht="12.8" hidden="false" customHeight="false" outlineLevel="0" collapsed="false">
      <c r="A3084" s="0" t="s">
        <v>1719</v>
      </c>
      <c r="B3084" s="0" t="str">
        <f aca="false">HYPERLINK("https://lindat.mff.cuni.cz/services/teitok/pdtc10/index.php?action=vallex&amp;frame=v-w295f1", "cupovat (v-w295f1)")</f>
        <v>cupovat (v-w295f1)</v>
      </c>
    </row>
    <row r="3085" customFormat="false" ht="12.8" hidden="false" customHeight="false" outlineLevel="0" collapsed="false">
      <c r="B3085" s="0" t="s">
        <v>1</v>
      </c>
    </row>
    <row r="3086" customFormat="false" ht="12.8" hidden="false" customHeight="false" outlineLevel="0" collapsed="false">
      <c r="B3086" s="0" t="s">
        <v>8</v>
      </c>
    </row>
    <row r="3087" customFormat="false" ht="12.8" hidden="false" customHeight="false" outlineLevel="0" collapsed="false">
      <c r="B3087" s="0" t="s">
        <v>101</v>
      </c>
    </row>
    <row r="3089" customFormat="false" ht="12.8" hidden="false" customHeight="false" outlineLevel="0" collapsed="false">
      <c r="A3089" s="0" t="s">
        <v>1720</v>
      </c>
      <c r="B3089" s="0" t="str">
        <f aca="false">HYPERLINK("https://lindat.mff.cuni.cz/services/teitok/pdtc10/index.php?action=vallex&amp;frame=v-w12205_ZUf1_ZU", "cvaknout se (v-w12205_ZUf1_ZU)")</f>
        <v>cvaknout se (v-w12205_ZUf1_ZU)</v>
      </c>
    </row>
    <row r="3090" customFormat="false" ht="12.8" hidden="false" customHeight="false" outlineLevel="0" collapsed="false">
      <c r="B3090" s="0" t="s">
        <v>1</v>
      </c>
    </row>
    <row r="3092" customFormat="false" ht="12.8" hidden="false" customHeight="false" outlineLevel="0" collapsed="false">
      <c r="A3092" s="0" t="s">
        <v>1721</v>
      </c>
      <c r="B3092" s="0" t="str">
        <f aca="false">HYPERLINK("https://lindat.mff.cuni.cz/services/teitok/pdtc10/index.php?action=vallex&amp;frame=v-w298f2", "cvičit (v-w298f2)")</f>
        <v>cvičit (v-w298f2)</v>
      </c>
    </row>
    <row r="3093" customFormat="false" ht="12.8" hidden="false" customHeight="false" outlineLevel="0" collapsed="false">
      <c r="B3093" s="0" t="s">
        <v>1</v>
      </c>
    </row>
    <row r="3094" customFormat="false" ht="12.8" hidden="false" customHeight="false" outlineLevel="0" collapsed="false">
      <c r="B3094" s="0" t="s">
        <v>8</v>
      </c>
    </row>
    <row r="3096" customFormat="false" ht="12.8" hidden="false" customHeight="false" outlineLevel="0" collapsed="false">
      <c r="A3096" s="0" t="s">
        <v>1722</v>
      </c>
      <c r="B3096" s="0" t="str">
        <f aca="false">HYPERLINK("https://lindat.mff.cuni.cz/services/teitok/pdtc10/index.php?action=vallex&amp;frame=v-w298f1", "cvičit (v-w298f1)")</f>
        <v>cvičit (v-w298f1)</v>
      </c>
      <c r="E3096" s="0" t="str">
        <f aca="false">HYPERLINK("https://lindat.mff.cuni.cz/services/SynSemClass40/SynSemClass40.html?veclass=vec00606#vec00606-ces-cm00001", "vec00606")</f>
        <v>vec00606</v>
      </c>
      <c r="F3096" s="0" t="s">
        <v>1723</v>
      </c>
    </row>
    <row r="3097" customFormat="false" ht="12.8" hidden="false" customHeight="false" outlineLevel="0" collapsed="false">
      <c r="B3097" s="0" t="s">
        <v>1</v>
      </c>
      <c r="C3097" s="0" t="s">
        <v>447</v>
      </c>
      <c r="E3097" s="0" t="s">
        <v>11</v>
      </c>
      <c r="F3097" s="0" t="s">
        <v>1724</v>
      </c>
    </row>
    <row r="3098" customFormat="false" ht="12.8" hidden="false" customHeight="false" outlineLevel="0" collapsed="false">
      <c r="B3098" s="0" t="s">
        <v>390</v>
      </c>
      <c r="C3098" s="0" t="s">
        <v>462</v>
      </c>
      <c r="E3098" s="0" t="s">
        <v>14</v>
      </c>
      <c r="F3098" s="0" t="s">
        <v>1725</v>
      </c>
    </row>
    <row r="3100" customFormat="false" ht="12.8" hidden="false" customHeight="false" outlineLevel="0" collapsed="false">
      <c r="A3100" s="0" t="s">
        <v>1726</v>
      </c>
      <c r="B3100" s="0" t="str">
        <f aca="false">HYPERLINK("https://lindat.mff.cuni.cz/services/teitok/pdtc10/index.php?action=vallex&amp;frame=v-w298hsa_814", "cvičit (v-w298hsa_814)")</f>
        <v>cvičit (v-w298hsa_814)</v>
      </c>
    </row>
    <row r="3101" customFormat="false" ht="12.8" hidden="false" customHeight="false" outlineLevel="0" collapsed="false">
      <c r="B3101" s="0" t="s">
        <v>1</v>
      </c>
    </row>
    <row r="3102" customFormat="false" ht="12.8" hidden="false" customHeight="false" outlineLevel="0" collapsed="false">
      <c r="B3102" s="0" t="s">
        <v>98</v>
      </c>
    </row>
    <row r="3103" customFormat="false" ht="12.8" hidden="false" customHeight="false" outlineLevel="0" collapsed="false">
      <c r="B3103" s="0" t="s">
        <v>8</v>
      </c>
    </row>
    <row r="3105" customFormat="false" ht="12.8" hidden="false" customHeight="false" outlineLevel="0" collapsed="false">
      <c r="A3105" s="0" t="s">
        <v>1727</v>
      </c>
      <c r="B3105" s="0" t="str">
        <f aca="false">HYPERLINK("https://lindat.mff.cuni.cz/services/teitok/pdtc10/index.php?action=vallex&amp;frame=v-w265f6", "cílit (v-w265f6)")</f>
        <v>cílit (v-w265f6)</v>
      </c>
      <c r="E3105" s="0" t="str">
        <f aca="false">HYPERLINK("https://lindat.mff.cuni.cz/services/SynSemClass40/SynSemClass40.html?veclass=vec00859#vec00859-ces-cm00002", "vec00859")</f>
        <v>vec00859</v>
      </c>
      <c r="F3105" s="0" t="s">
        <v>1728</v>
      </c>
    </row>
    <row r="3106" customFormat="false" ht="12.8" hidden="false" customHeight="false" outlineLevel="0" collapsed="false">
      <c r="B3106" s="0" t="s">
        <v>1</v>
      </c>
      <c r="C3106" s="0" t="s">
        <v>1729</v>
      </c>
      <c r="E3106" s="0" t="s">
        <v>206</v>
      </c>
      <c r="F3106" s="0" t="s">
        <v>1730</v>
      </c>
    </row>
    <row r="3107" customFormat="false" ht="12.8" hidden="false" customHeight="false" outlineLevel="0" collapsed="false">
      <c r="B3107" s="0" t="s">
        <v>8</v>
      </c>
      <c r="C3107" s="0" t="s">
        <v>1731</v>
      </c>
      <c r="E3107" s="0" t="s">
        <v>1732</v>
      </c>
      <c r="F3107" s="0" t="s">
        <v>1733</v>
      </c>
    </row>
    <row r="3108" customFormat="false" ht="12.8" hidden="false" customHeight="false" outlineLevel="0" collapsed="false">
      <c r="B3108" s="0" t="s">
        <v>1734</v>
      </c>
      <c r="C3108" s="0" t="s">
        <v>1735</v>
      </c>
      <c r="E3108" s="0" t="s">
        <v>1736</v>
      </c>
      <c r="F3108" s="0" t="s">
        <v>1737</v>
      </c>
    </row>
    <row r="3110" customFormat="false" ht="12.8" hidden="false" customHeight="false" outlineLevel="0" collapsed="false">
      <c r="A3110" s="0" t="s">
        <v>1738</v>
      </c>
      <c r="B3110" s="0" t="str">
        <f aca="false">HYPERLINK("https://lindat.mff.cuni.cz/services/teitok/pdtc10/index.php?action=vallex&amp;frame=v-w265f4", "cílit (v-w265f4)")</f>
        <v>cílit (v-w265f4)</v>
      </c>
    </row>
    <row r="3111" customFormat="false" ht="12.8" hidden="false" customHeight="false" outlineLevel="0" collapsed="false">
      <c r="B3111" s="0" t="s">
        <v>1</v>
      </c>
    </row>
    <row r="3112" customFormat="false" ht="12.8" hidden="false" customHeight="false" outlineLevel="0" collapsed="false">
      <c r="B3112" s="0" t="s">
        <v>8</v>
      </c>
    </row>
    <row r="3113" customFormat="false" ht="12.8" hidden="false" customHeight="false" outlineLevel="0" collapsed="false">
      <c r="B3113" s="0" t="s">
        <v>164</v>
      </c>
    </row>
    <row r="3115" customFormat="false" ht="12.8" hidden="false" customHeight="false" outlineLevel="0" collapsed="false">
      <c r="A3115" s="0" t="s">
        <v>1739</v>
      </c>
      <c r="B3115" s="0" t="str">
        <f aca="false">HYPERLINK("https://lindat.mff.cuni.cz/services/teitok/pdtc10/index.php?action=vallex&amp;frame=v-w265f1", "cílit (v-w265f1)")</f>
        <v>cílit (v-w265f1)</v>
      </c>
    </row>
    <row r="3116" customFormat="false" ht="12.8" hidden="false" customHeight="false" outlineLevel="0" collapsed="false">
      <c r="B3116" s="0" t="s">
        <v>1</v>
      </c>
    </row>
    <row r="3117" customFormat="false" ht="12.8" hidden="false" customHeight="false" outlineLevel="0" collapsed="false">
      <c r="B3117" s="0" t="s">
        <v>311</v>
      </c>
    </row>
    <row r="3119" customFormat="false" ht="12.8" hidden="false" customHeight="false" outlineLevel="0" collapsed="false">
      <c r="A3119" s="0" t="s">
        <v>1740</v>
      </c>
      <c r="B3119" s="0" t="str">
        <f aca="false">HYPERLINK("https://lindat.mff.cuni.cz/services/teitok/pdtc10/index.php?action=vallex&amp;frame=v-w274f3", "cítit (v-w274f3)")</f>
        <v>cítit (v-w274f3)</v>
      </c>
    </row>
    <row r="3120" customFormat="false" ht="12.8" hidden="false" customHeight="false" outlineLevel="0" collapsed="false">
      <c r="B3120" s="0" t="s">
        <v>1</v>
      </c>
    </row>
    <row r="3121" customFormat="false" ht="12.8" hidden="false" customHeight="false" outlineLevel="0" collapsed="false">
      <c r="B3121" s="0" t="s">
        <v>1741</v>
      </c>
    </row>
    <row r="3122" customFormat="false" ht="12.8" hidden="false" customHeight="false" outlineLevel="0" collapsed="false">
      <c r="B3122" s="0" t="s">
        <v>1640</v>
      </c>
    </row>
    <row r="3124" customFormat="false" ht="12.8" hidden="false" customHeight="false" outlineLevel="0" collapsed="false">
      <c r="A3124" s="0" t="s">
        <v>1742</v>
      </c>
      <c r="B3124" s="0" t="str">
        <f aca="false">HYPERLINK("https://lindat.mff.cuni.cz/services/teitok/pdtc10/index.php?action=vallex&amp;frame=v-w274f4", "cítit (v-w274f4)")</f>
        <v>cítit (v-w274f4)</v>
      </c>
    </row>
    <row r="3125" customFormat="false" ht="12.8" hidden="false" customHeight="false" outlineLevel="0" collapsed="false">
      <c r="B3125" s="0" t="s">
        <v>1</v>
      </c>
    </row>
    <row r="3126" customFormat="false" ht="12.8" hidden="false" customHeight="false" outlineLevel="0" collapsed="false">
      <c r="B3126" s="0" t="s">
        <v>8</v>
      </c>
    </row>
    <row r="3127" customFormat="false" ht="12.8" hidden="false" customHeight="false" outlineLevel="0" collapsed="false">
      <c r="B3127" s="0" t="s">
        <v>1549</v>
      </c>
    </row>
    <row r="3129" customFormat="false" ht="12.8" hidden="false" customHeight="false" outlineLevel="0" collapsed="false">
      <c r="A3129" s="0" t="s">
        <v>1743</v>
      </c>
      <c r="B3129" s="0" t="str">
        <f aca="false">HYPERLINK("https://lindat.mff.cuni.cz/services/teitok/pdtc10/index.php?action=vallex&amp;frame=v-w274f6", "cítit (v-w274f6)")</f>
        <v>cítit (v-w274f6)</v>
      </c>
      <c r="E3129" s="0" t="str">
        <f aca="false">HYPERLINK("https://lindat.mff.cuni.cz/services/SynSemClass40/SynSemClass40.html?veclass=vec00470#vec00470-ces-cm00003", "vec00470")</f>
        <v>vec00470</v>
      </c>
      <c r="F3129" s="0" t="s">
        <v>1744</v>
      </c>
    </row>
    <row r="3130" customFormat="false" ht="12.8" hidden="false" customHeight="false" outlineLevel="0" collapsed="false">
      <c r="B3130" s="0" t="s">
        <v>1</v>
      </c>
      <c r="C3130" s="0" t="s">
        <v>1745</v>
      </c>
      <c r="E3130" s="0" t="s">
        <v>266</v>
      </c>
      <c r="F3130" s="0" t="s">
        <v>1746</v>
      </c>
    </row>
    <row r="3131" customFormat="false" ht="12.8" hidden="false" customHeight="false" outlineLevel="0" collapsed="false">
      <c r="B3131" s="0" t="s">
        <v>228</v>
      </c>
      <c r="C3131" s="0" t="s">
        <v>1747</v>
      </c>
      <c r="E3131" s="0" t="s">
        <v>1748</v>
      </c>
      <c r="F3131" s="0" t="s">
        <v>1749</v>
      </c>
    </row>
    <row r="3133" customFormat="false" ht="12.8" hidden="false" customHeight="false" outlineLevel="0" collapsed="false">
      <c r="A3133" s="0" t="s">
        <v>1750</v>
      </c>
      <c r="B3133" s="0" t="str">
        <f aca="false">HYPERLINK("https://lindat.mff.cuni.cz/services/teitok/pdtc10/index.php?action=vallex&amp;frame=v-w274f1", "cítit (v-w274f1)")</f>
        <v>cítit (v-w274f1)</v>
      </c>
      <c r="E3133" s="0" t="str">
        <f aca="false">HYPERLINK("https://lindat.mff.cuni.cz/services/SynSemClass40/SynSemClass40.html?veclass=vec00203#vec00203-ces-cm00001", "vec00203")</f>
        <v>vec00203</v>
      </c>
      <c r="F3133" s="0" t="s">
        <v>1751</v>
      </c>
    </row>
    <row r="3134" customFormat="false" ht="12.8" hidden="false" customHeight="false" outlineLevel="0" collapsed="false">
      <c r="B3134" s="0" t="s">
        <v>1</v>
      </c>
      <c r="C3134" s="0" t="s">
        <v>1752</v>
      </c>
      <c r="E3134" s="0" t="s">
        <v>637</v>
      </c>
      <c r="F3134" s="0" t="s">
        <v>1753</v>
      </c>
    </row>
    <row r="3135" customFormat="false" ht="12.8" hidden="false" customHeight="false" outlineLevel="0" collapsed="false">
      <c r="B3135" s="0" t="s">
        <v>1754</v>
      </c>
      <c r="C3135" s="0" t="s">
        <v>744</v>
      </c>
      <c r="E3135" s="0" t="s">
        <v>180</v>
      </c>
      <c r="F3135" s="0" t="s">
        <v>1755</v>
      </c>
    </row>
    <row r="3137" customFormat="false" ht="12.8" hidden="false" customHeight="false" outlineLevel="0" collapsed="false">
      <c r="A3137" s="0" t="s">
        <v>1756</v>
      </c>
      <c r="B3137" s="0" t="str">
        <f aca="false">HYPERLINK("https://lindat.mff.cuni.cz/services/teitok/pdtc10/index.php?action=vallex&amp;frame=v-w274f5", "cítit (v-w274f5)")</f>
        <v>cítit (v-w274f5)</v>
      </c>
    </row>
    <row r="3138" customFormat="false" ht="12.8" hidden="false" customHeight="false" outlineLevel="0" collapsed="false">
      <c r="B3138" s="0" t="s">
        <v>1</v>
      </c>
    </row>
    <row r="3139" customFormat="false" ht="12.8" hidden="false" customHeight="false" outlineLevel="0" collapsed="false">
      <c r="B3139" s="0" t="s">
        <v>721</v>
      </c>
    </row>
    <row r="3141" customFormat="false" ht="12.8" hidden="false" customHeight="false" outlineLevel="0" collapsed="false">
      <c r="A3141" s="0" t="s">
        <v>1757</v>
      </c>
      <c r="B3141" s="0" t="str">
        <f aca="false">HYPERLINK("https://lindat.mff.cuni.cz/services/teitok/pdtc10/index.php?action=vallex&amp;frame=v-w274f9_MM", "cítit (v-w274f9_MM)")</f>
        <v>cítit (v-w274f9_MM)</v>
      </c>
    </row>
    <row r="3142" customFormat="false" ht="12.8" hidden="false" customHeight="false" outlineLevel="0" collapsed="false">
      <c r="B3142" s="0" t="s">
        <v>1</v>
      </c>
    </row>
    <row r="3143" customFormat="false" ht="12.8" hidden="false" customHeight="false" outlineLevel="0" collapsed="false">
      <c r="B3143" s="0" t="s">
        <v>1758</v>
      </c>
    </row>
    <row r="3145" customFormat="false" ht="12.8" hidden="false" customHeight="false" outlineLevel="0" collapsed="false">
      <c r="A3145" s="0" t="s">
        <v>1757</v>
      </c>
      <c r="B3145" s="0" t="str">
        <f aca="false">HYPERLINK("https://lindat.mff.cuni.cz/services/teitok/pdtc10/index.php?action=vallex&amp;frame=v-w274f2", "cítit (v-w274f2) - substituted with v-w274f9_MM")</f>
        <v>cítit (v-w274f2) - substituted with v-w274f9_MM</v>
      </c>
    </row>
    <row r="3146" customFormat="false" ht="12.8" hidden="false" customHeight="false" outlineLevel="0" collapsed="false">
      <c r="B3146" s="0" t="s">
        <v>1</v>
      </c>
    </row>
    <row r="3147" customFormat="false" ht="12.8" hidden="false" customHeight="false" outlineLevel="0" collapsed="false">
      <c r="B3147" s="0" t="s">
        <v>1758</v>
      </c>
    </row>
    <row r="3149" customFormat="false" ht="12.8" hidden="false" customHeight="false" outlineLevel="0" collapsed="false">
      <c r="A3149" s="0" t="s">
        <v>1757</v>
      </c>
      <c r="B3149" s="0" t="str">
        <f aca="false">HYPERLINK("https://lindat.mff.cuni.cz/services/teitok/pdtc10/index.php?action=vallex&amp;frame=v-w274f7_ZU", "cítit (v-w274f7_ZU) - substituted with v-w274f9_MM")</f>
        <v>cítit (v-w274f7_ZU) - substituted with v-w274f9_MM</v>
      </c>
    </row>
    <row r="3150" customFormat="false" ht="12.8" hidden="false" customHeight="false" outlineLevel="0" collapsed="false">
      <c r="B3150" s="0" t="s">
        <v>1</v>
      </c>
    </row>
    <row r="3151" customFormat="false" ht="12.8" hidden="false" customHeight="false" outlineLevel="0" collapsed="false">
      <c r="B3151" s="0" t="s">
        <v>1758</v>
      </c>
    </row>
    <row r="3153" customFormat="false" ht="12.8" hidden="false" customHeight="false" outlineLevel="0" collapsed="false">
      <c r="A3153" s="0" t="s">
        <v>1757</v>
      </c>
      <c r="B3153" s="0" t="str">
        <f aca="false">HYPERLINK("https://lindat.mff.cuni.cz/services/teitok/pdtc10/index.php?action=vallex&amp;frame=v-w274f8_ZU", "cítit (v-w274f8_ZU) - substituted with v-w274f9_MM")</f>
        <v>cítit (v-w274f8_ZU) - substituted with v-w274f9_MM</v>
      </c>
      <c r="E3153" s="0" t="str">
        <f aca="false">HYPERLINK("https://lindat.mff.cuni.cz/services/SynSemClass40/SynSemClass40.html?veclass=vec00470#vec00470-ces-cm00004", "vec00470")</f>
        <v>vec00470</v>
      </c>
      <c r="F3153" s="0" t="s">
        <v>1744</v>
      </c>
    </row>
    <row r="3154" customFormat="false" ht="12.8" hidden="false" customHeight="false" outlineLevel="0" collapsed="false">
      <c r="B3154" s="0" t="s">
        <v>1</v>
      </c>
      <c r="C3154" s="0" t="s">
        <v>1745</v>
      </c>
      <c r="E3154" s="0" t="s">
        <v>266</v>
      </c>
      <c r="F3154" s="0" t="s">
        <v>1746</v>
      </c>
    </row>
    <row r="3155" customFormat="false" ht="12.8" hidden="false" customHeight="false" outlineLevel="0" collapsed="false">
      <c r="B3155" s="0" t="s">
        <v>1758</v>
      </c>
      <c r="C3155" s="0" t="s">
        <v>1759</v>
      </c>
      <c r="E3155" s="0" t="s">
        <v>1760</v>
      </c>
      <c r="F3155" s="0" t="s">
        <v>1761</v>
      </c>
    </row>
    <row r="3157" customFormat="false" ht="12.8" hidden="false" customHeight="false" outlineLevel="0" collapsed="false">
      <c r="A3157" s="0" t="s">
        <v>1757</v>
      </c>
      <c r="B3157" s="0" t="str">
        <f aca="false">HYPERLINK("https://lindat.mff.cuni.cz/services/teitok/pdtc10/index.php?action=vallex&amp;frame=v-w274hsa_585", "cítit (v-w274hsa_585) - substituted with v-w274f9_MM")</f>
        <v>cítit (v-w274hsa_585) - substituted with v-w274f9_MM</v>
      </c>
    </row>
    <row r="3158" customFormat="false" ht="12.8" hidden="false" customHeight="false" outlineLevel="0" collapsed="false">
      <c r="B3158" s="0" t="s">
        <v>1</v>
      </c>
    </row>
    <row r="3159" customFormat="false" ht="12.8" hidden="false" customHeight="false" outlineLevel="0" collapsed="false">
      <c r="B3159" s="0" t="s">
        <v>1758</v>
      </c>
    </row>
    <row r="3161" customFormat="false" ht="12.8" hidden="false" customHeight="false" outlineLevel="0" collapsed="false">
      <c r="A3161" s="0" t="s">
        <v>1762</v>
      </c>
      <c r="B3161" s="0" t="str">
        <f aca="false">HYPERLINK("https://lindat.mff.cuni.cz/services/teitok/pdtc10/index.php?action=vallex&amp;frame=v-w275f1", "cítit se (v-w275f1)")</f>
        <v>cítit se (v-w275f1)</v>
      </c>
      <c r="E3161" s="0" t="str">
        <f aca="false">HYPERLINK("https://lindat.mff.cuni.cz/services/SynSemClass40/SynSemClass40.html?veclass=vec00204#vec00204-ces-cm00005", "vec00204")</f>
        <v>vec00204</v>
      </c>
      <c r="F3161" s="0" t="s">
        <v>1763</v>
      </c>
    </row>
    <row r="3162" customFormat="false" ht="12.8" hidden="false" customHeight="false" outlineLevel="0" collapsed="false">
      <c r="B3162" s="0" t="s">
        <v>1</v>
      </c>
      <c r="C3162" s="0" t="s">
        <v>1764</v>
      </c>
      <c r="E3162" s="0" t="s">
        <v>266</v>
      </c>
      <c r="F3162" s="0" t="s">
        <v>1765</v>
      </c>
    </row>
    <row r="3163" customFormat="false" ht="12.8" hidden="false" customHeight="false" outlineLevel="0" collapsed="false">
      <c r="B3163" s="0" t="s">
        <v>1766</v>
      </c>
      <c r="C3163" s="0" t="s">
        <v>1767</v>
      </c>
      <c r="E3163" s="0" t="s">
        <v>1768</v>
      </c>
      <c r="F3163" s="0" t="s">
        <v>1769</v>
      </c>
    </row>
    <row r="3165" customFormat="false" ht="12.8" hidden="false" customHeight="false" outlineLevel="0" collapsed="false">
      <c r="A3165" s="0" t="s">
        <v>1770</v>
      </c>
      <c r="B3165" s="0" t="str">
        <f aca="false">HYPERLINK("https://lindat.mff.cuni.cz/services/teitok/pdtc10/index.php?action=vallex&amp;frame=v-w275f3", "cítit se (v-w275f3)")</f>
        <v>cítit se (v-w275f3)</v>
      </c>
    </row>
    <row r="3166" customFormat="false" ht="12.8" hidden="false" customHeight="false" outlineLevel="0" collapsed="false">
      <c r="B3166" s="0" t="s">
        <v>1</v>
      </c>
    </row>
    <row r="3167" customFormat="false" ht="12.8" hidden="false" customHeight="false" outlineLevel="0" collapsed="false">
      <c r="B3167" s="0" t="s">
        <v>45</v>
      </c>
    </row>
    <row r="3169" customFormat="false" ht="12.8" hidden="false" customHeight="false" outlineLevel="0" collapsed="false">
      <c r="A3169" s="0" t="s">
        <v>1771</v>
      </c>
      <c r="B3169" s="0" t="str">
        <f aca="false">HYPERLINK("https://lindat.mff.cuni.cz/services/teitok/pdtc10/index.php?action=vallex&amp;frame=v-w275f4", "cítit se (v-w275f4)")</f>
        <v>cítit se (v-w275f4)</v>
      </c>
    </row>
    <row r="3170" customFormat="false" ht="12.8" hidden="false" customHeight="false" outlineLevel="0" collapsed="false">
      <c r="B3170" s="0" t="s">
        <v>1</v>
      </c>
    </row>
    <row r="3171" customFormat="false" ht="12.8" hidden="false" customHeight="false" outlineLevel="0" collapsed="false">
      <c r="B3171" s="0" t="s">
        <v>45</v>
      </c>
    </row>
    <row r="3173" customFormat="false" ht="12.8" hidden="false" customHeight="false" outlineLevel="0" collapsed="false">
      <c r="A3173" s="0" t="s">
        <v>1772</v>
      </c>
      <c r="B3173" s="0" t="str">
        <f aca="false">HYPERLINK("https://lindat.mff.cuni.cz/services/teitok/pdtc10/index.php?action=vallex&amp;frame=v-w275f8_ZU", "cítit se (v-w275f8_ZU)")</f>
        <v>cítit se (v-w275f8_ZU)</v>
      </c>
    </row>
    <row r="3174" customFormat="false" ht="12.8" hidden="false" customHeight="false" outlineLevel="0" collapsed="false">
      <c r="B3174" s="0" t="s">
        <v>1</v>
      </c>
    </row>
    <row r="3175" customFormat="false" ht="12.8" hidden="false" customHeight="false" outlineLevel="0" collapsed="false">
      <c r="B3175" s="0" t="s">
        <v>1773</v>
      </c>
    </row>
    <row r="3176" customFormat="false" ht="12.8" hidden="false" customHeight="false" outlineLevel="0" collapsed="false">
      <c r="B3176" s="0" t="s">
        <v>642</v>
      </c>
    </row>
    <row r="3177" customFormat="false" ht="12.8" hidden="false" customHeight="false" outlineLevel="0" collapsed="false">
      <c r="B3177" s="0" t="s">
        <v>652</v>
      </c>
    </row>
    <row r="3179" customFormat="false" ht="12.8" hidden="false" customHeight="false" outlineLevel="0" collapsed="false">
      <c r="A3179" s="0" t="s">
        <v>1772</v>
      </c>
      <c r="B3179" s="0" t="str">
        <f aca="false">HYPERLINK("https://lindat.mff.cuni.cz/services/teitok/pdtc10/index.php?action=vallex&amp;frame=v-w275f2", "cítit se (v-w275f2) - substituted with v-w275f8_ZU")</f>
        <v>cítit se (v-w275f2) - substituted with v-w275f8_ZU</v>
      </c>
    </row>
    <row r="3180" customFormat="false" ht="12.8" hidden="false" customHeight="false" outlineLevel="0" collapsed="false">
      <c r="B3180" s="0" t="s">
        <v>1</v>
      </c>
    </row>
    <row r="3181" customFormat="false" ht="12.8" hidden="false" customHeight="false" outlineLevel="0" collapsed="false">
      <c r="B3181" s="0" t="s">
        <v>1773</v>
      </c>
    </row>
    <row r="3182" customFormat="false" ht="12.8" hidden="false" customHeight="false" outlineLevel="0" collapsed="false">
      <c r="B3182" s="0" t="s">
        <v>642</v>
      </c>
    </row>
    <row r="3183" customFormat="false" ht="12.8" hidden="false" customHeight="false" outlineLevel="0" collapsed="false">
      <c r="B3183" s="0" t="s">
        <v>652</v>
      </c>
    </row>
    <row r="3185" customFormat="false" ht="12.8" hidden="false" customHeight="false" outlineLevel="0" collapsed="false">
      <c r="A3185" s="0" t="s">
        <v>1772</v>
      </c>
      <c r="B3185" s="0" t="str">
        <f aca="false">HYPERLINK("https://lindat.mff.cuni.cz/services/teitok/pdtc10/index.php?action=vallex&amp;frame=v-w275f5_ZU", "cítit se (v-w275f5_ZU) - substituted with v-w275f8_ZU")</f>
        <v>cítit se (v-w275f5_ZU) - substituted with v-w275f8_ZU</v>
      </c>
    </row>
    <row r="3186" customFormat="false" ht="12.8" hidden="false" customHeight="false" outlineLevel="0" collapsed="false">
      <c r="B3186" s="0" t="s">
        <v>1</v>
      </c>
    </row>
    <row r="3187" customFormat="false" ht="12.8" hidden="false" customHeight="false" outlineLevel="0" collapsed="false">
      <c r="B3187" s="0" t="s">
        <v>1773</v>
      </c>
    </row>
    <row r="3188" customFormat="false" ht="12.8" hidden="false" customHeight="false" outlineLevel="0" collapsed="false">
      <c r="B3188" s="0" t="s">
        <v>642</v>
      </c>
    </row>
    <row r="3189" customFormat="false" ht="12.8" hidden="false" customHeight="false" outlineLevel="0" collapsed="false">
      <c r="B3189" s="0" t="s">
        <v>652</v>
      </c>
    </row>
    <row r="3191" customFormat="false" ht="12.8" hidden="false" customHeight="false" outlineLevel="0" collapsed="false">
      <c r="A3191" s="0" t="s">
        <v>1772</v>
      </c>
      <c r="B3191" s="0" t="str">
        <f aca="false">HYPERLINK("https://lindat.mff.cuni.cz/services/teitok/pdtc10/index.php?action=vallex&amp;frame=v-w275f6_ZU", "cítit se (v-w275f6_ZU) - substituted with v-w275f8_ZU")</f>
        <v>cítit se (v-w275f6_ZU) - substituted with v-w275f8_ZU</v>
      </c>
    </row>
    <row r="3192" customFormat="false" ht="12.8" hidden="false" customHeight="false" outlineLevel="0" collapsed="false">
      <c r="B3192" s="0" t="s">
        <v>1</v>
      </c>
    </row>
    <row r="3193" customFormat="false" ht="12.8" hidden="false" customHeight="false" outlineLevel="0" collapsed="false">
      <c r="B3193" s="0" t="s">
        <v>1773</v>
      </c>
    </row>
    <row r="3194" customFormat="false" ht="12.8" hidden="false" customHeight="false" outlineLevel="0" collapsed="false">
      <c r="B3194" s="0" t="s">
        <v>642</v>
      </c>
    </row>
    <row r="3195" customFormat="false" ht="12.8" hidden="false" customHeight="false" outlineLevel="0" collapsed="false">
      <c r="B3195" s="0" t="s">
        <v>652</v>
      </c>
    </row>
    <row r="3197" customFormat="false" ht="12.8" hidden="false" customHeight="false" outlineLevel="0" collapsed="false">
      <c r="A3197" s="0" t="s">
        <v>1772</v>
      </c>
      <c r="B3197" s="0" t="str">
        <f aca="false">HYPERLINK("https://lindat.mff.cuni.cz/services/teitok/pdtc10/index.php?action=vallex&amp;frame=v-w275f7_ZU", "cítit se (v-w275f7_ZU) - substituted with v-w275f8_ZU")</f>
        <v>cítit se (v-w275f7_ZU) - substituted with v-w275f8_ZU</v>
      </c>
      <c r="E3197" s="0" t="str">
        <f aca="false">HYPERLINK("https://lindat.mff.cuni.cz/services/SynSemClass40/SynSemClass40.html?veclass=vec00204#vec00204-ces-cm00001", "vec00204")</f>
        <v>vec00204</v>
      </c>
      <c r="F3197" s="0" t="s">
        <v>1763</v>
      </c>
    </row>
    <row r="3198" customFormat="false" ht="12.8" hidden="false" customHeight="false" outlineLevel="0" collapsed="false">
      <c r="B3198" s="0" t="s">
        <v>1</v>
      </c>
      <c r="C3198" s="0" t="s">
        <v>1764</v>
      </c>
      <c r="E3198" s="0" t="s">
        <v>266</v>
      </c>
      <c r="F3198" s="0" t="s">
        <v>1765</v>
      </c>
    </row>
    <row r="3199" customFormat="false" ht="12.8" hidden="false" customHeight="false" outlineLevel="0" collapsed="false">
      <c r="B3199" s="0" t="s">
        <v>1773</v>
      </c>
      <c r="C3199" s="0" t="s">
        <v>1774</v>
      </c>
      <c r="E3199" s="0" t="s">
        <v>1775</v>
      </c>
      <c r="F3199" s="0" t="s">
        <v>1776</v>
      </c>
    </row>
    <row r="3200" customFormat="false" ht="12.8" hidden="false" customHeight="false" outlineLevel="0" collapsed="false">
      <c r="B3200" s="0" t="s">
        <v>642</v>
      </c>
      <c r="C3200" s="0" t="s">
        <v>1777</v>
      </c>
      <c r="E3200" s="0" t="s">
        <v>1775</v>
      </c>
      <c r="F3200" s="0" t="s">
        <v>1776</v>
      </c>
    </row>
    <row r="3201" customFormat="false" ht="12.8" hidden="false" customHeight="false" outlineLevel="0" collapsed="false">
      <c r="B3201" s="0" t="s">
        <v>652</v>
      </c>
      <c r="C3201" s="0" t="s">
        <v>1778</v>
      </c>
      <c r="E3201" s="0" t="s">
        <v>1775</v>
      </c>
      <c r="F3201" s="0" t="s">
        <v>1776</v>
      </c>
    </row>
    <row r="3203" customFormat="false" ht="12.8" hidden="false" customHeight="false" outlineLevel="0" collapsed="false">
      <c r="A3203" s="0" t="s">
        <v>1779</v>
      </c>
      <c r="B3203" s="0" t="str">
        <f aca="false">HYPERLINK("https://lindat.mff.cuni.cz/services/teitok/pdtc10/index.php?action=vallex&amp;frame=v-w360f1", "dabovat (v-w360f1)")</f>
        <v>dabovat (v-w360f1)</v>
      </c>
    </row>
    <row r="3204" customFormat="false" ht="12.8" hidden="false" customHeight="false" outlineLevel="0" collapsed="false">
      <c r="B3204" s="0" t="s">
        <v>1</v>
      </c>
    </row>
    <row r="3205" customFormat="false" ht="12.8" hidden="false" customHeight="false" outlineLevel="0" collapsed="false">
      <c r="B3205" s="0" t="s">
        <v>8</v>
      </c>
    </row>
    <row r="3207" customFormat="false" ht="12.8" hidden="false" customHeight="false" outlineLevel="0" collapsed="false">
      <c r="A3207" s="0" t="s">
        <v>1780</v>
      </c>
      <c r="B3207" s="0" t="str">
        <f aca="false">HYPERLINK("https://lindat.mff.cuni.cz/services/teitok/pdtc10/index.php?action=vallex&amp;frame=v-w362f1", "danit (v-w362f1)")</f>
        <v>danit (v-w362f1)</v>
      </c>
    </row>
    <row r="3208" customFormat="false" ht="12.8" hidden="false" customHeight="false" outlineLevel="0" collapsed="false">
      <c r="B3208" s="0" t="s">
        <v>1</v>
      </c>
    </row>
    <row r="3209" customFormat="false" ht="12.8" hidden="false" customHeight="false" outlineLevel="0" collapsed="false">
      <c r="B3209" s="0" t="s">
        <v>8</v>
      </c>
    </row>
    <row r="3211" customFormat="false" ht="12.8" hidden="false" customHeight="false" outlineLevel="0" collapsed="false">
      <c r="A3211" s="0" t="s">
        <v>1781</v>
      </c>
      <c r="B3211" s="0" t="str">
        <f aca="false">HYPERLINK("https://lindat.mff.cuni.cz/services/teitok/pdtc10/index.php?action=vallex&amp;frame=v-w367f1", "darovat (v-w367f1)")</f>
        <v>darovat (v-w367f1)</v>
      </c>
      <c r="E3211" s="0" t="str">
        <f aca="false">HYPERLINK("https://lindat.mff.cuni.cz/services/SynSemClass40/SynSemClass40.html?veclass=vec00074#vec00074-ces-cm00007", "vec00074")</f>
        <v>vec00074</v>
      </c>
      <c r="F3211" s="0" t="s">
        <v>1782</v>
      </c>
    </row>
    <row r="3212" customFormat="false" ht="12.8" hidden="false" customHeight="false" outlineLevel="0" collapsed="false">
      <c r="B3212" s="0" t="s">
        <v>1</v>
      </c>
      <c r="C3212" s="0" t="s">
        <v>1783</v>
      </c>
      <c r="E3212" s="0" t="s">
        <v>1784</v>
      </c>
      <c r="F3212" s="0" t="s">
        <v>1785</v>
      </c>
    </row>
    <row r="3213" customFormat="false" ht="12.8" hidden="false" customHeight="false" outlineLevel="0" collapsed="false">
      <c r="B3213" s="0" t="s">
        <v>8</v>
      </c>
      <c r="C3213" s="0" t="s">
        <v>1786</v>
      </c>
      <c r="E3213" s="0" t="s">
        <v>1787</v>
      </c>
      <c r="F3213" s="0" t="s">
        <v>1788</v>
      </c>
    </row>
    <row r="3214" customFormat="false" ht="12.8" hidden="false" customHeight="false" outlineLevel="0" collapsed="false">
      <c r="B3214" s="0" t="s">
        <v>52</v>
      </c>
      <c r="C3214" s="0" t="s">
        <v>1789</v>
      </c>
      <c r="E3214" s="0" t="s">
        <v>53</v>
      </c>
      <c r="F3214" s="0" t="s">
        <v>1790</v>
      </c>
    </row>
    <row r="3216" customFormat="false" ht="12.8" hidden="false" customHeight="false" outlineLevel="0" collapsed="false">
      <c r="A3216" s="0" t="s">
        <v>1791</v>
      </c>
      <c r="B3216" s="0" t="str">
        <f aca="false">HYPERLINK("https://lindat.mff.cuni.cz/services/teitok/pdtc10/index.php?action=vallex&amp;frame=v-w10072f2", "datovat (v-w10072f2)")</f>
        <v>datovat (v-w10072f2)</v>
      </c>
      <c r="E3216" s="0" t="str">
        <f aca="false">HYPERLINK("https://lindat.mff.cuni.cz/services/SynSemClass40/SynSemClass40.html?veclass=vec00806#vec00806-ces-cm00001", "vec00806")</f>
        <v>vec00806</v>
      </c>
      <c r="F3216" s="0" t="s">
        <v>1792</v>
      </c>
    </row>
    <row r="3217" customFormat="false" ht="12.8" hidden="false" customHeight="false" outlineLevel="0" collapsed="false">
      <c r="B3217" s="0" t="s">
        <v>1</v>
      </c>
      <c r="E3217" s="0" t="s">
        <v>31</v>
      </c>
      <c r="F3217" s="0" t="s">
        <v>49</v>
      </c>
    </row>
    <row r="3218" customFormat="false" ht="12.8" hidden="false" customHeight="false" outlineLevel="0" collapsed="false">
      <c r="B3218" s="0" t="s">
        <v>8</v>
      </c>
      <c r="C3218" s="0" t="s">
        <v>1575</v>
      </c>
      <c r="E3218" s="0" t="s">
        <v>34</v>
      </c>
      <c r="F3218" s="0" t="s">
        <v>1793</v>
      </c>
    </row>
    <row r="3220" customFormat="false" ht="12.8" hidden="false" customHeight="false" outlineLevel="0" collapsed="false">
      <c r="A3220" s="0" t="s">
        <v>1794</v>
      </c>
      <c r="B3220" s="0" t="str">
        <f aca="false">HYPERLINK("https://lindat.mff.cuni.cz/services/teitok/pdtc10/index.php?action=vallex&amp;frame=v-w11235f1", "datovat se (v-w11235f1)")</f>
        <v>datovat se (v-w11235f1)</v>
      </c>
    </row>
    <row r="3221" customFormat="false" ht="12.8" hidden="false" customHeight="false" outlineLevel="0" collapsed="false">
      <c r="B3221" s="0" t="s">
        <v>1</v>
      </c>
    </row>
    <row r="3222" customFormat="false" ht="12.8" hidden="false" customHeight="false" outlineLevel="0" collapsed="false">
      <c r="B3222" s="0" t="s">
        <v>1795</v>
      </c>
    </row>
    <row r="3224" customFormat="false" ht="12.8" hidden="false" customHeight="false" outlineLevel="0" collapsed="false">
      <c r="A3224" s="0" t="s">
        <v>1796</v>
      </c>
      <c r="B3224" s="0" t="str">
        <f aca="false">HYPERLINK("https://lindat.mff.cuni.cz/services/teitok/pdtc10/index.php?action=vallex&amp;frame=v-w11235hsa_989", "datovat se (v-w11235hsa_989)")</f>
        <v>datovat se (v-w11235hsa_989)</v>
      </c>
      <c r="E3224" s="0" t="str">
        <f aca="false">HYPERLINK("https://lindat.mff.cuni.cz/services/SynSemClass40/SynSemClass40.html?veclass=vec00005#vec00005-ces-cm00001", "vec00005")</f>
        <v>vec00005</v>
      </c>
      <c r="F3224" s="0" t="s">
        <v>1797</v>
      </c>
    </row>
    <row r="3225" customFormat="false" ht="12.8" hidden="false" customHeight="false" outlineLevel="0" collapsed="false">
      <c r="B3225" s="0" t="s">
        <v>1</v>
      </c>
      <c r="C3225" s="0" t="s">
        <v>10</v>
      </c>
      <c r="E3225" s="0" t="s">
        <v>957</v>
      </c>
      <c r="F3225" s="0" t="s">
        <v>1798</v>
      </c>
    </row>
    <row r="3226" customFormat="false" ht="12.8" hidden="false" customHeight="false" outlineLevel="0" collapsed="false">
      <c r="B3226" s="0" t="s">
        <v>1799</v>
      </c>
      <c r="C3226" s="0" t="s">
        <v>1800</v>
      </c>
      <c r="E3226" s="0" t="s">
        <v>1801</v>
      </c>
      <c r="F3226" s="0" t="s">
        <v>1802</v>
      </c>
    </row>
    <row r="3228" customFormat="false" ht="12.8" hidden="false" customHeight="false" outlineLevel="0" collapsed="false">
      <c r="A3228" s="0" t="s">
        <v>1803</v>
      </c>
      <c r="B3228" s="0" t="str">
        <f aca="false">HYPERLINK("https://lindat.mff.cuni.cz/services/teitok/pdtc10/index.php?action=vallex&amp;frame=v-w368f1", "dařit se (v-w368f1)")</f>
        <v>dařit se (v-w368f1)</v>
      </c>
      <c r="E3228" s="0" t="str">
        <f aca="false">HYPERLINK("https://lindat.mff.cuni.cz/services/SynSemClass40/SynSemClass40.html?veclass=vec00257#vec00257-ces-cm00002", "vec00257")</f>
        <v>vec00257</v>
      </c>
      <c r="F3228" s="0" t="s">
        <v>1804</v>
      </c>
      <c r="H3228" s="0" t="str">
        <f aca="false">HYPERLINK("https://lindat.mff.cuni.cz/services/SynSemClass40/SynSemClass40.html?veclass=vec01455#vec01455-ces-cm00011", "vec01455")</f>
        <v>vec01455</v>
      </c>
      <c r="I3228" s="0" t="s">
        <v>888</v>
      </c>
    </row>
    <row r="3229" customFormat="false" ht="12.8" hidden="false" customHeight="false" outlineLevel="0" collapsed="false">
      <c r="B3229" s="0" t="s">
        <v>804</v>
      </c>
      <c r="C3229" s="0" t="s">
        <v>1805</v>
      </c>
      <c r="E3229" s="0" t="s">
        <v>11</v>
      </c>
      <c r="F3229" s="0" t="s">
        <v>1806</v>
      </c>
      <c r="H3229" s="0" t="s">
        <v>11</v>
      </c>
      <c r="I3229" s="0" t="s">
        <v>890</v>
      </c>
    </row>
    <row r="3230" customFormat="false" ht="12.8" hidden="false" customHeight="false" outlineLevel="0" collapsed="false">
      <c r="B3230" s="0" t="s">
        <v>1807</v>
      </c>
      <c r="C3230" s="0" t="s">
        <v>1808</v>
      </c>
      <c r="E3230" s="0" t="s">
        <v>1809</v>
      </c>
      <c r="F3230" s="0" t="s">
        <v>1810</v>
      </c>
      <c r="H3230" s="0" t="s">
        <v>893</v>
      </c>
      <c r="I3230" s="0" t="s">
        <v>894</v>
      </c>
    </row>
    <row r="3232" customFormat="false" ht="12.8" hidden="false" customHeight="false" outlineLevel="0" collapsed="false">
      <c r="A3232" s="0" t="s">
        <v>1811</v>
      </c>
      <c r="B3232" s="0" t="str">
        <f aca="false">HYPERLINK("https://lindat.mff.cuni.cz/services/teitok/pdtc10/index.php?action=vallex&amp;frame=v-w368f3", "dařit se (v-w368f3)")</f>
        <v>dařit se (v-w368f3)</v>
      </c>
    </row>
    <row r="3233" customFormat="false" ht="12.8" hidden="false" customHeight="false" outlineLevel="0" collapsed="false">
      <c r="B3233" s="0" t="s">
        <v>1</v>
      </c>
    </row>
    <row r="3235" customFormat="false" ht="12.8" hidden="false" customHeight="false" outlineLevel="0" collapsed="false">
      <c r="A3235" s="0" t="s">
        <v>1812</v>
      </c>
      <c r="B3235" s="0" t="str">
        <f aca="false">HYPERLINK("https://lindat.mff.cuni.cz/services/teitok/pdtc10/index.php?action=vallex&amp;frame=v-w368f2", "dařit se (v-w368f2)")</f>
        <v>dařit se (v-w368f2)</v>
      </c>
      <c r="E3235" s="0" t="str">
        <f aca="false">HYPERLINK("https://lindat.mff.cuni.cz/services/SynSemClass40/SynSemClass40.html?veclass=vec00153#vec00153-ces-cm00003", "vec00153")</f>
        <v>vec00153</v>
      </c>
      <c r="F3235" s="0" t="s">
        <v>925</v>
      </c>
    </row>
    <row r="3236" customFormat="false" ht="12.8" hidden="false" customHeight="false" outlineLevel="0" collapsed="false">
      <c r="B3236" s="0" t="s">
        <v>804</v>
      </c>
      <c r="C3236" s="0" t="s">
        <v>926</v>
      </c>
      <c r="E3236" s="0" t="s">
        <v>11</v>
      </c>
      <c r="F3236" s="0" t="s">
        <v>927</v>
      </c>
    </row>
    <row r="3237" customFormat="false" ht="12.8" hidden="false" customHeight="false" outlineLevel="0" collapsed="false">
      <c r="B3237" s="0" t="s">
        <v>642</v>
      </c>
      <c r="C3237" s="0" t="s">
        <v>929</v>
      </c>
      <c r="E3237" s="0" t="s">
        <v>1813</v>
      </c>
      <c r="F3237" s="0" t="s">
        <v>1814</v>
      </c>
    </row>
    <row r="3238" customFormat="false" ht="12.8" hidden="false" customHeight="false" outlineLevel="0" collapsed="false">
      <c r="B3238" s="0" t="s">
        <v>1815</v>
      </c>
      <c r="C3238" s="0" t="s">
        <v>1816</v>
      </c>
      <c r="E3238" s="0" t="s">
        <v>1813</v>
      </c>
      <c r="F3238" s="0" t="s">
        <v>1814</v>
      </c>
    </row>
    <row r="3240" customFormat="false" ht="12.8" hidden="false" customHeight="false" outlineLevel="0" collapsed="false">
      <c r="A3240" s="0" t="s">
        <v>1817</v>
      </c>
      <c r="B3240" s="0" t="str">
        <f aca="false">HYPERLINK("https://lindat.mff.cuni.cz/services/teitok/pdtc10/index.php?action=vallex&amp;frame=v-w381f1", "dbát (v-w381f1)")</f>
        <v>dbát (v-w381f1)</v>
      </c>
      <c r="E3240" s="0" t="str">
        <f aca="false">HYPERLINK("https://lindat.mff.cuni.cz/services/SynSemClass40/SynSemClass40.html?veclass=vec00303#vec00303-ces-cm00057", "vec00303")</f>
        <v>vec00303</v>
      </c>
      <c r="F3240" s="0" t="s">
        <v>1818</v>
      </c>
    </row>
    <row r="3241" customFormat="false" ht="12.8" hidden="false" customHeight="false" outlineLevel="0" collapsed="false">
      <c r="B3241" s="0" t="s">
        <v>1</v>
      </c>
      <c r="C3241" s="0" t="s">
        <v>1819</v>
      </c>
      <c r="E3241" s="0" t="s">
        <v>11</v>
      </c>
      <c r="F3241" s="0" t="s">
        <v>1820</v>
      </c>
    </row>
    <row r="3242" customFormat="false" ht="12.8" hidden="false" customHeight="false" outlineLevel="0" collapsed="false">
      <c r="B3242" s="0" t="s">
        <v>1821</v>
      </c>
      <c r="C3242" s="0" t="s">
        <v>1822</v>
      </c>
      <c r="E3242" s="0" t="s">
        <v>1823</v>
      </c>
      <c r="F3242" s="0" t="s">
        <v>1824</v>
      </c>
    </row>
    <row r="3244" customFormat="false" ht="12.8" hidden="false" customHeight="false" outlineLevel="0" collapsed="false">
      <c r="A3244" s="0" t="s">
        <v>1825</v>
      </c>
      <c r="B3244" s="0" t="str">
        <f aca="false">HYPERLINK("https://lindat.mff.cuni.cz/services/teitok/pdtc10/index.php?action=vallex&amp;frame=v-w385f1", "debatovat (v-w385f1)")</f>
        <v>debatovat (v-w385f1)</v>
      </c>
      <c r="E3244" s="0" t="str">
        <f aca="false">HYPERLINK("https://lindat.mff.cuni.cz/services/SynSemClass40/SynSemClass40.html?veclass=vec00031#vec00031-ces-cm00003", "vec00031")</f>
        <v>vec00031</v>
      </c>
      <c r="F3244" s="0" t="s">
        <v>277</v>
      </c>
    </row>
    <row r="3245" customFormat="false" ht="12.8" hidden="false" customHeight="false" outlineLevel="0" collapsed="false">
      <c r="B3245" s="0" t="s">
        <v>1</v>
      </c>
      <c r="C3245" s="0" t="s">
        <v>278</v>
      </c>
      <c r="E3245" s="0" t="s">
        <v>147</v>
      </c>
      <c r="F3245" s="0" t="s">
        <v>279</v>
      </c>
    </row>
    <row r="3246" customFormat="false" ht="12.8" hidden="false" customHeight="false" outlineLevel="0" collapsed="false">
      <c r="B3246" s="0" t="s">
        <v>1826</v>
      </c>
      <c r="C3246" s="0" t="s">
        <v>280</v>
      </c>
      <c r="E3246" s="0" t="s">
        <v>218</v>
      </c>
      <c r="F3246" s="0" t="s">
        <v>281</v>
      </c>
    </row>
    <row r="3247" customFormat="false" ht="12.8" hidden="false" customHeight="false" outlineLevel="0" collapsed="false">
      <c r="B3247" s="0" t="s">
        <v>276</v>
      </c>
      <c r="C3247" s="0" t="s">
        <v>282</v>
      </c>
      <c r="E3247" s="0" t="s">
        <v>221</v>
      </c>
      <c r="F3247" s="0" t="s">
        <v>283</v>
      </c>
    </row>
    <row r="3249" customFormat="false" ht="12.8" hidden="false" customHeight="false" outlineLevel="0" collapsed="false">
      <c r="A3249" s="0" t="s">
        <v>1827</v>
      </c>
      <c r="B3249" s="0" t="str">
        <f aca="false">HYPERLINK("https://lindat.mff.cuni.cz/services/teitok/pdtc10/index.php?action=vallex&amp;frame=v-w387f1", "debutovat (v-w387f1)")</f>
        <v>debutovat (v-w387f1)</v>
      </c>
      <c r="E3249" s="0" t="str">
        <f aca="false">HYPERLINK("https://lindat.mff.cuni.cz/services/SynSemClass40/SynSemClass40.html?veclass=vec00611#vec00611-ces-cm00154", "vec00611")</f>
        <v>vec00611</v>
      </c>
      <c r="F3249" s="0" t="s">
        <v>1828</v>
      </c>
    </row>
    <row r="3250" customFormat="false" ht="12.8" hidden="false" customHeight="false" outlineLevel="0" collapsed="false">
      <c r="B3250" s="0" t="s">
        <v>1</v>
      </c>
      <c r="C3250" s="0" t="s">
        <v>1829</v>
      </c>
      <c r="E3250" s="0" t="s">
        <v>1830</v>
      </c>
      <c r="F3250" s="0" t="s">
        <v>1831</v>
      </c>
    </row>
    <row r="3252" customFormat="false" ht="12.8" hidden="false" customHeight="false" outlineLevel="0" collapsed="false">
      <c r="A3252" s="0" t="s">
        <v>1832</v>
      </c>
      <c r="B3252" s="0" t="str">
        <f aca="false">HYPERLINK("https://lindat.mff.cuni.cz/services/teitok/pdtc10/index.php?action=vallex&amp;frame=v-w389f1", "decentralizovat (v-w389f1)")</f>
        <v>decentralizovat (v-w389f1)</v>
      </c>
    </row>
    <row r="3253" customFormat="false" ht="12.8" hidden="false" customHeight="false" outlineLevel="0" collapsed="false">
      <c r="B3253" s="0" t="s">
        <v>1</v>
      </c>
    </row>
    <row r="3254" customFormat="false" ht="12.8" hidden="false" customHeight="false" outlineLevel="0" collapsed="false">
      <c r="B3254" s="0" t="s">
        <v>8</v>
      </c>
    </row>
    <row r="3256" customFormat="false" ht="12.8" hidden="false" customHeight="false" outlineLevel="0" collapsed="false">
      <c r="A3256" s="0" t="s">
        <v>1833</v>
      </c>
      <c r="B3256" s="0" t="str">
        <f aca="false">HYPERLINK("https://lindat.mff.cuni.cz/services/teitok/pdtc10/index.php?action=vallex&amp;frame=v-w392f1", "defilovat (v-w392f1)")</f>
        <v>defilovat (v-w392f1)</v>
      </c>
    </row>
    <row r="3257" customFormat="false" ht="12.8" hidden="false" customHeight="false" outlineLevel="0" collapsed="false">
      <c r="B3257" s="0" t="s">
        <v>1</v>
      </c>
    </row>
    <row r="3259" customFormat="false" ht="12.8" hidden="false" customHeight="false" outlineLevel="0" collapsed="false">
      <c r="A3259" s="0" t="s">
        <v>1834</v>
      </c>
      <c r="B3259" s="0" t="str">
        <f aca="false">HYPERLINK("https://lindat.mff.cuni.cz/services/teitok/pdtc10/index.php?action=vallex&amp;frame=v-w394f1", "definovat (v-w394f1)")</f>
        <v>definovat (v-w394f1)</v>
      </c>
      <c r="E3259" s="0" t="str">
        <f aca="false">HYPERLINK("https://lindat.mff.cuni.cz/services/SynSemClass40/SynSemClass40.html?veclass=vec00127#vec00127-ces-cm00003", "vec00127")</f>
        <v>vec00127</v>
      </c>
      <c r="F3259" s="0" t="s">
        <v>1835</v>
      </c>
      <c r="H3259" s="0" t="str">
        <f aca="false">HYPERLINK("https://lindat.mff.cuni.cz/services/SynSemClass40/SynSemClass40.html?veclass=vec00417#vec00417-ces-cm00016", "vec00417")</f>
        <v>vec00417</v>
      </c>
      <c r="I3259" s="0" t="s">
        <v>1372</v>
      </c>
    </row>
    <row r="3260" customFormat="false" ht="12.8" hidden="false" customHeight="false" outlineLevel="0" collapsed="false">
      <c r="B3260" s="0" t="s">
        <v>1</v>
      </c>
      <c r="C3260" s="0" t="s">
        <v>1836</v>
      </c>
      <c r="E3260" s="0" t="s">
        <v>11</v>
      </c>
      <c r="F3260" s="0" t="s">
        <v>1837</v>
      </c>
      <c r="H3260" s="0" t="s">
        <v>63</v>
      </c>
      <c r="I3260" s="0" t="s">
        <v>1374</v>
      </c>
    </row>
    <row r="3261" customFormat="false" ht="12.8" hidden="false" customHeight="false" outlineLevel="0" collapsed="false">
      <c r="B3261" s="0" t="s">
        <v>1838</v>
      </c>
      <c r="C3261" s="0" t="s">
        <v>1839</v>
      </c>
      <c r="E3261" s="0" t="s">
        <v>1840</v>
      </c>
      <c r="F3261" s="0" t="s">
        <v>1841</v>
      </c>
      <c r="H3261" s="0" t="s">
        <v>1376</v>
      </c>
      <c r="I3261" s="0" t="s">
        <v>1377</v>
      </c>
    </row>
    <row r="3263" customFormat="false" ht="12.8" hidden="false" customHeight="false" outlineLevel="0" collapsed="false">
      <c r="A3263" s="0" t="s">
        <v>1842</v>
      </c>
      <c r="B3263" s="0" t="str">
        <f aca="false">HYPERLINK("https://lindat.mff.cuni.cz/services/teitok/pdtc10/index.php?action=vallex&amp;frame=v-w396f1", "deformovat (v-w396f1)")</f>
        <v>deformovat (v-w396f1)</v>
      </c>
    </row>
    <row r="3264" customFormat="false" ht="12.8" hidden="false" customHeight="false" outlineLevel="0" collapsed="false">
      <c r="B3264" s="0" t="s">
        <v>1</v>
      </c>
    </row>
    <row r="3265" customFormat="false" ht="12.8" hidden="false" customHeight="false" outlineLevel="0" collapsed="false">
      <c r="B3265" s="0" t="s">
        <v>8</v>
      </c>
    </row>
    <row r="3267" customFormat="false" ht="12.8" hidden="false" customHeight="false" outlineLevel="0" collapsed="false">
      <c r="A3267" s="0" t="s">
        <v>1843</v>
      </c>
      <c r="B3267" s="0" t="str">
        <f aca="false">HYPERLINK("https://lindat.mff.cuni.cz/services/teitok/pdtc10/index.php?action=vallex&amp;frame=v-w11830_ZUf1_ZU", "degenerovat (v-w11830_ZUf1_ZU)")</f>
        <v>degenerovat (v-w11830_ZUf1_ZU)</v>
      </c>
    </row>
    <row r="3268" customFormat="false" ht="12.8" hidden="false" customHeight="false" outlineLevel="0" collapsed="false">
      <c r="B3268" s="0" t="s">
        <v>1</v>
      </c>
    </row>
    <row r="3270" customFormat="false" ht="12.8" hidden="false" customHeight="false" outlineLevel="0" collapsed="false">
      <c r="A3270" s="0" t="s">
        <v>1844</v>
      </c>
      <c r="B3270" s="0" t="str">
        <f aca="false">HYPERLINK("https://lindat.mff.cuni.cz/services/teitok/pdtc10/index.php?action=vallex&amp;frame=v-w398f1", "degradovat (v-w398f1)")</f>
        <v>degradovat (v-w398f1)</v>
      </c>
      <c r="E3270" s="0" t="str">
        <f aca="false">HYPERLINK("https://lindat.mff.cuni.cz/services/SynSemClass40/SynSemClass40.html?veclass=vec00807#vec00807-ces-cm00001", "vec00807")</f>
        <v>vec00807</v>
      </c>
      <c r="F3270" s="0" t="s">
        <v>1845</v>
      </c>
    </row>
    <row r="3271" customFormat="false" ht="12.8" hidden="false" customHeight="false" outlineLevel="0" collapsed="false">
      <c r="B3271" s="0" t="s">
        <v>1</v>
      </c>
      <c r="C3271" s="0" t="s">
        <v>1752</v>
      </c>
      <c r="E3271" s="0" t="s">
        <v>206</v>
      </c>
      <c r="F3271" s="0" t="s">
        <v>1846</v>
      </c>
    </row>
    <row r="3272" customFormat="false" ht="12.8" hidden="false" customHeight="false" outlineLevel="0" collapsed="false">
      <c r="B3272" s="0" t="s">
        <v>8</v>
      </c>
      <c r="C3272" s="0" t="s">
        <v>531</v>
      </c>
      <c r="E3272" s="0" t="s">
        <v>1847</v>
      </c>
      <c r="F3272" s="0" t="s">
        <v>1848</v>
      </c>
    </row>
    <row r="3273" customFormat="false" ht="12.8" hidden="false" customHeight="false" outlineLevel="0" collapsed="false">
      <c r="B3273" s="0" t="s">
        <v>36</v>
      </c>
      <c r="C3273" s="0" t="s">
        <v>1849</v>
      </c>
      <c r="E3273" s="0" t="s">
        <v>38</v>
      </c>
      <c r="F3273" s="0" t="s">
        <v>1850</v>
      </c>
    </row>
    <row r="3274" customFormat="false" ht="12.8" hidden="false" customHeight="false" outlineLevel="0" collapsed="false">
      <c r="B3274" s="0" t="s">
        <v>101</v>
      </c>
      <c r="C3274" s="0" t="s">
        <v>1851</v>
      </c>
      <c r="E3274" s="0" t="s">
        <v>42</v>
      </c>
      <c r="F3274" s="0" t="s">
        <v>1852</v>
      </c>
    </row>
    <row r="3276" customFormat="false" ht="12.8" hidden="false" customHeight="false" outlineLevel="0" collapsed="false">
      <c r="A3276" s="0" t="s">
        <v>1853</v>
      </c>
      <c r="B3276" s="0" t="str">
        <f aca="false">HYPERLINK("https://lindat.mff.cuni.cz/services/teitok/pdtc10/index.php?action=vallex&amp;frame=v-w403f2", "deklarovat (v-w403f2)")</f>
        <v>deklarovat (v-w403f2)</v>
      </c>
    </row>
    <row r="3277" customFormat="false" ht="12.8" hidden="false" customHeight="false" outlineLevel="0" collapsed="false">
      <c r="B3277" s="0" t="s">
        <v>1</v>
      </c>
    </row>
    <row r="3278" customFormat="false" ht="12.8" hidden="false" customHeight="false" outlineLevel="0" collapsed="false">
      <c r="B3278" s="0" t="s">
        <v>8</v>
      </c>
    </row>
    <row r="3279" customFormat="false" ht="12.8" hidden="false" customHeight="false" outlineLevel="0" collapsed="false">
      <c r="B3279" s="0" t="s">
        <v>1854</v>
      </c>
    </row>
    <row r="3281" customFormat="false" ht="12.8" hidden="false" customHeight="false" outlineLevel="0" collapsed="false">
      <c r="A3281" s="0" t="s">
        <v>1855</v>
      </c>
      <c r="B3281" s="0" t="str">
        <f aca="false">HYPERLINK("https://lindat.mff.cuni.cz/services/teitok/pdtc10/index.php?action=vallex&amp;frame=v-w403f1", "deklarovat (v-w403f1)")</f>
        <v>deklarovat (v-w403f1)</v>
      </c>
      <c r="E3281" s="0" t="str">
        <f aca="false">HYPERLINK("https://lindat.mff.cuni.cz/services/SynSemClass40/SynSemClass40.html?veclass=vec00060#vec00060-ces-cm00005", "vec00060")</f>
        <v>vec00060</v>
      </c>
      <c r="F3281" s="0" t="s">
        <v>213</v>
      </c>
    </row>
    <row r="3282" customFormat="false" ht="12.8" hidden="false" customHeight="false" outlineLevel="0" collapsed="false">
      <c r="B3282" s="0" t="s">
        <v>1</v>
      </c>
      <c r="C3282" s="0" t="s">
        <v>214</v>
      </c>
      <c r="E3282" s="0" t="s">
        <v>147</v>
      </c>
      <c r="F3282" s="0" t="s">
        <v>215</v>
      </c>
    </row>
    <row r="3283" customFormat="false" ht="12.8" hidden="false" customHeight="false" outlineLevel="0" collapsed="false">
      <c r="B3283" s="0" t="s">
        <v>59</v>
      </c>
      <c r="C3283" s="0" t="s">
        <v>217</v>
      </c>
      <c r="E3283" s="0" t="s">
        <v>218</v>
      </c>
      <c r="F3283" s="0" t="s">
        <v>219</v>
      </c>
    </row>
    <row r="3285" customFormat="false" ht="12.8" hidden="false" customHeight="false" outlineLevel="0" collapsed="false">
      <c r="A3285" s="0" t="s">
        <v>1856</v>
      </c>
      <c r="B3285" s="0" t="str">
        <f aca="false">HYPERLINK("https://lindat.mff.cuni.cz/services/teitok/pdtc10/index.php?action=vallex&amp;frame=v-w10115f2", "dekontaminovat (v-w10115f2)")</f>
        <v>dekontaminovat (v-w10115f2)</v>
      </c>
      <c r="E3285" s="0" t="str">
        <f aca="false">HYPERLINK("https://lindat.mff.cuni.cz/services/SynSemClass40/SynSemClass40.html?veclass=vec01182#vec01182-ces-cm00002", "vec01182")</f>
        <v>vec01182</v>
      </c>
      <c r="F3285" s="0" t="s">
        <v>1857</v>
      </c>
    </row>
    <row r="3286" customFormat="false" ht="12.8" hidden="false" customHeight="false" outlineLevel="0" collapsed="false">
      <c r="B3286" s="0" t="s">
        <v>1</v>
      </c>
      <c r="C3286" s="0" t="s">
        <v>447</v>
      </c>
      <c r="E3286" s="0" t="s">
        <v>76</v>
      </c>
      <c r="F3286" s="0" t="s">
        <v>1858</v>
      </c>
    </row>
    <row r="3287" customFormat="false" ht="12.8" hidden="false" customHeight="false" outlineLevel="0" collapsed="false">
      <c r="B3287" s="0" t="s">
        <v>8</v>
      </c>
      <c r="C3287" s="0" t="s">
        <v>531</v>
      </c>
      <c r="E3287" s="0" t="s">
        <v>142</v>
      </c>
      <c r="F3287" s="0" t="s">
        <v>1859</v>
      </c>
    </row>
    <row r="3288" customFormat="false" ht="12.8" hidden="false" customHeight="false" outlineLevel="0" collapsed="false">
      <c r="B3288" s="0" t="s">
        <v>602</v>
      </c>
    </row>
    <row r="3290" customFormat="false" ht="12.8" hidden="false" customHeight="false" outlineLevel="0" collapsed="false">
      <c r="A3290" s="0" t="s">
        <v>1860</v>
      </c>
      <c r="B3290" s="0" t="str">
        <f aca="false">HYPERLINK("https://lindat.mff.cuni.cz/services/teitok/pdtc10/index.php?action=vallex&amp;frame=v-w414f1", "delegovat (v-w414f1)")</f>
        <v>delegovat (v-w414f1)</v>
      </c>
      <c r="E3290" s="0" t="str">
        <f aca="false">HYPERLINK("https://lindat.mff.cuni.cz/services/SynSemClass40/SynSemClass40.html?veclass=vec00571#vec00571-ces-cm00083", "vec00571")</f>
        <v>vec00571</v>
      </c>
      <c r="F3290" s="0" t="s">
        <v>1861</v>
      </c>
      <c r="H3290" s="0" t="str">
        <f aca="false">HYPERLINK("https://lindat.mff.cuni.cz/services/SynSemClass40/SynSemClass40.html?veclass=vec00694#vec00694-ces-cm00036", "vec00694")</f>
        <v>vec00694</v>
      </c>
      <c r="I3290" s="0" t="s">
        <v>1862</v>
      </c>
      <c r="K3290" s="0" t="str">
        <f aca="false">HYPERLINK("https://lindat.mff.cuni.cz/services/SynSemClass40/SynSemClass40.html?veclass=vec01087#vec01087-ces-cm00144", "vec01087")</f>
        <v>vec01087</v>
      </c>
      <c r="L3290" s="0" t="s">
        <v>1863</v>
      </c>
    </row>
    <row r="3291" customFormat="false" ht="12.8" hidden="false" customHeight="false" outlineLevel="0" collapsed="false">
      <c r="B3291" s="0" t="s">
        <v>1</v>
      </c>
      <c r="C3291" s="0" t="s">
        <v>1864</v>
      </c>
      <c r="E3291" s="0" t="s">
        <v>31</v>
      </c>
      <c r="F3291" s="0" t="s">
        <v>1865</v>
      </c>
      <c r="H3291" s="0" t="s">
        <v>1866</v>
      </c>
      <c r="I3291" s="0" t="s">
        <v>1867</v>
      </c>
      <c r="K3291" s="0" t="s">
        <v>1868</v>
      </c>
      <c r="L3291" s="0" t="s">
        <v>1869</v>
      </c>
    </row>
    <row r="3292" customFormat="false" ht="12.8" hidden="false" customHeight="false" outlineLevel="0" collapsed="false">
      <c r="B3292" s="0" t="s">
        <v>8</v>
      </c>
      <c r="C3292" s="0" t="s">
        <v>1870</v>
      </c>
      <c r="E3292" s="0" t="s">
        <v>1871</v>
      </c>
      <c r="F3292" s="0" t="s">
        <v>1872</v>
      </c>
      <c r="H3292" s="0" t="s">
        <v>1873</v>
      </c>
      <c r="I3292" s="0" t="s">
        <v>1874</v>
      </c>
      <c r="K3292" s="0" t="s">
        <v>1875</v>
      </c>
      <c r="L3292" s="0" t="s">
        <v>1876</v>
      </c>
    </row>
    <row r="3293" customFormat="false" ht="12.8" hidden="false" customHeight="false" outlineLevel="0" collapsed="false">
      <c r="B3293" s="0" t="s">
        <v>162</v>
      </c>
      <c r="C3293" s="0" t="s">
        <v>1877</v>
      </c>
      <c r="E3293" s="0" t="s">
        <v>564</v>
      </c>
      <c r="F3293" s="0" t="s">
        <v>1878</v>
      </c>
      <c r="H3293" s="0" t="s">
        <v>53</v>
      </c>
      <c r="I3293" s="0" t="s">
        <v>1879</v>
      </c>
      <c r="K3293" s="0" t="s">
        <v>53</v>
      </c>
      <c r="L3293" s="0" t="s">
        <v>1880</v>
      </c>
    </row>
    <row r="3295" customFormat="false" ht="12.8" hidden="false" customHeight="false" outlineLevel="0" collapsed="false">
      <c r="A3295" s="0" t="s">
        <v>1881</v>
      </c>
      <c r="B3295" s="0" t="str">
        <f aca="false">HYPERLINK("https://lindat.mff.cuni.cz/services/teitok/pdtc10/index.php?action=vallex&amp;frame=v-w414f2", "delegovat (v-w414f2)")</f>
        <v>delegovat (v-w414f2)</v>
      </c>
    </row>
    <row r="3296" customFormat="false" ht="12.8" hidden="false" customHeight="false" outlineLevel="0" collapsed="false">
      <c r="B3296" s="0" t="s">
        <v>1</v>
      </c>
    </row>
    <row r="3297" customFormat="false" ht="12.8" hidden="false" customHeight="false" outlineLevel="0" collapsed="false">
      <c r="B3297" s="0" t="s">
        <v>8</v>
      </c>
    </row>
    <row r="3298" customFormat="false" ht="12.8" hidden="false" customHeight="false" outlineLevel="0" collapsed="false">
      <c r="B3298" s="0" t="s">
        <v>164</v>
      </c>
    </row>
    <row r="3300" customFormat="false" ht="12.8" hidden="false" customHeight="false" outlineLevel="0" collapsed="false">
      <c r="A3300" s="0" t="s">
        <v>1882</v>
      </c>
      <c r="B3300" s="0" t="str">
        <f aca="false">HYPERLINK("https://lindat.mff.cuni.cz/services/teitok/pdtc10/index.php?action=vallex&amp;frame=v-w423f1", "dementovat (v-w423f1)")</f>
        <v>dementovat (v-w423f1)</v>
      </c>
    </row>
    <row r="3301" customFormat="false" ht="12.8" hidden="false" customHeight="false" outlineLevel="0" collapsed="false">
      <c r="B3301" s="0" t="s">
        <v>1</v>
      </c>
    </row>
    <row r="3302" customFormat="false" ht="12.8" hidden="false" customHeight="false" outlineLevel="0" collapsed="false">
      <c r="B3302" s="0" t="s">
        <v>228</v>
      </c>
    </row>
    <row r="3304" customFormat="false" ht="12.8" hidden="false" customHeight="false" outlineLevel="0" collapsed="false">
      <c r="A3304" s="0" t="s">
        <v>1883</v>
      </c>
      <c r="B3304" s="0" t="str">
        <f aca="false">HYPERLINK("https://lindat.mff.cuni.cz/services/teitok/pdtc10/index.php?action=vallex&amp;frame=v-w10822f2", "demilitarizovat (v-w10822f2)")</f>
        <v>demilitarizovat (v-w10822f2)</v>
      </c>
    </row>
    <row r="3305" customFormat="false" ht="12.8" hidden="false" customHeight="false" outlineLevel="0" collapsed="false">
      <c r="B3305" s="0" t="s">
        <v>1</v>
      </c>
    </row>
    <row r="3306" customFormat="false" ht="12.8" hidden="false" customHeight="false" outlineLevel="0" collapsed="false">
      <c r="B3306" s="0" t="s">
        <v>8</v>
      </c>
    </row>
    <row r="3308" customFormat="false" ht="12.8" hidden="false" customHeight="false" outlineLevel="0" collapsed="false">
      <c r="A3308" s="0" t="s">
        <v>1884</v>
      </c>
      <c r="B3308" s="0" t="str">
        <f aca="false">HYPERLINK("https://lindat.mff.cuni.cz/services/teitok/pdtc10/index.php?action=vallex&amp;frame=v-w10280f2", "demobilizovat (v-w10280f2)")</f>
        <v>demobilizovat (v-w10280f2)</v>
      </c>
    </row>
    <row r="3309" customFormat="false" ht="12.8" hidden="false" customHeight="false" outlineLevel="0" collapsed="false">
      <c r="B3309" s="0" t="s">
        <v>1</v>
      </c>
    </row>
    <row r="3310" customFormat="false" ht="12.8" hidden="false" customHeight="false" outlineLevel="0" collapsed="false">
      <c r="B3310" s="0" t="s">
        <v>8</v>
      </c>
    </row>
    <row r="3312" customFormat="false" ht="12.8" hidden="false" customHeight="false" outlineLevel="0" collapsed="false">
      <c r="A3312" s="0" t="s">
        <v>1885</v>
      </c>
      <c r="B3312" s="0" t="str">
        <f aca="false">HYPERLINK("https://lindat.mff.cuni.cz/services/teitok/pdtc10/index.php?action=vallex&amp;frame=v-w10280f3_ZU", "demobilizovat (v-w10280f3_ZU)")</f>
        <v>demobilizovat (v-w10280f3_ZU)</v>
      </c>
    </row>
    <row r="3313" customFormat="false" ht="12.8" hidden="false" customHeight="false" outlineLevel="0" collapsed="false">
      <c r="B3313" s="0" t="s">
        <v>1</v>
      </c>
    </row>
    <row r="3315" customFormat="false" ht="12.8" hidden="false" customHeight="false" outlineLevel="0" collapsed="false">
      <c r="A3315" s="0" t="s">
        <v>1886</v>
      </c>
      <c r="B3315" s="0" t="str">
        <f aca="false">HYPERLINK("https://lindat.mff.cuni.cz/services/teitok/pdtc10/index.php?action=vallex&amp;frame=v-w10642f2", "demokratizovat (v-w10642f2)")</f>
        <v>demokratizovat (v-w10642f2)</v>
      </c>
    </row>
    <row r="3316" customFormat="false" ht="12.8" hidden="false" customHeight="false" outlineLevel="0" collapsed="false">
      <c r="B3316" s="0" t="s">
        <v>1</v>
      </c>
    </row>
    <row r="3317" customFormat="false" ht="12.8" hidden="false" customHeight="false" outlineLevel="0" collapsed="false">
      <c r="B3317" s="0" t="s">
        <v>8</v>
      </c>
    </row>
    <row r="3319" customFormat="false" ht="12.8" hidden="false" customHeight="false" outlineLevel="0" collapsed="false">
      <c r="A3319" s="0" t="s">
        <v>1887</v>
      </c>
      <c r="B3319" s="0" t="str">
        <f aca="false">HYPERLINK("https://lindat.mff.cuni.cz/services/teitok/pdtc10/index.php?action=vallex&amp;frame=v-w427f1", "demolovat (v-w427f1)")</f>
        <v>demolovat (v-w427f1)</v>
      </c>
      <c r="E3319" s="0" t="str">
        <f aca="false">HYPERLINK("https://lindat.mff.cuni.cz/services/SynSemClass40/SynSemClass40.html?veclass=vec00389#vec00389-ces-cm00003", "vec00389")</f>
        <v>vec00389</v>
      </c>
      <c r="F3319" s="0" t="s">
        <v>1888</v>
      </c>
    </row>
    <row r="3320" customFormat="false" ht="12.8" hidden="false" customHeight="false" outlineLevel="0" collapsed="false">
      <c r="B3320" s="0" t="s">
        <v>1</v>
      </c>
      <c r="C3320" s="0" t="s">
        <v>1889</v>
      </c>
      <c r="E3320" s="0" t="s">
        <v>1890</v>
      </c>
      <c r="F3320" s="0" t="s">
        <v>1891</v>
      </c>
    </row>
    <row r="3321" customFormat="false" ht="12.8" hidden="false" customHeight="false" outlineLevel="0" collapsed="false">
      <c r="B3321" s="0" t="s">
        <v>305</v>
      </c>
      <c r="C3321" s="0" t="s">
        <v>1892</v>
      </c>
      <c r="E3321" s="0" t="s">
        <v>1893</v>
      </c>
      <c r="F3321" s="0" t="s">
        <v>1894</v>
      </c>
    </row>
    <row r="3322" customFormat="false" ht="12.8" hidden="false" customHeight="false" outlineLevel="0" collapsed="false">
      <c r="B3322" s="0" t="s">
        <v>101</v>
      </c>
    </row>
    <row r="3324" customFormat="false" ht="12.8" hidden="false" customHeight="false" outlineLevel="0" collapsed="false">
      <c r="A3324" s="0" t="s">
        <v>1895</v>
      </c>
      <c r="B3324" s="0" t="str">
        <f aca="false">HYPERLINK("https://lindat.mff.cuni.cz/services/teitok/pdtc10/index.php?action=vallex&amp;frame=v-w431f1", "demonstrovat (v-w431f1)")</f>
        <v>demonstrovat (v-w431f1)</v>
      </c>
      <c r="E3324" s="0" t="str">
        <f aca="false">HYPERLINK("https://lindat.mff.cuni.cz/services/SynSemClass40/SynSemClass40.html?veclass=vec00330#vec00330-ces-cm00003", "vec00330")</f>
        <v>vec00330</v>
      </c>
      <c r="F3324" s="0" t="s">
        <v>1896</v>
      </c>
    </row>
    <row r="3325" customFormat="false" ht="12.8" hidden="false" customHeight="false" outlineLevel="0" collapsed="false">
      <c r="B3325" s="0" t="s">
        <v>1</v>
      </c>
      <c r="C3325" s="0" t="s">
        <v>1897</v>
      </c>
      <c r="E3325" s="0" t="s">
        <v>11</v>
      </c>
      <c r="F3325" s="0" t="s">
        <v>1898</v>
      </c>
    </row>
    <row r="3326" customFormat="false" ht="12.8" hidden="false" customHeight="false" outlineLevel="0" collapsed="false">
      <c r="B3326" s="0" t="s">
        <v>1899</v>
      </c>
      <c r="C3326" s="0" t="s">
        <v>1900</v>
      </c>
      <c r="E3326" s="0" t="s">
        <v>180</v>
      </c>
      <c r="F3326" s="0" t="s">
        <v>1901</v>
      </c>
    </row>
    <row r="3327" customFormat="false" ht="12.8" hidden="false" customHeight="false" outlineLevel="0" collapsed="false">
      <c r="B3327" s="0" t="s">
        <v>52</v>
      </c>
      <c r="C3327" s="0" t="s">
        <v>1902</v>
      </c>
      <c r="E3327" s="0" t="s">
        <v>221</v>
      </c>
      <c r="F3327" s="0" t="s">
        <v>1903</v>
      </c>
    </row>
    <row r="3329" customFormat="false" ht="12.8" hidden="false" customHeight="false" outlineLevel="0" collapsed="false">
      <c r="A3329" s="0" t="s">
        <v>1904</v>
      </c>
      <c r="B3329" s="0" t="str">
        <f aca="false">HYPERLINK("https://lindat.mff.cuni.cz/services/teitok/pdtc10/index.php?action=vallex&amp;frame=v-w431f2", "demonstrovat (v-w431f2)")</f>
        <v>demonstrovat (v-w431f2)</v>
      </c>
      <c r="E3329" s="0" t="str">
        <f aca="false">HYPERLINK("https://lindat.mff.cuni.cz/services/SynSemClass40/SynSemClass40.html?veclass=vec00727#vec00727-ces-cm00002", "vec00727")</f>
        <v>vec00727</v>
      </c>
      <c r="F3329" s="0" t="s">
        <v>1905</v>
      </c>
    </row>
    <row r="3330" customFormat="false" ht="12.8" hidden="false" customHeight="false" outlineLevel="0" collapsed="false">
      <c r="B3330" s="0" t="s">
        <v>1</v>
      </c>
      <c r="C3330" s="0" t="s">
        <v>1906</v>
      </c>
      <c r="E3330" s="0" t="s">
        <v>1907</v>
      </c>
      <c r="F3330" s="0" t="s">
        <v>1908</v>
      </c>
    </row>
    <row r="3331" customFormat="false" ht="12.8" hidden="false" customHeight="false" outlineLevel="0" collapsed="false">
      <c r="B3331" s="0" t="s">
        <v>1909</v>
      </c>
      <c r="C3331" s="0" t="s">
        <v>1910</v>
      </c>
      <c r="E3331" s="0" t="s">
        <v>523</v>
      </c>
      <c r="F3331" s="0" t="s">
        <v>1911</v>
      </c>
    </row>
    <row r="3333" customFormat="false" ht="12.8" hidden="false" customHeight="false" outlineLevel="0" collapsed="false">
      <c r="A3333" s="0" t="s">
        <v>1912</v>
      </c>
      <c r="B3333" s="0" t="str">
        <f aca="false">HYPERLINK("https://lindat.mff.cuni.cz/services/teitok/pdtc10/index.php?action=vallex&amp;frame=v-w433f1", "demontovat (v-w433f1)")</f>
        <v>demontovat (v-w433f1)</v>
      </c>
    </row>
    <row r="3334" customFormat="false" ht="12.8" hidden="false" customHeight="false" outlineLevel="0" collapsed="false">
      <c r="B3334" s="0" t="s">
        <v>1</v>
      </c>
    </row>
    <row r="3335" customFormat="false" ht="12.8" hidden="false" customHeight="false" outlineLevel="0" collapsed="false">
      <c r="B3335" s="0" t="s">
        <v>8</v>
      </c>
    </row>
    <row r="3336" customFormat="false" ht="12.8" hidden="false" customHeight="false" outlineLevel="0" collapsed="false">
      <c r="B3336" s="0" t="s">
        <v>101</v>
      </c>
    </row>
    <row r="3338" customFormat="false" ht="12.8" hidden="false" customHeight="false" outlineLevel="0" collapsed="false">
      <c r="A3338" s="0" t="s">
        <v>1913</v>
      </c>
      <c r="B3338" s="0" t="str">
        <f aca="false">HYPERLINK("https://lindat.mff.cuni.cz/services/teitok/pdtc10/index.php?action=vallex&amp;frame=v-w435f1", "demoralizovat (v-w435f1)")</f>
        <v>demoralizovat (v-w435f1)</v>
      </c>
    </row>
    <row r="3339" customFormat="false" ht="12.8" hidden="false" customHeight="false" outlineLevel="0" collapsed="false">
      <c r="B3339" s="0" t="s">
        <v>1</v>
      </c>
    </row>
    <row r="3340" customFormat="false" ht="12.8" hidden="false" customHeight="false" outlineLevel="0" collapsed="false">
      <c r="B3340" s="0" t="s">
        <v>8</v>
      </c>
    </row>
    <row r="3342" customFormat="false" ht="12.8" hidden="false" customHeight="false" outlineLevel="0" collapsed="false">
      <c r="A3342" s="0" t="s">
        <v>1914</v>
      </c>
      <c r="B3342" s="0" t="str">
        <f aca="false">HYPERLINK("https://lindat.mff.cuni.cz/services/teitok/pdtc10/index.php?action=vallex&amp;frame=v-w10388f2", "denominovat (v-w10388f2)")</f>
        <v>denominovat (v-w10388f2)</v>
      </c>
    </row>
    <row r="3343" customFormat="false" ht="12.8" hidden="false" customHeight="false" outlineLevel="0" collapsed="false">
      <c r="B3343" s="0" t="s">
        <v>1</v>
      </c>
    </row>
    <row r="3344" customFormat="false" ht="12.8" hidden="false" customHeight="false" outlineLevel="0" collapsed="false">
      <c r="B3344" s="0" t="s">
        <v>8</v>
      </c>
    </row>
    <row r="3346" customFormat="false" ht="12.8" hidden="false" customHeight="false" outlineLevel="0" collapsed="false">
      <c r="A3346" s="0" t="s">
        <v>1915</v>
      </c>
      <c r="B3346" s="0" t="str">
        <f aca="false">HYPERLINK("https://lindat.mff.cuni.cz/services/teitok/pdtc10/index.php?action=vallex&amp;frame=v-w10327f3", "deponovat (v-w10327f3)")</f>
        <v>deponovat (v-w10327f3)</v>
      </c>
    </row>
    <row r="3347" customFormat="false" ht="12.8" hidden="false" customHeight="false" outlineLevel="0" collapsed="false">
      <c r="B3347" s="0" t="s">
        <v>1</v>
      </c>
    </row>
    <row r="3348" customFormat="false" ht="12.8" hidden="false" customHeight="false" outlineLevel="0" collapsed="false">
      <c r="B3348" s="0" t="s">
        <v>8</v>
      </c>
    </row>
    <row r="3349" customFormat="false" ht="12.8" hidden="false" customHeight="false" outlineLevel="0" collapsed="false">
      <c r="B3349" s="0" t="s">
        <v>5</v>
      </c>
    </row>
    <row r="3351" customFormat="false" ht="12.8" hidden="false" customHeight="false" outlineLevel="0" collapsed="false">
      <c r="A3351" s="0" t="s">
        <v>1916</v>
      </c>
      <c r="B3351" s="0" t="str">
        <f aca="false">HYPERLINK("https://lindat.mff.cuni.cz/services/teitok/pdtc10/index.php?action=vallex&amp;frame=v-w10327f2", "deponovat (v-w10327f2)")</f>
        <v>deponovat (v-w10327f2)</v>
      </c>
    </row>
    <row r="3352" customFormat="false" ht="12.8" hidden="false" customHeight="false" outlineLevel="0" collapsed="false">
      <c r="B3352" s="0" t="s">
        <v>1</v>
      </c>
    </row>
    <row r="3353" customFormat="false" ht="12.8" hidden="false" customHeight="false" outlineLevel="0" collapsed="false">
      <c r="B3353" s="0" t="s">
        <v>8</v>
      </c>
    </row>
    <row r="3354" customFormat="false" ht="12.8" hidden="false" customHeight="false" outlineLevel="0" collapsed="false">
      <c r="B3354" s="0" t="s">
        <v>164</v>
      </c>
    </row>
    <row r="3356" customFormat="false" ht="12.8" hidden="false" customHeight="false" outlineLevel="0" collapsed="false">
      <c r="A3356" s="0" t="s">
        <v>1917</v>
      </c>
      <c r="B3356" s="0" t="str">
        <f aca="false">HYPERLINK("https://lindat.mff.cuni.cz/services/teitok/pdtc10/index.php?action=vallex&amp;frame=v-w440f1", "deportovat (v-w440f1)")</f>
        <v>deportovat (v-w440f1)</v>
      </c>
      <c r="E3356" s="0" t="str">
        <f aca="false">HYPERLINK("https://lindat.mff.cuni.cz/services/SynSemClass40/SynSemClass40.html?veclass=vec00555#vec00555-ces-cm00099", "vec00555")</f>
        <v>vec00555</v>
      </c>
      <c r="F3356" s="0" t="s">
        <v>1918</v>
      </c>
    </row>
    <row r="3357" customFormat="false" ht="12.8" hidden="false" customHeight="false" outlineLevel="0" collapsed="false">
      <c r="B3357" s="0" t="s">
        <v>1</v>
      </c>
      <c r="C3357" s="0" t="s">
        <v>1919</v>
      </c>
      <c r="E3357" s="0" t="s">
        <v>31</v>
      </c>
      <c r="F3357" s="0" t="s">
        <v>1920</v>
      </c>
    </row>
    <row r="3358" customFormat="false" ht="12.8" hidden="false" customHeight="false" outlineLevel="0" collapsed="false">
      <c r="B3358" s="0" t="s">
        <v>8</v>
      </c>
      <c r="C3358" s="0" t="s">
        <v>1921</v>
      </c>
      <c r="E3358" s="0" t="s">
        <v>532</v>
      </c>
      <c r="F3358" s="0" t="s">
        <v>1922</v>
      </c>
    </row>
    <row r="3359" customFormat="false" ht="12.8" hidden="false" customHeight="false" outlineLevel="0" collapsed="false">
      <c r="B3359" s="0" t="s">
        <v>631</v>
      </c>
      <c r="C3359" s="0" t="s">
        <v>1923</v>
      </c>
      <c r="E3359" s="0" t="s">
        <v>1924</v>
      </c>
      <c r="F3359" s="0" t="s">
        <v>1925</v>
      </c>
    </row>
    <row r="3361" customFormat="false" ht="12.8" hidden="false" customHeight="false" outlineLevel="0" collapsed="false">
      <c r="A3361" s="0" t="s">
        <v>1926</v>
      </c>
      <c r="B3361" s="0" t="str">
        <f aca="false">HYPERLINK("https://lindat.mff.cuni.cz/services/teitok/pdtc10/index.php?action=vallex&amp;frame=v-w442f1", "deprimovat (v-w442f1)")</f>
        <v>deprimovat (v-w442f1)</v>
      </c>
      <c r="E3361" s="0" t="str">
        <f aca="false">HYPERLINK("https://lindat.mff.cuni.cz/services/SynSemClass40/SynSemClass40.html?veclass=vec00608#vec00608-ces-cm00016", "vec00608")</f>
        <v>vec00608</v>
      </c>
      <c r="F3361" s="0" t="s">
        <v>1927</v>
      </c>
    </row>
    <row r="3362" customFormat="false" ht="12.8" hidden="false" customHeight="false" outlineLevel="0" collapsed="false">
      <c r="B3362" s="0" t="s">
        <v>1</v>
      </c>
      <c r="C3362" s="0" t="s">
        <v>657</v>
      </c>
      <c r="E3362" s="0" t="s">
        <v>1103</v>
      </c>
      <c r="F3362" s="0" t="s">
        <v>1928</v>
      </c>
    </row>
    <row r="3363" customFormat="false" ht="12.8" hidden="false" customHeight="false" outlineLevel="0" collapsed="false">
      <c r="B3363" s="0" t="s">
        <v>8</v>
      </c>
      <c r="C3363" s="0" t="s">
        <v>1929</v>
      </c>
      <c r="E3363" s="0" t="s">
        <v>1930</v>
      </c>
      <c r="F3363" s="0" t="s">
        <v>1931</v>
      </c>
    </row>
    <row r="3365" customFormat="false" ht="12.8" hidden="false" customHeight="false" outlineLevel="0" collapsed="false">
      <c r="A3365" s="0" t="s">
        <v>1932</v>
      </c>
      <c r="B3365" s="0" t="str">
        <f aca="false">HYPERLINK("https://lindat.mff.cuni.cz/services/teitok/pdtc10/index.php?action=vallex&amp;frame=v-w11122f2", "deptat (v-w11122f2)")</f>
        <v>deptat (v-w11122f2)</v>
      </c>
      <c r="E3365" s="0" t="str">
        <f aca="false">HYPERLINK("https://lindat.mff.cuni.cz/services/SynSemClass40/SynSemClass40.html?veclass=vec00608#vec00608-ces-cm00017", "vec00608")</f>
        <v>vec00608</v>
      </c>
      <c r="F3365" s="0" t="s">
        <v>1927</v>
      </c>
    </row>
    <row r="3366" customFormat="false" ht="12.8" hidden="false" customHeight="false" outlineLevel="0" collapsed="false">
      <c r="B3366" s="0" t="s">
        <v>1</v>
      </c>
      <c r="C3366" s="0" t="s">
        <v>657</v>
      </c>
      <c r="E3366" s="0" t="s">
        <v>1103</v>
      </c>
      <c r="F3366" s="0" t="s">
        <v>1928</v>
      </c>
    </row>
    <row r="3367" customFormat="false" ht="12.8" hidden="false" customHeight="false" outlineLevel="0" collapsed="false">
      <c r="B3367" s="0" t="s">
        <v>8</v>
      </c>
      <c r="C3367" s="0" t="s">
        <v>1929</v>
      </c>
      <c r="E3367" s="0" t="s">
        <v>1930</v>
      </c>
      <c r="F3367" s="0" t="s">
        <v>1931</v>
      </c>
    </row>
    <row r="3369" customFormat="false" ht="12.8" hidden="false" customHeight="false" outlineLevel="0" collapsed="false">
      <c r="A3369" s="0" t="s">
        <v>1933</v>
      </c>
      <c r="B3369" s="0" t="str">
        <f aca="false">HYPERLINK("https://lindat.mff.cuni.cz/services/teitok/pdtc10/index.php?action=vallex&amp;frame=v-whsb_1184hsa_1185", "desinfikovat (v-whsb_1184hsa_1185)")</f>
        <v>desinfikovat (v-whsb_1184hsa_1185)</v>
      </c>
    </row>
    <row r="3370" customFormat="false" ht="12.8" hidden="false" customHeight="false" outlineLevel="0" collapsed="false">
      <c r="B3370" s="0" t="s">
        <v>1</v>
      </c>
    </row>
    <row r="3371" customFormat="false" ht="12.8" hidden="false" customHeight="false" outlineLevel="0" collapsed="false">
      <c r="B3371" s="0" t="s">
        <v>8</v>
      </c>
    </row>
    <row r="3372" customFormat="false" ht="12.8" hidden="false" customHeight="false" outlineLevel="0" collapsed="false">
      <c r="B3372" s="0" t="s">
        <v>602</v>
      </c>
    </row>
    <row r="3374" customFormat="false" ht="12.8" hidden="false" customHeight="false" outlineLevel="0" collapsed="false">
      <c r="A3374" s="0" t="s">
        <v>1934</v>
      </c>
      <c r="B3374" s="0" t="str">
        <f aca="false">HYPERLINK("https://lindat.mff.cuni.cz/services/teitok/pdtc10/index.php?action=vallex&amp;frame=v-w10248f2", "destabilizovat (v-w10248f2)")</f>
        <v>destabilizovat (v-w10248f2)</v>
      </c>
      <c r="E3374" s="0" t="str">
        <f aca="false">HYPERLINK("https://lindat.mff.cuni.cz/services/SynSemClass40/SynSemClass40.html?veclass=vec01011#vec01011-ces-cm00001", "vec01011")</f>
        <v>vec01011</v>
      </c>
      <c r="F3374" s="0" t="s">
        <v>1935</v>
      </c>
    </row>
    <row r="3375" customFormat="false" ht="12.8" hidden="false" customHeight="false" outlineLevel="0" collapsed="false">
      <c r="B3375" s="0" t="s">
        <v>1</v>
      </c>
      <c r="C3375" s="0" t="s">
        <v>459</v>
      </c>
      <c r="E3375" s="0" t="s">
        <v>76</v>
      </c>
      <c r="F3375" s="0" t="s">
        <v>743</v>
      </c>
    </row>
    <row r="3376" customFormat="false" ht="12.8" hidden="false" customHeight="false" outlineLevel="0" collapsed="false">
      <c r="B3376" s="0" t="s">
        <v>8</v>
      </c>
      <c r="C3376" s="0" t="s">
        <v>744</v>
      </c>
      <c r="E3376" s="0" t="s">
        <v>142</v>
      </c>
      <c r="F3376" s="0" t="s">
        <v>745</v>
      </c>
    </row>
    <row r="3378" customFormat="false" ht="12.8" hidden="false" customHeight="false" outlineLevel="0" collapsed="false">
      <c r="A3378" s="0" t="s">
        <v>1936</v>
      </c>
      <c r="B3378" s="0" t="str">
        <f aca="false">HYPERLINK("https://lindat.mff.cuni.cz/services/teitok/pdtc10/index.php?action=vallex&amp;frame=v-w10476f2", "detekovat (v-w10476f2)")</f>
        <v>detekovat (v-w10476f2)</v>
      </c>
    </row>
    <row r="3379" customFormat="false" ht="12.8" hidden="false" customHeight="false" outlineLevel="0" collapsed="false">
      <c r="B3379" s="0" t="s">
        <v>1</v>
      </c>
    </row>
    <row r="3380" customFormat="false" ht="12.8" hidden="false" customHeight="false" outlineLevel="0" collapsed="false">
      <c r="B3380" s="0" t="s">
        <v>8</v>
      </c>
    </row>
    <row r="3382" customFormat="false" ht="12.8" hidden="false" customHeight="false" outlineLevel="0" collapsed="false">
      <c r="A3382" s="0" t="s">
        <v>1937</v>
      </c>
      <c r="B3382" s="0" t="str">
        <f aca="false">HYPERLINK("https://lindat.mff.cuni.cz/services/teitok/pdtc10/index.php?action=vallex&amp;frame=v-w452f1", "determinovat (v-w452f1)")</f>
        <v>determinovat (v-w452f1)</v>
      </c>
    </row>
    <row r="3383" customFormat="false" ht="12.8" hidden="false" customHeight="false" outlineLevel="0" collapsed="false">
      <c r="B3383" s="0" t="s">
        <v>1</v>
      </c>
    </row>
    <row r="3384" customFormat="false" ht="12.8" hidden="false" customHeight="false" outlineLevel="0" collapsed="false">
      <c r="B3384" s="0" t="s">
        <v>305</v>
      </c>
    </row>
    <row r="3386" customFormat="false" ht="12.8" hidden="false" customHeight="false" outlineLevel="0" collapsed="false">
      <c r="A3386" s="0" t="s">
        <v>1938</v>
      </c>
      <c r="B3386" s="0" t="str">
        <f aca="false">HYPERLINK("https://lindat.mff.cuni.cz/services/teitok/pdtc10/index.php?action=vallex&amp;frame=v-w454f1", "devalvovat (v-w454f1)")</f>
        <v>devalvovat (v-w454f1)</v>
      </c>
      <c r="E3386" s="0" t="str">
        <f aca="false">HYPERLINK("https://lindat.mff.cuni.cz/services/SynSemClass40/SynSemClass40.html?veclass=vec01012#vec01012-ces-cm00001", "vec01012")</f>
        <v>vec01012</v>
      </c>
      <c r="F3386" s="0" t="s">
        <v>1939</v>
      </c>
    </row>
    <row r="3387" customFormat="false" ht="12.8" hidden="false" customHeight="false" outlineLevel="0" collapsed="false">
      <c r="B3387" s="0" t="s">
        <v>1</v>
      </c>
      <c r="C3387" s="0" t="s">
        <v>1752</v>
      </c>
      <c r="E3387" s="0" t="s">
        <v>206</v>
      </c>
      <c r="F3387" s="0" t="s">
        <v>1846</v>
      </c>
    </row>
    <row r="3388" customFormat="false" ht="12.8" hidden="false" customHeight="false" outlineLevel="0" collapsed="false">
      <c r="B3388" s="0" t="s">
        <v>8</v>
      </c>
      <c r="C3388" s="0" t="s">
        <v>1940</v>
      </c>
      <c r="E3388" s="0" t="s">
        <v>142</v>
      </c>
      <c r="F3388" s="0" t="s">
        <v>1941</v>
      </c>
    </row>
    <row r="3390" customFormat="false" ht="12.8" hidden="false" customHeight="false" outlineLevel="0" collapsed="false">
      <c r="A3390" s="0" t="s">
        <v>1942</v>
      </c>
      <c r="B3390" s="0" t="str">
        <f aca="false">HYPERLINK("https://lindat.mff.cuni.cz/services/teitok/pdtc10/index.php?action=vallex&amp;frame=v-w454f2", "devalvovat (v-w454f2)")</f>
        <v>devalvovat (v-w454f2)</v>
      </c>
    </row>
    <row r="3391" customFormat="false" ht="12.8" hidden="false" customHeight="false" outlineLevel="0" collapsed="false">
      <c r="B3391" s="0" t="s">
        <v>1</v>
      </c>
    </row>
    <row r="3393" customFormat="false" ht="12.8" hidden="false" customHeight="false" outlineLevel="0" collapsed="false">
      <c r="A3393" s="0" t="s">
        <v>1943</v>
      </c>
      <c r="B3393" s="0" t="str">
        <f aca="false">HYPERLINK("https://lindat.mff.cuni.cz/services/teitok/pdtc10/index.php?action=vallex&amp;frame=v-w456f1", "devastovat (v-w456f1)")</f>
        <v>devastovat (v-w456f1)</v>
      </c>
      <c r="E3393" s="0" t="str">
        <f aca="false">HYPERLINK("https://lindat.mff.cuni.cz/services/SynSemClass40/SynSemClass40.html?veclass=vec00389#vec00389-ces-cm00038", "vec00389")</f>
        <v>vec00389</v>
      </c>
      <c r="F3393" s="0" t="s">
        <v>1888</v>
      </c>
    </row>
    <row r="3394" customFormat="false" ht="12.8" hidden="false" customHeight="false" outlineLevel="0" collapsed="false">
      <c r="B3394" s="0" t="s">
        <v>1</v>
      </c>
      <c r="C3394" s="0" t="s">
        <v>1889</v>
      </c>
      <c r="E3394" s="0" t="s">
        <v>1890</v>
      </c>
      <c r="F3394" s="0" t="s">
        <v>1891</v>
      </c>
    </row>
    <row r="3395" customFormat="false" ht="12.8" hidden="false" customHeight="false" outlineLevel="0" collapsed="false">
      <c r="B3395" s="0" t="s">
        <v>305</v>
      </c>
      <c r="C3395" s="0" t="s">
        <v>1892</v>
      </c>
      <c r="E3395" s="0" t="s">
        <v>1893</v>
      </c>
      <c r="F3395" s="0" t="s">
        <v>1894</v>
      </c>
    </row>
    <row r="3397" customFormat="false" ht="12.8" hidden="false" customHeight="false" outlineLevel="0" collapsed="false">
      <c r="A3397" s="0" t="s">
        <v>1944</v>
      </c>
      <c r="B3397" s="0" t="str">
        <f aca="false">HYPERLINK("https://lindat.mff.cuni.cz/services/teitok/pdtc10/index.php?action=vallex&amp;frame=v-w10087f2", "dezertovat (v-w10087f2)")</f>
        <v>dezertovat (v-w10087f2)</v>
      </c>
      <c r="E3397" s="0" t="str">
        <f aca="false">HYPERLINK("https://lindat.mff.cuni.cz/services/SynSemClass40/SynSemClass40.html?veclass=vec00048#vec00048-ces-cm00177", "vec00048")</f>
        <v>vec00048</v>
      </c>
      <c r="F3397" s="0" t="s">
        <v>1945</v>
      </c>
    </row>
    <row r="3398" customFormat="false" ht="12.8" hidden="false" customHeight="false" outlineLevel="0" collapsed="false">
      <c r="B3398" s="0" t="s">
        <v>1</v>
      </c>
      <c r="C3398" s="0" t="s">
        <v>1946</v>
      </c>
      <c r="E3398" s="0" t="s">
        <v>334</v>
      </c>
      <c r="F3398" s="0" t="s">
        <v>1947</v>
      </c>
    </row>
    <row r="3399" customFormat="false" ht="12.8" hidden="false" customHeight="false" outlineLevel="0" collapsed="false">
      <c r="B3399" s="0" t="s">
        <v>631</v>
      </c>
      <c r="C3399" s="0" t="s">
        <v>1948</v>
      </c>
      <c r="E3399" s="0" t="s">
        <v>1949</v>
      </c>
      <c r="F3399" s="0" t="s">
        <v>1950</v>
      </c>
    </row>
    <row r="3401" customFormat="false" ht="12.8" hidden="false" customHeight="false" outlineLevel="0" collapsed="false">
      <c r="A3401" s="0" t="s">
        <v>1951</v>
      </c>
      <c r="B3401" s="0" t="str">
        <f aca="false">HYPERLINK("https://lindat.mff.cuni.cz/services/teitok/pdtc10/index.php?action=vallex&amp;frame=v-whsa_1189hsa_1190", "dezinterpretovat (v-whsa_1189hsa_1190)")</f>
        <v>dezinterpretovat (v-whsa_1189hsa_1190)</v>
      </c>
    </row>
    <row r="3402" customFormat="false" ht="12.8" hidden="false" customHeight="false" outlineLevel="0" collapsed="false">
      <c r="B3402" s="0" t="s">
        <v>1</v>
      </c>
    </row>
    <row r="3403" customFormat="false" ht="12.8" hidden="false" customHeight="false" outlineLevel="0" collapsed="false">
      <c r="B3403" s="0" t="s">
        <v>8</v>
      </c>
    </row>
    <row r="3405" customFormat="false" ht="12.8" hidden="false" customHeight="false" outlineLevel="0" collapsed="false">
      <c r="A3405" s="0" t="s">
        <v>1952</v>
      </c>
      <c r="B3405" s="0" t="str">
        <f aca="false">HYPERLINK("https://lindat.mff.cuni.cz/services/teitok/pdtc10/index.php?action=vallex&amp;frame=v-w11912_ZUf1_ZU", "dešifrovat (v-w11912_ZUf1_ZU)")</f>
        <v>dešifrovat (v-w11912_ZUf1_ZU)</v>
      </c>
    </row>
    <row r="3406" customFormat="false" ht="12.8" hidden="false" customHeight="false" outlineLevel="0" collapsed="false">
      <c r="B3406" s="0" t="s">
        <v>1</v>
      </c>
    </row>
    <row r="3407" customFormat="false" ht="12.8" hidden="false" customHeight="false" outlineLevel="0" collapsed="false">
      <c r="B3407" s="0" t="s">
        <v>8</v>
      </c>
    </row>
    <row r="3409" customFormat="false" ht="12.8" hidden="false" customHeight="false" outlineLevel="0" collapsed="false">
      <c r="A3409" s="0" t="s">
        <v>1953</v>
      </c>
      <c r="B3409" s="0" t="str">
        <f aca="false">HYPERLINK("https://lindat.mff.cuni.cz/services/teitok/pdtc10/index.php?action=vallex&amp;frame=v-w10508f2", "diagnostikovat (v-w10508f2)")</f>
        <v>diagnostikovat (v-w10508f2)</v>
      </c>
      <c r="E3409" s="0" t="str">
        <f aca="false">HYPERLINK("https://lindat.mff.cuni.cz/services/SynSemClass40/SynSemClass40.html?veclass=vec00909#vec00909-ces-cm00174", "vec00909")</f>
        <v>vec00909</v>
      </c>
      <c r="F3409" s="0" t="s">
        <v>1954</v>
      </c>
      <c r="H3409" s="0" t="str">
        <f aca="false">HYPERLINK("https://lindat.mff.cuni.cz/services/SynSemClass40/SynSemClass40.html?veclass=vec01169#vec01169-ces-cm00019", "vec01169")</f>
        <v>vec01169</v>
      </c>
      <c r="I3409" s="0" t="s">
        <v>1955</v>
      </c>
    </row>
    <row r="3410" customFormat="false" ht="12.8" hidden="false" customHeight="false" outlineLevel="0" collapsed="false">
      <c r="B3410" s="0" t="s">
        <v>1</v>
      </c>
      <c r="C3410" s="0" t="s">
        <v>1956</v>
      </c>
      <c r="E3410" s="0" t="s">
        <v>621</v>
      </c>
      <c r="F3410" s="0" t="s">
        <v>1957</v>
      </c>
      <c r="H3410" s="0" t="s">
        <v>1958</v>
      </c>
      <c r="I3410" s="0" t="s">
        <v>1959</v>
      </c>
    </row>
    <row r="3411" customFormat="false" ht="12.8" hidden="false" customHeight="false" outlineLevel="0" collapsed="false">
      <c r="B3411" s="0" t="s">
        <v>8</v>
      </c>
      <c r="C3411" s="0" t="s">
        <v>1960</v>
      </c>
      <c r="E3411" s="0" t="s">
        <v>180</v>
      </c>
      <c r="F3411" s="0" t="s">
        <v>1961</v>
      </c>
      <c r="H3411" s="0" t="s">
        <v>180</v>
      </c>
      <c r="I3411" s="0" t="s">
        <v>1962</v>
      </c>
    </row>
    <row r="3413" customFormat="false" ht="12.8" hidden="false" customHeight="false" outlineLevel="0" collapsed="false">
      <c r="A3413" s="0" t="s">
        <v>1963</v>
      </c>
      <c r="B3413" s="0" t="str">
        <f aca="false">HYPERLINK("https://lindat.mff.cuni.cz/services/teitok/pdtc10/index.php?action=vallex&amp;frame=v-w461f1", "diferencovat (v-w461f1)")</f>
        <v>diferencovat (v-w461f1)</v>
      </c>
    </row>
    <row r="3414" customFormat="false" ht="12.8" hidden="false" customHeight="false" outlineLevel="0" collapsed="false">
      <c r="B3414" s="0" t="s">
        <v>1</v>
      </c>
    </row>
    <row r="3415" customFormat="false" ht="12.8" hidden="false" customHeight="false" outlineLevel="0" collapsed="false">
      <c r="B3415" s="0" t="s">
        <v>1964</v>
      </c>
    </row>
    <row r="3416" customFormat="false" ht="12.8" hidden="false" customHeight="false" outlineLevel="0" collapsed="false">
      <c r="B3416" s="0" t="s">
        <v>1965</v>
      </c>
    </row>
    <row r="3418" customFormat="false" ht="12.8" hidden="false" customHeight="false" outlineLevel="0" collapsed="false">
      <c r="A3418" s="0" t="s">
        <v>1966</v>
      </c>
      <c r="B3418" s="0" t="str">
        <f aca="false">HYPERLINK("https://lindat.mff.cuni.cz/services/teitok/pdtc10/index.php?action=vallex&amp;frame=v-w462f3", "diferencovat se (v-w462f3)")</f>
        <v>diferencovat se (v-w462f3)</v>
      </c>
    </row>
    <row r="3419" customFormat="false" ht="12.8" hidden="false" customHeight="false" outlineLevel="0" collapsed="false">
      <c r="B3419" s="0" t="s">
        <v>1</v>
      </c>
    </row>
    <row r="3420" customFormat="false" ht="12.8" hidden="false" customHeight="false" outlineLevel="0" collapsed="false">
      <c r="B3420" s="0" t="s">
        <v>26</v>
      </c>
    </row>
    <row r="3422" customFormat="false" ht="12.8" hidden="false" customHeight="false" outlineLevel="0" collapsed="false">
      <c r="A3422" s="0" t="s">
        <v>1967</v>
      </c>
      <c r="B3422" s="0" t="str">
        <f aca="false">HYPERLINK("https://lindat.mff.cuni.cz/services/teitok/pdtc10/index.php?action=vallex&amp;frame=v-w462f2", "diferencovat se (v-w462f2)")</f>
        <v>diferencovat se (v-w462f2)</v>
      </c>
      <c r="E3422" s="0" t="str">
        <f aca="false">HYPERLINK("https://lindat.mff.cuni.cz/services/SynSemClass40/SynSemClass40.html?veclass=vec00829#vec00829-ces-cm00014", "vec00829")</f>
        <v>vec00829</v>
      </c>
      <c r="F3422" s="0" t="s">
        <v>1968</v>
      </c>
      <c r="H3422" s="0" t="str">
        <f aca="false">HYPERLINK("https://lindat.mff.cuni.cz/services/SynSemClass40/SynSemClass40.html?veclass=vec01102#vec01102-ces-cm00026", "vec01102")</f>
        <v>vec01102</v>
      </c>
      <c r="I3422" s="0" t="s">
        <v>1969</v>
      </c>
    </row>
    <row r="3423" customFormat="false" ht="12.8" hidden="false" customHeight="false" outlineLevel="0" collapsed="false">
      <c r="B3423" s="0" t="s">
        <v>1</v>
      </c>
      <c r="C3423" s="0" t="s">
        <v>1970</v>
      </c>
      <c r="E3423" s="0" t="s">
        <v>1971</v>
      </c>
      <c r="F3423" s="0" t="s">
        <v>1972</v>
      </c>
      <c r="H3423" s="0" t="s">
        <v>1973</v>
      </c>
      <c r="I3423" s="0" t="s">
        <v>1974</v>
      </c>
    </row>
    <row r="3424" customFormat="false" ht="12.8" hidden="false" customHeight="false" outlineLevel="0" collapsed="false">
      <c r="B3424" s="0" t="s">
        <v>26</v>
      </c>
      <c r="C3424" s="0" t="s">
        <v>1975</v>
      </c>
      <c r="E3424" s="0" t="s">
        <v>1976</v>
      </c>
      <c r="F3424" s="0" t="s">
        <v>1977</v>
      </c>
      <c r="H3424" s="0" t="s">
        <v>1976</v>
      </c>
      <c r="I3424" s="0" t="s">
        <v>1978</v>
      </c>
    </row>
    <row r="3426" customFormat="false" ht="12.8" hidden="false" customHeight="false" outlineLevel="0" collapsed="false">
      <c r="A3426" s="0" t="s">
        <v>1979</v>
      </c>
      <c r="B3426" s="0" t="str">
        <f aca="false">HYPERLINK("https://lindat.mff.cuni.cz/services/teitok/pdtc10/index.php?action=vallex&amp;frame=v-w462f1", "diferencovat se (v-w462f1)")</f>
        <v>diferencovat se (v-w462f1)</v>
      </c>
    </row>
    <row r="3427" customFormat="false" ht="12.8" hidden="false" customHeight="false" outlineLevel="0" collapsed="false">
      <c r="B3427" s="0" t="s">
        <v>1</v>
      </c>
    </row>
    <row r="3429" customFormat="false" ht="12.8" hidden="false" customHeight="false" outlineLevel="0" collapsed="false">
      <c r="A3429" s="0" t="s">
        <v>1980</v>
      </c>
      <c r="B3429" s="0" t="str">
        <f aca="false">HYPERLINK("https://lindat.mff.cuni.cz/services/teitok/pdtc10/index.php?action=vallex&amp;frame=v-w466f1", "diktovat (v-w466f1)")</f>
        <v>diktovat (v-w466f1)</v>
      </c>
      <c r="E3429" s="0" t="str">
        <f aca="false">HYPERLINK("https://lindat.mff.cuni.cz/services/SynSemClass40/SynSemClass40.html?veclass=vec01013#vec01013-ces-cm00001", "vec01013")</f>
        <v>vec01013</v>
      </c>
      <c r="F3429" s="0" t="s">
        <v>1981</v>
      </c>
    </row>
    <row r="3430" customFormat="false" ht="12.8" hidden="false" customHeight="false" outlineLevel="0" collapsed="false">
      <c r="B3430" s="0" t="s">
        <v>1</v>
      </c>
      <c r="C3430" s="0" t="s">
        <v>415</v>
      </c>
      <c r="E3430" s="0" t="s">
        <v>206</v>
      </c>
      <c r="F3430" s="0" t="s">
        <v>1982</v>
      </c>
    </row>
    <row r="3431" customFormat="false" ht="12.8" hidden="false" customHeight="false" outlineLevel="0" collapsed="false">
      <c r="B3431" s="0" t="s">
        <v>1983</v>
      </c>
      <c r="C3431" s="0" t="s">
        <v>1984</v>
      </c>
      <c r="E3431" s="0" t="s">
        <v>1985</v>
      </c>
      <c r="F3431" s="0" t="s">
        <v>1986</v>
      </c>
    </row>
    <row r="3432" customFormat="false" ht="12.8" hidden="false" customHeight="false" outlineLevel="0" collapsed="false">
      <c r="B3432" s="0" t="s">
        <v>52</v>
      </c>
      <c r="C3432" s="0" t="s">
        <v>1987</v>
      </c>
      <c r="E3432" s="0" t="s">
        <v>564</v>
      </c>
      <c r="F3432" s="0" t="s">
        <v>1988</v>
      </c>
    </row>
    <row r="3434" customFormat="false" ht="12.8" hidden="false" customHeight="false" outlineLevel="0" collapsed="false">
      <c r="A3434" s="0" t="s">
        <v>1989</v>
      </c>
      <c r="B3434" s="0" t="str">
        <f aca="false">HYPERLINK("https://lindat.mff.cuni.cz/services/teitok/pdtc10/index.php?action=vallex&amp;frame=v-w466hsa_1740", "diktovat (v-w466hsa_1740)")</f>
        <v>diktovat (v-w466hsa_1740)</v>
      </c>
    </row>
    <row r="3435" customFormat="false" ht="12.8" hidden="false" customHeight="false" outlineLevel="0" collapsed="false">
      <c r="B3435" s="0" t="s">
        <v>1</v>
      </c>
    </row>
    <row r="3436" customFormat="false" ht="12.8" hidden="false" customHeight="false" outlineLevel="0" collapsed="false">
      <c r="B3436" s="0" t="s">
        <v>8</v>
      </c>
    </row>
    <row r="3437" customFormat="false" ht="12.8" hidden="false" customHeight="false" outlineLevel="0" collapsed="false">
      <c r="B3437" s="0" t="s">
        <v>52</v>
      </c>
    </row>
    <row r="3439" customFormat="false" ht="12.8" hidden="false" customHeight="false" outlineLevel="0" collapsed="false">
      <c r="A3439" s="0" t="s">
        <v>1990</v>
      </c>
      <c r="B3439" s="0" t="str">
        <f aca="false">HYPERLINK("https://lindat.mff.cuni.cz/services/teitok/pdtc10/index.php?action=vallex&amp;frame=v-w472f1", "dirigovat (v-w472f1)")</f>
        <v>dirigovat (v-w472f1)</v>
      </c>
      <c r="E3439" s="0" t="str">
        <f aca="false">HYPERLINK("https://lindat.mff.cuni.cz/services/SynSemClass40/SynSemClass40.html?veclass=vec00302#vec00302-ces-cm00003", "vec00302")</f>
        <v>vec00302</v>
      </c>
      <c r="F3439" s="0" t="s">
        <v>1991</v>
      </c>
    </row>
    <row r="3440" customFormat="false" ht="12.8" hidden="false" customHeight="false" outlineLevel="0" collapsed="false">
      <c r="B3440" s="0" t="s">
        <v>1</v>
      </c>
      <c r="C3440" s="0" t="s">
        <v>1992</v>
      </c>
      <c r="E3440" s="0" t="s">
        <v>206</v>
      </c>
      <c r="F3440" s="0" t="s">
        <v>1993</v>
      </c>
    </row>
    <row r="3441" customFormat="false" ht="12.8" hidden="false" customHeight="false" outlineLevel="0" collapsed="false">
      <c r="B3441" s="0" t="s">
        <v>8</v>
      </c>
      <c r="C3441" s="0" t="s">
        <v>1994</v>
      </c>
      <c r="E3441" s="0" t="s">
        <v>1995</v>
      </c>
      <c r="F3441" s="0" t="s">
        <v>1996</v>
      </c>
    </row>
    <row r="3443" customFormat="false" ht="12.8" hidden="false" customHeight="false" outlineLevel="0" collapsed="false">
      <c r="A3443" s="0" t="s">
        <v>1997</v>
      </c>
      <c r="B3443" s="0" t="str">
        <f aca="false">HYPERLINK("https://lindat.mff.cuni.cz/services/teitok/pdtc10/index.php?action=vallex&amp;frame=v-w472f2", "dirigovat (v-w472f2)")</f>
        <v>dirigovat (v-w472f2)</v>
      </c>
    </row>
    <row r="3444" customFormat="false" ht="12.8" hidden="false" customHeight="false" outlineLevel="0" collapsed="false">
      <c r="B3444" s="0" t="s">
        <v>1</v>
      </c>
    </row>
    <row r="3445" customFormat="false" ht="12.8" hidden="false" customHeight="false" outlineLevel="0" collapsed="false">
      <c r="B3445" s="0" t="s">
        <v>8</v>
      </c>
    </row>
    <row r="3447" customFormat="false" ht="12.8" hidden="false" customHeight="false" outlineLevel="0" collapsed="false">
      <c r="A3447" s="0" t="s">
        <v>1998</v>
      </c>
      <c r="B3447" s="0" t="str">
        <f aca="false">HYPERLINK("https://lindat.mff.cuni.cz/services/teitok/pdtc10/index.php?action=vallex&amp;frame=v-w473f1", "diskontovat (v-w473f1)")</f>
        <v>diskontovat (v-w473f1)</v>
      </c>
    </row>
    <row r="3448" customFormat="false" ht="12.8" hidden="false" customHeight="false" outlineLevel="0" collapsed="false">
      <c r="B3448" s="0" t="s">
        <v>1</v>
      </c>
    </row>
    <row r="3449" customFormat="false" ht="12.8" hidden="false" customHeight="false" outlineLevel="0" collapsed="false">
      <c r="B3449" s="0" t="s">
        <v>8</v>
      </c>
    </row>
    <row r="3450" customFormat="false" ht="12.8" hidden="false" customHeight="false" outlineLevel="0" collapsed="false">
      <c r="B3450" s="0" t="s">
        <v>36</v>
      </c>
    </row>
    <row r="3451" customFormat="false" ht="12.8" hidden="false" customHeight="false" outlineLevel="0" collapsed="false">
      <c r="B3451" s="0" t="s">
        <v>101</v>
      </c>
    </row>
    <row r="3453" customFormat="false" ht="12.8" hidden="false" customHeight="false" outlineLevel="0" collapsed="false">
      <c r="A3453" s="0" t="s">
        <v>1999</v>
      </c>
      <c r="B3453" s="0" t="str">
        <f aca="false">HYPERLINK("https://lindat.mff.cuni.cz/services/teitok/pdtc10/index.php?action=vallex&amp;frame=v-w475f1", "diskreditovat (v-w475f1)")</f>
        <v>diskreditovat (v-w475f1)</v>
      </c>
      <c r="E3453" s="0" t="str">
        <f aca="false">HYPERLINK("https://lindat.mff.cuni.cz/services/SynSemClass40/SynSemClass40.html?veclass=vec01192#vec01192-ces-cm00002", "vec01192")</f>
        <v>vec01192</v>
      </c>
      <c r="F3453" s="0" t="s">
        <v>2000</v>
      </c>
    </row>
    <row r="3454" customFormat="false" ht="12.8" hidden="false" customHeight="false" outlineLevel="0" collapsed="false">
      <c r="B3454" s="0" t="s">
        <v>1</v>
      </c>
      <c r="C3454" s="0" t="s">
        <v>512</v>
      </c>
      <c r="E3454" s="0" t="s">
        <v>11</v>
      </c>
      <c r="F3454" s="0" t="s">
        <v>1613</v>
      </c>
    </row>
    <row r="3455" customFormat="false" ht="12.8" hidden="false" customHeight="false" outlineLevel="0" collapsed="false">
      <c r="B3455" s="0" t="s">
        <v>8</v>
      </c>
      <c r="C3455" s="0" t="s">
        <v>2001</v>
      </c>
      <c r="E3455" s="0" t="s">
        <v>142</v>
      </c>
      <c r="F3455" s="0" t="s">
        <v>2002</v>
      </c>
    </row>
    <row r="3457" customFormat="false" ht="12.8" hidden="false" customHeight="false" outlineLevel="0" collapsed="false">
      <c r="A3457" s="0" t="s">
        <v>2003</v>
      </c>
      <c r="B3457" s="0" t="str">
        <f aca="false">HYPERLINK("https://lindat.mff.cuni.cz/services/teitok/pdtc10/index.php?action=vallex&amp;frame=v-w477f1", "diskriminovat (v-w477f1)")</f>
        <v>diskriminovat (v-w477f1)</v>
      </c>
      <c r="E3457" s="0" t="str">
        <f aca="false">HYPERLINK("https://lindat.mff.cuni.cz/services/SynSemClass40/SynSemClass40.html?veclass=vec00808#vec00808-ces-cm00001", "vec00808")</f>
        <v>vec00808</v>
      </c>
      <c r="F3457" s="0" t="s">
        <v>2004</v>
      </c>
    </row>
    <row r="3458" customFormat="false" ht="12.8" hidden="false" customHeight="false" outlineLevel="0" collapsed="false">
      <c r="B3458" s="0" t="s">
        <v>1</v>
      </c>
      <c r="C3458" s="0" t="s">
        <v>512</v>
      </c>
      <c r="E3458" s="0" t="s">
        <v>2005</v>
      </c>
      <c r="F3458" s="0" t="s">
        <v>2006</v>
      </c>
    </row>
    <row r="3459" customFormat="false" ht="12.8" hidden="false" customHeight="false" outlineLevel="0" collapsed="false">
      <c r="B3459" s="0" t="s">
        <v>8</v>
      </c>
      <c r="C3459" s="0" t="s">
        <v>798</v>
      </c>
      <c r="E3459" s="0" t="s">
        <v>2007</v>
      </c>
      <c r="F3459" s="0" t="s">
        <v>2008</v>
      </c>
    </row>
    <row r="3461" customFormat="false" ht="12.8" hidden="false" customHeight="false" outlineLevel="0" collapsed="false">
      <c r="A3461" s="0" t="s">
        <v>2009</v>
      </c>
      <c r="B3461" s="0" t="str">
        <f aca="false">HYPERLINK("https://lindat.mff.cuni.cz/services/teitok/pdtc10/index.php?action=vallex&amp;frame=v-w479f1", "diskutovat (v-w479f1)")</f>
        <v>diskutovat (v-w479f1)</v>
      </c>
      <c r="E3461" s="0" t="str">
        <f aca="false">HYPERLINK("https://lindat.mff.cuni.cz/services/SynSemClass40/SynSemClass40.html?veclass=vec00031#vec00031-ces-cm00004", "vec00031")</f>
        <v>vec00031</v>
      </c>
      <c r="F3461" s="0" t="s">
        <v>277</v>
      </c>
    </row>
    <row r="3462" customFormat="false" ht="12.8" hidden="false" customHeight="false" outlineLevel="0" collapsed="false">
      <c r="B3462" s="0" t="s">
        <v>1</v>
      </c>
      <c r="C3462" s="0" t="s">
        <v>278</v>
      </c>
      <c r="E3462" s="0" t="s">
        <v>147</v>
      </c>
      <c r="F3462" s="0" t="s">
        <v>279</v>
      </c>
    </row>
    <row r="3463" customFormat="false" ht="12.8" hidden="false" customHeight="false" outlineLevel="0" collapsed="false">
      <c r="B3463" s="0" t="s">
        <v>2010</v>
      </c>
      <c r="C3463" s="0" t="s">
        <v>280</v>
      </c>
      <c r="E3463" s="0" t="s">
        <v>218</v>
      </c>
      <c r="F3463" s="0" t="s">
        <v>281</v>
      </c>
    </row>
    <row r="3464" customFormat="false" ht="12.8" hidden="false" customHeight="false" outlineLevel="0" collapsed="false">
      <c r="B3464" s="0" t="s">
        <v>276</v>
      </c>
      <c r="C3464" s="0" t="s">
        <v>282</v>
      </c>
      <c r="E3464" s="0" t="s">
        <v>221</v>
      </c>
      <c r="F3464" s="0" t="s">
        <v>283</v>
      </c>
    </row>
    <row r="3466" customFormat="false" ht="12.8" hidden="false" customHeight="false" outlineLevel="0" collapsed="false">
      <c r="A3466" s="0" t="s">
        <v>2011</v>
      </c>
      <c r="B3466" s="0" t="str">
        <f aca="false">HYPERLINK("https://lindat.mff.cuni.cz/services/teitok/pdtc10/index.php?action=vallex&amp;frame=v-w481f1", "diskvalifikovat (v-w481f1)")</f>
        <v>diskvalifikovat (v-w481f1)</v>
      </c>
      <c r="E3466" s="0" t="str">
        <f aca="false">HYPERLINK("https://lindat.mff.cuni.cz/services/SynSemClass40/SynSemClass40.html?veclass=vec00555#vec00555-ces-cm00100", "vec00555")</f>
        <v>vec00555</v>
      </c>
      <c r="F3466" s="0" t="s">
        <v>1918</v>
      </c>
    </row>
    <row r="3467" customFormat="false" ht="12.8" hidden="false" customHeight="false" outlineLevel="0" collapsed="false">
      <c r="B3467" s="0" t="s">
        <v>1</v>
      </c>
      <c r="C3467" s="0" t="s">
        <v>1919</v>
      </c>
      <c r="E3467" s="0" t="s">
        <v>31</v>
      </c>
      <c r="F3467" s="0" t="s">
        <v>1920</v>
      </c>
    </row>
    <row r="3468" customFormat="false" ht="12.8" hidden="false" customHeight="false" outlineLevel="0" collapsed="false">
      <c r="B3468" s="0" t="s">
        <v>8</v>
      </c>
      <c r="C3468" s="0" t="s">
        <v>1921</v>
      </c>
      <c r="E3468" s="0" t="s">
        <v>532</v>
      </c>
      <c r="F3468" s="0" t="s">
        <v>1922</v>
      </c>
    </row>
    <row r="3469" customFormat="false" ht="12.8" hidden="false" customHeight="false" outlineLevel="0" collapsed="false">
      <c r="B3469" s="0" t="s">
        <v>631</v>
      </c>
      <c r="C3469" s="0" t="s">
        <v>1923</v>
      </c>
      <c r="E3469" s="0" t="s">
        <v>1924</v>
      </c>
      <c r="F3469" s="0" t="s">
        <v>1925</v>
      </c>
    </row>
    <row r="3471" customFormat="false" ht="12.8" hidden="false" customHeight="false" outlineLevel="0" collapsed="false">
      <c r="A3471" s="0" t="s">
        <v>2012</v>
      </c>
      <c r="B3471" s="0" t="str">
        <f aca="false">HYPERLINK("https://lindat.mff.cuni.cz/services/teitok/pdtc10/index.php?action=vallex&amp;frame=v-w482f1", "dislokovat (v-w482f1)")</f>
        <v>dislokovat (v-w482f1)</v>
      </c>
    </row>
    <row r="3472" customFormat="false" ht="12.8" hidden="false" customHeight="false" outlineLevel="0" collapsed="false">
      <c r="B3472" s="0" t="s">
        <v>1</v>
      </c>
    </row>
    <row r="3473" customFormat="false" ht="12.8" hidden="false" customHeight="false" outlineLevel="0" collapsed="false">
      <c r="B3473" s="0" t="s">
        <v>8</v>
      </c>
    </row>
    <row r="3474" customFormat="false" ht="12.8" hidden="false" customHeight="false" outlineLevel="0" collapsed="false">
      <c r="B3474" s="0" t="s">
        <v>5</v>
      </c>
    </row>
    <row r="3476" customFormat="false" ht="12.8" hidden="false" customHeight="false" outlineLevel="0" collapsed="false">
      <c r="A3476" s="0" t="s">
        <v>2013</v>
      </c>
      <c r="B3476" s="0" t="str">
        <f aca="false">HYPERLINK("https://lindat.mff.cuni.cz/services/teitok/pdtc10/index.php?action=vallex&amp;frame=v-w482f2", "dislokovat (v-w482f2)")</f>
        <v>dislokovat (v-w482f2)</v>
      </c>
    </row>
    <row r="3477" customFormat="false" ht="12.8" hidden="false" customHeight="false" outlineLevel="0" collapsed="false">
      <c r="B3477" s="0" t="s">
        <v>1</v>
      </c>
    </row>
    <row r="3478" customFormat="false" ht="12.8" hidden="false" customHeight="false" outlineLevel="0" collapsed="false">
      <c r="B3478" s="0" t="s">
        <v>8</v>
      </c>
    </row>
    <row r="3479" customFormat="false" ht="12.8" hidden="false" customHeight="false" outlineLevel="0" collapsed="false">
      <c r="B3479" s="0" t="s">
        <v>164</v>
      </c>
    </row>
    <row r="3481" customFormat="false" ht="12.8" hidden="false" customHeight="false" outlineLevel="0" collapsed="false">
      <c r="A3481" s="0" t="s">
        <v>2014</v>
      </c>
      <c r="B3481" s="0" t="str">
        <f aca="false">HYPERLINK("https://lindat.mff.cuni.cz/services/teitok/pdtc10/index.php?action=vallex&amp;frame=v-whsa_628hsa_629", "disociovat (v-whsa_628hsa_629)")</f>
        <v>disociovat (v-whsa_628hsa_629)</v>
      </c>
      <c r="E3481" s="0" t="str">
        <f aca="false">HYPERLINK("https://lindat.mff.cuni.cz/services/SynSemClass40/SynSemClass40.html?veclass=vec01305#vec01305-ces-cm00013", "vec01305")</f>
        <v>vec01305</v>
      </c>
      <c r="F3481" s="0" t="s">
        <v>2015</v>
      </c>
    </row>
    <row r="3482" customFormat="false" ht="12.8" hidden="false" customHeight="false" outlineLevel="0" collapsed="false">
      <c r="B3482" s="0" t="s">
        <v>1</v>
      </c>
      <c r="C3482" s="0" t="s">
        <v>2016</v>
      </c>
      <c r="E3482" s="0" t="s">
        <v>2017</v>
      </c>
      <c r="F3482" s="0" t="s">
        <v>2018</v>
      </c>
    </row>
    <row r="3483" customFormat="false" ht="12.8" hidden="false" customHeight="false" outlineLevel="0" collapsed="false">
      <c r="B3483" s="0" t="s">
        <v>69</v>
      </c>
      <c r="C3483" s="0" t="s">
        <v>2019</v>
      </c>
      <c r="E3483" s="0" t="s">
        <v>110</v>
      </c>
      <c r="F3483" s="0" t="s">
        <v>2020</v>
      </c>
    </row>
    <row r="3485" customFormat="false" ht="12.8" hidden="false" customHeight="false" outlineLevel="0" collapsed="false">
      <c r="A3485" s="0" t="s">
        <v>2021</v>
      </c>
      <c r="B3485" s="0" t="str">
        <f aca="false">HYPERLINK("https://lindat.mff.cuni.cz/services/teitok/pdtc10/index.php?action=vallex&amp;frame=v-w484f1", "disponovat (v-w484f1)")</f>
        <v>disponovat (v-w484f1)</v>
      </c>
      <c r="E3485" s="0" t="str">
        <f aca="false">HYPERLINK("https://lindat.mff.cuni.cz/services/SynSemClass40/SynSemClass40.html?veclass=vec01229#vec01229-ces-cm00003", "vec01229")</f>
        <v>vec01229</v>
      </c>
      <c r="F3485" s="0" t="s">
        <v>955</v>
      </c>
    </row>
    <row r="3486" customFormat="false" ht="12.8" hidden="false" customHeight="false" outlineLevel="0" collapsed="false">
      <c r="B3486" s="0" t="s">
        <v>1</v>
      </c>
      <c r="E3486" s="0" t="s">
        <v>11</v>
      </c>
      <c r="F3486" s="0" t="s">
        <v>959</v>
      </c>
    </row>
    <row r="3487" customFormat="false" ht="12.8" hidden="false" customHeight="false" outlineLevel="0" collapsed="false">
      <c r="B3487" s="0" t="s">
        <v>286</v>
      </c>
      <c r="E3487" s="0" t="s">
        <v>34</v>
      </c>
      <c r="F3487" s="0" t="s">
        <v>2022</v>
      </c>
    </row>
    <row r="3489" customFormat="false" ht="12.8" hidden="false" customHeight="false" outlineLevel="0" collapsed="false">
      <c r="A3489" s="0" t="s">
        <v>2023</v>
      </c>
      <c r="B3489" s="0" t="str">
        <f aca="false">HYPERLINK("https://lindat.mff.cuni.cz/services/teitok/pdtc10/index.php?action=vallex&amp;frame=v-w484f3_ZU", "disponovat (v-w484f3_ZU)")</f>
        <v>disponovat (v-w484f3_ZU)</v>
      </c>
    </row>
    <row r="3490" customFormat="false" ht="12.8" hidden="false" customHeight="false" outlineLevel="0" collapsed="false">
      <c r="B3490" s="0" t="s">
        <v>1</v>
      </c>
    </row>
    <row r="3491" customFormat="false" ht="12.8" hidden="false" customHeight="false" outlineLevel="0" collapsed="false">
      <c r="B3491" s="0" t="s">
        <v>2024</v>
      </c>
    </row>
    <row r="3492" customFormat="false" ht="12.8" hidden="false" customHeight="false" outlineLevel="0" collapsed="false">
      <c r="B3492" s="0" t="s">
        <v>642</v>
      </c>
    </row>
    <row r="3493" customFormat="false" ht="12.8" hidden="false" customHeight="false" outlineLevel="0" collapsed="false">
      <c r="B3493" s="0" t="s">
        <v>648</v>
      </c>
    </row>
    <row r="3494" customFormat="false" ht="12.8" hidden="false" customHeight="false" outlineLevel="0" collapsed="false">
      <c r="B3494" s="0" t="s">
        <v>650</v>
      </c>
    </row>
    <row r="3495" customFormat="false" ht="12.8" hidden="false" customHeight="false" outlineLevel="0" collapsed="false">
      <c r="B3495" s="0" t="s">
        <v>652</v>
      </c>
    </row>
    <row r="3497" customFormat="false" ht="12.8" hidden="false" customHeight="false" outlineLevel="0" collapsed="false">
      <c r="A3497" s="0" t="s">
        <v>2023</v>
      </c>
      <c r="B3497" s="0" t="str">
        <f aca="false">HYPERLINK("https://lindat.mff.cuni.cz/services/teitok/pdtc10/index.php?action=vallex&amp;frame=v-w484f2", "disponovat (v-w484f2) - substituted with v-w484f3_ZU")</f>
        <v>disponovat (v-w484f2) - substituted with v-w484f3_ZU</v>
      </c>
      <c r="E3497" s="0" t="str">
        <f aca="false">HYPERLINK("https://lindat.mff.cuni.cz/services/SynSemClass40/SynSemClass40.html?veclass=vec00277#vec00277-ces-cm00065", "vec00277")</f>
        <v>vec00277</v>
      </c>
      <c r="F3497" s="0" t="s">
        <v>2025</v>
      </c>
    </row>
    <row r="3498" customFormat="false" ht="12.8" hidden="false" customHeight="false" outlineLevel="0" collapsed="false">
      <c r="B3498" s="0" t="s">
        <v>1</v>
      </c>
      <c r="C3498" s="0" t="s">
        <v>2026</v>
      </c>
      <c r="E3498" s="0" t="s">
        <v>2027</v>
      </c>
      <c r="F3498" s="0" t="s">
        <v>2028</v>
      </c>
    </row>
    <row r="3499" customFormat="false" ht="12.8" hidden="false" customHeight="false" outlineLevel="0" collapsed="false">
      <c r="B3499" s="0" t="s">
        <v>2024</v>
      </c>
      <c r="C3499" s="0" t="s">
        <v>2029</v>
      </c>
      <c r="E3499" s="0" t="s">
        <v>1995</v>
      </c>
      <c r="F3499" s="0" t="s">
        <v>2030</v>
      </c>
    </row>
    <row r="3500" customFormat="false" ht="12.8" hidden="false" customHeight="false" outlineLevel="0" collapsed="false">
      <c r="B3500" s="0" t="s">
        <v>642</v>
      </c>
    </row>
    <row r="3501" customFormat="false" ht="12.8" hidden="false" customHeight="false" outlineLevel="0" collapsed="false">
      <c r="B3501" s="0" t="s">
        <v>648</v>
      </c>
    </row>
    <row r="3502" customFormat="false" ht="12.8" hidden="false" customHeight="false" outlineLevel="0" collapsed="false">
      <c r="B3502" s="0" t="s">
        <v>650</v>
      </c>
    </row>
    <row r="3503" customFormat="false" ht="12.8" hidden="false" customHeight="false" outlineLevel="0" collapsed="false">
      <c r="B3503" s="0" t="s">
        <v>652</v>
      </c>
    </row>
    <row r="3505" customFormat="false" ht="12.8" hidden="false" customHeight="false" outlineLevel="0" collapsed="false">
      <c r="A3505" s="0" t="s">
        <v>2031</v>
      </c>
      <c r="B3505" s="0" t="str">
        <f aca="false">HYPERLINK("https://lindat.mff.cuni.cz/services/teitok/pdtc10/index.php?action=vallex&amp;frame=v-w487f1", "distancovat se (v-w487f1)")</f>
        <v>distancovat se (v-w487f1)</v>
      </c>
      <c r="E3505" s="0" t="str">
        <f aca="false">HYPERLINK("https://lindat.mff.cuni.cz/services/SynSemClass40/SynSemClass40.html?veclass=vec00607#vec00607-ces-cm00001", "vec00607")</f>
        <v>vec00607</v>
      </c>
      <c r="F3505" s="0" t="s">
        <v>2032</v>
      </c>
    </row>
    <row r="3506" customFormat="false" ht="12.8" hidden="false" customHeight="false" outlineLevel="0" collapsed="false">
      <c r="B3506" s="0" t="s">
        <v>1</v>
      </c>
      <c r="C3506" s="0" t="s">
        <v>2033</v>
      </c>
      <c r="E3506" s="0" t="s">
        <v>2034</v>
      </c>
      <c r="F3506" s="0" t="s">
        <v>2035</v>
      </c>
    </row>
    <row r="3507" customFormat="false" ht="12.8" hidden="false" customHeight="false" outlineLevel="0" collapsed="false">
      <c r="B3507" s="0" t="s">
        <v>26</v>
      </c>
      <c r="C3507" s="0" t="s">
        <v>2036</v>
      </c>
      <c r="E3507" s="0" t="s">
        <v>2037</v>
      </c>
      <c r="F3507" s="0" t="s">
        <v>2038</v>
      </c>
    </row>
    <row r="3509" customFormat="false" ht="12.8" hidden="false" customHeight="false" outlineLevel="0" collapsed="false">
      <c r="A3509" s="0" t="s">
        <v>2039</v>
      </c>
      <c r="B3509" s="0" t="str">
        <f aca="false">HYPERLINK("https://lindat.mff.cuni.cz/services/teitok/pdtc10/index.php?action=vallex&amp;frame=v-w489f1", "distribuovat (v-w489f1)")</f>
        <v>distribuovat (v-w489f1)</v>
      </c>
      <c r="E3509" s="0" t="str">
        <f aca="false">HYPERLINK("https://lindat.mff.cuni.cz/services/SynSemClass40/SynSemClass40.html?veclass=vec00209#vec00209-ces-cm00003", "vec00209")</f>
        <v>vec00209</v>
      </c>
      <c r="F3509" s="0" t="s">
        <v>2040</v>
      </c>
    </row>
    <row r="3510" customFormat="false" ht="12.8" hidden="false" customHeight="false" outlineLevel="0" collapsed="false">
      <c r="B3510" s="0" t="s">
        <v>1</v>
      </c>
      <c r="C3510" s="0" t="s">
        <v>2041</v>
      </c>
      <c r="E3510" s="0" t="s">
        <v>1784</v>
      </c>
      <c r="F3510" s="0" t="s">
        <v>2042</v>
      </c>
    </row>
    <row r="3511" customFormat="false" ht="12.8" hidden="false" customHeight="false" outlineLevel="0" collapsed="false">
      <c r="B3511" s="0" t="s">
        <v>8</v>
      </c>
      <c r="C3511" s="0" t="s">
        <v>2043</v>
      </c>
      <c r="E3511" s="0" t="s">
        <v>1787</v>
      </c>
      <c r="F3511" s="0" t="s">
        <v>2044</v>
      </c>
    </row>
    <row r="3512" customFormat="false" ht="12.8" hidden="false" customHeight="false" outlineLevel="0" collapsed="false">
      <c r="B3512" s="0" t="s">
        <v>2045</v>
      </c>
      <c r="C3512" s="0" t="s">
        <v>2046</v>
      </c>
      <c r="E3512" s="0" t="s">
        <v>53</v>
      </c>
      <c r="F3512" s="0" t="s">
        <v>2047</v>
      </c>
    </row>
    <row r="3514" customFormat="false" ht="12.8" hidden="false" customHeight="false" outlineLevel="0" collapsed="false">
      <c r="A3514" s="0" t="s">
        <v>2048</v>
      </c>
      <c r="B3514" s="0" t="str">
        <f aca="false">HYPERLINK("https://lindat.mff.cuni.cz/services/teitok/pdtc10/index.php?action=vallex&amp;frame=v-w489f2", "distribuovat (v-w489f2)")</f>
        <v>distribuovat (v-w489f2)</v>
      </c>
      <c r="E3514" s="0" t="str">
        <f aca="false">HYPERLINK("https://lindat.mff.cuni.cz/services/SynSemClass40/SynSemClass40.html?veclass=vec00209#vec00209-ces-cm00001", "vec00209")</f>
        <v>vec00209</v>
      </c>
      <c r="F3514" s="0" t="s">
        <v>2040</v>
      </c>
    </row>
    <row r="3515" customFormat="false" ht="12.8" hidden="false" customHeight="false" outlineLevel="0" collapsed="false">
      <c r="B3515" s="0" t="s">
        <v>1</v>
      </c>
      <c r="C3515" s="0" t="s">
        <v>2041</v>
      </c>
      <c r="E3515" s="0" t="s">
        <v>1784</v>
      </c>
      <c r="F3515" s="0" t="s">
        <v>2042</v>
      </c>
    </row>
    <row r="3516" customFormat="false" ht="12.8" hidden="false" customHeight="false" outlineLevel="0" collapsed="false">
      <c r="B3516" s="0" t="s">
        <v>8</v>
      </c>
      <c r="C3516" s="0" t="s">
        <v>2043</v>
      </c>
      <c r="E3516" s="0" t="s">
        <v>1787</v>
      </c>
      <c r="F3516" s="0" t="s">
        <v>2044</v>
      </c>
    </row>
    <row r="3518" customFormat="false" ht="12.8" hidden="false" customHeight="false" outlineLevel="0" collapsed="false">
      <c r="A3518" s="0" t="s">
        <v>2049</v>
      </c>
      <c r="B3518" s="0" t="str">
        <f aca="false">HYPERLINK("https://lindat.mff.cuni.cz/services/teitok/pdtc10/index.php?action=vallex&amp;frame=v-w496f1", "diverzifikovat (v-w496f1)")</f>
        <v>diverzifikovat (v-w496f1)</v>
      </c>
    </row>
    <row r="3519" customFormat="false" ht="12.8" hidden="false" customHeight="false" outlineLevel="0" collapsed="false">
      <c r="B3519" s="0" t="s">
        <v>1</v>
      </c>
    </row>
    <row r="3520" customFormat="false" ht="12.8" hidden="false" customHeight="false" outlineLevel="0" collapsed="false">
      <c r="B3520" s="0" t="s">
        <v>8</v>
      </c>
    </row>
    <row r="3522" customFormat="false" ht="12.8" hidden="false" customHeight="false" outlineLevel="0" collapsed="false">
      <c r="A3522" s="0" t="s">
        <v>2050</v>
      </c>
      <c r="B3522" s="0" t="str">
        <f aca="false">HYPERLINK("https://lindat.mff.cuni.cz/services/teitok/pdtc10/index.php?action=vallex&amp;frame=v-w497f2_ZU", "divit se (v-w497f2_ZU)")</f>
        <v>divit se (v-w497f2_ZU)</v>
      </c>
    </row>
    <row r="3523" customFormat="false" ht="12.8" hidden="false" customHeight="false" outlineLevel="0" collapsed="false">
      <c r="B3523" s="0" t="s">
        <v>1</v>
      </c>
    </row>
    <row r="3524" customFormat="false" ht="12.8" hidden="false" customHeight="false" outlineLevel="0" collapsed="false">
      <c r="B3524" s="0" t="s">
        <v>2051</v>
      </c>
    </row>
    <row r="3526" customFormat="false" ht="12.8" hidden="false" customHeight="false" outlineLevel="0" collapsed="false">
      <c r="A3526" s="0" t="s">
        <v>2050</v>
      </c>
      <c r="B3526" s="0" t="str">
        <f aca="false">HYPERLINK("https://lindat.mff.cuni.cz/services/teitok/pdtc10/index.php?action=vallex&amp;frame=v-w497f1", "divit se (v-w497f1) - substituted with v-w497f2_ZU")</f>
        <v>divit se (v-w497f1) - substituted with v-w497f2_ZU</v>
      </c>
      <c r="E3526" s="0" t="str">
        <f aca="false">HYPERLINK("https://lindat.mff.cuni.cz/services/SynSemClass40/SynSemClass40.html?veclass=vec01209#vec01209-ces-cm00002", "vec01209")</f>
        <v>vec01209</v>
      </c>
      <c r="F3526" s="0" t="s">
        <v>1101</v>
      </c>
    </row>
    <row r="3527" customFormat="false" ht="12.8" hidden="false" customHeight="false" outlineLevel="0" collapsed="false">
      <c r="B3527" s="0" t="s">
        <v>1</v>
      </c>
      <c r="E3527" s="0" t="s">
        <v>266</v>
      </c>
      <c r="F3527" s="0" t="s">
        <v>2052</v>
      </c>
    </row>
    <row r="3528" customFormat="false" ht="12.8" hidden="false" customHeight="false" outlineLevel="0" collapsed="false">
      <c r="B3528" s="0" t="s">
        <v>2051</v>
      </c>
      <c r="E3528" s="0" t="s">
        <v>271</v>
      </c>
      <c r="F3528" s="0" t="s">
        <v>2053</v>
      </c>
    </row>
    <row r="3530" customFormat="false" ht="12.8" hidden="false" customHeight="false" outlineLevel="0" collapsed="false">
      <c r="A3530" s="0" t="s">
        <v>2050</v>
      </c>
      <c r="B3530" s="0" t="str">
        <f aca="false">HYPERLINK("https://lindat.mff.cuni.cz/services/teitok/pdtc10/index.php?action=vallex&amp;frame=v-w497hsa_622", "divit se (v-w497hsa_622) - substituted with v-w497f2_ZU")</f>
        <v>divit se (v-w497hsa_622) - substituted with v-w497f2_ZU</v>
      </c>
    </row>
    <row r="3531" customFormat="false" ht="12.8" hidden="false" customHeight="false" outlineLevel="0" collapsed="false">
      <c r="B3531" s="0" t="s">
        <v>1</v>
      </c>
    </row>
    <row r="3532" customFormat="false" ht="12.8" hidden="false" customHeight="false" outlineLevel="0" collapsed="false">
      <c r="B3532" s="0" t="s">
        <v>2051</v>
      </c>
    </row>
    <row r="3534" customFormat="false" ht="12.8" hidden="false" customHeight="false" outlineLevel="0" collapsed="false">
      <c r="A3534" s="0" t="s">
        <v>2054</v>
      </c>
      <c r="B3534" s="0" t="str">
        <f aca="false">HYPERLINK("https://lindat.mff.cuni.cz/services/teitok/pdtc10/index.php?action=vallex&amp;frame=v-w12200_ZUf1_ZU", "divočet (v-w12200_ZUf1_ZU)")</f>
        <v>divočet (v-w12200_ZUf1_ZU)</v>
      </c>
    </row>
    <row r="3535" customFormat="false" ht="12.8" hidden="false" customHeight="false" outlineLevel="0" collapsed="false">
      <c r="B3535" s="0" t="s">
        <v>1</v>
      </c>
    </row>
    <row r="3537" customFormat="false" ht="12.8" hidden="false" customHeight="false" outlineLevel="0" collapsed="false">
      <c r="A3537" s="0" t="s">
        <v>2055</v>
      </c>
      <c r="B3537" s="0" t="str">
        <f aca="false">HYPERLINK("https://lindat.mff.cuni.cz/services/teitok/pdtc10/index.php?action=vallex&amp;frame=v-w12200_ZUf2_ZU", "divočet (v-w12200_ZUf2_ZU)")</f>
        <v>divočet (v-w12200_ZUf2_ZU)</v>
      </c>
    </row>
    <row r="3538" customFormat="false" ht="12.8" hidden="false" customHeight="false" outlineLevel="0" collapsed="false">
      <c r="B3538" s="0" t="s">
        <v>1</v>
      </c>
    </row>
    <row r="3540" customFormat="false" ht="12.8" hidden="false" customHeight="false" outlineLevel="0" collapsed="false">
      <c r="A3540" s="0" t="s">
        <v>2056</v>
      </c>
      <c r="B3540" s="0" t="str">
        <f aca="false">HYPERLINK("https://lindat.mff.cuni.cz/services/teitok/pdtc10/index.php?action=vallex&amp;frame=v-w500f1", "dloubat (v-w500f1)")</f>
        <v>dloubat (v-w500f1)</v>
      </c>
    </row>
    <row r="3541" customFormat="false" ht="12.8" hidden="false" customHeight="false" outlineLevel="0" collapsed="false">
      <c r="B3541" s="0" t="s">
        <v>1</v>
      </c>
    </row>
    <row r="3542" customFormat="false" ht="12.8" hidden="false" customHeight="false" outlineLevel="0" collapsed="false">
      <c r="B3542" s="0" t="s">
        <v>8</v>
      </c>
    </row>
    <row r="3544" customFormat="false" ht="12.8" hidden="false" customHeight="false" outlineLevel="0" collapsed="false">
      <c r="A3544" s="0" t="s">
        <v>2057</v>
      </c>
      <c r="B3544" s="0" t="str">
        <f aca="false">HYPERLINK("https://lindat.mff.cuni.cz/services/teitok/pdtc10/index.php?action=vallex&amp;frame=v-w502f2", "dlužit (v-w502f2)")</f>
        <v>dlužit (v-w502f2)</v>
      </c>
      <c r="E3544" s="0" t="str">
        <f aca="false">HYPERLINK("https://lindat.mff.cuni.cz/services/SynSemClass40/SynSemClass40.html?veclass=vec00406#vec00406-ces-cm00001", "vec00406")</f>
        <v>vec00406</v>
      </c>
      <c r="F3544" s="0" t="s">
        <v>2058</v>
      </c>
    </row>
    <row r="3545" customFormat="false" ht="12.8" hidden="false" customHeight="false" outlineLevel="0" collapsed="false">
      <c r="B3545" s="0" t="s">
        <v>1</v>
      </c>
      <c r="C3545" s="0" t="s">
        <v>657</v>
      </c>
      <c r="E3545" s="0" t="s">
        <v>1567</v>
      </c>
      <c r="F3545" s="0" t="s">
        <v>2059</v>
      </c>
    </row>
    <row r="3546" customFormat="false" ht="12.8" hidden="false" customHeight="false" outlineLevel="0" collapsed="false">
      <c r="B3546" s="0" t="s">
        <v>8</v>
      </c>
      <c r="C3546" s="0" t="s">
        <v>2060</v>
      </c>
      <c r="E3546" s="0" t="s">
        <v>1787</v>
      </c>
      <c r="F3546" s="0" t="s">
        <v>2061</v>
      </c>
    </row>
    <row r="3547" customFormat="false" ht="12.8" hidden="false" customHeight="false" outlineLevel="0" collapsed="false">
      <c r="B3547" s="0" t="s">
        <v>132</v>
      </c>
      <c r="C3547" s="0" t="s">
        <v>2062</v>
      </c>
      <c r="E3547" s="0" t="s">
        <v>2063</v>
      </c>
      <c r="F3547" s="0" t="s">
        <v>2064</v>
      </c>
    </row>
    <row r="3548" customFormat="false" ht="12.8" hidden="false" customHeight="false" outlineLevel="0" collapsed="false">
      <c r="B3548" s="0" t="s">
        <v>723</v>
      </c>
    </row>
    <row r="3550" customFormat="false" ht="12.8" hidden="false" customHeight="false" outlineLevel="0" collapsed="false">
      <c r="A3550" s="0" t="s">
        <v>2065</v>
      </c>
      <c r="B3550" s="0" t="str">
        <f aca="false">HYPERLINK("https://lindat.mff.cuni.cz/services/teitok/pdtc10/index.php?action=vallex&amp;frame=v-w502f1", "dlužit (v-w502f1)")</f>
        <v>dlužit (v-w502f1)</v>
      </c>
      <c r="E3550" s="0" t="str">
        <f aca="false">HYPERLINK("https://lindat.mff.cuni.cz/services/SynSemClass40/SynSemClass40.html?veclass=vec00406#vec00406-ces-cm00002", "vec00406")</f>
        <v>vec00406</v>
      </c>
      <c r="F3550" s="0" t="s">
        <v>2058</v>
      </c>
    </row>
    <row r="3551" customFormat="false" ht="12.8" hidden="false" customHeight="false" outlineLevel="0" collapsed="false">
      <c r="B3551" s="0" t="s">
        <v>1</v>
      </c>
      <c r="C3551" s="0" t="s">
        <v>657</v>
      </c>
      <c r="E3551" s="0" t="s">
        <v>1567</v>
      </c>
      <c r="F3551" s="0" t="s">
        <v>2059</v>
      </c>
    </row>
    <row r="3552" customFormat="false" ht="12.8" hidden="false" customHeight="false" outlineLevel="0" collapsed="false">
      <c r="B3552" s="0" t="s">
        <v>865</v>
      </c>
      <c r="C3552" s="0" t="s">
        <v>2066</v>
      </c>
      <c r="E3552" s="0" t="s">
        <v>2067</v>
      </c>
      <c r="F3552" s="0" t="s">
        <v>2068</v>
      </c>
    </row>
    <row r="3553" customFormat="false" ht="12.8" hidden="false" customHeight="false" outlineLevel="0" collapsed="false">
      <c r="B3553" s="0" t="s">
        <v>2069</v>
      </c>
    </row>
    <row r="3554" customFormat="false" ht="12.8" hidden="false" customHeight="false" outlineLevel="0" collapsed="false">
      <c r="B3554" s="0" t="s">
        <v>132</v>
      </c>
      <c r="C3554" s="0" t="s">
        <v>2062</v>
      </c>
      <c r="E3554" s="0" t="s">
        <v>2063</v>
      </c>
      <c r="F3554" s="0" t="s">
        <v>2064</v>
      </c>
    </row>
    <row r="3556" customFormat="false" ht="12.8" hidden="false" customHeight="false" outlineLevel="0" collapsed="false">
      <c r="A3556" s="0" t="s">
        <v>2070</v>
      </c>
      <c r="B3556" s="0" t="str">
        <f aca="false">HYPERLINK("https://lindat.mff.cuni.cz/services/teitok/pdtc10/index.php?action=vallex&amp;frame=v-w502hsa_1237", "dlužit (v-w502hsa_1237)")</f>
        <v>dlužit (v-w502hsa_1237)</v>
      </c>
    </row>
    <row r="3557" customFormat="false" ht="12.8" hidden="false" customHeight="false" outlineLevel="0" collapsed="false">
      <c r="B3557" s="0" t="s">
        <v>1</v>
      </c>
    </row>
    <row r="3558" customFormat="false" ht="12.8" hidden="false" customHeight="false" outlineLevel="0" collapsed="false">
      <c r="B3558" s="0" t="s">
        <v>8</v>
      </c>
    </row>
    <row r="3559" customFormat="false" ht="12.8" hidden="false" customHeight="false" outlineLevel="0" collapsed="false">
      <c r="B3559" s="0" t="s">
        <v>132</v>
      </c>
    </row>
    <row r="3560" customFormat="false" ht="12.8" hidden="false" customHeight="false" outlineLevel="0" collapsed="false">
      <c r="B3560" s="0" t="s">
        <v>723</v>
      </c>
    </row>
    <row r="3562" customFormat="false" ht="12.8" hidden="false" customHeight="false" outlineLevel="0" collapsed="false">
      <c r="A3562" s="0" t="s">
        <v>2071</v>
      </c>
      <c r="B3562" s="0" t="str">
        <f aca="false">HYPERLINK("https://lindat.mff.cuni.cz/services/teitok/pdtc10/index.php?action=vallex&amp;frame=v-w498f1", "dláždit (v-w498f1)")</f>
        <v>dláždit (v-w498f1)</v>
      </c>
    </row>
    <row r="3563" customFormat="false" ht="12.8" hidden="false" customHeight="false" outlineLevel="0" collapsed="false">
      <c r="B3563" s="0" t="s">
        <v>1</v>
      </c>
    </row>
    <row r="3564" customFormat="false" ht="12.8" hidden="false" customHeight="false" outlineLevel="0" collapsed="false">
      <c r="B3564" s="0" t="s">
        <v>8</v>
      </c>
    </row>
    <row r="3565" customFormat="false" ht="12.8" hidden="false" customHeight="false" outlineLevel="0" collapsed="false">
      <c r="B3565" s="0" t="s">
        <v>36</v>
      </c>
    </row>
    <row r="3567" customFormat="false" ht="12.8" hidden="false" customHeight="false" outlineLevel="0" collapsed="false">
      <c r="A3567" s="0" t="s">
        <v>2072</v>
      </c>
      <c r="B3567" s="0" t="str">
        <f aca="false">HYPERLINK("https://lindat.mff.cuni.cz/services/teitok/pdtc10/index.php?action=vallex&amp;frame=v-w498f2", "dláždit (v-w498f2)")</f>
        <v>dláždit (v-w498f2)</v>
      </c>
      <c r="E3567" s="0" t="str">
        <f aca="false">HYPERLINK("https://lindat.mff.cuni.cz/services/SynSemClass40/SynSemClass40.html?veclass=vec00884#vec00884-ces-cm00002", "vec00884")</f>
        <v>vec00884</v>
      </c>
      <c r="F3567" s="0" t="s">
        <v>2073</v>
      </c>
      <c r="H3567" s="0" t="str">
        <f aca="false">HYPERLINK("https://lindat.mff.cuni.cz/services/SynSemClass40/SynSemClass40.html?veclass=vec01464#vec01464-ces-cm00004", "vec01464")</f>
        <v>vec01464</v>
      </c>
      <c r="I3567" s="0" t="s">
        <v>2074</v>
      </c>
    </row>
    <row r="3568" customFormat="false" ht="12.8" hidden="false" customHeight="false" outlineLevel="0" collapsed="false">
      <c r="B3568" s="0" t="s">
        <v>1</v>
      </c>
      <c r="C3568" s="0" t="s">
        <v>825</v>
      </c>
      <c r="E3568" s="0" t="s">
        <v>206</v>
      </c>
      <c r="F3568" s="0" t="s">
        <v>2075</v>
      </c>
      <c r="H3568" s="0" t="s">
        <v>31</v>
      </c>
      <c r="I3568" s="0" t="s">
        <v>513</v>
      </c>
    </row>
    <row r="3569" customFormat="false" ht="12.8" hidden="false" customHeight="false" outlineLevel="0" collapsed="false">
      <c r="B3569" s="0" t="s">
        <v>2076</v>
      </c>
      <c r="C3569" s="0" t="s">
        <v>2077</v>
      </c>
      <c r="E3569" s="0" t="s">
        <v>2078</v>
      </c>
      <c r="F3569" s="0" t="s">
        <v>2079</v>
      </c>
      <c r="H3569" s="0" t="s">
        <v>2080</v>
      </c>
      <c r="I3569" s="0" t="s">
        <v>2081</v>
      </c>
    </row>
    <row r="3570" customFormat="false" ht="12.8" hidden="false" customHeight="false" outlineLevel="0" collapsed="false">
      <c r="B3570" s="0" t="s">
        <v>157</v>
      </c>
      <c r="C3570" s="0" t="s">
        <v>2082</v>
      </c>
      <c r="E3570" s="0" t="s">
        <v>523</v>
      </c>
      <c r="F3570" s="0" t="s">
        <v>2083</v>
      </c>
    </row>
    <row r="3572" customFormat="false" ht="12.8" hidden="false" customHeight="false" outlineLevel="0" collapsed="false">
      <c r="A3572" s="0" t="s">
        <v>2084</v>
      </c>
      <c r="B3572" s="0" t="str">
        <f aca="false">HYPERLINK("https://lindat.mff.cuni.cz/services/teitok/pdtc10/index.php?action=vallex&amp;frame=v-w499f1", "dlít (v-w499f1)")</f>
        <v>dlít (v-w499f1)</v>
      </c>
    </row>
    <row r="3573" customFormat="false" ht="12.8" hidden="false" customHeight="false" outlineLevel="0" collapsed="false">
      <c r="B3573" s="0" t="s">
        <v>1</v>
      </c>
    </row>
    <row r="3574" customFormat="false" ht="12.8" hidden="false" customHeight="false" outlineLevel="0" collapsed="false">
      <c r="B3574" s="0" t="s">
        <v>5</v>
      </c>
    </row>
    <row r="3576" customFormat="false" ht="12.8" hidden="false" customHeight="false" outlineLevel="0" collapsed="false">
      <c r="A3576" s="0" t="s">
        <v>2085</v>
      </c>
      <c r="B3576" s="0" t="str">
        <f aca="false">HYPERLINK("https://lindat.mff.cuni.cz/services/teitok/pdtc10/index.php?action=vallex&amp;frame=v-whsa_229hsa_230", "dmout se (v-whsa_229hsa_230)")</f>
        <v>dmout se (v-whsa_229hsa_230)</v>
      </c>
      <c r="E3576" s="0" t="str">
        <f aca="false">HYPERLINK("https://lindat.mff.cuni.cz/services/SynSemClass40/SynSemClass40.html?veclass=vec00949#vec00949-ces-cm00002", "vec00949")</f>
        <v>vec00949</v>
      </c>
      <c r="F3576" s="0" t="s">
        <v>2086</v>
      </c>
    </row>
    <row r="3577" customFormat="false" ht="12.8" hidden="false" customHeight="false" outlineLevel="0" collapsed="false">
      <c r="B3577" s="0" t="s">
        <v>1</v>
      </c>
      <c r="C3577" s="0" t="s">
        <v>2087</v>
      </c>
      <c r="E3577" s="0" t="s">
        <v>334</v>
      </c>
      <c r="F3577" s="0" t="s">
        <v>2088</v>
      </c>
    </row>
    <row r="3579" customFormat="false" ht="12.8" hidden="false" customHeight="false" outlineLevel="0" collapsed="false">
      <c r="A3579" s="0" t="s">
        <v>2089</v>
      </c>
      <c r="B3579" s="0" t="str">
        <f aca="false">HYPERLINK("https://lindat.mff.cuni.cz/services/teitok/pdtc10/index.php?action=vallex&amp;frame=v-w12326_MMf1_MM", "dobelhat (v-w12326_MMf1_MM)")</f>
        <v>dobelhat (v-w12326_MMf1_MM)</v>
      </c>
    </row>
    <row r="3580" customFormat="false" ht="12.8" hidden="false" customHeight="false" outlineLevel="0" collapsed="false">
      <c r="B3580" s="0" t="s">
        <v>1</v>
      </c>
    </row>
    <row r="3581" customFormat="false" ht="12.8" hidden="false" customHeight="false" outlineLevel="0" collapsed="false">
      <c r="B3581" s="0" t="s">
        <v>164</v>
      </c>
    </row>
    <row r="3583" customFormat="false" ht="12.8" hidden="false" customHeight="false" outlineLevel="0" collapsed="false">
      <c r="A3583" s="0" t="s">
        <v>2090</v>
      </c>
      <c r="B3583" s="0" t="str">
        <f aca="false">HYPERLINK("https://lindat.mff.cuni.cz/services/teitok/pdtc10/index.php?action=vallex&amp;frame=v-w11655_ZUf1_ZU", "doblekotat se (v-w11655_ZUf1_ZU)")</f>
        <v>doblekotat se (v-w11655_ZUf1_ZU)</v>
      </c>
    </row>
    <row r="3584" customFormat="false" ht="12.8" hidden="false" customHeight="false" outlineLevel="0" collapsed="false">
      <c r="B3584" s="0" t="s">
        <v>1</v>
      </c>
    </row>
    <row r="3585" customFormat="false" ht="12.8" hidden="false" customHeight="false" outlineLevel="0" collapsed="false">
      <c r="B3585" s="0" t="s">
        <v>311</v>
      </c>
    </row>
    <row r="3587" customFormat="false" ht="12.8" hidden="false" customHeight="false" outlineLevel="0" collapsed="false">
      <c r="A3587" s="0" t="s">
        <v>2091</v>
      </c>
      <c r="B3587" s="0" t="str">
        <f aca="false">HYPERLINK("https://lindat.mff.cuni.cz/services/teitok/pdtc10/index.php?action=vallex&amp;frame=v-w11829_ZUf1_ZU", "dobrat (v-w11829_ZUf1_ZU)")</f>
        <v>dobrat (v-w11829_ZUf1_ZU)</v>
      </c>
    </row>
    <row r="3588" customFormat="false" ht="12.8" hidden="false" customHeight="false" outlineLevel="0" collapsed="false">
      <c r="B3588" s="0" t="s">
        <v>1</v>
      </c>
    </row>
    <row r="3589" customFormat="false" ht="12.8" hidden="false" customHeight="false" outlineLevel="0" collapsed="false">
      <c r="B3589" s="0" t="s">
        <v>8</v>
      </c>
    </row>
    <row r="3591" customFormat="false" ht="12.8" hidden="false" customHeight="false" outlineLevel="0" collapsed="false">
      <c r="A3591" s="0" t="s">
        <v>2092</v>
      </c>
      <c r="B3591" s="0" t="str">
        <f aca="false">HYPERLINK("https://lindat.mff.cuni.cz/services/teitok/pdtc10/index.php?action=vallex&amp;frame=v-w510f1", "dobrat se (v-w510f1)")</f>
        <v>dobrat se (v-w510f1)</v>
      </c>
    </row>
    <row r="3592" customFormat="false" ht="12.8" hidden="false" customHeight="false" outlineLevel="0" collapsed="false">
      <c r="B3592" s="0" t="s">
        <v>1</v>
      </c>
    </row>
    <row r="3593" customFormat="false" ht="12.8" hidden="false" customHeight="false" outlineLevel="0" collapsed="false">
      <c r="B3593" s="0" t="s">
        <v>2093</v>
      </c>
    </row>
    <row r="3594" customFormat="false" ht="12.8" hidden="false" customHeight="false" outlineLevel="0" collapsed="false">
      <c r="B3594" s="0" t="s">
        <v>2094</v>
      </c>
    </row>
    <row r="3596" customFormat="false" ht="12.8" hidden="false" customHeight="false" outlineLevel="0" collapsed="false">
      <c r="A3596" s="0" t="s">
        <v>2095</v>
      </c>
      <c r="B3596" s="0" t="str">
        <f aca="false">HYPERLINK("https://lindat.mff.cuni.cz/services/teitok/pdtc10/index.php?action=vallex&amp;frame=v-w510f2", "dobrat se (v-w510f2)")</f>
        <v>dobrat se (v-w510f2)</v>
      </c>
    </row>
    <row r="3597" customFormat="false" ht="12.8" hidden="false" customHeight="false" outlineLevel="0" collapsed="false">
      <c r="B3597" s="0" t="s">
        <v>1</v>
      </c>
    </row>
    <row r="3598" customFormat="false" ht="12.8" hidden="false" customHeight="false" outlineLevel="0" collapsed="false">
      <c r="B3598" s="0" t="s">
        <v>2096</v>
      </c>
    </row>
    <row r="3600" customFormat="false" ht="12.8" hidden="false" customHeight="false" outlineLevel="0" collapsed="false">
      <c r="A3600" s="0" t="s">
        <v>2097</v>
      </c>
      <c r="B3600" s="0" t="str">
        <f aca="false">HYPERLINK("https://lindat.mff.cuni.cz/services/teitok/pdtc10/index.php?action=vallex&amp;frame=v-w513f1", "dobudovat (v-w513f1)")</f>
        <v>dobudovat (v-w513f1)</v>
      </c>
    </row>
    <row r="3601" customFormat="false" ht="12.8" hidden="false" customHeight="false" outlineLevel="0" collapsed="false">
      <c r="B3601" s="0" t="s">
        <v>1</v>
      </c>
    </row>
    <row r="3602" customFormat="false" ht="12.8" hidden="false" customHeight="false" outlineLevel="0" collapsed="false">
      <c r="B3602" s="0" t="s">
        <v>8</v>
      </c>
    </row>
    <row r="3603" customFormat="false" ht="12.8" hidden="false" customHeight="false" outlineLevel="0" collapsed="false">
      <c r="B3603" s="0" t="s">
        <v>36</v>
      </c>
    </row>
    <row r="3605" customFormat="false" ht="12.8" hidden="false" customHeight="false" outlineLevel="0" collapsed="false">
      <c r="A3605" s="0" t="s">
        <v>2098</v>
      </c>
      <c r="B3605" s="0" t="str">
        <f aca="false">HYPERLINK("https://lindat.mff.cuni.cz/services/teitok/pdtc10/index.php?action=vallex&amp;frame=v-whsa_1962hsa_1963", "dobíjet (v-whsa_1962hsa_1963)")</f>
        <v>dobíjet (v-whsa_1962hsa_1963)</v>
      </c>
    </row>
    <row r="3606" customFormat="false" ht="12.8" hidden="false" customHeight="false" outlineLevel="0" collapsed="false">
      <c r="B3606" s="0" t="s">
        <v>1</v>
      </c>
    </row>
    <row r="3607" customFormat="false" ht="12.8" hidden="false" customHeight="false" outlineLevel="0" collapsed="false">
      <c r="B3607" s="0" t="s">
        <v>2099</v>
      </c>
    </row>
    <row r="3609" customFormat="false" ht="12.8" hidden="false" customHeight="false" outlineLevel="0" collapsed="false">
      <c r="A3609" s="0" t="s">
        <v>2100</v>
      </c>
      <c r="B3609" s="0" t="str">
        <f aca="false">HYPERLINK("https://lindat.mff.cuni.cz/services/teitok/pdtc10/index.php?action=vallex&amp;frame=v-w508f1", "dobírat si (v-w508f1)")</f>
        <v>dobírat si (v-w508f1)</v>
      </c>
    </row>
    <row r="3610" customFormat="false" ht="12.8" hidden="false" customHeight="false" outlineLevel="0" collapsed="false">
      <c r="B3610" s="0" t="s">
        <v>1</v>
      </c>
    </row>
    <row r="3611" customFormat="false" ht="12.8" hidden="false" customHeight="false" outlineLevel="0" collapsed="false">
      <c r="B3611" s="0" t="s">
        <v>8</v>
      </c>
    </row>
    <row r="3613" customFormat="false" ht="12.8" hidden="false" customHeight="false" outlineLevel="0" collapsed="false">
      <c r="A3613" s="0" t="s">
        <v>2101</v>
      </c>
      <c r="B3613" s="0" t="str">
        <f aca="false">HYPERLINK("https://lindat.mff.cuni.cz/services/teitok/pdtc10/index.php?action=vallex&amp;frame=v-whsa_1253hsa_1254", "dobít (v-whsa_1253hsa_1254)")</f>
        <v>dobít (v-whsa_1253hsa_1254)</v>
      </c>
    </row>
    <row r="3614" customFormat="false" ht="12.8" hidden="false" customHeight="false" outlineLevel="0" collapsed="false">
      <c r="B3614" s="0" t="s">
        <v>1</v>
      </c>
    </row>
    <row r="3615" customFormat="false" ht="12.8" hidden="false" customHeight="false" outlineLevel="0" collapsed="false">
      <c r="B3615" s="0" t="s">
        <v>8</v>
      </c>
    </row>
    <row r="3617" customFormat="false" ht="12.8" hidden="false" customHeight="false" outlineLevel="0" collapsed="false">
      <c r="A3617" s="0" t="s">
        <v>2102</v>
      </c>
      <c r="B3617" s="0" t="str">
        <f aca="false">HYPERLINK("https://lindat.mff.cuni.cz/services/teitok/pdtc10/index.php?action=vallex&amp;frame=v-w514f2_ZU", "dobýt (v-w514f2_ZU)")</f>
        <v>dobýt (v-w514f2_ZU)</v>
      </c>
    </row>
    <row r="3618" customFormat="false" ht="12.8" hidden="false" customHeight="false" outlineLevel="0" collapsed="false">
      <c r="B3618" s="0" t="s">
        <v>1</v>
      </c>
    </row>
    <row r="3619" customFormat="false" ht="12.8" hidden="false" customHeight="false" outlineLevel="0" collapsed="false">
      <c r="B3619" s="0" t="s">
        <v>8</v>
      </c>
    </row>
    <row r="3620" customFormat="false" ht="12.8" hidden="false" customHeight="false" outlineLevel="0" collapsed="false">
      <c r="B3620" s="0" t="s">
        <v>602</v>
      </c>
    </row>
    <row r="3622" customFormat="false" ht="12.8" hidden="false" customHeight="false" outlineLevel="0" collapsed="false">
      <c r="A3622" s="0" t="s">
        <v>2102</v>
      </c>
      <c r="B3622" s="0" t="str">
        <f aca="false">HYPERLINK("https://lindat.mff.cuni.cz/services/teitok/pdtc10/index.php?action=vallex&amp;frame=v-w514f1", "dobýt (v-w514f1) - substituted with v-w514f2_ZU")</f>
        <v>dobýt (v-w514f1) - substituted with v-w514f2_ZU</v>
      </c>
      <c r="E3622" s="0" t="str">
        <f aca="false">HYPERLINK("https://lindat.mff.cuni.cz/services/SynSemClass40/SynSemClass40.html?veclass=vec00646#vec00646-ces-cm00119", "vec00646")</f>
        <v>vec00646</v>
      </c>
      <c r="F3622" s="0" t="s">
        <v>2103</v>
      </c>
      <c r="H3622" s="0" t="str">
        <f aca="false">HYPERLINK("https://lindat.mff.cuni.cz/services/SynSemClass40/SynSemClass40.html?veclass=vec00956#vec00956-ces-cm00004", "vec00956")</f>
        <v>vec00956</v>
      </c>
      <c r="I3622" s="0" t="s">
        <v>2104</v>
      </c>
    </row>
    <row r="3623" customFormat="false" ht="12.8" hidden="false" customHeight="false" outlineLevel="0" collapsed="false">
      <c r="B3623" s="0" t="s">
        <v>1</v>
      </c>
      <c r="C3623" s="0" t="s">
        <v>1295</v>
      </c>
      <c r="E3623" s="0" t="s">
        <v>206</v>
      </c>
      <c r="F3623" s="0" t="s">
        <v>2105</v>
      </c>
      <c r="H3623" s="0" t="s">
        <v>2106</v>
      </c>
      <c r="I3623" s="0" t="s">
        <v>2107</v>
      </c>
    </row>
    <row r="3624" customFormat="false" ht="12.8" hidden="false" customHeight="false" outlineLevel="0" collapsed="false">
      <c r="B3624" s="0" t="s">
        <v>8</v>
      </c>
      <c r="C3624" s="0" t="s">
        <v>2108</v>
      </c>
      <c r="E3624" s="0" t="s">
        <v>2109</v>
      </c>
      <c r="F3624" s="0" t="s">
        <v>2110</v>
      </c>
      <c r="H3624" s="0" t="s">
        <v>2111</v>
      </c>
      <c r="I3624" s="0" t="s">
        <v>2112</v>
      </c>
    </row>
    <row r="3625" customFormat="false" ht="12.8" hidden="false" customHeight="false" outlineLevel="0" collapsed="false">
      <c r="B3625" s="0" t="s">
        <v>602</v>
      </c>
    </row>
    <row r="3627" customFormat="false" ht="12.8" hidden="false" customHeight="false" outlineLevel="0" collapsed="false">
      <c r="A3627" s="0" t="s">
        <v>2113</v>
      </c>
      <c r="B3627" s="0" t="str">
        <f aca="false">HYPERLINK("https://lindat.mff.cuni.cz/services/teitok/pdtc10/index.php?action=vallex&amp;frame=v-w518f1", "dobývat (v-w518f1)")</f>
        <v>dobývat (v-w518f1)</v>
      </c>
      <c r="E3627" s="0" t="str">
        <f aca="false">HYPERLINK("https://lindat.mff.cuni.cz/services/SynSemClass40/SynSemClass40.html?veclass=vec00646#vec00646-ces-cm00120", "vec00646")</f>
        <v>vec00646</v>
      </c>
      <c r="F3627" s="0" t="s">
        <v>2103</v>
      </c>
    </row>
    <row r="3628" customFormat="false" ht="12.8" hidden="false" customHeight="false" outlineLevel="0" collapsed="false">
      <c r="B3628" s="0" t="s">
        <v>1</v>
      </c>
      <c r="C3628" s="0" t="s">
        <v>2114</v>
      </c>
      <c r="E3628" s="0" t="s">
        <v>206</v>
      </c>
      <c r="F3628" s="0" t="s">
        <v>2105</v>
      </c>
    </row>
    <row r="3629" customFormat="false" ht="12.8" hidden="false" customHeight="false" outlineLevel="0" collapsed="false">
      <c r="B3629" s="0" t="s">
        <v>8</v>
      </c>
      <c r="C3629" s="0" t="s">
        <v>2115</v>
      </c>
      <c r="E3629" s="0" t="s">
        <v>2109</v>
      </c>
      <c r="F3629" s="0" t="s">
        <v>2110</v>
      </c>
    </row>
    <row r="3631" customFormat="false" ht="12.8" hidden="false" customHeight="false" outlineLevel="0" collapsed="false">
      <c r="A3631" s="0" t="s">
        <v>2116</v>
      </c>
      <c r="B3631" s="0" t="str">
        <f aca="false">HYPERLINK("https://lindat.mff.cuni.cz/services/teitok/pdtc10/index.php?action=vallex&amp;frame=v-w519f1", "dobývat se (v-w519f1)")</f>
        <v>dobývat se (v-w519f1)</v>
      </c>
    </row>
    <row r="3632" customFormat="false" ht="12.8" hidden="false" customHeight="false" outlineLevel="0" collapsed="false">
      <c r="B3632" s="0" t="s">
        <v>1</v>
      </c>
    </row>
    <row r="3633" customFormat="false" ht="12.8" hidden="false" customHeight="false" outlineLevel="0" collapsed="false">
      <c r="B3633" s="0" t="s">
        <v>164</v>
      </c>
    </row>
    <row r="3635" customFormat="false" ht="12.8" hidden="false" customHeight="false" outlineLevel="0" collapsed="false">
      <c r="A3635" s="0" t="s">
        <v>2117</v>
      </c>
      <c r="B3635" s="0" t="str">
        <f aca="false">HYPERLINK("https://lindat.mff.cuni.cz/services/teitok/pdtc10/index.php?action=vallex&amp;frame=v-w506f2", "doběhnout (v-w506f2)")</f>
        <v>doběhnout (v-w506f2)</v>
      </c>
    </row>
    <row r="3636" customFormat="false" ht="12.8" hidden="false" customHeight="false" outlineLevel="0" collapsed="false">
      <c r="B3636" s="0" t="s">
        <v>1</v>
      </c>
    </row>
    <row r="3637" customFormat="false" ht="12.8" hidden="false" customHeight="false" outlineLevel="0" collapsed="false">
      <c r="B3637" s="0" t="s">
        <v>8</v>
      </c>
    </row>
    <row r="3639" customFormat="false" ht="12.8" hidden="false" customHeight="false" outlineLevel="0" collapsed="false">
      <c r="A3639" s="0" t="s">
        <v>2118</v>
      </c>
      <c r="B3639" s="0" t="str">
        <f aca="false">HYPERLINK("https://lindat.mff.cuni.cz/services/teitok/pdtc10/index.php?action=vallex&amp;frame=v-w506f4", "doběhnout (v-w506f4)")</f>
        <v>doběhnout (v-w506f4)</v>
      </c>
    </row>
    <row r="3640" customFormat="false" ht="12.8" hidden="false" customHeight="false" outlineLevel="0" collapsed="false">
      <c r="B3640" s="0" t="s">
        <v>1</v>
      </c>
    </row>
    <row r="3641" customFormat="false" ht="12.8" hidden="false" customHeight="false" outlineLevel="0" collapsed="false">
      <c r="B3641" s="0" t="s">
        <v>2119</v>
      </c>
    </row>
    <row r="3643" customFormat="false" ht="12.8" hidden="false" customHeight="false" outlineLevel="0" collapsed="false">
      <c r="A3643" s="0" t="s">
        <v>2120</v>
      </c>
      <c r="B3643" s="0" t="str">
        <f aca="false">HYPERLINK("https://lindat.mff.cuni.cz/services/teitok/pdtc10/index.php?action=vallex&amp;frame=v-w506f3", "doběhnout (v-w506f3)")</f>
        <v>doběhnout (v-w506f3)</v>
      </c>
    </row>
    <row r="3644" customFormat="false" ht="12.8" hidden="false" customHeight="false" outlineLevel="0" collapsed="false">
      <c r="B3644" s="0" t="s">
        <v>1</v>
      </c>
    </row>
    <row r="3645" customFormat="false" ht="12.8" hidden="false" customHeight="false" outlineLevel="0" collapsed="false">
      <c r="B3645" s="0" t="s">
        <v>164</v>
      </c>
    </row>
    <row r="3647" customFormat="false" ht="12.8" hidden="false" customHeight="false" outlineLevel="0" collapsed="false">
      <c r="A3647" s="0" t="s">
        <v>2120</v>
      </c>
      <c r="B3647" s="0" t="str">
        <f aca="false">HYPERLINK("https://lindat.mff.cuni.cz/services/teitok/pdtc10/index.php?action=vallex&amp;frame=v-w506f1", "doběhnout (v-w506f1) - substituted with v-w506f3")</f>
        <v>doběhnout (v-w506f1) - substituted with v-w506f3</v>
      </c>
    </row>
    <row r="3648" customFormat="false" ht="12.8" hidden="false" customHeight="false" outlineLevel="0" collapsed="false">
      <c r="B3648" s="0" t="s">
        <v>1</v>
      </c>
    </row>
    <row r="3649" customFormat="false" ht="12.8" hidden="false" customHeight="false" outlineLevel="0" collapsed="false">
      <c r="B3649" s="0" t="s">
        <v>164</v>
      </c>
    </row>
    <row r="3651" customFormat="false" ht="12.8" hidden="false" customHeight="false" outlineLevel="0" collapsed="false">
      <c r="A3651" s="0" t="s">
        <v>2121</v>
      </c>
      <c r="B3651" s="0" t="str">
        <f aca="false">HYPERLINK("https://lindat.mff.cuni.cz/services/teitok/pdtc10/index.php?action=vallex&amp;frame=v-w506f5", "doběhnout (v-w506f5)")</f>
        <v>doběhnout (v-w506f5)</v>
      </c>
      <c r="E3651" s="0" t="str">
        <f aca="false">HYPERLINK("https://lindat.mff.cuni.cz/services/SynSemClass40/SynSemClass40.html?veclass=vec00113#vec00113-ces-cm00344", "vec00113")</f>
        <v>vec00113</v>
      </c>
      <c r="F3651" s="0" t="s">
        <v>2122</v>
      </c>
      <c r="H3651" s="0" t="str">
        <f aca="false">HYPERLINK("https://lindat.mff.cuni.cz/services/SynSemClass40/SynSemClass40.html?veclass=vec00261#vec00261-ces-cm00068", "vec00261")</f>
        <v>vec00261</v>
      </c>
      <c r="I3651" s="0" t="s">
        <v>1318</v>
      </c>
    </row>
    <row r="3652" customFormat="false" ht="12.8" hidden="false" customHeight="false" outlineLevel="0" collapsed="false">
      <c r="B3652" s="0" t="s">
        <v>1</v>
      </c>
      <c r="C3652" s="0" t="s">
        <v>2123</v>
      </c>
      <c r="E3652" s="0" t="s">
        <v>1084</v>
      </c>
      <c r="F3652" s="0" t="s">
        <v>2124</v>
      </c>
      <c r="H3652" s="0" t="s">
        <v>375</v>
      </c>
      <c r="I3652" s="0" t="s">
        <v>1320</v>
      </c>
    </row>
    <row r="3654" customFormat="false" ht="12.8" hidden="false" customHeight="false" outlineLevel="0" collapsed="false">
      <c r="A3654" s="0" t="s">
        <v>2125</v>
      </c>
      <c r="B3654" s="0" t="str">
        <f aca="false">HYPERLINK("https://lindat.mff.cuni.cz/services/teitok/pdtc10/index.php?action=vallex&amp;frame=v-w521f2_ZU", "docenit (v-w521f2_ZU)")</f>
        <v>docenit (v-w521f2_ZU)</v>
      </c>
    </row>
    <row r="3655" customFormat="false" ht="12.8" hidden="false" customHeight="false" outlineLevel="0" collapsed="false">
      <c r="B3655" s="0" t="s">
        <v>1</v>
      </c>
    </row>
    <row r="3656" customFormat="false" ht="12.8" hidden="false" customHeight="false" outlineLevel="0" collapsed="false">
      <c r="B3656" s="0" t="s">
        <v>2126</v>
      </c>
    </row>
    <row r="3658" customFormat="false" ht="12.8" hidden="false" customHeight="false" outlineLevel="0" collapsed="false">
      <c r="A3658" s="0" t="s">
        <v>2125</v>
      </c>
      <c r="B3658" s="0" t="str">
        <f aca="false">HYPERLINK("https://lindat.mff.cuni.cz/services/teitok/pdtc10/index.php?action=vallex&amp;frame=v-w521f1", "docenit (v-w521f1) - substituted with v-w521f2_ZU")</f>
        <v>docenit (v-w521f1) - substituted with v-w521f2_ZU</v>
      </c>
    </row>
    <row r="3659" customFormat="false" ht="12.8" hidden="false" customHeight="false" outlineLevel="0" collapsed="false">
      <c r="B3659" s="0" t="s">
        <v>1</v>
      </c>
    </row>
    <row r="3660" customFormat="false" ht="12.8" hidden="false" customHeight="false" outlineLevel="0" collapsed="false">
      <c r="B3660" s="0" t="s">
        <v>2126</v>
      </c>
    </row>
    <row r="3662" customFormat="false" ht="12.8" hidden="false" customHeight="false" outlineLevel="0" collapsed="false">
      <c r="A3662" s="0" t="s">
        <v>2125</v>
      </c>
      <c r="B3662" s="0" t="str">
        <f aca="false">HYPERLINK("https://lindat.mff.cuni.cz/services/teitok/pdtc10/index.php?action=vallex&amp;frame=v-w521hsa_187", "docenit (v-w521hsa_187) - substituted with v-w521f2_ZU")</f>
        <v>docenit (v-w521hsa_187) - substituted with v-w521f2_ZU</v>
      </c>
    </row>
    <row r="3663" customFormat="false" ht="12.8" hidden="false" customHeight="false" outlineLevel="0" collapsed="false">
      <c r="B3663" s="0" t="s">
        <v>1</v>
      </c>
    </row>
    <row r="3664" customFormat="false" ht="12.8" hidden="false" customHeight="false" outlineLevel="0" collapsed="false">
      <c r="B3664" s="0" t="s">
        <v>2126</v>
      </c>
    </row>
    <row r="3666" customFormat="false" ht="12.8" hidden="false" customHeight="false" outlineLevel="0" collapsed="false">
      <c r="A3666" s="0" t="s">
        <v>2127</v>
      </c>
      <c r="B3666" s="0" t="str">
        <f aca="false">HYPERLINK("https://lindat.mff.cuni.cz/services/teitok/pdtc10/index.php?action=vallex&amp;frame=v-w522f1", "doceňovat (v-w522f1)")</f>
        <v>doceňovat (v-w522f1)</v>
      </c>
    </row>
    <row r="3667" customFormat="false" ht="12.8" hidden="false" customHeight="false" outlineLevel="0" collapsed="false">
      <c r="B3667" s="0" t="s">
        <v>1</v>
      </c>
    </row>
    <row r="3668" customFormat="false" ht="12.8" hidden="false" customHeight="false" outlineLevel="0" collapsed="false">
      <c r="B3668" s="0" t="s">
        <v>2128</v>
      </c>
    </row>
    <row r="3670" customFormat="false" ht="12.8" hidden="false" customHeight="false" outlineLevel="0" collapsed="false">
      <c r="A3670" s="0" t="s">
        <v>2129</v>
      </c>
      <c r="B3670" s="0" t="str">
        <f aca="false">HYPERLINK("https://lindat.mff.cuni.cz/services/teitok/pdtc10/index.php?action=vallex&amp;frame=v-whsb_396hsa_397", "dochodit (v-whsb_396hsa_397)")</f>
        <v>dochodit (v-whsb_396hsa_397)</v>
      </c>
    </row>
    <row r="3671" customFormat="false" ht="12.8" hidden="false" customHeight="false" outlineLevel="0" collapsed="false">
      <c r="B3671" s="0" t="s">
        <v>1</v>
      </c>
    </row>
    <row r="3672" customFormat="false" ht="12.8" hidden="false" customHeight="false" outlineLevel="0" collapsed="false">
      <c r="B3672" s="0" t="s">
        <v>8</v>
      </c>
    </row>
    <row r="3674" customFormat="false" ht="12.8" hidden="false" customHeight="false" outlineLevel="0" collapsed="false">
      <c r="A3674" s="0" t="s">
        <v>2130</v>
      </c>
      <c r="B3674" s="0" t="str">
        <f aca="false">HYPERLINK("https://lindat.mff.cuni.cz/services/teitok/pdtc10/index.php?action=vallex&amp;frame=v-w11816_ZUf1_ZU", "dochovat (v-w11816_ZUf1_ZU)")</f>
        <v>dochovat (v-w11816_ZUf1_ZU)</v>
      </c>
    </row>
    <row r="3675" customFormat="false" ht="12.8" hidden="false" customHeight="false" outlineLevel="0" collapsed="false">
      <c r="B3675" s="0" t="s">
        <v>1</v>
      </c>
    </row>
    <row r="3676" customFormat="false" ht="12.8" hidden="false" customHeight="false" outlineLevel="0" collapsed="false">
      <c r="B3676" s="0" t="s">
        <v>8</v>
      </c>
    </row>
    <row r="3678" customFormat="false" ht="12.8" hidden="false" customHeight="false" outlineLevel="0" collapsed="false">
      <c r="A3678" s="0" t="s">
        <v>2131</v>
      </c>
      <c r="B3678" s="0" t="str">
        <f aca="false">HYPERLINK("https://lindat.mff.cuni.cz/services/teitok/pdtc10/index.php?action=vallex&amp;frame=v-w570f1", "dochovat se (v-w570f1)")</f>
        <v>dochovat se (v-w570f1)</v>
      </c>
    </row>
    <row r="3679" customFormat="false" ht="12.8" hidden="false" customHeight="false" outlineLevel="0" collapsed="false">
      <c r="B3679" s="0" t="s">
        <v>1</v>
      </c>
    </row>
    <row r="3681" customFormat="false" ht="12.8" hidden="false" customHeight="false" outlineLevel="0" collapsed="false">
      <c r="A3681" s="0" t="s">
        <v>2132</v>
      </c>
      <c r="B3681" s="0" t="str">
        <f aca="false">HYPERLINK("https://lindat.mff.cuni.cz/services/teitok/pdtc10/index.php?action=vallex&amp;frame=v-w571f1", "dochytat (v-w571f1)")</f>
        <v>dochytat (v-w571f1)</v>
      </c>
    </row>
    <row r="3682" customFormat="false" ht="12.8" hidden="false" customHeight="false" outlineLevel="0" collapsed="false">
      <c r="B3682" s="0" t="s">
        <v>1</v>
      </c>
    </row>
    <row r="3683" customFormat="false" ht="12.8" hidden="false" customHeight="false" outlineLevel="0" collapsed="false">
      <c r="B3683" s="0" t="s">
        <v>8</v>
      </c>
    </row>
    <row r="3685" customFormat="false" ht="12.8" hidden="false" customHeight="false" outlineLevel="0" collapsed="false">
      <c r="A3685" s="0" t="s">
        <v>2133</v>
      </c>
      <c r="B3685" s="0" t="str">
        <f aca="false">HYPERLINK("https://lindat.mff.cuni.cz/services/teitok/pdtc10/index.php?action=vallex&amp;frame=v-w568f11_ZU", "docházet (v-w568f11_ZU)")</f>
        <v>docházet (v-w568f11_ZU)</v>
      </c>
    </row>
    <row r="3686" customFormat="false" ht="12.8" hidden="false" customHeight="false" outlineLevel="0" collapsed="false">
      <c r="B3686" s="0" t="s">
        <v>1</v>
      </c>
    </row>
    <row r="3687" customFormat="false" ht="12.8" hidden="false" customHeight="false" outlineLevel="0" collapsed="false">
      <c r="B3687" s="0" t="s">
        <v>186</v>
      </c>
    </row>
    <row r="3689" customFormat="false" ht="12.8" hidden="false" customHeight="false" outlineLevel="0" collapsed="false">
      <c r="A3689" s="0" t="s">
        <v>2133</v>
      </c>
      <c r="B3689" s="0" t="str">
        <f aca="false">HYPERLINK("https://lindat.mff.cuni.cz/services/teitok/pdtc10/index.php?action=vallex&amp;frame=v-w568f10_ZU", "docházet (v-w568f10_ZU) - substituted with v-w568f11_ZU")</f>
        <v>docházet (v-w568f10_ZU) - substituted with v-w568f11_ZU</v>
      </c>
    </row>
    <row r="3690" customFormat="false" ht="12.8" hidden="false" customHeight="false" outlineLevel="0" collapsed="false">
      <c r="B3690" s="0" t="s">
        <v>1</v>
      </c>
    </row>
    <row r="3691" customFormat="false" ht="12.8" hidden="false" customHeight="false" outlineLevel="0" collapsed="false">
      <c r="B3691" s="0" t="s">
        <v>186</v>
      </c>
    </row>
    <row r="3693" customFormat="false" ht="12.8" hidden="false" customHeight="false" outlineLevel="0" collapsed="false">
      <c r="A3693" s="0" t="s">
        <v>2133</v>
      </c>
      <c r="B3693" s="0" t="str">
        <f aca="false">HYPERLINK("https://lindat.mff.cuni.cz/services/teitok/pdtc10/index.php?action=vallex&amp;frame=v-w568f4", "docházet (v-w568f4) - substituted with v-w568f11_ZU")</f>
        <v>docházet (v-w568f4) - substituted with v-w568f11_ZU</v>
      </c>
    </row>
    <row r="3694" customFormat="false" ht="12.8" hidden="false" customHeight="false" outlineLevel="0" collapsed="false">
      <c r="B3694" s="0" t="s">
        <v>1</v>
      </c>
    </row>
    <row r="3695" customFormat="false" ht="12.8" hidden="false" customHeight="false" outlineLevel="0" collapsed="false">
      <c r="B3695" s="0" t="s">
        <v>186</v>
      </c>
    </row>
    <row r="3697" customFormat="false" ht="12.8" hidden="false" customHeight="false" outlineLevel="0" collapsed="false">
      <c r="A3697" s="0" t="s">
        <v>2134</v>
      </c>
      <c r="B3697" s="0" t="str">
        <f aca="false">HYPERLINK("https://lindat.mff.cuni.cz/services/teitok/pdtc10/index.php?action=vallex&amp;frame=v-w568f3", "docházet (v-w568f3)")</f>
        <v>docházet (v-w568f3)</v>
      </c>
      <c r="E3697" s="0" t="str">
        <f aca="false">HYPERLINK("https://lindat.mff.cuni.cz/services/SynSemClass40/SynSemClass40.html?veclass=vec00217#vec00217-ces-cm00031", "vec00217")</f>
        <v>vec00217</v>
      </c>
      <c r="F3697" s="0" t="s">
        <v>2135</v>
      </c>
    </row>
    <row r="3698" customFormat="false" ht="12.8" hidden="false" customHeight="false" outlineLevel="0" collapsed="false">
      <c r="B3698" s="0" t="s">
        <v>1</v>
      </c>
      <c r="C3698" s="0" t="s">
        <v>2136</v>
      </c>
      <c r="E3698" s="0" t="s">
        <v>621</v>
      </c>
      <c r="F3698" s="0" t="s">
        <v>2137</v>
      </c>
    </row>
    <row r="3699" customFormat="false" ht="12.8" hidden="false" customHeight="false" outlineLevel="0" collapsed="false">
      <c r="B3699" s="0" t="s">
        <v>311</v>
      </c>
      <c r="C3699" s="0" t="s">
        <v>1892</v>
      </c>
      <c r="E3699" s="0" t="s">
        <v>2138</v>
      </c>
      <c r="F3699" s="0" t="s">
        <v>2139</v>
      </c>
    </row>
    <row r="3701" customFormat="false" ht="12.8" hidden="false" customHeight="false" outlineLevel="0" collapsed="false">
      <c r="A3701" s="0" t="s">
        <v>2140</v>
      </c>
      <c r="B3701" s="0" t="str">
        <f aca="false">HYPERLINK("https://lindat.mff.cuni.cz/services/teitok/pdtc10/index.php?action=vallex&amp;frame=v-w568f6", "docházet (v-w568f6)")</f>
        <v>docházet (v-w568f6)</v>
      </c>
    </row>
    <row r="3702" customFormat="false" ht="12.8" hidden="false" customHeight="false" outlineLevel="0" collapsed="false">
      <c r="B3702" s="0" t="s">
        <v>804</v>
      </c>
    </row>
    <row r="3703" customFormat="false" ht="12.8" hidden="false" customHeight="false" outlineLevel="0" collapsed="false">
      <c r="B3703" s="0" t="s">
        <v>2141</v>
      </c>
    </row>
    <row r="3705" customFormat="false" ht="12.8" hidden="false" customHeight="false" outlineLevel="0" collapsed="false">
      <c r="A3705" s="0" t="s">
        <v>2142</v>
      </c>
      <c r="B3705" s="0" t="str">
        <f aca="false">HYPERLINK("https://lindat.mff.cuni.cz/services/teitok/pdtc10/index.php?action=vallex&amp;frame=v-w568f2", "docházet (v-w568f2)")</f>
        <v>docházet (v-w568f2)</v>
      </c>
      <c r="E3705" s="0" t="str">
        <f aca="false">HYPERLINK("https://lindat.mff.cuni.cz/services/SynSemClass40/SynSemClass40.html?veclass=vec00218#vec00218-ces-cm00211", "vec00218")</f>
        <v>vec00218</v>
      </c>
      <c r="F3705" s="0" t="s">
        <v>2143</v>
      </c>
    </row>
    <row r="3706" customFormat="false" ht="12.8" hidden="false" customHeight="false" outlineLevel="0" collapsed="false">
      <c r="B3706" s="0" t="s">
        <v>1</v>
      </c>
      <c r="C3706" s="0" t="s">
        <v>2144</v>
      </c>
      <c r="E3706" s="0" t="s">
        <v>11</v>
      </c>
      <c r="F3706" s="0" t="s">
        <v>2145</v>
      </c>
    </row>
    <row r="3707" customFormat="false" ht="12.8" hidden="false" customHeight="false" outlineLevel="0" collapsed="false">
      <c r="B3707" s="0" t="s">
        <v>164</v>
      </c>
      <c r="C3707" s="0" t="s">
        <v>2146</v>
      </c>
      <c r="E3707" s="0" t="s">
        <v>370</v>
      </c>
      <c r="F3707" s="0" t="s">
        <v>2147</v>
      </c>
    </row>
    <row r="3709" customFormat="false" ht="12.8" hidden="false" customHeight="false" outlineLevel="0" collapsed="false">
      <c r="A3709" s="0" t="s">
        <v>2148</v>
      </c>
      <c r="B3709" s="0" t="str">
        <f aca="false">HYPERLINK("https://lindat.mff.cuni.cz/services/teitok/pdtc10/index.php?action=vallex&amp;frame=v-w568f12_ZU", "docházet (v-w568f12_ZU)")</f>
        <v>docházet (v-w568f12_ZU)</v>
      </c>
    </row>
    <row r="3710" customFormat="false" ht="12.8" hidden="false" customHeight="false" outlineLevel="0" collapsed="false">
      <c r="B3710" s="0" t="s">
        <v>1</v>
      </c>
    </row>
    <row r="3711" customFormat="false" ht="12.8" hidden="false" customHeight="false" outlineLevel="0" collapsed="false">
      <c r="B3711" s="0" t="s">
        <v>164</v>
      </c>
    </row>
    <row r="3713" customFormat="false" ht="12.8" hidden="false" customHeight="false" outlineLevel="0" collapsed="false">
      <c r="A3713" s="0" t="s">
        <v>2148</v>
      </c>
      <c r="B3713" s="0" t="str">
        <f aca="false">HYPERLINK("https://lindat.mff.cuni.cz/services/teitok/pdtc10/index.php?action=vallex&amp;frame=v-w568f5", "docházet (v-w568f5) - substituted with v-w568f12_ZU")</f>
        <v>docházet (v-w568f5) - substituted with v-w568f12_ZU</v>
      </c>
      <c r="E3713" s="0" t="str">
        <f aca="false">HYPERLINK("https://lindat.mff.cuni.cz/services/SynSemClass40/SynSemClass40.html?veclass=vec00218#vec00218-ces-cm00212", "vec00218")</f>
        <v>vec00218</v>
      </c>
      <c r="F3713" s="0" t="s">
        <v>2143</v>
      </c>
    </row>
    <row r="3714" customFormat="false" ht="12.8" hidden="false" customHeight="false" outlineLevel="0" collapsed="false">
      <c r="B3714" s="0" t="s">
        <v>1</v>
      </c>
      <c r="C3714" s="0" t="s">
        <v>2144</v>
      </c>
      <c r="E3714" s="0" t="s">
        <v>11</v>
      </c>
      <c r="F3714" s="0" t="s">
        <v>2145</v>
      </c>
    </row>
    <row r="3715" customFormat="false" ht="12.8" hidden="false" customHeight="false" outlineLevel="0" collapsed="false">
      <c r="B3715" s="0" t="s">
        <v>164</v>
      </c>
      <c r="C3715" s="0" t="s">
        <v>2146</v>
      </c>
      <c r="E3715" s="0" t="s">
        <v>370</v>
      </c>
      <c r="F3715" s="0" t="s">
        <v>2147</v>
      </c>
    </row>
    <row r="3717" customFormat="false" ht="12.8" hidden="false" customHeight="false" outlineLevel="0" collapsed="false">
      <c r="A3717" s="0" t="s">
        <v>2149</v>
      </c>
      <c r="B3717" s="0" t="str">
        <f aca="false">HYPERLINK("https://lindat.mff.cuni.cz/services/teitok/pdtc10/index.php?action=vallex&amp;frame=v-w568f7", "docházet (v-w568f7)")</f>
        <v>docházet (v-w568f7)</v>
      </c>
      <c r="E3717" s="0" t="str">
        <f aca="false">HYPERLINK("https://lindat.mff.cuni.cz/services/SynSemClass40/SynSemClass40.html?veclass=vec00810#vec00810-ces-cm00002", "vec00810")</f>
        <v>vec00810</v>
      </c>
      <c r="F3717" s="0" t="s">
        <v>2150</v>
      </c>
    </row>
    <row r="3718" customFormat="false" ht="12.8" hidden="false" customHeight="false" outlineLevel="0" collapsed="false">
      <c r="B3718" s="0" t="s">
        <v>1</v>
      </c>
      <c r="C3718" s="0" t="s">
        <v>2087</v>
      </c>
      <c r="E3718" s="0" t="s">
        <v>2151</v>
      </c>
      <c r="F3718" s="0" t="s">
        <v>2152</v>
      </c>
    </row>
    <row r="3720" customFormat="false" ht="12.8" hidden="false" customHeight="false" outlineLevel="0" collapsed="false">
      <c r="A3720" s="0" t="s">
        <v>2153</v>
      </c>
      <c r="B3720" s="0" t="str">
        <f aca="false">HYPERLINK("https://lindat.mff.cuni.cz/services/teitok/pdtc10/index.php?action=vallex&amp;frame=v-w568f9", "docházet (v-w568f9)")</f>
        <v>docházet (v-w568f9)</v>
      </c>
    </row>
    <row r="3721" customFormat="false" ht="12.8" hidden="false" customHeight="false" outlineLevel="0" collapsed="false">
      <c r="B3721" s="0" t="s">
        <v>1</v>
      </c>
    </row>
    <row r="3723" customFormat="false" ht="12.8" hidden="false" customHeight="false" outlineLevel="0" collapsed="false">
      <c r="A3723" s="0" t="s">
        <v>2154</v>
      </c>
      <c r="B3723" s="0" t="str">
        <f aca="false">HYPERLINK("https://lindat.mff.cuni.cz/services/teitok/pdtc10/index.php?action=vallex&amp;frame=v-w568f1", "docházet (v-w568f1)")</f>
        <v>docházet (v-w568f1)</v>
      </c>
      <c r="E3723" s="0" t="str">
        <f aca="false">HYPERLINK("https://lindat.mff.cuni.cz/services/SynSemClass40/SynSemClass40.html?veclass=vec00018#vec00018-ces-cm00004", "vec00018")</f>
        <v>vec00018</v>
      </c>
      <c r="F3723" s="0" t="s">
        <v>2155</v>
      </c>
    </row>
    <row r="3724" customFormat="false" ht="12.8" hidden="false" customHeight="false" outlineLevel="0" collapsed="false">
      <c r="B3724" s="0" t="s">
        <v>2156</v>
      </c>
      <c r="C3724" s="0" t="s">
        <v>2157</v>
      </c>
      <c r="E3724" s="0" t="s">
        <v>2158</v>
      </c>
      <c r="F3724" s="0" t="s">
        <v>2159</v>
      </c>
    </row>
    <row r="3726" customFormat="false" ht="12.8" hidden="false" customHeight="false" outlineLevel="0" collapsed="false">
      <c r="A3726" s="0" t="s">
        <v>2160</v>
      </c>
      <c r="B3726" s="0" t="str">
        <f aca="false">HYPERLINK("https://lindat.mff.cuni.cz/services/teitok/pdtc10/index.php?action=vallex&amp;frame=v-w568f8", "docházet (v-w568f8)")</f>
        <v>docházet (v-w568f8)</v>
      </c>
      <c r="E3726" s="0" t="str">
        <f aca="false">HYPERLINK("https://lindat.mff.cuni.cz/services/SynSemClass40/SynSemClass40.html?veclass=vec00097#vec00097-ces-cm00180", "vec00097")</f>
        <v>vec00097</v>
      </c>
      <c r="F3726" s="0" t="s">
        <v>373</v>
      </c>
    </row>
    <row r="3727" customFormat="false" ht="12.8" hidden="false" customHeight="false" outlineLevel="0" collapsed="false">
      <c r="B3727" s="0" t="s">
        <v>1131</v>
      </c>
      <c r="C3727" s="0" t="s">
        <v>374</v>
      </c>
      <c r="E3727" s="0" t="s">
        <v>375</v>
      </c>
      <c r="F3727" s="0" t="s">
        <v>376</v>
      </c>
    </row>
    <row r="3729" customFormat="false" ht="12.8" hidden="false" customHeight="false" outlineLevel="0" collapsed="false">
      <c r="A3729" s="0" t="s">
        <v>2161</v>
      </c>
      <c r="B3729" s="0" t="str">
        <f aca="false">HYPERLINK("https://lindat.mff.cuni.cz/services/teitok/pdtc10/index.php?action=vallex&amp;frame=v-w524f1", "docilovat (v-w524f1)")</f>
        <v>docilovat (v-w524f1)</v>
      </c>
      <c r="E3729" s="0" t="str">
        <f aca="false">HYPERLINK("https://lindat.mff.cuni.cz/services/SynSemClass40/SynSemClass40.html?veclass=vec01393#vec01393-ces-cm00003", "vec01393")</f>
        <v>vec01393</v>
      </c>
      <c r="F3729" s="0" t="s">
        <v>2162</v>
      </c>
    </row>
    <row r="3730" customFormat="false" ht="12.8" hidden="false" customHeight="false" outlineLevel="0" collapsed="false">
      <c r="B3730" s="0" t="s">
        <v>1</v>
      </c>
      <c r="C3730" s="0" t="s">
        <v>2163</v>
      </c>
      <c r="E3730" s="0" t="s">
        <v>11</v>
      </c>
      <c r="F3730" s="0" t="s">
        <v>2164</v>
      </c>
    </row>
    <row r="3731" customFormat="false" ht="12.8" hidden="false" customHeight="false" outlineLevel="0" collapsed="false">
      <c r="B3731" s="0" t="s">
        <v>1356</v>
      </c>
      <c r="C3731" s="0" t="s">
        <v>2165</v>
      </c>
      <c r="E3731" s="0" t="s">
        <v>1809</v>
      </c>
      <c r="F3731" s="0" t="s">
        <v>2166</v>
      </c>
    </row>
    <row r="3733" customFormat="false" ht="12.8" hidden="false" customHeight="false" outlineLevel="0" collapsed="false">
      <c r="A3733" s="0" t="s">
        <v>2167</v>
      </c>
      <c r="B3733" s="0" t="str">
        <f aca="false">HYPERLINK("https://lindat.mff.cuni.cz/services/teitok/pdtc10/index.php?action=vallex&amp;frame=v-whsb_936hsa_937", "docvičit (v-whsb_936hsa_937)")</f>
        <v>docvičit (v-whsb_936hsa_937)</v>
      </c>
    </row>
    <row r="3734" customFormat="false" ht="12.8" hidden="false" customHeight="false" outlineLevel="0" collapsed="false">
      <c r="B3734" s="0" t="s">
        <v>1</v>
      </c>
    </row>
    <row r="3735" customFormat="false" ht="12.8" hidden="false" customHeight="false" outlineLevel="0" collapsed="false">
      <c r="B3735" s="0" t="s">
        <v>390</v>
      </c>
    </row>
    <row r="3737" customFormat="false" ht="12.8" hidden="false" customHeight="false" outlineLevel="0" collapsed="false">
      <c r="A3737" s="0" t="s">
        <v>2168</v>
      </c>
      <c r="B3737" s="0" t="str">
        <f aca="false">HYPERLINK("https://lindat.mff.cuni.cz/services/teitok/pdtc10/index.php?action=vallex&amp;frame=v-w523f1", "docílit (v-w523f1)")</f>
        <v>docílit (v-w523f1)</v>
      </c>
      <c r="E3737" s="0" t="str">
        <f aca="false">HYPERLINK("https://lindat.mff.cuni.cz/services/SynSemClass40/SynSemClass40.html?veclass=vec00189#vec00189-ces-cm00192", "vec00189")</f>
        <v>vec00189</v>
      </c>
      <c r="F3737" s="0" t="s">
        <v>2169</v>
      </c>
    </row>
    <row r="3738" customFormat="false" ht="12.8" hidden="false" customHeight="false" outlineLevel="0" collapsed="false">
      <c r="B3738" s="0" t="s">
        <v>1</v>
      </c>
      <c r="C3738" s="0" t="s">
        <v>2170</v>
      </c>
      <c r="E3738" s="0" t="s">
        <v>1567</v>
      </c>
      <c r="F3738" s="0" t="s">
        <v>2171</v>
      </c>
    </row>
    <row r="3739" customFormat="false" ht="12.8" hidden="false" customHeight="false" outlineLevel="0" collapsed="false">
      <c r="B3739" s="0" t="s">
        <v>2172</v>
      </c>
      <c r="C3739" s="0" t="s">
        <v>2173</v>
      </c>
      <c r="E3739" s="0" t="s">
        <v>2111</v>
      </c>
      <c r="F3739" s="0" t="s">
        <v>2174</v>
      </c>
    </row>
    <row r="3740" customFormat="false" ht="12.8" hidden="false" customHeight="false" outlineLevel="0" collapsed="false">
      <c r="B3740" s="0" t="s">
        <v>2094</v>
      </c>
      <c r="C3740" s="0" t="s">
        <v>2175</v>
      </c>
      <c r="E3740" s="0" t="s">
        <v>2176</v>
      </c>
      <c r="F3740" s="0" t="s">
        <v>2177</v>
      </c>
    </row>
    <row r="3742" customFormat="false" ht="12.8" hidden="false" customHeight="false" outlineLevel="0" collapsed="false">
      <c r="A3742" s="0" t="s">
        <v>2178</v>
      </c>
      <c r="B3742" s="0" t="str">
        <f aca="false">HYPERLINK("https://lindat.mff.cuni.cz/services/teitok/pdtc10/index.php?action=vallex&amp;frame=v-w523f2", "docílit (v-w523f2)")</f>
        <v>docílit (v-w523f2)</v>
      </c>
      <c r="E3742" s="0" t="str">
        <f aca="false">HYPERLINK("https://lindat.mff.cuni.cz/services/SynSemClass40/SynSemClass40.html?veclass=vec01393#vec01393-ces-cm00001", "vec01393")</f>
        <v>vec01393</v>
      </c>
      <c r="F3742" s="0" t="s">
        <v>2162</v>
      </c>
    </row>
    <row r="3743" customFormat="false" ht="12.8" hidden="false" customHeight="false" outlineLevel="0" collapsed="false">
      <c r="B3743" s="0" t="s">
        <v>1</v>
      </c>
      <c r="C3743" s="0" t="s">
        <v>2163</v>
      </c>
      <c r="E3743" s="0" t="s">
        <v>11</v>
      </c>
      <c r="F3743" s="0" t="s">
        <v>2164</v>
      </c>
    </row>
    <row r="3744" customFormat="false" ht="12.8" hidden="false" customHeight="false" outlineLevel="0" collapsed="false">
      <c r="B3744" s="0" t="s">
        <v>1289</v>
      </c>
      <c r="C3744" s="0" t="s">
        <v>2165</v>
      </c>
      <c r="E3744" s="0" t="s">
        <v>1809</v>
      </c>
      <c r="F3744" s="0" t="s">
        <v>2166</v>
      </c>
    </row>
    <row r="3746" customFormat="false" ht="12.8" hidden="false" customHeight="false" outlineLevel="0" collapsed="false">
      <c r="A3746" s="0" t="s">
        <v>2179</v>
      </c>
      <c r="B3746" s="0" t="str">
        <f aca="false">HYPERLINK("https://lindat.mff.cuni.cz/services/teitok/pdtc10/index.php?action=vallex&amp;frame=v-w523f3", "docílit (v-w523f3)")</f>
        <v>docílit (v-w523f3)</v>
      </c>
      <c r="E3746" s="0" t="str">
        <f aca="false">HYPERLINK("https://lindat.mff.cuni.cz/services/SynSemClass40/SynSemClass40.html?veclass=vec01393#vec01393-ces-cm00002", "vec01393")</f>
        <v>vec01393</v>
      </c>
      <c r="F3746" s="0" t="s">
        <v>2162</v>
      </c>
    </row>
    <row r="3747" customFormat="false" ht="12.8" hidden="false" customHeight="false" outlineLevel="0" collapsed="false">
      <c r="B3747" s="0" t="s">
        <v>1</v>
      </c>
      <c r="C3747" s="0" t="s">
        <v>2163</v>
      </c>
      <c r="E3747" s="0" t="s">
        <v>11</v>
      </c>
      <c r="F3747" s="0" t="s">
        <v>2164</v>
      </c>
    </row>
    <row r="3748" customFormat="false" ht="12.8" hidden="false" customHeight="false" outlineLevel="0" collapsed="false">
      <c r="B3748" s="0" t="s">
        <v>2180</v>
      </c>
      <c r="C3748" s="0" t="s">
        <v>2181</v>
      </c>
      <c r="E3748" s="0" t="s">
        <v>2182</v>
      </c>
      <c r="F3748" s="0" t="s">
        <v>2183</v>
      </c>
    </row>
    <row r="3750" customFormat="false" ht="12.8" hidden="false" customHeight="false" outlineLevel="0" collapsed="false">
      <c r="A3750" s="0" t="s">
        <v>2184</v>
      </c>
      <c r="B3750" s="0" t="str">
        <f aca="false">HYPERLINK("https://lindat.mff.cuni.cz/services/teitok/pdtc10/index.php?action=vallex&amp;frame=v-w529f1", "dodanit (v-w529f1)")</f>
        <v>dodanit (v-w529f1)</v>
      </c>
    </row>
    <row r="3751" customFormat="false" ht="12.8" hidden="false" customHeight="false" outlineLevel="0" collapsed="false">
      <c r="B3751" s="0" t="s">
        <v>1</v>
      </c>
    </row>
    <row r="3752" customFormat="false" ht="12.8" hidden="false" customHeight="false" outlineLevel="0" collapsed="false">
      <c r="B3752" s="0" t="s">
        <v>8</v>
      </c>
    </row>
    <row r="3754" customFormat="false" ht="12.8" hidden="false" customHeight="false" outlineLevel="0" collapsed="false">
      <c r="A3754" s="0" t="s">
        <v>2185</v>
      </c>
      <c r="B3754" s="0" t="str">
        <f aca="false">HYPERLINK("https://lindat.mff.cuni.cz/services/teitok/pdtc10/index.php?action=vallex&amp;frame=v-w531f4", "dodat (v-w531f4)")</f>
        <v>dodat (v-w531f4)</v>
      </c>
      <c r="E3754" s="0" t="str">
        <f aca="false">HYPERLINK("https://lindat.mff.cuni.cz/services/SynSemClass40/SynSemClass40.html?veclass=vec00499#vec00499-ces-cm00004", "vec00499")</f>
        <v>vec00499</v>
      </c>
      <c r="F3754" s="0" t="s">
        <v>2186</v>
      </c>
    </row>
    <row r="3755" customFormat="false" ht="12.8" hidden="false" customHeight="false" outlineLevel="0" collapsed="false">
      <c r="B3755" s="0" t="s">
        <v>1</v>
      </c>
      <c r="C3755" s="0" t="s">
        <v>2187</v>
      </c>
      <c r="E3755" s="0" t="s">
        <v>1784</v>
      </c>
      <c r="F3755" s="0" t="s">
        <v>2188</v>
      </c>
    </row>
    <row r="3756" customFormat="false" ht="12.8" hidden="false" customHeight="false" outlineLevel="0" collapsed="false">
      <c r="B3756" s="0" t="s">
        <v>2189</v>
      </c>
      <c r="C3756" s="0" t="s">
        <v>2190</v>
      </c>
      <c r="E3756" s="0" t="s">
        <v>1787</v>
      </c>
      <c r="F3756" s="0" t="s">
        <v>2191</v>
      </c>
    </row>
    <row r="3757" customFormat="false" ht="12.8" hidden="false" customHeight="false" outlineLevel="0" collapsed="false">
      <c r="B3757" s="0" t="s">
        <v>52</v>
      </c>
      <c r="E3757" s="0" t="s">
        <v>53</v>
      </c>
      <c r="F3757" s="0" t="s">
        <v>54</v>
      </c>
    </row>
    <row r="3759" customFormat="false" ht="12.8" hidden="false" customHeight="false" outlineLevel="0" collapsed="false">
      <c r="A3759" s="0" t="s">
        <v>2192</v>
      </c>
      <c r="B3759" s="0" t="str">
        <f aca="false">HYPERLINK("https://lindat.mff.cuni.cz/services/teitok/pdtc10/index.php?action=vallex&amp;frame=v-w531f3", "dodat (v-w531f3)")</f>
        <v>dodat (v-w531f3)</v>
      </c>
      <c r="E3759" s="0" t="str">
        <f aca="false">HYPERLINK("https://lindat.mff.cuni.cz/services/SynSemClass40/SynSemClass40.html?veclass=vec00011#vec00011-ces-cm00058", "vec00011")</f>
        <v>vec00011</v>
      </c>
      <c r="F3759" s="0" t="s">
        <v>2193</v>
      </c>
      <c r="H3759" s="0" t="str">
        <f aca="false">HYPERLINK("https://lindat.mff.cuni.cz/services/SynSemClass40/SynSemClass40.html?veclass=vec01256#vec01256-ces-cm00034", "vec01256")</f>
        <v>vec01256</v>
      </c>
      <c r="I3759" s="0" t="s">
        <v>2194</v>
      </c>
    </row>
    <row r="3760" customFormat="false" ht="12.8" hidden="false" customHeight="false" outlineLevel="0" collapsed="false">
      <c r="B3760" s="0" t="s">
        <v>1</v>
      </c>
      <c r="C3760" s="0" t="s">
        <v>2195</v>
      </c>
      <c r="E3760" s="0" t="s">
        <v>2196</v>
      </c>
      <c r="F3760" s="0" t="s">
        <v>2197</v>
      </c>
      <c r="H3760" s="0" t="s">
        <v>31</v>
      </c>
      <c r="I3760" s="0" t="s">
        <v>2198</v>
      </c>
    </row>
    <row r="3761" customFormat="false" ht="12.8" hidden="false" customHeight="false" outlineLevel="0" collapsed="false">
      <c r="B3761" s="0" t="s">
        <v>8</v>
      </c>
      <c r="C3761" s="0" t="s">
        <v>2199</v>
      </c>
      <c r="E3761" s="0" t="s">
        <v>2200</v>
      </c>
      <c r="F3761" s="0" t="s">
        <v>2201</v>
      </c>
      <c r="H3761" s="0" t="s">
        <v>1875</v>
      </c>
      <c r="I3761" s="0" t="s">
        <v>2202</v>
      </c>
    </row>
    <row r="3762" customFormat="false" ht="12.8" hidden="false" customHeight="false" outlineLevel="0" collapsed="false">
      <c r="B3762" s="0" t="s">
        <v>52</v>
      </c>
      <c r="C3762" s="0" t="s">
        <v>2203</v>
      </c>
      <c r="E3762" s="0" t="s">
        <v>53</v>
      </c>
      <c r="F3762" s="0" t="s">
        <v>2204</v>
      </c>
      <c r="H3762" s="0" t="s">
        <v>53</v>
      </c>
      <c r="I3762" s="0" t="s">
        <v>2205</v>
      </c>
    </row>
    <row r="3764" customFormat="false" ht="12.8" hidden="false" customHeight="false" outlineLevel="0" collapsed="false">
      <c r="A3764" s="0" t="s">
        <v>2206</v>
      </c>
      <c r="B3764" s="0" t="str">
        <f aca="false">HYPERLINK("https://lindat.mff.cuni.cz/services/teitok/pdtc10/index.php?action=vallex&amp;frame=v-w531f5_ZU", "dodat (v-w531f5_ZU)")</f>
        <v>dodat (v-w531f5_ZU)</v>
      </c>
    </row>
    <row r="3765" customFormat="false" ht="12.8" hidden="false" customHeight="false" outlineLevel="0" collapsed="false">
      <c r="B3765" s="0" t="s">
        <v>1</v>
      </c>
    </row>
    <row r="3766" customFormat="false" ht="12.8" hidden="false" customHeight="false" outlineLevel="0" collapsed="false">
      <c r="B3766" s="0" t="s">
        <v>8</v>
      </c>
    </row>
    <row r="3767" customFormat="false" ht="12.8" hidden="false" customHeight="false" outlineLevel="0" collapsed="false">
      <c r="B3767" s="0" t="s">
        <v>2207</v>
      </c>
    </row>
    <row r="3769" customFormat="false" ht="12.8" hidden="false" customHeight="false" outlineLevel="0" collapsed="false">
      <c r="A3769" s="0" t="s">
        <v>2208</v>
      </c>
      <c r="B3769" s="0" t="str">
        <f aca="false">HYPERLINK("https://lindat.mff.cuni.cz/services/teitok/pdtc10/index.php?action=vallex&amp;frame=v-w531f2", "dodat (v-w531f2)")</f>
        <v>dodat (v-w531f2)</v>
      </c>
      <c r="E3769" s="0" t="str">
        <f aca="false">HYPERLINK("https://lindat.mff.cuni.cz/services/SynSemClass40/SynSemClass40.html?veclass=vec00011#vec00011-ces-cm00057", "vec00011")</f>
        <v>vec00011</v>
      </c>
      <c r="F3769" s="0" t="s">
        <v>2193</v>
      </c>
    </row>
    <row r="3770" customFormat="false" ht="12.8" hidden="false" customHeight="false" outlineLevel="0" collapsed="false">
      <c r="B3770" s="0" t="s">
        <v>1</v>
      </c>
      <c r="C3770" s="0" t="s">
        <v>2209</v>
      </c>
      <c r="E3770" s="0" t="s">
        <v>2196</v>
      </c>
      <c r="F3770" s="0" t="s">
        <v>2197</v>
      </c>
    </row>
    <row r="3771" customFormat="false" ht="12.8" hidden="false" customHeight="false" outlineLevel="0" collapsed="false">
      <c r="B3771" s="0" t="s">
        <v>8</v>
      </c>
      <c r="C3771" s="0" t="s">
        <v>2210</v>
      </c>
      <c r="E3771" s="0" t="s">
        <v>2200</v>
      </c>
      <c r="F3771" s="0" t="s">
        <v>2201</v>
      </c>
    </row>
    <row r="3772" customFormat="false" ht="12.8" hidden="false" customHeight="false" outlineLevel="0" collapsed="false">
      <c r="B3772" s="0" t="s">
        <v>164</v>
      </c>
      <c r="C3772" s="0" t="s">
        <v>2211</v>
      </c>
      <c r="E3772" s="0" t="s">
        <v>2212</v>
      </c>
      <c r="F3772" s="0" t="s">
        <v>2213</v>
      </c>
    </row>
    <row r="3774" customFormat="false" ht="12.8" hidden="false" customHeight="false" outlineLevel="0" collapsed="false">
      <c r="A3774" s="0" t="s">
        <v>2214</v>
      </c>
      <c r="B3774" s="0" t="str">
        <f aca="false">HYPERLINK("https://lindat.mff.cuni.cz/services/teitok/pdtc10/index.php?action=vallex&amp;frame=v-w531f1", "dodat (v-w531f1)")</f>
        <v>dodat (v-w531f1)</v>
      </c>
      <c r="E3774" s="0" t="str">
        <f aca="false">HYPERLINK("https://lindat.mff.cuni.cz/services/SynSemClass40/SynSemClass40.html?veclass=vec00060#vec00060-ces-cm00007", "vec00060")</f>
        <v>vec00060</v>
      </c>
      <c r="F3774" s="0" t="s">
        <v>213</v>
      </c>
    </row>
    <row r="3775" customFormat="false" ht="12.8" hidden="false" customHeight="false" outlineLevel="0" collapsed="false">
      <c r="B3775" s="0" t="s">
        <v>1</v>
      </c>
      <c r="C3775" s="0" t="s">
        <v>214</v>
      </c>
      <c r="E3775" s="0" t="s">
        <v>147</v>
      </c>
      <c r="F3775" s="0" t="s">
        <v>215</v>
      </c>
    </row>
    <row r="3776" customFormat="false" ht="12.8" hidden="false" customHeight="false" outlineLevel="0" collapsed="false">
      <c r="B3776" s="0" t="s">
        <v>2215</v>
      </c>
      <c r="C3776" s="0" t="s">
        <v>2216</v>
      </c>
      <c r="E3776" s="0" t="s">
        <v>2217</v>
      </c>
      <c r="F3776" s="0" t="s">
        <v>2218</v>
      </c>
    </row>
    <row r="3777" customFormat="false" ht="12.8" hidden="false" customHeight="false" outlineLevel="0" collapsed="false">
      <c r="B3777" s="0" t="s">
        <v>2219</v>
      </c>
      <c r="C3777" s="0" t="s">
        <v>217</v>
      </c>
      <c r="E3777" s="0" t="s">
        <v>218</v>
      </c>
      <c r="F3777" s="0" t="s">
        <v>219</v>
      </c>
    </row>
    <row r="3779" customFormat="false" ht="12.8" hidden="false" customHeight="false" outlineLevel="0" collapsed="false">
      <c r="A3779" s="0" t="s">
        <v>2220</v>
      </c>
      <c r="B3779" s="0" t="str">
        <f aca="false">HYPERLINK("https://lindat.mff.cuni.cz/services/teitok/pdtc10/index.php?action=vallex&amp;frame=v-w541f1", "dodržet (v-w541f1)")</f>
        <v>dodržet (v-w541f1)</v>
      </c>
      <c r="E3779" s="0" t="str">
        <f aca="false">HYPERLINK("https://lindat.mff.cuni.cz/services/SynSemClass40/SynSemClass40.html?veclass=vec00316#vec00316-ces-cm00002", "vec00316")</f>
        <v>vec00316</v>
      </c>
      <c r="F3779" s="0" t="s">
        <v>2221</v>
      </c>
    </row>
    <row r="3780" customFormat="false" ht="12.8" hidden="false" customHeight="false" outlineLevel="0" collapsed="false">
      <c r="B3780" s="0" t="s">
        <v>1</v>
      </c>
      <c r="C3780" s="0" t="s">
        <v>2222</v>
      </c>
      <c r="E3780" s="0" t="s">
        <v>11</v>
      </c>
      <c r="F3780" s="0" t="s">
        <v>2223</v>
      </c>
    </row>
    <row r="3781" customFormat="false" ht="12.8" hidden="false" customHeight="false" outlineLevel="0" collapsed="false">
      <c r="B3781" s="0" t="s">
        <v>305</v>
      </c>
      <c r="C3781" s="0" t="s">
        <v>2224</v>
      </c>
      <c r="E3781" s="0" t="s">
        <v>2225</v>
      </c>
      <c r="F3781" s="0" t="s">
        <v>2226</v>
      </c>
    </row>
    <row r="3783" customFormat="false" ht="12.8" hidden="false" customHeight="false" outlineLevel="0" collapsed="false">
      <c r="A3783" s="0" t="s">
        <v>2227</v>
      </c>
      <c r="B3783" s="0" t="str">
        <f aca="false">HYPERLINK("https://lindat.mff.cuni.cz/services/teitok/pdtc10/index.php?action=vallex&amp;frame=v-w544f2", "dodržovat (v-w544f2)")</f>
        <v>dodržovat (v-w544f2)</v>
      </c>
      <c r="E3783" s="0" t="str">
        <f aca="false">HYPERLINK("https://lindat.mff.cuni.cz/services/SynSemClass40/SynSemClass40.html?veclass=vec00316#vec00316-ces-cm00003", "vec00316")</f>
        <v>vec00316</v>
      </c>
      <c r="F3783" s="0" t="s">
        <v>2221</v>
      </c>
    </row>
    <row r="3784" customFormat="false" ht="12.8" hidden="false" customHeight="false" outlineLevel="0" collapsed="false">
      <c r="B3784" s="0" t="s">
        <v>1</v>
      </c>
      <c r="C3784" s="0" t="s">
        <v>2222</v>
      </c>
      <c r="E3784" s="0" t="s">
        <v>11</v>
      </c>
      <c r="F3784" s="0" t="s">
        <v>2223</v>
      </c>
    </row>
    <row r="3785" customFormat="false" ht="12.8" hidden="false" customHeight="false" outlineLevel="0" collapsed="false">
      <c r="B3785" s="0" t="s">
        <v>305</v>
      </c>
      <c r="C3785" s="0" t="s">
        <v>2224</v>
      </c>
      <c r="E3785" s="0" t="s">
        <v>2225</v>
      </c>
      <c r="F3785" s="0" t="s">
        <v>2226</v>
      </c>
    </row>
    <row r="3787" customFormat="false" ht="12.8" hidden="false" customHeight="false" outlineLevel="0" collapsed="false">
      <c r="A3787" s="0" t="s">
        <v>2228</v>
      </c>
      <c r="B3787" s="0" t="str">
        <f aca="false">HYPERLINK("https://lindat.mff.cuni.cz/services/teitok/pdtc10/index.php?action=vallex&amp;frame=v-w544f3_ZU", "dodržovat (v-w544f3_ZU)")</f>
        <v>dodržovat (v-w544f3_ZU)</v>
      </c>
    </row>
    <row r="3788" customFormat="false" ht="12.8" hidden="false" customHeight="false" outlineLevel="0" collapsed="false">
      <c r="B3788" s="0" t="s">
        <v>1</v>
      </c>
    </row>
    <row r="3789" customFormat="false" ht="12.8" hidden="false" customHeight="false" outlineLevel="0" collapsed="false">
      <c r="B3789" s="0" t="s">
        <v>8</v>
      </c>
    </row>
    <row r="3791" customFormat="false" ht="12.8" hidden="false" customHeight="false" outlineLevel="0" collapsed="false">
      <c r="A3791" s="0" t="s">
        <v>2228</v>
      </c>
      <c r="B3791" s="0" t="str">
        <f aca="false">HYPERLINK("https://lindat.mff.cuni.cz/services/teitok/pdtc10/index.php?action=vallex&amp;frame=v-w544f1", "dodržovat (v-w544f1) - substituted with v-w544f3_ZU")</f>
        <v>dodržovat (v-w544f1) - substituted with v-w544f3_ZU</v>
      </c>
      <c r="E3791" s="0" t="str">
        <f aca="false">HYPERLINK("https://lindat.mff.cuni.cz/services/SynSemClass40/SynSemClass40.html?veclass=vec00316#vec00316-ces-cm00066", "vec00316")</f>
        <v>vec00316</v>
      </c>
      <c r="F3791" s="0" t="s">
        <v>2221</v>
      </c>
    </row>
    <row r="3792" customFormat="false" ht="12.8" hidden="false" customHeight="false" outlineLevel="0" collapsed="false">
      <c r="B3792" s="0" t="s">
        <v>1</v>
      </c>
      <c r="C3792" s="0" t="s">
        <v>2222</v>
      </c>
      <c r="E3792" s="0" t="s">
        <v>11</v>
      </c>
      <c r="F3792" s="0" t="s">
        <v>2223</v>
      </c>
    </row>
    <row r="3793" customFormat="false" ht="12.8" hidden="false" customHeight="false" outlineLevel="0" collapsed="false">
      <c r="B3793" s="0" t="s">
        <v>8</v>
      </c>
      <c r="C3793" s="0" t="s">
        <v>2224</v>
      </c>
      <c r="E3793" s="0" t="s">
        <v>2225</v>
      </c>
      <c r="F3793" s="0" t="s">
        <v>2226</v>
      </c>
    </row>
    <row r="3795" customFormat="false" ht="12.8" hidden="false" customHeight="false" outlineLevel="0" collapsed="false">
      <c r="A3795" s="0" t="s">
        <v>2229</v>
      </c>
      <c r="B3795" s="0" t="str">
        <f aca="false">HYPERLINK("https://lindat.mff.cuni.cz/services/teitok/pdtc10/index.php?action=vallex&amp;frame=v-whsa_1653hsa_1654", "dodržovávat (v-whsa_1653hsa_1654)")</f>
        <v>dodržovávat (v-whsa_1653hsa_1654)</v>
      </c>
    </row>
    <row r="3796" customFormat="false" ht="12.8" hidden="false" customHeight="false" outlineLevel="0" collapsed="false">
      <c r="B3796" s="0" t="s">
        <v>1</v>
      </c>
    </row>
    <row r="3797" customFormat="false" ht="12.8" hidden="false" customHeight="false" outlineLevel="0" collapsed="false">
      <c r="B3797" s="0" t="s">
        <v>8</v>
      </c>
    </row>
    <row r="3799" customFormat="false" ht="12.8" hidden="false" customHeight="false" outlineLevel="0" collapsed="false">
      <c r="A3799" s="0" t="s">
        <v>2230</v>
      </c>
      <c r="B3799" s="0" t="str">
        <f aca="false">HYPERLINK("https://lindat.mff.cuni.cz/services/teitok/pdtc10/index.php?action=vallex&amp;frame=v-w536f4", "dodávat (v-w536f4)")</f>
        <v>dodávat (v-w536f4)</v>
      </c>
      <c r="E3799" s="0" t="str">
        <f aca="false">HYPERLINK("https://lindat.mff.cuni.cz/services/SynSemClass40/SynSemClass40.html?veclass=vec00499#vec00499-ces-cm00006", "vec00499")</f>
        <v>vec00499</v>
      </c>
      <c r="F3799" s="0" t="s">
        <v>2186</v>
      </c>
    </row>
    <row r="3800" customFormat="false" ht="12.8" hidden="false" customHeight="false" outlineLevel="0" collapsed="false">
      <c r="B3800" s="0" t="s">
        <v>1</v>
      </c>
      <c r="C3800" s="0" t="s">
        <v>2187</v>
      </c>
      <c r="E3800" s="0" t="s">
        <v>1784</v>
      </c>
      <c r="F3800" s="0" t="s">
        <v>2188</v>
      </c>
    </row>
    <row r="3801" customFormat="false" ht="12.8" hidden="false" customHeight="false" outlineLevel="0" collapsed="false">
      <c r="B3801" s="0" t="s">
        <v>2189</v>
      </c>
      <c r="C3801" s="0" t="s">
        <v>2190</v>
      </c>
      <c r="E3801" s="0" t="s">
        <v>1787</v>
      </c>
      <c r="F3801" s="0" t="s">
        <v>2191</v>
      </c>
    </row>
    <row r="3802" customFormat="false" ht="12.8" hidden="false" customHeight="false" outlineLevel="0" collapsed="false">
      <c r="B3802" s="0" t="s">
        <v>52</v>
      </c>
      <c r="E3802" s="0" t="s">
        <v>53</v>
      </c>
      <c r="F3802" s="0" t="s">
        <v>54</v>
      </c>
    </row>
    <row r="3804" customFormat="false" ht="12.8" hidden="false" customHeight="false" outlineLevel="0" collapsed="false">
      <c r="A3804" s="0" t="s">
        <v>2231</v>
      </c>
      <c r="B3804" s="0" t="str">
        <f aca="false">HYPERLINK("https://lindat.mff.cuni.cz/services/teitok/pdtc10/index.php?action=vallex&amp;frame=v-w536f3", "dodávat (v-w536f3)")</f>
        <v>dodávat (v-w536f3)</v>
      </c>
      <c r="E3804" s="0" t="str">
        <f aca="false">HYPERLINK("https://lindat.mff.cuni.cz/services/SynSemClass40/SynSemClass40.html?veclass=vec00011#vec00011-ces-cm00061", "vec00011")</f>
        <v>vec00011</v>
      </c>
      <c r="F3804" s="0" t="s">
        <v>2193</v>
      </c>
      <c r="H3804" s="0" t="str">
        <f aca="false">HYPERLINK("https://lindat.mff.cuni.cz/services/SynSemClass40/SynSemClass40.html?veclass=vec01256#vec01256-ces-cm00036", "vec01256")</f>
        <v>vec01256</v>
      </c>
      <c r="I3804" s="0" t="s">
        <v>2194</v>
      </c>
    </row>
    <row r="3805" customFormat="false" ht="12.8" hidden="false" customHeight="false" outlineLevel="0" collapsed="false">
      <c r="B3805" s="0" t="s">
        <v>1</v>
      </c>
      <c r="C3805" s="0" t="s">
        <v>2195</v>
      </c>
      <c r="E3805" s="0" t="s">
        <v>2196</v>
      </c>
      <c r="F3805" s="0" t="s">
        <v>2197</v>
      </c>
      <c r="H3805" s="0" t="s">
        <v>31</v>
      </c>
      <c r="I3805" s="0" t="s">
        <v>2198</v>
      </c>
    </row>
    <row r="3806" customFormat="false" ht="12.8" hidden="false" customHeight="false" outlineLevel="0" collapsed="false">
      <c r="B3806" s="0" t="s">
        <v>8</v>
      </c>
      <c r="C3806" s="0" t="s">
        <v>2199</v>
      </c>
      <c r="E3806" s="0" t="s">
        <v>2200</v>
      </c>
      <c r="F3806" s="0" t="s">
        <v>2201</v>
      </c>
      <c r="H3806" s="0" t="s">
        <v>1875</v>
      </c>
      <c r="I3806" s="0" t="s">
        <v>2202</v>
      </c>
    </row>
    <row r="3807" customFormat="false" ht="12.8" hidden="false" customHeight="false" outlineLevel="0" collapsed="false">
      <c r="B3807" s="0" t="s">
        <v>52</v>
      </c>
      <c r="C3807" s="0" t="s">
        <v>2203</v>
      </c>
      <c r="E3807" s="0" t="s">
        <v>53</v>
      </c>
      <c r="F3807" s="0" t="s">
        <v>2204</v>
      </c>
      <c r="H3807" s="0" t="s">
        <v>53</v>
      </c>
      <c r="I3807" s="0" t="s">
        <v>2205</v>
      </c>
    </row>
    <row r="3809" customFormat="false" ht="12.8" hidden="false" customHeight="false" outlineLevel="0" collapsed="false">
      <c r="A3809" s="0" t="s">
        <v>2232</v>
      </c>
      <c r="B3809" s="0" t="str">
        <f aca="false">HYPERLINK("https://lindat.mff.cuni.cz/services/teitok/pdtc10/index.php?action=vallex&amp;frame=v-w536f2", "dodávat (v-w536f2)")</f>
        <v>dodávat (v-w536f2)</v>
      </c>
      <c r="E3809" s="0" t="str">
        <f aca="false">HYPERLINK("https://lindat.mff.cuni.cz/services/SynSemClass40/SynSemClass40.html?veclass=vec00011#vec00011-ces-cm00060", "vec00011")</f>
        <v>vec00011</v>
      </c>
      <c r="F3809" s="0" t="s">
        <v>2193</v>
      </c>
    </row>
    <row r="3810" customFormat="false" ht="12.8" hidden="false" customHeight="false" outlineLevel="0" collapsed="false">
      <c r="B3810" s="0" t="s">
        <v>1</v>
      </c>
      <c r="C3810" s="0" t="s">
        <v>2209</v>
      </c>
      <c r="E3810" s="0" t="s">
        <v>2196</v>
      </c>
      <c r="F3810" s="0" t="s">
        <v>2197</v>
      </c>
    </row>
    <row r="3811" customFormat="false" ht="12.8" hidden="false" customHeight="false" outlineLevel="0" collapsed="false">
      <c r="B3811" s="0" t="s">
        <v>8</v>
      </c>
      <c r="C3811" s="0" t="s">
        <v>2210</v>
      </c>
      <c r="E3811" s="0" t="s">
        <v>2200</v>
      </c>
      <c r="F3811" s="0" t="s">
        <v>2201</v>
      </c>
    </row>
    <row r="3812" customFormat="false" ht="12.8" hidden="false" customHeight="false" outlineLevel="0" collapsed="false">
      <c r="B3812" s="0" t="s">
        <v>164</v>
      </c>
      <c r="C3812" s="0" t="s">
        <v>2211</v>
      </c>
      <c r="E3812" s="0" t="s">
        <v>2212</v>
      </c>
      <c r="F3812" s="0" t="s">
        <v>2213</v>
      </c>
    </row>
    <row r="3814" customFormat="false" ht="12.8" hidden="false" customHeight="false" outlineLevel="0" collapsed="false">
      <c r="A3814" s="0" t="s">
        <v>2233</v>
      </c>
      <c r="B3814" s="0" t="str">
        <f aca="false">HYPERLINK("https://lindat.mff.cuni.cz/services/teitok/pdtc10/index.php?action=vallex&amp;frame=v-w536f1", "dodávat (v-w536f1)")</f>
        <v>dodávat (v-w536f1)</v>
      </c>
      <c r="E3814" s="0" t="str">
        <f aca="false">HYPERLINK("https://lindat.mff.cuni.cz/services/SynSemClass40/SynSemClass40.html?veclass=vec00060#vec00060-ces-cm00009", "vec00060")</f>
        <v>vec00060</v>
      </c>
      <c r="F3814" s="0" t="s">
        <v>213</v>
      </c>
    </row>
    <row r="3815" customFormat="false" ht="12.8" hidden="false" customHeight="false" outlineLevel="0" collapsed="false">
      <c r="B3815" s="0" t="s">
        <v>1</v>
      </c>
      <c r="C3815" s="0" t="s">
        <v>214</v>
      </c>
      <c r="E3815" s="0" t="s">
        <v>147</v>
      </c>
      <c r="F3815" s="0" t="s">
        <v>215</v>
      </c>
    </row>
    <row r="3816" customFormat="false" ht="12.8" hidden="false" customHeight="false" outlineLevel="0" collapsed="false">
      <c r="B3816" s="0" t="s">
        <v>2215</v>
      </c>
      <c r="C3816" s="0" t="s">
        <v>2216</v>
      </c>
      <c r="E3816" s="0" t="s">
        <v>2217</v>
      </c>
      <c r="F3816" s="0" t="s">
        <v>2218</v>
      </c>
    </row>
    <row r="3817" customFormat="false" ht="12.8" hidden="false" customHeight="false" outlineLevel="0" collapsed="false">
      <c r="B3817" s="0" t="s">
        <v>2219</v>
      </c>
      <c r="C3817" s="0" t="s">
        <v>217</v>
      </c>
      <c r="E3817" s="0" t="s">
        <v>218</v>
      </c>
      <c r="F3817" s="0" t="s">
        <v>219</v>
      </c>
    </row>
    <row r="3819" customFormat="false" ht="12.8" hidden="false" customHeight="false" outlineLevel="0" collapsed="false">
      <c r="A3819" s="0" t="s">
        <v>2234</v>
      </c>
      <c r="B3819" s="0" t="str">
        <f aca="false">HYPERLINK("https://lindat.mff.cuni.cz/services/teitok/pdtc10/index.php?action=vallex&amp;frame=v-whsa_143f2_ZU", "dodělat (v-whsa_143f2_ZU)")</f>
        <v>dodělat (v-whsa_143f2_ZU)</v>
      </c>
    </row>
    <row r="3820" customFormat="false" ht="12.8" hidden="false" customHeight="false" outlineLevel="0" collapsed="false">
      <c r="B3820" s="0" t="s">
        <v>1</v>
      </c>
    </row>
    <row r="3821" customFormat="false" ht="12.8" hidden="false" customHeight="false" outlineLevel="0" collapsed="false">
      <c r="B3821" s="0" t="s">
        <v>8</v>
      </c>
    </row>
    <row r="3823" customFormat="false" ht="12.8" hidden="false" customHeight="false" outlineLevel="0" collapsed="false">
      <c r="A3823" s="0" t="s">
        <v>2234</v>
      </c>
      <c r="B3823" s="0" t="str">
        <f aca="false">HYPERLINK("https://lindat.mff.cuni.cz/services/teitok/pdtc10/index.php?action=vallex&amp;frame=v-whsa_143f1_ZU", "dodělat (v-whsa_143f1_ZU) - substituted with v-whsa_143f2_ZU")</f>
        <v>dodělat (v-whsa_143f1_ZU) - substituted with v-whsa_143f2_ZU</v>
      </c>
    </row>
    <row r="3824" customFormat="false" ht="12.8" hidden="false" customHeight="false" outlineLevel="0" collapsed="false">
      <c r="B3824" s="0" t="s">
        <v>1</v>
      </c>
    </row>
    <row r="3825" customFormat="false" ht="12.8" hidden="false" customHeight="false" outlineLevel="0" collapsed="false">
      <c r="B3825" s="0" t="s">
        <v>8</v>
      </c>
    </row>
    <row r="3827" customFormat="false" ht="12.8" hidden="false" customHeight="false" outlineLevel="0" collapsed="false">
      <c r="A3827" s="0" t="s">
        <v>2234</v>
      </c>
      <c r="B3827" s="0" t="str">
        <f aca="false">HYPERLINK("https://lindat.mff.cuni.cz/services/teitok/pdtc10/index.php?action=vallex&amp;frame=v-whsa_143hsa_144", "dodělat (v-whsa_143hsa_144) - substituted with v-whsa_143f2_ZU")</f>
        <v>dodělat (v-whsa_143hsa_144) - substituted with v-whsa_143f2_ZU</v>
      </c>
    </row>
    <row r="3828" customFormat="false" ht="12.8" hidden="false" customHeight="false" outlineLevel="0" collapsed="false">
      <c r="B3828" s="0" t="s">
        <v>1</v>
      </c>
    </row>
    <row r="3829" customFormat="false" ht="12.8" hidden="false" customHeight="false" outlineLevel="0" collapsed="false">
      <c r="B3829" s="0" t="s">
        <v>8</v>
      </c>
    </row>
    <row r="3831" customFormat="false" ht="12.8" hidden="false" customHeight="false" outlineLevel="0" collapsed="false">
      <c r="A3831" s="0" t="s">
        <v>2235</v>
      </c>
      <c r="B3831" s="0" t="str">
        <f aca="false">HYPERLINK("https://lindat.mff.cuni.cz/services/teitok/pdtc10/index.php?action=vallex&amp;frame=v-w12181_ZUf1_ZU", "dodělat se (v-w12181_ZUf1_ZU)")</f>
        <v>dodělat se (v-w12181_ZUf1_ZU)</v>
      </c>
    </row>
    <row r="3832" customFormat="false" ht="12.8" hidden="false" customHeight="false" outlineLevel="0" collapsed="false">
      <c r="B3832" s="0" t="s">
        <v>1</v>
      </c>
    </row>
    <row r="3834" customFormat="false" ht="12.8" hidden="false" customHeight="false" outlineLevel="0" collapsed="false">
      <c r="A3834" s="0" t="s">
        <v>2236</v>
      </c>
      <c r="B3834" s="0" t="str">
        <f aca="false">HYPERLINK("https://lindat.mff.cuni.cz/services/teitok/pdtc10/index.php?action=vallex&amp;frame=v-w539f1", "dodělávat (v-w539f1)")</f>
        <v>dodělávat (v-w539f1)</v>
      </c>
    </row>
    <row r="3835" customFormat="false" ht="12.8" hidden="false" customHeight="false" outlineLevel="0" collapsed="false">
      <c r="B3835" s="0" t="s">
        <v>1</v>
      </c>
    </row>
    <row r="3836" customFormat="false" ht="12.8" hidden="false" customHeight="false" outlineLevel="0" collapsed="false">
      <c r="B3836" s="0" t="s">
        <v>8</v>
      </c>
    </row>
    <row r="3837" customFormat="false" ht="12.8" hidden="false" customHeight="false" outlineLevel="0" collapsed="false">
      <c r="B3837" s="0" t="s">
        <v>36</v>
      </c>
    </row>
    <row r="3839" customFormat="false" ht="12.8" hidden="false" customHeight="false" outlineLevel="0" collapsed="false">
      <c r="A3839" s="0" t="s">
        <v>2237</v>
      </c>
      <c r="B3839" s="0" t="str">
        <f aca="false">HYPERLINK("https://lindat.mff.cuni.cz/services/teitok/pdtc10/index.php?action=vallex&amp;frame=v-w539f2", "dodělávat (v-w539f2)")</f>
        <v>dodělávat (v-w539f2)</v>
      </c>
    </row>
    <row r="3840" customFormat="false" ht="12.8" hidden="false" customHeight="false" outlineLevel="0" collapsed="false">
      <c r="B3840" s="0" t="s">
        <v>1</v>
      </c>
    </row>
    <row r="3841" customFormat="false" ht="12.8" hidden="false" customHeight="false" outlineLevel="0" collapsed="false">
      <c r="B3841" s="0" t="s">
        <v>8</v>
      </c>
    </row>
    <row r="3843" customFormat="false" ht="12.8" hidden="false" customHeight="false" outlineLevel="0" collapsed="false">
      <c r="A3843" s="0" t="s">
        <v>2238</v>
      </c>
      <c r="B3843" s="0" t="str">
        <f aca="false">HYPERLINK("https://lindat.mff.cuni.cz/services/teitok/pdtc10/index.php?action=vallex&amp;frame=v-w545f1", "dofinišovat (v-w545f1)")</f>
        <v>dofinišovat (v-w545f1)</v>
      </c>
    </row>
    <row r="3844" customFormat="false" ht="12.8" hidden="false" customHeight="false" outlineLevel="0" collapsed="false">
      <c r="B3844" s="0" t="s">
        <v>1</v>
      </c>
    </row>
    <row r="3845" customFormat="false" ht="12.8" hidden="false" customHeight="false" outlineLevel="0" collapsed="false">
      <c r="B3845" s="0" t="s">
        <v>164</v>
      </c>
    </row>
    <row r="3847" customFormat="false" ht="12.8" hidden="false" customHeight="false" outlineLevel="0" collapsed="false">
      <c r="A3847" s="0" t="s">
        <v>2239</v>
      </c>
      <c r="B3847" s="0" t="str">
        <f aca="false">HYPERLINK("https://lindat.mff.cuni.cz/services/teitok/pdtc10/index.php?action=vallex&amp;frame=v-w549f1", "dohadovat (v-w549f1)")</f>
        <v>dohadovat (v-w549f1)</v>
      </c>
      <c r="E3847" s="0" t="str">
        <f aca="false">HYPERLINK("https://lindat.mff.cuni.cz/services/SynSemClass40/SynSemClass40.html?veclass=vec00162#vec00162-ces-cm00002", "vec00162")</f>
        <v>vec00162</v>
      </c>
      <c r="F3847" s="0" t="s">
        <v>1109</v>
      </c>
    </row>
    <row r="3848" customFormat="false" ht="12.8" hidden="false" customHeight="false" outlineLevel="0" collapsed="false">
      <c r="B3848" s="0" t="s">
        <v>1</v>
      </c>
      <c r="C3848" s="0" t="s">
        <v>2240</v>
      </c>
      <c r="E3848" s="0" t="s">
        <v>2241</v>
      </c>
      <c r="F3848" s="0" t="s">
        <v>2242</v>
      </c>
    </row>
    <row r="3849" customFormat="false" ht="12.8" hidden="false" customHeight="false" outlineLevel="0" collapsed="false">
      <c r="B3849" s="0" t="s">
        <v>2243</v>
      </c>
      <c r="C3849" s="0" t="s">
        <v>2244</v>
      </c>
      <c r="E3849" s="0" t="s">
        <v>209</v>
      </c>
      <c r="F3849" s="0" t="s">
        <v>2245</v>
      </c>
    </row>
    <row r="3850" customFormat="false" ht="12.8" hidden="false" customHeight="false" outlineLevel="0" collapsed="false">
      <c r="B3850" s="0" t="s">
        <v>276</v>
      </c>
      <c r="C3850" s="0" t="s">
        <v>2246</v>
      </c>
      <c r="E3850" s="0" t="s">
        <v>2247</v>
      </c>
      <c r="F3850" s="0" t="s">
        <v>2248</v>
      </c>
    </row>
    <row r="3852" customFormat="false" ht="12.8" hidden="false" customHeight="false" outlineLevel="0" collapsed="false">
      <c r="A3852" s="0" t="s">
        <v>2249</v>
      </c>
      <c r="B3852" s="0" t="str">
        <f aca="false">HYPERLINK("https://lindat.mff.cuni.cz/services/teitok/pdtc10/index.php?action=vallex&amp;frame=v-w550f1", "dohadovat se (v-w550f1)")</f>
        <v>dohadovat se (v-w550f1)</v>
      </c>
      <c r="E3852" s="0" t="str">
        <f aca="false">HYPERLINK("https://lindat.mff.cuni.cz/services/SynSemClass40/SynSemClass40.html?veclass=vec00019#vec00019-ces-cm00013", "vec00019")</f>
        <v>vec00019</v>
      </c>
      <c r="F3852" s="0" t="s">
        <v>2250</v>
      </c>
    </row>
    <row r="3853" customFormat="false" ht="12.8" hidden="false" customHeight="false" outlineLevel="0" collapsed="false">
      <c r="B3853" s="0" t="s">
        <v>1</v>
      </c>
      <c r="C3853" s="0" t="s">
        <v>239</v>
      </c>
      <c r="E3853" s="0" t="s">
        <v>2251</v>
      </c>
      <c r="F3853" s="0" t="s">
        <v>2252</v>
      </c>
    </row>
    <row r="3854" customFormat="false" ht="12.8" hidden="false" customHeight="false" outlineLevel="0" collapsed="false">
      <c r="B3854" s="0" t="s">
        <v>2253</v>
      </c>
      <c r="C3854" s="0" t="s">
        <v>2254</v>
      </c>
      <c r="E3854" s="0" t="s">
        <v>230</v>
      </c>
      <c r="F3854" s="0" t="s">
        <v>2255</v>
      </c>
    </row>
    <row r="3855" customFormat="false" ht="12.8" hidden="false" customHeight="false" outlineLevel="0" collapsed="false">
      <c r="B3855" s="0" t="s">
        <v>276</v>
      </c>
      <c r="E3855" s="0" t="s">
        <v>2256</v>
      </c>
      <c r="F3855" s="0" t="s">
        <v>2257</v>
      </c>
    </row>
    <row r="3857" customFormat="false" ht="12.8" hidden="false" customHeight="false" outlineLevel="0" collapsed="false">
      <c r="A3857" s="0" t="s">
        <v>2258</v>
      </c>
      <c r="B3857" s="0" t="str">
        <f aca="false">HYPERLINK("https://lindat.mff.cuni.cz/services/teitok/pdtc10/index.php?action=vallex&amp;frame=v-whsa_1510f1_ZU", "dohasit (v-whsa_1510f1_ZU)")</f>
        <v>dohasit (v-whsa_1510f1_ZU)</v>
      </c>
    </row>
    <row r="3858" customFormat="false" ht="12.8" hidden="false" customHeight="false" outlineLevel="0" collapsed="false">
      <c r="B3858" s="0" t="s">
        <v>1</v>
      </c>
    </row>
    <row r="3859" customFormat="false" ht="12.8" hidden="false" customHeight="false" outlineLevel="0" collapsed="false">
      <c r="B3859" s="0" t="s">
        <v>8</v>
      </c>
    </row>
    <row r="3861" customFormat="false" ht="12.8" hidden="false" customHeight="false" outlineLevel="0" collapsed="false">
      <c r="A3861" s="0" t="s">
        <v>2258</v>
      </c>
      <c r="B3861" s="0" t="str">
        <f aca="false">HYPERLINK("https://lindat.mff.cuni.cz/services/teitok/pdtc10/index.php?action=vallex&amp;frame=v-whsa_1510hsa_1511", "dohasit (v-whsa_1510hsa_1511) - substituted with v-whsa_1510f1_ZU")</f>
        <v>dohasit (v-whsa_1510hsa_1511) - substituted with v-whsa_1510f1_ZU</v>
      </c>
    </row>
    <row r="3862" customFormat="false" ht="12.8" hidden="false" customHeight="false" outlineLevel="0" collapsed="false">
      <c r="B3862" s="0" t="s">
        <v>1</v>
      </c>
    </row>
    <row r="3863" customFormat="false" ht="12.8" hidden="false" customHeight="false" outlineLevel="0" collapsed="false">
      <c r="B3863" s="0" t="s">
        <v>8</v>
      </c>
    </row>
    <row r="3865" customFormat="false" ht="12.8" hidden="false" customHeight="false" outlineLevel="0" collapsed="false">
      <c r="A3865" s="0" t="s">
        <v>2259</v>
      </c>
      <c r="B3865" s="0" t="str">
        <f aca="false">HYPERLINK("https://lindat.mff.cuni.cz/services/teitok/pdtc10/index.php?action=vallex&amp;frame=v-w552f1", "dohasnout (v-w552f1)")</f>
        <v>dohasnout (v-w552f1)</v>
      </c>
    </row>
    <row r="3866" customFormat="false" ht="12.8" hidden="false" customHeight="false" outlineLevel="0" collapsed="false">
      <c r="B3866" s="0" t="s">
        <v>1</v>
      </c>
    </row>
    <row r="3868" customFormat="false" ht="12.8" hidden="false" customHeight="false" outlineLevel="0" collapsed="false">
      <c r="A3868" s="0" t="s">
        <v>2260</v>
      </c>
      <c r="B3868" s="0" t="str">
        <f aca="false">HYPERLINK("https://lindat.mff.cuni.cz/services/teitok/pdtc10/index.php?action=vallex&amp;frame=v-w554f1", "dohledávat (v-w554f1)")</f>
        <v>dohledávat (v-w554f1)</v>
      </c>
      <c r="E3868" s="0" t="str">
        <f aca="false">HYPERLINK("https://lindat.mff.cuni.cz/services/SynSemClass40/SynSemClass40.html?veclass=vec00021#vec00021-ces-cm00080", "vec00021")</f>
        <v>vec00021</v>
      </c>
      <c r="F3868" s="0" t="s">
        <v>2261</v>
      </c>
    </row>
    <row r="3869" customFormat="false" ht="12.8" hidden="false" customHeight="false" outlineLevel="0" collapsed="false">
      <c r="B3869" s="0" t="s">
        <v>1</v>
      </c>
      <c r="C3869" s="0" t="s">
        <v>2262</v>
      </c>
      <c r="E3869" s="0" t="s">
        <v>2263</v>
      </c>
      <c r="F3869" s="0" t="s">
        <v>2264</v>
      </c>
    </row>
    <row r="3870" customFormat="false" ht="12.8" hidden="false" customHeight="false" outlineLevel="0" collapsed="false">
      <c r="B3870" s="0" t="s">
        <v>2265</v>
      </c>
      <c r="C3870" s="0" t="s">
        <v>2266</v>
      </c>
      <c r="E3870" s="0" t="s">
        <v>2267</v>
      </c>
      <c r="F3870" s="0" t="s">
        <v>2268</v>
      </c>
    </row>
    <row r="3872" customFormat="false" ht="12.8" hidden="false" customHeight="false" outlineLevel="0" collapsed="false">
      <c r="A3872" s="0" t="s">
        <v>2269</v>
      </c>
      <c r="B3872" s="0" t="str">
        <f aca="false">HYPERLINK("https://lindat.mff.cuni.cz/services/teitok/pdtc10/index.php?action=vallex&amp;frame=v-w555f1", "dohlédnout (v-w555f1)")</f>
        <v>dohlédnout (v-w555f1)</v>
      </c>
      <c r="E3872" s="0" t="str">
        <f aca="false">HYPERLINK("https://lindat.mff.cuni.cz/services/SynSemClass40/SynSemClass40.html?veclass=vec00211#vec00211-ces-cm00032", "vec00211")</f>
        <v>vec00211</v>
      </c>
      <c r="F3872" s="0" t="s">
        <v>2270</v>
      </c>
    </row>
    <row r="3873" customFormat="false" ht="12.8" hidden="false" customHeight="false" outlineLevel="0" collapsed="false">
      <c r="B3873" s="0" t="s">
        <v>1</v>
      </c>
      <c r="C3873" s="0" t="s">
        <v>2271</v>
      </c>
      <c r="E3873" s="0" t="s">
        <v>206</v>
      </c>
      <c r="F3873" s="0" t="s">
        <v>2272</v>
      </c>
    </row>
    <row r="3874" customFormat="false" ht="12.8" hidden="false" customHeight="false" outlineLevel="0" collapsed="false">
      <c r="B3874" s="0" t="s">
        <v>2273</v>
      </c>
      <c r="C3874" s="0" t="s">
        <v>2274</v>
      </c>
      <c r="E3874" s="0" t="s">
        <v>1995</v>
      </c>
      <c r="F3874" s="0" t="s">
        <v>2275</v>
      </c>
    </row>
    <row r="3876" customFormat="false" ht="12.8" hidden="false" customHeight="false" outlineLevel="0" collapsed="false">
      <c r="A3876" s="0" t="s">
        <v>2276</v>
      </c>
      <c r="B3876" s="0" t="str">
        <f aca="false">HYPERLINK("https://lindat.mff.cuni.cz/services/teitok/pdtc10/index.php?action=vallex&amp;frame=v-w555f2", "dohlédnout (v-w555f2)")</f>
        <v>dohlédnout (v-w555f2)</v>
      </c>
    </row>
    <row r="3877" customFormat="false" ht="12.8" hidden="false" customHeight="false" outlineLevel="0" collapsed="false">
      <c r="B3877" s="0" t="s">
        <v>1</v>
      </c>
    </row>
    <row r="3878" customFormat="false" ht="12.8" hidden="false" customHeight="false" outlineLevel="0" collapsed="false">
      <c r="B3878" s="0" t="s">
        <v>164</v>
      </c>
    </row>
    <row r="3880" customFormat="false" ht="12.8" hidden="false" customHeight="false" outlineLevel="0" collapsed="false">
      <c r="A3880" s="0" t="s">
        <v>2277</v>
      </c>
      <c r="B3880" s="0" t="str">
        <f aca="false">HYPERLINK("https://lindat.mff.cuni.cz/services/teitok/pdtc10/index.php?action=vallex&amp;frame=v-whsa_1109hsa_1110", "dohlídnout (v-whsa_1109hsa_1110)")</f>
        <v>dohlídnout (v-whsa_1109hsa_1110)</v>
      </c>
    </row>
    <row r="3881" customFormat="false" ht="12.8" hidden="false" customHeight="false" outlineLevel="0" collapsed="false">
      <c r="B3881" s="0" t="s">
        <v>1</v>
      </c>
    </row>
    <row r="3882" customFormat="false" ht="12.8" hidden="false" customHeight="false" outlineLevel="0" collapsed="false">
      <c r="B3882" s="0" t="s">
        <v>2273</v>
      </c>
    </row>
    <row r="3884" customFormat="false" ht="12.8" hidden="false" customHeight="false" outlineLevel="0" collapsed="false">
      <c r="A3884" s="0" t="s">
        <v>2278</v>
      </c>
      <c r="B3884" s="0" t="str">
        <f aca="false">HYPERLINK("https://lindat.mff.cuni.cz/services/teitok/pdtc10/index.php?action=vallex&amp;frame=v-w557f1", "dohlížet (v-w557f1)")</f>
        <v>dohlížet (v-w557f1)</v>
      </c>
      <c r="E3884" s="0" t="str">
        <f aca="false">HYPERLINK("https://lindat.mff.cuni.cz/services/SynSemClass40/SynSemClass40.html?veclass=vec00211#vec00211-ces-cm00001", "vec00211")</f>
        <v>vec00211</v>
      </c>
      <c r="F3884" s="0" t="s">
        <v>2270</v>
      </c>
    </row>
    <row r="3885" customFormat="false" ht="12.8" hidden="false" customHeight="false" outlineLevel="0" collapsed="false">
      <c r="B3885" s="0" t="s">
        <v>1</v>
      </c>
      <c r="C3885" s="0" t="s">
        <v>2271</v>
      </c>
      <c r="E3885" s="0" t="s">
        <v>206</v>
      </c>
      <c r="F3885" s="0" t="s">
        <v>2272</v>
      </c>
    </row>
    <row r="3886" customFormat="false" ht="12.8" hidden="false" customHeight="false" outlineLevel="0" collapsed="false">
      <c r="B3886" s="0" t="s">
        <v>2279</v>
      </c>
      <c r="C3886" s="0" t="s">
        <v>2274</v>
      </c>
      <c r="E3886" s="0" t="s">
        <v>1995</v>
      </c>
      <c r="F3886" s="0" t="s">
        <v>2275</v>
      </c>
    </row>
    <row r="3888" customFormat="false" ht="12.8" hidden="false" customHeight="false" outlineLevel="0" collapsed="false">
      <c r="A3888" s="0" t="s">
        <v>2280</v>
      </c>
      <c r="B3888" s="0" t="str">
        <f aca="false">HYPERLINK("https://lindat.mff.cuni.cz/services/teitok/pdtc10/index.php?action=vallex&amp;frame=v-w558f2", "dohnat (v-w558f2)")</f>
        <v>dohnat (v-w558f2)</v>
      </c>
      <c r="E3888" s="0" t="str">
        <f aca="false">HYPERLINK("https://lindat.mff.cuni.cz/services/SynSemClass40/SynSemClass40.html?veclass=vec01015#vec01015-ces-cm00023", "vec01015")</f>
        <v>vec01015</v>
      </c>
      <c r="F3888" s="0" t="s">
        <v>2281</v>
      </c>
    </row>
    <row r="3889" customFormat="false" ht="12.8" hidden="false" customHeight="false" outlineLevel="0" collapsed="false">
      <c r="B3889" s="0" t="s">
        <v>1</v>
      </c>
      <c r="C3889" s="0" t="s">
        <v>2282</v>
      </c>
      <c r="E3889" s="0" t="s">
        <v>76</v>
      </c>
      <c r="F3889" s="0" t="s">
        <v>2283</v>
      </c>
    </row>
    <row r="3890" customFormat="false" ht="12.8" hidden="false" customHeight="false" outlineLevel="0" collapsed="false">
      <c r="B3890" s="0" t="s">
        <v>311</v>
      </c>
      <c r="C3890" s="0" t="s">
        <v>2284</v>
      </c>
      <c r="E3890" s="0" t="s">
        <v>1592</v>
      </c>
      <c r="F3890" s="0" t="s">
        <v>2285</v>
      </c>
    </row>
    <row r="3891" customFormat="false" ht="12.8" hidden="false" customHeight="false" outlineLevel="0" collapsed="false">
      <c r="B3891" s="0" t="s">
        <v>98</v>
      </c>
      <c r="C3891" s="0" t="s">
        <v>2286</v>
      </c>
      <c r="E3891" s="0" t="s">
        <v>2287</v>
      </c>
      <c r="F3891" s="0" t="s">
        <v>2288</v>
      </c>
    </row>
    <row r="3893" customFormat="false" ht="12.8" hidden="false" customHeight="false" outlineLevel="0" collapsed="false">
      <c r="A3893" s="0" t="s">
        <v>2289</v>
      </c>
      <c r="B3893" s="0" t="str">
        <f aca="false">HYPERLINK("https://lindat.mff.cuni.cz/services/teitok/pdtc10/index.php?action=vallex&amp;frame=v-w558f1", "dohnat (v-w558f1)")</f>
        <v>dohnat (v-w558f1)</v>
      </c>
      <c r="E3893" s="0" t="str">
        <f aca="false">HYPERLINK("https://lindat.mff.cuni.cz/services/SynSemClass40/SynSemClass40.html?veclass=vec01017#vec01017-ces-cm00003", "vec01017")</f>
        <v>vec01017</v>
      </c>
      <c r="F3893" s="0" t="s">
        <v>2290</v>
      </c>
    </row>
    <row r="3894" customFormat="false" ht="12.8" hidden="false" customHeight="false" outlineLevel="0" collapsed="false">
      <c r="B3894" s="0" t="s">
        <v>1</v>
      </c>
      <c r="C3894" s="0" t="s">
        <v>10</v>
      </c>
      <c r="E3894" s="0" t="s">
        <v>2291</v>
      </c>
      <c r="F3894" s="0" t="s">
        <v>2292</v>
      </c>
    </row>
    <row r="3895" customFormat="false" ht="12.8" hidden="false" customHeight="false" outlineLevel="0" collapsed="false">
      <c r="B3895" s="0" t="s">
        <v>8</v>
      </c>
      <c r="C3895" s="0" t="s">
        <v>2293</v>
      </c>
      <c r="E3895" s="0" t="s">
        <v>523</v>
      </c>
      <c r="F3895" s="0" t="s">
        <v>2294</v>
      </c>
    </row>
    <row r="3897" customFormat="false" ht="12.8" hidden="false" customHeight="false" outlineLevel="0" collapsed="false">
      <c r="A3897" s="0" t="s">
        <v>2295</v>
      </c>
      <c r="B3897" s="0" t="str">
        <f aca="false">HYPERLINK("https://lindat.mff.cuni.cz/services/teitok/pdtc10/index.php?action=vallex&amp;frame=v-w558f3", "dohnat (v-w558f3)")</f>
        <v>dohnat (v-w558f3)</v>
      </c>
      <c r="E3897" s="0" t="str">
        <f aca="false">HYPERLINK("https://lindat.mff.cuni.cz/services/SynSemClass40/SynSemClass40.html?veclass=vec01017#vec01017-ces-cm00013", "vec01017")</f>
        <v>vec01017</v>
      </c>
      <c r="F3897" s="0" t="s">
        <v>2290</v>
      </c>
    </row>
    <row r="3898" customFormat="false" ht="12.8" hidden="false" customHeight="false" outlineLevel="0" collapsed="false">
      <c r="B3898" s="0" t="s">
        <v>1</v>
      </c>
      <c r="C3898" s="0" t="s">
        <v>10</v>
      </c>
      <c r="E3898" s="0" t="s">
        <v>2291</v>
      </c>
      <c r="F3898" s="0" t="s">
        <v>2292</v>
      </c>
    </row>
    <row r="3899" customFormat="false" ht="12.8" hidden="false" customHeight="false" outlineLevel="0" collapsed="false">
      <c r="B3899" s="0" t="s">
        <v>8</v>
      </c>
      <c r="C3899" s="0" t="s">
        <v>2293</v>
      </c>
      <c r="E3899" s="0" t="s">
        <v>523</v>
      </c>
      <c r="F3899" s="0" t="s">
        <v>2294</v>
      </c>
    </row>
    <row r="3901" customFormat="false" ht="12.8" hidden="false" customHeight="false" outlineLevel="0" collapsed="false">
      <c r="A3901" s="0" t="s">
        <v>2296</v>
      </c>
      <c r="B3901" s="0" t="str">
        <f aca="false">HYPERLINK("https://lindat.mff.cuni.cz/services/teitok/pdtc10/index.php?action=vallex&amp;frame=v-w558f4", "dohnat (v-w558f4)")</f>
        <v>dohnat (v-w558f4)</v>
      </c>
    </row>
    <row r="3902" customFormat="false" ht="12.8" hidden="false" customHeight="false" outlineLevel="0" collapsed="false">
      <c r="B3902" s="0" t="s">
        <v>1</v>
      </c>
    </row>
    <row r="3903" customFormat="false" ht="12.8" hidden="false" customHeight="false" outlineLevel="0" collapsed="false">
      <c r="B3903" s="0" t="s">
        <v>8</v>
      </c>
    </row>
    <row r="3905" customFormat="false" ht="12.8" hidden="false" customHeight="false" outlineLevel="0" collapsed="false">
      <c r="A3905" s="0" t="s">
        <v>2297</v>
      </c>
      <c r="B3905" s="0" t="str">
        <f aca="false">HYPERLINK("https://lindat.mff.cuni.cz/services/teitok/pdtc10/index.php?action=vallex&amp;frame=v-w558hsa_1047", "dohnat (v-w558hsa_1047)")</f>
        <v>dohnat (v-w558hsa_1047)</v>
      </c>
    </row>
    <row r="3906" customFormat="false" ht="12.8" hidden="false" customHeight="false" outlineLevel="0" collapsed="false">
      <c r="B3906" s="0" t="s">
        <v>1</v>
      </c>
    </row>
    <row r="3907" customFormat="false" ht="12.8" hidden="false" customHeight="false" outlineLevel="0" collapsed="false">
      <c r="B3907" s="0" t="s">
        <v>8</v>
      </c>
    </row>
    <row r="3908" customFormat="false" ht="12.8" hidden="false" customHeight="false" outlineLevel="0" collapsed="false">
      <c r="B3908" s="0" t="s">
        <v>164</v>
      </c>
    </row>
    <row r="3910" customFormat="false" ht="12.8" hidden="false" customHeight="false" outlineLevel="0" collapsed="false">
      <c r="A3910" s="0" t="s">
        <v>2298</v>
      </c>
      <c r="B3910" s="0" t="str">
        <f aca="false">HYPERLINK("https://lindat.mff.cuni.cz/services/teitok/pdtc10/index.php?action=vallex&amp;frame=v-w10107f2", "dohodit (v-w10107f2)")</f>
        <v>dohodit (v-w10107f2)</v>
      </c>
    </row>
    <row r="3911" customFormat="false" ht="12.8" hidden="false" customHeight="false" outlineLevel="0" collapsed="false">
      <c r="B3911" s="0" t="s">
        <v>1</v>
      </c>
    </row>
    <row r="3912" customFormat="false" ht="12.8" hidden="false" customHeight="false" outlineLevel="0" collapsed="false">
      <c r="B3912" s="0" t="s">
        <v>2299</v>
      </c>
    </row>
    <row r="3914" customFormat="false" ht="12.8" hidden="false" customHeight="false" outlineLevel="0" collapsed="false">
      <c r="A3914" s="0" t="s">
        <v>2300</v>
      </c>
      <c r="B3914" s="0" t="str">
        <f aca="false">HYPERLINK("https://lindat.mff.cuni.cz/services/teitok/pdtc10/index.php?action=vallex&amp;frame=v-w10107f3_ZU", "dohodit (v-w10107f3_ZU)")</f>
        <v>dohodit (v-w10107f3_ZU)</v>
      </c>
    </row>
    <row r="3915" customFormat="false" ht="12.8" hidden="false" customHeight="false" outlineLevel="0" collapsed="false">
      <c r="B3915" s="0" t="s">
        <v>1</v>
      </c>
    </row>
    <row r="3916" customFormat="false" ht="12.8" hidden="false" customHeight="false" outlineLevel="0" collapsed="false">
      <c r="B3916" s="0" t="s">
        <v>2301</v>
      </c>
    </row>
    <row r="3918" customFormat="false" ht="12.8" hidden="false" customHeight="false" outlineLevel="0" collapsed="false">
      <c r="A3918" s="0" t="s">
        <v>2300</v>
      </c>
      <c r="B3918" s="0" t="str">
        <f aca="false">HYPERLINK("https://lindat.mff.cuni.cz/services/teitok/pdtc10/index.php?action=vallex&amp;frame=v-w10107hsa_843", "dohodit (v-w10107hsa_843) - substituted with v-w10107f3_ZU")</f>
        <v>dohodit (v-w10107hsa_843) - substituted with v-w10107f3_ZU</v>
      </c>
    </row>
    <row r="3919" customFormat="false" ht="12.8" hidden="false" customHeight="false" outlineLevel="0" collapsed="false">
      <c r="B3919" s="0" t="s">
        <v>1</v>
      </c>
    </row>
    <row r="3920" customFormat="false" ht="12.8" hidden="false" customHeight="false" outlineLevel="0" collapsed="false">
      <c r="B3920" s="0" t="s">
        <v>2301</v>
      </c>
    </row>
    <row r="3922" customFormat="false" ht="12.8" hidden="false" customHeight="false" outlineLevel="0" collapsed="false">
      <c r="A3922" s="0" t="s">
        <v>2302</v>
      </c>
      <c r="B3922" s="0" t="str">
        <f aca="false">HYPERLINK("https://lindat.mff.cuni.cz/services/teitok/pdtc10/index.php?action=vallex&amp;frame=v-w10107f4_ZU", "dohodit (v-w10107f4_ZU)")</f>
        <v>dohodit (v-w10107f4_ZU)</v>
      </c>
    </row>
    <row r="3923" customFormat="false" ht="12.8" hidden="false" customHeight="false" outlineLevel="0" collapsed="false">
      <c r="B3923" s="0" t="s">
        <v>1</v>
      </c>
    </row>
    <row r="3924" customFormat="false" ht="12.8" hidden="false" customHeight="false" outlineLevel="0" collapsed="false">
      <c r="B3924" s="0" t="s">
        <v>8</v>
      </c>
    </row>
    <row r="3925" customFormat="false" ht="12.8" hidden="false" customHeight="false" outlineLevel="0" collapsed="false">
      <c r="B3925" s="0" t="s">
        <v>52</v>
      </c>
    </row>
    <row r="3927" customFormat="false" ht="12.8" hidden="false" customHeight="false" outlineLevel="0" collapsed="false">
      <c r="A3927" s="0" t="s">
        <v>2303</v>
      </c>
      <c r="B3927" s="0" t="str">
        <f aca="false">HYPERLINK("https://lindat.mff.cuni.cz/services/teitok/pdtc10/index.php?action=vallex&amp;frame=v-w560f1", "dohodnout (v-w560f1)")</f>
        <v>dohodnout (v-w560f1)</v>
      </c>
      <c r="E3927" s="0" t="str">
        <f aca="false">HYPERLINK("https://lindat.mff.cuni.cz/services/SynSemClass40/SynSemClass40.html?veclass=vec00078#vec00078-ces-cm00037", "vec00078")</f>
        <v>vec00078</v>
      </c>
      <c r="F3927" s="0" t="s">
        <v>204</v>
      </c>
    </row>
    <row r="3928" customFormat="false" ht="12.8" hidden="false" customHeight="false" outlineLevel="0" collapsed="false">
      <c r="B3928" s="0" t="s">
        <v>1</v>
      </c>
      <c r="C3928" s="0" t="s">
        <v>205</v>
      </c>
      <c r="E3928" s="0" t="s">
        <v>206</v>
      </c>
      <c r="F3928" s="0" t="s">
        <v>207</v>
      </c>
    </row>
    <row r="3929" customFormat="false" ht="12.8" hidden="false" customHeight="false" outlineLevel="0" collapsed="false">
      <c r="B3929" s="0" t="s">
        <v>216</v>
      </c>
      <c r="C3929" s="0" t="s">
        <v>208</v>
      </c>
      <c r="E3929" s="0" t="s">
        <v>209</v>
      </c>
      <c r="F3929" s="0" t="s">
        <v>210</v>
      </c>
    </row>
    <row r="3930" customFormat="false" ht="12.8" hidden="false" customHeight="false" outlineLevel="0" collapsed="false">
      <c r="B3930" s="0" t="s">
        <v>276</v>
      </c>
      <c r="C3930" s="0" t="s">
        <v>2304</v>
      </c>
      <c r="E3930" s="0" t="s">
        <v>2305</v>
      </c>
      <c r="F3930" s="0" t="s">
        <v>2306</v>
      </c>
    </row>
    <row r="3932" customFormat="false" ht="12.8" hidden="false" customHeight="false" outlineLevel="0" collapsed="false">
      <c r="A3932" s="0" t="s">
        <v>2307</v>
      </c>
      <c r="B3932" s="0" t="str">
        <f aca="false">HYPERLINK("https://lindat.mff.cuni.cz/services/teitok/pdtc10/index.php?action=vallex&amp;frame=v-w561f1", "dohodnout se (v-w561f1)")</f>
        <v>dohodnout se (v-w561f1)</v>
      </c>
      <c r="E3932" s="0" t="str">
        <f aca="false">HYPERLINK("https://lindat.mff.cuni.cz/services/SynSemClass40/SynSemClass40.html?veclass=vec00162#vec00162-ces-cm00003", "vec00162")</f>
        <v>vec00162</v>
      </c>
      <c r="F3932" s="0" t="s">
        <v>1109</v>
      </c>
      <c r="H3932" s="0" t="str">
        <f aca="false">HYPERLINK("https://lindat.mff.cuni.cz/services/SynSemClass40/SynSemClass40.html?veclass=vec01468#vec01468-ces-cm00009", "vec01468")</f>
        <v>vec01468</v>
      </c>
      <c r="I3932" s="0" t="s">
        <v>2308</v>
      </c>
    </row>
    <row r="3933" customFormat="false" ht="12.8" hidden="false" customHeight="false" outlineLevel="0" collapsed="false">
      <c r="B3933" s="0" t="s">
        <v>1</v>
      </c>
      <c r="C3933" s="0" t="s">
        <v>2309</v>
      </c>
      <c r="E3933" s="0" t="s">
        <v>2241</v>
      </c>
      <c r="F3933" s="0" t="s">
        <v>2242</v>
      </c>
      <c r="H3933" s="0" t="s">
        <v>2251</v>
      </c>
      <c r="I3933" s="0" t="s">
        <v>2310</v>
      </c>
    </row>
    <row r="3934" customFormat="false" ht="12.8" hidden="false" customHeight="false" outlineLevel="0" collapsed="false">
      <c r="B3934" s="0" t="s">
        <v>2311</v>
      </c>
      <c r="C3934" s="0" t="s">
        <v>2312</v>
      </c>
      <c r="E3934" s="0" t="s">
        <v>209</v>
      </c>
      <c r="F3934" s="0" t="s">
        <v>2245</v>
      </c>
      <c r="H3934" s="0" t="s">
        <v>230</v>
      </c>
      <c r="I3934" s="0" t="s">
        <v>2313</v>
      </c>
    </row>
    <row r="3935" customFormat="false" ht="12.8" hidden="false" customHeight="false" outlineLevel="0" collapsed="false">
      <c r="B3935" s="0" t="s">
        <v>2314</v>
      </c>
      <c r="C3935" s="0" t="s">
        <v>2315</v>
      </c>
      <c r="E3935" s="0" t="s">
        <v>2247</v>
      </c>
      <c r="F3935" s="0" t="s">
        <v>2248</v>
      </c>
      <c r="H3935" s="0" t="s">
        <v>2256</v>
      </c>
      <c r="I3935" s="0" t="s">
        <v>2316</v>
      </c>
    </row>
    <row r="3937" customFormat="false" ht="12.8" hidden="false" customHeight="false" outlineLevel="0" collapsed="false">
      <c r="A3937" s="0" t="s">
        <v>2317</v>
      </c>
      <c r="B3937" s="0" t="str">
        <f aca="false">HYPERLINK("https://lindat.mff.cuni.cz/services/teitok/pdtc10/index.php?action=vallex&amp;frame=v-w563f1", "dohonit (v-w563f1)")</f>
        <v>dohonit (v-w563f1)</v>
      </c>
    </row>
    <row r="3938" customFormat="false" ht="12.8" hidden="false" customHeight="false" outlineLevel="0" collapsed="false">
      <c r="B3938" s="0" t="s">
        <v>1</v>
      </c>
    </row>
    <row r="3939" customFormat="false" ht="12.8" hidden="false" customHeight="false" outlineLevel="0" collapsed="false">
      <c r="B3939" s="0" t="s">
        <v>8</v>
      </c>
    </row>
    <row r="3941" customFormat="false" ht="12.8" hidden="false" customHeight="false" outlineLevel="0" collapsed="false">
      <c r="A3941" s="0" t="s">
        <v>2318</v>
      </c>
      <c r="B3941" s="0" t="str">
        <f aca="false">HYPERLINK("https://lindat.mff.cuni.cz/services/teitok/pdtc10/index.php?action=vallex&amp;frame=v-w563hsa_1210", "dohonit (v-w563hsa_1210)")</f>
        <v>dohonit (v-w563hsa_1210)</v>
      </c>
    </row>
    <row r="3942" customFormat="false" ht="12.8" hidden="false" customHeight="false" outlineLevel="0" collapsed="false">
      <c r="B3942" s="0" t="s">
        <v>1</v>
      </c>
    </row>
    <row r="3943" customFormat="false" ht="12.8" hidden="false" customHeight="false" outlineLevel="0" collapsed="false">
      <c r="B3943" s="0" t="s">
        <v>8</v>
      </c>
    </row>
    <row r="3945" customFormat="false" ht="12.8" hidden="false" customHeight="false" outlineLevel="0" collapsed="false">
      <c r="A3945" s="0" t="s">
        <v>2319</v>
      </c>
      <c r="B3945" s="0" t="str">
        <f aca="false">HYPERLINK("https://lindat.mff.cuni.cz/services/teitok/pdtc10/index.php?action=vallex&amp;frame=v-w563f2_ZU", "dohonit (v-w563f2_ZU)")</f>
        <v>dohonit (v-w563f2_ZU)</v>
      </c>
    </row>
    <row r="3946" customFormat="false" ht="12.8" hidden="false" customHeight="false" outlineLevel="0" collapsed="false">
      <c r="B3946" s="0" t="s">
        <v>1</v>
      </c>
    </row>
    <row r="3947" customFormat="false" ht="12.8" hidden="false" customHeight="false" outlineLevel="0" collapsed="false">
      <c r="B3947" s="0" t="s">
        <v>8</v>
      </c>
    </row>
    <row r="3949" customFormat="false" ht="12.8" hidden="false" customHeight="false" outlineLevel="0" collapsed="false">
      <c r="A3949" s="0" t="s">
        <v>2320</v>
      </c>
      <c r="B3949" s="0" t="str">
        <f aca="false">HYPERLINK("https://lindat.mff.cuni.cz/services/teitok/pdtc10/index.php?action=vallex&amp;frame=v-w565f1", "dohrát (v-w565f1)")</f>
        <v>dohrát (v-w565f1)</v>
      </c>
      <c r="E3949" s="0" t="str">
        <f aca="false">HYPERLINK("https://lindat.mff.cuni.cz/services/SynSemClass40/SynSemClass40.html?veclass=vec00823#vec00823-ces-cm00003", "vec00823")</f>
        <v>vec00823</v>
      </c>
      <c r="F3949" s="0" t="s">
        <v>2321</v>
      </c>
    </row>
    <row r="3950" customFormat="false" ht="12.8" hidden="false" customHeight="false" outlineLevel="0" collapsed="false">
      <c r="B3950" s="0" t="s">
        <v>1</v>
      </c>
      <c r="E3950" s="0" t="s">
        <v>1830</v>
      </c>
      <c r="F3950" s="0" t="s">
        <v>2322</v>
      </c>
    </row>
    <row r="3951" customFormat="false" ht="12.8" hidden="false" customHeight="false" outlineLevel="0" collapsed="false">
      <c r="B3951" s="0" t="s">
        <v>8</v>
      </c>
      <c r="E3951" s="0" t="s">
        <v>2323</v>
      </c>
      <c r="F3951" s="0" t="s">
        <v>2324</v>
      </c>
    </row>
    <row r="3953" customFormat="false" ht="12.8" hidden="false" customHeight="false" outlineLevel="0" collapsed="false">
      <c r="A3953" s="0" t="s">
        <v>2325</v>
      </c>
      <c r="B3953" s="0" t="str">
        <f aca="false">HYPERLINK("https://lindat.mff.cuni.cz/services/teitok/pdtc10/index.php?action=vallex&amp;frame=v-w566f1", "dohrávat (v-w566f1)")</f>
        <v>dohrávat (v-w566f1)</v>
      </c>
      <c r="E3953" s="0" t="str">
        <f aca="false">HYPERLINK("https://lindat.mff.cuni.cz/services/SynSemClass40/SynSemClass40.html?veclass=vec00823#vec00823-ces-cm00030", "vec00823")</f>
        <v>vec00823</v>
      </c>
      <c r="F3953" s="0" t="s">
        <v>2321</v>
      </c>
    </row>
    <row r="3954" customFormat="false" ht="12.8" hidden="false" customHeight="false" outlineLevel="0" collapsed="false">
      <c r="B3954" s="0" t="s">
        <v>1</v>
      </c>
      <c r="E3954" s="0" t="s">
        <v>1830</v>
      </c>
      <c r="F3954" s="0" t="s">
        <v>2322</v>
      </c>
    </row>
    <row r="3955" customFormat="false" ht="12.8" hidden="false" customHeight="false" outlineLevel="0" collapsed="false">
      <c r="B3955" s="0" t="s">
        <v>8</v>
      </c>
      <c r="E3955" s="0" t="s">
        <v>2323</v>
      </c>
      <c r="F3955" s="0" t="s">
        <v>2324</v>
      </c>
    </row>
    <row r="3957" customFormat="false" ht="12.8" hidden="false" customHeight="false" outlineLevel="0" collapsed="false">
      <c r="A3957" s="0" t="s">
        <v>2326</v>
      </c>
      <c r="B3957" s="0" t="str">
        <f aca="false">HYPERLINK("https://lindat.mff.cuni.cz/services/teitok/pdtc10/index.php?action=vallex&amp;frame=v-w551f2_ZU", "dohánět (v-w551f2_ZU)")</f>
        <v>dohánět (v-w551f2_ZU)</v>
      </c>
      <c r="E3957" s="0" t="str">
        <f aca="false">HYPERLINK("https://lindat.mff.cuni.cz/services/SynSemClass40/SynSemClass40.html?veclass=vec01015#vec01015-ces-cm00001", "vec01015")</f>
        <v>vec01015</v>
      </c>
      <c r="F3957" s="0" t="s">
        <v>2281</v>
      </c>
    </row>
    <row r="3958" customFormat="false" ht="12.8" hidden="false" customHeight="false" outlineLevel="0" collapsed="false">
      <c r="B3958" s="0" t="s">
        <v>1</v>
      </c>
      <c r="C3958" s="0" t="s">
        <v>2282</v>
      </c>
      <c r="E3958" s="0" t="s">
        <v>76</v>
      </c>
      <c r="F3958" s="0" t="s">
        <v>2283</v>
      </c>
    </row>
    <row r="3959" customFormat="false" ht="12.8" hidden="false" customHeight="false" outlineLevel="0" collapsed="false">
      <c r="B3959" s="0" t="s">
        <v>311</v>
      </c>
      <c r="C3959" s="0" t="s">
        <v>2284</v>
      </c>
      <c r="E3959" s="0" t="s">
        <v>1592</v>
      </c>
      <c r="F3959" s="0" t="s">
        <v>2285</v>
      </c>
    </row>
    <row r="3960" customFormat="false" ht="12.8" hidden="false" customHeight="false" outlineLevel="0" collapsed="false">
      <c r="B3960" s="0" t="s">
        <v>98</v>
      </c>
      <c r="C3960" s="0" t="s">
        <v>2286</v>
      </c>
      <c r="E3960" s="0" t="s">
        <v>2287</v>
      </c>
      <c r="F3960" s="0" t="s">
        <v>2288</v>
      </c>
    </row>
    <row r="3962" customFormat="false" ht="12.8" hidden="false" customHeight="false" outlineLevel="0" collapsed="false">
      <c r="A3962" s="0" t="s">
        <v>2327</v>
      </c>
      <c r="B3962" s="0" t="str">
        <f aca="false">HYPERLINK("https://lindat.mff.cuni.cz/services/teitok/pdtc10/index.php?action=vallex&amp;frame=v-w551f1", "dohánět (v-w551f1)")</f>
        <v>dohánět (v-w551f1)</v>
      </c>
      <c r="E3962" s="0" t="str">
        <f aca="false">HYPERLINK("https://lindat.mff.cuni.cz/services/SynSemClass40/SynSemClass40.html?veclass=vec01017#vec01017-ces-cm00002", "vec01017")</f>
        <v>vec01017</v>
      </c>
      <c r="F3962" s="0" t="s">
        <v>2290</v>
      </c>
    </row>
    <row r="3963" customFormat="false" ht="12.8" hidden="false" customHeight="false" outlineLevel="0" collapsed="false">
      <c r="B3963" s="0" t="s">
        <v>1</v>
      </c>
      <c r="C3963" s="0" t="s">
        <v>10</v>
      </c>
      <c r="E3963" s="0" t="s">
        <v>2291</v>
      </c>
      <c r="F3963" s="0" t="s">
        <v>2292</v>
      </c>
    </row>
    <row r="3964" customFormat="false" ht="12.8" hidden="false" customHeight="false" outlineLevel="0" collapsed="false">
      <c r="B3964" s="0" t="s">
        <v>8</v>
      </c>
      <c r="C3964" s="0" t="s">
        <v>2293</v>
      </c>
      <c r="E3964" s="0" t="s">
        <v>523</v>
      </c>
      <c r="F3964" s="0" t="s">
        <v>2294</v>
      </c>
    </row>
    <row r="3966" customFormat="false" ht="12.8" hidden="false" customHeight="false" outlineLevel="0" collapsed="false">
      <c r="A3966" s="0" t="s">
        <v>2328</v>
      </c>
      <c r="B3966" s="0" t="str">
        <f aca="false">HYPERLINK("https://lindat.mff.cuni.cz/services/teitok/pdtc10/index.php?action=vallex&amp;frame=v-w573f1", "dojednat (v-w573f1)")</f>
        <v>dojednat (v-w573f1)</v>
      </c>
      <c r="E3966" s="0" t="str">
        <f aca="false">HYPERLINK("https://lindat.mff.cuni.cz/services/SynSemClass40/SynSemClass40.html?veclass=vec00162#vec00162-ces-cm00004", "vec00162")</f>
        <v>vec00162</v>
      </c>
      <c r="F3966" s="0" t="s">
        <v>1109</v>
      </c>
    </row>
    <row r="3967" customFormat="false" ht="12.8" hidden="false" customHeight="false" outlineLevel="0" collapsed="false">
      <c r="B3967" s="0" t="s">
        <v>1</v>
      </c>
      <c r="C3967" s="0" t="s">
        <v>2240</v>
      </c>
      <c r="E3967" s="0" t="s">
        <v>2241</v>
      </c>
      <c r="F3967" s="0" t="s">
        <v>2242</v>
      </c>
    </row>
    <row r="3968" customFormat="false" ht="12.8" hidden="false" customHeight="false" outlineLevel="0" collapsed="false">
      <c r="B3968" s="0" t="s">
        <v>2329</v>
      </c>
      <c r="C3968" s="0" t="s">
        <v>2244</v>
      </c>
      <c r="E3968" s="0" t="s">
        <v>209</v>
      </c>
      <c r="F3968" s="0" t="s">
        <v>2245</v>
      </c>
    </row>
    <row r="3969" customFormat="false" ht="12.8" hidden="false" customHeight="false" outlineLevel="0" collapsed="false">
      <c r="B3969" s="0" t="s">
        <v>276</v>
      </c>
      <c r="C3969" s="0" t="s">
        <v>2246</v>
      </c>
      <c r="E3969" s="0" t="s">
        <v>2247</v>
      </c>
      <c r="F3969" s="0" t="s">
        <v>2248</v>
      </c>
    </row>
    <row r="3971" customFormat="false" ht="12.8" hidden="false" customHeight="false" outlineLevel="0" collapsed="false">
      <c r="A3971" s="0" t="s">
        <v>2330</v>
      </c>
      <c r="B3971" s="0" t="str">
        <f aca="false">HYPERLINK("https://lindat.mff.cuni.cz/services/teitok/pdtc10/index.php?action=vallex&amp;frame=v-w10384f2", "dojednávat (v-w10384f2)")</f>
        <v>dojednávat (v-w10384f2)</v>
      </c>
      <c r="E3971" s="0" t="str">
        <f aca="false">HYPERLINK("https://lindat.mff.cuni.cz/services/SynSemClass40/SynSemClass40.html?veclass=vec00162#vec00162-ces-cm00005", "vec00162")</f>
        <v>vec00162</v>
      </c>
      <c r="F3971" s="0" t="s">
        <v>1109</v>
      </c>
    </row>
    <row r="3972" customFormat="false" ht="12.8" hidden="false" customHeight="false" outlineLevel="0" collapsed="false">
      <c r="B3972" s="0" t="s">
        <v>1</v>
      </c>
      <c r="C3972" s="0" t="s">
        <v>2240</v>
      </c>
      <c r="E3972" s="0" t="s">
        <v>2241</v>
      </c>
      <c r="F3972" s="0" t="s">
        <v>2242</v>
      </c>
    </row>
    <row r="3973" customFormat="false" ht="12.8" hidden="false" customHeight="false" outlineLevel="0" collapsed="false">
      <c r="B3973" s="0" t="s">
        <v>2329</v>
      </c>
      <c r="C3973" s="0" t="s">
        <v>2244</v>
      </c>
      <c r="E3973" s="0" t="s">
        <v>209</v>
      </c>
      <c r="F3973" s="0" t="s">
        <v>2245</v>
      </c>
    </row>
    <row r="3974" customFormat="false" ht="12.8" hidden="false" customHeight="false" outlineLevel="0" collapsed="false">
      <c r="B3974" s="0" t="s">
        <v>276</v>
      </c>
      <c r="C3974" s="0" t="s">
        <v>2246</v>
      </c>
      <c r="E3974" s="0" t="s">
        <v>2247</v>
      </c>
      <c r="F3974" s="0" t="s">
        <v>2248</v>
      </c>
    </row>
    <row r="3976" customFormat="false" ht="12.8" hidden="false" customHeight="false" outlineLevel="0" collapsed="false">
      <c r="A3976" s="0" t="s">
        <v>2331</v>
      </c>
      <c r="B3976" s="0" t="str">
        <f aca="false">HYPERLINK("https://lindat.mff.cuni.cz/services/teitok/pdtc10/index.php?action=vallex&amp;frame=v-w576f2", "dojet (v-w576f2)")</f>
        <v>dojet (v-w576f2)</v>
      </c>
    </row>
    <row r="3977" customFormat="false" ht="12.8" hidden="false" customHeight="false" outlineLevel="0" collapsed="false">
      <c r="B3977" s="0" t="s">
        <v>1</v>
      </c>
    </row>
    <row r="3978" customFormat="false" ht="12.8" hidden="false" customHeight="false" outlineLevel="0" collapsed="false">
      <c r="B3978" s="0" t="s">
        <v>8</v>
      </c>
    </row>
    <row r="3980" customFormat="false" ht="12.8" hidden="false" customHeight="false" outlineLevel="0" collapsed="false">
      <c r="A3980" s="0" t="s">
        <v>2332</v>
      </c>
      <c r="B3980" s="0" t="str">
        <f aca="false">HYPERLINK("https://lindat.mff.cuni.cz/services/teitok/pdtc10/index.php?action=vallex&amp;frame=v-w576f1", "dojet (v-w576f1)")</f>
        <v>dojet (v-w576f1)</v>
      </c>
    </row>
    <row r="3981" customFormat="false" ht="12.8" hidden="false" customHeight="false" outlineLevel="0" collapsed="false">
      <c r="B3981" s="0" t="s">
        <v>1</v>
      </c>
    </row>
    <row r="3982" customFormat="false" ht="12.8" hidden="false" customHeight="false" outlineLevel="0" collapsed="false">
      <c r="B3982" s="0" t="s">
        <v>164</v>
      </c>
    </row>
    <row r="3984" customFormat="false" ht="12.8" hidden="false" customHeight="false" outlineLevel="0" collapsed="false">
      <c r="A3984" s="0" t="s">
        <v>2333</v>
      </c>
      <c r="B3984" s="0" t="str">
        <f aca="false">HYPERLINK("https://lindat.mff.cuni.cz/services/teitok/pdtc10/index.php?action=vallex&amp;frame=v-w576f3_ZU", "dojet (v-w576f3_ZU)")</f>
        <v>dojet (v-w576f3_ZU)</v>
      </c>
    </row>
    <row r="3985" customFormat="false" ht="12.8" hidden="false" customHeight="false" outlineLevel="0" collapsed="false">
      <c r="B3985" s="0" t="s">
        <v>1</v>
      </c>
    </row>
    <row r="3986" customFormat="false" ht="12.8" hidden="false" customHeight="false" outlineLevel="0" collapsed="false">
      <c r="B3986" s="0" t="s">
        <v>8</v>
      </c>
    </row>
    <row r="3988" customFormat="false" ht="12.8" hidden="false" customHeight="false" outlineLevel="0" collapsed="false">
      <c r="A3988" s="0" t="s">
        <v>2334</v>
      </c>
      <c r="B3988" s="0" t="str">
        <f aca="false">HYPERLINK("https://lindat.mff.cuni.cz/services/teitok/pdtc10/index.php?action=vallex&amp;frame=v-w581f1", "dojit (v-w581f1)")</f>
        <v>dojit (v-w581f1)</v>
      </c>
    </row>
    <row r="3989" customFormat="false" ht="12.8" hidden="false" customHeight="false" outlineLevel="0" collapsed="false">
      <c r="B3989" s="0" t="s">
        <v>1</v>
      </c>
    </row>
    <row r="3990" customFormat="false" ht="12.8" hidden="false" customHeight="false" outlineLevel="0" collapsed="false">
      <c r="B3990" s="0" t="s">
        <v>8</v>
      </c>
    </row>
    <row r="3992" customFormat="false" ht="12.8" hidden="false" customHeight="false" outlineLevel="0" collapsed="false">
      <c r="A3992" s="0" t="s">
        <v>2335</v>
      </c>
      <c r="B3992" s="0" t="str">
        <f aca="false">HYPERLINK("https://lindat.mff.cuni.cz/services/teitok/pdtc10/index.php?action=vallex&amp;frame=v-w581f2", "dojit (v-w581f2)")</f>
        <v>dojit (v-w581f2)</v>
      </c>
    </row>
    <row r="3993" customFormat="false" ht="12.8" hidden="false" customHeight="false" outlineLevel="0" collapsed="false">
      <c r="B3993" s="0" t="s">
        <v>1</v>
      </c>
    </row>
    <row r="3994" customFormat="false" ht="12.8" hidden="false" customHeight="false" outlineLevel="0" collapsed="false">
      <c r="B3994" s="0" t="s">
        <v>390</v>
      </c>
    </row>
    <row r="3996" customFormat="false" ht="12.8" hidden="false" customHeight="false" outlineLevel="0" collapsed="false">
      <c r="A3996" s="0" t="s">
        <v>2336</v>
      </c>
      <c r="B3996" s="0" t="str">
        <f aca="false">HYPERLINK("https://lindat.mff.cuni.cz/services/teitok/pdtc10/index.php?action=vallex&amp;frame=v-w585f1", "dojmout (v-w585f1)")</f>
        <v>dojmout (v-w585f1)</v>
      </c>
      <c r="E3996" s="0" t="str">
        <f aca="false">HYPERLINK("https://lindat.mff.cuni.cz/services/SynSemClass40/SynSemClass40.html?veclass=vec01210#vec01210-ces-cm00001", "vec01210")</f>
        <v>vec01210</v>
      </c>
      <c r="F3996" s="0" t="s">
        <v>2337</v>
      </c>
    </row>
    <row r="3997" customFormat="false" ht="12.8" hidden="false" customHeight="false" outlineLevel="0" collapsed="false">
      <c r="B3997" s="0" t="s">
        <v>1</v>
      </c>
      <c r="C3997" s="0" t="s">
        <v>2338</v>
      </c>
      <c r="E3997" s="0" t="s">
        <v>1103</v>
      </c>
      <c r="F3997" s="0" t="s">
        <v>2339</v>
      </c>
    </row>
    <row r="3998" customFormat="false" ht="12.8" hidden="false" customHeight="false" outlineLevel="0" collapsed="false">
      <c r="B3998" s="0" t="s">
        <v>8</v>
      </c>
      <c r="C3998" s="0" t="s">
        <v>449</v>
      </c>
      <c r="E3998" s="0" t="s">
        <v>1930</v>
      </c>
      <c r="F3998" s="0" t="s">
        <v>2340</v>
      </c>
    </row>
    <row r="4000" customFormat="false" ht="12.8" hidden="false" customHeight="false" outlineLevel="0" collapsed="false">
      <c r="A4000" s="0" t="s">
        <v>2341</v>
      </c>
      <c r="B4000" s="0" t="str">
        <f aca="false">HYPERLINK("https://lindat.mff.cuni.cz/services/teitok/pdtc10/index.php?action=vallex&amp;frame=v-w580f1", "dojímat (v-w580f1)")</f>
        <v>dojímat (v-w580f1)</v>
      </c>
    </row>
    <row r="4001" customFormat="false" ht="12.8" hidden="false" customHeight="false" outlineLevel="0" collapsed="false">
      <c r="B4001" s="0" t="s">
        <v>1</v>
      </c>
    </row>
    <row r="4002" customFormat="false" ht="12.8" hidden="false" customHeight="false" outlineLevel="0" collapsed="false">
      <c r="B4002" s="0" t="s">
        <v>8</v>
      </c>
    </row>
    <row r="4004" customFormat="false" ht="12.8" hidden="false" customHeight="false" outlineLevel="0" collapsed="false">
      <c r="A4004" s="0" t="s">
        <v>2342</v>
      </c>
      <c r="B4004" s="0" t="str">
        <f aca="false">HYPERLINK("https://lindat.mff.cuni.cz/services/teitok/pdtc10/index.php?action=vallex&amp;frame=v-w11883_ZUf1_ZU", "dojíst (v-w11883_ZUf1_ZU)")</f>
        <v>dojíst (v-w11883_ZUf1_ZU)</v>
      </c>
    </row>
    <row r="4005" customFormat="false" ht="12.8" hidden="false" customHeight="false" outlineLevel="0" collapsed="false">
      <c r="B4005" s="0" t="s">
        <v>1</v>
      </c>
    </row>
    <row r="4006" customFormat="false" ht="12.8" hidden="false" customHeight="false" outlineLevel="0" collapsed="false">
      <c r="B4006" s="0" t="s">
        <v>8</v>
      </c>
    </row>
    <row r="4008" customFormat="false" ht="12.8" hidden="false" customHeight="false" outlineLevel="0" collapsed="false">
      <c r="A4008" s="0" t="s">
        <v>2343</v>
      </c>
      <c r="B4008" s="0" t="str">
        <f aca="false">HYPERLINK("https://lindat.mff.cuni.cz/services/teitok/pdtc10/index.php?action=vallex&amp;frame=v-w582f15_ZU", "dojít (v-w582f15_ZU)")</f>
        <v>dojít (v-w582f15_ZU)</v>
      </c>
    </row>
    <row r="4009" customFormat="false" ht="12.8" hidden="false" customHeight="false" outlineLevel="0" collapsed="false">
      <c r="B4009" s="0" t="s">
        <v>1</v>
      </c>
    </row>
    <row r="4010" customFormat="false" ht="12.8" hidden="false" customHeight="false" outlineLevel="0" collapsed="false">
      <c r="B4010" s="0" t="s">
        <v>2344</v>
      </c>
    </row>
    <row r="4012" customFormat="false" ht="12.8" hidden="false" customHeight="false" outlineLevel="0" collapsed="false">
      <c r="A4012" s="0" t="s">
        <v>2343</v>
      </c>
      <c r="B4012" s="0" t="str">
        <f aca="false">HYPERLINK("https://lindat.mff.cuni.cz/services/teitok/pdtc10/index.php?action=vallex&amp;frame=v-w582f7", "dojít (v-w582f7) - substituted with v-w582f15_ZU")</f>
        <v>dojít (v-w582f7) - substituted with v-w582f15_ZU</v>
      </c>
      <c r="E4012" s="0" t="str">
        <f aca="false">HYPERLINK("https://lindat.mff.cuni.cz/services/SynSemClass40/SynSemClass40.html?veclass=vec01393#vec01393-ces-cm00004", "vec01393")</f>
        <v>vec01393</v>
      </c>
      <c r="F4012" s="0" t="s">
        <v>2162</v>
      </c>
    </row>
    <row r="4013" customFormat="false" ht="12.8" hidden="false" customHeight="false" outlineLevel="0" collapsed="false">
      <c r="B4013" s="0" t="s">
        <v>1</v>
      </c>
      <c r="C4013" s="0" t="s">
        <v>2163</v>
      </c>
      <c r="E4013" s="0" t="s">
        <v>11</v>
      </c>
      <c r="F4013" s="0" t="s">
        <v>2164</v>
      </c>
    </row>
    <row r="4014" customFormat="false" ht="12.8" hidden="false" customHeight="false" outlineLevel="0" collapsed="false">
      <c r="B4014" s="0" t="s">
        <v>2344</v>
      </c>
      <c r="C4014" s="0" t="s">
        <v>2165</v>
      </c>
      <c r="E4014" s="0" t="s">
        <v>1809</v>
      </c>
      <c r="F4014" s="0" t="s">
        <v>2166</v>
      </c>
    </row>
    <row r="4016" customFormat="false" ht="12.8" hidden="false" customHeight="false" outlineLevel="0" collapsed="false">
      <c r="A4016" s="0" t="s">
        <v>2345</v>
      </c>
      <c r="B4016" s="0" t="str">
        <f aca="false">HYPERLINK("https://lindat.mff.cuni.cz/services/teitok/pdtc10/index.php?action=vallex&amp;frame=v-w582f11", "dojít (v-w582f11)")</f>
        <v>dojít (v-w582f11)</v>
      </c>
    </row>
    <row r="4017" customFormat="false" ht="12.8" hidden="false" customHeight="false" outlineLevel="0" collapsed="false">
      <c r="B4017" s="0" t="s">
        <v>1</v>
      </c>
    </row>
    <row r="4018" customFormat="false" ht="12.8" hidden="false" customHeight="false" outlineLevel="0" collapsed="false">
      <c r="B4018" s="0" t="s">
        <v>8</v>
      </c>
    </row>
    <row r="4020" customFormat="false" ht="12.8" hidden="false" customHeight="false" outlineLevel="0" collapsed="false">
      <c r="A4020" s="0" t="s">
        <v>2346</v>
      </c>
      <c r="B4020" s="0" t="str">
        <f aca="false">HYPERLINK("https://lindat.mff.cuni.cz/services/teitok/pdtc10/index.php?action=vallex&amp;frame=v-w582f17_ZU", "dojít (v-w582f17_ZU)")</f>
        <v>dojít (v-w582f17_ZU)</v>
      </c>
    </row>
    <row r="4021" customFormat="false" ht="12.8" hidden="false" customHeight="false" outlineLevel="0" collapsed="false">
      <c r="B4021" s="0" t="s">
        <v>1</v>
      </c>
    </row>
    <row r="4022" customFormat="false" ht="12.8" hidden="false" customHeight="false" outlineLevel="0" collapsed="false">
      <c r="B4022" s="0" t="s">
        <v>311</v>
      </c>
    </row>
    <row r="4024" customFormat="false" ht="12.8" hidden="false" customHeight="false" outlineLevel="0" collapsed="false">
      <c r="A4024" s="0" t="s">
        <v>2346</v>
      </c>
      <c r="B4024" s="0" t="str">
        <f aca="false">HYPERLINK("https://lindat.mff.cuni.cz/services/teitok/pdtc10/index.php?action=vallex&amp;frame=v-w582f2", "dojít (v-w582f2) - substituted with v-w582f17_ZU")</f>
        <v>dojít (v-w582f2) - substituted with v-w582f17_ZU</v>
      </c>
      <c r="E4024" s="0" t="str">
        <f aca="false">HYPERLINK("https://lindat.mff.cuni.cz/services/SynSemClass40/SynSemClass40.html?veclass=vec00217#vec00217-ces-cm00004", "vec00217")</f>
        <v>vec00217</v>
      </c>
      <c r="F4024" s="0" t="s">
        <v>2135</v>
      </c>
    </row>
    <row r="4025" customFormat="false" ht="12.8" hidden="false" customHeight="false" outlineLevel="0" collapsed="false">
      <c r="B4025" s="0" t="s">
        <v>1</v>
      </c>
      <c r="C4025" s="0" t="s">
        <v>2136</v>
      </c>
      <c r="E4025" s="0" t="s">
        <v>621</v>
      </c>
      <c r="F4025" s="0" t="s">
        <v>2137</v>
      </c>
    </row>
    <row r="4026" customFormat="false" ht="12.8" hidden="false" customHeight="false" outlineLevel="0" collapsed="false">
      <c r="B4026" s="0" t="s">
        <v>311</v>
      </c>
      <c r="C4026" s="0" t="s">
        <v>1892</v>
      </c>
      <c r="E4026" s="0" t="s">
        <v>2138</v>
      </c>
      <c r="F4026" s="0" t="s">
        <v>2139</v>
      </c>
    </row>
    <row r="4028" customFormat="false" ht="12.8" hidden="false" customHeight="false" outlineLevel="0" collapsed="false">
      <c r="A4028" s="0" t="s">
        <v>2347</v>
      </c>
      <c r="B4028" s="0" t="str">
        <f aca="false">HYPERLINK("https://lindat.mff.cuni.cz/services/teitok/pdtc10/index.php?action=vallex&amp;frame=v-w582f20_ZU", "dojít (v-w582f20_ZU)")</f>
        <v>dojít (v-w582f20_ZU)</v>
      </c>
    </row>
    <row r="4029" customFormat="false" ht="12.8" hidden="false" customHeight="false" outlineLevel="0" collapsed="false">
      <c r="B4029" s="0" t="s">
        <v>804</v>
      </c>
    </row>
    <row r="4030" customFormat="false" ht="12.8" hidden="false" customHeight="false" outlineLevel="0" collapsed="false">
      <c r="B4030" s="0" t="s">
        <v>2348</v>
      </c>
    </row>
    <row r="4032" customFormat="false" ht="12.8" hidden="false" customHeight="false" outlineLevel="0" collapsed="false">
      <c r="A4032" s="0" t="s">
        <v>2347</v>
      </c>
      <c r="B4032" s="0" t="str">
        <f aca="false">HYPERLINK("https://lindat.mff.cuni.cz/services/teitok/pdtc10/index.php?action=vallex&amp;frame=v-w582f6", "dojít (v-w582f6) - substituted with v-w582f20_ZU")</f>
        <v>dojít (v-w582f6) - substituted with v-w582f20_ZU</v>
      </c>
    </row>
    <row r="4033" customFormat="false" ht="12.8" hidden="false" customHeight="false" outlineLevel="0" collapsed="false">
      <c r="B4033" s="0" t="s">
        <v>804</v>
      </c>
    </row>
    <row r="4034" customFormat="false" ht="12.8" hidden="false" customHeight="false" outlineLevel="0" collapsed="false">
      <c r="B4034" s="0" t="s">
        <v>2348</v>
      </c>
    </row>
    <row r="4036" customFormat="false" ht="12.8" hidden="false" customHeight="false" outlineLevel="0" collapsed="false">
      <c r="A4036" s="0" t="s">
        <v>2349</v>
      </c>
      <c r="B4036" s="0" t="str">
        <f aca="false">HYPERLINK("https://lindat.mff.cuni.cz/services/teitok/pdtc10/index.php?action=vallex&amp;frame=v-w582f19_ZU", "dojít (v-w582f19_ZU)")</f>
        <v>dojít (v-w582f19_ZU)</v>
      </c>
    </row>
    <row r="4037" customFormat="false" ht="12.8" hidden="false" customHeight="false" outlineLevel="0" collapsed="false">
      <c r="B4037" s="0" t="s">
        <v>1</v>
      </c>
    </row>
    <row r="4038" customFormat="false" ht="12.8" hidden="false" customHeight="false" outlineLevel="0" collapsed="false">
      <c r="B4038" s="0" t="s">
        <v>164</v>
      </c>
    </row>
    <row r="4040" customFormat="false" ht="12.8" hidden="false" customHeight="false" outlineLevel="0" collapsed="false">
      <c r="A4040" s="0" t="s">
        <v>2349</v>
      </c>
      <c r="B4040" s="0" t="str">
        <f aca="false">HYPERLINK("https://lindat.mff.cuni.cz/services/teitok/pdtc10/index.php?action=vallex&amp;frame=v-w582f18_ZU", "dojít (v-w582f18_ZU) - substituted with v-w582f19_ZU")</f>
        <v>dojít (v-w582f18_ZU) - substituted with v-w582f19_ZU</v>
      </c>
    </row>
    <row r="4041" customFormat="false" ht="12.8" hidden="false" customHeight="false" outlineLevel="0" collapsed="false">
      <c r="B4041" s="0" t="s">
        <v>1</v>
      </c>
    </row>
    <row r="4042" customFormat="false" ht="12.8" hidden="false" customHeight="false" outlineLevel="0" collapsed="false">
      <c r="B4042" s="0" t="s">
        <v>164</v>
      </c>
    </row>
    <row r="4044" customFormat="false" ht="12.8" hidden="false" customHeight="false" outlineLevel="0" collapsed="false">
      <c r="A4044" s="0" t="s">
        <v>2349</v>
      </c>
      <c r="B4044" s="0" t="str">
        <f aca="false">HYPERLINK("https://lindat.mff.cuni.cz/services/teitok/pdtc10/index.php?action=vallex&amp;frame=v-w582f3", "dojít (v-w582f3) - substituted with v-w582f19_ZU")</f>
        <v>dojít (v-w582f3) - substituted with v-w582f19_ZU</v>
      </c>
      <c r="E4044" s="0" t="str">
        <f aca="false">HYPERLINK("https://lindat.mff.cuni.cz/services/SynSemClass40/SynSemClass40.html?veclass=vec00218#vec00218-ces-cm00009", "vec00218")</f>
        <v>vec00218</v>
      </c>
      <c r="F4044" s="0" t="s">
        <v>2143</v>
      </c>
    </row>
    <row r="4045" customFormat="false" ht="12.8" hidden="false" customHeight="false" outlineLevel="0" collapsed="false">
      <c r="B4045" s="0" t="s">
        <v>1</v>
      </c>
      <c r="C4045" s="0" t="s">
        <v>2144</v>
      </c>
      <c r="E4045" s="0" t="s">
        <v>11</v>
      </c>
      <c r="F4045" s="0" t="s">
        <v>2145</v>
      </c>
    </row>
    <row r="4046" customFormat="false" ht="12.8" hidden="false" customHeight="false" outlineLevel="0" collapsed="false">
      <c r="B4046" s="0" t="s">
        <v>164</v>
      </c>
      <c r="C4046" s="0" t="s">
        <v>2146</v>
      </c>
      <c r="E4046" s="0" t="s">
        <v>370</v>
      </c>
      <c r="F4046" s="0" t="s">
        <v>2147</v>
      </c>
    </row>
    <row r="4048" customFormat="false" ht="12.8" hidden="false" customHeight="false" outlineLevel="0" collapsed="false">
      <c r="A4048" s="0" t="s">
        <v>2350</v>
      </c>
      <c r="B4048" s="0" t="str">
        <f aca="false">HYPERLINK("https://lindat.mff.cuni.cz/services/teitok/pdtc10/index.php?action=vallex&amp;frame=v-w582f9", "dojít (v-w582f9)")</f>
        <v>dojít (v-w582f9)</v>
      </c>
      <c r="E4048" s="0" t="str">
        <f aca="false">HYPERLINK("https://lindat.mff.cuni.cz/services/SynSemClass40/SynSemClass40.html?veclass=vec00218#vec00218-ces-cm00010", "vec00218")</f>
        <v>vec00218</v>
      </c>
      <c r="F4048" s="0" t="s">
        <v>2143</v>
      </c>
    </row>
    <row r="4049" customFormat="false" ht="12.8" hidden="false" customHeight="false" outlineLevel="0" collapsed="false">
      <c r="B4049" s="0" t="s">
        <v>1</v>
      </c>
      <c r="C4049" s="0" t="s">
        <v>2144</v>
      </c>
      <c r="E4049" s="0" t="s">
        <v>11</v>
      </c>
      <c r="F4049" s="0" t="s">
        <v>2145</v>
      </c>
    </row>
    <row r="4050" customFormat="false" ht="12.8" hidden="false" customHeight="false" outlineLevel="0" collapsed="false">
      <c r="B4050" s="0" t="s">
        <v>164</v>
      </c>
      <c r="C4050" s="0" t="s">
        <v>2146</v>
      </c>
      <c r="E4050" s="0" t="s">
        <v>370</v>
      </c>
      <c r="F4050" s="0" t="s">
        <v>2147</v>
      </c>
    </row>
    <row r="4052" customFormat="false" ht="12.8" hidden="false" customHeight="false" outlineLevel="0" collapsed="false">
      <c r="A4052" s="0" t="s">
        <v>2351</v>
      </c>
      <c r="B4052" s="0" t="str">
        <f aca="false">HYPERLINK("https://lindat.mff.cuni.cz/services/teitok/pdtc10/index.php?action=vallex&amp;frame=v-w582f13_ZU", "dojít (v-w582f13_ZU)")</f>
        <v>dojít (v-w582f13_ZU)</v>
      </c>
      <c r="E4052" s="0" t="str">
        <f aca="false">HYPERLINK("https://lindat.mff.cuni.cz/services/SynSemClass40/SynSemClass40.html?veclass=vec00810#vec00810-ces-cm00001", "vec00810")</f>
        <v>vec00810</v>
      </c>
      <c r="F4052" s="0" t="s">
        <v>2150</v>
      </c>
    </row>
    <row r="4053" customFormat="false" ht="12.8" hidden="false" customHeight="false" outlineLevel="0" collapsed="false">
      <c r="B4053" s="0" t="s">
        <v>1</v>
      </c>
      <c r="C4053" s="0" t="s">
        <v>2087</v>
      </c>
      <c r="E4053" s="0" t="s">
        <v>2151</v>
      </c>
      <c r="F4053" s="0" t="s">
        <v>2152</v>
      </c>
    </row>
    <row r="4055" customFormat="false" ht="12.8" hidden="false" customHeight="false" outlineLevel="0" collapsed="false">
      <c r="A4055" s="0" t="s">
        <v>2351</v>
      </c>
      <c r="B4055" s="0" t="str">
        <f aca="false">HYPERLINK("https://lindat.mff.cuni.cz/services/teitok/pdtc10/index.php?action=vallex&amp;frame=v-w582f4", "dojít (v-w582f4) - substituted with v-w582f13_ZU")</f>
        <v>dojít (v-w582f4) - substituted with v-w582f13_ZU</v>
      </c>
    </row>
    <row r="4056" customFormat="false" ht="12.8" hidden="false" customHeight="false" outlineLevel="0" collapsed="false">
      <c r="B4056" s="0" t="s">
        <v>1</v>
      </c>
    </row>
    <row r="4058" customFormat="false" ht="12.8" hidden="false" customHeight="false" outlineLevel="0" collapsed="false">
      <c r="A4058" s="0" t="s">
        <v>2352</v>
      </c>
      <c r="B4058" s="0" t="str">
        <f aca="false">HYPERLINK("https://lindat.mff.cuni.cz/services/teitok/pdtc10/index.php?action=vallex&amp;frame=v-w582f10", "dojít (v-w582f10)")</f>
        <v>dojít (v-w582f10)</v>
      </c>
    </row>
    <row r="4059" customFormat="false" ht="12.8" hidden="false" customHeight="false" outlineLevel="0" collapsed="false">
      <c r="B4059" s="0" t="s">
        <v>1</v>
      </c>
    </row>
    <row r="4061" customFormat="false" ht="12.8" hidden="false" customHeight="false" outlineLevel="0" collapsed="false">
      <c r="A4061" s="0" t="s">
        <v>2353</v>
      </c>
      <c r="B4061" s="0" t="str">
        <f aca="false">HYPERLINK("https://lindat.mff.cuni.cz/services/teitok/pdtc10/index.php?action=vallex&amp;frame=v-w582f14_ZU", "dojít (v-w582f14_ZU)")</f>
        <v>dojít (v-w582f14_ZU)</v>
      </c>
      <c r="E4061" s="0" t="str">
        <f aca="false">HYPERLINK("https://lindat.mff.cuni.cz/services/SynSemClass40/SynSemClass40.html?veclass=vec00097#vec00097-ces-cm00006", "vec00097")</f>
        <v>vec00097</v>
      </c>
      <c r="F4061" s="0" t="s">
        <v>373</v>
      </c>
    </row>
    <row r="4062" customFormat="false" ht="12.8" hidden="false" customHeight="false" outlineLevel="0" collapsed="false">
      <c r="B4062" s="0" t="s">
        <v>2156</v>
      </c>
      <c r="C4062" s="0" t="s">
        <v>374</v>
      </c>
      <c r="E4062" s="0" t="s">
        <v>375</v>
      </c>
      <c r="F4062" s="0" t="s">
        <v>376</v>
      </c>
    </row>
    <row r="4064" customFormat="false" ht="12.8" hidden="false" customHeight="false" outlineLevel="0" collapsed="false">
      <c r="A4064" s="0" t="s">
        <v>2353</v>
      </c>
      <c r="B4064" s="0" t="str">
        <f aca="false">HYPERLINK("https://lindat.mff.cuni.cz/services/teitok/pdtc10/index.php?action=vallex&amp;frame=v-w582f1", "dojít (v-w582f1) - substituted with v-w582f14_ZU")</f>
        <v>dojít (v-w582f1) - substituted with v-w582f14_ZU</v>
      </c>
    </row>
    <row r="4065" customFormat="false" ht="12.8" hidden="false" customHeight="false" outlineLevel="0" collapsed="false">
      <c r="B4065" s="0" t="s">
        <v>2156</v>
      </c>
    </row>
    <row r="4067" customFormat="false" ht="12.8" hidden="false" customHeight="false" outlineLevel="0" collapsed="false">
      <c r="A4067" s="0" t="s">
        <v>2354</v>
      </c>
      <c r="B4067" s="0" t="str">
        <f aca="false">HYPERLINK("https://lindat.mff.cuni.cz/services/teitok/pdtc10/index.php?action=vallex&amp;frame=v-w582f5", "dojít (v-w582f5)")</f>
        <v>dojít (v-w582f5)</v>
      </c>
      <c r="E4067" s="0" t="str">
        <f aca="false">HYPERLINK("https://lindat.mff.cuni.cz/services/SynSemClass40/SynSemClass40.html?veclass=vec00097#vec00097-ces-cm00182", "vec00097")</f>
        <v>vec00097</v>
      </c>
      <c r="F4067" s="0" t="s">
        <v>373</v>
      </c>
    </row>
    <row r="4068" customFormat="false" ht="12.8" hidden="false" customHeight="false" outlineLevel="0" collapsed="false">
      <c r="B4068" s="0" t="s">
        <v>1131</v>
      </c>
      <c r="C4068" s="0" t="s">
        <v>374</v>
      </c>
      <c r="E4068" s="0" t="s">
        <v>375</v>
      </c>
      <c r="F4068" s="0" t="s">
        <v>376</v>
      </c>
    </row>
    <row r="4070" customFormat="false" ht="12.8" hidden="false" customHeight="false" outlineLevel="0" collapsed="false">
      <c r="A4070" s="0" t="s">
        <v>2355</v>
      </c>
      <c r="B4070" s="0" t="str">
        <f aca="false">HYPERLINK("https://lindat.mff.cuni.cz/services/teitok/pdtc10/index.php?action=vallex&amp;frame=v-w582f8", "dojít (v-w582f8)")</f>
        <v>dojít (v-w582f8)</v>
      </c>
    </row>
    <row r="4071" customFormat="false" ht="12.8" hidden="false" customHeight="false" outlineLevel="0" collapsed="false">
      <c r="B4071" s="0" t="s">
        <v>1131</v>
      </c>
    </row>
    <row r="4073" customFormat="false" ht="12.8" hidden="false" customHeight="false" outlineLevel="0" collapsed="false">
      <c r="A4073" s="0" t="s">
        <v>2356</v>
      </c>
      <c r="B4073" s="0" t="str">
        <f aca="false">HYPERLINK("https://lindat.mff.cuni.cz/services/teitok/pdtc10/index.php?action=vallex&amp;frame=v-w582f12_ZU", "dojít (v-w582f12_ZU)")</f>
        <v>dojít (v-w582f12_ZU)</v>
      </c>
    </row>
    <row r="4074" customFormat="false" ht="12.8" hidden="false" customHeight="false" outlineLevel="0" collapsed="false">
      <c r="B4074" s="0" t="s">
        <v>1</v>
      </c>
    </row>
    <row r="4075" customFormat="false" ht="12.8" hidden="false" customHeight="false" outlineLevel="0" collapsed="false">
      <c r="B4075" s="0" t="s">
        <v>2357</v>
      </c>
    </row>
    <row r="4077" customFormat="false" ht="12.8" hidden="false" customHeight="false" outlineLevel="0" collapsed="false">
      <c r="A4077" s="0" t="s">
        <v>2358</v>
      </c>
      <c r="B4077" s="0" t="str">
        <f aca="false">HYPERLINK("https://lindat.mff.cuni.cz/services/teitok/pdtc10/index.php?action=vallex&amp;frame=v-w582f16_ZU", "dojít (v-w582f16_ZU)")</f>
        <v>dojít (v-w582f16_ZU)</v>
      </c>
    </row>
    <row r="4078" customFormat="false" ht="12.8" hidden="false" customHeight="false" outlineLevel="0" collapsed="false">
      <c r="B4078" s="0" t="s">
        <v>1</v>
      </c>
    </row>
    <row r="4079" customFormat="false" ht="12.8" hidden="false" customHeight="false" outlineLevel="0" collapsed="false">
      <c r="B4079" s="0" t="s">
        <v>8</v>
      </c>
    </row>
    <row r="4081" customFormat="false" ht="12.8" hidden="false" customHeight="false" outlineLevel="0" collapsed="false">
      <c r="A4081" s="0" t="s">
        <v>2358</v>
      </c>
      <c r="B4081" s="0" t="str">
        <f aca="false">HYPERLINK("https://lindat.mff.cuni.cz/services/teitok/pdtc10/index.php?action=vallex&amp;frame=v-w582hsa_243", "dojít (v-w582hsa_243) - substituted with v-w582f16_ZU")</f>
        <v>dojít (v-w582hsa_243) - substituted with v-w582f16_ZU</v>
      </c>
    </row>
    <row r="4082" customFormat="false" ht="12.8" hidden="false" customHeight="false" outlineLevel="0" collapsed="false">
      <c r="B4082" s="0" t="s">
        <v>1</v>
      </c>
    </row>
    <row r="4083" customFormat="false" ht="12.8" hidden="false" customHeight="false" outlineLevel="0" collapsed="false">
      <c r="B4083" s="0" t="s">
        <v>8</v>
      </c>
    </row>
    <row r="4085" customFormat="false" ht="12.8" hidden="false" customHeight="false" outlineLevel="0" collapsed="false">
      <c r="A4085" s="0" t="s">
        <v>2359</v>
      </c>
      <c r="B4085" s="0" t="str">
        <f aca="false">HYPERLINK("https://lindat.mff.cuni.cz/services/teitok/pdtc10/index.php?action=vallex&amp;frame=v-w582f21_ZU", "dojít (v-w582f21_ZU)")</f>
        <v>dojít (v-w582f21_ZU)</v>
      </c>
    </row>
    <row r="4086" customFormat="false" ht="12.8" hidden="false" customHeight="false" outlineLevel="0" collapsed="false">
      <c r="B4086" s="0" t="s">
        <v>1</v>
      </c>
    </row>
    <row r="4087" customFormat="false" ht="12.8" hidden="false" customHeight="false" outlineLevel="0" collapsed="false">
      <c r="B4087" s="0" t="s">
        <v>186</v>
      </c>
    </row>
    <row r="4089" customFormat="false" ht="12.8" hidden="false" customHeight="false" outlineLevel="0" collapsed="false">
      <c r="A4089" s="0" t="s">
        <v>2360</v>
      </c>
      <c r="B4089" s="0" t="str">
        <f aca="false">HYPERLINK("https://lindat.mff.cuni.cz/services/teitok/pdtc10/index.php?action=vallex&amp;frame=v-w582hsa_310", "dojít (v-w582hsa_310)")</f>
        <v>dojít (v-w582hsa_310)</v>
      </c>
    </row>
    <row r="4090" customFormat="false" ht="12.8" hidden="false" customHeight="false" outlineLevel="0" collapsed="false">
      <c r="B4090" s="0" t="s">
        <v>1</v>
      </c>
    </row>
    <row r="4091" customFormat="false" ht="12.8" hidden="false" customHeight="false" outlineLevel="0" collapsed="false">
      <c r="B4091" s="0" t="s">
        <v>8</v>
      </c>
    </row>
    <row r="4093" customFormat="false" ht="12.8" hidden="false" customHeight="false" outlineLevel="0" collapsed="false">
      <c r="A4093" s="0" t="s">
        <v>2361</v>
      </c>
      <c r="B4093" s="0" t="str">
        <f aca="false">HYPERLINK("https://lindat.mff.cuni.cz/services/teitok/pdtc10/index.php?action=vallex&amp;frame=v-w584f2", "dojíždět (v-w584f2)")</f>
        <v>dojíždět (v-w584f2)</v>
      </c>
    </row>
    <row r="4094" customFormat="false" ht="12.8" hidden="false" customHeight="false" outlineLevel="0" collapsed="false">
      <c r="B4094" s="0" t="s">
        <v>1</v>
      </c>
    </row>
    <row r="4095" customFormat="false" ht="12.8" hidden="false" customHeight="false" outlineLevel="0" collapsed="false">
      <c r="B4095" s="0" t="s">
        <v>8</v>
      </c>
    </row>
    <row r="4097" customFormat="false" ht="12.8" hidden="false" customHeight="false" outlineLevel="0" collapsed="false">
      <c r="A4097" s="0" t="s">
        <v>2362</v>
      </c>
      <c r="B4097" s="0" t="str">
        <f aca="false">HYPERLINK("https://lindat.mff.cuni.cz/services/teitok/pdtc10/index.php?action=vallex&amp;frame=v-w584f1", "dojíždět (v-w584f1)")</f>
        <v>dojíždět (v-w584f1)</v>
      </c>
      <c r="E4097" s="0" t="str">
        <f aca="false">HYPERLINK("https://lindat.mff.cuni.cz/services/SynSemClass40/SynSemClass40.html?veclass=vec00218#vec00218-ces-cm00258", "vec00218")</f>
        <v>vec00218</v>
      </c>
      <c r="F4097" s="0" t="s">
        <v>2143</v>
      </c>
      <c r="H4097" s="0" t="str">
        <f aca="false">HYPERLINK("https://lindat.mff.cuni.cz/services/SynSemClass40/SynSemClass40.html?veclass=vec00403#vec00403-ces-cm00033", "vec00403")</f>
        <v>vec00403</v>
      </c>
      <c r="I4097" s="0" t="s">
        <v>1368</v>
      </c>
    </row>
    <row r="4098" customFormat="false" ht="12.8" hidden="false" customHeight="false" outlineLevel="0" collapsed="false">
      <c r="B4098" s="0" t="s">
        <v>1</v>
      </c>
      <c r="C4098" s="0" t="s">
        <v>2363</v>
      </c>
      <c r="E4098" s="0" t="s">
        <v>11</v>
      </c>
      <c r="F4098" s="0" t="s">
        <v>2145</v>
      </c>
      <c r="H4098" s="0" t="s">
        <v>11</v>
      </c>
      <c r="I4098" s="0" t="s">
        <v>1370</v>
      </c>
    </row>
    <row r="4099" customFormat="false" ht="12.8" hidden="false" customHeight="false" outlineLevel="0" collapsed="false">
      <c r="B4099" s="0" t="s">
        <v>164</v>
      </c>
      <c r="C4099" s="0" t="s">
        <v>2364</v>
      </c>
      <c r="E4099" s="0" t="s">
        <v>370</v>
      </c>
      <c r="F4099" s="0" t="s">
        <v>2147</v>
      </c>
      <c r="H4099" s="0" t="s">
        <v>2365</v>
      </c>
      <c r="I4099" s="0" t="s">
        <v>2366</v>
      </c>
    </row>
    <row r="4101" customFormat="false" ht="12.8" hidden="false" customHeight="false" outlineLevel="0" collapsed="false">
      <c r="A4101" s="0" t="s">
        <v>2367</v>
      </c>
      <c r="B4101" s="0" t="str">
        <f aca="false">HYPERLINK("https://lindat.mff.cuni.cz/services/teitok/pdtc10/index.php?action=vallex&amp;frame=v-w588f1", "dokazovat (v-w588f1)")</f>
        <v>dokazovat (v-w588f1)</v>
      </c>
      <c r="E4101" s="0" t="str">
        <f aca="false">HYPERLINK("https://lindat.mff.cuni.cz/services/SynSemClass40/SynSemClass40.html?veclass=vec00087#vec00087-ces-cm00007", "vec00087")</f>
        <v>vec00087</v>
      </c>
      <c r="F4101" s="0" t="s">
        <v>2368</v>
      </c>
      <c r="H4101" s="0" t="str">
        <f aca="false">HYPERLINK("https://lindat.mff.cuni.cz/services/SynSemClass40/SynSemClass40.html?veclass=vec00330#vec00330-ces-cm00006", "vec00330")</f>
        <v>vec00330</v>
      </c>
      <c r="I4101" s="0" t="s">
        <v>1896</v>
      </c>
    </row>
    <row r="4102" customFormat="false" ht="12.8" hidden="false" customHeight="false" outlineLevel="0" collapsed="false">
      <c r="B4102" s="0" t="s">
        <v>1</v>
      </c>
      <c r="C4102" s="0" t="s">
        <v>2369</v>
      </c>
      <c r="E4102" s="0" t="s">
        <v>2370</v>
      </c>
      <c r="F4102" s="0" t="s">
        <v>2371</v>
      </c>
      <c r="H4102" s="0" t="s">
        <v>11</v>
      </c>
      <c r="I4102" s="0" t="s">
        <v>1898</v>
      </c>
    </row>
    <row r="4103" customFormat="false" ht="12.8" hidden="false" customHeight="false" outlineLevel="0" collapsed="false">
      <c r="B4103" s="0" t="s">
        <v>228</v>
      </c>
      <c r="C4103" s="0" t="s">
        <v>2372</v>
      </c>
      <c r="E4103" s="0" t="s">
        <v>2373</v>
      </c>
      <c r="F4103" s="0" t="s">
        <v>2374</v>
      </c>
      <c r="H4103" s="0" t="s">
        <v>180</v>
      </c>
      <c r="I4103" s="0" t="s">
        <v>1901</v>
      </c>
    </row>
    <row r="4104" customFormat="false" ht="12.8" hidden="false" customHeight="false" outlineLevel="0" collapsed="false">
      <c r="B4104" s="0" t="s">
        <v>52</v>
      </c>
      <c r="C4104" s="0" t="s">
        <v>2375</v>
      </c>
      <c r="E4104" s="0" t="s">
        <v>2376</v>
      </c>
      <c r="F4104" s="0" t="s">
        <v>2377</v>
      </c>
      <c r="H4104" s="0" t="s">
        <v>221</v>
      </c>
      <c r="I4104" s="0" t="s">
        <v>1903</v>
      </c>
    </row>
    <row r="4106" customFormat="false" ht="12.8" hidden="false" customHeight="false" outlineLevel="0" collapsed="false">
      <c r="A4106" s="0" t="s">
        <v>2378</v>
      </c>
      <c r="B4106" s="0" t="str">
        <f aca="false">HYPERLINK("https://lindat.mff.cuni.cz/services/teitok/pdtc10/index.php?action=vallex&amp;frame=v-w588f2", "dokazovat (v-w588f2)")</f>
        <v>dokazovat (v-w588f2)</v>
      </c>
      <c r="E4106" s="0" t="str">
        <f aca="false">HYPERLINK("https://lindat.mff.cuni.cz/services/SynSemClass40/SynSemClass40.html?veclass=vec00087#vec00087-ces-cm00008", "vec00087")</f>
        <v>vec00087</v>
      </c>
      <c r="F4106" s="0" t="s">
        <v>2368</v>
      </c>
    </row>
    <row r="4107" customFormat="false" ht="12.8" hidden="false" customHeight="false" outlineLevel="0" collapsed="false">
      <c r="B4107" s="0" t="s">
        <v>1</v>
      </c>
      <c r="C4107" s="0" t="s">
        <v>2379</v>
      </c>
      <c r="E4107" s="0" t="s">
        <v>2370</v>
      </c>
      <c r="F4107" s="0" t="s">
        <v>2371</v>
      </c>
    </row>
    <row r="4108" customFormat="false" ht="12.8" hidden="false" customHeight="false" outlineLevel="0" collapsed="false">
      <c r="B4108" s="0" t="s">
        <v>59</v>
      </c>
      <c r="C4108" s="0" t="s">
        <v>2380</v>
      </c>
      <c r="E4108" s="0" t="s">
        <v>2373</v>
      </c>
      <c r="F4108" s="0" t="s">
        <v>2374</v>
      </c>
    </row>
    <row r="4110" customFormat="false" ht="12.8" hidden="false" customHeight="false" outlineLevel="0" collapsed="false">
      <c r="A4110" s="0" t="s">
        <v>2381</v>
      </c>
      <c r="B4110" s="0" t="str">
        <f aca="false">HYPERLINK("https://lindat.mff.cuni.cz/services/teitok/pdtc10/index.php?action=vallex&amp;frame=v-w588f3", "dokazovat (v-w588f3)")</f>
        <v>dokazovat (v-w588f3)</v>
      </c>
    </row>
    <row r="4111" customFormat="false" ht="12.8" hidden="false" customHeight="false" outlineLevel="0" collapsed="false">
      <c r="B4111" s="0" t="s">
        <v>1</v>
      </c>
    </row>
    <row r="4112" customFormat="false" ht="12.8" hidden="false" customHeight="false" outlineLevel="0" collapsed="false">
      <c r="B4112" s="0" t="s">
        <v>2382</v>
      </c>
    </row>
    <row r="4113" customFormat="false" ht="12.8" hidden="false" customHeight="false" outlineLevel="0" collapsed="false">
      <c r="B4113" s="0" t="s">
        <v>496</v>
      </c>
    </row>
    <row r="4115" customFormat="false" ht="12.8" hidden="false" customHeight="false" outlineLevel="0" collapsed="false">
      <c r="A4115" s="0" t="s">
        <v>2383</v>
      </c>
      <c r="B4115" s="0" t="str">
        <f aca="false">HYPERLINK("https://lindat.mff.cuni.cz/services/teitok/pdtc10/index.php?action=vallex&amp;frame=v-w593f1", "dokladovat (v-w593f1)")</f>
        <v>dokladovat (v-w593f1)</v>
      </c>
      <c r="E4115" s="0" t="str">
        <f aca="false">HYPERLINK("https://lindat.mff.cuni.cz/services/SynSemClass40/SynSemClass40.html?veclass=vec00087#vec00087-ces-cm00158", "vec00087")</f>
        <v>vec00087</v>
      </c>
      <c r="F4115" s="0" t="s">
        <v>2368</v>
      </c>
    </row>
    <row r="4116" customFormat="false" ht="12.8" hidden="false" customHeight="false" outlineLevel="0" collapsed="false">
      <c r="B4116" s="0" t="s">
        <v>1</v>
      </c>
      <c r="C4116" s="0" t="s">
        <v>2379</v>
      </c>
      <c r="E4116" s="0" t="s">
        <v>2370</v>
      </c>
      <c r="F4116" s="0" t="s">
        <v>2371</v>
      </c>
    </row>
    <row r="4117" customFormat="false" ht="12.8" hidden="false" customHeight="false" outlineLevel="0" collapsed="false">
      <c r="B4117" s="0" t="s">
        <v>1754</v>
      </c>
      <c r="C4117" s="0" t="s">
        <v>2380</v>
      </c>
      <c r="E4117" s="0" t="s">
        <v>2373</v>
      </c>
      <c r="F4117" s="0" t="s">
        <v>2374</v>
      </c>
    </row>
    <row r="4118" customFormat="false" ht="12.8" hidden="false" customHeight="false" outlineLevel="0" collapsed="false">
      <c r="B4118" s="0" t="s">
        <v>52</v>
      </c>
      <c r="C4118" s="0" t="s">
        <v>2384</v>
      </c>
      <c r="E4118" s="0" t="s">
        <v>2376</v>
      </c>
      <c r="F4118" s="0" t="s">
        <v>2377</v>
      </c>
    </row>
    <row r="4120" customFormat="false" ht="12.8" hidden="false" customHeight="false" outlineLevel="0" collapsed="false">
      <c r="A4120" s="0" t="s">
        <v>2385</v>
      </c>
      <c r="B4120" s="0" t="str">
        <f aca="false">HYPERLINK("https://lindat.mff.cuni.cz/services/teitok/pdtc10/index.php?action=vallex&amp;frame=v-w594f1", "doklepnout (v-w594f1)")</f>
        <v>doklepnout (v-w594f1)</v>
      </c>
    </row>
    <row r="4121" customFormat="false" ht="12.8" hidden="false" customHeight="false" outlineLevel="0" collapsed="false">
      <c r="B4121" s="0" t="s">
        <v>1</v>
      </c>
    </row>
    <row r="4122" customFormat="false" ht="12.8" hidden="false" customHeight="false" outlineLevel="0" collapsed="false">
      <c r="B4122" s="0" t="s">
        <v>8</v>
      </c>
    </row>
    <row r="4123" customFormat="false" ht="12.8" hidden="false" customHeight="false" outlineLevel="0" collapsed="false">
      <c r="B4123" s="0" t="s">
        <v>164</v>
      </c>
    </row>
    <row r="4125" customFormat="false" ht="12.8" hidden="false" customHeight="false" outlineLevel="0" collapsed="false">
      <c r="A4125" s="0" t="s">
        <v>2386</v>
      </c>
      <c r="B4125" s="0" t="str">
        <f aca="false">HYPERLINK("https://lindat.mff.cuni.cz/services/teitok/pdtc10/index.php?action=vallex&amp;frame=v-w595f1", "doklopýtat (v-w595f1)")</f>
        <v>doklopýtat (v-w595f1)</v>
      </c>
    </row>
    <row r="4126" customFormat="false" ht="12.8" hidden="false" customHeight="false" outlineLevel="0" collapsed="false">
      <c r="B4126" s="0" t="s">
        <v>1</v>
      </c>
    </row>
    <row r="4127" customFormat="false" ht="12.8" hidden="false" customHeight="false" outlineLevel="0" collapsed="false">
      <c r="B4127" s="0" t="s">
        <v>164</v>
      </c>
    </row>
    <row r="4129" customFormat="false" ht="12.8" hidden="false" customHeight="false" outlineLevel="0" collapsed="false">
      <c r="A4129" s="0" t="s">
        <v>2387</v>
      </c>
      <c r="B4129" s="0" t="str">
        <f aca="false">HYPERLINK("https://lindat.mff.cuni.cz/services/teitok/pdtc10/index.php?action=vallex&amp;frame=v-w592f1", "dokládat (v-w592f1)")</f>
        <v>dokládat (v-w592f1)</v>
      </c>
      <c r="E4129" s="0" t="str">
        <f aca="false">HYPERLINK("https://lindat.mff.cuni.cz/services/SynSemClass40/SynSemClass40.html?veclass=vec00087#vec00087-ces-cm00090", "vec00087")</f>
        <v>vec00087</v>
      </c>
      <c r="F4129" s="0" t="s">
        <v>2368</v>
      </c>
    </row>
    <row r="4130" customFormat="false" ht="12.8" hidden="false" customHeight="false" outlineLevel="0" collapsed="false">
      <c r="B4130" s="0" t="s">
        <v>1</v>
      </c>
      <c r="C4130" s="0" t="s">
        <v>2379</v>
      </c>
      <c r="E4130" s="0" t="s">
        <v>2370</v>
      </c>
      <c r="F4130" s="0" t="s">
        <v>2371</v>
      </c>
    </row>
    <row r="4131" customFormat="false" ht="12.8" hidden="false" customHeight="false" outlineLevel="0" collapsed="false">
      <c r="B4131" s="0" t="s">
        <v>1754</v>
      </c>
      <c r="C4131" s="0" t="s">
        <v>2380</v>
      </c>
      <c r="E4131" s="0" t="s">
        <v>2373</v>
      </c>
      <c r="F4131" s="0" t="s">
        <v>2374</v>
      </c>
    </row>
    <row r="4132" customFormat="false" ht="12.8" hidden="false" customHeight="false" outlineLevel="0" collapsed="false">
      <c r="B4132" s="0" t="s">
        <v>132</v>
      </c>
      <c r="C4132" s="0" t="s">
        <v>2384</v>
      </c>
      <c r="E4132" s="0" t="s">
        <v>2376</v>
      </c>
      <c r="F4132" s="0" t="s">
        <v>2377</v>
      </c>
    </row>
    <row r="4134" customFormat="false" ht="12.8" hidden="false" customHeight="false" outlineLevel="0" collapsed="false">
      <c r="A4134" s="0" t="s">
        <v>2388</v>
      </c>
      <c r="B4134" s="0" t="str">
        <f aca="false">HYPERLINK("https://lindat.mff.cuni.cz/services/teitok/pdtc10/index.php?action=vallex&amp;frame=v-w596f1", "dokonat (v-w596f1)")</f>
        <v>dokonat (v-w596f1)</v>
      </c>
    </row>
    <row r="4135" customFormat="false" ht="12.8" hidden="false" customHeight="false" outlineLevel="0" collapsed="false">
      <c r="B4135" s="0" t="s">
        <v>1</v>
      </c>
    </row>
    <row r="4136" customFormat="false" ht="12.8" hidden="false" customHeight="false" outlineLevel="0" collapsed="false">
      <c r="B4136" s="0" t="s">
        <v>8</v>
      </c>
    </row>
    <row r="4138" customFormat="false" ht="12.8" hidden="false" customHeight="false" outlineLevel="0" collapsed="false">
      <c r="A4138" s="0" t="s">
        <v>2389</v>
      </c>
      <c r="B4138" s="0" t="str">
        <f aca="false">HYPERLINK("https://lindat.mff.cuni.cz/services/teitok/pdtc10/index.php?action=vallex&amp;frame=v-w596f2_ZU", "dokonat (v-w596f2_ZU)")</f>
        <v>dokonat (v-w596f2_ZU)</v>
      </c>
    </row>
    <row r="4139" customFormat="false" ht="12.8" hidden="false" customHeight="false" outlineLevel="0" collapsed="false">
      <c r="B4139" s="0" t="s">
        <v>1</v>
      </c>
    </row>
    <row r="4141" customFormat="false" ht="12.8" hidden="false" customHeight="false" outlineLevel="0" collapsed="false">
      <c r="A4141" s="0" t="s">
        <v>2390</v>
      </c>
      <c r="B4141" s="0" t="str">
        <f aca="false">HYPERLINK("https://lindat.mff.cuni.cz/services/teitok/pdtc10/index.php?action=vallex&amp;frame=v-w598f1", "dokončit (v-w598f1)")</f>
        <v>dokončit (v-w598f1)</v>
      </c>
      <c r="E4141" s="0" t="str">
        <f aca="false">HYPERLINK("https://lindat.mff.cuni.cz/services/SynSemClass40/SynSemClass40.html?veclass=vec01490#vec01490-ces-cm00001", "vec01490")</f>
        <v>vec01490</v>
      </c>
      <c r="F4141" s="0" t="s">
        <v>2391</v>
      </c>
    </row>
    <row r="4142" customFormat="false" ht="12.8" hidden="false" customHeight="false" outlineLevel="0" collapsed="false">
      <c r="B4142" s="0" t="s">
        <v>1</v>
      </c>
      <c r="C4142" s="0" t="s">
        <v>2392</v>
      </c>
      <c r="E4142" s="0" t="s">
        <v>768</v>
      </c>
      <c r="F4142" s="0" t="s">
        <v>2393</v>
      </c>
    </row>
    <row r="4143" customFormat="false" ht="12.8" hidden="false" customHeight="false" outlineLevel="0" collapsed="false">
      <c r="B4143" s="0" t="s">
        <v>8</v>
      </c>
      <c r="C4143" s="0" t="s">
        <v>2394</v>
      </c>
      <c r="E4143" s="0" t="s">
        <v>771</v>
      </c>
      <c r="F4143" s="0" t="s">
        <v>2395</v>
      </c>
    </row>
    <row r="4144" customFormat="false" ht="12.8" hidden="false" customHeight="false" outlineLevel="0" collapsed="false">
      <c r="B4144" s="0" t="s">
        <v>36</v>
      </c>
      <c r="C4144" s="0" t="s">
        <v>2396</v>
      </c>
      <c r="E4144" s="0" t="s">
        <v>38</v>
      </c>
      <c r="F4144" s="0" t="s">
        <v>2397</v>
      </c>
    </row>
    <row r="4146" customFormat="false" ht="12.8" hidden="false" customHeight="false" outlineLevel="0" collapsed="false">
      <c r="A4146" s="0" t="s">
        <v>2398</v>
      </c>
      <c r="B4146" s="0" t="str">
        <f aca="false">HYPERLINK("https://lindat.mff.cuni.cz/services/teitok/pdtc10/index.php?action=vallex&amp;frame=v-w598f2", "dokončit (v-w598f2)")</f>
        <v>dokončit (v-w598f2)</v>
      </c>
      <c r="E4146" s="0" t="str">
        <f aca="false">HYPERLINK("https://lindat.mff.cuni.cz/services/SynSemClass40/SynSemClass40.html?veclass=vec00213#vec00213-ces-cm00001", "vec00213")</f>
        <v>vec00213</v>
      </c>
      <c r="F4146" s="0" t="s">
        <v>2399</v>
      </c>
    </row>
    <row r="4147" customFormat="false" ht="12.8" hidden="false" customHeight="false" outlineLevel="0" collapsed="false">
      <c r="B4147" s="0" t="s">
        <v>1</v>
      </c>
      <c r="C4147" s="0" t="s">
        <v>2400</v>
      </c>
      <c r="E4147" s="0" t="s">
        <v>31</v>
      </c>
      <c r="F4147" s="0" t="s">
        <v>2401</v>
      </c>
    </row>
    <row r="4148" customFormat="false" ht="12.8" hidden="false" customHeight="false" outlineLevel="0" collapsed="false">
      <c r="B4148" s="0" t="s">
        <v>8</v>
      </c>
      <c r="C4148" s="0" t="s">
        <v>2402</v>
      </c>
      <c r="E4148" s="0" t="s">
        <v>2403</v>
      </c>
      <c r="F4148" s="0" t="s">
        <v>2404</v>
      </c>
    </row>
    <row r="4150" customFormat="false" ht="12.8" hidden="false" customHeight="false" outlineLevel="0" collapsed="false">
      <c r="A4150" s="0" t="s">
        <v>2405</v>
      </c>
      <c r="B4150" s="0" t="str">
        <f aca="false">HYPERLINK("https://lindat.mff.cuni.cz/services/teitok/pdtc10/index.php?action=vallex&amp;frame=v-w600f1", "dokončovat (v-w600f1)")</f>
        <v>dokončovat (v-w600f1)</v>
      </c>
      <c r="E4150" s="0" t="str">
        <f aca="false">HYPERLINK("https://lindat.mff.cuni.cz/services/SynSemClass40/SynSemClass40.html?veclass=vec01490#vec01490-ces-cm00003", "vec01490")</f>
        <v>vec01490</v>
      </c>
      <c r="F4150" s="0" t="s">
        <v>2391</v>
      </c>
    </row>
    <row r="4151" customFormat="false" ht="12.8" hidden="false" customHeight="false" outlineLevel="0" collapsed="false">
      <c r="B4151" s="0" t="s">
        <v>1</v>
      </c>
      <c r="C4151" s="0" t="s">
        <v>2392</v>
      </c>
      <c r="E4151" s="0" t="s">
        <v>768</v>
      </c>
      <c r="F4151" s="0" t="s">
        <v>2393</v>
      </c>
    </row>
    <row r="4152" customFormat="false" ht="12.8" hidden="false" customHeight="false" outlineLevel="0" collapsed="false">
      <c r="B4152" s="0" t="s">
        <v>8</v>
      </c>
      <c r="C4152" s="0" t="s">
        <v>2394</v>
      </c>
      <c r="E4152" s="0" t="s">
        <v>771</v>
      </c>
      <c r="F4152" s="0" t="s">
        <v>2395</v>
      </c>
    </row>
    <row r="4153" customFormat="false" ht="12.8" hidden="false" customHeight="false" outlineLevel="0" collapsed="false">
      <c r="B4153" s="0" t="s">
        <v>36</v>
      </c>
      <c r="C4153" s="0" t="s">
        <v>2396</v>
      </c>
      <c r="E4153" s="0" t="s">
        <v>38</v>
      </c>
      <c r="F4153" s="0" t="s">
        <v>2397</v>
      </c>
    </row>
    <row r="4155" customFormat="false" ht="12.8" hidden="false" customHeight="false" outlineLevel="0" collapsed="false">
      <c r="A4155" s="0" t="s">
        <v>2406</v>
      </c>
      <c r="B4155" s="0" t="str">
        <f aca="false">HYPERLINK("https://lindat.mff.cuni.cz/services/teitok/pdtc10/index.php?action=vallex&amp;frame=v-w600f2", "dokončovat (v-w600f2)")</f>
        <v>dokončovat (v-w600f2)</v>
      </c>
      <c r="E4155" s="0" t="str">
        <f aca="false">HYPERLINK("https://lindat.mff.cuni.cz/services/SynSemClass40/SynSemClass40.html?veclass=vec00213#vec00213-ces-cm00046", "vec00213")</f>
        <v>vec00213</v>
      </c>
      <c r="F4155" s="0" t="s">
        <v>2399</v>
      </c>
    </row>
    <row r="4156" customFormat="false" ht="12.8" hidden="false" customHeight="false" outlineLevel="0" collapsed="false">
      <c r="B4156" s="0" t="s">
        <v>1</v>
      </c>
      <c r="C4156" s="0" t="s">
        <v>2400</v>
      </c>
      <c r="E4156" s="0" t="s">
        <v>31</v>
      </c>
      <c r="F4156" s="0" t="s">
        <v>2401</v>
      </c>
    </row>
    <row r="4157" customFormat="false" ht="12.8" hidden="false" customHeight="false" outlineLevel="0" collapsed="false">
      <c r="B4157" s="0" t="s">
        <v>8</v>
      </c>
      <c r="C4157" s="0" t="s">
        <v>2402</v>
      </c>
      <c r="E4157" s="0" t="s">
        <v>2403</v>
      </c>
      <c r="F4157" s="0" t="s">
        <v>2404</v>
      </c>
    </row>
    <row r="4159" customFormat="false" ht="12.8" hidden="false" customHeight="false" outlineLevel="0" collapsed="false">
      <c r="A4159" s="0" t="s">
        <v>2407</v>
      </c>
      <c r="B4159" s="0" t="str">
        <f aca="false">HYPERLINK("https://lindat.mff.cuni.cz/services/teitok/pdtc10/index.php?action=vallex&amp;frame=v-w11845_ZUf1_ZU", "dokopat (v-w11845_ZUf1_ZU)")</f>
        <v>dokopat (v-w11845_ZUf1_ZU)</v>
      </c>
    </row>
    <row r="4160" customFormat="false" ht="12.8" hidden="false" customHeight="false" outlineLevel="0" collapsed="false">
      <c r="B4160" s="0" t="s">
        <v>1</v>
      </c>
    </row>
    <row r="4161" customFormat="false" ht="12.8" hidden="false" customHeight="false" outlineLevel="0" collapsed="false">
      <c r="B4161" s="0" t="s">
        <v>8</v>
      </c>
    </row>
    <row r="4163" customFormat="false" ht="12.8" hidden="false" customHeight="false" outlineLevel="0" collapsed="false">
      <c r="A4163" s="0" t="s">
        <v>2408</v>
      </c>
      <c r="B4163" s="0" t="str">
        <f aca="false">HYPERLINK("https://lindat.mff.cuni.cz/services/teitok/pdtc10/index.php?action=vallex&amp;frame=v-w11845_ZUf2_ZU", "dokopat (v-w11845_ZUf2_ZU)")</f>
        <v>dokopat (v-w11845_ZUf2_ZU)</v>
      </c>
    </row>
    <row r="4164" customFormat="false" ht="12.8" hidden="false" customHeight="false" outlineLevel="0" collapsed="false">
      <c r="B4164" s="0" t="s">
        <v>1</v>
      </c>
    </row>
    <row r="4165" customFormat="false" ht="12.8" hidden="false" customHeight="false" outlineLevel="0" collapsed="false">
      <c r="B4165" s="0" t="s">
        <v>98</v>
      </c>
    </row>
    <row r="4166" customFormat="false" ht="12.8" hidden="false" customHeight="false" outlineLevel="0" collapsed="false">
      <c r="B4166" s="0" t="s">
        <v>311</v>
      </c>
    </row>
    <row r="4168" customFormat="false" ht="12.8" hidden="false" customHeight="false" outlineLevel="0" collapsed="false">
      <c r="A4168" s="0" t="s">
        <v>2409</v>
      </c>
      <c r="B4168" s="0" t="str">
        <f aca="false">HYPERLINK("https://lindat.mff.cuni.cz/services/teitok/pdtc10/index.php?action=vallex&amp;frame=v-w601f1", "dokoupit (v-w601f1)")</f>
        <v>dokoupit (v-w601f1)</v>
      </c>
    </row>
    <row r="4169" customFormat="false" ht="12.8" hidden="false" customHeight="false" outlineLevel="0" collapsed="false">
      <c r="B4169" s="0" t="s">
        <v>1</v>
      </c>
    </row>
    <row r="4170" customFormat="false" ht="12.8" hidden="false" customHeight="false" outlineLevel="0" collapsed="false">
      <c r="B4170" s="0" t="s">
        <v>8</v>
      </c>
    </row>
    <row r="4171" customFormat="false" ht="12.8" hidden="false" customHeight="false" outlineLevel="0" collapsed="false">
      <c r="B4171" s="0" t="s">
        <v>2410</v>
      </c>
    </row>
    <row r="4172" customFormat="false" ht="12.8" hidden="false" customHeight="false" outlineLevel="0" collapsed="false">
      <c r="B4172" s="0" t="s">
        <v>602</v>
      </c>
    </row>
    <row r="4174" customFormat="false" ht="12.8" hidden="false" customHeight="false" outlineLevel="0" collapsed="false">
      <c r="A4174" s="0" t="s">
        <v>2411</v>
      </c>
      <c r="B4174" s="0" t="str">
        <f aca="false">HYPERLINK("https://lindat.mff.cuni.cz/services/teitok/pdtc10/index.php?action=vallex&amp;frame=v-w602f1", "dokralovat (v-w602f1)")</f>
        <v>dokralovat (v-w602f1)</v>
      </c>
    </row>
    <row r="4175" customFormat="false" ht="12.8" hidden="false" customHeight="false" outlineLevel="0" collapsed="false">
      <c r="B4175" s="0" t="s">
        <v>1</v>
      </c>
    </row>
    <row r="4177" customFormat="false" ht="12.8" hidden="false" customHeight="false" outlineLevel="0" collapsed="false">
      <c r="A4177" s="0" t="s">
        <v>2412</v>
      </c>
      <c r="B4177" s="0" t="str">
        <f aca="false">HYPERLINK("https://lindat.mff.cuni.cz/services/teitok/pdtc10/index.php?action=vallex&amp;frame=v-w604f1", "dokreslit (v-w604f1)")</f>
        <v>dokreslit (v-w604f1)</v>
      </c>
      <c r="E4177" s="0" t="str">
        <f aca="false">HYPERLINK("https://lindat.mff.cuni.cz/services/SynSemClass40/SynSemClass40.html?veclass=vec01490#vec01490-ces-cm00005", "vec01490")</f>
        <v>vec01490</v>
      </c>
      <c r="F4177" s="0" t="s">
        <v>2391</v>
      </c>
    </row>
    <row r="4178" customFormat="false" ht="12.8" hidden="false" customHeight="false" outlineLevel="0" collapsed="false">
      <c r="B4178" s="0" t="s">
        <v>1</v>
      </c>
      <c r="C4178" s="0" t="s">
        <v>2392</v>
      </c>
      <c r="E4178" s="0" t="s">
        <v>768</v>
      </c>
      <c r="F4178" s="0" t="s">
        <v>2393</v>
      </c>
    </row>
    <row r="4179" customFormat="false" ht="12.8" hidden="false" customHeight="false" outlineLevel="0" collapsed="false">
      <c r="B4179" s="0" t="s">
        <v>8</v>
      </c>
      <c r="C4179" s="0" t="s">
        <v>2394</v>
      </c>
      <c r="E4179" s="0" t="s">
        <v>771</v>
      </c>
      <c r="F4179" s="0" t="s">
        <v>2395</v>
      </c>
    </row>
    <row r="4180" customFormat="false" ht="12.8" hidden="false" customHeight="false" outlineLevel="0" collapsed="false">
      <c r="B4180" s="0" t="s">
        <v>2413</v>
      </c>
      <c r="C4180" s="0" t="s">
        <v>575</v>
      </c>
      <c r="E4180" s="0" t="s">
        <v>42</v>
      </c>
      <c r="F4180" s="0" t="s">
        <v>2414</v>
      </c>
    </row>
    <row r="4182" customFormat="false" ht="12.8" hidden="false" customHeight="false" outlineLevel="0" collapsed="false">
      <c r="A4182" s="0" t="s">
        <v>2415</v>
      </c>
      <c r="B4182" s="0" t="str">
        <f aca="false">HYPERLINK("https://lindat.mff.cuni.cz/services/teitok/pdtc10/index.php?action=vallex&amp;frame=v-w605f1", "dokreslovat (v-w605f1)")</f>
        <v>dokreslovat (v-w605f1)</v>
      </c>
    </row>
    <row r="4183" customFormat="false" ht="12.8" hidden="false" customHeight="false" outlineLevel="0" collapsed="false">
      <c r="B4183" s="0" t="s">
        <v>1</v>
      </c>
    </row>
    <row r="4184" customFormat="false" ht="12.8" hidden="false" customHeight="false" outlineLevel="0" collapsed="false">
      <c r="B4184" s="0" t="s">
        <v>8</v>
      </c>
    </row>
    <row r="4185" customFormat="false" ht="12.8" hidden="false" customHeight="false" outlineLevel="0" collapsed="false">
      <c r="B4185" s="0" t="s">
        <v>2413</v>
      </c>
    </row>
    <row r="4187" customFormat="false" ht="12.8" hidden="false" customHeight="false" outlineLevel="0" collapsed="false">
      <c r="A4187" s="0" t="s">
        <v>2416</v>
      </c>
      <c r="B4187" s="0" t="str">
        <f aca="false">HYPERLINK("https://lindat.mff.cuni.cz/services/teitok/pdtc10/index.php?action=vallex&amp;frame=v-whsa_1589hsa_1590", "dokrvovat se (v-whsa_1589hsa_1590)")</f>
        <v>dokrvovat se (v-whsa_1589hsa_1590)</v>
      </c>
    </row>
    <row r="4188" customFormat="false" ht="12.8" hidden="false" customHeight="false" outlineLevel="0" collapsed="false">
      <c r="B4188" s="0" t="s">
        <v>1</v>
      </c>
    </row>
    <row r="4190" customFormat="false" ht="12.8" hidden="false" customHeight="false" outlineLevel="0" collapsed="false">
      <c r="A4190" s="0" t="s">
        <v>2417</v>
      </c>
      <c r="B4190" s="0" t="str">
        <f aca="false">HYPERLINK("https://lindat.mff.cuni.cz/services/teitok/pdtc10/index.php?action=vallex&amp;frame=v-w611f1", "dokumentovat (v-w611f1)")</f>
        <v>dokumentovat (v-w611f1)</v>
      </c>
      <c r="E4190" s="0" t="str">
        <f aca="false">HYPERLINK("https://lindat.mff.cuni.cz/services/SynSemClass40/SynSemClass40.html?veclass=vec01169#vec01169-ces-cm00020", "vec01169")</f>
        <v>vec01169</v>
      </c>
      <c r="F4190" s="0" t="s">
        <v>1955</v>
      </c>
    </row>
    <row r="4191" customFormat="false" ht="12.8" hidden="false" customHeight="false" outlineLevel="0" collapsed="false">
      <c r="B4191" s="0" t="s">
        <v>1</v>
      </c>
      <c r="C4191" s="0" t="s">
        <v>2418</v>
      </c>
      <c r="E4191" s="0" t="s">
        <v>1958</v>
      </c>
      <c r="F4191" s="0" t="s">
        <v>1959</v>
      </c>
    </row>
    <row r="4192" customFormat="false" ht="12.8" hidden="false" customHeight="false" outlineLevel="0" collapsed="false">
      <c r="B4192" s="0" t="s">
        <v>2419</v>
      </c>
      <c r="C4192" s="0" t="s">
        <v>2420</v>
      </c>
      <c r="E4192" s="0" t="s">
        <v>180</v>
      </c>
      <c r="F4192" s="0" t="s">
        <v>1962</v>
      </c>
    </row>
    <row r="4193" customFormat="false" ht="12.8" hidden="false" customHeight="false" outlineLevel="0" collapsed="false">
      <c r="B4193" s="0" t="s">
        <v>132</v>
      </c>
    </row>
    <row r="4194" customFormat="false" ht="12.8" hidden="false" customHeight="false" outlineLevel="0" collapsed="false">
      <c r="B4194" s="0" t="s">
        <v>773</v>
      </c>
    </row>
    <row r="4196" customFormat="false" ht="12.8" hidden="false" customHeight="false" outlineLevel="0" collapsed="false">
      <c r="A4196" s="0" t="s">
        <v>2421</v>
      </c>
      <c r="B4196" s="0" t="str">
        <f aca="false">HYPERLINK("https://lindat.mff.cuni.cz/services/teitok/pdtc10/index.php?action=vallex&amp;frame=v-w611f2_ZU", "dokumentovat (v-w611f2_ZU)")</f>
        <v>dokumentovat (v-w611f2_ZU)</v>
      </c>
    </row>
    <row r="4197" customFormat="false" ht="12.8" hidden="false" customHeight="false" outlineLevel="0" collapsed="false">
      <c r="B4197" s="0" t="s">
        <v>1</v>
      </c>
    </row>
    <row r="4198" customFormat="false" ht="12.8" hidden="false" customHeight="false" outlineLevel="0" collapsed="false">
      <c r="B4198" s="0" t="s">
        <v>8</v>
      </c>
    </row>
    <row r="4200" customFormat="false" ht="12.8" hidden="false" customHeight="false" outlineLevel="0" collapsed="false">
      <c r="A4200" s="0" t="s">
        <v>2422</v>
      </c>
      <c r="B4200" s="0" t="str">
        <f aca="false">HYPERLINK("https://lindat.mff.cuni.cz/services/teitok/pdtc10/index.php?action=vallex&amp;frame=v-w611f4_ZU", "dokumentovat (v-w611f4_ZU)")</f>
        <v>dokumentovat (v-w611f4_ZU)</v>
      </c>
    </row>
    <row r="4201" customFormat="false" ht="12.8" hidden="false" customHeight="false" outlineLevel="0" collapsed="false">
      <c r="B4201" s="0" t="s">
        <v>1</v>
      </c>
    </row>
    <row r="4202" customFormat="false" ht="12.8" hidden="false" customHeight="false" outlineLevel="0" collapsed="false">
      <c r="B4202" s="0" t="s">
        <v>8</v>
      </c>
    </row>
    <row r="4204" customFormat="false" ht="12.8" hidden="false" customHeight="false" outlineLevel="0" collapsed="false">
      <c r="A4204" s="0" t="s">
        <v>2422</v>
      </c>
      <c r="B4204" s="0" t="str">
        <f aca="false">HYPERLINK("https://lindat.mff.cuni.cz/services/teitok/pdtc10/index.php?action=vallex&amp;frame=v-w611f3_ZU", "dokumentovat (v-w611f3_ZU) - substituted with v-w611f4_ZU")</f>
        <v>dokumentovat (v-w611f3_ZU) - substituted with v-w611f4_ZU</v>
      </c>
    </row>
    <row r="4205" customFormat="false" ht="12.8" hidden="false" customHeight="false" outlineLevel="0" collapsed="false">
      <c r="B4205" s="0" t="s">
        <v>1</v>
      </c>
    </row>
    <row r="4206" customFormat="false" ht="12.8" hidden="false" customHeight="false" outlineLevel="0" collapsed="false">
      <c r="B4206" s="0" t="s">
        <v>8</v>
      </c>
    </row>
    <row r="4208" customFormat="false" ht="12.8" hidden="false" customHeight="false" outlineLevel="0" collapsed="false">
      <c r="A4208" s="0" t="s">
        <v>2423</v>
      </c>
      <c r="B4208" s="0" t="str">
        <f aca="false">HYPERLINK("https://lindat.mff.cuni.cz/services/teitok/pdtc10/index.php?action=vallex&amp;frame=v-whsa_749f1_ZU", "dokupovat (v-whsa_749f1_ZU)")</f>
        <v>dokupovat (v-whsa_749f1_ZU)</v>
      </c>
    </row>
    <row r="4209" customFormat="false" ht="12.8" hidden="false" customHeight="false" outlineLevel="0" collapsed="false">
      <c r="B4209" s="0" t="s">
        <v>1</v>
      </c>
    </row>
    <row r="4210" customFormat="false" ht="12.8" hidden="false" customHeight="false" outlineLevel="0" collapsed="false">
      <c r="B4210" s="0" t="s">
        <v>8</v>
      </c>
    </row>
    <row r="4211" customFormat="false" ht="12.8" hidden="false" customHeight="false" outlineLevel="0" collapsed="false">
      <c r="B4211" s="0" t="s">
        <v>2410</v>
      </c>
    </row>
    <row r="4212" customFormat="false" ht="12.8" hidden="false" customHeight="false" outlineLevel="0" collapsed="false">
      <c r="B4212" s="0" t="s">
        <v>602</v>
      </c>
    </row>
    <row r="4214" customFormat="false" ht="12.8" hidden="false" customHeight="false" outlineLevel="0" collapsed="false">
      <c r="A4214" s="0" t="s">
        <v>2423</v>
      </c>
      <c r="B4214" s="0" t="str">
        <f aca="false">HYPERLINK("https://lindat.mff.cuni.cz/services/teitok/pdtc10/index.php?action=vallex&amp;frame=v-whsa_749hsa_750", "dokupovat (v-whsa_749hsa_750) - substituted with v-whsa_749f1_ZU")</f>
        <v>dokupovat (v-whsa_749hsa_750) - substituted with v-whsa_749f1_ZU</v>
      </c>
    </row>
    <row r="4215" customFormat="false" ht="12.8" hidden="false" customHeight="false" outlineLevel="0" collapsed="false">
      <c r="B4215" s="0" t="s">
        <v>1</v>
      </c>
    </row>
    <row r="4216" customFormat="false" ht="12.8" hidden="false" customHeight="false" outlineLevel="0" collapsed="false">
      <c r="B4216" s="0" t="s">
        <v>8</v>
      </c>
    </row>
    <row r="4217" customFormat="false" ht="12.8" hidden="false" customHeight="false" outlineLevel="0" collapsed="false">
      <c r="B4217" s="0" t="s">
        <v>2410</v>
      </c>
    </row>
    <row r="4218" customFormat="false" ht="12.8" hidden="false" customHeight="false" outlineLevel="0" collapsed="false">
      <c r="B4218" s="0" t="s">
        <v>602</v>
      </c>
    </row>
    <row r="4220" customFormat="false" ht="12.8" hidden="false" customHeight="false" outlineLevel="0" collapsed="false">
      <c r="A4220" s="0" t="s">
        <v>2424</v>
      </c>
      <c r="B4220" s="0" t="str">
        <f aca="false">HYPERLINK("https://lindat.mff.cuni.cz/services/teitok/pdtc10/index.php?action=vallex&amp;frame=v-whsb_631hsa_632", "dokvétat (v-whsb_631hsa_632)")</f>
        <v>dokvétat (v-whsb_631hsa_632)</v>
      </c>
    </row>
    <row r="4221" customFormat="false" ht="12.8" hidden="false" customHeight="false" outlineLevel="0" collapsed="false">
      <c r="B4221" s="0" t="s">
        <v>1</v>
      </c>
    </row>
    <row r="4223" customFormat="false" ht="12.8" hidden="false" customHeight="false" outlineLevel="0" collapsed="false">
      <c r="A4223" s="0" t="s">
        <v>2425</v>
      </c>
      <c r="B4223" s="0" t="str">
        <f aca="false">HYPERLINK("https://lindat.mff.cuni.cz/services/teitok/pdtc10/index.php?action=vallex&amp;frame=v-w586f2", "dokázat (v-w586f2)")</f>
        <v>dokázat (v-w586f2)</v>
      </c>
    </row>
    <row r="4224" customFormat="false" ht="12.8" hidden="false" customHeight="false" outlineLevel="0" collapsed="false">
      <c r="B4224" s="0" t="s">
        <v>1</v>
      </c>
    </row>
    <row r="4225" customFormat="false" ht="12.8" hidden="false" customHeight="false" outlineLevel="0" collapsed="false">
      <c r="B4225" s="0" t="s">
        <v>228</v>
      </c>
    </row>
    <row r="4226" customFormat="false" ht="12.8" hidden="false" customHeight="false" outlineLevel="0" collapsed="false">
      <c r="B4226" s="0" t="s">
        <v>52</v>
      </c>
    </row>
    <row r="4228" customFormat="false" ht="12.8" hidden="false" customHeight="false" outlineLevel="0" collapsed="false">
      <c r="A4228" s="0" t="s">
        <v>2426</v>
      </c>
      <c r="B4228" s="0" t="str">
        <f aca="false">HYPERLINK("https://lindat.mff.cuni.cz/services/teitok/pdtc10/index.php?action=vallex&amp;frame=v-w586f1", "dokázat (v-w586f1)")</f>
        <v>dokázat (v-w586f1)</v>
      </c>
      <c r="E4228" s="0" t="str">
        <f aca="false">HYPERLINK("https://lindat.mff.cuni.cz/services/SynSemClass40/SynSemClass40.html?veclass=vec00212#vec00212-ces-cm00001", "vec00212")</f>
        <v>vec00212</v>
      </c>
      <c r="F4228" s="0" t="s">
        <v>2427</v>
      </c>
      <c r="H4228" s="0" t="str">
        <f aca="false">HYPERLINK("https://lindat.mff.cuni.cz/services/SynSemClass40/SynSemClass40.html?veclass=vec01393#vec01393-ces-cm00008", "vec01393")</f>
        <v>vec01393</v>
      </c>
      <c r="I4228" s="0" t="s">
        <v>2162</v>
      </c>
      <c r="K4228" s="0" t="str">
        <f aca="false">HYPERLINK("https://lindat.mff.cuni.cz/services/SynSemClass40/SynSemClass40.html?veclass=vec01455#vec01455-ces-cm00003", "vec01455")</f>
        <v>vec01455</v>
      </c>
      <c r="L4228" s="0" t="s">
        <v>888</v>
      </c>
    </row>
    <row r="4229" customFormat="false" ht="12.8" hidden="false" customHeight="false" outlineLevel="0" collapsed="false">
      <c r="B4229" s="0" t="s">
        <v>1</v>
      </c>
      <c r="C4229" s="0" t="s">
        <v>2428</v>
      </c>
      <c r="E4229" s="0" t="s">
        <v>11</v>
      </c>
      <c r="F4229" s="0" t="s">
        <v>2429</v>
      </c>
      <c r="H4229" s="0" t="s">
        <v>11</v>
      </c>
      <c r="I4229" s="0" t="s">
        <v>2164</v>
      </c>
      <c r="K4229" s="0" t="s">
        <v>11</v>
      </c>
      <c r="L4229" s="0" t="s">
        <v>890</v>
      </c>
    </row>
    <row r="4230" customFormat="false" ht="12.8" hidden="false" customHeight="false" outlineLevel="0" collapsed="false">
      <c r="B4230" s="0" t="s">
        <v>402</v>
      </c>
      <c r="C4230" s="0" t="s">
        <v>2430</v>
      </c>
      <c r="E4230" s="0" t="s">
        <v>523</v>
      </c>
      <c r="F4230" s="0" t="s">
        <v>2431</v>
      </c>
      <c r="H4230" s="0" t="s">
        <v>1809</v>
      </c>
      <c r="I4230" s="0" t="s">
        <v>2166</v>
      </c>
      <c r="K4230" s="0" t="s">
        <v>893</v>
      </c>
      <c r="L4230" s="0" t="s">
        <v>894</v>
      </c>
    </row>
    <row r="4232" customFormat="false" ht="12.8" hidden="false" customHeight="false" outlineLevel="0" collapsed="false">
      <c r="A4232" s="0" t="s">
        <v>2432</v>
      </c>
      <c r="B4232" s="0" t="str">
        <f aca="false">HYPERLINK("https://lindat.mff.cuni.cz/services/teitok/pdtc10/index.php?action=vallex&amp;frame=v-w586f3", "dokázat (v-w586f3)")</f>
        <v>dokázat (v-w586f3)</v>
      </c>
      <c r="E4232" s="0" t="str">
        <f aca="false">HYPERLINK("https://lindat.mff.cuni.cz/services/SynSemClass40/SynSemClass40.html?veclass=vec00087#vec00087-ces-cm00006", "vec00087")</f>
        <v>vec00087</v>
      </c>
      <c r="F4232" s="0" t="s">
        <v>2368</v>
      </c>
    </row>
    <row r="4233" customFormat="false" ht="12.8" hidden="false" customHeight="false" outlineLevel="0" collapsed="false">
      <c r="B4233" s="0" t="s">
        <v>1</v>
      </c>
      <c r="C4233" s="0" t="s">
        <v>2379</v>
      </c>
      <c r="E4233" s="0" t="s">
        <v>2370</v>
      </c>
      <c r="F4233" s="0" t="s">
        <v>2371</v>
      </c>
    </row>
    <row r="4234" customFormat="false" ht="12.8" hidden="false" customHeight="false" outlineLevel="0" collapsed="false">
      <c r="B4234" s="0" t="s">
        <v>59</v>
      </c>
      <c r="C4234" s="0" t="s">
        <v>2380</v>
      </c>
      <c r="E4234" s="0" t="s">
        <v>2373</v>
      </c>
      <c r="F4234" s="0" t="s">
        <v>2374</v>
      </c>
    </row>
    <row r="4236" customFormat="false" ht="12.8" hidden="false" customHeight="false" outlineLevel="0" collapsed="false">
      <c r="A4236" s="0" t="s">
        <v>2433</v>
      </c>
      <c r="B4236" s="0" t="str">
        <f aca="false">HYPERLINK("https://lindat.mff.cuni.cz/services/teitok/pdtc10/index.php?action=vallex&amp;frame=v-w586f4", "dokázat (v-w586f4)")</f>
        <v>dokázat (v-w586f4)</v>
      </c>
    </row>
    <row r="4237" customFormat="false" ht="12.8" hidden="false" customHeight="false" outlineLevel="0" collapsed="false">
      <c r="B4237" s="0" t="s">
        <v>1</v>
      </c>
    </row>
    <row r="4238" customFormat="false" ht="12.8" hidden="false" customHeight="false" outlineLevel="0" collapsed="false">
      <c r="B4238" s="0" t="s">
        <v>2382</v>
      </c>
    </row>
    <row r="4239" customFormat="false" ht="12.8" hidden="false" customHeight="false" outlineLevel="0" collapsed="false">
      <c r="B4239" s="0" t="s">
        <v>496</v>
      </c>
    </row>
    <row r="4241" customFormat="false" ht="12.8" hidden="false" customHeight="false" outlineLevel="0" collapsed="false">
      <c r="A4241" s="0" t="s">
        <v>2434</v>
      </c>
      <c r="B4241" s="0" t="str">
        <f aca="false">HYPERLINK("https://lindat.mff.cuni.cz/services/teitok/pdtc10/index.php?action=vallex&amp;frame=v-w586f5", "dokázat (v-w586f5)")</f>
        <v>dokázat (v-w586f5)</v>
      </c>
    </row>
    <row r="4242" customFormat="false" ht="12.8" hidden="false" customHeight="false" outlineLevel="0" collapsed="false">
      <c r="B4242" s="0" t="s">
        <v>1</v>
      </c>
    </row>
    <row r="4244" customFormat="false" ht="12.8" hidden="false" customHeight="false" outlineLevel="0" collapsed="false">
      <c r="A4244" s="0" t="s">
        <v>2435</v>
      </c>
      <c r="B4244" s="0" t="str">
        <f aca="false">HYPERLINK("https://lindat.mff.cuni.cz/services/teitok/pdtc10/index.php?action=vallex&amp;frame=v-w612f1", "doladit (v-w612f1)")</f>
        <v>doladit (v-w612f1)</v>
      </c>
      <c r="E4244" s="0" t="str">
        <f aca="false">HYPERLINK("https://lindat.mff.cuni.cz/services/SynSemClass40/SynSemClass40.html?veclass=vec00008#vec00008-ces-cm00002", "vec00008")</f>
        <v>vec00008</v>
      </c>
      <c r="F4244" s="0" t="s">
        <v>2436</v>
      </c>
    </row>
    <row r="4245" customFormat="false" ht="12.8" hidden="false" customHeight="false" outlineLevel="0" collapsed="false">
      <c r="B4245" s="0" t="s">
        <v>1</v>
      </c>
      <c r="C4245" s="0" t="s">
        <v>459</v>
      </c>
      <c r="E4245" s="0" t="s">
        <v>31</v>
      </c>
      <c r="F4245" s="0" t="s">
        <v>2437</v>
      </c>
    </row>
    <row r="4246" customFormat="false" ht="12.8" hidden="false" customHeight="false" outlineLevel="0" collapsed="false">
      <c r="B4246" s="0" t="s">
        <v>8</v>
      </c>
      <c r="C4246" s="0" t="s">
        <v>1940</v>
      </c>
      <c r="E4246" s="0" t="s">
        <v>2438</v>
      </c>
      <c r="F4246" s="0" t="s">
        <v>2439</v>
      </c>
    </row>
    <row r="4248" customFormat="false" ht="12.8" hidden="false" customHeight="false" outlineLevel="0" collapsed="false">
      <c r="A4248" s="0" t="s">
        <v>2440</v>
      </c>
      <c r="B4248" s="0" t="str">
        <f aca="false">HYPERLINK("https://lindat.mff.cuni.cz/services/teitok/pdtc10/index.php?action=vallex&amp;frame=v-w614f1", "dolaďovat (v-w614f1)")</f>
        <v>dolaďovat (v-w614f1)</v>
      </c>
      <c r="E4248" s="0" t="str">
        <f aca="false">HYPERLINK("https://lindat.mff.cuni.cz/services/SynSemClass40/SynSemClass40.html?veclass=vec00008#vec00008-ces-cm00001", "vec00008")</f>
        <v>vec00008</v>
      </c>
      <c r="F4248" s="0" t="s">
        <v>2436</v>
      </c>
    </row>
    <row r="4249" customFormat="false" ht="12.8" hidden="false" customHeight="false" outlineLevel="0" collapsed="false">
      <c r="B4249" s="0" t="s">
        <v>1</v>
      </c>
      <c r="C4249" s="0" t="s">
        <v>459</v>
      </c>
      <c r="E4249" s="0" t="s">
        <v>31</v>
      </c>
      <c r="F4249" s="0" t="s">
        <v>2437</v>
      </c>
    </row>
    <row r="4250" customFormat="false" ht="12.8" hidden="false" customHeight="false" outlineLevel="0" collapsed="false">
      <c r="B4250" s="0" t="s">
        <v>8</v>
      </c>
      <c r="C4250" s="0" t="s">
        <v>1940</v>
      </c>
      <c r="E4250" s="0" t="s">
        <v>2438</v>
      </c>
      <c r="F4250" s="0" t="s">
        <v>2439</v>
      </c>
    </row>
    <row r="4252" customFormat="false" ht="12.8" hidden="false" customHeight="false" outlineLevel="0" collapsed="false">
      <c r="A4252" s="0" t="s">
        <v>2441</v>
      </c>
      <c r="B4252" s="0" t="str">
        <f aca="false">HYPERLINK("https://lindat.mff.cuni.cz/services/teitok/pdtc10/index.php?action=vallex&amp;frame=v-w618f1", "dolehnout (v-w618f1)")</f>
        <v>dolehnout (v-w618f1)</v>
      </c>
    </row>
    <row r="4253" customFormat="false" ht="12.8" hidden="false" customHeight="false" outlineLevel="0" collapsed="false">
      <c r="B4253" s="0" t="s">
        <v>1</v>
      </c>
    </row>
    <row r="4254" customFormat="false" ht="12.8" hidden="false" customHeight="false" outlineLevel="0" collapsed="false">
      <c r="B4254" s="0" t="s">
        <v>45</v>
      </c>
    </row>
    <row r="4256" customFormat="false" ht="12.8" hidden="false" customHeight="false" outlineLevel="0" collapsed="false">
      <c r="A4256" s="0" t="s">
        <v>2442</v>
      </c>
      <c r="B4256" s="0" t="str">
        <f aca="false">HYPERLINK("https://lindat.mff.cuni.cz/services/teitok/pdtc10/index.php?action=vallex&amp;frame=v-w618f2", "dolehnout (v-w618f2)")</f>
        <v>dolehnout (v-w618f2)</v>
      </c>
    </row>
    <row r="4257" customFormat="false" ht="12.8" hidden="false" customHeight="false" outlineLevel="0" collapsed="false">
      <c r="B4257" s="0" t="s">
        <v>1</v>
      </c>
    </row>
    <row r="4258" customFormat="false" ht="12.8" hidden="false" customHeight="false" outlineLevel="0" collapsed="false">
      <c r="B4258" s="0" t="s">
        <v>164</v>
      </c>
    </row>
    <row r="4260" customFormat="false" ht="12.8" hidden="false" customHeight="false" outlineLevel="0" collapsed="false">
      <c r="A4260" s="0" t="s">
        <v>2443</v>
      </c>
      <c r="B4260" s="0" t="str">
        <f aca="false">HYPERLINK("https://lindat.mff.cuni.cz/services/teitok/pdtc10/index.php?action=vallex&amp;frame=v-w619f1", "doletět (v-w619f1)")</f>
        <v>doletět (v-w619f1)</v>
      </c>
      <c r="E4260" s="0" t="str">
        <f aca="false">HYPERLINK("https://lindat.mff.cuni.cz/services/SynSemClass40/SynSemClass40.html?veclass=vec00218#vec00218-ces-cm00273", "vec00218")</f>
        <v>vec00218</v>
      </c>
      <c r="F4260" s="0" t="s">
        <v>2143</v>
      </c>
      <c r="H4260" s="0" t="str">
        <f aca="false">HYPERLINK("https://lindat.mff.cuni.cz/services/SynSemClass40/SynSemClass40.html?veclass=vec00427#vec00427-ces-cm00015", "vec00427")</f>
        <v>vec00427</v>
      </c>
      <c r="I4260" s="0" t="s">
        <v>2444</v>
      </c>
      <c r="K4260" s="0" t="str">
        <f aca="false">HYPERLINK("https://lindat.mff.cuni.cz/services/SynSemClass40/SynSemClass40.html?veclass=vec00901#vec00901-ces-cm00025", "vec00901")</f>
        <v>vec00901</v>
      </c>
      <c r="L4260" s="0" t="s">
        <v>2445</v>
      </c>
    </row>
    <row r="4261" customFormat="false" ht="12.8" hidden="false" customHeight="false" outlineLevel="0" collapsed="false">
      <c r="B4261" s="0" t="s">
        <v>1</v>
      </c>
      <c r="C4261" s="0" t="s">
        <v>2446</v>
      </c>
      <c r="E4261" s="0" t="s">
        <v>11</v>
      </c>
      <c r="F4261" s="0" t="s">
        <v>2145</v>
      </c>
      <c r="H4261" s="0" t="s">
        <v>334</v>
      </c>
      <c r="I4261" s="0" t="s">
        <v>2447</v>
      </c>
      <c r="K4261" s="0" t="s">
        <v>2448</v>
      </c>
      <c r="L4261" s="0" t="s">
        <v>2449</v>
      </c>
    </row>
    <row r="4262" customFormat="false" ht="12.8" hidden="false" customHeight="false" outlineLevel="0" collapsed="false">
      <c r="B4262" s="0" t="s">
        <v>164</v>
      </c>
      <c r="C4262" s="0" t="s">
        <v>2450</v>
      </c>
      <c r="E4262" s="0" t="s">
        <v>370</v>
      </c>
      <c r="F4262" s="0" t="s">
        <v>2147</v>
      </c>
      <c r="H4262" s="0" t="s">
        <v>1315</v>
      </c>
      <c r="I4262" s="0" t="s">
        <v>1316</v>
      </c>
      <c r="K4262" s="0" t="s">
        <v>370</v>
      </c>
      <c r="L4262" s="0" t="s">
        <v>2451</v>
      </c>
    </row>
    <row r="4264" customFormat="false" ht="12.8" hidden="false" customHeight="false" outlineLevel="0" collapsed="false">
      <c r="A4264" s="0" t="s">
        <v>2452</v>
      </c>
      <c r="B4264" s="0" t="str">
        <f aca="false">HYPERLINK("https://lindat.mff.cuni.cz/services/teitok/pdtc10/index.php?action=vallex&amp;frame=v-w623f1", "doložit (v-w623f1)")</f>
        <v>doložit (v-w623f1)</v>
      </c>
      <c r="E4264" s="0" t="str">
        <f aca="false">HYPERLINK("https://lindat.mff.cuni.cz/services/SynSemClass40/SynSemClass40.html?veclass=vec00087#vec00087-ces-cm00163", "vec00087")</f>
        <v>vec00087</v>
      </c>
      <c r="F4264" s="0" t="s">
        <v>2368</v>
      </c>
    </row>
    <row r="4265" customFormat="false" ht="12.8" hidden="false" customHeight="false" outlineLevel="0" collapsed="false">
      <c r="B4265" s="0" t="s">
        <v>1</v>
      </c>
      <c r="C4265" s="0" t="s">
        <v>2379</v>
      </c>
      <c r="E4265" s="0" t="s">
        <v>2370</v>
      </c>
      <c r="F4265" s="0" t="s">
        <v>2371</v>
      </c>
    </row>
    <row r="4266" customFormat="false" ht="12.8" hidden="false" customHeight="false" outlineLevel="0" collapsed="false">
      <c r="B4266" s="0" t="s">
        <v>1754</v>
      </c>
      <c r="C4266" s="0" t="s">
        <v>2380</v>
      </c>
      <c r="E4266" s="0" t="s">
        <v>2373</v>
      </c>
      <c r="F4266" s="0" t="s">
        <v>2374</v>
      </c>
    </row>
    <row r="4267" customFormat="false" ht="12.8" hidden="false" customHeight="false" outlineLevel="0" collapsed="false">
      <c r="B4267" s="0" t="s">
        <v>132</v>
      </c>
      <c r="C4267" s="0" t="s">
        <v>2384</v>
      </c>
      <c r="E4267" s="0" t="s">
        <v>2376</v>
      </c>
      <c r="F4267" s="0" t="s">
        <v>2377</v>
      </c>
    </row>
    <row r="4269" customFormat="false" ht="12.8" hidden="false" customHeight="false" outlineLevel="0" collapsed="false">
      <c r="A4269" s="0" t="s">
        <v>2453</v>
      </c>
      <c r="B4269" s="0" t="str">
        <f aca="false">HYPERLINK("https://lindat.mff.cuni.cz/services/teitok/pdtc10/index.php?action=vallex&amp;frame=v-w623f2", "doložit (v-w623f2)")</f>
        <v>doložit (v-w623f2)</v>
      </c>
    </row>
    <row r="4270" customFormat="false" ht="12.8" hidden="false" customHeight="false" outlineLevel="0" collapsed="false">
      <c r="B4270" s="0" t="s">
        <v>1</v>
      </c>
    </row>
    <row r="4271" customFormat="false" ht="12.8" hidden="false" customHeight="false" outlineLevel="0" collapsed="false">
      <c r="B4271" s="0" t="s">
        <v>8</v>
      </c>
    </row>
    <row r="4273" customFormat="false" ht="12.8" hidden="false" customHeight="false" outlineLevel="0" collapsed="false">
      <c r="A4273" s="0" t="s">
        <v>2454</v>
      </c>
      <c r="B4273" s="0" t="str">
        <f aca="false">HYPERLINK("https://lindat.mff.cuni.cz/services/teitok/pdtc10/index.php?action=vallex&amp;frame=v-w617f1", "doléhat (v-w617f1)")</f>
        <v>doléhat (v-w617f1)</v>
      </c>
    </row>
    <row r="4274" customFormat="false" ht="12.8" hidden="false" customHeight="false" outlineLevel="0" collapsed="false">
      <c r="B4274" s="0" t="s">
        <v>1</v>
      </c>
    </row>
    <row r="4275" customFormat="false" ht="12.8" hidden="false" customHeight="false" outlineLevel="0" collapsed="false">
      <c r="B4275" s="0" t="s">
        <v>45</v>
      </c>
    </row>
    <row r="4277" customFormat="false" ht="12.8" hidden="false" customHeight="false" outlineLevel="0" collapsed="false">
      <c r="A4277" s="0" t="s">
        <v>2455</v>
      </c>
      <c r="B4277" s="0" t="str">
        <f aca="false">HYPERLINK("https://lindat.mff.cuni.cz/services/teitok/pdtc10/index.php?action=vallex&amp;frame=v-w617f2", "doléhat (v-w617f2)")</f>
        <v>doléhat (v-w617f2)</v>
      </c>
    </row>
    <row r="4278" customFormat="false" ht="12.8" hidden="false" customHeight="false" outlineLevel="0" collapsed="false">
      <c r="B4278" s="0" t="s">
        <v>1</v>
      </c>
    </row>
    <row r="4279" customFormat="false" ht="12.8" hidden="false" customHeight="false" outlineLevel="0" collapsed="false">
      <c r="B4279" s="0" t="s">
        <v>164</v>
      </c>
    </row>
    <row r="4281" customFormat="false" ht="12.8" hidden="false" customHeight="false" outlineLevel="0" collapsed="false">
      <c r="A4281" s="0" t="s">
        <v>2456</v>
      </c>
      <c r="B4281" s="0" t="str">
        <f aca="false">HYPERLINK("https://lindat.mff.cuni.cz/services/teitok/pdtc10/index.php?action=vallex&amp;frame=v-w620f1", "dolétnout (v-w620f1)")</f>
        <v>dolétnout (v-w620f1)</v>
      </c>
    </row>
    <row r="4282" customFormat="false" ht="12.8" hidden="false" customHeight="false" outlineLevel="0" collapsed="false">
      <c r="B4282" s="0" t="s">
        <v>1</v>
      </c>
    </row>
    <row r="4283" customFormat="false" ht="12.8" hidden="false" customHeight="false" outlineLevel="0" collapsed="false">
      <c r="B4283" s="0" t="s">
        <v>164</v>
      </c>
    </row>
    <row r="4285" customFormat="false" ht="12.8" hidden="false" customHeight="false" outlineLevel="0" collapsed="false">
      <c r="A4285" s="0" t="s">
        <v>2457</v>
      </c>
      <c r="B4285" s="0" t="str">
        <f aca="false">HYPERLINK("https://lindat.mff.cuni.cz/services/teitok/pdtc10/index.php?action=vallex&amp;frame=v-w616f1", "doléčit (v-w616f1)")</f>
        <v>doléčit (v-w616f1)</v>
      </c>
    </row>
    <row r="4286" customFormat="false" ht="12.8" hidden="false" customHeight="false" outlineLevel="0" collapsed="false">
      <c r="B4286" s="0" t="s">
        <v>1</v>
      </c>
    </row>
    <row r="4287" customFormat="false" ht="12.8" hidden="false" customHeight="false" outlineLevel="0" collapsed="false">
      <c r="B4287" s="0" t="s">
        <v>8</v>
      </c>
    </row>
    <row r="4289" customFormat="false" ht="12.8" hidden="false" customHeight="false" outlineLevel="0" collapsed="false">
      <c r="A4289" s="0" t="s">
        <v>2458</v>
      </c>
      <c r="B4289" s="0" t="str">
        <f aca="false">HYPERLINK("https://lindat.mff.cuni.cz/services/teitok/pdtc10/index.php?action=vallex&amp;frame=v-w12390_MMf1_MM", "dolít (v-w12390_MMf1_MM)")</f>
        <v>dolít (v-w12390_MMf1_MM)</v>
      </c>
    </row>
    <row r="4290" customFormat="false" ht="12.8" hidden="false" customHeight="false" outlineLevel="0" collapsed="false">
      <c r="B4290" s="0" t="s">
        <v>1</v>
      </c>
    </row>
    <row r="4291" customFormat="false" ht="12.8" hidden="false" customHeight="false" outlineLevel="0" collapsed="false">
      <c r="B4291" s="0" t="s">
        <v>8</v>
      </c>
    </row>
    <row r="4292" customFormat="false" ht="12.8" hidden="false" customHeight="false" outlineLevel="0" collapsed="false">
      <c r="B4292" s="0" t="s">
        <v>164</v>
      </c>
    </row>
    <row r="4294" customFormat="false" ht="12.8" hidden="false" customHeight="false" outlineLevel="0" collapsed="false">
      <c r="A4294" s="0" t="s">
        <v>2459</v>
      </c>
      <c r="B4294" s="0" t="str">
        <f aca="false">HYPERLINK("https://lindat.mff.cuni.cz/services/teitok/pdtc10/index.php?action=vallex&amp;frame=v-w626f1", "domazat (v-w626f1)")</f>
        <v>domazat (v-w626f1)</v>
      </c>
    </row>
    <row r="4295" customFormat="false" ht="12.8" hidden="false" customHeight="false" outlineLevel="0" collapsed="false">
      <c r="B4295" s="0" t="s">
        <v>1</v>
      </c>
    </row>
    <row r="4296" customFormat="false" ht="12.8" hidden="false" customHeight="false" outlineLevel="0" collapsed="false">
      <c r="B4296" s="0" t="s">
        <v>8</v>
      </c>
    </row>
    <row r="4298" customFormat="false" ht="12.8" hidden="false" customHeight="false" outlineLevel="0" collapsed="false">
      <c r="A4298" s="0" t="s">
        <v>2460</v>
      </c>
      <c r="B4298" s="0" t="str">
        <f aca="false">HYPERLINK("https://lindat.mff.cuni.cz/services/teitok/pdtc10/index.php?action=vallex&amp;frame=v-w628f2", "dominovat (v-w628f2)")</f>
        <v>dominovat (v-w628f2)</v>
      </c>
      <c r="E4298" s="0" t="str">
        <f aca="false">HYPERLINK("https://lindat.mff.cuni.cz/services/SynSemClass40/SynSemClass40.html?veclass=vec00214#vec00214-ces-cm00001", "vec00214")</f>
        <v>vec00214</v>
      </c>
      <c r="F4298" s="0" t="s">
        <v>2461</v>
      </c>
    </row>
    <row r="4299" customFormat="false" ht="12.8" hidden="false" customHeight="false" outlineLevel="0" collapsed="false">
      <c r="B4299" s="0" t="s">
        <v>1</v>
      </c>
      <c r="C4299" s="0" t="s">
        <v>2462</v>
      </c>
      <c r="E4299" s="0" t="s">
        <v>2027</v>
      </c>
      <c r="F4299" s="0" t="s">
        <v>2463</v>
      </c>
    </row>
    <row r="4300" customFormat="false" ht="12.8" hidden="false" customHeight="false" outlineLevel="0" collapsed="false">
      <c r="B4300" s="0" t="s">
        <v>2464</v>
      </c>
      <c r="C4300" s="0" t="s">
        <v>1543</v>
      </c>
      <c r="E4300" s="0" t="s">
        <v>2465</v>
      </c>
      <c r="F4300" s="0" t="s">
        <v>2466</v>
      </c>
    </row>
    <row r="4302" customFormat="false" ht="12.8" hidden="false" customHeight="false" outlineLevel="0" collapsed="false">
      <c r="A4302" s="0" t="s">
        <v>2467</v>
      </c>
      <c r="B4302" s="0" t="str">
        <f aca="false">HYPERLINK("https://lindat.mff.cuni.cz/services/teitok/pdtc10/index.php?action=vallex&amp;frame=v-w628f1", "dominovat (v-w628f1)")</f>
        <v>dominovat (v-w628f1)</v>
      </c>
    </row>
    <row r="4303" customFormat="false" ht="12.8" hidden="false" customHeight="false" outlineLevel="0" collapsed="false">
      <c r="B4303" s="0" t="s">
        <v>1</v>
      </c>
    </row>
    <row r="4305" customFormat="false" ht="12.8" hidden="false" customHeight="false" outlineLevel="0" collapsed="false">
      <c r="A4305" s="0" t="s">
        <v>2468</v>
      </c>
      <c r="B4305" s="0" t="str">
        <f aca="false">HYPERLINK("https://lindat.mff.cuni.cz/services/teitok/pdtc10/index.php?action=vallex&amp;frame=v-whsa_916hsa_917", "domlouvat (v-whsa_916hsa_917)")</f>
        <v>domlouvat (v-whsa_916hsa_917)</v>
      </c>
    </row>
    <row r="4306" customFormat="false" ht="12.8" hidden="false" customHeight="false" outlineLevel="0" collapsed="false">
      <c r="B4306" s="0" t="s">
        <v>1</v>
      </c>
    </row>
    <row r="4307" customFormat="false" ht="12.8" hidden="false" customHeight="false" outlineLevel="0" collapsed="false">
      <c r="B4307" s="0" t="s">
        <v>2469</v>
      </c>
    </row>
    <row r="4308" customFormat="false" ht="12.8" hidden="false" customHeight="false" outlineLevel="0" collapsed="false">
      <c r="B4308" s="0" t="s">
        <v>52</v>
      </c>
    </row>
    <row r="4310" customFormat="false" ht="12.8" hidden="false" customHeight="false" outlineLevel="0" collapsed="false">
      <c r="A4310" s="0" t="s">
        <v>2470</v>
      </c>
      <c r="B4310" s="0" t="str">
        <f aca="false">HYPERLINK("https://lindat.mff.cuni.cz/services/teitok/pdtc10/index.php?action=vallex&amp;frame=v-w629f1", "domlouvat se (v-w629f1)")</f>
        <v>domlouvat se (v-w629f1)</v>
      </c>
    </row>
    <row r="4311" customFormat="false" ht="12.8" hidden="false" customHeight="false" outlineLevel="0" collapsed="false">
      <c r="B4311" s="0" t="s">
        <v>1</v>
      </c>
    </row>
    <row r="4312" customFormat="false" ht="12.8" hidden="false" customHeight="false" outlineLevel="0" collapsed="false">
      <c r="B4312" s="0" t="s">
        <v>2253</v>
      </c>
    </row>
    <row r="4313" customFormat="false" ht="12.8" hidden="false" customHeight="false" outlineLevel="0" collapsed="false">
      <c r="B4313" s="0" t="s">
        <v>276</v>
      </c>
    </row>
    <row r="4315" customFormat="false" ht="12.8" hidden="false" customHeight="false" outlineLevel="0" collapsed="false">
      <c r="A4315" s="0" t="s">
        <v>2471</v>
      </c>
      <c r="B4315" s="0" t="str">
        <f aca="false">HYPERLINK("https://lindat.mff.cuni.cz/services/teitok/pdtc10/index.php?action=vallex&amp;frame=v-w629hsa_884", "domlouvat se (v-w629hsa_884)")</f>
        <v>domlouvat se (v-w629hsa_884)</v>
      </c>
    </row>
    <row r="4316" customFormat="false" ht="12.8" hidden="false" customHeight="false" outlineLevel="0" collapsed="false">
      <c r="B4316" s="0" t="s">
        <v>1</v>
      </c>
    </row>
    <row r="4317" customFormat="false" ht="12.8" hidden="false" customHeight="false" outlineLevel="0" collapsed="false">
      <c r="B4317" s="0" t="s">
        <v>721</v>
      </c>
    </row>
    <row r="4319" customFormat="false" ht="12.8" hidden="false" customHeight="false" outlineLevel="0" collapsed="false">
      <c r="A4319" s="0" t="s">
        <v>2472</v>
      </c>
      <c r="B4319" s="0" t="str">
        <f aca="false">HYPERLINK("https://lindat.mff.cuni.cz/services/teitok/pdtc10/index.php?action=vallex&amp;frame=v-w631f1", "domluvit (v-w631f1)")</f>
        <v>domluvit (v-w631f1)</v>
      </c>
    </row>
    <row r="4320" customFormat="false" ht="12.8" hidden="false" customHeight="false" outlineLevel="0" collapsed="false">
      <c r="B4320" s="0" t="s">
        <v>1</v>
      </c>
    </row>
    <row r="4321" customFormat="false" ht="12.8" hidden="false" customHeight="false" outlineLevel="0" collapsed="false">
      <c r="B4321" s="0" t="s">
        <v>2329</v>
      </c>
    </row>
    <row r="4322" customFormat="false" ht="12.8" hidden="false" customHeight="false" outlineLevel="0" collapsed="false">
      <c r="B4322" s="0" t="s">
        <v>276</v>
      </c>
    </row>
    <row r="4324" customFormat="false" ht="12.8" hidden="false" customHeight="false" outlineLevel="0" collapsed="false">
      <c r="A4324" s="0" t="s">
        <v>2473</v>
      </c>
      <c r="B4324" s="0" t="str">
        <f aca="false">HYPERLINK("https://lindat.mff.cuni.cz/services/teitok/pdtc10/index.php?action=vallex&amp;frame=v-w631f3", "domluvit (v-w631f3)")</f>
        <v>domluvit (v-w631f3)</v>
      </c>
    </row>
    <row r="4325" customFormat="false" ht="12.8" hidden="false" customHeight="false" outlineLevel="0" collapsed="false">
      <c r="B4325" s="0" t="s">
        <v>1</v>
      </c>
    </row>
    <row r="4326" customFormat="false" ht="12.8" hidden="false" customHeight="false" outlineLevel="0" collapsed="false">
      <c r="B4326" s="0" t="s">
        <v>2469</v>
      </c>
    </row>
    <row r="4327" customFormat="false" ht="12.8" hidden="false" customHeight="false" outlineLevel="0" collapsed="false">
      <c r="B4327" s="0" t="s">
        <v>52</v>
      </c>
    </row>
    <row r="4329" customFormat="false" ht="12.8" hidden="false" customHeight="false" outlineLevel="0" collapsed="false">
      <c r="A4329" s="0" t="s">
        <v>2474</v>
      </c>
      <c r="B4329" s="0" t="str">
        <f aca="false">HYPERLINK("https://lindat.mff.cuni.cz/services/teitok/pdtc10/index.php?action=vallex&amp;frame=v-w631f4_ZU", "domluvit (v-w631f4_ZU)")</f>
        <v>domluvit (v-w631f4_ZU)</v>
      </c>
    </row>
    <row r="4330" customFormat="false" ht="12.8" hidden="false" customHeight="false" outlineLevel="0" collapsed="false">
      <c r="B4330" s="0" t="s">
        <v>1</v>
      </c>
    </row>
    <row r="4331" customFormat="false" ht="12.8" hidden="false" customHeight="false" outlineLevel="0" collapsed="false">
      <c r="B4331" s="0" t="s">
        <v>390</v>
      </c>
    </row>
    <row r="4333" customFormat="false" ht="12.8" hidden="false" customHeight="false" outlineLevel="0" collapsed="false">
      <c r="A4333" s="0" t="s">
        <v>2474</v>
      </c>
      <c r="B4333" s="0" t="str">
        <f aca="false">HYPERLINK("https://lindat.mff.cuni.cz/services/teitok/pdtc10/index.php?action=vallex&amp;frame=v-w631f2", "domluvit (v-w631f2) - substituted with v-w631f4_ZU")</f>
        <v>domluvit (v-w631f2) - substituted with v-w631f4_ZU</v>
      </c>
    </row>
    <row r="4334" customFormat="false" ht="12.8" hidden="false" customHeight="false" outlineLevel="0" collapsed="false">
      <c r="B4334" s="0" t="s">
        <v>1</v>
      </c>
    </row>
    <row r="4335" customFormat="false" ht="12.8" hidden="false" customHeight="false" outlineLevel="0" collapsed="false">
      <c r="B4335" s="0" t="s">
        <v>390</v>
      </c>
    </row>
    <row r="4337" customFormat="false" ht="12.8" hidden="false" customHeight="false" outlineLevel="0" collapsed="false">
      <c r="A4337" s="0" t="s">
        <v>2475</v>
      </c>
      <c r="B4337" s="0" t="str">
        <f aca="false">HYPERLINK("https://lindat.mff.cuni.cz/services/teitok/pdtc10/index.php?action=vallex&amp;frame=v-w632f1", "domluvit se (v-w632f1)")</f>
        <v>domluvit se (v-w632f1)</v>
      </c>
    </row>
    <row r="4338" customFormat="false" ht="12.8" hidden="false" customHeight="false" outlineLevel="0" collapsed="false">
      <c r="B4338" s="0" t="s">
        <v>1</v>
      </c>
    </row>
    <row r="4339" customFormat="false" ht="12.8" hidden="false" customHeight="false" outlineLevel="0" collapsed="false">
      <c r="B4339" s="0" t="s">
        <v>2253</v>
      </c>
    </row>
    <row r="4340" customFormat="false" ht="12.8" hidden="false" customHeight="false" outlineLevel="0" collapsed="false">
      <c r="B4340" s="0" t="s">
        <v>2314</v>
      </c>
    </row>
    <row r="4342" customFormat="false" ht="12.8" hidden="false" customHeight="false" outlineLevel="0" collapsed="false">
      <c r="A4342" s="0" t="s">
        <v>2476</v>
      </c>
      <c r="B4342" s="0" t="str">
        <f aca="false">HYPERLINK("https://lindat.mff.cuni.cz/services/teitok/pdtc10/index.php?action=vallex&amp;frame=v-w632f2", "domluvit se (v-w632f2)")</f>
        <v>domluvit se (v-w632f2)</v>
      </c>
    </row>
    <row r="4343" customFormat="false" ht="12.8" hidden="false" customHeight="false" outlineLevel="0" collapsed="false">
      <c r="B4343" s="0" t="s">
        <v>1</v>
      </c>
    </row>
    <row r="4344" customFormat="false" ht="12.8" hidden="false" customHeight="false" outlineLevel="0" collapsed="false">
      <c r="B4344" s="0" t="s">
        <v>721</v>
      </c>
    </row>
    <row r="4346" customFormat="false" ht="12.8" hidden="false" customHeight="false" outlineLevel="0" collapsed="false">
      <c r="A4346" s="0" t="s">
        <v>2477</v>
      </c>
      <c r="B4346" s="0" t="str">
        <f aca="false">HYPERLINK("https://lindat.mff.cuni.cz/services/teitok/pdtc10/index.php?action=vallex&amp;frame=v-w634f1", "domnívat se (v-w634f1)")</f>
        <v>domnívat se (v-w634f1)</v>
      </c>
      <c r="E4346" s="0" t="str">
        <f aca="false">HYPERLINK("https://lindat.mff.cuni.cz/services/SynSemClass40/SynSemClass40.html?veclass=vec00345#vec00345-ces-cm00002", "vec00345")</f>
        <v>vec00345</v>
      </c>
      <c r="F4346" s="0" t="s">
        <v>2478</v>
      </c>
    </row>
    <row r="4347" customFormat="false" ht="12.8" hidden="false" customHeight="false" outlineLevel="0" collapsed="false">
      <c r="B4347" s="0" t="s">
        <v>1</v>
      </c>
      <c r="C4347" s="0" t="s">
        <v>2479</v>
      </c>
      <c r="E4347" s="0" t="s">
        <v>621</v>
      </c>
      <c r="F4347" s="0" t="s">
        <v>2480</v>
      </c>
    </row>
    <row r="4348" customFormat="false" ht="12.8" hidden="false" customHeight="false" outlineLevel="0" collapsed="false">
      <c r="B4348" s="0" t="s">
        <v>2481</v>
      </c>
      <c r="C4348" s="0" t="s">
        <v>2482</v>
      </c>
      <c r="E4348" s="0" t="s">
        <v>218</v>
      </c>
      <c r="F4348" s="0" t="s">
        <v>2483</v>
      </c>
    </row>
    <row r="4350" customFormat="false" ht="12.8" hidden="false" customHeight="false" outlineLevel="0" collapsed="false">
      <c r="A4350" s="0" t="s">
        <v>2484</v>
      </c>
      <c r="B4350" s="0" t="str">
        <f aca="false">HYPERLINK("https://lindat.mff.cuni.cz/services/teitok/pdtc10/index.php?action=vallex&amp;frame=v-w634f2", "domnívat se (v-w634f2)")</f>
        <v>domnívat se (v-w634f2)</v>
      </c>
      <c r="E4350" s="0" t="str">
        <f aca="false">HYPERLINK("https://lindat.mff.cuni.cz/services/SynSemClass40/SynSemClass40.html?veclass=vec00032#vec00032-ces-cm00015", "vec00032")</f>
        <v>vec00032</v>
      </c>
      <c r="F4350" s="0" t="s">
        <v>911</v>
      </c>
    </row>
    <row r="4351" customFormat="false" ht="12.8" hidden="false" customHeight="false" outlineLevel="0" collapsed="false">
      <c r="B4351" s="0" t="s">
        <v>1</v>
      </c>
      <c r="C4351" s="0" t="s">
        <v>2485</v>
      </c>
      <c r="E4351" s="0" t="s">
        <v>914</v>
      </c>
      <c r="F4351" s="0" t="s">
        <v>915</v>
      </c>
    </row>
    <row r="4352" customFormat="false" ht="12.8" hidden="false" customHeight="false" outlineLevel="0" collapsed="false">
      <c r="B4352" s="0" t="s">
        <v>2486</v>
      </c>
      <c r="C4352" s="0" t="s">
        <v>2487</v>
      </c>
      <c r="E4352" s="0" t="s">
        <v>626</v>
      </c>
      <c r="F4352" s="0" t="s">
        <v>2488</v>
      </c>
    </row>
    <row r="4353" customFormat="false" ht="12.8" hidden="false" customHeight="false" outlineLevel="0" collapsed="false">
      <c r="B4353" s="0" t="s">
        <v>496</v>
      </c>
      <c r="C4353" s="0" t="s">
        <v>2489</v>
      </c>
      <c r="E4353" s="0" t="s">
        <v>180</v>
      </c>
      <c r="F4353" s="0" t="s">
        <v>2490</v>
      </c>
    </row>
    <row r="4355" customFormat="false" ht="12.8" hidden="false" customHeight="false" outlineLevel="0" collapsed="false">
      <c r="A4355" s="0" t="s">
        <v>2491</v>
      </c>
      <c r="B4355" s="0" t="str">
        <f aca="false">HYPERLINK("https://lindat.mff.cuni.cz/services/teitok/pdtc10/index.php?action=vallex&amp;frame=v-w635f1", "domoci se (v-w635f1)")</f>
        <v>domoci se (v-w635f1)</v>
      </c>
    </row>
    <row r="4356" customFormat="false" ht="12.8" hidden="false" customHeight="false" outlineLevel="0" collapsed="false">
      <c r="B4356" s="0" t="s">
        <v>1</v>
      </c>
    </row>
    <row r="4357" customFormat="false" ht="12.8" hidden="false" customHeight="false" outlineLevel="0" collapsed="false">
      <c r="B4357" s="0" t="s">
        <v>2093</v>
      </c>
    </row>
    <row r="4358" customFormat="false" ht="12.8" hidden="false" customHeight="false" outlineLevel="0" collapsed="false">
      <c r="B4358" s="0" t="s">
        <v>2094</v>
      </c>
    </row>
    <row r="4360" customFormat="false" ht="12.8" hidden="false" customHeight="false" outlineLevel="0" collapsed="false">
      <c r="A4360" s="0" t="s">
        <v>2492</v>
      </c>
      <c r="B4360" s="0" t="str">
        <f aca="false">HYPERLINK("https://lindat.mff.cuni.cz/services/teitok/pdtc10/index.php?action=vallex&amp;frame=v-w636f1", "domyslet (v-w636f1)")</f>
        <v>domyslet (v-w636f1)</v>
      </c>
    </row>
    <row r="4361" customFormat="false" ht="12.8" hidden="false" customHeight="false" outlineLevel="0" collapsed="false">
      <c r="B4361" s="0" t="s">
        <v>1</v>
      </c>
    </row>
    <row r="4362" customFormat="false" ht="12.8" hidden="false" customHeight="false" outlineLevel="0" collapsed="false">
      <c r="B4362" s="0" t="s">
        <v>2493</v>
      </c>
    </row>
    <row r="4364" customFormat="false" ht="12.8" hidden="false" customHeight="false" outlineLevel="0" collapsed="false">
      <c r="A4364" s="0" t="s">
        <v>2494</v>
      </c>
      <c r="B4364" s="0" t="str">
        <f aca="false">HYPERLINK("https://lindat.mff.cuni.cz/services/teitok/pdtc10/index.php?action=vallex&amp;frame=v-w625f1", "domáhat se (v-w625f1)")</f>
        <v>domáhat se (v-w625f1)</v>
      </c>
      <c r="E4364" s="0" t="str">
        <f aca="false">HYPERLINK("https://lindat.mff.cuni.cz/services/SynSemClass40/SynSemClass40.html?veclass=vec00272#vec00272-ces-cm00004", "vec00272")</f>
        <v>vec00272</v>
      </c>
      <c r="F4364" s="0" t="s">
        <v>1490</v>
      </c>
    </row>
    <row r="4365" customFormat="false" ht="12.8" hidden="false" customHeight="false" outlineLevel="0" collapsed="false">
      <c r="B4365" s="0" t="s">
        <v>1</v>
      </c>
      <c r="C4365" s="0" t="s">
        <v>1491</v>
      </c>
      <c r="E4365" s="0" t="s">
        <v>1492</v>
      </c>
      <c r="F4365" s="0" t="s">
        <v>1493</v>
      </c>
    </row>
    <row r="4366" customFormat="false" ht="12.8" hidden="false" customHeight="false" outlineLevel="0" collapsed="false">
      <c r="B4366" s="0" t="s">
        <v>2093</v>
      </c>
      <c r="C4366" s="0" t="s">
        <v>1494</v>
      </c>
      <c r="E4366" s="0" t="s">
        <v>1495</v>
      </c>
      <c r="F4366" s="0" t="s">
        <v>1496</v>
      </c>
    </row>
    <row r="4367" customFormat="false" ht="12.8" hidden="false" customHeight="false" outlineLevel="0" collapsed="false">
      <c r="B4367" s="0" t="s">
        <v>2094</v>
      </c>
      <c r="C4367" s="0" t="s">
        <v>1497</v>
      </c>
      <c r="E4367" s="0" t="s">
        <v>1498</v>
      </c>
      <c r="F4367" s="0" t="s">
        <v>1499</v>
      </c>
    </row>
    <row r="4369" customFormat="false" ht="12.8" hidden="false" customHeight="false" outlineLevel="0" collapsed="false">
      <c r="A4369" s="0" t="s">
        <v>2495</v>
      </c>
      <c r="B4369" s="0" t="str">
        <f aca="false">HYPERLINK("https://lindat.mff.cuni.cz/services/teitok/pdtc10/index.php?action=vallex&amp;frame=v-w637f1", "domýšlet se (v-w637f1)")</f>
        <v>domýšlet se (v-w637f1)</v>
      </c>
    </row>
    <row r="4370" customFormat="false" ht="12.8" hidden="false" customHeight="false" outlineLevel="0" collapsed="false">
      <c r="B4370" s="0" t="s">
        <v>1</v>
      </c>
    </row>
    <row r="4371" customFormat="false" ht="12.8" hidden="false" customHeight="false" outlineLevel="0" collapsed="false">
      <c r="B4371" s="0" t="s">
        <v>2496</v>
      </c>
    </row>
    <row r="4373" customFormat="false" ht="12.8" hidden="false" customHeight="false" outlineLevel="0" collapsed="false">
      <c r="A4373" s="0" t="s">
        <v>2497</v>
      </c>
      <c r="B4373" s="0" t="str">
        <f aca="false">HYPERLINK("https://lindat.mff.cuni.cz/services/teitok/pdtc10/index.php?action=vallex&amp;frame=v-w641f1", "donosit (v-w641f1)")</f>
        <v>donosit (v-w641f1)</v>
      </c>
    </row>
    <row r="4374" customFormat="false" ht="12.8" hidden="false" customHeight="false" outlineLevel="0" collapsed="false">
      <c r="B4374" s="0" t="s">
        <v>1</v>
      </c>
    </row>
    <row r="4375" customFormat="false" ht="12.8" hidden="false" customHeight="false" outlineLevel="0" collapsed="false">
      <c r="B4375" s="0" t="s">
        <v>8</v>
      </c>
    </row>
    <row r="4377" customFormat="false" ht="12.8" hidden="false" customHeight="false" outlineLevel="0" collapsed="false">
      <c r="A4377" s="0" t="s">
        <v>2498</v>
      </c>
      <c r="B4377" s="0" t="str">
        <f aca="false">HYPERLINK("https://lindat.mff.cuni.cz/services/teitok/pdtc10/index.php?action=vallex&amp;frame=v-w643f3_ZU", "donutit (v-w643f3_ZU)")</f>
        <v>donutit (v-w643f3_ZU)</v>
      </c>
    </row>
    <row r="4378" customFormat="false" ht="12.8" hidden="false" customHeight="false" outlineLevel="0" collapsed="false">
      <c r="B4378" s="0" t="s">
        <v>1</v>
      </c>
    </row>
    <row r="4379" customFormat="false" ht="12.8" hidden="false" customHeight="false" outlineLevel="0" collapsed="false">
      <c r="B4379" s="0" t="s">
        <v>2499</v>
      </c>
    </row>
    <row r="4380" customFormat="false" ht="12.8" hidden="false" customHeight="false" outlineLevel="0" collapsed="false">
      <c r="B4380" s="0" t="s">
        <v>98</v>
      </c>
    </row>
    <row r="4382" customFormat="false" ht="12.8" hidden="false" customHeight="false" outlineLevel="0" collapsed="false">
      <c r="A4382" s="0" t="s">
        <v>2498</v>
      </c>
      <c r="B4382" s="0" t="str">
        <f aca="false">HYPERLINK("https://lindat.mff.cuni.cz/services/teitok/pdtc10/index.php?action=vallex&amp;frame=v-w643f1", "donutit (v-w643f1) - substituted with v-w643f3_ZU")</f>
        <v>donutit (v-w643f1) - substituted with v-w643f3_ZU</v>
      </c>
      <c r="E4382" s="0" t="str">
        <f aca="false">HYPERLINK("https://lindat.mff.cuni.cz/services/SynSemClass40/SynSemClass40.html?veclass=vec00098#vec00098-ces-cm00013", "vec00098")</f>
        <v>vec00098</v>
      </c>
      <c r="F4382" s="0" t="s">
        <v>2500</v>
      </c>
    </row>
    <row r="4383" customFormat="false" ht="12.8" hidden="false" customHeight="false" outlineLevel="0" collapsed="false">
      <c r="B4383" s="0" t="s">
        <v>1</v>
      </c>
      <c r="C4383" s="0" t="s">
        <v>2501</v>
      </c>
      <c r="E4383" s="0" t="s">
        <v>1665</v>
      </c>
      <c r="F4383" s="0" t="s">
        <v>2502</v>
      </c>
    </row>
    <row r="4384" customFormat="false" ht="12.8" hidden="false" customHeight="false" outlineLevel="0" collapsed="false">
      <c r="B4384" s="0" t="s">
        <v>2499</v>
      </c>
      <c r="C4384" s="0" t="s">
        <v>2503</v>
      </c>
      <c r="E4384" s="0" t="s">
        <v>79</v>
      </c>
      <c r="F4384" s="0" t="s">
        <v>2504</v>
      </c>
    </row>
    <row r="4385" customFormat="false" ht="12.8" hidden="false" customHeight="false" outlineLevel="0" collapsed="false">
      <c r="B4385" s="0" t="s">
        <v>98</v>
      </c>
      <c r="C4385" s="0" t="s">
        <v>2505</v>
      </c>
      <c r="E4385" s="0" t="s">
        <v>2287</v>
      </c>
      <c r="F4385" s="0" t="s">
        <v>2506</v>
      </c>
    </row>
    <row r="4387" customFormat="false" ht="12.8" hidden="false" customHeight="false" outlineLevel="0" collapsed="false">
      <c r="A4387" s="0" t="s">
        <v>2498</v>
      </c>
      <c r="B4387" s="0" t="str">
        <f aca="false">HYPERLINK("https://lindat.mff.cuni.cz/services/teitok/pdtc10/index.php?action=vallex&amp;frame=v-w643f2_ZU", "donutit (v-w643f2_ZU) - substituted with v-w643f3_ZU")</f>
        <v>donutit (v-w643f2_ZU) - substituted with v-w643f3_ZU</v>
      </c>
    </row>
    <row r="4388" customFormat="false" ht="12.8" hidden="false" customHeight="false" outlineLevel="0" collapsed="false">
      <c r="B4388" s="0" t="s">
        <v>1</v>
      </c>
    </row>
    <row r="4389" customFormat="false" ht="12.8" hidden="false" customHeight="false" outlineLevel="0" collapsed="false">
      <c r="B4389" s="0" t="s">
        <v>2499</v>
      </c>
    </row>
    <row r="4390" customFormat="false" ht="12.8" hidden="false" customHeight="false" outlineLevel="0" collapsed="false">
      <c r="B4390" s="0" t="s">
        <v>98</v>
      </c>
    </row>
    <row r="4392" customFormat="false" ht="12.8" hidden="false" customHeight="false" outlineLevel="0" collapsed="false">
      <c r="A4392" s="0" t="s">
        <v>2507</v>
      </c>
      <c r="B4392" s="0" t="str">
        <f aca="false">HYPERLINK("https://lindat.mff.cuni.cz/services/teitok/pdtc10/index.php?action=vallex&amp;frame=v-w638f2", "donášet (v-w638f2)")</f>
        <v>donášet (v-w638f2)</v>
      </c>
    </row>
    <row r="4393" customFormat="false" ht="12.8" hidden="false" customHeight="false" outlineLevel="0" collapsed="false">
      <c r="B4393" s="0" t="s">
        <v>1</v>
      </c>
    </row>
    <row r="4394" customFormat="false" ht="12.8" hidden="false" customHeight="false" outlineLevel="0" collapsed="false">
      <c r="B4394" s="0" t="s">
        <v>8</v>
      </c>
    </row>
    <row r="4395" customFormat="false" ht="12.8" hidden="false" customHeight="false" outlineLevel="0" collapsed="false">
      <c r="B4395" s="0" t="s">
        <v>52</v>
      </c>
    </row>
    <row r="4397" customFormat="false" ht="12.8" hidden="false" customHeight="false" outlineLevel="0" collapsed="false">
      <c r="A4397" s="0" t="s">
        <v>2508</v>
      </c>
      <c r="B4397" s="0" t="str">
        <f aca="false">HYPERLINK("https://lindat.mff.cuni.cz/services/teitok/pdtc10/index.php?action=vallex&amp;frame=v-w638f1", "donášet (v-w638f1)")</f>
        <v>donášet (v-w638f1)</v>
      </c>
    </row>
    <row r="4398" customFormat="false" ht="12.8" hidden="false" customHeight="false" outlineLevel="0" collapsed="false">
      <c r="B4398" s="0" t="s">
        <v>1</v>
      </c>
    </row>
    <row r="4399" customFormat="false" ht="12.8" hidden="false" customHeight="false" outlineLevel="0" collapsed="false">
      <c r="B4399" s="0" t="s">
        <v>8</v>
      </c>
    </row>
    <row r="4400" customFormat="false" ht="12.8" hidden="false" customHeight="false" outlineLevel="0" collapsed="false">
      <c r="B4400" s="0" t="s">
        <v>164</v>
      </c>
    </row>
    <row r="4402" customFormat="false" ht="12.8" hidden="false" customHeight="false" outlineLevel="0" collapsed="false">
      <c r="A4402" s="0" t="s">
        <v>2509</v>
      </c>
      <c r="B4402" s="0" t="str">
        <f aca="false">HYPERLINK("https://lindat.mff.cuni.cz/services/teitok/pdtc10/index.php?action=vallex&amp;frame=v-w638hsa_1275", "donášet (v-w638hsa_1275)")</f>
        <v>donášet (v-w638hsa_1275)</v>
      </c>
    </row>
    <row r="4403" customFormat="false" ht="12.8" hidden="false" customHeight="false" outlineLevel="0" collapsed="false">
      <c r="B4403" s="0" t="s">
        <v>1</v>
      </c>
    </row>
    <row r="4404" customFormat="false" ht="12.8" hidden="false" customHeight="false" outlineLevel="0" collapsed="false">
      <c r="B4404" s="0" t="s">
        <v>52</v>
      </c>
    </row>
    <row r="4405" customFormat="false" ht="12.8" hidden="false" customHeight="false" outlineLevel="0" collapsed="false">
      <c r="B4405" s="0" t="s">
        <v>2382</v>
      </c>
    </row>
    <row r="4406" customFormat="false" ht="12.8" hidden="false" customHeight="false" outlineLevel="0" collapsed="false">
      <c r="B4406" s="0" t="s">
        <v>69</v>
      </c>
    </row>
    <row r="4408" customFormat="false" ht="12.8" hidden="false" customHeight="false" outlineLevel="0" collapsed="false">
      <c r="A4408" s="0" t="s">
        <v>2510</v>
      </c>
      <c r="B4408" s="0" t="str">
        <f aca="false">HYPERLINK("https://lindat.mff.cuni.cz/services/teitok/pdtc10/index.php?action=vallex&amp;frame=v-w639f1", "donést (v-w639f1)")</f>
        <v>donést (v-w639f1)</v>
      </c>
      <c r="E4408" s="0" t="str">
        <f aca="false">HYPERLINK("https://lindat.mff.cuni.cz/services/SynSemClass40/SynSemClass40.html?veclass=vec00011#vec00011-ces-cm00175", "vec00011")</f>
        <v>vec00011</v>
      </c>
      <c r="F4408" s="0" t="s">
        <v>2193</v>
      </c>
    </row>
    <row r="4409" customFormat="false" ht="12.8" hidden="false" customHeight="false" outlineLevel="0" collapsed="false">
      <c r="B4409" s="0" t="s">
        <v>1</v>
      </c>
      <c r="C4409" s="0" t="s">
        <v>2209</v>
      </c>
      <c r="E4409" s="0" t="s">
        <v>2196</v>
      </c>
      <c r="F4409" s="0" t="s">
        <v>2197</v>
      </c>
    </row>
    <row r="4410" customFormat="false" ht="12.8" hidden="false" customHeight="false" outlineLevel="0" collapsed="false">
      <c r="B4410" s="0" t="s">
        <v>8</v>
      </c>
      <c r="C4410" s="0" t="s">
        <v>2210</v>
      </c>
      <c r="E4410" s="0" t="s">
        <v>2200</v>
      </c>
      <c r="F4410" s="0" t="s">
        <v>2201</v>
      </c>
    </row>
    <row r="4411" customFormat="false" ht="12.8" hidden="false" customHeight="false" outlineLevel="0" collapsed="false">
      <c r="B4411" s="0" t="s">
        <v>52</v>
      </c>
      <c r="C4411" s="0" t="s">
        <v>2511</v>
      </c>
      <c r="E4411" s="0" t="s">
        <v>53</v>
      </c>
      <c r="F4411" s="0" t="s">
        <v>2204</v>
      </c>
    </row>
    <row r="4413" customFormat="false" ht="12.8" hidden="false" customHeight="false" outlineLevel="0" collapsed="false">
      <c r="A4413" s="0" t="s">
        <v>2512</v>
      </c>
      <c r="B4413" s="0" t="str">
        <f aca="false">HYPERLINK("https://lindat.mff.cuni.cz/services/teitok/pdtc10/index.php?action=vallex&amp;frame=v-w639f2", "donést (v-w639f2)")</f>
        <v>donést (v-w639f2)</v>
      </c>
      <c r="E4413" s="0" t="str">
        <f aca="false">HYPERLINK("https://lindat.mff.cuni.cz/services/SynSemClass40/SynSemClass40.html?veclass=vec00011#vec00011-ces-cm00170", "vec00011")</f>
        <v>vec00011</v>
      </c>
      <c r="F4413" s="0" t="s">
        <v>2193</v>
      </c>
      <c r="H4413" s="0" t="str">
        <f aca="false">HYPERLINK("https://lindat.mff.cuni.cz/services/SynSemClass40/SynSemClass40.html?veclass=vec00172#vec00172-ces-cm00028", "vec00172")</f>
        <v>vec00172</v>
      </c>
      <c r="I4413" s="0" t="s">
        <v>2513</v>
      </c>
    </row>
    <row r="4414" customFormat="false" ht="12.8" hidden="false" customHeight="false" outlineLevel="0" collapsed="false">
      <c r="B4414" s="0" t="s">
        <v>1</v>
      </c>
      <c r="C4414" s="0" t="s">
        <v>2514</v>
      </c>
      <c r="E4414" s="0" t="s">
        <v>2196</v>
      </c>
      <c r="F4414" s="0" t="s">
        <v>2197</v>
      </c>
      <c r="H4414" s="0" t="s">
        <v>2196</v>
      </c>
      <c r="I4414" s="0" t="s">
        <v>2515</v>
      </c>
    </row>
    <row r="4415" customFormat="false" ht="12.8" hidden="false" customHeight="false" outlineLevel="0" collapsed="false">
      <c r="B4415" s="0" t="s">
        <v>8</v>
      </c>
      <c r="C4415" s="0" t="s">
        <v>2516</v>
      </c>
      <c r="E4415" s="0" t="s">
        <v>2200</v>
      </c>
      <c r="F4415" s="0" t="s">
        <v>2201</v>
      </c>
      <c r="H4415" s="0" t="s">
        <v>2200</v>
      </c>
      <c r="I4415" s="0" t="s">
        <v>2517</v>
      </c>
    </row>
    <row r="4416" customFormat="false" ht="12.8" hidden="false" customHeight="false" outlineLevel="0" collapsed="false">
      <c r="B4416" s="0" t="s">
        <v>164</v>
      </c>
      <c r="C4416" s="0" t="s">
        <v>2211</v>
      </c>
      <c r="E4416" s="0" t="s">
        <v>2212</v>
      </c>
      <c r="F4416" s="0" t="s">
        <v>2213</v>
      </c>
      <c r="H4416" s="0" t="s">
        <v>1315</v>
      </c>
      <c r="I4416" s="0" t="s">
        <v>1316</v>
      </c>
    </row>
    <row r="4418" customFormat="false" ht="12.8" hidden="false" customHeight="false" outlineLevel="0" collapsed="false">
      <c r="A4418" s="0" t="s">
        <v>2518</v>
      </c>
      <c r="B4418" s="0" t="str">
        <f aca="false">HYPERLINK("https://lindat.mff.cuni.cz/services/teitok/pdtc10/index.php?action=vallex&amp;frame=v-w640f1", "donést se (v-w640f1)")</f>
        <v>donést se (v-w640f1)</v>
      </c>
    </row>
    <row r="4419" customFormat="false" ht="12.8" hidden="false" customHeight="false" outlineLevel="0" collapsed="false">
      <c r="B4419" s="0" t="s">
        <v>1</v>
      </c>
    </row>
    <row r="4420" customFormat="false" ht="12.8" hidden="false" customHeight="false" outlineLevel="0" collapsed="false">
      <c r="B4420" s="0" t="s">
        <v>186</v>
      </c>
    </row>
    <row r="4422" customFormat="false" ht="12.8" hidden="false" customHeight="false" outlineLevel="0" collapsed="false">
      <c r="A4422" s="0" t="s">
        <v>2519</v>
      </c>
      <c r="B4422" s="0" t="str">
        <f aca="false">HYPERLINK("https://lindat.mff.cuni.cz/services/teitok/pdtc10/index.php?action=vallex&amp;frame=v-w640f2", "donést se (v-w640f2)")</f>
        <v>donést se (v-w640f2)</v>
      </c>
    </row>
    <row r="4423" customFormat="false" ht="12.8" hidden="false" customHeight="false" outlineLevel="0" collapsed="false">
      <c r="B4423" s="0" t="s">
        <v>1</v>
      </c>
    </row>
    <row r="4424" customFormat="false" ht="12.8" hidden="false" customHeight="false" outlineLevel="0" collapsed="false">
      <c r="B4424" s="0" t="s">
        <v>164</v>
      </c>
    </row>
    <row r="4426" customFormat="false" ht="12.8" hidden="false" customHeight="false" outlineLevel="0" collapsed="false">
      <c r="A4426" s="0" t="s">
        <v>2520</v>
      </c>
      <c r="B4426" s="0" t="str">
        <f aca="false">HYPERLINK("https://lindat.mff.cuni.cz/services/teitok/pdtc10/index.php?action=vallex&amp;frame=v-w12248_ZUf1_ZU", "dooblíknout (v-w12248_ZUf1_ZU)")</f>
        <v>dooblíknout (v-w12248_ZUf1_ZU)</v>
      </c>
    </row>
    <row r="4427" customFormat="false" ht="12.8" hidden="false" customHeight="false" outlineLevel="0" collapsed="false">
      <c r="B4427" s="0" t="s">
        <v>1</v>
      </c>
    </row>
    <row r="4428" customFormat="false" ht="12.8" hidden="false" customHeight="false" outlineLevel="0" collapsed="false">
      <c r="B4428" s="0" t="s">
        <v>8</v>
      </c>
    </row>
    <row r="4429" customFormat="false" ht="12.8" hidden="false" customHeight="false" outlineLevel="0" collapsed="false">
      <c r="B4429" s="0" t="s">
        <v>245</v>
      </c>
    </row>
    <row r="4431" customFormat="false" ht="12.8" hidden="false" customHeight="false" outlineLevel="0" collapsed="false">
      <c r="A4431" s="0" t="s">
        <v>2521</v>
      </c>
      <c r="B4431" s="0" t="str">
        <f aca="false">HYPERLINK("https://lindat.mff.cuni.cz/services/teitok/pdtc10/index.php?action=vallex&amp;frame=v-w11035f2", "doobědvat (v-w11035f2)")</f>
        <v>doobědvat (v-w11035f2)</v>
      </c>
    </row>
    <row r="4432" customFormat="false" ht="12.8" hidden="false" customHeight="false" outlineLevel="0" collapsed="false">
      <c r="B4432" s="0" t="s">
        <v>1</v>
      </c>
    </row>
    <row r="4434" customFormat="false" ht="12.8" hidden="false" customHeight="false" outlineLevel="0" collapsed="false">
      <c r="A4434" s="0" t="s">
        <v>2522</v>
      </c>
      <c r="B4434" s="0" t="str">
        <f aca="false">HYPERLINK("https://lindat.mff.cuni.cz/services/teitok/pdtc10/index.php?action=vallex&amp;frame=v-w11818_ZUf1_ZU", "doopravit (v-w11818_ZUf1_ZU)")</f>
        <v>doopravit (v-w11818_ZUf1_ZU)</v>
      </c>
    </row>
    <row r="4435" customFormat="false" ht="12.8" hidden="false" customHeight="false" outlineLevel="0" collapsed="false">
      <c r="B4435" s="0" t="s">
        <v>1</v>
      </c>
    </row>
    <row r="4436" customFormat="false" ht="12.8" hidden="false" customHeight="false" outlineLevel="0" collapsed="false">
      <c r="B4436" s="0" t="s">
        <v>8</v>
      </c>
    </row>
    <row r="4438" customFormat="false" ht="12.8" hidden="false" customHeight="false" outlineLevel="0" collapsed="false">
      <c r="A4438" s="0" t="s">
        <v>2523</v>
      </c>
      <c r="B4438" s="0" t="str">
        <f aca="false">HYPERLINK("https://lindat.mff.cuni.cz/services/teitok/pdtc10/index.php?action=vallex&amp;frame=v-w645f3", "dopadat (v-w645f3)")</f>
        <v>dopadat (v-w645f3)</v>
      </c>
      <c r="E4438" s="0" t="str">
        <f aca="false">HYPERLINK("https://lindat.mff.cuni.cz/services/SynSemClass40/SynSemClass40.html?veclass=vec00372#vec00372-ces-cm00005", "vec00372")</f>
        <v>vec00372</v>
      </c>
      <c r="F4438" s="0" t="s">
        <v>2524</v>
      </c>
    </row>
    <row r="4439" customFormat="false" ht="12.8" hidden="false" customHeight="false" outlineLevel="0" collapsed="false">
      <c r="B4439" s="0" t="s">
        <v>1</v>
      </c>
      <c r="C4439" s="0" t="s">
        <v>2525</v>
      </c>
      <c r="E4439" s="0" t="s">
        <v>2526</v>
      </c>
      <c r="F4439" s="0" t="s">
        <v>2527</v>
      </c>
    </row>
    <row r="4440" customFormat="false" ht="12.8" hidden="false" customHeight="false" outlineLevel="0" collapsed="false">
      <c r="B4440" s="0" t="s">
        <v>45</v>
      </c>
      <c r="C4440" s="0" t="s">
        <v>2528</v>
      </c>
      <c r="E4440" s="0" t="s">
        <v>142</v>
      </c>
      <c r="F4440" s="0" t="s">
        <v>2529</v>
      </c>
    </row>
    <row r="4442" customFormat="false" ht="12.8" hidden="false" customHeight="false" outlineLevel="0" collapsed="false">
      <c r="A4442" s="0" t="s">
        <v>2530</v>
      </c>
      <c r="B4442" s="0" t="str">
        <f aca="false">HYPERLINK("https://lindat.mff.cuni.cz/services/teitok/pdtc10/index.php?action=vallex&amp;frame=v-w645f2", "dopadat (v-w645f2)")</f>
        <v>dopadat (v-w645f2)</v>
      </c>
    </row>
    <row r="4443" customFormat="false" ht="12.8" hidden="false" customHeight="false" outlineLevel="0" collapsed="false">
      <c r="B4443" s="0" t="s">
        <v>1</v>
      </c>
    </row>
    <row r="4444" customFormat="false" ht="12.8" hidden="false" customHeight="false" outlineLevel="0" collapsed="false">
      <c r="B4444" s="0" t="s">
        <v>164</v>
      </c>
    </row>
    <row r="4446" customFormat="false" ht="12.8" hidden="false" customHeight="false" outlineLevel="0" collapsed="false">
      <c r="A4446" s="0" t="s">
        <v>2531</v>
      </c>
      <c r="B4446" s="0" t="str">
        <f aca="false">HYPERLINK("https://lindat.mff.cuni.cz/services/teitok/pdtc10/index.php?action=vallex&amp;frame=v-w645f1", "dopadat (v-w645f1)")</f>
        <v>dopadat (v-w645f1)</v>
      </c>
    </row>
    <row r="4447" customFormat="false" ht="12.8" hidden="false" customHeight="false" outlineLevel="0" collapsed="false">
      <c r="B4447" s="0" t="s">
        <v>1</v>
      </c>
    </row>
    <row r="4448" customFormat="false" ht="12.8" hidden="false" customHeight="false" outlineLevel="0" collapsed="false">
      <c r="B4448" s="0" t="s">
        <v>725</v>
      </c>
    </row>
    <row r="4449" customFormat="false" ht="12.8" hidden="false" customHeight="false" outlineLevel="0" collapsed="false">
      <c r="B4449" s="0" t="s">
        <v>642</v>
      </c>
    </row>
    <row r="4450" customFormat="false" ht="12.8" hidden="false" customHeight="false" outlineLevel="0" collapsed="false">
      <c r="B4450" s="0" t="s">
        <v>648</v>
      </c>
    </row>
    <row r="4452" customFormat="false" ht="12.8" hidden="false" customHeight="false" outlineLevel="0" collapsed="false">
      <c r="A4452" s="0" t="s">
        <v>2532</v>
      </c>
      <c r="B4452" s="0" t="str">
        <f aca="false">HYPERLINK("https://lindat.mff.cuni.cz/services/teitok/pdtc10/index.php?action=vallex&amp;frame=v-w647f3", "dopadnout (v-w647f3)")</f>
        <v>dopadnout (v-w647f3)</v>
      </c>
    </row>
    <row r="4453" customFormat="false" ht="12.8" hidden="false" customHeight="false" outlineLevel="0" collapsed="false">
      <c r="B4453" s="0" t="s">
        <v>1</v>
      </c>
    </row>
    <row r="4454" customFormat="false" ht="12.8" hidden="false" customHeight="false" outlineLevel="0" collapsed="false">
      <c r="B4454" s="0" t="s">
        <v>8</v>
      </c>
    </row>
    <row r="4456" customFormat="false" ht="12.8" hidden="false" customHeight="false" outlineLevel="0" collapsed="false">
      <c r="A4456" s="0" t="s">
        <v>2533</v>
      </c>
      <c r="B4456" s="0" t="str">
        <f aca="false">HYPERLINK("https://lindat.mff.cuni.cz/services/teitok/pdtc10/index.php?action=vallex&amp;frame=v-w647f5", "dopadnout (v-w647f5)")</f>
        <v>dopadnout (v-w647f5)</v>
      </c>
      <c r="E4456" s="0" t="str">
        <f aca="false">HYPERLINK("https://lindat.mff.cuni.cz/services/SynSemClass40/SynSemClass40.html?veclass=vec00372#vec00372-ces-cm00132", "vec00372")</f>
        <v>vec00372</v>
      </c>
      <c r="F4456" s="0" t="s">
        <v>2524</v>
      </c>
    </row>
    <row r="4457" customFormat="false" ht="12.8" hidden="false" customHeight="false" outlineLevel="0" collapsed="false">
      <c r="B4457" s="0" t="s">
        <v>1</v>
      </c>
      <c r="C4457" s="0" t="s">
        <v>2525</v>
      </c>
      <c r="E4457" s="0" t="s">
        <v>2526</v>
      </c>
      <c r="F4457" s="0" t="s">
        <v>2527</v>
      </c>
    </row>
    <row r="4458" customFormat="false" ht="12.8" hidden="false" customHeight="false" outlineLevel="0" collapsed="false">
      <c r="B4458" s="0" t="s">
        <v>45</v>
      </c>
      <c r="C4458" s="0" t="s">
        <v>2528</v>
      </c>
      <c r="E4458" s="0" t="s">
        <v>142</v>
      </c>
      <c r="F4458" s="0" t="s">
        <v>2529</v>
      </c>
    </row>
    <row r="4460" customFormat="false" ht="12.8" hidden="false" customHeight="false" outlineLevel="0" collapsed="false">
      <c r="A4460" s="0" t="s">
        <v>2534</v>
      </c>
      <c r="B4460" s="0" t="str">
        <f aca="false">HYPERLINK("https://lindat.mff.cuni.cz/services/teitok/pdtc10/index.php?action=vallex&amp;frame=v-w647f4", "dopadnout (v-w647f4)")</f>
        <v>dopadnout (v-w647f4)</v>
      </c>
    </row>
    <row r="4461" customFormat="false" ht="12.8" hidden="false" customHeight="false" outlineLevel="0" collapsed="false">
      <c r="B4461" s="0" t="s">
        <v>1</v>
      </c>
    </row>
    <row r="4462" customFormat="false" ht="12.8" hidden="false" customHeight="false" outlineLevel="0" collapsed="false">
      <c r="B4462" s="0" t="s">
        <v>721</v>
      </c>
    </row>
    <row r="4463" customFormat="false" ht="12.8" hidden="false" customHeight="false" outlineLevel="0" collapsed="false">
      <c r="B4463" s="0" t="s">
        <v>642</v>
      </c>
    </row>
    <row r="4464" customFormat="false" ht="12.8" hidden="false" customHeight="false" outlineLevel="0" collapsed="false">
      <c r="B4464" s="0" t="s">
        <v>648</v>
      </c>
    </row>
    <row r="4465" customFormat="false" ht="12.8" hidden="false" customHeight="false" outlineLevel="0" collapsed="false">
      <c r="B4465" s="0" t="s">
        <v>650</v>
      </c>
    </row>
    <row r="4467" customFormat="false" ht="12.8" hidden="false" customHeight="false" outlineLevel="0" collapsed="false">
      <c r="A4467" s="0" t="s">
        <v>2535</v>
      </c>
      <c r="B4467" s="0" t="str">
        <f aca="false">HYPERLINK("https://lindat.mff.cuni.cz/services/teitok/pdtc10/index.php?action=vallex&amp;frame=v-w647f2", "dopadnout (v-w647f2)")</f>
        <v>dopadnout (v-w647f2)</v>
      </c>
      <c r="E4467" s="0" t="str">
        <f aca="false">HYPERLINK("https://lindat.mff.cuni.cz/services/SynSemClass40/SynSemClass40.html?veclass=vec00467#vec00467-ces-cm00003", "vec00467")</f>
        <v>vec00467</v>
      </c>
      <c r="F4467" s="0" t="s">
        <v>2536</v>
      </c>
    </row>
    <row r="4468" customFormat="false" ht="12.8" hidden="false" customHeight="false" outlineLevel="0" collapsed="false">
      <c r="B4468" s="0" t="s">
        <v>1</v>
      </c>
      <c r="C4468" s="0" t="s">
        <v>2537</v>
      </c>
      <c r="E4468" s="0" t="s">
        <v>2538</v>
      </c>
      <c r="F4468" s="0" t="s">
        <v>2539</v>
      </c>
    </row>
    <row r="4469" customFormat="false" ht="12.8" hidden="false" customHeight="false" outlineLevel="0" collapsed="false">
      <c r="B4469" s="0" t="s">
        <v>164</v>
      </c>
      <c r="E4469" s="0" t="s">
        <v>1315</v>
      </c>
      <c r="F4469" s="0" t="s">
        <v>1316</v>
      </c>
    </row>
    <row r="4471" customFormat="false" ht="12.8" hidden="false" customHeight="false" outlineLevel="0" collapsed="false">
      <c r="A4471" s="0" t="s">
        <v>2540</v>
      </c>
      <c r="B4471" s="0" t="str">
        <f aca="false">HYPERLINK("https://lindat.mff.cuni.cz/services/teitok/pdtc10/index.php?action=vallex&amp;frame=v-w647f6_ZU", "dopadnout (v-w647f6_ZU)")</f>
        <v>dopadnout (v-w647f6_ZU)</v>
      </c>
    </row>
    <row r="4472" customFormat="false" ht="12.8" hidden="false" customHeight="false" outlineLevel="0" collapsed="false">
      <c r="B4472" s="0" t="s">
        <v>1</v>
      </c>
    </row>
    <row r="4473" customFormat="false" ht="12.8" hidden="false" customHeight="false" outlineLevel="0" collapsed="false">
      <c r="B4473" s="0" t="s">
        <v>725</v>
      </c>
    </row>
    <row r="4474" customFormat="false" ht="12.8" hidden="false" customHeight="false" outlineLevel="0" collapsed="false">
      <c r="B4474" s="0" t="s">
        <v>642</v>
      </c>
    </row>
    <row r="4475" customFormat="false" ht="12.8" hidden="false" customHeight="false" outlineLevel="0" collapsed="false">
      <c r="B4475" s="0" t="s">
        <v>648</v>
      </c>
    </row>
    <row r="4476" customFormat="false" ht="12.8" hidden="false" customHeight="false" outlineLevel="0" collapsed="false">
      <c r="B4476" s="0" t="s">
        <v>650</v>
      </c>
    </row>
    <row r="4477" customFormat="false" ht="12.8" hidden="false" customHeight="false" outlineLevel="0" collapsed="false">
      <c r="B4477" s="0" t="s">
        <v>2541</v>
      </c>
    </row>
    <row r="4479" customFormat="false" ht="12.8" hidden="false" customHeight="false" outlineLevel="0" collapsed="false">
      <c r="A4479" s="0" t="s">
        <v>2540</v>
      </c>
      <c r="B4479" s="0" t="str">
        <f aca="false">HYPERLINK("https://lindat.mff.cuni.cz/services/teitok/pdtc10/index.php?action=vallex&amp;frame=v-w647f1", "dopadnout (v-w647f1) - substituted with v-w647f6_ZU")</f>
        <v>dopadnout (v-w647f1) - substituted with v-w647f6_ZU</v>
      </c>
      <c r="E4479" s="0" t="str">
        <f aca="false">HYPERLINK("https://lindat.mff.cuni.cz/services/SynSemClass40/SynSemClass40.html?veclass=vec00309#vec00309-ces-cm00002", "vec00309")</f>
        <v>vec00309</v>
      </c>
      <c r="F4479" s="0" t="s">
        <v>1081</v>
      </c>
    </row>
    <row r="4480" customFormat="false" ht="12.8" hidden="false" customHeight="false" outlineLevel="0" collapsed="false">
      <c r="B4480" s="0" t="s">
        <v>1</v>
      </c>
      <c r="C4480" s="0" t="s">
        <v>2542</v>
      </c>
      <c r="E4480" s="0" t="s">
        <v>1084</v>
      </c>
      <c r="F4480" s="0" t="s">
        <v>1085</v>
      </c>
    </row>
    <row r="4481" customFormat="false" ht="12.8" hidden="false" customHeight="false" outlineLevel="0" collapsed="false">
      <c r="B4481" s="0" t="s">
        <v>725</v>
      </c>
      <c r="C4481" s="0" t="s">
        <v>2543</v>
      </c>
      <c r="E4481" s="0" t="s">
        <v>2544</v>
      </c>
      <c r="F4481" s="0" t="s">
        <v>2545</v>
      </c>
    </row>
    <row r="4482" customFormat="false" ht="12.8" hidden="false" customHeight="false" outlineLevel="0" collapsed="false">
      <c r="B4482" s="0" t="s">
        <v>642</v>
      </c>
      <c r="C4482" s="0" t="s">
        <v>2546</v>
      </c>
      <c r="E4482" s="0" t="s">
        <v>2544</v>
      </c>
      <c r="F4482" s="0" t="s">
        <v>2545</v>
      </c>
    </row>
    <row r="4483" customFormat="false" ht="12.8" hidden="false" customHeight="false" outlineLevel="0" collapsed="false">
      <c r="B4483" s="0" t="s">
        <v>648</v>
      </c>
      <c r="C4483" s="0" t="s">
        <v>2547</v>
      </c>
      <c r="E4483" s="0" t="s">
        <v>2544</v>
      </c>
      <c r="F4483" s="0" t="s">
        <v>2545</v>
      </c>
    </row>
    <row r="4484" customFormat="false" ht="12.8" hidden="false" customHeight="false" outlineLevel="0" collapsed="false">
      <c r="B4484" s="0" t="s">
        <v>650</v>
      </c>
      <c r="C4484" s="0" t="s">
        <v>2548</v>
      </c>
      <c r="E4484" s="0" t="s">
        <v>2544</v>
      </c>
      <c r="F4484" s="0" t="s">
        <v>2545</v>
      </c>
    </row>
    <row r="4485" customFormat="false" ht="12.8" hidden="false" customHeight="false" outlineLevel="0" collapsed="false">
      <c r="B4485" s="0" t="s">
        <v>2541</v>
      </c>
      <c r="C4485" s="0" t="s">
        <v>2549</v>
      </c>
    </row>
    <row r="4487" customFormat="false" ht="12.8" hidden="false" customHeight="false" outlineLevel="0" collapsed="false">
      <c r="A4487" s="0" t="s">
        <v>2550</v>
      </c>
      <c r="B4487" s="0" t="str">
        <f aca="false">HYPERLINK("https://lindat.mff.cuni.cz/services/teitok/pdtc10/index.php?action=vallex&amp;frame=v-w651f1", "dopisovat si (v-w651f1)")</f>
        <v>dopisovat si (v-w651f1)</v>
      </c>
    </row>
    <row r="4488" customFormat="false" ht="12.8" hidden="false" customHeight="false" outlineLevel="0" collapsed="false">
      <c r="B4488" s="0" t="s">
        <v>1</v>
      </c>
    </row>
    <row r="4489" customFormat="false" ht="12.8" hidden="false" customHeight="false" outlineLevel="0" collapsed="false">
      <c r="B4489" s="0" t="s">
        <v>276</v>
      </c>
    </row>
    <row r="4490" customFormat="false" ht="12.8" hidden="false" customHeight="false" outlineLevel="0" collapsed="false">
      <c r="B4490" s="0" t="s">
        <v>496</v>
      </c>
    </row>
    <row r="4492" customFormat="false" ht="12.8" hidden="false" customHeight="false" outlineLevel="0" collapsed="false">
      <c r="A4492" s="0" t="s">
        <v>2551</v>
      </c>
      <c r="B4492" s="0" t="str">
        <f aca="false">HYPERLINK("https://lindat.mff.cuni.cz/services/teitok/pdtc10/index.php?action=vallex&amp;frame=v-w656f2", "doplatit (v-w656f2)")</f>
        <v>doplatit (v-w656f2)</v>
      </c>
      <c r="E4492" s="0" t="str">
        <f aca="false">HYPERLINK("https://lindat.mff.cuni.cz/services/SynSemClass40/SynSemClass40.html?veclass=vec00125#vec00125-ces-cm00194", "vec00125")</f>
        <v>vec00125</v>
      </c>
      <c r="F4492" s="0" t="s">
        <v>2552</v>
      </c>
    </row>
    <row r="4493" customFormat="false" ht="12.8" hidden="false" customHeight="false" outlineLevel="0" collapsed="false">
      <c r="B4493" s="0" t="s">
        <v>1</v>
      </c>
      <c r="C4493" s="0" t="s">
        <v>2553</v>
      </c>
      <c r="E4493" s="0" t="s">
        <v>2554</v>
      </c>
      <c r="F4493" s="0" t="s">
        <v>2555</v>
      </c>
    </row>
    <row r="4494" customFormat="false" ht="12.8" hidden="false" customHeight="false" outlineLevel="0" collapsed="false">
      <c r="B4494" s="0" t="s">
        <v>8</v>
      </c>
      <c r="C4494" s="0" t="s">
        <v>2556</v>
      </c>
      <c r="E4494" s="0" t="s">
        <v>2557</v>
      </c>
      <c r="F4494" s="0" t="s">
        <v>2558</v>
      </c>
    </row>
    <row r="4495" customFormat="false" ht="12.8" hidden="false" customHeight="false" outlineLevel="0" collapsed="false">
      <c r="B4495" s="0" t="s">
        <v>132</v>
      </c>
      <c r="C4495" s="0" t="s">
        <v>2559</v>
      </c>
      <c r="E4495" s="0" t="s">
        <v>2560</v>
      </c>
      <c r="F4495" s="0" t="s">
        <v>2561</v>
      </c>
    </row>
    <row r="4496" customFormat="false" ht="12.8" hidden="false" customHeight="false" outlineLevel="0" collapsed="false">
      <c r="B4496" s="0" t="s">
        <v>723</v>
      </c>
    </row>
    <row r="4498" customFormat="false" ht="12.8" hidden="false" customHeight="false" outlineLevel="0" collapsed="false">
      <c r="A4498" s="0" t="s">
        <v>2562</v>
      </c>
      <c r="B4498" s="0" t="str">
        <f aca="false">HYPERLINK("https://lindat.mff.cuni.cz/services/teitok/pdtc10/index.php?action=vallex&amp;frame=v-w656f1", "doplatit (v-w656f1)")</f>
        <v>doplatit (v-w656f1)</v>
      </c>
      <c r="E4498" s="0" t="str">
        <f aca="false">HYPERLINK("https://lindat.mff.cuni.cz/services/SynSemClass40/SynSemClass40.html?veclass=vec00740#vec00740-ces-cm00003", "vec00740")</f>
        <v>vec00740</v>
      </c>
      <c r="F4498" s="0" t="s">
        <v>2563</v>
      </c>
    </row>
    <row r="4499" customFormat="false" ht="12.8" hidden="false" customHeight="false" outlineLevel="0" collapsed="false">
      <c r="B4499" s="0" t="s">
        <v>1</v>
      </c>
      <c r="C4499" s="0" t="s">
        <v>2564</v>
      </c>
      <c r="E4499" s="0" t="s">
        <v>2565</v>
      </c>
      <c r="F4499" s="0" t="s">
        <v>2566</v>
      </c>
    </row>
    <row r="4500" customFormat="false" ht="12.8" hidden="false" customHeight="false" outlineLevel="0" collapsed="false">
      <c r="B4500" s="0" t="s">
        <v>45</v>
      </c>
      <c r="C4500" s="0" t="s">
        <v>2567</v>
      </c>
      <c r="E4500" s="0" t="s">
        <v>2568</v>
      </c>
      <c r="F4500" s="0" t="s">
        <v>2569</v>
      </c>
    </row>
    <row r="4502" customFormat="false" ht="12.8" hidden="false" customHeight="false" outlineLevel="0" collapsed="false">
      <c r="A4502" s="0" t="s">
        <v>2570</v>
      </c>
      <c r="B4502" s="0" t="str">
        <f aca="false">HYPERLINK("https://lindat.mff.cuni.cz/services/teitok/pdtc10/index.php?action=vallex&amp;frame=v-w656f3", "doplatit (v-w656f3)")</f>
        <v>doplatit (v-w656f3)</v>
      </c>
      <c r="E4502" s="0" t="str">
        <f aca="false">HYPERLINK("https://lindat.mff.cuni.cz/services/SynSemClass40/SynSemClass40.html?veclass=vec00125#vec00125-ces-cm00195", "vec00125")</f>
        <v>vec00125</v>
      </c>
      <c r="F4502" s="0" t="s">
        <v>2552</v>
      </c>
    </row>
    <row r="4503" customFormat="false" ht="12.8" hidden="false" customHeight="false" outlineLevel="0" collapsed="false">
      <c r="B4503" s="0" t="s">
        <v>1</v>
      </c>
      <c r="C4503" s="0" t="s">
        <v>2553</v>
      </c>
      <c r="E4503" s="0" t="s">
        <v>2554</v>
      </c>
      <c r="F4503" s="0" t="s">
        <v>2555</v>
      </c>
    </row>
    <row r="4504" customFormat="false" ht="12.8" hidden="false" customHeight="false" outlineLevel="0" collapsed="false">
      <c r="B4504" s="0" t="s">
        <v>865</v>
      </c>
      <c r="C4504" s="0" t="s">
        <v>2571</v>
      </c>
      <c r="E4504" s="0" t="s">
        <v>2572</v>
      </c>
      <c r="F4504" s="0" t="s">
        <v>2573</v>
      </c>
    </row>
    <row r="4505" customFormat="false" ht="12.8" hidden="false" customHeight="false" outlineLevel="0" collapsed="false">
      <c r="B4505" s="0" t="s">
        <v>2069</v>
      </c>
    </row>
    <row r="4506" customFormat="false" ht="12.8" hidden="false" customHeight="false" outlineLevel="0" collapsed="false">
      <c r="B4506" s="0" t="s">
        <v>132</v>
      </c>
      <c r="C4506" s="0" t="s">
        <v>2559</v>
      </c>
      <c r="E4506" s="0" t="s">
        <v>2560</v>
      </c>
      <c r="F4506" s="0" t="s">
        <v>2561</v>
      </c>
    </row>
    <row r="4508" customFormat="false" ht="12.8" hidden="false" customHeight="false" outlineLevel="0" collapsed="false">
      <c r="A4508" s="0" t="s">
        <v>2574</v>
      </c>
      <c r="B4508" s="0" t="str">
        <f aca="false">HYPERLINK("https://lindat.mff.cuni.cz/services/teitok/pdtc10/index.php?action=vallex&amp;frame=v-whsb_728hsa_729", "doplavat (v-whsb_728hsa_729)")</f>
        <v>doplavat (v-whsb_728hsa_729)</v>
      </c>
    </row>
    <row r="4509" customFormat="false" ht="12.8" hidden="false" customHeight="false" outlineLevel="0" collapsed="false">
      <c r="B4509" s="0" t="s">
        <v>1</v>
      </c>
    </row>
    <row r="4510" customFormat="false" ht="12.8" hidden="false" customHeight="false" outlineLevel="0" collapsed="false">
      <c r="B4510" s="0" t="s">
        <v>164</v>
      </c>
    </row>
    <row r="4512" customFormat="false" ht="12.8" hidden="false" customHeight="false" outlineLevel="0" collapsed="false">
      <c r="A4512" s="0" t="s">
        <v>2575</v>
      </c>
      <c r="B4512" s="0" t="str">
        <f aca="false">HYPERLINK("https://lindat.mff.cuni.cz/services/teitok/pdtc10/index.php?action=vallex&amp;frame=v-w657f1", "doplazit se (v-w657f1)")</f>
        <v>doplazit se (v-w657f1)</v>
      </c>
    </row>
    <row r="4513" customFormat="false" ht="12.8" hidden="false" customHeight="false" outlineLevel="0" collapsed="false">
      <c r="B4513" s="0" t="s">
        <v>1</v>
      </c>
    </row>
    <row r="4514" customFormat="false" ht="12.8" hidden="false" customHeight="false" outlineLevel="0" collapsed="false">
      <c r="B4514" s="0" t="s">
        <v>164</v>
      </c>
    </row>
    <row r="4516" customFormat="false" ht="12.8" hidden="false" customHeight="false" outlineLevel="0" collapsed="false">
      <c r="A4516" s="0" t="s">
        <v>2576</v>
      </c>
      <c r="B4516" s="0" t="str">
        <f aca="false">HYPERLINK("https://lindat.mff.cuni.cz/services/teitok/pdtc10/index.php?action=vallex&amp;frame=v-w661f1", "doplnit (v-w661f1)")</f>
        <v>doplnit (v-w661f1)</v>
      </c>
      <c r="E4516" s="0" t="str">
        <f aca="false">HYPERLINK("https://lindat.mff.cuni.cz/services/SynSemClass40/SynSemClass40.html?veclass=vec00407#vec00407-ces-cm00001", "vec00407")</f>
        <v>vec00407</v>
      </c>
      <c r="F4516" s="0" t="s">
        <v>2577</v>
      </c>
    </row>
    <row r="4517" customFormat="false" ht="12.8" hidden="false" customHeight="false" outlineLevel="0" collapsed="false">
      <c r="B4517" s="0" t="s">
        <v>1</v>
      </c>
      <c r="C4517" s="0" t="s">
        <v>2578</v>
      </c>
      <c r="E4517" s="0" t="s">
        <v>31</v>
      </c>
      <c r="F4517" s="0" t="s">
        <v>2579</v>
      </c>
    </row>
    <row r="4518" customFormat="false" ht="12.8" hidden="false" customHeight="false" outlineLevel="0" collapsed="false">
      <c r="B4518" s="0" t="s">
        <v>8</v>
      </c>
      <c r="C4518" s="0" t="s">
        <v>2580</v>
      </c>
      <c r="E4518" s="0" t="s">
        <v>1569</v>
      </c>
      <c r="F4518" s="0" t="s">
        <v>2581</v>
      </c>
    </row>
    <row r="4519" customFormat="false" ht="12.8" hidden="false" customHeight="false" outlineLevel="0" collapsed="false">
      <c r="B4519" s="0" t="s">
        <v>2582</v>
      </c>
      <c r="C4519" s="0" t="s">
        <v>2583</v>
      </c>
      <c r="E4519" s="0" t="s">
        <v>2584</v>
      </c>
      <c r="F4519" s="0" t="s">
        <v>2585</v>
      </c>
    </row>
    <row r="4521" customFormat="false" ht="12.8" hidden="false" customHeight="false" outlineLevel="0" collapsed="false">
      <c r="A4521" s="0" t="s">
        <v>2586</v>
      </c>
      <c r="B4521" s="0" t="str">
        <f aca="false">HYPERLINK("https://lindat.mff.cuni.cz/services/teitok/pdtc10/index.php?action=vallex&amp;frame=v-w661f2", "doplnit (v-w661f2)")</f>
        <v>doplnit (v-w661f2)</v>
      </c>
    </row>
    <row r="4522" customFormat="false" ht="12.8" hidden="false" customHeight="false" outlineLevel="0" collapsed="false">
      <c r="B4522" s="0" t="s">
        <v>1</v>
      </c>
    </row>
    <row r="4523" customFormat="false" ht="12.8" hidden="false" customHeight="false" outlineLevel="0" collapsed="false">
      <c r="B4523" s="0" t="s">
        <v>2215</v>
      </c>
    </row>
    <row r="4524" customFormat="false" ht="12.8" hidden="false" customHeight="false" outlineLevel="0" collapsed="false">
      <c r="B4524" s="0" t="s">
        <v>2219</v>
      </c>
    </row>
    <row r="4526" customFormat="false" ht="12.8" hidden="false" customHeight="false" outlineLevel="0" collapsed="false">
      <c r="A4526" s="0" t="s">
        <v>2587</v>
      </c>
      <c r="B4526" s="0" t="str">
        <f aca="false">HYPERLINK("https://lindat.mff.cuni.cz/services/teitok/pdtc10/index.php?action=vallex&amp;frame=v-w661hsa_399", "doplnit (v-w661hsa_399)")</f>
        <v>doplnit (v-w661hsa_399)</v>
      </c>
      <c r="E4526" s="0" t="str">
        <f aca="false">HYPERLINK("https://lindat.mff.cuni.cz/services/SynSemClass40/SynSemClass40.html?veclass=vec00499#vec00499-ces-cm00113", "vec00499")</f>
        <v>vec00499</v>
      </c>
      <c r="F4526" s="0" t="s">
        <v>2186</v>
      </c>
    </row>
    <row r="4527" customFormat="false" ht="12.8" hidden="false" customHeight="false" outlineLevel="0" collapsed="false">
      <c r="B4527" s="0" t="s">
        <v>1</v>
      </c>
      <c r="C4527" s="0" t="s">
        <v>2187</v>
      </c>
      <c r="E4527" s="0" t="s">
        <v>1784</v>
      </c>
      <c r="F4527" s="0" t="s">
        <v>2188</v>
      </c>
    </row>
    <row r="4528" customFormat="false" ht="12.8" hidden="false" customHeight="false" outlineLevel="0" collapsed="false">
      <c r="B4528" s="0" t="s">
        <v>8</v>
      </c>
      <c r="E4528" s="0" t="s">
        <v>2588</v>
      </c>
      <c r="F4528" s="0" t="s">
        <v>2589</v>
      </c>
    </row>
    <row r="4529" customFormat="false" ht="12.8" hidden="false" customHeight="false" outlineLevel="0" collapsed="false">
      <c r="B4529" s="0" t="s">
        <v>101</v>
      </c>
      <c r="C4529" s="0" t="s">
        <v>2590</v>
      </c>
      <c r="E4529" s="0" t="s">
        <v>2591</v>
      </c>
      <c r="F4529" s="0" t="s">
        <v>2592</v>
      </c>
    </row>
    <row r="4531" customFormat="false" ht="12.8" hidden="false" customHeight="false" outlineLevel="0" collapsed="false">
      <c r="A4531" s="0" t="s">
        <v>2593</v>
      </c>
      <c r="B4531" s="0" t="str">
        <f aca="false">HYPERLINK("https://lindat.mff.cuni.cz/services/teitok/pdtc10/index.php?action=vallex&amp;frame=v-w661f3_ZU", "doplnit (v-w661f3_ZU)")</f>
        <v>doplnit (v-w661f3_ZU)</v>
      </c>
    </row>
    <row r="4532" customFormat="false" ht="12.8" hidden="false" customHeight="false" outlineLevel="0" collapsed="false">
      <c r="B4532" s="0" t="s">
        <v>1</v>
      </c>
    </row>
    <row r="4533" customFormat="false" ht="12.8" hidden="false" customHeight="false" outlineLevel="0" collapsed="false">
      <c r="B4533" s="0" t="s">
        <v>8</v>
      </c>
    </row>
    <row r="4534" customFormat="false" ht="12.8" hidden="false" customHeight="false" outlineLevel="0" collapsed="false">
      <c r="B4534" s="0" t="s">
        <v>2594</v>
      </c>
    </row>
    <row r="4536" customFormat="false" ht="12.8" hidden="false" customHeight="false" outlineLevel="0" collapsed="false">
      <c r="A4536" s="0" t="s">
        <v>2595</v>
      </c>
      <c r="B4536" s="0" t="str">
        <f aca="false">HYPERLINK("https://lindat.mff.cuni.cz/services/teitok/pdtc10/index.php?action=vallex&amp;frame=v-w12219_ZUf2_ZU", "doplout (v-w12219_ZUf2_ZU)")</f>
        <v>doplout (v-w12219_ZUf2_ZU)</v>
      </c>
    </row>
    <row r="4537" customFormat="false" ht="12.8" hidden="false" customHeight="false" outlineLevel="0" collapsed="false">
      <c r="B4537" s="0" t="s">
        <v>1</v>
      </c>
    </row>
    <row r="4538" customFormat="false" ht="12.8" hidden="false" customHeight="false" outlineLevel="0" collapsed="false">
      <c r="B4538" s="0" t="s">
        <v>454</v>
      </c>
    </row>
    <row r="4540" customFormat="false" ht="12.8" hidden="false" customHeight="false" outlineLevel="0" collapsed="false">
      <c r="A4540" s="0" t="s">
        <v>2595</v>
      </c>
      <c r="B4540" s="0" t="str">
        <f aca="false">HYPERLINK("https://lindat.mff.cuni.cz/services/teitok/pdtc10/index.php?action=vallex&amp;frame=v-w12219_ZUf1_ZU", "doplout (v-w12219_ZUf1_ZU) - substituted with v-w12219_ZUf2_ZU")</f>
        <v>doplout (v-w12219_ZUf1_ZU) - substituted with v-w12219_ZUf2_ZU</v>
      </c>
    </row>
    <row r="4541" customFormat="false" ht="12.8" hidden="false" customHeight="false" outlineLevel="0" collapsed="false">
      <c r="B4541" s="0" t="s">
        <v>1</v>
      </c>
    </row>
    <row r="4542" customFormat="false" ht="12.8" hidden="false" customHeight="false" outlineLevel="0" collapsed="false">
      <c r="B4542" s="0" t="s">
        <v>454</v>
      </c>
    </row>
    <row r="4544" customFormat="false" ht="12.8" hidden="false" customHeight="false" outlineLevel="0" collapsed="false">
      <c r="A4544" s="0" t="s">
        <v>2596</v>
      </c>
      <c r="B4544" s="0" t="str">
        <f aca="false">HYPERLINK("https://lindat.mff.cuni.cz/services/teitok/pdtc10/index.php?action=vallex&amp;frame=v-w654f1", "doplácet (v-w654f1)")</f>
        <v>doplácet (v-w654f1)</v>
      </c>
      <c r="E4544" s="0" t="str">
        <f aca="false">HYPERLINK("https://lindat.mff.cuni.cz/services/SynSemClass40/SynSemClass40.html?veclass=vec00125#vec00125-ces-cm00196", "vec00125")</f>
        <v>vec00125</v>
      </c>
      <c r="F4544" s="0" t="s">
        <v>2552</v>
      </c>
    </row>
    <row r="4545" customFormat="false" ht="12.8" hidden="false" customHeight="false" outlineLevel="0" collapsed="false">
      <c r="B4545" s="0" t="s">
        <v>1</v>
      </c>
      <c r="C4545" s="0" t="s">
        <v>2553</v>
      </c>
      <c r="E4545" s="0" t="s">
        <v>2554</v>
      </c>
      <c r="F4545" s="0" t="s">
        <v>2555</v>
      </c>
    </row>
    <row r="4546" customFormat="false" ht="12.8" hidden="false" customHeight="false" outlineLevel="0" collapsed="false">
      <c r="B4546" s="0" t="s">
        <v>8</v>
      </c>
      <c r="C4546" s="0" t="s">
        <v>2556</v>
      </c>
      <c r="E4546" s="0" t="s">
        <v>2557</v>
      </c>
      <c r="F4546" s="0" t="s">
        <v>2558</v>
      </c>
    </row>
    <row r="4547" customFormat="false" ht="12.8" hidden="false" customHeight="false" outlineLevel="0" collapsed="false">
      <c r="B4547" s="0" t="s">
        <v>132</v>
      </c>
      <c r="C4547" s="0" t="s">
        <v>2559</v>
      </c>
      <c r="E4547" s="0" t="s">
        <v>2560</v>
      </c>
      <c r="F4547" s="0" t="s">
        <v>2561</v>
      </c>
    </row>
    <row r="4548" customFormat="false" ht="12.8" hidden="false" customHeight="false" outlineLevel="0" collapsed="false">
      <c r="B4548" s="0" t="s">
        <v>723</v>
      </c>
    </row>
    <row r="4550" customFormat="false" ht="12.8" hidden="false" customHeight="false" outlineLevel="0" collapsed="false">
      <c r="A4550" s="0" t="s">
        <v>2597</v>
      </c>
      <c r="B4550" s="0" t="str">
        <f aca="false">HYPERLINK("https://lindat.mff.cuni.cz/services/teitok/pdtc10/index.php?action=vallex&amp;frame=v-w654f3", "doplácet (v-w654f3)")</f>
        <v>doplácet (v-w654f3)</v>
      </c>
      <c r="E4550" s="0" t="str">
        <f aca="false">HYPERLINK("https://lindat.mff.cuni.cz/services/SynSemClass40/SynSemClass40.html?veclass=vec00740#vec00740-ces-cm00054", "vec00740")</f>
        <v>vec00740</v>
      </c>
      <c r="F4550" s="0" t="s">
        <v>2563</v>
      </c>
    </row>
    <row r="4551" customFormat="false" ht="12.8" hidden="false" customHeight="false" outlineLevel="0" collapsed="false">
      <c r="B4551" s="0" t="s">
        <v>1</v>
      </c>
      <c r="C4551" s="0" t="s">
        <v>2564</v>
      </c>
      <c r="E4551" s="0" t="s">
        <v>2565</v>
      </c>
      <c r="F4551" s="0" t="s">
        <v>2566</v>
      </c>
    </row>
    <row r="4552" customFormat="false" ht="12.8" hidden="false" customHeight="false" outlineLevel="0" collapsed="false">
      <c r="B4552" s="0" t="s">
        <v>45</v>
      </c>
      <c r="C4552" s="0" t="s">
        <v>2567</v>
      </c>
      <c r="E4552" s="0" t="s">
        <v>2568</v>
      </c>
      <c r="F4552" s="0" t="s">
        <v>2569</v>
      </c>
    </row>
    <row r="4554" customFormat="false" ht="12.8" hidden="false" customHeight="false" outlineLevel="0" collapsed="false">
      <c r="A4554" s="0" t="s">
        <v>2598</v>
      </c>
      <c r="B4554" s="0" t="str">
        <f aca="false">HYPERLINK("https://lindat.mff.cuni.cz/services/teitok/pdtc10/index.php?action=vallex&amp;frame=v-w654f2", "doplácet (v-w654f2)")</f>
        <v>doplácet (v-w654f2)</v>
      </c>
    </row>
    <row r="4555" customFormat="false" ht="12.8" hidden="false" customHeight="false" outlineLevel="0" collapsed="false">
      <c r="B4555" s="0" t="s">
        <v>1</v>
      </c>
    </row>
    <row r="4556" customFormat="false" ht="12.8" hidden="false" customHeight="false" outlineLevel="0" collapsed="false">
      <c r="B4556" s="0" t="s">
        <v>865</v>
      </c>
    </row>
    <row r="4557" customFormat="false" ht="12.8" hidden="false" customHeight="false" outlineLevel="0" collapsed="false">
      <c r="B4557" s="0" t="s">
        <v>2069</v>
      </c>
    </row>
    <row r="4558" customFormat="false" ht="12.8" hidden="false" customHeight="false" outlineLevel="0" collapsed="false">
      <c r="B4558" s="0" t="s">
        <v>132</v>
      </c>
    </row>
    <row r="4560" customFormat="false" ht="12.8" hidden="false" customHeight="false" outlineLevel="0" collapsed="false">
      <c r="A4560" s="0" t="s">
        <v>2599</v>
      </c>
      <c r="B4560" s="0" t="str">
        <f aca="false">HYPERLINK("https://lindat.mff.cuni.cz/services/teitok/pdtc10/index.php?action=vallex&amp;frame=v-w663f1", "doplňovat (v-w663f1)")</f>
        <v>doplňovat (v-w663f1)</v>
      </c>
      <c r="E4560" s="0" t="str">
        <f aca="false">HYPERLINK("https://lindat.mff.cuni.cz/services/SynSemClass40/SynSemClass40.html?veclass=vec00407#vec00407-ces-cm00069", "vec00407")</f>
        <v>vec00407</v>
      </c>
      <c r="F4560" s="0" t="s">
        <v>2577</v>
      </c>
    </row>
    <row r="4561" customFormat="false" ht="12.8" hidden="false" customHeight="false" outlineLevel="0" collapsed="false">
      <c r="B4561" s="0" t="s">
        <v>1</v>
      </c>
      <c r="C4561" s="0" t="s">
        <v>2578</v>
      </c>
      <c r="E4561" s="0" t="s">
        <v>31</v>
      </c>
      <c r="F4561" s="0" t="s">
        <v>2579</v>
      </c>
    </row>
    <row r="4562" customFormat="false" ht="12.8" hidden="false" customHeight="false" outlineLevel="0" collapsed="false">
      <c r="B4562" s="0" t="s">
        <v>8</v>
      </c>
      <c r="C4562" s="0" t="s">
        <v>2580</v>
      </c>
      <c r="E4562" s="0" t="s">
        <v>1569</v>
      </c>
      <c r="F4562" s="0" t="s">
        <v>2581</v>
      </c>
    </row>
    <row r="4563" customFormat="false" ht="12.8" hidden="false" customHeight="false" outlineLevel="0" collapsed="false">
      <c r="B4563" s="0" t="s">
        <v>2600</v>
      </c>
      <c r="C4563" s="0" t="s">
        <v>2583</v>
      </c>
      <c r="E4563" s="0" t="s">
        <v>2584</v>
      </c>
      <c r="F4563" s="0" t="s">
        <v>2585</v>
      </c>
    </row>
    <row r="4565" customFormat="false" ht="12.8" hidden="false" customHeight="false" outlineLevel="0" collapsed="false">
      <c r="A4565" s="0" t="s">
        <v>2601</v>
      </c>
      <c r="B4565" s="0" t="str">
        <f aca="false">HYPERLINK("https://lindat.mff.cuni.cz/services/teitok/pdtc10/index.php?action=vallex&amp;frame=v-w663f2", "doplňovat (v-w663f2)")</f>
        <v>doplňovat (v-w663f2)</v>
      </c>
    </row>
    <row r="4566" customFormat="false" ht="12.8" hidden="false" customHeight="false" outlineLevel="0" collapsed="false">
      <c r="B4566" s="0" t="s">
        <v>1</v>
      </c>
    </row>
    <row r="4567" customFormat="false" ht="12.8" hidden="false" customHeight="false" outlineLevel="0" collapsed="false">
      <c r="B4567" s="0" t="s">
        <v>2215</v>
      </c>
    </row>
    <row r="4568" customFormat="false" ht="12.8" hidden="false" customHeight="false" outlineLevel="0" collapsed="false">
      <c r="B4568" s="0" t="s">
        <v>2219</v>
      </c>
    </row>
    <row r="4570" customFormat="false" ht="12.8" hidden="false" customHeight="false" outlineLevel="0" collapsed="false">
      <c r="A4570" s="0" t="s">
        <v>2602</v>
      </c>
      <c r="B4570" s="0" t="str">
        <f aca="false">HYPERLINK("https://lindat.mff.cuni.cz/services/teitok/pdtc10/index.php?action=vallex&amp;frame=v-w663f3_ZU", "doplňovat (v-w663f3_ZU)")</f>
        <v>doplňovat (v-w663f3_ZU)</v>
      </c>
    </row>
    <row r="4571" customFormat="false" ht="12.8" hidden="false" customHeight="false" outlineLevel="0" collapsed="false">
      <c r="B4571" s="0" t="s">
        <v>1</v>
      </c>
    </row>
    <row r="4572" customFormat="false" ht="12.8" hidden="false" customHeight="false" outlineLevel="0" collapsed="false">
      <c r="B4572" s="0" t="s">
        <v>8</v>
      </c>
    </row>
    <row r="4573" customFormat="false" ht="12.8" hidden="false" customHeight="false" outlineLevel="0" collapsed="false">
      <c r="B4573" s="0" t="s">
        <v>454</v>
      </c>
    </row>
    <row r="4575" customFormat="false" ht="12.8" hidden="false" customHeight="false" outlineLevel="0" collapsed="false">
      <c r="A4575" s="0" t="s">
        <v>2603</v>
      </c>
      <c r="B4575" s="0" t="str">
        <f aca="false">HYPERLINK("https://lindat.mff.cuni.cz/services/teitok/pdtc10/index.php?action=vallex&amp;frame=v-w11508_ZUf1_ZU", "doplňovat se (v-w11508_ZUf1_ZU)")</f>
        <v>doplňovat se (v-w11508_ZUf1_ZU)</v>
      </c>
    </row>
    <row r="4576" customFormat="false" ht="12.8" hidden="false" customHeight="false" outlineLevel="0" collapsed="false">
      <c r="B4576" s="0" t="s">
        <v>1</v>
      </c>
    </row>
    <row r="4577" customFormat="false" ht="12.8" hidden="false" customHeight="false" outlineLevel="0" collapsed="false">
      <c r="B4577" s="0" t="s">
        <v>721</v>
      </c>
    </row>
    <row r="4579" customFormat="false" ht="12.8" hidden="false" customHeight="false" outlineLevel="0" collapsed="false">
      <c r="A4579" s="0" t="s">
        <v>2604</v>
      </c>
      <c r="B4579" s="0" t="str">
        <f aca="false">HYPERLINK("https://lindat.mff.cuni.cz/services/teitok/pdtc10/index.php?action=vallex&amp;frame=v-w667f1", "dopomoci (v-w667f1)")</f>
        <v>dopomoci (v-w667f1)</v>
      </c>
    </row>
    <row r="4580" customFormat="false" ht="12.8" hidden="false" customHeight="false" outlineLevel="0" collapsed="false">
      <c r="B4580" s="0" t="s">
        <v>1181</v>
      </c>
    </row>
    <row r="4581" customFormat="false" ht="12.8" hidden="false" customHeight="false" outlineLevel="0" collapsed="false">
      <c r="B4581" s="0" t="s">
        <v>52</v>
      </c>
    </row>
    <row r="4582" customFormat="false" ht="12.8" hidden="false" customHeight="false" outlineLevel="0" collapsed="false">
      <c r="B4582" s="0" t="s">
        <v>2605</v>
      </c>
    </row>
    <row r="4584" customFormat="false" ht="12.8" hidden="false" customHeight="false" outlineLevel="0" collapsed="false">
      <c r="A4584" s="0" t="s">
        <v>2606</v>
      </c>
      <c r="B4584" s="0" t="str">
        <f aca="false">HYPERLINK("https://lindat.mff.cuni.cz/services/teitok/pdtc10/index.php?action=vallex&amp;frame=v-w666f1", "dopomáhat (v-w666f1)")</f>
        <v>dopomáhat (v-w666f1)</v>
      </c>
    </row>
    <row r="4585" customFormat="false" ht="12.8" hidden="false" customHeight="false" outlineLevel="0" collapsed="false">
      <c r="B4585" s="0" t="s">
        <v>1181</v>
      </c>
    </row>
    <row r="4586" customFormat="false" ht="12.8" hidden="false" customHeight="false" outlineLevel="0" collapsed="false">
      <c r="B4586" s="0" t="s">
        <v>903</v>
      </c>
    </row>
    <row r="4587" customFormat="false" ht="12.8" hidden="false" customHeight="false" outlineLevel="0" collapsed="false">
      <c r="B4587" s="0" t="s">
        <v>52</v>
      </c>
    </row>
    <row r="4589" customFormat="false" ht="12.8" hidden="false" customHeight="false" outlineLevel="0" collapsed="false">
      <c r="A4589" s="0" t="s">
        <v>2607</v>
      </c>
      <c r="B4589" s="0" t="str">
        <f aca="false">HYPERLINK("https://lindat.mff.cuni.cz/services/teitok/pdtc10/index.php?action=vallex&amp;frame=v-w670f1", "doporučit (v-w670f1)")</f>
        <v>doporučit (v-w670f1)</v>
      </c>
      <c r="E4589" s="0" t="str">
        <f aca="false">HYPERLINK("https://lindat.mff.cuni.cz/services/SynSemClass40/SynSemClass40.html?veclass=vec00215#vec00215-ces-cm00001", "vec00215")</f>
        <v>vec00215</v>
      </c>
      <c r="F4589" s="0" t="s">
        <v>2608</v>
      </c>
    </row>
    <row r="4590" customFormat="false" ht="12.8" hidden="false" customHeight="false" outlineLevel="0" collapsed="false">
      <c r="B4590" s="0" t="s">
        <v>1</v>
      </c>
      <c r="C4590" s="0" t="s">
        <v>2609</v>
      </c>
      <c r="E4590" s="0" t="s">
        <v>63</v>
      </c>
      <c r="F4590" s="0" t="s">
        <v>2610</v>
      </c>
    </row>
    <row r="4591" customFormat="false" ht="12.8" hidden="false" customHeight="false" outlineLevel="0" collapsed="false">
      <c r="B4591" s="0" t="s">
        <v>2611</v>
      </c>
      <c r="C4591" s="0" t="s">
        <v>2612</v>
      </c>
      <c r="E4591" s="0" t="s">
        <v>2613</v>
      </c>
      <c r="F4591" s="0" t="s">
        <v>2614</v>
      </c>
    </row>
    <row r="4592" customFormat="false" ht="12.8" hidden="false" customHeight="false" outlineLevel="0" collapsed="false">
      <c r="B4592" s="0" t="s">
        <v>52</v>
      </c>
      <c r="C4592" s="0" t="s">
        <v>2615</v>
      </c>
      <c r="E4592" s="0" t="s">
        <v>564</v>
      </c>
      <c r="F4592" s="0" t="s">
        <v>2616</v>
      </c>
    </row>
    <row r="4594" customFormat="false" ht="12.8" hidden="false" customHeight="false" outlineLevel="0" collapsed="false">
      <c r="A4594" s="0" t="s">
        <v>2617</v>
      </c>
      <c r="B4594" s="0" t="str">
        <f aca="false">HYPERLINK("https://lindat.mff.cuni.cz/services/teitok/pdtc10/index.php?action=vallex&amp;frame=v-w670f2", "doporučit (v-w670f2)")</f>
        <v>doporučit (v-w670f2)</v>
      </c>
      <c r="E4594" s="0" t="str">
        <f aca="false">HYPERLINK("https://lindat.mff.cuni.cz/services/SynSemClass40/SynSemClass40.html?veclass=vec00039#vec00039-ces-cm00050", "vec00039")</f>
        <v>vec00039</v>
      </c>
      <c r="F4594" s="0" t="s">
        <v>2618</v>
      </c>
    </row>
    <row r="4595" customFormat="false" ht="12.8" hidden="false" customHeight="false" outlineLevel="0" collapsed="false">
      <c r="B4595" s="0" t="s">
        <v>1</v>
      </c>
      <c r="C4595" s="0" t="s">
        <v>1992</v>
      </c>
      <c r="E4595" s="0" t="s">
        <v>2619</v>
      </c>
      <c r="F4595" s="0" t="s">
        <v>2620</v>
      </c>
    </row>
    <row r="4596" customFormat="false" ht="12.8" hidden="false" customHeight="false" outlineLevel="0" collapsed="false">
      <c r="B4596" s="0" t="s">
        <v>8</v>
      </c>
      <c r="C4596" s="0" t="s">
        <v>2621</v>
      </c>
      <c r="E4596" s="0" t="s">
        <v>66</v>
      </c>
      <c r="F4596" s="0" t="s">
        <v>2622</v>
      </c>
    </row>
    <row r="4597" customFormat="false" ht="12.8" hidden="false" customHeight="false" outlineLevel="0" collapsed="false">
      <c r="B4597" s="0" t="s">
        <v>101</v>
      </c>
    </row>
    <row r="4599" customFormat="false" ht="12.8" hidden="false" customHeight="false" outlineLevel="0" collapsed="false">
      <c r="A4599" s="0" t="s">
        <v>2623</v>
      </c>
      <c r="B4599" s="0" t="str">
        <f aca="false">HYPERLINK("https://lindat.mff.cuni.cz/services/teitok/pdtc10/index.php?action=vallex&amp;frame=v-w672f1", "doporučovat (v-w672f1)")</f>
        <v>doporučovat (v-w672f1)</v>
      </c>
      <c r="E4599" s="0" t="str">
        <f aca="false">HYPERLINK("https://lindat.mff.cuni.cz/services/SynSemClass40/SynSemClass40.html?veclass=vec00215#vec00215-ces-cm00003", "vec00215")</f>
        <v>vec00215</v>
      </c>
      <c r="F4599" s="0" t="s">
        <v>2608</v>
      </c>
    </row>
    <row r="4600" customFormat="false" ht="12.8" hidden="false" customHeight="false" outlineLevel="0" collapsed="false">
      <c r="B4600" s="0" t="s">
        <v>1</v>
      </c>
      <c r="C4600" s="0" t="s">
        <v>2609</v>
      </c>
      <c r="E4600" s="0" t="s">
        <v>63</v>
      </c>
      <c r="F4600" s="0" t="s">
        <v>2610</v>
      </c>
    </row>
    <row r="4601" customFormat="false" ht="12.8" hidden="false" customHeight="false" outlineLevel="0" collapsed="false">
      <c r="B4601" s="0" t="s">
        <v>2611</v>
      </c>
      <c r="C4601" s="0" t="s">
        <v>2612</v>
      </c>
      <c r="E4601" s="0" t="s">
        <v>2613</v>
      </c>
      <c r="F4601" s="0" t="s">
        <v>2614</v>
      </c>
    </row>
    <row r="4602" customFormat="false" ht="12.8" hidden="false" customHeight="false" outlineLevel="0" collapsed="false">
      <c r="B4602" s="0" t="s">
        <v>52</v>
      </c>
      <c r="C4602" s="0" t="s">
        <v>2615</v>
      </c>
      <c r="E4602" s="0" t="s">
        <v>564</v>
      </c>
      <c r="F4602" s="0" t="s">
        <v>2616</v>
      </c>
    </row>
    <row r="4604" customFormat="false" ht="12.8" hidden="false" customHeight="false" outlineLevel="0" collapsed="false">
      <c r="A4604" s="0" t="s">
        <v>2624</v>
      </c>
      <c r="B4604" s="0" t="str">
        <f aca="false">HYPERLINK("https://lindat.mff.cuni.cz/services/teitok/pdtc10/index.php?action=vallex&amp;frame=v-w674f1", "dopouštět se (v-w674f1)")</f>
        <v>dopouštět se (v-w674f1)</v>
      </c>
      <c r="E4604" s="0" t="str">
        <f aca="false">HYPERLINK("https://lindat.mff.cuni.cz/services/SynSemClass40/SynSemClass40.html?veclass=vec00009#vec00009-ces-cm00147", "vec00009")</f>
        <v>vec00009</v>
      </c>
      <c r="F4604" s="0" t="s">
        <v>2625</v>
      </c>
    </row>
    <row r="4605" customFormat="false" ht="12.8" hidden="false" customHeight="false" outlineLevel="0" collapsed="false">
      <c r="B4605" s="0" t="s">
        <v>1</v>
      </c>
      <c r="C4605" s="0" t="s">
        <v>239</v>
      </c>
      <c r="E4605" s="0" t="s">
        <v>1573</v>
      </c>
      <c r="F4605" s="0" t="s">
        <v>2626</v>
      </c>
    </row>
    <row r="4606" customFormat="false" ht="12.8" hidden="false" customHeight="false" outlineLevel="0" collapsed="false">
      <c r="B4606" s="0" t="s">
        <v>1289</v>
      </c>
      <c r="C4606" s="0" t="s">
        <v>2627</v>
      </c>
      <c r="E4606" s="0" t="s">
        <v>2628</v>
      </c>
      <c r="F4606" s="0" t="s">
        <v>2629</v>
      </c>
    </row>
    <row r="4608" customFormat="false" ht="12.8" hidden="false" customHeight="false" outlineLevel="0" collapsed="false">
      <c r="A4608" s="0" t="s">
        <v>2630</v>
      </c>
      <c r="B4608" s="0" t="str">
        <f aca="false">HYPERLINK("https://lindat.mff.cuni.cz/services/teitok/pdtc10/index.php?action=vallex&amp;frame=v-w675f1", "dopovat (v-w675f1)")</f>
        <v>dopovat (v-w675f1)</v>
      </c>
    </row>
    <row r="4609" customFormat="false" ht="12.8" hidden="false" customHeight="false" outlineLevel="0" collapsed="false">
      <c r="B4609" s="0" t="s">
        <v>1</v>
      </c>
    </row>
    <row r="4610" customFormat="false" ht="12.8" hidden="false" customHeight="false" outlineLevel="0" collapsed="false">
      <c r="B4610" s="0" t="s">
        <v>8</v>
      </c>
    </row>
    <row r="4612" customFormat="false" ht="12.8" hidden="false" customHeight="false" outlineLevel="0" collapsed="false">
      <c r="A4612" s="0" t="s">
        <v>2631</v>
      </c>
      <c r="B4612" s="0" t="str">
        <f aca="false">HYPERLINK("https://lindat.mff.cuni.cz/services/teitok/pdtc10/index.php?action=vallex&amp;frame=v-w675f2", "dopovat (v-w675f2)")</f>
        <v>dopovat (v-w675f2)</v>
      </c>
    </row>
    <row r="4613" customFormat="false" ht="12.8" hidden="false" customHeight="false" outlineLevel="0" collapsed="false">
      <c r="B4613" s="0" t="s">
        <v>1</v>
      </c>
    </row>
    <row r="4614" customFormat="false" ht="12.8" hidden="false" customHeight="false" outlineLevel="0" collapsed="false">
      <c r="B4614" s="0" t="s">
        <v>8</v>
      </c>
    </row>
    <row r="4616" customFormat="false" ht="12.8" hidden="false" customHeight="false" outlineLevel="0" collapsed="false">
      <c r="A4616" s="0" t="s">
        <v>2632</v>
      </c>
      <c r="B4616" s="0" t="str">
        <f aca="false">HYPERLINK("https://lindat.mff.cuni.cz/services/teitok/pdtc10/index.php?action=vallex&amp;frame=v-whsa_1924hsa_1925", "dopovídat (v-whsa_1924hsa_1925)")</f>
        <v>dopovídat (v-whsa_1924hsa_1925)</v>
      </c>
    </row>
    <row r="4617" customFormat="false" ht="12.8" hidden="false" customHeight="false" outlineLevel="0" collapsed="false">
      <c r="B4617" s="0" t="s">
        <v>1</v>
      </c>
    </row>
    <row r="4618" customFormat="false" ht="12.8" hidden="false" customHeight="false" outlineLevel="0" collapsed="false">
      <c r="B4618" s="0" t="s">
        <v>52</v>
      </c>
    </row>
    <row r="4619" customFormat="false" ht="12.8" hidden="false" customHeight="false" outlineLevel="0" collapsed="false">
      <c r="B4619" s="0" t="s">
        <v>2486</v>
      </c>
    </row>
    <row r="4620" customFormat="false" ht="12.8" hidden="false" customHeight="false" outlineLevel="0" collapsed="false">
      <c r="B4620" s="0" t="s">
        <v>496</v>
      </c>
    </row>
    <row r="4622" customFormat="false" ht="12.8" hidden="false" customHeight="false" outlineLevel="0" collapsed="false">
      <c r="A4622" s="0" t="s">
        <v>2633</v>
      </c>
      <c r="B4622" s="0" t="str">
        <f aca="false">HYPERLINK("https://lindat.mff.cuni.cz/services/teitok/pdtc10/index.php?action=vallex&amp;frame=v-w12327_MMf1_MM", "dopovědět (v-w12327_MMf1_MM)")</f>
        <v>dopovědět (v-w12327_MMf1_MM)</v>
      </c>
    </row>
    <row r="4623" customFormat="false" ht="12.8" hidden="false" customHeight="false" outlineLevel="0" collapsed="false">
      <c r="B4623" s="0" t="s">
        <v>1</v>
      </c>
    </row>
    <row r="4624" customFormat="false" ht="12.8" hidden="false" customHeight="false" outlineLevel="0" collapsed="false">
      <c r="B4624" s="0" t="s">
        <v>52</v>
      </c>
    </row>
    <row r="4625" customFormat="false" ht="12.8" hidden="false" customHeight="false" outlineLevel="0" collapsed="false">
      <c r="B4625" s="0" t="s">
        <v>2486</v>
      </c>
    </row>
    <row r="4626" customFormat="false" ht="12.8" hidden="false" customHeight="false" outlineLevel="0" collapsed="false">
      <c r="B4626" s="0" t="s">
        <v>496</v>
      </c>
    </row>
    <row r="4628" customFormat="false" ht="12.8" hidden="false" customHeight="false" outlineLevel="0" collapsed="false">
      <c r="A4628" s="0" t="s">
        <v>2634</v>
      </c>
      <c r="B4628" s="0" t="str">
        <f aca="false">HYPERLINK("https://lindat.mff.cuni.cz/services/teitok/pdtc10/index.php?action=vallex&amp;frame=v-whsa_1506hsa_1507", "dopočítat (v-whsa_1506hsa_1507)")</f>
        <v>dopočítat (v-whsa_1506hsa_1507)</v>
      </c>
    </row>
    <row r="4629" customFormat="false" ht="12.8" hidden="false" customHeight="false" outlineLevel="0" collapsed="false">
      <c r="B4629" s="0" t="s">
        <v>1</v>
      </c>
    </row>
    <row r="4630" customFormat="false" ht="12.8" hidden="false" customHeight="false" outlineLevel="0" collapsed="false">
      <c r="B4630" s="0" t="s">
        <v>305</v>
      </c>
    </row>
    <row r="4632" customFormat="false" ht="12.8" hidden="false" customHeight="false" outlineLevel="0" collapsed="false">
      <c r="A4632" s="0" t="s">
        <v>2635</v>
      </c>
      <c r="B4632" s="0" t="str">
        <f aca="false">HYPERLINK("https://lindat.mff.cuni.cz/services/teitok/pdtc10/index.php?action=vallex&amp;frame=v-w664f1", "dopočítat se (v-w664f1)")</f>
        <v>dopočítat se (v-w664f1)</v>
      </c>
    </row>
    <row r="4633" customFormat="false" ht="12.8" hidden="false" customHeight="false" outlineLevel="0" collapsed="false">
      <c r="B4633" s="0" t="s">
        <v>1</v>
      </c>
    </row>
    <row r="4634" customFormat="false" ht="12.8" hidden="false" customHeight="false" outlineLevel="0" collapsed="false">
      <c r="B4634" s="0" t="s">
        <v>2636</v>
      </c>
    </row>
    <row r="4636" customFormat="false" ht="12.8" hidden="false" customHeight="false" outlineLevel="0" collapsed="false">
      <c r="A4636" s="0" t="s">
        <v>2637</v>
      </c>
      <c r="B4636" s="0" t="str">
        <f aca="false">HYPERLINK("https://lindat.mff.cuni.cz/services/teitok/pdtc10/index.php?action=vallex&amp;frame=v-w665f2", "dopočítávat (v-w665f2)")</f>
        <v>dopočítávat (v-w665f2)</v>
      </c>
    </row>
    <row r="4637" customFormat="false" ht="12.8" hidden="false" customHeight="false" outlineLevel="0" collapsed="false">
      <c r="B4637" s="0" t="s">
        <v>1</v>
      </c>
    </row>
    <row r="4638" customFormat="false" ht="12.8" hidden="false" customHeight="false" outlineLevel="0" collapsed="false">
      <c r="B4638" s="0" t="s">
        <v>8</v>
      </c>
    </row>
    <row r="4640" customFormat="false" ht="12.8" hidden="false" customHeight="false" outlineLevel="0" collapsed="false">
      <c r="A4640" s="0" t="s">
        <v>2638</v>
      </c>
      <c r="B4640" s="0" t="str">
        <f aca="false">HYPERLINK("https://lindat.mff.cuni.cz/services/teitok/pdtc10/index.php?action=vallex&amp;frame=v-w665f1", "dopočítávat (v-w665f1)")</f>
        <v>dopočítávat (v-w665f1)</v>
      </c>
    </row>
    <row r="4641" customFormat="false" ht="12.8" hidden="false" customHeight="false" outlineLevel="0" collapsed="false">
      <c r="B4641" s="0" t="s">
        <v>1</v>
      </c>
    </row>
    <row r="4643" customFormat="false" ht="12.8" hidden="false" customHeight="false" outlineLevel="0" collapsed="false">
      <c r="A4643" s="0" t="s">
        <v>2639</v>
      </c>
      <c r="B4643" s="0" t="str">
        <f aca="false">HYPERLINK("https://lindat.mff.cuni.cz/services/teitok/pdtc10/index.php?action=vallex&amp;frame=v-w677f1", "dopracovat (v-w677f1)")</f>
        <v>dopracovat (v-w677f1)</v>
      </c>
      <c r="E4643" s="0" t="str">
        <f aca="false">HYPERLINK("https://lindat.mff.cuni.cz/services/SynSemClass40/SynSemClass40.html?veclass=vec01490#vec01490-ces-cm00006", "vec01490")</f>
        <v>vec01490</v>
      </c>
      <c r="F4643" s="0" t="s">
        <v>2391</v>
      </c>
    </row>
    <row r="4644" customFormat="false" ht="12.8" hidden="false" customHeight="false" outlineLevel="0" collapsed="false">
      <c r="B4644" s="0" t="s">
        <v>1</v>
      </c>
      <c r="C4644" s="0" t="s">
        <v>2392</v>
      </c>
      <c r="E4644" s="0" t="s">
        <v>768</v>
      </c>
      <c r="F4644" s="0" t="s">
        <v>2393</v>
      </c>
    </row>
    <row r="4645" customFormat="false" ht="12.8" hidden="false" customHeight="false" outlineLevel="0" collapsed="false">
      <c r="B4645" s="0" t="s">
        <v>8</v>
      </c>
      <c r="C4645" s="0" t="s">
        <v>2394</v>
      </c>
      <c r="E4645" s="0" t="s">
        <v>771</v>
      </c>
      <c r="F4645" s="0" t="s">
        <v>2395</v>
      </c>
    </row>
    <row r="4647" customFormat="false" ht="12.8" hidden="false" customHeight="false" outlineLevel="0" collapsed="false">
      <c r="A4647" s="0" t="s">
        <v>2640</v>
      </c>
      <c r="B4647" s="0" t="str">
        <f aca="false">HYPERLINK("https://lindat.mff.cuni.cz/services/teitok/pdtc10/index.php?action=vallex&amp;frame=v-w678f1", "dopracovat se (v-w678f1)")</f>
        <v>dopracovat se (v-w678f1)</v>
      </c>
    </row>
    <row r="4648" customFormat="false" ht="12.8" hidden="false" customHeight="false" outlineLevel="0" collapsed="false">
      <c r="B4648" s="0" t="s">
        <v>1</v>
      </c>
    </row>
    <row r="4649" customFormat="false" ht="12.8" hidden="false" customHeight="false" outlineLevel="0" collapsed="false">
      <c r="B4649" s="0" t="s">
        <v>2636</v>
      </c>
    </row>
    <row r="4651" customFormat="false" ht="12.8" hidden="false" customHeight="false" outlineLevel="0" collapsed="false">
      <c r="A4651" s="0" t="s">
        <v>2641</v>
      </c>
      <c r="B4651" s="0" t="str">
        <f aca="false">HYPERLINK("https://lindat.mff.cuni.cz/services/teitok/pdtc10/index.php?action=vallex&amp;frame=v-w680f2", "dopravit (v-w680f2)")</f>
        <v>dopravit (v-w680f2)</v>
      </c>
    </row>
    <row r="4652" customFormat="false" ht="12.8" hidden="false" customHeight="false" outlineLevel="0" collapsed="false">
      <c r="B4652" s="0" t="s">
        <v>1</v>
      </c>
    </row>
    <row r="4653" customFormat="false" ht="12.8" hidden="false" customHeight="false" outlineLevel="0" collapsed="false">
      <c r="B4653" s="0" t="s">
        <v>8</v>
      </c>
    </row>
    <row r="4654" customFormat="false" ht="12.8" hidden="false" customHeight="false" outlineLevel="0" collapsed="false">
      <c r="B4654" s="0" t="s">
        <v>52</v>
      </c>
    </row>
    <row r="4656" customFormat="false" ht="12.8" hidden="false" customHeight="false" outlineLevel="0" collapsed="false">
      <c r="A4656" s="0" t="s">
        <v>2642</v>
      </c>
      <c r="B4656" s="0" t="str">
        <f aca="false">HYPERLINK("https://lindat.mff.cuni.cz/services/teitok/pdtc10/index.php?action=vallex&amp;frame=v-w680f3_ZU", "dopravit (v-w680f3_ZU)")</f>
        <v>dopravit (v-w680f3_ZU)</v>
      </c>
    </row>
    <row r="4657" customFormat="false" ht="12.8" hidden="false" customHeight="false" outlineLevel="0" collapsed="false">
      <c r="B4657" s="0" t="s">
        <v>1</v>
      </c>
    </row>
    <row r="4658" customFormat="false" ht="12.8" hidden="false" customHeight="false" outlineLevel="0" collapsed="false">
      <c r="B4658" s="0" t="s">
        <v>8</v>
      </c>
    </row>
    <row r="4659" customFormat="false" ht="12.8" hidden="false" customHeight="false" outlineLevel="0" collapsed="false">
      <c r="B4659" s="0" t="s">
        <v>164</v>
      </c>
    </row>
    <row r="4661" customFormat="false" ht="12.8" hidden="false" customHeight="false" outlineLevel="0" collapsed="false">
      <c r="A4661" s="0" t="s">
        <v>2642</v>
      </c>
      <c r="B4661" s="0" t="str">
        <f aca="false">HYPERLINK("https://lindat.mff.cuni.cz/services/teitok/pdtc10/index.php?action=vallex&amp;frame=v-w680f1", "dopravit (v-w680f1) - substituted with v-w680f3_ZU")</f>
        <v>dopravit (v-w680f1) - substituted with v-w680f3_ZU</v>
      </c>
      <c r="E4661" s="0" t="str">
        <f aca="false">HYPERLINK("https://lindat.mff.cuni.cz/services/SynSemClass40/SynSemClass40.html?veclass=vec00209#vec00209-ces-cm00008", "vec00209")</f>
        <v>vec00209</v>
      </c>
      <c r="F4661" s="0" t="s">
        <v>2040</v>
      </c>
      <c r="H4661" s="0" t="str">
        <f aca="false">HYPERLINK("https://lindat.mff.cuni.cz/services/SynSemClass40/SynSemClass40.html?veclass=vec01377#vec01377-ces-cm00011", "vec01377")</f>
        <v>vec01377</v>
      </c>
      <c r="I4661" s="0" t="s">
        <v>2643</v>
      </c>
    </row>
    <row r="4662" customFormat="false" ht="12.8" hidden="false" customHeight="false" outlineLevel="0" collapsed="false">
      <c r="B4662" s="0" t="s">
        <v>1</v>
      </c>
      <c r="C4662" s="0" t="s">
        <v>2644</v>
      </c>
      <c r="E4662" s="0" t="s">
        <v>1784</v>
      </c>
      <c r="F4662" s="0" t="s">
        <v>2042</v>
      </c>
      <c r="H4662" s="0" t="s">
        <v>2645</v>
      </c>
      <c r="I4662" s="0" t="s">
        <v>2646</v>
      </c>
    </row>
    <row r="4663" customFormat="false" ht="12.8" hidden="false" customHeight="false" outlineLevel="0" collapsed="false">
      <c r="B4663" s="0" t="s">
        <v>8</v>
      </c>
      <c r="C4663" s="0" t="s">
        <v>2647</v>
      </c>
      <c r="E4663" s="0" t="s">
        <v>1787</v>
      </c>
      <c r="F4663" s="0" t="s">
        <v>2044</v>
      </c>
      <c r="H4663" s="0" t="s">
        <v>2648</v>
      </c>
      <c r="I4663" s="0" t="s">
        <v>2649</v>
      </c>
    </row>
    <row r="4664" customFormat="false" ht="12.8" hidden="false" customHeight="false" outlineLevel="0" collapsed="false">
      <c r="B4664" s="0" t="s">
        <v>164</v>
      </c>
      <c r="C4664" s="0" t="s">
        <v>2650</v>
      </c>
      <c r="E4664" s="0" t="s">
        <v>2212</v>
      </c>
      <c r="F4664" s="0" t="s">
        <v>2651</v>
      </c>
      <c r="H4664" s="0" t="s">
        <v>370</v>
      </c>
      <c r="I4664" s="0" t="s">
        <v>2652</v>
      </c>
    </row>
    <row r="4666" customFormat="false" ht="12.8" hidden="false" customHeight="false" outlineLevel="0" collapsed="false">
      <c r="A4666" s="0" t="s">
        <v>2653</v>
      </c>
      <c r="B4666" s="0" t="str">
        <f aca="false">HYPERLINK("https://lindat.mff.cuni.cz/services/teitok/pdtc10/index.php?action=vallex&amp;frame=v-w681f1", "dopravovat (v-w681f1)")</f>
        <v>dopravovat (v-w681f1)</v>
      </c>
      <c r="E4666" s="0" t="str">
        <f aca="false">HYPERLINK("https://lindat.mff.cuni.cz/services/SynSemClass40/SynSemClass40.html?veclass=vec00209#vec00209-ces-cm00009", "vec00209")</f>
        <v>vec00209</v>
      </c>
      <c r="F4666" s="0" t="s">
        <v>2040</v>
      </c>
    </row>
    <row r="4667" customFormat="false" ht="12.8" hidden="false" customHeight="false" outlineLevel="0" collapsed="false">
      <c r="B4667" s="0" t="s">
        <v>1</v>
      </c>
      <c r="C4667" s="0" t="s">
        <v>2041</v>
      </c>
      <c r="E4667" s="0" t="s">
        <v>1784</v>
      </c>
      <c r="F4667" s="0" t="s">
        <v>2042</v>
      </c>
    </row>
    <row r="4668" customFormat="false" ht="12.8" hidden="false" customHeight="false" outlineLevel="0" collapsed="false">
      <c r="B4668" s="0" t="s">
        <v>8</v>
      </c>
      <c r="C4668" s="0" t="s">
        <v>2043</v>
      </c>
      <c r="E4668" s="0" t="s">
        <v>1787</v>
      </c>
      <c r="F4668" s="0" t="s">
        <v>2044</v>
      </c>
    </row>
    <row r="4669" customFormat="false" ht="12.8" hidden="false" customHeight="false" outlineLevel="0" collapsed="false">
      <c r="B4669" s="0" t="s">
        <v>164</v>
      </c>
      <c r="C4669" s="0" t="s">
        <v>2654</v>
      </c>
      <c r="E4669" s="0" t="s">
        <v>2212</v>
      </c>
      <c r="F4669" s="0" t="s">
        <v>2651</v>
      </c>
    </row>
    <row r="4671" customFormat="false" ht="12.8" hidden="false" customHeight="false" outlineLevel="0" collapsed="false">
      <c r="A4671" s="0" t="s">
        <v>2655</v>
      </c>
      <c r="B4671" s="0" t="str">
        <f aca="false">HYPERLINK("https://lindat.mff.cuni.cz/services/teitok/pdtc10/index.php?action=vallex&amp;frame=v-w683f1", "doprodat (v-w683f1)")</f>
        <v>doprodat (v-w683f1)</v>
      </c>
    </row>
    <row r="4672" customFormat="false" ht="12.8" hidden="false" customHeight="false" outlineLevel="0" collapsed="false">
      <c r="B4672" s="0" t="s">
        <v>1</v>
      </c>
    </row>
    <row r="4673" customFormat="false" ht="12.8" hidden="false" customHeight="false" outlineLevel="0" collapsed="false">
      <c r="B4673" s="0" t="s">
        <v>8</v>
      </c>
    </row>
    <row r="4674" customFormat="false" ht="12.8" hidden="false" customHeight="false" outlineLevel="0" collapsed="false">
      <c r="B4674" s="0" t="s">
        <v>52</v>
      </c>
    </row>
    <row r="4676" customFormat="false" ht="12.8" hidden="false" customHeight="false" outlineLevel="0" collapsed="false">
      <c r="A4676" s="0" t="s">
        <v>2656</v>
      </c>
      <c r="B4676" s="0" t="str">
        <f aca="false">HYPERLINK("https://lindat.mff.cuni.cz/services/teitok/pdtc10/index.php?action=vallex&amp;frame=v-w11509_ZUf1_ZU", "doprodávat (v-w11509_ZUf1_ZU)")</f>
        <v>doprodávat (v-w11509_ZUf1_ZU)</v>
      </c>
    </row>
    <row r="4677" customFormat="false" ht="12.8" hidden="false" customHeight="false" outlineLevel="0" collapsed="false">
      <c r="B4677" s="0" t="s">
        <v>1</v>
      </c>
    </row>
    <row r="4678" customFormat="false" ht="12.8" hidden="false" customHeight="false" outlineLevel="0" collapsed="false">
      <c r="B4678" s="0" t="s">
        <v>8</v>
      </c>
    </row>
    <row r="4679" customFormat="false" ht="12.8" hidden="false" customHeight="false" outlineLevel="0" collapsed="false">
      <c r="B4679" s="0" t="s">
        <v>52</v>
      </c>
    </row>
    <row r="4681" customFormat="false" ht="12.8" hidden="false" customHeight="false" outlineLevel="0" collapsed="false">
      <c r="A4681" s="0" t="s">
        <v>2657</v>
      </c>
      <c r="B4681" s="0" t="str">
        <f aca="false">HYPERLINK("https://lindat.mff.cuni.cz/services/teitok/pdtc10/index.php?action=vallex&amp;frame=v-w689f2", "doprovodit (v-w689f2)")</f>
        <v>doprovodit (v-w689f2)</v>
      </c>
    </row>
    <row r="4682" customFormat="false" ht="12.8" hidden="false" customHeight="false" outlineLevel="0" collapsed="false">
      <c r="B4682" s="0" t="s">
        <v>1</v>
      </c>
    </row>
    <row r="4683" customFormat="false" ht="12.8" hidden="false" customHeight="false" outlineLevel="0" collapsed="false">
      <c r="B4683" s="0" t="s">
        <v>8</v>
      </c>
    </row>
    <row r="4684" customFormat="false" ht="12.8" hidden="false" customHeight="false" outlineLevel="0" collapsed="false">
      <c r="B4684" s="0" t="s">
        <v>2413</v>
      </c>
    </row>
    <row r="4686" customFormat="false" ht="12.8" hidden="false" customHeight="false" outlineLevel="0" collapsed="false">
      <c r="A4686" s="0" t="s">
        <v>2658</v>
      </c>
      <c r="B4686" s="0" t="str">
        <f aca="false">HYPERLINK("https://lindat.mff.cuni.cz/services/teitok/pdtc10/index.php?action=vallex&amp;frame=v-w689f1", "doprovodit (v-w689f1)")</f>
        <v>doprovodit (v-w689f1)</v>
      </c>
      <c r="E4686" s="0" t="str">
        <f aca="false">HYPERLINK("https://lindat.mff.cuni.cz/services/SynSemClass40/SynSemClass40.html?veclass=vec01282#vec01282-ces-cm00018", "vec01282")</f>
        <v>vec01282</v>
      </c>
      <c r="F4686" s="0" t="s">
        <v>2659</v>
      </c>
      <c r="H4686" s="0" t="str">
        <f aca="false">HYPERLINK("https://lindat.mff.cuni.cz/services/SynSemClass40/SynSemClass40.html?veclass=vec01394#vec01394-ces-cm00003", "vec01394")</f>
        <v>vec01394</v>
      </c>
      <c r="I4686" s="0" t="s">
        <v>2660</v>
      </c>
    </row>
    <row r="4687" customFormat="false" ht="12.8" hidden="false" customHeight="false" outlineLevel="0" collapsed="false">
      <c r="B4687" s="0" t="s">
        <v>1</v>
      </c>
      <c r="C4687" s="0" t="s">
        <v>2661</v>
      </c>
      <c r="E4687" s="0" t="s">
        <v>2241</v>
      </c>
      <c r="F4687" s="0" t="s">
        <v>2662</v>
      </c>
      <c r="H4687" s="0" t="s">
        <v>2241</v>
      </c>
      <c r="I4687" s="0" t="s">
        <v>2663</v>
      </c>
    </row>
    <row r="4688" customFormat="false" ht="12.8" hidden="false" customHeight="false" outlineLevel="0" collapsed="false">
      <c r="B4688" s="0" t="s">
        <v>8</v>
      </c>
      <c r="C4688" s="0" t="s">
        <v>2664</v>
      </c>
      <c r="E4688" s="0" t="s">
        <v>2665</v>
      </c>
      <c r="F4688" s="0" t="s">
        <v>2666</v>
      </c>
      <c r="H4688" s="0" t="s">
        <v>2665</v>
      </c>
      <c r="I4688" s="0" t="s">
        <v>2667</v>
      </c>
    </row>
    <row r="4690" customFormat="false" ht="12.8" hidden="false" customHeight="false" outlineLevel="0" collapsed="false">
      <c r="A4690" s="0" t="s">
        <v>2668</v>
      </c>
      <c r="B4690" s="0" t="str">
        <f aca="false">HYPERLINK("https://lindat.mff.cuni.cz/services/teitok/pdtc10/index.php?action=vallex&amp;frame=v-w689f3", "doprovodit (v-w689f3)")</f>
        <v>doprovodit (v-w689f3)</v>
      </c>
    </row>
    <row r="4691" customFormat="false" ht="12.8" hidden="false" customHeight="false" outlineLevel="0" collapsed="false">
      <c r="B4691" s="0" t="s">
        <v>1</v>
      </c>
    </row>
    <row r="4692" customFormat="false" ht="12.8" hidden="false" customHeight="false" outlineLevel="0" collapsed="false">
      <c r="B4692" s="0" t="s">
        <v>8</v>
      </c>
    </row>
    <row r="4694" customFormat="false" ht="12.8" hidden="false" customHeight="false" outlineLevel="0" collapsed="false">
      <c r="A4694" s="0" t="s">
        <v>2669</v>
      </c>
      <c r="B4694" s="0" t="str">
        <f aca="false">HYPERLINK("https://lindat.mff.cuni.cz/services/teitok/pdtc10/index.php?action=vallex&amp;frame=v-w687f3", "doprovázet (v-w687f3)")</f>
        <v>doprovázet (v-w687f3)</v>
      </c>
    </row>
    <row r="4695" customFormat="false" ht="12.8" hidden="false" customHeight="false" outlineLevel="0" collapsed="false">
      <c r="B4695" s="0" t="s">
        <v>1</v>
      </c>
    </row>
    <row r="4696" customFormat="false" ht="12.8" hidden="false" customHeight="false" outlineLevel="0" collapsed="false">
      <c r="B4696" s="0" t="s">
        <v>8</v>
      </c>
    </row>
    <row r="4697" customFormat="false" ht="12.8" hidden="false" customHeight="false" outlineLevel="0" collapsed="false">
      <c r="B4697" s="0" t="s">
        <v>2413</v>
      </c>
    </row>
    <row r="4699" customFormat="false" ht="12.8" hidden="false" customHeight="false" outlineLevel="0" collapsed="false">
      <c r="A4699" s="0" t="s">
        <v>2670</v>
      </c>
      <c r="B4699" s="0" t="str">
        <f aca="false">HYPERLINK("https://lindat.mff.cuni.cz/services/teitok/pdtc10/index.php?action=vallex&amp;frame=v-w687f1", "doprovázet (v-w687f1)")</f>
        <v>doprovázet (v-w687f1)</v>
      </c>
    </row>
    <row r="4700" customFormat="false" ht="12.8" hidden="false" customHeight="false" outlineLevel="0" collapsed="false">
      <c r="B4700" s="0" t="s">
        <v>1</v>
      </c>
    </row>
    <row r="4701" customFormat="false" ht="12.8" hidden="false" customHeight="false" outlineLevel="0" collapsed="false">
      <c r="B4701" s="0" t="s">
        <v>8</v>
      </c>
    </row>
    <row r="4703" customFormat="false" ht="12.8" hidden="false" customHeight="false" outlineLevel="0" collapsed="false">
      <c r="A4703" s="0" t="s">
        <v>2671</v>
      </c>
      <c r="B4703" s="0" t="str">
        <f aca="false">HYPERLINK("https://lindat.mff.cuni.cz/services/teitok/pdtc10/index.php?action=vallex&amp;frame=v-w687f2", "doprovázet (v-w687f2)")</f>
        <v>doprovázet (v-w687f2)</v>
      </c>
      <c r="E4703" s="0" t="str">
        <f aca="false">HYPERLINK("https://lindat.mff.cuni.cz/services/SynSemClass40/SynSemClass40.html?veclass=vec01282#vec01282-ces-cm00002", "vec01282")</f>
        <v>vec01282</v>
      </c>
      <c r="F4703" s="0" t="s">
        <v>2659</v>
      </c>
      <c r="H4703" s="0" t="str">
        <f aca="false">HYPERLINK("https://lindat.mff.cuni.cz/services/SynSemClass40/SynSemClass40.html?veclass=vec01394#vec01394-ces-cm00002", "vec01394")</f>
        <v>vec01394</v>
      </c>
      <c r="I4703" s="0" t="s">
        <v>2660</v>
      </c>
    </row>
    <row r="4704" customFormat="false" ht="12.8" hidden="false" customHeight="false" outlineLevel="0" collapsed="false">
      <c r="B4704" s="0" t="s">
        <v>1</v>
      </c>
      <c r="C4704" s="0" t="s">
        <v>2661</v>
      </c>
      <c r="E4704" s="0" t="s">
        <v>2241</v>
      </c>
      <c r="F4704" s="0" t="s">
        <v>2662</v>
      </c>
      <c r="H4704" s="0" t="s">
        <v>2241</v>
      </c>
      <c r="I4704" s="0" t="s">
        <v>2663</v>
      </c>
    </row>
    <row r="4705" customFormat="false" ht="12.8" hidden="false" customHeight="false" outlineLevel="0" collapsed="false">
      <c r="B4705" s="0" t="s">
        <v>8</v>
      </c>
      <c r="C4705" s="0" t="s">
        <v>2664</v>
      </c>
      <c r="E4705" s="0" t="s">
        <v>2665</v>
      </c>
      <c r="F4705" s="0" t="s">
        <v>2666</v>
      </c>
      <c r="H4705" s="0" t="s">
        <v>2665</v>
      </c>
      <c r="I4705" s="0" t="s">
        <v>2667</v>
      </c>
    </row>
    <row r="4707" customFormat="false" ht="12.8" hidden="false" customHeight="false" outlineLevel="0" collapsed="false">
      <c r="A4707" s="0" t="s">
        <v>2672</v>
      </c>
      <c r="B4707" s="0" t="str">
        <f aca="false">HYPERLINK("https://lindat.mff.cuni.cz/services/teitok/pdtc10/index.php?action=vallex&amp;frame=v-w687f5_ZU", "doprovázet (v-w687f5_ZU)")</f>
        <v>doprovázet (v-w687f5_ZU)</v>
      </c>
    </row>
    <row r="4708" customFormat="false" ht="12.8" hidden="false" customHeight="false" outlineLevel="0" collapsed="false">
      <c r="B4708" s="0" t="s">
        <v>1</v>
      </c>
    </row>
    <row r="4709" customFormat="false" ht="12.8" hidden="false" customHeight="false" outlineLevel="0" collapsed="false">
      <c r="B4709" s="0" t="s">
        <v>8</v>
      </c>
    </row>
    <row r="4711" customFormat="false" ht="12.8" hidden="false" customHeight="false" outlineLevel="0" collapsed="false">
      <c r="A4711" s="0" t="s">
        <v>2672</v>
      </c>
      <c r="B4711" s="0" t="str">
        <f aca="false">HYPERLINK("https://lindat.mff.cuni.cz/services/teitok/pdtc10/index.php?action=vallex&amp;frame=v-w687f4_ZU", "doprovázet (v-w687f4_ZU) - substituted with v-w687f5_ZU")</f>
        <v>doprovázet (v-w687f4_ZU) - substituted with v-w687f5_ZU</v>
      </c>
    </row>
    <row r="4712" customFormat="false" ht="12.8" hidden="false" customHeight="false" outlineLevel="0" collapsed="false">
      <c r="B4712" s="0" t="s">
        <v>1</v>
      </c>
    </row>
    <row r="4713" customFormat="false" ht="12.8" hidden="false" customHeight="false" outlineLevel="0" collapsed="false">
      <c r="B4713" s="0" t="s">
        <v>8</v>
      </c>
    </row>
    <row r="4715" customFormat="false" ht="12.8" hidden="false" customHeight="false" outlineLevel="0" collapsed="false">
      <c r="A4715" s="0" t="s">
        <v>2672</v>
      </c>
      <c r="B4715" s="0" t="str">
        <f aca="false">HYPERLINK("https://lindat.mff.cuni.cz/services/teitok/pdtc10/index.php?action=vallex&amp;frame=v-w687hsa_1228", "doprovázet (v-w687hsa_1228) - substituted with v-w687f5_ZU")</f>
        <v>doprovázet (v-w687hsa_1228) - substituted with v-w687f5_ZU</v>
      </c>
    </row>
    <row r="4716" customFormat="false" ht="12.8" hidden="false" customHeight="false" outlineLevel="0" collapsed="false">
      <c r="B4716" s="0" t="s">
        <v>1</v>
      </c>
    </row>
    <row r="4717" customFormat="false" ht="12.8" hidden="false" customHeight="false" outlineLevel="0" collapsed="false">
      <c r="B4717" s="0" t="s">
        <v>8</v>
      </c>
    </row>
    <row r="4719" customFormat="false" ht="12.8" hidden="false" customHeight="false" outlineLevel="0" collapsed="false">
      <c r="A4719" s="0" t="s">
        <v>2673</v>
      </c>
      <c r="B4719" s="0" t="str">
        <f aca="false">HYPERLINK("https://lindat.mff.cuni.cz/services/teitok/pdtc10/index.php?action=vallex&amp;frame=v-w692f1", "dopustit (v-w692f1)")</f>
        <v>dopustit (v-w692f1)</v>
      </c>
    </row>
    <row r="4720" customFormat="false" ht="12.8" hidden="false" customHeight="false" outlineLevel="0" collapsed="false">
      <c r="B4720" s="0" t="s">
        <v>1</v>
      </c>
    </row>
    <row r="4721" customFormat="false" ht="12.8" hidden="false" customHeight="false" outlineLevel="0" collapsed="false">
      <c r="B4721" s="0" t="s">
        <v>2674</v>
      </c>
    </row>
    <row r="4723" customFormat="false" ht="12.8" hidden="false" customHeight="false" outlineLevel="0" collapsed="false">
      <c r="A4723" s="0" t="s">
        <v>2675</v>
      </c>
      <c r="B4723" s="0" t="str">
        <f aca="false">HYPERLINK("https://lindat.mff.cuni.cz/services/teitok/pdtc10/index.php?action=vallex&amp;frame=v-w693f1", "dopustit se (v-w693f1)")</f>
        <v>dopustit se (v-w693f1)</v>
      </c>
      <c r="E4723" s="0" t="str">
        <f aca="false">HYPERLINK("https://lindat.mff.cuni.cz/services/SynSemClass40/SynSemClass40.html?veclass=vec00009#vec00009-ces-cm00001", "vec00009")</f>
        <v>vec00009</v>
      </c>
      <c r="F4723" s="0" t="s">
        <v>2625</v>
      </c>
    </row>
    <row r="4724" customFormat="false" ht="12.8" hidden="false" customHeight="false" outlineLevel="0" collapsed="false">
      <c r="B4724" s="0" t="s">
        <v>1</v>
      </c>
      <c r="C4724" s="0" t="s">
        <v>239</v>
      </c>
      <c r="E4724" s="0" t="s">
        <v>1573</v>
      </c>
      <c r="F4724" s="0" t="s">
        <v>2626</v>
      </c>
    </row>
    <row r="4725" customFormat="false" ht="12.8" hidden="false" customHeight="false" outlineLevel="0" collapsed="false">
      <c r="B4725" s="0" t="s">
        <v>1289</v>
      </c>
      <c r="C4725" s="0" t="s">
        <v>2627</v>
      </c>
      <c r="E4725" s="0" t="s">
        <v>2628</v>
      </c>
      <c r="F4725" s="0" t="s">
        <v>2629</v>
      </c>
    </row>
    <row r="4727" customFormat="false" ht="12.8" hidden="false" customHeight="false" outlineLevel="0" collapsed="false">
      <c r="A4727" s="0" t="s">
        <v>2676</v>
      </c>
      <c r="B4727" s="0" t="str">
        <f aca="false">HYPERLINK("https://lindat.mff.cuni.cz/services/teitok/pdtc10/index.php?action=vallex&amp;frame=v-w695f1", "doputovat (v-w695f1)")</f>
        <v>doputovat (v-w695f1)</v>
      </c>
    </row>
    <row r="4728" customFormat="false" ht="12.8" hidden="false" customHeight="false" outlineLevel="0" collapsed="false">
      <c r="B4728" s="0" t="s">
        <v>1</v>
      </c>
    </row>
    <row r="4729" customFormat="false" ht="12.8" hidden="false" customHeight="false" outlineLevel="0" collapsed="false">
      <c r="B4729" s="0" t="s">
        <v>164</v>
      </c>
    </row>
    <row r="4731" customFormat="false" ht="12.8" hidden="false" customHeight="false" outlineLevel="0" collapsed="false">
      <c r="A4731" s="0" t="s">
        <v>2677</v>
      </c>
      <c r="B4731" s="0" t="str">
        <f aca="false">HYPERLINK("https://lindat.mff.cuni.cz/services/teitok/pdtc10/index.php?action=vallex&amp;frame=v-w11851_ZUf1_ZU", "dopátrat se (v-w11851_ZUf1_ZU)")</f>
        <v>dopátrat se (v-w11851_ZUf1_ZU)</v>
      </c>
    </row>
    <row r="4732" customFormat="false" ht="12.8" hidden="false" customHeight="false" outlineLevel="0" collapsed="false">
      <c r="B4732" s="0" t="s">
        <v>1</v>
      </c>
    </row>
    <row r="4733" customFormat="false" ht="12.8" hidden="false" customHeight="false" outlineLevel="0" collapsed="false">
      <c r="B4733" s="0" t="s">
        <v>2678</v>
      </c>
    </row>
    <row r="4735" customFormat="false" ht="12.8" hidden="false" customHeight="false" outlineLevel="0" collapsed="false">
      <c r="A4735" s="0" t="s">
        <v>2679</v>
      </c>
      <c r="B4735" s="0" t="str">
        <f aca="false">HYPERLINK("https://lindat.mff.cuni.cz/services/teitok/pdtc10/index.php?action=vallex&amp;frame=v-w648f2", "dopéci (v-w648f2)")</f>
        <v>dopéci (v-w648f2)</v>
      </c>
    </row>
    <row r="4736" customFormat="false" ht="12.8" hidden="false" customHeight="false" outlineLevel="0" collapsed="false">
      <c r="B4736" s="0" t="s">
        <v>1</v>
      </c>
    </row>
    <row r="4737" customFormat="false" ht="12.8" hidden="false" customHeight="false" outlineLevel="0" collapsed="false">
      <c r="B4737" s="0" t="s">
        <v>8</v>
      </c>
    </row>
    <row r="4738" customFormat="false" ht="12.8" hidden="false" customHeight="false" outlineLevel="0" collapsed="false">
      <c r="B4738" s="0" t="s">
        <v>36</v>
      </c>
    </row>
    <row r="4740" customFormat="false" ht="12.8" hidden="false" customHeight="false" outlineLevel="0" collapsed="false">
      <c r="A4740" s="0" t="s">
        <v>2680</v>
      </c>
      <c r="B4740" s="0" t="str">
        <f aca="false">HYPERLINK("https://lindat.mff.cuni.cz/services/teitok/pdtc10/index.php?action=vallex&amp;frame=v-w648f1", "dopéci (v-w648f1)")</f>
        <v>dopéci (v-w648f1)</v>
      </c>
    </row>
    <row r="4741" customFormat="false" ht="12.8" hidden="false" customHeight="false" outlineLevel="0" collapsed="false">
      <c r="B4741" s="0" t="s">
        <v>1</v>
      </c>
    </row>
    <row r="4742" customFormat="false" ht="12.8" hidden="false" customHeight="false" outlineLevel="0" collapsed="false">
      <c r="B4742" s="0" t="s">
        <v>2681</v>
      </c>
    </row>
    <row r="4744" customFormat="false" ht="12.8" hidden="false" customHeight="false" outlineLevel="0" collapsed="false">
      <c r="A4744" s="0" t="s">
        <v>2682</v>
      </c>
      <c r="B4744" s="0" t="str">
        <f aca="false">HYPERLINK("https://lindat.mff.cuni.cz/services/teitok/pdtc10/index.php?action=vallex&amp;frame=v-w12247_ZUf1_ZU", "dopřipravit se (v-w12247_ZUf1_ZU)")</f>
        <v>dopřipravit se (v-w12247_ZUf1_ZU)</v>
      </c>
    </row>
    <row r="4745" customFormat="false" ht="12.8" hidden="false" customHeight="false" outlineLevel="0" collapsed="false">
      <c r="B4745" s="0" t="s">
        <v>1</v>
      </c>
    </row>
    <row r="4746" customFormat="false" ht="12.8" hidden="false" customHeight="false" outlineLevel="0" collapsed="false">
      <c r="B4746" s="0" t="s">
        <v>2683</v>
      </c>
    </row>
    <row r="4748" customFormat="false" ht="12.8" hidden="false" customHeight="false" outlineLevel="0" collapsed="false">
      <c r="A4748" s="0" t="s">
        <v>2684</v>
      </c>
      <c r="B4748" s="0" t="str">
        <f aca="false">HYPERLINK("https://lindat.mff.cuni.cz/services/teitok/pdtc10/index.php?action=vallex&amp;frame=v-w690f1", "dopřát (v-w690f1)")</f>
        <v>dopřát (v-w690f1)</v>
      </c>
    </row>
    <row r="4749" customFormat="false" ht="12.8" hidden="false" customHeight="false" outlineLevel="0" collapsed="false">
      <c r="B4749" s="0" t="s">
        <v>1</v>
      </c>
    </row>
    <row r="4750" customFormat="false" ht="12.8" hidden="false" customHeight="false" outlineLevel="0" collapsed="false">
      <c r="B4750" s="0" t="s">
        <v>402</v>
      </c>
    </row>
    <row r="4751" customFormat="false" ht="12.8" hidden="false" customHeight="false" outlineLevel="0" collapsed="false">
      <c r="B4751" s="0" t="s">
        <v>52</v>
      </c>
    </row>
    <row r="4753" customFormat="false" ht="12.8" hidden="false" customHeight="false" outlineLevel="0" collapsed="false">
      <c r="A4753" s="0" t="s">
        <v>2685</v>
      </c>
      <c r="B4753" s="0" t="str">
        <f aca="false">HYPERLINK("https://lindat.mff.cuni.cz/services/teitok/pdtc10/index.php?action=vallex&amp;frame=v-w691f1", "dopřát si (v-w691f1)")</f>
        <v>dopřát si (v-w691f1)</v>
      </c>
    </row>
    <row r="4754" customFormat="false" ht="12.8" hidden="false" customHeight="false" outlineLevel="0" collapsed="false">
      <c r="B4754" s="0" t="s">
        <v>1</v>
      </c>
    </row>
    <row r="4755" customFormat="false" ht="12.8" hidden="false" customHeight="false" outlineLevel="0" collapsed="false">
      <c r="B4755" s="0" t="s">
        <v>2686</v>
      </c>
    </row>
    <row r="4757" customFormat="false" ht="12.8" hidden="false" customHeight="false" outlineLevel="0" collapsed="false">
      <c r="A4757" s="0" t="s">
        <v>2687</v>
      </c>
      <c r="B4757" s="0" t="str">
        <f aca="false">HYPERLINK("https://lindat.mff.cuni.cz/services/teitok/pdtc10/index.php?action=vallex&amp;frame=v-w12273_ZUf1_ZU", "dopřávat (v-w12273_ZUf1_ZU)")</f>
        <v>dopřávat (v-w12273_ZUf1_ZU)</v>
      </c>
    </row>
    <row r="4758" customFormat="false" ht="12.8" hidden="false" customHeight="false" outlineLevel="0" collapsed="false">
      <c r="B4758" s="0" t="s">
        <v>1</v>
      </c>
    </row>
    <row r="4759" customFormat="false" ht="12.8" hidden="false" customHeight="false" outlineLevel="0" collapsed="false">
      <c r="B4759" s="0" t="s">
        <v>52</v>
      </c>
    </row>
    <row r="4760" customFormat="false" ht="12.8" hidden="false" customHeight="false" outlineLevel="0" collapsed="false">
      <c r="B4760" s="0" t="s">
        <v>8</v>
      </c>
    </row>
    <row r="4762" customFormat="false" ht="12.8" hidden="false" customHeight="false" outlineLevel="0" collapsed="false">
      <c r="A4762" s="0" t="s">
        <v>2688</v>
      </c>
      <c r="B4762" s="0" t="str">
        <f aca="false">HYPERLINK("https://lindat.mff.cuni.cz/services/teitok/pdtc10/index.php?action=vallex&amp;frame=v-w11292f1", "dopřávat si (v-w11292f1)")</f>
        <v>dopřávat si (v-w11292f1)</v>
      </c>
      <c r="E4762" s="0" t="str">
        <f aca="false">HYPERLINK("https://lindat.mff.cuni.cz/services/SynSemClass40/SynSemClass40.html?veclass=vec00742#vec00742-ces-cm00023", "vec00742")</f>
        <v>vec00742</v>
      </c>
      <c r="F4762" s="0" t="s">
        <v>2689</v>
      </c>
    </row>
    <row r="4763" customFormat="false" ht="12.8" hidden="false" customHeight="false" outlineLevel="0" collapsed="false">
      <c r="B4763" s="0" t="s">
        <v>1</v>
      </c>
      <c r="C4763" s="0" t="s">
        <v>2690</v>
      </c>
      <c r="E4763" s="0" t="s">
        <v>266</v>
      </c>
      <c r="F4763" s="0" t="s">
        <v>2691</v>
      </c>
    </row>
    <row r="4764" customFormat="false" ht="12.8" hidden="false" customHeight="false" outlineLevel="0" collapsed="false">
      <c r="B4764" s="0" t="s">
        <v>2686</v>
      </c>
      <c r="C4764" s="0" t="s">
        <v>2692</v>
      </c>
      <c r="E4764" s="0" t="s">
        <v>271</v>
      </c>
      <c r="F4764" s="0" t="s">
        <v>2693</v>
      </c>
    </row>
    <row r="4766" customFormat="false" ht="12.8" hidden="false" customHeight="false" outlineLevel="0" collapsed="false">
      <c r="A4766" s="0" t="s">
        <v>2694</v>
      </c>
      <c r="B4766" s="0" t="str">
        <f aca="false">HYPERLINK("https://lindat.mff.cuni.cz/services/teitok/pdtc10/index.php?action=vallex&amp;frame=v-w696f2", "dorazit (v-w696f2)")</f>
        <v>dorazit (v-w696f2)</v>
      </c>
    </row>
    <row r="4767" customFormat="false" ht="12.8" hidden="false" customHeight="false" outlineLevel="0" collapsed="false">
      <c r="B4767" s="0" t="s">
        <v>1</v>
      </c>
    </row>
    <row r="4768" customFormat="false" ht="12.8" hidden="false" customHeight="false" outlineLevel="0" collapsed="false">
      <c r="B4768" s="0" t="s">
        <v>8</v>
      </c>
    </row>
    <row r="4769" customFormat="false" ht="12.8" hidden="false" customHeight="false" outlineLevel="0" collapsed="false">
      <c r="B4769" s="0" t="s">
        <v>164</v>
      </c>
    </row>
    <row r="4771" customFormat="false" ht="12.8" hidden="false" customHeight="false" outlineLevel="0" collapsed="false">
      <c r="A4771" s="0" t="s">
        <v>2695</v>
      </c>
      <c r="B4771" s="0" t="str">
        <f aca="false">HYPERLINK("https://lindat.mff.cuni.cz/services/teitok/pdtc10/index.php?action=vallex&amp;frame=v-w696f3", "dorazit (v-w696f3)")</f>
        <v>dorazit (v-w696f3)</v>
      </c>
    </row>
    <row r="4772" customFormat="false" ht="12.8" hidden="false" customHeight="false" outlineLevel="0" collapsed="false">
      <c r="B4772" s="0" t="s">
        <v>1</v>
      </c>
    </row>
    <row r="4773" customFormat="false" ht="12.8" hidden="false" customHeight="false" outlineLevel="0" collapsed="false">
      <c r="B4773" s="0" t="s">
        <v>8</v>
      </c>
    </row>
    <row r="4775" customFormat="false" ht="12.8" hidden="false" customHeight="false" outlineLevel="0" collapsed="false">
      <c r="A4775" s="0" t="s">
        <v>2696</v>
      </c>
      <c r="B4775" s="0" t="str">
        <f aca="false">HYPERLINK("https://lindat.mff.cuni.cz/services/teitok/pdtc10/index.php?action=vallex&amp;frame=v-w696f5", "dorazit (v-w696f5)")</f>
        <v>dorazit (v-w696f5)</v>
      </c>
    </row>
    <row r="4776" customFormat="false" ht="12.8" hidden="false" customHeight="false" outlineLevel="0" collapsed="false">
      <c r="B4776" s="0" t="s">
        <v>1</v>
      </c>
    </row>
    <row r="4777" customFormat="false" ht="12.8" hidden="false" customHeight="false" outlineLevel="0" collapsed="false">
      <c r="B4777" s="0" t="s">
        <v>8</v>
      </c>
    </row>
    <row r="4779" customFormat="false" ht="12.8" hidden="false" customHeight="false" outlineLevel="0" collapsed="false">
      <c r="A4779" s="0" t="s">
        <v>2697</v>
      </c>
      <c r="B4779" s="0" t="str">
        <f aca="false">HYPERLINK("https://lindat.mff.cuni.cz/services/teitok/pdtc10/index.php?action=vallex&amp;frame=v-w696f4", "dorazit (v-w696f4)")</f>
        <v>dorazit (v-w696f4)</v>
      </c>
    </row>
    <row r="4780" customFormat="false" ht="12.8" hidden="false" customHeight="false" outlineLevel="0" collapsed="false">
      <c r="B4780" s="0" t="s">
        <v>1</v>
      </c>
    </row>
    <row r="4781" customFormat="false" ht="12.8" hidden="false" customHeight="false" outlineLevel="0" collapsed="false">
      <c r="B4781" s="0" t="s">
        <v>8</v>
      </c>
    </row>
    <row r="4783" customFormat="false" ht="12.8" hidden="false" customHeight="false" outlineLevel="0" collapsed="false">
      <c r="A4783" s="0" t="s">
        <v>2698</v>
      </c>
      <c r="B4783" s="0" t="str">
        <f aca="false">HYPERLINK("https://lindat.mff.cuni.cz/services/teitok/pdtc10/index.php?action=vallex&amp;frame=v-w696f1", "dorazit (v-w696f1)")</f>
        <v>dorazit (v-w696f1)</v>
      </c>
      <c r="E4783" s="0" t="str">
        <f aca="false">HYPERLINK("https://lindat.mff.cuni.cz/services/SynSemClass40/SynSemClass40.html?veclass=vec00218#vec00218-ces-cm00013", "vec00218")</f>
        <v>vec00218</v>
      </c>
      <c r="F4783" s="0" t="s">
        <v>2143</v>
      </c>
    </row>
    <row r="4784" customFormat="false" ht="12.8" hidden="false" customHeight="false" outlineLevel="0" collapsed="false">
      <c r="B4784" s="0" t="s">
        <v>1</v>
      </c>
      <c r="C4784" s="0" t="s">
        <v>2144</v>
      </c>
      <c r="E4784" s="0" t="s">
        <v>11</v>
      </c>
      <c r="F4784" s="0" t="s">
        <v>2145</v>
      </c>
    </row>
    <row r="4785" customFormat="false" ht="12.8" hidden="false" customHeight="false" outlineLevel="0" collapsed="false">
      <c r="B4785" s="0" t="s">
        <v>164</v>
      </c>
      <c r="C4785" s="0" t="s">
        <v>2146</v>
      </c>
      <c r="E4785" s="0" t="s">
        <v>370</v>
      </c>
      <c r="F4785" s="0" t="s">
        <v>2147</v>
      </c>
    </row>
    <row r="4787" customFormat="false" ht="12.8" hidden="false" customHeight="false" outlineLevel="0" collapsed="false">
      <c r="A4787" s="0" t="s">
        <v>2699</v>
      </c>
      <c r="B4787" s="0" t="str">
        <f aca="false">HYPERLINK("https://lindat.mff.cuni.cz/services/teitok/pdtc10/index.php?action=vallex&amp;frame=v-w696hsa_673", "dorazit (v-w696hsa_673)")</f>
        <v>dorazit (v-w696hsa_673)</v>
      </c>
    </row>
    <row r="4788" customFormat="false" ht="12.8" hidden="false" customHeight="false" outlineLevel="0" collapsed="false">
      <c r="B4788" s="0" t="s">
        <v>843</v>
      </c>
    </row>
    <row r="4789" customFormat="false" ht="12.8" hidden="false" customHeight="false" outlineLevel="0" collapsed="false">
      <c r="B4789" s="0" t="s">
        <v>164</v>
      </c>
    </row>
    <row r="4791" customFormat="false" ht="12.8" hidden="false" customHeight="false" outlineLevel="0" collapsed="false">
      <c r="A4791" s="0" t="s">
        <v>2700</v>
      </c>
      <c r="B4791" s="0" t="str">
        <f aca="false">HYPERLINK("https://lindat.mff.cuni.cz/services/teitok/pdtc10/index.php?action=vallex&amp;frame=v-w699f1", "dorovnat (v-w699f1)")</f>
        <v>dorovnat (v-w699f1)</v>
      </c>
      <c r="E4791" s="0" t="str">
        <f aca="false">HYPERLINK("https://lindat.mff.cuni.cz/services/SynSemClass40/SynSemClass40.html?veclass=vec00125#vec00125-ces-cm00197", "vec00125")</f>
        <v>vec00125</v>
      </c>
      <c r="F4791" s="0" t="s">
        <v>2552</v>
      </c>
    </row>
    <row r="4792" customFormat="false" ht="12.8" hidden="false" customHeight="false" outlineLevel="0" collapsed="false">
      <c r="B4792" s="0" t="s">
        <v>1</v>
      </c>
      <c r="C4792" s="0" t="s">
        <v>2553</v>
      </c>
      <c r="E4792" s="0" t="s">
        <v>2554</v>
      </c>
      <c r="F4792" s="0" t="s">
        <v>2555</v>
      </c>
    </row>
    <row r="4793" customFormat="false" ht="12.8" hidden="false" customHeight="false" outlineLevel="0" collapsed="false">
      <c r="B4793" s="0" t="s">
        <v>8</v>
      </c>
      <c r="C4793" s="0" t="s">
        <v>2556</v>
      </c>
      <c r="E4793" s="0" t="s">
        <v>2557</v>
      </c>
      <c r="F4793" s="0" t="s">
        <v>2558</v>
      </c>
    </row>
    <row r="4794" customFormat="false" ht="12.8" hidden="false" customHeight="false" outlineLevel="0" collapsed="false">
      <c r="B4794" s="0" t="s">
        <v>132</v>
      </c>
      <c r="C4794" s="0" t="s">
        <v>2559</v>
      </c>
      <c r="E4794" s="0" t="s">
        <v>2560</v>
      </c>
      <c r="F4794" s="0" t="s">
        <v>2561</v>
      </c>
    </row>
    <row r="4795" customFormat="false" ht="12.8" hidden="false" customHeight="false" outlineLevel="0" collapsed="false">
      <c r="B4795" s="0" t="s">
        <v>723</v>
      </c>
    </row>
    <row r="4797" customFormat="false" ht="12.8" hidden="false" customHeight="false" outlineLevel="0" collapsed="false">
      <c r="A4797" s="0" t="s">
        <v>2701</v>
      </c>
      <c r="B4797" s="0" t="str">
        <f aca="false">HYPERLINK("https://lindat.mff.cuni.cz/services/teitok/pdtc10/index.php?action=vallex&amp;frame=v-w701f1", "dorozumívat se (v-w701f1)")</f>
        <v>dorozumívat se (v-w701f1)</v>
      </c>
    </row>
    <row r="4798" customFormat="false" ht="12.8" hidden="false" customHeight="false" outlineLevel="0" collapsed="false">
      <c r="B4798" s="0" t="s">
        <v>1</v>
      </c>
    </row>
    <row r="4799" customFormat="false" ht="12.8" hidden="false" customHeight="false" outlineLevel="0" collapsed="false">
      <c r="B4799" s="0" t="s">
        <v>2702</v>
      </c>
    </row>
    <row r="4800" customFormat="false" ht="12.8" hidden="false" customHeight="false" outlineLevel="0" collapsed="false">
      <c r="B4800" s="0" t="s">
        <v>276</v>
      </c>
    </row>
    <row r="4802" customFormat="false" ht="12.8" hidden="false" customHeight="false" outlineLevel="0" collapsed="false">
      <c r="A4802" s="0" t="s">
        <v>2703</v>
      </c>
      <c r="B4802" s="0" t="str">
        <f aca="false">HYPERLINK("https://lindat.mff.cuni.cz/services/teitok/pdtc10/index.php?action=vallex&amp;frame=v-w700f2", "dorozumět se (v-w700f2)")</f>
        <v>dorozumět se (v-w700f2)</v>
      </c>
    </row>
    <row r="4803" customFormat="false" ht="12.8" hidden="false" customHeight="false" outlineLevel="0" collapsed="false">
      <c r="B4803" s="0" t="s">
        <v>1</v>
      </c>
    </row>
    <row r="4804" customFormat="false" ht="12.8" hidden="false" customHeight="false" outlineLevel="0" collapsed="false">
      <c r="B4804" s="0" t="s">
        <v>2702</v>
      </c>
    </row>
    <row r="4805" customFormat="false" ht="12.8" hidden="false" customHeight="false" outlineLevel="0" collapsed="false">
      <c r="B4805" s="0" t="s">
        <v>276</v>
      </c>
    </row>
    <row r="4807" customFormat="false" ht="12.8" hidden="false" customHeight="false" outlineLevel="0" collapsed="false">
      <c r="A4807" s="0" t="s">
        <v>2704</v>
      </c>
      <c r="B4807" s="0" t="str">
        <f aca="false">HYPERLINK("https://lindat.mff.cuni.cz/services/teitok/pdtc10/index.php?action=vallex&amp;frame=v-w700f1", "dorozumět se (v-w700f1)")</f>
        <v>dorozumět se (v-w700f1)</v>
      </c>
    </row>
    <row r="4808" customFormat="false" ht="12.8" hidden="false" customHeight="false" outlineLevel="0" collapsed="false">
      <c r="B4808" s="0" t="s">
        <v>1</v>
      </c>
    </row>
    <row r="4809" customFormat="false" ht="12.8" hidden="false" customHeight="false" outlineLevel="0" collapsed="false">
      <c r="B4809" s="0" t="s">
        <v>721</v>
      </c>
    </row>
    <row r="4811" customFormat="false" ht="12.8" hidden="false" customHeight="false" outlineLevel="0" collapsed="false">
      <c r="A4811" s="0" t="s">
        <v>2705</v>
      </c>
      <c r="B4811" s="0" t="str">
        <f aca="false">HYPERLINK("https://lindat.mff.cuni.cz/services/teitok/pdtc10/index.php?action=vallex&amp;frame=v-w703f1", "doručit (v-w703f1)")</f>
        <v>doručit (v-w703f1)</v>
      </c>
      <c r="E4811" s="0" t="str">
        <f aca="false">HYPERLINK("https://lindat.mff.cuni.cz/services/SynSemClass40/SynSemClass40.html?veclass=vec00011#vec00011-ces-cm00064", "vec00011")</f>
        <v>vec00011</v>
      </c>
      <c r="F4811" s="0" t="s">
        <v>2193</v>
      </c>
    </row>
    <row r="4812" customFormat="false" ht="12.8" hidden="false" customHeight="false" outlineLevel="0" collapsed="false">
      <c r="B4812" s="0" t="s">
        <v>1</v>
      </c>
      <c r="C4812" s="0" t="s">
        <v>2209</v>
      </c>
      <c r="E4812" s="0" t="s">
        <v>2196</v>
      </c>
      <c r="F4812" s="0" t="s">
        <v>2197</v>
      </c>
    </row>
    <row r="4813" customFormat="false" ht="12.8" hidden="false" customHeight="false" outlineLevel="0" collapsed="false">
      <c r="B4813" s="0" t="s">
        <v>8</v>
      </c>
      <c r="C4813" s="0" t="s">
        <v>2210</v>
      </c>
      <c r="E4813" s="0" t="s">
        <v>2200</v>
      </c>
      <c r="F4813" s="0" t="s">
        <v>2201</v>
      </c>
    </row>
    <row r="4814" customFormat="false" ht="12.8" hidden="false" customHeight="false" outlineLevel="0" collapsed="false">
      <c r="B4814" s="0" t="s">
        <v>52</v>
      </c>
      <c r="C4814" s="0" t="s">
        <v>2511</v>
      </c>
      <c r="E4814" s="0" t="s">
        <v>53</v>
      </c>
      <c r="F4814" s="0" t="s">
        <v>2204</v>
      </c>
    </row>
    <row r="4816" customFormat="false" ht="12.8" hidden="false" customHeight="false" outlineLevel="0" collapsed="false">
      <c r="A4816" s="0" t="s">
        <v>2706</v>
      </c>
      <c r="B4816" s="0" t="str">
        <f aca="false">HYPERLINK("https://lindat.mff.cuni.cz/services/teitok/pdtc10/index.php?action=vallex&amp;frame=v-w703f2", "doručit (v-w703f2)")</f>
        <v>doručit (v-w703f2)</v>
      </c>
      <c r="E4816" s="0" t="str">
        <f aca="false">HYPERLINK("https://lindat.mff.cuni.cz/services/SynSemClass40/SynSemClass40.html?veclass=vec00011#vec00011-ces-cm00005", "vec00011")</f>
        <v>vec00011</v>
      </c>
      <c r="F4816" s="0" t="s">
        <v>2193</v>
      </c>
      <c r="H4816" s="0" t="str">
        <f aca="false">HYPERLINK("https://lindat.mff.cuni.cz/services/SynSemClass40/SynSemClass40.html?veclass=vec01377#vec01377-ces-cm00012", "vec01377")</f>
        <v>vec01377</v>
      </c>
      <c r="I4816" s="0" t="s">
        <v>2643</v>
      </c>
    </row>
    <row r="4817" customFormat="false" ht="12.8" hidden="false" customHeight="false" outlineLevel="0" collapsed="false">
      <c r="B4817" s="0" t="s">
        <v>1</v>
      </c>
      <c r="C4817" s="0" t="s">
        <v>2707</v>
      </c>
      <c r="E4817" s="0" t="s">
        <v>2196</v>
      </c>
      <c r="F4817" s="0" t="s">
        <v>2197</v>
      </c>
      <c r="H4817" s="0" t="s">
        <v>2645</v>
      </c>
      <c r="I4817" s="0" t="s">
        <v>2646</v>
      </c>
    </row>
    <row r="4818" customFormat="false" ht="12.8" hidden="false" customHeight="false" outlineLevel="0" collapsed="false">
      <c r="B4818" s="0" t="s">
        <v>8</v>
      </c>
      <c r="C4818" s="0" t="s">
        <v>2708</v>
      </c>
      <c r="E4818" s="0" t="s">
        <v>2200</v>
      </c>
      <c r="F4818" s="0" t="s">
        <v>2201</v>
      </c>
      <c r="H4818" s="0" t="s">
        <v>2648</v>
      </c>
      <c r="I4818" s="0" t="s">
        <v>2649</v>
      </c>
    </row>
    <row r="4819" customFormat="false" ht="12.8" hidden="false" customHeight="false" outlineLevel="0" collapsed="false">
      <c r="B4819" s="0" t="s">
        <v>164</v>
      </c>
      <c r="C4819" s="0" t="s">
        <v>2709</v>
      </c>
      <c r="E4819" s="0" t="s">
        <v>2212</v>
      </c>
      <c r="F4819" s="0" t="s">
        <v>2213</v>
      </c>
      <c r="H4819" s="0" t="s">
        <v>370</v>
      </c>
      <c r="I4819" s="0" t="s">
        <v>2652</v>
      </c>
    </row>
    <row r="4821" customFormat="false" ht="12.8" hidden="false" customHeight="false" outlineLevel="0" collapsed="false">
      <c r="A4821" s="0" t="s">
        <v>2710</v>
      </c>
      <c r="B4821" s="0" t="str">
        <f aca="false">HYPERLINK("https://lindat.mff.cuni.cz/services/teitok/pdtc10/index.php?action=vallex&amp;frame=v-w705f1", "doručovat (v-w705f1)")</f>
        <v>doručovat (v-w705f1)</v>
      </c>
      <c r="E4821" s="0" t="str">
        <f aca="false">HYPERLINK("https://lindat.mff.cuni.cz/services/SynSemClass40/SynSemClass40.html?veclass=vec00011#vec00011-ces-cm00065", "vec00011")</f>
        <v>vec00011</v>
      </c>
      <c r="F4821" s="0" t="s">
        <v>2193</v>
      </c>
    </row>
    <row r="4822" customFormat="false" ht="12.8" hidden="false" customHeight="false" outlineLevel="0" collapsed="false">
      <c r="B4822" s="0" t="s">
        <v>1</v>
      </c>
      <c r="C4822" s="0" t="s">
        <v>2209</v>
      </c>
      <c r="E4822" s="0" t="s">
        <v>2196</v>
      </c>
      <c r="F4822" s="0" t="s">
        <v>2197</v>
      </c>
    </row>
    <row r="4823" customFormat="false" ht="12.8" hidden="false" customHeight="false" outlineLevel="0" collapsed="false">
      <c r="B4823" s="0" t="s">
        <v>8</v>
      </c>
      <c r="C4823" s="0" t="s">
        <v>2210</v>
      </c>
      <c r="E4823" s="0" t="s">
        <v>2200</v>
      </c>
      <c r="F4823" s="0" t="s">
        <v>2201</v>
      </c>
    </row>
    <row r="4824" customFormat="false" ht="12.8" hidden="false" customHeight="false" outlineLevel="0" collapsed="false">
      <c r="B4824" s="0" t="s">
        <v>52</v>
      </c>
      <c r="C4824" s="0" t="s">
        <v>2511</v>
      </c>
      <c r="E4824" s="0" t="s">
        <v>53</v>
      </c>
      <c r="F4824" s="0" t="s">
        <v>2204</v>
      </c>
    </row>
    <row r="4826" customFormat="false" ht="12.8" hidden="false" customHeight="false" outlineLevel="0" collapsed="false">
      <c r="A4826" s="0" t="s">
        <v>2711</v>
      </c>
      <c r="B4826" s="0" t="str">
        <f aca="false">HYPERLINK("https://lindat.mff.cuni.cz/services/teitok/pdtc10/index.php?action=vallex&amp;frame=v-w705f2", "doručovat (v-w705f2)")</f>
        <v>doručovat (v-w705f2)</v>
      </c>
      <c r="E4826" s="0" t="str">
        <f aca="false">HYPERLINK("https://lindat.mff.cuni.cz/services/SynSemClass40/SynSemClass40.html?veclass=vec00011#vec00011-ces-cm00013", "vec00011")</f>
        <v>vec00011</v>
      </c>
      <c r="F4826" s="0" t="s">
        <v>2193</v>
      </c>
    </row>
    <row r="4827" customFormat="false" ht="12.8" hidden="false" customHeight="false" outlineLevel="0" collapsed="false">
      <c r="B4827" s="0" t="s">
        <v>1</v>
      </c>
      <c r="C4827" s="0" t="s">
        <v>2209</v>
      </c>
      <c r="E4827" s="0" t="s">
        <v>2196</v>
      </c>
      <c r="F4827" s="0" t="s">
        <v>2197</v>
      </c>
    </row>
    <row r="4828" customFormat="false" ht="12.8" hidden="false" customHeight="false" outlineLevel="0" collapsed="false">
      <c r="B4828" s="0" t="s">
        <v>8</v>
      </c>
      <c r="C4828" s="0" t="s">
        <v>2210</v>
      </c>
      <c r="E4828" s="0" t="s">
        <v>2200</v>
      </c>
      <c r="F4828" s="0" t="s">
        <v>2201</v>
      </c>
    </row>
    <row r="4829" customFormat="false" ht="12.8" hidden="false" customHeight="false" outlineLevel="0" collapsed="false">
      <c r="B4829" s="0" t="s">
        <v>164</v>
      </c>
      <c r="C4829" s="0" t="s">
        <v>2211</v>
      </c>
      <c r="E4829" s="0" t="s">
        <v>2212</v>
      </c>
      <c r="F4829" s="0" t="s">
        <v>2213</v>
      </c>
    </row>
    <row r="4831" customFormat="false" ht="12.8" hidden="false" customHeight="false" outlineLevel="0" collapsed="false">
      <c r="A4831" s="0" t="s">
        <v>2712</v>
      </c>
      <c r="B4831" s="0" t="str">
        <f aca="false">HYPERLINK("https://lindat.mff.cuni.cz/services/teitok/pdtc10/index.php?action=vallex&amp;frame=v-w697f2", "dorážet (v-w697f2)")</f>
        <v>dorážet (v-w697f2)</v>
      </c>
    </row>
    <row r="4832" customFormat="false" ht="12.8" hidden="false" customHeight="false" outlineLevel="0" collapsed="false">
      <c r="B4832" s="0" t="s">
        <v>1</v>
      </c>
    </row>
    <row r="4833" customFormat="false" ht="12.8" hidden="false" customHeight="false" outlineLevel="0" collapsed="false">
      <c r="B4833" s="0" t="s">
        <v>8</v>
      </c>
    </row>
    <row r="4835" customFormat="false" ht="12.8" hidden="false" customHeight="false" outlineLevel="0" collapsed="false">
      <c r="A4835" s="0" t="s">
        <v>2713</v>
      </c>
      <c r="B4835" s="0" t="str">
        <f aca="false">HYPERLINK("https://lindat.mff.cuni.cz/services/teitok/pdtc10/index.php?action=vallex&amp;frame=v-w697f1", "dorážet (v-w697f1)")</f>
        <v>dorážet (v-w697f1)</v>
      </c>
    </row>
    <row r="4836" customFormat="false" ht="12.8" hidden="false" customHeight="false" outlineLevel="0" collapsed="false">
      <c r="B4836" s="0" t="s">
        <v>1</v>
      </c>
    </row>
    <row r="4837" customFormat="false" ht="12.8" hidden="false" customHeight="false" outlineLevel="0" collapsed="false">
      <c r="B4837" s="0" t="s">
        <v>45</v>
      </c>
    </row>
    <row r="4839" customFormat="false" ht="12.8" hidden="false" customHeight="false" outlineLevel="0" collapsed="false">
      <c r="A4839" s="0" t="s">
        <v>2714</v>
      </c>
      <c r="B4839" s="0" t="str">
        <f aca="false">HYPERLINK("https://lindat.mff.cuni.cz/services/teitok/pdtc10/index.php?action=vallex&amp;frame=v-w707f4_ZU", "dorůst (v-w707f4_ZU)")</f>
        <v>dorůst (v-w707f4_ZU)</v>
      </c>
    </row>
    <row r="4840" customFormat="false" ht="12.8" hidden="false" customHeight="false" outlineLevel="0" collapsed="false">
      <c r="B4840" s="0" t="s">
        <v>1</v>
      </c>
    </row>
    <row r="4841" customFormat="false" ht="12.8" hidden="false" customHeight="false" outlineLevel="0" collapsed="false">
      <c r="B4841" s="0" t="s">
        <v>2715</v>
      </c>
    </row>
    <row r="4842" customFormat="false" ht="12.8" hidden="false" customHeight="false" outlineLevel="0" collapsed="false">
      <c r="B4842" s="0" t="s">
        <v>36</v>
      </c>
    </row>
    <row r="4844" customFormat="false" ht="12.8" hidden="false" customHeight="false" outlineLevel="0" collapsed="false">
      <c r="A4844" s="0" t="s">
        <v>2714</v>
      </c>
      <c r="B4844" s="0" t="str">
        <f aca="false">HYPERLINK("https://lindat.mff.cuni.cz/services/teitok/pdtc10/index.php?action=vallex&amp;frame=v-w707f2", "dorůst (v-w707f2) - substituted with v-w707f4_ZU")</f>
        <v>dorůst (v-w707f2) - substituted with v-w707f4_ZU</v>
      </c>
    </row>
    <row r="4845" customFormat="false" ht="12.8" hidden="false" customHeight="false" outlineLevel="0" collapsed="false">
      <c r="B4845" s="0" t="s">
        <v>1</v>
      </c>
    </row>
    <row r="4846" customFormat="false" ht="12.8" hidden="false" customHeight="false" outlineLevel="0" collapsed="false">
      <c r="B4846" s="0" t="s">
        <v>2715</v>
      </c>
    </row>
    <row r="4847" customFormat="false" ht="12.8" hidden="false" customHeight="false" outlineLevel="0" collapsed="false">
      <c r="B4847" s="0" t="s">
        <v>36</v>
      </c>
    </row>
    <row r="4849" customFormat="false" ht="12.8" hidden="false" customHeight="false" outlineLevel="0" collapsed="false">
      <c r="A4849" s="0" t="s">
        <v>2714</v>
      </c>
      <c r="B4849" s="0" t="str">
        <f aca="false">HYPERLINK("https://lindat.mff.cuni.cz/services/teitok/pdtc10/index.php?action=vallex&amp;frame=v-w707f3_ZU", "dorůst (v-w707f3_ZU) - substituted with v-w707f4_ZU")</f>
        <v>dorůst (v-w707f3_ZU) - substituted with v-w707f4_ZU</v>
      </c>
    </row>
    <row r="4850" customFormat="false" ht="12.8" hidden="false" customHeight="false" outlineLevel="0" collapsed="false">
      <c r="B4850" s="0" t="s">
        <v>1</v>
      </c>
    </row>
    <row r="4851" customFormat="false" ht="12.8" hidden="false" customHeight="false" outlineLevel="0" collapsed="false">
      <c r="B4851" s="0" t="s">
        <v>2715</v>
      </c>
    </row>
    <row r="4852" customFormat="false" ht="12.8" hidden="false" customHeight="false" outlineLevel="0" collapsed="false">
      <c r="B4852" s="0" t="s">
        <v>36</v>
      </c>
    </row>
    <row r="4854" customFormat="false" ht="12.8" hidden="false" customHeight="false" outlineLevel="0" collapsed="false">
      <c r="A4854" s="0" t="s">
        <v>2716</v>
      </c>
      <c r="B4854" s="0" t="str">
        <f aca="false">HYPERLINK("https://lindat.mff.cuni.cz/services/teitok/pdtc10/index.php?action=vallex&amp;frame=v-w707f1", "dorůst (v-w707f1)")</f>
        <v>dorůst (v-w707f1)</v>
      </c>
    </row>
    <row r="4855" customFormat="false" ht="12.8" hidden="false" customHeight="false" outlineLevel="0" collapsed="false">
      <c r="B4855" s="0" t="s">
        <v>1</v>
      </c>
    </row>
    <row r="4856" customFormat="false" ht="12.8" hidden="false" customHeight="false" outlineLevel="0" collapsed="false">
      <c r="B4856" s="0" t="s">
        <v>350</v>
      </c>
    </row>
    <row r="4858" customFormat="false" ht="12.8" hidden="false" customHeight="false" outlineLevel="0" collapsed="false">
      <c r="A4858" s="0" t="s">
        <v>2717</v>
      </c>
      <c r="B4858" s="0" t="str">
        <f aca="false">HYPERLINK("https://lindat.mff.cuni.cz/services/teitok/pdtc10/index.php?action=vallex&amp;frame=v-w708f1", "dorůstat (v-w708f1)")</f>
        <v>dorůstat (v-w708f1)</v>
      </c>
    </row>
    <row r="4859" customFormat="false" ht="12.8" hidden="false" customHeight="false" outlineLevel="0" collapsed="false">
      <c r="B4859" s="0" t="s">
        <v>1</v>
      </c>
    </row>
    <row r="4860" customFormat="false" ht="12.8" hidden="false" customHeight="false" outlineLevel="0" collapsed="false">
      <c r="B4860" s="0" t="s">
        <v>2715</v>
      </c>
    </row>
    <row r="4861" customFormat="false" ht="12.8" hidden="false" customHeight="false" outlineLevel="0" collapsed="false">
      <c r="B4861" s="0" t="s">
        <v>36</v>
      </c>
    </row>
    <row r="4863" customFormat="false" ht="12.8" hidden="false" customHeight="false" outlineLevel="0" collapsed="false">
      <c r="A4863" s="0" t="s">
        <v>2718</v>
      </c>
      <c r="B4863" s="0" t="str">
        <f aca="false">HYPERLINK("https://lindat.mff.cuni.cz/services/teitok/pdtc10/index.php?action=vallex&amp;frame=v-w712f1", "dosadit (v-w712f1)")</f>
        <v>dosadit (v-w712f1)</v>
      </c>
      <c r="E4863" s="0" t="str">
        <f aca="false">HYPERLINK("https://lindat.mff.cuni.cz/services/SynSemClass40/SynSemClass40.html?veclass=vec00735#vec00735-ces-cm00065", "vec00735")</f>
        <v>vec00735</v>
      </c>
      <c r="F4863" s="0" t="s">
        <v>2719</v>
      </c>
    </row>
    <row r="4864" customFormat="false" ht="12.8" hidden="false" customHeight="false" outlineLevel="0" collapsed="false">
      <c r="B4864" s="0" t="s">
        <v>1</v>
      </c>
      <c r="C4864" s="0" t="s">
        <v>2720</v>
      </c>
      <c r="E4864" s="0" t="s">
        <v>334</v>
      </c>
      <c r="F4864" s="0" t="s">
        <v>2721</v>
      </c>
    </row>
    <row r="4865" customFormat="false" ht="12.8" hidden="false" customHeight="false" outlineLevel="0" collapsed="false">
      <c r="B4865" s="0" t="s">
        <v>8</v>
      </c>
      <c r="C4865" s="0" t="s">
        <v>2722</v>
      </c>
      <c r="E4865" s="0" t="s">
        <v>2648</v>
      </c>
      <c r="F4865" s="0" t="s">
        <v>2723</v>
      </c>
    </row>
    <row r="4866" customFormat="false" ht="12.8" hidden="false" customHeight="false" outlineLevel="0" collapsed="false">
      <c r="B4866" s="0" t="s">
        <v>164</v>
      </c>
      <c r="C4866" s="0" t="s">
        <v>2724</v>
      </c>
      <c r="E4866" s="0" t="s">
        <v>370</v>
      </c>
      <c r="F4866" s="0" t="s">
        <v>2725</v>
      </c>
    </row>
    <row r="4868" customFormat="false" ht="12.8" hidden="false" customHeight="false" outlineLevel="0" collapsed="false">
      <c r="A4868" s="0" t="s">
        <v>2726</v>
      </c>
      <c r="B4868" s="0" t="str">
        <f aca="false">HYPERLINK("https://lindat.mff.cuni.cz/services/teitok/pdtc10/index.php?action=vallex&amp;frame=v-w716f4", "dosahovat (v-w716f4)")</f>
        <v>dosahovat (v-w716f4)</v>
      </c>
      <c r="E4868" s="0" t="str">
        <f aca="false">HYPERLINK("https://lindat.mff.cuni.cz/services/SynSemClass40/SynSemClass40.html?veclass=vec00189#vec00189-ces-cm00052", "vec00189")</f>
        <v>vec00189</v>
      </c>
      <c r="F4868" s="0" t="s">
        <v>2169</v>
      </c>
    </row>
    <row r="4869" customFormat="false" ht="12.8" hidden="false" customHeight="false" outlineLevel="0" collapsed="false">
      <c r="B4869" s="0" t="s">
        <v>1</v>
      </c>
      <c r="C4869" s="0" t="s">
        <v>2170</v>
      </c>
      <c r="E4869" s="0" t="s">
        <v>1567</v>
      </c>
      <c r="F4869" s="0" t="s">
        <v>2171</v>
      </c>
    </row>
    <row r="4870" customFormat="false" ht="12.8" hidden="false" customHeight="false" outlineLevel="0" collapsed="false">
      <c r="B4870" s="0" t="s">
        <v>2093</v>
      </c>
      <c r="C4870" s="0" t="s">
        <v>2173</v>
      </c>
      <c r="E4870" s="0" t="s">
        <v>2111</v>
      </c>
      <c r="F4870" s="0" t="s">
        <v>2174</v>
      </c>
    </row>
    <row r="4871" customFormat="false" ht="12.8" hidden="false" customHeight="false" outlineLevel="0" collapsed="false">
      <c r="B4871" s="0" t="s">
        <v>2094</v>
      </c>
      <c r="C4871" s="0" t="s">
        <v>2175</v>
      </c>
      <c r="E4871" s="0" t="s">
        <v>2176</v>
      </c>
      <c r="F4871" s="0" t="s">
        <v>2177</v>
      </c>
    </row>
    <row r="4873" customFormat="false" ht="12.8" hidden="false" customHeight="false" outlineLevel="0" collapsed="false">
      <c r="A4873" s="0" t="s">
        <v>2727</v>
      </c>
      <c r="B4873" s="0" t="str">
        <f aca="false">HYPERLINK("https://lindat.mff.cuni.cz/services/teitok/pdtc10/index.php?action=vallex&amp;frame=v-w716f1", "dosahovat (v-w716f1)")</f>
        <v>dosahovat (v-w716f1)</v>
      </c>
      <c r="E4873" s="0" t="str">
        <f aca="false">HYPERLINK("https://lindat.mff.cuni.cz/services/SynSemClass40/SynSemClass40.html?veclass=vec00206#vec00206-ces-cm00004", "vec00206")</f>
        <v>vec00206</v>
      </c>
      <c r="F4873" s="0" t="s">
        <v>2728</v>
      </c>
    </row>
    <row r="4874" customFormat="false" ht="12.8" hidden="false" customHeight="false" outlineLevel="0" collapsed="false">
      <c r="B4874" s="0" t="s">
        <v>1</v>
      </c>
      <c r="C4874" s="0" t="s">
        <v>2729</v>
      </c>
      <c r="E4874" s="0" t="s">
        <v>235</v>
      </c>
      <c r="F4874" s="0" t="s">
        <v>2730</v>
      </c>
    </row>
    <row r="4875" customFormat="false" ht="12.8" hidden="false" customHeight="false" outlineLevel="0" collapsed="false">
      <c r="B4875" s="0" t="s">
        <v>1356</v>
      </c>
      <c r="C4875" s="0" t="s">
        <v>2731</v>
      </c>
      <c r="E4875" s="0" t="s">
        <v>2732</v>
      </c>
      <c r="F4875" s="0" t="s">
        <v>2733</v>
      </c>
    </row>
    <row r="4877" customFormat="false" ht="12.8" hidden="false" customHeight="false" outlineLevel="0" collapsed="false">
      <c r="A4877" s="0" t="s">
        <v>2734</v>
      </c>
      <c r="B4877" s="0" t="str">
        <f aca="false">HYPERLINK("https://lindat.mff.cuni.cz/services/teitok/pdtc10/index.php?action=vallex&amp;frame=v-w716f2", "dosahovat (v-w716f2)")</f>
        <v>dosahovat (v-w716f2)</v>
      </c>
    </row>
    <row r="4878" customFormat="false" ht="12.8" hidden="false" customHeight="false" outlineLevel="0" collapsed="false">
      <c r="B4878" s="0" t="s">
        <v>1</v>
      </c>
    </row>
    <row r="4879" customFormat="false" ht="12.8" hidden="false" customHeight="false" outlineLevel="0" collapsed="false">
      <c r="B4879" s="0" t="s">
        <v>164</v>
      </c>
    </row>
    <row r="4881" customFormat="false" ht="12.8" hidden="false" customHeight="false" outlineLevel="0" collapsed="false">
      <c r="A4881" s="0" t="s">
        <v>2735</v>
      </c>
      <c r="B4881" s="0" t="str">
        <f aca="false">HYPERLINK("https://lindat.mff.cuni.cz/services/teitok/pdtc10/index.php?action=vallex&amp;frame=v-w716f3", "dosahovat (v-w716f3)")</f>
        <v>dosahovat (v-w716f3)</v>
      </c>
      <c r="E4881" s="0" t="str">
        <f aca="false">HYPERLINK("https://lindat.mff.cuni.cz/services/SynSemClass40/SynSemClass40.html?veclass=vec01393#vec01393-ces-cm00006", "vec01393")</f>
        <v>vec01393</v>
      </c>
      <c r="F4881" s="0" t="s">
        <v>2162</v>
      </c>
    </row>
    <row r="4882" customFormat="false" ht="12.8" hidden="false" customHeight="false" outlineLevel="0" collapsed="false">
      <c r="B4882" s="0" t="s">
        <v>1</v>
      </c>
      <c r="C4882" s="0" t="s">
        <v>2163</v>
      </c>
      <c r="E4882" s="0" t="s">
        <v>11</v>
      </c>
      <c r="F4882" s="0" t="s">
        <v>2164</v>
      </c>
    </row>
    <row r="4883" customFormat="false" ht="12.8" hidden="false" customHeight="false" outlineLevel="0" collapsed="false">
      <c r="B4883" s="0" t="s">
        <v>2180</v>
      </c>
      <c r="C4883" s="0" t="s">
        <v>2181</v>
      </c>
      <c r="E4883" s="0" t="s">
        <v>2182</v>
      </c>
      <c r="F4883" s="0" t="s">
        <v>2183</v>
      </c>
    </row>
    <row r="4885" customFormat="false" ht="12.8" hidden="false" customHeight="false" outlineLevel="0" collapsed="false">
      <c r="A4885" s="0" t="s">
        <v>2736</v>
      </c>
      <c r="B4885" s="0" t="str">
        <f aca="false">HYPERLINK("https://lindat.mff.cuni.cz/services/teitok/pdtc10/index.php?action=vallex&amp;frame=v-w719f1", "dosazovat (v-w719f1)")</f>
        <v>dosazovat (v-w719f1)</v>
      </c>
      <c r="E4885" s="0" t="str">
        <f aca="false">HYPERLINK("https://lindat.mff.cuni.cz/services/SynSemClass40/SynSemClass40.html?veclass=vec00735#vec00735-ces-cm00144", "vec00735")</f>
        <v>vec00735</v>
      </c>
      <c r="F4885" s="0" t="s">
        <v>2719</v>
      </c>
    </row>
    <row r="4886" customFormat="false" ht="12.8" hidden="false" customHeight="false" outlineLevel="0" collapsed="false">
      <c r="B4886" s="0" t="s">
        <v>1</v>
      </c>
      <c r="C4886" s="0" t="s">
        <v>2720</v>
      </c>
      <c r="E4886" s="0" t="s">
        <v>334</v>
      </c>
      <c r="F4886" s="0" t="s">
        <v>2721</v>
      </c>
    </row>
    <row r="4887" customFormat="false" ht="12.8" hidden="false" customHeight="false" outlineLevel="0" collapsed="false">
      <c r="B4887" s="0" t="s">
        <v>8</v>
      </c>
      <c r="C4887" s="0" t="s">
        <v>2722</v>
      </c>
      <c r="E4887" s="0" t="s">
        <v>2648</v>
      </c>
      <c r="F4887" s="0" t="s">
        <v>2723</v>
      </c>
    </row>
    <row r="4888" customFormat="false" ht="12.8" hidden="false" customHeight="false" outlineLevel="0" collapsed="false">
      <c r="B4888" s="0" t="s">
        <v>164</v>
      </c>
      <c r="C4888" s="0" t="s">
        <v>2724</v>
      </c>
      <c r="E4888" s="0" t="s">
        <v>370</v>
      </c>
      <c r="F4888" s="0" t="s">
        <v>2725</v>
      </c>
    </row>
    <row r="4890" customFormat="false" ht="12.8" hidden="false" customHeight="false" outlineLevel="0" collapsed="false">
      <c r="A4890" s="0" t="s">
        <v>2737</v>
      </c>
      <c r="B4890" s="0" t="str">
        <f aca="false">HYPERLINK("https://lindat.mff.cuni.cz/services/teitok/pdtc10/index.php?action=vallex&amp;frame=v-whsa_911hsa_912", "dosekat (v-whsa_911hsa_912)")</f>
        <v>dosekat (v-whsa_911hsa_912)</v>
      </c>
    </row>
    <row r="4891" customFormat="false" ht="12.8" hidden="false" customHeight="false" outlineLevel="0" collapsed="false">
      <c r="B4891" s="0" t="s">
        <v>1</v>
      </c>
    </row>
    <row r="4892" customFormat="false" ht="12.8" hidden="false" customHeight="false" outlineLevel="0" collapsed="false">
      <c r="B4892" s="0" t="s">
        <v>8</v>
      </c>
    </row>
    <row r="4894" customFormat="false" ht="12.8" hidden="false" customHeight="false" outlineLevel="0" collapsed="false">
      <c r="A4894" s="0" t="s">
        <v>2738</v>
      </c>
      <c r="B4894" s="0" t="str">
        <f aca="false">HYPERLINK("https://lindat.mff.cuni.cz/services/teitok/pdtc10/index.php?action=vallex&amp;frame=v-w722f2", "doslechnout se (v-w722f2)")</f>
        <v>doslechnout se (v-w722f2)</v>
      </c>
    </row>
    <row r="4895" customFormat="false" ht="12.8" hidden="false" customHeight="false" outlineLevel="0" collapsed="false">
      <c r="B4895" s="0" t="s">
        <v>1</v>
      </c>
    </row>
    <row r="4896" customFormat="false" ht="12.8" hidden="false" customHeight="false" outlineLevel="0" collapsed="false">
      <c r="B4896" s="0" t="s">
        <v>2739</v>
      </c>
    </row>
    <row r="4897" customFormat="false" ht="12.8" hidden="false" customHeight="false" outlineLevel="0" collapsed="false">
      <c r="B4897" s="0" t="s">
        <v>2740</v>
      </c>
    </row>
    <row r="4899" customFormat="false" ht="12.8" hidden="false" customHeight="false" outlineLevel="0" collapsed="false">
      <c r="A4899" s="0" t="s">
        <v>2741</v>
      </c>
      <c r="B4899" s="0" t="str">
        <f aca="false">HYPERLINK("https://lindat.mff.cuni.cz/services/teitok/pdtc10/index.php?action=vallex&amp;frame=v-w722f1", "doslechnout se (v-w722f1)")</f>
        <v>doslechnout se (v-w722f1)</v>
      </c>
      <c r="E4899" s="0" t="str">
        <f aca="false">HYPERLINK("https://lindat.mff.cuni.cz/services/SynSemClass40/SynSemClass40.html?veclass=vec00013#vec00013-ces-cm00268", "vec00013")</f>
        <v>vec00013</v>
      </c>
      <c r="F4899" s="0" t="s">
        <v>2742</v>
      </c>
    </row>
    <row r="4900" customFormat="false" ht="12.8" hidden="false" customHeight="false" outlineLevel="0" collapsed="false">
      <c r="B4900" s="0" t="s">
        <v>1</v>
      </c>
      <c r="C4900" s="0" t="s">
        <v>2743</v>
      </c>
      <c r="E4900" s="0" t="s">
        <v>621</v>
      </c>
      <c r="F4900" s="0" t="s">
        <v>2744</v>
      </c>
    </row>
    <row r="4901" customFormat="false" ht="12.8" hidden="false" customHeight="false" outlineLevel="0" collapsed="false">
      <c r="B4901" s="0" t="s">
        <v>2745</v>
      </c>
      <c r="C4901" s="0" t="s">
        <v>2746</v>
      </c>
      <c r="E4901" s="0" t="s">
        <v>2217</v>
      </c>
      <c r="F4901" s="0" t="s">
        <v>2747</v>
      </c>
    </row>
    <row r="4902" customFormat="false" ht="12.8" hidden="false" customHeight="false" outlineLevel="0" collapsed="false">
      <c r="B4902" s="0" t="s">
        <v>496</v>
      </c>
      <c r="C4902" s="0" t="s">
        <v>2748</v>
      </c>
      <c r="E4902" s="0" t="s">
        <v>218</v>
      </c>
      <c r="F4902" s="0" t="s">
        <v>2749</v>
      </c>
    </row>
    <row r="4903" customFormat="false" ht="12.8" hidden="false" customHeight="false" outlineLevel="0" collapsed="false">
      <c r="B4903" s="0" t="s">
        <v>2740</v>
      </c>
      <c r="C4903" s="0" t="s">
        <v>2750</v>
      </c>
      <c r="E4903" s="0" t="s">
        <v>2176</v>
      </c>
      <c r="F4903" s="0" t="s">
        <v>2751</v>
      </c>
    </row>
    <row r="4905" customFormat="false" ht="12.8" hidden="false" customHeight="false" outlineLevel="0" collapsed="false">
      <c r="A4905" s="0" t="s">
        <v>2752</v>
      </c>
      <c r="B4905" s="0" t="str">
        <f aca="false">HYPERLINK("https://lindat.mff.cuni.cz/services/teitok/pdtc10/index.php?action=vallex&amp;frame=v-w723f1", "dosloužit (v-w723f1)")</f>
        <v>dosloužit (v-w723f1)</v>
      </c>
      <c r="E4905" s="0" t="str">
        <f aca="false">HYPERLINK("https://lindat.mff.cuni.cz/services/SynSemClass40/SynSemClass40.html?veclass=vec00113#vec00113-ces-cm00345", "vec00113")</f>
        <v>vec00113</v>
      </c>
      <c r="F4905" s="0" t="s">
        <v>2122</v>
      </c>
      <c r="H4905" s="0" t="str">
        <f aca="false">HYPERLINK("https://lindat.mff.cuni.cz/services/SynSemClass40/SynSemClass40.html?veclass=vec00221#vec00221-ces-cm00058", "vec00221")</f>
        <v>vec00221</v>
      </c>
      <c r="I4905" s="0" t="s">
        <v>1051</v>
      </c>
    </row>
    <row r="4906" customFormat="false" ht="12.8" hidden="false" customHeight="false" outlineLevel="0" collapsed="false">
      <c r="B4906" s="0" t="s">
        <v>1</v>
      </c>
      <c r="C4906" s="0" t="s">
        <v>2753</v>
      </c>
      <c r="E4906" s="0" t="s">
        <v>1084</v>
      </c>
      <c r="F4906" s="0" t="s">
        <v>2124</v>
      </c>
      <c r="H4906" s="0" t="s">
        <v>1053</v>
      </c>
      <c r="I4906" s="0" t="s">
        <v>1054</v>
      </c>
    </row>
    <row r="4908" customFormat="false" ht="12.8" hidden="false" customHeight="false" outlineLevel="0" collapsed="false">
      <c r="A4908" s="0" t="s">
        <v>2754</v>
      </c>
      <c r="B4908" s="0" t="str">
        <f aca="false">HYPERLINK("https://lindat.mff.cuni.cz/services/teitok/pdtc10/index.php?action=vallex&amp;frame=v-w723f2_ZU", "dosloužit (v-w723f2_ZU)")</f>
        <v>dosloužit (v-w723f2_ZU)</v>
      </c>
    </row>
    <row r="4909" customFormat="false" ht="12.8" hidden="false" customHeight="false" outlineLevel="0" collapsed="false">
      <c r="B4909" s="0" t="s">
        <v>1</v>
      </c>
    </row>
    <row r="4910" customFormat="false" ht="12.8" hidden="false" customHeight="false" outlineLevel="0" collapsed="false">
      <c r="B4910" s="0" t="s">
        <v>8</v>
      </c>
    </row>
    <row r="4912" customFormat="false" ht="12.8" hidden="false" customHeight="false" outlineLevel="0" collapsed="false">
      <c r="A4912" s="0" t="s">
        <v>2755</v>
      </c>
      <c r="B4912" s="0" t="str">
        <f aca="false">HYPERLINK("https://lindat.mff.cuni.cz/services/teitok/pdtc10/index.php?action=vallex&amp;frame=v-w725f1", "dosluhovat (v-w725f1)")</f>
        <v>dosluhovat (v-w725f1)</v>
      </c>
    </row>
    <row r="4913" customFormat="false" ht="12.8" hidden="false" customHeight="false" outlineLevel="0" collapsed="false">
      <c r="B4913" s="0" t="s">
        <v>1</v>
      </c>
    </row>
    <row r="4915" customFormat="false" ht="12.8" hidden="false" customHeight="false" outlineLevel="0" collapsed="false">
      <c r="A4915" s="0" t="s">
        <v>2756</v>
      </c>
      <c r="B4915" s="0" t="str">
        <f aca="false">HYPERLINK("https://lindat.mff.cuni.cz/services/teitok/pdtc10/index.php?action=vallex&amp;frame=v-w11474f1", "doslýchat se (v-w11474f1)")</f>
        <v>doslýchat se (v-w11474f1)</v>
      </c>
      <c r="E4915" s="0" t="str">
        <f aca="false">HYPERLINK("https://lindat.mff.cuni.cz/services/SynSemClass40/SynSemClass40.html?veclass=vec00013#vec00013-ces-cm00006", "vec00013")</f>
        <v>vec00013</v>
      </c>
      <c r="F4915" s="0" t="s">
        <v>2742</v>
      </c>
      <c r="H4915" s="0" t="str">
        <f aca="false">HYPERLINK("https://lindat.mff.cuni.cz/services/SynSemClass40/SynSemClass40.html?veclass=vec01264#vec01264-ces-cm00015", "vec01264")</f>
        <v>vec01264</v>
      </c>
      <c r="I4915" s="0" t="s">
        <v>2757</v>
      </c>
    </row>
    <row r="4916" customFormat="false" ht="12.8" hidden="false" customHeight="false" outlineLevel="0" collapsed="false">
      <c r="B4916" s="0" t="s">
        <v>1</v>
      </c>
      <c r="C4916" s="0" t="s">
        <v>2758</v>
      </c>
      <c r="E4916" s="0" t="s">
        <v>621</v>
      </c>
      <c r="F4916" s="0" t="s">
        <v>2744</v>
      </c>
      <c r="H4916" s="0" t="s">
        <v>621</v>
      </c>
      <c r="I4916" s="0" t="s">
        <v>2759</v>
      </c>
    </row>
    <row r="4917" customFormat="false" ht="12.8" hidden="false" customHeight="false" outlineLevel="0" collapsed="false">
      <c r="B4917" s="0" t="s">
        <v>2760</v>
      </c>
      <c r="C4917" s="0" t="s">
        <v>2761</v>
      </c>
      <c r="E4917" s="0" t="s">
        <v>2217</v>
      </c>
      <c r="F4917" s="0" t="s">
        <v>2747</v>
      </c>
      <c r="H4917" s="0" t="s">
        <v>2217</v>
      </c>
      <c r="I4917" s="0" t="s">
        <v>2762</v>
      </c>
    </row>
    <row r="4918" customFormat="false" ht="12.8" hidden="false" customHeight="false" outlineLevel="0" collapsed="false">
      <c r="B4918" s="0" t="s">
        <v>496</v>
      </c>
      <c r="C4918" s="0" t="s">
        <v>2763</v>
      </c>
      <c r="E4918" s="0" t="s">
        <v>218</v>
      </c>
      <c r="F4918" s="0" t="s">
        <v>2749</v>
      </c>
      <c r="H4918" s="0" t="s">
        <v>218</v>
      </c>
      <c r="I4918" s="0" t="s">
        <v>2764</v>
      </c>
    </row>
    <row r="4919" customFormat="false" ht="12.8" hidden="false" customHeight="false" outlineLevel="0" collapsed="false">
      <c r="B4919" s="0" t="s">
        <v>2765</v>
      </c>
      <c r="C4919" s="0" t="s">
        <v>2766</v>
      </c>
      <c r="E4919" s="0" t="s">
        <v>2176</v>
      </c>
      <c r="F4919" s="0" t="s">
        <v>2751</v>
      </c>
      <c r="H4919" s="0" t="s">
        <v>2176</v>
      </c>
      <c r="I4919" s="0" t="s">
        <v>2767</v>
      </c>
    </row>
    <row r="4921" customFormat="false" ht="12.8" hidden="false" customHeight="false" outlineLevel="0" collapsed="false">
      <c r="A4921" s="0" t="s">
        <v>2768</v>
      </c>
      <c r="B4921" s="0" t="str">
        <f aca="false">HYPERLINK("https://lindat.mff.cuni.cz/services/teitok/pdtc10/index.php?action=vallex&amp;frame=v-w729f4", "dospívat (v-w729f4)")</f>
        <v>dospívat (v-w729f4)</v>
      </c>
    </row>
    <row r="4922" customFormat="false" ht="12.8" hidden="false" customHeight="false" outlineLevel="0" collapsed="false">
      <c r="B4922" s="0" t="s">
        <v>1</v>
      </c>
    </row>
    <row r="4923" customFormat="false" ht="12.8" hidden="false" customHeight="false" outlineLevel="0" collapsed="false">
      <c r="B4923" s="0" t="s">
        <v>2769</v>
      </c>
    </row>
    <row r="4924" customFormat="false" ht="12.8" hidden="false" customHeight="false" outlineLevel="0" collapsed="false">
      <c r="B4924" s="0" t="s">
        <v>36</v>
      </c>
    </row>
    <row r="4926" customFormat="false" ht="12.8" hidden="false" customHeight="false" outlineLevel="0" collapsed="false">
      <c r="A4926" s="0" t="s">
        <v>2770</v>
      </c>
      <c r="B4926" s="0" t="str">
        <f aca="false">HYPERLINK("https://lindat.mff.cuni.cz/services/teitok/pdtc10/index.php?action=vallex&amp;frame=v-w729f1", "dospívat (v-w729f1)")</f>
        <v>dospívat (v-w729f1)</v>
      </c>
      <c r="E4926" s="0" t="str">
        <f aca="false">HYPERLINK("https://lindat.mff.cuni.cz/services/SynSemClass40/SynSemClass40.html?veclass=vec00217#vec00217-ces-cm00010", "vec00217")</f>
        <v>vec00217</v>
      </c>
      <c r="F4926" s="0" t="s">
        <v>2135</v>
      </c>
    </row>
    <row r="4927" customFormat="false" ht="12.8" hidden="false" customHeight="false" outlineLevel="0" collapsed="false">
      <c r="B4927" s="0" t="s">
        <v>1</v>
      </c>
      <c r="C4927" s="0" t="s">
        <v>2136</v>
      </c>
      <c r="E4927" s="0" t="s">
        <v>621</v>
      </c>
      <c r="F4927" s="0" t="s">
        <v>2137</v>
      </c>
    </row>
    <row r="4928" customFormat="false" ht="12.8" hidden="false" customHeight="false" outlineLevel="0" collapsed="false">
      <c r="B4928" s="0" t="s">
        <v>2096</v>
      </c>
      <c r="C4928" s="0" t="s">
        <v>1892</v>
      </c>
      <c r="E4928" s="0" t="s">
        <v>2138</v>
      </c>
      <c r="F4928" s="0" t="s">
        <v>2139</v>
      </c>
    </row>
    <row r="4930" customFormat="false" ht="12.8" hidden="false" customHeight="false" outlineLevel="0" collapsed="false">
      <c r="A4930" s="0" t="s">
        <v>2771</v>
      </c>
      <c r="B4930" s="0" t="str">
        <f aca="false">HYPERLINK("https://lindat.mff.cuni.cz/services/teitok/pdtc10/index.php?action=vallex&amp;frame=v-w729f2", "dospívat (v-w729f2)")</f>
        <v>dospívat (v-w729f2)</v>
      </c>
      <c r="E4930" s="0" t="str">
        <f aca="false">HYPERLINK("https://lindat.mff.cuni.cz/services/SynSemClass40/SynSemClass40.html?veclass=vec00218#vec00218-ces-cm00214", "vec00218")</f>
        <v>vec00218</v>
      </c>
      <c r="F4930" s="0" t="s">
        <v>2143</v>
      </c>
    </row>
    <row r="4931" customFormat="false" ht="12.8" hidden="false" customHeight="false" outlineLevel="0" collapsed="false">
      <c r="B4931" s="0" t="s">
        <v>1</v>
      </c>
      <c r="C4931" s="0" t="s">
        <v>2144</v>
      </c>
      <c r="E4931" s="0" t="s">
        <v>11</v>
      </c>
      <c r="F4931" s="0" t="s">
        <v>2145</v>
      </c>
    </row>
    <row r="4932" customFormat="false" ht="12.8" hidden="false" customHeight="false" outlineLevel="0" collapsed="false">
      <c r="B4932" s="0" t="s">
        <v>164</v>
      </c>
      <c r="C4932" s="0" t="s">
        <v>2146</v>
      </c>
      <c r="E4932" s="0" t="s">
        <v>370</v>
      </c>
      <c r="F4932" s="0" t="s">
        <v>2147</v>
      </c>
    </row>
    <row r="4934" customFormat="false" ht="12.8" hidden="false" customHeight="false" outlineLevel="0" collapsed="false">
      <c r="A4934" s="0" t="s">
        <v>2772</v>
      </c>
      <c r="B4934" s="0" t="str">
        <f aca="false">HYPERLINK("https://lindat.mff.cuni.cz/services/teitok/pdtc10/index.php?action=vallex&amp;frame=v-w729f3", "dospívat (v-w729f3)")</f>
        <v>dospívat (v-w729f3)</v>
      </c>
      <c r="E4934" s="0" t="str">
        <f aca="false">HYPERLINK("https://lindat.mff.cuni.cz/services/SynSemClass40/SynSemClass40.html?veclass=vec00167#vec00167-ces-cm00005", "vec00167")</f>
        <v>vec00167</v>
      </c>
      <c r="F4934" s="0" t="s">
        <v>2773</v>
      </c>
      <c r="H4934" s="0" t="str">
        <f aca="false">HYPERLINK("https://lindat.mff.cuni.cz/services/SynSemClass40/SynSemClass40.html?veclass=vec01380#vec01380-ces-cm00008", "vec01380")</f>
        <v>vec01380</v>
      </c>
      <c r="I4934" s="0" t="s">
        <v>2774</v>
      </c>
    </row>
    <row r="4935" customFormat="false" ht="12.8" hidden="false" customHeight="false" outlineLevel="0" collapsed="false">
      <c r="B4935" s="0" t="s">
        <v>1</v>
      </c>
      <c r="C4935" s="0" t="s">
        <v>2775</v>
      </c>
      <c r="E4935" s="0" t="s">
        <v>2776</v>
      </c>
      <c r="F4935" s="0" t="s">
        <v>2777</v>
      </c>
      <c r="H4935" s="0" t="s">
        <v>84</v>
      </c>
      <c r="I4935" s="0" t="s">
        <v>2778</v>
      </c>
    </row>
    <row r="4937" customFormat="false" ht="12.8" hidden="false" customHeight="false" outlineLevel="0" collapsed="false">
      <c r="A4937" s="0" t="s">
        <v>2779</v>
      </c>
      <c r="B4937" s="0" t="str">
        <f aca="false">HYPERLINK("https://lindat.mff.cuni.cz/services/teitok/pdtc10/index.php?action=vallex&amp;frame=v-w727f3", "dospět (v-w727f3)")</f>
        <v>dospět (v-w727f3)</v>
      </c>
    </row>
    <row r="4938" customFormat="false" ht="12.8" hidden="false" customHeight="false" outlineLevel="0" collapsed="false">
      <c r="B4938" s="0" t="s">
        <v>1</v>
      </c>
    </row>
    <row r="4939" customFormat="false" ht="12.8" hidden="false" customHeight="false" outlineLevel="0" collapsed="false">
      <c r="B4939" s="0" t="s">
        <v>2769</v>
      </c>
    </row>
    <row r="4940" customFormat="false" ht="12.8" hidden="false" customHeight="false" outlineLevel="0" collapsed="false">
      <c r="B4940" s="0" t="s">
        <v>36</v>
      </c>
    </row>
    <row r="4942" customFormat="false" ht="12.8" hidden="false" customHeight="false" outlineLevel="0" collapsed="false">
      <c r="A4942" s="0" t="s">
        <v>2780</v>
      </c>
      <c r="B4942" s="0" t="str">
        <f aca="false">HYPERLINK("https://lindat.mff.cuni.cz/services/teitok/pdtc10/index.php?action=vallex&amp;frame=v-w727f1", "dospět (v-w727f1)")</f>
        <v>dospět (v-w727f1)</v>
      </c>
      <c r="E4942" s="0" t="str">
        <f aca="false">HYPERLINK("https://lindat.mff.cuni.cz/services/SynSemClass40/SynSemClass40.html?veclass=vec00217#vec00217-ces-cm00001", "vec00217")</f>
        <v>vec00217</v>
      </c>
      <c r="F4942" s="0" t="s">
        <v>2135</v>
      </c>
      <c r="H4942" s="0" t="str">
        <f aca="false">HYPERLINK("https://lindat.mff.cuni.cz/services/SynSemClass40/SynSemClass40.html?veclass=vec01361#vec01361-ces-cm00006", "vec01361")</f>
        <v>vec01361</v>
      </c>
      <c r="I4942" s="0" t="s">
        <v>2781</v>
      </c>
    </row>
    <row r="4943" customFormat="false" ht="12.8" hidden="false" customHeight="false" outlineLevel="0" collapsed="false">
      <c r="B4943" s="0" t="s">
        <v>1</v>
      </c>
      <c r="C4943" s="0" t="s">
        <v>2782</v>
      </c>
      <c r="E4943" s="0" t="s">
        <v>621</v>
      </c>
      <c r="F4943" s="0" t="s">
        <v>2137</v>
      </c>
      <c r="H4943" s="0" t="s">
        <v>621</v>
      </c>
      <c r="I4943" s="0" t="s">
        <v>2783</v>
      </c>
    </row>
    <row r="4944" customFormat="false" ht="12.8" hidden="false" customHeight="false" outlineLevel="0" collapsed="false">
      <c r="B4944" s="0" t="s">
        <v>2096</v>
      </c>
      <c r="C4944" s="0" t="s">
        <v>2784</v>
      </c>
      <c r="E4944" s="0" t="s">
        <v>2138</v>
      </c>
      <c r="F4944" s="0" t="s">
        <v>2139</v>
      </c>
      <c r="H4944" s="0" t="s">
        <v>2138</v>
      </c>
      <c r="I4944" s="0" t="s">
        <v>2785</v>
      </c>
    </row>
    <row r="4946" customFormat="false" ht="12.8" hidden="false" customHeight="false" outlineLevel="0" collapsed="false">
      <c r="A4946" s="0" t="s">
        <v>2786</v>
      </c>
      <c r="B4946" s="0" t="str">
        <f aca="false">HYPERLINK("https://lindat.mff.cuni.cz/services/teitok/pdtc10/index.php?action=vallex&amp;frame=v-w727f6_ZU", "dospět (v-w727f6_ZU)")</f>
        <v>dospět (v-w727f6_ZU)</v>
      </c>
    </row>
    <row r="4947" customFormat="false" ht="12.8" hidden="false" customHeight="false" outlineLevel="0" collapsed="false">
      <c r="B4947" s="0" t="s">
        <v>1</v>
      </c>
    </row>
    <row r="4948" customFormat="false" ht="12.8" hidden="false" customHeight="false" outlineLevel="0" collapsed="false">
      <c r="B4948" s="0" t="s">
        <v>361</v>
      </c>
    </row>
    <row r="4950" customFormat="false" ht="12.8" hidden="false" customHeight="false" outlineLevel="0" collapsed="false">
      <c r="A4950" s="0" t="s">
        <v>2786</v>
      </c>
      <c r="B4950" s="0" t="str">
        <f aca="false">HYPERLINK("https://lindat.mff.cuni.cz/services/teitok/pdtc10/index.php?action=vallex&amp;frame=v-w727f5", "dospět (v-w727f5) - substituted with v-w727f6_ZU")</f>
        <v>dospět (v-w727f5) - substituted with v-w727f6_ZU</v>
      </c>
    </row>
    <row r="4951" customFormat="false" ht="12.8" hidden="false" customHeight="false" outlineLevel="0" collapsed="false">
      <c r="B4951" s="0" t="s">
        <v>1</v>
      </c>
    </row>
    <row r="4952" customFormat="false" ht="12.8" hidden="false" customHeight="false" outlineLevel="0" collapsed="false">
      <c r="B4952" s="0" t="s">
        <v>361</v>
      </c>
    </row>
    <row r="4954" customFormat="false" ht="12.8" hidden="false" customHeight="false" outlineLevel="0" collapsed="false">
      <c r="A4954" s="0" t="s">
        <v>2787</v>
      </c>
      <c r="B4954" s="0" t="str">
        <f aca="false">HYPERLINK("https://lindat.mff.cuni.cz/services/teitok/pdtc10/index.php?action=vallex&amp;frame=v-w727f2", "dospět (v-w727f2)")</f>
        <v>dospět (v-w727f2)</v>
      </c>
      <c r="E4954" s="0" t="str">
        <f aca="false">HYPERLINK("https://lindat.mff.cuni.cz/services/SynSemClass40/SynSemClass40.html?veclass=vec00218#vec00218-ces-cm00194", "vec00218")</f>
        <v>vec00218</v>
      </c>
      <c r="F4954" s="0" t="s">
        <v>2143</v>
      </c>
    </row>
    <row r="4955" customFormat="false" ht="12.8" hidden="false" customHeight="false" outlineLevel="0" collapsed="false">
      <c r="B4955" s="0" t="s">
        <v>1</v>
      </c>
      <c r="C4955" s="0" t="s">
        <v>2144</v>
      </c>
      <c r="E4955" s="0" t="s">
        <v>11</v>
      </c>
      <c r="F4955" s="0" t="s">
        <v>2145</v>
      </c>
    </row>
    <row r="4956" customFormat="false" ht="12.8" hidden="false" customHeight="false" outlineLevel="0" collapsed="false">
      <c r="B4956" s="0" t="s">
        <v>164</v>
      </c>
      <c r="C4956" s="0" t="s">
        <v>2146</v>
      </c>
      <c r="E4956" s="0" t="s">
        <v>370</v>
      </c>
      <c r="F4956" s="0" t="s">
        <v>2147</v>
      </c>
    </row>
    <row r="4958" customFormat="false" ht="12.8" hidden="false" customHeight="false" outlineLevel="0" collapsed="false">
      <c r="A4958" s="0" t="s">
        <v>2788</v>
      </c>
      <c r="B4958" s="0" t="str">
        <f aca="false">HYPERLINK("https://lindat.mff.cuni.cz/services/teitok/pdtc10/index.php?action=vallex&amp;frame=v-w727f4", "dospět (v-w727f4)")</f>
        <v>dospět (v-w727f4)</v>
      </c>
      <c r="E4958" s="0" t="str">
        <f aca="false">HYPERLINK("https://lindat.mff.cuni.cz/services/SynSemClass40/SynSemClass40.html?veclass=vec00167#vec00167-ces-cm00002", "vec00167")</f>
        <v>vec00167</v>
      </c>
      <c r="F4958" s="0" t="s">
        <v>2773</v>
      </c>
    </row>
    <row r="4959" customFormat="false" ht="12.8" hidden="false" customHeight="false" outlineLevel="0" collapsed="false">
      <c r="B4959" s="0" t="s">
        <v>1</v>
      </c>
      <c r="C4959" s="0" t="s">
        <v>2789</v>
      </c>
      <c r="E4959" s="0" t="s">
        <v>2776</v>
      </c>
      <c r="F4959" s="0" t="s">
        <v>2777</v>
      </c>
    </row>
    <row r="4961" customFormat="false" ht="12.8" hidden="false" customHeight="false" outlineLevel="0" collapsed="false">
      <c r="A4961" s="0" t="s">
        <v>2790</v>
      </c>
      <c r="B4961" s="0" t="str">
        <f aca="false">HYPERLINK("https://lindat.mff.cuni.cz/services/teitok/pdtc10/index.php?action=vallex&amp;frame=v-w732f41_ZU", "dostat (v-w732f41_ZU)")</f>
        <v>dostat (v-w732f41_ZU)</v>
      </c>
    </row>
    <row r="4962" customFormat="false" ht="12.8" hidden="false" customHeight="false" outlineLevel="0" collapsed="false">
      <c r="B4962" s="0" t="s">
        <v>1</v>
      </c>
    </row>
    <row r="4963" customFormat="false" ht="12.8" hidden="false" customHeight="false" outlineLevel="0" collapsed="false">
      <c r="B4963" s="0" t="s">
        <v>2791</v>
      </c>
    </row>
    <row r="4964" customFormat="false" ht="12.8" hidden="false" customHeight="false" outlineLevel="0" collapsed="false">
      <c r="B4964" s="0" t="s">
        <v>1633</v>
      </c>
    </row>
    <row r="4966" customFormat="false" ht="12.8" hidden="false" customHeight="false" outlineLevel="0" collapsed="false">
      <c r="A4966" s="0" t="s">
        <v>2790</v>
      </c>
      <c r="B4966" s="0" t="str">
        <f aca="false">HYPERLINK("https://lindat.mff.cuni.cz/services/teitok/pdtc10/index.php?action=vallex&amp;frame=v-w732f1", "dostat (v-w732f1) - substituted with v-w732f41_ZU")</f>
        <v>dostat (v-w732f1) - substituted with v-w732f41_ZU</v>
      </c>
      <c r="E4966" s="0" t="str">
        <f aca="false">HYPERLINK("https://lindat.mff.cuni.cz/services/SynSemClass40/SynSemClass40.html?veclass=vec00189#vec00189-ces-cm00006", "vec00189")</f>
        <v>vec00189</v>
      </c>
      <c r="F4966" s="0" t="s">
        <v>2169</v>
      </c>
      <c r="H4966" s="0" t="str">
        <f aca="false">HYPERLINK("https://lindat.mff.cuni.cz/services/SynSemClass40/SynSemClass40.html?veclass=vec01491#vec01491-ces-cm00039", "vec01491")</f>
        <v>vec01491</v>
      </c>
      <c r="I4966" s="0" t="s">
        <v>2792</v>
      </c>
    </row>
    <row r="4967" customFormat="false" ht="12.8" hidden="false" customHeight="false" outlineLevel="0" collapsed="false">
      <c r="B4967" s="0" t="s">
        <v>1</v>
      </c>
      <c r="C4967" s="0" t="s">
        <v>2793</v>
      </c>
      <c r="E4967" s="0" t="s">
        <v>1567</v>
      </c>
      <c r="F4967" s="0" t="s">
        <v>2171</v>
      </c>
      <c r="H4967" s="0" t="s">
        <v>1567</v>
      </c>
      <c r="I4967" s="0" t="s">
        <v>2794</v>
      </c>
    </row>
    <row r="4968" customFormat="false" ht="12.8" hidden="false" customHeight="false" outlineLevel="0" collapsed="false">
      <c r="B4968" s="0" t="s">
        <v>2791</v>
      </c>
      <c r="C4968" s="0" t="s">
        <v>2795</v>
      </c>
      <c r="E4968" s="0" t="s">
        <v>2111</v>
      </c>
      <c r="F4968" s="0" t="s">
        <v>2174</v>
      </c>
      <c r="H4968" s="0" t="s">
        <v>1875</v>
      </c>
      <c r="I4968" s="0" t="s">
        <v>2796</v>
      </c>
    </row>
    <row r="4969" customFormat="false" ht="12.8" hidden="false" customHeight="false" outlineLevel="0" collapsed="false">
      <c r="B4969" s="0" t="s">
        <v>1633</v>
      </c>
      <c r="C4969" s="0" t="s">
        <v>2797</v>
      </c>
      <c r="E4969" s="0" t="s">
        <v>2176</v>
      </c>
      <c r="F4969" s="0" t="s">
        <v>2177</v>
      </c>
      <c r="H4969" s="0" t="s">
        <v>2798</v>
      </c>
      <c r="I4969" s="0" t="s">
        <v>2799</v>
      </c>
    </row>
    <row r="4971" customFormat="false" ht="12.8" hidden="false" customHeight="false" outlineLevel="0" collapsed="false">
      <c r="A4971" s="0" t="s">
        <v>2790</v>
      </c>
      <c r="B4971" s="0" t="str">
        <f aca="false">HYPERLINK("https://lindat.mff.cuni.cz/services/teitok/pdtc10/index.php?action=vallex&amp;frame=v-w732f38_ZU", "dostat (v-w732f38_ZU) - substituted with v-w732f41_ZU")</f>
        <v>dostat (v-w732f38_ZU) - substituted with v-w732f41_ZU</v>
      </c>
    </row>
    <row r="4972" customFormat="false" ht="12.8" hidden="false" customHeight="false" outlineLevel="0" collapsed="false">
      <c r="B4972" s="0" t="s">
        <v>1</v>
      </c>
    </row>
    <row r="4973" customFormat="false" ht="12.8" hidden="false" customHeight="false" outlineLevel="0" collapsed="false">
      <c r="B4973" s="0" t="s">
        <v>2791</v>
      </c>
    </row>
    <row r="4974" customFormat="false" ht="12.8" hidden="false" customHeight="false" outlineLevel="0" collapsed="false">
      <c r="B4974" s="0" t="s">
        <v>1633</v>
      </c>
    </row>
    <row r="4976" customFormat="false" ht="12.8" hidden="false" customHeight="false" outlineLevel="0" collapsed="false">
      <c r="A4976" s="0" t="s">
        <v>2800</v>
      </c>
      <c r="B4976" s="0" t="str">
        <f aca="false">HYPERLINK("https://lindat.mff.cuni.cz/services/teitok/pdtc10/index.php?action=vallex&amp;frame=v-w732f5", "dostat (v-w732f5)")</f>
        <v>dostat (v-w732f5)</v>
      </c>
      <c r="E4976" s="0" t="str">
        <f aca="false">HYPERLINK("https://lindat.mff.cuni.cz/services/SynSemClass40/SynSemClass40.html?veclass=vec00636#vec00636-ces-cm00002", "vec00636")</f>
        <v>vec00636</v>
      </c>
      <c r="F4976" s="0" t="s">
        <v>2801</v>
      </c>
    </row>
    <row r="4977" customFormat="false" ht="12.8" hidden="false" customHeight="false" outlineLevel="0" collapsed="false">
      <c r="B4977" s="0" t="s">
        <v>1</v>
      </c>
      <c r="C4977" s="0" t="s">
        <v>2802</v>
      </c>
      <c r="E4977" s="0" t="s">
        <v>2803</v>
      </c>
      <c r="F4977" s="0" t="s">
        <v>2804</v>
      </c>
    </row>
    <row r="4978" customFormat="false" ht="12.8" hidden="false" customHeight="false" outlineLevel="0" collapsed="false">
      <c r="B4978" s="0" t="s">
        <v>8</v>
      </c>
      <c r="C4978" s="0" t="s">
        <v>13</v>
      </c>
      <c r="E4978" s="0" t="s">
        <v>2805</v>
      </c>
      <c r="F4978" s="0" t="s">
        <v>2806</v>
      </c>
    </row>
    <row r="4979" customFormat="false" ht="12.8" hidden="false" customHeight="false" outlineLevel="0" collapsed="false">
      <c r="B4979" s="0" t="s">
        <v>1633</v>
      </c>
      <c r="E4979" s="0" t="s">
        <v>2176</v>
      </c>
      <c r="F4979" s="0" t="s">
        <v>2807</v>
      </c>
    </row>
    <row r="4981" customFormat="false" ht="12.8" hidden="false" customHeight="false" outlineLevel="0" collapsed="false">
      <c r="A4981" s="0" t="s">
        <v>2808</v>
      </c>
      <c r="B4981" s="0" t="str">
        <f aca="false">HYPERLINK("https://lindat.mff.cuni.cz/services/teitok/pdtc10/index.php?action=vallex&amp;frame=v-w732f13", "dostat (v-w732f13)")</f>
        <v>dostat (v-w732f13)</v>
      </c>
      <c r="E4981" s="0" t="str">
        <f aca="false">HYPERLINK("https://lindat.mff.cuni.cz/services/SynSemClass40/SynSemClass40.html?veclass=vec00189#vec00189-ces-cm00007", "vec00189")</f>
        <v>vec00189</v>
      </c>
      <c r="F4981" s="0" t="s">
        <v>2169</v>
      </c>
    </row>
    <row r="4982" customFormat="false" ht="12.8" hidden="false" customHeight="false" outlineLevel="0" collapsed="false">
      <c r="B4982" s="0" t="s">
        <v>1</v>
      </c>
      <c r="C4982" s="0" t="s">
        <v>2170</v>
      </c>
      <c r="E4982" s="0" t="s">
        <v>1567</v>
      </c>
      <c r="F4982" s="0" t="s">
        <v>2171</v>
      </c>
    </row>
    <row r="4983" customFormat="false" ht="12.8" hidden="false" customHeight="false" outlineLevel="0" collapsed="false">
      <c r="B4983" s="0" t="s">
        <v>8</v>
      </c>
      <c r="C4983" s="0" t="s">
        <v>2173</v>
      </c>
      <c r="E4983" s="0" t="s">
        <v>2111</v>
      </c>
      <c r="F4983" s="0" t="s">
        <v>2174</v>
      </c>
    </row>
    <row r="4984" customFormat="false" ht="12.8" hidden="false" customHeight="false" outlineLevel="0" collapsed="false">
      <c r="B4984" s="0" t="s">
        <v>602</v>
      </c>
      <c r="C4984" s="0" t="s">
        <v>2175</v>
      </c>
      <c r="E4984" s="0" t="s">
        <v>2176</v>
      </c>
      <c r="F4984" s="0" t="s">
        <v>2177</v>
      </c>
    </row>
    <row r="4986" customFormat="false" ht="12.8" hidden="false" customHeight="false" outlineLevel="0" collapsed="false">
      <c r="A4986" s="0" t="s">
        <v>2809</v>
      </c>
      <c r="B4986" s="0" t="str">
        <f aca="false">HYPERLINK("https://lindat.mff.cuni.cz/services/teitok/pdtc10/index.php?action=vallex&amp;frame=v-w732f28_ZU", "dostat (v-w732f28_ZU)")</f>
        <v>dostat (v-w732f28_ZU)</v>
      </c>
      <c r="E4986" s="0" t="str">
        <f aca="false">HYPERLINK("https://lindat.mff.cuni.cz/services/SynSemClass40/SynSemClass40.html?veclass=vec00189#vec00189-ces-cm00054", "vec00189")</f>
        <v>vec00189</v>
      </c>
      <c r="F4986" s="0" t="s">
        <v>2169</v>
      </c>
    </row>
    <row r="4987" customFormat="false" ht="12.8" hidden="false" customHeight="false" outlineLevel="0" collapsed="false">
      <c r="B4987" s="0" t="s">
        <v>1</v>
      </c>
      <c r="C4987" s="0" t="s">
        <v>2170</v>
      </c>
      <c r="E4987" s="0" t="s">
        <v>1567</v>
      </c>
      <c r="F4987" s="0" t="s">
        <v>2171</v>
      </c>
    </row>
    <row r="4988" customFormat="false" ht="12.8" hidden="false" customHeight="false" outlineLevel="0" collapsed="false">
      <c r="B4988" s="0" t="s">
        <v>665</v>
      </c>
      <c r="C4988" s="0" t="s">
        <v>2173</v>
      </c>
      <c r="E4988" s="0" t="s">
        <v>2111</v>
      </c>
      <c r="F4988" s="0" t="s">
        <v>2174</v>
      </c>
    </row>
    <row r="4989" customFormat="false" ht="12.8" hidden="false" customHeight="false" outlineLevel="0" collapsed="false">
      <c r="B4989" s="0" t="s">
        <v>602</v>
      </c>
      <c r="C4989" s="0" t="s">
        <v>2175</v>
      </c>
      <c r="E4989" s="0" t="s">
        <v>2176</v>
      </c>
      <c r="F4989" s="0" t="s">
        <v>2177</v>
      </c>
    </row>
    <row r="4991" customFormat="false" ht="12.8" hidden="false" customHeight="false" outlineLevel="0" collapsed="false">
      <c r="A4991" s="0" t="s">
        <v>2810</v>
      </c>
      <c r="B4991" s="0" t="str">
        <f aca="false">HYPERLINK("https://lindat.mff.cuni.cz/services/teitok/pdtc10/index.php?action=vallex&amp;frame=v-w732f6", "dostat (v-w732f6)")</f>
        <v>dostat (v-w732f6)</v>
      </c>
    </row>
    <row r="4992" customFormat="false" ht="12.8" hidden="false" customHeight="false" outlineLevel="0" collapsed="false">
      <c r="B4992" s="0" t="s">
        <v>1</v>
      </c>
    </row>
    <row r="4993" customFormat="false" ht="12.8" hidden="false" customHeight="false" outlineLevel="0" collapsed="false">
      <c r="B4993" s="0" t="s">
        <v>2811</v>
      </c>
    </row>
    <row r="4994" customFormat="false" ht="12.8" hidden="false" customHeight="false" outlineLevel="0" collapsed="false">
      <c r="B4994" s="0" t="s">
        <v>2812</v>
      </c>
    </row>
    <row r="4995" customFormat="false" ht="12.8" hidden="false" customHeight="false" outlineLevel="0" collapsed="false">
      <c r="B4995" s="0" t="s">
        <v>602</v>
      </c>
    </row>
    <row r="4997" customFormat="false" ht="12.8" hidden="false" customHeight="false" outlineLevel="0" collapsed="false">
      <c r="A4997" s="0" t="s">
        <v>2813</v>
      </c>
      <c r="B4997" s="0" t="str">
        <f aca="false">HYPERLINK("https://lindat.mff.cuni.cz/services/teitok/pdtc10/index.php?action=vallex&amp;frame=v-w732f21", "dostat (v-w732f21)")</f>
        <v>dostat (v-w732f21)</v>
      </c>
    </row>
    <row r="4998" customFormat="false" ht="12.8" hidden="false" customHeight="false" outlineLevel="0" collapsed="false">
      <c r="B4998" s="0" t="s">
        <v>1</v>
      </c>
    </row>
    <row r="4999" customFormat="false" ht="12.8" hidden="false" customHeight="false" outlineLevel="0" collapsed="false">
      <c r="B4999" s="0" t="s">
        <v>8</v>
      </c>
    </row>
    <row r="5000" customFormat="false" ht="12.8" hidden="false" customHeight="false" outlineLevel="0" collapsed="false">
      <c r="B5000" s="0" t="s">
        <v>2814</v>
      </c>
    </row>
    <row r="5002" customFormat="false" ht="12.8" hidden="false" customHeight="false" outlineLevel="0" collapsed="false">
      <c r="A5002" s="0" t="s">
        <v>2815</v>
      </c>
      <c r="B5002" s="0" t="str">
        <f aca="false">HYPERLINK("https://lindat.mff.cuni.cz/services/teitok/pdtc10/index.php?action=vallex&amp;frame=v-w732f9", "dostat (v-w732f9)")</f>
        <v>dostat (v-w732f9)</v>
      </c>
      <c r="E5002" s="0" t="str">
        <f aca="false">HYPERLINK("https://lindat.mff.cuni.cz/services/SynSemClass40/SynSemClass40.html?veclass=vec01214#vec01214-ces-cm00001", "vec01214")</f>
        <v>vec01214</v>
      </c>
      <c r="F5002" s="0" t="s">
        <v>2816</v>
      </c>
    </row>
    <row r="5003" customFormat="false" ht="12.8" hidden="false" customHeight="false" outlineLevel="0" collapsed="false">
      <c r="B5003" s="0" t="s">
        <v>1</v>
      </c>
      <c r="E5003" s="0" t="s">
        <v>206</v>
      </c>
      <c r="F5003" s="0" t="s">
        <v>1359</v>
      </c>
    </row>
    <row r="5004" customFormat="false" ht="12.8" hidden="false" customHeight="false" outlineLevel="0" collapsed="false">
      <c r="B5004" s="0" t="s">
        <v>8</v>
      </c>
      <c r="C5004" s="0" t="s">
        <v>1910</v>
      </c>
      <c r="E5004" s="0" t="s">
        <v>2648</v>
      </c>
      <c r="F5004" s="0" t="s">
        <v>2817</v>
      </c>
    </row>
    <row r="5005" customFormat="false" ht="12.8" hidden="false" customHeight="false" outlineLevel="0" collapsed="false">
      <c r="B5005" s="0" t="s">
        <v>631</v>
      </c>
      <c r="E5005" s="0" t="s">
        <v>2818</v>
      </c>
      <c r="F5005" s="0" t="s">
        <v>2819</v>
      </c>
    </row>
    <row r="5007" customFormat="false" ht="12.8" hidden="false" customHeight="false" outlineLevel="0" collapsed="false">
      <c r="A5007" s="0" t="s">
        <v>2820</v>
      </c>
      <c r="B5007" s="0" t="str">
        <f aca="false">HYPERLINK("https://lindat.mff.cuni.cz/services/teitok/pdtc10/index.php?action=vallex&amp;frame=v-w732f23", "dostat (v-w732f23)")</f>
        <v>dostat (v-w732f23)</v>
      </c>
    </row>
    <row r="5008" customFormat="false" ht="12.8" hidden="false" customHeight="false" outlineLevel="0" collapsed="false">
      <c r="B5008" s="0" t="s">
        <v>1</v>
      </c>
    </row>
    <row r="5009" customFormat="false" ht="12.8" hidden="false" customHeight="false" outlineLevel="0" collapsed="false">
      <c r="B5009" s="0" t="s">
        <v>8</v>
      </c>
    </row>
    <row r="5010" customFormat="false" ht="12.8" hidden="false" customHeight="false" outlineLevel="0" collapsed="false">
      <c r="B5010" s="0" t="s">
        <v>631</v>
      </c>
    </row>
    <row r="5012" customFormat="false" ht="12.8" hidden="false" customHeight="false" outlineLevel="0" collapsed="false">
      <c r="A5012" s="0" t="s">
        <v>2821</v>
      </c>
      <c r="B5012" s="0" t="str">
        <f aca="false">HYPERLINK("https://lindat.mff.cuni.cz/services/teitok/pdtc10/index.php?action=vallex&amp;frame=v-w732f11", "dostat (v-w732f11)")</f>
        <v>dostat (v-w732f11)</v>
      </c>
      <c r="E5012" s="0" t="str">
        <f aca="false">HYPERLINK("https://lindat.mff.cuni.cz/services/SynSemClass40/SynSemClass40.html?veclass=vec00812#vec00812-ces-cm00013", "vec00812")</f>
        <v>vec00812</v>
      </c>
      <c r="F5012" s="0" t="s">
        <v>2822</v>
      </c>
    </row>
    <row r="5013" customFormat="false" ht="12.8" hidden="false" customHeight="false" outlineLevel="0" collapsed="false">
      <c r="B5013" s="0" t="s">
        <v>1</v>
      </c>
      <c r="C5013" s="0" t="s">
        <v>2823</v>
      </c>
      <c r="E5013" s="0" t="s">
        <v>1103</v>
      </c>
      <c r="F5013" s="0" t="s">
        <v>2824</v>
      </c>
    </row>
    <row r="5014" customFormat="false" ht="12.8" hidden="false" customHeight="false" outlineLevel="0" collapsed="false">
      <c r="B5014" s="0" t="s">
        <v>8</v>
      </c>
      <c r="C5014" s="0" t="s">
        <v>2372</v>
      </c>
      <c r="E5014" s="0" t="s">
        <v>142</v>
      </c>
      <c r="F5014" s="0" t="s">
        <v>2825</v>
      </c>
    </row>
    <row r="5015" customFormat="false" ht="12.8" hidden="false" customHeight="false" outlineLevel="0" collapsed="false">
      <c r="B5015" s="0" t="s">
        <v>361</v>
      </c>
      <c r="C5015" s="0" t="s">
        <v>2826</v>
      </c>
      <c r="E5015" s="0" t="s">
        <v>2827</v>
      </c>
      <c r="F5015" s="0" t="s">
        <v>2828</v>
      </c>
    </row>
    <row r="5017" customFormat="false" ht="12.8" hidden="false" customHeight="false" outlineLevel="0" collapsed="false">
      <c r="A5017" s="0" t="s">
        <v>2829</v>
      </c>
      <c r="B5017" s="0" t="str">
        <f aca="false">HYPERLINK("https://lindat.mff.cuni.cz/services/teitok/pdtc10/index.php?action=vallex&amp;frame=v-w732f3", "dostat (v-w732f3)")</f>
        <v>dostat (v-w732f3)</v>
      </c>
      <c r="E5017" s="0" t="str">
        <f aca="false">HYPERLINK("https://lindat.mff.cuni.cz/services/SynSemClass40/SynSemClass40.html?veclass=vec00735#vec00735-ces-cm00008", "vec00735")</f>
        <v>vec00735</v>
      </c>
      <c r="F5017" s="0" t="s">
        <v>2719</v>
      </c>
    </row>
    <row r="5018" customFormat="false" ht="12.8" hidden="false" customHeight="false" outlineLevel="0" collapsed="false">
      <c r="B5018" s="0" t="s">
        <v>1</v>
      </c>
      <c r="C5018" s="0" t="s">
        <v>2720</v>
      </c>
      <c r="E5018" s="0" t="s">
        <v>334</v>
      </c>
      <c r="F5018" s="0" t="s">
        <v>2721</v>
      </c>
    </row>
    <row r="5019" customFormat="false" ht="12.8" hidden="false" customHeight="false" outlineLevel="0" collapsed="false">
      <c r="B5019" s="0" t="s">
        <v>8</v>
      </c>
      <c r="C5019" s="0" t="s">
        <v>2722</v>
      </c>
      <c r="E5019" s="0" t="s">
        <v>2648</v>
      </c>
      <c r="F5019" s="0" t="s">
        <v>2723</v>
      </c>
    </row>
    <row r="5020" customFormat="false" ht="12.8" hidden="false" customHeight="false" outlineLevel="0" collapsed="false">
      <c r="B5020" s="0" t="s">
        <v>164</v>
      </c>
      <c r="C5020" s="0" t="s">
        <v>2724</v>
      </c>
      <c r="E5020" s="0" t="s">
        <v>370</v>
      </c>
      <c r="F5020" s="0" t="s">
        <v>2725</v>
      </c>
    </row>
    <row r="5022" customFormat="false" ht="12.8" hidden="false" customHeight="false" outlineLevel="0" collapsed="false">
      <c r="A5022" s="0" t="s">
        <v>2830</v>
      </c>
      <c r="B5022" s="0" t="str">
        <f aca="false">HYPERLINK("https://lindat.mff.cuni.cz/services/teitok/pdtc10/index.php?action=vallex&amp;frame=v-w732f40_ZU", "dostat (v-w732f40_ZU)")</f>
        <v>dostat (v-w732f40_ZU)</v>
      </c>
    </row>
    <row r="5023" customFormat="false" ht="12.8" hidden="false" customHeight="false" outlineLevel="0" collapsed="false">
      <c r="B5023" s="0" t="s">
        <v>1</v>
      </c>
    </row>
    <row r="5024" customFormat="false" ht="12.8" hidden="false" customHeight="false" outlineLevel="0" collapsed="false">
      <c r="B5024" s="0" t="s">
        <v>8</v>
      </c>
    </row>
    <row r="5026" customFormat="false" ht="12.8" hidden="false" customHeight="false" outlineLevel="0" collapsed="false">
      <c r="A5026" s="0" t="s">
        <v>2830</v>
      </c>
      <c r="B5026" s="0" t="str">
        <f aca="false">HYPERLINK("https://lindat.mff.cuni.cz/services/teitok/pdtc10/index.php?action=vallex&amp;frame=v-w732f4", "dostat (v-w732f4) - substituted with v-w732f40_ZU")</f>
        <v>dostat (v-w732f4) - substituted with v-w732f40_ZU</v>
      </c>
      <c r="E5026" s="0" t="str">
        <f aca="false">HYPERLINK("https://lindat.mff.cuni.cz/services/SynSemClass40/SynSemClass40.html?veclass=vec00586#vec00586-ces-cm00012", "vec00586")</f>
        <v>vec00586</v>
      </c>
      <c r="F5026" s="0" t="s">
        <v>2831</v>
      </c>
    </row>
    <row r="5027" customFormat="false" ht="12.8" hidden="false" customHeight="false" outlineLevel="0" collapsed="false">
      <c r="B5027" s="0" t="s">
        <v>1</v>
      </c>
      <c r="C5027" s="0" t="s">
        <v>2832</v>
      </c>
      <c r="E5027" s="0" t="s">
        <v>1567</v>
      </c>
      <c r="F5027" s="0" t="s">
        <v>2833</v>
      </c>
    </row>
    <row r="5028" customFormat="false" ht="12.8" hidden="false" customHeight="false" outlineLevel="0" collapsed="false">
      <c r="B5028" s="0" t="s">
        <v>8</v>
      </c>
      <c r="C5028" s="0" t="s">
        <v>2834</v>
      </c>
      <c r="E5028" s="0" t="s">
        <v>2111</v>
      </c>
      <c r="F5028" s="0" t="s">
        <v>2835</v>
      </c>
    </row>
    <row r="5030" customFormat="false" ht="12.8" hidden="false" customHeight="false" outlineLevel="0" collapsed="false">
      <c r="A5030" s="0" t="s">
        <v>2836</v>
      </c>
      <c r="B5030" s="0" t="str">
        <f aca="false">HYPERLINK("https://lindat.mff.cuni.cz/services/teitok/pdtc10/index.php?action=vallex&amp;frame=v-w732f7", "dostat (v-w732f7)")</f>
        <v>dostat (v-w732f7)</v>
      </c>
    </row>
    <row r="5031" customFormat="false" ht="12.8" hidden="false" customHeight="false" outlineLevel="0" collapsed="false">
      <c r="B5031" s="0" t="s">
        <v>1</v>
      </c>
    </row>
    <row r="5032" customFormat="false" ht="12.8" hidden="false" customHeight="false" outlineLevel="0" collapsed="false">
      <c r="B5032" s="0" t="s">
        <v>8</v>
      </c>
    </row>
    <row r="5034" customFormat="false" ht="12.8" hidden="false" customHeight="false" outlineLevel="0" collapsed="false">
      <c r="A5034" s="0" t="s">
        <v>2837</v>
      </c>
      <c r="B5034" s="0" t="str">
        <f aca="false">HYPERLINK("https://lindat.mff.cuni.cz/services/teitok/pdtc10/index.php?action=vallex&amp;frame=v-w732f14", "dostat (v-w732f14)")</f>
        <v>dostat (v-w732f14)</v>
      </c>
    </row>
    <row r="5035" customFormat="false" ht="12.8" hidden="false" customHeight="false" outlineLevel="0" collapsed="false">
      <c r="B5035" s="0" t="s">
        <v>1</v>
      </c>
    </row>
    <row r="5036" customFormat="false" ht="12.8" hidden="false" customHeight="false" outlineLevel="0" collapsed="false">
      <c r="B5036" s="0" t="s">
        <v>8</v>
      </c>
    </row>
    <row r="5038" customFormat="false" ht="12.8" hidden="false" customHeight="false" outlineLevel="0" collapsed="false">
      <c r="A5038" s="0" t="s">
        <v>2838</v>
      </c>
      <c r="B5038" s="0" t="str">
        <f aca="false">HYPERLINK("https://lindat.mff.cuni.cz/services/teitok/pdtc10/index.php?action=vallex&amp;frame=v-w732f39_ZU", "dostat (v-w732f39_ZU)")</f>
        <v>dostat (v-w732f39_ZU)</v>
      </c>
    </row>
    <row r="5039" customFormat="false" ht="12.8" hidden="false" customHeight="false" outlineLevel="0" collapsed="false">
      <c r="B5039" s="0" t="s">
        <v>1</v>
      </c>
    </row>
    <row r="5040" customFormat="false" ht="12.8" hidden="false" customHeight="false" outlineLevel="0" collapsed="false">
      <c r="B5040" s="0" t="s">
        <v>2839</v>
      </c>
    </row>
    <row r="5041" customFormat="false" ht="12.8" hidden="false" customHeight="false" outlineLevel="0" collapsed="false">
      <c r="B5041" s="0" t="s">
        <v>2840</v>
      </c>
    </row>
    <row r="5043" customFormat="false" ht="12.8" hidden="false" customHeight="false" outlineLevel="0" collapsed="false">
      <c r="A5043" s="0" t="s">
        <v>2838</v>
      </c>
      <c r="B5043" s="0" t="str">
        <f aca="false">HYPERLINK("https://lindat.mff.cuni.cz/services/teitok/pdtc10/index.php?action=vallex&amp;frame=v-w732f2", "dostat (v-w732f2) - substituted with v-w732f39_ZU")</f>
        <v>dostat (v-w732f2) - substituted with v-w732f39_ZU</v>
      </c>
    </row>
    <row r="5044" customFormat="false" ht="12.8" hidden="false" customHeight="false" outlineLevel="0" collapsed="false">
      <c r="B5044" s="0" t="s">
        <v>1</v>
      </c>
    </row>
    <row r="5045" customFormat="false" ht="12.8" hidden="false" customHeight="false" outlineLevel="0" collapsed="false">
      <c r="B5045" s="0" t="s">
        <v>2839</v>
      </c>
    </row>
    <row r="5046" customFormat="false" ht="12.8" hidden="false" customHeight="false" outlineLevel="0" collapsed="false">
      <c r="B5046" s="0" t="s">
        <v>2840</v>
      </c>
    </row>
    <row r="5048" customFormat="false" ht="12.8" hidden="false" customHeight="false" outlineLevel="0" collapsed="false">
      <c r="A5048" s="0" t="s">
        <v>2838</v>
      </c>
      <c r="B5048" s="0" t="str">
        <f aca="false">HYPERLINK("https://lindat.mff.cuni.cz/services/teitok/pdtc10/index.php?action=vallex&amp;frame=v-w732f26_ZU", "dostat (v-w732f26_ZU) - substituted with v-w732f39_ZU")</f>
        <v>dostat (v-w732f26_ZU) - substituted with v-w732f39_ZU</v>
      </c>
    </row>
    <row r="5049" customFormat="false" ht="12.8" hidden="false" customHeight="false" outlineLevel="0" collapsed="false">
      <c r="B5049" s="0" t="s">
        <v>1</v>
      </c>
    </row>
    <row r="5050" customFormat="false" ht="12.8" hidden="false" customHeight="false" outlineLevel="0" collapsed="false">
      <c r="B5050" s="0" t="s">
        <v>2839</v>
      </c>
    </row>
    <row r="5051" customFormat="false" ht="12.8" hidden="false" customHeight="false" outlineLevel="0" collapsed="false">
      <c r="B5051" s="0" t="s">
        <v>2840</v>
      </c>
    </row>
    <row r="5053" customFormat="false" ht="12.8" hidden="false" customHeight="false" outlineLevel="0" collapsed="false">
      <c r="A5053" s="0" t="s">
        <v>2838</v>
      </c>
      <c r="B5053" s="0" t="str">
        <f aca="false">HYPERLINK("https://lindat.mff.cuni.cz/services/teitok/pdtc10/index.php?action=vallex&amp;frame=v-w732f27_ZU", "dostat (v-w732f27_ZU) - substituted with v-w732f39_ZU")</f>
        <v>dostat (v-w732f27_ZU) - substituted with v-w732f39_ZU</v>
      </c>
    </row>
    <row r="5054" customFormat="false" ht="12.8" hidden="false" customHeight="false" outlineLevel="0" collapsed="false">
      <c r="B5054" s="0" t="s">
        <v>1</v>
      </c>
    </row>
    <row r="5055" customFormat="false" ht="12.8" hidden="false" customHeight="false" outlineLevel="0" collapsed="false">
      <c r="B5055" s="0" t="s">
        <v>2839</v>
      </c>
    </row>
    <row r="5056" customFormat="false" ht="12.8" hidden="false" customHeight="false" outlineLevel="0" collapsed="false">
      <c r="B5056" s="0" t="s">
        <v>2840</v>
      </c>
    </row>
    <row r="5058" customFormat="false" ht="12.8" hidden="false" customHeight="false" outlineLevel="0" collapsed="false">
      <c r="A5058" s="0" t="s">
        <v>2838</v>
      </c>
      <c r="B5058" s="0" t="str">
        <f aca="false">HYPERLINK("https://lindat.mff.cuni.cz/services/teitok/pdtc10/index.php?action=vallex&amp;frame=v-w732f29_ZU", "dostat (v-w732f29_ZU) - substituted with v-w732f39_ZU")</f>
        <v>dostat (v-w732f29_ZU) - substituted with v-w732f39_ZU</v>
      </c>
    </row>
    <row r="5059" customFormat="false" ht="12.8" hidden="false" customHeight="false" outlineLevel="0" collapsed="false">
      <c r="B5059" s="0" t="s">
        <v>1</v>
      </c>
    </row>
    <row r="5060" customFormat="false" ht="12.8" hidden="false" customHeight="false" outlineLevel="0" collapsed="false">
      <c r="B5060" s="0" t="s">
        <v>2839</v>
      </c>
    </row>
    <row r="5061" customFormat="false" ht="12.8" hidden="false" customHeight="false" outlineLevel="0" collapsed="false">
      <c r="B5061" s="0" t="s">
        <v>2840</v>
      </c>
    </row>
    <row r="5063" customFormat="false" ht="12.8" hidden="false" customHeight="false" outlineLevel="0" collapsed="false">
      <c r="A5063" s="0" t="s">
        <v>2838</v>
      </c>
      <c r="B5063" s="0" t="str">
        <f aca="false">HYPERLINK("https://lindat.mff.cuni.cz/services/teitok/pdtc10/index.php?action=vallex&amp;frame=v-w732f33_ZU", "dostat (v-w732f33_ZU) - substituted with v-w732f39_ZU")</f>
        <v>dostat (v-w732f33_ZU) - substituted with v-w732f39_ZU</v>
      </c>
    </row>
    <row r="5064" customFormat="false" ht="12.8" hidden="false" customHeight="false" outlineLevel="0" collapsed="false">
      <c r="B5064" s="0" t="s">
        <v>1</v>
      </c>
    </row>
    <row r="5065" customFormat="false" ht="12.8" hidden="false" customHeight="false" outlineLevel="0" collapsed="false">
      <c r="B5065" s="0" t="s">
        <v>2839</v>
      </c>
    </row>
    <row r="5066" customFormat="false" ht="12.8" hidden="false" customHeight="false" outlineLevel="0" collapsed="false">
      <c r="B5066" s="0" t="s">
        <v>2840</v>
      </c>
    </row>
    <row r="5068" customFormat="false" ht="12.8" hidden="false" customHeight="false" outlineLevel="0" collapsed="false">
      <c r="A5068" s="0" t="s">
        <v>2838</v>
      </c>
      <c r="B5068" s="0" t="str">
        <f aca="false">HYPERLINK("https://lindat.mff.cuni.cz/services/teitok/pdtc10/index.php?action=vallex&amp;frame=v-w732f34_ZU", "dostat (v-w732f34_ZU) - substituted with v-w732f39_ZU")</f>
        <v>dostat (v-w732f34_ZU) - substituted with v-w732f39_ZU</v>
      </c>
    </row>
    <row r="5069" customFormat="false" ht="12.8" hidden="false" customHeight="false" outlineLevel="0" collapsed="false">
      <c r="B5069" s="0" t="s">
        <v>1</v>
      </c>
    </row>
    <row r="5070" customFormat="false" ht="12.8" hidden="false" customHeight="false" outlineLevel="0" collapsed="false">
      <c r="B5070" s="0" t="s">
        <v>2839</v>
      </c>
    </row>
    <row r="5071" customFormat="false" ht="12.8" hidden="false" customHeight="false" outlineLevel="0" collapsed="false">
      <c r="B5071" s="0" t="s">
        <v>2840</v>
      </c>
    </row>
    <row r="5073" customFormat="false" ht="12.8" hidden="false" customHeight="false" outlineLevel="0" collapsed="false">
      <c r="A5073" s="0" t="s">
        <v>2838</v>
      </c>
      <c r="B5073" s="0" t="str">
        <f aca="false">HYPERLINK("https://lindat.mff.cuni.cz/services/teitok/pdtc10/index.php?action=vallex&amp;frame=v-w732f35_ZU", "dostat (v-w732f35_ZU) - substituted with v-w732f39_ZU")</f>
        <v>dostat (v-w732f35_ZU) - substituted with v-w732f39_ZU</v>
      </c>
      <c r="E5073" s="0" t="str">
        <f aca="false">HYPERLINK("https://lindat.mff.cuni.cz/services/SynSemClass40/SynSemClass40.html?veclass=vec00189#vec00189-ces-cm00008", "vec00189")</f>
        <v>vec00189</v>
      </c>
      <c r="F5073" s="0" t="s">
        <v>2169</v>
      </c>
    </row>
    <row r="5074" customFormat="false" ht="12.8" hidden="false" customHeight="false" outlineLevel="0" collapsed="false">
      <c r="B5074" s="0" t="s">
        <v>1</v>
      </c>
      <c r="C5074" s="0" t="s">
        <v>2170</v>
      </c>
      <c r="E5074" s="0" t="s">
        <v>1567</v>
      </c>
      <c r="F5074" s="0" t="s">
        <v>2171</v>
      </c>
    </row>
    <row r="5075" customFormat="false" ht="12.8" hidden="false" customHeight="false" outlineLevel="0" collapsed="false">
      <c r="B5075" s="0" t="s">
        <v>2839</v>
      </c>
      <c r="C5075" s="0" t="s">
        <v>2841</v>
      </c>
      <c r="E5075" s="0" t="s">
        <v>2842</v>
      </c>
      <c r="F5075" s="0" t="s">
        <v>2843</v>
      </c>
    </row>
    <row r="5076" customFormat="false" ht="12.8" hidden="false" customHeight="false" outlineLevel="0" collapsed="false">
      <c r="B5076" s="0" t="s">
        <v>2840</v>
      </c>
      <c r="C5076" s="0" t="s">
        <v>2175</v>
      </c>
      <c r="E5076" s="0" t="s">
        <v>2176</v>
      </c>
      <c r="F5076" s="0" t="s">
        <v>2177</v>
      </c>
    </row>
    <row r="5078" customFormat="false" ht="12.8" hidden="false" customHeight="false" outlineLevel="0" collapsed="false">
      <c r="A5078" s="0" t="s">
        <v>2838</v>
      </c>
      <c r="B5078" s="0" t="str">
        <f aca="false">HYPERLINK("https://lindat.mff.cuni.cz/services/teitok/pdtc10/index.php?action=vallex&amp;frame=v-w732hsa_1361", "dostat (v-w732hsa_1361) - substituted with v-w732f39_ZU")</f>
        <v>dostat (v-w732hsa_1361) - substituted with v-w732f39_ZU</v>
      </c>
    </row>
    <row r="5079" customFormat="false" ht="12.8" hidden="false" customHeight="false" outlineLevel="0" collapsed="false">
      <c r="B5079" s="0" t="s">
        <v>1</v>
      </c>
    </row>
    <row r="5080" customFormat="false" ht="12.8" hidden="false" customHeight="false" outlineLevel="0" collapsed="false">
      <c r="B5080" s="0" t="s">
        <v>2839</v>
      </c>
    </row>
    <row r="5081" customFormat="false" ht="12.8" hidden="false" customHeight="false" outlineLevel="0" collapsed="false">
      <c r="B5081" s="0" t="s">
        <v>2840</v>
      </c>
    </row>
    <row r="5083" customFormat="false" ht="12.8" hidden="false" customHeight="false" outlineLevel="0" collapsed="false">
      <c r="A5083" s="0" t="s">
        <v>2838</v>
      </c>
      <c r="B5083" s="0" t="str">
        <f aca="false">HYPERLINK("https://lindat.mff.cuni.cz/services/teitok/pdtc10/index.php?action=vallex&amp;frame=v-w732hsa_340", "dostat (v-w732hsa_340) - substituted with v-w732f39_ZU")</f>
        <v>dostat (v-w732hsa_340) - substituted with v-w732f39_ZU</v>
      </c>
    </row>
    <row r="5084" customFormat="false" ht="12.8" hidden="false" customHeight="false" outlineLevel="0" collapsed="false">
      <c r="B5084" s="0" t="s">
        <v>1</v>
      </c>
    </row>
    <row r="5085" customFormat="false" ht="12.8" hidden="false" customHeight="false" outlineLevel="0" collapsed="false">
      <c r="B5085" s="0" t="s">
        <v>2839</v>
      </c>
    </row>
    <row r="5086" customFormat="false" ht="12.8" hidden="false" customHeight="false" outlineLevel="0" collapsed="false">
      <c r="B5086" s="0" t="s">
        <v>2840</v>
      </c>
    </row>
    <row r="5088" customFormat="false" ht="12.8" hidden="false" customHeight="false" outlineLevel="0" collapsed="false">
      <c r="A5088" s="0" t="s">
        <v>2844</v>
      </c>
      <c r="B5088" s="0" t="str">
        <f aca="false">HYPERLINK("https://lindat.mff.cuni.cz/services/teitok/pdtc10/index.php?action=vallex&amp;frame=v-w732f25", "dostat (v-w732f25)")</f>
        <v>dostat (v-w732f25)</v>
      </c>
    </row>
    <row r="5089" customFormat="false" ht="12.8" hidden="false" customHeight="false" outlineLevel="0" collapsed="false">
      <c r="B5089" s="0" t="s">
        <v>1</v>
      </c>
    </row>
    <row r="5090" customFormat="false" ht="12.8" hidden="false" customHeight="false" outlineLevel="0" collapsed="false">
      <c r="B5090" s="0" t="s">
        <v>2845</v>
      </c>
    </row>
    <row r="5092" customFormat="false" ht="12.8" hidden="false" customHeight="false" outlineLevel="0" collapsed="false">
      <c r="A5092" s="0" t="s">
        <v>2846</v>
      </c>
      <c r="B5092" s="0" t="str">
        <f aca="false">HYPERLINK("https://lindat.mff.cuni.cz/services/teitok/pdtc10/index.php?action=vallex&amp;frame=v-w732f16", "dostat (v-w732f16)")</f>
        <v>dostat (v-w732f16)</v>
      </c>
      <c r="E5092" s="0" t="str">
        <f aca="false">HYPERLINK("https://lindat.mff.cuni.cz/services/SynSemClass40/SynSemClass40.html?veclass=vec01491#vec01491-ces-cm00053", "vec01491")</f>
        <v>vec01491</v>
      </c>
      <c r="F5092" s="0" t="s">
        <v>2792</v>
      </c>
    </row>
    <row r="5093" customFormat="false" ht="12.8" hidden="false" customHeight="false" outlineLevel="0" collapsed="false">
      <c r="B5093" s="0" t="s">
        <v>1</v>
      </c>
      <c r="C5093" s="0" t="s">
        <v>2847</v>
      </c>
      <c r="E5093" s="0" t="s">
        <v>1567</v>
      </c>
      <c r="F5093" s="0" t="s">
        <v>2794</v>
      </c>
    </row>
    <row r="5094" customFormat="false" ht="12.8" hidden="false" customHeight="false" outlineLevel="0" collapsed="false">
      <c r="B5094" s="0" t="s">
        <v>2848</v>
      </c>
    </row>
    <row r="5095" customFormat="false" ht="12.8" hidden="false" customHeight="false" outlineLevel="0" collapsed="false">
      <c r="B5095" s="0" t="s">
        <v>8</v>
      </c>
      <c r="C5095" s="0" t="s">
        <v>2849</v>
      </c>
      <c r="E5095" s="0" t="s">
        <v>1875</v>
      </c>
      <c r="F5095" s="0" t="s">
        <v>2796</v>
      </c>
    </row>
    <row r="5097" customFormat="false" ht="12.8" hidden="false" customHeight="false" outlineLevel="0" collapsed="false">
      <c r="A5097" s="0" t="s">
        <v>2850</v>
      </c>
      <c r="B5097" s="0" t="str">
        <f aca="false">HYPERLINK("https://lindat.mff.cuni.cz/services/teitok/pdtc10/index.php?action=vallex&amp;frame=v-w732f17", "dostat (v-w732f17)")</f>
        <v>dostat (v-w732f17)</v>
      </c>
      <c r="E5097" s="0" t="str">
        <f aca="false">HYPERLINK("https://lindat.mff.cuni.cz/services/SynSemClass40/SynSemClass40.html?veclass=vec01491#vec01491-ces-cm00054", "vec01491")</f>
        <v>vec01491</v>
      </c>
      <c r="F5097" s="0" t="s">
        <v>2792</v>
      </c>
    </row>
    <row r="5098" customFormat="false" ht="12.8" hidden="false" customHeight="false" outlineLevel="0" collapsed="false">
      <c r="B5098" s="0" t="s">
        <v>1</v>
      </c>
      <c r="C5098" s="0" t="s">
        <v>2847</v>
      </c>
      <c r="E5098" s="0" t="s">
        <v>1567</v>
      </c>
      <c r="F5098" s="0" t="s">
        <v>2794</v>
      </c>
    </row>
    <row r="5099" customFormat="false" ht="12.8" hidden="false" customHeight="false" outlineLevel="0" collapsed="false">
      <c r="B5099" s="0" t="s">
        <v>960</v>
      </c>
    </row>
    <row r="5100" customFormat="false" ht="12.8" hidden="false" customHeight="false" outlineLevel="0" collapsed="false">
      <c r="B5100" s="0" t="s">
        <v>8</v>
      </c>
      <c r="C5100" s="0" t="s">
        <v>2849</v>
      </c>
      <c r="E5100" s="0" t="s">
        <v>1875</v>
      </c>
      <c r="F5100" s="0" t="s">
        <v>2796</v>
      </c>
    </row>
    <row r="5102" customFormat="false" ht="12.8" hidden="false" customHeight="false" outlineLevel="0" collapsed="false">
      <c r="A5102" s="0" t="s">
        <v>2851</v>
      </c>
      <c r="B5102" s="0" t="str">
        <f aca="false">HYPERLINK("https://lindat.mff.cuni.cz/services/teitok/pdtc10/index.php?action=vallex&amp;frame=v-w732f15", "dostat (v-w732f15)")</f>
        <v>dostat (v-w732f15)</v>
      </c>
    </row>
    <row r="5103" customFormat="false" ht="12.8" hidden="false" customHeight="false" outlineLevel="0" collapsed="false">
      <c r="B5103" s="0" t="s">
        <v>1</v>
      </c>
    </row>
    <row r="5104" customFormat="false" ht="12.8" hidden="false" customHeight="false" outlineLevel="0" collapsed="false">
      <c r="B5104" s="0" t="s">
        <v>2852</v>
      </c>
    </row>
    <row r="5105" customFormat="false" ht="12.8" hidden="false" customHeight="false" outlineLevel="0" collapsed="false">
      <c r="B5105" s="0" t="s">
        <v>8</v>
      </c>
    </row>
    <row r="5107" customFormat="false" ht="12.8" hidden="false" customHeight="false" outlineLevel="0" collapsed="false">
      <c r="A5107" s="0" t="s">
        <v>2853</v>
      </c>
      <c r="B5107" s="0" t="str">
        <f aca="false">HYPERLINK("https://lindat.mff.cuni.cz/services/teitok/pdtc10/index.php?action=vallex&amp;frame=v-w732f37_JS", "dostat (v-w732f37_JS)")</f>
        <v>dostat (v-w732f37_JS)</v>
      </c>
    </row>
    <row r="5108" customFormat="false" ht="12.8" hidden="false" customHeight="false" outlineLevel="0" collapsed="false">
      <c r="B5108" s="0" t="s">
        <v>1</v>
      </c>
    </row>
    <row r="5109" customFormat="false" ht="12.8" hidden="false" customHeight="false" outlineLevel="0" collapsed="false">
      <c r="B5109" s="0" t="s">
        <v>2854</v>
      </c>
    </row>
    <row r="5110" customFormat="false" ht="12.8" hidden="false" customHeight="false" outlineLevel="0" collapsed="false">
      <c r="B5110" s="0" t="s">
        <v>444</v>
      </c>
    </row>
    <row r="5112" customFormat="false" ht="12.8" hidden="false" customHeight="false" outlineLevel="0" collapsed="false">
      <c r="A5112" s="0" t="s">
        <v>2853</v>
      </c>
      <c r="B5112" s="0" t="str">
        <f aca="false">HYPERLINK("https://lindat.mff.cuni.cz/services/teitok/pdtc10/index.php?action=vallex&amp;frame=v-w732f22", "dostat (v-w732f22) - substituted with v-w732f37_JS")</f>
        <v>dostat (v-w732f22) - substituted with v-w732f37_JS</v>
      </c>
    </row>
    <row r="5113" customFormat="false" ht="12.8" hidden="false" customHeight="false" outlineLevel="0" collapsed="false">
      <c r="B5113" s="0" t="s">
        <v>1</v>
      </c>
    </row>
    <row r="5114" customFormat="false" ht="12.8" hidden="false" customHeight="false" outlineLevel="0" collapsed="false">
      <c r="B5114" s="0" t="s">
        <v>2854</v>
      </c>
    </row>
    <row r="5115" customFormat="false" ht="12.8" hidden="false" customHeight="false" outlineLevel="0" collapsed="false">
      <c r="B5115" s="0" t="s">
        <v>444</v>
      </c>
    </row>
    <row r="5117" customFormat="false" ht="12.8" hidden="false" customHeight="false" outlineLevel="0" collapsed="false">
      <c r="A5117" s="0" t="s">
        <v>2855</v>
      </c>
      <c r="B5117" s="0" t="str">
        <f aca="false">HYPERLINK("https://lindat.mff.cuni.cz/services/teitok/pdtc10/index.php?action=vallex&amp;frame=v-w732f18", "dostat (v-w732f18)")</f>
        <v>dostat (v-w732f18)</v>
      </c>
    </row>
    <row r="5118" customFormat="false" ht="12.8" hidden="false" customHeight="false" outlineLevel="0" collapsed="false">
      <c r="B5118" s="0" t="s">
        <v>1</v>
      </c>
    </row>
    <row r="5119" customFormat="false" ht="12.8" hidden="false" customHeight="false" outlineLevel="0" collapsed="false">
      <c r="B5119" s="0" t="s">
        <v>2856</v>
      </c>
    </row>
    <row r="5121" customFormat="false" ht="12.8" hidden="false" customHeight="false" outlineLevel="0" collapsed="false">
      <c r="A5121" s="0" t="s">
        <v>2857</v>
      </c>
      <c r="B5121" s="0" t="str">
        <f aca="false">HYPERLINK("https://lindat.mff.cuni.cz/services/teitok/pdtc10/index.php?action=vallex&amp;frame=v-w732f24", "dostat (v-w732f24)")</f>
        <v>dostat (v-w732f24)</v>
      </c>
    </row>
    <row r="5122" customFormat="false" ht="12.8" hidden="false" customHeight="false" outlineLevel="0" collapsed="false">
      <c r="B5122" s="0" t="s">
        <v>1</v>
      </c>
    </row>
    <row r="5123" customFormat="false" ht="12.8" hidden="false" customHeight="false" outlineLevel="0" collapsed="false">
      <c r="B5123" s="0" t="s">
        <v>2858</v>
      </c>
    </row>
    <row r="5125" customFormat="false" ht="12.8" hidden="false" customHeight="false" outlineLevel="0" collapsed="false">
      <c r="A5125" s="0" t="s">
        <v>2859</v>
      </c>
      <c r="B5125" s="0" t="str">
        <f aca="false">HYPERLINK("https://lindat.mff.cuni.cz/services/teitok/pdtc10/index.php?action=vallex&amp;frame=v-w732f10", "dostat (v-w732f10)")</f>
        <v>dostat (v-w732f10)</v>
      </c>
    </row>
    <row r="5126" customFormat="false" ht="12.8" hidden="false" customHeight="false" outlineLevel="0" collapsed="false">
      <c r="B5126" s="0" t="s">
        <v>1</v>
      </c>
    </row>
    <row r="5127" customFormat="false" ht="12.8" hidden="false" customHeight="false" outlineLevel="0" collapsed="false">
      <c r="B5127" s="0" t="s">
        <v>2860</v>
      </c>
    </row>
    <row r="5129" customFormat="false" ht="12.8" hidden="false" customHeight="false" outlineLevel="0" collapsed="false">
      <c r="A5129" s="0" t="s">
        <v>2861</v>
      </c>
      <c r="B5129" s="0" t="str">
        <f aca="false">HYPERLINK("https://lindat.mff.cuni.cz/services/teitok/pdtc10/index.php?action=vallex&amp;frame=v-w732f19", "dostat (v-w732f19)")</f>
        <v>dostat (v-w732f19)</v>
      </c>
    </row>
    <row r="5130" customFormat="false" ht="12.8" hidden="false" customHeight="false" outlineLevel="0" collapsed="false">
      <c r="B5130" s="0" t="s">
        <v>1</v>
      </c>
    </row>
    <row r="5131" customFormat="false" ht="12.8" hidden="false" customHeight="false" outlineLevel="0" collapsed="false">
      <c r="B5131" s="0" t="s">
        <v>2862</v>
      </c>
    </row>
    <row r="5133" customFormat="false" ht="12.8" hidden="false" customHeight="false" outlineLevel="0" collapsed="false">
      <c r="A5133" s="0" t="s">
        <v>2863</v>
      </c>
      <c r="B5133" s="0" t="str">
        <f aca="false">HYPERLINK("https://lindat.mff.cuni.cz/services/teitok/pdtc10/index.php?action=vallex&amp;frame=v-w732f20", "dostat (v-w732f20)")</f>
        <v>dostat (v-w732f20)</v>
      </c>
    </row>
    <row r="5134" customFormat="false" ht="12.8" hidden="false" customHeight="false" outlineLevel="0" collapsed="false">
      <c r="B5134" s="0" t="s">
        <v>1</v>
      </c>
    </row>
    <row r="5135" customFormat="false" ht="12.8" hidden="false" customHeight="false" outlineLevel="0" collapsed="false">
      <c r="B5135" s="0" t="s">
        <v>2864</v>
      </c>
    </row>
    <row r="5137" customFormat="false" ht="12.8" hidden="false" customHeight="false" outlineLevel="0" collapsed="false">
      <c r="A5137" s="0" t="s">
        <v>2865</v>
      </c>
      <c r="B5137" s="0" t="str">
        <f aca="false">HYPERLINK("https://lindat.mff.cuni.cz/services/teitok/pdtc10/index.php?action=vallex&amp;frame=v-w732f8", "dostat (v-w732f8)")</f>
        <v>dostat (v-w732f8)</v>
      </c>
    </row>
    <row r="5138" customFormat="false" ht="12.8" hidden="false" customHeight="false" outlineLevel="0" collapsed="false">
      <c r="B5138" s="0" t="s">
        <v>1</v>
      </c>
    </row>
    <row r="5139" customFormat="false" ht="12.8" hidden="false" customHeight="false" outlineLevel="0" collapsed="false">
      <c r="B5139" s="0" t="s">
        <v>2866</v>
      </c>
    </row>
    <row r="5141" customFormat="false" ht="12.8" hidden="false" customHeight="false" outlineLevel="0" collapsed="false">
      <c r="A5141" s="0" t="s">
        <v>2867</v>
      </c>
      <c r="B5141" s="0" t="str">
        <f aca="false">HYPERLINK("https://lindat.mff.cuni.cz/services/teitok/pdtc10/index.php?action=vallex&amp;frame=v-w732f12", "dostat (v-w732f12)")</f>
        <v>dostat (v-w732f12)</v>
      </c>
    </row>
    <row r="5142" customFormat="false" ht="12.8" hidden="false" customHeight="false" outlineLevel="0" collapsed="false">
      <c r="B5142" s="0" t="s">
        <v>1</v>
      </c>
    </row>
    <row r="5143" customFormat="false" ht="12.8" hidden="false" customHeight="false" outlineLevel="0" collapsed="false">
      <c r="B5143" s="0" t="s">
        <v>2868</v>
      </c>
    </row>
    <row r="5145" customFormat="false" ht="12.8" hidden="false" customHeight="false" outlineLevel="0" collapsed="false">
      <c r="A5145" s="0" t="s">
        <v>2869</v>
      </c>
      <c r="B5145" s="0" t="str">
        <f aca="false">HYPERLINK("https://lindat.mff.cuni.cz/services/teitok/pdtc10/index.php?action=vallex&amp;frame=v-w732f30_ZU", "dostat (v-w732f30_ZU)")</f>
        <v>dostat (v-w732f30_ZU)</v>
      </c>
      <c r="E5145" s="0" t="str">
        <f aca="false">HYPERLINK("https://lindat.mff.cuni.cz/services/SynSemClass40/SynSemClass40.html?veclass=vec00189#vec00189-ces-cm00055", "vec00189")</f>
        <v>vec00189</v>
      </c>
      <c r="F5145" s="0" t="s">
        <v>2169</v>
      </c>
    </row>
    <row r="5146" customFormat="false" ht="12.8" hidden="false" customHeight="false" outlineLevel="0" collapsed="false">
      <c r="B5146" s="0" t="s">
        <v>1</v>
      </c>
      <c r="C5146" s="0" t="s">
        <v>2170</v>
      </c>
      <c r="E5146" s="0" t="s">
        <v>1567</v>
      </c>
      <c r="F5146" s="0" t="s">
        <v>2171</v>
      </c>
    </row>
    <row r="5147" customFormat="false" ht="12.8" hidden="false" customHeight="false" outlineLevel="0" collapsed="false">
      <c r="B5147" s="0" t="s">
        <v>2870</v>
      </c>
      <c r="C5147" s="0" t="s">
        <v>2871</v>
      </c>
      <c r="E5147" s="0" t="s">
        <v>2872</v>
      </c>
      <c r="F5147" s="0" t="s">
        <v>2873</v>
      </c>
    </row>
    <row r="5149" customFormat="false" ht="12.8" hidden="false" customHeight="false" outlineLevel="0" collapsed="false">
      <c r="A5149" s="0" t="s">
        <v>2874</v>
      </c>
      <c r="B5149" s="0" t="str">
        <f aca="false">HYPERLINK("https://lindat.mff.cuni.cz/services/teitok/pdtc10/index.php?action=vallex&amp;frame=v-w732f31_ZU", "dostat (v-w732f31_ZU)")</f>
        <v>dostat (v-w732f31_ZU)</v>
      </c>
    </row>
    <row r="5150" customFormat="false" ht="12.8" hidden="false" customHeight="false" outlineLevel="0" collapsed="false">
      <c r="B5150" s="0" t="s">
        <v>1</v>
      </c>
    </row>
    <row r="5151" customFormat="false" ht="12.8" hidden="false" customHeight="false" outlineLevel="0" collapsed="false">
      <c r="B5151" s="0" t="s">
        <v>2875</v>
      </c>
    </row>
    <row r="5153" customFormat="false" ht="12.8" hidden="false" customHeight="false" outlineLevel="0" collapsed="false">
      <c r="A5153" s="0" t="s">
        <v>2874</v>
      </c>
      <c r="B5153" s="0" t="str">
        <f aca="false">HYPERLINK("https://lindat.mff.cuni.cz/services/teitok/pdtc10/index.php?action=vallex&amp;frame=v-w732hsa_341", "dostat (v-w732hsa_341) - substituted with v-w732f31_ZU")</f>
        <v>dostat (v-w732hsa_341) - substituted with v-w732f31_ZU</v>
      </c>
    </row>
    <row r="5154" customFormat="false" ht="12.8" hidden="false" customHeight="false" outlineLevel="0" collapsed="false">
      <c r="B5154" s="0" t="s">
        <v>1</v>
      </c>
    </row>
    <row r="5155" customFormat="false" ht="12.8" hidden="false" customHeight="false" outlineLevel="0" collapsed="false">
      <c r="B5155" s="0" t="s">
        <v>2875</v>
      </c>
    </row>
    <row r="5157" customFormat="false" ht="12.8" hidden="false" customHeight="false" outlineLevel="0" collapsed="false">
      <c r="A5157" s="0" t="s">
        <v>2876</v>
      </c>
      <c r="B5157" s="0" t="str">
        <f aca="false">HYPERLINK("https://lindat.mff.cuni.cz/services/teitok/pdtc10/index.php?action=vallex&amp;frame=v-w732f36_ZU", "dostat (v-w732f36_ZU)")</f>
        <v>dostat (v-w732f36_ZU)</v>
      </c>
    </row>
    <row r="5158" customFormat="false" ht="12.8" hidden="false" customHeight="false" outlineLevel="0" collapsed="false">
      <c r="B5158" s="0" t="s">
        <v>1</v>
      </c>
    </row>
    <row r="5159" customFormat="false" ht="12.8" hidden="false" customHeight="false" outlineLevel="0" collapsed="false">
      <c r="B5159" s="0" t="s">
        <v>2877</v>
      </c>
    </row>
    <row r="5160" customFormat="false" ht="12.8" hidden="false" customHeight="false" outlineLevel="0" collapsed="false">
      <c r="B5160" s="0" t="s">
        <v>444</v>
      </c>
    </row>
    <row r="5162" customFormat="false" ht="12.8" hidden="false" customHeight="false" outlineLevel="0" collapsed="false">
      <c r="A5162" s="0" t="s">
        <v>2876</v>
      </c>
      <c r="B5162" s="0" t="str">
        <f aca="false">HYPERLINK("https://lindat.mff.cuni.cz/services/teitok/pdtc10/index.php?action=vallex&amp;frame=v-w732f32_ZU", "dostat (v-w732f32_ZU) - substituted with v-w732f36_ZU")</f>
        <v>dostat (v-w732f32_ZU) - substituted with v-w732f36_ZU</v>
      </c>
    </row>
    <row r="5163" customFormat="false" ht="12.8" hidden="false" customHeight="false" outlineLevel="0" collapsed="false">
      <c r="B5163" s="0" t="s">
        <v>1</v>
      </c>
    </row>
    <row r="5164" customFormat="false" ht="12.8" hidden="false" customHeight="false" outlineLevel="0" collapsed="false">
      <c r="B5164" s="0" t="s">
        <v>2877</v>
      </c>
    </row>
    <row r="5165" customFormat="false" ht="12.8" hidden="false" customHeight="false" outlineLevel="0" collapsed="false">
      <c r="B5165" s="0" t="s">
        <v>444</v>
      </c>
    </row>
    <row r="5167" customFormat="false" ht="12.8" hidden="false" customHeight="false" outlineLevel="0" collapsed="false">
      <c r="A5167" s="0" t="s">
        <v>2876</v>
      </c>
      <c r="B5167" s="0" t="str">
        <f aca="false">HYPERLINK("https://lindat.mff.cuni.cz/services/teitok/pdtc10/index.php?action=vallex&amp;frame=v-w732hsa_342", "dostat (v-w732hsa_342) - substituted with v-w732f36_ZU")</f>
        <v>dostat (v-w732hsa_342) - substituted with v-w732f36_ZU</v>
      </c>
    </row>
    <row r="5168" customFormat="false" ht="12.8" hidden="false" customHeight="false" outlineLevel="0" collapsed="false">
      <c r="B5168" s="0" t="s">
        <v>1</v>
      </c>
    </row>
    <row r="5169" customFormat="false" ht="12.8" hidden="false" customHeight="false" outlineLevel="0" collapsed="false">
      <c r="B5169" s="0" t="s">
        <v>2877</v>
      </c>
    </row>
    <row r="5170" customFormat="false" ht="12.8" hidden="false" customHeight="false" outlineLevel="0" collapsed="false">
      <c r="B5170" s="0" t="s">
        <v>444</v>
      </c>
    </row>
    <row r="5172" customFormat="false" ht="12.8" hidden="false" customHeight="false" outlineLevel="0" collapsed="false">
      <c r="A5172" s="0" t="s">
        <v>2878</v>
      </c>
      <c r="B5172" s="0" t="str">
        <f aca="false">HYPERLINK("https://lindat.mff.cuni.cz/services/teitok/pdtc10/index.php?action=vallex&amp;frame=v-w735f12", "dostat se (v-w735f12)")</f>
        <v>dostat se (v-w735f12)</v>
      </c>
    </row>
    <row r="5173" customFormat="false" ht="12.8" hidden="false" customHeight="false" outlineLevel="0" collapsed="false">
      <c r="B5173" s="0" t="s">
        <v>1</v>
      </c>
    </row>
    <row r="5174" customFormat="false" ht="12.8" hidden="false" customHeight="false" outlineLevel="0" collapsed="false">
      <c r="B5174" s="0" t="s">
        <v>45</v>
      </c>
    </row>
    <row r="5175" customFormat="false" ht="12.8" hidden="false" customHeight="false" outlineLevel="0" collapsed="false">
      <c r="B5175" s="0" t="s">
        <v>36</v>
      </c>
    </row>
    <row r="5177" customFormat="false" ht="12.8" hidden="false" customHeight="false" outlineLevel="0" collapsed="false">
      <c r="A5177" s="0" t="s">
        <v>2879</v>
      </c>
      <c r="B5177" s="0" t="str">
        <f aca="false">HYPERLINK("https://lindat.mff.cuni.cz/services/teitok/pdtc10/index.php?action=vallex&amp;frame=v-w735f19_ZU", "dostat se (v-w735f19_ZU)")</f>
        <v>dostat se (v-w735f19_ZU)</v>
      </c>
    </row>
    <row r="5178" customFormat="false" ht="12.8" hidden="false" customHeight="false" outlineLevel="0" collapsed="false">
      <c r="B5178" s="0" t="s">
        <v>804</v>
      </c>
    </row>
    <row r="5179" customFormat="false" ht="12.8" hidden="false" customHeight="false" outlineLevel="0" collapsed="false">
      <c r="B5179" s="0" t="s">
        <v>2880</v>
      </c>
    </row>
    <row r="5180" customFormat="false" ht="12.8" hidden="false" customHeight="false" outlineLevel="0" collapsed="false">
      <c r="B5180" s="0" t="s">
        <v>602</v>
      </c>
    </row>
    <row r="5182" customFormat="false" ht="12.8" hidden="false" customHeight="false" outlineLevel="0" collapsed="false">
      <c r="A5182" s="0" t="s">
        <v>2879</v>
      </c>
      <c r="B5182" s="0" t="str">
        <f aca="false">HYPERLINK("https://lindat.mff.cuni.cz/services/teitok/pdtc10/index.php?action=vallex&amp;frame=v-w735f3", "dostat se (v-w735f3) - substituted with v-w735f19_ZU")</f>
        <v>dostat se (v-w735f3) - substituted with v-w735f19_ZU</v>
      </c>
      <c r="E5182" s="0" t="str">
        <f aca="false">HYPERLINK("https://lindat.mff.cuni.cz/services/SynSemClass40/SynSemClass40.html?veclass=vec00189#vec00189-ces-cm00009", "vec00189")</f>
        <v>vec00189</v>
      </c>
      <c r="F5182" s="0" t="s">
        <v>2169</v>
      </c>
    </row>
    <row r="5183" customFormat="false" ht="12.8" hidden="false" customHeight="false" outlineLevel="0" collapsed="false">
      <c r="B5183" s="0" t="s">
        <v>804</v>
      </c>
      <c r="C5183" s="0" t="s">
        <v>2170</v>
      </c>
      <c r="E5183" s="0" t="s">
        <v>1567</v>
      </c>
      <c r="F5183" s="0" t="s">
        <v>2171</v>
      </c>
    </row>
    <row r="5184" customFormat="false" ht="12.8" hidden="false" customHeight="false" outlineLevel="0" collapsed="false">
      <c r="B5184" s="0" t="s">
        <v>2880</v>
      </c>
      <c r="C5184" s="0" t="s">
        <v>2173</v>
      </c>
      <c r="E5184" s="0" t="s">
        <v>2111</v>
      </c>
      <c r="F5184" s="0" t="s">
        <v>2174</v>
      </c>
    </row>
    <row r="5185" customFormat="false" ht="12.8" hidden="false" customHeight="false" outlineLevel="0" collapsed="false">
      <c r="B5185" s="0" t="s">
        <v>602</v>
      </c>
      <c r="C5185" s="0" t="s">
        <v>2175</v>
      </c>
      <c r="E5185" s="0" t="s">
        <v>2176</v>
      </c>
      <c r="F5185" s="0" t="s">
        <v>2177</v>
      </c>
    </row>
    <row r="5187" customFormat="false" ht="12.8" hidden="false" customHeight="false" outlineLevel="0" collapsed="false">
      <c r="A5187" s="0" t="s">
        <v>2881</v>
      </c>
      <c r="B5187" s="0" t="str">
        <f aca="false">HYPERLINK("https://lindat.mff.cuni.cz/services/teitok/pdtc10/index.php?action=vallex&amp;frame=v-w735f8", "dostat se (v-w735f8)")</f>
        <v>dostat se (v-w735f8)</v>
      </c>
    </row>
    <row r="5188" customFormat="false" ht="12.8" hidden="false" customHeight="false" outlineLevel="0" collapsed="false">
      <c r="B5188" s="0" t="s">
        <v>2882</v>
      </c>
    </row>
    <row r="5189" customFormat="false" ht="12.8" hidden="false" customHeight="false" outlineLevel="0" collapsed="false">
      <c r="B5189" s="0" t="s">
        <v>45</v>
      </c>
    </row>
    <row r="5191" customFormat="false" ht="12.8" hidden="false" customHeight="false" outlineLevel="0" collapsed="false">
      <c r="A5191" s="0" t="s">
        <v>2883</v>
      </c>
      <c r="B5191" s="0" t="str">
        <f aca="false">HYPERLINK("https://lindat.mff.cuni.cz/services/teitok/pdtc10/index.php?action=vallex&amp;frame=v-w735f22_ZU", "dostat se (v-w735f22_ZU)")</f>
        <v>dostat se (v-w735f22_ZU)</v>
      </c>
    </row>
    <row r="5192" customFormat="false" ht="12.8" hidden="false" customHeight="false" outlineLevel="0" collapsed="false">
      <c r="B5192" s="0" t="s">
        <v>1</v>
      </c>
    </row>
    <row r="5193" customFormat="false" ht="12.8" hidden="false" customHeight="false" outlineLevel="0" collapsed="false">
      <c r="B5193" s="0" t="s">
        <v>311</v>
      </c>
    </row>
    <row r="5195" customFormat="false" ht="12.8" hidden="false" customHeight="false" outlineLevel="0" collapsed="false">
      <c r="A5195" s="0" t="s">
        <v>2883</v>
      </c>
      <c r="B5195" s="0" t="str">
        <f aca="false">HYPERLINK("https://lindat.mff.cuni.cz/services/teitok/pdtc10/index.php?action=vallex&amp;frame=v-w735f17_ZU", "dostat se (v-w735f17_ZU) - substituted with v-w735f22_ZU")</f>
        <v>dostat se (v-w735f17_ZU) - substituted with v-w735f22_ZU</v>
      </c>
    </row>
    <row r="5196" customFormat="false" ht="12.8" hidden="false" customHeight="false" outlineLevel="0" collapsed="false">
      <c r="B5196" s="0" t="s">
        <v>1</v>
      </c>
    </row>
    <row r="5197" customFormat="false" ht="12.8" hidden="false" customHeight="false" outlineLevel="0" collapsed="false">
      <c r="B5197" s="0" t="s">
        <v>311</v>
      </c>
    </row>
    <row r="5199" customFormat="false" ht="12.8" hidden="false" customHeight="false" outlineLevel="0" collapsed="false">
      <c r="A5199" s="0" t="s">
        <v>2883</v>
      </c>
      <c r="B5199" s="0" t="str">
        <f aca="false">HYPERLINK("https://lindat.mff.cuni.cz/services/teitok/pdtc10/index.php?action=vallex&amp;frame=v-w735f21_ZU", "dostat se (v-w735f21_ZU) - substituted with v-w735f22_ZU")</f>
        <v>dostat se (v-w735f21_ZU) - substituted with v-w735f22_ZU</v>
      </c>
    </row>
    <row r="5200" customFormat="false" ht="12.8" hidden="false" customHeight="false" outlineLevel="0" collapsed="false">
      <c r="B5200" s="0" t="s">
        <v>1</v>
      </c>
    </row>
    <row r="5201" customFormat="false" ht="12.8" hidden="false" customHeight="false" outlineLevel="0" collapsed="false">
      <c r="B5201" s="0" t="s">
        <v>311</v>
      </c>
    </row>
    <row r="5203" customFormat="false" ht="12.8" hidden="false" customHeight="false" outlineLevel="0" collapsed="false">
      <c r="A5203" s="0" t="s">
        <v>2883</v>
      </c>
      <c r="B5203" s="0" t="str">
        <f aca="false">HYPERLINK("https://lindat.mff.cuni.cz/services/teitok/pdtc10/index.php?action=vallex&amp;frame=v-w735f4", "dostat se (v-w735f4) - substituted with v-w735f22_ZU")</f>
        <v>dostat se (v-w735f4) - substituted with v-w735f22_ZU</v>
      </c>
      <c r="E5203" s="0" t="str">
        <f aca="false">HYPERLINK("https://lindat.mff.cuni.cz/services/SynSemClass40/SynSemClass40.html?veclass=vec00586#vec00586-ces-cm00019", "vec00586")</f>
        <v>vec00586</v>
      </c>
      <c r="F5203" s="0" t="s">
        <v>2831</v>
      </c>
    </row>
    <row r="5204" customFormat="false" ht="12.8" hidden="false" customHeight="false" outlineLevel="0" collapsed="false">
      <c r="B5204" s="0" t="s">
        <v>1</v>
      </c>
      <c r="C5204" s="0" t="s">
        <v>2832</v>
      </c>
      <c r="E5204" s="0" t="s">
        <v>1567</v>
      </c>
      <c r="F5204" s="0" t="s">
        <v>2833</v>
      </c>
    </row>
    <row r="5205" customFormat="false" ht="12.8" hidden="false" customHeight="false" outlineLevel="0" collapsed="false">
      <c r="B5205" s="0" t="s">
        <v>311</v>
      </c>
      <c r="C5205" s="0" t="s">
        <v>2834</v>
      </c>
      <c r="E5205" s="0" t="s">
        <v>2111</v>
      </c>
      <c r="F5205" s="0" t="s">
        <v>2835</v>
      </c>
    </row>
    <row r="5207" customFormat="false" ht="12.8" hidden="false" customHeight="false" outlineLevel="0" collapsed="false">
      <c r="A5207" s="0" t="s">
        <v>2884</v>
      </c>
      <c r="B5207" s="0" t="str">
        <f aca="false">HYPERLINK("https://lindat.mff.cuni.cz/services/teitok/pdtc10/index.php?action=vallex&amp;frame=v-w735f13", "dostat se (v-w735f13)")</f>
        <v>dostat se (v-w735f13)</v>
      </c>
      <c r="E5207" s="0" t="str">
        <f aca="false">HYPERLINK("https://lindat.mff.cuni.cz/services/SynSemClass40/SynSemClass40.html?veclass=vec00390#vec00390-ces-cm00002", "vec00390")</f>
        <v>vec00390</v>
      </c>
      <c r="F5207" s="0" t="s">
        <v>1595</v>
      </c>
    </row>
    <row r="5208" customFormat="false" ht="12.8" hidden="false" customHeight="false" outlineLevel="0" collapsed="false">
      <c r="B5208" s="0" t="s">
        <v>1</v>
      </c>
      <c r="C5208" s="0" t="s">
        <v>1596</v>
      </c>
      <c r="E5208" s="0" t="s">
        <v>1597</v>
      </c>
      <c r="F5208" s="0" t="s">
        <v>1598</v>
      </c>
    </row>
    <row r="5209" customFormat="false" ht="12.8" hidden="false" customHeight="false" outlineLevel="0" collapsed="false">
      <c r="B5209" s="0" t="s">
        <v>298</v>
      </c>
      <c r="E5209" s="0" t="s">
        <v>2885</v>
      </c>
      <c r="F5209" s="0" t="s">
        <v>2886</v>
      </c>
    </row>
    <row r="5210" customFormat="false" ht="12.8" hidden="false" customHeight="false" outlineLevel="0" collapsed="false">
      <c r="B5210" s="0" t="s">
        <v>642</v>
      </c>
    </row>
    <row r="5211" customFormat="false" ht="12.8" hidden="false" customHeight="false" outlineLevel="0" collapsed="false">
      <c r="B5211" s="0" t="s">
        <v>648</v>
      </c>
    </row>
    <row r="5212" customFormat="false" ht="12.8" hidden="false" customHeight="false" outlineLevel="0" collapsed="false">
      <c r="B5212" s="0" t="s">
        <v>2887</v>
      </c>
    </row>
    <row r="5214" customFormat="false" ht="12.8" hidden="false" customHeight="false" outlineLevel="0" collapsed="false">
      <c r="A5214" s="0" t="s">
        <v>2888</v>
      </c>
      <c r="B5214" s="0" t="str">
        <f aca="false">HYPERLINK("https://lindat.mff.cuni.cz/services/teitok/pdtc10/index.php?action=vallex&amp;frame=v-w735f14", "dostat se (v-w735f14)")</f>
        <v>dostat se (v-w735f14)</v>
      </c>
      <c r="E5214" s="0" t="str">
        <f aca="false">HYPERLINK("https://lindat.mff.cuni.cz/services/SynSemClass40/SynSemClass40.html?veclass=vec00811#vec00811-ces-cm00001", "vec00811")</f>
        <v>vec00811</v>
      </c>
      <c r="F5214" s="0" t="s">
        <v>2889</v>
      </c>
      <c r="H5214" s="0" t="str">
        <f aca="false">HYPERLINK("https://lindat.mff.cuni.cz/services/SynSemClass40/SynSemClass40.html?veclass=vec01465#vec01465-ces-cm00001", "vec01465")</f>
        <v>vec01465</v>
      </c>
      <c r="I5214" s="0" t="s">
        <v>2890</v>
      </c>
    </row>
    <row r="5215" customFormat="false" ht="12.8" hidden="false" customHeight="false" outlineLevel="0" collapsed="false">
      <c r="B5215" s="0" t="s">
        <v>1</v>
      </c>
      <c r="C5215" s="0" t="s">
        <v>2891</v>
      </c>
      <c r="E5215" s="0" t="s">
        <v>2892</v>
      </c>
      <c r="F5215" s="0" t="s">
        <v>2893</v>
      </c>
      <c r="H5215" s="0" t="s">
        <v>2892</v>
      </c>
      <c r="I5215" s="0" t="s">
        <v>2894</v>
      </c>
    </row>
    <row r="5216" customFormat="false" ht="12.8" hidden="false" customHeight="false" outlineLevel="0" collapsed="false">
      <c r="B5216" s="0" t="s">
        <v>631</v>
      </c>
      <c r="C5216" s="0" t="s">
        <v>2895</v>
      </c>
      <c r="E5216" s="0" t="s">
        <v>1949</v>
      </c>
      <c r="F5216" s="0" t="s">
        <v>2896</v>
      </c>
      <c r="H5216" s="0" t="s">
        <v>2897</v>
      </c>
      <c r="I5216" s="0" t="s">
        <v>2898</v>
      </c>
    </row>
    <row r="5218" customFormat="false" ht="12.8" hidden="false" customHeight="false" outlineLevel="0" collapsed="false">
      <c r="A5218" s="0" t="s">
        <v>2888</v>
      </c>
      <c r="B5218" s="0" t="str">
        <f aca="false">HYPERLINK("https://lindat.mff.cuni.cz/services/teitok/pdtc10/index.php?action=vallex&amp;frame=v-w735f6", "dostat se (v-w735f6) - substituted with v-w735f14")</f>
        <v>dostat se (v-w735f6) - substituted with v-w735f14</v>
      </c>
    </row>
    <row r="5219" customFormat="false" ht="12.8" hidden="false" customHeight="false" outlineLevel="0" collapsed="false">
      <c r="B5219" s="0" t="s">
        <v>1</v>
      </c>
    </row>
    <row r="5220" customFormat="false" ht="12.8" hidden="false" customHeight="false" outlineLevel="0" collapsed="false">
      <c r="B5220" s="0" t="s">
        <v>631</v>
      </c>
    </row>
    <row r="5222" customFormat="false" ht="12.8" hidden="false" customHeight="false" outlineLevel="0" collapsed="false">
      <c r="A5222" s="0" t="s">
        <v>2899</v>
      </c>
      <c r="B5222" s="0" t="str">
        <f aca="false">HYPERLINK("https://lindat.mff.cuni.cz/services/teitok/pdtc10/index.php?action=vallex&amp;frame=v-w735f26_ZU", "dostat se (v-w735f26_ZU)")</f>
        <v>dostat se (v-w735f26_ZU)</v>
      </c>
    </row>
    <row r="5223" customFormat="false" ht="12.8" hidden="false" customHeight="false" outlineLevel="0" collapsed="false">
      <c r="B5223" s="0" t="s">
        <v>1</v>
      </c>
    </row>
    <row r="5224" customFormat="false" ht="12.8" hidden="false" customHeight="false" outlineLevel="0" collapsed="false">
      <c r="B5224" s="0" t="s">
        <v>361</v>
      </c>
    </row>
    <row r="5226" customFormat="false" ht="12.8" hidden="false" customHeight="false" outlineLevel="0" collapsed="false">
      <c r="A5226" s="0" t="s">
        <v>2899</v>
      </c>
      <c r="B5226" s="0" t="str">
        <f aca="false">HYPERLINK("https://lindat.mff.cuni.cz/services/teitok/pdtc10/index.php?action=vallex&amp;frame=v-w735f2", "dostat se (v-w735f2) - substituted with v-w735f26_ZU")</f>
        <v>dostat se (v-w735f2) - substituted with v-w735f26_ZU</v>
      </c>
      <c r="E5226" s="0" t="str">
        <f aca="false">HYPERLINK("https://lindat.mff.cuni.cz/services/SynSemClass40/SynSemClass40.html?veclass=vec01115#vec01115-ces-cm00006", "vec01115")</f>
        <v>vec01115</v>
      </c>
      <c r="F5226" s="0" t="s">
        <v>1617</v>
      </c>
    </row>
    <row r="5227" customFormat="false" ht="12.8" hidden="false" customHeight="false" outlineLevel="0" collapsed="false">
      <c r="B5227" s="0" t="s">
        <v>1</v>
      </c>
      <c r="C5227" s="0" t="s">
        <v>1618</v>
      </c>
      <c r="E5227" s="0" t="s">
        <v>11</v>
      </c>
      <c r="F5227" s="0" t="s">
        <v>1619</v>
      </c>
    </row>
    <row r="5228" customFormat="false" ht="12.8" hidden="false" customHeight="false" outlineLevel="0" collapsed="false">
      <c r="B5228" s="0" t="s">
        <v>361</v>
      </c>
      <c r="C5228" s="0" t="s">
        <v>1620</v>
      </c>
      <c r="E5228" s="0" t="s">
        <v>363</v>
      </c>
      <c r="F5228" s="0" t="s">
        <v>1621</v>
      </c>
    </row>
    <row r="5230" customFormat="false" ht="12.8" hidden="false" customHeight="false" outlineLevel="0" collapsed="false">
      <c r="A5230" s="0" t="s">
        <v>2900</v>
      </c>
      <c r="B5230" s="0" t="str">
        <f aca="false">HYPERLINK("https://lindat.mff.cuni.cz/services/teitok/pdtc10/index.php?action=vallex&amp;frame=v-w735f24_ZU", "dostat se (v-w735f24_ZU)")</f>
        <v>dostat se (v-w735f24_ZU)</v>
      </c>
    </row>
    <row r="5231" customFormat="false" ht="12.8" hidden="false" customHeight="false" outlineLevel="0" collapsed="false">
      <c r="B5231" s="0" t="s">
        <v>843</v>
      </c>
    </row>
    <row r="5232" customFormat="false" ht="12.8" hidden="false" customHeight="false" outlineLevel="0" collapsed="false">
      <c r="B5232" s="0" t="s">
        <v>164</v>
      </c>
    </row>
    <row r="5234" customFormat="false" ht="12.8" hidden="false" customHeight="false" outlineLevel="0" collapsed="false">
      <c r="A5234" s="0" t="s">
        <v>2900</v>
      </c>
      <c r="B5234" s="0" t="str">
        <f aca="false">HYPERLINK("https://lindat.mff.cuni.cz/services/teitok/pdtc10/index.php?action=vallex&amp;frame=v-w735f1", "dostat se (v-w735f1) - substituted with v-w735f24_ZU")</f>
        <v>dostat se (v-w735f1) - substituted with v-w735f24_ZU</v>
      </c>
      <c r="E5234" s="0" t="str">
        <f aca="false">HYPERLINK("https://lindat.mff.cuni.cz/services/SynSemClass40/SynSemClass40.html?veclass=vec00218#vec00218-ces-cm00001", "vec00218")</f>
        <v>vec00218</v>
      </c>
      <c r="F5234" s="0" t="s">
        <v>2143</v>
      </c>
    </row>
    <row r="5235" customFormat="false" ht="12.8" hidden="false" customHeight="false" outlineLevel="0" collapsed="false">
      <c r="B5235" s="0" t="s">
        <v>843</v>
      </c>
      <c r="C5235" s="0" t="s">
        <v>2144</v>
      </c>
      <c r="E5235" s="0" t="s">
        <v>11</v>
      </c>
      <c r="F5235" s="0" t="s">
        <v>2145</v>
      </c>
    </row>
    <row r="5236" customFormat="false" ht="12.8" hidden="false" customHeight="false" outlineLevel="0" collapsed="false">
      <c r="B5236" s="0" t="s">
        <v>164</v>
      </c>
      <c r="C5236" s="0" t="s">
        <v>2146</v>
      </c>
      <c r="E5236" s="0" t="s">
        <v>370</v>
      </c>
      <c r="F5236" s="0" t="s">
        <v>2147</v>
      </c>
    </row>
    <row r="5238" customFormat="false" ht="12.8" hidden="false" customHeight="false" outlineLevel="0" collapsed="false">
      <c r="A5238" s="0" t="s">
        <v>2900</v>
      </c>
      <c r="B5238" s="0" t="str">
        <f aca="false">HYPERLINK("https://lindat.mff.cuni.cz/services/teitok/pdtc10/index.php?action=vallex&amp;frame=v-w735f18_ZU", "dostat se (v-w735f18_ZU) - substituted with v-w735f24_ZU")</f>
        <v>dostat se (v-w735f18_ZU) - substituted with v-w735f24_ZU</v>
      </c>
    </row>
    <row r="5239" customFormat="false" ht="12.8" hidden="false" customHeight="false" outlineLevel="0" collapsed="false">
      <c r="B5239" s="0" t="s">
        <v>843</v>
      </c>
    </row>
    <row r="5240" customFormat="false" ht="12.8" hidden="false" customHeight="false" outlineLevel="0" collapsed="false">
      <c r="B5240" s="0" t="s">
        <v>164</v>
      </c>
    </row>
    <row r="5242" customFormat="false" ht="12.8" hidden="false" customHeight="false" outlineLevel="0" collapsed="false">
      <c r="A5242" s="0" t="s">
        <v>2900</v>
      </c>
      <c r="B5242" s="0" t="str">
        <f aca="false">HYPERLINK("https://lindat.mff.cuni.cz/services/teitok/pdtc10/index.php?action=vallex&amp;frame=v-w735f23_ZU", "dostat se (v-w735f23_ZU) - substituted with v-w735f24_ZU")</f>
        <v>dostat se (v-w735f23_ZU) - substituted with v-w735f24_ZU</v>
      </c>
    </row>
    <row r="5243" customFormat="false" ht="12.8" hidden="false" customHeight="false" outlineLevel="0" collapsed="false">
      <c r="B5243" s="0" t="s">
        <v>843</v>
      </c>
    </row>
    <row r="5244" customFormat="false" ht="12.8" hidden="false" customHeight="false" outlineLevel="0" collapsed="false">
      <c r="B5244" s="0" t="s">
        <v>164</v>
      </c>
    </row>
    <row r="5246" customFormat="false" ht="12.8" hidden="false" customHeight="false" outlineLevel="0" collapsed="false">
      <c r="A5246" s="0" t="s">
        <v>2901</v>
      </c>
      <c r="B5246" s="0" t="str">
        <f aca="false">HYPERLINK("https://lindat.mff.cuni.cz/services/teitok/pdtc10/index.php?action=vallex&amp;frame=v-w735f5", "dostat se (v-w735f5)")</f>
        <v>dostat se (v-w735f5)</v>
      </c>
    </row>
    <row r="5247" customFormat="false" ht="12.8" hidden="false" customHeight="false" outlineLevel="0" collapsed="false">
      <c r="B5247" s="0" t="s">
        <v>1131</v>
      </c>
    </row>
    <row r="5249" customFormat="false" ht="12.8" hidden="false" customHeight="false" outlineLevel="0" collapsed="false">
      <c r="A5249" s="0" t="s">
        <v>2902</v>
      </c>
      <c r="B5249" s="0" t="str">
        <f aca="false">HYPERLINK("https://lindat.mff.cuni.cz/services/teitok/pdtc10/index.php?action=vallex&amp;frame=v-w735f20_ZU", "dostat se (v-w735f20_ZU)")</f>
        <v>dostat se (v-w735f20_ZU)</v>
      </c>
    </row>
    <row r="5250" customFormat="false" ht="12.8" hidden="false" customHeight="false" outlineLevel="0" collapsed="false">
      <c r="B5250" s="0" t="s">
        <v>1</v>
      </c>
    </row>
    <row r="5251" customFormat="false" ht="12.8" hidden="false" customHeight="false" outlineLevel="0" collapsed="false">
      <c r="B5251" s="0" t="s">
        <v>2903</v>
      </c>
    </row>
    <row r="5253" customFormat="false" ht="12.8" hidden="false" customHeight="false" outlineLevel="0" collapsed="false">
      <c r="A5253" s="0" t="s">
        <v>2902</v>
      </c>
      <c r="B5253" s="0" t="str">
        <f aca="false">HYPERLINK("https://lindat.mff.cuni.cz/services/teitok/pdtc10/index.php?action=vallex&amp;frame=v-w735f7", "dostat se (v-w735f7) - substituted with v-w735f20_ZU")</f>
        <v>dostat se (v-w735f7) - substituted with v-w735f20_ZU</v>
      </c>
      <c r="E5253" s="0" t="str">
        <f aca="false">HYPERLINK("https://lindat.mff.cuni.cz/services/SynSemClass40/SynSemClass40.html?veclass=vec01115#vec01115-ces-cm00045", "vec01115")</f>
        <v>vec01115</v>
      </c>
      <c r="F5253" s="0" t="s">
        <v>1617</v>
      </c>
    </row>
    <row r="5254" customFormat="false" ht="12.8" hidden="false" customHeight="false" outlineLevel="0" collapsed="false">
      <c r="B5254" s="0" t="s">
        <v>1</v>
      </c>
      <c r="C5254" s="0" t="s">
        <v>1618</v>
      </c>
      <c r="E5254" s="0" t="s">
        <v>11</v>
      </c>
      <c r="F5254" s="0" t="s">
        <v>1619</v>
      </c>
    </row>
    <row r="5255" customFormat="false" ht="12.8" hidden="false" customHeight="false" outlineLevel="0" collapsed="false">
      <c r="B5255" s="0" t="s">
        <v>2903</v>
      </c>
      <c r="C5255" s="0" t="s">
        <v>2904</v>
      </c>
      <c r="E5255" s="0" t="s">
        <v>2905</v>
      </c>
      <c r="F5255" s="0" t="s">
        <v>2906</v>
      </c>
    </row>
    <row r="5257" customFormat="false" ht="12.8" hidden="false" customHeight="false" outlineLevel="0" collapsed="false">
      <c r="A5257" s="0" t="s">
        <v>2907</v>
      </c>
      <c r="B5257" s="0" t="str">
        <f aca="false">HYPERLINK("https://lindat.mff.cuni.cz/services/teitok/pdtc10/index.php?action=vallex&amp;frame=v-w735f11", "dostat se (v-w735f11)")</f>
        <v>dostat se (v-w735f11)</v>
      </c>
    </row>
    <row r="5258" customFormat="false" ht="12.8" hidden="false" customHeight="false" outlineLevel="0" collapsed="false">
      <c r="B5258" s="0" t="s">
        <v>1</v>
      </c>
    </row>
    <row r="5259" customFormat="false" ht="12.8" hidden="false" customHeight="false" outlineLevel="0" collapsed="false">
      <c r="B5259" s="0" t="s">
        <v>2908</v>
      </c>
    </row>
    <row r="5261" customFormat="false" ht="12.8" hidden="false" customHeight="false" outlineLevel="0" collapsed="false">
      <c r="A5261" s="0" t="s">
        <v>2909</v>
      </c>
      <c r="B5261" s="0" t="str">
        <f aca="false">HYPERLINK("https://lindat.mff.cuni.cz/services/teitok/pdtc10/index.php?action=vallex&amp;frame=v-w735f10", "dostat se (v-w735f10)")</f>
        <v>dostat se (v-w735f10)</v>
      </c>
    </row>
    <row r="5262" customFormat="false" ht="12.8" hidden="false" customHeight="false" outlineLevel="0" collapsed="false">
      <c r="B5262" s="0" t="s">
        <v>1</v>
      </c>
    </row>
    <row r="5263" customFormat="false" ht="12.8" hidden="false" customHeight="false" outlineLevel="0" collapsed="false">
      <c r="B5263" s="0" t="s">
        <v>2910</v>
      </c>
    </row>
    <row r="5265" customFormat="false" ht="12.8" hidden="false" customHeight="false" outlineLevel="0" collapsed="false">
      <c r="A5265" s="0" t="s">
        <v>2911</v>
      </c>
      <c r="B5265" s="0" t="str">
        <f aca="false">HYPERLINK("https://lindat.mff.cuni.cz/services/teitok/pdtc10/index.php?action=vallex&amp;frame=v-w735f9", "dostat se (v-w735f9)")</f>
        <v>dostat se (v-w735f9)</v>
      </c>
    </row>
    <row r="5266" customFormat="false" ht="12.8" hidden="false" customHeight="false" outlineLevel="0" collapsed="false">
      <c r="B5266" s="0" t="s">
        <v>1</v>
      </c>
    </row>
    <row r="5267" customFormat="false" ht="12.8" hidden="false" customHeight="false" outlineLevel="0" collapsed="false">
      <c r="B5267" s="0" t="s">
        <v>2912</v>
      </c>
    </row>
    <row r="5269" customFormat="false" ht="12.8" hidden="false" customHeight="false" outlineLevel="0" collapsed="false">
      <c r="A5269" s="0" t="s">
        <v>2913</v>
      </c>
      <c r="B5269" s="0" t="str">
        <f aca="false">HYPERLINK("https://lindat.mff.cuni.cz/services/teitok/pdtc10/index.php?action=vallex&amp;frame=v-w735f15_ZU", "dostat se (v-w735f15_ZU)")</f>
        <v>dostat se (v-w735f15_ZU)</v>
      </c>
    </row>
    <row r="5270" customFormat="false" ht="12.8" hidden="false" customHeight="false" outlineLevel="0" collapsed="false">
      <c r="B5270" s="0" t="s">
        <v>1</v>
      </c>
    </row>
    <row r="5271" customFormat="false" ht="12.8" hidden="false" customHeight="false" outlineLevel="0" collapsed="false">
      <c r="B5271" s="0" t="s">
        <v>2914</v>
      </c>
    </row>
    <row r="5273" customFormat="false" ht="12.8" hidden="false" customHeight="false" outlineLevel="0" collapsed="false">
      <c r="A5273" s="0" t="s">
        <v>2913</v>
      </c>
      <c r="B5273" s="0" t="str">
        <f aca="false">HYPERLINK("https://lindat.mff.cuni.cz/services/teitok/pdtc10/index.php?action=vallex&amp;frame=v-w735hsa_258", "dostat se (v-w735hsa_258) - substituted with v-w735f15_ZU")</f>
        <v>dostat se (v-w735hsa_258) - substituted with v-w735f15_ZU</v>
      </c>
    </row>
    <row r="5274" customFormat="false" ht="12.8" hidden="false" customHeight="false" outlineLevel="0" collapsed="false">
      <c r="B5274" s="0" t="s">
        <v>1</v>
      </c>
    </row>
    <row r="5275" customFormat="false" ht="12.8" hidden="false" customHeight="false" outlineLevel="0" collapsed="false">
      <c r="B5275" s="0" t="s">
        <v>2914</v>
      </c>
    </row>
    <row r="5277" customFormat="false" ht="12.8" hidden="false" customHeight="false" outlineLevel="0" collapsed="false">
      <c r="A5277" s="0" t="s">
        <v>2915</v>
      </c>
      <c r="B5277" s="0" t="str">
        <f aca="false">HYPERLINK("https://lindat.mff.cuni.cz/services/teitok/pdtc10/index.php?action=vallex&amp;frame=v-w735f16_ZU", "dostat se (v-w735f16_ZU)")</f>
        <v>dostat se (v-w735f16_ZU)</v>
      </c>
    </row>
    <row r="5278" customFormat="false" ht="12.8" hidden="false" customHeight="false" outlineLevel="0" collapsed="false">
      <c r="B5278" s="0" t="s">
        <v>1</v>
      </c>
    </row>
    <row r="5279" customFormat="false" ht="12.8" hidden="false" customHeight="false" outlineLevel="0" collapsed="false">
      <c r="B5279" s="0" t="s">
        <v>1262</v>
      </c>
    </row>
    <row r="5281" customFormat="false" ht="12.8" hidden="false" customHeight="false" outlineLevel="0" collapsed="false">
      <c r="A5281" s="0" t="s">
        <v>2916</v>
      </c>
      <c r="B5281" s="0" t="str">
        <f aca="false">HYPERLINK("https://lindat.mff.cuni.cz/services/teitok/pdtc10/index.php?action=vallex&amp;frame=v-w735f25_ZU", "dostat se (v-w735f25_ZU)")</f>
        <v>dostat se (v-w735f25_ZU)</v>
      </c>
    </row>
    <row r="5282" customFormat="false" ht="12.8" hidden="false" customHeight="false" outlineLevel="0" collapsed="false">
      <c r="B5282" s="0" t="s">
        <v>1</v>
      </c>
    </row>
    <row r="5283" customFormat="false" ht="12.8" hidden="false" customHeight="false" outlineLevel="0" collapsed="false">
      <c r="B5283" s="0" t="s">
        <v>2917</v>
      </c>
    </row>
    <row r="5285" customFormat="false" ht="12.8" hidden="false" customHeight="false" outlineLevel="0" collapsed="false">
      <c r="A5285" s="0" t="s">
        <v>2918</v>
      </c>
      <c r="B5285" s="0" t="str">
        <f aca="false">HYPERLINK("https://lindat.mff.cuni.cz/services/teitok/pdtc10/index.php?action=vallex&amp;frame=v-w740f1", "dostavit se (v-w740f1)")</f>
        <v>dostavit se (v-w740f1)</v>
      </c>
      <c r="E5285" s="0" t="str">
        <f aca="false">HYPERLINK("https://lindat.mff.cuni.cz/services/SynSemClass40/SynSemClass40.html?veclass=vec00042#vec00042-ces-cm00014", "vec00042")</f>
        <v>vec00042</v>
      </c>
      <c r="F5285" s="0" t="s">
        <v>1411</v>
      </c>
    </row>
    <row r="5286" customFormat="false" ht="12.8" hidden="false" customHeight="false" outlineLevel="0" collapsed="false">
      <c r="B5286" s="0" t="s">
        <v>1</v>
      </c>
      <c r="C5286" s="0" t="s">
        <v>2919</v>
      </c>
      <c r="E5286" s="0" t="s">
        <v>1413</v>
      </c>
      <c r="F5286" s="0" t="s">
        <v>1414</v>
      </c>
    </row>
    <row r="5287" customFormat="false" ht="12.8" hidden="false" customHeight="false" outlineLevel="0" collapsed="false">
      <c r="B5287" s="0" t="s">
        <v>164</v>
      </c>
      <c r="C5287" s="0" t="s">
        <v>1415</v>
      </c>
      <c r="E5287" s="0" t="s">
        <v>1416</v>
      </c>
      <c r="F5287" s="0" t="s">
        <v>1417</v>
      </c>
    </row>
    <row r="5289" customFormat="false" ht="12.8" hidden="false" customHeight="false" outlineLevel="0" collapsed="false">
      <c r="A5289" s="0" t="s">
        <v>2920</v>
      </c>
      <c r="B5289" s="0" t="str">
        <f aca="false">HYPERLINK("https://lindat.mff.cuni.cz/services/teitok/pdtc10/index.php?action=vallex&amp;frame=v-w740f2", "dostavit se (v-w740f2)")</f>
        <v>dostavit se (v-w740f2)</v>
      </c>
      <c r="E5289" s="0" t="str">
        <f aca="false">HYPERLINK("https://lindat.mff.cuni.cz/services/SynSemClass40/SynSemClass40.html?veclass=vec00097#vec00097-ces-cm00078", "vec00097")</f>
        <v>vec00097</v>
      </c>
      <c r="F5289" s="0" t="s">
        <v>373</v>
      </c>
      <c r="H5289" s="0" t="str">
        <f aca="false">HYPERLINK("https://lindat.mff.cuni.cz/services/SynSemClass40/SynSemClass40.html?veclass=vec01518#vec01518-ces-cm00002", "vec01518")</f>
        <v>vec01518</v>
      </c>
      <c r="I5289" s="0" t="s">
        <v>2921</v>
      </c>
    </row>
    <row r="5290" customFormat="false" ht="12.8" hidden="false" customHeight="false" outlineLevel="0" collapsed="false">
      <c r="B5290" s="0" t="s">
        <v>1</v>
      </c>
      <c r="C5290" s="0" t="s">
        <v>2922</v>
      </c>
      <c r="E5290" s="0" t="s">
        <v>375</v>
      </c>
      <c r="F5290" s="0" t="s">
        <v>376</v>
      </c>
      <c r="H5290" s="0" t="s">
        <v>2923</v>
      </c>
      <c r="I5290" s="0" t="s">
        <v>2924</v>
      </c>
    </row>
    <row r="5292" customFormat="false" ht="12.8" hidden="false" customHeight="false" outlineLevel="0" collapsed="false">
      <c r="A5292" s="0" t="s">
        <v>2925</v>
      </c>
      <c r="B5292" s="0" t="str">
        <f aca="false">HYPERLINK("https://lindat.mff.cuni.cz/services/teitok/pdtc10/index.php?action=vallex&amp;frame=v-w741f1", "dostavovat se (v-w741f1)")</f>
        <v>dostavovat se (v-w741f1)</v>
      </c>
      <c r="E5292" s="0" t="str">
        <f aca="false">HYPERLINK("https://lindat.mff.cuni.cz/services/SynSemClass40/SynSemClass40.html?veclass=vec00042#vec00042-ces-cm00058", "vec00042")</f>
        <v>vec00042</v>
      </c>
      <c r="F5292" s="0" t="s">
        <v>1411</v>
      </c>
    </row>
    <row r="5293" customFormat="false" ht="12.8" hidden="false" customHeight="false" outlineLevel="0" collapsed="false">
      <c r="B5293" s="0" t="s">
        <v>1</v>
      </c>
      <c r="C5293" s="0" t="s">
        <v>2919</v>
      </c>
      <c r="E5293" s="0" t="s">
        <v>1413</v>
      </c>
      <c r="F5293" s="0" t="s">
        <v>1414</v>
      </c>
    </row>
    <row r="5294" customFormat="false" ht="12.8" hidden="false" customHeight="false" outlineLevel="0" collapsed="false">
      <c r="B5294" s="0" t="s">
        <v>164</v>
      </c>
      <c r="C5294" s="0" t="s">
        <v>1415</v>
      </c>
      <c r="E5294" s="0" t="s">
        <v>1416</v>
      </c>
      <c r="F5294" s="0" t="s">
        <v>1417</v>
      </c>
    </row>
    <row r="5296" customFormat="false" ht="12.8" hidden="false" customHeight="false" outlineLevel="0" collapsed="false">
      <c r="A5296" s="0" t="s">
        <v>2926</v>
      </c>
      <c r="B5296" s="0" t="str">
        <f aca="false">HYPERLINK("https://lindat.mff.cuni.cz/services/teitok/pdtc10/index.php?action=vallex&amp;frame=v-w741f2", "dostavovat se (v-w741f2)")</f>
        <v>dostavovat se (v-w741f2)</v>
      </c>
      <c r="E5296" s="0" t="str">
        <f aca="false">HYPERLINK("https://lindat.mff.cuni.cz/services/SynSemClass40/SynSemClass40.html?veclass=vec00097#vec00097-ces-cm00186", "vec00097")</f>
        <v>vec00097</v>
      </c>
      <c r="F5296" s="0" t="s">
        <v>373</v>
      </c>
      <c r="H5296" s="0" t="str">
        <f aca="false">HYPERLINK("https://lindat.mff.cuni.cz/services/SynSemClass40/SynSemClass40.html?veclass=vec01518#vec01518-ces-cm00004", "vec01518")</f>
        <v>vec01518</v>
      </c>
      <c r="I5296" s="0" t="s">
        <v>2921</v>
      </c>
    </row>
    <row r="5297" customFormat="false" ht="12.8" hidden="false" customHeight="false" outlineLevel="0" collapsed="false">
      <c r="B5297" s="0" t="s">
        <v>1</v>
      </c>
      <c r="C5297" s="0" t="s">
        <v>2922</v>
      </c>
      <c r="E5297" s="0" t="s">
        <v>375</v>
      </c>
      <c r="F5297" s="0" t="s">
        <v>376</v>
      </c>
      <c r="H5297" s="0" t="s">
        <v>2923</v>
      </c>
      <c r="I5297" s="0" t="s">
        <v>2924</v>
      </c>
    </row>
    <row r="5299" customFormat="false" ht="12.8" hidden="false" customHeight="false" outlineLevel="0" collapsed="false">
      <c r="A5299" s="0" t="s">
        <v>2927</v>
      </c>
      <c r="B5299" s="0" t="str">
        <f aca="false">HYPERLINK("https://lindat.mff.cuni.cz/services/teitok/pdtc10/index.php?action=vallex&amp;frame=v-w739f1", "dostavět (v-w739f1)")</f>
        <v>dostavět (v-w739f1)</v>
      </c>
      <c r="E5299" s="0" t="str">
        <f aca="false">HYPERLINK("https://lindat.mff.cuni.cz/services/SynSemClass40/SynSemClass40.html?veclass=vec01490#vec01490-ces-cm00008", "vec01490")</f>
        <v>vec01490</v>
      </c>
      <c r="F5299" s="0" t="s">
        <v>2391</v>
      </c>
    </row>
    <row r="5300" customFormat="false" ht="12.8" hidden="false" customHeight="false" outlineLevel="0" collapsed="false">
      <c r="B5300" s="0" t="s">
        <v>1</v>
      </c>
      <c r="C5300" s="0" t="s">
        <v>2392</v>
      </c>
      <c r="E5300" s="0" t="s">
        <v>768</v>
      </c>
      <c r="F5300" s="0" t="s">
        <v>2393</v>
      </c>
    </row>
    <row r="5301" customFormat="false" ht="12.8" hidden="false" customHeight="false" outlineLevel="0" collapsed="false">
      <c r="B5301" s="0" t="s">
        <v>8</v>
      </c>
      <c r="C5301" s="0" t="s">
        <v>2394</v>
      </c>
      <c r="E5301" s="0" t="s">
        <v>771</v>
      </c>
      <c r="F5301" s="0" t="s">
        <v>2395</v>
      </c>
    </row>
    <row r="5302" customFormat="false" ht="12.8" hidden="false" customHeight="false" outlineLevel="0" collapsed="false">
      <c r="B5302" s="0" t="s">
        <v>36</v>
      </c>
      <c r="C5302" s="0" t="s">
        <v>2396</v>
      </c>
      <c r="E5302" s="0" t="s">
        <v>38</v>
      </c>
      <c r="F5302" s="0" t="s">
        <v>2397</v>
      </c>
    </row>
    <row r="5304" customFormat="false" ht="12.8" hidden="false" customHeight="false" outlineLevel="0" collapsed="false">
      <c r="A5304" s="0" t="s">
        <v>2928</v>
      </c>
      <c r="B5304" s="0" t="str">
        <f aca="false">HYPERLINK("https://lindat.mff.cuni.cz/services/teitok/pdtc10/index.php?action=vallex&amp;frame=v-w730f1", "dostačovat (v-w730f1)")</f>
        <v>dostačovat (v-w730f1)</v>
      </c>
    </row>
    <row r="5305" customFormat="false" ht="12.8" hidden="false" customHeight="false" outlineLevel="0" collapsed="false">
      <c r="B5305" s="0" t="s">
        <v>2929</v>
      </c>
    </row>
    <row r="5306" customFormat="false" ht="12.8" hidden="false" customHeight="false" outlineLevel="0" collapsed="false">
      <c r="B5306" s="0" t="s">
        <v>186</v>
      </c>
    </row>
    <row r="5308" customFormat="false" ht="12.8" hidden="false" customHeight="false" outlineLevel="0" collapsed="false">
      <c r="A5308" s="0" t="s">
        <v>2930</v>
      </c>
      <c r="B5308" s="0" t="str">
        <f aca="false">HYPERLINK("https://lindat.mff.cuni.cz/services/teitok/pdtc10/index.php?action=vallex&amp;frame=v-w742f1", "dostihnout (v-w742f1)")</f>
        <v>dostihnout (v-w742f1)</v>
      </c>
      <c r="E5308" s="0" t="str">
        <f aca="false">HYPERLINK("https://lindat.mff.cuni.cz/services/SynSemClass40/SynSemClass40.html?veclass=vec01017#vec01017-ces-cm00001", "vec01017")</f>
        <v>vec01017</v>
      </c>
      <c r="F5308" s="0" t="s">
        <v>2290</v>
      </c>
    </row>
    <row r="5309" customFormat="false" ht="12.8" hidden="false" customHeight="false" outlineLevel="0" collapsed="false">
      <c r="B5309" s="0" t="s">
        <v>1</v>
      </c>
      <c r="C5309" s="0" t="s">
        <v>10</v>
      </c>
      <c r="E5309" s="0" t="s">
        <v>2291</v>
      </c>
      <c r="F5309" s="0" t="s">
        <v>2292</v>
      </c>
    </row>
    <row r="5310" customFormat="false" ht="12.8" hidden="false" customHeight="false" outlineLevel="0" collapsed="false">
      <c r="B5310" s="0" t="s">
        <v>8</v>
      </c>
      <c r="C5310" s="0" t="s">
        <v>2293</v>
      </c>
      <c r="E5310" s="0" t="s">
        <v>523</v>
      </c>
      <c r="F5310" s="0" t="s">
        <v>2294</v>
      </c>
    </row>
    <row r="5312" customFormat="false" ht="12.8" hidden="false" customHeight="false" outlineLevel="0" collapsed="false">
      <c r="A5312" s="0" t="s">
        <v>2931</v>
      </c>
      <c r="B5312" s="0" t="str">
        <f aca="false">HYPERLINK("https://lindat.mff.cuni.cz/services/teitok/pdtc10/index.php?action=vallex&amp;frame=v-w11941_ZUf1_ZU", "dostopovat (v-w11941_ZUf1_ZU)")</f>
        <v>dostopovat (v-w11941_ZUf1_ZU)</v>
      </c>
    </row>
    <row r="5313" customFormat="false" ht="12.8" hidden="false" customHeight="false" outlineLevel="0" collapsed="false">
      <c r="B5313" s="0" t="s">
        <v>1</v>
      </c>
    </row>
    <row r="5314" customFormat="false" ht="12.8" hidden="false" customHeight="false" outlineLevel="0" collapsed="false">
      <c r="B5314" s="0" t="s">
        <v>454</v>
      </c>
    </row>
    <row r="5316" customFormat="false" ht="12.8" hidden="false" customHeight="false" outlineLevel="0" collapsed="false">
      <c r="A5316" s="0" t="s">
        <v>2932</v>
      </c>
      <c r="B5316" s="0" t="str">
        <f aca="false">HYPERLINK("https://lindat.mff.cuni.cz/services/teitok/pdtc10/index.php?action=vallex&amp;frame=v-whsa_700f1_ZU", "dostoupit (v-whsa_700f1_ZU)")</f>
        <v>dostoupit (v-whsa_700f1_ZU)</v>
      </c>
    </row>
    <row r="5317" customFormat="false" ht="12.8" hidden="false" customHeight="false" outlineLevel="0" collapsed="false">
      <c r="B5317" s="0" t="s">
        <v>1</v>
      </c>
    </row>
    <row r="5318" customFormat="false" ht="12.8" hidden="false" customHeight="false" outlineLevel="0" collapsed="false">
      <c r="B5318" s="0" t="s">
        <v>164</v>
      </c>
    </row>
    <row r="5320" customFormat="false" ht="12.8" hidden="false" customHeight="false" outlineLevel="0" collapsed="false">
      <c r="A5320" s="0" t="s">
        <v>2932</v>
      </c>
      <c r="B5320" s="0" t="str">
        <f aca="false">HYPERLINK("https://lindat.mff.cuni.cz/services/teitok/pdtc10/index.php?action=vallex&amp;frame=v-whsa_700hsa_701", "dostoupit (v-whsa_700hsa_701) - substituted with v-whsa_700f1_ZU")</f>
        <v>dostoupit (v-whsa_700hsa_701) - substituted with v-whsa_700f1_ZU</v>
      </c>
    </row>
    <row r="5321" customFormat="false" ht="12.8" hidden="false" customHeight="false" outlineLevel="0" collapsed="false">
      <c r="B5321" s="0" t="s">
        <v>1</v>
      </c>
    </row>
    <row r="5322" customFormat="false" ht="12.8" hidden="false" customHeight="false" outlineLevel="0" collapsed="false">
      <c r="B5322" s="0" t="s">
        <v>164</v>
      </c>
    </row>
    <row r="5324" customFormat="false" ht="12.8" hidden="false" customHeight="false" outlineLevel="0" collapsed="false">
      <c r="A5324" s="0" t="s">
        <v>2933</v>
      </c>
      <c r="B5324" s="0" t="str">
        <f aca="false">HYPERLINK("https://lindat.mff.cuni.cz/services/teitok/pdtc10/index.php?action=vallex&amp;frame=v-whsa_700f2_ZU", "dostoupit (v-whsa_700f2_ZU)")</f>
        <v>dostoupit (v-whsa_700f2_ZU)</v>
      </c>
    </row>
    <row r="5325" customFormat="false" ht="12.8" hidden="false" customHeight="false" outlineLevel="0" collapsed="false">
      <c r="B5325" s="0" t="s">
        <v>1</v>
      </c>
    </row>
    <row r="5326" customFormat="false" ht="12.8" hidden="false" customHeight="false" outlineLevel="0" collapsed="false">
      <c r="B5326" s="0" t="s">
        <v>1289</v>
      </c>
    </row>
    <row r="5328" customFormat="false" ht="12.8" hidden="false" customHeight="false" outlineLevel="0" collapsed="false">
      <c r="A5328" s="0" t="s">
        <v>2934</v>
      </c>
      <c r="B5328" s="0" t="str">
        <f aca="false">HYPERLINK("https://lindat.mff.cuni.cz/services/teitok/pdtc10/index.php?action=vallex&amp;frame=v-w743f1", "dostrkat (v-w743f1)")</f>
        <v>dostrkat (v-w743f1)</v>
      </c>
    </row>
    <row r="5329" customFormat="false" ht="12.8" hidden="false" customHeight="false" outlineLevel="0" collapsed="false">
      <c r="B5329" s="0" t="s">
        <v>1</v>
      </c>
    </row>
    <row r="5330" customFormat="false" ht="12.8" hidden="false" customHeight="false" outlineLevel="0" collapsed="false">
      <c r="B5330" s="0" t="s">
        <v>8</v>
      </c>
    </row>
    <row r="5331" customFormat="false" ht="12.8" hidden="false" customHeight="false" outlineLevel="0" collapsed="false">
      <c r="B5331" s="0" t="s">
        <v>164</v>
      </c>
    </row>
    <row r="5333" customFormat="false" ht="12.8" hidden="false" customHeight="false" outlineLevel="0" collapsed="false">
      <c r="A5333" s="0" t="s">
        <v>2935</v>
      </c>
      <c r="B5333" s="0" t="str">
        <f aca="false">HYPERLINK("https://lindat.mff.cuni.cz/services/teitok/pdtc10/index.php?action=vallex&amp;frame=v-whsa_930hsa_931", "dostudovat (v-whsa_930hsa_931)")</f>
        <v>dostudovat (v-whsa_930hsa_931)</v>
      </c>
    </row>
    <row r="5334" customFormat="false" ht="12.8" hidden="false" customHeight="false" outlineLevel="0" collapsed="false">
      <c r="B5334" s="0" t="s">
        <v>1</v>
      </c>
    </row>
    <row r="5335" customFormat="false" ht="12.8" hidden="false" customHeight="false" outlineLevel="0" collapsed="false">
      <c r="B5335" s="0" t="s">
        <v>8</v>
      </c>
    </row>
    <row r="5337" customFormat="false" ht="12.8" hidden="false" customHeight="false" outlineLevel="0" collapsed="false">
      <c r="A5337" s="0" t="s">
        <v>2936</v>
      </c>
      <c r="B5337" s="0" t="str">
        <f aca="false">HYPERLINK("https://lindat.mff.cuni.cz/services/teitok/pdtc10/index.php?action=vallex&amp;frame=v-whsa_930hsa_932", "dostudovat (v-whsa_930hsa_932)")</f>
        <v>dostudovat (v-whsa_930hsa_932)</v>
      </c>
    </row>
    <row r="5338" customFormat="false" ht="12.8" hidden="false" customHeight="false" outlineLevel="0" collapsed="false">
      <c r="B5338" s="0" t="s">
        <v>1</v>
      </c>
    </row>
    <row r="5339" customFormat="false" ht="12.8" hidden="false" customHeight="false" outlineLevel="0" collapsed="false">
      <c r="B5339" s="0" t="s">
        <v>8</v>
      </c>
    </row>
    <row r="5341" customFormat="false" ht="12.8" hidden="false" customHeight="false" outlineLevel="0" collapsed="false">
      <c r="A5341" s="0" t="s">
        <v>2937</v>
      </c>
      <c r="B5341" s="0" t="str">
        <f aca="false">HYPERLINK("https://lindat.mff.cuni.cz/services/teitok/pdtc10/index.php?action=vallex&amp;frame=v-w11701_ZUf1_ZU", "dostudovávat (v-w11701_ZUf1_ZU)")</f>
        <v>dostudovávat (v-w11701_ZUf1_ZU)</v>
      </c>
    </row>
    <row r="5342" customFormat="false" ht="12.8" hidden="false" customHeight="false" outlineLevel="0" collapsed="false">
      <c r="B5342" s="0" t="s">
        <v>1</v>
      </c>
    </row>
    <row r="5343" customFormat="false" ht="12.8" hidden="false" customHeight="false" outlineLevel="0" collapsed="false">
      <c r="B5343" s="0" t="s">
        <v>8</v>
      </c>
    </row>
    <row r="5345" customFormat="false" ht="12.8" hidden="false" customHeight="false" outlineLevel="0" collapsed="false">
      <c r="A5345" s="0" t="s">
        <v>2938</v>
      </c>
      <c r="B5345" s="0" t="str">
        <f aca="false">HYPERLINK("https://lindat.mff.cuni.cz/services/teitok/pdtc10/index.php?action=vallex&amp;frame=v-w733f1", "dostát (v-w733f1)")</f>
        <v>dostát (v-w733f1)</v>
      </c>
      <c r="E5345" s="0" t="str">
        <f aca="false">HYPERLINK("https://lindat.mff.cuni.cz/services/SynSemClass40/SynSemClass40.html?veclass=vec00316#vec00316-ces-cm00007", "vec00316")</f>
        <v>vec00316</v>
      </c>
      <c r="F5345" s="0" t="s">
        <v>2221</v>
      </c>
    </row>
    <row r="5346" customFormat="false" ht="12.8" hidden="false" customHeight="false" outlineLevel="0" collapsed="false">
      <c r="B5346" s="0" t="s">
        <v>1</v>
      </c>
      <c r="C5346" s="0" t="s">
        <v>2222</v>
      </c>
      <c r="E5346" s="0" t="s">
        <v>11</v>
      </c>
      <c r="F5346" s="0" t="s">
        <v>2223</v>
      </c>
    </row>
    <row r="5347" customFormat="false" ht="12.8" hidden="false" customHeight="false" outlineLevel="0" collapsed="false">
      <c r="B5347" s="0" t="s">
        <v>186</v>
      </c>
      <c r="C5347" s="0" t="s">
        <v>2224</v>
      </c>
      <c r="E5347" s="0" t="s">
        <v>2225</v>
      </c>
      <c r="F5347" s="0" t="s">
        <v>2226</v>
      </c>
    </row>
    <row r="5349" customFormat="false" ht="12.8" hidden="false" customHeight="false" outlineLevel="0" collapsed="false">
      <c r="A5349" s="0" t="s">
        <v>2939</v>
      </c>
      <c r="B5349" s="0" t="str">
        <f aca="false">HYPERLINK("https://lindat.mff.cuni.cz/services/teitok/pdtc10/index.php?action=vallex&amp;frame=v-w736f15_ZU", "dostávat (v-w736f15_ZU)")</f>
        <v>dostávat (v-w736f15_ZU)</v>
      </c>
    </row>
    <row r="5350" customFormat="false" ht="12.8" hidden="false" customHeight="false" outlineLevel="0" collapsed="false">
      <c r="B5350" s="0" t="s">
        <v>1</v>
      </c>
    </row>
    <row r="5351" customFormat="false" ht="12.8" hidden="false" customHeight="false" outlineLevel="0" collapsed="false">
      <c r="B5351" s="0" t="s">
        <v>59</v>
      </c>
    </row>
    <row r="5352" customFormat="false" ht="12.8" hidden="false" customHeight="false" outlineLevel="0" collapsed="false">
      <c r="B5352" s="0" t="s">
        <v>1633</v>
      </c>
    </row>
    <row r="5354" customFormat="false" ht="12.8" hidden="false" customHeight="false" outlineLevel="0" collapsed="false">
      <c r="A5354" s="0" t="s">
        <v>2939</v>
      </c>
      <c r="B5354" s="0" t="str">
        <f aca="false">HYPERLINK("https://lindat.mff.cuni.cz/services/teitok/pdtc10/index.php?action=vallex&amp;frame=v-w736f1", "dostávat (v-w736f1) - substituted with v-w736f15_ZU")</f>
        <v>dostávat (v-w736f1) - substituted with v-w736f15_ZU</v>
      </c>
      <c r="E5354" s="0" t="str">
        <f aca="false">HYPERLINK("https://lindat.mff.cuni.cz/services/SynSemClass40/SynSemClass40.html?veclass=vec00189#vec00189-ces-cm00010", "vec00189")</f>
        <v>vec00189</v>
      </c>
      <c r="F5354" s="0" t="s">
        <v>2169</v>
      </c>
      <c r="H5354" s="0" t="str">
        <f aca="false">HYPERLINK("https://lindat.mff.cuni.cz/services/SynSemClass40/SynSemClass40.html?veclass=vec01491#vec01491-ces-cm00083", "vec01491")</f>
        <v>vec01491</v>
      </c>
      <c r="I5354" s="0" t="s">
        <v>2792</v>
      </c>
    </row>
    <row r="5355" customFormat="false" ht="12.8" hidden="false" customHeight="false" outlineLevel="0" collapsed="false">
      <c r="B5355" s="0" t="s">
        <v>1</v>
      </c>
      <c r="C5355" s="0" t="s">
        <v>2793</v>
      </c>
      <c r="E5355" s="0" t="s">
        <v>1567</v>
      </c>
      <c r="F5355" s="0" t="s">
        <v>2171</v>
      </c>
      <c r="H5355" s="0" t="s">
        <v>1567</v>
      </c>
      <c r="I5355" s="0" t="s">
        <v>2794</v>
      </c>
    </row>
    <row r="5356" customFormat="false" ht="12.8" hidden="false" customHeight="false" outlineLevel="0" collapsed="false">
      <c r="B5356" s="0" t="s">
        <v>59</v>
      </c>
      <c r="C5356" s="0" t="s">
        <v>2795</v>
      </c>
      <c r="E5356" s="0" t="s">
        <v>2111</v>
      </c>
      <c r="F5356" s="0" t="s">
        <v>2174</v>
      </c>
      <c r="H5356" s="0" t="s">
        <v>1875</v>
      </c>
      <c r="I5356" s="0" t="s">
        <v>2796</v>
      </c>
    </row>
    <row r="5357" customFormat="false" ht="12.8" hidden="false" customHeight="false" outlineLevel="0" collapsed="false">
      <c r="B5357" s="0" t="s">
        <v>1633</v>
      </c>
      <c r="C5357" s="0" t="s">
        <v>2797</v>
      </c>
      <c r="E5357" s="0" t="s">
        <v>2176</v>
      </c>
      <c r="F5357" s="0" t="s">
        <v>2177</v>
      </c>
      <c r="H5357" s="0" t="s">
        <v>2798</v>
      </c>
      <c r="I5357" s="0" t="s">
        <v>2799</v>
      </c>
    </row>
    <row r="5359" customFormat="false" ht="12.8" hidden="false" customHeight="false" outlineLevel="0" collapsed="false">
      <c r="A5359" s="0" t="s">
        <v>2940</v>
      </c>
      <c r="B5359" s="0" t="str">
        <f aca="false">HYPERLINK("https://lindat.mff.cuni.cz/services/teitok/pdtc10/index.php?action=vallex&amp;frame=v-w736f3", "dostávat (v-w736f3)")</f>
        <v>dostávat (v-w736f3)</v>
      </c>
      <c r="E5359" s="0" t="str">
        <f aca="false">HYPERLINK("https://lindat.mff.cuni.cz/services/SynSemClass40/SynSemClass40.html?veclass=vec00189#vec00189-ces-cm00251", "vec00189")</f>
        <v>vec00189</v>
      </c>
      <c r="F5359" s="0" t="s">
        <v>2169</v>
      </c>
      <c r="H5359" s="0" t="str">
        <f aca="false">HYPERLINK("https://lindat.mff.cuni.cz/services/SynSemClass40/SynSemClass40.html?veclass=vec01491#vec01491-ces-cm00084", "vec01491")</f>
        <v>vec01491</v>
      </c>
      <c r="I5359" s="0" t="s">
        <v>2792</v>
      </c>
    </row>
    <row r="5360" customFormat="false" ht="12.8" hidden="false" customHeight="false" outlineLevel="0" collapsed="false">
      <c r="B5360" s="0" t="s">
        <v>1</v>
      </c>
      <c r="C5360" s="0" t="s">
        <v>2793</v>
      </c>
      <c r="E5360" s="0" t="s">
        <v>1567</v>
      </c>
      <c r="F5360" s="0" t="s">
        <v>2171</v>
      </c>
      <c r="H5360" s="0" t="s">
        <v>1567</v>
      </c>
      <c r="I5360" s="0" t="s">
        <v>2794</v>
      </c>
    </row>
    <row r="5361" customFormat="false" ht="12.8" hidden="false" customHeight="false" outlineLevel="0" collapsed="false">
      <c r="B5361" s="0" t="s">
        <v>8</v>
      </c>
      <c r="C5361" s="0" t="s">
        <v>2795</v>
      </c>
      <c r="E5361" s="0" t="s">
        <v>2111</v>
      </c>
      <c r="F5361" s="0" t="s">
        <v>2174</v>
      </c>
      <c r="H5361" s="0" t="s">
        <v>1875</v>
      </c>
      <c r="I5361" s="0" t="s">
        <v>2796</v>
      </c>
    </row>
    <row r="5362" customFormat="false" ht="12.8" hidden="false" customHeight="false" outlineLevel="0" collapsed="false">
      <c r="B5362" s="0" t="s">
        <v>602</v>
      </c>
      <c r="C5362" s="0" t="s">
        <v>2797</v>
      </c>
      <c r="E5362" s="0" t="s">
        <v>2176</v>
      </c>
      <c r="F5362" s="0" t="s">
        <v>2177</v>
      </c>
      <c r="H5362" s="0" t="s">
        <v>2798</v>
      </c>
      <c r="I5362" s="0" t="s">
        <v>2799</v>
      </c>
    </row>
    <row r="5364" customFormat="false" ht="12.8" hidden="false" customHeight="false" outlineLevel="0" collapsed="false">
      <c r="A5364" s="0" t="s">
        <v>2941</v>
      </c>
      <c r="B5364" s="0" t="str">
        <f aca="false">HYPERLINK("https://lindat.mff.cuni.cz/services/teitok/pdtc10/index.php?action=vallex&amp;frame=v-w736f4", "dostávat (v-w736f4)")</f>
        <v>dostávat (v-w736f4)</v>
      </c>
      <c r="E5364" s="0" t="str">
        <f aca="false">HYPERLINK("https://lindat.mff.cuni.cz/services/SynSemClass40/SynSemClass40.html?veclass=vec00636#vec00636-ces-cm00011", "vec00636")</f>
        <v>vec00636</v>
      </c>
      <c r="F5364" s="0" t="s">
        <v>2801</v>
      </c>
    </row>
    <row r="5365" customFormat="false" ht="12.8" hidden="false" customHeight="false" outlineLevel="0" collapsed="false">
      <c r="B5365" s="0" t="s">
        <v>1</v>
      </c>
      <c r="C5365" s="0" t="s">
        <v>2802</v>
      </c>
      <c r="E5365" s="0" t="s">
        <v>2803</v>
      </c>
      <c r="F5365" s="0" t="s">
        <v>2804</v>
      </c>
    </row>
    <row r="5366" customFormat="false" ht="12.8" hidden="false" customHeight="false" outlineLevel="0" collapsed="false">
      <c r="B5366" s="0" t="s">
        <v>8</v>
      </c>
      <c r="C5366" s="0" t="s">
        <v>13</v>
      </c>
      <c r="E5366" s="0" t="s">
        <v>2805</v>
      </c>
      <c r="F5366" s="0" t="s">
        <v>2806</v>
      </c>
    </row>
    <row r="5367" customFormat="false" ht="12.8" hidden="false" customHeight="false" outlineLevel="0" collapsed="false">
      <c r="B5367" s="0" t="s">
        <v>2840</v>
      </c>
      <c r="E5367" s="0" t="s">
        <v>2176</v>
      </c>
      <c r="F5367" s="0" t="s">
        <v>2807</v>
      </c>
    </row>
    <row r="5369" customFormat="false" ht="12.8" hidden="false" customHeight="false" outlineLevel="0" collapsed="false">
      <c r="A5369" s="0" t="s">
        <v>2942</v>
      </c>
      <c r="B5369" s="0" t="str">
        <f aca="false">HYPERLINK("https://lindat.mff.cuni.cz/services/teitok/pdtc10/index.php?action=vallex&amp;frame=v-w736f7", "dostávat (v-w736f7)")</f>
        <v>dostávat (v-w736f7)</v>
      </c>
    </row>
    <row r="5370" customFormat="false" ht="12.8" hidden="false" customHeight="false" outlineLevel="0" collapsed="false">
      <c r="B5370" s="0" t="s">
        <v>1</v>
      </c>
    </row>
    <row r="5371" customFormat="false" ht="12.8" hidden="false" customHeight="false" outlineLevel="0" collapsed="false">
      <c r="B5371" s="0" t="s">
        <v>2811</v>
      </c>
    </row>
    <row r="5372" customFormat="false" ht="12.8" hidden="false" customHeight="false" outlineLevel="0" collapsed="false">
      <c r="B5372" s="0" t="s">
        <v>2812</v>
      </c>
    </row>
    <row r="5373" customFormat="false" ht="12.8" hidden="false" customHeight="false" outlineLevel="0" collapsed="false">
      <c r="B5373" s="0" t="s">
        <v>602</v>
      </c>
    </row>
    <row r="5375" customFormat="false" ht="12.8" hidden="false" customHeight="false" outlineLevel="0" collapsed="false">
      <c r="A5375" s="0" t="s">
        <v>2943</v>
      </c>
      <c r="B5375" s="0" t="str">
        <f aca="false">HYPERLINK("https://lindat.mff.cuni.cz/services/teitok/pdtc10/index.php?action=vallex&amp;frame=v-w736f5", "dostávat (v-w736f5)")</f>
        <v>dostávat (v-w736f5)</v>
      </c>
    </row>
    <row r="5376" customFormat="false" ht="12.8" hidden="false" customHeight="false" outlineLevel="0" collapsed="false">
      <c r="B5376" s="0" t="s">
        <v>1</v>
      </c>
    </row>
    <row r="5377" customFormat="false" ht="12.8" hidden="false" customHeight="false" outlineLevel="0" collapsed="false">
      <c r="B5377" s="0" t="s">
        <v>8</v>
      </c>
    </row>
    <row r="5378" customFormat="false" ht="12.8" hidden="false" customHeight="false" outlineLevel="0" collapsed="false">
      <c r="B5378" s="0" t="s">
        <v>631</v>
      </c>
    </row>
    <row r="5380" customFormat="false" ht="12.8" hidden="false" customHeight="false" outlineLevel="0" collapsed="false">
      <c r="A5380" s="0" t="s">
        <v>2944</v>
      </c>
      <c r="B5380" s="0" t="str">
        <f aca="false">HYPERLINK("https://lindat.mff.cuni.cz/services/teitok/pdtc10/index.php?action=vallex&amp;frame=v-w736f8", "dostávat (v-w736f8)")</f>
        <v>dostávat (v-w736f8)</v>
      </c>
    </row>
    <row r="5381" customFormat="false" ht="12.8" hidden="false" customHeight="false" outlineLevel="0" collapsed="false">
      <c r="B5381" s="0" t="s">
        <v>1</v>
      </c>
    </row>
    <row r="5382" customFormat="false" ht="12.8" hidden="false" customHeight="false" outlineLevel="0" collapsed="false">
      <c r="B5382" s="0" t="s">
        <v>8</v>
      </c>
    </row>
    <row r="5383" customFormat="false" ht="12.8" hidden="false" customHeight="false" outlineLevel="0" collapsed="false">
      <c r="B5383" s="0" t="s">
        <v>631</v>
      </c>
    </row>
    <row r="5385" customFormat="false" ht="12.8" hidden="false" customHeight="false" outlineLevel="0" collapsed="false">
      <c r="A5385" s="0" t="s">
        <v>2945</v>
      </c>
      <c r="B5385" s="0" t="str">
        <f aca="false">HYPERLINK("https://lindat.mff.cuni.cz/services/teitok/pdtc10/index.php?action=vallex&amp;frame=v-w736f11", "dostávat (v-w736f11)")</f>
        <v>dostávat (v-w736f11)</v>
      </c>
      <c r="E5385" s="0" t="str">
        <f aca="false">HYPERLINK("https://lindat.mff.cuni.cz/services/SynSemClass40/SynSemClass40.html?veclass=vec00812#vec00812-ces-cm00156", "vec00812")</f>
        <v>vec00812</v>
      </c>
      <c r="F5385" s="0" t="s">
        <v>2822</v>
      </c>
    </row>
    <row r="5386" customFormat="false" ht="12.8" hidden="false" customHeight="false" outlineLevel="0" collapsed="false">
      <c r="B5386" s="0" t="s">
        <v>1</v>
      </c>
      <c r="C5386" s="0" t="s">
        <v>2823</v>
      </c>
      <c r="E5386" s="0" t="s">
        <v>1103</v>
      </c>
      <c r="F5386" s="0" t="s">
        <v>2824</v>
      </c>
    </row>
    <row r="5387" customFormat="false" ht="12.8" hidden="false" customHeight="false" outlineLevel="0" collapsed="false">
      <c r="B5387" s="0" t="s">
        <v>8</v>
      </c>
      <c r="C5387" s="0" t="s">
        <v>2372</v>
      </c>
      <c r="E5387" s="0" t="s">
        <v>142</v>
      </c>
      <c r="F5387" s="0" t="s">
        <v>2825</v>
      </c>
    </row>
    <row r="5388" customFormat="false" ht="12.8" hidden="false" customHeight="false" outlineLevel="0" collapsed="false">
      <c r="B5388" s="0" t="s">
        <v>361</v>
      </c>
      <c r="C5388" s="0" t="s">
        <v>2826</v>
      </c>
      <c r="E5388" s="0" t="s">
        <v>2827</v>
      </c>
      <c r="F5388" s="0" t="s">
        <v>2828</v>
      </c>
    </row>
    <row r="5390" customFormat="false" ht="12.8" hidden="false" customHeight="false" outlineLevel="0" collapsed="false">
      <c r="A5390" s="0" t="s">
        <v>2946</v>
      </c>
      <c r="B5390" s="0" t="str">
        <f aca="false">HYPERLINK("https://lindat.mff.cuni.cz/services/teitok/pdtc10/index.php?action=vallex&amp;frame=v-w736f6", "dostávat (v-w736f6)")</f>
        <v>dostávat (v-w736f6)</v>
      </c>
      <c r="E5390" s="0" t="str">
        <f aca="false">HYPERLINK("https://lindat.mff.cuni.cz/services/SynSemClass40/SynSemClass40.html?veclass=vec00735#vec00735-ces-cm00145", "vec00735")</f>
        <v>vec00735</v>
      </c>
      <c r="F5390" s="0" t="s">
        <v>2719</v>
      </c>
    </row>
    <row r="5391" customFormat="false" ht="12.8" hidden="false" customHeight="false" outlineLevel="0" collapsed="false">
      <c r="B5391" s="0" t="s">
        <v>1</v>
      </c>
      <c r="C5391" s="0" t="s">
        <v>2720</v>
      </c>
      <c r="E5391" s="0" t="s">
        <v>334</v>
      </c>
      <c r="F5391" s="0" t="s">
        <v>2721</v>
      </c>
    </row>
    <row r="5392" customFormat="false" ht="12.8" hidden="false" customHeight="false" outlineLevel="0" collapsed="false">
      <c r="B5392" s="0" t="s">
        <v>8</v>
      </c>
      <c r="C5392" s="0" t="s">
        <v>2722</v>
      </c>
      <c r="E5392" s="0" t="s">
        <v>2648</v>
      </c>
      <c r="F5392" s="0" t="s">
        <v>2723</v>
      </c>
    </row>
    <row r="5393" customFormat="false" ht="12.8" hidden="false" customHeight="false" outlineLevel="0" collapsed="false">
      <c r="B5393" s="0" t="s">
        <v>164</v>
      </c>
      <c r="C5393" s="0" t="s">
        <v>2724</v>
      </c>
      <c r="E5393" s="0" t="s">
        <v>370</v>
      </c>
      <c r="F5393" s="0" t="s">
        <v>2725</v>
      </c>
    </row>
    <row r="5395" customFormat="false" ht="12.8" hidden="false" customHeight="false" outlineLevel="0" collapsed="false">
      <c r="A5395" s="0" t="s">
        <v>2947</v>
      </c>
      <c r="B5395" s="0" t="str">
        <f aca="false">HYPERLINK("https://lindat.mff.cuni.cz/services/teitok/pdtc10/index.php?action=vallex&amp;frame=v-w736f10", "dostávat (v-w736f10)")</f>
        <v>dostávat (v-w736f10)</v>
      </c>
    </row>
    <row r="5396" customFormat="false" ht="12.8" hidden="false" customHeight="false" outlineLevel="0" collapsed="false">
      <c r="B5396" s="0" t="s">
        <v>1</v>
      </c>
    </row>
    <row r="5397" customFormat="false" ht="12.8" hidden="false" customHeight="false" outlineLevel="0" collapsed="false">
      <c r="B5397" s="0" t="s">
        <v>186</v>
      </c>
    </row>
    <row r="5399" customFormat="false" ht="12.8" hidden="false" customHeight="false" outlineLevel="0" collapsed="false">
      <c r="A5399" s="0" t="s">
        <v>2948</v>
      </c>
      <c r="B5399" s="0" t="str">
        <f aca="false">HYPERLINK("https://lindat.mff.cuni.cz/services/teitok/pdtc10/index.php?action=vallex&amp;frame=v-w736f13", "dostávat (v-w736f13)")</f>
        <v>dostávat (v-w736f13)</v>
      </c>
      <c r="E5399" s="0" t="str">
        <f aca="false">HYPERLINK("https://lindat.mff.cuni.cz/services/SynSemClass40/SynSemClass40.html?veclass=vec00586#vec00586-ces-cm00085", "vec00586")</f>
        <v>vec00586</v>
      </c>
      <c r="F5399" s="0" t="s">
        <v>2831</v>
      </c>
    </row>
    <row r="5400" customFormat="false" ht="12.8" hidden="false" customHeight="false" outlineLevel="0" collapsed="false">
      <c r="B5400" s="0" t="s">
        <v>1</v>
      </c>
      <c r="C5400" s="0" t="s">
        <v>2832</v>
      </c>
      <c r="E5400" s="0" t="s">
        <v>1567</v>
      </c>
      <c r="F5400" s="0" t="s">
        <v>2833</v>
      </c>
    </row>
    <row r="5401" customFormat="false" ht="12.8" hidden="false" customHeight="false" outlineLevel="0" collapsed="false">
      <c r="B5401" s="0" t="s">
        <v>8</v>
      </c>
      <c r="C5401" s="0" t="s">
        <v>2834</v>
      </c>
      <c r="E5401" s="0" t="s">
        <v>2111</v>
      </c>
      <c r="F5401" s="0" t="s">
        <v>2835</v>
      </c>
    </row>
    <row r="5403" customFormat="false" ht="12.8" hidden="false" customHeight="false" outlineLevel="0" collapsed="false">
      <c r="A5403" s="0" t="s">
        <v>2949</v>
      </c>
      <c r="B5403" s="0" t="str">
        <f aca="false">HYPERLINK("https://lindat.mff.cuni.cz/services/teitok/pdtc10/index.php?action=vallex&amp;frame=v-w736f9", "dostávat (v-w736f9)")</f>
        <v>dostávat (v-w736f9)</v>
      </c>
    </row>
    <row r="5404" customFormat="false" ht="12.8" hidden="false" customHeight="false" outlineLevel="0" collapsed="false">
      <c r="B5404" s="0" t="s">
        <v>1</v>
      </c>
    </row>
    <row r="5405" customFormat="false" ht="12.8" hidden="false" customHeight="false" outlineLevel="0" collapsed="false">
      <c r="B5405" s="0" t="s">
        <v>8</v>
      </c>
    </row>
    <row r="5407" customFormat="false" ht="12.8" hidden="false" customHeight="false" outlineLevel="0" collapsed="false">
      <c r="A5407" s="0" t="s">
        <v>2950</v>
      </c>
      <c r="B5407" s="0" t="str">
        <f aca="false">HYPERLINK("https://lindat.mff.cuni.cz/services/teitok/pdtc10/index.php?action=vallex&amp;frame=v-w736f12", "dostávat (v-w736f12)")</f>
        <v>dostávat (v-w736f12)</v>
      </c>
    </row>
    <row r="5408" customFormat="false" ht="12.8" hidden="false" customHeight="false" outlineLevel="0" collapsed="false">
      <c r="B5408" s="0" t="s">
        <v>1</v>
      </c>
    </row>
    <row r="5409" customFormat="false" ht="12.8" hidden="false" customHeight="false" outlineLevel="0" collapsed="false">
      <c r="B5409" s="0" t="s">
        <v>8</v>
      </c>
    </row>
    <row r="5411" customFormat="false" ht="12.8" hidden="false" customHeight="false" outlineLevel="0" collapsed="false">
      <c r="A5411" s="0" t="s">
        <v>2951</v>
      </c>
      <c r="B5411" s="0" t="str">
        <f aca="false">HYPERLINK("https://lindat.mff.cuni.cz/services/teitok/pdtc10/index.php?action=vallex&amp;frame=v-w736f14_ZU", "dostávat (v-w736f14_ZU)")</f>
        <v>dostávat (v-w736f14_ZU)</v>
      </c>
      <c r="E5411" s="0" t="str">
        <f aca="false">HYPERLINK("https://lindat.mff.cuni.cz/services/SynSemClass40/SynSemClass40.html?veclass=vec00189#vec00189-ces-cm00059", "vec00189")</f>
        <v>vec00189</v>
      </c>
      <c r="F5411" s="0" t="s">
        <v>2169</v>
      </c>
    </row>
    <row r="5412" customFormat="false" ht="12.8" hidden="false" customHeight="false" outlineLevel="0" collapsed="false">
      <c r="B5412" s="0" t="s">
        <v>1</v>
      </c>
      <c r="C5412" s="0" t="s">
        <v>2170</v>
      </c>
      <c r="E5412" s="0" t="s">
        <v>1567</v>
      </c>
      <c r="F5412" s="0" t="s">
        <v>2171</v>
      </c>
    </row>
    <row r="5413" customFormat="false" ht="12.8" hidden="false" customHeight="false" outlineLevel="0" collapsed="false">
      <c r="B5413" s="0" t="s">
        <v>2952</v>
      </c>
      <c r="C5413" s="0" t="s">
        <v>2841</v>
      </c>
      <c r="E5413" s="0" t="s">
        <v>2842</v>
      </c>
      <c r="F5413" s="0" t="s">
        <v>2843</v>
      </c>
    </row>
    <row r="5414" customFormat="false" ht="12.8" hidden="false" customHeight="false" outlineLevel="0" collapsed="false">
      <c r="B5414" s="0" t="s">
        <v>2840</v>
      </c>
      <c r="C5414" s="0" t="s">
        <v>2175</v>
      </c>
      <c r="E5414" s="0" t="s">
        <v>2176</v>
      </c>
      <c r="F5414" s="0" t="s">
        <v>2177</v>
      </c>
    </row>
    <row r="5416" customFormat="false" ht="12.8" hidden="false" customHeight="false" outlineLevel="0" collapsed="false">
      <c r="A5416" s="0" t="s">
        <v>2951</v>
      </c>
      <c r="B5416" s="0" t="str">
        <f aca="false">HYPERLINK("https://lindat.mff.cuni.cz/services/teitok/pdtc10/index.php?action=vallex&amp;frame=v-w736f2", "dostávat (v-w736f2) - substituted with v-w736f14_ZU")</f>
        <v>dostávat (v-w736f2) - substituted with v-w736f14_ZU</v>
      </c>
    </row>
    <row r="5417" customFormat="false" ht="12.8" hidden="false" customHeight="false" outlineLevel="0" collapsed="false">
      <c r="B5417" s="0" t="s">
        <v>1</v>
      </c>
    </row>
    <row r="5418" customFormat="false" ht="12.8" hidden="false" customHeight="false" outlineLevel="0" collapsed="false">
      <c r="B5418" s="0" t="s">
        <v>2952</v>
      </c>
    </row>
    <row r="5419" customFormat="false" ht="12.8" hidden="false" customHeight="false" outlineLevel="0" collapsed="false">
      <c r="B5419" s="0" t="s">
        <v>2840</v>
      </c>
    </row>
    <row r="5421" customFormat="false" ht="12.8" hidden="false" customHeight="false" outlineLevel="0" collapsed="false">
      <c r="A5421" s="0" t="s">
        <v>2951</v>
      </c>
      <c r="B5421" s="0" t="str">
        <f aca="false">HYPERLINK("https://lindat.mff.cuni.cz/services/teitok/pdtc10/index.php?action=vallex&amp;frame=v-w736hsa_402", "dostávat (v-w736hsa_402) - substituted with v-w736f14_ZU")</f>
        <v>dostávat (v-w736hsa_402) - substituted with v-w736f14_ZU</v>
      </c>
    </row>
    <row r="5422" customFormat="false" ht="12.8" hidden="false" customHeight="false" outlineLevel="0" collapsed="false">
      <c r="B5422" s="0" t="s">
        <v>1</v>
      </c>
    </row>
    <row r="5423" customFormat="false" ht="12.8" hidden="false" customHeight="false" outlineLevel="0" collapsed="false">
      <c r="B5423" s="0" t="s">
        <v>2952</v>
      </c>
    </row>
    <row r="5424" customFormat="false" ht="12.8" hidden="false" customHeight="false" outlineLevel="0" collapsed="false">
      <c r="B5424" s="0" t="s">
        <v>2840</v>
      </c>
    </row>
    <row r="5426" customFormat="false" ht="12.8" hidden="false" customHeight="false" outlineLevel="0" collapsed="false">
      <c r="A5426" s="0" t="s">
        <v>2953</v>
      </c>
      <c r="B5426" s="0" t="str">
        <f aca="false">HYPERLINK("https://lindat.mff.cuni.cz/services/teitok/pdtc10/index.php?action=vallex&amp;frame=v-w736f16_ZU", "dostávat (v-w736f16_ZU)")</f>
        <v>dostávat (v-w736f16_ZU)</v>
      </c>
    </row>
    <row r="5427" customFormat="false" ht="12.8" hidden="false" customHeight="false" outlineLevel="0" collapsed="false">
      <c r="B5427" s="0" t="s">
        <v>1</v>
      </c>
    </row>
    <row r="5428" customFormat="false" ht="12.8" hidden="false" customHeight="false" outlineLevel="0" collapsed="false">
      <c r="B5428" s="0" t="s">
        <v>2866</v>
      </c>
    </row>
    <row r="5430" customFormat="false" ht="12.8" hidden="false" customHeight="false" outlineLevel="0" collapsed="false">
      <c r="A5430" s="0" t="s">
        <v>2953</v>
      </c>
      <c r="B5430" s="0" t="str">
        <f aca="false">HYPERLINK("https://lindat.mff.cuni.cz/services/teitok/pdtc10/index.php?action=vallex&amp;frame=v-w736hsa_302", "dostávat (v-w736hsa_302) - substituted with v-w736f16_ZU")</f>
        <v>dostávat (v-w736hsa_302) - substituted with v-w736f16_ZU</v>
      </c>
    </row>
    <row r="5431" customFormat="false" ht="12.8" hidden="false" customHeight="false" outlineLevel="0" collapsed="false">
      <c r="B5431" s="0" t="s">
        <v>1</v>
      </c>
    </row>
    <row r="5432" customFormat="false" ht="12.8" hidden="false" customHeight="false" outlineLevel="0" collapsed="false">
      <c r="B5432" s="0" t="s">
        <v>2866</v>
      </c>
    </row>
    <row r="5434" customFormat="false" ht="12.8" hidden="false" customHeight="false" outlineLevel="0" collapsed="false">
      <c r="A5434" s="0" t="s">
        <v>2954</v>
      </c>
      <c r="B5434" s="0" t="str">
        <f aca="false">HYPERLINK("https://lindat.mff.cuni.cz/services/teitok/pdtc10/index.php?action=vallex&amp;frame=v-w737f2", "dostávat se (v-w737f2)")</f>
        <v>dostávat se (v-w737f2)</v>
      </c>
      <c r="E5434" s="0" t="str">
        <f aca="false">HYPERLINK("https://lindat.mff.cuni.cz/services/SynSemClass40/SynSemClass40.html?veclass=vec00189#vec00189-ces-cm00011", "vec00189")</f>
        <v>vec00189</v>
      </c>
      <c r="F5434" s="0" t="s">
        <v>2169</v>
      </c>
    </row>
    <row r="5435" customFormat="false" ht="12.8" hidden="false" customHeight="false" outlineLevel="0" collapsed="false">
      <c r="B5435" s="0" t="s">
        <v>804</v>
      </c>
      <c r="C5435" s="0" t="s">
        <v>2170</v>
      </c>
      <c r="E5435" s="0" t="s">
        <v>1567</v>
      </c>
      <c r="F5435" s="0" t="s">
        <v>2171</v>
      </c>
    </row>
    <row r="5436" customFormat="false" ht="12.8" hidden="false" customHeight="false" outlineLevel="0" collapsed="false">
      <c r="B5436" s="0" t="s">
        <v>1289</v>
      </c>
      <c r="C5436" s="0" t="s">
        <v>2173</v>
      </c>
      <c r="E5436" s="0" t="s">
        <v>2111</v>
      </c>
      <c r="F5436" s="0" t="s">
        <v>2174</v>
      </c>
    </row>
    <row r="5437" customFormat="false" ht="12.8" hidden="false" customHeight="false" outlineLevel="0" collapsed="false">
      <c r="B5437" s="0" t="s">
        <v>602</v>
      </c>
      <c r="C5437" s="0" t="s">
        <v>2175</v>
      </c>
      <c r="E5437" s="0" t="s">
        <v>2176</v>
      </c>
      <c r="F5437" s="0" t="s">
        <v>2177</v>
      </c>
    </row>
    <row r="5439" customFormat="false" ht="12.8" hidden="false" customHeight="false" outlineLevel="0" collapsed="false">
      <c r="A5439" s="0" t="s">
        <v>2955</v>
      </c>
      <c r="B5439" s="0" t="str">
        <f aca="false">HYPERLINK("https://lindat.mff.cuni.cz/services/teitok/pdtc10/index.php?action=vallex&amp;frame=v-w737f7", "dostávat se (v-w737f7)")</f>
        <v>dostávat se (v-w737f7)</v>
      </c>
    </row>
    <row r="5440" customFormat="false" ht="12.8" hidden="false" customHeight="false" outlineLevel="0" collapsed="false">
      <c r="B5440" s="0" t="s">
        <v>2882</v>
      </c>
    </row>
    <row r="5441" customFormat="false" ht="12.8" hidden="false" customHeight="false" outlineLevel="0" collapsed="false">
      <c r="B5441" s="0" t="s">
        <v>45</v>
      </c>
    </row>
    <row r="5443" customFormat="false" ht="12.8" hidden="false" customHeight="false" outlineLevel="0" collapsed="false">
      <c r="A5443" s="0" t="s">
        <v>2956</v>
      </c>
      <c r="B5443" s="0" t="str">
        <f aca="false">HYPERLINK("https://lindat.mff.cuni.cz/services/teitok/pdtc10/index.php?action=vallex&amp;frame=v-w737f8", "dostávat se (v-w737f8)")</f>
        <v>dostávat se (v-w737f8)</v>
      </c>
      <c r="E5443" s="0" t="str">
        <f aca="false">HYPERLINK("https://lindat.mff.cuni.cz/services/SynSemClass40/SynSemClass40.html?veclass=vec00586#vec00586-ces-cm00095", "vec00586")</f>
        <v>vec00586</v>
      </c>
      <c r="F5443" s="0" t="s">
        <v>2831</v>
      </c>
    </row>
    <row r="5444" customFormat="false" ht="12.8" hidden="false" customHeight="false" outlineLevel="0" collapsed="false">
      <c r="B5444" s="0" t="s">
        <v>1</v>
      </c>
      <c r="C5444" s="0" t="s">
        <v>2832</v>
      </c>
      <c r="E5444" s="0" t="s">
        <v>1567</v>
      </c>
      <c r="F5444" s="0" t="s">
        <v>2833</v>
      </c>
    </row>
    <row r="5445" customFormat="false" ht="12.8" hidden="false" customHeight="false" outlineLevel="0" collapsed="false">
      <c r="B5445" s="0" t="s">
        <v>311</v>
      </c>
      <c r="C5445" s="0" t="s">
        <v>2834</v>
      </c>
      <c r="E5445" s="0" t="s">
        <v>2111</v>
      </c>
      <c r="F5445" s="0" t="s">
        <v>2835</v>
      </c>
    </row>
    <row r="5447" customFormat="false" ht="12.8" hidden="false" customHeight="false" outlineLevel="0" collapsed="false">
      <c r="A5447" s="0" t="s">
        <v>2957</v>
      </c>
      <c r="B5447" s="0" t="str">
        <f aca="false">HYPERLINK("https://lindat.mff.cuni.cz/services/teitok/pdtc10/index.php?action=vallex&amp;frame=v-w737f10", "dostávat se (v-w737f10)")</f>
        <v>dostávat se (v-w737f10)</v>
      </c>
      <c r="E5447" s="0" t="str">
        <f aca="false">HYPERLINK("https://lindat.mff.cuni.cz/services/SynSemClass40/SynSemClass40.html?veclass=vec00390#vec00390-ces-cm00009", "vec00390")</f>
        <v>vec00390</v>
      </c>
      <c r="F5447" s="0" t="s">
        <v>1595</v>
      </c>
    </row>
    <row r="5448" customFormat="false" ht="12.8" hidden="false" customHeight="false" outlineLevel="0" collapsed="false">
      <c r="B5448" s="0" t="s">
        <v>1</v>
      </c>
      <c r="C5448" s="0" t="s">
        <v>1596</v>
      </c>
      <c r="E5448" s="0" t="s">
        <v>1597</v>
      </c>
      <c r="F5448" s="0" t="s">
        <v>1598</v>
      </c>
    </row>
    <row r="5449" customFormat="false" ht="12.8" hidden="false" customHeight="false" outlineLevel="0" collapsed="false">
      <c r="B5449" s="0" t="s">
        <v>298</v>
      </c>
      <c r="E5449" s="0" t="s">
        <v>2885</v>
      </c>
      <c r="F5449" s="0" t="s">
        <v>2886</v>
      </c>
    </row>
    <row r="5450" customFormat="false" ht="12.8" hidden="false" customHeight="false" outlineLevel="0" collapsed="false">
      <c r="B5450" s="0" t="s">
        <v>642</v>
      </c>
    </row>
    <row r="5451" customFormat="false" ht="12.8" hidden="false" customHeight="false" outlineLevel="0" collapsed="false">
      <c r="B5451" s="0" t="s">
        <v>648</v>
      </c>
    </row>
    <row r="5452" customFormat="false" ht="12.8" hidden="false" customHeight="false" outlineLevel="0" collapsed="false">
      <c r="B5452" s="0" t="s">
        <v>2887</v>
      </c>
    </row>
    <row r="5454" customFormat="false" ht="12.8" hidden="false" customHeight="false" outlineLevel="0" collapsed="false">
      <c r="A5454" s="0" t="s">
        <v>2958</v>
      </c>
      <c r="B5454" s="0" t="str">
        <f aca="false">HYPERLINK("https://lindat.mff.cuni.cz/services/teitok/pdtc10/index.php?action=vallex&amp;frame=v-w737f9", "dostávat se (v-w737f9)")</f>
        <v>dostávat se (v-w737f9)</v>
      </c>
      <c r="E5454" s="0" t="str">
        <f aca="false">HYPERLINK("https://lindat.mff.cuni.cz/services/SynSemClass40/SynSemClass40.html?veclass=vec00811#vec00811-ces-cm00114", "vec00811")</f>
        <v>vec00811</v>
      </c>
      <c r="F5454" s="0" t="s">
        <v>2889</v>
      </c>
      <c r="H5454" s="0" t="str">
        <f aca="false">HYPERLINK("https://lindat.mff.cuni.cz/services/SynSemClass40/SynSemClass40.html?veclass=vec01465#vec01465-ces-cm00002", "vec01465")</f>
        <v>vec01465</v>
      </c>
      <c r="I5454" s="0" t="s">
        <v>2890</v>
      </c>
    </row>
    <row r="5455" customFormat="false" ht="12.8" hidden="false" customHeight="false" outlineLevel="0" collapsed="false">
      <c r="B5455" s="0" t="s">
        <v>1</v>
      </c>
      <c r="C5455" s="0" t="s">
        <v>2891</v>
      </c>
      <c r="E5455" s="0" t="s">
        <v>2892</v>
      </c>
      <c r="F5455" s="0" t="s">
        <v>2893</v>
      </c>
      <c r="H5455" s="0" t="s">
        <v>2892</v>
      </c>
      <c r="I5455" s="0" t="s">
        <v>2894</v>
      </c>
    </row>
    <row r="5456" customFormat="false" ht="12.8" hidden="false" customHeight="false" outlineLevel="0" collapsed="false">
      <c r="B5456" s="0" t="s">
        <v>631</v>
      </c>
      <c r="C5456" s="0" t="s">
        <v>2895</v>
      </c>
      <c r="E5456" s="0" t="s">
        <v>1949</v>
      </c>
      <c r="F5456" s="0" t="s">
        <v>2896</v>
      </c>
      <c r="H5456" s="0" t="s">
        <v>2897</v>
      </c>
      <c r="I5456" s="0" t="s">
        <v>2898</v>
      </c>
    </row>
    <row r="5458" customFormat="false" ht="12.8" hidden="false" customHeight="false" outlineLevel="0" collapsed="false">
      <c r="A5458" s="0" t="s">
        <v>2958</v>
      </c>
      <c r="B5458" s="0" t="str">
        <f aca="false">HYPERLINK("https://lindat.mff.cuni.cz/services/teitok/pdtc10/index.php?action=vallex&amp;frame=v-w737f4", "dostávat se (v-w737f4) - substituted with v-w737f9")</f>
        <v>dostávat se (v-w737f4) - substituted with v-w737f9</v>
      </c>
    </row>
    <row r="5459" customFormat="false" ht="12.8" hidden="false" customHeight="false" outlineLevel="0" collapsed="false">
      <c r="B5459" s="0" t="s">
        <v>1</v>
      </c>
    </row>
    <row r="5460" customFormat="false" ht="12.8" hidden="false" customHeight="false" outlineLevel="0" collapsed="false">
      <c r="B5460" s="0" t="s">
        <v>631</v>
      </c>
    </row>
    <row r="5462" customFormat="false" ht="12.8" hidden="false" customHeight="false" outlineLevel="0" collapsed="false">
      <c r="A5462" s="0" t="s">
        <v>2959</v>
      </c>
      <c r="B5462" s="0" t="str">
        <f aca="false">HYPERLINK("https://lindat.mff.cuni.cz/services/teitok/pdtc10/index.php?action=vallex&amp;frame=v-w737f3", "dostávat se (v-w737f3)")</f>
        <v>dostávat se (v-w737f3)</v>
      </c>
      <c r="E5462" s="0" t="str">
        <f aca="false">HYPERLINK("https://lindat.mff.cuni.cz/services/SynSemClass40/SynSemClass40.html?veclass=vec01115#vec01115-ces-cm00026", "vec01115")</f>
        <v>vec01115</v>
      </c>
      <c r="F5462" s="0" t="s">
        <v>1617</v>
      </c>
    </row>
    <row r="5463" customFormat="false" ht="12.8" hidden="false" customHeight="false" outlineLevel="0" collapsed="false">
      <c r="B5463" s="0" t="s">
        <v>1</v>
      </c>
      <c r="C5463" s="0" t="s">
        <v>1618</v>
      </c>
      <c r="E5463" s="0" t="s">
        <v>11</v>
      </c>
      <c r="F5463" s="0" t="s">
        <v>1619</v>
      </c>
    </row>
    <row r="5464" customFormat="false" ht="12.8" hidden="false" customHeight="false" outlineLevel="0" collapsed="false">
      <c r="B5464" s="0" t="s">
        <v>361</v>
      </c>
      <c r="C5464" s="0" t="s">
        <v>1620</v>
      </c>
      <c r="E5464" s="0" t="s">
        <v>363</v>
      </c>
      <c r="F5464" s="0" t="s">
        <v>1621</v>
      </c>
    </row>
    <row r="5466" customFormat="false" ht="12.8" hidden="false" customHeight="false" outlineLevel="0" collapsed="false">
      <c r="A5466" s="0" t="s">
        <v>2960</v>
      </c>
      <c r="B5466" s="0" t="str">
        <f aca="false">HYPERLINK("https://lindat.mff.cuni.cz/services/teitok/pdtc10/index.php?action=vallex&amp;frame=v-w737f1", "dostávat se (v-w737f1)")</f>
        <v>dostávat se (v-w737f1)</v>
      </c>
      <c r="E5466" s="0" t="str">
        <f aca="false">HYPERLINK("https://lindat.mff.cuni.cz/services/SynSemClass40/SynSemClass40.html?veclass=vec00218#vec00218-ces-cm00026", "vec00218")</f>
        <v>vec00218</v>
      </c>
      <c r="F5466" s="0" t="s">
        <v>2143</v>
      </c>
    </row>
    <row r="5467" customFormat="false" ht="12.8" hidden="false" customHeight="false" outlineLevel="0" collapsed="false">
      <c r="B5467" s="0" t="s">
        <v>1</v>
      </c>
      <c r="C5467" s="0" t="s">
        <v>2144</v>
      </c>
      <c r="E5467" s="0" t="s">
        <v>11</v>
      </c>
      <c r="F5467" s="0" t="s">
        <v>2145</v>
      </c>
    </row>
    <row r="5468" customFormat="false" ht="12.8" hidden="false" customHeight="false" outlineLevel="0" collapsed="false">
      <c r="B5468" s="0" t="s">
        <v>164</v>
      </c>
      <c r="C5468" s="0" t="s">
        <v>2146</v>
      </c>
      <c r="E5468" s="0" t="s">
        <v>370</v>
      </c>
      <c r="F5468" s="0" t="s">
        <v>2147</v>
      </c>
    </row>
    <row r="5470" customFormat="false" ht="12.8" hidden="false" customHeight="false" outlineLevel="0" collapsed="false">
      <c r="A5470" s="0" t="s">
        <v>2961</v>
      </c>
      <c r="B5470" s="0" t="str">
        <f aca="false">HYPERLINK("https://lindat.mff.cuni.cz/services/teitok/pdtc10/index.php?action=vallex&amp;frame=v-w737f11_ZU", "dostávat se (v-w737f11_ZU)")</f>
        <v>dostávat se (v-w737f11_ZU)</v>
      </c>
    </row>
    <row r="5471" customFormat="false" ht="12.8" hidden="false" customHeight="false" outlineLevel="0" collapsed="false">
      <c r="B5471" s="0" t="s">
        <v>1</v>
      </c>
    </row>
    <row r="5472" customFormat="false" ht="12.8" hidden="false" customHeight="false" outlineLevel="0" collapsed="false">
      <c r="B5472" s="0" t="s">
        <v>2962</v>
      </c>
    </row>
    <row r="5473" customFormat="false" ht="12.8" hidden="false" customHeight="false" outlineLevel="0" collapsed="false">
      <c r="B5473" s="0" t="s">
        <v>186</v>
      </c>
    </row>
    <row r="5475" customFormat="false" ht="12.8" hidden="false" customHeight="false" outlineLevel="0" collapsed="false">
      <c r="A5475" s="0" t="s">
        <v>2963</v>
      </c>
      <c r="B5475" s="0" t="str">
        <f aca="false">HYPERLINK("https://lindat.mff.cuni.cz/services/teitok/pdtc10/index.php?action=vallex&amp;frame=v-w737f5", "dostávat se (v-w737f5)")</f>
        <v>dostávat se (v-w737f5)</v>
      </c>
    </row>
    <row r="5476" customFormat="false" ht="12.8" hidden="false" customHeight="false" outlineLevel="0" collapsed="false">
      <c r="B5476" s="0" t="s">
        <v>1</v>
      </c>
    </row>
    <row r="5477" customFormat="false" ht="12.8" hidden="false" customHeight="false" outlineLevel="0" collapsed="false">
      <c r="B5477" s="0" t="s">
        <v>2964</v>
      </c>
    </row>
    <row r="5479" customFormat="false" ht="12.8" hidden="false" customHeight="false" outlineLevel="0" collapsed="false">
      <c r="A5479" s="0" t="s">
        <v>2965</v>
      </c>
      <c r="B5479" s="0" t="str">
        <f aca="false">HYPERLINK("https://lindat.mff.cuni.cz/services/teitok/pdtc10/index.php?action=vallex&amp;frame=v-w737f6", "dostávat se (v-w737f6)")</f>
        <v>dostávat se (v-w737f6)</v>
      </c>
    </row>
    <row r="5480" customFormat="false" ht="12.8" hidden="false" customHeight="false" outlineLevel="0" collapsed="false">
      <c r="B5480" s="0" t="s">
        <v>1</v>
      </c>
    </row>
    <row r="5481" customFormat="false" ht="12.8" hidden="false" customHeight="false" outlineLevel="0" collapsed="false">
      <c r="B5481" s="0" t="s">
        <v>2910</v>
      </c>
    </row>
    <row r="5483" customFormat="false" ht="12.8" hidden="false" customHeight="false" outlineLevel="0" collapsed="false">
      <c r="A5483" s="0" t="s">
        <v>2966</v>
      </c>
      <c r="B5483" s="0" t="str">
        <f aca="false">HYPERLINK("https://lindat.mff.cuni.cz/services/teitok/pdtc10/index.php?action=vallex&amp;frame=v-w737f12_ZU", "dostávat se (v-w737f12_ZU)")</f>
        <v>dostávat se (v-w737f12_ZU)</v>
      </c>
    </row>
    <row r="5484" customFormat="false" ht="12.8" hidden="false" customHeight="false" outlineLevel="0" collapsed="false">
      <c r="B5484" s="0" t="s">
        <v>1</v>
      </c>
    </row>
    <row r="5485" customFormat="false" ht="12.8" hidden="false" customHeight="false" outlineLevel="0" collapsed="false">
      <c r="B5485" s="0" t="s">
        <v>2967</v>
      </c>
    </row>
    <row r="5487" customFormat="false" ht="12.8" hidden="false" customHeight="false" outlineLevel="0" collapsed="false">
      <c r="A5487" s="0" t="s">
        <v>2968</v>
      </c>
      <c r="B5487" s="0" t="str">
        <f aca="false">HYPERLINK("https://lindat.mff.cuni.cz/services/teitok/pdtc10/index.php?action=vallex&amp;frame=v-w11920_ZUf1_ZU", "dostříknout (v-w11920_ZUf1_ZU)")</f>
        <v>dostříknout (v-w11920_ZUf1_ZU)</v>
      </c>
    </row>
    <row r="5488" customFormat="false" ht="12.8" hidden="false" customHeight="false" outlineLevel="0" collapsed="false">
      <c r="B5488" s="0" t="s">
        <v>1</v>
      </c>
    </row>
    <row r="5489" customFormat="false" ht="12.8" hidden="false" customHeight="false" outlineLevel="0" collapsed="false">
      <c r="B5489" s="0" t="s">
        <v>454</v>
      </c>
    </row>
    <row r="5491" customFormat="false" ht="12.8" hidden="false" customHeight="false" outlineLevel="0" collapsed="false">
      <c r="A5491" s="0" t="s">
        <v>2969</v>
      </c>
      <c r="B5491" s="0" t="str">
        <f aca="false">HYPERLINK("https://lindat.mff.cuni.cz/services/teitok/pdtc10/index.php?action=vallex&amp;frame=v-w745f1", "dosvědčit (v-w745f1)")</f>
        <v>dosvědčit (v-w745f1)</v>
      </c>
    </row>
    <row r="5492" customFormat="false" ht="12.8" hidden="false" customHeight="false" outlineLevel="0" collapsed="false">
      <c r="B5492" s="0" t="s">
        <v>1</v>
      </c>
    </row>
    <row r="5493" customFormat="false" ht="12.8" hidden="false" customHeight="false" outlineLevel="0" collapsed="false">
      <c r="B5493" s="0" t="s">
        <v>1754</v>
      </c>
    </row>
    <row r="5494" customFormat="false" ht="12.8" hidden="false" customHeight="false" outlineLevel="0" collapsed="false">
      <c r="B5494" s="0" t="s">
        <v>52</v>
      </c>
    </row>
    <row r="5496" customFormat="false" ht="12.8" hidden="false" customHeight="false" outlineLevel="0" collapsed="false">
      <c r="A5496" s="0" t="s">
        <v>2970</v>
      </c>
      <c r="B5496" s="0" t="str">
        <f aca="false">HYPERLINK("https://lindat.mff.cuni.cz/services/teitok/pdtc10/index.php?action=vallex&amp;frame=v-w746f1", "dosvědčovat (v-w746f1)")</f>
        <v>dosvědčovat (v-w746f1)</v>
      </c>
    </row>
    <row r="5497" customFormat="false" ht="12.8" hidden="false" customHeight="false" outlineLevel="0" collapsed="false">
      <c r="B5497" s="0" t="s">
        <v>1</v>
      </c>
    </row>
    <row r="5498" customFormat="false" ht="12.8" hidden="false" customHeight="false" outlineLevel="0" collapsed="false">
      <c r="B5498" s="0" t="s">
        <v>1754</v>
      </c>
    </row>
    <row r="5499" customFormat="false" ht="12.8" hidden="false" customHeight="false" outlineLevel="0" collapsed="false">
      <c r="B5499" s="0" t="s">
        <v>52</v>
      </c>
    </row>
    <row r="5501" customFormat="false" ht="12.8" hidden="false" customHeight="false" outlineLevel="0" collapsed="false">
      <c r="A5501" s="0" t="s">
        <v>2971</v>
      </c>
      <c r="B5501" s="0" t="str">
        <f aca="false">HYPERLINK("https://lindat.mff.cuni.cz/services/teitok/pdtc10/index.php?action=vallex&amp;frame=v-w714f2", "dosáhnout (v-w714f2)")</f>
        <v>dosáhnout (v-w714f2)</v>
      </c>
      <c r="E5501" s="0" t="str">
        <f aca="false">HYPERLINK("https://lindat.mff.cuni.cz/services/SynSemClass40/SynSemClass40.html?veclass=vec00189#vec00189-ces-cm00060", "vec00189")</f>
        <v>vec00189</v>
      </c>
      <c r="F5501" s="0" t="s">
        <v>2169</v>
      </c>
      <c r="H5501" s="0" t="str">
        <f aca="false">HYPERLINK("https://lindat.mff.cuni.cz/services/SynSemClass40/SynSemClass40.html?veclass=vec01393#vec01393-ces-cm00009", "vec01393")</f>
        <v>vec01393</v>
      </c>
      <c r="I5501" s="0" t="s">
        <v>2162</v>
      </c>
    </row>
    <row r="5502" customFormat="false" ht="12.8" hidden="false" customHeight="false" outlineLevel="0" collapsed="false">
      <c r="B5502" s="0" t="s">
        <v>1</v>
      </c>
      <c r="C5502" s="0" t="s">
        <v>2972</v>
      </c>
      <c r="E5502" s="0" t="s">
        <v>1567</v>
      </c>
      <c r="F5502" s="0" t="s">
        <v>2171</v>
      </c>
      <c r="H5502" s="0" t="s">
        <v>11</v>
      </c>
      <c r="I5502" s="0" t="s">
        <v>2164</v>
      </c>
    </row>
    <row r="5503" customFormat="false" ht="12.8" hidden="false" customHeight="false" outlineLevel="0" collapsed="false">
      <c r="B5503" s="0" t="s">
        <v>2093</v>
      </c>
      <c r="C5503" s="0" t="s">
        <v>2973</v>
      </c>
      <c r="E5503" s="0" t="s">
        <v>2111</v>
      </c>
      <c r="F5503" s="0" t="s">
        <v>2174</v>
      </c>
      <c r="H5503" s="0" t="s">
        <v>1809</v>
      </c>
      <c r="I5503" s="0" t="s">
        <v>2166</v>
      </c>
    </row>
    <row r="5504" customFormat="false" ht="12.8" hidden="false" customHeight="false" outlineLevel="0" collapsed="false">
      <c r="B5504" s="0" t="s">
        <v>2094</v>
      </c>
      <c r="C5504" s="0" t="s">
        <v>2175</v>
      </c>
      <c r="E5504" s="0" t="s">
        <v>2176</v>
      </c>
      <c r="F5504" s="0" t="s">
        <v>2177</v>
      </c>
    </row>
    <row r="5506" customFormat="false" ht="12.8" hidden="false" customHeight="false" outlineLevel="0" collapsed="false">
      <c r="A5506" s="0" t="s">
        <v>2974</v>
      </c>
      <c r="B5506" s="0" t="str">
        <f aca="false">HYPERLINK("https://lindat.mff.cuni.cz/services/teitok/pdtc10/index.php?action=vallex&amp;frame=v-w714f6_ZU", "dosáhnout (v-w714f6_ZU)")</f>
        <v>dosáhnout (v-w714f6_ZU)</v>
      </c>
      <c r="E5506" s="0" t="str">
        <f aca="false">HYPERLINK("https://lindat.mff.cuni.cz/services/SynSemClass40/SynSemClass40.html?veclass=vec00206#vec00206-ces-cm00003", "vec00206")</f>
        <v>vec00206</v>
      </c>
      <c r="F5506" s="0" t="s">
        <v>2728</v>
      </c>
      <c r="H5506" s="0" t="str">
        <f aca="false">HYPERLINK("https://lindat.mff.cuni.cz/services/SynSemClass40/SynSemClass40.html?veclass=vec01393#vec01393-ces-cm00010", "vec01393")</f>
        <v>vec01393</v>
      </c>
      <c r="I5506" s="0" t="s">
        <v>2162</v>
      </c>
    </row>
    <row r="5507" customFormat="false" ht="12.8" hidden="false" customHeight="false" outlineLevel="0" collapsed="false">
      <c r="B5507" s="0" t="s">
        <v>1</v>
      </c>
      <c r="C5507" s="0" t="s">
        <v>2975</v>
      </c>
      <c r="E5507" s="0" t="s">
        <v>235</v>
      </c>
      <c r="F5507" s="0" t="s">
        <v>2730</v>
      </c>
      <c r="H5507" s="0" t="s">
        <v>11</v>
      </c>
      <c r="I5507" s="0" t="s">
        <v>2164</v>
      </c>
    </row>
    <row r="5508" customFormat="false" ht="12.8" hidden="false" customHeight="false" outlineLevel="0" collapsed="false">
      <c r="B5508" s="0" t="s">
        <v>2976</v>
      </c>
      <c r="C5508" s="0" t="s">
        <v>2977</v>
      </c>
      <c r="E5508" s="0" t="s">
        <v>2732</v>
      </c>
      <c r="F5508" s="0" t="s">
        <v>2733</v>
      </c>
      <c r="H5508" s="0" t="s">
        <v>1809</v>
      </c>
      <c r="I5508" s="0" t="s">
        <v>2166</v>
      </c>
    </row>
    <row r="5509" customFormat="false" ht="12.8" hidden="false" customHeight="false" outlineLevel="0" collapsed="false">
      <c r="B5509" s="0" t="s">
        <v>36</v>
      </c>
    </row>
    <row r="5511" customFormat="false" ht="12.8" hidden="false" customHeight="false" outlineLevel="0" collapsed="false">
      <c r="A5511" s="0" t="s">
        <v>2974</v>
      </c>
      <c r="B5511" s="0" t="str">
        <f aca="false">HYPERLINK("https://lindat.mff.cuni.cz/services/teitok/pdtc10/index.php?action=vallex&amp;frame=v-w714f1", "dosáhnout (v-w714f1) - substituted with v-w714f6_ZU")</f>
        <v>dosáhnout (v-w714f1) - substituted with v-w714f6_ZU</v>
      </c>
    </row>
    <row r="5512" customFormat="false" ht="12.8" hidden="false" customHeight="false" outlineLevel="0" collapsed="false">
      <c r="B5512" s="0" t="s">
        <v>1</v>
      </c>
    </row>
    <row r="5513" customFormat="false" ht="12.8" hidden="false" customHeight="false" outlineLevel="0" collapsed="false">
      <c r="B5513" s="0" t="s">
        <v>2976</v>
      </c>
    </row>
    <row r="5514" customFormat="false" ht="12.8" hidden="false" customHeight="false" outlineLevel="0" collapsed="false">
      <c r="B5514" s="0" t="s">
        <v>36</v>
      </c>
    </row>
    <row r="5516" customFormat="false" ht="12.8" hidden="false" customHeight="false" outlineLevel="0" collapsed="false">
      <c r="A5516" s="0" t="s">
        <v>2974</v>
      </c>
      <c r="B5516" s="0" t="str">
        <f aca="false">HYPERLINK("https://lindat.mff.cuni.cz/services/teitok/pdtc10/index.php?action=vallex&amp;frame=v-w714f5_ZU", "dosáhnout (v-w714f5_ZU) - substituted with v-w714f6_ZU")</f>
        <v>dosáhnout (v-w714f5_ZU) - substituted with v-w714f6_ZU</v>
      </c>
    </row>
    <row r="5517" customFormat="false" ht="12.8" hidden="false" customHeight="false" outlineLevel="0" collapsed="false">
      <c r="B5517" s="0" t="s">
        <v>1</v>
      </c>
    </row>
    <row r="5518" customFormat="false" ht="12.8" hidden="false" customHeight="false" outlineLevel="0" collapsed="false">
      <c r="B5518" s="0" t="s">
        <v>2976</v>
      </c>
    </row>
    <row r="5519" customFormat="false" ht="12.8" hidden="false" customHeight="false" outlineLevel="0" collapsed="false">
      <c r="B5519" s="0" t="s">
        <v>36</v>
      </c>
    </row>
    <row r="5521" customFormat="false" ht="12.8" hidden="false" customHeight="false" outlineLevel="0" collapsed="false">
      <c r="A5521" s="0" t="s">
        <v>2978</v>
      </c>
      <c r="B5521" s="0" t="str">
        <f aca="false">HYPERLINK("https://lindat.mff.cuni.cz/services/teitok/pdtc10/index.php?action=vallex&amp;frame=v-w714f4", "dosáhnout (v-w714f4)")</f>
        <v>dosáhnout (v-w714f4)</v>
      </c>
    </row>
    <row r="5522" customFormat="false" ht="12.8" hidden="false" customHeight="false" outlineLevel="0" collapsed="false">
      <c r="B5522" s="0" t="s">
        <v>1</v>
      </c>
    </row>
    <row r="5523" customFormat="false" ht="12.8" hidden="false" customHeight="false" outlineLevel="0" collapsed="false">
      <c r="B5523" s="0" t="s">
        <v>164</v>
      </c>
    </row>
    <row r="5525" customFormat="false" ht="12.8" hidden="false" customHeight="false" outlineLevel="0" collapsed="false">
      <c r="A5525" s="0" t="s">
        <v>2979</v>
      </c>
      <c r="B5525" s="0" t="str">
        <f aca="false">HYPERLINK("https://lindat.mff.cuni.cz/services/teitok/pdtc10/index.php?action=vallex&amp;frame=v-w714f3", "dosáhnout (v-w714f3)")</f>
        <v>dosáhnout (v-w714f3)</v>
      </c>
      <c r="E5525" s="0" t="str">
        <f aca="false">HYPERLINK("https://lindat.mff.cuni.cz/services/SynSemClass40/SynSemClass40.html?veclass=vec01393#vec01393-ces-cm00005", "vec01393")</f>
        <v>vec01393</v>
      </c>
      <c r="F5525" s="0" t="s">
        <v>2162</v>
      </c>
    </row>
    <row r="5526" customFormat="false" ht="12.8" hidden="false" customHeight="false" outlineLevel="0" collapsed="false">
      <c r="B5526" s="0" t="s">
        <v>1</v>
      </c>
      <c r="C5526" s="0" t="s">
        <v>2163</v>
      </c>
      <c r="E5526" s="0" t="s">
        <v>11</v>
      </c>
      <c r="F5526" s="0" t="s">
        <v>2164</v>
      </c>
    </row>
    <row r="5527" customFormat="false" ht="12.8" hidden="false" customHeight="false" outlineLevel="0" collapsed="false">
      <c r="B5527" s="0" t="s">
        <v>2180</v>
      </c>
      <c r="C5527" s="0" t="s">
        <v>2181</v>
      </c>
      <c r="E5527" s="0" t="s">
        <v>2182</v>
      </c>
      <c r="F5527" s="0" t="s">
        <v>2183</v>
      </c>
    </row>
    <row r="5529" customFormat="false" ht="12.8" hidden="false" customHeight="false" outlineLevel="0" collapsed="false">
      <c r="A5529" s="0" t="s">
        <v>2980</v>
      </c>
      <c r="B5529" s="0" t="str">
        <f aca="false">HYPERLINK("https://lindat.mff.cuni.cz/services/teitok/pdtc10/index.php?action=vallex&amp;frame=v-w714hsa_141", "dosáhnout (v-w714hsa_141)")</f>
        <v>dosáhnout (v-w714hsa_141)</v>
      </c>
    </row>
    <row r="5530" customFormat="false" ht="12.8" hidden="false" customHeight="false" outlineLevel="0" collapsed="false">
      <c r="B5530" s="0" t="s">
        <v>1</v>
      </c>
    </row>
    <row r="5531" customFormat="false" ht="12.8" hidden="false" customHeight="false" outlineLevel="0" collapsed="false">
      <c r="B5531" s="0" t="s">
        <v>45</v>
      </c>
    </row>
    <row r="5533" customFormat="false" ht="12.8" hidden="false" customHeight="false" outlineLevel="0" collapsed="false">
      <c r="A5533" s="0" t="s">
        <v>2981</v>
      </c>
      <c r="B5533" s="0" t="str">
        <f aca="false">HYPERLINK("https://lindat.mff.cuni.cz/services/teitok/pdtc10/index.php?action=vallex&amp;frame=v-w714hsa_102", "dosáhnout (v-w714hsa_102)")</f>
        <v>dosáhnout (v-w714hsa_102)</v>
      </c>
    </row>
    <row r="5534" customFormat="false" ht="12.8" hidden="false" customHeight="false" outlineLevel="0" collapsed="false">
      <c r="B5534" s="0" t="s">
        <v>1</v>
      </c>
    </row>
    <row r="5535" customFormat="false" ht="12.8" hidden="false" customHeight="false" outlineLevel="0" collapsed="false">
      <c r="B5535" s="0" t="s">
        <v>1289</v>
      </c>
    </row>
    <row r="5537" customFormat="false" ht="12.8" hidden="false" customHeight="false" outlineLevel="0" collapsed="false">
      <c r="A5537" s="0" t="s">
        <v>2982</v>
      </c>
      <c r="B5537" s="0" t="str">
        <f aca="false">HYPERLINK("https://lindat.mff.cuni.cz/services/teitok/pdtc10/index.php?action=vallex&amp;frame=v-w10458f2", "dotahovat (v-w10458f2)")</f>
        <v>dotahovat (v-w10458f2)</v>
      </c>
    </row>
    <row r="5538" customFormat="false" ht="12.8" hidden="false" customHeight="false" outlineLevel="0" collapsed="false">
      <c r="B5538" s="0" t="s">
        <v>1</v>
      </c>
    </row>
    <row r="5539" customFormat="false" ht="12.8" hidden="false" customHeight="false" outlineLevel="0" collapsed="false">
      <c r="B5539" s="0" t="s">
        <v>8</v>
      </c>
    </row>
    <row r="5541" customFormat="false" ht="12.8" hidden="false" customHeight="false" outlineLevel="0" collapsed="false">
      <c r="A5541" s="0" t="s">
        <v>2983</v>
      </c>
      <c r="B5541" s="0" t="str">
        <f aca="false">HYPERLINK("https://lindat.mff.cuni.cz/services/teitok/pdtc10/index.php?action=vallex&amp;frame=v-w10458hsa_1169", "dotahovat (v-w10458hsa_1169)")</f>
        <v>dotahovat (v-w10458hsa_1169)</v>
      </c>
    </row>
    <row r="5542" customFormat="false" ht="12.8" hidden="false" customHeight="false" outlineLevel="0" collapsed="false">
      <c r="B5542" s="0" t="s">
        <v>1</v>
      </c>
    </row>
    <row r="5543" customFormat="false" ht="12.8" hidden="false" customHeight="false" outlineLevel="0" collapsed="false">
      <c r="B5543" s="0" t="s">
        <v>8</v>
      </c>
    </row>
    <row r="5544" customFormat="false" ht="12.8" hidden="false" customHeight="false" outlineLevel="0" collapsed="false">
      <c r="B5544" s="0" t="s">
        <v>36</v>
      </c>
    </row>
    <row r="5545" customFormat="false" ht="12.8" hidden="false" customHeight="false" outlineLevel="0" collapsed="false">
      <c r="B5545" s="0" t="s">
        <v>101</v>
      </c>
    </row>
    <row r="5547" customFormat="false" ht="12.8" hidden="false" customHeight="false" outlineLevel="0" collapsed="false">
      <c r="A5547" s="0" t="s">
        <v>2984</v>
      </c>
      <c r="B5547" s="0" t="str">
        <f aca="false">HYPERLINK("https://lindat.mff.cuni.cz/services/teitok/pdtc10/index.php?action=vallex&amp;frame=v-w755f1", "dotazovat se (v-w755f1)")</f>
        <v>dotazovat se (v-w755f1)</v>
      </c>
      <c r="E5547" s="0" t="str">
        <f aca="false">HYPERLINK("https://lindat.mff.cuni.cz/services/SynSemClass40/SynSemClass40.html?veclass=vec00384#vec00384-ces-cm00004", "vec00384")</f>
        <v>vec00384</v>
      </c>
      <c r="F5547" s="0" t="s">
        <v>2985</v>
      </c>
    </row>
    <row r="5548" customFormat="false" ht="12.8" hidden="false" customHeight="false" outlineLevel="0" collapsed="false">
      <c r="B5548" s="0" t="s">
        <v>1</v>
      </c>
      <c r="C5548" s="0" t="s">
        <v>2986</v>
      </c>
      <c r="E5548" s="0" t="s">
        <v>147</v>
      </c>
      <c r="F5548" s="0" t="s">
        <v>2987</v>
      </c>
    </row>
    <row r="5549" customFormat="false" ht="12.8" hidden="false" customHeight="false" outlineLevel="0" collapsed="false">
      <c r="B5549" s="0" t="s">
        <v>2988</v>
      </c>
      <c r="C5549" s="0" t="s">
        <v>2989</v>
      </c>
      <c r="E5549" s="0" t="s">
        <v>218</v>
      </c>
      <c r="F5549" s="0" t="s">
        <v>2990</v>
      </c>
    </row>
    <row r="5550" customFormat="false" ht="12.8" hidden="false" customHeight="false" outlineLevel="0" collapsed="false">
      <c r="B5550" s="0" t="s">
        <v>2991</v>
      </c>
      <c r="C5550" s="0" t="s">
        <v>2992</v>
      </c>
      <c r="E5550" s="0" t="s">
        <v>221</v>
      </c>
      <c r="F5550" s="0" t="s">
        <v>2993</v>
      </c>
    </row>
    <row r="5552" customFormat="false" ht="12.8" hidden="false" customHeight="false" outlineLevel="0" collapsed="false">
      <c r="A5552" s="0" t="s">
        <v>2994</v>
      </c>
      <c r="B5552" s="0" t="str">
        <f aca="false">HYPERLINK("https://lindat.mff.cuni.cz/services/teitok/pdtc10/index.php?action=vallex&amp;frame=v-w760f1", "dotisknout (v-w760f1)")</f>
        <v>dotisknout (v-w760f1)</v>
      </c>
    </row>
    <row r="5553" customFormat="false" ht="12.8" hidden="false" customHeight="false" outlineLevel="0" collapsed="false">
      <c r="B5553" s="0" t="s">
        <v>1</v>
      </c>
    </row>
    <row r="5554" customFormat="false" ht="12.8" hidden="false" customHeight="false" outlineLevel="0" collapsed="false">
      <c r="B5554" s="0" t="s">
        <v>8</v>
      </c>
    </row>
    <row r="5556" customFormat="false" ht="12.8" hidden="false" customHeight="false" outlineLevel="0" collapsed="false">
      <c r="A5556" s="0" t="s">
        <v>2995</v>
      </c>
      <c r="B5556" s="0" t="str">
        <f aca="false">HYPERLINK("https://lindat.mff.cuni.cz/services/teitok/pdtc10/index.php?action=vallex&amp;frame=v-w761f3", "dotknout se (v-w761f3)")</f>
        <v>dotknout se (v-w761f3)</v>
      </c>
    </row>
    <row r="5557" customFormat="false" ht="12.8" hidden="false" customHeight="false" outlineLevel="0" collapsed="false">
      <c r="B5557" s="0" t="s">
        <v>2996</v>
      </c>
    </row>
    <row r="5558" customFormat="false" ht="12.8" hidden="false" customHeight="false" outlineLevel="0" collapsed="false">
      <c r="B5558" s="0" t="s">
        <v>439</v>
      </c>
    </row>
    <row r="5559" customFormat="false" ht="12.8" hidden="false" customHeight="false" outlineLevel="0" collapsed="false">
      <c r="B5559" s="0" t="s">
        <v>2997</v>
      </c>
    </row>
    <row r="5561" customFormat="false" ht="12.8" hidden="false" customHeight="false" outlineLevel="0" collapsed="false">
      <c r="A5561" s="0" t="s">
        <v>2998</v>
      </c>
      <c r="B5561" s="0" t="str">
        <f aca="false">HYPERLINK("https://lindat.mff.cuni.cz/services/teitok/pdtc10/index.php?action=vallex&amp;frame=v-w761f1", "dotknout se (v-w761f1)")</f>
        <v>dotknout se (v-w761f1)</v>
      </c>
      <c r="E5561" s="0" t="str">
        <f aca="false">HYPERLINK("https://lindat.mff.cuni.cz/services/SynSemClass40/SynSemClass40.html?veclass=vec00918#vec00918-ces-cm00002", "vec00918")</f>
        <v>vec00918</v>
      </c>
      <c r="F5561" s="0" t="s">
        <v>2999</v>
      </c>
    </row>
    <row r="5562" customFormat="false" ht="12.8" hidden="false" customHeight="false" outlineLevel="0" collapsed="false">
      <c r="B5562" s="0" t="s">
        <v>1</v>
      </c>
      <c r="C5562" s="0" t="s">
        <v>3000</v>
      </c>
      <c r="E5562" s="0" t="s">
        <v>31</v>
      </c>
      <c r="F5562" s="0" t="s">
        <v>3001</v>
      </c>
    </row>
    <row r="5563" customFormat="false" ht="12.8" hidden="false" customHeight="false" outlineLevel="0" collapsed="false">
      <c r="B5563" s="0" t="s">
        <v>1289</v>
      </c>
      <c r="C5563" s="0" t="s">
        <v>639</v>
      </c>
      <c r="E5563" s="0" t="s">
        <v>3002</v>
      </c>
      <c r="F5563" s="0" t="s">
        <v>3003</v>
      </c>
    </row>
    <row r="5565" customFormat="false" ht="12.8" hidden="false" customHeight="false" outlineLevel="0" collapsed="false">
      <c r="A5565" s="0" t="s">
        <v>3004</v>
      </c>
      <c r="B5565" s="0" t="str">
        <f aca="false">HYPERLINK("https://lindat.mff.cuni.cz/services/teitok/pdtc10/index.php?action=vallex&amp;frame=v-w761f7_ZU", "dotknout se (v-w761f7_ZU)")</f>
        <v>dotknout se (v-w761f7_ZU)</v>
      </c>
    </row>
    <row r="5566" customFormat="false" ht="12.8" hidden="false" customHeight="false" outlineLevel="0" collapsed="false">
      <c r="B5566" s="0" t="s">
        <v>843</v>
      </c>
    </row>
    <row r="5567" customFormat="false" ht="12.8" hidden="false" customHeight="false" outlineLevel="0" collapsed="false">
      <c r="B5567" s="0" t="s">
        <v>1289</v>
      </c>
    </row>
    <row r="5569" customFormat="false" ht="12.8" hidden="false" customHeight="false" outlineLevel="0" collapsed="false">
      <c r="A5569" s="0" t="s">
        <v>3004</v>
      </c>
      <c r="B5569" s="0" t="str">
        <f aca="false">HYPERLINK("https://lindat.mff.cuni.cz/services/teitok/pdtc10/index.php?action=vallex&amp;frame=v-w761f2", "dotknout se (v-w761f2) - substituted with v-w761f7_ZU")</f>
        <v>dotknout se (v-w761f2) - substituted with v-w761f7_ZU</v>
      </c>
      <c r="E5569" s="0" t="str">
        <f aca="false">HYPERLINK("https://lindat.mff.cuni.cz/services/SynSemClass40/SynSemClass40.html?veclass=vec00372#vec00372-ces-cm00013", "vec00372")</f>
        <v>vec00372</v>
      </c>
      <c r="F5569" s="0" t="s">
        <v>2524</v>
      </c>
    </row>
    <row r="5570" customFormat="false" ht="12.8" hidden="false" customHeight="false" outlineLevel="0" collapsed="false">
      <c r="B5570" s="0" t="s">
        <v>843</v>
      </c>
      <c r="C5570" s="0" t="s">
        <v>2525</v>
      </c>
      <c r="E5570" s="0" t="s">
        <v>2526</v>
      </c>
      <c r="F5570" s="0" t="s">
        <v>2527</v>
      </c>
    </row>
    <row r="5571" customFormat="false" ht="12.8" hidden="false" customHeight="false" outlineLevel="0" collapsed="false">
      <c r="B5571" s="0" t="s">
        <v>1289</v>
      </c>
      <c r="C5571" s="0" t="s">
        <v>2528</v>
      </c>
      <c r="E5571" s="0" t="s">
        <v>142</v>
      </c>
      <c r="F5571" s="0" t="s">
        <v>2529</v>
      </c>
    </row>
    <row r="5573" customFormat="false" ht="12.8" hidden="false" customHeight="false" outlineLevel="0" collapsed="false">
      <c r="A5573" s="0" t="s">
        <v>3005</v>
      </c>
      <c r="B5573" s="0" t="str">
        <f aca="false">HYPERLINK("https://lindat.mff.cuni.cz/services/teitok/pdtc10/index.php?action=vallex&amp;frame=v-w761f4", "dotknout se (v-w761f4)")</f>
        <v>dotknout se (v-w761f4)</v>
      </c>
    </row>
    <row r="5574" customFormat="false" ht="12.8" hidden="false" customHeight="false" outlineLevel="0" collapsed="false">
      <c r="B5574" s="0" t="s">
        <v>1</v>
      </c>
    </row>
    <row r="5575" customFormat="false" ht="12.8" hidden="false" customHeight="false" outlineLevel="0" collapsed="false">
      <c r="B5575" s="0" t="s">
        <v>1289</v>
      </c>
    </row>
    <row r="5577" customFormat="false" ht="12.8" hidden="false" customHeight="false" outlineLevel="0" collapsed="false">
      <c r="A5577" s="0" t="s">
        <v>3006</v>
      </c>
      <c r="B5577" s="0" t="str">
        <f aca="false">HYPERLINK("https://lindat.mff.cuni.cz/services/teitok/pdtc10/index.php?action=vallex&amp;frame=v-w761f6_ZU", "dotknout se (v-w761f6_ZU)")</f>
        <v>dotknout se (v-w761f6_ZU)</v>
      </c>
      <c r="E5577" s="0" t="str">
        <f aca="false">HYPERLINK("https://lindat.mff.cuni.cz/services/SynSemClass40/SynSemClass40.html?veclass=vec00254#vec00254-ces-cm00006", "vec00254")</f>
        <v>vec00254</v>
      </c>
      <c r="F5577" s="0" t="s">
        <v>3007</v>
      </c>
      <c r="H5577" s="0" t="str">
        <f aca="false">HYPERLINK("https://lindat.mff.cuni.cz/services/SynSemClass40/SynSemClass40.html?veclass=vec00328#vec00328-ces-cm00008", "vec00328")</f>
        <v>vec00328</v>
      </c>
      <c r="I5577" s="0" t="s">
        <v>3008</v>
      </c>
    </row>
    <row r="5578" customFormat="false" ht="12.8" hidden="false" customHeight="false" outlineLevel="0" collapsed="false">
      <c r="B5578" s="0" t="s">
        <v>1</v>
      </c>
      <c r="C5578" s="0" t="s">
        <v>3009</v>
      </c>
      <c r="E5578" s="0" t="s">
        <v>3010</v>
      </c>
      <c r="F5578" s="0" t="s">
        <v>3011</v>
      </c>
      <c r="H5578" s="0" t="s">
        <v>3010</v>
      </c>
      <c r="I5578" s="0" t="s">
        <v>3012</v>
      </c>
    </row>
    <row r="5579" customFormat="false" ht="12.8" hidden="false" customHeight="false" outlineLevel="0" collapsed="false">
      <c r="B5579" s="0" t="s">
        <v>1289</v>
      </c>
      <c r="C5579" s="0" t="s">
        <v>3013</v>
      </c>
      <c r="E5579" s="0" t="s">
        <v>142</v>
      </c>
      <c r="F5579" s="0" t="s">
        <v>3014</v>
      </c>
      <c r="H5579" s="0" t="s">
        <v>142</v>
      </c>
      <c r="I5579" s="0" t="s">
        <v>3015</v>
      </c>
    </row>
    <row r="5581" customFormat="false" ht="12.8" hidden="false" customHeight="false" outlineLevel="0" collapsed="false">
      <c r="A5581" s="0" t="s">
        <v>3006</v>
      </c>
      <c r="B5581" s="0" t="str">
        <f aca="false">HYPERLINK("https://lindat.mff.cuni.cz/services/teitok/pdtc10/index.php?action=vallex&amp;frame=v-w761f5_ZU", "dotknout se (v-w761f5_ZU) - substituted with v-w761f6_ZU")</f>
        <v>dotknout se (v-w761f5_ZU) - substituted with v-w761f6_ZU</v>
      </c>
    </row>
    <row r="5582" customFormat="false" ht="12.8" hidden="false" customHeight="false" outlineLevel="0" collapsed="false">
      <c r="B5582" s="0" t="s">
        <v>1</v>
      </c>
    </row>
    <row r="5583" customFormat="false" ht="12.8" hidden="false" customHeight="false" outlineLevel="0" collapsed="false">
      <c r="B5583" s="0" t="s">
        <v>1289</v>
      </c>
    </row>
    <row r="5585" customFormat="false" ht="12.8" hidden="false" customHeight="false" outlineLevel="0" collapsed="false">
      <c r="A5585" s="0" t="s">
        <v>3016</v>
      </c>
      <c r="B5585" s="0" t="str">
        <f aca="false">HYPERLINK("https://lindat.mff.cuni.cz/services/teitok/pdtc10/index.php?action=vallex&amp;frame=v-w10097f2", "dotlačit (v-w10097f2)")</f>
        <v>dotlačit (v-w10097f2)</v>
      </c>
      <c r="E5585" s="0" t="str">
        <f aca="false">HYPERLINK("https://lindat.mff.cuni.cz/services/SynSemClass40/SynSemClass40.html?veclass=vec00098#vec00098-ces-cm00129", "vec00098")</f>
        <v>vec00098</v>
      </c>
      <c r="F5585" s="0" t="s">
        <v>2500</v>
      </c>
    </row>
    <row r="5586" customFormat="false" ht="12.8" hidden="false" customHeight="false" outlineLevel="0" collapsed="false">
      <c r="B5586" s="0" t="s">
        <v>1</v>
      </c>
      <c r="C5586" s="0" t="s">
        <v>2501</v>
      </c>
      <c r="E5586" s="0" t="s">
        <v>1665</v>
      </c>
      <c r="F5586" s="0" t="s">
        <v>2502</v>
      </c>
    </row>
    <row r="5587" customFormat="false" ht="12.8" hidden="false" customHeight="false" outlineLevel="0" collapsed="false">
      <c r="B5587" s="0" t="s">
        <v>3017</v>
      </c>
      <c r="C5587" s="0" t="s">
        <v>2503</v>
      </c>
      <c r="E5587" s="0" t="s">
        <v>79</v>
      </c>
      <c r="F5587" s="0" t="s">
        <v>2504</v>
      </c>
    </row>
    <row r="5588" customFormat="false" ht="12.8" hidden="false" customHeight="false" outlineLevel="0" collapsed="false">
      <c r="B5588" s="0" t="s">
        <v>98</v>
      </c>
      <c r="C5588" s="0" t="s">
        <v>2505</v>
      </c>
      <c r="E5588" s="0" t="s">
        <v>2287</v>
      </c>
      <c r="F5588" s="0" t="s">
        <v>2506</v>
      </c>
    </row>
    <row r="5590" customFormat="false" ht="12.8" hidden="false" customHeight="false" outlineLevel="0" collapsed="false">
      <c r="A5590" s="0" t="s">
        <v>3018</v>
      </c>
      <c r="B5590" s="0" t="str">
        <f aca="false">HYPERLINK("https://lindat.mff.cuni.cz/services/teitok/pdtc10/index.php?action=vallex&amp;frame=v-w764f1", "dotovat (v-w764f1)")</f>
        <v>dotovat (v-w764f1)</v>
      </c>
      <c r="E5590" s="0" t="str">
        <f aca="false">HYPERLINK("https://lindat.mff.cuni.cz/services/SynSemClass40/SynSemClass40.html?veclass=vec00410#vec00410-ces-cm00001", "vec00410")</f>
        <v>vec00410</v>
      </c>
      <c r="F5590" s="0" t="s">
        <v>3019</v>
      </c>
    </row>
    <row r="5591" customFormat="false" ht="12.8" hidden="false" customHeight="false" outlineLevel="0" collapsed="false">
      <c r="B5591" s="0" t="s">
        <v>1</v>
      </c>
      <c r="C5591" s="0" t="s">
        <v>3020</v>
      </c>
      <c r="E5591" s="0" t="s">
        <v>3021</v>
      </c>
      <c r="F5591" s="0" t="s">
        <v>3022</v>
      </c>
    </row>
    <row r="5592" customFormat="false" ht="12.8" hidden="false" customHeight="false" outlineLevel="0" collapsed="false">
      <c r="B5592" s="0" t="s">
        <v>8</v>
      </c>
      <c r="C5592" s="0" t="s">
        <v>623</v>
      </c>
      <c r="E5592" s="0" t="s">
        <v>3023</v>
      </c>
      <c r="F5592" s="0" t="s">
        <v>3024</v>
      </c>
    </row>
    <row r="5594" customFormat="false" ht="12.8" hidden="false" customHeight="false" outlineLevel="0" collapsed="false">
      <c r="A5594" s="0" t="s">
        <v>3025</v>
      </c>
      <c r="B5594" s="0" t="str">
        <f aca="false">HYPERLINK("https://lindat.mff.cuni.cz/services/teitok/pdtc10/index.php?action=vallex&amp;frame=v-w768f1", "dotvořit (v-w768f1)")</f>
        <v>dotvořit (v-w768f1)</v>
      </c>
      <c r="E5594" s="0" t="str">
        <f aca="false">HYPERLINK("https://lindat.mff.cuni.cz/services/SynSemClass40/SynSemClass40.html?veclass=vec01490#vec01490-ces-cm00009", "vec01490")</f>
        <v>vec01490</v>
      </c>
      <c r="F5594" s="0" t="s">
        <v>2391</v>
      </c>
    </row>
    <row r="5595" customFormat="false" ht="12.8" hidden="false" customHeight="false" outlineLevel="0" collapsed="false">
      <c r="B5595" s="0" t="s">
        <v>1</v>
      </c>
      <c r="C5595" s="0" t="s">
        <v>2392</v>
      </c>
      <c r="E5595" s="0" t="s">
        <v>768</v>
      </c>
      <c r="F5595" s="0" t="s">
        <v>2393</v>
      </c>
    </row>
    <row r="5596" customFormat="false" ht="12.8" hidden="false" customHeight="false" outlineLevel="0" collapsed="false">
      <c r="B5596" s="0" t="s">
        <v>8</v>
      </c>
      <c r="C5596" s="0" t="s">
        <v>2394</v>
      </c>
      <c r="E5596" s="0" t="s">
        <v>771</v>
      </c>
      <c r="F5596" s="0" t="s">
        <v>2395</v>
      </c>
    </row>
    <row r="5597" customFormat="false" ht="12.8" hidden="false" customHeight="false" outlineLevel="0" collapsed="false">
      <c r="B5597" s="0" t="s">
        <v>36</v>
      </c>
      <c r="C5597" s="0" t="s">
        <v>2396</v>
      </c>
      <c r="E5597" s="0" t="s">
        <v>38</v>
      </c>
      <c r="F5597" s="0" t="s">
        <v>2397</v>
      </c>
    </row>
    <row r="5598" customFormat="false" ht="12.8" hidden="false" customHeight="false" outlineLevel="0" collapsed="false">
      <c r="B5598" s="0" t="s">
        <v>3026</v>
      </c>
      <c r="C5598" s="0" t="s">
        <v>575</v>
      </c>
      <c r="E5598" s="0" t="s">
        <v>42</v>
      </c>
      <c r="F5598" s="0" t="s">
        <v>2414</v>
      </c>
    </row>
    <row r="5600" customFormat="false" ht="12.8" hidden="false" customHeight="false" outlineLevel="0" collapsed="false">
      <c r="A5600" s="0" t="s">
        <v>3027</v>
      </c>
      <c r="B5600" s="0" t="str">
        <f aca="false">HYPERLINK("https://lindat.mff.cuni.cz/services/teitok/pdtc10/index.php?action=vallex&amp;frame=v-w769f1", "dotvrzovat (v-w769f1)")</f>
        <v>dotvrzovat (v-w769f1)</v>
      </c>
    </row>
    <row r="5601" customFormat="false" ht="12.8" hidden="false" customHeight="false" outlineLevel="0" collapsed="false">
      <c r="B5601" s="0" t="s">
        <v>1</v>
      </c>
    </row>
    <row r="5602" customFormat="false" ht="12.8" hidden="false" customHeight="false" outlineLevel="0" collapsed="false">
      <c r="B5602" s="0" t="s">
        <v>3028</v>
      </c>
    </row>
    <row r="5603" customFormat="false" ht="12.8" hidden="false" customHeight="false" outlineLevel="0" collapsed="false">
      <c r="B5603" s="0" t="s">
        <v>132</v>
      </c>
    </row>
    <row r="5605" customFormat="false" ht="12.8" hidden="false" customHeight="false" outlineLevel="0" collapsed="false">
      <c r="A5605" s="0" t="s">
        <v>3029</v>
      </c>
      <c r="B5605" s="0" t="str">
        <f aca="false">HYPERLINK("https://lindat.mff.cuni.cz/services/teitok/pdtc10/index.php?action=vallex&amp;frame=v-w767f1", "dotvářet (v-w767f1)")</f>
        <v>dotvářet (v-w767f1)</v>
      </c>
    </row>
    <row r="5606" customFormat="false" ht="12.8" hidden="false" customHeight="false" outlineLevel="0" collapsed="false">
      <c r="B5606" s="0" t="s">
        <v>1</v>
      </c>
    </row>
    <row r="5607" customFormat="false" ht="12.8" hidden="false" customHeight="false" outlineLevel="0" collapsed="false">
      <c r="B5607" s="0" t="s">
        <v>8</v>
      </c>
    </row>
    <row r="5608" customFormat="false" ht="12.8" hidden="false" customHeight="false" outlineLevel="0" collapsed="false">
      <c r="B5608" s="0" t="s">
        <v>36</v>
      </c>
    </row>
    <row r="5609" customFormat="false" ht="12.8" hidden="false" customHeight="false" outlineLevel="0" collapsed="false">
      <c r="B5609" s="0" t="s">
        <v>3026</v>
      </c>
    </row>
    <row r="5611" customFormat="false" ht="12.8" hidden="false" customHeight="false" outlineLevel="0" collapsed="false">
      <c r="A5611" s="0" t="s">
        <v>3030</v>
      </c>
      <c r="B5611" s="0" t="str">
        <f aca="false">HYPERLINK("https://lindat.mff.cuni.cz/services/teitok/pdtc10/index.php?action=vallex&amp;frame=v-w750f4_ZU", "dotáhnout (v-w750f4_ZU)")</f>
        <v>dotáhnout (v-w750f4_ZU)</v>
      </c>
    </row>
    <row r="5612" customFormat="false" ht="12.8" hidden="false" customHeight="false" outlineLevel="0" collapsed="false">
      <c r="B5612" s="0" t="s">
        <v>1</v>
      </c>
    </row>
    <row r="5613" customFormat="false" ht="12.8" hidden="false" customHeight="false" outlineLevel="0" collapsed="false">
      <c r="B5613" s="0" t="s">
        <v>8</v>
      </c>
    </row>
    <row r="5614" customFormat="false" ht="12.8" hidden="false" customHeight="false" outlineLevel="0" collapsed="false">
      <c r="B5614" s="0" t="s">
        <v>361</v>
      </c>
    </row>
    <row r="5616" customFormat="false" ht="12.8" hidden="false" customHeight="false" outlineLevel="0" collapsed="false">
      <c r="A5616" s="0" t="s">
        <v>3030</v>
      </c>
      <c r="B5616" s="0" t="str">
        <f aca="false">HYPERLINK("https://lindat.mff.cuni.cz/services/teitok/pdtc10/index.php?action=vallex&amp;frame=v-w750f2", "dotáhnout (v-w750f2) - substituted with v-w750f4_ZU")</f>
        <v>dotáhnout (v-w750f2) - substituted with v-w750f4_ZU</v>
      </c>
    </row>
    <row r="5617" customFormat="false" ht="12.8" hidden="false" customHeight="false" outlineLevel="0" collapsed="false">
      <c r="B5617" s="0" t="s">
        <v>1</v>
      </c>
    </row>
    <row r="5618" customFormat="false" ht="12.8" hidden="false" customHeight="false" outlineLevel="0" collapsed="false">
      <c r="B5618" s="0" t="s">
        <v>8</v>
      </c>
    </row>
    <row r="5619" customFormat="false" ht="12.8" hidden="false" customHeight="false" outlineLevel="0" collapsed="false">
      <c r="B5619" s="0" t="s">
        <v>361</v>
      </c>
    </row>
    <row r="5621" customFormat="false" ht="12.8" hidden="false" customHeight="false" outlineLevel="0" collapsed="false">
      <c r="A5621" s="0" t="s">
        <v>3031</v>
      </c>
      <c r="B5621" s="0" t="str">
        <f aca="false">HYPERLINK("https://lindat.mff.cuni.cz/services/teitok/pdtc10/index.php?action=vallex&amp;frame=v-w750f1", "dotáhnout (v-w750f1)")</f>
        <v>dotáhnout (v-w750f1)</v>
      </c>
    </row>
    <row r="5622" customFormat="false" ht="12.8" hidden="false" customHeight="false" outlineLevel="0" collapsed="false">
      <c r="B5622" s="0" t="s">
        <v>1</v>
      </c>
    </row>
    <row r="5623" customFormat="false" ht="12.8" hidden="false" customHeight="false" outlineLevel="0" collapsed="false">
      <c r="B5623" s="0" t="s">
        <v>8</v>
      </c>
    </row>
    <row r="5624" customFormat="false" ht="12.8" hidden="false" customHeight="false" outlineLevel="0" collapsed="false">
      <c r="B5624" s="0" t="s">
        <v>164</v>
      </c>
    </row>
    <row r="5626" customFormat="false" ht="12.8" hidden="false" customHeight="false" outlineLevel="0" collapsed="false">
      <c r="A5626" s="0" t="s">
        <v>3032</v>
      </c>
      <c r="B5626" s="0" t="str">
        <f aca="false">HYPERLINK("https://lindat.mff.cuni.cz/services/teitok/pdtc10/index.php?action=vallex&amp;frame=v-w750f3_ZU", "dotáhnout (v-w750f3_ZU)")</f>
        <v>dotáhnout (v-w750f3_ZU)</v>
      </c>
    </row>
    <row r="5627" customFormat="false" ht="12.8" hidden="false" customHeight="false" outlineLevel="0" collapsed="false">
      <c r="B5627" s="0" t="s">
        <v>1</v>
      </c>
    </row>
    <row r="5628" customFormat="false" ht="12.8" hidden="false" customHeight="false" outlineLevel="0" collapsed="false">
      <c r="B5628" s="0" t="s">
        <v>454</v>
      </c>
    </row>
    <row r="5630" customFormat="false" ht="12.8" hidden="false" customHeight="false" outlineLevel="0" collapsed="false">
      <c r="A5630" s="0" t="s">
        <v>3033</v>
      </c>
      <c r="B5630" s="0" t="str">
        <f aca="false">HYPERLINK("https://lindat.mff.cuni.cz/services/teitok/pdtc10/index.php?action=vallex&amp;frame=v-w750hsa_311", "dotáhnout (v-w750hsa_311)")</f>
        <v>dotáhnout (v-w750hsa_311)</v>
      </c>
    </row>
    <row r="5631" customFormat="false" ht="12.8" hidden="false" customHeight="false" outlineLevel="0" collapsed="false">
      <c r="B5631" s="0" t="s">
        <v>1</v>
      </c>
    </row>
    <row r="5632" customFormat="false" ht="12.8" hidden="false" customHeight="false" outlineLevel="0" collapsed="false">
      <c r="B5632" s="0" t="s">
        <v>8</v>
      </c>
    </row>
    <row r="5633" customFormat="false" ht="12.8" hidden="false" customHeight="false" outlineLevel="0" collapsed="false">
      <c r="B5633" s="0" t="s">
        <v>2207</v>
      </c>
    </row>
    <row r="5634" customFormat="false" ht="12.8" hidden="false" customHeight="false" outlineLevel="0" collapsed="false">
      <c r="B5634" s="0" t="s">
        <v>36</v>
      </c>
    </row>
    <row r="5636" customFormat="false" ht="12.8" hidden="false" customHeight="false" outlineLevel="0" collapsed="false">
      <c r="A5636" s="0" t="s">
        <v>3034</v>
      </c>
      <c r="B5636" s="0" t="str">
        <f aca="false">HYPERLINK("https://lindat.mff.cuni.cz/services/teitok/pdtc10/index.php?action=vallex&amp;frame=v-w751f1", "dotáhnout se (v-w751f1)")</f>
        <v>dotáhnout se (v-w751f1)</v>
      </c>
    </row>
    <row r="5637" customFormat="false" ht="12.8" hidden="false" customHeight="false" outlineLevel="0" collapsed="false">
      <c r="B5637" s="0" t="s">
        <v>1</v>
      </c>
    </row>
    <row r="5638" customFormat="false" ht="12.8" hidden="false" customHeight="false" outlineLevel="0" collapsed="false">
      <c r="B5638" s="0" t="s">
        <v>164</v>
      </c>
    </row>
    <row r="5640" customFormat="false" ht="12.8" hidden="false" customHeight="false" outlineLevel="0" collapsed="false">
      <c r="A5640" s="0" t="s">
        <v>3035</v>
      </c>
      <c r="B5640" s="0" t="str">
        <f aca="false">HYPERLINK("https://lindat.mff.cuni.cz/services/teitok/pdtc10/index.php?action=vallex&amp;frame=v-w752f1", "dotápět (v-w752f1)")</f>
        <v>dotápět (v-w752f1)</v>
      </c>
    </row>
    <row r="5641" customFormat="false" ht="12.8" hidden="false" customHeight="false" outlineLevel="0" collapsed="false">
      <c r="B5641" s="0" t="s">
        <v>1</v>
      </c>
    </row>
    <row r="5642" customFormat="false" ht="12.8" hidden="false" customHeight="false" outlineLevel="0" collapsed="false">
      <c r="B5642" s="0" t="s">
        <v>8</v>
      </c>
    </row>
    <row r="5644" customFormat="false" ht="12.8" hidden="false" customHeight="false" outlineLevel="0" collapsed="false">
      <c r="A5644" s="0" t="s">
        <v>3036</v>
      </c>
      <c r="B5644" s="0" t="str">
        <f aca="false">HYPERLINK("https://lindat.mff.cuni.cz/services/teitok/pdtc10/index.php?action=vallex&amp;frame=v-w754f1", "dotázat se (v-w754f1)")</f>
        <v>dotázat se (v-w754f1)</v>
      </c>
      <c r="E5644" s="0" t="str">
        <f aca="false">HYPERLINK("https://lindat.mff.cuni.cz/services/SynSemClass40/SynSemClass40.html?veclass=vec00384#vec00384-ces-cm00003", "vec00384")</f>
        <v>vec00384</v>
      </c>
      <c r="F5644" s="0" t="s">
        <v>2985</v>
      </c>
    </row>
    <row r="5645" customFormat="false" ht="12.8" hidden="false" customHeight="false" outlineLevel="0" collapsed="false">
      <c r="B5645" s="0" t="s">
        <v>1</v>
      </c>
      <c r="C5645" s="0" t="s">
        <v>2986</v>
      </c>
      <c r="E5645" s="0" t="s">
        <v>147</v>
      </c>
      <c r="F5645" s="0" t="s">
        <v>2987</v>
      </c>
    </row>
    <row r="5646" customFormat="false" ht="12.8" hidden="false" customHeight="false" outlineLevel="0" collapsed="false">
      <c r="B5646" s="0" t="s">
        <v>2988</v>
      </c>
      <c r="C5646" s="0" t="s">
        <v>2989</v>
      </c>
      <c r="E5646" s="0" t="s">
        <v>218</v>
      </c>
      <c r="F5646" s="0" t="s">
        <v>2990</v>
      </c>
    </row>
    <row r="5647" customFormat="false" ht="12.8" hidden="false" customHeight="false" outlineLevel="0" collapsed="false">
      <c r="B5647" s="0" t="s">
        <v>2991</v>
      </c>
      <c r="C5647" s="0" t="s">
        <v>2992</v>
      </c>
      <c r="E5647" s="0" t="s">
        <v>221</v>
      </c>
      <c r="F5647" s="0" t="s">
        <v>2993</v>
      </c>
    </row>
    <row r="5649" customFormat="false" ht="12.8" hidden="false" customHeight="false" outlineLevel="0" collapsed="false">
      <c r="A5649" s="0" t="s">
        <v>3037</v>
      </c>
      <c r="B5649" s="0" t="str">
        <f aca="false">HYPERLINK("https://lindat.mff.cuni.cz/services/teitok/pdtc10/index.php?action=vallex&amp;frame=v-whsa_44hsa_45", "dotéci (v-whsa_44hsa_45)")</f>
        <v>dotéci (v-whsa_44hsa_45)</v>
      </c>
      <c r="E5649" s="0" t="str">
        <f aca="false">HYPERLINK("https://lindat.mff.cuni.cz/services/SynSemClass40/SynSemClass40.html?veclass=vec00218#vec00218-ces-cm00259", "vec00218")</f>
        <v>vec00218</v>
      </c>
      <c r="F5649" s="0" t="s">
        <v>2143</v>
      </c>
      <c r="H5649" s="0" t="str">
        <f aca="false">HYPERLINK("https://lindat.mff.cuni.cz/services/SynSemClass40/SynSemClass40.html?veclass=vec00952#vec00952-ces-cm00086", "vec00952")</f>
        <v>vec00952</v>
      </c>
      <c r="I5649" s="0" t="s">
        <v>3038</v>
      </c>
    </row>
    <row r="5650" customFormat="false" ht="12.8" hidden="false" customHeight="false" outlineLevel="0" collapsed="false">
      <c r="B5650" s="0" t="s">
        <v>1</v>
      </c>
      <c r="C5650" s="0" t="s">
        <v>3039</v>
      </c>
      <c r="E5650" s="0" t="s">
        <v>11</v>
      </c>
      <c r="F5650" s="0" t="s">
        <v>2145</v>
      </c>
      <c r="H5650" s="0" t="s">
        <v>334</v>
      </c>
      <c r="I5650" s="0" t="s">
        <v>3040</v>
      </c>
    </row>
    <row r="5651" customFormat="false" ht="12.8" hidden="false" customHeight="false" outlineLevel="0" collapsed="false">
      <c r="B5651" s="0" t="s">
        <v>164</v>
      </c>
      <c r="C5651" s="0" t="s">
        <v>2146</v>
      </c>
      <c r="E5651" s="0" t="s">
        <v>370</v>
      </c>
      <c r="F5651" s="0" t="s">
        <v>2147</v>
      </c>
      <c r="H5651" s="0" t="s">
        <v>370</v>
      </c>
      <c r="I5651" s="0" t="s">
        <v>3041</v>
      </c>
    </row>
    <row r="5653" customFormat="false" ht="12.8" hidden="false" customHeight="false" outlineLevel="0" collapsed="false">
      <c r="A5653" s="0" t="s">
        <v>3042</v>
      </c>
      <c r="B5653" s="0" t="str">
        <f aca="false">HYPERLINK("https://lindat.mff.cuni.cz/services/teitok/pdtc10/index.php?action=vallex&amp;frame=v-w759f1", "dotírat (v-w759f1)")</f>
        <v>dotírat (v-w759f1)</v>
      </c>
    </row>
    <row r="5654" customFormat="false" ht="12.8" hidden="false" customHeight="false" outlineLevel="0" collapsed="false">
      <c r="B5654" s="0" t="s">
        <v>1</v>
      </c>
    </row>
    <row r="5655" customFormat="false" ht="12.8" hidden="false" customHeight="false" outlineLevel="0" collapsed="false">
      <c r="B5655" s="0" t="s">
        <v>45</v>
      </c>
    </row>
    <row r="5657" customFormat="false" ht="12.8" hidden="false" customHeight="false" outlineLevel="0" collapsed="false">
      <c r="A5657" s="0" t="s">
        <v>3043</v>
      </c>
      <c r="B5657" s="0" t="str">
        <f aca="false">HYPERLINK("https://lindat.mff.cuni.cz/services/teitok/pdtc10/index.php?action=vallex&amp;frame=v-w772f1", "dotýkat se (v-w772f1)")</f>
        <v>dotýkat se (v-w772f1)</v>
      </c>
      <c r="E5657" s="0" t="str">
        <f aca="false">HYPERLINK("https://lindat.mff.cuni.cz/services/SynSemClass40/SynSemClass40.html?veclass=vec00328#vec00328-ces-cm00009", "vec00328")</f>
        <v>vec00328</v>
      </c>
      <c r="F5657" s="0" t="s">
        <v>3008</v>
      </c>
    </row>
    <row r="5658" customFormat="false" ht="12.8" hidden="false" customHeight="false" outlineLevel="0" collapsed="false">
      <c r="B5658" s="0" t="s">
        <v>1</v>
      </c>
      <c r="C5658" s="0" t="s">
        <v>3044</v>
      </c>
      <c r="E5658" s="0" t="s">
        <v>3010</v>
      </c>
      <c r="F5658" s="0" t="s">
        <v>3012</v>
      </c>
    </row>
    <row r="5659" customFormat="false" ht="12.8" hidden="false" customHeight="false" outlineLevel="0" collapsed="false">
      <c r="B5659" s="0" t="s">
        <v>1289</v>
      </c>
      <c r="C5659" s="0" t="s">
        <v>3045</v>
      </c>
      <c r="E5659" s="0" t="s">
        <v>142</v>
      </c>
      <c r="F5659" s="0" t="s">
        <v>3015</v>
      </c>
    </row>
    <row r="5661" customFormat="false" ht="12.8" hidden="false" customHeight="false" outlineLevel="0" collapsed="false">
      <c r="A5661" s="0" t="s">
        <v>3046</v>
      </c>
      <c r="B5661" s="0" t="str">
        <f aca="false">HYPERLINK("https://lindat.mff.cuni.cz/services/teitok/pdtc10/index.php?action=vallex&amp;frame=v-w772f3", "dotýkat se (v-w772f3)")</f>
        <v>dotýkat se (v-w772f3)</v>
      </c>
      <c r="E5661" s="0" t="str">
        <f aca="false">HYPERLINK("https://lindat.mff.cuni.cz/services/SynSemClass40/SynSemClass40.html?veclass=vec00918#vec00918-ces-cm00005", "vec00918")</f>
        <v>vec00918</v>
      </c>
      <c r="F5661" s="0" t="s">
        <v>2999</v>
      </c>
    </row>
    <row r="5662" customFormat="false" ht="12.8" hidden="false" customHeight="false" outlineLevel="0" collapsed="false">
      <c r="B5662" s="0" t="s">
        <v>1</v>
      </c>
      <c r="C5662" s="0" t="s">
        <v>3000</v>
      </c>
      <c r="E5662" s="0" t="s">
        <v>31</v>
      </c>
      <c r="F5662" s="0" t="s">
        <v>3001</v>
      </c>
    </row>
    <row r="5663" customFormat="false" ht="12.8" hidden="false" customHeight="false" outlineLevel="0" collapsed="false">
      <c r="B5663" s="0" t="s">
        <v>1289</v>
      </c>
      <c r="C5663" s="0" t="s">
        <v>639</v>
      </c>
      <c r="E5663" s="0" t="s">
        <v>3002</v>
      </c>
      <c r="F5663" s="0" t="s">
        <v>3003</v>
      </c>
    </row>
    <row r="5665" customFormat="false" ht="12.8" hidden="false" customHeight="false" outlineLevel="0" collapsed="false">
      <c r="A5665" s="0" t="s">
        <v>3047</v>
      </c>
      <c r="B5665" s="0" t="str">
        <f aca="false">HYPERLINK("https://lindat.mff.cuni.cz/services/teitok/pdtc10/index.php?action=vallex&amp;frame=v-w772f2", "dotýkat se (v-w772f2)")</f>
        <v>dotýkat se (v-w772f2)</v>
      </c>
    </row>
    <row r="5666" customFormat="false" ht="12.8" hidden="false" customHeight="false" outlineLevel="0" collapsed="false">
      <c r="B5666" s="0" t="s">
        <v>1</v>
      </c>
    </row>
    <row r="5667" customFormat="false" ht="12.8" hidden="false" customHeight="false" outlineLevel="0" collapsed="false">
      <c r="B5667" s="0" t="s">
        <v>1289</v>
      </c>
    </row>
    <row r="5669" customFormat="false" ht="12.8" hidden="false" customHeight="false" outlineLevel="0" collapsed="false">
      <c r="A5669" s="0" t="s">
        <v>3048</v>
      </c>
      <c r="B5669" s="0" t="str">
        <f aca="false">HYPERLINK("https://lindat.mff.cuni.cz/services/teitok/pdtc10/index.php?action=vallex&amp;frame=v-w774f4_MM", "doufat (v-w774f4_MM)")</f>
        <v>doufat (v-w774f4_MM)</v>
      </c>
    </row>
    <row r="5670" customFormat="false" ht="12.8" hidden="false" customHeight="false" outlineLevel="0" collapsed="false">
      <c r="B5670" s="0" t="s">
        <v>1</v>
      </c>
    </row>
    <row r="5671" customFormat="false" ht="12.8" hidden="false" customHeight="false" outlineLevel="0" collapsed="false">
      <c r="B5671" s="0" t="s">
        <v>3049</v>
      </c>
    </row>
    <row r="5673" customFormat="false" ht="12.8" hidden="false" customHeight="false" outlineLevel="0" collapsed="false">
      <c r="A5673" s="0" t="s">
        <v>3048</v>
      </c>
      <c r="B5673" s="0" t="str">
        <f aca="false">HYPERLINK("https://lindat.mff.cuni.cz/services/teitok/pdtc10/index.php?action=vallex&amp;frame=v-w774f1", "doufat (v-w774f1) - substituted with v-w774f4_MM")</f>
        <v>doufat (v-w774f1) - substituted with v-w774f4_MM</v>
      </c>
    </row>
    <row r="5674" customFormat="false" ht="12.8" hidden="false" customHeight="false" outlineLevel="0" collapsed="false">
      <c r="B5674" s="0" t="s">
        <v>1</v>
      </c>
    </row>
    <row r="5675" customFormat="false" ht="12.8" hidden="false" customHeight="false" outlineLevel="0" collapsed="false">
      <c r="B5675" s="0" t="s">
        <v>3049</v>
      </c>
    </row>
    <row r="5677" customFormat="false" ht="12.8" hidden="false" customHeight="false" outlineLevel="0" collapsed="false">
      <c r="A5677" s="0" t="s">
        <v>3048</v>
      </c>
      <c r="B5677" s="0" t="str">
        <f aca="false">HYPERLINK("https://lindat.mff.cuni.cz/services/teitok/pdtc10/index.php?action=vallex&amp;frame=v-w774f3_ZU", "doufat (v-w774f3_ZU) - substituted with v-w774f4_MM")</f>
        <v>doufat (v-w774f3_ZU) - substituted with v-w774f4_MM</v>
      </c>
      <c r="E5677" s="0" t="str">
        <f aca="false">HYPERLINK("https://lindat.mff.cuni.cz/services/SynSemClass40/SynSemClass40.html?veclass=vec00219#vec00219-ces-cm00001", "vec00219")</f>
        <v>vec00219</v>
      </c>
      <c r="F5677" s="0" t="s">
        <v>3050</v>
      </c>
    </row>
    <row r="5678" customFormat="false" ht="12.8" hidden="false" customHeight="false" outlineLevel="0" collapsed="false">
      <c r="B5678" s="0" t="s">
        <v>1</v>
      </c>
      <c r="C5678" s="0" t="s">
        <v>3051</v>
      </c>
      <c r="E5678" s="0" t="s">
        <v>11</v>
      </c>
      <c r="F5678" s="0" t="s">
        <v>3052</v>
      </c>
    </row>
    <row r="5679" customFormat="false" ht="12.8" hidden="false" customHeight="false" outlineLevel="0" collapsed="false">
      <c r="B5679" s="0" t="s">
        <v>3049</v>
      </c>
      <c r="C5679" s="0" t="s">
        <v>3053</v>
      </c>
      <c r="E5679" s="0" t="s">
        <v>3054</v>
      </c>
      <c r="F5679" s="0" t="s">
        <v>3055</v>
      </c>
    </row>
    <row r="5681" customFormat="false" ht="12.8" hidden="false" customHeight="false" outlineLevel="0" collapsed="false">
      <c r="A5681" s="0" t="s">
        <v>3056</v>
      </c>
      <c r="B5681" s="0" t="str">
        <f aca="false">HYPERLINK("https://lindat.mff.cuni.cz/services/teitok/pdtc10/index.php?action=vallex&amp;frame=v-w774f2_ZU", "doufat (v-w774f2_ZU)")</f>
        <v>doufat (v-w774f2_ZU)</v>
      </c>
    </row>
    <row r="5682" customFormat="false" ht="12.8" hidden="false" customHeight="false" outlineLevel="0" collapsed="false">
      <c r="B5682" s="0" t="s">
        <v>1</v>
      </c>
    </row>
    <row r="5683" customFormat="false" ht="12.8" hidden="false" customHeight="false" outlineLevel="0" collapsed="false">
      <c r="B5683" s="0" t="s">
        <v>3057</v>
      </c>
    </row>
    <row r="5684" customFormat="false" ht="12.8" hidden="false" customHeight="false" outlineLevel="0" collapsed="false">
      <c r="B5684" s="0" t="s">
        <v>496</v>
      </c>
    </row>
    <row r="5686" customFormat="false" ht="12.8" hidden="false" customHeight="false" outlineLevel="0" collapsed="false">
      <c r="A5686" s="0" t="s">
        <v>3056</v>
      </c>
      <c r="B5686" s="0" t="str">
        <f aca="false">HYPERLINK("https://lindat.mff.cuni.cz/services/teitok/pdtc10/index.php?action=vallex&amp;frame=v-w774hsa_603", "doufat (v-w774hsa_603) - substituted with v-w774f2_ZU")</f>
        <v>doufat (v-w774hsa_603) - substituted with v-w774f2_ZU</v>
      </c>
    </row>
    <row r="5687" customFormat="false" ht="12.8" hidden="false" customHeight="false" outlineLevel="0" collapsed="false">
      <c r="B5687" s="0" t="s">
        <v>1</v>
      </c>
    </row>
    <row r="5688" customFormat="false" ht="12.8" hidden="false" customHeight="false" outlineLevel="0" collapsed="false">
      <c r="B5688" s="0" t="s">
        <v>3057</v>
      </c>
    </row>
    <row r="5689" customFormat="false" ht="12.8" hidden="false" customHeight="false" outlineLevel="0" collapsed="false">
      <c r="B5689" s="0" t="s">
        <v>496</v>
      </c>
    </row>
    <row r="5691" customFormat="false" ht="12.8" hidden="false" customHeight="false" outlineLevel="0" collapsed="false">
      <c r="A5691" s="0" t="s">
        <v>3058</v>
      </c>
      <c r="B5691" s="0" t="str">
        <f aca="false">HYPERLINK("https://lindat.mff.cuni.cz/services/teitok/pdtc10/index.php?action=vallex&amp;frame=v-w10254f2", "doutnat (v-w10254f2)")</f>
        <v>doutnat (v-w10254f2)</v>
      </c>
      <c r="E5691" s="0" t="str">
        <f aca="false">HYPERLINK("https://lindat.mff.cuni.cz/services/SynSemClass40/SynSemClass40.html?veclass=vec00748#vec00748-ces-cm00002", "vec00748")</f>
        <v>vec00748</v>
      </c>
      <c r="F5691" s="0" t="s">
        <v>3059</v>
      </c>
    </row>
    <row r="5692" customFormat="false" ht="12.8" hidden="false" customHeight="false" outlineLevel="0" collapsed="false">
      <c r="B5692" s="0" t="s">
        <v>1</v>
      </c>
      <c r="C5692" s="0" t="s">
        <v>3060</v>
      </c>
      <c r="E5692" s="0" t="s">
        <v>3061</v>
      </c>
      <c r="F5692" s="0" t="s">
        <v>3062</v>
      </c>
    </row>
    <row r="5694" customFormat="false" ht="12.8" hidden="false" customHeight="false" outlineLevel="0" collapsed="false">
      <c r="A5694" s="0" t="s">
        <v>3063</v>
      </c>
      <c r="B5694" s="0" t="str">
        <f aca="false">HYPERLINK("https://lindat.mff.cuni.cz/services/teitok/pdtc10/index.php?action=vallex&amp;frame=v-w10254hsa_316", "doutnat (v-w10254hsa_316)")</f>
        <v>doutnat (v-w10254hsa_316)</v>
      </c>
    </row>
    <row r="5695" customFormat="false" ht="12.8" hidden="false" customHeight="false" outlineLevel="0" collapsed="false">
      <c r="B5695" s="0" t="s">
        <v>1</v>
      </c>
    </row>
    <row r="5697" customFormat="false" ht="12.8" hidden="false" customHeight="false" outlineLevel="0" collapsed="false">
      <c r="A5697" s="0" t="s">
        <v>3064</v>
      </c>
      <c r="B5697" s="0" t="str">
        <f aca="false">HYPERLINK("https://lindat.mff.cuni.cz/services/teitok/pdtc10/index.php?action=vallex&amp;frame=v-whsa_1113hsa_1114", "doučit se (v-whsa_1113hsa_1114)")</f>
        <v>doučit se (v-whsa_1113hsa_1114)</v>
      </c>
    </row>
    <row r="5698" customFormat="false" ht="12.8" hidden="false" customHeight="false" outlineLevel="0" collapsed="false">
      <c r="B5698" s="0" t="s">
        <v>1</v>
      </c>
    </row>
    <row r="5699" customFormat="false" ht="12.8" hidden="false" customHeight="false" outlineLevel="0" collapsed="false">
      <c r="B5699" s="0" t="s">
        <v>3065</v>
      </c>
    </row>
    <row r="5701" customFormat="false" ht="12.8" hidden="false" customHeight="false" outlineLevel="0" collapsed="false">
      <c r="A5701" s="0" t="s">
        <v>3066</v>
      </c>
      <c r="B5701" s="0" t="str">
        <f aca="false">HYPERLINK("https://lindat.mff.cuni.cz/services/teitok/pdtc10/index.php?action=vallex&amp;frame=v-w11750_ZUf2_ZU", "doučovat (v-w11750_ZUf2_ZU)")</f>
        <v>doučovat (v-w11750_ZUf2_ZU)</v>
      </c>
    </row>
    <row r="5702" customFormat="false" ht="12.8" hidden="false" customHeight="false" outlineLevel="0" collapsed="false">
      <c r="B5702" s="0" t="s">
        <v>1</v>
      </c>
    </row>
    <row r="5703" customFormat="false" ht="12.8" hidden="false" customHeight="false" outlineLevel="0" collapsed="false">
      <c r="B5703" s="0" t="s">
        <v>390</v>
      </c>
    </row>
    <row r="5704" customFormat="false" ht="12.8" hidden="false" customHeight="false" outlineLevel="0" collapsed="false">
      <c r="B5704" s="0" t="s">
        <v>3067</v>
      </c>
    </row>
    <row r="5706" customFormat="false" ht="12.8" hidden="false" customHeight="false" outlineLevel="0" collapsed="false">
      <c r="A5706" s="0" t="s">
        <v>3066</v>
      </c>
      <c r="B5706" s="0" t="str">
        <f aca="false">HYPERLINK("https://lindat.mff.cuni.cz/services/teitok/pdtc10/index.php?action=vallex&amp;frame=v-w11750_ZUf1_ZU", "doučovat (v-w11750_ZUf1_ZU) - substituted with v-w11750_ZUf2_ZU")</f>
        <v>doučovat (v-w11750_ZUf1_ZU) - substituted with v-w11750_ZUf2_ZU</v>
      </c>
    </row>
    <row r="5707" customFormat="false" ht="12.8" hidden="false" customHeight="false" outlineLevel="0" collapsed="false">
      <c r="B5707" s="0" t="s">
        <v>1</v>
      </c>
    </row>
    <row r="5708" customFormat="false" ht="12.8" hidden="false" customHeight="false" outlineLevel="0" collapsed="false">
      <c r="B5708" s="0" t="s">
        <v>390</v>
      </c>
    </row>
    <row r="5709" customFormat="false" ht="12.8" hidden="false" customHeight="false" outlineLevel="0" collapsed="false">
      <c r="B5709" s="0" t="s">
        <v>3067</v>
      </c>
    </row>
    <row r="5711" customFormat="false" ht="12.8" hidden="false" customHeight="false" outlineLevel="0" collapsed="false">
      <c r="A5711" s="0" t="s">
        <v>3068</v>
      </c>
      <c r="B5711" s="0" t="str">
        <f aca="false">HYPERLINK("https://lindat.mff.cuni.cz/services/teitok/pdtc10/index.php?action=vallex&amp;frame=v-whsa_1832hsa_1833", "doučovat se (v-whsa_1832hsa_1833)")</f>
        <v>doučovat se (v-whsa_1832hsa_1833)</v>
      </c>
    </row>
    <row r="5712" customFormat="false" ht="12.8" hidden="false" customHeight="false" outlineLevel="0" collapsed="false">
      <c r="B5712" s="0" t="s">
        <v>1</v>
      </c>
    </row>
    <row r="5713" customFormat="false" ht="12.8" hidden="false" customHeight="false" outlineLevel="0" collapsed="false">
      <c r="B5713" s="0" t="s">
        <v>3069</v>
      </c>
    </row>
    <row r="5714" customFormat="false" ht="12.8" hidden="false" customHeight="false" outlineLevel="0" collapsed="false">
      <c r="B5714" s="0" t="s">
        <v>1633</v>
      </c>
    </row>
    <row r="5716" customFormat="false" ht="12.8" hidden="false" customHeight="false" outlineLevel="0" collapsed="false">
      <c r="A5716" s="0" t="s">
        <v>3070</v>
      </c>
      <c r="B5716" s="0" t="str">
        <f aca="false">HYPERLINK("https://lindat.mff.cuni.cz/services/teitok/pdtc10/index.php?action=vallex&amp;frame=v-w776f2", "dovařit (v-w776f2)")</f>
        <v>dovařit (v-w776f2)</v>
      </c>
    </row>
    <row r="5717" customFormat="false" ht="12.8" hidden="false" customHeight="false" outlineLevel="0" collapsed="false">
      <c r="B5717" s="0" t="s">
        <v>1</v>
      </c>
    </row>
    <row r="5718" customFormat="false" ht="12.8" hidden="false" customHeight="false" outlineLevel="0" collapsed="false">
      <c r="B5718" s="0" t="s">
        <v>8</v>
      </c>
    </row>
    <row r="5719" customFormat="false" ht="12.8" hidden="false" customHeight="false" outlineLevel="0" collapsed="false">
      <c r="B5719" s="0" t="s">
        <v>36</v>
      </c>
    </row>
    <row r="5720" customFormat="false" ht="12.8" hidden="false" customHeight="false" outlineLevel="0" collapsed="false">
      <c r="B5720" s="0" t="s">
        <v>3026</v>
      </c>
    </row>
    <row r="5722" customFormat="false" ht="12.8" hidden="false" customHeight="false" outlineLevel="0" collapsed="false">
      <c r="A5722" s="0" t="s">
        <v>3071</v>
      </c>
      <c r="B5722" s="0" t="str">
        <f aca="false">HYPERLINK("https://lindat.mff.cuni.cz/services/teitok/pdtc10/index.php?action=vallex&amp;frame=v-w776f1", "dovařit (v-w776f1)")</f>
        <v>dovařit (v-w776f1)</v>
      </c>
    </row>
    <row r="5723" customFormat="false" ht="12.8" hidden="false" customHeight="false" outlineLevel="0" collapsed="false">
      <c r="B5723" s="0" t="s">
        <v>1</v>
      </c>
    </row>
    <row r="5724" customFormat="false" ht="12.8" hidden="false" customHeight="false" outlineLevel="0" collapsed="false">
      <c r="B5724" s="0" t="s">
        <v>8</v>
      </c>
    </row>
    <row r="5726" customFormat="false" ht="12.8" hidden="false" customHeight="false" outlineLevel="0" collapsed="false">
      <c r="A5726" s="0" t="s">
        <v>3072</v>
      </c>
      <c r="B5726" s="0" t="str">
        <f aca="false">HYPERLINK("https://lindat.mff.cuni.cz/services/teitok/pdtc10/index.php?action=vallex&amp;frame=v-w779f1", "dovažovat (v-w779f1)")</f>
        <v>dovažovat (v-w779f1)</v>
      </c>
    </row>
    <row r="5727" customFormat="false" ht="12.8" hidden="false" customHeight="false" outlineLevel="0" collapsed="false">
      <c r="B5727" s="0" t="s">
        <v>1</v>
      </c>
    </row>
    <row r="5728" customFormat="false" ht="12.8" hidden="false" customHeight="false" outlineLevel="0" collapsed="false">
      <c r="B5728" s="0" t="s">
        <v>2128</v>
      </c>
    </row>
    <row r="5730" customFormat="false" ht="12.8" hidden="false" customHeight="false" outlineLevel="0" collapsed="false">
      <c r="A5730" s="0" t="s">
        <v>3073</v>
      </c>
      <c r="B5730" s="0" t="str">
        <f aca="false">HYPERLINK("https://lindat.mff.cuni.cz/services/teitok/pdtc10/index.php?action=vallex&amp;frame=v-w785f1", "dovodit (v-w785f1)")</f>
        <v>dovodit (v-w785f1)</v>
      </c>
    </row>
    <row r="5731" customFormat="false" ht="12.8" hidden="false" customHeight="false" outlineLevel="0" collapsed="false">
      <c r="B5731" s="0" t="s">
        <v>1</v>
      </c>
    </row>
    <row r="5732" customFormat="false" ht="12.8" hidden="false" customHeight="false" outlineLevel="0" collapsed="false">
      <c r="B5732" s="0" t="s">
        <v>59</v>
      </c>
    </row>
    <row r="5733" customFormat="false" ht="12.8" hidden="false" customHeight="false" outlineLevel="0" collapsed="false">
      <c r="B5733" s="0" t="s">
        <v>36</v>
      </c>
    </row>
    <row r="5735" customFormat="false" ht="12.8" hidden="false" customHeight="false" outlineLevel="0" collapsed="false">
      <c r="A5735" s="0" t="s">
        <v>3074</v>
      </c>
      <c r="B5735" s="0" t="str">
        <f aca="false">HYPERLINK("https://lindat.mff.cuni.cz/services/teitok/pdtc10/index.php?action=vallex&amp;frame=v-w786f2", "dovolat se (v-w786f2)")</f>
        <v>dovolat se (v-w786f2)</v>
      </c>
    </row>
    <row r="5736" customFormat="false" ht="12.8" hidden="false" customHeight="false" outlineLevel="0" collapsed="false">
      <c r="B5736" s="0" t="s">
        <v>1</v>
      </c>
    </row>
    <row r="5737" customFormat="false" ht="12.8" hidden="false" customHeight="false" outlineLevel="0" collapsed="false">
      <c r="B5737" s="0" t="s">
        <v>1289</v>
      </c>
    </row>
    <row r="5739" customFormat="false" ht="12.8" hidden="false" customHeight="false" outlineLevel="0" collapsed="false">
      <c r="A5739" s="0" t="s">
        <v>3075</v>
      </c>
      <c r="B5739" s="0" t="str">
        <f aca="false">HYPERLINK("https://lindat.mff.cuni.cz/services/teitok/pdtc10/index.php?action=vallex&amp;frame=v-w786f1", "dovolat se (v-w786f1)")</f>
        <v>dovolat se (v-w786f1)</v>
      </c>
    </row>
    <row r="5740" customFormat="false" ht="12.8" hidden="false" customHeight="false" outlineLevel="0" collapsed="false">
      <c r="B5740" s="0" t="s">
        <v>1</v>
      </c>
    </row>
    <row r="5741" customFormat="false" ht="12.8" hidden="false" customHeight="false" outlineLevel="0" collapsed="false">
      <c r="B5741" s="0" t="s">
        <v>164</v>
      </c>
    </row>
    <row r="5743" customFormat="false" ht="12.8" hidden="false" customHeight="false" outlineLevel="0" collapsed="false">
      <c r="A5743" s="0" t="s">
        <v>3076</v>
      </c>
      <c r="B5743" s="0" t="str">
        <f aca="false">HYPERLINK("https://lindat.mff.cuni.cz/services/teitok/pdtc10/index.php?action=vallex&amp;frame=v-w786f4_ZU", "dovolat se (v-w786f4_ZU)")</f>
        <v>dovolat se (v-w786f4_ZU)</v>
      </c>
    </row>
    <row r="5744" customFormat="false" ht="12.8" hidden="false" customHeight="false" outlineLevel="0" collapsed="false">
      <c r="B5744" s="0" t="s">
        <v>1</v>
      </c>
    </row>
    <row r="5745" customFormat="false" ht="12.8" hidden="false" customHeight="false" outlineLevel="0" collapsed="false">
      <c r="B5745" s="0" t="s">
        <v>186</v>
      </c>
    </row>
    <row r="5747" customFormat="false" ht="12.8" hidden="false" customHeight="false" outlineLevel="0" collapsed="false">
      <c r="A5747" s="0" t="s">
        <v>3076</v>
      </c>
      <c r="B5747" s="0" t="str">
        <f aca="false">HYPERLINK("https://lindat.mff.cuni.cz/services/teitok/pdtc10/index.php?action=vallex&amp;frame=v-w786f3_ZU", "dovolat se (v-w786f3_ZU) - substituted with v-w786f4_ZU")</f>
        <v>dovolat se (v-w786f3_ZU) - substituted with v-w786f4_ZU</v>
      </c>
    </row>
    <row r="5748" customFormat="false" ht="12.8" hidden="false" customHeight="false" outlineLevel="0" collapsed="false">
      <c r="B5748" s="0" t="s">
        <v>1</v>
      </c>
    </row>
    <row r="5749" customFormat="false" ht="12.8" hidden="false" customHeight="false" outlineLevel="0" collapsed="false">
      <c r="B5749" s="0" t="s">
        <v>186</v>
      </c>
    </row>
    <row r="5751" customFormat="false" ht="12.8" hidden="false" customHeight="false" outlineLevel="0" collapsed="false">
      <c r="A5751" s="0" t="s">
        <v>3077</v>
      </c>
      <c r="B5751" s="0" t="str">
        <f aca="false">HYPERLINK("https://lindat.mff.cuni.cz/services/teitok/pdtc10/index.php?action=vallex&amp;frame=v-w788f1", "dovolit (v-w788f1)")</f>
        <v>dovolit (v-w788f1)</v>
      </c>
      <c r="E5751" s="0" t="str">
        <f aca="false">HYPERLINK("https://lindat.mff.cuni.cz/services/SynSemClass40/SynSemClass40.html?veclass=vec00012#vec00012-ces-cm00001", "vec00012")</f>
        <v>vec00012</v>
      </c>
      <c r="F5751" s="0" t="s">
        <v>3078</v>
      </c>
    </row>
    <row r="5752" customFormat="false" ht="12.8" hidden="false" customHeight="false" outlineLevel="0" collapsed="false">
      <c r="B5752" s="0" t="s">
        <v>1</v>
      </c>
      <c r="C5752" s="0" t="s">
        <v>3079</v>
      </c>
      <c r="E5752" s="0" t="s">
        <v>206</v>
      </c>
      <c r="F5752" s="0" t="s">
        <v>3080</v>
      </c>
    </row>
    <row r="5753" customFormat="false" ht="12.8" hidden="false" customHeight="false" outlineLevel="0" collapsed="false">
      <c r="B5753" s="0" t="s">
        <v>3081</v>
      </c>
      <c r="C5753" s="0" t="s">
        <v>3082</v>
      </c>
      <c r="E5753" s="0" t="s">
        <v>3083</v>
      </c>
      <c r="F5753" s="0" t="s">
        <v>3084</v>
      </c>
    </row>
    <row r="5754" customFormat="false" ht="12.8" hidden="false" customHeight="false" outlineLevel="0" collapsed="false">
      <c r="B5754" s="0" t="s">
        <v>52</v>
      </c>
      <c r="C5754" s="0" t="s">
        <v>3085</v>
      </c>
      <c r="E5754" s="0" t="s">
        <v>2287</v>
      </c>
      <c r="F5754" s="0" t="s">
        <v>3086</v>
      </c>
    </row>
    <row r="5756" customFormat="false" ht="12.8" hidden="false" customHeight="false" outlineLevel="0" collapsed="false">
      <c r="A5756" s="0" t="s">
        <v>3087</v>
      </c>
      <c r="B5756" s="0" t="str">
        <f aca="false">HYPERLINK("https://lindat.mff.cuni.cz/services/teitok/pdtc10/index.php?action=vallex&amp;frame=v-w789f1", "dovolit se (v-w789f1)")</f>
        <v>dovolit se (v-w789f1)</v>
      </c>
    </row>
    <row r="5757" customFormat="false" ht="12.8" hidden="false" customHeight="false" outlineLevel="0" collapsed="false">
      <c r="B5757" s="0" t="s">
        <v>1</v>
      </c>
    </row>
    <row r="5758" customFormat="false" ht="12.8" hidden="false" customHeight="false" outlineLevel="0" collapsed="false">
      <c r="B5758" s="0" t="s">
        <v>1289</v>
      </c>
    </row>
    <row r="5759" customFormat="false" ht="12.8" hidden="false" customHeight="false" outlineLevel="0" collapsed="false">
      <c r="B5759" s="0" t="s">
        <v>3088</v>
      </c>
    </row>
    <row r="5761" customFormat="false" ht="12.8" hidden="false" customHeight="false" outlineLevel="0" collapsed="false">
      <c r="A5761" s="0" t="s">
        <v>3089</v>
      </c>
      <c r="B5761" s="0" t="str">
        <f aca="false">HYPERLINK("https://lindat.mff.cuni.cz/services/teitok/pdtc10/index.php?action=vallex&amp;frame=v-w790f3_ZU", "dovolit si (v-w790f3_ZU)")</f>
        <v>dovolit si (v-w790f3_ZU)</v>
      </c>
      <c r="E5761" s="0" t="str">
        <f aca="false">HYPERLINK("https://lindat.mff.cuni.cz/services/SynSemClass40/SynSemClass40.html?veclass=vec00411#vec00411-ces-cm00001", "vec00411")</f>
        <v>vec00411</v>
      </c>
      <c r="F5761" s="0" t="s">
        <v>3090</v>
      </c>
    </row>
    <row r="5762" customFormat="false" ht="12.8" hidden="false" customHeight="false" outlineLevel="0" collapsed="false">
      <c r="B5762" s="0" t="s">
        <v>1</v>
      </c>
      <c r="C5762" s="0" t="s">
        <v>3091</v>
      </c>
      <c r="E5762" s="0" t="s">
        <v>31</v>
      </c>
      <c r="F5762" s="0" t="s">
        <v>3092</v>
      </c>
    </row>
    <row r="5763" customFormat="false" ht="12.8" hidden="false" customHeight="false" outlineLevel="0" collapsed="false">
      <c r="B5763" s="0" t="s">
        <v>3093</v>
      </c>
      <c r="C5763" s="0" t="s">
        <v>3094</v>
      </c>
      <c r="E5763" s="0" t="s">
        <v>79</v>
      </c>
      <c r="F5763" s="0" t="s">
        <v>3095</v>
      </c>
    </row>
    <row r="5765" customFormat="false" ht="12.8" hidden="false" customHeight="false" outlineLevel="0" collapsed="false">
      <c r="A5765" s="0" t="s">
        <v>3089</v>
      </c>
      <c r="B5765" s="0" t="str">
        <f aca="false">HYPERLINK("https://lindat.mff.cuni.cz/services/teitok/pdtc10/index.php?action=vallex&amp;frame=v-w790f2", "dovolit si (v-w790f2) - substituted with v-w790f3_ZU")</f>
        <v>dovolit si (v-w790f2) - substituted with v-w790f3_ZU</v>
      </c>
    </row>
    <row r="5766" customFormat="false" ht="12.8" hidden="false" customHeight="false" outlineLevel="0" collapsed="false">
      <c r="B5766" s="0" t="s">
        <v>1</v>
      </c>
    </row>
    <row r="5767" customFormat="false" ht="12.8" hidden="false" customHeight="false" outlineLevel="0" collapsed="false">
      <c r="B5767" s="0" t="s">
        <v>3093</v>
      </c>
    </row>
    <row r="5769" customFormat="false" ht="12.8" hidden="false" customHeight="false" outlineLevel="0" collapsed="false">
      <c r="A5769" s="0" t="s">
        <v>3089</v>
      </c>
      <c r="B5769" s="0" t="str">
        <f aca="false">HYPERLINK("https://lindat.mff.cuni.cz/services/teitok/pdtc10/index.php?action=vallex&amp;frame=v-w790hsa_115", "dovolit si (v-w790hsa_115) - substituted with v-w790f3_ZU")</f>
        <v>dovolit si (v-w790hsa_115) - substituted with v-w790f3_ZU</v>
      </c>
    </row>
    <row r="5770" customFormat="false" ht="12.8" hidden="false" customHeight="false" outlineLevel="0" collapsed="false">
      <c r="B5770" s="0" t="s">
        <v>1</v>
      </c>
    </row>
    <row r="5771" customFormat="false" ht="12.8" hidden="false" customHeight="false" outlineLevel="0" collapsed="false">
      <c r="B5771" s="0" t="s">
        <v>3093</v>
      </c>
    </row>
    <row r="5773" customFormat="false" ht="12.8" hidden="false" customHeight="false" outlineLevel="0" collapsed="false">
      <c r="A5773" s="0" t="s">
        <v>3096</v>
      </c>
      <c r="B5773" s="0" t="str">
        <f aca="false">HYPERLINK("https://lindat.mff.cuni.cz/services/teitok/pdtc10/index.php?action=vallex&amp;frame=v-w790f1", "dovolit si (v-w790f1)")</f>
        <v>dovolit si (v-w790f1)</v>
      </c>
    </row>
    <row r="5774" customFormat="false" ht="12.8" hidden="false" customHeight="false" outlineLevel="0" collapsed="false">
      <c r="B5774" s="0" t="s">
        <v>1</v>
      </c>
    </row>
    <row r="5775" customFormat="false" ht="12.8" hidden="false" customHeight="false" outlineLevel="0" collapsed="false">
      <c r="B5775" s="0" t="s">
        <v>8</v>
      </c>
    </row>
    <row r="5777" customFormat="false" ht="12.8" hidden="false" customHeight="false" outlineLevel="0" collapsed="false">
      <c r="A5777" s="0" t="s">
        <v>3097</v>
      </c>
      <c r="B5777" s="0" t="str">
        <f aca="false">HYPERLINK("https://lindat.mff.cuni.cz/services/teitok/pdtc10/index.php?action=vallex&amp;frame=v-w791f1", "dovolovat (v-w791f1)")</f>
        <v>dovolovat (v-w791f1)</v>
      </c>
      <c r="E5777" s="0" t="str">
        <f aca="false">HYPERLINK("https://lindat.mff.cuni.cz/services/SynSemClass40/SynSemClass40.html?veclass=vec00012#vec00012-ces-cm00006", "vec00012")</f>
        <v>vec00012</v>
      </c>
      <c r="F5777" s="0" t="s">
        <v>3078</v>
      </c>
    </row>
    <row r="5778" customFormat="false" ht="12.8" hidden="false" customHeight="false" outlineLevel="0" collapsed="false">
      <c r="B5778" s="0" t="s">
        <v>1</v>
      </c>
      <c r="C5778" s="0" t="s">
        <v>3079</v>
      </c>
      <c r="E5778" s="0" t="s">
        <v>206</v>
      </c>
      <c r="F5778" s="0" t="s">
        <v>3080</v>
      </c>
    </row>
    <row r="5779" customFormat="false" ht="12.8" hidden="false" customHeight="false" outlineLevel="0" collapsed="false">
      <c r="B5779" s="0" t="s">
        <v>3098</v>
      </c>
      <c r="C5779" s="0" t="s">
        <v>3082</v>
      </c>
      <c r="E5779" s="0" t="s">
        <v>3083</v>
      </c>
      <c r="F5779" s="0" t="s">
        <v>3084</v>
      </c>
    </row>
    <row r="5780" customFormat="false" ht="12.8" hidden="false" customHeight="false" outlineLevel="0" collapsed="false">
      <c r="B5780" s="0" t="s">
        <v>52</v>
      </c>
      <c r="C5780" s="0" t="s">
        <v>3085</v>
      </c>
      <c r="E5780" s="0" t="s">
        <v>2287</v>
      </c>
      <c r="F5780" s="0" t="s">
        <v>3086</v>
      </c>
    </row>
    <row r="5782" customFormat="false" ht="12.8" hidden="false" customHeight="false" outlineLevel="0" collapsed="false">
      <c r="A5782" s="0" t="s">
        <v>3099</v>
      </c>
      <c r="B5782" s="0" t="str">
        <f aca="false">HYPERLINK("https://lindat.mff.cuni.cz/services/teitok/pdtc10/index.php?action=vallex&amp;frame=v-w792f1", "dovolovat se (v-w792f1)")</f>
        <v>dovolovat se (v-w792f1)</v>
      </c>
    </row>
    <row r="5783" customFormat="false" ht="12.8" hidden="false" customHeight="false" outlineLevel="0" collapsed="false">
      <c r="B5783" s="0" t="s">
        <v>1</v>
      </c>
    </row>
    <row r="5784" customFormat="false" ht="12.8" hidden="false" customHeight="false" outlineLevel="0" collapsed="false">
      <c r="B5784" s="0" t="s">
        <v>1289</v>
      </c>
    </row>
    <row r="5785" customFormat="false" ht="12.8" hidden="false" customHeight="false" outlineLevel="0" collapsed="false">
      <c r="B5785" s="0" t="s">
        <v>3088</v>
      </c>
    </row>
    <row r="5787" customFormat="false" ht="12.8" hidden="false" customHeight="false" outlineLevel="0" collapsed="false">
      <c r="A5787" s="0" t="s">
        <v>3100</v>
      </c>
      <c r="B5787" s="0" t="str">
        <f aca="false">HYPERLINK("https://lindat.mff.cuni.cz/services/teitok/pdtc10/index.php?action=vallex&amp;frame=v-w793f1", "dovolovat si (v-w793f1)")</f>
        <v>dovolovat si (v-w793f1)</v>
      </c>
      <c r="E5787" s="0" t="str">
        <f aca="false">HYPERLINK("https://lindat.mff.cuni.cz/services/SynSemClass40/SynSemClass40.html?veclass=vec00411#vec00411-ces-cm00004", "vec00411")</f>
        <v>vec00411</v>
      </c>
      <c r="F5787" s="0" t="s">
        <v>3090</v>
      </c>
    </row>
    <row r="5788" customFormat="false" ht="12.8" hidden="false" customHeight="false" outlineLevel="0" collapsed="false">
      <c r="B5788" s="0" t="s">
        <v>1</v>
      </c>
      <c r="C5788" s="0" t="s">
        <v>3091</v>
      </c>
      <c r="E5788" s="0" t="s">
        <v>31</v>
      </c>
      <c r="F5788" s="0" t="s">
        <v>3092</v>
      </c>
    </row>
    <row r="5789" customFormat="false" ht="12.8" hidden="false" customHeight="false" outlineLevel="0" collapsed="false">
      <c r="B5789" s="0" t="s">
        <v>192</v>
      </c>
      <c r="C5789" s="0" t="s">
        <v>3094</v>
      </c>
      <c r="E5789" s="0" t="s">
        <v>79</v>
      </c>
      <c r="F5789" s="0" t="s">
        <v>3095</v>
      </c>
    </row>
    <row r="5791" customFormat="false" ht="12.8" hidden="false" customHeight="false" outlineLevel="0" collapsed="false">
      <c r="A5791" s="0" t="s">
        <v>3101</v>
      </c>
      <c r="B5791" s="0" t="str">
        <f aca="false">HYPERLINK("https://lindat.mff.cuni.cz/services/teitok/pdtc10/index.php?action=vallex&amp;frame=v-w787f1", "dovolávat se (v-w787f1)")</f>
        <v>dovolávat se (v-w787f1)</v>
      </c>
      <c r="E5791" s="0" t="str">
        <f aca="false">HYPERLINK("https://lindat.mff.cuni.cz/services/SynSemClass40/SynSemClass40.html?veclass=vec00272#vec00272-ces-cm00141", "vec00272")</f>
        <v>vec00272</v>
      </c>
      <c r="F5791" s="0" t="s">
        <v>1490</v>
      </c>
    </row>
    <row r="5792" customFormat="false" ht="12.8" hidden="false" customHeight="false" outlineLevel="0" collapsed="false">
      <c r="B5792" s="0" t="s">
        <v>1</v>
      </c>
      <c r="C5792" s="0" t="s">
        <v>1491</v>
      </c>
      <c r="E5792" s="0" t="s">
        <v>1492</v>
      </c>
      <c r="F5792" s="0" t="s">
        <v>1493</v>
      </c>
    </row>
    <row r="5793" customFormat="false" ht="12.8" hidden="false" customHeight="false" outlineLevel="0" collapsed="false">
      <c r="B5793" s="0" t="s">
        <v>1289</v>
      </c>
      <c r="C5793" s="0" t="s">
        <v>1494</v>
      </c>
      <c r="E5793" s="0" t="s">
        <v>1495</v>
      </c>
      <c r="F5793" s="0" t="s">
        <v>1496</v>
      </c>
    </row>
    <row r="5795" customFormat="false" ht="12.8" hidden="false" customHeight="false" outlineLevel="0" collapsed="false">
      <c r="A5795" s="0" t="s">
        <v>3102</v>
      </c>
      <c r="B5795" s="0" t="str">
        <f aca="false">HYPERLINK("https://lindat.mff.cuni.cz/services/teitok/pdtc10/index.php?action=vallex&amp;frame=v-w796f1", "dovozovat (v-w796f1)")</f>
        <v>dovozovat (v-w796f1)</v>
      </c>
    </row>
    <row r="5796" customFormat="false" ht="12.8" hidden="false" customHeight="false" outlineLevel="0" collapsed="false">
      <c r="B5796" s="0" t="s">
        <v>1</v>
      </c>
    </row>
    <row r="5797" customFormat="false" ht="12.8" hidden="false" customHeight="false" outlineLevel="0" collapsed="false">
      <c r="B5797" s="0" t="s">
        <v>59</v>
      </c>
    </row>
    <row r="5798" customFormat="false" ht="12.8" hidden="false" customHeight="false" outlineLevel="0" collapsed="false">
      <c r="B5798" s="0" t="s">
        <v>36</v>
      </c>
    </row>
    <row r="5800" customFormat="false" ht="12.8" hidden="false" customHeight="false" outlineLevel="0" collapsed="false">
      <c r="A5800" s="0" t="s">
        <v>3103</v>
      </c>
      <c r="B5800" s="0" t="str">
        <f aca="false">HYPERLINK("https://lindat.mff.cuni.cz/services/teitok/pdtc10/index.php?action=vallex&amp;frame=v-w798f2", "dovršit (v-w798f2)")</f>
        <v>dovršit (v-w798f2)</v>
      </c>
    </row>
    <row r="5801" customFormat="false" ht="12.8" hidden="false" customHeight="false" outlineLevel="0" collapsed="false">
      <c r="B5801" s="0" t="s">
        <v>1</v>
      </c>
    </row>
    <row r="5802" customFormat="false" ht="12.8" hidden="false" customHeight="false" outlineLevel="0" collapsed="false">
      <c r="B5802" s="0" t="s">
        <v>1289</v>
      </c>
    </row>
    <row r="5804" customFormat="false" ht="12.8" hidden="false" customHeight="false" outlineLevel="0" collapsed="false">
      <c r="A5804" s="0" t="s">
        <v>3104</v>
      </c>
      <c r="B5804" s="0" t="str">
        <f aca="false">HYPERLINK("https://lindat.mff.cuni.cz/services/teitok/pdtc10/index.php?action=vallex&amp;frame=v-w798f1", "dovršit (v-w798f1)")</f>
        <v>dovršit (v-w798f1)</v>
      </c>
      <c r="E5804" s="0" t="str">
        <f aca="false">HYPERLINK("https://lindat.mff.cuni.cz/services/SynSemClass40/SynSemClass40.html?veclass=vec00213#vec00213-ces-cm00005", "vec00213")</f>
        <v>vec00213</v>
      </c>
      <c r="F5804" s="0" t="s">
        <v>2399</v>
      </c>
    </row>
    <row r="5805" customFormat="false" ht="12.8" hidden="false" customHeight="false" outlineLevel="0" collapsed="false">
      <c r="B5805" s="0" t="s">
        <v>1</v>
      </c>
      <c r="C5805" s="0" t="s">
        <v>2400</v>
      </c>
      <c r="E5805" s="0" t="s">
        <v>31</v>
      </c>
      <c r="F5805" s="0" t="s">
        <v>2401</v>
      </c>
    </row>
    <row r="5806" customFormat="false" ht="12.8" hidden="false" customHeight="false" outlineLevel="0" collapsed="false">
      <c r="B5806" s="0" t="s">
        <v>8</v>
      </c>
      <c r="C5806" s="0" t="s">
        <v>2402</v>
      </c>
      <c r="E5806" s="0" t="s">
        <v>2403</v>
      </c>
      <c r="F5806" s="0" t="s">
        <v>2404</v>
      </c>
    </row>
    <row r="5808" customFormat="false" ht="12.8" hidden="false" customHeight="false" outlineLevel="0" collapsed="false">
      <c r="A5808" s="0" t="s">
        <v>3105</v>
      </c>
      <c r="B5808" s="0" t="str">
        <f aca="false">HYPERLINK("https://lindat.mff.cuni.cz/services/teitok/pdtc10/index.php?action=vallex&amp;frame=v-whsa_320f1_ZU", "dovtípit se (v-whsa_320f1_ZU)")</f>
        <v>dovtípit se (v-whsa_320f1_ZU)</v>
      </c>
    </row>
    <row r="5809" customFormat="false" ht="12.8" hidden="false" customHeight="false" outlineLevel="0" collapsed="false">
      <c r="B5809" s="0" t="s">
        <v>1</v>
      </c>
    </row>
    <row r="5810" customFormat="false" ht="12.8" hidden="false" customHeight="false" outlineLevel="0" collapsed="false">
      <c r="B5810" s="0" t="s">
        <v>3106</v>
      </c>
    </row>
    <row r="5812" customFormat="false" ht="12.8" hidden="false" customHeight="false" outlineLevel="0" collapsed="false">
      <c r="A5812" s="0" t="s">
        <v>3105</v>
      </c>
      <c r="B5812" s="0" t="str">
        <f aca="false">HYPERLINK("https://lindat.mff.cuni.cz/services/teitok/pdtc10/index.php?action=vallex&amp;frame=v-whsa_320hsa_321", "dovtípit se (v-whsa_320hsa_321) - substituted with v-whsa_320f1_ZU")</f>
        <v>dovtípit se (v-whsa_320hsa_321) - substituted with v-whsa_320f1_ZU</v>
      </c>
    </row>
    <row r="5813" customFormat="false" ht="12.8" hidden="false" customHeight="false" outlineLevel="0" collapsed="false">
      <c r="B5813" s="0" t="s">
        <v>1</v>
      </c>
    </row>
    <row r="5814" customFormat="false" ht="12.8" hidden="false" customHeight="false" outlineLevel="0" collapsed="false">
      <c r="B5814" s="0" t="s">
        <v>3106</v>
      </c>
    </row>
    <row r="5816" customFormat="false" ht="12.8" hidden="false" customHeight="false" outlineLevel="0" collapsed="false">
      <c r="A5816" s="0" t="s">
        <v>3107</v>
      </c>
      <c r="B5816" s="0" t="str">
        <f aca="false">HYPERLINK("https://lindat.mff.cuni.cz/services/teitok/pdtc10/index.php?action=vallex&amp;frame=v-w12342_MMf1_MM", "dovyprávět (v-w12342_MMf1_MM)")</f>
        <v>dovyprávět (v-w12342_MMf1_MM)</v>
      </c>
    </row>
    <row r="5817" customFormat="false" ht="12.8" hidden="false" customHeight="false" outlineLevel="0" collapsed="false">
      <c r="B5817" s="0" t="s">
        <v>1</v>
      </c>
    </row>
    <row r="5818" customFormat="false" ht="12.8" hidden="false" customHeight="false" outlineLevel="0" collapsed="false">
      <c r="B5818" s="0" t="s">
        <v>52</v>
      </c>
    </row>
    <row r="5819" customFormat="false" ht="12.8" hidden="false" customHeight="false" outlineLevel="0" collapsed="false">
      <c r="B5819" s="0" t="s">
        <v>2382</v>
      </c>
    </row>
    <row r="5820" customFormat="false" ht="12.8" hidden="false" customHeight="false" outlineLevel="0" collapsed="false">
      <c r="B5820" s="0" t="s">
        <v>496</v>
      </c>
    </row>
    <row r="5822" customFormat="false" ht="12.8" hidden="false" customHeight="false" outlineLevel="0" collapsed="false">
      <c r="A5822" s="0" t="s">
        <v>3108</v>
      </c>
      <c r="B5822" s="0" t="str">
        <f aca="false">HYPERLINK("https://lindat.mff.cuni.cz/services/teitok/pdtc10/index.php?action=vallex&amp;frame=v-whsa_459hsa_460", "dovádět (v-whsa_459hsa_460)")</f>
        <v>dovádět (v-whsa_459hsa_460)</v>
      </c>
    </row>
    <row r="5823" customFormat="false" ht="12.8" hidden="false" customHeight="false" outlineLevel="0" collapsed="false">
      <c r="B5823" s="0" t="s">
        <v>1</v>
      </c>
    </row>
    <row r="5825" customFormat="false" ht="12.8" hidden="false" customHeight="false" outlineLevel="0" collapsed="false">
      <c r="A5825" s="0" t="s">
        <v>3109</v>
      </c>
      <c r="B5825" s="0" t="str">
        <f aca="false">HYPERLINK("https://lindat.mff.cuni.cz/services/teitok/pdtc10/index.php?action=vallex&amp;frame=v-whsa_459f1_ZU", "dovádět (v-whsa_459f1_ZU)")</f>
        <v>dovádět (v-whsa_459f1_ZU)</v>
      </c>
    </row>
    <row r="5826" customFormat="false" ht="12.8" hidden="false" customHeight="false" outlineLevel="0" collapsed="false">
      <c r="B5826" s="0" t="s">
        <v>1</v>
      </c>
    </row>
    <row r="5827" customFormat="false" ht="12.8" hidden="false" customHeight="false" outlineLevel="0" collapsed="false">
      <c r="B5827" s="0" t="s">
        <v>8</v>
      </c>
    </row>
    <row r="5828" customFormat="false" ht="12.8" hidden="false" customHeight="false" outlineLevel="0" collapsed="false">
      <c r="B5828" s="0" t="s">
        <v>164</v>
      </c>
    </row>
    <row r="5830" customFormat="false" ht="12.8" hidden="false" customHeight="false" outlineLevel="0" collapsed="false">
      <c r="A5830" s="0" t="s">
        <v>3110</v>
      </c>
      <c r="B5830" s="0" t="str">
        <f aca="false">HYPERLINK("https://lindat.mff.cuni.cz/services/teitok/pdtc10/index.php?action=vallex&amp;frame=v-w777f2", "dovážet (v-w777f2)")</f>
        <v>dovážet (v-w777f2)</v>
      </c>
      <c r="E5830" s="0" t="str">
        <f aca="false">HYPERLINK("https://lindat.mff.cuni.cz/services/SynSemClass40/SynSemClass40.html?veclass=vec00011#vec00011-ces-cm00003", "vec00011")</f>
        <v>vec00011</v>
      </c>
      <c r="F5830" s="0" t="s">
        <v>2193</v>
      </c>
    </row>
    <row r="5831" customFormat="false" ht="12.8" hidden="false" customHeight="false" outlineLevel="0" collapsed="false">
      <c r="B5831" s="0" t="s">
        <v>1</v>
      </c>
      <c r="C5831" s="0" t="s">
        <v>2209</v>
      </c>
      <c r="E5831" s="0" t="s">
        <v>2196</v>
      </c>
      <c r="F5831" s="0" t="s">
        <v>2197</v>
      </c>
    </row>
    <row r="5832" customFormat="false" ht="12.8" hidden="false" customHeight="false" outlineLevel="0" collapsed="false">
      <c r="B5832" s="0" t="s">
        <v>8</v>
      </c>
      <c r="C5832" s="0" t="s">
        <v>2210</v>
      </c>
      <c r="E5832" s="0" t="s">
        <v>2200</v>
      </c>
      <c r="F5832" s="0" t="s">
        <v>2201</v>
      </c>
    </row>
    <row r="5833" customFormat="false" ht="12.8" hidden="false" customHeight="false" outlineLevel="0" collapsed="false">
      <c r="B5833" s="0" t="s">
        <v>52</v>
      </c>
      <c r="C5833" s="0" t="s">
        <v>2511</v>
      </c>
      <c r="E5833" s="0" t="s">
        <v>53</v>
      </c>
      <c r="F5833" s="0" t="s">
        <v>2204</v>
      </c>
    </row>
    <row r="5835" customFormat="false" ht="12.8" hidden="false" customHeight="false" outlineLevel="0" collapsed="false">
      <c r="A5835" s="0" t="s">
        <v>3111</v>
      </c>
      <c r="B5835" s="0" t="str">
        <f aca="false">HYPERLINK("https://lindat.mff.cuni.cz/services/teitok/pdtc10/index.php?action=vallex&amp;frame=v-w777f1", "dovážet (v-w777f1)")</f>
        <v>dovážet (v-w777f1)</v>
      </c>
      <c r="E5835" s="0" t="str">
        <f aca="false">HYPERLINK("https://lindat.mff.cuni.cz/services/SynSemClass40/SynSemClass40.html?veclass=vec00011#vec00011-ces-cm00002", "vec00011")</f>
        <v>vec00011</v>
      </c>
      <c r="F5835" s="0" t="s">
        <v>2193</v>
      </c>
    </row>
    <row r="5836" customFormat="false" ht="12.8" hidden="false" customHeight="false" outlineLevel="0" collapsed="false">
      <c r="B5836" s="0" t="s">
        <v>1</v>
      </c>
      <c r="C5836" s="0" t="s">
        <v>2209</v>
      </c>
      <c r="E5836" s="0" t="s">
        <v>2196</v>
      </c>
      <c r="F5836" s="0" t="s">
        <v>2197</v>
      </c>
    </row>
    <row r="5837" customFormat="false" ht="12.8" hidden="false" customHeight="false" outlineLevel="0" collapsed="false">
      <c r="B5837" s="0" t="s">
        <v>8</v>
      </c>
      <c r="C5837" s="0" t="s">
        <v>2210</v>
      </c>
      <c r="E5837" s="0" t="s">
        <v>2200</v>
      </c>
      <c r="F5837" s="0" t="s">
        <v>2201</v>
      </c>
    </row>
    <row r="5838" customFormat="false" ht="12.8" hidden="false" customHeight="false" outlineLevel="0" collapsed="false">
      <c r="B5838" s="0" t="s">
        <v>164</v>
      </c>
      <c r="C5838" s="0" t="s">
        <v>2211</v>
      </c>
      <c r="E5838" s="0" t="s">
        <v>2212</v>
      </c>
      <c r="F5838" s="0" t="s">
        <v>2213</v>
      </c>
    </row>
    <row r="5840" customFormat="false" ht="12.8" hidden="false" customHeight="false" outlineLevel="0" collapsed="false">
      <c r="A5840" s="0" t="s">
        <v>3112</v>
      </c>
      <c r="B5840" s="0" t="str">
        <f aca="false">HYPERLINK("https://lindat.mff.cuni.cz/services/teitok/pdtc10/index.php?action=vallex&amp;frame=v-w778f1", "dovážit (v-w778f1)")</f>
        <v>dovážit (v-w778f1)</v>
      </c>
    </row>
    <row r="5841" customFormat="false" ht="12.8" hidden="false" customHeight="false" outlineLevel="0" collapsed="false">
      <c r="B5841" s="0" t="s">
        <v>1</v>
      </c>
    </row>
    <row r="5842" customFormat="false" ht="12.8" hidden="false" customHeight="false" outlineLevel="0" collapsed="false">
      <c r="B5842" s="0" t="s">
        <v>8</v>
      </c>
    </row>
    <row r="5844" customFormat="false" ht="12.8" hidden="false" customHeight="false" outlineLevel="0" collapsed="false">
      <c r="A5844" s="0" t="s">
        <v>3113</v>
      </c>
      <c r="B5844" s="0" t="str">
        <f aca="false">HYPERLINK("https://lindat.mff.cuni.cz/services/teitok/pdtc10/index.php?action=vallex&amp;frame=v-w782f1", "dovést (v-w782f1)")</f>
        <v>dovést (v-w782f1)</v>
      </c>
      <c r="E5844" s="0" t="str">
        <f aca="false">HYPERLINK("https://lindat.mff.cuni.cz/services/SynSemClass40/SynSemClass40.html?veclass=vec00812#vec00812-ces-cm00001", "vec00812")</f>
        <v>vec00812</v>
      </c>
      <c r="F5844" s="0" t="s">
        <v>2822</v>
      </c>
    </row>
    <row r="5845" customFormat="false" ht="12.8" hidden="false" customHeight="false" outlineLevel="0" collapsed="false">
      <c r="B5845" s="0" t="s">
        <v>1</v>
      </c>
      <c r="C5845" s="0" t="s">
        <v>2823</v>
      </c>
      <c r="E5845" s="0" t="s">
        <v>1103</v>
      </c>
      <c r="F5845" s="0" t="s">
        <v>2824</v>
      </c>
    </row>
    <row r="5846" customFormat="false" ht="12.8" hidden="false" customHeight="false" outlineLevel="0" collapsed="false">
      <c r="B5846" s="0" t="s">
        <v>8</v>
      </c>
      <c r="C5846" s="0" t="s">
        <v>2372</v>
      </c>
      <c r="E5846" s="0" t="s">
        <v>142</v>
      </c>
      <c r="F5846" s="0" t="s">
        <v>2825</v>
      </c>
    </row>
    <row r="5847" customFormat="false" ht="12.8" hidden="false" customHeight="false" outlineLevel="0" collapsed="false">
      <c r="B5847" s="0" t="s">
        <v>361</v>
      </c>
      <c r="C5847" s="0" t="s">
        <v>2826</v>
      </c>
      <c r="E5847" s="0" t="s">
        <v>3114</v>
      </c>
      <c r="F5847" s="0" t="s">
        <v>3115</v>
      </c>
    </row>
    <row r="5849" customFormat="false" ht="12.8" hidden="false" customHeight="false" outlineLevel="0" collapsed="false">
      <c r="A5849" s="0" t="s">
        <v>3116</v>
      </c>
      <c r="B5849" s="0" t="str">
        <f aca="false">HYPERLINK("https://lindat.mff.cuni.cz/services/teitok/pdtc10/index.php?action=vallex&amp;frame=v-w782f2", "dovést (v-w782f2)")</f>
        <v>dovést (v-w782f2)</v>
      </c>
      <c r="E5849" s="0" t="str">
        <f aca="false">HYPERLINK("https://lindat.mff.cuni.cz/services/SynSemClass40/SynSemClass40.html?veclass=vec01377#vec01377-ces-cm00001", "vec01377")</f>
        <v>vec01377</v>
      </c>
      <c r="F5849" s="0" t="s">
        <v>2643</v>
      </c>
      <c r="H5849" s="0" t="str">
        <f aca="false">HYPERLINK("https://lindat.mff.cuni.cz/services/SynSemClass40/SynSemClass40.html?veclass=vec01394#vec01394-ces-cm00004", "vec01394")</f>
        <v>vec01394</v>
      </c>
      <c r="I5849" s="0" t="s">
        <v>2660</v>
      </c>
    </row>
    <row r="5850" customFormat="false" ht="12.8" hidden="false" customHeight="false" outlineLevel="0" collapsed="false">
      <c r="B5850" s="0" t="s">
        <v>1</v>
      </c>
      <c r="C5850" s="0" t="s">
        <v>2514</v>
      </c>
      <c r="E5850" s="0" t="s">
        <v>2645</v>
      </c>
      <c r="F5850" s="0" t="s">
        <v>2646</v>
      </c>
      <c r="H5850" s="0" t="s">
        <v>2241</v>
      </c>
      <c r="I5850" s="0" t="s">
        <v>2663</v>
      </c>
    </row>
    <row r="5851" customFormat="false" ht="12.8" hidden="false" customHeight="false" outlineLevel="0" collapsed="false">
      <c r="B5851" s="0" t="s">
        <v>8</v>
      </c>
      <c r="C5851" s="0" t="s">
        <v>3117</v>
      </c>
      <c r="E5851" s="0" t="s">
        <v>2648</v>
      </c>
      <c r="F5851" s="0" t="s">
        <v>2649</v>
      </c>
      <c r="H5851" s="0" t="s">
        <v>2665</v>
      </c>
      <c r="I5851" s="0" t="s">
        <v>2667</v>
      </c>
    </row>
    <row r="5852" customFormat="false" ht="12.8" hidden="false" customHeight="false" outlineLevel="0" collapsed="false">
      <c r="B5852" s="0" t="s">
        <v>164</v>
      </c>
      <c r="C5852" s="0" t="s">
        <v>2211</v>
      </c>
      <c r="E5852" s="0" t="s">
        <v>370</v>
      </c>
      <c r="F5852" s="0" t="s">
        <v>2652</v>
      </c>
      <c r="H5852" s="0" t="s">
        <v>2365</v>
      </c>
      <c r="I5852" s="0" t="s">
        <v>3118</v>
      </c>
    </row>
    <row r="5854" customFormat="false" ht="12.8" hidden="false" customHeight="false" outlineLevel="0" collapsed="false">
      <c r="A5854" s="0" t="s">
        <v>3119</v>
      </c>
      <c r="B5854" s="0" t="str">
        <f aca="false">HYPERLINK("https://lindat.mff.cuni.cz/services/teitok/pdtc10/index.php?action=vallex&amp;frame=v-w782f3", "dovést (v-w782f3)")</f>
        <v>dovést (v-w782f3)</v>
      </c>
      <c r="E5854" s="0" t="str">
        <f aca="false">HYPERLINK("https://lindat.mff.cuni.cz/services/SynSemClass40/SynSemClass40.html?veclass=vec01455#vec01455-ces-cm00004", "vec01455")</f>
        <v>vec01455</v>
      </c>
      <c r="F5854" s="0" t="s">
        <v>888</v>
      </c>
    </row>
    <row r="5855" customFormat="false" ht="12.8" hidden="false" customHeight="false" outlineLevel="0" collapsed="false">
      <c r="B5855" s="0" t="s">
        <v>1</v>
      </c>
      <c r="C5855" s="0" t="s">
        <v>889</v>
      </c>
      <c r="E5855" s="0" t="s">
        <v>11</v>
      </c>
      <c r="F5855" s="0" t="s">
        <v>890</v>
      </c>
    </row>
    <row r="5856" customFormat="false" ht="12.8" hidden="false" customHeight="false" outlineLevel="0" collapsed="false">
      <c r="B5856" s="0" t="s">
        <v>402</v>
      </c>
      <c r="C5856" s="0" t="s">
        <v>892</v>
      </c>
      <c r="E5856" s="0" t="s">
        <v>893</v>
      </c>
      <c r="F5856" s="0" t="s">
        <v>894</v>
      </c>
    </row>
    <row r="5858" customFormat="false" ht="12.8" hidden="false" customHeight="false" outlineLevel="0" collapsed="false">
      <c r="A5858" s="0" t="s">
        <v>3120</v>
      </c>
      <c r="B5858" s="0" t="str">
        <f aca="false">HYPERLINK("https://lindat.mff.cuni.cz/services/teitok/pdtc10/index.php?action=vallex&amp;frame=v-w782f4_ZU", "dovést (v-w782f4_ZU)")</f>
        <v>dovést (v-w782f4_ZU)</v>
      </c>
    </row>
    <row r="5859" customFormat="false" ht="12.8" hidden="false" customHeight="false" outlineLevel="0" collapsed="false">
      <c r="B5859" s="0" t="s">
        <v>1</v>
      </c>
    </row>
    <row r="5860" customFormat="false" ht="12.8" hidden="false" customHeight="false" outlineLevel="0" collapsed="false">
      <c r="B5860" s="0" t="s">
        <v>311</v>
      </c>
    </row>
    <row r="5861" customFormat="false" ht="12.8" hidden="false" customHeight="false" outlineLevel="0" collapsed="false">
      <c r="B5861" s="0" t="s">
        <v>98</v>
      </c>
    </row>
    <row r="5863" customFormat="false" ht="12.8" hidden="false" customHeight="false" outlineLevel="0" collapsed="false">
      <c r="A5863" s="0" t="s">
        <v>3121</v>
      </c>
      <c r="B5863" s="0" t="str">
        <f aca="false">HYPERLINK("https://lindat.mff.cuni.cz/services/teitok/pdtc10/index.php?action=vallex&amp;frame=v-w783f2", "dovézt (v-w783f2)")</f>
        <v>dovézt (v-w783f2)</v>
      </c>
      <c r="E5863" s="0" t="str">
        <f aca="false">HYPERLINK("https://lindat.mff.cuni.cz/services/SynSemClass40/SynSemClass40.html?veclass=vec00011#vec00011-ces-cm00014", "vec00011")</f>
        <v>vec00011</v>
      </c>
      <c r="F5863" s="0" t="s">
        <v>2193</v>
      </c>
    </row>
    <row r="5864" customFormat="false" ht="12.8" hidden="false" customHeight="false" outlineLevel="0" collapsed="false">
      <c r="B5864" s="0" t="s">
        <v>1</v>
      </c>
      <c r="C5864" s="0" t="s">
        <v>2209</v>
      </c>
      <c r="E5864" s="0" t="s">
        <v>2196</v>
      </c>
      <c r="F5864" s="0" t="s">
        <v>2197</v>
      </c>
    </row>
    <row r="5865" customFormat="false" ht="12.8" hidden="false" customHeight="false" outlineLevel="0" collapsed="false">
      <c r="B5865" s="0" t="s">
        <v>8</v>
      </c>
      <c r="C5865" s="0" t="s">
        <v>2210</v>
      </c>
      <c r="E5865" s="0" t="s">
        <v>2200</v>
      </c>
      <c r="F5865" s="0" t="s">
        <v>2201</v>
      </c>
    </row>
    <row r="5866" customFormat="false" ht="12.8" hidden="false" customHeight="false" outlineLevel="0" collapsed="false">
      <c r="B5866" s="0" t="s">
        <v>52</v>
      </c>
      <c r="C5866" s="0" t="s">
        <v>2511</v>
      </c>
      <c r="E5866" s="0" t="s">
        <v>53</v>
      </c>
      <c r="F5866" s="0" t="s">
        <v>2204</v>
      </c>
    </row>
    <row r="5868" customFormat="false" ht="12.8" hidden="false" customHeight="false" outlineLevel="0" collapsed="false">
      <c r="A5868" s="0" t="s">
        <v>3122</v>
      </c>
      <c r="B5868" s="0" t="str">
        <f aca="false">HYPERLINK("https://lindat.mff.cuni.cz/services/teitok/pdtc10/index.php?action=vallex&amp;frame=v-w783f1", "dovézt (v-w783f1)")</f>
        <v>dovézt (v-w783f1)</v>
      </c>
      <c r="E5868" s="0" t="str">
        <f aca="false">HYPERLINK("https://lindat.mff.cuni.cz/services/SynSemClass40/SynSemClass40.html?veclass=vec00011#vec00011-ces-cm00001", "vec00011")</f>
        <v>vec00011</v>
      </c>
      <c r="F5868" s="0" t="s">
        <v>2193</v>
      </c>
      <c r="H5868" s="0" t="str">
        <f aca="false">HYPERLINK("https://lindat.mff.cuni.cz/services/SynSemClass40/SynSemClass40.html?veclass=vec01377#vec01377-ces-cm00015", "vec01377")</f>
        <v>vec01377</v>
      </c>
      <c r="I5868" s="0" t="s">
        <v>2643</v>
      </c>
    </row>
    <row r="5869" customFormat="false" ht="12.8" hidden="false" customHeight="false" outlineLevel="0" collapsed="false">
      <c r="B5869" s="0" t="s">
        <v>1</v>
      </c>
      <c r="C5869" s="0" t="s">
        <v>2707</v>
      </c>
      <c r="E5869" s="0" t="s">
        <v>2196</v>
      </c>
      <c r="F5869" s="0" t="s">
        <v>2197</v>
      </c>
      <c r="H5869" s="0" t="s">
        <v>2645</v>
      </c>
      <c r="I5869" s="0" t="s">
        <v>2646</v>
      </c>
    </row>
    <row r="5870" customFormat="false" ht="12.8" hidden="false" customHeight="false" outlineLevel="0" collapsed="false">
      <c r="B5870" s="0" t="s">
        <v>8</v>
      </c>
      <c r="C5870" s="0" t="s">
        <v>2708</v>
      </c>
      <c r="E5870" s="0" t="s">
        <v>2200</v>
      </c>
      <c r="F5870" s="0" t="s">
        <v>2201</v>
      </c>
      <c r="H5870" s="0" t="s">
        <v>2648</v>
      </c>
      <c r="I5870" s="0" t="s">
        <v>2649</v>
      </c>
    </row>
    <row r="5871" customFormat="false" ht="12.8" hidden="false" customHeight="false" outlineLevel="0" collapsed="false">
      <c r="B5871" s="0" t="s">
        <v>164</v>
      </c>
      <c r="C5871" s="0" t="s">
        <v>2709</v>
      </c>
      <c r="E5871" s="0" t="s">
        <v>2212</v>
      </c>
      <c r="F5871" s="0" t="s">
        <v>2213</v>
      </c>
      <c r="H5871" s="0" t="s">
        <v>370</v>
      </c>
      <c r="I5871" s="0" t="s">
        <v>2652</v>
      </c>
    </row>
    <row r="5873" customFormat="false" ht="12.8" hidden="false" customHeight="false" outlineLevel="0" collapsed="false">
      <c r="A5873" s="0" t="s">
        <v>3123</v>
      </c>
      <c r="B5873" s="0" t="str">
        <f aca="false">HYPERLINK("https://lindat.mff.cuni.cz/services/teitok/pdtc10/index.php?action=vallex&amp;frame=v-w784f2", "dovídat se (v-w784f2)")</f>
        <v>dovídat se (v-w784f2)</v>
      </c>
      <c r="E5873" s="0" t="str">
        <f aca="false">HYPERLINK("https://lindat.mff.cuni.cz/services/SynSemClass40/SynSemClass40.html?veclass=vec00013#vec00013-ces-cm00269", "vec00013")</f>
        <v>vec00013</v>
      </c>
      <c r="F5873" s="0" t="s">
        <v>2742</v>
      </c>
    </row>
    <row r="5874" customFormat="false" ht="12.8" hidden="false" customHeight="false" outlineLevel="0" collapsed="false">
      <c r="B5874" s="0" t="s">
        <v>1</v>
      </c>
      <c r="C5874" s="0" t="s">
        <v>2743</v>
      </c>
      <c r="E5874" s="0" t="s">
        <v>621</v>
      </c>
      <c r="F5874" s="0" t="s">
        <v>2744</v>
      </c>
    </row>
    <row r="5875" customFormat="false" ht="12.8" hidden="false" customHeight="false" outlineLevel="0" collapsed="false">
      <c r="B5875" s="0" t="s">
        <v>2739</v>
      </c>
      <c r="C5875" s="0" t="s">
        <v>2748</v>
      </c>
      <c r="E5875" s="0" t="s">
        <v>218</v>
      </c>
      <c r="F5875" s="0" t="s">
        <v>2749</v>
      </c>
    </row>
    <row r="5876" customFormat="false" ht="12.8" hidden="false" customHeight="false" outlineLevel="0" collapsed="false">
      <c r="B5876" s="0" t="s">
        <v>602</v>
      </c>
      <c r="C5876" s="0" t="s">
        <v>2750</v>
      </c>
      <c r="E5876" s="0" t="s">
        <v>2176</v>
      </c>
      <c r="F5876" s="0" t="s">
        <v>2751</v>
      </c>
    </row>
    <row r="5878" customFormat="false" ht="12.8" hidden="false" customHeight="false" outlineLevel="0" collapsed="false">
      <c r="A5878" s="0" t="s">
        <v>3124</v>
      </c>
      <c r="B5878" s="0" t="str">
        <f aca="false">HYPERLINK("https://lindat.mff.cuni.cz/services/teitok/pdtc10/index.php?action=vallex&amp;frame=v-w784f1", "dovídat se (v-w784f1)")</f>
        <v>dovídat se (v-w784f1)</v>
      </c>
      <c r="E5878" s="0" t="str">
        <f aca="false">HYPERLINK("https://lindat.mff.cuni.cz/services/SynSemClass40/SynSemClass40.html?veclass=vec00013#vec00013-ces-cm00025", "vec00013")</f>
        <v>vec00013</v>
      </c>
      <c r="F5878" s="0" t="s">
        <v>2742</v>
      </c>
    </row>
    <row r="5879" customFormat="false" ht="12.8" hidden="false" customHeight="false" outlineLevel="0" collapsed="false">
      <c r="B5879" s="0" t="s">
        <v>1</v>
      </c>
      <c r="C5879" s="0" t="s">
        <v>2743</v>
      </c>
      <c r="E5879" s="0" t="s">
        <v>621</v>
      </c>
      <c r="F5879" s="0" t="s">
        <v>2744</v>
      </c>
    </row>
    <row r="5880" customFormat="false" ht="12.8" hidden="false" customHeight="false" outlineLevel="0" collapsed="false">
      <c r="B5880" s="0" t="s">
        <v>2745</v>
      </c>
      <c r="C5880" s="0" t="s">
        <v>2746</v>
      </c>
      <c r="E5880" s="0" t="s">
        <v>2217</v>
      </c>
      <c r="F5880" s="0" t="s">
        <v>2747</v>
      </c>
    </row>
    <row r="5881" customFormat="false" ht="12.8" hidden="false" customHeight="false" outlineLevel="0" collapsed="false">
      <c r="B5881" s="0" t="s">
        <v>496</v>
      </c>
      <c r="C5881" s="0" t="s">
        <v>2748</v>
      </c>
      <c r="E5881" s="0" t="s">
        <v>218</v>
      </c>
      <c r="F5881" s="0" t="s">
        <v>2749</v>
      </c>
    </row>
    <row r="5882" customFormat="false" ht="12.8" hidden="false" customHeight="false" outlineLevel="0" collapsed="false">
      <c r="B5882" s="0" t="s">
        <v>602</v>
      </c>
      <c r="C5882" s="0" t="s">
        <v>2750</v>
      </c>
      <c r="E5882" s="0" t="s">
        <v>2176</v>
      </c>
      <c r="F5882" s="0" t="s">
        <v>2751</v>
      </c>
    </row>
    <row r="5884" customFormat="false" ht="12.8" hidden="false" customHeight="false" outlineLevel="0" collapsed="false">
      <c r="A5884" s="0" t="s">
        <v>3125</v>
      </c>
      <c r="B5884" s="0" t="str">
        <f aca="false">HYPERLINK("https://lindat.mff.cuni.cz/services/teitok/pdtc10/index.php?action=vallex&amp;frame=v-w780f2", "dovědět se (v-w780f2)")</f>
        <v>dovědět se (v-w780f2)</v>
      </c>
      <c r="E5884" s="0" t="str">
        <f aca="false">HYPERLINK("https://lindat.mff.cuni.cz/services/SynSemClass40/SynSemClass40.html?veclass=vec00013#vec00013-ces-cm00024", "vec00013")</f>
        <v>vec00013</v>
      </c>
      <c r="F5884" s="0" t="s">
        <v>2742</v>
      </c>
    </row>
    <row r="5885" customFormat="false" ht="12.8" hidden="false" customHeight="false" outlineLevel="0" collapsed="false">
      <c r="B5885" s="0" t="s">
        <v>1</v>
      </c>
      <c r="C5885" s="0" t="s">
        <v>2743</v>
      </c>
      <c r="E5885" s="0" t="s">
        <v>621</v>
      </c>
      <c r="F5885" s="0" t="s">
        <v>2744</v>
      </c>
    </row>
    <row r="5886" customFormat="false" ht="12.8" hidden="false" customHeight="false" outlineLevel="0" collapsed="false">
      <c r="B5886" s="0" t="s">
        <v>2739</v>
      </c>
      <c r="C5886" s="0" t="s">
        <v>2748</v>
      </c>
      <c r="E5886" s="0" t="s">
        <v>218</v>
      </c>
      <c r="F5886" s="0" t="s">
        <v>2749</v>
      </c>
    </row>
    <row r="5887" customFormat="false" ht="12.8" hidden="false" customHeight="false" outlineLevel="0" collapsed="false">
      <c r="B5887" s="0" t="s">
        <v>1633</v>
      </c>
      <c r="C5887" s="0" t="s">
        <v>2750</v>
      </c>
      <c r="E5887" s="0" t="s">
        <v>2176</v>
      </c>
      <c r="F5887" s="0" t="s">
        <v>2751</v>
      </c>
    </row>
    <row r="5889" customFormat="false" ht="12.8" hidden="false" customHeight="false" outlineLevel="0" collapsed="false">
      <c r="A5889" s="0" t="s">
        <v>3126</v>
      </c>
      <c r="B5889" s="0" t="str">
        <f aca="false">HYPERLINK("https://lindat.mff.cuni.cz/services/teitok/pdtc10/index.php?action=vallex&amp;frame=v-w780f1", "dovědět se (v-w780f1)")</f>
        <v>dovědět se (v-w780f1)</v>
      </c>
      <c r="E5889" s="0" t="str">
        <f aca="false">HYPERLINK("https://lindat.mff.cuni.cz/services/SynSemClass40/SynSemClass40.html?veclass=vec00013#vec00013-ces-cm00023", "vec00013")</f>
        <v>vec00013</v>
      </c>
      <c r="F5889" s="0" t="s">
        <v>2742</v>
      </c>
    </row>
    <row r="5890" customFormat="false" ht="12.8" hidden="false" customHeight="false" outlineLevel="0" collapsed="false">
      <c r="B5890" s="0" t="s">
        <v>1</v>
      </c>
      <c r="C5890" s="0" t="s">
        <v>2743</v>
      </c>
      <c r="E5890" s="0" t="s">
        <v>621</v>
      </c>
      <c r="F5890" s="0" t="s">
        <v>2744</v>
      </c>
    </row>
    <row r="5891" customFormat="false" ht="12.8" hidden="false" customHeight="false" outlineLevel="0" collapsed="false">
      <c r="B5891" s="0" t="s">
        <v>2745</v>
      </c>
      <c r="C5891" s="0" t="s">
        <v>2746</v>
      </c>
      <c r="E5891" s="0" t="s">
        <v>2217</v>
      </c>
      <c r="F5891" s="0" t="s">
        <v>2747</v>
      </c>
    </row>
    <row r="5892" customFormat="false" ht="12.8" hidden="false" customHeight="false" outlineLevel="0" collapsed="false">
      <c r="B5892" s="0" t="s">
        <v>496</v>
      </c>
      <c r="C5892" s="0" t="s">
        <v>2748</v>
      </c>
      <c r="E5892" s="0" t="s">
        <v>218</v>
      </c>
      <c r="F5892" s="0" t="s">
        <v>2749</v>
      </c>
    </row>
    <row r="5893" customFormat="false" ht="12.8" hidden="false" customHeight="false" outlineLevel="0" collapsed="false">
      <c r="B5893" s="0" t="s">
        <v>1633</v>
      </c>
      <c r="C5893" s="0" t="s">
        <v>2750</v>
      </c>
      <c r="E5893" s="0" t="s">
        <v>2176</v>
      </c>
      <c r="F5893" s="0" t="s">
        <v>2751</v>
      </c>
    </row>
    <row r="5895" customFormat="false" ht="12.8" hidden="false" customHeight="false" outlineLevel="0" collapsed="false">
      <c r="A5895" s="0" t="s">
        <v>3127</v>
      </c>
      <c r="B5895" s="0" t="str">
        <f aca="false">HYPERLINK("https://lindat.mff.cuni.cz/services/teitok/pdtc10/index.php?action=vallex&amp;frame=v-w11923_ZUf1_ZU", "dozdívat (v-w11923_ZUf1_ZU)")</f>
        <v>dozdívat (v-w11923_ZUf1_ZU)</v>
      </c>
    </row>
    <row r="5896" customFormat="false" ht="12.8" hidden="false" customHeight="false" outlineLevel="0" collapsed="false">
      <c r="B5896" s="0" t="s">
        <v>1</v>
      </c>
    </row>
    <row r="5897" customFormat="false" ht="12.8" hidden="false" customHeight="false" outlineLevel="0" collapsed="false">
      <c r="B5897" s="0" t="s">
        <v>8</v>
      </c>
    </row>
    <row r="5899" customFormat="false" ht="12.8" hidden="false" customHeight="false" outlineLevel="0" collapsed="false">
      <c r="A5899" s="0" t="s">
        <v>3128</v>
      </c>
      <c r="B5899" s="0" t="str">
        <f aca="false">HYPERLINK("https://lindat.mff.cuni.cz/services/teitok/pdtc10/index.php?action=vallex&amp;frame=v-w801f1", "doznat (v-w801f1)")</f>
        <v>doznat (v-w801f1)</v>
      </c>
    </row>
    <row r="5900" customFormat="false" ht="12.8" hidden="false" customHeight="false" outlineLevel="0" collapsed="false">
      <c r="B5900" s="0" t="s">
        <v>1</v>
      </c>
    </row>
    <row r="5901" customFormat="false" ht="12.8" hidden="false" customHeight="false" outlineLevel="0" collapsed="false">
      <c r="B5901" s="0" t="s">
        <v>1356</v>
      </c>
    </row>
    <row r="5903" customFormat="false" ht="12.8" hidden="false" customHeight="false" outlineLevel="0" collapsed="false">
      <c r="A5903" s="0" t="s">
        <v>3129</v>
      </c>
      <c r="B5903" s="0" t="str">
        <f aca="false">HYPERLINK("https://lindat.mff.cuni.cz/services/teitok/pdtc10/index.php?action=vallex&amp;frame=v-w802f1", "doznat se (v-w802f1)")</f>
        <v>doznat se (v-w802f1)</v>
      </c>
      <c r="E5903" s="0" t="str">
        <f aca="false">HYPERLINK("https://lindat.mff.cuni.cz/services/SynSemClass40/SynSemClass40.html?veclass=vec00503#vec00503-ces-cm00003", "vec00503")</f>
        <v>vec00503</v>
      </c>
      <c r="F5903" s="0" t="s">
        <v>3130</v>
      </c>
    </row>
    <row r="5904" customFormat="false" ht="12.8" hidden="false" customHeight="false" outlineLevel="0" collapsed="false">
      <c r="B5904" s="0" t="s">
        <v>1</v>
      </c>
      <c r="C5904" s="0" t="s">
        <v>2986</v>
      </c>
      <c r="E5904" s="0" t="s">
        <v>11</v>
      </c>
      <c r="F5904" s="0" t="s">
        <v>3131</v>
      </c>
    </row>
    <row r="5905" customFormat="false" ht="12.8" hidden="false" customHeight="false" outlineLevel="0" collapsed="false">
      <c r="B5905" s="0" t="s">
        <v>3132</v>
      </c>
      <c r="C5905" s="0" t="s">
        <v>3133</v>
      </c>
      <c r="E5905" s="0" t="s">
        <v>3134</v>
      </c>
      <c r="F5905" s="0" t="s">
        <v>3135</v>
      </c>
    </row>
    <row r="5906" customFormat="false" ht="12.8" hidden="false" customHeight="false" outlineLevel="0" collapsed="false">
      <c r="B5906" s="0" t="s">
        <v>132</v>
      </c>
      <c r="C5906" s="0" t="s">
        <v>2304</v>
      </c>
      <c r="E5906" s="0" t="s">
        <v>221</v>
      </c>
      <c r="F5906" s="0" t="s">
        <v>3136</v>
      </c>
    </row>
    <row r="5908" customFormat="false" ht="12.8" hidden="false" customHeight="false" outlineLevel="0" collapsed="false">
      <c r="A5908" s="0" t="s">
        <v>3137</v>
      </c>
      <c r="B5908" s="0" t="str">
        <f aca="false">HYPERLINK("https://lindat.mff.cuni.cz/services/teitok/pdtc10/index.php?action=vallex&amp;frame=v-w803f1", "doznávat (v-w803f1)")</f>
        <v>doznávat (v-w803f1)</v>
      </c>
    </row>
    <row r="5909" customFormat="false" ht="12.8" hidden="false" customHeight="false" outlineLevel="0" collapsed="false">
      <c r="B5909" s="0" t="s">
        <v>1</v>
      </c>
    </row>
    <row r="5910" customFormat="false" ht="12.8" hidden="false" customHeight="false" outlineLevel="0" collapsed="false">
      <c r="B5910" s="0" t="s">
        <v>1356</v>
      </c>
    </row>
    <row r="5912" customFormat="false" ht="12.8" hidden="false" customHeight="false" outlineLevel="0" collapsed="false">
      <c r="A5912" s="0" t="s">
        <v>3138</v>
      </c>
      <c r="B5912" s="0" t="str">
        <f aca="false">HYPERLINK("https://lindat.mff.cuni.cz/services/teitok/pdtc10/index.php?action=vallex&amp;frame=v-w804f1", "doznít (v-w804f1)")</f>
        <v>doznít (v-w804f1)</v>
      </c>
    </row>
    <row r="5913" customFormat="false" ht="12.8" hidden="false" customHeight="false" outlineLevel="0" collapsed="false">
      <c r="B5913" s="0" t="s">
        <v>1</v>
      </c>
    </row>
    <row r="5915" customFormat="false" ht="12.8" hidden="false" customHeight="false" outlineLevel="0" collapsed="false">
      <c r="A5915" s="0" t="s">
        <v>3139</v>
      </c>
      <c r="B5915" s="0" t="str">
        <f aca="false">HYPERLINK("https://lindat.mff.cuni.cz/services/teitok/pdtc10/index.php?action=vallex&amp;frame=v-w806f1", "doznívat (v-w806f1)")</f>
        <v>doznívat (v-w806f1)</v>
      </c>
      <c r="E5915" s="0" t="str">
        <f aca="false">HYPERLINK("https://lindat.mff.cuni.cz/services/SynSemClass40/SynSemClass40.html?veclass=vec00113#vec00113-ces-cm00346", "vec00113")</f>
        <v>vec00113</v>
      </c>
      <c r="F5915" s="0" t="s">
        <v>2122</v>
      </c>
      <c r="H5915" s="0" t="str">
        <f aca="false">HYPERLINK("https://lindat.mff.cuni.cz/services/SynSemClass40/SynSemClass40.html?veclass=vec00261#vec00261-ces-cm00069", "vec00261")</f>
        <v>vec00261</v>
      </c>
      <c r="I5915" s="0" t="s">
        <v>1318</v>
      </c>
    </row>
    <row r="5916" customFormat="false" ht="12.8" hidden="false" customHeight="false" outlineLevel="0" collapsed="false">
      <c r="B5916" s="0" t="s">
        <v>1</v>
      </c>
      <c r="C5916" s="0" t="s">
        <v>2123</v>
      </c>
      <c r="E5916" s="0" t="s">
        <v>1084</v>
      </c>
      <c r="F5916" s="0" t="s">
        <v>2124</v>
      </c>
      <c r="H5916" s="0" t="s">
        <v>375</v>
      </c>
      <c r="I5916" s="0" t="s">
        <v>1320</v>
      </c>
    </row>
    <row r="5918" customFormat="false" ht="12.8" hidden="false" customHeight="false" outlineLevel="0" collapsed="false">
      <c r="A5918" s="0" t="s">
        <v>3140</v>
      </c>
      <c r="B5918" s="0" t="str">
        <f aca="false">HYPERLINK("https://lindat.mff.cuni.cz/services/teitok/pdtc10/index.php?action=vallex&amp;frame=v-w808f1", "dozrát (v-w808f1)")</f>
        <v>dozrát (v-w808f1)</v>
      </c>
      <c r="E5918" s="0" t="str">
        <f aca="false">HYPERLINK("https://lindat.mff.cuni.cz/services/SynSemClass40/SynSemClass40.html?veclass=vec01018#vec01018-ces-cm00002", "vec01018")</f>
        <v>vec01018</v>
      </c>
      <c r="F5918" s="0" t="s">
        <v>3141</v>
      </c>
    </row>
    <row r="5919" customFormat="false" ht="12.8" hidden="false" customHeight="false" outlineLevel="0" collapsed="false">
      <c r="B5919" s="0" t="s">
        <v>1</v>
      </c>
      <c r="C5919" s="0" t="s">
        <v>10</v>
      </c>
      <c r="E5919" s="0" t="s">
        <v>3142</v>
      </c>
      <c r="F5919" s="0" t="s">
        <v>3143</v>
      </c>
    </row>
    <row r="5921" customFormat="false" ht="12.8" hidden="false" customHeight="false" outlineLevel="0" collapsed="false">
      <c r="A5921" s="0" t="s">
        <v>3144</v>
      </c>
      <c r="B5921" s="0" t="str">
        <f aca="false">HYPERLINK("https://lindat.mff.cuni.cz/services/teitok/pdtc10/index.php?action=vallex&amp;frame=v-w808f2", "dozrát (v-w808f2)")</f>
        <v>dozrát (v-w808f2)</v>
      </c>
      <c r="E5921" s="0" t="str">
        <f aca="false">HYPERLINK("https://lindat.mff.cuni.cz/services/SynSemClass40/SynSemClass40.html?veclass=vec01018#vec01018-ces-cm00003", "vec01018")</f>
        <v>vec01018</v>
      </c>
      <c r="F5921" s="0" t="s">
        <v>3141</v>
      </c>
    </row>
    <row r="5922" customFormat="false" ht="12.8" hidden="false" customHeight="false" outlineLevel="0" collapsed="false">
      <c r="B5922" s="0" t="s">
        <v>1</v>
      </c>
      <c r="C5922" s="0" t="s">
        <v>10</v>
      </c>
      <c r="E5922" s="0" t="s">
        <v>3142</v>
      </c>
      <c r="F5922" s="0" t="s">
        <v>3143</v>
      </c>
    </row>
    <row r="5924" customFormat="false" ht="12.8" hidden="false" customHeight="false" outlineLevel="0" collapsed="false">
      <c r="A5924" s="0" t="s">
        <v>3145</v>
      </c>
      <c r="B5924" s="0" t="str">
        <f aca="false">HYPERLINK("https://lindat.mff.cuni.cz/services/teitok/pdtc10/index.php?action=vallex&amp;frame=v-w810f1", "dozrávat (v-w810f1)")</f>
        <v>dozrávat (v-w810f1)</v>
      </c>
      <c r="E5924" s="0" t="str">
        <f aca="false">HYPERLINK("https://lindat.mff.cuni.cz/services/SynSemClass40/SynSemClass40.html?veclass=vec01018#vec01018-ces-cm00004", "vec01018")</f>
        <v>vec01018</v>
      </c>
      <c r="F5924" s="0" t="s">
        <v>3141</v>
      </c>
    </row>
    <row r="5925" customFormat="false" ht="12.8" hidden="false" customHeight="false" outlineLevel="0" collapsed="false">
      <c r="B5925" s="0" t="s">
        <v>1</v>
      </c>
      <c r="C5925" s="0" t="s">
        <v>10</v>
      </c>
      <c r="E5925" s="0" t="s">
        <v>3142</v>
      </c>
      <c r="F5925" s="0" t="s">
        <v>3143</v>
      </c>
    </row>
    <row r="5927" customFormat="false" ht="12.8" hidden="false" customHeight="false" outlineLevel="0" collapsed="false">
      <c r="A5927" s="0" t="s">
        <v>3146</v>
      </c>
      <c r="B5927" s="0" t="str">
        <f aca="false">HYPERLINK("https://lindat.mff.cuni.cz/services/teitok/pdtc10/index.php?action=vallex&amp;frame=v-w810f2", "dozrávat (v-w810f2)")</f>
        <v>dozrávat (v-w810f2)</v>
      </c>
      <c r="E5927" s="0" t="str">
        <f aca="false">HYPERLINK("https://lindat.mff.cuni.cz/services/SynSemClass40/SynSemClass40.html?veclass=vec01018#vec01018-ces-cm00001", "vec01018")</f>
        <v>vec01018</v>
      </c>
      <c r="F5927" s="0" t="s">
        <v>3141</v>
      </c>
    </row>
    <row r="5928" customFormat="false" ht="12.8" hidden="false" customHeight="false" outlineLevel="0" collapsed="false">
      <c r="B5928" s="0" t="s">
        <v>1</v>
      </c>
      <c r="C5928" s="0" t="s">
        <v>10</v>
      </c>
      <c r="E5928" s="0" t="s">
        <v>3142</v>
      </c>
      <c r="F5928" s="0" t="s">
        <v>3143</v>
      </c>
    </row>
    <row r="5930" customFormat="false" ht="12.8" hidden="false" customHeight="false" outlineLevel="0" collapsed="false">
      <c r="A5930" s="0" t="s">
        <v>3147</v>
      </c>
      <c r="B5930" s="0" t="str">
        <f aca="false">HYPERLINK("https://lindat.mff.cuni.cz/services/teitok/pdtc10/index.php?action=vallex&amp;frame=v-w812f2", "dozvídat se (v-w812f2)")</f>
        <v>dozvídat se (v-w812f2)</v>
      </c>
      <c r="E5930" s="0" t="str">
        <f aca="false">HYPERLINK("https://lindat.mff.cuni.cz/services/SynSemClass40/SynSemClass40.html?veclass=vec00013#vec00013-ces-cm00027", "vec00013")</f>
        <v>vec00013</v>
      </c>
      <c r="F5930" s="0" t="s">
        <v>2742</v>
      </c>
    </row>
    <row r="5931" customFormat="false" ht="12.8" hidden="false" customHeight="false" outlineLevel="0" collapsed="false">
      <c r="B5931" s="0" t="s">
        <v>1</v>
      </c>
      <c r="C5931" s="0" t="s">
        <v>2743</v>
      </c>
      <c r="E5931" s="0" t="s">
        <v>621</v>
      </c>
      <c r="F5931" s="0" t="s">
        <v>2744</v>
      </c>
    </row>
    <row r="5932" customFormat="false" ht="12.8" hidden="false" customHeight="false" outlineLevel="0" collapsed="false">
      <c r="B5932" s="0" t="s">
        <v>2739</v>
      </c>
      <c r="C5932" s="0" t="s">
        <v>2748</v>
      </c>
      <c r="E5932" s="0" t="s">
        <v>218</v>
      </c>
      <c r="F5932" s="0" t="s">
        <v>2749</v>
      </c>
    </row>
    <row r="5933" customFormat="false" ht="12.8" hidden="false" customHeight="false" outlineLevel="0" collapsed="false">
      <c r="B5933" s="0" t="s">
        <v>2740</v>
      </c>
      <c r="C5933" s="0" t="s">
        <v>2750</v>
      </c>
      <c r="E5933" s="0" t="s">
        <v>2176</v>
      </c>
      <c r="F5933" s="0" t="s">
        <v>2751</v>
      </c>
    </row>
    <row r="5935" customFormat="false" ht="12.8" hidden="false" customHeight="false" outlineLevel="0" collapsed="false">
      <c r="A5935" s="0" t="s">
        <v>3148</v>
      </c>
      <c r="B5935" s="0" t="str">
        <f aca="false">HYPERLINK("https://lindat.mff.cuni.cz/services/teitok/pdtc10/index.php?action=vallex&amp;frame=v-w812f1", "dozvídat se (v-w812f1)")</f>
        <v>dozvídat se (v-w812f1)</v>
      </c>
    </row>
    <row r="5936" customFormat="false" ht="12.8" hidden="false" customHeight="false" outlineLevel="0" collapsed="false">
      <c r="B5936" s="0" t="s">
        <v>1</v>
      </c>
    </row>
    <row r="5937" customFormat="false" ht="12.8" hidden="false" customHeight="false" outlineLevel="0" collapsed="false">
      <c r="B5937" s="0" t="s">
        <v>2745</v>
      </c>
    </row>
    <row r="5938" customFormat="false" ht="12.8" hidden="false" customHeight="false" outlineLevel="0" collapsed="false">
      <c r="B5938" s="0" t="s">
        <v>496</v>
      </c>
    </row>
    <row r="5939" customFormat="false" ht="12.8" hidden="false" customHeight="false" outlineLevel="0" collapsed="false">
      <c r="B5939" s="0" t="s">
        <v>2740</v>
      </c>
    </row>
    <row r="5941" customFormat="false" ht="12.8" hidden="false" customHeight="false" outlineLevel="0" collapsed="false">
      <c r="A5941" s="0" t="s">
        <v>3149</v>
      </c>
      <c r="B5941" s="0" t="str">
        <f aca="false">HYPERLINK("https://lindat.mff.cuni.cz/services/teitok/pdtc10/index.php?action=vallex&amp;frame=v-w811f1", "dozvědět se (v-w811f1)")</f>
        <v>dozvědět se (v-w811f1)</v>
      </c>
      <c r="E5941" s="0" t="str">
        <f aca="false">HYPERLINK("https://lindat.mff.cuni.cz/services/SynSemClass40/SynSemClass40.html?veclass=vec00013#vec00013-ces-cm00001", "vec00013")</f>
        <v>vec00013</v>
      </c>
      <c r="F5941" s="0" t="s">
        <v>2742</v>
      </c>
      <c r="H5941" s="0" t="str">
        <f aca="false">HYPERLINK("https://lindat.mff.cuni.cz/services/SynSemClass40/SynSemClass40.html?veclass=vec01264#vec01264-ces-cm00016", "vec01264")</f>
        <v>vec01264</v>
      </c>
      <c r="I5941" s="0" t="s">
        <v>2757</v>
      </c>
    </row>
    <row r="5942" customFormat="false" ht="12.8" hidden="false" customHeight="false" outlineLevel="0" collapsed="false">
      <c r="B5942" s="0" t="s">
        <v>1</v>
      </c>
      <c r="C5942" s="0" t="s">
        <v>2758</v>
      </c>
      <c r="E5942" s="0" t="s">
        <v>621</v>
      </c>
      <c r="F5942" s="0" t="s">
        <v>2744</v>
      </c>
      <c r="H5942" s="0" t="s">
        <v>621</v>
      </c>
      <c r="I5942" s="0" t="s">
        <v>2759</v>
      </c>
    </row>
    <row r="5943" customFormat="false" ht="12.8" hidden="false" customHeight="false" outlineLevel="0" collapsed="false">
      <c r="B5943" s="0" t="s">
        <v>2739</v>
      </c>
      <c r="C5943" s="0" t="s">
        <v>2763</v>
      </c>
      <c r="E5943" s="0" t="s">
        <v>218</v>
      </c>
      <c r="F5943" s="0" t="s">
        <v>2749</v>
      </c>
      <c r="H5943" s="0" t="s">
        <v>218</v>
      </c>
      <c r="I5943" s="0" t="s">
        <v>2764</v>
      </c>
    </row>
    <row r="5944" customFormat="false" ht="12.8" hidden="false" customHeight="false" outlineLevel="0" collapsed="false">
      <c r="B5944" s="0" t="s">
        <v>2740</v>
      </c>
      <c r="C5944" s="0" t="s">
        <v>2766</v>
      </c>
      <c r="E5944" s="0" t="s">
        <v>2176</v>
      </c>
      <c r="F5944" s="0" t="s">
        <v>2751</v>
      </c>
      <c r="H5944" s="0" t="s">
        <v>2176</v>
      </c>
      <c r="I5944" s="0" t="s">
        <v>2767</v>
      </c>
    </row>
    <row r="5946" customFormat="false" ht="12.8" hidden="false" customHeight="false" outlineLevel="0" collapsed="false">
      <c r="A5946" s="0" t="s">
        <v>3150</v>
      </c>
      <c r="B5946" s="0" t="str">
        <f aca="false">HYPERLINK("https://lindat.mff.cuni.cz/services/teitok/pdtc10/index.php?action=vallex&amp;frame=v-w811f2", "dozvědět se (v-w811f2)")</f>
        <v>dozvědět se (v-w811f2)</v>
      </c>
      <c r="E5946" s="0" t="str">
        <f aca="false">HYPERLINK("https://lindat.mff.cuni.cz/services/SynSemClass40/SynSemClass40.html?veclass=vec00013#vec00013-ces-cm00026", "vec00013")</f>
        <v>vec00013</v>
      </c>
      <c r="F5946" s="0" t="s">
        <v>2742</v>
      </c>
    </row>
    <row r="5947" customFormat="false" ht="12.8" hidden="false" customHeight="false" outlineLevel="0" collapsed="false">
      <c r="B5947" s="0" t="s">
        <v>1</v>
      </c>
      <c r="C5947" s="0" t="s">
        <v>2743</v>
      </c>
      <c r="E5947" s="0" t="s">
        <v>621</v>
      </c>
      <c r="F5947" s="0" t="s">
        <v>2744</v>
      </c>
    </row>
    <row r="5948" customFormat="false" ht="12.8" hidden="false" customHeight="false" outlineLevel="0" collapsed="false">
      <c r="B5948" s="0" t="s">
        <v>2745</v>
      </c>
      <c r="C5948" s="0" t="s">
        <v>2746</v>
      </c>
      <c r="E5948" s="0" t="s">
        <v>2217</v>
      </c>
      <c r="F5948" s="0" t="s">
        <v>2747</v>
      </c>
    </row>
    <row r="5949" customFormat="false" ht="12.8" hidden="false" customHeight="false" outlineLevel="0" collapsed="false">
      <c r="B5949" s="0" t="s">
        <v>496</v>
      </c>
      <c r="C5949" s="0" t="s">
        <v>2748</v>
      </c>
      <c r="E5949" s="0" t="s">
        <v>218</v>
      </c>
      <c r="F5949" s="0" t="s">
        <v>2749</v>
      </c>
    </row>
    <row r="5950" customFormat="false" ht="12.8" hidden="false" customHeight="false" outlineLevel="0" collapsed="false">
      <c r="B5950" s="0" t="s">
        <v>2740</v>
      </c>
      <c r="C5950" s="0" t="s">
        <v>2750</v>
      </c>
      <c r="E5950" s="0" t="s">
        <v>2176</v>
      </c>
      <c r="F5950" s="0" t="s">
        <v>2751</v>
      </c>
    </row>
    <row r="5952" customFormat="false" ht="12.8" hidden="false" customHeight="false" outlineLevel="0" collapsed="false">
      <c r="A5952" s="0" t="s">
        <v>3151</v>
      </c>
      <c r="B5952" s="0" t="str">
        <f aca="false">HYPERLINK("https://lindat.mff.cuni.cz/services/teitok/pdtc10/index.php?action=vallex&amp;frame=v-w10070f2", "dozávodit (v-w10070f2)")</f>
        <v>dozávodit (v-w10070f2)</v>
      </c>
    </row>
    <row r="5953" customFormat="false" ht="12.8" hidden="false" customHeight="false" outlineLevel="0" collapsed="false">
      <c r="B5953" s="0" t="s">
        <v>1</v>
      </c>
    </row>
    <row r="5954" customFormat="false" ht="12.8" hidden="false" customHeight="false" outlineLevel="0" collapsed="false">
      <c r="B5954" s="0" t="s">
        <v>3152</v>
      </c>
    </row>
    <row r="5955" customFormat="false" ht="12.8" hidden="false" customHeight="false" outlineLevel="0" collapsed="false">
      <c r="B5955" s="0" t="s">
        <v>3153</v>
      </c>
    </row>
    <row r="5957" customFormat="false" ht="12.8" hidden="false" customHeight="false" outlineLevel="0" collapsed="false">
      <c r="A5957" s="0" t="s">
        <v>3154</v>
      </c>
      <c r="B5957" s="0" t="str">
        <f aca="false">HYPERLINK("https://lindat.mff.cuni.cz/services/teitok/pdtc10/index.php?action=vallex&amp;frame=v-w11049f3", "dozírat (v-w11049f3)")</f>
        <v>dozírat (v-w11049f3)</v>
      </c>
      <c r="E5957" s="0" t="str">
        <f aca="false">HYPERLINK("https://lindat.mff.cuni.cz/services/SynSemClass40/SynSemClass40.html?veclass=vec00211#vec00211-ces-cm00002", "vec00211")</f>
        <v>vec00211</v>
      </c>
      <c r="F5957" s="0" t="s">
        <v>2270</v>
      </c>
    </row>
    <row r="5958" customFormat="false" ht="12.8" hidden="false" customHeight="false" outlineLevel="0" collapsed="false">
      <c r="B5958" s="0" t="s">
        <v>1</v>
      </c>
      <c r="C5958" s="0" t="s">
        <v>2271</v>
      </c>
      <c r="E5958" s="0" t="s">
        <v>206</v>
      </c>
      <c r="F5958" s="0" t="s">
        <v>2272</v>
      </c>
    </row>
    <row r="5959" customFormat="false" ht="12.8" hidden="false" customHeight="false" outlineLevel="0" collapsed="false">
      <c r="B5959" s="0" t="s">
        <v>2279</v>
      </c>
      <c r="C5959" s="0" t="s">
        <v>2274</v>
      </c>
      <c r="E5959" s="0" t="s">
        <v>1995</v>
      </c>
      <c r="F5959" s="0" t="s">
        <v>2275</v>
      </c>
    </row>
    <row r="5961" customFormat="false" ht="12.8" hidden="false" customHeight="false" outlineLevel="0" collapsed="false">
      <c r="A5961" s="0" t="s">
        <v>3155</v>
      </c>
      <c r="B5961" s="0" t="str">
        <f aca="false">HYPERLINK("https://lindat.mff.cuni.cz/services/teitok/pdtc10/index.php?action=vallex&amp;frame=v-w527f6_ZU", "dočkat se (v-w527f6_ZU)")</f>
        <v>dočkat se (v-w527f6_ZU)</v>
      </c>
    </row>
    <row r="5962" customFormat="false" ht="12.8" hidden="false" customHeight="false" outlineLevel="0" collapsed="false">
      <c r="B5962" s="0" t="s">
        <v>1</v>
      </c>
    </row>
    <row r="5963" customFormat="false" ht="12.8" hidden="false" customHeight="false" outlineLevel="0" collapsed="false">
      <c r="B5963" s="0" t="s">
        <v>3106</v>
      </c>
    </row>
    <row r="5964" customFormat="false" ht="12.8" hidden="false" customHeight="false" outlineLevel="0" collapsed="false">
      <c r="B5964" s="0" t="s">
        <v>602</v>
      </c>
    </row>
    <row r="5966" customFormat="false" ht="12.8" hidden="false" customHeight="false" outlineLevel="0" collapsed="false">
      <c r="A5966" s="0" t="s">
        <v>3155</v>
      </c>
      <c r="B5966" s="0" t="str">
        <f aca="false">HYPERLINK("https://lindat.mff.cuni.cz/services/teitok/pdtc10/index.php?action=vallex&amp;frame=v-w527f2", "dočkat se (v-w527f2) - substituted with v-w527f6_ZU")</f>
        <v>dočkat se (v-w527f2) - substituted with v-w527f6_ZU</v>
      </c>
    </row>
    <row r="5967" customFormat="false" ht="12.8" hidden="false" customHeight="false" outlineLevel="0" collapsed="false">
      <c r="B5967" s="0" t="s">
        <v>1</v>
      </c>
    </row>
    <row r="5968" customFormat="false" ht="12.8" hidden="false" customHeight="false" outlineLevel="0" collapsed="false">
      <c r="B5968" s="0" t="s">
        <v>3106</v>
      </c>
    </row>
    <row r="5969" customFormat="false" ht="12.8" hidden="false" customHeight="false" outlineLevel="0" collapsed="false">
      <c r="B5969" s="0" t="s">
        <v>602</v>
      </c>
    </row>
    <row r="5971" customFormat="false" ht="12.8" hidden="false" customHeight="false" outlineLevel="0" collapsed="false">
      <c r="A5971" s="0" t="s">
        <v>3155</v>
      </c>
      <c r="B5971" s="0" t="str">
        <f aca="false">HYPERLINK("https://lindat.mff.cuni.cz/services/teitok/pdtc10/index.php?action=vallex&amp;frame=v-w527f3_ZU", "dočkat se (v-w527f3_ZU) - substituted with v-w527f6_ZU")</f>
        <v>dočkat se (v-w527f3_ZU) - substituted with v-w527f6_ZU</v>
      </c>
    </row>
    <row r="5972" customFormat="false" ht="12.8" hidden="false" customHeight="false" outlineLevel="0" collapsed="false">
      <c r="B5972" s="0" t="s">
        <v>1</v>
      </c>
    </row>
    <row r="5973" customFormat="false" ht="12.8" hidden="false" customHeight="false" outlineLevel="0" collapsed="false">
      <c r="B5973" s="0" t="s">
        <v>3106</v>
      </c>
    </row>
    <row r="5974" customFormat="false" ht="12.8" hidden="false" customHeight="false" outlineLevel="0" collapsed="false">
      <c r="B5974" s="0" t="s">
        <v>602</v>
      </c>
    </row>
    <row r="5976" customFormat="false" ht="12.8" hidden="false" customHeight="false" outlineLevel="0" collapsed="false">
      <c r="A5976" s="0" t="s">
        <v>3155</v>
      </c>
      <c r="B5976" s="0" t="str">
        <f aca="false">HYPERLINK("https://lindat.mff.cuni.cz/services/teitok/pdtc10/index.php?action=vallex&amp;frame=v-w527hsa_177", "dočkat se (v-w527hsa_177) - substituted with v-w527f6_ZU")</f>
        <v>dočkat se (v-w527hsa_177) - substituted with v-w527f6_ZU</v>
      </c>
    </row>
    <row r="5977" customFormat="false" ht="12.8" hidden="false" customHeight="false" outlineLevel="0" collapsed="false">
      <c r="B5977" s="0" t="s">
        <v>1</v>
      </c>
    </row>
    <row r="5978" customFormat="false" ht="12.8" hidden="false" customHeight="false" outlineLevel="0" collapsed="false">
      <c r="B5978" s="0" t="s">
        <v>3106</v>
      </c>
    </row>
    <row r="5979" customFormat="false" ht="12.8" hidden="false" customHeight="false" outlineLevel="0" collapsed="false">
      <c r="B5979" s="0" t="s">
        <v>602</v>
      </c>
    </row>
    <row r="5981" customFormat="false" ht="12.8" hidden="false" customHeight="false" outlineLevel="0" collapsed="false">
      <c r="A5981" s="0" t="s">
        <v>3156</v>
      </c>
      <c r="B5981" s="0" t="str">
        <f aca="false">HYPERLINK("https://lindat.mff.cuni.cz/services/teitok/pdtc10/index.php?action=vallex&amp;frame=v-w527f7_ZU", "dočkat se (v-w527f7_ZU)")</f>
        <v>dočkat se (v-w527f7_ZU)</v>
      </c>
    </row>
    <row r="5982" customFormat="false" ht="12.8" hidden="false" customHeight="false" outlineLevel="0" collapsed="false">
      <c r="B5982" s="0" t="s">
        <v>1</v>
      </c>
    </row>
    <row r="5983" customFormat="false" ht="12.8" hidden="false" customHeight="false" outlineLevel="0" collapsed="false">
      <c r="B5983" s="0" t="s">
        <v>1289</v>
      </c>
    </row>
    <row r="5985" customFormat="false" ht="12.8" hidden="false" customHeight="false" outlineLevel="0" collapsed="false">
      <c r="A5985" s="0" t="s">
        <v>3156</v>
      </c>
      <c r="B5985" s="0" t="str">
        <f aca="false">HYPERLINK("https://lindat.mff.cuni.cz/services/teitok/pdtc10/index.php?action=vallex&amp;frame=v-w527f1", "dočkat se (v-w527f1) - substituted with v-w527f7_ZU")</f>
        <v>dočkat se (v-w527f1) - substituted with v-w527f7_ZU</v>
      </c>
    </row>
    <row r="5986" customFormat="false" ht="12.8" hidden="false" customHeight="false" outlineLevel="0" collapsed="false">
      <c r="B5986" s="0" t="s">
        <v>1</v>
      </c>
    </row>
    <row r="5987" customFormat="false" ht="12.8" hidden="false" customHeight="false" outlineLevel="0" collapsed="false">
      <c r="B5987" s="0" t="s">
        <v>1289</v>
      </c>
    </row>
    <row r="5989" customFormat="false" ht="12.8" hidden="false" customHeight="false" outlineLevel="0" collapsed="false">
      <c r="A5989" s="0" t="s">
        <v>3157</v>
      </c>
      <c r="B5989" s="0" t="str">
        <f aca="false">HYPERLINK("https://lindat.mff.cuni.cz/services/teitok/pdtc10/index.php?action=vallex&amp;frame=v-w527f5_ZU", "dočkat se (v-w527f5_ZU)")</f>
        <v>dočkat se (v-w527f5_ZU)</v>
      </c>
    </row>
    <row r="5990" customFormat="false" ht="12.8" hidden="false" customHeight="false" outlineLevel="0" collapsed="false">
      <c r="B5990" s="0" t="s">
        <v>1</v>
      </c>
    </row>
    <row r="5991" customFormat="false" ht="12.8" hidden="false" customHeight="false" outlineLevel="0" collapsed="false">
      <c r="B5991" s="0" t="s">
        <v>3158</v>
      </c>
    </row>
    <row r="5993" customFormat="false" ht="12.8" hidden="false" customHeight="false" outlineLevel="0" collapsed="false">
      <c r="A5993" s="0" t="s">
        <v>3157</v>
      </c>
      <c r="B5993" s="0" t="str">
        <f aca="false">HYPERLINK("https://lindat.mff.cuni.cz/services/teitok/pdtc10/index.php?action=vallex&amp;frame=v-w527f4_ZU", "dočkat se (v-w527f4_ZU) - substituted with v-w527f5_ZU")</f>
        <v>dočkat se (v-w527f4_ZU) - substituted with v-w527f5_ZU</v>
      </c>
    </row>
    <row r="5994" customFormat="false" ht="12.8" hidden="false" customHeight="false" outlineLevel="0" collapsed="false">
      <c r="B5994" s="0" t="s">
        <v>1</v>
      </c>
    </row>
    <row r="5995" customFormat="false" ht="12.8" hidden="false" customHeight="false" outlineLevel="0" collapsed="false">
      <c r="B5995" s="0" t="s">
        <v>3158</v>
      </c>
    </row>
    <row r="5997" customFormat="false" ht="12.8" hidden="false" customHeight="false" outlineLevel="0" collapsed="false">
      <c r="A5997" s="0" t="s">
        <v>3159</v>
      </c>
      <c r="B5997" s="0" t="str">
        <f aca="false">HYPERLINK("https://lindat.mff.cuni.cz/services/teitok/pdtc10/index.php?action=vallex&amp;frame=v-w525f2", "dočíst se (v-w525f2)")</f>
        <v>dočíst se (v-w525f2)</v>
      </c>
    </row>
    <row r="5998" customFormat="false" ht="12.8" hidden="false" customHeight="false" outlineLevel="0" collapsed="false">
      <c r="B5998" s="0" t="s">
        <v>1</v>
      </c>
    </row>
    <row r="5999" customFormat="false" ht="12.8" hidden="false" customHeight="false" outlineLevel="0" collapsed="false">
      <c r="B5999" s="0" t="s">
        <v>318</v>
      </c>
    </row>
    <row r="6001" customFormat="false" ht="12.8" hidden="false" customHeight="false" outlineLevel="0" collapsed="false">
      <c r="A6001" s="0" t="s">
        <v>3160</v>
      </c>
      <c r="B6001" s="0" t="str">
        <f aca="false">HYPERLINK("https://lindat.mff.cuni.cz/services/teitok/pdtc10/index.php?action=vallex&amp;frame=v-w525f1", "dočíst se (v-w525f1)")</f>
        <v>dočíst se (v-w525f1)</v>
      </c>
    </row>
    <row r="6002" customFormat="false" ht="12.8" hidden="false" customHeight="false" outlineLevel="0" collapsed="false">
      <c r="B6002" s="0" t="s">
        <v>1</v>
      </c>
    </row>
    <row r="6003" customFormat="false" ht="12.8" hidden="false" customHeight="false" outlineLevel="0" collapsed="false">
      <c r="B6003" s="0" t="s">
        <v>2745</v>
      </c>
    </row>
    <row r="6004" customFormat="false" ht="12.8" hidden="false" customHeight="false" outlineLevel="0" collapsed="false">
      <c r="B6004" s="0" t="s">
        <v>496</v>
      </c>
    </row>
    <row r="6006" customFormat="false" ht="12.8" hidden="false" customHeight="false" outlineLevel="0" collapsed="false">
      <c r="A6006" s="0" t="s">
        <v>3161</v>
      </c>
      <c r="B6006" s="0" t="str">
        <f aca="false">HYPERLINK("https://lindat.mff.cuni.cz/services/teitok/pdtc10/index.php?action=vallex&amp;frame=v-w526f1", "dočítat se (v-w526f1)")</f>
        <v>dočítat se (v-w526f1)</v>
      </c>
    </row>
    <row r="6007" customFormat="false" ht="12.8" hidden="false" customHeight="false" outlineLevel="0" collapsed="false">
      <c r="B6007" s="0" t="s">
        <v>1</v>
      </c>
    </row>
    <row r="6008" customFormat="false" ht="12.8" hidden="false" customHeight="false" outlineLevel="0" collapsed="false">
      <c r="B6008" s="0" t="s">
        <v>2745</v>
      </c>
    </row>
    <row r="6009" customFormat="false" ht="12.8" hidden="false" customHeight="false" outlineLevel="0" collapsed="false">
      <c r="B6009" s="0" t="s">
        <v>496</v>
      </c>
    </row>
    <row r="6011" customFormat="false" ht="12.8" hidden="false" customHeight="false" outlineLevel="0" collapsed="false">
      <c r="A6011" s="0" t="s">
        <v>3162</v>
      </c>
      <c r="B6011" s="0" t="str">
        <f aca="false">HYPERLINK("https://lindat.mff.cuni.cz/services/teitok/pdtc10/index.php?action=vallex&amp;frame=v-w11844_ZUf1_ZU", "dořezat se (v-w11844_ZUf1_ZU)")</f>
        <v>dořezat se (v-w11844_ZUf1_ZU)</v>
      </c>
    </row>
    <row r="6012" customFormat="false" ht="12.8" hidden="false" customHeight="false" outlineLevel="0" collapsed="false">
      <c r="B6012" s="0" t="s">
        <v>1</v>
      </c>
    </row>
    <row r="6013" customFormat="false" ht="12.8" hidden="false" customHeight="false" outlineLevel="0" collapsed="false">
      <c r="B6013" s="0" t="s">
        <v>3163</v>
      </c>
    </row>
    <row r="6014" customFormat="false" ht="12.8" hidden="false" customHeight="false" outlineLevel="0" collapsed="false">
      <c r="B6014" s="0" t="s">
        <v>536</v>
      </c>
    </row>
    <row r="6015" customFormat="false" ht="12.8" hidden="false" customHeight="false" outlineLevel="0" collapsed="false">
      <c r="B6015" s="0" t="s">
        <v>855</v>
      </c>
    </row>
    <row r="6017" customFormat="false" ht="12.8" hidden="false" customHeight="false" outlineLevel="0" collapsed="false">
      <c r="A6017" s="0" t="s">
        <v>3164</v>
      </c>
      <c r="B6017" s="0" t="str">
        <f aca="false">HYPERLINK("https://lindat.mff.cuni.cz/services/teitok/pdtc10/index.php?action=vallex&amp;frame=v-w710f1", "dořešit (v-w710f1)")</f>
        <v>dořešit (v-w710f1)</v>
      </c>
      <c r="E6017" s="0" t="str">
        <f aca="false">HYPERLINK("https://lindat.mff.cuni.cz/services/SynSemClass40/SynSemClass40.html?veclass=vec00301#vec00301-ces-cm00008", "vec00301")</f>
        <v>vec00301</v>
      </c>
      <c r="F6017" s="0" t="s">
        <v>3165</v>
      </c>
      <c r="H6017" s="0" t="str">
        <f aca="false">HYPERLINK("https://lindat.mff.cuni.cz/services/SynSemClass40/SynSemClass40.html?veclass=vec01468#vec01468-ces-cm00010", "vec01468")</f>
        <v>vec01468</v>
      </c>
      <c r="I6017" s="0" t="s">
        <v>2308</v>
      </c>
    </row>
    <row r="6018" customFormat="false" ht="12.8" hidden="false" customHeight="false" outlineLevel="0" collapsed="false">
      <c r="B6018" s="0" t="s">
        <v>1</v>
      </c>
      <c r="C6018" s="0" t="s">
        <v>3166</v>
      </c>
      <c r="E6018" s="0" t="s">
        <v>31</v>
      </c>
      <c r="F6018" s="0" t="s">
        <v>3167</v>
      </c>
      <c r="H6018" s="0" t="s">
        <v>2251</v>
      </c>
      <c r="I6018" s="0" t="s">
        <v>2310</v>
      </c>
    </row>
    <row r="6019" customFormat="false" ht="12.8" hidden="false" customHeight="false" outlineLevel="0" collapsed="false">
      <c r="B6019" s="0" t="s">
        <v>3168</v>
      </c>
      <c r="C6019" s="0" t="s">
        <v>3169</v>
      </c>
      <c r="E6019" s="0" t="s">
        <v>230</v>
      </c>
      <c r="F6019" s="0" t="s">
        <v>3170</v>
      </c>
      <c r="H6019" s="0" t="s">
        <v>230</v>
      </c>
      <c r="I6019" s="0" t="s">
        <v>2313</v>
      </c>
    </row>
    <row r="6021" customFormat="false" ht="12.8" hidden="false" customHeight="false" outlineLevel="0" collapsed="false">
      <c r="A6021" s="0" t="s">
        <v>3171</v>
      </c>
      <c r="B6021" s="0" t="str">
        <f aca="false">HYPERLINK("https://lindat.mff.cuni.cz/services/teitok/pdtc10/index.php?action=vallex&amp;frame=v-w11840_ZUf1_ZU", "dořvat (v-w11840_ZUf1_ZU)")</f>
        <v>dořvat (v-w11840_ZUf1_ZU)</v>
      </c>
    </row>
    <row r="6022" customFormat="false" ht="12.8" hidden="false" customHeight="false" outlineLevel="0" collapsed="false">
      <c r="B6022" s="0" t="s">
        <v>1</v>
      </c>
    </row>
    <row r="6023" customFormat="false" ht="12.8" hidden="false" customHeight="false" outlineLevel="0" collapsed="false">
      <c r="B6023" s="0" t="s">
        <v>8</v>
      </c>
    </row>
    <row r="6025" customFormat="false" ht="12.8" hidden="false" customHeight="false" outlineLevel="0" collapsed="false">
      <c r="A6025" s="0" t="s">
        <v>3172</v>
      </c>
      <c r="B6025" s="0" t="str">
        <f aca="false">HYPERLINK("https://lindat.mff.cuni.cz/services/teitok/pdtc10/index.php?action=vallex&amp;frame=v-w711f1", "doříci (v-w711f1)")</f>
        <v>doříci (v-w711f1)</v>
      </c>
    </row>
    <row r="6026" customFormat="false" ht="12.8" hidden="false" customHeight="false" outlineLevel="0" collapsed="false">
      <c r="B6026" s="0" t="s">
        <v>1</v>
      </c>
    </row>
    <row r="6027" customFormat="false" ht="12.8" hidden="false" customHeight="false" outlineLevel="0" collapsed="false">
      <c r="B6027" s="0" t="s">
        <v>8</v>
      </c>
    </row>
    <row r="6029" customFormat="false" ht="12.8" hidden="false" customHeight="false" outlineLevel="0" collapsed="false">
      <c r="A6029" s="0" t="s">
        <v>3173</v>
      </c>
      <c r="B6029" s="0" t="str">
        <f aca="false">HYPERLINK("https://lindat.mff.cuni.cz/services/teitok/pdtc10/index.php?action=vallex&amp;frame=v-w11800_ZUf1_ZU", "doškolovat (v-w11800_ZUf1_ZU)")</f>
        <v>doškolovat (v-w11800_ZUf1_ZU)</v>
      </c>
    </row>
    <row r="6030" customFormat="false" ht="12.8" hidden="false" customHeight="false" outlineLevel="0" collapsed="false">
      <c r="B6030" s="0" t="s">
        <v>1</v>
      </c>
    </row>
    <row r="6031" customFormat="false" ht="12.8" hidden="false" customHeight="false" outlineLevel="0" collapsed="false">
      <c r="B6031" s="0" t="s">
        <v>8</v>
      </c>
    </row>
    <row r="6033" customFormat="false" ht="12.8" hidden="false" customHeight="false" outlineLevel="0" collapsed="false">
      <c r="A6033" s="0" t="s">
        <v>3174</v>
      </c>
      <c r="B6033" s="0" t="str">
        <f aca="false">HYPERLINK("https://lindat.mff.cuni.cz/services/teitok/pdtc10/index.php?action=vallex&amp;frame=v-w11779_ZUf1_ZU", "došlápnout (v-w11779_ZUf1_ZU)")</f>
        <v>došlápnout (v-w11779_ZUf1_ZU)</v>
      </c>
    </row>
    <row r="6034" customFormat="false" ht="12.8" hidden="false" customHeight="false" outlineLevel="0" collapsed="false">
      <c r="B6034" s="0" t="s">
        <v>1</v>
      </c>
    </row>
    <row r="6035" customFormat="false" ht="12.8" hidden="false" customHeight="false" outlineLevel="0" collapsed="false">
      <c r="B6035" s="0" t="s">
        <v>454</v>
      </c>
    </row>
    <row r="6037" customFormat="false" ht="12.8" hidden="false" customHeight="false" outlineLevel="0" collapsed="false">
      <c r="A6037" s="0" t="s">
        <v>3175</v>
      </c>
      <c r="B6037" s="0" t="str">
        <f aca="false">HYPERLINK("https://lindat.mff.cuni.cz/services/teitok/pdtc10/index.php?action=vallex&amp;frame=v-w748f1", "došlápnout si (v-w748f1)")</f>
        <v>došlápnout si (v-w748f1)</v>
      </c>
    </row>
    <row r="6038" customFormat="false" ht="12.8" hidden="false" customHeight="false" outlineLevel="0" collapsed="false">
      <c r="B6038" s="0" t="s">
        <v>1</v>
      </c>
    </row>
    <row r="6039" customFormat="false" ht="12.8" hidden="false" customHeight="false" outlineLevel="0" collapsed="false">
      <c r="B6039" s="0" t="s">
        <v>45</v>
      </c>
    </row>
    <row r="6041" customFormat="false" ht="12.8" hidden="false" customHeight="false" outlineLevel="0" collapsed="false">
      <c r="A6041" s="0" t="s">
        <v>3176</v>
      </c>
      <c r="B6041" s="0" t="str">
        <f aca="false">HYPERLINK("https://lindat.mff.cuni.cz/services/teitok/pdtc10/index.php?action=vallex&amp;frame=v-w12091_ZUf1_ZU", "došplhat se (v-w12091_ZUf1_ZU)")</f>
        <v>došplhat se (v-w12091_ZUf1_ZU)</v>
      </c>
    </row>
    <row r="6042" customFormat="false" ht="12.8" hidden="false" customHeight="false" outlineLevel="0" collapsed="false">
      <c r="B6042" s="0" t="s">
        <v>1</v>
      </c>
    </row>
    <row r="6043" customFormat="false" ht="12.8" hidden="false" customHeight="false" outlineLevel="0" collapsed="false">
      <c r="B6043" s="0" t="s">
        <v>454</v>
      </c>
    </row>
    <row r="6045" customFormat="false" ht="12.8" hidden="false" customHeight="false" outlineLevel="0" collapsed="false">
      <c r="A6045" s="0" t="s">
        <v>3177</v>
      </c>
      <c r="B6045" s="0" t="str">
        <f aca="false">HYPERLINK("https://lindat.mff.cuni.cz/services/teitok/pdtc10/index.php?action=vallex&amp;frame=v-whsa_1934hsa_1935", "doštráchat se (v-whsa_1934hsa_1935)")</f>
        <v>doštráchat se (v-whsa_1934hsa_1935)</v>
      </c>
    </row>
    <row r="6046" customFormat="false" ht="12.8" hidden="false" customHeight="false" outlineLevel="0" collapsed="false">
      <c r="B6046" s="0" t="s">
        <v>1</v>
      </c>
    </row>
    <row r="6047" customFormat="false" ht="12.8" hidden="false" customHeight="false" outlineLevel="0" collapsed="false">
      <c r="B6047" s="0" t="s">
        <v>164</v>
      </c>
    </row>
    <row r="6049" customFormat="false" ht="12.8" hidden="false" customHeight="false" outlineLevel="0" collapsed="false">
      <c r="A6049" s="0" t="s">
        <v>3178</v>
      </c>
      <c r="B6049" s="0" t="str">
        <f aca="false">HYPERLINK("https://lindat.mff.cuni.cz/services/teitok/pdtc10/index.php?action=vallex&amp;frame=v-w813f1", "dožadovat se (v-w813f1)")</f>
        <v>dožadovat se (v-w813f1)</v>
      </c>
      <c r="E6049" s="0" t="str">
        <f aca="false">HYPERLINK("https://lindat.mff.cuni.cz/services/SynSemClass40/SynSemClass40.html?veclass=vec00272#vec00272-ces-cm00007", "vec00272")</f>
        <v>vec00272</v>
      </c>
      <c r="F6049" s="0" t="s">
        <v>1490</v>
      </c>
    </row>
    <row r="6050" customFormat="false" ht="12.8" hidden="false" customHeight="false" outlineLevel="0" collapsed="false">
      <c r="B6050" s="0" t="s">
        <v>1</v>
      </c>
      <c r="C6050" s="0" t="s">
        <v>1491</v>
      </c>
      <c r="E6050" s="0" t="s">
        <v>1492</v>
      </c>
      <c r="F6050" s="0" t="s">
        <v>1493</v>
      </c>
    </row>
    <row r="6051" customFormat="false" ht="12.8" hidden="false" customHeight="false" outlineLevel="0" collapsed="false">
      <c r="B6051" s="0" t="s">
        <v>3179</v>
      </c>
      <c r="C6051" s="0" t="s">
        <v>1494</v>
      </c>
      <c r="E6051" s="0" t="s">
        <v>1495</v>
      </c>
      <c r="F6051" s="0" t="s">
        <v>1496</v>
      </c>
    </row>
    <row r="6052" customFormat="false" ht="12.8" hidden="false" customHeight="false" outlineLevel="0" collapsed="false">
      <c r="B6052" s="0" t="s">
        <v>2094</v>
      </c>
      <c r="C6052" s="0" t="s">
        <v>1497</v>
      </c>
      <c r="E6052" s="0" t="s">
        <v>1498</v>
      </c>
      <c r="F6052" s="0" t="s">
        <v>1499</v>
      </c>
    </row>
    <row r="6054" customFormat="false" ht="12.8" hidden="false" customHeight="false" outlineLevel="0" collapsed="false">
      <c r="A6054" s="0" t="s">
        <v>3180</v>
      </c>
      <c r="B6054" s="0" t="str">
        <f aca="false">HYPERLINK("https://lindat.mff.cuni.cz/services/teitok/pdtc10/index.php?action=vallex&amp;frame=v-whsa_1104hsa_1105", "dožít (v-whsa_1104hsa_1105)")</f>
        <v>dožít (v-whsa_1104hsa_1105)</v>
      </c>
    </row>
    <row r="6055" customFormat="false" ht="12.8" hidden="false" customHeight="false" outlineLevel="0" collapsed="false">
      <c r="B6055" s="0" t="s">
        <v>1</v>
      </c>
    </row>
    <row r="6057" customFormat="false" ht="12.8" hidden="false" customHeight="false" outlineLevel="0" collapsed="false">
      <c r="A6057" s="0" t="s">
        <v>3181</v>
      </c>
      <c r="B6057" s="0" t="str">
        <f aca="false">HYPERLINK("https://lindat.mff.cuni.cz/services/teitok/pdtc10/index.php?action=vallex&amp;frame=v-whsa_1104hsa_1106", "dožít (v-whsa_1104hsa_1106)")</f>
        <v>dožít (v-whsa_1104hsa_1106)</v>
      </c>
    </row>
    <row r="6058" customFormat="false" ht="12.8" hidden="false" customHeight="false" outlineLevel="0" collapsed="false">
      <c r="B6058" s="0" t="s">
        <v>1</v>
      </c>
    </row>
    <row r="6059" customFormat="false" ht="12.8" hidden="false" customHeight="false" outlineLevel="0" collapsed="false">
      <c r="B6059" s="0" t="s">
        <v>8</v>
      </c>
    </row>
    <row r="6061" customFormat="false" ht="12.8" hidden="false" customHeight="false" outlineLevel="0" collapsed="false">
      <c r="A6061" s="0" t="s">
        <v>3182</v>
      </c>
      <c r="B6061" s="0" t="str">
        <f aca="false">HYPERLINK("https://lindat.mff.cuni.cz/services/teitok/pdtc10/index.php?action=vallex&amp;frame=v-w815f1", "dožít se (v-w815f1)")</f>
        <v>dožít se (v-w815f1)</v>
      </c>
    </row>
    <row r="6062" customFormat="false" ht="12.8" hidden="false" customHeight="false" outlineLevel="0" collapsed="false">
      <c r="B6062" s="0" t="s">
        <v>1</v>
      </c>
    </row>
    <row r="6063" customFormat="false" ht="12.8" hidden="false" customHeight="false" outlineLevel="0" collapsed="false">
      <c r="B6063" s="0" t="s">
        <v>1289</v>
      </c>
    </row>
    <row r="6065" customFormat="false" ht="12.8" hidden="false" customHeight="false" outlineLevel="0" collapsed="false">
      <c r="A6065" s="0" t="s">
        <v>3183</v>
      </c>
      <c r="B6065" s="0" t="str">
        <f aca="false">HYPERLINK("https://lindat.mff.cuni.cz/services/teitok/pdtc10/index.php?action=vallex&amp;frame=v-w816f1", "dožívat se (v-w816f1)")</f>
        <v>dožívat se (v-w816f1)</v>
      </c>
    </row>
    <row r="6066" customFormat="false" ht="12.8" hidden="false" customHeight="false" outlineLevel="0" collapsed="false">
      <c r="B6066" s="0" t="s">
        <v>1</v>
      </c>
    </row>
    <row r="6067" customFormat="false" ht="12.8" hidden="false" customHeight="false" outlineLevel="0" collapsed="false">
      <c r="B6067" s="0" t="s">
        <v>1289</v>
      </c>
    </row>
    <row r="6069" customFormat="false" ht="12.8" hidden="false" customHeight="false" outlineLevel="0" collapsed="false">
      <c r="A6069" s="0" t="s">
        <v>3184</v>
      </c>
      <c r="B6069" s="0" t="str">
        <f aca="false">HYPERLINK("https://lindat.mff.cuni.cz/services/teitok/pdtc10/index.php?action=vallex&amp;frame=v-w821f1", "dramatizovat (v-w821f1)")</f>
        <v>dramatizovat (v-w821f1)</v>
      </c>
    </row>
    <row r="6070" customFormat="false" ht="12.8" hidden="false" customHeight="false" outlineLevel="0" collapsed="false">
      <c r="B6070" s="0" t="s">
        <v>1</v>
      </c>
    </row>
    <row r="6071" customFormat="false" ht="12.8" hidden="false" customHeight="false" outlineLevel="0" collapsed="false">
      <c r="B6071" s="0" t="s">
        <v>8</v>
      </c>
    </row>
    <row r="6073" customFormat="false" ht="12.8" hidden="false" customHeight="false" outlineLevel="0" collapsed="false">
      <c r="A6073" s="0" t="s">
        <v>3185</v>
      </c>
      <c r="B6073" s="0" t="str">
        <f aca="false">HYPERLINK("https://lindat.mff.cuni.cz/services/teitok/pdtc10/index.php?action=vallex&amp;frame=v-w821f2", "dramatizovat (v-w821f2)")</f>
        <v>dramatizovat (v-w821f2)</v>
      </c>
    </row>
    <row r="6074" customFormat="false" ht="12.8" hidden="false" customHeight="false" outlineLevel="0" collapsed="false">
      <c r="B6074" s="0" t="s">
        <v>1</v>
      </c>
    </row>
    <row r="6075" customFormat="false" ht="12.8" hidden="false" customHeight="false" outlineLevel="0" collapsed="false">
      <c r="B6075" s="0" t="s">
        <v>8</v>
      </c>
    </row>
    <row r="6077" customFormat="false" ht="12.8" hidden="false" customHeight="false" outlineLevel="0" collapsed="false">
      <c r="A6077" s="0" t="s">
        <v>3186</v>
      </c>
      <c r="B6077" s="0" t="str">
        <f aca="false">HYPERLINK("https://lindat.mff.cuni.cz/services/teitok/pdtc10/index.php?action=vallex&amp;frame=v-w823f1", "drancovat (v-w823f1)")</f>
        <v>drancovat (v-w823f1)</v>
      </c>
      <c r="E6077" s="0" t="str">
        <f aca="false">HYPERLINK("https://lindat.mff.cuni.cz/services/SynSemClass40/SynSemClass40.html?veclass=vec00389#vec00389-ces-cm00062", "vec00389")</f>
        <v>vec00389</v>
      </c>
      <c r="F6077" s="0" t="s">
        <v>1888</v>
      </c>
      <c r="H6077" s="0" t="str">
        <f aca="false">HYPERLINK("https://lindat.mff.cuni.cz/services/SynSemClass40/SynSemClass40.html?veclass=vec00957#vec00957-ces-cm00025", "vec00957")</f>
        <v>vec00957</v>
      </c>
      <c r="I6077" s="0" t="s">
        <v>3187</v>
      </c>
      <c r="K6077" s="0" t="str">
        <f aca="false">HYPERLINK("https://lindat.mff.cuni.cz/services/SynSemClass40/SynSemClass40.html?veclass=vec01303#vec01303-ces-cm00008", "vec01303")</f>
        <v>vec01303</v>
      </c>
      <c r="L6077" s="0" t="s">
        <v>3188</v>
      </c>
    </row>
    <row r="6078" customFormat="false" ht="12.8" hidden="false" customHeight="false" outlineLevel="0" collapsed="false">
      <c r="B6078" s="0" t="s">
        <v>1</v>
      </c>
      <c r="C6078" s="0" t="s">
        <v>3189</v>
      </c>
      <c r="E6078" s="0" t="s">
        <v>1890</v>
      </c>
      <c r="F6078" s="0" t="s">
        <v>1891</v>
      </c>
      <c r="H6078" s="0" t="s">
        <v>20</v>
      </c>
      <c r="I6078" s="0" t="s">
        <v>3190</v>
      </c>
      <c r="K6078" s="0" t="s">
        <v>1573</v>
      </c>
      <c r="L6078" s="0" t="s">
        <v>3191</v>
      </c>
    </row>
    <row r="6079" customFormat="false" ht="12.8" hidden="false" customHeight="false" outlineLevel="0" collapsed="false">
      <c r="B6079" s="0" t="s">
        <v>8</v>
      </c>
      <c r="C6079" s="0" t="s">
        <v>3192</v>
      </c>
      <c r="E6079" s="0" t="s">
        <v>1893</v>
      </c>
      <c r="F6079" s="0" t="s">
        <v>1894</v>
      </c>
      <c r="H6079" s="0" t="s">
        <v>1702</v>
      </c>
      <c r="I6079" s="0" t="s">
        <v>3193</v>
      </c>
      <c r="K6079" s="0" t="s">
        <v>594</v>
      </c>
      <c r="L6079" s="0" t="s">
        <v>3194</v>
      </c>
    </row>
    <row r="6081" customFormat="false" ht="12.8" hidden="false" customHeight="false" outlineLevel="0" collapsed="false">
      <c r="A6081" s="0" t="s">
        <v>3195</v>
      </c>
      <c r="B6081" s="0" t="str">
        <f aca="false">HYPERLINK("https://lindat.mff.cuni.cz/services/teitok/pdtc10/index.php?action=vallex&amp;frame=v-whsa_1876hsa_1877", "drandit (v-whsa_1876hsa_1877)")</f>
        <v>drandit (v-whsa_1876hsa_1877)</v>
      </c>
    </row>
    <row r="6082" customFormat="false" ht="12.8" hidden="false" customHeight="false" outlineLevel="0" collapsed="false">
      <c r="B6082" s="0" t="s">
        <v>1</v>
      </c>
    </row>
    <row r="6084" customFormat="false" ht="12.8" hidden="false" customHeight="false" outlineLevel="0" collapsed="false">
      <c r="A6084" s="0" t="s">
        <v>3196</v>
      </c>
      <c r="B6084" s="0" t="str">
        <f aca="false">HYPERLINK("https://lindat.mff.cuni.cz/services/teitok/pdtc10/index.php?action=vallex&amp;frame=v-w827f1", "dražit (v-w827f1)")</f>
        <v>dražit (v-w827f1)</v>
      </c>
      <c r="E6084" s="0" t="str">
        <f aca="false">HYPERLINK("https://lindat.mff.cuni.cz/services/SynSemClass40/SynSemClass40.html?veclass=vec01151#vec01151-ces-cm00002", "vec01151")</f>
        <v>vec01151</v>
      </c>
      <c r="F6084" s="0" t="s">
        <v>3197</v>
      </c>
    </row>
    <row r="6085" customFormat="false" ht="12.8" hidden="false" customHeight="false" outlineLevel="0" collapsed="false">
      <c r="B6085" s="0" t="s">
        <v>1</v>
      </c>
      <c r="C6085" s="0" t="s">
        <v>825</v>
      </c>
      <c r="E6085" s="0" t="s">
        <v>3198</v>
      </c>
      <c r="F6085" s="0" t="s">
        <v>3199</v>
      </c>
    </row>
    <row r="6086" customFormat="false" ht="12.8" hidden="false" customHeight="false" outlineLevel="0" collapsed="false">
      <c r="B6086" s="0" t="s">
        <v>8</v>
      </c>
      <c r="C6086" s="0" t="s">
        <v>3200</v>
      </c>
      <c r="E6086" s="0" t="s">
        <v>3201</v>
      </c>
      <c r="F6086" s="0" t="s">
        <v>3202</v>
      </c>
    </row>
    <row r="6088" customFormat="false" ht="12.8" hidden="false" customHeight="false" outlineLevel="0" collapsed="false">
      <c r="A6088" s="0" t="s">
        <v>3203</v>
      </c>
      <c r="B6088" s="0" t="str">
        <f aca="false">HYPERLINK("https://lindat.mff.cuni.cz/services/teitok/pdtc10/index.php?action=vallex&amp;frame=v-w11932_ZUf1_ZU", "drbat (v-w11932_ZUf1_ZU)")</f>
        <v>drbat (v-w11932_ZUf1_ZU)</v>
      </c>
    </row>
    <row r="6089" customFormat="false" ht="12.8" hidden="false" customHeight="false" outlineLevel="0" collapsed="false">
      <c r="B6089" s="0" t="s">
        <v>1</v>
      </c>
    </row>
    <row r="6090" customFormat="false" ht="12.8" hidden="false" customHeight="false" outlineLevel="0" collapsed="false">
      <c r="B6090" s="0" t="s">
        <v>3204</v>
      </c>
    </row>
    <row r="6091" customFormat="false" ht="12.8" hidden="false" customHeight="false" outlineLevel="0" collapsed="false">
      <c r="B6091" s="0" t="s">
        <v>3205</v>
      </c>
    </row>
    <row r="6093" customFormat="false" ht="12.8" hidden="false" customHeight="false" outlineLevel="0" collapsed="false">
      <c r="A6093" s="0" t="s">
        <v>3206</v>
      </c>
      <c r="B6093" s="0" t="str">
        <f aca="false">HYPERLINK("https://lindat.mff.cuni.cz/services/teitok/pdtc10/index.php?action=vallex&amp;frame=v-w11932_ZUf2_ZU", "drbat (v-w11932_ZUf2_ZU)")</f>
        <v>drbat (v-w11932_ZUf2_ZU)</v>
      </c>
    </row>
    <row r="6094" customFormat="false" ht="12.8" hidden="false" customHeight="false" outlineLevel="0" collapsed="false">
      <c r="B6094" s="0" t="s">
        <v>1</v>
      </c>
    </row>
    <row r="6095" customFormat="false" ht="12.8" hidden="false" customHeight="false" outlineLevel="0" collapsed="false">
      <c r="B6095" s="0" t="s">
        <v>8</v>
      </c>
    </row>
    <row r="6097" customFormat="false" ht="12.8" hidden="false" customHeight="false" outlineLevel="0" collapsed="false">
      <c r="A6097" s="0" t="s">
        <v>3207</v>
      </c>
      <c r="B6097" s="0" t="str">
        <f aca="false">HYPERLINK("https://lindat.mff.cuni.cz/services/teitok/pdtc10/index.php?action=vallex&amp;frame=v-w10165f2", "drhnout (v-w10165f2)")</f>
        <v>drhnout (v-w10165f2)</v>
      </c>
    </row>
    <row r="6098" customFormat="false" ht="12.8" hidden="false" customHeight="false" outlineLevel="0" collapsed="false">
      <c r="B6098" s="0" t="s">
        <v>1</v>
      </c>
    </row>
    <row r="6100" customFormat="false" ht="12.8" hidden="false" customHeight="false" outlineLevel="0" collapsed="false">
      <c r="A6100" s="0" t="s">
        <v>3208</v>
      </c>
      <c r="B6100" s="0" t="str">
        <f aca="false">HYPERLINK("https://lindat.mff.cuni.cz/services/teitok/pdtc10/index.php?action=vallex&amp;frame=v-w10165f5_ZU", "drhnout (v-w10165f5_ZU)")</f>
        <v>drhnout (v-w10165f5_ZU)</v>
      </c>
    </row>
    <row r="6101" customFormat="false" ht="12.8" hidden="false" customHeight="false" outlineLevel="0" collapsed="false">
      <c r="B6101" s="0" t="s">
        <v>1</v>
      </c>
    </row>
    <row r="6102" customFormat="false" ht="12.8" hidden="false" customHeight="false" outlineLevel="0" collapsed="false">
      <c r="B6102" s="0" t="s">
        <v>8</v>
      </c>
    </row>
    <row r="6104" customFormat="false" ht="12.8" hidden="false" customHeight="false" outlineLevel="0" collapsed="false">
      <c r="A6104" s="0" t="s">
        <v>3208</v>
      </c>
      <c r="B6104" s="0" t="str">
        <f aca="false">HYPERLINK("https://lindat.mff.cuni.cz/services/teitok/pdtc10/index.php?action=vallex&amp;frame=v-w10165f3_ZU", "drhnout (v-w10165f3_ZU) - substituted with v-w10165f5_ZU")</f>
        <v>drhnout (v-w10165f3_ZU) - substituted with v-w10165f5_ZU</v>
      </c>
    </row>
    <row r="6105" customFormat="false" ht="12.8" hidden="false" customHeight="false" outlineLevel="0" collapsed="false">
      <c r="B6105" s="0" t="s">
        <v>1</v>
      </c>
    </row>
    <row r="6106" customFormat="false" ht="12.8" hidden="false" customHeight="false" outlineLevel="0" collapsed="false">
      <c r="B6106" s="0" t="s">
        <v>8</v>
      </c>
    </row>
    <row r="6108" customFormat="false" ht="12.8" hidden="false" customHeight="false" outlineLevel="0" collapsed="false">
      <c r="A6108" s="0" t="s">
        <v>3208</v>
      </c>
      <c r="B6108" s="0" t="str">
        <f aca="false">HYPERLINK("https://lindat.mff.cuni.cz/services/teitok/pdtc10/index.php?action=vallex&amp;frame=v-w10165f4_ZU", "drhnout (v-w10165f4_ZU) - substituted with v-w10165f5_ZU")</f>
        <v>drhnout (v-w10165f4_ZU) - substituted with v-w10165f5_ZU</v>
      </c>
    </row>
    <row r="6109" customFormat="false" ht="12.8" hidden="false" customHeight="false" outlineLevel="0" collapsed="false">
      <c r="B6109" s="0" t="s">
        <v>1</v>
      </c>
    </row>
    <row r="6110" customFormat="false" ht="12.8" hidden="false" customHeight="false" outlineLevel="0" collapsed="false">
      <c r="B6110" s="0" t="s">
        <v>8</v>
      </c>
    </row>
    <row r="6112" customFormat="false" ht="12.8" hidden="false" customHeight="false" outlineLevel="0" collapsed="false">
      <c r="A6112" s="0" t="s">
        <v>3209</v>
      </c>
      <c r="B6112" s="0" t="str">
        <f aca="false">HYPERLINK("https://lindat.mff.cuni.cz/services/teitok/pdtc10/index.php?action=vallex&amp;frame=v-whsa_869hsa_870", "drncat (v-whsa_869hsa_870)")</f>
        <v>drncat (v-whsa_869hsa_870)</v>
      </c>
    </row>
    <row r="6113" customFormat="false" ht="12.8" hidden="false" customHeight="false" outlineLevel="0" collapsed="false">
      <c r="B6113" s="0" t="s">
        <v>1</v>
      </c>
    </row>
    <row r="6115" customFormat="false" ht="12.8" hidden="false" customHeight="false" outlineLevel="0" collapsed="false">
      <c r="A6115" s="0" t="s">
        <v>3210</v>
      </c>
      <c r="B6115" s="0" t="str">
        <f aca="false">HYPERLINK("https://lindat.mff.cuni.cz/services/teitok/pdtc10/index.php?action=vallex&amp;frame=v-w10448f2", "drobit (v-w10448f2)")</f>
        <v>drobit (v-w10448f2)</v>
      </c>
    </row>
    <row r="6116" customFormat="false" ht="12.8" hidden="false" customHeight="false" outlineLevel="0" collapsed="false">
      <c r="B6116" s="0" t="s">
        <v>1</v>
      </c>
    </row>
    <row r="6117" customFormat="false" ht="12.8" hidden="false" customHeight="false" outlineLevel="0" collapsed="false">
      <c r="B6117" s="0" t="s">
        <v>8</v>
      </c>
    </row>
    <row r="6118" customFormat="false" ht="12.8" hidden="false" customHeight="false" outlineLevel="0" collapsed="false">
      <c r="B6118" s="0" t="s">
        <v>3211</v>
      </c>
    </row>
    <row r="6120" customFormat="false" ht="12.8" hidden="false" customHeight="false" outlineLevel="0" collapsed="false">
      <c r="A6120" s="0" t="s">
        <v>3212</v>
      </c>
      <c r="B6120" s="0" t="str">
        <f aca="false">HYPERLINK("https://lindat.mff.cuni.cz/services/teitok/pdtc10/index.php?action=vallex&amp;frame=v-w11325f1", "drolit se (v-w11325f1)")</f>
        <v>drolit se (v-w11325f1)</v>
      </c>
      <c r="E6120" s="0" t="str">
        <f aca="false">HYPERLINK("https://lindat.mff.cuni.cz/services/SynSemClass40/SynSemClass40.html?veclass=vec01305#vec01305-ces-cm00018", "vec01305")</f>
        <v>vec01305</v>
      </c>
      <c r="F6120" s="0" t="s">
        <v>2015</v>
      </c>
    </row>
    <row r="6121" customFormat="false" ht="12.8" hidden="false" customHeight="false" outlineLevel="0" collapsed="false">
      <c r="B6121" s="0" t="s">
        <v>1</v>
      </c>
      <c r="C6121" s="0" t="s">
        <v>2016</v>
      </c>
      <c r="E6121" s="0" t="s">
        <v>2017</v>
      </c>
      <c r="F6121" s="0" t="s">
        <v>2018</v>
      </c>
    </row>
    <row r="6122" customFormat="false" ht="12.8" hidden="false" customHeight="false" outlineLevel="0" collapsed="false">
      <c r="B6122" s="0" t="s">
        <v>3213</v>
      </c>
      <c r="C6122" s="0" t="s">
        <v>2019</v>
      </c>
      <c r="E6122" s="0" t="s">
        <v>110</v>
      </c>
      <c r="F6122" s="0" t="s">
        <v>2020</v>
      </c>
    </row>
    <row r="6124" customFormat="false" ht="12.8" hidden="false" customHeight="false" outlineLevel="0" collapsed="false">
      <c r="A6124" s="0" t="s">
        <v>3214</v>
      </c>
      <c r="B6124" s="0" t="str">
        <f aca="false">HYPERLINK("https://lindat.mff.cuni.cz/services/teitok/pdtc10/index.php?action=vallex&amp;frame=v-w831f1", "drožkařit (v-w831f1)")</f>
        <v>drožkařit (v-w831f1)</v>
      </c>
    </row>
    <row r="6125" customFormat="false" ht="12.8" hidden="false" customHeight="false" outlineLevel="0" collapsed="false">
      <c r="B6125" s="0" t="s">
        <v>1</v>
      </c>
    </row>
    <row r="6127" customFormat="false" ht="12.8" hidden="false" customHeight="false" outlineLevel="0" collapsed="false">
      <c r="A6127" s="0" t="s">
        <v>3215</v>
      </c>
      <c r="B6127" s="0" t="str">
        <f aca="false">HYPERLINK("https://lindat.mff.cuni.cz/services/teitok/pdtc10/index.php?action=vallex&amp;frame=v-w832f1", "drtit (v-w832f1)")</f>
        <v>drtit (v-w832f1)</v>
      </c>
    </row>
    <row r="6128" customFormat="false" ht="12.8" hidden="false" customHeight="false" outlineLevel="0" collapsed="false">
      <c r="B6128" s="0" t="s">
        <v>1</v>
      </c>
    </row>
    <row r="6129" customFormat="false" ht="12.8" hidden="false" customHeight="false" outlineLevel="0" collapsed="false">
      <c r="B6129" s="0" t="s">
        <v>8</v>
      </c>
    </row>
    <row r="6131" customFormat="false" ht="12.8" hidden="false" customHeight="false" outlineLevel="0" collapsed="false">
      <c r="A6131" s="0" t="s">
        <v>3216</v>
      </c>
      <c r="B6131" s="0" t="str">
        <f aca="false">HYPERLINK("https://lindat.mff.cuni.cz/services/teitok/pdtc10/index.php?action=vallex&amp;frame=v-w834f2", "družit se (v-w834f2)")</f>
        <v>družit se (v-w834f2)</v>
      </c>
    </row>
    <row r="6132" customFormat="false" ht="12.8" hidden="false" customHeight="false" outlineLevel="0" collapsed="false">
      <c r="B6132" s="0" t="s">
        <v>1</v>
      </c>
    </row>
    <row r="6133" customFormat="false" ht="12.8" hidden="false" customHeight="false" outlineLevel="0" collapsed="false">
      <c r="B6133" s="0" t="s">
        <v>721</v>
      </c>
    </row>
    <row r="6134" customFormat="false" ht="12.8" hidden="false" customHeight="false" outlineLevel="0" collapsed="false">
      <c r="B6134" s="0" t="s">
        <v>3026</v>
      </c>
    </row>
    <row r="6136" customFormat="false" ht="12.8" hidden="false" customHeight="false" outlineLevel="0" collapsed="false">
      <c r="A6136" s="0" t="s">
        <v>3217</v>
      </c>
      <c r="B6136" s="0" t="str">
        <f aca="false">HYPERLINK("https://lindat.mff.cuni.cz/services/teitok/pdtc10/index.php?action=vallex&amp;frame=v-w834f1", "družit se (v-w834f1)")</f>
        <v>družit se (v-w834f1)</v>
      </c>
      <c r="E6136" s="0" t="str">
        <f aca="false">HYPERLINK("https://lindat.mff.cuni.cz/services/SynSemClass40/SynSemClass40.html?veclass=vec00318#vec00318-ces-cm00024", "vec00318")</f>
        <v>vec00318</v>
      </c>
      <c r="F6136" s="0" t="s">
        <v>3218</v>
      </c>
    </row>
    <row r="6137" customFormat="false" ht="12.8" hidden="false" customHeight="false" outlineLevel="0" collapsed="false">
      <c r="B6137" s="0" t="s">
        <v>1</v>
      </c>
      <c r="C6137" s="0" t="s">
        <v>3219</v>
      </c>
      <c r="E6137" s="0" t="s">
        <v>2241</v>
      </c>
      <c r="F6137" s="0" t="s">
        <v>3220</v>
      </c>
    </row>
    <row r="6138" customFormat="false" ht="12.8" hidden="false" customHeight="false" outlineLevel="0" collapsed="false">
      <c r="B6138" s="0" t="s">
        <v>311</v>
      </c>
      <c r="C6138" s="0" t="s">
        <v>3221</v>
      </c>
      <c r="E6138" s="0" t="s">
        <v>2665</v>
      </c>
      <c r="F6138" s="0" t="s">
        <v>3222</v>
      </c>
    </row>
    <row r="6140" customFormat="false" ht="12.8" hidden="false" customHeight="false" outlineLevel="0" collapsed="false">
      <c r="A6140" s="0" t="s">
        <v>3223</v>
      </c>
      <c r="B6140" s="0" t="str">
        <f aca="false">HYPERLINK("https://lindat.mff.cuni.cz/services/teitok/pdtc10/index.php?action=vallex&amp;frame=v-w834f3", "družit se (v-w834f3)")</f>
        <v>družit se (v-w834f3)</v>
      </c>
    </row>
    <row r="6141" customFormat="false" ht="12.8" hidden="false" customHeight="false" outlineLevel="0" collapsed="false">
      <c r="B6141" s="0" t="s">
        <v>1</v>
      </c>
    </row>
    <row r="6142" customFormat="false" ht="12.8" hidden="false" customHeight="false" outlineLevel="0" collapsed="false">
      <c r="B6142" s="0" t="s">
        <v>721</v>
      </c>
    </row>
    <row r="6144" customFormat="false" ht="12.8" hidden="false" customHeight="false" outlineLevel="0" collapsed="false">
      <c r="A6144" s="0" t="s">
        <v>3224</v>
      </c>
      <c r="B6144" s="0" t="str">
        <f aca="false">HYPERLINK("https://lindat.mff.cuni.cz/services/teitok/pdtc10/index.php?action=vallex&amp;frame=v-w11510_ZUf2_ZU", "drápat se (v-w11510_ZUf2_ZU)")</f>
        <v>drápat se (v-w11510_ZUf2_ZU)</v>
      </c>
      <c r="E6144" s="0" t="str">
        <f aca="false">HYPERLINK("https://lindat.mff.cuni.cz/services/SynSemClass40/SynSemClass40.html?veclass=vec00218#vec00218-ces-cm00260", "vec00218")</f>
        <v>vec00218</v>
      </c>
      <c r="F6144" s="0" t="s">
        <v>2143</v>
      </c>
      <c r="H6144" s="0" t="str">
        <f aca="false">HYPERLINK("https://lindat.mff.cuni.cz/services/SynSemClass40/SynSemClass40.html?veclass=vec00610#vec00610-ces-cm00046", "vec00610")</f>
        <v>vec00610</v>
      </c>
      <c r="I6144" s="0" t="s">
        <v>3225</v>
      </c>
    </row>
    <row r="6145" customFormat="false" ht="12.8" hidden="false" customHeight="false" outlineLevel="0" collapsed="false">
      <c r="B6145" s="0" t="s">
        <v>1</v>
      </c>
      <c r="C6145" s="0" t="s">
        <v>3226</v>
      </c>
      <c r="E6145" s="0" t="s">
        <v>11</v>
      </c>
      <c r="F6145" s="0" t="s">
        <v>2145</v>
      </c>
      <c r="H6145" s="0" t="s">
        <v>11</v>
      </c>
      <c r="I6145" s="0" t="s">
        <v>3227</v>
      </c>
    </row>
    <row r="6146" customFormat="false" ht="12.8" hidden="false" customHeight="false" outlineLevel="0" collapsed="false">
      <c r="B6146" s="0" t="s">
        <v>454</v>
      </c>
      <c r="C6146" s="0" t="s">
        <v>3228</v>
      </c>
      <c r="E6146" s="0" t="s">
        <v>370</v>
      </c>
      <c r="F6146" s="0" t="s">
        <v>2147</v>
      </c>
      <c r="H6146" s="0" t="s">
        <v>3229</v>
      </c>
      <c r="I6146" s="0" t="s">
        <v>3230</v>
      </c>
    </row>
    <row r="6148" customFormat="false" ht="12.8" hidden="false" customHeight="false" outlineLevel="0" collapsed="false">
      <c r="A6148" s="0" t="s">
        <v>3224</v>
      </c>
      <c r="B6148" s="0" t="str">
        <f aca="false">HYPERLINK("https://lindat.mff.cuni.cz/services/teitok/pdtc10/index.php?action=vallex&amp;frame=v-w11510_ZUf1_ZU", "drápat se (v-w11510_ZUf1_ZU) - substituted with v-w11510_ZUf2_ZU")</f>
        <v>drápat se (v-w11510_ZUf1_ZU) - substituted with v-w11510_ZUf2_ZU</v>
      </c>
    </row>
    <row r="6149" customFormat="false" ht="12.8" hidden="false" customHeight="false" outlineLevel="0" collapsed="false">
      <c r="B6149" s="0" t="s">
        <v>1</v>
      </c>
    </row>
    <row r="6150" customFormat="false" ht="12.8" hidden="false" customHeight="false" outlineLevel="0" collapsed="false">
      <c r="B6150" s="0" t="s">
        <v>454</v>
      </c>
    </row>
    <row r="6152" customFormat="false" ht="12.8" hidden="false" customHeight="false" outlineLevel="0" collapsed="false">
      <c r="A6152" s="0" t="s">
        <v>3231</v>
      </c>
      <c r="B6152" s="0" t="str">
        <f aca="false">HYPERLINK("https://lindat.mff.cuni.cz/services/teitok/pdtc10/index.php?action=vallex&amp;frame=v-w824f2", "drát se (v-w824f2)")</f>
        <v>drát se (v-w824f2)</v>
      </c>
      <c r="E6152" s="0" t="str">
        <f aca="false">HYPERLINK("https://lindat.mff.cuni.cz/services/SynSemClass40/SynSemClass40.html?veclass=vec00121#vec00121-ces-cm00011", "vec00121")</f>
        <v>vec00121</v>
      </c>
      <c r="F6152" s="0" t="s">
        <v>414</v>
      </c>
    </row>
    <row r="6153" customFormat="false" ht="12.8" hidden="false" customHeight="false" outlineLevel="0" collapsed="false">
      <c r="B6153" s="0" t="s">
        <v>1</v>
      </c>
      <c r="C6153" s="0" t="s">
        <v>415</v>
      </c>
      <c r="E6153" s="0" t="s">
        <v>416</v>
      </c>
      <c r="F6153" s="0" t="s">
        <v>417</v>
      </c>
    </row>
    <row r="6154" customFormat="false" ht="12.8" hidden="false" customHeight="false" outlineLevel="0" collapsed="false">
      <c r="B6154" s="0" t="s">
        <v>276</v>
      </c>
      <c r="C6154" s="0" t="s">
        <v>419</v>
      </c>
      <c r="E6154" s="0" t="s">
        <v>420</v>
      </c>
      <c r="F6154" s="0" t="s">
        <v>421</v>
      </c>
    </row>
    <row r="6155" customFormat="false" ht="12.8" hidden="false" customHeight="false" outlineLevel="0" collapsed="false">
      <c r="B6155" s="0" t="s">
        <v>3152</v>
      </c>
      <c r="C6155" s="0" t="s">
        <v>423</v>
      </c>
      <c r="E6155" s="0" t="s">
        <v>424</v>
      </c>
      <c r="F6155" s="0" t="s">
        <v>425</v>
      </c>
    </row>
    <row r="6157" customFormat="false" ht="12.8" hidden="false" customHeight="false" outlineLevel="0" collapsed="false">
      <c r="A6157" s="0" t="s">
        <v>3232</v>
      </c>
      <c r="B6157" s="0" t="str">
        <f aca="false">HYPERLINK("https://lindat.mff.cuni.cz/services/teitok/pdtc10/index.php?action=vallex&amp;frame=v-w824f1", "drát se (v-w824f1)")</f>
        <v>drát se (v-w824f1)</v>
      </c>
    </row>
    <row r="6158" customFormat="false" ht="12.8" hidden="false" customHeight="false" outlineLevel="0" collapsed="false">
      <c r="B6158" s="0" t="s">
        <v>1</v>
      </c>
    </row>
    <row r="6159" customFormat="false" ht="12.8" hidden="false" customHeight="false" outlineLevel="0" collapsed="false">
      <c r="B6159" s="0" t="s">
        <v>164</v>
      </c>
    </row>
    <row r="6161" customFormat="false" ht="12.8" hidden="false" customHeight="false" outlineLevel="0" collapsed="false">
      <c r="A6161" s="0" t="s">
        <v>3233</v>
      </c>
      <c r="B6161" s="0" t="str">
        <f aca="false">HYPERLINK("https://lindat.mff.cuni.cz/services/teitok/pdtc10/index.php?action=vallex&amp;frame=v-w826f2", "dráždit (v-w826f2)")</f>
        <v>dráždit (v-w826f2)</v>
      </c>
      <c r="E6161" s="0" t="str">
        <f aca="false">HYPERLINK("https://lindat.mff.cuni.cz/services/SynSemClass40/SynSemClass40.html?veclass=vec00608#vec00608-ces-cm00001", "vec00608")</f>
        <v>vec00608</v>
      </c>
      <c r="F6161" s="0" t="s">
        <v>1927</v>
      </c>
    </row>
    <row r="6162" customFormat="false" ht="12.8" hidden="false" customHeight="false" outlineLevel="0" collapsed="false">
      <c r="B6162" s="0" t="s">
        <v>1</v>
      </c>
      <c r="C6162" s="0" t="s">
        <v>657</v>
      </c>
      <c r="E6162" s="0" t="s">
        <v>1103</v>
      </c>
      <c r="F6162" s="0" t="s">
        <v>1928</v>
      </c>
    </row>
    <row r="6163" customFormat="false" ht="12.8" hidden="false" customHeight="false" outlineLevel="0" collapsed="false">
      <c r="B6163" s="0" t="s">
        <v>8</v>
      </c>
      <c r="C6163" s="0" t="s">
        <v>1929</v>
      </c>
      <c r="E6163" s="0" t="s">
        <v>1930</v>
      </c>
      <c r="F6163" s="0" t="s">
        <v>1931</v>
      </c>
    </row>
    <row r="6165" customFormat="false" ht="12.8" hidden="false" customHeight="false" outlineLevel="0" collapsed="false">
      <c r="A6165" s="0" t="s">
        <v>3234</v>
      </c>
      <c r="B6165" s="0" t="str">
        <f aca="false">HYPERLINK("https://lindat.mff.cuni.cz/services/teitok/pdtc10/index.php?action=vallex&amp;frame=v-w826f3", "dráždit (v-w826f3)")</f>
        <v>dráždit (v-w826f3)</v>
      </c>
    </row>
    <row r="6166" customFormat="false" ht="12.8" hidden="false" customHeight="false" outlineLevel="0" collapsed="false">
      <c r="B6166" s="0" t="s">
        <v>1</v>
      </c>
    </row>
    <row r="6167" customFormat="false" ht="12.8" hidden="false" customHeight="false" outlineLevel="0" collapsed="false">
      <c r="B6167" s="0" t="s">
        <v>8</v>
      </c>
    </row>
    <row r="6169" customFormat="false" ht="12.8" hidden="false" customHeight="false" outlineLevel="0" collapsed="false">
      <c r="A6169" s="0" t="s">
        <v>3235</v>
      </c>
      <c r="B6169" s="0" t="str">
        <f aca="false">HYPERLINK("https://lindat.mff.cuni.cz/services/teitok/pdtc10/index.php?action=vallex&amp;frame=v-w826f4_ZU", "dráždit (v-w826f4_ZU)")</f>
        <v>dráždit (v-w826f4_ZU)</v>
      </c>
    </row>
    <row r="6170" customFormat="false" ht="12.8" hidden="false" customHeight="false" outlineLevel="0" collapsed="false">
      <c r="B6170" s="0" t="s">
        <v>1</v>
      </c>
    </row>
    <row r="6171" customFormat="false" ht="12.8" hidden="false" customHeight="false" outlineLevel="0" collapsed="false">
      <c r="B6171" s="0" t="s">
        <v>98</v>
      </c>
    </row>
    <row r="6172" customFormat="false" ht="12.8" hidden="false" customHeight="false" outlineLevel="0" collapsed="false">
      <c r="B6172" s="0" t="s">
        <v>3236</v>
      </c>
    </row>
    <row r="6174" customFormat="false" ht="12.8" hidden="false" customHeight="false" outlineLevel="0" collapsed="false">
      <c r="A6174" s="0" t="s">
        <v>3235</v>
      </c>
      <c r="B6174" s="0" t="str">
        <f aca="false">HYPERLINK("https://lindat.mff.cuni.cz/services/teitok/pdtc10/index.php?action=vallex&amp;frame=v-w826f1", "dráždit (v-w826f1) - substituted with v-w826f4_ZU")</f>
        <v>dráždit (v-w826f1) - substituted with v-w826f4_ZU</v>
      </c>
    </row>
    <row r="6175" customFormat="false" ht="12.8" hidden="false" customHeight="false" outlineLevel="0" collapsed="false">
      <c r="B6175" s="0" t="s">
        <v>1</v>
      </c>
    </row>
    <row r="6176" customFormat="false" ht="12.8" hidden="false" customHeight="false" outlineLevel="0" collapsed="false">
      <c r="B6176" s="0" t="s">
        <v>98</v>
      </c>
    </row>
    <row r="6177" customFormat="false" ht="12.8" hidden="false" customHeight="false" outlineLevel="0" collapsed="false">
      <c r="B6177" s="0" t="s">
        <v>3236</v>
      </c>
    </row>
    <row r="6179" customFormat="false" ht="12.8" hidden="false" customHeight="false" outlineLevel="0" collapsed="false">
      <c r="A6179" s="0" t="s">
        <v>3235</v>
      </c>
      <c r="B6179" s="0" t="str">
        <f aca="false">HYPERLINK("https://lindat.mff.cuni.cz/services/teitok/pdtc10/index.php?action=vallex&amp;frame=v-w826hsa_260", "dráždit (v-w826hsa_260) - substituted with v-w826f4_ZU")</f>
        <v>dráždit (v-w826hsa_260) - substituted with v-w826f4_ZU</v>
      </c>
    </row>
    <row r="6180" customFormat="false" ht="12.8" hidden="false" customHeight="false" outlineLevel="0" collapsed="false">
      <c r="B6180" s="0" t="s">
        <v>1</v>
      </c>
    </row>
    <row r="6181" customFormat="false" ht="12.8" hidden="false" customHeight="false" outlineLevel="0" collapsed="false">
      <c r="B6181" s="0" t="s">
        <v>98</v>
      </c>
    </row>
    <row r="6182" customFormat="false" ht="12.8" hidden="false" customHeight="false" outlineLevel="0" collapsed="false">
      <c r="B6182" s="0" t="s">
        <v>3236</v>
      </c>
    </row>
    <row r="6184" customFormat="false" ht="12.8" hidden="false" customHeight="false" outlineLevel="0" collapsed="false">
      <c r="A6184" s="0" t="s">
        <v>3237</v>
      </c>
      <c r="B6184" s="0" t="str">
        <f aca="false">HYPERLINK("https://lindat.mff.cuni.cz/services/teitok/pdtc10/index.php?action=vallex&amp;frame=v-w839f17_ZU", "držet (v-w839f17_ZU)")</f>
        <v>držet (v-w839f17_ZU)</v>
      </c>
    </row>
    <row r="6185" customFormat="false" ht="12.8" hidden="false" customHeight="false" outlineLevel="0" collapsed="false">
      <c r="B6185" s="0" t="s">
        <v>1</v>
      </c>
    </row>
    <row r="6186" customFormat="false" ht="12.8" hidden="false" customHeight="false" outlineLevel="0" collapsed="false">
      <c r="B6186" s="0" t="s">
        <v>8</v>
      </c>
    </row>
    <row r="6187" customFormat="false" ht="12.8" hidden="false" customHeight="false" outlineLevel="0" collapsed="false">
      <c r="B6187" s="0" t="s">
        <v>3238</v>
      </c>
    </row>
    <row r="6189" customFormat="false" ht="12.8" hidden="false" customHeight="false" outlineLevel="0" collapsed="false">
      <c r="A6189" s="0" t="s">
        <v>3239</v>
      </c>
      <c r="B6189" s="0" t="str">
        <f aca="false">HYPERLINK("https://lindat.mff.cuni.cz/services/teitok/pdtc10/index.php?action=vallex&amp;frame=v-w839f5", "držet (v-w839f5)")</f>
        <v>držet (v-w839f5)</v>
      </c>
      <c r="E6189" s="0" t="str">
        <f aca="false">HYPERLINK("https://lindat.mff.cuni.cz/services/SynSemClass40/SynSemClass40.html?veclass=vec00014#vec00014-ces-cm00001", "vec00014")</f>
        <v>vec00014</v>
      </c>
      <c r="F6189" s="0" t="s">
        <v>3240</v>
      </c>
    </row>
    <row r="6190" customFormat="false" ht="12.8" hidden="false" customHeight="false" outlineLevel="0" collapsed="false">
      <c r="B6190" s="0" t="s">
        <v>1</v>
      </c>
      <c r="C6190" s="0" t="s">
        <v>3241</v>
      </c>
      <c r="E6190" s="0" t="s">
        <v>31</v>
      </c>
      <c r="F6190" s="0" t="s">
        <v>3242</v>
      </c>
    </row>
    <row r="6191" customFormat="false" ht="12.8" hidden="false" customHeight="false" outlineLevel="0" collapsed="false">
      <c r="B6191" s="0" t="s">
        <v>8</v>
      </c>
      <c r="C6191" s="0" t="s">
        <v>3243</v>
      </c>
      <c r="E6191" s="0" t="s">
        <v>34</v>
      </c>
      <c r="F6191" s="0" t="s">
        <v>3244</v>
      </c>
    </row>
    <row r="6192" customFormat="false" ht="12.8" hidden="false" customHeight="false" outlineLevel="0" collapsed="false">
      <c r="B6192" s="0" t="s">
        <v>3245</v>
      </c>
      <c r="C6192" s="0" t="s">
        <v>3246</v>
      </c>
      <c r="E6192" s="0" t="s">
        <v>3247</v>
      </c>
      <c r="F6192" s="0" t="s">
        <v>3248</v>
      </c>
    </row>
    <row r="6194" customFormat="false" ht="12.8" hidden="false" customHeight="false" outlineLevel="0" collapsed="false">
      <c r="A6194" s="0" t="s">
        <v>3249</v>
      </c>
      <c r="B6194" s="0" t="str">
        <f aca="false">HYPERLINK("https://lindat.mff.cuni.cz/services/teitok/pdtc10/index.php?action=vallex&amp;frame=v-w839f2", "držet (v-w839f2)")</f>
        <v>držet (v-w839f2)</v>
      </c>
      <c r="E6194" s="0" t="str">
        <f aca="false">HYPERLINK("https://lindat.mff.cuni.cz/services/SynSemClass40/SynSemClass40.html?veclass=vec00813#vec00813-ces-cm00001", "vec00813")</f>
        <v>vec00813</v>
      </c>
      <c r="F6194" s="0" t="s">
        <v>3250</v>
      </c>
    </row>
    <row r="6195" customFormat="false" ht="12.8" hidden="false" customHeight="false" outlineLevel="0" collapsed="false">
      <c r="B6195" s="0" t="s">
        <v>1</v>
      </c>
      <c r="C6195" s="0" t="s">
        <v>512</v>
      </c>
      <c r="E6195" s="0" t="s">
        <v>206</v>
      </c>
      <c r="F6195" s="0" t="s">
        <v>3251</v>
      </c>
    </row>
    <row r="6196" customFormat="false" ht="12.8" hidden="false" customHeight="false" outlineLevel="0" collapsed="false">
      <c r="B6196" s="0" t="s">
        <v>8</v>
      </c>
      <c r="C6196" s="0" t="s">
        <v>3252</v>
      </c>
      <c r="E6196" s="0" t="s">
        <v>3002</v>
      </c>
      <c r="F6196" s="0" t="s">
        <v>3253</v>
      </c>
    </row>
    <row r="6197" customFormat="false" ht="12.8" hidden="false" customHeight="false" outlineLevel="0" collapsed="false">
      <c r="B6197" s="0" t="s">
        <v>5</v>
      </c>
      <c r="E6197" s="0" t="s">
        <v>3254</v>
      </c>
      <c r="F6197" s="0" t="s">
        <v>3255</v>
      </c>
    </row>
    <row r="6199" customFormat="false" ht="12.8" hidden="false" customHeight="false" outlineLevel="0" collapsed="false">
      <c r="A6199" s="0" t="s">
        <v>3256</v>
      </c>
      <c r="B6199" s="0" t="str">
        <f aca="false">HYPERLINK("https://lindat.mff.cuni.cz/services/teitok/pdtc10/index.php?action=vallex&amp;frame=v-w839f33_ZU", "držet (v-w839f33_ZU)")</f>
        <v>držet (v-w839f33_ZU)</v>
      </c>
    </row>
    <row r="6200" customFormat="false" ht="12.8" hidden="false" customHeight="false" outlineLevel="0" collapsed="false">
      <c r="B6200" s="0" t="s">
        <v>1</v>
      </c>
    </row>
    <row r="6201" customFormat="false" ht="12.8" hidden="false" customHeight="false" outlineLevel="0" collapsed="false">
      <c r="B6201" s="0" t="s">
        <v>8</v>
      </c>
    </row>
    <row r="6203" customFormat="false" ht="12.8" hidden="false" customHeight="false" outlineLevel="0" collapsed="false">
      <c r="A6203" s="0" t="s">
        <v>3256</v>
      </c>
      <c r="B6203" s="0" t="str">
        <f aca="false">HYPERLINK("https://lindat.mff.cuni.cz/services/teitok/pdtc10/index.php?action=vallex&amp;frame=v-w839f1", "držet (v-w839f1) - substituted with v-w839f33_ZU")</f>
        <v>držet (v-w839f1) - substituted with v-w839f33_ZU</v>
      </c>
      <c r="E6203" s="0" t="str">
        <f aca="false">HYPERLINK("https://lindat.mff.cuni.cz/services/SynSemClass40/SynSemClass40.html?veclass=vec01396#vec01396-ces-cm00001", "vec01396")</f>
        <v>vec01396</v>
      </c>
      <c r="F6203" s="0" t="s">
        <v>3257</v>
      </c>
    </row>
    <row r="6204" customFormat="false" ht="12.8" hidden="false" customHeight="false" outlineLevel="0" collapsed="false">
      <c r="B6204" s="0" t="s">
        <v>1</v>
      </c>
      <c r="C6204" s="0" t="s">
        <v>3258</v>
      </c>
      <c r="E6204" s="0" t="s">
        <v>11</v>
      </c>
      <c r="F6204" s="0" t="s">
        <v>3259</v>
      </c>
    </row>
    <row r="6205" customFormat="false" ht="12.8" hidden="false" customHeight="false" outlineLevel="0" collapsed="false">
      <c r="B6205" s="0" t="s">
        <v>8</v>
      </c>
      <c r="C6205" s="0" t="s">
        <v>3260</v>
      </c>
      <c r="E6205" s="0" t="s">
        <v>514</v>
      </c>
      <c r="F6205" s="0" t="s">
        <v>3261</v>
      </c>
    </row>
    <row r="6207" customFormat="false" ht="12.8" hidden="false" customHeight="false" outlineLevel="0" collapsed="false">
      <c r="A6207" s="0" t="s">
        <v>3262</v>
      </c>
      <c r="B6207" s="0" t="str">
        <f aca="false">HYPERLINK("https://lindat.mff.cuni.cz/services/teitok/pdtc10/index.php?action=vallex&amp;frame=v-w839f3", "držet (v-w839f3)")</f>
        <v>držet (v-w839f3)</v>
      </c>
      <c r="E6207" s="0" t="str">
        <f aca="false">HYPERLINK("https://lindat.mff.cuni.cz/services/SynSemClass40/SynSemClass40.html?veclass=vec00348#vec00348-ces-cm00007", "vec00348")</f>
        <v>vec00348</v>
      </c>
      <c r="F6207" s="0" t="s">
        <v>3263</v>
      </c>
    </row>
    <row r="6208" customFormat="false" ht="12.8" hidden="false" customHeight="false" outlineLevel="0" collapsed="false">
      <c r="B6208" s="0" t="s">
        <v>1</v>
      </c>
      <c r="C6208" s="0" t="s">
        <v>3264</v>
      </c>
      <c r="E6208" s="0" t="s">
        <v>3265</v>
      </c>
      <c r="F6208" s="0" t="s">
        <v>3266</v>
      </c>
    </row>
    <row r="6209" customFormat="false" ht="12.8" hidden="false" customHeight="false" outlineLevel="0" collapsed="false">
      <c r="B6209" s="0" t="s">
        <v>8</v>
      </c>
      <c r="C6209" s="0" t="s">
        <v>3267</v>
      </c>
      <c r="E6209" s="0" t="s">
        <v>594</v>
      </c>
      <c r="F6209" s="0" t="s">
        <v>3268</v>
      </c>
    </row>
    <row r="6211" customFormat="false" ht="12.8" hidden="false" customHeight="false" outlineLevel="0" collapsed="false">
      <c r="A6211" s="0" t="s">
        <v>3269</v>
      </c>
      <c r="B6211" s="0" t="str">
        <f aca="false">HYPERLINK("https://lindat.mff.cuni.cz/services/teitok/pdtc10/index.php?action=vallex&amp;frame=v-w839f9", "držet (v-w839f9)")</f>
        <v>držet (v-w839f9)</v>
      </c>
    </row>
    <row r="6212" customFormat="false" ht="12.8" hidden="false" customHeight="false" outlineLevel="0" collapsed="false">
      <c r="B6212" s="0" t="s">
        <v>1</v>
      </c>
    </row>
    <row r="6213" customFormat="false" ht="12.8" hidden="false" customHeight="false" outlineLevel="0" collapsed="false">
      <c r="B6213" s="0" t="s">
        <v>8</v>
      </c>
    </row>
    <row r="6215" customFormat="false" ht="12.8" hidden="false" customHeight="false" outlineLevel="0" collapsed="false">
      <c r="A6215" s="0" t="s">
        <v>3270</v>
      </c>
      <c r="B6215" s="0" t="str">
        <f aca="false">HYPERLINK("https://lindat.mff.cuni.cz/services/teitok/pdtc10/index.php?action=vallex&amp;frame=v-w839f15", "držet (v-w839f15)")</f>
        <v>držet (v-w839f15)</v>
      </c>
    </row>
    <row r="6216" customFormat="false" ht="12.8" hidden="false" customHeight="false" outlineLevel="0" collapsed="false">
      <c r="B6216" s="0" t="s">
        <v>1</v>
      </c>
    </row>
    <row r="6217" customFormat="false" ht="12.8" hidden="false" customHeight="false" outlineLevel="0" collapsed="false">
      <c r="B6217" s="0" t="s">
        <v>8</v>
      </c>
    </row>
    <row r="6219" customFormat="false" ht="12.8" hidden="false" customHeight="false" outlineLevel="0" collapsed="false">
      <c r="A6219" s="0" t="s">
        <v>3271</v>
      </c>
      <c r="B6219" s="0" t="str">
        <f aca="false">HYPERLINK("https://lindat.mff.cuni.cz/services/teitok/pdtc10/index.php?action=vallex&amp;frame=v-w839f16", "držet (v-w839f16)")</f>
        <v>držet (v-w839f16)</v>
      </c>
      <c r="E6219" s="0" t="str">
        <f aca="false">HYPERLINK("https://lindat.mff.cuni.cz/services/SynSemClass40/SynSemClass40.html?veclass=vec00176#vec00176-ces-cm00009", "vec00176")</f>
        <v>vec00176</v>
      </c>
      <c r="F6219" s="0" t="s">
        <v>3272</v>
      </c>
      <c r="H6219" s="0" t="str">
        <f aca="false">HYPERLINK("https://lindat.mff.cuni.cz/services/SynSemClass40/SynSemClass40.html?veclass=vec01477#vec01477-ces-cm00007", "vec01477")</f>
        <v>vec01477</v>
      </c>
      <c r="I6219" s="0" t="s">
        <v>3273</v>
      </c>
    </row>
    <row r="6220" customFormat="false" ht="12.8" hidden="false" customHeight="false" outlineLevel="0" collapsed="false">
      <c r="B6220" s="0" t="s">
        <v>1</v>
      </c>
      <c r="C6220" s="0" t="s">
        <v>3274</v>
      </c>
      <c r="E6220" s="0" t="s">
        <v>3275</v>
      </c>
      <c r="F6220" s="0" t="s">
        <v>3276</v>
      </c>
      <c r="H6220" s="0" t="s">
        <v>11</v>
      </c>
      <c r="I6220" s="0" t="s">
        <v>3277</v>
      </c>
    </row>
    <row r="6221" customFormat="false" ht="12.8" hidden="false" customHeight="false" outlineLevel="0" collapsed="false">
      <c r="B6221" s="0" t="s">
        <v>8</v>
      </c>
      <c r="C6221" s="0" t="s">
        <v>3278</v>
      </c>
      <c r="E6221" s="0" t="s">
        <v>3279</v>
      </c>
      <c r="F6221" s="0" t="s">
        <v>3280</v>
      </c>
      <c r="H6221" s="0" t="s">
        <v>1544</v>
      </c>
      <c r="I6221" s="0" t="s">
        <v>3281</v>
      </c>
    </row>
    <row r="6223" customFormat="false" ht="12.8" hidden="false" customHeight="false" outlineLevel="0" collapsed="false">
      <c r="A6223" s="0" t="s">
        <v>3282</v>
      </c>
      <c r="B6223" s="0" t="str">
        <f aca="false">HYPERLINK("https://lindat.mff.cuni.cz/services/teitok/pdtc10/index.php?action=vallex&amp;frame=v-w839f19_ZU", "držet (v-w839f19_ZU)")</f>
        <v>držet (v-w839f19_ZU)</v>
      </c>
    </row>
    <row r="6224" customFormat="false" ht="12.8" hidden="false" customHeight="false" outlineLevel="0" collapsed="false">
      <c r="B6224" s="0" t="s">
        <v>1</v>
      </c>
    </row>
    <row r="6225" customFormat="false" ht="12.8" hidden="false" customHeight="false" outlineLevel="0" collapsed="false">
      <c r="B6225" s="0" t="s">
        <v>8</v>
      </c>
    </row>
    <row r="6227" customFormat="false" ht="12.8" hidden="false" customHeight="false" outlineLevel="0" collapsed="false">
      <c r="A6227" s="0" t="s">
        <v>3282</v>
      </c>
      <c r="B6227" s="0" t="str">
        <f aca="false">HYPERLINK("https://lindat.mff.cuni.cz/services/teitok/pdtc10/index.php?action=vallex&amp;frame=v-w839f18_ZU", "držet (v-w839f18_ZU) - substituted with v-w839f19_ZU")</f>
        <v>držet (v-w839f18_ZU) - substituted with v-w839f19_ZU</v>
      </c>
    </row>
    <row r="6228" customFormat="false" ht="12.8" hidden="false" customHeight="false" outlineLevel="0" collapsed="false">
      <c r="B6228" s="0" t="s">
        <v>1</v>
      </c>
    </row>
    <row r="6229" customFormat="false" ht="12.8" hidden="false" customHeight="false" outlineLevel="0" collapsed="false">
      <c r="B6229" s="0" t="s">
        <v>8</v>
      </c>
    </row>
    <row r="6231" customFormat="false" ht="12.8" hidden="false" customHeight="false" outlineLevel="0" collapsed="false">
      <c r="A6231" s="0" t="s">
        <v>3283</v>
      </c>
      <c r="B6231" s="0" t="str">
        <f aca="false">HYPERLINK("https://lindat.mff.cuni.cz/services/teitok/pdtc10/index.php?action=vallex&amp;frame=v-w839f11", "držet (v-w839f11)")</f>
        <v>držet (v-w839f11)</v>
      </c>
    </row>
    <row r="6232" customFormat="false" ht="12.8" hidden="false" customHeight="false" outlineLevel="0" collapsed="false">
      <c r="B6232" s="0" t="s">
        <v>1</v>
      </c>
    </row>
    <row r="6234" customFormat="false" ht="12.8" hidden="false" customHeight="false" outlineLevel="0" collapsed="false">
      <c r="A6234" s="0" t="s">
        <v>3284</v>
      </c>
      <c r="B6234" s="0" t="str">
        <f aca="false">HYPERLINK("https://lindat.mff.cuni.cz/services/teitok/pdtc10/index.php?action=vallex&amp;frame=v-w839f14", "držet (v-w839f14)")</f>
        <v>držet (v-w839f14)</v>
      </c>
    </row>
    <row r="6235" customFormat="false" ht="12.8" hidden="false" customHeight="false" outlineLevel="0" collapsed="false">
      <c r="B6235" s="0" t="s">
        <v>629</v>
      </c>
    </row>
    <row r="6236" customFormat="false" ht="12.8" hidden="false" customHeight="false" outlineLevel="0" collapsed="false">
      <c r="B6236" s="0" t="s">
        <v>3285</v>
      </c>
    </row>
    <row r="6237" customFormat="false" ht="12.8" hidden="false" customHeight="false" outlineLevel="0" collapsed="false">
      <c r="B6237" s="0" t="s">
        <v>8</v>
      </c>
    </row>
    <row r="6239" customFormat="false" ht="12.8" hidden="false" customHeight="false" outlineLevel="0" collapsed="false">
      <c r="A6239" s="0" t="s">
        <v>3286</v>
      </c>
      <c r="B6239" s="0" t="str">
        <f aca="false">HYPERLINK("https://lindat.mff.cuni.cz/services/teitok/pdtc10/index.php?action=vallex&amp;frame=v-w839f10", "držet (v-w839f10)")</f>
        <v>držet (v-w839f10)</v>
      </c>
      <c r="E6239" s="0" t="str">
        <f aca="false">HYPERLINK("https://lindat.mff.cuni.cz/services/SynSemClass40/SynSemClass40.html?veclass=vec00412#vec00412-ces-cm00001", "vec00412")</f>
        <v>vec00412</v>
      </c>
      <c r="F6239" s="0" t="s">
        <v>3287</v>
      </c>
    </row>
    <row r="6240" customFormat="false" ht="12.8" hidden="false" customHeight="false" outlineLevel="0" collapsed="false">
      <c r="B6240" s="0" t="s">
        <v>1</v>
      </c>
      <c r="C6240" s="0" t="s">
        <v>3288</v>
      </c>
      <c r="E6240" s="0" t="s">
        <v>2241</v>
      </c>
      <c r="F6240" s="0" t="s">
        <v>3289</v>
      </c>
    </row>
    <row r="6241" customFormat="false" ht="12.8" hidden="false" customHeight="false" outlineLevel="0" collapsed="false">
      <c r="B6241" s="0" t="s">
        <v>3290</v>
      </c>
    </row>
    <row r="6242" customFormat="false" ht="12.8" hidden="false" customHeight="false" outlineLevel="0" collapsed="false">
      <c r="B6242" s="0" t="s">
        <v>721</v>
      </c>
      <c r="C6242" s="0" t="s">
        <v>3291</v>
      </c>
      <c r="E6242" s="0" t="s">
        <v>2665</v>
      </c>
      <c r="F6242" s="0" t="s">
        <v>3292</v>
      </c>
    </row>
    <row r="6244" customFormat="false" ht="12.8" hidden="false" customHeight="false" outlineLevel="0" collapsed="false">
      <c r="A6244" s="0" t="s">
        <v>3293</v>
      </c>
      <c r="B6244" s="0" t="str">
        <f aca="false">HYPERLINK("https://lindat.mff.cuni.cz/services/teitok/pdtc10/index.php?action=vallex&amp;frame=v-w839f13", "držet (v-w839f13)")</f>
        <v>držet (v-w839f13)</v>
      </c>
    </row>
    <row r="6245" customFormat="false" ht="12.8" hidden="false" customHeight="false" outlineLevel="0" collapsed="false">
      <c r="B6245" s="0" t="s">
        <v>1</v>
      </c>
    </row>
    <row r="6246" customFormat="false" ht="12.8" hidden="false" customHeight="false" outlineLevel="0" collapsed="false">
      <c r="B6246" s="0" t="s">
        <v>3294</v>
      </c>
    </row>
    <row r="6247" customFormat="false" ht="12.8" hidden="false" customHeight="false" outlineLevel="0" collapsed="false">
      <c r="B6247" s="0" t="s">
        <v>8</v>
      </c>
    </row>
    <row r="6249" customFormat="false" ht="12.8" hidden="false" customHeight="false" outlineLevel="0" collapsed="false">
      <c r="A6249" s="0" t="s">
        <v>3295</v>
      </c>
      <c r="B6249" s="0" t="str">
        <f aca="false">HYPERLINK("https://lindat.mff.cuni.cz/services/teitok/pdtc10/index.php?action=vallex&amp;frame=v-w839f6", "držet (v-w839f6)")</f>
        <v>držet (v-w839f6)</v>
      </c>
      <c r="E6249" s="0" t="str">
        <f aca="false">HYPERLINK("https://lindat.mff.cuni.cz/services/SynSemClass40/SynSemClass40.html?veclass=vec00014#vec00014-ces-cm00128", "vec00014")</f>
        <v>vec00014</v>
      </c>
      <c r="F6249" s="0" t="s">
        <v>3240</v>
      </c>
    </row>
    <row r="6250" customFormat="false" ht="12.8" hidden="false" customHeight="false" outlineLevel="0" collapsed="false">
      <c r="B6250" s="0" t="s">
        <v>1</v>
      </c>
      <c r="C6250" s="0" t="s">
        <v>3241</v>
      </c>
      <c r="E6250" s="0" t="s">
        <v>31</v>
      </c>
      <c r="F6250" s="0" t="s">
        <v>3242</v>
      </c>
    </row>
    <row r="6251" customFormat="false" ht="12.8" hidden="false" customHeight="false" outlineLevel="0" collapsed="false">
      <c r="B6251" s="0" t="s">
        <v>3296</v>
      </c>
      <c r="C6251" s="0" t="s">
        <v>3297</v>
      </c>
      <c r="E6251" s="0" t="s">
        <v>3298</v>
      </c>
      <c r="F6251" s="0" t="s">
        <v>3299</v>
      </c>
    </row>
    <row r="6252" customFormat="false" ht="12.8" hidden="false" customHeight="false" outlineLevel="0" collapsed="false">
      <c r="B6252" s="0" t="s">
        <v>8</v>
      </c>
      <c r="C6252" s="0" t="s">
        <v>3243</v>
      </c>
      <c r="E6252" s="0" t="s">
        <v>34</v>
      </c>
      <c r="F6252" s="0" t="s">
        <v>3244</v>
      </c>
    </row>
    <row r="6254" customFormat="false" ht="12.8" hidden="false" customHeight="false" outlineLevel="0" collapsed="false">
      <c r="A6254" s="0" t="s">
        <v>3300</v>
      </c>
      <c r="B6254" s="0" t="str">
        <f aca="false">HYPERLINK("https://lindat.mff.cuni.cz/services/teitok/pdtc10/index.php?action=vallex&amp;frame=v-w839f8", "držet (v-w839f8)")</f>
        <v>držet (v-w839f8)</v>
      </c>
    </row>
    <row r="6255" customFormat="false" ht="12.8" hidden="false" customHeight="false" outlineLevel="0" collapsed="false">
      <c r="B6255" s="0" t="s">
        <v>1</v>
      </c>
    </row>
    <row r="6256" customFormat="false" ht="12.8" hidden="false" customHeight="false" outlineLevel="0" collapsed="false">
      <c r="B6256" s="0" t="s">
        <v>3301</v>
      </c>
    </row>
    <row r="6257" customFormat="false" ht="12.8" hidden="false" customHeight="false" outlineLevel="0" collapsed="false">
      <c r="B6257" s="0" t="s">
        <v>8</v>
      </c>
    </row>
    <row r="6259" customFormat="false" ht="12.8" hidden="false" customHeight="false" outlineLevel="0" collapsed="false">
      <c r="A6259" s="0" t="s">
        <v>3302</v>
      </c>
      <c r="B6259" s="0" t="str">
        <f aca="false">HYPERLINK("https://lindat.mff.cuni.cz/services/teitok/pdtc10/index.php?action=vallex&amp;frame=v-w839f12", "držet (v-w839f12)")</f>
        <v>držet (v-w839f12)</v>
      </c>
    </row>
    <row r="6260" customFormat="false" ht="12.8" hidden="false" customHeight="false" outlineLevel="0" collapsed="false">
      <c r="B6260" s="0" t="s">
        <v>1</v>
      </c>
    </row>
    <row r="6261" customFormat="false" ht="12.8" hidden="false" customHeight="false" outlineLevel="0" collapsed="false">
      <c r="B6261" s="0" t="s">
        <v>3303</v>
      </c>
    </row>
    <row r="6262" customFormat="false" ht="12.8" hidden="false" customHeight="false" outlineLevel="0" collapsed="false">
      <c r="B6262" s="0" t="s">
        <v>8</v>
      </c>
    </row>
    <row r="6264" customFormat="false" ht="12.8" hidden="false" customHeight="false" outlineLevel="0" collapsed="false">
      <c r="A6264" s="0" t="s">
        <v>3304</v>
      </c>
      <c r="B6264" s="0" t="str">
        <f aca="false">HYPERLINK("https://lindat.mff.cuni.cz/services/teitok/pdtc10/index.php?action=vallex&amp;frame=v-w839f7", "držet (v-w839f7)")</f>
        <v>držet (v-w839f7)</v>
      </c>
    </row>
    <row r="6265" customFormat="false" ht="12.8" hidden="false" customHeight="false" outlineLevel="0" collapsed="false">
      <c r="B6265" s="0" t="s">
        <v>1</v>
      </c>
    </row>
    <row r="6266" customFormat="false" ht="12.8" hidden="false" customHeight="false" outlineLevel="0" collapsed="false">
      <c r="B6266" s="0" t="s">
        <v>3305</v>
      </c>
    </row>
    <row r="6267" customFormat="false" ht="12.8" hidden="false" customHeight="false" outlineLevel="0" collapsed="false">
      <c r="B6267" s="0" t="s">
        <v>228</v>
      </c>
    </row>
    <row r="6269" customFormat="false" ht="12.8" hidden="false" customHeight="false" outlineLevel="0" collapsed="false">
      <c r="A6269" s="0" t="s">
        <v>3306</v>
      </c>
      <c r="B6269" s="0" t="str">
        <f aca="false">HYPERLINK("https://lindat.mff.cuni.cz/services/teitok/pdtc10/index.php?action=vallex&amp;frame=v-w839f4", "držet (v-w839f4)")</f>
        <v>držet (v-w839f4)</v>
      </c>
    </row>
    <row r="6270" customFormat="false" ht="12.8" hidden="false" customHeight="false" outlineLevel="0" collapsed="false">
      <c r="B6270" s="0" t="s">
        <v>1</v>
      </c>
    </row>
    <row r="6271" customFormat="false" ht="12.8" hidden="false" customHeight="false" outlineLevel="0" collapsed="false">
      <c r="B6271" s="0" t="s">
        <v>3307</v>
      </c>
    </row>
    <row r="6273" customFormat="false" ht="12.8" hidden="false" customHeight="false" outlineLevel="0" collapsed="false">
      <c r="A6273" s="0" t="s">
        <v>3308</v>
      </c>
      <c r="B6273" s="0" t="str">
        <f aca="false">HYPERLINK("https://lindat.mff.cuni.cz/services/teitok/pdtc10/index.php?action=vallex&amp;frame=v-w839f21_ZU", "držet (v-w839f21_ZU)")</f>
        <v>držet (v-w839f21_ZU)</v>
      </c>
    </row>
    <row r="6274" customFormat="false" ht="12.8" hidden="false" customHeight="false" outlineLevel="0" collapsed="false">
      <c r="B6274" s="0" t="s">
        <v>1</v>
      </c>
    </row>
    <row r="6275" customFormat="false" ht="12.8" hidden="false" customHeight="false" outlineLevel="0" collapsed="false">
      <c r="B6275" s="0" t="s">
        <v>8</v>
      </c>
    </row>
    <row r="6276" customFormat="false" ht="12.8" hidden="false" customHeight="false" outlineLevel="0" collapsed="false">
      <c r="B6276" s="0" t="s">
        <v>276</v>
      </c>
    </row>
    <row r="6278" customFormat="false" ht="12.8" hidden="false" customHeight="false" outlineLevel="0" collapsed="false">
      <c r="A6278" s="0" t="s">
        <v>3308</v>
      </c>
      <c r="B6278" s="0" t="str">
        <f aca="false">HYPERLINK("https://lindat.mff.cuni.cz/services/teitok/pdtc10/index.php?action=vallex&amp;frame=v-w839hsa_466", "držet (v-w839hsa_466) - substituted with v-w839f21_ZU")</f>
        <v>držet (v-w839hsa_466) - substituted with v-w839f21_ZU</v>
      </c>
    </row>
    <row r="6279" customFormat="false" ht="12.8" hidden="false" customHeight="false" outlineLevel="0" collapsed="false">
      <c r="B6279" s="0" t="s">
        <v>1</v>
      </c>
    </row>
    <row r="6280" customFormat="false" ht="12.8" hidden="false" customHeight="false" outlineLevel="0" collapsed="false">
      <c r="B6280" s="0" t="s">
        <v>8</v>
      </c>
    </row>
    <row r="6281" customFormat="false" ht="12.8" hidden="false" customHeight="false" outlineLevel="0" collapsed="false">
      <c r="B6281" s="0" t="s">
        <v>276</v>
      </c>
    </row>
    <row r="6283" customFormat="false" ht="12.8" hidden="false" customHeight="false" outlineLevel="0" collapsed="false">
      <c r="A6283" s="0" t="s">
        <v>3309</v>
      </c>
      <c r="B6283" s="0" t="str">
        <f aca="false">HYPERLINK("https://lindat.mff.cuni.cz/services/teitok/pdtc10/index.php?action=vallex&amp;frame=v-w839f20_ZU", "držet (v-w839f20_ZU)")</f>
        <v>držet (v-w839f20_ZU)</v>
      </c>
    </row>
    <row r="6284" customFormat="false" ht="12.8" hidden="false" customHeight="false" outlineLevel="0" collapsed="false">
      <c r="B6284" s="0" t="s">
        <v>1</v>
      </c>
    </row>
    <row r="6285" customFormat="false" ht="12.8" hidden="false" customHeight="false" outlineLevel="0" collapsed="false">
      <c r="B6285" s="0" t="s">
        <v>3310</v>
      </c>
    </row>
    <row r="6286" customFormat="false" ht="12.8" hidden="false" customHeight="false" outlineLevel="0" collapsed="false">
      <c r="B6286" s="0" t="s">
        <v>8</v>
      </c>
    </row>
    <row r="6288" customFormat="false" ht="12.8" hidden="false" customHeight="false" outlineLevel="0" collapsed="false">
      <c r="A6288" s="0" t="s">
        <v>3309</v>
      </c>
      <c r="B6288" s="0" t="str">
        <f aca="false">HYPERLINK("https://lindat.mff.cuni.cz/services/teitok/pdtc10/index.php?action=vallex&amp;frame=v-w839hsa_467", "držet (v-w839hsa_467) - substituted with v-w839f20_ZU")</f>
        <v>držet (v-w839hsa_467) - substituted with v-w839f20_ZU</v>
      </c>
    </row>
    <row r="6289" customFormat="false" ht="12.8" hidden="false" customHeight="false" outlineLevel="0" collapsed="false">
      <c r="B6289" s="0" t="s">
        <v>1</v>
      </c>
    </row>
    <row r="6290" customFormat="false" ht="12.8" hidden="false" customHeight="false" outlineLevel="0" collapsed="false">
      <c r="B6290" s="0" t="s">
        <v>3310</v>
      </c>
    </row>
    <row r="6291" customFormat="false" ht="12.8" hidden="false" customHeight="false" outlineLevel="0" collapsed="false">
      <c r="B6291" s="0" t="s">
        <v>8</v>
      </c>
    </row>
    <row r="6293" customFormat="false" ht="12.8" hidden="false" customHeight="false" outlineLevel="0" collapsed="false">
      <c r="A6293" s="0" t="s">
        <v>3311</v>
      </c>
      <c r="B6293" s="0" t="str">
        <f aca="false">HYPERLINK("https://lindat.mff.cuni.cz/services/teitok/pdtc10/index.php?action=vallex&amp;frame=v-w839f23_ZU", "držet (v-w839f23_ZU)")</f>
        <v>držet (v-w839f23_ZU)</v>
      </c>
    </row>
    <row r="6294" customFormat="false" ht="12.8" hidden="false" customHeight="false" outlineLevel="0" collapsed="false">
      <c r="B6294" s="0" t="s">
        <v>1</v>
      </c>
    </row>
    <row r="6295" customFormat="false" ht="12.8" hidden="false" customHeight="false" outlineLevel="0" collapsed="false">
      <c r="B6295" s="0" t="s">
        <v>3312</v>
      </c>
    </row>
    <row r="6297" customFormat="false" ht="12.8" hidden="false" customHeight="false" outlineLevel="0" collapsed="false">
      <c r="A6297" s="0" t="s">
        <v>3311</v>
      </c>
      <c r="B6297" s="0" t="str">
        <f aca="false">HYPERLINK("https://lindat.mff.cuni.cz/services/teitok/pdtc10/index.php?action=vallex&amp;frame=v-w839hsa_380", "držet (v-w839hsa_380) - substituted with v-w839f23_ZU")</f>
        <v>držet (v-w839hsa_380) - substituted with v-w839f23_ZU</v>
      </c>
    </row>
    <row r="6298" customFormat="false" ht="12.8" hidden="false" customHeight="false" outlineLevel="0" collapsed="false">
      <c r="B6298" s="0" t="s">
        <v>1</v>
      </c>
    </row>
    <row r="6299" customFormat="false" ht="12.8" hidden="false" customHeight="false" outlineLevel="0" collapsed="false">
      <c r="B6299" s="0" t="s">
        <v>3312</v>
      </c>
    </row>
    <row r="6301" customFormat="false" ht="12.8" hidden="false" customHeight="false" outlineLevel="0" collapsed="false">
      <c r="A6301" s="0" t="s">
        <v>3313</v>
      </c>
      <c r="B6301" s="0" t="str">
        <f aca="false">HYPERLINK("https://lindat.mff.cuni.cz/services/teitok/pdtc10/index.php?action=vallex&amp;frame=v-w839f24_ZU", "držet (v-w839f24_ZU)")</f>
        <v>držet (v-w839f24_ZU)</v>
      </c>
    </row>
    <row r="6302" customFormat="false" ht="12.8" hidden="false" customHeight="false" outlineLevel="0" collapsed="false">
      <c r="B6302" s="0" t="s">
        <v>1</v>
      </c>
    </row>
    <row r="6303" customFormat="false" ht="12.8" hidden="false" customHeight="false" outlineLevel="0" collapsed="false">
      <c r="B6303" s="0" t="s">
        <v>3314</v>
      </c>
    </row>
    <row r="6304" customFormat="false" ht="12.8" hidden="false" customHeight="false" outlineLevel="0" collapsed="false">
      <c r="B6304" s="0" t="s">
        <v>186</v>
      </c>
    </row>
    <row r="6306" customFormat="false" ht="12.8" hidden="false" customHeight="false" outlineLevel="0" collapsed="false">
      <c r="A6306" s="0" t="s">
        <v>3313</v>
      </c>
      <c r="B6306" s="0" t="str">
        <f aca="false">HYPERLINK("https://lindat.mff.cuni.cz/services/teitok/pdtc10/index.php?action=vallex&amp;frame=v-w839hsa_381", "držet (v-w839hsa_381) - substituted with v-w839f24_ZU")</f>
        <v>držet (v-w839hsa_381) - substituted with v-w839f24_ZU</v>
      </c>
    </row>
    <row r="6307" customFormat="false" ht="12.8" hidden="false" customHeight="false" outlineLevel="0" collapsed="false">
      <c r="B6307" s="0" t="s">
        <v>1</v>
      </c>
    </row>
    <row r="6308" customFormat="false" ht="12.8" hidden="false" customHeight="false" outlineLevel="0" collapsed="false">
      <c r="B6308" s="0" t="s">
        <v>3314</v>
      </c>
    </row>
    <row r="6309" customFormat="false" ht="12.8" hidden="false" customHeight="false" outlineLevel="0" collapsed="false">
      <c r="B6309" s="0" t="s">
        <v>186</v>
      </c>
    </row>
    <row r="6311" customFormat="false" ht="12.8" hidden="false" customHeight="false" outlineLevel="0" collapsed="false">
      <c r="A6311" s="0" t="s">
        <v>3315</v>
      </c>
      <c r="B6311" s="0" t="str">
        <f aca="false">HYPERLINK("https://lindat.mff.cuni.cz/services/teitok/pdtc10/index.php?action=vallex&amp;frame=v-w839f25_ZU", "držet (v-w839f25_ZU)")</f>
        <v>držet (v-w839f25_ZU)</v>
      </c>
    </row>
    <row r="6312" customFormat="false" ht="12.8" hidden="false" customHeight="false" outlineLevel="0" collapsed="false">
      <c r="B6312" s="0" t="s">
        <v>1</v>
      </c>
    </row>
    <row r="6313" customFormat="false" ht="12.8" hidden="false" customHeight="false" outlineLevel="0" collapsed="false">
      <c r="B6313" s="0" t="s">
        <v>3316</v>
      </c>
    </row>
    <row r="6315" customFormat="false" ht="12.8" hidden="false" customHeight="false" outlineLevel="0" collapsed="false">
      <c r="A6315" s="0" t="s">
        <v>3315</v>
      </c>
      <c r="B6315" s="0" t="str">
        <f aca="false">HYPERLINK("https://lindat.mff.cuni.cz/services/teitok/pdtc10/index.php?action=vallex&amp;frame=v-w839hsa_382", "držet (v-w839hsa_382) - substituted with v-w839f25_ZU")</f>
        <v>držet (v-w839hsa_382) - substituted with v-w839f25_ZU</v>
      </c>
    </row>
    <row r="6316" customFormat="false" ht="12.8" hidden="false" customHeight="false" outlineLevel="0" collapsed="false">
      <c r="B6316" s="0" t="s">
        <v>1</v>
      </c>
    </row>
    <row r="6317" customFormat="false" ht="12.8" hidden="false" customHeight="false" outlineLevel="0" collapsed="false">
      <c r="B6317" s="0" t="s">
        <v>3316</v>
      </c>
    </row>
    <row r="6319" customFormat="false" ht="12.8" hidden="false" customHeight="false" outlineLevel="0" collapsed="false">
      <c r="A6319" s="0" t="s">
        <v>3317</v>
      </c>
      <c r="B6319" s="0" t="str">
        <f aca="false">HYPERLINK("https://lindat.mff.cuni.cz/services/teitok/pdtc10/index.php?action=vallex&amp;frame=v-w839f26_ZU", "držet (v-w839f26_ZU)")</f>
        <v>držet (v-w839f26_ZU)</v>
      </c>
    </row>
    <row r="6320" customFormat="false" ht="12.8" hidden="false" customHeight="false" outlineLevel="0" collapsed="false">
      <c r="B6320" s="0" t="s">
        <v>1</v>
      </c>
    </row>
    <row r="6321" customFormat="false" ht="12.8" hidden="false" customHeight="false" outlineLevel="0" collapsed="false">
      <c r="B6321" s="0" t="s">
        <v>3318</v>
      </c>
    </row>
    <row r="6322" customFormat="false" ht="12.8" hidden="false" customHeight="false" outlineLevel="0" collapsed="false">
      <c r="B6322" s="0" t="s">
        <v>294</v>
      </c>
    </row>
    <row r="6324" customFormat="false" ht="12.8" hidden="false" customHeight="false" outlineLevel="0" collapsed="false">
      <c r="A6324" s="0" t="s">
        <v>3317</v>
      </c>
      <c r="B6324" s="0" t="str">
        <f aca="false">HYPERLINK("https://lindat.mff.cuni.cz/services/teitok/pdtc10/index.php?action=vallex&amp;frame=v-w839hsa_386", "držet (v-w839hsa_386) - substituted with v-w839f26_ZU")</f>
        <v>držet (v-w839hsa_386) - substituted with v-w839f26_ZU</v>
      </c>
    </row>
    <row r="6325" customFormat="false" ht="12.8" hidden="false" customHeight="false" outlineLevel="0" collapsed="false">
      <c r="B6325" s="0" t="s">
        <v>1</v>
      </c>
    </row>
    <row r="6326" customFormat="false" ht="12.8" hidden="false" customHeight="false" outlineLevel="0" collapsed="false">
      <c r="B6326" s="0" t="s">
        <v>3318</v>
      </c>
    </row>
    <row r="6327" customFormat="false" ht="12.8" hidden="false" customHeight="false" outlineLevel="0" collapsed="false">
      <c r="B6327" s="0" t="s">
        <v>294</v>
      </c>
    </row>
    <row r="6329" customFormat="false" ht="12.8" hidden="false" customHeight="false" outlineLevel="0" collapsed="false">
      <c r="A6329" s="0" t="s">
        <v>3319</v>
      </c>
      <c r="B6329" s="0" t="str">
        <f aca="false">HYPERLINK("https://lindat.mff.cuni.cz/services/teitok/pdtc10/index.php?action=vallex&amp;frame=v-w839f27_ZU", "držet (v-w839f27_ZU)")</f>
        <v>držet (v-w839f27_ZU)</v>
      </c>
    </row>
    <row r="6330" customFormat="false" ht="12.8" hidden="false" customHeight="false" outlineLevel="0" collapsed="false">
      <c r="B6330" s="0" t="s">
        <v>1</v>
      </c>
    </row>
    <row r="6331" customFormat="false" ht="12.8" hidden="false" customHeight="false" outlineLevel="0" collapsed="false">
      <c r="B6331" s="0" t="s">
        <v>3320</v>
      </c>
    </row>
    <row r="6332" customFormat="false" ht="12.8" hidden="false" customHeight="false" outlineLevel="0" collapsed="false">
      <c r="B6332" s="0" t="s">
        <v>3321</v>
      </c>
    </row>
    <row r="6334" customFormat="false" ht="12.8" hidden="false" customHeight="false" outlineLevel="0" collapsed="false">
      <c r="A6334" s="0" t="s">
        <v>3319</v>
      </c>
      <c r="B6334" s="0" t="str">
        <f aca="false">HYPERLINK("https://lindat.mff.cuni.cz/services/teitok/pdtc10/index.php?action=vallex&amp;frame=v-w839hsa_383", "držet (v-w839hsa_383) - substituted with v-w839f27_ZU")</f>
        <v>držet (v-w839hsa_383) - substituted with v-w839f27_ZU</v>
      </c>
    </row>
    <row r="6335" customFormat="false" ht="12.8" hidden="false" customHeight="false" outlineLevel="0" collapsed="false">
      <c r="B6335" s="0" t="s">
        <v>1</v>
      </c>
    </row>
    <row r="6336" customFormat="false" ht="12.8" hidden="false" customHeight="false" outlineLevel="0" collapsed="false">
      <c r="B6336" s="0" t="s">
        <v>3320</v>
      </c>
    </row>
    <row r="6337" customFormat="false" ht="12.8" hidden="false" customHeight="false" outlineLevel="0" collapsed="false">
      <c r="B6337" s="0" t="s">
        <v>3321</v>
      </c>
    </row>
    <row r="6339" customFormat="false" ht="12.8" hidden="false" customHeight="false" outlineLevel="0" collapsed="false">
      <c r="A6339" s="0" t="s">
        <v>3322</v>
      </c>
      <c r="B6339" s="0" t="str">
        <f aca="false">HYPERLINK("https://lindat.mff.cuni.cz/services/teitok/pdtc10/index.php?action=vallex&amp;frame=v-w839f28_ZU", "držet (v-w839f28_ZU)")</f>
        <v>držet (v-w839f28_ZU)</v>
      </c>
    </row>
    <row r="6340" customFormat="false" ht="12.8" hidden="false" customHeight="false" outlineLevel="0" collapsed="false">
      <c r="B6340" s="0" t="s">
        <v>1</v>
      </c>
    </row>
    <row r="6341" customFormat="false" ht="12.8" hidden="false" customHeight="false" outlineLevel="0" collapsed="false">
      <c r="B6341" s="0" t="s">
        <v>3323</v>
      </c>
    </row>
    <row r="6342" customFormat="false" ht="12.8" hidden="false" customHeight="false" outlineLevel="0" collapsed="false">
      <c r="B6342" s="0" t="s">
        <v>3321</v>
      </c>
    </row>
    <row r="6344" customFormat="false" ht="12.8" hidden="false" customHeight="false" outlineLevel="0" collapsed="false">
      <c r="A6344" s="0" t="s">
        <v>3322</v>
      </c>
      <c r="B6344" s="0" t="str">
        <f aca="false">HYPERLINK("https://lindat.mff.cuni.cz/services/teitok/pdtc10/index.php?action=vallex&amp;frame=v-w839hsa_384", "držet (v-w839hsa_384) - substituted with v-w839f28_ZU")</f>
        <v>držet (v-w839hsa_384) - substituted with v-w839f28_ZU</v>
      </c>
    </row>
    <row r="6345" customFormat="false" ht="12.8" hidden="false" customHeight="false" outlineLevel="0" collapsed="false">
      <c r="B6345" s="0" t="s">
        <v>1</v>
      </c>
    </row>
    <row r="6346" customFormat="false" ht="12.8" hidden="false" customHeight="false" outlineLevel="0" collapsed="false">
      <c r="B6346" s="0" t="s">
        <v>3323</v>
      </c>
    </row>
    <row r="6347" customFormat="false" ht="12.8" hidden="false" customHeight="false" outlineLevel="0" collapsed="false">
      <c r="B6347" s="0" t="s">
        <v>3321</v>
      </c>
    </row>
    <row r="6349" customFormat="false" ht="12.8" hidden="false" customHeight="false" outlineLevel="0" collapsed="false">
      <c r="A6349" s="0" t="s">
        <v>3324</v>
      </c>
      <c r="B6349" s="0" t="str">
        <f aca="false">HYPERLINK("https://lindat.mff.cuni.cz/services/teitok/pdtc10/index.php?action=vallex&amp;frame=v-w839f29_ZU", "držet (v-w839f29_ZU)")</f>
        <v>držet (v-w839f29_ZU)</v>
      </c>
    </row>
    <row r="6350" customFormat="false" ht="12.8" hidden="false" customHeight="false" outlineLevel="0" collapsed="false">
      <c r="B6350" s="0" t="s">
        <v>1</v>
      </c>
    </row>
    <row r="6351" customFormat="false" ht="12.8" hidden="false" customHeight="false" outlineLevel="0" collapsed="false">
      <c r="B6351" s="0" t="s">
        <v>3325</v>
      </c>
    </row>
    <row r="6352" customFormat="false" ht="12.8" hidden="false" customHeight="false" outlineLevel="0" collapsed="false">
      <c r="B6352" s="0" t="s">
        <v>8</v>
      </c>
    </row>
    <row r="6354" customFormat="false" ht="12.8" hidden="false" customHeight="false" outlineLevel="0" collapsed="false">
      <c r="A6354" s="0" t="s">
        <v>3324</v>
      </c>
      <c r="B6354" s="0" t="str">
        <f aca="false">HYPERLINK("https://lindat.mff.cuni.cz/services/teitok/pdtc10/index.php?action=vallex&amp;frame=v-w839hsa_385", "držet (v-w839hsa_385) - substituted with v-w839f29_ZU")</f>
        <v>držet (v-w839hsa_385) - substituted with v-w839f29_ZU</v>
      </c>
    </row>
    <row r="6355" customFormat="false" ht="12.8" hidden="false" customHeight="false" outlineLevel="0" collapsed="false">
      <c r="B6355" s="0" t="s">
        <v>1</v>
      </c>
    </row>
    <row r="6356" customFormat="false" ht="12.8" hidden="false" customHeight="false" outlineLevel="0" collapsed="false">
      <c r="B6356" s="0" t="s">
        <v>3325</v>
      </c>
    </row>
    <row r="6357" customFormat="false" ht="12.8" hidden="false" customHeight="false" outlineLevel="0" collapsed="false">
      <c r="B6357" s="0" t="s">
        <v>8</v>
      </c>
    </row>
    <row r="6359" customFormat="false" ht="12.8" hidden="false" customHeight="false" outlineLevel="0" collapsed="false">
      <c r="A6359" s="0" t="s">
        <v>3326</v>
      </c>
      <c r="B6359" s="0" t="str">
        <f aca="false">HYPERLINK("https://lindat.mff.cuni.cz/services/teitok/pdtc10/index.php?action=vallex&amp;frame=v-w839f31_ZU", "držet (v-w839f31_ZU)")</f>
        <v>držet (v-w839f31_ZU)</v>
      </c>
    </row>
    <row r="6360" customFormat="false" ht="12.8" hidden="false" customHeight="false" outlineLevel="0" collapsed="false">
      <c r="B6360" s="0" t="s">
        <v>1</v>
      </c>
    </row>
    <row r="6361" customFormat="false" ht="12.8" hidden="false" customHeight="false" outlineLevel="0" collapsed="false">
      <c r="B6361" s="0" t="s">
        <v>8</v>
      </c>
    </row>
    <row r="6363" customFormat="false" ht="12.8" hidden="false" customHeight="false" outlineLevel="0" collapsed="false">
      <c r="A6363" s="0" t="s">
        <v>3327</v>
      </c>
      <c r="B6363" s="0" t="str">
        <f aca="false">HYPERLINK("https://lindat.mff.cuni.cz/services/teitok/pdtc10/index.php?action=vallex&amp;frame=v-w839f32_ZU", "držet (v-w839f32_ZU)")</f>
        <v>držet (v-w839f32_ZU)</v>
      </c>
    </row>
    <row r="6364" customFormat="false" ht="12.8" hidden="false" customHeight="false" outlineLevel="0" collapsed="false">
      <c r="B6364" s="0" t="s">
        <v>1</v>
      </c>
    </row>
    <row r="6365" customFormat="false" ht="12.8" hidden="false" customHeight="false" outlineLevel="0" collapsed="false">
      <c r="B6365" s="0" t="s">
        <v>8</v>
      </c>
    </row>
    <row r="6367" customFormat="false" ht="12.8" hidden="false" customHeight="false" outlineLevel="0" collapsed="false">
      <c r="A6367" s="0" t="s">
        <v>3328</v>
      </c>
      <c r="B6367" s="0" t="str">
        <f aca="false">HYPERLINK("https://lindat.mff.cuni.cz/services/teitok/pdtc10/index.php?action=vallex&amp;frame=v-w839f34_ZU", "držet (v-w839f34_ZU)")</f>
        <v>držet (v-w839f34_ZU)</v>
      </c>
    </row>
    <row r="6368" customFormat="false" ht="12.8" hidden="false" customHeight="false" outlineLevel="0" collapsed="false">
      <c r="B6368" s="0" t="s">
        <v>1</v>
      </c>
    </row>
    <row r="6369" customFormat="false" ht="12.8" hidden="false" customHeight="false" outlineLevel="0" collapsed="false">
      <c r="B6369" s="0" t="s">
        <v>3329</v>
      </c>
    </row>
    <row r="6371" customFormat="false" ht="12.8" hidden="false" customHeight="false" outlineLevel="0" collapsed="false">
      <c r="A6371" s="0" t="s">
        <v>3330</v>
      </c>
      <c r="B6371" s="0" t="str">
        <f aca="false">HYPERLINK("https://lindat.mff.cuni.cz/services/teitok/pdtc10/index.php?action=vallex&amp;frame=v-w839f35_ZU", "držet (v-w839f35_ZU)")</f>
        <v>držet (v-w839f35_ZU)</v>
      </c>
    </row>
    <row r="6372" customFormat="false" ht="12.8" hidden="false" customHeight="false" outlineLevel="0" collapsed="false">
      <c r="B6372" s="0" t="s">
        <v>264</v>
      </c>
    </row>
    <row r="6373" customFormat="false" ht="12.8" hidden="false" customHeight="false" outlineLevel="0" collapsed="false">
      <c r="B6373" s="0" t="s">
        <v>439</v>
      </c>
    </row>
    <row r="6375" customFormat="false" ht="12.8" hidden="false" customHeight="false" outlineLevel="0" collapsed="false">
      <c r="A6375" s="0" t="s">
        <v>3330</v>
      </c>
      <c r="B6375" s="0" t="str">
        <f aca="false">HYPERLINK("https://lindat.mff.cuni.cz/services/teitok/pdtc10/index.php?action=vallex&amp;frame=v-w839f30_ZU", "držet (v-w839f30_ZU) - substituted with v-w839f35_ZU")</f>
        <v>držet (v-w839f30_ZU) - substituted with v-w839f35_ZU</v>
      </c>
    </row>
    <row r="6376" customFormat="false" ht="12.8" hidden="false" customHeight="false" outlineLevel="0" collapsed="false">
      <c r="B6376" s="0" t="s">
        <v>264</v>
      </c>
    </row>
    <row r="6377" customFormat="false" ht="12.8" hidden="false" customHeight="false" outlineLevel="0" collapsed="false">
      <c r="B6377" s="0" t="s">
        <v>439</v>
      </c>
    </row>
    <row r="6379" customFormat="false" ht="12.8" hidden="false" customHeight="false" outlineLevel="0" collapsed="false">
      <c r="A6379" s="0" t="s">
        <v>3331</v>
      </c>
      <c r="B6379" s="0" t="str">
        <f aca="false">HYPERLINK("https://lindat.mff.cuni.cz/services/teitok/pdtc10/index.php?action=vallex&amp;frame=v-w839f36_ZU", "držet (v-w839f36_ZU)")</f>
        <v>držet (v-w839f36_ZU)</v>
      </c>
    </row>
    <row r="6380" customFormat="false" ht="12.8" hidden="false" customHeight="false" outlineLevel="0" collapsed="false">
      <c r="B6380" s="0" t="s">
        <v>1</v>
      </c>
    </row>
    <row r="6381" customFormat="false" ht="12.8" hidden="false" customHeight="false" outlineLevel="0" collapsed="false">
      <c r="B6381" s="0" t="s">
        <v>3332</v>
      </c>
    </row>
    <row r="6383" customFormat="false" ht="12.8" hidden="false" customHeight="false" outlineLevel="0" collapsed="false">
      <c r="A6383" s="0" t="s">
        <v>3331</v>
      </c>
      <c r="B6383" s="0" t="str">
        <f aca="false">HYPERLINK("https://lindat.mff.cuni.cz/services/teitok/pdtc10/index.php?action=vallex&amp;frame=v-w839f22_ZU", "držet (v-w839f22_ZU) - substituted with v-w839f36_ZU")</f>
        <v>držet (v-w839f22_ZU) - substituted with v-w839f36_ZU</v>
      </c>
    </row>
    <row r="6384" customFormat="false" ht="12.8" hidden="false" customHeight="false" outlineLevel="0" collapsed="false">
      <c r="B6384" s="0" t="s">
        <v>1</v>
      </c>
    </row>
    <row r="6385" customFormat="false" ht="12.8" hidden="false" customHeight="false" outlineLevel="0" collapsed="false">
      <c r="B6385" s="0" t="s">
        <v>3332</v>
      </c>
    </row>
    <row r="6387" customFormat="false" ht="12.8" hidden="false" customHeight="false" outlineLevel="0" collapsed="false">
      <c r="A6387" s="0" t="s">
        <v>3331</v>
      </c>
      <c r="B6387" s="0" t="str">
        <f aca="false">HYPERLINK("https://lindat.mff.cuni.cz/services/teitok/pdtc10/index.php?action=vallex&amp;frame=v-w839hsa_379", "držet (v-w839hsa_379) - substituted with v-w839f36_ZU")</f>
        <v>držet (v-w839hsa_379) - substituted with v-w839f36_ZU</v>
      </c>
    </row>
    <row r="6388" customFormat="false" ht="12.8" hidden="false" customHeight="false" outlineLevel="0" collapsed="false">
      <c r="B6388" s="0" t="s">
        <v>1</v>
      </c>
    </row>
    <row r="6389" customFormat="false" ht="12.8" hidden="false" customHeight="false" outlineLevel="0" collapsed="false">
      <c r="B6389" s="0" t="s">
        <v>3332</v>
      </c>
    </row>
    <row r="6391" customFormat="false" ht="12.8" hidden="false" customHeight="false" outlineLevel="0" collapsed="false">
      <c r="A6391" s="0" t="s">
        <v>3333</v>
      </c>
      <c r="B6391" s="0" t="str">
        <f aca="false">HYPERLINK("https://lindat.mff.cuni.cz/services/teitok/pdtc10/index.php?action=vallex&amp;frame=v-w839hsa_378", "držet (v-w839hsa_378)")</f>
        <v>držet (v-w839hsa_378)</v>
      </c>
    </row>
    <row r="6392" customFormat="false" ht="12.8" hidden="false" customHeight="false" outlineLevel="0" collapsed="false">
      <c r="B6392" s="0" t="s">
        <v>1</v>
      </c>
    </row>
    <row r="6393" customFormat="false" ht="12.8" hidden="false" customHeight="false" outlineLevel="0" collapsed="false">
      <c r="B6393" s="0" t="s">
        <v>8</v>
      </c>
    </row>
    <row r="6395" customFormat="false" ht="12.8" hidden="false" customHeight="false" outlineLevel="0" collapsed="false">
      <c r="A6395" s="0" t="s">
        <v>3334</v>
      </c>
      <c r="B6395" s="0" t="str">
        <f aca="false">HYPERLINK("https://lindat.mff.cuni.cz/services/teitok/pdtc10/index.php?action=vallex&amp;frame=v-w839hsa_387", "držet (v-w839hsa_387)")</f>
        <v>držet (v-w839hsa_387)</v>
      </c>
    </row>
    <row r="6396" customFormat="false" ht="12.8" hidden="false" customHeight="false" outlineLevel="0" collapsed="false">
      <c r="B6396" s="0" t="s">
        <v>1</v>
      </c>
    </row>
    <row r="6397" customFormat="false" ht="12.8" hidden="false" customHeight="false" outlineLevel="0" collapsed="false">
      <c r="B6397" s="0" t="s">
        <v>45</v>
      </c>
    </row>
    <row r="6399" customFormat="false" ht="12.8" hidden="false" customHeight="false" outlineLevel="0" collapsed="false">
      <c r="A6399" s="0" t="s">
        <v>3335</v>
      </c>
      <c r="B6399" s="0" t="str">
        <f aca="false">HYPERLINK("https://lindat.mff.cuni.cz/services/teitok/pdtc10/index.php?action=vallex&amp;frame=v-w840f1", "držet se (v-w840f1)")</f>
        <v>držet se (v-w840f1)</v>
      </c>
      <c r="E6399" s="0" t="str">
        <f aca="false">HYPERLINK("https://lindat.mff.cuni.cz/services/SynSemClass40/SynSemClass40.html?veclass=vec01396#vec01396-ces-cm00002", "vec01396")</f>
        <v>vec01396</v>
      </c>
      <c r="F6399" s="0" t="s">
        <v>3257</v>
      </c>
    </row>
    <row r="6400" customFormat="false" ht="12.8" hidden="false" customHeight="false" outlineLevel="0" collapsed="false">
      <c r="B6400" s="0" t="s">
        <v>1</v>
      </c>
      <c r="C6400" s="0" t="s">
        <v>3258</v>
      </c>
      <c r="E6400" s="0" t="s">
        <v>11</v>
      </c>
      <c r="F6400" s="0" t="s">
        <v>3259</v>
      </c>
    </row>
    <row r="6401" customFormat="false" ht="12.8" hidden="false" customHeight="false" outlineLevel="0" collapsed="false">
      <c r="B6401" s="0" t="s">
        <v>1289</v>
      </c>
      <c r="C6401" s="0" t="s">
        <v>3260</v>
      </c>
      <c r="E6401" s="0" t="s">
        <v>514</v>
      </c>
      <c r="F6401" s="0" t="s">
        <v>3261</v>
      </c>
    </row>
    <row r="6403" customFormat="false" ht="12.8" hidden="false" customHeight="false" outlineLevel="0" collapsed="false">
      <c r="A6403" s="0" t="s">
        <v>3336</v>
      </c>
      <c r="B6403" s="0" t="str">
        <f aca="false">HYPERLINK("https://lindat.mff.cuni.cz/services/teitok/pdtc10/index.php?action=vallex&amp;frame=v-w840f3", "držet se (v-w840f3)")</f>
        <v>držet se (v-w840f3)</v>
      </c>
      <c r="E6403" s="0" t="str">
        <f aca="false">HYPERLINK("https://lindat.mff.cuni.cz/services/SynSemClass40/SynSemClass40.html?veclass=vec00303#vec00303-ces-cm00007", "vec00303")</f>
        <v>vec00303</v>
      </c>
      <c r="F6403" s="0" t="s">
        <v>1818</v>
      </c>
    </row>
    <row r="6404" customFormat="false" ht="12.8" hidden="false" customHeight="false" outlineLevel="0" collapsed="false">
      <c r="B6404" s="0" t="s">
        <v>1</v>
      </c>
      <c r="C6404" s="0" t="s">
        <v>1819</v>
      </c>
      <c r="E6404" s="0" t="s">
        <v>11</v>
      </c>
      <c r="F6404" s="0" t="s">
        <v>1820</v>
      </c>
    </row>
    <row r="6405" customFormat="false" ht="12.8" hidden="false" customHeight="false" outlineLevel="0" collapsed="false">
      <c r="B6405" s="0" t="s">
        <v>1289</v>
      </c>
      <c r="C6405" s="0" t="s">
        <v>1822</v>
      </c>
      <c r="E6405" s="0" t="s">
        <v>1823</v>
      </c>
      <c r="F6405" s="0" t="s">
        <v>1824</v>
      </c>
    </row>
    <row r="6407" customFormat="false" ht="12.8" hidden="false" customHeight="false" outlineLevel="0" collapsed="false">
      <c r="A6407" s="0" t="s">
        <v>3337</v>
      </c>
      <c r="B6407" s="0" t="str">
        <f aca="false">HYPERLINK("https://lindat.mff.cuni.cz/services/teitok/pdtc10/index.php?action=vallex&amp;frame=v-w840f8_ZU", "držet se (v-w840f8_ZU)")</f>
        <v>držet se (v-w840f8_ZU)</v>
      </c>
      <c r="E6407" s="0" t="str">
        <f aca="false">HYPERLINK("https://lindat.mff.cuni.cz/services/SynSemClass40/SynSemClass40.html?veclass=vec00199#vec00199-ces-cm00048", "vec00199")</f>
        <v>vec00199</v>
      </c>
      <c r="F6407" s="0" t="s">
        <v>1248</v>
      </c>
      <c r="H6407" s="0" t="str">
        <f aca="false">HYPERLINK("https://lindat.mff.cuni.cz/services/SynSemClass40/SynSemClass40.html?veclass=vec00394#vec00394-ces-cm00046", "vec00394")</f>
        <v>vec00394</v>
      </c>
      <c r="I6407" s="0" t="s">
        <v>3338</v>
      </c>
    </row>
    <row r="6408" customFormat="false" ht="12.8" hidden="false" customHeight="false" outlineLevel="0" collapsed="false">
      <c r="B6408" s="0" t="s">
        <v>1</v>
      </c>
      <c r="C6408" s="0" t="s">
        <v>3339</v>
      </c>
      <c r="E6408" s="0" t="s">
        <v>957</v>
      </c>
      <c r="F6408" s="0" t="s">
        <v>1251</v>
      </c>
      <c r="H6408" s="0" t="s">
        <v>11</v>
      </c>
      <c r="I6408" s="0" t="s">
        <v>3340</v>
      </c>
    </row>
    <row r="6409" customFormat="false" ht="12.8" hidden="false" customHeight="false" outlineLevel="0" collapsed="false">
      <c r="B6409" s="0" t="s">
        <v>3245</v>
      </c>
      <c r="C6409" s="0" t="s">
        <v>3341</v>
      </c>
      <c r="E6409" s="0" t="s">
        <v>3247</v>
      </c>
      <c r="F6409" s="0" t="s">
        <v>3342</v>
      </c>
      <c r="H6409" s="0" t="s">
        <v>3254</v>
      </c>
      <c r="I6409" s="0" t="s">
        <v>3343</v>
      </c>
    </row>
    <row r="6411" customFormat="false" ht="12.8" hidden="false" customHeight="false" outlineLevel="0" collapsed="false">
      <c r="A6411" s="0" t="s">
        <v>3337</v>
      </c>
      <c r="B6411" s="0" t="str">
        <f aca="false">HYPERLINK("https://lindat.mff.cuni.cz/services/teitok/pdtc10/index.php?action=vallex&amp;frame=v-w840f5", "držet se (v-w840f5) - substituted with v-w840f8_ZU")</f>
        <v>držet se (v-w840f5) - substituted with v-w840f8_ZU</v>
      </c>
    </row>
    <row r="6412" customFormat="false" ht="12.8" hidden="false" customHeight="false" outlineLevel="0" collapsed="false">
      <c r="B6412" s="0" t="s">
        <v>1</v>
      </c>
    </row>
    <row r="6413" customFormat="false" ht="12.8" hidden="false" customHeight="false" outlineLevel="0" collapsed="false">
      <c r="B6413" s="0" t="s">
        <v>3245</v>
      </c>
    </row>
    <row r="6415" customFormat="false" ht="12.8" hidden="false" customHeight="false" outlineLevel="0" collapsed="false">
      <c r="A6415" s="0" t="s">
        <v>3344</v>
      </c>
      <c r="B6415" s="0" t="str">
        <f aca="false">HYPERLINK("https://lindat.mff.cuni.cz/services/teitok/pdtc10/index.php?action=vallex&amp;frame=v-w840f2", "držet se (v-w840f2)")</f>
        <v>držet se (v-w840f2)</v>
      </c>
      <c r="E6415" s="0" t="str">
        <f aca="false">HYPERLINK("https://lindat.mff.cuni.cz/services/SynSemClass40/SynSemClass40.html?veclass=vec00394#vec00394-ces-cm00004", "vec00394")</f>
        <v>vec00394</v>
      </c>
      <c r="F6415" s="0" t="s">
        <v>3338</v>
      </c>
    </row>
    <row r="6416" customFormat="false" ht="12.8" hidden="false" customHeight="false" outlineLevel="0" collapsed="false">
      <c r="B6416" s="0" t="s">
        <v>1</v>
      </c>
      <c r="C6416" s="0" t="s">
        <v>3345</v>
      </c>
      <c r="E6416" s="0" t="s">
        <v>11</v>
      </c>
      <c r="F6416" s="0" t="s">
        <v>3340</v>
      </c>
    </row>
    <row r="6417" customFormat="false" ht="12.8" hidden="false" customHeight="false" outlineLevel="0" collapsed="false">
      <c r="B6417" s="0" t="s">
        <v>5</v>
      </c>
      <c r="C6417" s="0" t="s">
        <v>3346</v>
      </c>
      <c r="E6417" s="0" t="s">
        <v>3254</v>
      </c>
      <c r="F6417" s="0" t="s">
        <v>3343</v>
      </c>
    </row>
    <row r="6419" customFormat="false" ht="12.8" hidden="false" customHeight="false" outlineLevel="0" collapsed="false">
      <c r="A6419" s="0" t="s">
        <v>3347</v>
      </c>
      <c r="B6419" s="0" t="str">
        <f aca="false">HYPERLINK("https://lindat.mff.cuni.cz/services/teitok/pdtc10/index.php?action=vallex&amp;frame=v-w840f4", "držet se (v-w840f4)")</f>
        <v>držet se (v-w840f4)</v>
      </c>
      <c r="E6419" s="0" t="str">
        <f aca="false">HYPERLINK("https://lindat.mff.cuni.cz/services/SynSemClass40/SynSemClass40.html?veclass=vec00199#vec00199-ces-cm00303", "vec00199")</f>
        <v>vec00199</v>
      </c>
      <c r="F6419" s="0" t="s">
        <v>1248</v>
      </c>
    </row>
    <row r="6420" customFormat="false" ht="12.8" hidden="false" customHeight="false" outlineLevel="0" collapsed="false">
      <c r="B6420" s="0" t="s">
        <v>1</v>
      </c>
      <c r="C6420" s="0" t="s">
        <v>1250</v>
      </c>
      <c r="E6420" s="0" t="s">
        <v>957</v>
      </c>
      <c r="F6420" s="0" t="s">
        <v>1251</v>
      </c>
    </row>
    <row r="6422" customFormat="false" ht="12.8" hidden="false" customHeight="false" outlineLevel="0" collapsed="false">
      <c r="A6422" s="0" t="s">
        <v>3348</v>
      </c>
      <c r="B6422" s="0" t="str">
        <f aca="false">HYPERLINK("https://lindat.mff.cuni.cz/services/teitok/pdtc10/index.php?action=vallex&amp;frame=v-w840f6_ZU", "držet se (v-w840f6_ZU)")</f>
        <v>držet se (v-w840f6_ZU)</v>
      </c>
    </row>
    <row r="6423" customFormat="false" ht="12.8" hidden="false" customHeight="false" outlineLevel="0" collapsed="false">
      <c r="B6423" s="0" t="s">
        <v>1</v>
      </c>
    </row>
    <row r="6424" customFormat="false" ht="12.8" hidden="false" customHeight="false" outlineLevel="0" collapsed="false">
      <c r="B6424" s="0" t="s">
        <v>3349</v>
      </c>
    </row>
    <row r="6426" customFormat="false" ht="12.8" hidden="false" customHeight="false" outlineLevel="0" collapsed="false">
      <c r="A6426" s="0" t="s">
        <v>3348</v>
      </c>
      <c r="B6426" s="0" t="str">
        <f aca="false">HYPERLINK("https://lindat.mff.cuni.cz/services/teitok/pdtc10/index.php?action=vallex&amp;frame=v-w840hsa_32", "držet se (v-w840hsa_32) - substituted with v-w840f6_ZU")</f>
        <v>držet se (v-w840hsa_32) - substituted with v-w840f6_ZU</v>
      </c>
    </row>
    <row r="6427" customFormat="false" ht="12.8" hidden="false" customHeight="false" outlineLevel="0" collapsed="false">
      <c r="B6427" s="0" t="s">
        <v>1</v>
      </c>
    </row>
    <row r="6428" customFormat="false" ht="12.8" hidden="false" customHeight="false" outlineLevel="0" collapsed="false">
      <c r="B6428" s="0" t="s">
        <v>3349</v>
      </c>
    </row>
    <row r="6430" customFormat="false" ht="12.8" hidden="false" customHeight="false" outlineLevel="0" collapsed="false">
      <c r="A6430" s="0" t="s">
        <v>3350</v>
      </c>
      <c r="B6430" s="0" t="str">
        <f aca="false">HYPERLINK("https://lindat.mff.cuni.cz/services/teitok/pdtc10/index.php?action=vallex&amp;frame=v-w840f11_ZU", "držet se (v-w840f11_ZU)")</f>
        <v>držet se (v-w840f11_ZU)</v>
      </c>
    </row>
    <row r="6431" customFormat="false" ht="12.8" hidden="false" customHeight="false" outlineLevel="0" collapsed="false">
      <c r="B6431" s="0" t="s">
        <v>1</v>
      </c>
    </row>
    <row r="6432" customFormat="false" ht="12.8" hidden="false" customHeight="false" outlineLevel="0" collapsed="false">
      <c r="B6432" s="0" t="s">
        <v>3351</v>
      </c>
    </row>
    <row r="6433" customFormat="false" ht="12.8" hidden="false" customHeight="false" outlineLevel="0" collapsed="false">
      <c r="B6433" s="0" t="s">
        <v>444</v>
      </c>
    </row>
    <row r="6435" customFormat="false" ht="12.8" hidden="false" customHeight="false" outlineLevel="0" collapsed="false">
      <c r="A6435" s="0" t="s">
        <v>3350</v>
      </c>
      <c r="B6435" s="0" t="str">
        <f aca="false">HYPERLINK("https://lindat.mff.cuni.cz/services/teitok/pdtc10/index.php?action=vallex&amp;frame=v-w840f7_ZU", "držet se (v-w840f7_ZU) - substituted with v-w840f11_ZU")</f>
        <v>držet se (v-w840f7_ZU) - substituted with v-w840f11_ZU</v>
      </c>
    </row>
    <row r="6436" customFormat="false" ht="12.8" hidden="false" customHeight="false" outlineLevel="0" collapsed="false">
      <c r="B6436" s="0" t="s">
        <v>1</v>
      </c>
    </row>
    <row r="6437" customFormat="false" ht="12.8" hidden="false" customHeight="false" outlineLevel="0" collapsed="false">
      <c r="B6437" s="0" t="s">
        <v>3351</v>
      </c>
    </row>
    <row r="6438" customFormat="false" ht="12.8" hidden="false" customHeight="false" outlineLevel="0" collapsed="false">
      <c r="B6438" s="0" t="s">
        <v>444</v>
      </c>
    </row>
    <row r="6440" customFormat="false" ht="12.8" hidden="false" customHeight="false" outlineLevel="0" collapsed="false">
      <c r="A6440" s="0" t="s">
        <v>3350</v>
      </c>
      <c r="B6440" s="0" t="str">
        <f aca="false">HYPERLINK("https://lindat.mff.cuni.cz/services/teitok/pdtc10/index.php?action=vallex&amp;frame=v-w840hsa_33", "držet se (v-w840hsa_33) - substituted with v-w840f11_ZU")</f>
        <v>držet se (v-w840hsa_33) - substituted with v-w840f11_ZU</v>
      </c>
    </row>
    <row r="6441" customFormat="false" ht="12.8" hidden="false" customHeight="false" outlineLevel="0" collapsed="false">
      <c r="B6441" s="0" t="s">
        <v>1</v>
      </c>
    </row>
    <row r="6442" customFormat="false" ht="12.8" hidden="false" customHeight="false" outlineLevel="0" collapsed="false">
      <c r="B6442" s="0" t="s">
        <v>3351</v>
      </c>
    </row>
    <row r="6443" customFormat="false" ht="12.8" hidden="false" customHeight="false" outlineLevel="0" collapsed="false">
      <c r="B6443" s="0" t="s">
        <v>444</v>
      </c>
    </row>
    <row r="6445" customFormat="false" ht="12.8" hidden="false" customHeight="false" outlineLevel="0" collapsed="false">
      <c r="A6445" s="0" t="s">
        <v>3352</v>
      </c>
      <c r="B6445" s="0" t="str">
        <f aca="false">HYPERLINK("https://lindat.mff.cuni.cz/services/teitok/pdtc10/index.php?action=vallex&amp;frame=v-w840f9_ZU", "držet se (v-w840f9_ZU)")</f>
        <v>držet se (v-w840f9_ZU)</v>
      </c>
    </row>
    <row r="6446" customFormat="false" ht="12.8" hidden="false" customHeight="false" outlineLevel="0" collapsed="false">
      <c r="B6446" s="0" t="s">
        <v>1</v>
      </c>
    </row>
    <row r="6447" customFormat="false" ht="12.8" hidden="false" customHeight="false" outlineLevel="0" collapsed="false">
      <c r="B6447" s="0" t="s">
        <v>3353</v>
      </c>
    </row>
    <row r="6449" customFormat="false" ht="12.8" hidden="false" customHeight="false" outlineLevel="0" collapsed="false">
      <c r="A6449" s="0" t="s">
        <v>3352</v>
      </c>
      <c r="B6449" s="0" t="str">
        <f aca="false">HYPERLINK("https://lindat.mff.cuni.cz/services/teitok/pdtc10/index.php?action=vallex&amp;frame=v-w840hsa_36", "držet se (v-w840hsa_36) - substituted with v-w840f9_ZU")</f>
        <v>držet se (v-w840hsa_36) - substituted with v-w840f9_ZU</v>
      </c>
    </row>
    <row r="6450" customFormat="false" ht="12.8" hidden="false" customHeight="false" outlineLevel="0" collapsed="false">
      <c r="B6450" s="0" t="s">
        <v>1</v>
      </c>
    </row>
    <row r="6451" customFormat="false" ht="12.8" hidden="false" customHeight="false" outlineLevel="0" collapsed="false">
      <c r="B6451" s="0" t="s">
        <v>3353</v>
      </c>
    </row>
    <row r="6453" customFormat="false" ht="12.8" hidden="false" customHeight="false" outlineLevel="0" collapsed="false">
      <c r="A6453" s="0" t="s">
        <v>3354</v>
      </c>
      <c r="B6453" s="0" t="str">
        <f aca="false">HYPERLINK("https://lindat.mff.cuni.cz/services/teitok/pdtc10/index.php?action=vallex&amp;frame=v-w840f10_ZU", "držet se (v-w840f10_ZU)")</f>
        <v>držet se (v-w840f10_ZU)</v>
      </c>
    </row>
    <row r="6454" customFormat="false" ht="12.8" hidden="false" customHeight="false" outlineLevel="0" collapsed="false">
      <c r="B6454" s="0" t="s">
        <v>1</v>
      </c>
    </row>
    <row r="6455" customFormat="false" ht="12.8" hidden="false" customHeight="false" outlineLevel="0" collapsed="false">
      <c r="B6455" s="0" t="s">
        <v>1289</v>
      </c>
    </row>
    <row r="6457" customFormat="false" ht="12.8" hidden="false" customHeight="false" outlineLevel="0" collapsed="false">
      <c r="A6457" s="0" t="s">
        <v>3355</v>
      </c>
      <c r="B6457" s="0" t="str">
        <f aca="false">HYPERLINK("https://lindat.mff.cuni.cz/services/teitok/pdtc10/index.php?action=vallex&amp;frame=v-w840hsa_34", "držet se (v-w840hsa_34)")</f>
        <v>držet se (v-w840hsa_34)</v>
      </c>
    </row>
    <row r="6458" customFormat="false" ht="12.8" hidden="false" customHeight="false" outlineLevel="0" collapsed="false">
      <c r="B6458" s="0" t="s">
        <v>1</v>
      </c>
    </row>
    <row r="6459" customFormat="false" ht="12.8" hidden="false" customHeight="false" outlineLevel="0" collapsed="false">
      <c r="B6459" s="0" t="s">
        <v>1289</v>
      </c>
    </row>
    <row r="6461" customFormat="false" ht="12.8" hidden="false" customHeight="false" outlineLevel="0" collapsed="false">
      <c r="A6461" s="0" t="s">
        <v>3356</v>
      </c>
      <c r="B6461" s="0" t="str">
        <f aca="false">HYPERLINK("https://lindat.mff.cuni.cz/services/teitok/pdtc10/index.php?action=vallex&amp;frame=v-w840hsa_35", "držet se (v-w840hsa_35)")</f>
        <v>držet se (v-w840hsa_35)</v>
      </c>
    </row>
    <row r="6462" customFormat="false" ht="12.8" hidden="false" customHeight="false" outlineLevel="0" collapsed="false">
      <c r="B6462" s="0" t="s">
        <v>1</v>
      </c>
    </row>
    <row r="6463" customFormat="false" ht="12.8" hidden="false" customHeight="false" outlineLevel="0" collapsed="false">
      <c r="B6463" s="0" t="s">
        <v>721</v>
      </c>
    </row>
    <row r="6465" customFormat="false" ht="12.8" hidden="false" customHeight="false" outlineLevel="0" collapsed="false">
      <c r="A6465" s="0" t="s">
        <v>3357</v>
      </c>
      <c r="B6465" s="0" t="str">
        <f aca="false">HYPERLINK("https://lindat.mff.cuni.cz/services/teitok/pdtc10/index.php?action=vallex&amp;frame=v-w12179_ZUf1_ZU", "držet si (v-w12179_ZUf1_ZU)")</f>
        <v>držet si (v-w12179_ZUf1_ZU)</v>
      </c>
    </row>
    <row r="6466" customFormat="false" ht="12.8" hidden="false" customHeight="false" outlineLevel="0" collapsed="false">
      <c r="B6466" s="0" t="s">
        <v>1</v>
      </c>
    </row>
    <row r="6467" customFormat="false" ht="12.8" hidden="false" customHeight="false" outlineLevel="0" collapsed="false">
      <c r="B6467" s="0" t="s">
        <v>3358</v>
      </c>
    </row>
    <row r="6469" customFormat="false" ht="12.8" hidden="false" customHeight="false" outlineLevel="0" collapsed="false">
      <c r="A6469" s="0" t="s">
        <v>3359</v>
      </c>
      <c r="B6469" s="0" t="str">
        <f aca="false">HYPERLINK("https://lindat.mff.cuni.cz/services/teitok/pdtc10/index.php?action=vallex&amp;frame=v-w10358f2", "dublovat (v-w10358f2)")</f>
        <v>dublovat (v-w10358f2)</v>
      </c>
    </row>
    <row r="6470" customFormat="false" ht="12.8" hidden="false" customHeight="false" outlineLevel="0" collapsed="false">
      <c r="B6470" s="0" t="s">
        <v>1</v>
      </c>
    </row>
    <row r="6471" customFormat="false" ht="12.8" hidden="false" customHeight="false" outlineLevel="0" collapsed="false">
      <c r="B6471" s="0" t="s">
        <v>8</v>
      </c>
    </row>
    <row r="6473" customFormat="false" ht="12.8" hidden="false" customHeight="false" outlineLevel="0" collapsed="false">
      <c r="A6473" s="0" t="s">
        <v>3360</v>
      </c>
      <c r="B6473" s="0" t="str">
        <f aca="false">HYPERLINK("https://lindat.mff.cuni.cz/services/teitok/pdtc10/index.php?action=vallex&amp;frame=v-w10208f2", "dumat (v-w10208f2)")</f>
        <v>dumat (v-w10208f2)</v>
      </c>
      <c r="E6473" s="0" t="str">
        <f aca="false">HYPERLINK("https://lindat.mff.cuni.cz/services/SynSemClass40/SynSemClass40.html?veclass=vec01081#vec01081-ces-cm00002", "vec01081")</f>
        <v>vec01081</v>
      </c>
      <c r="F6473" s="0" t="s">
        <v>3361</v>
      </c>
    </row>
    <row r="6474" customFormat="false" ht="12.8" hidden="false" customHeight="false" outlineLevel="0" collapsed="false">
      <c r="B6474" s="0" t="s">
        <v>1</v>
      </c>
      <c r="C6474" s="0" t="s">
        <v>459</v>
      </c>
      <c r="E6474" s="0" t="s">
        <v>914</v>
      </c>
      <c r="F6474" s="0" t="s">
        <v>3362</v>
      </c>
    </row>
    <row r="6475" customFormat="false" ht="12.8" hidden="false" customHeight="false" outlineLevel="0" collapsed="false">
      <c r="B6475" s="0" t="s">
        <v>3363</v>
      </c>
      <c r="C6475" s="0" t="s">
        <v>531</v>
      </c>
      <c r="E6475" s="0" t="s">
        <v>230</v>
      </c>
      <c r="F6475" s="0" t="s">
        <v>3364</v>
      </c>
    </row>
    <row r="6477" customFormat="false" ht="12.8" hidden="false" customHeight="false" outlineLevel="0" collapsed="false">
      <c r="A6477" s="0" t="s">
        <v>3365</v>
      </c>
      <c r="B6477" s="0" t="str">
        <f aca="false">HYPERLINK("https://lindat.mff.cuni.cz/services/teitok/pdtc10/index.php?action=vallex&amp;frame=v-w11863_ZUf1_ZU", "dunět (v-w11863_ZUf1_ZU)")</f>
        <v>dunět (v-w11863_ZUf1_ZU)</v>
      </c>
    </row>
    <row r="6478" customFormat="false" ht="12.8" hidden="false" customHeight="false" outlineLevel="0" collapsed="false">
      <c r="B6478" s="0" t="s">
        <v>1</v>
      </c>
    </row>
    <row r="6480" customFormat="false" ht="12.8" hidden="false" customHeight="false" outlineLevel="0" collapsed="false">
      <c r="A6480" s="0" t="s">
        <v>3366</v>
      </c>
      <c r="B6480" s="0" t="str">
        <f aca="false">HYPERLINK("https://lindat.mff.cuni.cz/services/teitok/pdtc10/index.php?action=vallex&amp;frame=v-w11247f1", "dupnout si (v-w11247f1)")</f>
        <v>dupnout si (v-w11247f1)</v>
      </c>
    </row>
    <row r="6481" customFormat="false" ht="12.8" hidden="false" customHeight="false" outlineLevel="0" collapsed="false">
      <c r="B6481" s="0" t="s">
        <v>1</v>
      </c>
    </row>
    <row r="6483" customFormat="false" ht="12.8" hidden="false" customHeight="false" outlineLevel="0" collapsed="false">
      <c r="A6483" s="0" t="s">
        <v>3367</v>
      </c>
      <c r="B6483" s="0" t="str">
        <f aca="false">HYPERLINK("https://lindat.mff.cuni.cz/services/teitok/pdtc10/index.php?action=vallex&amp;frame=v-w851f1", "dusat (v-w851f1)")</f>
        <v>dusat (v-w851f1)</v>
      </c>
    </row>
    <row r="6484" customFormat="false" ht="12.8" hidden="false" customHeight="false" outlineLevel="0" collapsed="false">
      <c r="B6484" s="0" t="s">
        <v>1</v>
      </c>
    </row>
    <row r="6486" customFormat="false" ht="12.8" hidden="false" customHeight="false" outlineLevel="0" collapsed="false">
      <c r="A6486" s="0" t="s">
        <v>3368</v>
      </c>
      <c r="B6486" s="0" t="str">
        <f aca="false">HYPERLINK("https://lindat.mff.cuni.cz/services/teitok/pdtc10/index.php?action=vallex&amp;frame=v-w11399f2", "dusit (v-w11399f2)")</f>
        <v>dusit (v-w11399f2)</v>
      </c>
    </row>
    <row r="6487" customFormat="false" ht="12.8" hidden="false" customHeight="false" outlineLevel="0" collapsed="false">
      <c r="B6487" s="0" t="s">
        <v>1</v>
      </c>
    </row>
    <row r="6488" customFormat="false" ht="12.8" hidden="false" customHeight="false" outlineLevel="0" collapsed="false">
      <c r="B6488" s="0" t="s">
        <v>8</v>
      </c>
    </row>
    <row r="6490" customFormat="false" ht="12.8" hidden="false" customHeight="false" outlineLevel="0" collapsed="false">
      <c r="A6490" s="0" t="s">
        <v>3369</v>
      </c>
      <c r="B6490" s="0" t="str">
        <f aca="false">HYPERLINK("https://lindat.mff.cuni.cz/services/teitok/pdtc10/index.php?action=vallex&amp;frame=v-w11399f4", "dusit (v-w11399f4)")</f>
        <v>dusit (v-w11399f4)</v>
      </c>
      <c r="E6490" s="0" t="str">
        <f aca="false">HYPERLINK("https://lindat.mff.cuni.cz/services/SynSemClass40/SynSemClass40.html?veclass=vec01212#vec01212-ces-cm00002", "vec01212")</f>
        <v>vec01212</v>
      </c>
      <c r="F6490" s="0" t="s">
        <v>3370</v>
      </c>
    </row>
    <row r="6491" customFormat="false" ht="12.8" hidden="false" customHeight="false" outlineLevel="0" collapsed="false">
      <c r="B6491" s="0" t="s">
        <v>1</v>
      </c>
      <c r="C6491" s="0" t="s">
        <v>459</v>
      </c>
      <c r="E6491" s="0" t="s">
        <v>196</v>
      </c>
      <c r="F6491" s="0" t="s">
        <v>3371</v>
      </c>
    </row>
    <row r="6492" customFormat="false" ht="12.8" hidden="false" customHeight="false" outlineLevel="0" collapsed="false">
      <c r="B6492" s="0" t="s">
        <v>8</v>
      </c>
      <c r="C6492" s="0" t="s">
        <v>798</v>
      </c>
      <c r="E6492" s="0" t="s">
        <v>199</v>
      </c>
      <c r="F6492" s="0" t="s">
        <v>3372</v>
      </c>
    </row>
    <row r="6494" customFormat="false" ht="12.8" hidden="false" customHeight="false" outlineLevel="0" collapsed="false">
      <c r="A6494" s="0" t="s">
        <v>3373</v>
      </c>
      <c r="B6494" s="0" t="str">
        <f aca="false">HYPERLINK("https://lindat.mff.cuni.cz/services/teitok/pdtc10/index.php?action=vallex&amp;frame=v-w11399f3", "dusit (v-w11399f3)")</f>
        <v>dusit (v-w11399f3)</v>
      </c>
      <c r="E6494" s="0" t="str">
        <f aca="false">HYPERLINK("https://lindat.mff.cuni.cz/services/SynSemClass40/SynSemClass40.html?veclass=vec00815#vec00815-ces-cm00001", "vec00815")</f>
        <v>vec00815</v>
      </c>
      <c r="F6494" s="0" t="s">
        <v>3374</v>
      </c>
    </row>
    <row r="6495" customFormat="false" ht="12.8" hidden="false" customHeight="false" outlineLevel="0" collapsed="false">
      <c r="B6495" s="0" t="s">
        <v>1</v>
      </c>
      <c r="C6495" s="0" t="s">
        <v>3375</v>
      </c>
      <c r="E6495" s="0" t="s">
        <v>76</v>
      </c>
      <c r="F6495" s="0" t="s">
        <v>3376</v>
      </c>
    </row>
    <row r="6496" customFormat="false" ht="12.8" hidden="false" customHeight="false" outlineLevel="0" collapsed="false">
      <c r="B6496" s="0" t="s">
        <v>8</v>
      </c>
      <c r="C6496" s="0" t="s">
        <v>1398</v>
      </c>
      <c r="E6496" s="0" t="s">
        <v>34</v>
      </c>
      <c r="F6496" s="0" t="s">
        <v>3377</v>
      </c>
    </row>
    <row r="6498" customFormat="false" ht="12.8" hidden="false" customHeight="false" outlineLevel="0" collapsed="false">
      <c r="A6498" s="0" t="s">
        <v>3378</v>
      </c>
      <c r="B6498" s="0" t="str">
        <f aca="false">HYPERLINK("https://lindat.mff.cuni.cz/services/teitok/pdtc10/index.php?action=vallex&amp;frame=v-w11399f5_ZU", "dusit (v-w11399f5_ZU)")</f>
        <v>dusit (v-w11399f5_ZU)</v>
      </c>
    </row>
    <row r="6499" customFormat="false" ht="12.8" hidden="false" customHeight="false" outlineLevel="0" collapsed="false">
      <c r="B6499" s="0" t="s">
        <v>1</v>
      </c>
    </row>
    <row r="6500" customFormat="false" ht="12.8" hidden="false" customHeight="false" outlineLevel="0" collapsed="false">
      <c r="B6500" s="0" t="s">
        <v>8</v>
      </c>
    </row>
    <row r="6502" customFormat="false" ht="12.8" hidden="false" customHeight="false" outlineLevel="0" collapsed="false">
      <c r="A6502" s="0" t="s">
        <v>3379</v>
      </c>
      <c r="B6502" s="0" t="str">
        <f aca="false">HYPERLINK("https://lindat.mff.cuni.cz/services/teitok/pdtc10/index.php?action=vallex&amp;frame=v-w852f1", "dusit se (v-w852f1)")</f>
        <v>dusit se (v-w852f1)</v>
      </c>
    </row>
    <row r="6503" customFormat="false" ht="12.8" hidden="false" customHeight="false" outlineLevel="0" collapsed="false">
      <c r="B6503" s="0" t="s">
        <v>1</v>
      </c>
    </row>
    <row r="6505" customFormat="false" ht="12.8" hidden="false" customHeight="false" outlineLevel="0" collapsed="false">
      <c r="A6505" s="0" t="s">
        <v>3380</v>
      </c>
      <c r="B6505" s="0" t="str">
        <f aca="false">HYPERLINK("https://lindat.mff.cuni.cz/services/teitok/pdtc10/index.php?action=vallex&amp;frame=v-w11876_ZUf1_ZU", "dutat (v-w11876_ZUf1_ZU)")</f>
        <v>dutat (v-w11876_ZUf1_ZU)</v>
      </c>
    </row>
    <row r="6506" customFormat="false" ht="12.8" hidden="false" customHeight="false" outlineLevel="0" collapsed="false">
      <c r="B6506" s="0" t="s">
        <v>1</v>
      </c>
    </row>
    <row r="6507" customFormat="false" ht="12.8" hidden="false" customHeight="false" outlineLevel="0" collapsed="false">
      <c r="B6507" s="0" t="s">
        <v>496</v>
      </c>
    </row>
    <row r="6508" customFormat="false" ht="12.8" hidden="false" customHeight="false" outlineLevel="0" collapsed="false">
      <c r="B6508" s="0" t="s">
        <v>855</v>
      </c>
    </row>
    <row r="6510" customFormat="false" ht="12.8" hidden="false" customHeight="false" outlineLevel="0" collapsed="false">
      <c r="A6510" s="0" t="s">
        <v>3381</v>
      </c>
      <c r="B6510" s="0" t="str">
        <f aca="false">HYPERLINK("https://lindat.mff.cuni.cz/services/teitok/pdtc10/index.php?action=vallex&amp;frame=v-w855f1", "dušovat se (v-w855f1)")</f>
        <v>dušovat se (v-w855f1)</v>
      </c>
    </row>
    <row r="6511" customFormat="false" ht="12.8" hidden="false" customHeight="false" outlineLevel="0" collapsed="false">
      <c r="B6511" s="0" t="s">
        <v>1</v>
      </c>
    </row>
    <row r="6512" customFormat="false" ht="12.8" hidden="false" customHeight="false" outlineLevel="0" collapsed="false">
      <c r="B6512" s="0" t="s">
        <v>3382</v>
      </c>
    </row>
    <row r="6514" customFormat="false" ht="12.8" hidden="false" customHeight="false" outlineLevel="0" collapsed="false">
      <c r="A6514" s="0" t="s">
        <v>3383</v>
      </c>
      <c r="B6514" s="0" t="str">
        <f aca="false">HYPERLINK("https://lindat.mff.cuni.cz/services/teitok/pdtc10/index.php?action=vallex&amp;frame=v-w11314f2", "dvořit se (v-w11314f2)")</f>
        <v>dvořit se (v-w11314f2)</v>
      </c>
      <c r="E6514" s="0" t="str">
        <f aca="false">HYPERLINK("https://lindat.mff.cuni.cz/services/SynSemClass40/SynSemClass40.html?veclass=vec01213#vec01213-ces-cm00001", "vec01213")</f>
        <v>vec01213</v>
      </c>
      <c r="F6514" s="0" t="s">
        <v>3384</v>
      </c>
    </row>
    <row r="6515" customFormat="false" ht="12.8" hidden="false" customHeight="false" outlineLevel="0" collapsed="false">
      <c r="B6515" s="0" t="s">
        <v>1</v>
      </c>
      <c r="C6515" s="0" t="s">
        <v>3385</v>
      </c>
      <c r="E6515" s="0" t="s">
        <v>11</v>
      </c>
      <c r="F6515" s="0" t="s">
        <v>3386</v>
      </c>
    </row>
    <row r="6516" customFormat="false" ht="12.8" hidden="false" customHeight="false" outlineLevel="0" collapsed="false">
      <c r="B6516" s="0" t="s">
        <v>186</v>
      </c>
      <c r="C6516" s="0" t="s">
        <v>3387</v>
      </c>
      <c r="E6516" s="0" t="s">
        <v>3388</v>
      </c>
      <c r="F6516" s="0" t="s">
        <v>3389</v>
      </c>
    </row>
    <row r="6518" customFormat="false" ht="12.8" hidden="false" customHeight="false" outlineLevel="0" collapsed="false">
      <c r="A6518" s="0" t="s">
        <v>3390</v>
      </c>
      <c r="B6518" s="0" t="str">
        <f aca="false">HYPERLINK("https://lindat.mff.cuni.cz/services/teitok/pdtc10/index.php?action=vallex&amp;frame=v-w11150f4_ZU", "dychtit (v-w11150f4_ZU)")</f>
        <v>dychtit (v-w11150f4_ZU)</v>
      </c>
    </row>
    <row r="6519" customFormat="false" ht="12.8" hidden="false" customHeight="false" outlineLevel="0" collapsed="false">
      <c r="B6519" s="0" t="s">
        <v>1</v>
      </c>
    </row>
    <row r="6520" customFormat="false" ht="12.8" hidden="false" customHeight="false" outlineLevel="0" collapsed="false">
      <c r="B6520" s="0" t="s">
        <v>3391</v>
      </c>
    </row>
    <row r="6522" customFormat="false" ht="12.8" hidden="false" customHeight="false" outlineLevel="0" collapsed="false">
      <c r="A6522" s="0" t="s">
        <v>3390</v>
      </c>
      <c r="B6522" s="0" t="str">
        <f aca="false">HYPERLINK("https://lindat.mff.cuni.cz/services/teitok/pdtc10/index.php?action=vallex&amp;frame=v-w11150f2", "dychtit (v-w11150f2) - substituted with v-w11150f4_ZU")</f>
        <v>dychtit (v-w11150f2) - substituted with v-w11150f4_ZU</v>
      </c>
    </row>
    <row r="6523" customFormat="false" ht="12.8" hidden="false" customHeight="false" outlineLevel="0" collapsed="false">
      <c r="B6523" s="0" t="s">
        <v>1</v>
      </c>
    </row>
    <row r="6524" customFormat="false" ht="12.8" hidden="false" customHeight="false" outlineLevel="0" collapsed="false">
      <c r="B6524" s="0" t="s">
        <v>3391</v>
      </c>
    </row>
    <row r="6526" customFormat="false" ht="12.8" hidden="false" customHeight="false" outlineLevel="0" collapsed="false">
      <c r="A6526" s="0" t="s">
        <v>3392</v>
      </c>
      <c r="B6526" s="0" t="str">
        <f aca="false">HYPERLINK("https://lindat.mff.cuni.cz/services/teitok/pdtc10/index.php?action=vallex&amp;frame=v-w11150f3_ZU", "dychtit (v-w11150f3_ZU)")</f>
        <v>dychtit (v-w11150f3_ZU)</v>
      </c>
    </row>
    <row r="6527" customFormat="false" ht="12.8" hidden="false" customHeight="false" outlineLevel="0" collapsed="false">
      <c r="B6527" s="0" t="s">
        <v>1</v>
      </c>
    </row>
    <row r="6528" customFormat="false" ht="12.8" hidden="false" customHeight="false" outlineLevel="0" collapsed="false">
      <c r="B6528" s="0" t="s">
        <v>3391</v>
      </c>
    </row>
    <row r="6530" customFormat="false" ht="12.8" hidden="false" customHeight="false" outlineLevel="0" collapsed="false">
      <c r="A6530" s="0" t="s">
        <v>3393</v>
      </c>
      <c r="B6530" s="0" t="str">
        <f aca="false">HYPERLINK("https://lindat.mff.cuni.cz/services/teitok/pdtc10/index.php?action=vallex&amp;frame=v-w369f13", "dát (v-w369f13)")</f>
        <v>dát (v-w369f13)</v>
      </c>
      <c r="E6530" s="0" t="str">
        <f aca="false">HYPERLINK("https://lindat.mff.cuni.cz/services/SynSemClass40/SynSemClass40.html?veclass=vec01407#vec01407-ces-cm00001", "vec01407")</f>
        <v>vec01407</v>
      </c>
      <c r="F6530" s="0" t="s">
        <v>3394</v>
      </c>
    </row>
    <row r="6531" customFormat="false" ht="12.8" hidden="false" customHeight="false" outlineLevel="0" collapsed="false">
      <c r="B6531" s="0" t="s">
        <v>1</v>
      </c>
      <c r="C6531" s="0" t="s">
        <v>3395</v>
      </c>
      <c r="E6531" s="0" t="s">
        <v>206</v>
      </c>
      <c r="F6531" s="0" t="s">
        <v>3396</v>
      </c>
    </row>
    <row r="6532" customFormat="false" ht="12.8" hidden="false" customHeight="false" outlineLevel="0" collapsed="false">
      <c r="B6532" s="0" t="s">
        <v>2811</v>
      </c>
      <c r="C6532" s="0" t="s">
        <v>3397</v>
      </c>
      <c r="E6532" s="0" t="s">
        <v>1871</v>
      </c>
      <c r="F6532" s="0" t="s">
        <v>3398</v>
      </c>
    </row>
    <row r="6533" customFormat="false" ht="12.8" hidden="false" customHeight="false" outlineLevel="0" collapsed="false">
      <c r="B6533" s="0" t="s">
        <v>52</v>
      </c>
      <c r="C6533" s="0" t="s">
        <v>3399</v>
      </c>
      <c r="E6533" s="0" t="s">
        <v>2287</v>
      </c>
      <c r="F6533" s="0" t="s">
        <v>3400</v>
      </c>
    </row>
    <row r="6534" customFormat="false" ht="12.8" hidden="false" customHeight="false" outlineLevel="0" collapsed="false">
      <c r="B6534" s="0" t="s">
        <v>3401</v>
      </c>
      <c r="C6534" s="0" t="s">
        <v>3402</v>
      </c>
      <c r="E6534" s="0" t="s">
        <v>3403</v>
      </c>
      <c r="F6534" s="0" t="s">
        <v>3404</v>
      </c>
    </row>
    <row r="6536" customFormat="false" ht="12.8" hidden="false" customHeight="false" outlineLevel="0" collapsed="false">
      <c r="A6536" s="0" t="s">
        <v>3405</v>
      </c>
      <c r="B6536" s="0" t="str">
        <f aca="false">HYPERLINK("https://lindat.mff.cuni.cz/services/teitok/pdtc10/index.php?action=vallex&amp;frame=v-w369f28", "dát (v-w369f28)")</f>
        <v>dát (v-w369f28)</v>
      </c>
      <c r="E6536" s="0" t="str">
        <f aca="false">HYPERLINK("https://lindat.mff.cuni.cz/services/SynSemClass40/SynSemClass40.html?veclass=vec01407#vec01407-ces-cm00002", "vec01407")</f>
        <v>vec01407</v>
      </c>
      <c r="F6536" s="0" t="s">
        <v>3394</v>
      </c>
    </row>
    <row r="6537" customFormat="false" ht="12.8" hidden="false" customHeight="false" outlineLevel="0" collapsed="false">
      <c r="B6537" s="0" t="s">
        <v>1</v>
      </c>
      <c r="C6537" s="0" t="s">
        <v>3395</v>
      </c>
      <c r="E6537" s="0" t="s">
        <v>206</v>
      </c>
      <c r="F6537" s="0" t="s">
        <v>3396</v>
      </c>
    </row>
    <row r="6538" customFormat="false" ht="12.8" hidden="false" customHeight="false" outlineLevel="0" collapsed="false">
      <c r="B6538" s="0" t="s">
        <v>402</v>
      </c>
      <c r="C6538" s="0" t="s">
        <v>3397</v>
      </c>
      <c r="E6538" s="0" t="s">
        <v>1871</v>
      </c>
      <c r="F6538" s="0" t="s">
        <v>3398</v>
      </c>
    </row>
    <row r="6539" customFormat="false" ht="12.8" hidden="false" customHeight="false" outlineLevel="0" collapsed="false">
      <c r="B6539" s="0" t="s">
        <v>132</v>
      </c>
      <c r="C6539" s="0" t="s">
        <v>3399</v>
      </c>
      <c r="E6539" s="0" t="s">
        <v>2287</v>
      </c>
      <c r="F6539" s="0" t="s">
        <v>3400</v>
      </c>
    </row>
    <row r="6540" customFormat="false" ht="12.8" hidden="false" customHeight="false" outlineLevel="0" collapsed="false">
      <c r="B6540" s="0" t="s">
        <v>3406</v>
      </c>
      <c r="C6540" s="0" t="s">
        <v>3402</v>
      </c>
      <c r="E6540" s="0" t="s">
        <v>3403</v>
      </c>
      <c r="F6540" s="0" t="s">
        <v>3404</v>
      </c>
    </row>
    <row r="6542" customFormat="false" ht="12.8" hidden="false" customHeight="false" outlineLevel="0" collapsed="false">
      <c r="A6542" s="0" t="s">
        <v>3407</v>
      </c>
      <c r="B6542" s="0" t="str">
        <f aca="false">HYPERLINK("https://lindat.mff.cuni.cz/services/teitok/pdtc10/index.php?action=vallex&amp;frame=v-w369f10", "dát (v-w369f10)")</f>
        <v>dát (v-w369f10)</v>
      </c>
      <c r="E6542" s="0" t="str">
        <f aca="false">HYPERLINK("https://lindat.mff.cuni.cz/services/SynSemClass40/SynSemClass40.html?veclass=vec00033#vec00033-ces-cm00126", "vec00033")</f>
        <v>vec00033</v>
      </c>
      <c r="F6542" s="0" t="s">
        <v>3408</v>
      </c>
      <c r="H6542" s="0" t="str">
        <f aca="false">HYPERLINK("https://lindat.mff.cuni.cz/services/SynSemClass40/SynSemClass40.html?veclass=vec00147#vec00147-ces-cm00002", "vec00147")</f>
        <v>vec00147</v>
      </c>
      <c r="I6542" s="0" t="s">
        <v>1698</v>
      </c>
    </row>
    <row r="6543" customFormat="false" ht="12.8" hidden="false" customHeight="false" outlineLevel="0" collapsed="false">
      <c r="B6543" s="0" t="s">
        <v>1</v>
      </c>
      <c r="C6543" s="0" t="s">
        <v>3409</v>
      </c>
      <c r="E6543" s="0" t="s">
        <v>3410</v>
      </c>
      <c r="F6543" s="0" t="s">
        <v>3411</v>
      </c>
      <c r="H6543" s="0" t="s">
        <v>11</v>
      </c>
      <c r="I6543" s="0" t="s">
        <v>1700</v>
      </c>
    </row>
    <row r="6544" customFormat="false" ht="12.8" hidden="false" customHeight="false" outlineLevel="0" collapsed="false">
      <c r="B6544" s="0" t="s">
        <v>8</v>
      </c>
      <c r="C6544" s="0" t="s">
        <v>3412</v>
      </c>
      <c r="E6544" s="0" t="s">
        <v>3413</v>
      </c>
      <c r="F6544" s="0" t="s">
        <v>3414</v>
      </c>
      <c r="H6544" s="0" t="s">
        <v>1702</v>
      </c>
      <c r="I6544" s="0" t="s">
        <v>1703</v>
      </c>
    </row>
    <row r="6545" customFormat="false" ht="12.8" hidden="false" customHeight="false" outlineLevel="0" collapsed="false">
      <c r="B6545" s="0" t="s">
        <v>132</v>
      </c>
      <c r="C6545" s="0" t="s">
        <v>3415</v>
      </c>
      <c r="E6545" s="0" t="s">
        <v>53</v>
      </c>
      <c r="F6545" s="0" t="s">
        <v>3416</v>
      </c>
    </row>
    <row r="6546" customFormat="false" ht="12.8" hidden="false" customHeight="false" outlineLevel="0" collapsed="false">
      <c r="B6546" s="0" t="s">
        <v>723</v>
      </c>
      <c r="C6546" s="0" t="s">
        <v>3417</v>
      </c>
      <c r="H6546" s="0" t="s">
        <v>3418</v>
      </c>
      <c r="I6546" s="0" t="s">
        <v>3419</v>
      </c>
    </row>
    <row r="6548" customFormat="false" ht="12.8" hidden="false" customHeight="false" outlineLevel="0" collapsed="false">
      <c r="A6548" s="0" t="s">
        <v>3420</v>
      </c>
      <c r="B6548" s="0" t="str">
        <f aca="false">HYPERLINK("https://lindat.mff.cuni.cz/services/teitok/pdtc10/index.php?action=vallex&amp;frame=v-w369f94_ZU", "dát (v-w369f94_ZU)")</f>
        <v>dát (v-w369f94_ZU)</v>
      </c>
    </row>
    <row r="6549" customFormat="false" ht="12.8" hidden="false" customHeight="false" outlineLevel="0" collapsed="false">
      <c r="B6549" s="0" t="s">
        <v>1</v>
      </c>
    </row>
    <row r="6550" customFormat="false" ht="12.8" hidden="false" customHeight="false" outlineLevel="0" collapsed="false">
      <c r="B6550" s="0" t="s">
        <v>3421</v>
      </c>
    </row>
    <row r="6551" customFormat="false" ht="12.8" hidden="false" customHeight="false" outlineLevel="0" collapsed="false">
      <c r="B6551" s="0" t="s">
        <v>52</v>
      </c>
    </row>
    <row r="6553" customFormat="false" ht="12.8" hidden="false" customHeight="false" outlineLevel="0" collapsed="false">
      <c r="A6553" s="0" t="s">
        <v>3420</v>
      </c>
      <c r="B6553" s="0" t="str">
        <f aca="false">HYPERLINK("https://lindat.mff.cuni.cz/services/teitok/pdtc10/index.php?action=vallex&amp;frame=v-w369f42", "dát (v-w369f42) - substituted with v-w369f94_ZU")</f>
        <v>dát (v-w369f42) - substituted with v-w369f94_ZU</v>
      </c>
    </row>
    <row r="6554" customFormat="false" ht="12.8" hidden="false" customHeight="false" outlineLevel="0" collapsed="false">
      <c r="B6554" s="0" t="s">
        <v>1</v>
      </c>
    </row>
    <row r="6555" customFormat="false" ht="12.8" hidden="false" customHeight="false" outlineLevel="0" collapsed="false">
      <c r="B6555" s="0" t="s">
        <v>3421</v>
      </c>
    </row>
    <row r="6556" customFormat="false" ht="12.8" hidden="false" customHeight="false" outlineLevel="0" collapsed="false">
      <c r="B6556" s="0" t="s">
        <v>52</v>
      </c>
    </row>
    <row r="6558" customFormat="false" ht="12.8" hidden="false" customHeight="false" outlineLevel="0" collapsed="false">
      <c r="A6558" s="0" t="s">
        <v>3422</v>
      </c>
      <c r="B6558" s="0" t="str">
        <f aca="false">HYPERLINK("https://lindat.mff.cuni.cz/services/teitok/pdtc10/index.php?action=vallex&amp;frame=v-w369f107_ZU", "dát (v-w369f107_ZU)")</f>
        <v>dát (v-w369f107_ZU)</v>
      </c>
    </row>
    <row r="6559" customFormat="false" ht="12.8" hidden="false" customHeight="false" outlineLevel="0" collapsed="false">
      <c r="B6559" s="0" t="s">
        <v>1</v>
      </c>
    </row>
    <row r="6560" customFormat="false" ht="12.8" hidden="false" customHeight="false" outlineLevel="0" collapsed="false">
      <c r="B6560" s="0" t="s">
        <v>402</v>
      </c>
    </row>
    <row r="6561" customFormat="false" ht="12.8" hidden="false" customHeight="false" outlineLevel="0" collapsed="false">
      <c r="B6561" s="0" t="s">
        <v>52</v>
      </c>
    </row>
    <row r="6563" customFormat="false" ht="12.8" hidden="false" customHeight="false" outlineLevel="0" collapsed="false">
      <c r="A6563" s="0" t="s">
        <v>3422</v>
      </c>
      <c r="B6563" s="0" t="str">
        <f aca="false">HYPERLINK("https://lindat.mff.cuni.cz/services/teitok/pdtc10/index.php?action=vallex&amp;frame=v-w369f1", "dát (v-w369f1) - substituted with v-w369f107_ZU")</f>
        <v>dát (v-w369f1) - substituted with v-w369f107_ZU</v>
      </c>
      <c r="E6563" s="0" t="str">
        <f aca="false">HYPERLINK("https://lindat.mff.cuni.cz/services/SynSemClass40/SynSemClass40.html?veclass=vec00074#vec00074-ces-cm00008", "vec00074")</f>
        <v>vec00074</v>
      </c>
      <c r="F6563" s="0" t="s">
        <v>1782</v>
      </c>
      <c r="H6563" s="0" t="str">
        <f aca="false">HYPERLINK("https://lindat.mff.cuni.cz/services/SynSemClass40/SynSemClass40.html?veclass=vec01256#vec01256-ces-cm00011", "vec01256")</f>
        <v>vec01256</v>
      </c>
      <c r="I6563" s="0" t="s">
        <v>2194</v>
      </c>
    </row>
    <row r="6564" customFormat="false" ht="12.8" hidden="false" customHeight="false" outlineLevel="0" collapsed="false">
      <c r="B6564" s="0" t="s">
        <v>1</v>
      </c>
      <c r="C6564" s="0" t="s">
        <v>3423</v>
      </c>
      <c r="E6564" s="0" t="s">
        <v>1784</v>
      </c>
      <c r="F6564" s="0" t="s">
        <v>1785</v>
      </c>
      <c r="H6564" s="0" t="s">
        <v>31</v>
      </c>
      <c r="I6564" s="0" t="s">
        <v>2198</v>
      </c>
    </row>
    <row r="6565" customFormat="false" ht="12.8" hidden="false" customHeight="false" outlineLevel="0" collapsed="false">
      <c r="B6565" s="0" t="s">
        <v>402</v>
      </c>
      <c r="C6565" s="0" t="s">
        <v>3424</v>
      </c>
      <c r="E6565" s="0" t="s">
        <v>1787</v>
      </c>
      <c r="F6565" s="0" t="s">
        <v>1788</v>
      </c>
      <c r="H6565" s="0" t="s">
        <v>1875</v>
      </c>
      <c r="I6565" s="0" t="s">
        <v>2202</v>
      </c>
    </row>
    <row r="6566" customFormat="false" ht="12.8" hidden="false" customHeight="false" outlineLevel="0" collapsed="false">
      <c r="B6566" s="0" t="s">
        <v>52</v>
      </c>
      <c r="C6566" s="0" t="s">
        <v>3425</v>
      </c>
      <c r="E6566" s="0" t="s">
        <v>53</v>
      </c>
      <c r="F6566" s="0" t="s">
        <v>1790</v>
      </c>
      <c r="H6566" s="0" t="s">
        <v>53</v>
      </c>
      <c r="I6566" s="0" t="s">
        <v>2205</v>
      </c>
    </row>
    <row r="6568" customFormat="false" ht="12.8" hidden="false" customHeight="false" outlineLevel="0" collapsed="false">
      <c r="A6568" s="0" t="s">
        <v>3422</v>
      </c>
      <c r="B6568" s="0" t="str">
        <f aca="false">HYPERLINK("https://lindat.mff.cuni.cz/services/teitok/pdtc10/index.php?action=vallex&amp;frame=v-w369f79_ZU", "dát (v-w369f79_ZU) - substituted with v-w369f107_ZU")</f>
        <v>dát (v-w369f79_ZU) - substituted with v-w369f107_ZU</v>
      </c>
    </row>
    <row r="6569" customFormat="false" ht="12.8" hidden="false" customHeight="false" outlineLevel="0" collapsed="false">
      <c r="B6569" s="0" t="s">
        <v>1</v>
      </c>
    </row>
    <row r="6570" customFormat="false" ht="12.8" hidden="false" customHeight="false" outlineLevel="0" collapsed="false">
      <c r="B6570" s="0" t="s">
        <v>402</v>
      </c>
    </row>
    <row r="6571" customFormat="false" ht="12.8" hidden="false" customHeight="false" outlineLevel="0" collapsed="false">
      <c r="B6571" s="0" t="s">
        <v>52</v>
      </c>
    </row>
    <row r="6573" customFormat="false" ht="12.8" hidden="false" customHeight="false" outlineLevel="0" collapsed="false">
      <c r="A6573" s="0" t="s">
        <v>3426</v>
      </c>
      <c r="B6573" s="0" t="str">
        <f aca="false">HYPERLINK("https://lindat.mff.cuni.cz/services/teitok/pdtc10/index.php?action=vallex&amp;frame=v-w369f30", "dát (v-w369f30)")</f>
        <v>dát (v-w369f30)</v>
      </c>
      <c r="E6573" s="0" t="str">
        <f aca="false">HYPERLINK("https://lindat.mff.cuni.cz/services/SynSemClass40/SynSemClass40.html?veclass=vec00074#vec00074-ces-cm00019", "vec00074")</f>
        <v>vec00074</v>
      </c>
      <c r="F6573" s="0" t="s">
        <v>1782</v>
      </c>
    </row>
    <row r="6574" customFormat="false" ht="12.8" hidden="false" customHeight="false" outlineLevel="0" collapsed="false">
      <c r="B6574" s="0" t="s">
        <v>1</v>
      </c>
      <c r="C6574" s="0" t="s">
        <v>1783</v>
      </c>
      <c r="E6574" s="0" t="s">
        <v>1784</v>
      </c>
      <c r="F6574" s="0" t="s">
        <v>1785</v>
      </c>
    </row>
    <row r="6575" customFormat="false" ht="12.8" hidden="false" customHeight="false" outlineLevel="0" collapsed="false">
      <c r="B6575" s="0" t="s">
        <v>8</v>
      </c>
      <c r="C6575" s="0" t="s">
        <v>1786</v>
      </c>
      <c r="E6575" s="0" t="s">
        <v>1787</v>
      </c>
      <c r="F6575" s="0" t="s">
        <v>1788</v>
      </c>
    </row>
    <row r="6576" customFormat="false" ht="12.8" hidden="false" customHeight="false" outlineLevel="0" collapsed="false">
      <c r="B6576" s="0" t="s">
        <v>52</v>
      </c>
      <c r="C6576" s="0" t="s">
        <v>1789</v>
      </c>
      <c r="E6576" s="0" t="s">
        <v>53</v>
      </c>
      <c r="F6576" s="0" t="s">
        <v>1790</v>
      </c>
    </row>
    <row r="6578" customFormat="false" ht="12.8" hidden="false" customHeight="false" outlineLevel="0" collapsed="false">
      <c r="A6578" s="0" t="s">
        <v>3427</v>
      </c>
      <c r="B6578" s="0" t="str">
        <f aca="false">HYPERLINK("https://lindat.mff.cuni.cz/services/teitok/pdtc10/index.php?action=vallex&amp;frame=v-w369f90_ZU", "dát (v-w369f90_ZU)")</f>
        <v>dát (v-w369f90_ZU)</v>
      </c>
    </row>
    <row r="6579" customFormat="false" ht="12.8" hidden="false" customHeight="false" outlineLevel="0" collapsed="false">
      <c r="B6579" s="0" t="s">
        <v>1</v>
      </c>
    </row>
    <row r="6580" customFormat="false" ht="12.8" hidden="false" customHeight="false" outlineLevel="0" collapsed="false">
      <c r="B6580" s="0" t="s">
        <v>305</v>
      </c>
    </row>
    <row r="6581" customFormat="false" ht="12.8" hidden="false" customHeight="false" outlineLevel="0" collapsed="false">
      <c r="B6581" s="0" t="s">
        <v>52</v>
      </c>
    </row>
    <row r="6583" customFormat="false" ht="12.8" hidden="false" customHeight="false" outlineLevel="0" collapsed="false">
      <c r="A6583" s="0" t="s">
        <v>3427</v>
      </c>
      <c r="B6583" s="0" t="str">
        <f aca="false">HYPERLINK("https://lindat.mff.cuni.cz/services/teitok/pdtc10/index.php?action=vallex&amp;frame=v-w369f31", "dát (v-w369f31) - substituted with v-w369f90_ZU")</f>
        <v>dát (v-w369f31) - substituted with v-w369f90_ZU</v>
      </c>
      <c r="E6583" s="0" t="str">
        <f aca="false">HYPERLINK("https://lindat.mff.cuni.cz/services/SynSemClass40/SynSemClass40.html?veclass=vec00038#vec00038-ces-cm00318", "vec00038")</f>
        <v>vec00038</v>
      </c>
      <c r="F6583" s="0" t="s">
        <v>74</v>
      </c>
      <c r="H6583" s="0" t="str">
        <f aca="false">HYPERLINK("https://lindat.mff.cuni.cz/services/SynSemClass40/SynSemClass40.html?veclass=vec01419#vec01419-ces-cm00021", "vec01419")</f>
        <v>vec01419</v>
      </c>
      <c r="I6583" s="0" t="s">
        <v>3428</v>
      </c>
    </row>
    <row r="6584" customFormat="false" ht="12.8" hidden="false" customHeight="false" outlineLevel="0" collapsed="false">
      <c r="B6584" s="0" t="s">
        <v>1</v>
      </c>
      <c r="C6584" s="0" t="s">
        <v>3429</v>
      </c>
      <c r="E6584" s="0" t="s">
        <v>76</v>
      </c>
      <c r="F6584" s="0" t="s">
        <v>77</v>
      </c>
      <c r="H6584" s="0" t="s">
        <v>206</v>
      </c>
      <c r="I6584" s="0" t="s">
        <v>3430</v>
      </c>
    </row>
    <row r="6585" customFormat="false" ht="12.8" hidden="false" customHeight="false" outlineLevel="0" collapsed="false">
      <c r="B6585" s="0" t="s">
        <v>305</v>
      </c>
      <c r="C6585" s="0" t="s">
        <v>3431</v>
      </c>
      <c r="E6585" s="0" t="s">
        <v>3432</v>
      </c>
      <c r="F6585" s="0" t="s">
        <v>3433</v>
      </c>
      <c r="H6585" s="0" t="s">
        <v>523</v>
      </c>
      <c r="I6585" s="0" t="s">
        <v>3434</v>
      </c>
    </row>
    <row r="6586" customFormat="false" ht="12.8" hidden="false" customHeight="false" outlineLevel="0" collapsed="false">
      <c r="B6586" s="0" t="s">
        <v>52</v>
      </c>
      <c r="C6586" s="0" t="s">
        <v>3435</v>
      </c>
      <c r="H6586" s="0" t="s">
        <v>2287</v>
      </c>
      <c r="I6586" s="0" t="s">
        <v>3436</v>
      </c>
    </row>
    <row r="6588" customFormat="false" ht="12.8" hidden="false" customHeight="false" outlineLevel="0" collapsed="false">
      <c r="A6588" s="0" t="s">
        <v>3437</v>
      </c>
      <c r="B6588" s="0" t="str">
        <f aca="false">HYPERLINK("https://lindat.mff.cuni.cz/services/teitok/pdtc10/index.php?action=vallex&amp;frame=v-w369f101_ZU", "dát (v-w369f101_ZU)")</f>
        <v>dát (v-w369f101_ZU)</v>
      </c>
    </row>
    <row r="6589" customFormat="false" ht="12.8" hidden="false" customHeight="false" outlineLevel="0" collapsed="false">
      <c r="B6589" s="0" t="s">
        <v>3438</v>
      </c>
    </row>
    <row r="6590" customFormat="false" ht="12.8" hidden="false" customHeight="false" outlineLevel="0" collapsed="false">
      <c r="B6590" s="0" t="s">
        <v>8</v>
      </c>
    </row>
    <row r="6591" customFormat="false" ht="12.8" hidden="false" customHeight="false" outlineLevel="0" collapsed="false">
      <c r="B6591" s="0" t="s">
        <v>132</v>
      </c>
    </row>
    <row r="6593" customFormat="false" ht="12.8" hidden="false" customHeight="false" outlineLevel="0" collapsed="false">
      <c r="A6593" s="0" t="s">
        <v>3437</v>
      </c>
      <c r="B6593" s="0" t="str">
        <f aca="false">HYPERLINK("https://lindat.mff.cuni.cz/services/teitok/pdtc10/index.php?action=vallex&amp;frame=v-w369f33", "dát (v-w369f33) - substituted with v-w369f101_ZU")</f>
        <v>dát (v-w369f33) - substituted with v-w369f101_ZU</v>
      </c>
    </row>
    <row r="6594" customFormat="false" ht="12.8" hidden="false" customHeight="false" outlineLevel="0" collapsed="false">
      <c r="B6594" s="0" t="s">
        <v>3438</v>
      </c>
    </row>
    <row r="6595" customFormat="false" ht="12.8" hidden="false" customHeight="false" outlineLevel="0" collapsed="false">
      <c r="B6595" s="0" t="s">
        <v>8</v>
      </c>
    </row>
    <row r="6596" customFormat="false" ht="12.8" hidden="false" customHeight="false" outlineLevel="0" collapsed="false">
      <c r="B6596" s="0" t="s">
        <v>132</v>
      </c>
    </row>
    <row r="6598" customFormat="false" ht="12.8" hidden="false" customHeight="false" outlineLevel="0" collapsed="false">
      <c r="A6598" s="0" t="s">
        <v>3437</v>
      </c>
      <c r="B6598" s="0" t="str">
        <f aca="false">HYPERLINK("https://lindat.mff.cuni.cz/services/teitok/pdtc10/index.php?action=vallex&amp;frame=v-w369hsa_837", "dát (v-w369hsa_837) - substituted with v-w369f101_ZU")</f>
        <v>dát (v-w369hsa_837) - substituted with v-w369f101_ZU</v>
      </c>
    </row>
    <row r="6599" customFormat="false" ht="12.8" hidden="false" customHeight="false" outlineLevel="0" collapsed="false">
      <c r="B6599" s="0" t="s">
        <v>3438</v>
      </c>
    </row>
    <row r="6600" customFormat="false" ht="12.8" hidden="false" customHeight="false" outlineLevel="0" collapsed="false">
      <c r="B6600" s="0" t="s">
        <v>8</v>
      </c>
    </row>
    <row r="6601" customFormat="false" ht="12.8" hidden="false" customHeight="false" outlineLevel="0" collapsed="false">
      <c r="B6601" s="0" t="s">
        <v>132</v>
      </c>
    </row>
    <row r="6603" customFormat="false" ht="12.8" hidden="false" customHeight="false" outlineLevel="0" collapsed="false">
      <c r="A6603" s="0" t="s">
        <v>3439</v>
      </c>
      <c r="B6603" s="0" t="str">
        <f aca="false">HYPERLINK("https://lindat.mff.cuni.cz/services/teitok/pdtc10/index.php?action=vallex&amp;frame=v-w369f11", "dát (v-w369f11)")</f>
        <v>dát (v-w369f11)</v>
      </c>
      <c r="E6603" s="0" t="str">
        <f aca="false">HYPERLINK("https://lindat.mff.cuni.cz/services/SynSemClass40/SynSemClass40.html?veclass=vec01206#vec01206-ces-cm00002", "vec01206")</f>
        <v>vec01206</v>
      </c>
      <c r="F6603" s="0" t="s">
        <v>3440</v>
      </c>
    </row>
    <row r="6604" customFormat="false" ht="12.8" hidden="false" customHeight="false" outlineLevel="0" collapsed="false">
      <c r="B6604" s="0" t="s">
        <v>1</v>
      </c>
      <c r="C6604" s="0" t="s">
        <v>2282</v>
      </c>
      <c r="E6604" s="0" t="s">
        <v>3441</v>
      </c>
      <c r="F6604" s="0" t="s">
        <v>3442</v>
      </c>
    </row>
    <row r="6605" customFormat="false" ht="12.8" hidden="false" customHeight="false" outlineLevel="0" collapsed="false">
      <c r="B6605" s="0" t="s">
        <v>186</v>
      </c>
      <c r="C6605" s="0" t="s">
        <v>3443</v>
      </c>
      <c r="E6605" s="0" t="s">
        <v>142</v>
      </c>
      <c r="F6605" s="0" t="s">
        <v>3444</v>
      </c>
    </row>
    <row r="6606" customFormat="false" ht="12.8" hidden="false" customHeight="false" outlineLevel="0" collapsed="false">
      <c r="B6606" s="0" t="s">
        <v>1549</v>
      </c>
      <c r="C6606" s="0" t="s">
        <v>3445</v>
      </c>
      <c r="E6606" s="0" t="s">
        <v>3446</v>
      </c>
      <c r="F6606" s="0" t="s">
        <v>3447</v>
      </c>
    </row>
    <row r="6608" customFormat="false" ht="12.8" hidden="false" customHeight="false" outlineLevel="0" collapsed="false">
      <c r="A6608" s="0" t="s">
        <v>3448</v>
      </c>
      <c r="B6608" s="0" t="str">
        <f aca="false">HYPERLINK("https://lindat.mff.cuni.cz/services/teitok/pdtc10/index.php?action=vallex&amp;frame=v-w369f32", "dát (v-w369f32)")</f>
        <v>dát (v-w369f32)</v>
      </c>
    </row>
    <row r="6609" customFormat="false" ht="12.8" hidden="false" customHeight="false" outlineLevel="0" collapsed="false">
      <c r="B6609" s="0" t="s">
        <v>1</v>
      </c>
    </row>
    <row r="6610" customFormat="false" ht="12.8" hidden="false" customHeight="false" outlineLevel="0" collapsed="false">
      <c r="B6610" s="0" t="s">
        <v>8</v>
      </c>
    </row>
    <row r="6611" customFormat="false" ht="12.8" hidden="false" customHeight="false" outlineLevel="0" collapsed="false">
      <c r="B6611" s="0" t="s">
        <v>1549</v>
      </c>
    </row>
    <row r="6613" customFormat="false" ht="12.8" hidden="false" customHeight="false" outlineLevel="0" collapsed="false">
      <c r="A6613" s="0" t="s">
        <v>3449</v>
      </c>
      <c r="B6613" s="0" t="str">
        <f aca="false">HYPERLINK("https://lindat.mff.cuni.cz/services/teitok/pdtc10/index.php?action=vallex&amp;frame=v-w369f50", "dát (v-w369f50)")</f>
        <v>dát (v-w369f50)</v>
      </c>
    </row>
    <row r="6614" customFormat="false" ht="12.8" hidden="false" customHeight="false" outlineLevel="0" collapsed="false">
      <c r="B6614" s="0" t="s">
        <v>1</v>
      </c>
    </row>
    <row r="6615" customFormat="false" ht="12.8" hidden="false" customHeight="false" outlineLevel="0" collapsed="false">
      <c r="B6615" s="0" t="s">
        <v>8</v>
      </c>
    </row>
    <row r="6616" customFormat="false" ht="12.8" hidden="false" customHeight="false" outlineLevel="0" collapsed="false">
      <c r="B6616" s="0" t="s">
        <v>5</v>
      </c>
    </row>
    <row r="6618" customFormat="false" ht="12.8" hidden="false" customHeight="false" outlineLevel="0" collapsed="false">
      <c r="A6618" s="0" t="s">
        <v>3450</v>
      </c>
      <c r="B6618" s="0" t="str">
        <f aca="false">HYPERLINK("https://lindat.mff.cuni.cz/services/teitok/pdtc10/index.php?action=vallex&amp;frame=v-w369f93_ZU", "dát (v-w369f93_ZU)")</f>
        <v>dát (v-w369f93_ZU)</v>
      </c>
    </row>
    <row r="6619" customFormat="false" ht="12.8" hidden="false" customHeight="false" outlineLevel="0" collapsed="false">
      <c r="B6619" s="0" t="s">
        <v>1</v>
      </c>
    </row>
    <row r="6620" customFormat="false" ht="12.8" hidden="false" customHeight="false" outlineLevel="0" collapsed="false">
      <c r="B6620" s="0" t="s">
        <v>8</v>
      </c>
    </row>
    <row r="6621" customFormat="false" ht="12.8" hidden="false" customHeight="false" outlineLevel="0" collapsed="false">
      <c r="B6621" s="0" t="s">
        <v>361</v>
      </c>
    </row>
    <row r="6622" customFormat="false" ht="12.8" hidden="false" customHeight="false" outlineLevel="0" collapsed="false">
      <c r="B6622" s="0" t="s">
        <v>36</v>
      </c>
    </row>
    <row r="6624" customFormat="false" ht="12.8" hidden="false" customHeight="false" outlineLevel="0" collapsed="false">
      <c r="A6624" s="0" t="s">
        <v>3450</v>
      </c>
      <c r="B6624" s="0" t="str">
        <f aca="false">HYPERLINK("https://lindat.mff.cuni.cz/services/teitok/pdtc10/index.php?action=vallex&amp;frame=v-w369f21", "dát (v-w369f21) - substituted with v-w369f93_ZU")</f>
        <v>dát (v-w369f21) - substituted with v-w369f93_ZU</v>
      </c>
      <c r="E6624" s="0" t="str">
        <f aca="false">HYPERLINK("https://lindat.mff.cuni.cz/services/SynSemClass40/SynSemClass40.html?veclass=vec00812#vec00812-ces-cm00145", "vec00812")</f>
        <v>vec00812</v>
      </c>
      <c r="F6624" s="0" t="s">
        <v>2822</v>
      </c>
    </row>
    <row r="6625" customFormat="false" ht="12.8" hidden="false" customHeight="false" outlineLevel="0" collapsed="false">
      <c r="B6625" s="0" t="s">
        <v>1</v>
      </c>
      <c r="C6625" s="0" t="s">
        <v>2823</v>
      </c>
      <c r="E6625" s="0" t="s">
        <v>1103</v>
      </c>
      <c r="F6625" s="0" t="s">
        <v>2824</v>
      </c>
    </row>
    <row r="6626" customFormat="false" ht="12.8" hidden="false" customHeight="false" outlineLevel="0" collapsed="false">
      <c r="B6626" s="0" t="s">
        <v>8</v>
      </c>
      <c r="C6626" s="0" t="s">
        <v>2372</v>
      </c>
      <c r="E6626" s="0" t="s">
        <v>142</v>
      </c>
      <c r="F6626" s="0" t="s">
        <v>2825</v>
      </c>
    </row>
    <row r="6627" customFormat="false" ht="12.8" hidden="false" customHeight="false" outlineLevel="0" collapsed="false">
      <c r="B6627" s="0" t="s">
        <v>361</v>
      </c>
      <c r="C6627" s="0" t="s">
        <v>2826</v>
      </c>
      <c r="E6627" s="0" t="s">
        <v>2827</v>
      </c>
      <c r="F6627" s="0" t="s">
        <v>2828</v>
      </c>
    </row>
    <row r="6628" customFormat="false" ht="12.8" hidden="false" customHeight="false" outlineLevel="0" collapsed="false">
      <c r="B6628" s="0" t="s">
        <v>36</v>
      </c>
    </row>
    <row r="6630" customFormat="false" ht="12.8" hidden="false" customHeight="false" outlineLevel="0" collapsed="false">
      <c r="A6630" s="0" t="s">
        <v>3451</v>
      </c>
      <c r="B6630" s="0" t="str">
        <f aca="false">HYPERLINK("https://lindat.mff.cuni.cz/services/teitok/pdtc10/index.php?action=vallex&amp;frame=v-w369f106_ZU", "dát (v-w369f106_ZU)")</f>
        <v>dát (v-w369f106_ZU)</v>
      </c>
    </row>
    <row r="6631" customFormat="false" ht="12.8" hidden="false" customHeight="false" outlineLevel="0" collapsed="false">
      <c r="B6631" s="0" t="s">
        <v>1</v>
      </c>
    </row>
    <row r="6632" customFormat="false" ht="12.8" hidden="false" customHeight="false" outlineLevel="0" collapsed="false">
      <c r="B6632" s="0" t="s">
        <v>8</v>
      </c>
    </row>
    <row r="6633" customFormat="false" ht="12.8" hidden="false" customHeight="false" outlineLevel="0" collapsed="false">
      <c r="B6633" s="0" t="s">
        <v>164</v>
      </c>
    </row>
    <row r="6635" customFormat="false" ht="12.8" hidden="false" customHeight="false" outlineLevel="0" collapsed="false">
      <c r="A6635" s="0" t="s">
        <v>3451</v>
      </c>
      <c r="B6635" s="0" t="str">
        <f aca="false">HYPERLINK("https://lindat.mff.cuni.cz/services/teitok/pdtc10/index.php?action=vallex&amp;frame=v-w369f6", "dát (v-w369f6) - substituted with v-w369f106_ZU")</f>
        <v>dát (v-w369f6) - substituted with v-w369f106_ZU</v>
      </c>
      <c r="E6635" s="0" t="str">
        <f aca="false">HYPERLINK("https://lindat.mff.cuni.cz/services/SynSemClass40/SynSemClass40.html?veclass=vec00735#vec00735-ces-cm00056", "vec00735")</f>
        <v>vec00735</v>
      </c>
      <c r="F6635" s="0" t="s">
        <v>2719</v>
      </c>
    </row>
    <row r="6636" customFormat="false" ht="12.8" hidden="false" customHeight="false" outlineLevel="0" collapsed="false">
      <c r="B6636" s="0" t="s">
        <v>1</v>
      </c>
      <c r="C6636" s="0" t="s">
        <v>2720</v>
      </c>
      <c r="E6636" s="0" t="s">
        <v>334</v>
      </c>
      <c r="F6636" s="0" t="s">
        <v>2721</v>
      </c>
    </row>
    <row r="6637" customFormat="false" ht="12.8" hidden="false" customHeight="false" outlineLevel="0" collapsed="false">
      <c r="B6637" s="0" t="s">
        <v>8</v>
      </c>
      <c r="C6637" s="0" t="s">
        <v>2722</v>
      </c>
      <c r="E6637" s="0" t="s">
        <v>2648</v>
      </c>
      <c r="F6637" s="0" t="s">
        <v>2723</v>
      </c>
    </row>
    <row r="6638" customFormat="false" ht="12.8" hidden="false" customHeight="false" outlineLevel="0" collapsed="false">
      <c r="B6638" s="0" t="s">
        <v>164</v>
      </c>
      <c r="C6638" s="0" t="s">
        <v>2724</v>
      </c>
      <c r="E6638" s="0" t="s">
        <v>370</v>
      </c>
      <c r="F6638" s="0" t="s">
        <v>2725</v>
      </c>
    </row>
    <row r="6640" customFormat="false" ht="12.8" hidden="false" customHeight="false" outlineLevel="0" collapsed="false">
      <c r="A6640" s="0" t="s">
        <v>3452</v>
      </c>
      <c r="B6640" s="0" t="str">
        <f aca="false">HYPERLINK("https://lindat.mff.cuni.cz/services/teitok/pdtc10/index.php?action=vallex&amp;frame=v-w369f27", "dát (v-w369f27)")</f>
        <v>dát (v-w369f27)</v>
      </c>
      <c r="E6640" s="0" t="str">
        <f aca="false">HYPERLINK("https://lindat.mff.cuni.cz/services/SynSemClass40/SynSemClass40.html?veclass=vec00735#vec00735-ces-cm00004", "vec00735")</f>
        <v>vec00735</v>
      </c>
      <c r="F6640" s="0" t="s">
        <v>2719</v>
      </c>
    </row>
    <row r="6641" customFormat="false" ht="12.8" hidden="false" customHeight="false" outlineLevel="0" collapsed="false">
      <c r="B6641" s="0" t="s">
        <v>1</v>
      </c>
      <c r="C6641" s="0" t="s">
        <v>2720</v>
      </c>
      <c r="E6641" s="0" t="s">
        <v>334</v>
      </c>
      <c r="F6641" s="0" t="s">
        <v>2721</v>
      </c>
    </row>
    <row r="6642" customFormat="false" ht="12.8" hidden="false" customHeight="false" outlineLevel="0" collapsed="false">
      <c r="B6642" s="0" t="s">
        <v>8</v>
      </c>
      <c r="C6642" s="0" t="s">
        <v>2722</v>
      </c>
      <c r="E6642" s="0" t="s">
        <v>2648</v>
      </c>
      <c r="F6642" s="0" t="s">
        <v>2723</v>
      </c>
    </row>
    <row r="6643" customFormat="false" ht="12.8" hidden="false" customHeight="false" outlineLevel="0" collapsed="false">
      <c r="B6643" s="0" t="s">
        <v>164</v>
      </c>
      <c r="C6643" s="0" t="s">
        <v>2724</v>
      </c>
      <c r="E6643" s="0" t="s">
        <v>370</v>
      </c>
      <c r="F6643" s="0" t="s">
        <v>2725</v>
      </c>
    </row>
    <row r="6645" customFormat="false" ht="12.8" hidden="false" customHeight="false" outlineLevel="0" collapsed="false">
      <c r="A6645" s="0" t="s">
        <v>3453</v>
      </c>
      <c r="B6645" s="0" t="str">
        <f aca="false">HYPERLINK("https://lindat.mff.cuni.cz/services/teitok/pdtc10/index.php?action=vallex&amp;frame=v-w369f17", "dát (v-w369f17)")</f>
        <v>dát (v-w369f17)</v>
      </c>
    </row>
    <row r="6646" customFormat="false" ht="12.8" hidden="false" customHeight="false" outlineLevel="0" collapsed="false">
      <c r="B6646" s="0" t="s">
        <v>1</v>
      </c>
    </row>
    <row r="6647" customFormat="false" ht="12.8" hidden="false" customHeight="false" outlineLevel="0" collapsed="false">
      <c r="B6647" s="0" t="s">
        <v>8</v>
      </c>
    </row>
    <row r="6649" customFormat="false" ht="12.8" hidden="false" customHeight="false" outlineLevel="0" collapsed="false">
      <c r="A6649" s="0" t="s">
        <v>3454</v>
      </c>
      <c r="B6649" s="0" t="str">
        <f aca="false">HYPERLINK("https://lindat.mff.cuni.cz/services/teitok/pdtc10/index.php?action=vallex&amp;frame=v-w369f7", "dát (v-w369f7)")</f>
        <v>dát (v-w369f7)</v>
      </c>
      <c r="E6649" s="0" t="str">
        <f aca="false">HYPERLINK("https://lindat.mff.cuni.cz/services/SynSemClass40/SynSemClass40.html?veclass=vec01206#vec01206-ces-cm00001", "vec01206")</f>
        <v>vec01206</v>
      </c>
      <c r="F6649" s="0" t="s">
        <v>3440</v>
      </c>
    </row>
    <row r="6650" customFormat="false" ht="12.8" hidden="false" customHeight="false" outlineLevel="0" collapsed="false">
      <c r="B6650" s="0" t="s">
        <v>1</v>
      </c>
      <c r="C6650" s="0" t="s">
        <v>2282</v>
      </c>
      <c r="E6650" s="0" t="s">
        <v>3441</v>
      </c>
      <c r="F6650" s="0" t="s">
        <v>3442</v>
      </c>
    </row>
    <row r="6651" customFormat="false" ht="12.8" hidden="false" customHeight="false" outlineLevel="0" collapsed="false">
      <c r="B6651" s="0" t="s">
        <v>886</v>
      </c>
      <c r="C6651" s="0" t="s">
        <v>3455</v>
      </c>
      <c r="E6651" s="0" t="s">
        <v>79</v>
      </c>
      <c r="F6651" s="0" t="s">
        <v>3456</v>
      </c>
    </row>
    <row r="6653" customFormat="false" ht="12.8" hidden="false" customHeight="false" outlineLevel="0" collapsed="false">
      <c r="A6653" s="0" t="s">
        <v>3457</v>
      </c>
      <c r="B6653" s="0" t="str">
        <f aca="false">HYPERLINK("https://lindat.mff.cuni.cz/services/teitok/pdtc10/index.php?action=vallex&amp;frame=v-w369f43", "dát (v-w369f43)")</f>
        <v>dát (v-w369f43)</v>
      </c>
    </row>
    <row r="6654" customFormat="false" ht="12.8" hidden="false" customHeight="false" outlineLevel="0" collapsed="false">
      <c r="B6654" s="0" t="s">
        <v>1</v>
      </c>
    </row>
    <row r="6655" customFormat="false" ht="12.8" hidden="false" customHeight="false" outlineLevel="0" collapsed="false">
      <c r="B6655" s="0" t="s">
        <v>3458</v>
      </c>
    </row>
    <row r="6657" customFormat="false" ht="12.8" hidden="false" customHeight="false" outlineLevel="0" collapsed="false">
      <c r="A6657" s="0" t="s">
        <v>3459</v>
      </c>
      <c r="B6657" s="0" t="str">
        <f aca="false">HYPERLINK("https://lindat.mff.cuni.cz/services/teitok/pdtc10/index.php?action=vallex&amp;frame=v-w369f12", "dát (v-w369f12)")</f>
        <v>dát (v-w369f12)</v>
      </c>
    </row>
    <row r="6658" customFormat="false" ht="12.8" hidden="false" customHeight="false" outlineLevel="0" collapsed="false">
      <c r="B6658" s="0" t="s">
        <v>1</v>
      </c>
    </row>
    <row r="6659" customFormat="false" ht="12.8" hidden="false" customHeight="false" outlineLevel="0" collapsed="false">
      <c r="B6659" s="0" t="s">
        <v>45</v>
      </c>
    </row>
    <row r="6661" customFormat="false" ht="12.8" hidden="false" customHeight="false" outlineLevel="0" collapsed="false">
      <c r="A6661" s="0" t="s">
        <v>3460</v>
      </c>
      <c r="B6661" s="0" t="str">
        <f aca="false">HYPERLINK("https://lindat.mff.cuni.cz/services/teitok/pdtc10/index.php?action=vallex&amp;frame=v-w369f51_ZU", "dát (v-w369f51_ZU)")</f>
        <v>dát (v-w369f51_ZU)</v>
      </c>
      <c r="E6661" s="0" t="str">
        <f aca="false">HYPERLINK("https://lindat.mff.cuni.cz/services/SynSemClass40/SynSemClass40.html?veclass=vec00127#vec00127-ces-cm00193", "vec00127")</f>
        <v>vec00127</v>
      </c>
      <c r="F6661" s="0" t="s">
        <v>1835</v>
      </c>
    </row>
    <row r="6662" customFormat="false" ht="12.8" hidden="false" customHeight="false" outlineLevel="0" collapsed="false">
      <c r="B6662" s="0" t="s">
        <v>1</v>
      </c>
      <c r="C6662" s="0" t="s">
        <v>3461</v>
      </c>
      <c r="E6662" s="0" t="s">
        <v>11</v>
      </c>
      <c r="F6662" s="0" t="s">
        <v>1837</v>
      </c>
    </row>
    <row r="6663" customFormat="false" ht="12.8" hidden="false" customHeight="false" outlineLevel="0" collapsed="false">
      <c r="B6663" s="0" t="s">
        <v>3462</v>
      </c>
      <c r="C6663" s="0" t="s">
        <v>3463</v>
      </c>
      <c r="E6663" s="0" t="s">
        <v>1840</v>
      </c>
      <c r="F6663" s="0" t="s">
        <v>1841</v>
      </c>
    </row>
    <row r="6665" customFormat="false" ht="12.8" hidden="false" customHeight="false" outlineLevel="0" collapsed="false">
      <c r="A6665" s="0" t="s">
        <v>3460</v>
      </c>
      <c r="B6665" s="0" t="str">
        <f aca="false">HYPERLINK("https://lindat.mff.cuni.cz/services/teitok/pdtc10/index.php?action=vallex&amp;frame=v-w369f4", "dát (v-w369f4) - substituted with v-w369f51_ZU")</f>
        <v>dát (v-w369f4) - substituted with v-w369f51_ZU</v>
      </c>
    </row>
    <row r="6666" customFormat="false" ht="12.8" hidden="false" customHeight="false" outlineLevel="0" collapsed="false">
      <c r="B6666" s="0" t="s">
        <v>1</v>
      </c>
    </row>
    <row r="6667" customFormat="false" ht="12.8" hidden="false" customHeight="false" outlineLevel="0" collapsed="false">
      <c r="B6667" s="0" t="s">
        <v>3462</v>
      </c>
    </row>
    <row r="6669" customFormat="false" ht="12.8" hidden="false" customHeight="false" outlineLevel="0" collapsed="false">
      <c r="A6669" s="0" t="s">
        <v>3464</v>
      </c>
      <c r="B6669" s="0" t="str">
        <f aca="false">HYPERLINK("https://lindat.mff.cuni.cz/services/teitok/pdtc10/index.php?action=vallex&amp;frame=v-w369f41", "dát (v-w369f41)")</f>
        <v>dát (v-w369f41)</v>
      </c>
    </row>
    <row r="6670" customFormat="false" ht="12.8" hidden="false" customHeight="false" outlineLevel="0" collapsed="false">
      <c r="B6670" s="0" t="s">
        <v>1</v>
      </c>
    </row>
    <row r="6671" customFormat="false" ht="12.8" hidden="false" customHeight="false" outlineLevel="0" collapsed="false">
      <c r="B6671" s="0" t="s">
        <v>865</v>
      </c>
    </row>
    <row r="6672" customFormat="false" ht="12.8" hidden="false" customHeight="false" outlineLevel="0" collapsed="false">
      <c r="B6672" s="0" t="s">
        <v>2069</v>
      </c>
    </row>
    <row r="6673" customFormat="false" ht="12.8" hidden="false" customHeight="false" outlineLevel="0" collapsed="false">
      <c r="B6673" s="0" t="s">
        <v>132</v>
      </c>
    </row>
    <row r="6675" customFormat="false" ht="12.8" hidden="false" customHeight="false" outlineLevel="0" collapsed="false">
      <c r="A6675" s="0" t="s">
        <v>3465</v>
      </c>
      <c r="B6675" s="0" t="str">
        <f aca="false">HYPERLINK("https://lindat.mff.cuni.cz/services/teitok/pdtc10/index.php?action=vallex&amp;frame=v-w369f103_ZU", "dát (v-w369f103_ZU)")</f>
        <v>dát (v-w369f103_ZU)</v>
      </c>
    </row>
    <row r="6676" customFormat="false" ht="12.8" hidden="false" customHeight="false" outlineLevel="0" collapsed="false">
      <c r="B6676" s="0" t="s">
        <v>1</v>
      </c>
    </row>
    <row r="6677" customFormat="false" ht="12.8" hidden="false" customHeight="false" outlineLevel="0" collapsed="false">
      <c r="B6677" s="0" t="s">
        <v>3466</v>
      </c>
    </row>
    <row r="6678" customFormat="false" ht="12.8" hidden="false" customHeight="false" outlineLevel="0" collapsed="false">
      <c r="B6678" s="0" t="s">
        <v>52</v>
      </c>
    </row>
    <row r="6680" customFormat="false" ht="12.8" hidden="false" customHeight="false" outlineLevel="0" collapsed="false">
      <c r="A6680" s="0" t="s">
        <v>3465</v>
      </c>
      <c r="B6680" s="0" t="str">
        <f aca="false">HYPERLINK("https://lindat.mff.cuni.cz/services/teitok/pdtc10/index.php?action=vallex&amp;frame=v-w369f2", "dát (v-w369f2) - substituted with v-w369f103_ZU")</f>
        <v>dát (v-w369f2) - substituted with v-w369f103_ZU</v>
      </c>
    </row>
    <row r="6681" customFormat="false" ht="12.8" hidden="false" customHeight="false" outlineLevel="0" collapsed="false">
      <c r="B6681" s="0" t="s">
        <v>1</v>
      </c>
    </row>
    <row r="6682" customFormat="false" ht="12.8" hidden="false" customHeight="false" outlineLevel="0" collapsed="false">
      <c r="B6682" s="0" t="s">
        <v>3466</v>
      </c>
    </row>
    <row r="6683" customFormat="false" ht="12.8" hidden="false" customHeight="false" outlineLevel="0" collapsed="false">
      <c r="B6683" s="0" t="s">
        <v>52</v>
      </c>
    </row>
    <row r="6685" customFormat="false" ht="12.8" hidden="false" customHeight="false" outlineLevel="0" collapsed="false">
      <c r="A6685" s="0" t="s">
        <v>3465</v>
      </c>
      <c r="B6685" s="0" t="str">
        <f aca="false">HYPERLINK("https://lindat.mff.cuni.cz/services/teitok/pdtc10/index.php?action=vallex&amp;frame=v-w369hsa_838", "dát (v-w369hsa_838) - substituted with v-w369f103_ZU")</f>
        <v>dát (v-w369hsa_838) - substituted with v-w369f103_ZU</v>
      </c>
    </row>
    <row r="6686" customFormat="false" ht="12.8" hidden="false" customHeight="false" outlineLevel="0" collapsed="false">
      <c r="B6686" s="0" t="s">
        <v>1</v>
      </c>
    </row>
    <row r="6687" customFormat="false" ht="12.8" hidden="false" customHeight="false" outlineLevel="0" collapsed="false">
      <c r="B6687" s="0" t="s">
        <v>3466</v>
      </c>
    </row>
    <row r="6688" customFormat="false" ht="12.8" hidden="false" customHeight="false" outlineLevel="0" collapsed="false">
      <c r="B6688" s="0" t="s">
        <v>52</v>
      </c>
    </row>
    <row r="6690" customFormat="false" ht="12.8" hidden="false" customHeight="false" outlineLevel="0" collapsed="false">
      <c r="A6690" s="0" t="s">
        <v>3467</v>
      </c>
      <c r="B6690" s="0" t="str">
        <f aca="false">HYPERLINK("https://lindat.mff.cuni.cz/services/teitok/pdtc10/index.php?action=vallex&amp;frame=v-w369f15", "dát (v-w369f15)")</f>
        <v>dát (v-w369f15)</v>
      </c>
      <c r="E6690" s="0" t="str">
        <f aca="false">HYPERLINK("https://lindat.mff.cuni.cz/services/SynSemClass40/SynSemClass40.html?veclass=vec00033#vec00033-ces-cm00006", "vec00033")</f>
        <v>vec00033</v>
      </c>
      <c r="F6690" s="0" t="s">
        <v>3408</v>
      </c>
    </row>
    <row r="6691" customFormat="false" ht="12.8" hidden="false" customHeight="false" outlineLevel="0" collapsed="false">
      <c r="B6691" s="0" t="s">
        <v>1</v>
      </c>
      <c r="C6691" s="0" t="s">
        <v>3468</v>
      </c>
      <c r="E6691" s="0" t="s">
        <v>3410</v>
      </c>
      <c r="F6691" s="0" t="s">
        <v>3411</v>
      </c>
    </row>
    <row r="6692" customFormat="false" ht="12.8" hidden="false" customHeight="false" outlineLevel="0" collapsed="false">
      <c r="B6692" s="0" t="s">
        <v>3469</v>
      </c>
      <c r="C6692" s="0" t="s">
        <v>3470</v>
      </c>
      <c r="E6692" s="0" t="s">
        <v>3471</v>
      </c>
      <c r="F6692" s="0" t="s">
        <v>3472</v>
      </c>
    </row>
    <row r="6693" customFormat="false" ht="12.8" hidden="false" customHeight="false" outlineLevel="0" collapsed="false">
      <c r="B6693" s="0" t="s">
        <v>3473</v>
      </c>
      <c r="C6693" s="0" t="s">
        <v>3415</v>
      </c>
      <c r="E6693" s="0" t="s">
        <v>53</v>
      </c>
      <c r="F6693" s="0" t="s">
        <v>3416</v>
      </c>
    </row>
    <row r="6695" customFormat="false" ht="12.8" hidden="false" customHeight="false" outlineLevel="0" collapsed="false">
      <c r="A6695" s="0" t="s">
        <v>3474</v>
      </c>
      <c r="B6695" s="0" t="str">
        <f aca="false">HYPERLINK("https://lindat.mff.cuni.cz/services/teitok/pdtc10/index.php?action=vallex&amp;frame=v-w369f20", "dát (v-w369f20)")</f>
        <v>dát (v-w369f20)</v>
      </c>
      <c r="E6695" s="0" t="str">
        <f aca="false">HYPERLINK("https://lindat.mff.cuni.cz/services/SynSemClass40/SynSemClass40.html?veclass=vec00012#vec00012-ces-cm00073", "vec00012")</f>
        <v>vec00012</v>
      </c>
      <c r="F6695" s="0" t="s">
        <v>3078</v>
      </c>
      <c r="H6695" s="0" t="str">
        <f aca="false">HYPERLINK("https://lindat.mff.cuni.cz/services/SynSemClass40/SynSemClass40.html?veclass=vec01419#vec01419-ces-cm00002", "vec01419")</f>
        <v>vec01419</v>
      </c>
      <c r="I6695" s="0" t="s">
        <v>3428</v>
      </c>
    </row>
    <row r="6696" customFormat="false" ht="12.8" hidden="false" customHeight="false" outlineLevel="0" collapsed="false">
      <c r="B6696" s="0" t="s">
        <v>1</v>
      </c>
      <c r="C6696" s="0" t="s">
        <v>3475</v>
      </c>
      <c r="E6696" s="0" t="s">
        <v>206</v>
      </c>
      <c r="F6696" s="0" t="s">
        <v>3080</v>
      </c>
      <c r="H6696" s="0" t="s">
        <v>206</v>
      </c>
      <c r="I6696" s="0" t="s">
        <v>3430</v>
      </c>
    </row>
    <row r="6697" customFormat="false" ht="12.8" hidden="false" customHeight="false" outlineLevel="0" collapsed="false">
      <c r="B6697" s="0" t="s">
        <v>3476</v>
      </c>
      <c r="C6697" s="0" t="s">
        <v>3477</v>
      </c>
      <c r="H6697" s="0" t="s">
        <v>3478</v>
      </c>
      <c r="I6697" s="0" t="s">
        <v>3479</v>
      </c>
    </row>
    <row r="6698" customFormat="false" ht="12.8" hidden="false" customHeight="false" outlineLevel="0" collapsed="false">
      <c r="B6698" s="0" t="s">
        <v>52</v>
      </c>
      <c r="C6698" s="0" t="s">
        <v>3480</v>
      </c>
      <c r="E6698" s="0" t="s">
        <v>2287</v>
      </c>
      <c r="F6698" s="0" t="s">
        <v>3086</v>
      </c>
      <c r="H6698" s="0" t="s">
        <v>2287</v>
      </c>
      <c r="I6698" s="0" t="s">
        <v>3436</v>
      </c>
    </row>
    <row r="6700" customFormat="false" ht="12.8" hidden="false" customHeight="false" outlineLevel="0" collapsed="false">
      <c r="A6700" s="0" t="s">
        <v>3481</v>
      </c>
      <c r="B6700" s="0" t="str">
        <f aca="false">HYPERLINK("https://lindat.mff.cuni.cz/services/teitok/pdtc10/index.php?action=vallex&amp;frame=v-w369f98_ZU", "dát (v-w369f98_ZU)")</f>
        <v>dát (v-w369f98_ZU)</v>
      </c>
    </row>
    <row r="6701" customFormat="false" ht="12.8" hidden="false" customHeight="false" outlineLevel="0" collapsed="false">
      <c r="B6701" s="0" t="s">
        <v>1</v>
      </c>
    </row>
    <row r="6702" customFormat="false" ht="12.8" hidden="false" customHeight="false" outlineLevel="0" collapsed="false">
      <c r="B6702" s="0" t="s">
        <v>3482</v>
      </c>
    </row>
    <row r="6703" customFormat="false" ht="12.8" hidden="false" customHeight="false" outlineLevel="0" collapsed="false">
      <c r="B6703" s="0" t="s">
        <v>52</v>
      </c>
    </row>
    <row r="6705" customFormat="false" ht="12.8" hidden="false" customHeight="false" outlineLevel="0" collapsed="false">
      <c r="A6705" s="0" t="s">
        <v>3481</v>
      </c>
      <c r="B6705" s="0" t="str">
        <f aca="false">HYPERLINK("https://lindat.mff.cuni.cz/services/teitok/pdtc10/index.php?action=vallex&amp;frame=v-w369f16", "dát (v-w369f16) - substituted with v-w369f98_ZU")</f>
        <v>dát (v-w369f16) - substituted with v-w369f98_ZU</v>
      </c>
    </row>
    <row r="6706" customFormat="false" ht="12.8" hidden="false" customHeight="false" outlineLevel="0" collapsed="false">
      <c r="B6706" s="0" t="s">
        <v>1</v>
      </c>
    </row>
    <row r="6707" customFormat="false" ht="12.8" hidden="false" customHeight="false" outlineLevel="0" collapsed="false">
      <c r="B6707" s="0" t="s">
        <v>3482</v>
      </c>
    </row>
    <row r="6708" customFormat="false" ht="12.8" hidden="false" customHeight="false" outlineLevel="0" collapsed="false">
      <c r="B6708" s="0" t="s">
        <v>52</v>
      </c>
    </row>
    <row r="6710" customFormat="false" ht="12.8" hidden="false" customHeight="false" outlineLevel="0" collapsed="false">
      <c r="A6710" s="0" t="s">
        <v>3481</v>
      </c>
      <c r="B6710" s="0" t="str">
        <f aca="false">HYPERLINK("https://lindat.mff.cuni.cz/services/teitok/pdtc10/index.php?action=vallex&amp;frame=v-w369f53_ZU", "dát (v-w369f53_ZU) - substituted with v-w369f98_ZU")</f>
        <v>dát (v-w369f53_ZU) - substituted with v-w369f98_ZU</v>
      </c>
    </row>
    <row r="6711" customFormat="false" ht="12.8" hidden="false" customHeight="false" outlineLevel="0" collapsed="false">
      <c r="B6711" s="0" t="s">
        <v>1</v>
      </c>
    </row>
    <row r="6712" customFormat="false" ht="12.8" hidden="false" customHeight="false" outlineLevel="0" collapsed="false">
      <c r="B6712" s="0" t="s">
        <v>3482</v>
      </c>
    </row>
    <row r="6713" customFormat="false" ht="12.8" hidden="false" customHeight="false" outlineLevel="0" collapsed="false">
      <c r="B6713" s="0" t="s">
        <v>52</v>
      </c>
    </row>
    <row r="6715" customFormat="false" ht="12.8" hidden="false" customHeight="false" outlineLevel="0" collapsed="false">
      <c r="A6715" s="0" t="s">
        <v>3481</v>
      </c>
      <c r="B6715" s="0" t="str">
        <f aca="false">HYPERLINK("https://lindat.mff.cuni.cz/services/teitok/pdtc10/index.php?action=vallex&amp;frame=v-w369f57_ZU", "dát (v-w369f57_ZU) - substituted with v-w369f98_ZU")</f>
        <v>dát (v-w369f57_ZU) - substituted with v-w369f98_ZU</v>
      </c>
    </row>
    <row r="6716" customFormat="false" ht="12.8" hidden="false" customHeight="false" outlineLevel="0" collapsed="false">
      <c r="B6716" s="0" t="s">
        <v>1</v>
      </c>
    </row>
    <row r="6717" customFormat="false" ht="12.8" hidden="false" customHeight="false" outlineLevel="0" collapsed="false">
      <c r="B6717" s="0" t="s">
        <v>3482</v>
      </c>
    </row>
    <row r="6718" customFormat="false" ht="12.8" hidden="false" customHeight="false" outlineLevel="0" collapsed="false">
      <c r="B6718" s="0" t="s">
        <v>52</v>
      </c>
    </row>
    <row r="6720" customFormat="false" ht="12.8" hidden="false" customHeight="false" outlineLevel="0" collapsed="false">
      <c r="A6720" s="0" t="s">
        <v>3481</v>
      </c>
      <c r="B6720" s="0" t="str">
        <f aca="false">HYPERLINK("https://lindat.mff.cuni.cz/services/teitok/pdtc10/index.php?action=vallex&amp;frame=v-w369f69_ZU", "dát (v-w369f69_ZU) - substituted with v-w369f98_ZU")</f>
        <v>dát (v-w369f69_ZU) - substituted with v-w369f98_ZU</v>
      </c>
    </row>
    <row r="6721" customFormat="false" ht="12.8" hidden="false" customHeight="false" outlineLevel="0" collapsed="false">
      <c r="B6721" s="0" t="s">
        <v>1</v>
      </c>
    </row>
    <row r="6722" customFormat="false" ht="12.8" hidden="false" customHeight="false" outlineLevel="0" collapsed="false">
      <c r="B6722" s="0" t="s">
        <v>3482</v>
      </c>
    </row>
    <row r="6723" customFormat="false" ht="12.8" hidden="false" customHeight="false" outlineLevel="0" collapsed="false">
      <c r="B6723" s="0" t="s">
        <v>52</v>
      </c>
    </row>
    <row r="6725" customFormat="false" ht="12.8" hidden="false" customHeight="false" outlineLevel="0" collapsed="false">
      <c r="A6725" s="0" t="s">
        <v>3481</v>
      </c>
      <c r="B6725" s="0" t="str">
        <f aca="false">HYPERLINK("https://lindat.mff.cuni.cz/services/teitok/pdtc10/index.php?action=vallex&amp;frame=v-w369f74_ZU", "dát (v-w369f74_ZU) - substituted with v-w369f98_ZU")</f>
        <v>dát (v-w369f74_ZU) - substituted with v-w369f98_ZU</v>
      </c>
    </row>
    <row r="6726" customFormat="false" ht="12.8" hidden="false" customHeight="false" outlineLevel="0" collapsed="false">
      <c r="B6726" s="0" t="s">
        <v>1</v>
      </c>
    </row>
    <row r="6727" customFormat="false" ht="12.8" hidden="false" customHeight="false" outlineLevel="0" collapsed="false">
      <c r="B6727" s="0" t="s">
        <v>3482</v>
      </c>
    </row>
    <row r="6728" customFormat="false" ht="12.8" hidden="false" customHeight="false" outlineLevel="0" collapsed="false">
      <c r="B6728" s="0" t="s">
        <v>52</v>
      </c>
    </row>
    <row r="6730" customFormat="false" ht="12.8" hidden="false" customHeight="false" outlineLevel="0" collapsed="false">
      <c r="A6730" s="0" t="s">
        <v>3481</v>
      </c>
      <c r="B6730" s="0" t="str">
        <f aca="false">HYPERLINK("https://lindat.mff.cuni.cz/services/teitok/pdtc10/index.php?action=vallex&amp;frame=v-w369f75_ZU", "dát (v-w369f75_ZU) - substituted with v-w369f98_ZU")</f>
        <v>dát (v-w369f75_ZU) - substituted with v-w369f98_ZU</v>
      </c>
      <c r="E6730" s="0" t="str">
        <f aca="false">HYPERLINK("https://lindat.mff.cuni.cz/services/SynSemClass40/SynSemClass40.html?veclass=vec00033#vec00033-ces-cm00015", "vec00033")</f>
        <v>vec00033</v>
      </c>
      <c r="F6730" s="0" t="s">
        <v>3408</v>
      </c>
      <c r="H6730" s="0" t="str">
        <f aca="false">HYPERLINK("https://lindat.mff.cuni.cz/services/SynSemClass40/SynSemClass40.html?veclass=vec01419#vec01419-ces-cm00025", "vec01419")</f>
        <v>vec01419</v>
      </c>
      <c r="I6730" s="0" t="s">
        <v>3428</v>
      </c>
    </row>
    <row r="6731" customFormat="false" ht="12.8" hidden="false" customHeight="false" outlineLevel="0" collapsed="false">
      <c r="B6731" s="0" t="s">
        <v>1</v>
      </c>
      <c r="C6731" s="0" t="s">
        <v>3483</v>
      </c>
      <c r="E6731" s="0" t="s">
        <v>3410</v>
      </c>
      <c r="F6731" s="0" t="s">
        <v>3411</v>
      </c>
      <c r="H6731" s="0" t="s">
        <v>206</v>
      </c>
      <c r="I6731" s="0" t="s">
        <v>3430</v>
      </c>
    </row>
    <row r="6732" customFormat="false" ht="12.8" hidden="false" customHeight="false" outlineLevel="0" collapsed="false">
      <c r="B6732" s="0" t="s">
        <v>3482</v>
      </c>
      <c r="C6732" s="0" t="s">
        <v>3484</v>
      </c>
      <c r="E6732" s="0" t="s">
        <v>3471</v>
      </c>
      <c r="F6732" s="0" t="s">
        <v>3472</v>
      </c>
      <c r="H6732" s="0" t="s">
        <v>3485</v>
      </c>
      <c r="I6732" s="0" t="s">
        <v>3486</v>
      </c>
    </row>
    <row r="6733" customFormat="false" ht="12.8" hidden="false" customHeight="false" outlineLevel="0" collapsed="false">
      <c r="B6733" s="0" t="s">
        <v>52</v>
      </c>
      <c r="C6733" s="0" t="s">
        <v>3487</v>
      </c>
      <c r="E6733" s="0" t="s">
        <v>53</v>
      </c>
      <c r="F6733" s="0" t="s">
        <v>3416</v>
      </c>
      <c r="H6733" s="0" t="s">
        <v>2287</v>
      </c>
      <c r="I6733" s="0" t="s">
        <v>3436</v>
      </c>
    </row>
    <row r="6735" customFormat="false" ht="12.8" hidden="false" customHeight="false" outlineLevel="0" collapsed="false">
      <c r="A6735" s="0" t="s">
        <v>3481</v>
      </c>
      <c r="B6735" s="0" t="str">
        <f aca="false">HYPERLINK("https://lindat.mff.cuni.cz/services/teitok/pdtc10/index.php?action=vallex&amp;frame=v-w369f80_ZU", "dát (v-w369f80_ZU) - substituted with v-w369f98_ZU")</f>
        <v>dát (v-w369f80_ZU) - substituted with v-w369f98_ZU</v>
      </c>
    </row>
    <row r="6736" customFormat="false" ht="12.8" hidden="false" customHeight="false" outlineLevel="0" collapsed="false">
      <c r="B6736" s="0" t="s">
        <v>1</v>
      </c>
    </row>
    <row r="6737" customFormat="false" ht="12.8" hidden="false" customHeight="false" outlineLevel="0" collapsed="false">
      <c r="B6737" s="0" t="s">
        <v>3482</v>
      </c>
    </row>
    <row r="6738" customFormat="false" ht="12.8" hidden="false" customHeight="false" outlineLevel="0" collapsed="false">
      <c r="B6738" s="0" t="s">
        <v>52</v>
      </c>
    </row>
    <row r="6740" customFormat="false" ht="12.8" hidden="false" customHeight="false" outlineLevel="0" collapsed="false">
      <c r="A6740" s="0" t="s">
        <v>3488</v>
      </c>
      <c r="B6740" s="0" t="str">
        <f aca="false">HYPERLINK("https://lindat.mff.cuni.cz/services/teitok/pdtc10/index.php?action=vallex&amp;frame=v-w369f54_ZU", "dát (v-w369f54_ZU)")</f>
        <v>dát (v-w369f54_ZU)</v>
      </c>
    </row>
    <row r="6741" customFormat="false" ht="12.8" hidden="false" customHeight="false" outlineLevel="0" collapsed="false">
      <c r="B6741" s="0" t="s">
        <v>1</v>
      </c>
    </row>
    <row r="6742" customFormat="false" ht="12.8" hidden="false" customHeight="false" outlineLevel="0" collapsed="false">
      <c r="B6742" s="0" t="s">
        <v>3489</v>
      </c>
    </row>
    <row r="6743" customFormat="false" ht="12.8" hidden="false" customHeight="false" outlineLevel="0" collapsed="false">
      <c r="B6743" s="0" t="s">
        <v>52</v>
      </c>
    </row>
    <row r="6745" customFormat="false" ht="12.8" hidden="false" customHeight="false" outlineLevel="0" collapsed="false">
      <c r="A6745" s="0" t="s">
        <v>3490</v>
      </c>
      <c r="B6745" s="0" t="str">
        <f aca="false">HYPERLINK("https://lindat.mff.cuni.cz/services/teitok/pdtc10/index.php?action=vallex&amp;frame=v-w369f109_MM", "dát (v-w369f109_MM)")</f>
        <v>dát (v-w369f109_MM)</v>
      </c>
    </row>
    <row r="6746" customFormat="false" ht="12.8" hidden="false" customHeight="false" outlineLevel="0" collapsed="false">
      <c r="B6746" s="0" t="s">
        <v>1</v>
      </c>
    </row>
    <row r="6747" customFormat="false" ht="12.8" hidden="false" customHeight="false" outlineLevel="0" collapsed="false">
      <c r="B6747" s="0" t="s">
        <v>3491</v>
      </c>
    </row>
    <row r="6748" customFormat="false" ht="12.8" hidden="false" customHeight="false" outlineLevel="0" collapsed="false">
      <c r="B6748" s="0" t="s">
        <v>52</v>
      </c>
    </row>
    <row r="6750" customFormat="false" ht="12.8" hidden="false" customHeight="false" outlineLevel="0" collapsed="false">
      <c r="A6750" s="0" t="s">
        <v>3490</v>
      </c>
      <c r="B6750" s="0" t="str">
        <f aca="false">HYPERLINK("https://lindat.mff.cuni.cz/services/teitok/pdtc10/index.php?action=vallex&amp;frame=v-w369f102_ZU", "dát (v-w369f102_ZU) - substituted with v-w369f109_MM")</f>
        <v>dát (v-w369f102_ZU) - substituted with v-w369f109_MM</v>
      </c>
    </row>
    <row r="6751" customFormat="false" ht="12.8" hidden="false" customHeight="false" outlineLevel="0" collapsed="false">
      <c r="B6751" s="0" t="s">
        <v>1</v>
      </c>
    </row>
    <row r="6752" customFormat="false" ht="12.8" hidden="false" customHeight="false" outlineLevel="0" collapsed="false">
      <c r="B6752" s="0" t="s">
        <v>3491</v>
      </c>
    </row>
    <row r="6753" customFormat="false" ht="12.8" hidden="false" customHeight="false" outlineLevel="0" collapsed="false">
      <c r="B6753" s="0" t="s">
        <v>52</v>
      </c>
    </row>
    <row r="6755" customFormat="false" ht="12.8" hidden="false" customHeight="false" outlineLevel="0" collapsed="false">
      <c r="A6755" s="0" t="s">
        <v>3490</v>
      </c>
      <c r="B6755" s="0" t="str">
        <f aca="false">HYPERLINK("https://lindat.mff.cuni.cz/services/teitok/pdtc10/index.php?action=vallex&amp;frame=v-w369f3", "dát (v-w369f3) - substituted with v-w369f109_MM")</f>
        <v>dát (v-w369f3) - substituted with v-w369f109_MM</v>
      </c>
    </row>
    <row r="6756" customFormat="false" ht="12.8" hidden="false" customHeight="false" outlineLevel="0" collapsed="false">
      <c r="B6756" s="0" t="s">
        <v>1</v>
      </c>
    </row>
    <row r="6757" customFormat="false" ht="12.8" hidden="false" customHeight="false" outlineLevel="0" collapsed="false">
      <c r="B6757" s="0" t="s">
        <v>3491</v>
      </c>
    </row>
    <row r="6758" customFormat="false" ht="12.8" hidden="false" customHeight="false" outlineLevel="0" collapsed="false">
      <c r="B6758" s="0" t="s">
        <v>52</v>
      </c>
    </row>
    <row r="6760" customFormat="false" ht="12.8" hidden="false" customHeight="false" outlineLevel="0" collapsed="false">
      <c r="A6760" s="0" t="s">
        <v>3490</v>
      </c>
      <c r="B6760" s="0" t="str">
        <f aca="false">HYPERLINK("https://lindat.mff.cuni.cz/services/teitok/pdtc10/index.php?action=vallex&amp;frame=v-w369f56_ZU", "dát (v-w369f56_ZU) - substituted with v-w369f109_MM")</f>
        <v>dát (v-w369f56_ZU) - substituted with v-w369f109_MM</v>
      </c>
    </row>
    <row r="6761" customFormat="false" ht="12.8" hidden="false" customHeight="false" outlineLevel="0" collapsed="false">
      <c r="B6761" s="0" t="s">
        <v>1</v>
      </c>
    </row>
    <row r="6762" customFormat="false" ht="12.8" hidden="false" customHeight="false" outlineLevel="0" collapsed="false">
      <c r="B6762" s="0" t="s">
        <v>3491</v>
      </c>
    </row>
    <row r="6763" customFormat="false" ht="12.8" hidden="false" customHeight="false" outlineLevel="0" collapsed="false">
      <c r="B6763" s="0" t="s">
        <v>52</v>
      </c>
    </row>
    <row r="6765" customFormat="false" ht="12.8" hidden="false" customHeight="false" outlineLevel="0" collapsed="false">
      <c r="A6765" s="0" t="s">
        <v>3490</v>
      </c>
      <c r="B6765" s="0" t="str">
        <f aca="false">HYPERLINK("https://lindat.mff.cuni.cz/services/teitok/pdtc10/index.php?action=vallex&amp;frame=v-w369f71_ZU", "dát (v-w369f71_ZU) - substituted with v-w369f109_MM")</f>
        <v>dát (v-w369f71_ZU) - substituted with v-w369f109_MM</v>
      </c>
    </row>
    <row r="6766" customFormat="false" ht="12.8" hidden="false" customHeight="false" outlineLevel="0" collapsed="false">
      <c r="B6766" s="0" t="s">
        <v>1</v>
      </c>
    </row>
    <row r="6767" customFormat="false" ht="12.8" hidden="false" customHeight="false" outlineLevel="0" collapsed="false">
      <c r="B6767" s="0" t="s">
        <v>3491</v>
      </c>
    </row>
    <row r="6768" customFormat="false" ht="12.8" hidden="false" customHeight="false" outlineLevel="0" collapsed="false">
      <c r="B6768" s="0" t="s">
        <v>52</v>
      </c>
    </row>
    <row r="6770" customFormat="false" ht="12.8" hidden="false" customHeight="false" outlineLevel="0" collapsed="false">
      <c r="A6770" s="0" t="s">
        <v>3490</v>
      </c>
      <c r="B6770" s="0" t="str">
        <f aca="false">HYPERLINK("https://lindat.mff.cuni.cz/services/teitok/pdtc10/index.php?action=vallex&amp;frame=v-w369f72_ZU", "dát (v-w369f72_ZU) - substituted with v-w369f109_MM")</f>
        <v>dát (v-w369f72_ZU) - substituted with v-w369f109_MM</v>
      </c>
    </row>
    <row r="6771" customFormat="false" ht="12.8" hidden="false" customHeight="false" outlineLevel="0" collapsed="false">
      <c r="B6771" s="0" t="s">
        <v>1</v>
      </c>
    </row>
    <row r="6772" customFormat="false" ht="12.8" hidden="false" customHeight="false" outlineLevel="0" collapsed="false">
      <c r="B6772" s="0" t="s">
        <v>3491</v>
      </c>
    </row>
    <row r="6773" customFormat="false" ht="12.8" hidden="false" customHeight="false" outlineLevel="0" collapsed="false">
      <c r="B6773" s="0" t="s">
        <v>52</v>
      </c>
    </row>
    <row r="6775" customFormat="false" ht="12.8" hidden="false" customHeight="false" outlineLevel="0" collapsed="false">
      <c r="A6775" s="0" t="s">
        <v>3490</v>
      </c>
      <c r="B6775" s="0" t="str">
        <f aca="false">HYPERLINK("https://lindat.mff.cuni.cz/services/teitok/pdtc10/index.php?action=vallex&amp;frame=v-w369f73_ZU", "dát (v-w369f73_ZU) - substituted with v-w369f109_MM")</f>
        <v>dát (v-w369f73_ZU) - substituted with v-w369f109_MM</v>
      </c>
    </row>
    <row r="6776" customFormat="false" ht="12.8" hidden="false" customHeight="false" outlineLevel="0" collapsed="false">
      <c r="B6776" s="0" t="s">
        <v>1</v>
      </c>
    </row>
    <row r="6777" customFormat="false" ht="12.8" hidden="false" customHeight="false" outlineLevel="0" collapsed="false">
      <c r="B6777" s="0" t="s">
        <v>3491</v>
      </c>
    </row>
    <row r="6778" customFormat="false" ht="12.8" hidden="false" customHeight="false" outlineLevel="0" collapsed="false">
      <c r="B6778" s="0" t="s">
        <v>52</v>
      </c>
    </row>
    <row r="6780" customFormat="false" ht="12.8" hidden="false" customHeight="false" outlineLevel="0" collapsed="false">
      <c r="A6780" s="0" t="s">
        <v>3490</v>
      </c>
      <c r="B6780" s="0" t="str">
        <f aca="false">HYPERLINK("https://lindat.mff.cuni.cz/services/teitok/pdtc10/index.php?action=vallex&amp;frame=v-w369f76_ZU", "dát (v-w369f76_ZU) - substituted with v-w369f109_MM")</f>
        <v>dát (v-w369f76_ZU) - substituted with v-w369f109_MM</v>
      </c>
      <c r="E6780" s="0" t="str">
        <f aca="false">HYPERLINK("https://lindat.mff.cuni.cz/services/SynSemClass40/SynSemClass40.html?veclass=vec00012#vec00012-ces-cm00074", "vec00012")</f>
        <v>vec00012</v>
      </c>
      <c r="F6780" s="0" t="s">
        <v>3078</v>
      </c>
      <c r="H6780" s="0" t="str">
        <f aca="false">HYPERLINK("https://lindat.mff.cuni.cz/services/SynSemClass40/SynSemClass40.html?veclass=vec00571#vec00571-ces-cm00050", "vec00571")</f>
        <v>vec00571</v>
      </c>
      <c r="I6780" s="0" t="s">
        <v>1861</v>
      </c>
      <c r="K6780" s="0" t="str">
        <f aca="false">HYPERLINK("https://lindat.mff.cuni.cz/services/SynSemClass40/SynSemClass40.html?veclass=vec01013#vec01013-ces-cm00025", "vec01013")</f>
        <v>vec01013</v>
      </c>
      <c r="L6780" s="0" t="s">
        <v>1981</v>
      </c>
      <c r="N6780" s="0" t="str">
        <f aca="false">HYPERLINK("https://lindat.mff.cuni.cz/services/SynSemClass40/SynSemClass40.html?veclass=vec01320#vec01320-ces-cm00007", "vec01320")</f>
        <v>vec01320</v>
      </c>
      <c r="O6780" s="0" t="s">
        <v>912</v>
      </c>
      <c r="Q6780" s="0" t="str">
        <f aca="false">HYPERLINK("https://lindat.mff.cuni.cz/services/SynSemClass40/SynSemClass40.html?veclass=vec01419#vec01419-ces-cm00004", "vec01419")</f>
        <v>vec01419</v>
      </c>
      <c r="R6780" s="0" t="s">
        <v>3428</v>
      </c>
    </row>
    <row r="6781" customFormat="false" ht="12.8" hidden="false" customHeight="false" outlineLevel="0" collapsed="false">
      <c r="B6781" s="0" t="s">
        <v>1</v>
      </c>
      <c r="C6781" s="0" t="s">
        <v>3492</v>
      </c>
      <c r="E6781" s="0" t="s">
        <v>206</v>
      </c>
      <c r="F6781" s="0" t="s">
        <v>3080</v>
      </c>
      <c r="H6781" s="0" t="s">
        <v>31</v>
      </c>
      <c r="I6781" s="0" t="s">
        <v>1865</v>
      </c>
      <c r="K6781" s="0" t="s">
        <v>206</v>
      </c>
      <c r="L6781" s="0" t="s">
        <v>1982</v>
      </c>
      <c r="N6781" s="0" t="s">
        <v>155</v>
      </c>
      <c r="O6781" s="0" t="s">
        <v>916</v>
      </c>
      <c r="Q6781" s="0" t="s">
        <v>206</v>
      </c>
      <c r="R6781" s="0" t="s">
        <v>3430</v>
      </c>
    </row>
    <row r="6782" customFormat="false" ht="12.8" hidden="false" customHeight="false" outlineLevel="0" collapsed="false">
      <c r="B6782" s="0" t="s">
        <v>3491</v>
      </c>
      <c r="C6782" s="0" t="s">
        <v>3493</v>
      </c>
      <c r="H6782" s="0" t="s">
        <v>3494</v>
      </c>
      <c r="I6782" s="0" t="s">
        <v>3495</v>
      </c>
      <c r="K6782" s="0" t="s">
        <v>3496</v>
      </c>
      <c r="L6782" s="0" t="s">
        <v>3497</v>
      </c>
      <c r="N6782" s="0" t="s">
        <v>3498</v>
      </c>
      <c r="O6782" s="0" t="s">
        <v>3499</v>
      </c>
      <c r="Q6782" s="0" t="s">
        <v>3478</v>
      </c>
      <c r="R6782" s="0" t="s">
        <v>3479</v>
      </c>
    </row>
    <row r="6783" customFormat="false" ht="12.8" hidden="false" customHeight="false" outlineLevel="0" collapsed="false">
      <c r="B6783" s="0" t="s">
        <v>52</v>
      </c>
      <c r="C6783" s="0" t="s">
        <v>3500</v>
      </c>
      <c r="E6783" s="0" t="s">
        <v>2287</v>
      </c>
      <c r="F6783" s="0" t="s">
        <v>3086</v>
      </c>
      <c r="H6783" s="0" t="s">
        <v>564</v>
      </c>
      <c r="I6783" s="0" t="s">
        <v>1878</v>
      </c>
      <c r="K6783" s="0" t="s">
        <v>564</v>
      </c>
      <c r="L6783" s="0" t="s">
        <v>1988</v>
      </c>
      <c r="N6783" s="0" t="s">
        <v>221</v>
      </c>
      <c r="O6783" s="0" t="s">
        <v>3501</v>
      </c>
      <c r="Q6783" s="0" t="s">
        <v>2287</v>
      </c>
      <c r="R6783" s="0" t="s">
        <v>3436</v>
      </c>
    </row>
    <row r="6785" customFormat="false" ht="12.8" hidden="false" customHeight="false" outlineLevel="0" collapsed="false">
      <c r="A6785" s="0" t="s">
        <v>3490</v>
      </c>
      <c r="B6785" s="0" t="str">
        <f aca="false">HYPERLINK("https://lindat.mff.cuni.cz/services/teitok/pdtc10/index.php?action=vallex&amp;frame=v-w369f81_ZU", "dát (v-w369f81_ZU) - substituted with v-w369f109_MM")</f>
        <v>dát (v-w369f81_ZU) - substituted with v-w369f109_MM</v>
      </c>
    </row>
    <row r="6786" customFormat="false" ht="12.8" hidden="false" customHeight="false" outlineLevel="0" collapsed="false">
      <c r="B6786" s="0" t="s">
        <v>1</v>
      </c>
    </row>
    <row r="6787" customFormat="false" ht="12.8" hidden="false" customHeight="false" outlineLevel="0" collapsed="false">
      <c r="B6787" s="0" t="s">
        <v>3491</v>
      </c>
    </row>
    <row r="6788" customFormat="false" ht="12.8" hidden="false" customHeight="false" outlineLevel="0" collapsed="false">
      <c r="B6788" s="0" t="s">
        <v>52</v>
      </c>
    </row>
    <row r="6790" customFormat="false" ht="12.8" hidden="false" customHeight="false" outlineLevel="0" collapsed="false">
      <c r="A6790" s="0" t="s">
        <v>3490</v>
      </c>
      <c r="B6790" s="0" t="str">
        <f aca="false">HYPERLINK("https://lindat.mff.cuni.cz/services/teitok/pdtc10/index.php?action=vallex&amp;frame=v-w369f82_ZU", "dát (v-w369f82_ZU) - substituted with v-w369f109_MM")</f>
        <v>dát (v-w369f82_ZU) - substituted with v-w369f109_MM</v>
      </c>
    </row>
    <row r="6791" customFormat="false" ht="12.8" hidden="false" customHeight="false" outlineLevel="0" collapsed="false">
      <c r="B6791" s="0" t="s">
        <v>1</v>
      </c>
    </row>
    <row r="6792" customFormat="false" ht="12.8" hidden="false" customHeight="false" outlineLevel="0" collapsed="false">
      <c r="B6792" s="0" t="s">
        <v>3491</v>
      </c>
    </row>
    <row r="6793" customFormat="false" ht="12.8" hidden="false" customHeight="false" outlineLevel="0" collapsed="false">
      <c r="B6793" s="0" t="s">
        <v>52</v>
      </c>
    </row>
    <row r="6795" customFormat="false" ht="12.8" hidden="false" customHeight="false" outlineLevel="0" collapsed="false">
      <c r="A6795" s="0" t="s">
        <v>3490</v>
      </c>
      <c r="B6795" s="0" t="str">
        <f aca="false">HYPERLINK("https://lindat.mff.cuni.cz/services/teitok/pdtc10/index.php?action=vallex&amp;frame=v-w369hsa_839", "dát (v-w369hsa_839) - substituted with v-w369f109_MM")</f>
        <v>dát (v-w369hsa_839) - substituted with v-w369f109_MM</v>
      </c>
    </row>
    <row r="6796" customFormat="false" ht="12.8" hidden="false" customHeight="false" outlineLevel="0" collapsed="false">
      <c r="B6796" s="0" t="s">
        <v>1</v>
      </c>
    </row>
    <row r="6797" customFormat="false" ht="12.8" hidden="false" customHeight="false" outlineLevel="0" collapsed="false">
      <c r="B6797" s="0" t="s">
        <v>3491</v>
      </c>
    </row>
    <row r="6798" customFormat="false" ht="12.8" hidden="false" customHeight="false" outlineLevel="0" collapsed="false">
      <c r="B6798" s="0" t="s">
        <v>52</v>
      </c>
    </row>
    <row r="6800" customFormat="false" ht="12.8" hidden="false" customHeight="false" outlineLevel="0" collapsed="false">
      <c r="A6800" s="0" t="s">
        <v>3502</v>
      </c>
      <c r="B6800" s="0" t="str">
        <f aca="false">HYPERLINK("https://lindat.mff.cuni.cz/services/teitok/pdtc10/index.php?action=vallex&amp;frame=v-w369f61_ZU", "dát (v-w369f61_ZU)")</f>
        <v>dát (v-w369f61_ZU)</v>
      </c>
      <c r="E6800" s="0" t="str">
        <f aca="false">HYPERLINK("https://lindat.mff.cuni.cz/services/SynSemClass40/SynSemClass40.html?veclass=vec01419#vec01419-ces-cm00024", "vec01419")</f>
        <v>vec01419</v>
      </c>
      <c r="F6800" s="0" t="s">
        <v>3428</v>
      </c>
    </row>
    <row r="6801" customFormat="false" ht="12.8" hidden="false" customHeight="false" outlineLevel="0" collapsed="false">
      <c r="B6801" s="0" t="s">
        <v>1</v>
      </c>
      <c r="C6801" s="0" t="s">
        <v>3503</v>
      </c>
      <c r="E6801" s="0" t="s">
        <v>206</v>
      </c>
      <c r="F6801" s="0" t="s">
        <v>3430</v>
      </c>
    </row>
    <row r="6802" customFormat="false" ht="12.8" hidden="false" customHeight="false" outlineLevel="0" collapsed="false">
      <c r="B6802" s="0" t="s">
        <v>3504</v>
      </c>
      <c r="C6802" s="0" t="s">
        <v>3477</v>
      </c>
      <c r="E6802" s="0" t="s">
        <v>3505</v>
      </c>
      <c r="F6802" s="0" t="s">
        <v>3506</v>
      </c>
    </row>
    <row r="6803" customFormat="false" ht="12.8" hidden="false" customHeight="false" outlineLevel="0" collapsed="false">
      <c r="B6803" s="0" t="s">
        <v>52</v>
      </c>
      <c r="C6803" s="0" t="s">
        <v>3435</v>
      </c>
      <c r="E6803" s="0" t="s">
        <v>2287</v>
      </c>
      <c r="F6803" s="0" t="s">
        <v>3436</v>
      </c>
    </row>
    <row r="6805" customFormat="false" ht="12.8" hidden="false" customHeight="false" outlineLevel="0" collapsed="false">
      <c r="A6805" s="0" t="s">
        <v>3502</v>
      </c>
      <c r="B6805" s="0" t="str">
        <f aca="false">HYPERLINK("https://lindat.mff.cuni.cz/services/teitok/pdtc10/index.php?action=vallex&amp;frame=v-w369f47", "dát (v-w369f47) - substituted with v-w369f61_ZU")</f>
        <v>dát (v-w369f47) - substituted with v-w369f61_ZU</v>
      </c>
    </row>
    <row r="6806" customFormat="false" ht="12.8" hidden="false" customHeight="false" outlineLevel="0" collapsed="false">
      <c r="B6806" s="0" t="s">
        <v>1</v>
      </c>
    </row>
    <row r="6807" customFormat="false" ht="12.8" hidden="false" customHeight="false" outlineLevel="0" collapsed="false">
      <c r="B6807" s="0" t="s">
        <v>3504</v>
      </c>
    </row>
    <row r="6808" customFormat="false" ht="12.8" hidden="false" customHeight="false" outlineLevel="0" collapsed="false">
      <c r="B6808" s="0" t="s">
        <v>52</v>
      </c>
    </row>
    <row r="6810" customFormat="false" ht="12.8" hidden="false" customHeight="false" outlineLevel="0" collapsed="false">
      <c r="A6810" s="0" t="s">
        <v>3502</v>
      </c>
      <c r="B6810" s="0" t="str">
        <f aca="false">HYPERLINK("https://lindat.mff.cuni.cz/services/teitok/pdtc10/index.php?action=vallex&amp;frame=v-w369f58_ZU", "dát (v-w369f58_ZU) - substituted with v-w369f61_ZU")</f>
        <v>dát (v-w369f58_ZU) - substituted with v-w369f61_ZU</v>
      </c>
    </row>
    <row r="6811" customFormat="false" ht="12.8" hidden="false" customHeight="false" outlineLevel="0" collapsed="false">
      <c r="B6811" s="0" t="s">
        <v>1</v>
      </c>
    </row>
    <row r="6812" customFormat="false" ht="12.8" hidden="false" customHeight="false" outlineLevel="0" collapsed="false">
      <c r="B6812" s="0" t="s">
        <v>3504</v>
      </c>
    </row>
    <row r="6813" customFormat="false" ht="12.8" hidden="false" customHeight="false" outlineLevel="0" collapsed="false">
      <c r="B6813" s="0" t="s">
        <v>52</v>
      </c>
    </row>
    <row r="6815" customFormat="false" ht="12.8" hidden="false" customHeight="false" outlineLevel="0" collapsed="false">
      <c r="A6815" s="0" t="s">
        <v>3507</v>
      </c>
      <c r="B6815" s="0" t="str">
        <f aca="false">HYPERLINK("https://lindat.mff.cuni.cz/services/teitok/pdtc10/index.php?action=vallex&amp;frame=v-w369f55_ZU", "dát (v-w369f55_ZU)")</f>
        <v>dát (v-w369f55_ZU)</v>
      </c>
      <c r="E6815" s="0" t="str">
        <f aca="false">HYPERLINK("https://lindat.mff.cuni.cz/services/SynSemClass40/SynSemClass40.html?veclass=vec00334#vec00334-ces-cm00019", "vec00334")</f>
        <v>vec00334</v>
      </c>
      <c r="F6815" s="0" t="s">
        <v>3508</v>
      </c>
    </row>
    <row r="6816" customFormat="false" ht="12.8" hidden="false" customHeight="false" outlineLevel="0" collapsed="false">
      <c r="B6816" s="0" t="s">
        <v>1</v>
      </c>
      <c r="C6816" s="0" t="s">
        <v>3509</v>
      </c>
      <c r="E6816" s="0" t="s">
        <v>155</v>
      </c>
      <c r="F6816" s="0" t="s">
        <v>3510</v>
      </c>
    </row>
    <row r="6817" customFormat="false" ht="12.8" hidden="false" customHeight="false" outlineLevel="0" collapsed="false">
      <c r="B6817" s="0" t="s">
        <v>3511</v>
      </c>
    </row>
    <row r="6818" customFormat="false" ht="12.8" hidden="false" customHeight="false" outlineLevel="0" collapsed="false">
      <c r="B6818" s="0" t="s">
        <v>3512</v>
      </c>
      <c r="C6818" s="0" t="s">
        <v>3513</v>
      </c>
      <c r="E6818" s="0" t="s">
        <v>3514</v>
      </c>
      <c r="F6818" s="0" t="s">
        <v>3515</v>
      </c>
    </row>
    <row r="6820" customFormat="false" ht="12.8" hidden="false" customHeight="false" outlineLevel="0" collapsed="false">
      <c r="A6820" s="0" t="s">
        <v>3507</v>
      </c>
      <c r="B6820" s="0" t="str">
        <f aca="false">HYPERLINK("https://lindat.mff.cuni.cz/services/teitok/pdtc10/index.php?action=vallex&amp;frame=v-w369f5", "dát (v-w369f5) - substituted with v-w369f55_ZU")</f>
        <v>dát (v-w369f5) - substituted with v-w369f55_ZU</v>
      </c>
    </row>
    <row r="6821" customFormat="false" ht="12.8" hidden="false" customHeight="false" outlineLevel="0" collapsed="false">
      <c r="B6821" s="0" t="s">
        <v>1</v>
      </c>
    </row>
    <row r="6822" customFormat="false" ht="12.8" hidden="false" customHeight="false" outlineLevel="0" collapsed="false">
      <c r="B6822" s="0" t="s">
        <v>3511</v>
      </c>
    </row>
    <row r="6823" customFormat="false" ht="12.8" hidden="false" customHeight="false" outlineLevel="0" collapsed="false">
      <c r="B6823" s="0" t="s">
        <v>3512</v>
      </c>
    </row>
    <row r="6825" customFormat="false" ht="12.8" hidden="false" customHeight="false" outlineLevel="0" collapsed="false">
      <c r="A6825" s="0" t="s">
        <v>3516</v>
      </c>
      <c r="B6825" s="0" t="str">
        <f aca="false">HYPERLINK("https://lindat.mff.cuni.cz/services/teitok/pdtc10/index.php?action=vallex&amp;frame=v-w369f46", "dát (v-w369f46)")</f>
        <v>dát (v-w369f46)</v>
      </c>
    </row>
    <row r="6826" customFormat="false" ht="12.8" hidden="false" customHeight="false" outlineLevel="0" collapsed="false">
      <c r="B6826" s="0" t="s">
        <v>1</v>
      </c>
    </row>
    <row r="6827" customFormat="false" ht="12.8" hidden="false" customHeight="false" outlineLevel="0" collapsed="false">
      <c r="B6827" s="0" t="s">
        <v>3517</v>
      </c>
    </row>
    <row r="6828" customFormat="false" ht="12.8" hidden="false" customHeight="false" outlineLevel="0" collapsed="false">
      <c r="B6828" s="0" t="s">
        <v>5</v>
      </c>
    </row>
    <row r="6830" customFormat="false" ht="12.8" hidden="false" customHeight="false" outlineLevel="0" collapsed="false">
      <c r="A6830" s="0" t="s">
        <v>3518</v>
      </c>
      <c r="B6830" s="0" t="str">
        <f aca="false">HYPERLINK("https://lindat.mff.cuni.cz/services/teitok/pdtc10/index.php?action=vallex&amp;frame=v-w369f68_ZU", "dát (v-w369f68_ZU)")</f>
        <v>dát (v-w369f68_ZU)</v>
      </c>
    </row>
    <row r="6831" customFormat="false" ht="12.8" hidden="false" customHeight="false" outlineLevel="0" collapsed="false">
      <c r="B6831" s="0" t="s">
        <v>1</v>
      </c>
    </row>
    <row r="6832" customFormat="false" ht="12.8" hidden="false" customHeight="false" outlineLevel="0" collapsed="false">
      <c r="B6832" s="0" t="s">
        <v>3519</v>
      </c>
    </row>
    <row r="6833" customFormat="false" ht="12.8" hidden="false" customHeight="false" outlineLevel="0" collapsed="false">
      <c r="B6833" s="0" t="s">
        <v>164</v>
      </c>
    </row>
    <row r="6835" customFormat="false" ht="12.8" hidden="false" customHeight="false" outlineLevel="0" collapsed="false">
      <c r="A6835" s="0" t="s">
        <v>3518</v>
      </c>
      <c r="B6835" s="0" t="str">
        <f aca="false">HYPERLINK("https://lindat.mff.cuni.cz/services/teitok/pdtc10/index.php?action=vallex&amp;frame=v-w369f45", "dát (v-w369f45) - substituted with v-w369f68_ZU")</f>
        <v>dát (v-w369f45) - substituted with v-w369f68_ZU</v>
      </c>
    </row>
    <row r="6836" customFormat="false" ht="12.8" hidden="false" customHeight="false" outlineLevel="0" collapsed="false">
      <c r="B6836" s="0" t="s">
        <v>1</v>
      </c>
    </row>
    <row r="6837" customFormat="false" ht="12.8" hidden="false" customHeight="false" outlineLevel="0" collapsed="false">
      <c r="B6837" s="0" t="s">
        <v>3519</v>
      </c>
    </row>
    <row r="6838" customFormat="false" ht="12.8" hidden="false" customHeight="false" outlineLevel="0" collapsed="false">
      <c r="B6838" s="0" t="s">
        <v>164</v>
      </c>
    </row>
    <row r="6840" customFormat="false" ht="12.8" hidden="false" customHeight="false" outlineLevel="0" collapsed="false">
      <c r="A6840" s="0" t="s">
        <v>3520</v>
      </c>
      <c r="B6840" s="0" t="str">
        <f aca="false">HYPERLINK("https://lindat.mff.cuni.cz/services/teitok/pdtc10/index.php?action=vallex&amp;frame=v-w369f48", "dát (v-w369f48)")</f>
        <v>dát (v-w369f48)</v>
      </c>
    </row>
    <row r="6841" customFormat="false" ht="12.8" hidden="false" customHeight="false" outlineLevel="0" collapsed="false">
      <c r="B6841" s="0" t="s">
        <v>1</v>
      </c>
    </row>
    <row r="6842" customFormat="false" ht="12.8" hidden="false" customHeight="false" outlineLevel="0" collapsed="false">
      <c r="B6842" s="0" t="s">
        <v>3521</v>
      </c>
    </row>
    <row r="6844" customFormat="false" ht="12.8" hidden="false" customHeight="false" outlineLevel="0" collapsed="false">
      <c r="A6844" s="0" t="s">
        <v>3522</v>
      </c>
      <c r="B6844" s="0" t="str">
        <f aca="false">HYPERLINK("https://lindat.mff.cuni.cz/services/teitok/pdtc10/index.php?action=vallex&amp;frame=v-w369f19", "dát (v-w369f19)")</f>
        <v>dát (v-w369f19)</v>
      </c>
    </row>
    <row r="6845" customFormat="false" ht="12.8" hidden="false" customHeight="false" outlineLevel="0" collapsed="false">
      <c r="B6845" s="0" t="s">
        <v>1</v>
      </c>
    </row>
    <row r="6846" customFormat="false" ht="12.8" hidden="false" customHeight="false" outlineLevel="0" collapsed="false">
      <c r="B6846" s="0" t="s">
        <v>3523</v>
      </c>
    </row>
    <row r="6848" customFormat="false" ht="12.8" hidden="false" customHeight="false" outlineLevel="0" collapsed="false">
      <c r="A6848" s="0" t="s">
        <v>3524</v>
      </c>
      <c r="B6848" s="0" t="str">
        <f aca="false">HYPERLINK("https://lindat.mff.cuni.cz/services/teitok/pdtc10/index.php?action=vallex&amp;frame=v-w369f18", "dát (v-w369f18)")</f>
        <v>dát (v-w369f18)</v>
      </c>
      <c r="E6848" s="0" t="str">
        <f aca="false">HYPERLINK("https://lindat.mff.cuni.cz/services/SynSemClass40/SynSemClass40.html?veclass=vec00033#vec00033-ces-cm00007", "vec00033")</f>
        <v>vec00033</v>
      </c>
      <c r="F6848" s="0" t="s">
        <v>3408</v>
      </c>
    </row>
    <row r="6849" customFormat="false" ht="12.8" hidden="false" customHeight="false" outlineLevel="0" collapsed="false">
      <c r="B6849" s="0" t="s">
        <v>1</v>
      </c>
      <c r="C6849" s="0" t="s">
        <v>3468</v>
      </c>
      <c r="E6849" s="0" t="s">
        <v>3410</v>
      </c>
      <c r="F6849" s="0" t="s">
        <v>3411</v>
      </c>
    </row>
    <row r="6850" customFormat="false" ht="12.8" hidden="false" customHeight="false" outlineLevel="0" collapsed="false">
      <c r="B6850" s="0" t="s">
        <v>960</v>
      </c>
    </row>
    <row r="6851" customFormat="false" ht="12.8" hidden="false" customHeight="false" outlineLevel="0" collapsed="false">
      <c r="B6851" s="0" t="s">
        <v>8</v>
      </c>
      <c r="C6851" s="0" t="s">
        <v>3525</v>
      </c>
      <c r="E6851" s="0" t="s">
        <v>3413</v>
      </c>
      <c r="F6851" s="0" t="s">
        <v>3414</v>
      </c>
    </row>
    <row r="6852" customFormat="false" ht="12.8" hidden="false" customHeight="false" outlineLevel="0" collapsed="false">
      <c r="B6852" s="0" t="s">
        <v>52</v>
      </c>
      <c r="C6852" s="0" t="s">
        <v>3415</v>
      </c>
      <c r="E6852" s="0" t="s">
        <v>53</v>
      </c>
      <c r="F6852" s="0" t="s">
        <v>3416</v>
      </c>
    </row>
    <row r="6854" customFormat="false" ht="12.8" hidden="false" customHeight="false" outlineLevel="0" collapsed="false">
      <c r="A6854" s="0" t="s">
        <v>3526</v>
      </c>
      <c r="B6854" s="0" t="str">
        <f aca="false">HYPERLINK("https://lindat.mff.cuni.cz/services/teitok/pdtc10/index.php?action=vallex&amp;frame=v-w369hsa_974", "dát (v-w369hsa_974)")</f>
        <v>dát (v-w369hsa_974)</v>
      </c>
    </row>
    <row r="6855" customFormat="false" ht="12.8" hidden="false" customHeight="false" outlineLevel="0" collapsed="false">
      <c r="B6855" s="0" t="s">
        <v>1</v>
      </c>
    </row>
    <row r="6856" customFormat="false" ht="12.8" hidden="false" customHeight="false" outlineLevel="0" collapsed="false">
      <c r="B6856" s="0" t="s">
        <v>3527</v>
      </c>
    </row>
    <row r="6857" customFormat="false" ht="12.8" hidden="false" customHeight="false" outlineLevel="0" collapsed="false">
      <c r="B6857" s="0" t="s">
        <v>59</v>
      </c>
    </row>
    <row r="6858" customFormat="false" ht="12.8" hidden="false" customHeight="false" outlineLevel="0" collapsed="false">
      <c r="B6858" s="0" t="s">
        <v>52</v>
      </c>
    </row>
    <row r="6860" customFormat="false" ht="12.8" hidden="false" customHeight="false" outlineLevel="0" collapsed="false">
      <c r="A6860" s="0" t="s">
        <v>3526</v>
      </c>
      <c r="B6860" s="0" t="str">
        <f aca="false">HYPERLINK("https://lindat.mff.cuni.cz/services/teitok/pdtc10/index.php?action=vallex&amp;frame=v-w369f22", "dát (v-w369f22) - substituted with v-w369hsa_974")</f>
        <v>dát (v-w369f22) - substituted with v-w369hsa_974</v>
      </c>
    </row>
    <row r="6861" customFormat="false" ht="12.8" hidden="false" customHeight="false" outlineLevel="0" collapsed="false">
      <c r="B6861" s="0" t="s">
        <v>1</v>
      </c>
    </row>
    <row r="6862" customFormat="false" ht="12.8" hidden="false" customHeight="false" outlineLevel="0" collapsed="false">
      <c r="B6862" s="0" t="s">
        <v>3527</v>
      </c>
    </row>
    <row r="6863" customFormat="false" ht="12.8" hidden="false" customHeight="false" outlineLevel="0" collapsed="false">
      <c r="B6863" s="0" t="s">
        <v>59</v>
      </c>
    </row>
    <row r="6864" customFormat="false" ht="12.8" hidden="false" customHeight="false" outlineLevel="0" collapsed="false">
      <c r="B6864" s="0" t="s">
        <v>52</v>
      </c>
    </row>
    <row r="6866" customFormat="false" ht="12.8" hidden="false" customHeight="false" outlineLevel="0" collapsed="false">
      <c r="A6866" s="0" t="s">
        <v>3528</v>
      </c>
      <c r="B6866" s="0" t="str">
        <f aca="false">HYPERLINK("https://lindat.mff.cuni.cz/services/teitok/pdtc10/index.php?action=vallex&amp;frame=v-w369f36", "dát (v-w369f36)")</f>
        <v>dát (v-w369f36)</v>
      </c>
    </row>
    <row r="6867" customFormat="false" ht="12.8" hidden="false" customHeight="false" outlineLevel="0" collapsed="false">
      <c r="B6867" s="0" t="s">
        <v>1</v>
      </c>
    </row>
    <row r="6868" customFormat="false" ht="12.8" hidden="false" customHeight="false" outlineLevel="0" collapsed="false">
      <c r="B6868" s="0" t="s">
        <v>3529</v>
      </c>
    </row>
    <row r="6869" customFormat="false" ht="12.8" hidden="false" customHeight="false" outlineLevel="0" collapsed="false">
      <c r="B6869" s="0" t="s">
        <v>59</v>
      </c>
    </row>
    <row r="6870" customFormat="false" ht="12.8" hidden="false" customHeight="false" outlineLevel="0" collapsed="false">
      <c r="B6870" s="0" t="s">
        <v>52</v>
      </c>
    </row>
    <row r="6872" customFormat="false" ht="12.8" hidden="false" customHeight="false" outlineLevel="0" collapsed="false">
      <c r="A6872" s="0" t="s">
        <v>3530</v>
      </c>
      <c r="B6872" s="0" t="str">
        <f aca="false">HYPERLINK("https://lindat.mff.cuni.cz/services/teitok/pdtc10/index.php?action=vallex&amp;frame=v-w369f8", "dát (v-w369f8)")</f>
        <v>dát (v-w369f8)</v>
      </c>
      <c r="E6872" s="0" t="str">
        <f aca="false">HYPERLINK("https://lindat.mff.cuni.cz/services/SynSemClass40/SynSemClass40.html?veclass=vec00060#vec00060-ces-cm00004", "vec00060")</f>
        <v>vec00060</v>
      </c>
      <c r="F6872" s="0" t="s">
        <v>213</v>
      </c>
    </row>
    <row r="6873" customFormat="false" ht="12.8" hidden="false" customHeight="false" outlineLevel="0" collapsed="false">
      <c r="B6873" s="0" t="s">
        <v>1</v>
      </c>
      <c r="C6873" s="0" t="s">
        <v>214</v>
      </c>
      <c r="E6873" s="0" t="s">
        <v>147</v>
      </c>
      <c r="F6873" s="0" t="s">
        <v>215</v>
      </c>
    </row>
    <row r="6874" customFormat="false" ht="12.8" hidden="false" customHeight="false" outlineLevel="0" collapsed="false">
      <c r="B6874" s="0" t="s">
        <v>3531</v>
      </c>
    </row>
    <row r="6875" customFormat="false" ht="12.8" hidden="false" customHeight="false" outlineLevel="0" collapsed="false">
      <c r="B6875" s="0" t="s">
        <v>3532</v>
      </c>
      <c r="C6875" s="0" t="s">
        <v>217</v>
      </c>
      <c r="E6875" s="0" t="s">
        <v>218</v>
      </c>
      <c r="F6875" s="0" t="s">
        <v>219</v>
      </c>
    </row>
    <row r="6876" customFormat="false" ht="12.8" hidden="false" customHeight="false" outlineLevel="0" collapsed="false">
      <c r="B6876" s="0" t="s">
        <v>52</v>
      </c>
      <c r="C6876" s="0" t="s">
        <v>220</v>
      </c>
      <c r="E6876" s="0" t="s">
        <v>221</v>
      </c>
      <c r="F6876" s="0" t="s">
        <v>222</v>
      </c>
    </row>
    <row r="6878" customFormat="false" ht="12.8" hidden="false" customHeight="false" outlineLevel="0" collapsed="false">
      <c r="A6878" s="0" t="s">
        <v>3533</v>
      </c>
      <c r="B6878" s="0" t="str">
        <f aca="false">HYPERLINK("https://lindat.mff.cuni.cz/services/teitok/pdtc10/index.php?action=vallex&amp;frame=v-w369f60_ZU", "dát (v-w369f60_ZU)")</f>
        <v>dát (v-w369f60_ZU)</v>
      </c>
    </row>
    <row r="6879" customFormat="false" ht="12.8" hidden="false" customHeight="false" outlineLevel="0" collapsed="false">
      <c r="B6879" s="0" t="s">
        <v>1</v>
      </c>
    </row>
    <row r="6880" customFormat="false" ht="12.8" hidden="false" customHeight="false" outlineLevel="0" collapsed="false">
      <c r="B6880" s="0" t="s">
        <v>3534</v>
      </c>
    </row>
    <row r="6881" customFormat="false" ht="12.8" hidden="false" customHeight="false" outlineLevel="0" collapsed="false">
      <c r="B6881" s="0" t="s">
        <v>8</v>
      </c>
    </row>
    <row r="6882" customFormat="false" ht="12.8" hidden="false" customHeight="false" outlineLevel="0" collapsed="false">
      <c r="B6882" s="0" t="s">
        <v>52</v>
      </c>
    </row>
    <row r="6884" customFormat="false" ht="12.8" hidden="false" customHeight="false" outlineLevel="0" collapsed="false">
      <c r="A6884" s="0" t="s">
        <v>3535</v>
      </c>
      <c r="B6884" s="0" t="str">
        <f aca="false">HYPERLINK("https://lindat.mff.cuni.cz/services/teitok/pdtc10/index.php?action=vallex&amp;frame=v-w369f39", "dát (v-w369f39)")</f>
        <v>dát (v-w369f39)</v>
      </c>
    </row>
    <row r="6885" customFormat="false" ht="12.8" hidden="false" customHeight="false" outlineLevel="0" collapsed="false">
      <c r="B6885" s="0" t="s">
        <v>1</v>
      </c>
    </row>
    <row r="6886" customFormat="false" ht="12.8" hidden="false" customHeight="false" outlineLevel="0" collapsed="false">
      <c r="B6886" s="0" t="s">
        <v>3536</v>
      </c>
    </row>
    <row r="6887" customFormat="false" ht="12.8" hidden="false" customHeight="false" outlineLevel="0" collapsed="false">
      <c r="B6887" s="0" t="s">
        <v>8</v>
      </c>
    </row>
    <row r="6888" customFormat="false" ht="12.8" hidden="false" customHeight="false" outlineLevel="0" collapsed="false">
      <c r="B6888" s="0" t="s">
        <v>3537</v>
      </c>
    </row>
    <row r="6890" customFormat="false" ht="12.8" hidden="false" customHeight="false" outlineLevel="0" collapsed="false">
      <c r="A6890" s="0" t="s">
        <v>3538</v>
      </c>
      <c r="B6890" s="0" t="str">
        <f aca="false">HYPERLINK("https://lindat.mff.cuni.cz/services/teitok/pdtc10/index.php?action=vallex&amp;frame=v-w369f104_ZU", "dát (v-w369f104_ZU)")</f>
        <v>dát (v-w369f104_ZU)</v>
      </c>
    </row>
    <row r="6891" customFormat="false" ht="12.8" hidden="false" customHeight="false" outlineLevel="0" collapsed="false">
      <c r="B6891" s="0" t="s">
        <v>1</v>
      </c>
    </row>
    <row r="6892" customFormat="false" ht="12.8" hidden="false" customHeight="false" outlineLevel="0" collapsed="false">
      <c r="B6892" s="0" t="s">
        <v>3539</v>
      </c>
    </row>
    <row r="6893" customFormat="false" ht="12.8" hidden="false" customHeight="false" outlineLevel="0" collapsed="false">
      <c r="B6893" s="0" t="s">
        <v>8</v>
      </c>
    </row>
    <row r="6895" customFormat="false" ht="12.8" hidden="false" customHeight="false" outlineLevel="0" collapsed="false">
      <c r="A6895" s="0" t="s">
        <v>3538</v>
      </c>
      <c r="B6895" s="0" t="str">
        <f aca="false">HYPERLINK("https://lindat.mff.cuni.cz/services/teitok/pdtc10/index.php?action=vallex&amp;frame=v-w369f9", "dát (v-w369f9) - substituted with v-w369f104_ZU")</f>
        <v>dát (v-w369f9) - substituted with v-w369f104_ZU</v>
      </c>
      <c r="E6895" s="0" t="str">
        <f aca="false">HYPERLINK("https://lindat.mff.cuni.cz/services/SynSemClass40/SynSemClass40.html?veclass=vec00443#vec00443-ces-cm00011", "vec00443")</f>
        <v>vec00443</v>
      </c>
      <c r="F6895" s="0" t="s">
        <v>90</v>
      </c>
    </row>
    <row r="6896" customFormat="false" ht="12.8" hidden="false" customHeight="false" outlineLevel="0" collapsed="false">
      <c r="B6896" s="0" t="s">
        <v>1</v>
      </c>
      <c r="C6896" s="0" t="s">
        <v>91</v>
      </c>
      <c r="E6896" s="0" t="s">
        <v>92</v>
      </c>
      <c r="F6896" s="0" t="s">
        <v>93</v>
      </c>
    </row>
    <row r="6897" customFormat="false" ht="12.8" hidden="false" customHeight="false" outlineLevel="0" collapsed="false">
      <c r="B6897" s="0" t="s">
        <v>3539</v>
      </c>
    </row>
    <row r="6898" customFormat="false" ht="12.8" hidden="false" customHeight="false" outlineLevel="0" collapsed="false">
      <c r="B6898" s="0" t="s">
        <v>8</v>
      </c>
      <c r="C6898" s="0" t="s">
        <v>94</v>
      </c>
      <c r="E6898" s="0" t="s">
        <v>95</v>
      </c>
      <c r="F6898" s="0" t="s">
        <v>96</v>
      </c>
    </row>
    <row r="6900" customFormat="false" ht="12.8" hidden="false" customHeight="false" outlineLevel="0" collapsed="false">
      <c r="A6900" s="0" t="s">
        <v>3540</v>
      </c>
      <c r="B6900" s="0" t="str">
        <f aca="false">HYPERLINK("https://lindat.mff.cuni.cz/services/teitok/pdtc10/index.php?action=vallex&amp;frame=v-w369f44", "dát (v-w369f44)")</f>
        <v>dát (v-w369f44)</v>
      </c>
      <c r="E6900" s="0" t="str">
        <f aca="false">HYPERLINK("https://lindat.mff.cuni.cz/services/SynSemClass40/SynSemClass40.html?veclass=vec01207#vec01207-ces-cm00002", "vec01207")</f>
        <v>vec01207</v>
      </c>
      <c r="F6900" s="0" t="s">
        <v>3541</v>
      </c>
    </row>
    <row r="6901" customFormat="false" ht="12.8" hidden="false" customHeight="false" outlineLevel="0" collapsed="false">
      <c r="B6901" s="0" t="s">
        <v>1</v>
      </c>
      <c r="C6901" s="0" t="s">
        <v>239</v>
      </c>
      <c r="E6901" s="0" t="s">
        <v>621</v>
      </c>
      <c r="F6901" s="0" t="s">
        <v>3542</v>
      </c>
    </row>
    <row r="6902" customFormat="false" ht="12.8" hidden="false" customHeight="false" outlineLevel="0" collapsed="false">
      <c r="B6902" s="0" t="s">
        <v>3543</v>
      </c>
    </row>
    <row r="6903" customFormat="false" ht="12.8" hidden="false" customHeight="false" outlineLevel="0" collapsed="false">
      <c r="B6903" s="0" t="s">
        <v>3544</v>
      </c>
      <c r="C6903" s="0" t="s">
        <v>3545</v>
      </c>
      <c r="E6903" s="0" t="s">
        <v>532</v>
      </c>
      <c r="F6903" s="0" t="s">
        <v>3546</v>
      </c>
    </row>
    <row r="6905" customFormat="false" ht="12.8" hidden="false" customHeight="false" outlineLevel="0" collapsed="false">
      <c r="A6905" s="0" t="s">
        <v>3547</v>
      </c>
      <c r="B6905" s="0" t="str">
        <f aca="false">HYPERLINK("https://lindat.mff.cuni.cz/services/teitok/pdtc10/index.php?action=vallex&amp;frame=v-w369f24", "dát (v-w369f24)")</f>
        <v>dát (v-w369f24)</v>
      </c>
    </row>
    <row r="6906" customFormat="false" ht="12.8" hidden="false" customHeight="false" outlineLevel="0" collapsed="false">
      <c r="B6906" s="0" t="s">
        <v>1</v>
      </c>
    </row>
    <row r="6907" customFormat="false" ht="12.8" hidden="false" customHeight="false" outlineLevel="0" collapsed="false">
      <c r="B6907" s="0" t="s">
        <v>3548</v>
      </c>
    </row>
    <row r="6908" customFormat="false" ht="12.8" hidden="false" customHeight="false" outlineLevel="0" collapsed="false">
      <c r="B6908" s="0" t="s">
        <v>3382</v>
      </c>
    </row>
    <row r="6910" customFormat="false" ht="12.8" hidden="false" customHeight="false" outlineLevel="0" collapsed="false">
      <c r="A6910" s="0" t="s">
        <v>3549</v>
      </c>
      <c r="B6910" s="0" t="str">
        <f aca="false">HYPERLINK("https://lindat.mff.cuni.cz/services/teitok/pdtc10/index.php?action=vallex&amp;frame=v-w369f92_ZU", "dát (v-w369f92_ZU)")</f>
        <v>dát (v-w369f92_ZU)</v>
      </c>
    </row>
    <row r="6911" customFormat="false" ht="12.8" hidden="false" customHeight="false" outlineLevel="0" collapsed="false">
      <c r="B6911" s="0" t="s">
        <v>1</v>
      </c>
    </row>
    <row r="6912" customFormat="false" ht="12.8" hidden="false" customHeight="false" outlineLevel="0" collapsed="false">
      <c r="B6912" s="0" t="s">
        <v>3550</v>
      </c>
    </row>
    <row r="6913" customFormat="false" ht="12.8" hidden="false" customHeight="false" outlineLevel="0" collapsed="false">
      <c r="B6913" s="0" t="s">
        <v>8</v>
      </c>
    </row>
    <row r="6915" customFormat="false" ht="12.8" hidden="false" customHeight="false" outlineLevel="0" collapsed="false">
      <c r="A6915" s="0" t="s">
        <v>3549</v>
      </c>
      <c r="B6915" s="0" t="str">
        <f aca="false">HYPERLINK("https://lindat.mff.cuni.cz/services/teitok/pdtc10/index.php?action=vallex&amp;frame=v-w369f34", "dát (v-w369f34) - substituted with v-w369f92_ZU")</f>
        <v>dát (v-w369f34) - substituted with v-w369f92_ZU</v>
      </c>
    </row>
    <row r="6916" customFormat="false" ht="12.8" hidden="false" customHeight="false" outlineLevel="0" collapsed="false">
      <c r="B6916" s="0" t="s">
        <v>1</v>
      </c>
    </row>
    <row r="6917" customFormat="false" ht="12.8" hidden="false" customHeight="false" outlineLevel="0" collapsed="false">
      <c r="B6917" s="0" t="s">
        <v>3550</v>
      </c>
    </row>
    <row r="6918" customFormat="false" ht="12.8" hidden="false" customHeight="false" outlineLevel="0" collapsed="false">
      <c r="B6918" s="0" t="s">
        <v>8</v>
      </c>
    </row>
    <row r="6920" customFormat="false" ht="12.8" hidden="false" customHeight="false" outlineLevel="0" collapsed="false">
      <c r="A6920" s="0" t="s">
        <v>3551</v>
      </c>
      <c r="B6920" s="0" t="str">
        <f aca="false">HYPERLINK("https://lindat.mff.cuni.cz/services/teitok/pdtc10/index.php?action=vallex&amp;frame=v-w369f40", "dát (v-w369f40)")</f>
        <v>dát (v-w369f40)</v>
      </c>
    </row>
    <row r="6921" customFormat="false" ht="12.8" hidden="false" customHeight="false" outlineLevel="0" collapsed="false">
      <c r="B6921" s="0" t="s">
        <v>1</v>
      </c>
    </row>
    <row r="6922" customFormat="false" ht="12.8" hidden="false" customHeight="false" outlineLevel="0" collapsed="false">
      <c r="B6922" s="0" t="s">
        <v>3552</v>
      </c>
    </row>
    <row r="6923" customFormat="false" ht="12.8" hidden="false" customHeight="false" outlineLevel="0" collapsed="false">
      <c r="B6923" s="0" t="s">
        <v>186</v>
      </c>
    </row>
    <row r="6925" customFormat="false" ht="12.8" hidden="false" customHeight="false" outlineLevel="0" collapsed="false">
      <c r="A6925" s="0" t="s">
        <v>3553</v>
      </c>
      <c r="B6925" s="0" t="str">
        <f aca="false">HYPERLINK("https://lindat.mff.cuni.cz/services/teitok/pdtc10/index.php?action=vallex&amp;frame=v-w369f35", "dát (v-w369f35)")</f>
        <v>dát (v-w369f35)</v>
      </c>
    </row>
    <row r="6926" customFormat="false" ht="12.8" hidden="false" customHeight="false" outlineLevel="0" collapsed="false">
      <c r="B6926" s="0" t="s">
        <v>1</v>
      </c>
    </row>
    <row r="6927" customFormat="false" ht="12.8" hidden="false" customHeight="false" outlineLevel="0" collapsed="false">
      <c r="B6927" s="0" t="s">
        <v>2868</v>
      </c>
    </row>
    <row r="6928" customFormat="false" ht="12.8" hidden="false" customHeight="false" outlineLevel="0" collapsed="false">
      <c r="B6928" s="0" t="s">
        <v>186</v>
      </c>
    </row>
    <row r="6930" customFormat="false" ht="12.8" hidden="false" customHeight="false" outlineLevel="0" collapsed="false">
      <c r="A6930" s="0" t="s">
        <v>3554</v>
      </c>
      <c r="B6930" s="0" t="str">
        <f aca="false">HYPERLINK("https://lindat.mff.cuni.cz/services/teitok/pdtc10/index.php?action=vallex&amp;frame=v-w369f29", "dát (v-w369f29)")</f>
        <v>dát (v-w369f29)</v>
      </c>
    </row>
    <row r="6931" customFormat="false" ht="12.8" hidden="false" customHeight="false" outlineLevel="0" collapsed="false">
      <c r="B6931" s="0" t="s">
        <v>804</v>
      </c>
    </row>
    <row r="6932" customFormat="false" ht="12.8" hidden="false" customHeight="false" outlineLevel="0" collapsed="false">
      <c r="B6932" s="0" t="s">
        <v>3555</v>
      </c>
    </row>
    <row r="6933" customFormat="false" ht="12.8" hidden="false" customHeight="false" outlineLevel="0" collapsed="false">
      <c r="B6933" s="0" t="s">
        <v>3556</v>
      </c>
    </row>
    <row r="6935" customFormat="false" ht="12.8" hidden="false" customHeight="false" outlineLevel="0" collapsed="false">
      <c r="A6935" s="0" t="s">
        <v>3557</v>
      </c>
      <c r="B6935" s="0" t="str">
        <f aca="false">HYPERLINK("https://lindat.mff.cuni.cz/services/teitok/pdtc10/index.php?action=vallex&amp;frame=v-w369f38", "dát (v-w369f38)")</f>
        <v>dát (v-w369f38)</v>
      </c>
    </row>
    <row r="6936" customFormat="false" ht="12.8" hidden="false" customHeight="false" outlineLevel="0" collapsed="false">
      <c r="B6936" s="0" t="s">
        <v>804</v>
      </c>
    </row>
    <row r="6937" customFormat="false" ht="12.8" hidden="false" customHeight="false" outlineLevel="0" collapsed="false">
      <c r="B6937" s="0" t="s">
        <v>3558</v>
      </c>
    </row>
    <row r="6938" customFormat="false" ht="12.8" hidden="false" customHeight="false" outlineLevel="0" collapsed="false">
      <c r="B6938" s="0" t="s">
        <v>59</v>
      </c>
    </row>
    <row r="6940" customFormat="false" ht="12.8" hidden="false" customHeight="false" outlineLevel="0" collapsed="false">
      <c r="A6940" s="0" t="s">
        <v>3559</v>
      </c>
      <c r="B6940" s="0" t="str">
        <f aca="false">HYPERLINK("https://lindat.mff.cuni.cz/services/teitok/pdtc10/index.php?action=vallex&amp;frame=v-w369f59_ZU", "dát (v-w369f59_ZU)")</f>
        <v>dát (v-w369f59_ZU)</v>
      </c>
    </row>
    <row r="6941" customFormat="false" ht="12.8" hidden="false" customHeight="false" outlineLevel="0" collapsed="false">
      <c r="B6941" s="0" t="s">
        <v>1</v>
      </c>
    </row>
    <row r="6942" customFormat="false" ht="12.8" hidden="false" customHeight="false" outlineLevel="0" collapsed="false">
      <c r="B6942" s="0" t="s">
        <v>3560</v>
      </c>
    </row>
    <row r="6943" customFormat="false" ht="12.8" hidden="false" customHeight="false" outlineLevel="0" collapsed="false">
      <c r="B6943" s="0" t="s">
        <v>186</v>
      </c>
    </row>
    <row r="6945" customFormat="false" ht="12.8" hidden="false" customHeight="false" outlineLevel="0" collapsed="false">
      <c r="A6945" s="0" t="s">
        <v>3561</v>
      </c>
      <c r="B6945" s="0" t="str">
        <f aca="false">HYPERLINK("https://lindat.mff.cuni.cz/services/teitok/pdtc10/index.php?action=vallex&amp;frame=v-w369f65_ZU", "dát (v-w369f65_ZU)")</f>
        <v>dát (v-w369f65_ZU)</v>
      </c>
    </row>
    <row r="6946" customFormat="false" ht="12.8" hidden="false" customHeight="false" outlineLevel="0" collapsed="false">
      <c r="B6946" s="0" t="s">
        <v>1</v>
      </c>
    </row>
    <row r="6947" customFormat="false" ht="12.8" hidden="false" customHeight="false" outlineLevel="0" collapsed="false">
      <c r="B6947" s="0" t="s">
        <v>3562</v>
      </c>
    </row>
    <row r="6948" customFormat="false" ht="12.8" hidden="false" customHeight="false" outlineLevel="0" collapsed="false">
      <c r="B6948" s="0" t="s">
        <v>186</v>
      </c>
    </row>
    <row r="6950" customFormat="false" ht="12.8" hidden="false" customHeight="false" outlineLevel="0" collapsed="false">
      <c r="A6950" s="0" t="s">
        <v>3561</v>
      </c>
      <c r="B6950" s="0" t="str">
        <f aca="false">HYPERLINK("https://lindat.mff.cuni.cz/services/teitok/pdtc10/index.php?action=vallex&amp;frame=v-w369f52_ZU", "dát (v-w369f52_ZU) - substituted with v-w369f65_ZU")</f>
        <v>dát (v-w369f52_ZU) - substituted with v-w369f65_ZU</v>
      </c>
    </row>
    <row r="6951" customFormat="false" ht="12.8" hidden="false" customHeight="false" outlineLevel="0" collapsed="false">
      <c r="B6951" s="0" t="s">
        <v>1</v>
      </c>
    </row>
    <row r="6952" customFormat="false" ht="12.8" hidden="false" customHeight="false" outlineLevel="0" collapsed="false">
      <c r="B6952" s="0" t="s">
        <v>3562</v>
      </c>
    </row>
    <row r="6953" customFormat="false" ht="12.8" hidden="false" customHeight="false" outlineLevel="0" collapsed="false">
      <c r="B6953" s="0" t="s">
        <v>186</v>
      </c>
    </row>
    <row r="6955" customFormat="false" ht="12.8" hidden="false" customHeight="false" outlineLevel="0" collapsed="false">
      <c r="A6955" s="0" t="s">
        <v>3563</v>
      </c>
      <c r="B6955" s="0" t="str">
        <f aca="false">HYPERLINK("https://lindat.mff.cuni.cz/services/teitok/pdtc10/index.php?action=vallex&amp;frame=v-w369f99_ZU", "dát (v-w369f99_ZU)")</f>
        <v>dát (v-w369f99_ZU)</v>
      </c>
    </row>
    <row r="6956" customFormat="false" ht="12.8" hidden="false" customHeight="false" outlineLevel="0" collapsed="false">
      <c r="B6956" s="0" t="s">
        <v>1</v>
      </c>
    </row>
    <row r="6957" customFormat="false" ht="12.8" hidden="false" customHeight="false" outlineLevel="0" collapsed="false">
      <c r="B6957" s="0" t="s">
        <v>3564</v>
      </c>
    </row>
    <row r="6958" customFormat="false" ht="12.8" hidden="false" customHeight="false" outlineLevel="0" collapsed="false">
      <c r="B6958" s="0" t="s">
        <v>157</v>
      </c>
    </row>
    <row r="6960" customFormat="false" ht="12.8" hidden="false" customHeight="false" outlineLevel="0" collapsed="false">
      <c r="A6960" s="0" t="s">
        <v>3563</v>
      </c>
      <c r="B6960" s="0" t="str">
        <f aca="false">HYPERLINK("https://lindat.mff.cuni.cz/services/teitok/pdtc10/index.php?action=vallex&amp;frame=v-w369f37", "dát (v-w369f37) - substituted with v-w369f99_ZU")</f>
        <v>dát (v-w369f37) - substituted with v-w369f99_ZU</v>
      </c>
    </row>
    <row r="6961" customFormat="false" ht="12.8" hidden="false" customHeight="false" outlineLevel="0" collapsed="false">
      <c r="B6961" s="0" t="s">
        <v>1</v>
      </c>
    </row>
    <row r="6962" customFormat="false" ht="12.8" hidden="false" customHeight="false" outlineLevel="0" collapsed="false">
      <c r="B6962" s="0" t="s">
        <v>3564</v>
      </c>
    </row>
    <row r="6963" customFormat="false" ht="12.8" hidden="false" customHeight="false" outlineLevel="0" collapsed="false">
      <c r="B6963" s="0" t="s">
        <v>157</v>
      </c>
    </row>
    <row r="6965" customFormat="false" ht="12.8" hidden="false" customHeight="false" outlineLevel="0" collapsed="false">
      <c r="A6965" s="0" t="s">
        <v>3565</v>
      </c>
      <c r="B6965" s="0" t="str">
        <f aca="false">HYPERLINK("https://lindat.mff.cuni.cz/services/teitok/pdtc10/index.php?action=vallex&amp;frame=v-w369f23", "dát (v-w369f23)")</f>
        <v>dát (v-w369f23)</v>
      </c>
    </row>
    <row r="6966" customFormat="false" ht="12.8" hidden="false" customHeight="false" outlineLevel="0" collapsed="false">
      <c r="B6966" s="0" t="s">
        <v>1</v>
      </c>
    </row>
    <row r="6967" customFormat="false" ht="12.8" hidden="false" customHeight="false" outlineLevel="0" collapsed="false">
      <c r="B6967" s="0" t="s">
        <v>3566</v>
      </c>
    </row>
    <row r="6968" customFormat="false" ht="12.8" hidden="false" customHeight="false" outlineLevel="0" collapsed="false">
      <c r="B6968" s="0" t="s">
        <v>918</v>
      </c>
    </row>
    <row r="6970" customFormat="false" ht="12.8" hidden="false" customHeight="false" outlineLevel="0" collapsed="false">
      <c r="A6970" s="0" t="s">
        <v>3567</v>
      </c>
      <c r="B6970" s="0" t="str">
        <f aca="false">HYPERLINK("https://lindat.mff.cuni.cz/services/teitok/pdtc10/index.php?action=vallex&amp;frame=v-w369f14", "dát (v-w369f14)")</f>
        <v>dát (v-w369f14)</v>
      </c>
    </row>
    <row r="6971" customFormat="false" ht="12.8" hidden="false" customHeight="false" outlineLevel="0" collapsed="false">
      <c r="B6971" s="0" t="s">
        <v>1</v>
      </c>
    </row>
    <row r="6972" customFormat="false" ht="12.8" hidden="false" customHeight="false" outlineLevel="0" collapsed="false">
      <c r="B6972" s="0" t="s">
        <v>3568</v>
      </c>
    </row>
    <row r="6973" customFormat="false" ht="12.8" hidden="false" customHeight="false" outlineLevel="0" collapsed="false">
      <c r="B6973" s="0" t="s">
        <v>52</v>
      </c>
    </row>
    <row r="6974" customFormat="false" ht="12.8" hidden="false" customHeight="false" outlineLevel="0" collapsed="false">
      <c r="B6974" s="0" t="s">
        <v>3569</v>
      </c>
    </row>
    <row r="6976" customFormat="false" ht="12.8" hidden="false" customHeight="false" outlineLevel="0" collapsed="false">
      <c r="A6976" s="0" t="s">
        <v>3570</v>
      </c>
      <c r="B6976" s="0" t="str">
        <f aca="false">HYPERLINK("https://lindat.mff.cuni.cz/services/teitok/pdtc10/index.php?action=vallex&amp;frame=v-w369f78_ZU", "dát (v-w369f78_ZU)")</f>
        <v>dát (v-w369f78_ZU)</v>
      </c>
    </row>
    <row r="6977" customFormat="false" ht="12.8" hidden="false" customHeight="false" outlineLevel="0" collapsed="false">
      <c r="B6977" s="0" t="s">
        <v>1</v>
      </c>
    </row>
    <row r="6978" customFormat="false" ht="12.8" hidden="false" customHeight="false" outlineLevel="0" collapsed="false">
      <c r="B6978" s="0" t="s">
        <v>3571</v>
      </c>
    </row>
    <row r="6979" customFormat="false" ht="12.8" hidden="false" customHeight="false" outlineLevel="0" collapsed="false">
      <c r="B6979" s="0" t="s">
        <v>52</v>
      </c>
    </row>
    <row r="6980" customFormat="false" ht="12.8" hidden="false" customHeight="false" outlineLevel="0" collapsed="false">
      <c r="B6980" s="0" t="s">
        <v>3572</v>
      </c>
    </row>
    <row r="6981" customFormat="false" ht="12.8" hidden="false" customHeight="false" outlineLevel="0" collapsed="false">
      <c r="B6981" s="0" t="s">
        <v>496</v>
      </c>
    </row>
    <row r="6983" customFormat="false" ht="12.8" hidden="false" customHeight="false" outlineLevel="0" collapsed="false">
      <c r="A6983" s="0" t="s">
        <v>3570</v>
      </c>
      <c r="B6983" s="0" t="str">
        <f aca="false">HYPERLINK("https://lindat.mff.cuni.cz/services/teitok/pdtc10/index.php?action=vallex&amp;frame=v-w369f25", "dát (v-w369f25) - substituted with v-w369f78_ZU")</f>
        <v>dát (v-w369f25) - substituted with v-w369f78_ZU</v>
      </c>
    </row>
    <row r="6984" customFormat="false" ht="12.8" hidden="false" customHeight="false" outlineLevel="0" collapsed="false">
      <c r="B6984" s="0" t="s">
        <v>1</v>
      </c>
    </row>
    <row r="6985" customFormat="false" ht="12.8" hidden="false" customHeight="false" outlineLevel="0" collapsed="false">
      <c r="B6985" s="0" t="s">
        <v>3571</v>
      </c>
    </row>
    <row r="6986" customFormat="false" ht="12.8" hidden="false" customHeight="false" outlineLevel="0" collapsed="false">
      <c r="B6986" s="0" t="s">
        <v>52</v>
      </c>
    </row>
    <row r="6987" customFormat="false" ht="12.8" hidden="false" customHeight="false" outlineLevel="0" collapsed="false">
      <c r="B6987" s="0" t="s">
        <v>3572</v>
      </c>
    </row>
    <row r="6988" customFormat="false" ht="12.8" hidden="false" customHeight="false" outlineLevel="0" collapsed="false">
      <c r="B6988" s="0" t="s">
        <v>496</v>
      </c>
    </row>
    <row r="6990" customFormat="false" ht="12.8" hidden="false" customHeight="false" outlineLevel="0" collapsed="false">
      <c r="A6990" s="0" t="s">
        <v>3570</v>
      </c>
      <c r="B6990" s="0" t="str">
        <f aca="false">HYPERLINK("https://lindat.mff.cuni.cz/services/teitok/pdtc10/index.php?action=vallex&amp;frame=v-w369f70_ZU", "dát (v-w369f70_ZU) - substituted with v-w369f78_ZU")</f>
        <v>dát (v-w369f70_ZU) - substituted with v-w369f78_ZU</v>
      </c>
      <c r="E6990" s="0" t="str">
        <f aca="false">HYPERLINK("https://lindat.mff.cuni.cz/services/SynSemClass40/SynSemClass40.html?veclass=vec00060#vec00060-ces-cm00391", "vec00060")</f>
        <v>vec00060</v>
      </c>
      <c r="F6990" s="0" t="s">
        <v>213</v>
      </c>
    </row>
    <row r="6991" customFormat="false" ht="12.8" hidden="false" customHeight="false" outlineLevel="0" collapsed="false">
      <c r="B6991" s="0" t="s">
        <v>1</v>
      </c>
      <c r="C6991" s="0" t="s">
        <v>214</v>
      </c>
      <c r="E6991" s="0" t="s">
        <v>147</v>
      </c>
      <c r="F6991" s="0" t="s">
        <v>215</v>
      </c>
    </row>
    <row r="6992" customFormat="false" ht="12.8" hidden="false" customHeight="false" outlineLevel="0" collapsed="false">
      <c r="B6992" s="0" t="s">
        <v>3571</v>
      </c>
    </row>
    <row r="6993" customFormat="false" ht="12.8" hidden="false" customHeight="false" outlineLevel="0" collapsed="false">
      <c r="B6993" s="0" t="s">
        <v>52</v>
      </c>
      <c r="C6993" s="0" t="s">
        <v>220</v>
      </c>
      <c r="E6993" s="0" t="s">
        <v>221</v>
      </c>
      <c r="F6993" s="0" t="s">
        <v>222</v>
      </c>
    </row>
    <row r="6994" customFormat="false" ht="12.8" hidden="false" customHeight="false" outlineLevel="0" collapsed="false">
      <c r="B6994" s="0" t="s">
        <v>3572</v>
      </c>
      <c r="C6994" s="0" t="s">
        <v>2216</v>
      </c>
      <c r="E6994" s="0" t="s">
        <v>2217</v>
      </c>
      <c r="F6994" s="0" t="s">
        <v>2218</v>
      </c>
    </row>
    <row r="6995" customFormat="false" ht="12.8" hidden="false" customHeight="false" outlineLevel="0" collapsed="false">
      <c r="B6995" s="0" t="s">
        <v>496</v>
      </c>
      <c r="C6995" s="0" t="s">
        <v>217</v>
      </c>
      <c r="E6995" s="0" t="s">
        <v>218</v>
      </c>
      <c r="F6995" s="0" t="s">
        <v>219</v>
      </c>
    </row>
    <row r="6997" customFormat="false" ht="12.8" hidden="false" customHeight="false" outlineLevel="0" collapsed="false">
      <c r="A6997" s="0" t="s">
        <v>3570</v>
      </c>
      <c r="B6997" s="0" t="str">
        <f aca="false">HYPERLINK("https://lindat.mff.cuni.cz/services/teitok/pdtc10/index.php?action=vallex&amp;frame=v-w369hsa_978", "dát (v-w369hsa_978) - substituted with v-w369f78_ZU")</f>
        <v>dát (v-w369hsa_978) - substituted with v-w369f78_ZU</v>
      </c>
    </row>
    <row r="6998" customFormat="false" ht="12.8" hidden="false" customHeight="false" outlineLevel="0" collapsed="false">
      <c r="B6998" s="0" t="s">
        <v>1</v>
      </c>
    </row>
    <row r="6999" customFormat="false" ht="12.8" hidden="false" customHeight="false" outlineLevel="0" collapsed="false">
      <c r="B6999" s="0" t="s">
        <v>3571</v>
      </c>
    </row>
    <row r="7000" customFormat="false" ht="12.8" hidden="false" customHeight="false" outlineLevel="0" collapsed="false">
      <c r="B7000" s="0" t="s">
        <v>52</v>
      </c>
    </row>
    <row r="7001" customFormat="false" ht="12.8" hidden="false" customHeight="false" outlineLevel="0" collapsed="false">
      <c r="B7001" s="0" t="s">
        <v>3572</v>
      </c>
    </row>
    <row r="7002" customFormat="false" ht="12.8" hidden="false" customHeight="false" outlineLevel="0" collapsed="false">
      <c r="B7002" s="0" t="s">
        <v>496</v>
      </c>
    </row>
    <row r="7004" customFormat="false" ht="12.8" hidden="false" customHeight="false" outlineLevel="0" collapsed="false">
      <c r="A7004" s="0" t="s">
        <v>3573</v>
      </c>
      <c r="B7004" s="0" t="str">
        <f aca="false">HYPERLINK("https://lindat.mff.cuni.cz/services/teitok/pdtc10/index.php?action=vallex&amp;frame=v-w369f26", "dát (v-w369f26)")</f>
        <v>dát (v-w369f26)</v>
      </c>
    </row>
    <row r="7005" customFormat="false" ht="12.8" hidden="false" customHeight="false" outlineLevel="0" collapsed="false">
      <c r="B7005" s="0" t="s">
        <v>1</v>
      </c>
    </row>
    <row r="7006" customFormat="false" ht="12.8" hidden="false" customHeight="false" outlineLevel="0" collapsed="false">
      <c r="B7006" s="0" t="s">
        <v>3574</v>
      </c>
    </row>
    <row r="7008" customFormat="false" ht="12.8" hidden="false" customHeight="false" outlineLevel="0" collapsed="false">
      <c r="A7008" s="0" t="s">
        <v>3575</v>
      </c>
      <c r="B7008" s="0" t="str">
        <f aca="false">HYPERLINK("https://lindat.mff.cuni.cz/services/teitok/pdtc10/index.php?action=vallex&amp;frame=v-w369f49", "dát (v-w369f49)")</f>
        <v>dát (v-w369f49)</v>
      </c>
    </row>
    <row r="7009" customFormat="false" ht="12.8" hidden="false" customHeight="false" outlineLevel="0" collapsed="false">
      <c r="B7009" s="0" t="s">
        <v>3576</v>
      </c>
    </row>
    <row r="7011" customFormat="false" ht="12.8" hidden="false" customHeight="false" outlineLevel="0" collapsed="false">
      <c r="A7011" s="0" t="s">
        <v>3577</v>
      </c>
      <c r="B7011" s="0" t="str">
        <f aca="false">HYPERLINK("https://lindat.mff.cuni.cz/services/teitok/pdtc10/index.php?action=vallex&amp;frame=v-w369f108_ZU", "dát (v-w369f108_ZU)")</f>
        <v>dát (v-w369f108_ZU)</v>
      </c>
    </row>
    <row r="7012" customFormat="false" ht="12.8" hidden="false" customHeight="false" outlineLevel="0" collapsed="false">
      <c r="B7012" s="0" t="s">
        <v>1</v>
      </c>
    </row>
    <row r="7013" customFormat="false" ht="12.8" hidden="false" customHeight="false" outlineLevel="0" collapsed="false">
      <c r="B7013" s="0" t="s">
        <v>8</v>
      </c>
    </row>
    <row r="7014" customFormat="false" ht="12.8" hidden="false" customHeight="false" outlineLevel="0" collapsed="false">
      <c r="B7014" s="0" t="s">
        <v>164</v>
      </c>
    </row>
    <row r="7016" customFormat="false" ht="12.8" hidden="false" customHeight="false" outlineLevel="0" collapsed="false">
      <c r="A7016" s="0" t="s">
        <v>3577</v>
      </c>
      <c r="B7016" s="0" t="str">
        <f aca="false">HYPERLINK("https://lindat.mff.cuni.cz/services/teitok/pdtc10/index.php?action=vallex&amp;frame=v-w369f105_ZU", "dát (v-w369f105_ZU) - substituted with v-w369f108_ZU")</f>
        <v>dát (v-w369f105_ZU) - substituted with v-w369f108_ZU</v>
      </c>
    </row>
    <row r="7017" customFormat="false" ht="12.8" hidden="false" customHeight="false" outlineLevel="0" collapsed="false">
      <c r="B7017" s="0" t="s">
        <v>1</v>
      </c>
    </row>
    <row r="7018" customFormat="false" ht="12.8" hidden="false" customHeight="false" outlineLevel="0" collapsed="false">
      <c r="B7018" s="0" t="s">
        <v>8</v>
      </c>
    </row>
    <row r="7019" customFormat="false" ht="12.8" hidden="false" customHeight="false" outlineLevel="0" collapsed="false">
      <c r="B7019" s="0" t="s">
        <v>164</v>
      </c>
    </row>
    <row r="7021" customFormat="false" ht="12.8" hidden="false" customHeight="false" outlineLevel="0" collapsed="false">
      <c r="A7021" s="0" t="s">
        <v>3577</v>
      </c>
      <c r="B7021" s="0" t="str">
        <f aca="false">HYPERLINK("https://lindat.mff.cuni.cz/services/teitok/pdtc10/index.php?action=vallex&amp;frame=v-w369hsa_970", "dát (v-w369hsa_970) - substituted with v-w369f108_ZU")</f>
        <v>dát (v-w369hsa_970) - substituted with v-w369f108_ZU</v>
      </c>
      <c r="E7021" s="0" t="str">
        <f aca="false">HYPERLINK("https://lindat.mff.cuni.cz/services/SynSemClass40/SynSemClass40.html?veclass=vec00735#vec00735-ces-cm00141", "vec00735")</f>
        <v>vec00735</v>
      </c>
      <c r="F7021" s="0" t="s">
        <v>2719</v>
      </c>
    </row>
    <row r="7022" customFormat="false" ht="12.8" hidden="false" customHeight="false" outlineLevel="0" collapsed="false">
      <c r="B7022" s="0" t="s">
        <v>1</v>
      </c>
      <c r="C7022" s="0" t="s">
        <v>2720</v>
      </c>
      <c r="E7022" s="0" t="s">
        <v>334</v>
      </c>
      <c r="F7022" s="0" t="s">
        <v>2721</v>
      </c>
    </row>
    <row r="7023" customFormat="false" ht="12.8" hidden="false" customHeight="false" outlineLevel="0" collapsed="false">
      <c r="B7023" s="0" t="s">
        <v>8</v>
      </c>
      <c r="C7023" s="0" t="s">
        <v>2722</v>
      </c>
      <c r="E7023" s="0" t="s">
        <v>2648</v>
      </c>
      <c r="F7023" s="0" t="s">
        <v>2723</v>
      </c>
    </row>
    <row r="7024" customFormat="false" ht="12.8" hidden="false" customHeight="false" outlineLevel="0" collapsed="false">
      <c r="B7024" s="0" t="s">
        <v>164</v>
      </c>
      <c r="C7024" s="0" t="s">
        <v>2724</v>
      </c>
      <c r="E7024" s="0" t="s">
        <v>370</v>
      </c>
      <c r="F7024" s="0" t="s">
        <v>2725</v>
      </c>
    </row>
    <row r="7026" customFormat="false" ht="12.8" hidden="false" customHeight="false" outlineLevel="0" collapsed="false">
      <c r="A7026" s="0" t="s">
        <v>3578</v>
      </c>
      <c r="B7026" s="0" t="str">
        <f aca="false">HYPERLINK("https://lindat.mff.cuni.cz/services/teitok/pdtc10/index.php?action=vallex&amp;frame=v-w369hsa_971", "dát (v-w369hsa_971)")</f>
        <v>dát (v-w369hsa_971)</v>
      </c>
    </row>
    <row r="7027" customFormat="false" ht="12.8" hidden="false" customHeight="false" outlineLevel="0" collapsed="false">
      <c r="B7027" s="0" t="s">
        <v>1</v>
      </c>
    </row>
    <row r="7028" customFormat="false" ht="12.8" hidden="false" customHeight="false" outlineLevel="0" collapsed="false">
      <c r="B7028" s="0" t="s">
        <v>3579</v>
      </c>
    </row>
    <row r="7029" customFormat="false" ht="12.8" hidden="false" customHeight="false" outlineLevel="0" collapsed="false">
      <c r="B7029" s="0" t="s">
        <v>52</v>
      </c>
    </row>
    <row r="7031" customFormat="false" ht="12.8" hidden="false" customHeight="false" outlineLevel="0" collapsed="false">
      <c r="A7031" s="0" t="s">
        <v>3580</v>
      </c>
      <c r="B7031" s="0" t="str">
        <f aca="false">HYPERLINK("https://lindat.mff.cuni.cz/services/teitok/pdtc10/index.php?action=vallex&amp;frame=v-w369hsa_972", "dát (v-w369hsa_972)")</f>
        <v>dát (v-w369hsa_972)</v>
      </c>
    </row>
    <row r="7032" customFormat="false" ht="12.8" hidden="false" customHeight="false" outlineLevel="0" collapsed="false">
      <c r="B7032" s="0" t="s">
        <v>1</v>
      </c>
    </row>
    <row r="7033" customFormat="false" ht="12.8" hidden="false" customHeight="false" outlineLevel="0" collapsed="false">
      <c r="B7033" s="0" t="s">
        <v>3581</v>
      </c>
    </row>
    <row r="7034" customFormat="false" ht="12.8" hidden="false" customHeight="false" outlineLevel="0" collapsed="false">
      <c r="B7034" s="0" t="s">
        <v>52</v>
      </c>
    </row>
    <row r="7036" customFormat="false" ht="12.8" hidden="false" customHeight="false" outlineLevel="0" collapsed="false">
      <c r="A7036" s="0" t="s">
        <v>3582</v>
      </c>
      <c r="B7036" s="0" t="str">
        <f aca="false">HYPERLINK("https://lindat.mff.cuni.cz/services/teitok/pdtc10/index.php?action=vallex&amp;frame=v-w369f62_ZU", "dát (v-w369f62_ZU)")</f>
        <v>dát (v-w369f62_ZU)</v>
      </c>
    </row>
    <row r="7037" customFormat="false" ht="12.8" hidden="false" customHeight="false" outlineLevel="0" collapsed="false">
      <c r="B7037" s="0" t="s">
        <v>1</v>
      </c>
    </row>
    <row r="7038" customFormat="false" ht="12.8" hidden="false" customHeight="false" outlineLevel="0" collapsed="false">
      <c r="B7038" s="0" t="s">
        <v>2848</v>
      </c>
    </row>
    <row r="7039" customFormat="false" ht="12.8" hidden="false" customHeight="false" outlineLevel="0" collapsed="false">
      <c r="B7039" s="0" t="s">
        <v>8</v>
      </c>
    </row>
    <row r="7040" customFormat="false" ht="12.8" hidden="false" customHeight="false" outlineLevel="0" collapsed="false">
      <c r="B7040" s="0" t="s">
        <v>52</v>
      </c>
    </row>
    <row r="7042" customFormat="false" ht="12.8" hidden="false" customHeight="false" outlineLevel="0" collapsed="false">
      <c r="A7042" s="0" t="s">
        <v>3582</v>
      </c>
      <c r="B7042" s="0" t="str">
        <f aca="false">HYPERLINK("https://lindat.mff.cuni.cz/services/teitok/pdtc10/index.php?action=vallex&amp;frame=v-w369hsa_973", "dát (v-w369hsa_973) - substituted with v-w369f62_ZU")</f>
        <v>dát (v-w369hsa_973) - substituted with v-w369f62_ZU</v>
      </c>
    </row>
    <row r="7043" customFormat="false" ht="12.8" hidden="false" customHeight="false" outlineLevel="0" collapsed="false">
      <c r="B7043" s="0" t="s">
        <v>1</v>
      </c>
    </row>
    <row r="7044" customFormat="false" ht="12.8" hidden="false" customHeight="false" outlineLevel="0" collapsed="false">
      <c r="B7044" s="0" t="s">
        <v>2848</v>
      </c>
    </row>
    <row r="7045" customFormat="false" ht="12.8" hidden="false" customHeight="false" outlineLevel="0" collapsed="false">
      <c r="B7045" s="0" t="s">
        <v>8</v>
      </c>
    </row>
    <row r="7046" customFormat="false" ht="12.8" hidden="false" customHeight="false" outlineLevel="0" collapsed="false">
      <c r="B7046" s="0" t="s">
        <v>52</v>
      </c>
    </row>
    <row r="7048" customFormat="false" ht="12.8" hidden="false" customHeight="false" outlineLevel="0" collapsed="false">
      <c r="A7048" s="0" t="s">
        <v>3583</v>
      </c>
      <c r="B7048" s="0" t="str">
        <f aca="false">HYPERLINK("https://lindat.mff.cuni.cz/services/teitok/pdtc10/index.php?action=vallex&amp;frame=v-w369f63_ZU", "dát (v-w369f63_ZU)")</f>
        <v>dát (v-w369f63_ZU)</v>
      </c>
    </row>
    <row r="7049" customFormat="false" ht="12.8" hidden="false" customHeight="false" outlineLevel="0" collapsed="false">
      <c r="B7049" s="0" t="s">
        <v>1</v>
      </c>
    </row>
    <row r="7050" customFormat="false" ht="12.8" hidden="false" customHeight="false" outlineLevel="0" collapsed="false">
      <c r="B7050" s="0" t="s">
        <v>2856</v>
      </c>
    </row>
    <row r="7051" customFormat="false" ht="12.8" hidden="false" customHeight="false" outlineLevel="0" collapsed="false">
      <c r="B7051" s="0" t="s">
        <v>186</v>
      </c>
    </row>
    <row r="7053" customFormat="false" ht="12.8" hidden="false" customHeight="false" outlineLevel="0" collapsed="false">
      <c r="A7053" s="0" t="s">
        <v>3583</v>
      </c>
      <c r="B7053" s="0" t="str">
        <f aca="false">HYPERLINK("https://lindat.mff.cuni.cz/services/teitok/pdtc10/index.php?action=vallex&amp;frame=v-w369hsa_975", "dát (v-w369hsa_975) - substituted with v-w369f63_ZU")</f>
        <v>dát (v-w369hsa_975) - substituted with v-w369f63_ZU</v>
      </c>
    </row>
    <row r="7054" customFormat="false" ht="12.8" hidden="false" customHeight="false" outlineLevel="0" collapsed="false">
      <c r="B7054" s="0" t="s">
        <v>1</v>
      </c>
    </row>
    <row r="7055" customFormat="false" ht="12.8" hidden="false" customHeight="false" outlineLevel="0" collapsed="false">
      <c r="B7055" s="0" t="s">
        <v>2856</v>
      </c>
    </row>
    <row r="7056" customFormat="false" ht="12.8" hidden="false" customHeight="false" outlineLevel="0" collapsed="false">
      <c r="B7056" s="0" t="s">
        <v>186</v>
      </c>
    </row>
    <row r="7058" customFormat="false" ht="12.8" hidden="false" customHeight="false" outlineLevel="0" collapsed="false">
      <c r="A7058" s="0" t="s">
        <v>3584</v>
      </c>
      <c r="B7058" s="0" t="str">
        <f aca="false">HYPERLINK("https://lindat.mff.cuni.cz/services/teitok/pdtc10/index.php?action=vallex&amp;frame=v-w369f64_ZU", "dát (v-w369f64_ZU)")</f>
        <v>dát (v-w369f64_ZU)</v>
      </c>
    </row>
    <row r="7059" customFormat="false" ht="12.8" hidden="false" customHeight="false" outlineLevel="0" collapsed="false">
      <c r="B7059" s="0" t="s">
        <v>1</v>
      </c>
    </row>
    <row r="7060" customFormat="false" ht="12.8" hidden="false" customHeight="false" outlineLevel="0" collapsed="false">
      <c r="B7060" s="0" t="s">
        <v>3585</v>
      </c>
    </row>
    <row r="7061" customFormat="false" ht="12.8" hidden="false" customHeight="false" outlineLevel="0" collapsed="false">
      <c r="B7061" s="0" t="s">
        <v>186</v>
      </c>
    </row>
    <row r="7063" customFormat="false" ht="12.8" hidden="false" customHeight="false" outlineLevel="0" collapsed="false">
      <c r="A7063" s="0" t="s">
        <v>3584</v>
      </c>
      <c r="B7063" s="0" t="str">
        <f aca="false">HYPERLINK("https://lindat.mff.cuni.cz/services/teitok/pdtc10/index.php?action=vallex&amp;frame=v-w369hsa_976", "dát (v-w369hsa_976) - substituted with v-w369f64_ZU")</f>
        <v>dát (v-w369hsa_976) - substituted with v-w369f64_ZU</v>
      </c>
    </row>
    <row r="7064" customFormat="false" ht="12.8" hidden="false" customHeight="false" outlineLevel="0" collapsed="false">
      <c r="B7064" s="0" t="s">
        <v>1</v>
      </c>
    </row>
    <row r="7065" customFormat="false" ht="12.8" hidden="false" customHeight="false" outlineLevel="0" collapsed="false">
      <c r="B7065" s="0" t="s">
        <v>3585</v>
      </c>
    </row>
    <row r="7066" customFormat="false" ht="12.8" hidden="false" customHeight="false" outlineLevel="0" collapsed="false">
      <c r="B7066" s="0" t="s">
        <v>186</v>
      </c>
    </row>
    <row r="7068" customFormat="false" ht="12.8" hidden="false" customHeight="false" outlineLevel="0" collapsed="false">
      <c r="A7068" s="0" t="s">
        <v>3586</v>
      </c>
      <c r="B7068" s="0" t="str">
        <f aca="false">HYPERLINK("https://lindat.mff.cuni.cz/services/teitok/pdtc10/index.php?action=vallex&amp;frame=v-w369f66_ZU", "dát (v-w369f66_ZU)")</f>
        <v>dát (v-w369f66_ZU)</v>
      </c>
    </row>
    <row r="7069" customFormat="false" ht="12.8" hidden="false" customHeight="false" outlineLevel="0" collapsed="false">
      <c r="B7069" s="0" t="s">
        <v>1</v>
      </c>
    </row>
    <row r="7070" customFormat="false" ht="12.8" hidden="false" customHeight="false" outlineLevel="0" collapsed="false">
      <c r="B7070" s="0" t="s">
        <v>3587</v>
      </c>
    </row>
    <row r="7071" customFormat="false" ht="12.8" hidden="false" customHeight="false" outlineLevel="0" collapsed="false">
      <c r="B7071" s="0" t="s">
        <v>186</v>
      </c>
    </row>
    <row r="7073" customFormat="false" ht="12.8" hidden="false" customHeight="false" outlineLevel="0" collapsed="false">
      <c r="A7073" s="0" t="s">
        <v>3586</v>
      </c>
      <c r="B7073" s="0" t="str">
        <f aca="false">HYPERLINK("https://lindat.mff.cuni.cz/services/teitok/pdtc10/index.php?action=vallex&amp;frame=v-w369hsa_977", "dát (v-w369hsa_977) - substituted with v-w369f66_ZU")</f>
        <v>dát (v-w369hsa_977) - substituted with v-w369f66_ZU</v>
      </c>
    </row>
    <row r="7074" customFormat="false" ht="12.8" hidden="false" customHeight="false" outlineLevel="0" collapsed="false">
      <c r="B7074" s="0" t="s">
        <v>1</v>
      </c>
    </row>
    <row r="7075" customFormat="false" ht="12.8" hidden="false" customHeight="false" outlineLevel="0" collapsed="false">
      <c r="B7075" s="0" t="s">
        <v>3587</v>
      </c>
    </row>
    <row r="7076" customFormat="false" ht="12.8" hidden="false" customHeight="false" outlineLevel="0" collapsed="false">
      <c r="B7076" s="0" t="s">
        <v>186</v>
      </c>
    </row>
    <row r="7078" customFormat="false" ht="12.8" hidden="false" customHeight="false" outlineLevel="0" collapsed="false">
      <c r="A7078" s="0" t="s">
        <v>3588</v>
      </c>
      <c r="B7078" s="0" t="str">
        <f aca="false">HYPERLINK("https://lindat.mff.cuni.cz/services/teitok/pdtc10/index.php?action=vallex&amp;frame=v-w369f67_ZU", "dát (v-w369f67_ZU)")</f>
        <v>dát (v-w369f67_ZU)</v>
      </c>
    </row>
    <row r="7079" customFormat="false" ht="12.8" hidden="false" customHeight="false" outlineLevel="0" collapsed="false">
      <c r="B7079" s="0" t="s">
        <v>1</v>
      </c>
    </row>
    <row r="7080" customFormat="false" ht="12.8" hidden="false" customHeight="false" outlineLevel="0" collapsed="false">
      <c r="B7080" s="0" t="s">
        <v>3589</v>
      </c>
    </row>
    <row r="7081" customFormat="false" ht="12.8" hidden="false" customHeight="false" outlineLevel="0" collapsed="false">
      <c r="B7081" s="0" t="s">
        <v>8</v>
      </c>
    </row>
    <row r="7083" customFormat="false" ht="12.8" hidden="false" customHeight="false" outlineLevel="0" collapsed="false">
      <c r="A7083" s="0" t="s">
        <v>3588</v>
      </c>
      <c r="B7083" s="0" t="str">
        <f aca="false">HYPERLINK("https://lindat.mff.cuni.cz/services/teitok/pdtc10/index.php?action=vallex&amp;frame=v-w369hsa_979", "dát (v-w369hsa_979) - substituted with v-w369f67_ZU")</f>
        <v>dát (v-w369hsa_979) - substituted with v-w369f67_ZU</v>
      </c>
    </row>
    <row r="7084" customFormat="false" ht="12.8" hidden="false" customHeight="false" outlineLevel="0" collapsed="false">
      <c r="B7084" s="0" t="s">
        <v>1</v>
      </c>
    </row>
    <row r="7085" customFormat="false" ht="12.8" hidden="false" customHeight="false" outlineLevel="0" collapsed="false">
      <c r="B7085" s="0" t="s">
        <v>3589</v>
      </c>
    </row>
    <row r="7086" customFormat="false" ht="12.8" hidden="false" customHeight="false" outlineLevel="0" collapsed="false">
      <c r="B7086" s="0" t="s">
        <v>8</v>
      </c>
    </row>
    <row r="7088" customFormat="false" ht="12.8" hidden="false" customHeight="false" outlineLevel="0" collapsed="false">
      <c r="A7088" s="0" t="s">
        <v>3590</v>
      </c>
      <c r="B7088" s="0" t="str">
        <f aca="false">HYPERLINK("https://lindat.mff.cuni.cz/services/teitok/pdtc10/index.php?action=vallex&amp;frame=v-w369f77_ZU", "dát (v-w369f77_ZU)")</f>
        <v>dát (v-w369f77_ZU)</v>
      </c>
    </row>
    <row r="7089" customFormat="false" ht="12.8" hidden="false" customHeight="false" outlineLevel="0" collapsed="false">
      <c r="B7089" s="0" t="s">
        <v>1</v>
      </c>
    </row>
    <row r="7090" customFormat="false" ht="12.8" hidden="false" customHeight="false" outlineLevel="0" collapsed="false">
      <c r="B7090" s="0" t="s">
        <v>8</v>
      </c>
    </row>
    <row r="7091" customFormat="false" ht="12.8" hidden="false" customHeight="false" outlineLevel="0" collapsed="false">
      <c r="B7091" s="0" t="s">
        <v>132</v>
      </c>
    </row>
    <row r="7093" customFormat="false" ht="12.8" hidden="false" customHeight="false" outlineLevel="0" collapsed="false">
      <c r="A7093" s="0" t="s">
        <v>3590</v>
      </c>
      <c r="B7093" s="0" t="str">
        <f aca="false">HYPERLINK("https://lindat.mff.cuni.cz/services/teitok/pdtc10/index.php?action=vallex&amp;frame=v-w369hsa_835", "dát (v-w369hsa_835) - substituted with v-w369f77_ZU")</f>
        <v>dát (v-w369hsa_835) - substituted with v-w369f77_ZU</v>
      </c>
    </row>
    <row r="7094" customFormat="false" ht="12.8" hidden="false" customHeight="false" outlineLevel="0" collapsed="false">
      <c r="B7094" s="0" t="s">
        <v>1</v>
      </c>
    </row>
    <row r="7095" customFormat="false" ht="12.8" hidden="false" customHeight="false" outlineLevel="0" collapsed="false">
      <c r="B7095" s="0" t="s">
        <v>8</v>
      </c>
    </row>
    <row r="7096" customFormat="false" ht="12.8" hidden="false" customHeight="false" outlineLevel="0" collapsed="false">
      <c r="B7096" s="0" t="s">
        <v>132</v>
      </c>
    </row>
    <row r="7098" customFormat="false" ht="12.8" hidden="false" customHeight="false" outlineLevel="0" collapsed="false">
      <c r="A7098" s="0" t="s">
        <v>3591</v>
      </c>
      <c r="B7098" s="0" t="str">
        <f aca="false">HYPERLINK("https://lindat.mff.cuni.cz/services/teitok/pdtc10/index.php?action=vallex&amp;frame=v-w369f83_ZU", "dát (v-w369f83_ZU)")</f>
        <v>dát (v-w369f83_ZU)</v>
      </c>
    </row>
    <row r="7099" customFormat="false" ht="12.8" hidden="false" customHeight="false" outlineLevel="0" collapsed="false">
      <c r="B7099" s="0" t="s">
        <v>1</v>
      </c>
    </row>
    <row r="7100" customFormat="false" ht="12.8" hidden="false" customHeight="false" outlineLevel="0" collapsed="false">
      <c r="B7100" s="0" t="s">
        <v>186</v>
      </c>
    </row>
    <row r="7101" customFormat="false" ht="12.8" hidden="false" customHeight="false" outlineLevel="0" collapsed="false">
      <c r="B7101" s="0" t="s">
        <v>3592</v>
      </c>
    </row>
    <row r="7103" customFormat="false" ht="12.8" hidden="false" customHeight="false" outlineLevel="0" collapsed="false">
      <c r="A7103" s="0" t="s">
        <v>3591</v>
      </c>
      <c r="B7103" s="0" t="str">
        <f aca="false">HYPERLINK("https://lindat.mff.cuni.cz/services/teitok/pdtc10/index.php?action=vallex&amp;frame=v-w369hsa_840", "dát (v-w369hsa_840) - substituted with v-w369f83_ZU")</f>
        <v>dát (v-w369hsa_840) - substituted with v-w369f83_ZU</v>
      </c>
    </row>
    <row r="7104" customFormat="false" ht="12.8" hidden="false" customHeight="false" outlineLevel="0" collapsed="false">
      <c r="B7104" s="0" t="s">
        <v>1</v>
      </c>
    </row>
    <row r="7105" customFormat="false" ht="12.8" hidden="false" customHeight="false" outlineLevel="0" collapsed="false">
      <c r="B7105" s="0" t="s">
        <v>186</v>
      </c>
    </row>
    <row r="7106" customFormat="false" ht="12.8" hidden="false" customHeight="false" outlineLevel="0" collapsed="false">
      <c r="B7106" s="0" t="s">
        <v>3592</v>
      </c>
    </row>
    <row r="7108" customFormat="false" ht="12.8" hidden="false" customHeight="false" outlineLevel="0" collapsed="false">
      <c r="A7108" s="0" t="s">
        <v>3593</v>
      </c>
      <c r="B7108" s="0" t="str">
        <f aca="false">HYPERLINK("https://lindat.mff.cuni.cz/services/teitok/pdtc10/index.php?action=vallex&amp;frame=v-w369f84_ZU", "dát (v-w369f84_ZU)")</f>
        <v>dát (v-w369f84_ZU)</v>
      </c>
    </row>
    <row r="7109" customFormat="false" ht="12.8" hidden="false" customHeight="false" outlineLevel="0" collapsed="false">
      <c r="B7109" s="0" t="s">
        <v>1</v>
      </c>
    </row>
    <row r="7110" customFormat="false" ht="12.8" hidden="false" customHeight="false" outlineLevel="0" collapsed="false">
      <c r="B7110" s="0" t="s">
        <v>3594</v>
      </c>
    </row>
    <row r="7111" customFormat="false" ht="12.8" hidden="false" customHeight="false" outlineLevel="0" collapsed="false">
      <c r="B7111" s="0" t="s">
        <v>45</v>
      </c>
    </row>
    <row r="7112" customFormat="false" ht="12.8" hidden="false" customHeight="false" outlineLevel="0" collapsed="false">
      <c r="B7112" s="0" t="s">
        <v>855</v>
      </c>
    </row>
    <row r="7114" customFormat="false" ht="12.8" hidden="false" customHeight="false" outlineLevel="0" collapsed="false">
      <c r="A7114" s="0" t="s">
        <v>3593</v>
      </c>
      <c r="B7114" s="0" t="str">
        <f aca="false">HYPERLINK("https://lindat.mff.cuni.cz/services/teitok/pdtc10/index.php?action=vallex&amp;frame=v-w369hsa_841", "dát (v-w369hsa_841) - substituted with v-w369f84_ZU")</f>
        <v>dát (v-w369hsa_841) - substituted with v-w369f84_ZU</v>
      </c>
    </row>
    <row r="7115" customFormat="false" ht="12.8" hidden="false" customHeight="false" outlineLevel="0" collapsed="false">
      <c r="B7115" s="0" t="s">
        <v>1</v>
      </c>
    </row>
    <row r="7116" customFormat="false" ht="12.8" hidden="false" customHeight="false" outlineLevel="0" collapsed="false">
      <c r="B7116" s="0" t="s">
        <v>3594</v>
      </c>
    </row>
    <row r="7117" customFormat="false" ht="12.8" hidden="false" customHeight="false" outlineLevel="0" collapsed="false">
      <c r="B7117" s="0" t="s">
        <v>45</v>
      </c>
    </row>
    <row r="7118" customFormat="false" ht="12.8" hidden="false" customHeight="false" outlineLevel="0" collapsed="false">
      <c r="B7118" s="0" t="s">
        <v>855</v>
      </c>
    </row>
    <row r="7120" customFormat="false" ht="12.8" hidden="false" customHeight="false" outlineLevel="0" collapsed="false">
      <c r="A7120" s="0" t="s">
        <v>3595</v>
      </c>
      <c r="B7120" s="0" t="str">
        <f aca="false">HYPERLINK("https://lindat.mff.cuni.cz/services/teitok/pdtc10/index.php?action=vallex&amp;frame=v-w369f85_ZU", "dát (v-w369f85_ZU)")</f>
        <v>dát (v-w369f85_ZU)</v>
      </c>
    </row>
    <row r="7121" customFormat="false" ht="12.8" hidden="false" customHeight="false" outlineLevel="0" collapsed="false">
      <c r="B7121" s="0" t="s">
        <v>1</v>
      </c>
    </row>
    <row r="7122" customFormat="false" ht="12.8" hidden="false" customHeight="false" outlineLevel="0" collapsed="false">
      <c r="B7122" s="0" t="s">
        <v>52</v>
      </c>
    </row>
    <row r="7123" customFormat="false" ht="12.8" hidden="false" customHeight="false" outlineLevel="0" collapsed="false">
      <c r="B7123" s="0" t="s">
        <v>1121</v>
      </c>
    </row>
    <row r="7124" customFormat="false" ht="12.8" hidden="false" customHeight="false" outlineLevel="0" collapsed="false">
      <c r="B7124" s="0" t="s">
        <v>3596</v>
      </c>
    </row>
    <row r="7126" customFormat="false" ht="12.8" hidden="false" customHeight="false" outlineLevel="0" collapsed="false">
      <c r="A7126" s="0" t="s">
        <v>3595</v>
      </c>
      <c r="B7126" s="0" t="str">
        <f aca="false">HYPERLINK("https://lindat.mff.cuni.cz/services/teitok/pdtc10/index.php?action=vallex&amp;frame=v-w369hsa_842", "dát (v-w369hsa_842) - substituted with v-w369f85_ZU")</f>
        <v>dát (v-w369hsa_842) - substituted with v-w369f85_ZU</v>
      </c>
    </row>
    <row r="7127" customFormat="false" ht="12.8" hidden="false" customHeight="false" outlineLevel="0" collapsed="false">
      <c r="B7127" s="0" t="s">
        <v>1</v>
      </c>
    </row>
    <row r="7128" customFormat="false" ht="12.8" hidden="false" customHeight="false" outlineLevel="0" collapsed="false">
      <c r="B7128" s="0" t="s">
        <v>52</v>
      </c>
    </row>
    <row r="7129" customFormat="false" ht="12.8" hidden="false" customHeight="false" outlineLevel="0" collapsed="false">
      <c r="B7129" s="0" t="s">
        <v>1121</v>
      </c>
    </row>
    <row r="7130" customFormat="false" ht="12.8" hidden="false" customHeight="false" outlineLevel="0" collapsed="false">
      <c r="B7130" s="0" t="s">
        <v>3596</v>
      </c>
    </row>
    <row r="7132" customFormat="false" ht="12.8" hidden="false" customHeight="false" outlineLevel="0" collapsed="false">
      <c r="A7132" s="0" t="s">
        <v>3597</v>
      </c>
      <c r="B7132" s="0" t="str">
        <f aca="false">HYPERLINK("https://lindat.mff.cuni.cz/services/teitok/pdtc10/index.php?action=vallex&amp;frame=v-w369f86_ZU", "dát (v-w369f86_ZU)")</f>
        <v>dát (v-w369f86_ZU)</v>
      </c>
    </row>
    <row r="7133" customFormat="false" ht="12.8" hidden="false" customHeight="false" outlineLevel="0" collapsed="false">
      <c r="B7133" s="0" t="s">
        <v>3598</v>
      </c>
    </row>
    <row r="7134" customFormat="false" ht="12.8" hidden="false" customHeight="false" outlineLevel="0" collapsed="false">
      <c r="B7134" s="0" t="s">
        <v>264</v>
      </c>
    </row>
    <row r="7135" customFormat="false" ht="12.8" hidden="false" customHeight="false" outlineLevel="0" collapsed="false">
      <c r="B7135" s="0" t="s">
        <v>186</v>
      </c>
    </row>
    <row r="7137" customFormat="false" ht="12.8" hidden="false" customHeight="false" outlineLevel="0" collapsed="false">
      <c r="A7137" s="0" t="s">
        <v>3597</v>
      </c>
      <c r="B7137" s="0" t="str">
        <f aca="false">HYPERLINK("https://lindat.mff.cuni.cz/services/teitok/pdtc10/index.php?action=vallex&amp;frame=v-w369hsa_843", "dát (v-w369hsa_843) - substituted with v-w369f86_ZU")</f>
        <v>dát (v-w369hsa_843) - substituted with v-w369f86_ZU</v>
      </c>
    </row>
    <row r="7138" customFormat="false" ht="12.8" hidden="false" customHeight="false" outlineLevel="0" collapsed="false">
      <c r="B7138" s="0" t="s">
        <v>3598</v>
      </c>
    </row>
    <row r="7139" customFormat="false" ht="12.8" hidden="false" customHeight="false" outlineLevel="0" collapsed="false">
      <c r="B7139" s="0" t="s">
        <v>264</v>
      </c>
    </row>
    <row r="7140" customFormat="false" ht="12.8" hidden="false" customHeight="false" outlineLevel="0" collapsed="false">
      <c r="B7140" s="0" t="s">
        <v>186</v>
      </c>
    </row>
    <row r="7142" customFormat="false" ht="12.8" hidden="false" customHeight="false" outlineLevel="0" collapsed="false">
      <c r="A7142" s="0" t="s">
        <v>3599</v>
      </c>
      <c r="B7142" s="0" t="str">
        <f aca="false">HYPERLINK("https://lindat.mff.cuni.cz/services/teitok/pdtc10/index.php?action=vallex&amp;frame=v-w369f87_ZU", "dát (v-w369f87_ZU)")</f>
        <v>dát (v-w369f87_ZU)</v>
      </c>
    </row>
    <row r="7143" customFormat="false" ht="12.8" hidden="false" customHeight="false" outlineLevel="0" collapsed="false">
      <c r="B7143" s="0" t="s">
        <v>1</v>
      </c>
    </row>
    <row r="7144" customFormat="false" ht="12.8" hidden="false" customHeight="false" outlineLevel="0" collapsed="false">
      <c r="B7144" s="0" t="s">
        <v>3600</v>
      </c>
    </row>
    <row r="7145" customFormat="false" ht="12.8" hidden="false" customHeight="false" outlineLevel="0" collapsed="false">
      <c r="B7145" s="0" t="s">
        <v>665</v>
      </c>
    </row>
    <row r="7147" customFormat="false" ht="12.8" hidden="false" customHeight="false" outlineLevel="0" collapsed="false">
      <c r="A7147" s="0" t="s">
        <v>3599</v>
      </c>
      <c r="B7147" s="0" t="str">
        <f aca="false">HYPERLINK("https://lindat.mff.cuni.cz/services/teitok/pdtc10/index.php?action=vallex&amp;frame=v-w369hsa_844", "dát (v-w369hsa_844) - substituted with v-w369f87_ZU")</f>
        <v>dát (v-w369hsa_844) - substituted with v-w369f87_ZU</v>
      </c>
    </row>
    <row r="7148" customFormat="false" ht="12.8" hidden="false" customHeight="false" outlineLevel="0" collapsed="false">
      <c r="B7148" s="0" t="s">
        <v>1</v>
      </c>
    </row>
    <row r="7149" customFormat="false" ht="12.8" hidden="false" customHeight="false" outlineLevel="0" collapsed="false">
      <c r="B7149" s="0" t="s">
        <v>3600</v>
      </c>
    </row>
    <row r="7150" customFormat="false" ht="12.8" hidden="false" customHeight="false" outlineLevel="0" collapsed="false">
      <c r="B7150" s="0" t="s">
        <v>665</v>
      </c>
    </row>
    <row r="7152" customFormat="false" ht="12.8" hidden="false" customHeight="false" outlineLevel="0" collapsed="false">
      <c r="A7152" s="0" t="s">
        <v>3601</v>
      </c>
      <c r="B7152" s="0" t="str">
        <f aca="false">HYPERLINK("https://lindat.mff.cuni.cz/services/teitok/pdtc10/index.php?action=vallex&amp;frame=v-w369f88_ZU", "dát (v-w369f88_ZU)")</f>
        <v>dát (v-w369f88_ZU)</v>
      </c>
    </row>
    <row r="7153" customFormat="false" ht="12.8" hidden="false" customHeight="false" outlineLevel="0" collapsed="false">
      <c r="B7153" s="0" t="s">
        <v>804</v>
      </c>
    </row>
    <row r="7154" customFormat="false" ht="12.8" hidden="false" customHeight="false" outlineLevel="0" collapsed="false">
      <c r="B7154" s="0" t="s">
        <v>1427</v>
      </c>
    </row>
    <row r="7156" customFormat="false" ht="12.8" hidden="false" customHeight="false" outlineLevel="0" collapsed="false">
      <c r="A7156" s="0" t="s">
        <v>3601</v>
      </c>
      <c r="B7156" s="0" t="str">
        <f aca="false">HYPERLINK("https://lindat.mff.cuni.cz/services/teitok/pdtc10/index.php?action=vallex&amp;frame=v-w369hsa_845", "dát (v-w369hsa_845) - substituted with v-w369f88_ZU")</f>
        <v>dát (v-w369hsa_845) - substituted with v-w369f88_ZU</v>
      </c>
    </row>
    <row r="7157" customFormat="false" ht="12.8" hidden="false" customHeight="false" outlineLevel="0" collapsed="false">
      <c r="B7157" s="0" t="s">
        <v>804</v>
      </c>
    </row>
    <row r="7158" customFormat="false" ht="12.8" hidden="false" customHeight="false" outlineLevel="0" collapsed="false">
      <c r="B7158" s="0" t="s">
        <v>1427</v>
      </c>
    </row>
    <row r="7160" customFormat="false" ht="12.8" hidden="false" customHeight="false" outlineLevel="0" collapsed="false">
      <c r="A7160" s="0" t="s">
        <v>3602</v>
      </c>
      <c r="B7160" s="0" t="str">
        <f aca="false">HYPERLINK("https://lindat.mff.cuni.cz/services/teitok/pdtc10/index.php?action=vallex&amp;frame=v-w369f89_ZU", "dát (v-w369f89_ZU)")</f>
        <v>dát (v-w369f89_ZU)</v>
      </c>
    </row>
    <row r="7161" customFormat="false" ht="12.8" hidden="false" customHeight="false" outlineLevel="0" collapsed="false">
      <c r="B7161" s="0" t="s">
        <v>1</v>
      </c>
    </row>
    <row r="7162" customFormat="false" ht="12.8" hidden="false" customHeight="false" outlineLevel="0" collapsed="false">
      <c r="B7162" s="0" t="s">
        <v>3566</v>
      </c>
    </row>
    <row r="7164" customFormat="false" ht="12.8" hidden="false" customHeight="false" outlineLevel="0" collapsed="false">
      <c r="A7164" s="0" t="s">
        <v>3602</v>
      </c>
      <c r="B7164" s="0" t="str">
        <f aca="false">HYPERLINK("https://lindat.mff.cuni.cz/services/teitok/pdtc10/index.php?action=vallex&amp;frame=v-w369hsa_846", "dát (v-w369hsa_846) - substituted with v-w369f89_ZU")</f>
        <v>dát (v-w369hsa_846) - substituted with v-w369f89_ZU</v>
      </c>
    </row>
    <row r="7165" customFormat="false" ht="12.8" hidden="false" customHeight="false" outlineLevel="0" collapsed="false">
      <c r="B7165" s="0" t="s">
        <v>1</v>
      </c>
    </row>
    <row r="7166" customFormat="false" ht="12.8" hidden="false" customHeight="false" outlineLevel="0" collapsed="false">
      <c r="B7166" s="0" t="s">
        <v>3566</v>
      </c>
    </row>
    <row r="7168" customFormat="false" ht="12.8" hidden="false" customHeight="false" outlineLevel="0" collapsed="false">
      <c r="A7168" s="0" t="s">
        <v>3603</v>
      </c>
      <c r="B7168" s="0" t="str">
        <f aca="false">HYPERLINK("https://lindat.mff.cuni.cz/services/teitok/pdtc10/index.php?action=vallex&amp;frame=v-w369f91_ZU", "dát (v-w369f91_ZU)")</f>
        <v>dát (v-w369f91_ZU)</v>
      </c>
    </row>
    <row r="7169" customFormat="false" ht="12.8" hidden="false" customHeight="false" outlineLevel="0" collapsed="false">
      <c r="B7169" s="0" t="s">
        <v>1</v>
      </c>
    </row>
    <row r="7170" customFormat="false" ht="12.8" hidden="false" customHeight="false" outlineLevel="0" collapsed="false">
      <c r="B7170" s="0" t="s">
        <v>186</v>
      </c>
    </row>
    <row r="7171" customFormat="false" ht="12.8" hidden="false" customHeight="false" outlineLevel="0" collapsed="false">
      <c r="B7171" s="0" t="s">
        <v>3604</v>
      </c>
    </row>
    <row r="7173" customFormat="false" ht="12.8" hidden="false" customHeight="false" outlineLevel="0" collapsed="false">
      <c r="A7173" s="0" t="s">
        <v>3605</v>
      </c>
      <c r="B7173" s="0" t="str">
        <f aca="false">HYPERLINK("https://lindat.mff.cuni.cz/services/teitok/pdtc10/index.php?action=vallex&amp;frame=v-w369f96_ZU", "dát (v-w369f96_ZU)")</f>
        <v>dát (v-w369f96_ZU)</v>
      </c>
    </row>
    <row r="7174" customFormat="false" ht="12.8" hidden="false" customHeight="false" outlineLevel="0" collapsed="false">
      <c r="B7174" s="0" t="s">
        <v>1</v>
      </c>
    </row>
    <row r="7175" customFormat="false" ht="12.8" hidden="false" customHeight="false" outlineLevel="0" collapsed="false">
      <c r="B7175" s="0" t="s">
        <v>52</v>
      </c>
    </row>
    <row r="7176" customFormat="false" ht="12.8" hidden="false" customHeight="false" outlineLevel="0" collapsed="false">
      <c r="B7176" s="0" t="s">
        <v>454</v>
      </c>
    </row>
    <row r="7177" customFormat="false" ht="12.8" hidden="false" customHeight="false" outlineLevel="0" collapsed="false">
      <c r="B7177" s="0" t="s">
        <v>390</v>
      </c>
    </row>
    <row r="7179" customFormat="false" ht="12.8" hidden="false" customHeight="false" outlineLevel="0" collapsed="false">
      <c r="A7179" s="0" t="s">
        <v>3605</v>
      </c>
      <c r="B7179" s="0" t="str">
        <f aca="false">HYPERLINK("https://lindat.mff.cuni.cz/services/teitok/pdtc10/index.php?action=vallex&amp;frame=v-w369f95_ZU", "dát (v-w369f95_ZU) - substituted with v-w369f96_ZU")</f>
        <v>dát (v-w369f95_ZU) - substituted with v-w369f96_ZU</v>
      </c>
    </row>
    <row r="7180" customFormat="false" ht="12.8" hidden="false" customHeight="false" outlineLevel="0" collapsed="false">
      <c r="B7180" s="0" t="s">
        <v>1</v>
      </c>
    </row>
    <row r="7181" customFormat="false" ht="12.8" hidden="false" customHeight="false" outlineLevel="0" collapsed="false">
      <c r="B7181" s="0" t="s">
        <v>52</v>
      </c>
    </row>
    <row r="7182" customFormat="false" ht="12.8" hidden="false" customHeight="false" outlineLevel="0" collapsed="false">
      <c r="B7182" s="0" t="s">
        <v>454</v>
      </c>
    </row>
    <row r="7183" customFormat="false" ht="12.8" hidden="false" customHeight="false" outlineLevel="0" collapsed="false">
      <c r="B7183" s="0" t="s">
        <v>390</v>
      </c>
    </row>
    <row r="7185" customFormat="false" ht="12.8" hidden="false" customHeight="false" outlineLevel="0" collapsed="false">
      <c r="A7185" s="0" t="s">
        <v>3606</v>
      </c>
      <c r="B7185" s="0" t="str">
        <f aca="false">HYPERLINK("https://lindat.mff.cuni.cz/services/teitok/pdtc10/index.php?action=vallex&amp;frame=v-w369f97_ZU", "dát (v-w369f97_ZU)")</f>
        <v>dát (v-w369f97_ZU)</v>
      </c>
    </row>
    <row r="7186" customFormat="false" ht="12.8" hidden="false" customHeight="false" outlineLevel="0" collapsed="false">
      <c r="B7186" s="0" t="s">
        <v>1</v>
      </c>
    </row>
    <row r="7187" customFormat="false" ht="12.8" hidden="false" customHeight="false" outlineLevel="0" collapsed="false">
      <c r="B7187" s="0" t="s">
        <v>8</v>
      </c>
    </row>
    <row r="7188" customFormat="false" ht="12.8" hidden="false" customHeight="false" outlineLevel="0" collapsed="false">
      <c r="B7188" s="0" t="s">
        <v>132</v>
      </c>
    </row>
    <row r="7190" customFormat="false" ht="12.8" hidden="false" customHeight="false" outlineLevel="0" collapsed="false">
      <c r="A7190" s="0" t="s">
        <v>3607</v>
      </c>
      <c r="B7190" s="0" t="str">
        <f aca="false">HYPERLINK("https://lindat.mff.cuni.cz/services/teitok/pdtc10/index.php?action=vallex&amp;frame=v-w369f100_ZU", "dát (v-w369f100_ZU)")</f>
        <v>dát (v-w369f100_ZU)</v>
      </c>
    </row>
    <row r="7191" customFormat="false" ht="12.8" hidden="false" customHeight="false" outlineLevel="0" collapsed="false">
      <c r="B7191" s="0" t="s">
        <v>3608</v>
      </c>
    </row>
    <row r="7193" customFormat="false" ht="12.8" hidden="false" customHeight="false" outlineLevel="0" collapsed="false">
      <c r="A7193" s="0" t="s">
        <v>3609</v>
      </c>
      <c r="B7193" s="0" t="str">
        <f aca="false">HYPERLINK("https://lindat.mff.cuni.cz/services/teitok/pdtc10/index.php?action=vallex&amp;frame=v-w369hsa_834", "dát (v-w369hsa_834)")</f>
        <v>dát (v-w369hsa_834)</v>
      </c>
    </row>
    <row r="7194" customFormat="false" ht="12.8" hidden="false" customHeight="false" outlineLevel="0" collapsed="false">
      <c r="B7194" s="0" t="s">
        <v>1</v>
      </c>
    </row>
    <row r="7195" customFormat="false" ht="12.8" hidden="false" customHeight="false" outlineLevel="0" collapsed="false">
      <c r="B7195" s="0" t="s">
        <v>8</v>
      </c>
    </row>
    <row r="7196" customFormat="false" ht="12.8" hidden="false" customHeight="false" outlineLevel="0" collapsed="false">
      <c r="B7196" s="0" t="s">
        <v>52</v>
      </c>
    </row>
    <row r="7198" customFormat="false" ht="12.8" hidden="false" customHeight="false" outlineLevel="0" collapsed="false">
      <c r="A7198" s="0" t="s">
        <v>3610</v>
      </c>
      <c r="B7198" s="0" t="str">
        <f aca="false">HYPERLINK("https://lindat.mff.cuni.cz/services/teitok/pdtc10/index.php?action=vallex&amp;frame=v-w369hsa_836", "dát (v-w369hsa_836)")</f>
        <v>dát (v-w369hsa_836)</v>
      </c>
    </row>
    <row r="7199" customFormat="false" ht="12.8" hidden="false" customHeight="false" outlineLevel="0" collapsed="false">
      <c r="B7199" s="0" t="s">
        <v>1</v>
      </c>
    </row>
    <row r="7200" customFormat="false" ht="12.8" hidden="false" customHeight="false" outlineLevel="0" collapsed="false">
      <c r="B7200" s="0" t="s">
        <v>8</v>
      </c>
    </row>
    <row r="7202" customFormat="false" ht="12.8" hidden="false" customHeight="false" outlineLevel="0" collapsed="false">
      <c r="A7202" s="0" t="s">
        <v>3611</v>
      </c>
      <c r="B7202" s="0" t="str">
        <f aca="false">HYPERLINK("https://lindat.mff.cuni.cz/services/teitok/pdtc10/index.php?action=vallex&amp;frame=v-w369hsa_847", "dát (v-w369hsa_847)")</f>
        <v>dát (v-w369hsa_847)</v>
      </c>
    </row>
    <row r="7203" customFormat="false" ht="12.8" hidden="false" customHeight="false" outlineLevel="0" collapsed="false">
      <c r="B7203" s="0" t="s">
        <v>1</v>
      </c>
    </row>
    <row r="7204" customFormat="false" ht="12.8" hidden="false" customHeight="false" outlineLevel="0" collapsed="false">
      <c r="B7204" s="0" t="s">
        <v>305</v>
      </c>
    </row>
    <row r="7205" customFormat="false" ht="12.8" hidden="false" customHeight="false" outlineLevel="0" collapsed="false">
      <c r="B7205" s="0" t="s">
        <v>3612</v>
      </c>
    </row>
    <row r="7207" customFormat="false" ht="12.8" hidden="false" customHeight="false" outlineLevel="0" collapsed="false">
      <c r="A7207" s="0" t="s">
        <v>3613</v>
      </c>
      <c r="B7207" s="0" t="str">
        <f aca="false">HYPERLINK("https://lindat.mff.cuni.cz/services/teitok/pdtc10/index.php?action=vallex&amp;frame=v-w369hsa_848", "dát (v-w369hsa_848)")</f>
        <v>dát (v-w369hsa_848)</v>
      </c>
    </row>
    <row r="7208" customFormat="false" ht="12.8" hidden="false" customHeight="false" outlineLevel="0" collapsed="false">
      <c r="B7208" s="0" t="s">
        <v>1</v>
      </c>
    </row>
    <row r="7209" customFormat="false" ht="12.8" hidden="false" customHeight="false" outlineLevel="0" collapsed="false">
      <c r="B7209" s="0" t="s">
        <v>8</v>
      </c>
    </row>
    <row r="7210" customFormat="false" ht="12.8" hidden="false" customHeight="false" outlineLevel="0" collapsed="false">
      <c r="B7210" s="0" t="s">
        <v>164</v>
      </c>
    </row>
    <row r="7212" customFormat="false" ht="12.8" hidden="false" customHeight="false" outlineLevel="0" collapsed="false">
      <c r="A7212" s="0" t="s">
        <v>3614</v>
      </c>
      <c r="B7212" s="0" t="str">
        <f aca="false">HYPERLINK("https://lindat.mff.cuni.cz/services/teitok/pdtc10/index.php?action=vallex&amp;frame=v-w371f4", "dát se (v-w371f4)")</f>
        <v>dát se (v-w371f4)</v>
      </c>
      <c r="E7212" s="0" t="str">
        <f aca="false">HYPERLINK("https://lindat.mff.cuni.cz/services/SynSemClass40/SynSemClass40.html?veclass=vec00698#vec00698-ces-cm00029", "vec00698")</f>
        <v>vec00698</v>
      </c>
      <c r="F7212" s="0" t="s">
        <v>3615</v>
      </c>
    </row>
    <row r="7213" customFormat="false" ht="12.8" hidden="false" customHeight="false" outlineLevel="0" collapsed="false">
      <c r="B7213" s="0" t="s">
        <v>1</v>
      </c>
      <c r="C7213" s="0" t="s">
        <v>3616</v>
      </c>
      <c r="E7213" s="0" t="s">
        <v>31</v>
      </c>
      <c r="F7213" s="0" t="s">
        <v>3617</v>
      </c>
    </row>
    <row r="7214" customFormat="false" ht="12.8" hidden="false" customHeight="false" outlineLevel="0" collapsed="false">
      <c r="B7214" s="0" t="s">
        <v>1187</v>
      </c>
      <c r="C7214" s="0" t="s">
        <v>3618</v>
      </c>
      <c r="E7214" s="0" t="s">
        <v>79</v>
      </c>
      <c r="F7214" s="0" t="s">
        <v>3619</v>
      </c>
    </row>
    <row r="7216" customFormat="false" ht="12.8" hidden="false" customHeight="false" outlineLevel="0" collapsed="false">
      <c r="A7216" s="0" t="s">
        <v>3620</v>
      </c>
      <c r="B7216" s="0" t="str">
        <f aca="false">HYPERLINK("https://lindat.mff.cuni.cz/services/teitok/pdtc10/index.php?action=vallex&amp;frame=v-w371f2", "dát se (v-w371f2)")</f>
        <v>dát se (v-w371f2)</v>
      </c>
      <c r="E7216" s="0" t="str">
        <f aca="false">HYPERLINK("https://lindat.mff.cuni.cz/services/SynSemClass40/SynSemClass40.html?veclass=vec01458#vec01458-ces-cm00002", "vec01458")</f>
        <v>vec01458</v>
      </c>
      <c r="F7216" s="0" t="s">
        <v>127</v>
      </c>
    </row>
    <row r="7217" customFormat="false" ht="12.8" hidden="false" customHeight="false" outlineLevel="0" collapsed="false">
      <c r="B7217" s="0" t="s">
        <v>1</v>
      </c>
      <c r="C7217" s="0" t="s">
        <v>285</v>
      </c>
      <c r="E7217" s="0" t="s">
        <v>31</v>
      </c>
      <c r="F7217" s="0" t="s">
        <v>130</v>
      </c>
    </row>
    <row r="7218" customFormat="false" ht="12.8" hidden="false" customHeight="false" outlineLevel="0" collapsed="false">
      <c r="B7218" s="0" t="s">
        <v>45</v>
      </c>
      <c r="C7218" s="0" t="s">
        <v>287</v>
      </c>
      <c r="E7218" s="0" t="s">
        <v>14</v>
      </c>
      <c r="F7218" s="0" t="s">
        <v>288</v>
      </c>
    </row>
    <row r="7220" customFormat="false" ht="12.8" hidden="false" customHeight="false" outlineLevel="0" collapsed="false">
      <c r="A7220" s="0" t="s">
        <v>3621</v>
      </c>
      <c r="B7220" s="0" t="str">
        <f aca="false">HYPERLINK("https://lindat.mff.cuni.cz/services/teitok/pdtc10/index.php?action=vallex&amp;frame=v-w371f3", "dát se (v-w371f3)")</f>
        <v>dát se (v-w371f3)</v>
      </c>
    </row>
    <row r="7221" customFormat="false" ht="12.8" hidden="false" customHeight="false" outlineLevel="0" collapsed="false">
      <c r="B7221" s="0" t="s">
        <v>1</v>
      </c>
    </row>
    <row r="7222" customFormat="false" ht="12.8" hidden="false" customHeight="false" outlineLevel="0" collapsed="false">
      <c r="B7222" s="0" t="s">
        <v>164</v>
      </c>
    </row>
    <row r="7224" customFormat="false" ht="12.8" hidden="false" customHeight="false" outlineLevel="0" collapsed="false">
      <c r="A7224" s="0" t="s">
        <v>3622</v>
      </c>
      <c r="B7224" s="0" t="str">
        <f aca="false">HYPERLINK("https://lindat.mff.cuni.cz/services/teitok/pdtc10/index.php?action=vallex&amp;frame=v-w371f9_ZU", "dát se (v-w371f9_ZU)")</f>
        <v>dát se (v-w371f9_ZU)</v>
      </c>
    </row>
    <row r="7225" customFormat="false" ht="12.8" hidden="false" customHeight="false" outlineLevel="0" collapsed="false">
      <c r="B7225" s="0" t="s">
        <v>1</v>
      </c>
    </row>
    <row r="7226" customFormat="false" ht="12.8" hidden="false" customHeight="false" outlineLevel="0" collapsed="false">
      <c r="B7226" s="0" t="s">
        <v>3623</v>
      </c>
    </row>
    <row r="7228" customFormat="false" ht="12.8" hidden="false" customHeight="false" outlineLevel="0" collapsed="false">
      <c r="A7228" s="0" t="s">
        <v>3622</v>
      </c>
      <c r="B7228" s="0" t="str">
        <f aca="false">HYPERLINK("https://lindat.mff.cuni.cz/services/teitok/pdtc10/index.php?action=vallex&amp;frame=v-w371f1", "dát se (v-w371f1) - substituted with v-w371f9_ZU")</f>
        <v>dát se (v-w371f1) - substituted with v-w371f9_ZU</v>
      </c>
    </row>
    <row r="7229" customFormat="false" ht="12.8" hidden="false" customHeight="false" outlineLevel="0" collapsed="false">
      <c r="B7229" s="0" t="s">
        <v>1</v>
      </c>
    </row>
    <row r="7230" customFormat="false" ht="12.8" hidden="false" customHeight="false" outlineLevel="0" collapsed="false">
      <c r="B7230" s="0" t="s">
        <v>3623</v>
      </c>
    </row>
    <row r="7232" customFormat="false" ht="12.8" hidden="false" customHeight="false" outlineLevel="0" collapsed="false">
      <c r="A7232" s="0" t="s">
        <v>3624</v>
      </c>
      <c r="B7232" s="0" t="str">
        <f aca="false">HYPERLINK("https://lindat.mff.cuni.cz/services/teitok/pdtc10/index.php?action=vallex&amp;frame=v-w371f6_ZU", "dát se (v-w371f6_ZU)")</f>
        <v>dát se (v-w371f6_ZU)</v>
      </c>
      <c r="E7232" s="0" t="str">
        <f aca="false">HYPERLINK("https://lindat.mff.cuni.cz/services/SynSemClass40/SynSemClass40.html?veclass=vec00318#vec00318-ces-cm00013", "vec00318")</f>
        <v>vec00318</v>
      </c>
      <c r="F7232" s="0" t="s">
        <v>3218</v>
      </c>
      <c r="H7232" s="0" t="str">
        <f aca="false">HYPERLINK("https://lindat.mff.cuni.cz/services/SynSemClass40/SynSemClass40.html?veclass=vec01296#vec01296-ces-cm00008", "vec01296")</f>
        <v>vec01296</v>
      </c>
      <c r="I7232" s="0" t="s">
        <v>3625</v>
      </c>
    </row>
    <row r="7233" customFormat="false" ht="12.8" hidden="false" customHeight="false" outlineLevel="0" collapsed="false">
      <c r="B7233" s="0" t="s">
        <v>1</v>
      </c>
      <c r="C7233" s="0" t="s">
        <v>3626</v>
      </c>
      <c r="E7233" s="0" t="s">
        <v>2241</v>
      </c>
      <c r="F7233" s="0" t="s">
        <v>3220</v>
      </c>
      <c r="H7233" s="0" t="s">
        <v>2241</v>
      </c>
      <c r="I7233" s="0" t="s">
        <v>3627</v>
      </c>
    </row>
    <row r="7234" customFormat="false" ht="12.8" hidden="false" customHeight="false" outlineLevel="0" collapsed="false">
      <c r="B7234" s="0" t="s">
        <v>3539</v>
      </c>
    </row>
    <row r="7235" customFormat="false" ht="12.8" hidden="false" customHeight="false" outlineLevel="0" collapsed="false">
      <c r="B7235" s="0" t="s">
        <v>721</v>
      </c>
      <c r="C7235" s="0" t="s">
        <v>3628</v>
      </c>
      <c r="E7235" s="0" t="s">
        <v>2665</v>
      </c>
      <c r="F7235" s="0" t="s">
        <v>3222</v>
      </c>
      <c r="H7235" s="0" t="s">
        <v>2665</v>
      </c>
      <c r="I7235" s="0" t="s">
        <v>3629</v>
      </c>
    </row>
    <row r="7237" customFormat="false" ht="12.8" hidden="false" customHeight="false" outlineLevel="0" collapsed="false">
      <c r="A7237" s="0" t="s">
        <v>3630</v>
      </c>
      <c r="B7237" s="0" t="str">
        <f aca="false">HYPERLINK("https://lindat.mff.cuni.cz/services/teitok/pdtc10/index.php?action=vallex&amp;frame=v-w371f5", "dát se (v-w371f5)")</f>
        <v>dát se (v-w371f5)</v>
      </c>
    </row>
    <row r="7238" customFormat="false" ht="12.8" hidden="false" customHeight="false" outlineLevel="0" collapsed="false">
      <c r="B7238" s="0" t="s">
        <v>1</v>
      </c>
    </row>
    <row r="7239" customFormat="false" ht="12.8" hidden="false" customHeight="false" outlineLevel="0" collapsed="false">
      <c r="B7239" s="0" t="s">
        <v>3631</v>
      </c>
    </row>
    <row r="7241" customFormat="false" ht="12.8" hidden="false" customHeight="false" outlineLevel="0" collapsed="false">
      <c r="A7241" s="0" t="s">
        <v>3632</v>
      </c>
      <c r="B7241" s="0" t="str">
        <f aca="false">HYPERLINK("https://lindat.mff.cuni.cz/services/teitok/pdtc10/index.php?action=vallex&amp;frame=v-w371f8_ZU", "dát se (v-w371f8_ZU)")</f>
        <v>dát se (v-w371f8_ZU)</v>
      </c>
      <c r="E7241" s="0" t="str">
        <f aca="false">HYPERLINK("https://lindat.mff.cuni.cz/services/SynSemClass40/SynSemClass40.html?veclass=vec00048#vec00048-ces-cm00178", "vec00048")</f>
        <v>vec00048</v>
      </c>
      <c r="F7241" s="0" t="s">
        <v>1945</v>
      </c>
    </row>
    <row r="7242" customFormat="false" ht="12.8" hidden="false" customHeight="false" outlineLevel="0" collapsed="false">
      <c r="B7242" s="0" t="s">
        <v>1</v>
      </c>
      <c r="C7242" s="0" t="s">
        <v>1946</v>
      </c>
      <c r="E7242" s="0" t="s">
        <v>334</v>
      </c>
      <c r="F7242" s="0" t="s">
        <v>1947</v>
      </c>
    </row>
    <row r="7243" customFormat="false" ht="12.8" hidden="false" customHeight="false" outlineLevel="0" collapsed="false">
      <c r="B7243" s="0" t="s">
        <v>3633</v>
      </c>
    </row>
    <row r="7245" customFormat="false" ht="12.8" hidden="false" customHeight="false" outlineLevel="0" collapsed="false">
      <c r="A7245" s="0" t="s">
        <v>3632</v>
      </c>
      <c r="B7245" s="0" t="str">
        <f aca="false">HYPERLINK("https://lindat.mff.cuni.cz/services/teitok/pdtc10/index.php?action=vallex&amp;frame=v-w371f7_ZU", "dát se (v-w371f7_ZU) - substituted with v-w371f8_ZU")</f>
        <v>dát se (v-w371f7_ZU) - substituted with v-w371f8_ZU</v>
      </c>
    </row>
    <row r="7246" customFormat="false" ht="12.8" hidden="false" customHeight="false" outlineLevel="0" collapsed="false">
      <c r="B7246" s="0" t="s">
        <v>1</v>
      </c>
    </row>
    <row r="7247" customFormat="false" ht="12.8" hidden="false" customHeight="false" outlineLevel="0" collapsed="false">
      <c r="B7247" s="0" t="s">
        <v>3633</v>
      </c>
    </row>
    <row r="7249" customFormat="false" ht="12.8" hidden="false" customHeight="false" outlineLevel="0" collapsed="false">
      <c r="A7249" s="0" t="s">
        <v>3632</v>
      </c>
      <c r="B7249" s="0" t="str">
        <f aca="false">HYPERLINK("https://lindat.mff.cuni.cz/services/teitok/pdtc10/index.php?action=vallex&amp;frame=v-w371hsa_35", "dát se (v-w371hsa_35) - substituted with v-w371f8_ZU")</f>
        <v>dát se (v-w371hsa_35) - substituted with v-w371f8_ZU</v>
      </c>
    </row>
    <row r="7250" customFormat="false" ht="12.8" hidden="false" customHeight="false" outlineLevel="0" collapsed="false">
      <c r="B7250" s="0" t="s">
        <v>1</v>
      </c>
    </row>
    <row r="7251" customFormat="false" ht="12.8" hidden="false" customHeight="false" outlineLevel="0" collapsed="false">
      <c r="B7251" s="0" t="s">
        <v>3633</v>
      </c>
    </row>
    <row r="7253" customFormat="false" ht="12.8" hidden="false" customHeight="false" outlineLevel="0" collapsed="false">
      <c r="A7253" s="0" t="s">
        <v>3634</v>
      </c>
      <c r="B7253" s="0" t="str">
        <f aca="false">HYPERLINK("https://lindat.mff.cuni.cz/services/teitok/pdtc10/index.php?action=vallex&amp;frame=v-w371f10_ZU", "dát se (v-w371f10_ZU)")</f>
        <v>dát se (v-w371f10_ZU)</v>
      </c>
    </row>
    <row r="7254" customFormat="false" ht="12.8" hidden="false" customHeight="false" outlineLevel="0" collapsed="false">
      <c r="B7254" s="0" t="s">
        <v>1</v>
      </c>
    </row>
    <row r="7255" customFormat="false" ht="12.8" hidden="false" customHeight="false" outlineLevel="0" collapsed="false">
      <c r="B7255" s="0" t="s">
        <v>3635</v>
      </c>
    </row>
    <row r="7256" customFormat="false" ht="12.8" hidden="false" customHeight="false" outlineLevel="0" collapsed="false">
      <c r="B7256" s="0" t="s">
        <v>721</v>
      </c>
    </row>
    <row r="7258" customFormat="false" ht="12.8" hidden="false" customHeight="false" outlineLevel="0" collapsed="false">
      <c r="A7258" s="0" t="s">
        <v>3634</v>
      </c>
      <c r="B7258" s="0" t="str">
        <f aca="false">HYPERLINK("https://lindat.mff.cuni.cz/services/teitok/pdtc10/index.php?action=vallex&amp;frame=v-w371hsa_38", "dát se (v-w371hsa_38) - substituted with v-w371f10_ZU")</f>
        <v>dát se (v-w371hsa_38) - substituted with v-w371f10_ZU</v>
      </c>
    </row>
    <row r="7259" customFormat="false" ht="12.8" hidden="false" customHeight="false" outlineLevel="0" collapsed="false">
      <c r="B7259" s="0" t="s">
        <v>1</v>
      </c>
    </row>
    <row r="7260" customFormat="false" ht="12.8" hidden="false" customHeight="false" outlineLevel="0" collapsed="false">
      <c r="B7260" s="0" t="s">
        <v>3635</v>
      </c>
    </row>
    <row r="7261" customFormat="false" ht="12.8" hidden="false" customHeight="false" outlineLevel="0" collapsed="false">
      <c r="B7261" s="0" t="s">
        <v>721</v>
      </c>
    </row>
    <row r="7263" customFormat="false" ht="12.8" hidden="false" customHeight="false" outlineLevel="0" collapsed="false">
      <c r="A7263" s="0" t="s">
        <v>3636</v>
      </c>
      <c r="B7263" s="0" t="str">
        <f aca="false">HYPERLINK("https://lindat.mff.cuni.cz/services/teitok/pdtc10/index.php?action=vallex&amp;frame=v-w371f12_ZU", "dát se (v-w371f12_ZU)")</f>
        <v>dát se (v-w371f12_ZU)</v>
      </c>
    </row>
    <row r="7264" customFormat="false" ht="12.8" hidden="false" customHeight="false" outlineLevel="0" collapsed="false">
      <c r="B7264" s="0" t="s">
        <v>1</v>
      </c>
    </row>
    <row r="7265" customFormat="false" ht="12.8" hidden="false" customHeight="false" outlineLevel="0" collapsed="false">
      <c r="B7265" s="0" t="s">
        <v>311</v>
      </c>
    </row>
    <row r="7267" customFormat="false" ht="12.8" hidden="false" customHeight="false" outlineLevel="0" collapsed="false">
      <c r="A7267" s="0" t="s">
        <v>3636</v>
      </c>
      <c r="B7267" s="0" t="str">
        <f aca="false">HYPERLINK("https://lindat.mff.cuni.cz/services/teitok/pdtc10/index.php?action=vallex&amp;frame=v-w371f11_ZU", "dát se (v-w371f11_ZU) - substituted with v-w371f12_ZU")</f>
        <v>dát se (v-w371f11_ZU) - substituted with v-w371f12_ZU</v>
      </c>
    </row>
    <row r="7268" customFormat="false" ht="12.8" hidden="false" customHeight="false" outlineLevel="0" collapsed="false">
      <c r="B7268" s="0" t="s">
        <v>1</v>
      </c>
    </row>
    <row r="7269" customFormat="false" ht="12.8" hidden="false" customHeight="false" outlineLevel="0" collapsed="false">
      <c r="B7269" s="0" t="s">
        <v>311</v>
      </c>
    </row>
    <row r="7271" customFormat="false" ht="12.8" hidden="false" customHeight="false" outlineLevel="0" collapsed="false">
      <c r="A7271" s="0" t="s">
        <v>3637</v>
      </c>
      <c r="B7271" s="0" t="str">
        <f aca="false">HYPERLINK("https://lindat.mff.cuni.cz/services/teitok/pdtc10/index.php?action=vallex&amp;frame=v-w372f1", "dát si (v-w372f1)")</f>
        <v>dát si (v-w372f1)</v>
      </c>
    </row>
    <row r="7272" customFormat="false" ht="12.8" hidden="false" customHeight="false" outlineLevel="0" collapsed="false">
      <c r="B7272" s="0" t="s">
        <v>1</v>
      </c>
    </row>
    <row r="7273" customFormat="false" ht="12.8" hidden="false" customHeight="false" outlineLevel="0" collapsed="false">
      <c r="B7273" s="0" t="s">
        <v>8</v>
      </c>
    </row>
    <row r="7275" customFormat="false" ht="12.8" hidden="false" customHeight="false" outlineLevel="0" collapsed="false">
      <c r="A7275" s="0" t="s">
        <v>3638</v>
      </c>
      <c r="B7275" s="0" t="str">
        <f aca="false">HYPERLINK("https://lindat.mff.cuni.cz/services/teitok/pdtc10/index.php?action=vallex&amp;frame=v-w372f6", "dát si (v-w372f6)")</f>
        <v>dát si (v-w372f6)</v>
      </c>
    </row>
    <row r="7276" customFormat="false" ht="12.8" hidden="false" customHeight="false" outlineLevel="0" collapsed="false">
      <c r="B7276" s="0" t="s">
        <v>1</v>
      </c>
    </row>
    <row r="7277" customFormat="false" ht="12.8" hidden="false" customHeight="false" outlineLevel="0" collapsed="false">
      <c r="B7277" s="0" t="s">
        <v>8</v>
      </c>
    </row>
    <row r="7279" customFormat="false" ht="12.8" hidden="false" customHeight="false" outlineLevel="0" collapsed="false">
      <c r="A7279" s="0" t="s">
        <v>3639</v>
      </c>
      <c r="B7279" s="0" t="str">
        <f aca="false">HYPERLINK("https://lindat.mff.cuni.cz/services/teitok/pdtc10/index.php?action=vallex&amp;frame=v-w372f3", "dát si (v-w372f3)")</f>
        <v>dát si (v-w372f3)</v>
      </c>
    </row>
    <row r="7280" customFormat="false" ht="12.8" hidden="false" customHeight="false" outlineLevel="0" collapsed="false">
      <c r="B7280" s="0" t="s">
        <v>1</v>
      </c>
    </row>
    <row r="7281" customFormat="false" ht="12.8" hidden="false" customHeight="false" outlineLevel="0" collapsed="false">
      <c r="B7281" s="0" t="s">
        <v>3555</v>
      </c>
    </row>
    <row r="7282" customFormat="false" ht="12.8" hidden="false" customHeight="false" outlineLevel="0" collapsed="false">
      <c r="B7282" s="0" t="s">
        <v>721</v>
      </c>
    </row>
    <row r="7284" customFormat="false" ht="12.8" hidden="false" customHeight="false" outlineLevel="0" collapsed="false">
      <c r="A7284" s="0" t="s">
        <v>3640</v>
      </c>
      <c r="B7284" s="0" t="str">
        <f aca="false">HYPERLINK("https://lindat.mff.cuni.cz/services/teitok/pdtc10/index.php?action=vallex&amp;frame=v-w372f7", "dát si (v-w372f7)")</f>
        <v>dát si (v-w372f7)</v>
      </c>
    </row>
    <row r="7285" customFormat="false" ht="12.8" hidden="false" customHeight="false" outlineLevel="0" collapsed="false">
      <c r="B7285" s="0" t="s">
        <v>1</v>
      </c>
    </row>
    <row r="7286" customFormat="false" ht="12.8" hidden="false" customHeight="false" outlineLevel="0" collapsed="false">
      <c r="B7286" s="0" t="s">
        <v>3641</v>
      </c>
    </row>
    <row r="7287" customFormat="false" ht="12.8" hidden="false" customHeight="false" outlineLevel="0" collapsed="false">
      <c r="B7287" s="0" t="s">
        <v>3642</v>
      </c>
    </row>
    <row r="7289" customFormat="false" ht="12.8" hidden="false" customHeight="false" outlineLevel="0" collapsed="false">
      <c r="A7289" s="0" t="s">
        <v>3643</v>
      </c>
      <c r="B7289" s="0" t="str">
        <f aca="false">HYPERLINK("https://lindat.mff.cuni.cz/services/teitok/pdtc10/index.php?action=vallex&amp;frame=v-w372f9_ZU", "dát si (v-w372f9_ZU)")</f>
        <v>dát si (v-w372f9_ZU)</v>
      </c>
      <c r="E7289" s="0" t="str">
        <f aca="false">HYPERLINK("https://lindat.mff.cuni.cz/services/SynSemClass40/SynSemClass40.html?veclass=vec01207#vec01207-ces-cm00003", "vec01207")</f>
        <v>vec01207</v>
      </c>
      <c r="F7289" s="0" t="s">
        <v>3541</v>
      </c>
    </row>
    <row r="7290" customFormat="false" ht="12.8" hidden="false" customHeight="false" outlineLevel="0" collapsed="false">
      <c r="B7290" s="0" t="s">
        <v>1</v>
      </c>
      <c r="C7290" s="0" t="s">
        <v>239</v>
      </c>
      <c r="E7290" s="0" t="s">
        <v>621</v>
      </c>
      <c r="F7290" s="0" t="s">
        <v>3542</v>
      </c>
    </row>
    <row r="7291" customFormat="false" ht="12.8" hidden="false" customHeight="false" outlineLevel="0" collapsed="false">
      <c r="B7291" s="0" t="s">
        <v>3543</v>
      </c>
    </row>
    <row r="7292" customFormat="false" ht="12.8" hidden="false" customHeight="false" outlineLevel="0" collapsed="false">
      <c r="B7292" s="0" t="s">
        <v>69</v>
      </c>
      <c r="C7292" s="0" t="s">
        <v>3545</v>
      </c>
      <c r="E7292" s="0" t="s">
        <v>532</v>
      </c>
      <c r="F7292" s="0" t="s">
        <v>3546</v>
      </c>
    </row>
    <row r="7294" customFormat="false" ht="12.8" hidden="false" customHeight="false" outlineLevel="0" collapsed="false">
      <c r="A7294" s="0" t="s">
        <v>3643</v>
      </c>
      <c r="B7294" s="0" t="str">
        <f aca="false">HYPERLINK("https://lindat.mff.cuni.cz/services/teitok/pdtc10/index.php?action=vallex&amp;frame=v-w372f2", "dát si (v-w372f2) - substituted with v-w372f9_ZU")</f>
        <v>dát si (v-w372f2) - substituted with v-w372f9_ZU</v>
      </c>
    </row>
    <row r="7295" customFormat="false" ht="12.8" hidden="false" customHeight="false" outlineLevel="0" collapsed="false">
      <c r="B7295" s="0" t="s">
        <v>1</v>
      </c>
    </row>
    <row r="7296" customFormat="false" ht="12.8" hidden="false" customHeight="false" outlineLevel="0" collapsed="false">
      <c r="B7296" s="0" t="s">
        <v>3543</v>
      </c>
    </row>
    <row r="7297" customFormat="false" ht="12.8" hidden="false" customHeight="false" outlineLevel="0" collapsed="false">
      <c r="B7297" s="0" t="s">
        <v>69</v>
      </c>
    </row>
    <row r="7299" customFormat="false" ht="12.8" hidden="false" customHeight="false" outlineLevel="0" collapsed="false">
      <c r="A7299" s="0" t="s">
        <v>3644</v>
      </c>
      <c r="B7299" s="0" t="str">
        <f aca="false">HYPERLINK("https://lindat.mff.cuni.cz/services/teitok/pdtc10/index.php?action=vallex&amp;frame=v-w372f8", "dát si (v-w372f8)")</f>
        <v>dát si (v-w372f8)</v>
      </c>
    </row>
    <row r="7300" customFormat="false" ht="12.8" hidden="false" customHeight="false" outlineLevel="0" collapsed="false">
      <c r="B7300" s="0" t="s">
        <v>1</v>
      </c>
    </row>
    <row r="7301" customFormat="false" ht="12.8" hidden="false" customHeight="false" outlineLevel="0" collapsed="false">
      <c r="B7301" s="0" t="s">
        <v>3645</v>
      </c>
    </row>
    <row r="7303" customFormat="false" ht="12.8" hidden="false" customHeight="false" outlineLevel="0" collapsed="false">
      <c r="A7303" s="0" t="s">
        <v>3646</v>
      </c>
      <c r="B7303" s="0" t="str">
        <f aca="false">HYPERLINK("https://lindat.mff.cuni.cz/services/teitok/pdtc10/index.php?action=vallex&amp;frame=v-w372f11_ZU", "dát si (v-w372f11_ZU)")</f>
        <v>dát si (v-w372f11_ZU)</v>
      </c>
    </row>
    <row r="7304" customFormat="false" ht="12.8" hidden="false" customHeight="false" outlineLevel="0" collapsed="false">
      <c r="B7304" s="0" t="s">
        <v>1</v>
      </c>
    </row>
    <row r="7305" customFormat="false" ht="12.8" hidden="false" customHeight="false" outlineLevel="0" collapsed="false">
      <c r="B7305" s="0" t="s">
        <v>3647</v>
      </c>
    </row>
    <row r="7306" customFormat="false" ht="12.8" hidden="false" customHeight="false" outlineLevel="0" collapsed="false">
      <c r="B7306" s="0" t="s">
        <v>721</v>
      </c>
    </row>
    <row r="7308" customFormat="false" ht="12.8" hidden="false" customHeight="false" outlineLevel="0" collapsed="false">
      <c r="A7308" s="0" t="s">
        <v>3646</v>
      </c>
      <c r="B7308" s="0" t="str">
        <f aca="false">HYPERLINK("https://lindat.mff.cuni.cz/services/teitok/pdtc10/index.php?action=vallex&amp;frame=v-w372f10_ZU", "dát si (v-w372f10_ZU) - substituted with v-w372f11_ZU")</f>
        <v>dát si (v-w372f10_ZU) - substituted with v-w372f11_ZU</v>
      </c>
    </row>
    <row r="7309" customFormat="false" ht="12.8" hidden="false" customHeight="false" outlineLevel="0" collapsed="false">
      <c r="B7309" s="0" t="s">
        <v>1</v>
      </c>
    </row>
    <row r="7310" customFormat="false" ht="12.8" hidden="false" customHeight="false" outlineLevel="0" collapsed="false">
      <c r="B7310" s="0" t="s">
        <v>3647</v>
      </c>
    </row>
    <row r="7311" customFormat="false" ht="12.8" hidden="false" customHeight="false" outlineLevel="0" collapsed="false">
      <c r="B7311" s="0" t="s">
        <v>721</v>
      </c>
    </row>
    <row r="7313" customFormat="false" ht="12.8" hidden="false" customHeight="false" outlineLevel="0" collapsed="false">
      <c r="A7313" s="0" t="s">
        <v>3646</v>
      </c>
      <c r="B7313" s="0" t="str">
        <f aca="false">HYPERLINK("https://lindat.mff.cuni.cz/services/teitok/pdtc10/index.php?action=vallex&amp;frame=v-w372f5", "dát si (v-w372f5) - substituted with v-w372f11_ZU")</f>
        <v>dát si (v-w372f5) - substituted with v-w372f11_ZU</v>
      </c>
    </row>
    <row r="7314" customFormat="false" ht="12.8" hidden="false" customHeight="false" outlineLevel="0" collapsed="false">
      <c r="B7314" s="0" t="s">
        <v>1</v>
      </c>
    </row>
    <row r="7315" customFormat="false" ht="12.8" hidden="false" customHeight="false" outlineLevel="0" collapsed="false">
      <c r="B7315" s="0" t="s">
        <v>3647</v>
      </c>
    </row>
    <row r="7316" customFormat="false" ht="12.8" hidden="false" customHeight="false" outlineLevel="0" collapsed="false">
      <c r="B7316" s="0" t="s">
        <v>721</v>
      </c>
    </row>
    <row r="7318" customFormat="false" ht="12.8" hidden="false" customHeight="false" outlineLevel="0" collapsed="false">
      <c r="A7318" s="0" t="s">
        <v>3648</v>
      </c>
      <c r="B7318" s="0" t="str">
        <f aca="false">HYPERLINK("https://lindat.mff.cuni.cz/services/teitok/pdtc10/index.php?action=vallex&amp;frame=v-w372f4", "dát si (v-w372f4)")</f>
        <v>dát si (v-w372f4)</v>
      </c>
    </row>
    <row r="7319" customFormat="false" ht="12.8" hidden="false" customHeight="false" outlineLevel="0" collapsed="false">
      <c r="B7319" s="0" t="s">
        <v>1</v>
      </c>
    </row>
    <row r="7320" customFormat="false" ht="12.8" hidden="false" customHeight="false" outlineLevel="0" collapsed="false">
      <c r="B7320" s="0" t="s">
        <v>3649</v>
      </c>
    </row>
    <row r="7322" customFormat="false" ht="12.8" hidden="false" customHeight="false" outlineLevel="0" collapsed="false">
      <c r="A7322" s="0" t="s">
        <v>3650</v>
      </c>
      <c r="B7322" s="0" t="str">
        <f aca="false">HYPERLINK("https://lindat.mff.cuni.cz/services/teitok/pdtc10/index.php?action=vallex&amp;frame=v-w372f12_ZU", "dát si (v-w372f12_ZU)")</f>
        <v>dát si (v-w372f12_ZU)</v>
      </c>
    </row>
    <row r="7323" customFormat="false" ht="12.8" hidden="false" customHeight="false" outlineLevel="0" collapsed="false">
      <c r="B7323" s="0" t="s">
        <v>1</v>
      </c>
    </row>
    <row r="7324" customFormat="false" ht="12.8" hidden="false" customHeight="false" outlineLevel="0" collapsed="false">
      <c r="B7324" s="0" t="s">
        <v>3651</v>
      </c>
    </row>
    <row r="7325" customFormat="false" ht="12.8" hidden="false" customHeight="false" outlineLevel="0" collapsed="false">
      <c r="B7325" s="0" t="s">
        <v>3652</v>
      </c>
    </row>
    <row r="7326" customFormat="false" ht="12.8" hidden="false" customHeight="false" outlineLevel="0" collapsed="false">
      <c r="B7326" s="0" t="s">
        <v>602</v>
      </c>
    </row>
    <row r="7328" customFormat="false" ht="12.8" hidden="false" customHeight="false" outlineLevel="0" collapsed="false">
      <c r="A7328" s="0" t="s">
        <v>3653</v>
      </c>
      <c r="B7328" s="0" t="str">
        <f aca="false">HYPERLINK("https://lindat.mff.cuni.cz/services/teitok/pdtc10/index.php?action=vallex&amp;frame=v-w372f13_ZU", "dát si (v-w372f13_ZU)")</f>
        <v>dát si (v-w372f13_ZU)</v>
      </c>
    </row>
    <row r="7329" customFormat="false" ht="12.8" hidden="false" customHeight="false" outlineLevel="0" collapsed="false">
      <c r="B7329" s="0" t="s">
        <v>1</v>
      </c>
    </row>
    <row r="7330" customFormat="false" ht="12.8" hidden="false" customHeight="false" outlineLevel="0" collapsed="false">
      <c r="B7330" s="0" t="s">
        <v>8</v>
      </c>
    </row>
    <row r="7332" customFormat="false" ht="12.8" hidden="false" customHeight="false" outlineLevel="0" collapsed="false">
      <c r="A7332" s="0" t="s">
        <v>3654</v>
      </c>
      <c r="B7332" s="0" t="str">
        <f aca="false">HYPERLINK("https://lindat.mff.cuni.cz/services/teitok/pdtc10/index.php?action=vallex&amp;frame=v-w374f85_ZU", "dávat (v-w374f85_ZU)")</f>
        <v>dávat (v-w374f85_ZU)</v>
      </c>
    </row>
    <row r="7333" customFormat="false" ht="12.8" hidden="false" customHeight="false" outlineLevel="0" collapsed="false">
      <c r="B7333" s="0" t="s">
        <v>1</v>
      </c>
    </row>
    <row r="7334" customFormat="false" ht="12.8" hidden="false" customHeight="false" outlineLevel="0" collapsed="false">
      <c r="B7334" s="0" t="s">
        <v>2811</v>
      </c>
    </row>
    <row r="7335" customFormat="false" ht="12.8" hidden="false" customHeight="false" outlineLevel="0" collapsed="false">
      <c r="B7335" s="0" t="s">
        <v>52</v>
      </c>
    </row>
    <row r="7336" customFormat="false" ht="12.8" hidden="false" customHeight="false" outlineLevel="0" collapsed="false">
      <c r="B7336" s="0" t="s">
        <v>3401</v>
      </c>
    </row>
    <row r="7338" customFormat="false" ht="12.8" hidden="false" customHeight="false" outlineLevel="0" collapsed="false">
      <c r="A7338" s="0" t="s">
        <v>3654</v>
      </c>
      <c r="B7338" s="0" t="str">
        <f aca="false">HYPERLINK("https://lindat.mff.cuni.cz/services/teitok/pdtc10/index.php?action=vallex&amp;frame=v-w374f10", "dávat (v-w374f10) - substituted with v-w374f85_ZU")</f>
        <v>dávat (v-w374f10) - substituted with v-w374f85_ZU</v>
      </c>
    </row>
    <row r="7339" customFormat="false" ht="12.8" hidden="false" customHeight="false" outlineLevel="0" collapsed="false">
      <c r="B7339" s="0" t="s">
        <v>1</v>
      </c>
    </row>
    <row r="7340" customFormat="false" ht="12.8" hidden="false" customHeight="false" outlineLevel="0" collapsed="false">
      <c r="B7340" s="0" t="s">
        <v>2811</v>
      </c>
    </row>
    <row r="7341" customFormat="false" ht="12.8" hidden="false" customHeight="false" outlineLevel="0" collapsed="false">
      <c r="B7341" s="0" t="s">
        <v>52</v>
      </c>
    </row>
    <row r="7342" customFormat="false" ht="12.8" hidden="false" customHeight="false" outlineLevel="0" collapsed="false">
      <c r="B7342" s="0" t="s">
        <v>3401</v>
      </c>
    </row>
    <row r="7344" customFormat="false" ht="12.8" hidden="false" customHeight="false" outlineLevel="0" collapsed="false">
      <c r="A7344" s="0" t="s">
        <v>3655</v>
      </c>
      <c r="B7344" s="0" t="str">
        <f aca="false">HYPERLINK("https://lindat.mff.cuni.cz/services/teitok/pdtc10/index.php?action=vallex&amp;frame=v-w374f29", "dávat (v-w374f29)")</f>
        <v>dávat (v-w374f29)</v>
      </c>
      <c r="E7344" s="0" t="str">
        <f aca="false">HYPERLINK("https://lindat.mff.cuni.cz/services/SynSemClass40/SynSemClass40.html?veclass=vec00033#vec00033-ces-cm00236", "vec00033")</f>
        <v>vec00033</v>
      </c>
      <c r="F7344" s="0" t="s">
        <v>3408</v>
      </c>
    </row>
    <row r="7345" customFormat="false" ht="12.8" hidden="false" customHeight="false" outlineLevel="0" collapsed="false">
      <c r="B7345" s="0" t="s">
        <v>1</v>
      </c>
      <c r="C7345" s="0" t="s">
        <v>3468</v>
      </c>
      <c r="E7345" s="0" t="s">
        <v>3410</v>
      </c>
      <c r="F7345" s="0" t="s">
        <v>3411</v>
      </c>
    </row>
    <row r="7346" customFormat="false" ht="12.8" hidden="false" customHeight="false" outlineLevel="0" collapsed="false">
      <c r="B7346" s="0" t="s">
        <v>8</v>
      </c>
      <c r="C7346" s="0" t="s">
        <v>3525</v>
      </c>
      <c r="E7346" s="0" t="s">
        <v>3413</v>
      </c>
      <c r="F7346" s="0" t="s">
        <v>3414</v>
      </c>
    </row>
    <row r="7347" customFormat="false" ht="12.8" hidden="false" customHeight="false" outlineLevel="0" collapsed="false">
      <c r="B7347" s="0" t="s">
        <v>132</v>
      </c>
      <c r="C7347" s="0" t="s">
        <v>3415</v>
      </c>
      <c r="E7347" s="0" t="s">
        <v>53</v>
      </c>
      <c r="F7347" s="0" t="s">
        <v>3416</v>
      </c>
    </row>
    <row r="7348" customFormat="false" ht="12.8" hidden="false" customHeight="false" outlineLevel="0" collapsed="false">
      <c r="B7348" s="0" t="s">
        <v>723</v>
      </c>
    </row>
    <row r="7350" customFormat="false" ht="12.8" hidden="false" customHeight="false" outlineLevel="0" collapsed="false">
      <c r="A7350" s="0" t="s">
        <v>3656</v>
      </c>
      <c r="B7350" s="0" t="str">
        <f aca="false">HYPERLINK("https://lindat.mff.cuni.cz/services/teitok/pdtc10/index.php?action=vallex&amp;frame=v-w374f4", "dávat (v-w374f4)")</f>
        <v>dávat (v-w374f4)</v>
      </c>
      <c r="E7350" s="0" t="str">
        <f aca="false">HYPERLINK("https://lindat.mff.cuni.cz/services/SynSemClass40/SynSemClass40.html?veclass=vec00695#vec00695-ces-cm00004", "vec00695")</f>
        <v>vec00695</v>
      </c>
      <c r="F7350" s="0" t="s">
        <v>3657</v>
      </c>
      <c r="H7350" s="0" t="str">
        <f aca="false">HYPERLINK("https://lindat.mff.cuni.cz/services/SynSemClass40/SynSemClass40.html?veclass=vec01256#vec01256-ces-cm00027", "vec01256")</f>
        <v>vec01256</v>
      </c>
      <c r="I7350" s="0" t="s">
        <v>2194</v>
      </c>
    </row>
    <row r="7351" customFormat="false" ht="12.8" hidden="false" customHeight="false" outlineLevel="0" collapsed="false">
      <c r="B7351" s="0" t="s">
        <v>1</v>
      </c>
      <c r="C7351" s="0" t="s">
        <v>3658</v>
      </c>
      <c r="E7351" s="0" t="s">
        <v>3659</v>
      </c>
      <c r="F7351" s="0" t="s">
        <v>3660</v>
      </c>
      <c r="H7351" s="0" t="s">
        <v>31</v>
      </c>
      <c r="I7351" s="0" t="s">
        <v>2198</v>
      </c>
    </row>
    <row r="7352" customFormat="false" ht="12.8" hidden="false" customHeight="false" outlineLevel="0" collapsed="false">
      <c r="B7352" s="0" t="s">
        <v>8</v>
      </c>
      <c r="C7352" s="0" t="s">
        <v>3661</v>
      </c>
      <c r="E7352" s="0" t="s">
        <v>3662</v>
      </c>
      <c r="F7352" s="0" t="s">
        <v>3663</v>
      </c>
      <c r="H7352" s="0" t="s">
        <v>1875</v>
      </c>
      <c r="I7352" s="0" t="s">
        <v>2202</v>
      </c>
    </row>
    <row r="7353" customFormat="false" ht="12.8" hidden="false" customHeight="false" outlineLevel="0" collapsed="false">
      <c r="B7353" s="0" t="s">
        <v>52</v>
      </c>
      <c r="C7353" s="0" t="s">
        <v>3664</v>
      </c>
      <c r="E7353" s="0" t="s">
        <v>53</v>
      </c>
      <c r="F7353" s="0" t="s">
        <v>3665</v>
      </c>
      <c r="H7353" s="0" t="s">
        <v>53</v>
      </c>
      <c r="I7353" s="0" t="s">
        <v>2205</v>
      </c>
    </row>
    <row r="7355" customFormat="false" ht="12.8" hidden="false" customHeight="false" outlineLevel="0" collapsed="false">
      <c r="A7355" s="0" t="s">
        <v>3666</v>
      </c>
      <c r="B7355" s="0" t="str">
        <f aca="false">HYPERLINK("https://lindat.mff.cuni.cz/services/teitok/pdtc10/index.php?action=vallex&amp;frame=v-w374f7", "dávat (v-w374f7)")</f>
        <v>dávat (v-w374f7)</v>
      </c>
      <c r="E7355" s="0" t="str">
        <f aca="false">HYPERLINK("https://lindat.mff.cuni.cz/services/SynSemClass40/SynSemClass40.html?veclass=vec01419#vec01419-ces-cm00028", "vec01419")</f>
        <v>vec01419</v>
      </c>
      <c r="F7355" s="0" t="s">
        <v>3428</v>
      </c>
    </row>
    <row r="7356" customFormat="false" ht="12.8" hidden="false" customHeight="false" outlineLevel="0" collapsed="false">
      <c r="B7356" s="0" t="s">
        <v>1</v>
      </c>
      <c r="C7356" s="0" t="s">
        <v>3503</v>
      </c>
      <c r="E7356" s="0" t="s">
        <v>206</v>
      </c>
      <c r="F7356" s="0" t="s">
        <v>3430</v>
      </c>
    </row>
    <row r="7357" customFormat="false" ht="12.8" hidden="false" customHeight="false" outlineLevel="0" collapsed="false">
      <c r="B7357" s="0" t="s">
        <v>8</v>
      </c>
      <c r="C7357" s="0" t="s">
        <v>3667</v>
      </c>
      <c r="E7357" s="0" t="s">
        <v>3668</v>
      </c>
      <c r="F7357" s="0" t="s">
        <v>3669</v>
      </c>
    </row>
    <row r="7358" customFormat="false" ht="12.8" hidden="false" customHeight="false" outlineLevel="0" collapsed="false">
      <c r="B7358" s="0" t="s">
        <v>52</v>
      </c>
      <c r="C7358" s="0" t="s">
        <v>3435</v>
      </c>
      <c r="E7358" s="0" t="s">
        <v>2287</v>
      </c>
      <c r="F7358" s="0" t="s">
        <v>3436</v>
      </c>
    </row>
    <row r="7360" customFormat="false" ht="12.8" hidden="false" customHeight="false" outlineLevel="0" collapsed="false">
      <c r="A7360" s="0" t="s">
        <v>3670</v>
      </c>
      <c r="B7360" s="0" t="str">
        <f aca="false">HYPERLINK("https://lindat.mff.cuni.cz/services/teitok/pdtc10/index.php?action=vallex&amp;frame=v-w374f17", "dávat (v-w374f17)")</f>
        <v>dávat (v-w374f17)</v>
      </c>
    </row>
    <row r="7361" customFormat="false" ht="12.8" hidden="false" customHeight="false" outlineLevel="0" collapsed="false">
      <c r="B7361" s="0" t="s">
        <v>1</v>
      </c>
    </row>
    <row r="7362" customFormat="false" ht="12.8" hidden="false" customHeight="false" outlineLevel="0" collapsed="false">
      <c r="B7362" s="0" t="s">
        <v>8</v>
      </c>
    </row>
    <row r="7363" customFormat="false" ht="12.8" hidden="false" customHeight="false" outlineLevel="0" collapsed="false">
      <c r="B7363" s="0" t="s">
        <v>52</v>
      </c>
    </row>
    <row r="7365" customFormat="false" ht="12.8" hidden="false" customHeight="false" outlineLevel="0" collapsed="false">
      <c r="A7365" s="0" t="s">
        <v>3671</v>
      </c>
      <c r="B7365" s="0" t="str">
        <f aca="false">HYPERLINK("https://lindat.mff.cuni.cz/services/teitok/pdtc10/index.php?action=vallex&amp;frame=v-w374f38", "dávat (v-w374f38)")</f>
        <v>dávat (v-w374f38)</v>
      </c>
    </row>
    <row r="7366" customFormat="false" ht="12.8" hidden="false" customHeight="false" outlineLevel="0" collapsed="false">
      <c r="B7366" s="0" t="s">
        <v>1</v>
      </c>
    </row>
    <row r="7367" customFormat="false" ht="12.8" hidden="false" customHeight="false" outlineLevel="0" collapsed="false">
      <c r="B7367" s="0" t="s">
        <v>8</v>
      </c>
    </row>
    <row r="7368" customFormat="false" ht="12.8" hidden="false" customHeight="false" outlineLevel="0" collapsed="false">
      <c r="B7368" s="0" t="s">
        <v>52</v>
      </c>
    </row>
    <row r="7370" customFormat="false" ht="12.8" hidden="false" customHeight="false" outlineLevel="0" collapsed="false">
      <c r="A7370" s="0" t="s">
        <v>3672</v>
      </c>
      <c r="B7370" s="0" t="str">
        <f aca="false">HYPERLINK("https://lindat.mff.cuni.cz/services/teitok/pdtc10/index.php?action=vallex&amp;frame=v-w374f18", "dávat (v-w374f18)")</f>
        <v>dávat (v-w374f18)</v>
      </c>
    </row>
    <row r="7371" customFormat="false" ht="12.8" hidden="false" customHeight="false" outlineLevel="0" collapsed="false">
      <c r="B7371" s="0" t="s">
        <v>1</v>
      </c>
    </row>
    <row r="7372" customFormat="false" ht="12.8" hidden="false" customHeight="false" outlineLevel="0" collapsed="false">
      <c r="B7372" s="0" t="s">
        <v>886</v>
      </c>
    </row>
    <row r="7373" customFormat="false" ht="12.8" hidden="false" customHeight="false" outlineLevel="0" collapsed="false">
      <c r="B7373" s="0" t="s">
        <v>52</v>
      </c>
    </row>
    <row r="7375" customFormat="false" ht="12.8" hidden="false" customHeight="false" outlineLevel="0" collapsed="false">
      <c r="A7375" s="0" t="s">
        <v>3673</v>
      </c>
      <c r="B7375" s="0" t="str">
        <f aca="false">HYPERLINK("https://lindat.mff.cuni.cz/services/teitok/pdtc10/index.php?action=vallex&amp;frame=v-w374f3", "dávat (v-w374f3)")</f>
        <v>dávat (v-w374f3)</v>
      </c>
      <c r="E7375" s="0" t="str">
        <f aca="false">HYPERLINK("https://lindat.mff.cuni.cz/services/SynSemClass40/SynSemClass40.html?veclass=vec00033#vec00033-ces-cm00017", "vec00033")</f>
        <v>vec00033</v>
      </c>
      <c r="F7375" s="0" t="s">
        <v>3408</v>
      </c>
    </row>
    <row r="7376" customFormat="false" ht="12.8" hidden="false" customHeight="false" outlineLevel="0" collapsed="false">
      <c r="B7376" s="0" t="s">
        <v>1</v>
      </c>
      <c r="C7376" s="0" t="s">
        <v>3468</v>
      </c>
      <c r="E7376" s="0" t="s">
        <v>3410</v>
      </c>
      <c r="F7376" s="0" t="s">
        <v>3411</v>
      </c>
    </row>
    <row r="7377" customFormat="false" ht="12.8" hidden="false" customHeight="false" outlineLevel="0" collapsed="false">
      <c r="B7377" s="0" t="s">
        <v>8</v>
      </c>
      <c r="C7377" s="0" t="s">
        <v>3525</v>
      </c>
      <c r="E7377" s="0" t="s">
        <v>3413</v>
      </c>
      <c r="F7377" s="0" t="s">
        <v>3414</v>
      </c>
    </row>
    <row r="7378" customFormat="false" ht="12.8" hidden="false" customHeight="false" outlineLevel="0" collapsed="false">
      <c r="B7378" s="0" t="s">
        <v>132</v>
      </c>
      <c r="C7378" s="0" t="s">
        <v>3415</v>
      </c>
      <c r="E7378" s="0" t="s">
        <v>53</v>
      </c>
      <c r="F7378" s="0" t="s">
        <v>3416</v>
      </c>
    </row>
    <row r="7380" customFormat="false" ht="12.8" hidden="false" customHeight="false" outlineLevel="0" collapsed="false">
      <c r="A7380" s="0" t="s">
        <v>3674</v>
      </c>
      <c r="B7380" s="0" t="str">
        <f aca="false">HYPERLINK("https://lindat.mff.cuni.cz/services/teitok/pdtc10/index.php?action=vallex&amp;frame=v-w374f9", "dávat (v-w374f9)")</f>
        <v>dávat (v-w374f9)</v>
      </c>
      <c r="E7380" s="0" t="str">
        <f aca="false">HYPERLINK("https://lindat.mff.cuni.cz/services/SynSemClass40/SynSemClass40.html?veclass=vec01256#vec01256-ces-cm00029", "vec01256")</f>
        <v>vec01256</v>
      </c>
      <c r="F7380" s="0" t="s">
        <v>2194</v>
      </c>
    </row>
    <row r="7381" customFormat="false" ht="12.8" hidden="false" customHeight="false" outlineLevel="0" collapsed="false">
      <c r="B7381" s="0" t="s">
        <v>1</v>
      </c>
      <c r="C7381" s="0" t="s">
        <v>3675</v>
      </c>
      <c r="E7381" s="0" t="s">
        <v>31</v>
      </c>
      <c r="F7381" s="0" t="s">
        <v>2198</v>
      </c>
    </row>
    <row r="7382" customFormat="false" ht="12.8" hidden="false" customHeight="false" outlineLevel="0" collapsed="false">
      <c r="B7382" s="0" t="s">
        <v>8</v>
      </c>
      <c r="C7382" s="0" t="s">
        <v>3676</v>
      </c>
      <c r="E7382" s="0" t="s">
        <v>1875</v>
      </c>
      <c r="F7382" s="0" t="s">
        <v>2202</v>
      </c>
    </row>
    <row r="7383" customFormat="false" ht="12.8" hidden="false" customHeight="false" outlineLevel="0" collapsed="false">
      <c r="B7383" s="0" t="s">
        <v>132</v>
      </c>
      <c r="C7383" s="0" t="s">
        <v>3677</v>
      </c>
      <c r="E7383" s="0" t="s">
        <v>53</v>
      </c>
      <c r="F7383" s="0" t="s">
        <v>2205</v>
      </c>
    </row>
    <row r="7385" customFormat="false" ht="12.8" hidden="false" customHeight="false" outlineLevel="0" collapsed="false">
      <c r="A7385" s="0" t="s">
        <v>3678</v>
      </c>
      <c r="B7385" s="0" t="str">
        <f aca="false">HYPERLINK("https://lindat.mff.cuni.cz/services/teitok/pdtc10/index.php?action=vallex&amp;frame=v-w374f28", "dávat (v-w374f28)")</f>
        <v>dávat (v-w374f28)</v>
      </c>
    </row>
    <row r="7386" customFormat="false" ht="12.8" hidden="false" customHeight="false" outlineLevel="0" collapsed="false">
      <c r="B7386" s="0" t="s">
        <v>1</v>
      </c>
    </row>
    <row r="7387" customFormat="false" ht="12.8" hidden="false" customHeight="false" outlineLevel="0" collapsed="false">
      <c r="B7387" s="0" t="s">
        <v>8</v>
      </c>
    </row>
    <row r="7388" customFormat="false" ht="12.8" hidden="false" customHeight="false" outlineLevel="0" collapsed="false">
      <c r="B7388" s="0" t="s">
        <v>1549</v>
      </c>
    </row>
    <row r="7390" customFormat="false" ht="12.8" hidden="false" customHeight="false" outlineLevel="0" collapsed="false">
      <c r="A7390" s="0" t="s">
        <v>3679</v>
      </c>
      <c r="B7390" s="0" t="str">
        <f aca="false">HYPERLINK("https://lindat.mff.cuni.cz/services/teitok/pdtc10/index.php?action=vallex&amp;frame=v-w374f37", "dávat (v-w374f37)")</f>
        <v>dávat (v-w374f37)</v>
      </c>
    </row>
    <row r="7391" customFormat="false" ht="12.8" hidden="false" customHeight="false" outlineLevel="0" collapsed="false">
      <c r="B7391" s="0" t="s">
        <v>1</v>
      </c>
    </row>
    <row r="7392" customFormat="false" ht="12.8" hidden="false" customHeight="false" outlineLevel="0" collapsed="false">
      <c r="B7392" s="0" t="s">
        <v>8</v>
      </c>
    </row>
    <row r="7393" customFormat="false" ht="12.8" hidden="false" customHeight="false" outlineLevel="0" collapsed="false">
      <c r="B7393" s="0" t="s">
        <v>5</v>
      </c>
    </row>
    <row r="7395" customFormat="false" ht="12.8" hidden="false" customHeight="false" outlineLevel="0" collapsed="false">
      <c r="A7395" s="0" t="s">
        <v>3680</v>
      </c>
      <c r="B7395" s="0" t="str">
        <f aca="false">HYPERLINK("https://lindat.mff.cuni.cz/services/teitok/pdtc10/index.php?action=vallex&amp;frame=v-w374f84_ZU", "dávat (v-w374f84_ZU)")</f>
        <v>dávat (v-w374f84_ZU)</v>
      </c>
    </row>
    <row r="7396" customFormat="false" ht="12.8" hidden="false" customHeight="false" outlineLevel="0" collapsed="false">
      <c r="B7396" s="0" t="s">
        <v>1</v>
      </c>
    </row>
    <row r="7397" customFormat="false" ht="12.8" hidden="false" customHeight="false" outlineLevel="0" collapsed="false">
      <c r="B7397" s="0" t="s">
        <v>8</v>
      </c>
    </row>
    <row r="7398" customFormat="false" ht="12.8" hidden="false" customHeight="false" outlineLevel="0" collapsed="false">
      <c r="B7398" s="0" t="s">
        <v>361</v>
      </c>
    </row>
    <row r="7400" customFormat="false" ht="12.8" hidden="false" customHeight="false" outlineLevel="0" collapsed="false">
      <c r="A7400" s="0" t="s">
        <v>3680</v>
      </c>
      <c r="B7400" s="0" t="str">
        <f aca="false">HYPERLINK("https://lindat.mff.cuni.cz/services/teitok/pdtc10/index.php?action=vallex&amp;frame=v-w374f8", "dávat (v-w374f8) - substituted with v-w374f84_ZU")</f>
        <v>dávat (v-w374f8) - substituted with v-w374f84_ZU</v>
      </c>
      <c r="E7400" s="0" t="str">
        <f aca="false">HYPERLINK("https://lindat.mff.cuni.cz/services/SynSemClass40/SynSemClass40.html?veclass=vec00812#vec00812-ces-cm00216", "vec00812")</f>
        <v>vec00812</v>
      </c>
      <c r="F7400" s="0" t="s">
        <v>2822</v>
      </c>
    </row>
    <row r="7401" customFormat="false" ht="12.8" hidden="false" customHeight="false" outlineLevel="0" collapsed="false">
      <c r="B7401" s="0" t="s">
        <v>1</v>
      </c>
      <c r="C7401" s="0" t="s">
        <v>2823</v>
      </c>
      <c r="E7401" s="0" t="s">
        <v>1103</v>
      </c>
      <c r="F7401" s="0" t="s">
        <v>2824</v>
      </c>
    </row>
    <row r="7402" customFormat="false" ht="12.8" hidden="false" customHeight="false" outlineLevel="0" collapsed="false">
      <c r="B7402" s="0" t="s">
        <v>8</v>
      </c>
      <c r="C7402" s="0" t="s">
        <v>2372</v>
      </c>
      <c r="E7402" s="0" t="s">
        <v>142</v>
      </c>
      <c r="F7402" s="0" t="s">
        <v>2825</v>
      </c>
    </row>
    <row r="7403" customFormat="false" ht="12.8" hidden="false" customHeight="false" outlineLevel="0" collapsed="false">
      <c r="B7403" s="0" t="s">
        <v>361</v>
      </c>
      <c r="C7403" s="0" t="s">
        <v>2826</v>
      </c>
      <c r="E7403" s="0" t="s">
        <v>2827</v>
      </c>
      <c r="F7403" s="0" t="s">
        <v>2828</v>
      </c>
    </row>
    <row r="7405" customFormat="false" ht="12.8" hidden="false" customHeight="false" outlineLevel="0" collapsed="false">
      <c r="A7405" s="0" t="s">
        <v>3681</v>
      </c>
      <c r="B7405" s="0" t="str">
        <f aca="false">HYPERLINK("https://lindat.mff.cuni.cz/services/teitok/pdtc10/index.php?action=vallex&amp;frame=v-w374f5", "dávat (v-w374f5)")</f>
        <v>dávat (v-w374f5)</v>
      </c>
      <c r="E7405" s="0" t="str">
        <f aca="false">HYPERLINK("https://lindat.mff.cuni.cz/services/SynSemClass40/SynSemClass40.html?veclass=vec00735#vec00735-ces-cm00059", "vec00735")</f>
        <v>vec00735</v>
      </c>
      <c r="F7405" s="0" t="s">
        <v>2719</v>
      </c>
    </row>
    <row r="7406" customFormat="false" ht="12.8" hidden="false" customHeight="false" outlineLevel="0" collapsed="false">
      <c r="B7406" s="0" t="s">
        <v>1</v>
      </c>
      <c r="C7406" s="0" t="s">
        <v>2720</v>
      </c>
      <c r="E7406" s="0" t="s">
        <v>334</v>
      </c>
      <c r="F7406" s="0" t="s">
        <v>2721</v>
      </c>
    </row>
    <row r="7407" customFormat="false" ht="12.8" hidden="false" customHeight="false" outlineLevel="0" collapsed="false">
      <c r="B7407" s="0" t="s">
        <v>8</v>
      </c>
      <c r="C7407" s="0" t="s">
        <v>2722</v>
      </c>
      <c r="E7407" s="0" t="s">
        <v>2648</v>
      </c>
      <c r="F7407" s="0" t="s">
        <v>2723</v>
      </c>
    </row>
    <row r="7408" customFormat="false" ht="12.8" hidden="false" customHeight="false" outlineLevel="0" collapsed="false">
      <c r="B7408" s="0" t="s">
        <v>164</v>
      </c>
      <c r="C7408" s="0" t="s">
        <v>2724</v>
      </c>
      <c r="E7408" s="0" t="s">
        <v>370</v>
      </c>
      <c r="F7408" s="0" t="s">
        <v>2725</v>
      </c>
    </row>
    <row r="7410" customFormat="false" ht="12.8" hidden="false" customHeight="false" outlineLevel="0" collapsed="false">
      <c r="A7410" s="0" t="s">
        <v>3682</v>
      </c>
      <c r="B7410" s="0" t="str">
        <f aca="false">HYPERLINK("https://lindat.mff.cuni.cz/services/teitok/pdtc10/index.php?action=vallex&amp;frame=v-w374f34", "dávat (v-w374f34)")</f>
        <v>dávat (v-w374f34)</v>
      </c>
      <c r="E7410" s="0" t="str">
        <f aca="false">HYPERLINK("https://lindat.mff.cuni.cz/services/SynSemClass40/SynSemClass40.html?veclass=vec00735#vec00735-ces-cm00060", "vec00735")</f>
        <v>vec00735</v>
      </c>
      <c r="F7410" s="0" t="s">
        <v>2719</v>
      </c>
    </row>
    <row r="7411" customFormat="false" ht="12.8" hidden="false" customHeight="false" outlineLevel="0" collapsed="false">
      <c r="B7411" s="0" t="s">
        <v>1</v>
      </c>
      <c r="C7411" s="0" t="s">
        <v>2720</v>
      </c>
      <c r="E7411" s="0" t="s">
        <v>334</v>
      </c>
      <c r="F7411" s="0" t="s">
        <v>2721</v>
      </c>
    </row>
    <row r="7412" customFormat="false" ht="12.8" hidden="false" customHeight="false" outlineLevel="0" collapsed="false">
      <c r="B7412" s="0" t="s">
        <v>8</v>
      </c>
      <c r="C7412" s="0" t="s">
        <v>2722</v>
      </c>
      <c r="E7412" s="0" t="s">
        <v>2648</v>
      </c>
      <c r="F7412" s="0" t="s">
        <v>2723</v>
      </c>
    </row>
    <row r="7413" customFormat="false" ht="12.8" hidden="false" customHeight="false" outlineLevel="0" collapsed="false">
      <c r="B7413" s="0" t="s">
        <v>164</v>
      </c>
      <c r="C7413" s="0" t="s">
        <v>2724</v>
      </c>
      <c r="E7413" s="0" t="s">
        <v>370</v>
      </c>
      <c r="F7413" s="0" t="s">
        <v>2725</v>
      </c>
    </row>
    <row r="7415" customFormat="false" ht="12.8" hidden="false" customHeight="false" outlineLevel="0" collapsed="false">
      <c r="A7415" s="0" t="s">
        <v>3683</v>
      </c>
      <c r="B7415" s="0" t="str">
        <f aca="false">HYPERLINK("https://lindat.mff.cuni.cz/services/teitok/pdtc10/index.php?action=vallex&amp;frame=v-w374f27", "dávat (v-w374f27)")</f>
        <v>dávat (v-w374f27)</v>
      </c>
      <c r="E7415" s="0" t="str">
        <f aca="false">HYPERLINK("https://lindat.mff.cuni.cz/services/SynSemClass40/SynSemClass40.html?veclass=vec00127#vec00127-ces-cm00104", "vec00127")</f>
        <v>vec00127</v>
      </c>
      <c r="F7415" s="0" t="s">
        <v>1835</v>
      </c>
    </row>
    <row r="7416" customFormat="false" ht="12.8" hidden="false" customHeight="false" outlineLevel="0" collapsed="false">
      <c r="B7416" s="0" t="s">
        <v>1</v>
      </c>
      <c r="C7416" s="0" t="s">
        <v>3461</v>
      </c>
      <c r="E7416" s="0" t="s">
        <v>11</v>
      </c>
      <c r="F7416" s="0" t="s">
        <v>1837</v>
      </c>
    </row>
    <row r="7417" customFormat="false" ht="12.8" hidden="false" customHeight="false" outlineLevel="0" collapsed="false">
      <c r="B7417" s="0" t="s">
        <v>59</v>
      </c>
      <c r="C7417" s="0" t="s">
        <v>3463</v>
      </c>
      <c r="E7417" s="0" t="s">
        <v>1840</v>
      </c>
      <c r="F7417" s="0" t="s">
        <v>1841</v>
      </c>
    </row>
    <row r="7419" customFormat="false" ht="12.8" hidden="false" customHeight="false" outlineLevel="0" collapsed="false">
      <c r="A7419" s="0" t="s">
        <v>3684</v>
      </c>
      <c r="B7419" s="0" t="str">
        <f aca="false">HYPERLINK("https://lindat.mff.cuni.cz/services/teitok/pdtc10/index.php?action=vallex&amp;frame=v-w374f30", "dávat (v-w374f30)")</f>
        <v>dávat (v-w374f30)</v>
      </c>
    </row>
    <row r="7420" customFormat="false" ht="12.8" hidden="false" customHeight="false" outlineLevel="0" collapsed="false">
      <c r="B7420" s="0" t="s">
        <v>1</v>
      </c>
    </row>
    <row r="7421" customFormat="false" ht="12.8" hidden="false" customHeight="false" outlineLevel="0" collapsed="false">
      <c r="B7421" s="0" t="s">
        <v>8</v>
      </c>
    </row>
    <row r="7423" customFormat="false" ht="12.8" hidden="false" customHeight="false" outlineLevel="0" collapsed="false">
      <c r="A7423" s="0" t="s">
        <v>3685</v>
      </c>
      <c r="B7423" s="0" t="str">
        <f aca="false">HYPERLINK("https://lindat.mff.cuni.cz/services/teitok/pdtc10/index.php?action=vallex&amp;frame=v-w374f12", "dávat (v-w374f12)")</f>
        <v>dávat (v-w374f12)</v>
      </c>
      <c r="E7423" s="0" t="str">
        <f aca="false">HYPERLINK("https://lindat.mff.cuni.cz/services/SynSemClass40/SynSemClass40.html?veclass=vec01206#vec01206-ces-cm00004", "vec01206")</f>
        <v>vec01206</v>
      </c>
      <c r="F7423" s="0" t="s">
        <v>3440</v>
      </c>
    </row>
    <row r="7424" customFormat="false" ht="12.8" hidden="false" customHeight="false" outlineLevel="0" collapsed="false">
      <c r="B7424" s="0" t="s">
        <v>1</v>
      </c>
      <c r="C7424" s="0" t="s">
        <v>2282</v>
      </c>
      <c r="E7424" s="0" t="s">
        <v>3441</v>
      </c>
      <c r="F7424" s="0" t="s">
        <v>3442</v>
      </c>
    </row>
    <row r="7425" customFormat="false" ht="12.8" hidden="false" customHeight="false" outlineLevel="0" collapsed="false">
      <c r="B7425" s="0" t="s">
        <v>886</v>
      </c>
      <c r="C7425" s="0" t="s">
        <v>3455</v>
      </c>
      <c r="E7425" s="0" t="s">
        <v>79</v>
      </c>
      <c r="F7425" s="0" t="s">
        <v>3456</v>
      </c>
    </row>
    <row r="7427" customFormat="false" ht="12.8" hidden="false" customHeight="false" outlineLevel="0" collapsed="false">
      <c r="A7427" s="0" t="s">
        <v>3686</v>
      </c>
      <c r="B7427" s="0" t="str">
        <f aca="false">HYPERLINK("https://lindat.mff.cuni.cz/services/teitok/pdtc10/index.php?action=vallex&amp;frame=v-w374f31", "dávat (v-w374f31)")</f>
        <v>dávat (v-w374f31)</v>
      </c>
    </row>
    <row r="7428" customFormat="false" ht="12.8" hidden="false" customHeight="false" outlineLevel="0" collapsed="false">
      <c r="B7428" s="0" t="s">
        <v>1</v>
      </c>
    </row>
    <row r="7429" customFormat="false" ht="12.8" hidden="false" customHeight="false" outlineLevel="0" collapsed="false">
      <c r="B7429" s="0" t="s">
        <v>45</v>
      </c>
    </row>
    <row r="7431" customFormat="false" ht="12.8" hidden="false" customHeight="false" outlineLevel="0" collapsed="false">
      <c r="A7431" s="0" t="s">
        <v>3687</v>
      </c>
      <c r="B7431" s="0" t="str">
        <f aca="false">HYPERLINK("https://lindat.mff.cuni.cz/services/teitok/pdtc10/index.php?action=vallex&amp;frame=v-w374f36", "dávat (v-w374f36)")</f>
        <v>dávat (v-w374f36)</v>
      </c>
    </row>
    <row r="7432" customFormat="false" ht="12.8" hidden="false" customHeight="false" outlineLevel="0" collapsed="false">
      <c r="B7432" s="0" t="s">
        <v>1</v>
      </c>
    </row>
    <row r="7433" customFormat="false" ht="12.8" hidden="false" customHeight="false" outlineLevel="0" collapsed="false">
      <c r="B7433" s="0" t="s">
        <v>865</v>
      </c>
    </row>
    <row r="7434" customFormat="false" ht="12.8" hidden="false" customHeight="false" outlineLevel="0" collapsed="false">
      <c r="B7434" s="0" t="s">
        <v>2069</v>
      </c>
    </row>
    <row r="7435" customFormat="false" ht="12.8" hidden="false" customHeight="false" outlineLevel="0" collapsed="false">
      <c r="B7435" s="0" t="s">
        <v>132</v>
      </c>
    </row>
    <row r="7437" customFormat="false" ht="12.8" hidden="false" customHeight="false" outlineLevel="0" collapsed="false">
      <c r="A7437" s="0" t="s">
        <v>3688</v>
      </c>
      <c r="B7437" s="0" t="str">
        <f aca="false">HYPERLINK("https://lindat.mff.cuni.cz/services/teitok/pdtc10/index.php?action=vallex&amp;frame=v-w374f75_ZU", "dávat (v-w374f75_ZU)")</f>
        <v>dávat (v-w374f75_ZU)</v>
      </c>
    </row>
    <row r="7438" customFormat="false" ht="12.8" hidden="false" customHeight="false" outlineLevel="0" collapsed="false">
      <c r="B7438" s="0" t="s">
        <v>1</v>
      </c>
    </row>
    <row r="7439" customFormat="false" ht="12.8" hidden="false" customHeight="false" outlineLevel="0" collapsed="false">
      <c r="B7439" s="0" t="s">
        <v>3689</v>
      </c>
    </row>
    <row r="7440" customFormat="false" ht="12.8" hidden="false" customHeight="false" outlineLevel="0" collapsed="false">
      <c r="B7440" s="0" t="s">
        <v>52</v>
      </c>
    </row>
    <row r="7442" customFormat="false" ht="12.8" hidden="false" customHeight="false" outlineLevel="0" collapsed="false">
      <c r="A7442" s="0" t="s">
        <v>3688</v>
      </c>
      <c r="B7442" s="0" t="str">
        <f aca="false">HYPERLINK("https://lindat.mff.cuni.cz/services/teitok/pdtc10/index.php?action=vallex&amp;frame=v-w374f15", "dávat (v-w374f15) - substituted with v-w374f75_ZU")</f>
        <v>dávat (v-w374f15) - substituted with v-w374f75_ZU</v>
      </c>
    </row>
    <row r="7443" customFormat="false" ht="12.8" hidden="false" customHeight="false" outlineLevel="0" collapsed="false">
      <c r="B7443" s="0" t="s">
        <v>1</v>
      </c>
    </row>
    <row r="7444" customFormat="false" ht="12.8" hidden="false" customHeight="false" outlineLevel="0" collapsed="false">
      <c r="B7444" s="0" t="s">
        <v>3689</v>
      </c>
    </row>
    <row r="7445" customFormat="false" ht="12.8" hidden="false" customHeight="false" outlineLevel="0" collapsed="false">
      <c r="B7445" s="0" t="s">
        <v>52</v>
      </c>
    </row>
    <row r="7447" customFormat="false" ht="12.8" hidden="false" customHeight="false" outlineLevel="0" collapsed="false">
      <c r="A7447" s="0" t="s">
        <v>3688</v>
      </c>
      <c r="B7447" s="0" t="str">
        <f aca="false">HYPERLINK("https://lindat.mff.cuni.cz/services/teitok/pdtc10/index.php?action=vallex&amp;frame=v-w374f62_ZU", "dávat (v-w374f62_ZU) - substituted with v-w374f75_ZU")</f>
        <v>dávat (v-w374f62_ZU) - substituted with v-w374f75_ZU</v>
      </c>
    </row>
    <row r="7448" customFormat="false" ht="12.8" hidden="false" customHeight="false" outlineLevel="0" collapsed="false">
      <c r="B7448" s="0" t="s">
        <v>1</v>
      </c>
    </row>
    <row r="7449" customFormat="false" ht="12.8" hidden="false" customHeight="false" outlineLevel="0" collapsed="false">
      <c r="B7449" s="0" t="s">
        <v>3689</v>
      </c>
    </row>
    <row r="7450" customFormat="false" ht="12.8" hidden="false" customHeight="false" outlineLevel="0" collapsed="false">
      <c r="B7450" s="0" t="s">
        <v>52</v>
      </c>
    </row>
    <row r="7452" customFormat="false" ht="12.8" hidden="false" customHeight="false" outlineLevel="0" collapsed="false">
      <c r="A7452" s="0" t="s">
        <v>3690</v>
      </c>
      <c r="B7452" s="0" t="str">
        <f aca="false">HYPERLINK("https://lindat.mff.cuni.cz/services/teitok/pdtc10/index.php?action=vallex&amp;frame=v-w374f82_ZU", "dávat (v-w374f82_ZU)")</f>
        <v>dávat (v-w374f82_ZU)</v>
      </c>
    </row>
    <row r="7453" customFormat="false" ht="12.8" hidden="false" customHeight="false" outlineLevel="0" collapsed="false">
      <c r="B7453" s="0" t="s">
        <v>1</v>
      </c>
    </row>
    <row r="7454" customFormat="false" ht="12.8" hidden="false" customHeight="false" outlineLevel="0" collapsed="false">
      <c r="B7454" s="0" t="s">
        <v>3691</v>
      </c>
    </row>
    <row r="7455" customFormat="false" ht="12.8" hidden="false" customHeight="false" outlineLevel="0" collapsed="false">
      <c r="B7455" s="0" t="s">
        <v>52</v>
      </c>
    </row>
    <row r="7457" customFormat="false" ht="12.8" hidden="false" customHeight="false" outlineLevel="0" collapsed="false">
      <c r="A7457" s="0" t="s">
        <v>3690</v>
      </c>
      <c r="B7457" s="0" t="str">
        <f aca="false">HYPERLINK("https://lindat.mff.cuni.cz/services/teitok/pdtc10/index.php?action=vallex&amp;frame=v-w374f35", "dávat (v-w374f35) - substituted with v-w374f82_ZU")</f>
        <v>dávat (v-w374f35) - substituted with v-w374f82_ZU</v>
      </c>
    </row>
    <row r="7458" customFormat="false" ht="12.8" hidden="false" customHeight="false" outlineLevel="0" collapsed="false">
      <c r="B7458" s="0" t="s">
        <v>1</v>
      </c>
    </row>
    <row r="7459" customFormat="false" ht="12.8" hidden="false" customHeight="false" outlineLevel="0" collapsed="false">
      <c r="B7459" s="0" t="s">
        <v>3691</v>
      </c>
    </row>
    <row r="7460" customFormat="false" ht="12.8" hidden="false" customHeight="false" outlineLevel="0" collapsed="false">
      <c r="B7460" s="0" t="s">
        <v>52</v>
      </c>
    </row>
    <row r="7462" customFormat="false" ht="12.8" hidden="false" customHeight="false" outlineLevel="0" collapsed="false">
      <c r="A7462" s="0" t="s">
        <v>3690</v>
      </c>
      <c r="B7462" s="0" t="str">
        <f aca="false">HYPERLINK("https://lindat.mff.cuni.cz/services/teitok/pdtc10/index.php?action=vallex&amp;frame=v-w374f67_ZU", "dávat (v-w374f67_ZU) - substituted with v-w374f82_ZU")</f>
        <v>dávat (v-w374f67_ZU) - substituted with v-w374f82_ZU</v>
      </c>
    </row>
    <row r="7463" customFormat="false" ht="12.8" hidden="false" customHeight="false" outlineLevel="0" collapsed="false">
      <c r="B7463" s="0" t="s">
        <v>1</v>
      </c>
    </row>
    <row r="7464" customFormat="false" ht="12.8" hidden="false" customHeight="false" outlineLevel="0" collapsed="false">
      <c r="B7464" s="0" t="s">
        <v>3691</v>
      </c>
    </row>
    <row r="7465" customFormat="false" ht="12.8" hidden="false" customHeight="false" outlineLevel="0" collapsed="false">
      <c r="B7465" s="0" t="s">
        <v>52</v>
      </c>
    </row>
    <row r="7467" customFormat="false" ht="12.8" hidden="false" customHeight="false" outlineLevel="0" collapsed="false">
      <c r="A7467" s="0" t="s">
        <v>3690</v>
      </c>
      <c r="B7467" s="0" t="str">
        <f aca="false">HYPERLINK("https://lindat.mff.cuni.cz/services/teitok/pdtc10/index.php?action=vallex&amp;frame=v-w374f69_ZU", "dávat (v-w374f69_ZU) - substituted with v-w374f82_ZU")</f>
        <v>dávat (v-w374f69_ZU) - substituted with v-w374f82_ZU</v>
      </c>
      <c r="E7467" s="0" t="str">
        <f aca="false">HYPERLINK("https://lindat.mff.cuni.cz/services/SynSemClass40/SynSemClass40.html?veclass=vec00012#vec00012-ces-cm00077", "vec00012")</f>
        <v>vec00012</v>
      </c>
      <c r="F7467" s="0" t="s">
        <v>3078</v>
      </c>
      <c r="H7467" s="0" t="str">
        <f aca="false">HYPERLINK("https://lindat.mff.cuni.cz/services/SynSemClass40/SynSemClass40.html?veclass=vec00332#vec00332-ces-cm00037", "vec00332")</f>
        <v>vec00332</v>
      </c>
      <c r="I7467" s="0" t="s">
        <v>3692</v>
      </c>
      <c r="K7467" s="0" t="str">
        <f aca="false">HYPERLINK("https://lindat.mff.cuni.cz/services/SynSemClass40/SynSemClass40.html?veclass=vec00478#vec00478-ces-cm00002", "vec00478")</f>
        <v>vec00478</v>
      </c>
      <c r="L7467" s="0" t="s">
        <v>3693</v>
      </c>
    </row>
    <row r="7468" customFormat="false" ht="12.8" hidden="false" customHeight="false" outlineLevel="0" collapsed="false">
      <c r="B7468" s="0" t="s">
        <v>1</v>
      </c>
      <c r="C7468" s="0" t="s">
        <v>3694</v>
      </c>
      <c r="E7468" s="0" t="s">
        <v>206</v>
      </c>
      <c r="F7468" s="0" t="s">
        <v>3080</v>
      </c>
      <c r="H7468" s="0" t="s">
        <v>63</v>
      </c>
      <c r="I7468" s="0" t="s">
        <v>3695</v>
      </c>
      <c r="K7468" s="0" t="s">
        <v>206</v>
      </c>
      <c r="L7468" s="0" t="s">
        <v>1846</v>
      </c>
    </row>
    <row r="7469" customFormat="false" ht="12.8" hidden="false" customHeight="false" outlineLevel="0" collapsed="false">
      <c r="B7469" s="0" t="s">
        <v>3691</v>
      </c>
      <c r="C7469" s="0" t="s">
        <v>3696</v>
      </c>
      <c r="H7469" s="0" t="s">
        <v>3697</v>
      </c>
      <c r="I7469" s="0" t="s">
        <v>3698</v>
      </c>
    </row>
    <row r="7470" customFormat="false" ht="12.8" hidden="false" customHeight="false" outlineLevel="0" collapsed="false">
      <c r="B7470" s="0" t="s">
        <v>52</v>
      </c>
      <c r="C7470" s="0" t="s">
        <v>3699</v>
      </c>
      <c r="E7470" s="0" t="s">
        <v>2287</v>
      </c>
      <c r="F7470" s="0" t="s">
        <v>3086</v>
      </c>
      <c r="H7470" s="0" t="s">
        <v>564</v>
      </c>
      <c r="I7470" s="0" t="s">
        <v>3700</v>
      </c>
      <c r="K7470" s="0" t="s">
        <v>3701</v>
      </c>
      <c r="L7470" s="0" t="s">
        <v>3702</v>
      </c>
    </row>
    <row r="7472" customFormat="false" ht="12.8" hidden="false" customHeight="false" outlineLevel="0" collapsed="false">
      <c r="A7472" s="0" t="s">
        <v>3703</v>
      </c>
      <c r="B7472" s="0" t="str">
        <f aca="false">HYPERLINK("https://lindat.mff.cuni.cz/services/teitok/pdtc10/index.php?action=vallex&amp;frame=v-w374hsa_21", "dávat (v-w374hsa_21)")</f>
        <v>dávat (v-w374hsa_21)</v>
      </c>
    </row>
    <row r="7473" customFormat="false" ht="12.8" hidden="false" customHeight="false" outlineLevel="0" collapsed="false">
      <c r="B7473" s="0" t="s">
        <v>1</v>
      </c>
    </row>
    <row r="7474" customFormat="false" ht="12.8" hidden="false" customHeight="false" outlineLevel="0" collapsed="false">
      <c r="B7474" s="0" t="s">
        <v>3704</v>
      </c>
    </row>
    <row r="7475" customFormat="false" ht="12.8" hidden="false" customHeight="false" outlineLevel="0" collapsed="false">
      <c r="B7475" s="0" t="s">
        <v>52</v>
      </c>
    </row>
    <row r="7477" customFormat="false" ht="12.8" hidden="false" customHeight="false" outlineLevel="0" collapsed="false">
      <c r="A7477" s="0" t="s">
        <v>3703</v>
      </c>
      <c r="B7477" s="0" t="str">
        <f aca="false">HYPERLINK("https://lindat.mff.cuni.cz/services/teitok/pdtc10/index.php?action=vallex&amp;frame=v-w374f23", "dávat (v-w374f23) - substituted with v-w374hsa_21")</f>
        <v>dávat (v-w374f23) - substituted with v-w374hsa_21</v>
      </c>
    </row>
    <row r="7478" customFormat="false" ht="12.8" hidden="false" customHeight="false" outlineLevel="0" collapsed="false">
      <c r="B7478" s="0" t="s">
        <v>1</v>
      </c>
    </row>
    <row r="7479" customFormat="false" ht="12.8" hidden="false" customHeight="false" outlineLevel="0" collapsed="false">
      <c r="B7479" s="0" t="s">
        <v>3704</v>
      </c>
    </row>
    <row r="7480" customFormat="false" ht="12.8" hidden="false" customHeight="false" outlineLevel="0" collapsed="false">
      <c r="B7480" s="0" t="s">
        <v>52</v>
      </c>
    </row>
    <row r="7482" customFormat="false" ht="12.8" hidden="false" customHeight="false" outlineLevel="0" collapsed="false">
      <c r="A7482" s="0" t="s">
        <v>3705</v>
      </c>
      <c r="B7482" s="0" t="str">
        <f aca="false">HYPERLINK("https://lindat.mff.cuni.cz/services/teitok/pdtc10/index.php?action=vallex&amp;frame=v-w374f65_ZU", "dávat (v-w374f65_ZU)")</f>
        <v>dávat (v-w374f65_ZU)</v>
      </c>
      <c r="E7482" s="0" t="str">
        <f aca="false">HYPERLINK("https://lindat.mff.cuni.cz/services/SynSemClass40/SynSemClass40.html?veclass=vec00334#vec00334-ces-cm00002", "vec00334")</f>
        <v>vec00334</v>
      </c>
      <c r="F7482" s="0" t="s">
        <v>3508</v>
      </c>
      <c r="H7482" s="0" t="str">
        <f aca="false">HYPERLINK("https://lindat.mff.cuni.cz/services/SynSemClass40/SynSemClass40.html?veclass=vec00669#vec00669-ces-cm00023", "vec00669")</f>
        <v>vec00669</v>
      </c>
      <c r="I7482" s="0" t="s">
        <v>3706</v>
      </c>
    </row>
    <row r="7483" customFormat="false" ht="12.8" hidden="false" customHeight="false" outlineLevel="0" collapsed="false">
      <c r="B7483" s="0" t="s">
        <v>1</v>
      </c>
      <c r="C7483" s="0" t="s">
        <v>3707</v>
      </c>
      <c r="E7483" s="0" t="s">
        <v>155</v>
      </c>
      <c r="F7483" s="0" t="s">
        <v>3510</v>
      </c>
      <c r="H7483" s="0" t="s">
        <v>31</v>
      </c>
      <c r="I7483" s="0" t="s">
        <v>460</v>
      </c>
    </row>
    <row r="7484" customFormat="false" ht="12.8" hidden="false" customHeight="false" outlineLevel="0" collapsed="false">
      <c r="B7484" s="0" t="s">
        <v>3708</v>
      </c>
    </row>
    <row r="7485" customFormat="false" ht="12.8" hidden="false" customHeight="false" outlineLevel="0" collapsed="false">
      <c r="B7485" s="0" t="s">
        <v>52</v>
      </c>
      <c r="C7485" s="0" t="s">
        <v>3709</v>
      </c>
      <c r="E7485" s="0" t="s">
        <v>3514</v>
      </c>
      <c r="F7485" s="0" t="s">
        <v>3515</v>
      </c>
      <c r="H7485" s="0" t="s">
        <v>3710</v>
      </c>
      <c r="I7485" s="0" t="s">
        <v>3711</v>
      </c>
    </row>
    <row r="7487" customFormat="false" ht="12.8" hidden="false" customHeight="false" outlineLevel="0" collapsed="false">
      <c r="A7487" s="0" t="s">
        <v>3705</v>
      </c>
      <c r="B7487" s="0" t="str">
        <f aca="false">HYPERLINK("https://lindat.mff.cuni.cz/services/teitok/pdtc10/index.php?action=vallex&amp;frame=v-w374f2", "dávat (v-w374f2) - substituted with v-w374f65_ZU")</f>
        <v>dávat (v-w374f2) - substituted with v-w374f65_ZU</v>
      </c>
    </row>
    <row r="7488" customFormat="false" ht="12.8" hidden="false" customHeight="false" outlineLevel="0" collapsed="false">
      <c r="B7488" s="0" t="s">
        <v>1</v>
      </c>
    </row>
    <row r="7489" customFormat="false" ht="12.8" hidden="false" customHeight="false" outlineLevel="0" collapsed="false">
      <c r="B7489" s="0" t="s">
        <v>3708</v>
      </c>
    </row>
    <row r="7490" customFormat="false" ht="12.8" hidden="false" customHeight="false" outlineLevel="0" collapsed="false">
      <c r="B7490" s="0" t="s">
        <v>52</v>
      </c>
    </row>
    <row r="7492" customFormat="false" ht="12.8" hidden="false" customHeight="false" outlineLevel="0" collapsed="false">
      <c r="A7492" s="0" t="s">
        <v>3712</v>
      </c>
      <c r="B7492" s="0" t="str">
        <f aca="false">HYPERLINK("https://lindat.mff.cuni.cz/services/teitok/pdtc10/index.php?action=vallex&amp;frame=v-w374f78_ZU", "dávat (v-w374f78_ZU)")</f>
        <v>dávat (v-w374f78_ZU)</v>
      </c>
    </row>
    <row r="7493" customFormat="false" ht="12.8" hidden="false" customHeight="false" outlineLevel="0" collapsed="false">
      <c r="B7493" s="0" t="s">
        <v>1</v>
      </c>
    </row>
    <row r="7494" customFormat="false" ht="12.8" hidden="false" customHeight="false" outlineLevel="0" collapsed="false">
      <c r="B7494" s="0" t="s">
        <v>3713</v>
      </c>
    </row>
    <row r="7495" customFormat="false" ht="12.8" hidden="false" customHeight="false" outlineLevel="0" collapsed="false">
      <c r="B7495" s="0" t="s">
        <v>52</v>
      </c>
    </row>
    <row r="7497" customFormat="false" ht="12.8" hidden="false" customHeight="false" outlineLevel="0" collapsed="false">
      <c r="A7497" s="0" t="s">
        <v>3712</v>
      </c>
      <c r="B7497" s="0" t="str">
        <f aca="false">HYPERLINK("https://lindat.mff.cuni.cz/services/teitok/pdtc10/index.php?action=vallex&amp;frame=v-w374f1", "dávat (v-w374f1) - substituted with v-w374f78_ZU")</f>
        <v>dávat (v-w374f1) - substituted with v-w374f78_ZU</v>
      </c>
    </row>
    <row r="7498" customFormat="false" ht="12.8" hidden="false" customHeight="false" outlineLevel="0" collapsed="false">
      <c r="B7498" s="0" t="s">
        <v>1</v>
      </c>
    </row>
    <row r="7499" customFormat="false" ht="12.8" hidden="false" customHeight="false" outlineLevel="0" collapsed="false">
      <c r="B7499" s="0" t="s">
        <v>3713</v>
      </c>
    </row>
    <row r="7500" customFormat="false" ht="12.8" hidden="false" customHeight="false" outlineLevel="0" collapsed="false">
      <c r="B7500" s="0" t="s">
        <v>52</v>
      </c>
    </row>
    <row r="7502" customFormat="false" ht="12.8" hidden="false" customHeight="false" outlineLevel="0" collapsed="false">
      <c r="A7502" s="0" t="s">
        <v>3712</v>
      </c>
      <c r="B7502" s="0" t="str">
        <f aca="false">HYPERLINK("https://lindat.mff.cuni.cz/services/teitok/pdtc10/index.php?action=vallex&amp;frame=v-w374f40_ZU", "dávat (v-w374f40_ZU) - substituted with v-w374f78_ZU")</f>
        <v>dávat (v-w374f40_ZU) - substituted with v-w374f78_ZU</v>
      </c>
    </row>
    <row r="7503" customFormat="false" ht="12.8" hidden="false" customHeight="false" outlineLevel="0" collapsed="false">
      <c r="B7503" s="0" t="s">
        <v>1</v>
      </c>
    </row>
    <row r="7504" customFormat="false" ht="12.8" hidden="false" customHeight="false" outlineLevel="0" collapsed="false">
      <c r="B7504" s="0" t="s">
        <v>3713</v>
      </c>
    </row>
    <row r="7505" customFormat="false" ht="12.8" hidden="false" customHeight="false" outlineLevel="0" collapsed="false">
      <c r="B7505" s="0" t="s">
        <v>52</v>
      </c>
    </row>
    <row r="7507" customFormat="false" ht="12.8" hidden="false" customHeight="false" outlineLevel="0" collapsed="false">
      <c r="A7507" s="0" t="s">
        <v>3712</v>
      </c>
      <c r="B7507" s="0" t="str">
        <f aca="false">HYPERLINK("https://lindat.mff.cuni.cz/services/teitok/pdtc10/index.php?action=vallex&amp;frame=v-w374f44_ZU", "dávat (v-w374f44_ZU) - substituted with v-w374f78_ZU")</f>
        <v>dávat (v-w374f44_ZU) - substituted with v-w374f78_ZU</v>
      </c>
    </row>
    <row r="7508" customFormat="false" ht="12.8" hidden="false" customHeight="false" outlineLevel="0" collapsed="false">
      <c r="B7508" s="0" t="s">
        <v>1</v>
      </c>
    </row>
    <row r="7509" customFormat="false" ht="12.8" hidden="false" customHeight="false" outlineLevel="0" collapsed="false">
      <c r="B7509" s="0" t="s">
        <v>3713</v>
      </c>
    </row>
    <row r="7510" customFormat="false" ht="12.8" hidden="false" customHeight="false" outlineLevel="0" collapsed="false">
      <c r="B7510" s="0" t="s">
        <v>52</v>
      </c>
    </row>
    <row r="7512" customFormat="false" ht="12.8" hidden="false" customHeight="false" outlineLevel="0" collapsed="false">
      <c r="A7512" s="0" t="s">
        <v>3712</v>
      </c>
      <c r="B7512" s="0" t="str">
        <f aca="false">HYPERLINK("https://lindat.mff.cuni.cz/services/teitok/pdtc10/index.php?action=vallex&amp;frame=v-w374f48_ZU", "dávat (v-w374f48_ZU) - substituted with v-w374f78_ZU")</f>
        <v>dávat (v-w374f48_ZU) - substituted with v-w374f78_ZU</v>
      </c>
    </row>
    <row r="7513" customFormat="false" ht="12.8" hidden="false" customHeight="false" outlineLevel="0" collapsed="false">
      <c r="B7513" s="0" t="s">
        <v>1</v>
      </c>
    </row>
    <row r="7514" customFormat="false" ht="12.8" hidden="false" customHeight="false" outlineLevel="0" collapsed="false">
      <c r="B7514" s="0" t="s">
        <v>3713</v>
      </c>
    </row>
    <row r="7515" customFormat="false" ht="12.8" hidden="false" customHeight="false" outlineLevel="0" collapsed="false">
      <c r="B7515" s="0" t="s">
        <v>52</v>
      </c>
    </row>
    <row r="7517" customFormat="false" ht="12.8" hidden="false" customHeight="false" outlineLevel="0" collapsed="false">
      <c r="A7517" s="0" t="s">
        <v>3712</v>
      </c>
      <c r="B7517" s="0" t="str">
        <f aca="false">HYPERLINK("https://lindat.mff.cuni.cz/services/teitok/pdtc10/index.php?action=vallex&amp;frame=v-w374f49_ZU", "dávat (v-w374f49_ZU) - substituted with v-w374f78_ZU")</f>
        <v>dávat (v-w374f49_ZU) - substituted with v-w374f78_ZU</v>
      </c>
    </row>
    <row r="7518" customFormat="false" ht="12.8" hidden="false" customHeight="false" outlineLevel="0" collapsed="false">
      <c r="B7518" s="0" t="s">
        <v>1</v>
      </c>
    </row>
    <row r="7519" customFormat="false" ht="12.8" hidden="false" customHeight="false" outlineLevel="0" collapsed="false">
      <c r="B7519" s="0" t="s">
        <v>3713</v>
      </c>
    </row>
    <row r="7520" customFormat="false" ht="12.8" hidden="false" customHeight="false" outlineLevel="0" collapsed="false">
      <c r="B7520" s="0" t="s">
        <v>52</v>
      </c>
    </row>
    <row r="7522" customFormat="false" ht="12.8" hidden="false" customHeight="false" outlineLevel="0" collapsed="false">
      <c r="A7522" s="0" t="s">
        <v>3712</v>
      </c>
      <c r="B7522" s="0" t="str">
        <f aca="false">HYPERLINK("https://lindat.mff.cuni.cz/services/teitok/pdtc10/index.php?action=vallex&amp;frame=v-w374f52_ZU", "dávat (v-w374f52_ZU) - substituted with v-w374f78_ZU")</f>
        <v>dávat (v-w374f52_ZU) - substituted with v-w374f78_ZU</v>
      </c>
    </row>
    <row r="7523" customFormat="false" ht="12.8" hidden="false" customHeight="false" outlineLevel="0" collapsed="false">
      <c r="B7523" s="0" t="s">
        <v>1</v>
      </c>
    </row>
    <row r="7524" customFormat="false" ht="12.8" hidden="false" customHeight="false" outlineLevel="0" collapsed="false">
      <c r="B7524" s="0" t="s">
        <v>3713</v>
      </c>
    </row>
    <row r="7525" customFormat="false" ht="12.8" hidden="false" customHeight="false" outlineLevel="0" collapsed="false">
      <c r="B7525" s="0" t="s">
        <v>52</v>
      </c>
    </row>
    <row r="7527" customFormat="false" ht="12.8" hidden="false" customHeight="false" outlineLevel="0" collapsed="false">
      <c r="A7527" s="0" t="s">
        <v>3712</v>
      </c>
      <c r="B7527" s="0" t="str">
        <f aca="false">HYPERLINK("https://lindat.mff.cuni.cz/services/teitok/pdtc10/index.php?action=vallex&amp;frame=v-w374f57_ZU", "dávat (v-w374f57_ZU) - substituted with v-w374f78_ZU")</f>
        <v>dávat (v-w374f57_ZU) - substituted with v-w374f78_ZU</v>
      </c>
    </row>
    <row r="7528" customFormat="false" ht="12.8" hidden="false" customHeight="false" outlineLevel="0" collapsed="false">
      <c r="B7528" s="0" t="s">
        <v>1</v>
      </c>
    </row>
    <row r="7529" customFormat="false" ht="12.8" hidden="false" customHeight="false" outlineLevel="0" collapsed="false">
      <c r="B7529" s="0" t="s">
        <v>3713</v>
      </c>
    </row>
    <row r="7530" customFormat="false" ht="12.8" hidden="false" customHeight="false" outlineLevel="0" collapsed="false">
      <c r="B7530" s="0" t="s">
        <v>52</v>
      </c>
    </row>
    <row r="7532" customFormat="false" ht="12.8" hidden="false" customHeight="false" outlineLevel="0" collapsed="false">
      <c r="A7532" s="0" t="s">
        <v>3712</v>
      </c>
      <c r="B7532" s="0" t="str">
        <f aca="false">HYPERLINK("https://lindat.mff.cuni.cz/services/teitok/pdtc10/index.php?action=vallex&amp;frame=v-w374f58_ZU", "dávat (v-w374f58_ZU) - substituted with v-w374f78_ZU")</f>
        <v>dávat (v-w374f58_ZU) - substituted with v-w374f78_ZU</v>
      </c>
    </row>
    <row r="7533" customFormat="false" ht="12.8" hidden="false" customHeight="false" outlineLevel="0" collapsed="false">
      <c r="B7533" s="0" t="s">
        <v>1</v>
      </c>
    </row>
    <row r="7534" customFormat="false" ht="12.8" hidden="false" customHeight="false" outlineLevel="0" collapsed="false">
      <c r="B7534" s="0" t="s">
        <v>3713</v>
      </c>
    </row>
    <row r="7535" customFormat="false" ht="12.8" hidden="false" customHeight="false" outlineLevel="0" collapsed="false">
      <c r="B7535" s="0" t="s">
        <v>52</v>
      </c>
    </row>
    <row r="7537" customFormat="false" ht="12.8" hidden="false" customHeight="false" outlineLevel="0" collapsed="false">
      <c r="A7537" s="0" t="s">
        <v>3712</v>
      </c>
      <c r="B7537" s="0" t="str">
        <f aca="false">HYPERLINK("https://lindat.mff.cuni.cz/services/teitok/pdtc10/index.php?action=vallex&amp;frame=v-w374f59_ZU", "dávat (v-w374f59_ZU) - substituted with v-w374f78_ZU")</f>
        <v>dávat (v-w374f59_ZU) - substituted with v-w374f78_ZU</v>
      </c>
    </row>
    <row r="7538" customFormat="false" ht="12.8" hidden="false" customHeight="false" outlineLevel="0" collapsed="false">
      <c r="B7538" s="0" t="s">
        <v>1</v>
      </c>
    </row>
    <row r="7539" customFormat="false" ht="12.8" hidden="false" customHeight="false" outlineLevel="0" collapsed="false">
      <c r="B7539" s="0" t="s">
        <v>3713</v>
      </c>
    </row>
    <row r="7540" customFormat="false" ht="12.8" hidden="false" customHeight="false" outlineLevel="0" collapsed="false">
      <c r="B7540" s="0" t="s">
        <v>52</v>
      </c>
    </row>
    <row r="7542" customFormat="false" ht="12.8" hidden="false" customHeight="false" outlineLevel="0" collapsed="false">
      <c r="A7542" s="0" t="s">
        <v>3712</v>
      </c>
      <c r="B7542" s="0" t="str">
        <f aca="false">HYPERLINK("https://lindat.mff.cuni.cz/services/teitok/pdtc10/index.php?action=vallex&amp;frame=v-w374f60_ZU", "dávat (v-w374f60_ZU) - substituted with v-w374f78_ZU")</f>
        <v>dávat (v-w374f60_ZU) - substituted with v-w374f78_ZU</v>
      </c>
    </row>
    <row r="7543" customFormat="false" ht="12.8" hidden="false" customHeight="false" outlineLevel="0" collapsed="false">
      <c r="B7543" s="0" t="s">
        <v>1</v>
      </c>
    </row>
    <row r="7544" customFormat="false" ht="12.8" hidden="false" customHeight="false" outlineLevel="0" collapsed="false">
      <c r="B7544" s="0" t="s">
        <v>3713</v>
      </c>
    </row>
    <row r="7545" customFormat="false" ht="12.8" hidden="false" customHeight="false" outlineLevel="0" collapsed="false">
      <c r="B7545" s="0" t="s">
        <v>52</v>
      </c>
    </row>
    <row r="7547" customFormat="false" ht="12.8" hidden="false" customHeight="false" outlineLevel="0" collapsed="false">
      <c r="A7547" s="0" t="s">
        <v>3712</v>
      </c>
      <c r="B7547" s="0" t="str">
        <f aca="false">HYPERLINK("https://lindat.mff.cuni.cz/services/teitok/pdtc10/index.php?action=vallex&amp;frame=v-w374f61_ZU", "dávat (v-w374f61_ZU) - substituted with v-w374f78_ZU")</f>
        <v>dávat (v-w374f61_ZU) - substituted with v-w374f78_ZU</v>
      </c>
    </row>
    <row r="7548" customFormat="false" ht="12.8" hidden="false" customHeight="false" outlineLevel="0" collapsed="false">
      <c r="B7548" s="0" t="s">
        <v>1</v>
      </c>
    </row>
    <row r="7549" customFormat="false" ht="12.8" hidden="false" customHeight="false" outlineLevel="0" collapsed="false">
      <c r="B7549" s="0" t="s">
        <v>3713</v>
      </c>
    </row>
    <row r="7550" customFormat="false" ht="12.8" hidden="false" customHeight="false" outlineLevel="0" collapsed="false">
      <c r="B7550" s="0" t="s">
        <v>52</v>
      </c>
    </row>
    <row r="7552" customFormat="false" ht="12.8" hidden="false" customHeight="false" outlineLevel="0" collapsed="false">
      <c r="A7552" s="0" t="s">
        <v>3712</v>
      </c>
      <c r="B7552" s="0" t="str">
        <f aca="false">HYPERLINK("https://lindat.mff.cuni.cz/services/teitok/pdtc10/index.php?action=vallex&amp;frame=v-w374f66_ZU", "dávat (v-w374f66_ZU) - substituted with v-w374f78_ZU")</f>
        <v>dávat (v-w374f66_ZU) - substituted with v-w374f78_ZU</v>
      </c>
    </row>
    <row r="7553" customFormat="false" ht="12.8" hidden="false" customHeight="false" outlineLevel="0" collapsed="false">
      <c r="B7553" s="0" t="s">
        <v>1</v>
      </c>
    </row>
    <row r="7554" customFormat="false" ht="12.8" hidden="false" customHeight="false" outlineLevel="0" collapsed="false">
      <c r="B7554" s="0" t="s">
        <v>3713</v>
      </c>
    </row>
    <row r="7555" customFormat="false" ht="12.8" hidden="false" customHeight="false" outlineLevel="0" collapsed="false">
      <c r="B7555" s="0" t="s">
        <v>52</v>
      </c>
    </row>
    <row r="7557" customFormat="false" ht="12.8" hidden="false" customHeight="false" outlineLevel="0" collapsed="false">
      <c r="A7557" s="0" t="s">
        <v>3712</v>
      </c>
      <c r="B7557" s="0" t="str">
        <f aca="false">HYPERLINK("https://lindat.mff.cuni.cz/services/teitok/pdtc10/index.php?action=vallex&amp;frame=v-w374f68_ZU", "dávat (v-w374f68_ZU) - substituted with v-w374f78_ZU")</f>
        <v>dávat (v-w374f68_ZU) - substituted with v-w374f78_ZU</v>
      </c>
      <c r="E7557" s="0" t="str">
        <f aca="false">HYPERLINK("https://lindat.mff.cuni.cz/services/SynSemClass40/SynSemClass40.html?veclass=vec00012#vec00012-ces-cm00076", "vec00012")</f>
        <v>vec00012</v>
      </c>
      <c r="F7557" s="0" t="s">
        <v>3078</v>
      </c>
      <c r="H7557" s="0" t="str">
        <f aca="false">HYPERLINK("https://lindat.mff.cuni.cz/services/SynSemClass40/SynSemClass40.html?veclass=vec01013#vec01013-ces-cm00026", "vec01013")</f>
        <v>vec01013</v>
      </c>
      <c r="I7557" s="0" t="s">
        <v>1981</v>
      </c>
      <c r="K7557" s="0" t="str">
        <f aca="false">HYPERLINK("https://lindat.mff.cuni.cz/services/SynSemClass40/SynSemClass40.html?veclass=vec01419#vec01419-ces-cm00007", "vec01419")</f>
        <v>vec01419</v>
      </c>
      <c r="L7557" s="0" t="s">
        <v>3428</v>
      </c>
    </row>
    <row r="7558" customFormat="false" ht="12.8" hidden="false" customHeight="false" outlineLevel="0" collapsed="false">
      <c r="B7558" s="0" t="s">
        <v>1</v>
      </c>
      <c r="C7558" s="0" t="s">
        <v>3714</v>
      </c>
      <c r="E7558" s="0" t="s">
        <v>206</v>
      </c>
      <c r="F7558" s="0" t="s">
        <v>3080</v>
      </c>
      <c r="H7558" s="0" t="s">
        <v>206</v>
      </c>
      <c r="I7558" s="0" t="s">
        <v>1982</v>
      </c>
      <c r="K7558" s="0" t="s">
        <v>206</v>
      </c>
      <c r="L7558" s="0" t="s">
        <v>3430</v>
      </c>
    </row>
    <row r="7559" customFormat="false" ht="12.8" hidden="false" customHeight="false" outlineLevel="0" collapsed="false">
      <c r="B7559" s="0" t="s">
        <v>3713</v>
      </c>
      <c r="C7559" s="0" t="s">
        <v>3715</v>
      </c>
      <c r="H7559" s="0" t="s">
        <v>3496</v>
      </c>
      <c r="I7559" s="0" t="s">
        <v>3497</v>
      </c>
      <c r="K7559" s="0" t="s">
        <v>3478</v>
      </c>
      <c r="L7559" s="0" t="s">
        <v>3479</v>
      </c>
    </row>
    <row r="7560" customFormat="false" ht="12.8" hidden="false" customHeight="false" outlineLevel="0" collapsed="false">
      <c r="B7560" s="0" t="s">
        <v>52</v>
      </c>
      <c r="C7560" s="0" t="s">
        <v>3716</v>
      </c>
      <c r="E7560" s="0" t="s">
        <v>2287</v>
      </c>
      <c r="F7560" s="0" t="s">
        <v>3086</v>
      </c>
      <c r="H7560" s="0" t="s">
        <v>564</v>
      </c>
      <c r="I7560" s="0" t="s">
        <v>1988</v>
      </c>
      <c r="K7560" s="0" t="s">
        <v>2287</v>
      </c>
      <c r="L7560" s="0" t="s">
        <v>3436</v>
      </c>
    </row>
    <row r="7562" customFormat="false" ht="12.8" hidden="false" customHeight="false" outlineLevel="0" collapsed="false">
      <c r="A7562" s="0" t="s">
        <v>3712</v>
      </c>
      <c r="B7562" s="0" t="str">
        <f aca="false">HYPERLINK("https://lindat.mff.cuni.cz/services/teitok/pdtc10/index.php?action=vallex&amp;frame=v-w374f71_ZU", "dávat (v-w374f71_ZU) - substituted with v-w374f78_ZU")</f>
        <v>dávat (v-w374f71_ZU) - substituted with v-w374f78_ZU</v>
      </c>
    </row>
    <row r="7563" customFormat="false" ht="12.8" hidden="false" customHeight="false" outlineLevel="0" collapsed="false">
      <c r="B7563" s="0" t="s">
        <v>1</v>
      </c>
    </row>
    <row r="7564" customFormat="false" ht="12.8" hidden="false" customHeight="false" outlineLevel="0" collapsed="false">
      <c r="B7564" s="0" t="s">
        <v>3713</v>
      </c>
    </row>
    <row r="7565" customFormat="false" ht="12.8" hidden="false" customHeight="false" outlineLevel="0" collapsed="false">
      <c r="B7565" s="0" t="s">
        <v>52</v>
      </c>
    </row>
    <row r="7567" customFormat="false" ht="12.8" hidden="false" customHeight="false" outlineLevel="0" collapsed="false">
      <c r="A7567" s="0" t="s">
        <v>3712</v>
      </c>
      <c r="B7567" s="0" t="str">
        <f aca="false">HYPERLINK("https://lindat.mff.cuni.cz/services/teitok/pdtc10/index.php?action=vallex&amp;frame=v-w374hsa_12", "dávat (v-w374hsa_12) - substituted with v-w374f78_ZU")</f>
        <v>dávat (v-w374hsa_12) - substituted with v-w374f78_ZU</v>
      </c>
    </row>
    <row r="7568" customFormat="false" ht="12.8" hidden="false" customHeight="false" outlineLevel="0" collapsed="false">
      <c r="B7568" s="0" t="s">
        <v>1</v>
      </c>
    </row>
    <row r="7569" customFormat="false" ht="12.8" hidden="false" customHeight="false" outlineLevel="0" collapsed="false">
      <c r="B7569" s="0" t="s">
        <v>3713</v>
      </c>
    </row>
    <row r="7570" customFormat="false" ht="12.8" hidden="false" customHeight="false" outlineLevel="0" collapsed="false">
      <c r="B7570" s="0" t="s">
        <v>52</v>
      </c>
    </row>
    <row r="7572" customFormat="false" ht="12.8" hidden="false" customHeight="false" outlineLevel="0" collapsed="false">
      <c r="A7572" s="0" t="s">
        <v>3712</v>
      </c>
      <c r="B7572" s="0" t="str">
        <f aca="false">HYPERLINK("https://lindat.mff.cuni.cz/services/teitok/pdtc10/index.php?action=vallex&amp;frame=v-w374hsa_13", "dávat (v-w374hsa_13) - substituted with v-w374f78_ZU")</f>
        <v>dávat (v-w374hsa_13) - substituted with v-w374f78_ZU</v>
      </c>
    </row>
    <row r="7573" customFormat="false" ht="12.8" hidden="false" customHeight="false" outlineLevel="0" collapsed="false">
      <c r="B7573" s="0" t="s">
        <v>1</v>
      </c>
    </row>
    <row r="7574" customFormat="false" ht="12.8" hidden="false" customHeight="false" outlineLevel="0" collapsed="false">
      <c r="B7574" s="0" t="s">
        <v>3713</v>
      </c>
    </row>
    <row r="7575" customFormat="false" ht="12.8" hidden="false" customHeight="false" outlineLevel="0" collapsed="false">
      <c r="B7575" s="0" t="s">
        <v>52</v>
      </c>
    </row>
    <row r="7577" customFormat="false" ht="12.8" hidden="false" customHeight="false" outlineLevel="0" collapsed="false">
      <c r="A7577" s="0" t="s">
        <v>3712</v>
      </c>
      <c r="B7577" s="0" t="str">
        <f aca="false">HYPERLINK("https://lindat.mff.cuni.cz/services/teitok/pdtc10/index.php?action=vallex&amp;frame=v-w374hsa_20", "dávat (v-w374hsa_20) - substituted with v-w374f78_ZU")</f>
        <v>dávat (v-w374hsa_20) - substituted with v-w374f78_ZU</v>
      </c>
    </row>
    <row r="7578" customFormat="false" ht="12.8" hidden="false" customHeight="false" outlineLevel="0" collapsed="false">
      <c r="B7578" s="0" t="s">
        <v>1</v>
      </c>
    </row>
    <row r="7579" customFormat="false" ht="12.8" hidden="false" customHeight="false" outlineLevel="0" collapsed="false">
      <c r="B7579" s="0" t="s">
        <v>3713</v>
      </c>
    </row>
    <row r="7580" customFormat="false" ht="12.8" hidden="false" customHeight="false" outlineLevel="0" collapsed="false">
      <c r="B7580" s="0" t="s">
        <v>52</v>
      </c>
    </row>
    <row r="7582" customFormat="false" ht="12.8" hidden="false" customHeight="false" outlineLevel="0" collapsed="false">
      <c r="A7582" s="0" t="s">
        <v>3717</v>
      </c>
      <c r="B7582" s="0" t="str">
        <f aca="false">HYPERLINK("https://lindat.mff.cuni.cz/services/teitok/pdtc10/index.php?action=vallex&amp;frame=v-w374f47_ZU", "dávat (v-w374f47_ZU)")</f>
        <v>dávat (v-w374f47_ZU)</v>
      </c>
      <c r="E7582" s="0" t="str">
        <f aca="false">HYPERLINK("https://lindat.mff.cuni.cz/services/SynSemClass40/SynSemClass40.html?veclass=vec00470#vec00470-ces-cm00054", "vec00470")</f>
        <v>vec00470</v>
      </c>
      <c r="F7582" s="0" t="s">
        <v>1744</v>
      </c>
    </row>
    <row r="7583" customFormat="false" ht="12.8" hidden="false" customHeight="false" outlineLevel="0" collapsed="false">
      <c r="B7583" s="0" t="s">
        <v>1</v>
      </c>
      <c r="C7583" s="0" t="s">
        <v>3718</v>
      </c>
      <c r="E7583" s="0" t="s">
        <v>3719</v>
      </c>
      <c r="F7583" s="0" t="s">
        <v>3720</v>
      </c>
    </row>
    <row r="7584" customFormat="false" ht="12.8" hidden="false" customHeight="false" outlineLevel="0" collapsed="false">
      <c r="B7584" s="0" t="s">
        <v>3721</v>
      </c>
    </row>
    <row r="7585" customFormat="false" ht="12.8" hidden="false" customHeight="false" outlineLevel="0" collapsed="false">
      <c r="B7585" s="0" t="s">
        <v>52</v>
      </c>
      <c r="C7585" s="0" t="s">
        <v>3722</v>
      </c>
      <c r="E7585" s="0" t="s">
        <v>3723</v>
      </c>
      <c r="F7585" s="0" t="s">
        <v>3724</v>
      </c>
    </row>
    <row r="7587" customFormat="false" ht="12.8" hidden="false" customHeight="false" outlineLevel="0" collapsed="false">
      <c r="A7587" s="0" t="s">
        <v>3725</v>
      </c>
      <c r="B7587" s="0" t="str">
        <f aca="false">HYPERLINK("https://lindat.mff.cuni.cz/services/teitok/pdtc10/index.php?action=vallex&amp;frame=v-w374f42_ZU", "dávat (v-w374f42_ZU)")</f>
        <v>dávat (v-w374f42_ZU)</v>
      </c>
      <c r="E7587" s="0" t="str">
        <f aca="false">HYPERLINK("https://lindat.mff.cuni.cz/services/SynSemClass40/SynSemClass40.html?veclass=vec00511#vec00511-ces-cm00043", "vec00511")</f>
        <v>vec00511</v>
      </c>
      <c r="F7587" s="0" t="s">
        <v>3726</v>
      </c>
    </row>
    <row r="7588" customFormat="false" ht="12.8" hidden="false" customHeight="false" outlineLevel="0" collapsed="false">
      <c r="B7588" s="0" t="s">
        <v>1</v>
      </c>
      <c r="C7588" s="0" t="s">
        <v>3727</v>
      </c>
      <c r="E7588" s="0" t="s">
        <v>206</v>
      </c>
      <c r="F7588" s="0" t="s">
        <v>3728</v>
      </c>
    </row>
    <row r="7589" customFormat="false" ht="12.8" hidden="false" customHeight="false" outlineLevel="0" collapsed="false">
      <c r="B7589" s="0" t="s">
        <v>3729</v>
      </c>
      <c r="C7589" s="0" t="s">
        <v>3730</v>
      </c>
      <c r="E7589" s="0" t="s">
        <v>3731</v>
      </c>
      <c r="F7589" s="0" t="s">
        <v>3732</v>
      </c>
    </row>
    <row r="7590" customFormat="false" ht="12.8" hidden="false" customHeight="false" outlineLevel="0" collapsed="false">
      <c r="B7590" s="0" t="s">
        <v>52</v>
      </c>
      <c r="C7590" s="0" t="s">
        <v>3733</v>
      </c>
      <c r="E7590" s="0" t="s">
        <v>3734</v>
      </c>
      <c r="F7590" s="0" t="s">
        <v>3735</v>
      </c>
    </row>
    <row r="7592" customFormat="false" ht="12.8" hidden="false" customHeight="false" outlineLevel="0" collapsed="false">
      <c r="A7592" s="0" t="s">
        <v>3736</v>
      </c>
      <c r="B7592" s="0" t="str">
        <f aca="false">HYPERLINK("https://lindat.mff.cuni.cz/services/teitok/pdtc10/index.php?action=vallex&amp;frame=v-w374f32", "dávat (v-w374f32)")</f>
        <v>dávat (v-w374f32)</v>
      </c>
    </row>
    <row r="7593" customFormat="false" ht="12.8" hidden="false" customHeight="false" outlineLevel="0" collapsed="false">
      <c r="B7593" s="0" t="s">
        <v>1</v>
      </c>
    </row>
    <row r="7594" customFormat="false" ht="12.8" hidden="false" customHeight="false" outlineLevel="0" collapsed="false">
      <c r="B7594" s="0" t="s">
        <v>3517</v>
      </c>
    </row>
    <row r="7595" customFormat="false" ht="12.8" hidden="false" customHeight="false" outlineLevel="0" collapsed="false">
      <c r="B7595" s="0" t="s">
        <v>5</v>
      </c>
    </row>
    <row r="7597" customFormat="false" ht="12.8" hidden="false" customHeight="false" outlineLevel="0" collapsed="false">
      <c r="A7597" s="0" t="s">
        <v>3737</v>
      </c>
      <c r="B7597" s="0" t="str">
        <f aca="false">HYPERLINK("https://lindat.mff.cuni.cz/services/teitok/pdtc10/index.php?action=vallex&amp;frame=v-w374f33", "dávat (v-w374f33)")</f>
        <v>dávat (v-w374f33)</v>
      </c>
    </row>
    <row r="7598" customFormat="false" ht="12.8" hidden="false" customHeight="false" outlineLevel="0" collapsed="false">
      <c r="B7598" s="0" t="s">
        <v>1</v>
      </c>
    </row>
    <row r="7599" customFormat="false" ht="12.8" hidden="false" customHeight="false" outlineLevel="0" collapsed="false">
      <c r="B7599" s="0" t="s">
        <v>3517</v>
      </c>
    </row>
    <row r="7600" customFormat="false" ht="12.8" hidden="false" customHeight="false" outlineLevel="0" collapsed="false">
      <c r="B7600" s="0" t="s">
        <v>164</v>
      </c>
    </row>
    <row r="7602" customFormat="false" ht="12.8" hidden="false" customHeight="false" outlineLevel="0" collapsed="false">
      <c r="A7602" s="0" t="s">
        <v>3738</v>
      </c>
      <c r="B7602" s="0" t="str">
        <f aca="false">HYPERLINK("https://lindat.mff.cuni.cz/services/teitok/pdtc10/index.php?action=vallex&amp;frame=v-w374f19", "dávat (v-w374f19)")</f>
        <v>dávat (v-w374f19)</v>
      </c>
    </row>
    <row r="7603" customFormat="false" ht="12.8" hidden="false" customHeight="false" outlineLevel="0" collapsed="false">
      <c r="B7603" s="0" t="s">
        <v>1</v>
      </c>
    </row>
    <row r="7604" customFormat="false" ht="12.8" hidden="false" customHeight="false" outlineLevel="0" collapsed="false">
      <c r="B7604" s="0" t="s">
        <v>3521</v>
      </c>
    </row>
    <row r="7606" customFormat="false" ht="12.8" hidden="false" customHeight="false" outlineLevel="0" collapsed="false">
      <c r="A7606" s="0" t="s">
        <v>3739</v>
      </c>
      <c r="B7606" s="0" t="str">
        <f aca="false">HYPERLINK("https://lindat.mff.cuni.cz/services/teitok/pdtc10/index.php?action=vallex&amp;frame=v-w374f24", "dávat (v-w374f24)")</f>
        <v>dávat (v-w374f24)</v>
      </c>
      <c r="E7606" s="0" t="str">
        <f aca="false">HYPERLINK("https://lindat.mff.cuni.cz/services/SynSemClass40/SynSemClass40.html?veclass=vec00033#vec00033-ces-cm00235", "vec00033")</f>
        <v>vec00033</v>
      </c>
      <c r="F7606" s="0" t="s">
        <v>3408</v>
      </c>
      <c r="H7606" s="0" t="str">
        <f aca="false">HYPERLINK("https://lindat.mff.cuni.cz/services/SynSemClass40/SynSemClass40.html?veclass=vec00074#vec00074-ces-cm00333", "vec00074")</f>
        <v>vec00074</v>
      </c>
      <c r="I7606" s="0" t="s">
        <v>1782</v>
      </c>
    </row>
    <row r="7607" customFormat="false" ht="12.8" hidden="false" customHeight="false" outlineLevel="0" collapsed="false">
      <c r="B7607" s="0" t="s">
        <v>1</v>
      </c>
      <c r="C7607" s="0" t="s">
        <v>3740</v>
      </c>
      <c r="E7607" s="0" t="s">
        <v>3410</v>
      </c>
      <c r="F7607" s="0" t="s">
        <v>3411</v>
      </c>
      <c r="H7607" s="0" t="s">
        <v>1784</v>
      </c>
      <c r="I7607" s="0" t="s">
        <v>1785</v>
      </c>
    </row>
    <row r="7608" customFormat="false" ht="12.8" hidden="false" customHeight="false" outlineLevel="0" collapsed="false">
      <c r="B7608" s="0" t="s">
        <v>960</v>
      </c>
    </row>
    <row r="7609" customFormat="false" ht="12.8" hidden="false" customHeight="false" outlineLevel="0" collapsed="false">
      <c r="B7609" s="0" t="s">
        <v>8</v>
      </c>
      <c r="C7609" s="0" t="s">
        <v>3741</v>
      </c>
      <c r="E7609" s="0" t="s">
        <v>3413</v>
      </c>
      <c r="F7609" s="0" t="s">
        <v>3414</v>
      </c>
      <c r="H7609" s="0" t="s">
        <v>1787</v>
      </c>
      <c r="I7609" s="0" t="s">
        <v>1788</v>
      </c>
    </row>
    <row r="7610" customFormat="false" ht="12.8" hidden="false" customHeight="false" outlineLevel="0" collapsed="false">
      <c r="B7610" s="0" t="s">
        <v>52</v>
      </c>
      <c r="C7610" s="0" t="s">
        <v>3742</v>
      </c>
      <c r="E7610" s="0" t="s">
        <v>53</v>
      </c>
      <c r="F7610" s="0" t="s">
        <v>3416</v>
      </c>
      <c r="H7610" s="0" t="s">
        <v>53</v>
      </c>
      <c r="I7610" s="0" t="s">
        <v>1790</v>
      </c>
    </row>
    <row r="7612" customFormat="false" ht="12.8" hidden="false" customHeight="false" outlineLevel="0" collapsed="false">
      <c r="A7612" s="0" t="s">
        <v>3743</v>
      </c>
      <c r="B7612" s="0" t="str">
        <f aca="false">HYPERLINK("https://lindat.mff.cuni.cz/services/teitok/pdtc10/index.php?action=vallex&amp;frame=v-w374f20", "dávat (v-w374f20)")</f>
        <v>dávat (v-w374f20)</v>
      </c>
    </row>
    <row r="7613" customFormat="false" ht="12.8" hidden="false" customHeight="false" outlineLevel="0" collapsed="false">
      <c r="B7613" s="0" t="s">
        <v>1</v>
      </c>
    </row>
    <row r="7614" customFormat="false" ht="12.8" hidden="false" customHeight="false" outlineLevel="0" collapsed="false">
      <c r="B7614" s="0" t="s">
        <v>3527</v>
      </c>
    </row>
    <row r="7615" customFormat="false" ht="12.8" hidden="false" customHeight="false" outlineLevel="0" collapsed="false">
      <c r="B7615" s="0" t="s">
        <v>59</v>
      </c>
    </row>
    <row r="7616" customFormat="false" ht="12.8" hidden="false" customHeight="false" outlineLevel="0" collapsed="false">
      <c r="B7616" s="0" t="s">
        <v>52</v>
      </c>
    </row>
    <row r="7618" customFormat="false" ht="12.8" hidden="false" customHeight="false" outlineLevel="0" collapsed="false">
      <c r="A7618" s="0" t="s">
        <v>3744</v>
      </c>
      <c r="B7618" s="0" t="str">
        <f aca="false">HYPERLINK("https://lindat.mff.cuni.cz/services/teitok/pdtc10/index.php?action=vallex&amp;frame=v-w374f14", "dávat (v-w374f14)")</f>
        <v>dávat (v-w374f14)</v>
      </c>
    </row>
    <row r="7619" customFormat="false" ht="12.8" hidden="false" customHeight="false" outlineLevel="0" collapsed="false">
      <c r="B7619" s="0" t="s">
        <v>1</v>
      </c>
    </row>
    <row r="7620" customFormat="false" ht="12.8" hidden="false" customHeight="false" outlineLevel="0" collapsed="false">
      <c r="B7620" s="0" t="s">
        <v>682</v>
      </c>
    </row>
    <row r="7621" customFormat="false" ht="12.8" hidden="false" customHeight="false" outlineLevel="0" collapsed="false">
      <c r="B7621" s="0" t="s">
        <v>59</v>
      </c>
    </row>
    <row r="7622" customFormat="false" ht="12.8" hidden="false" customHeight="false" outlineLevel="0" collapsed="false">
      <c r="B7622" s="0" t="s">
        <v>52</v>
      </c>
    </row>
    <row r="7624" customFormat="false" ht="12.8" hidden="false" customHeight="false" outlineLevel="0" collapsed="false">
      <c r="A7624" s="0" t="s">
        <v>3745</v>
      </c>
      <c r="B7624" s="0" t="str">
        <f aca="false">HYPERLINK("https://lindat.mff.cuni.cz/services/teitok/pdtc10/index.php?action=vallex&amp;frame=v-w374f6", "dávat (v-w374f6)")</f>
        <v>dávat (v-w374f6)</v>
      </c>
      <c r="E7624" s="0" t="str">
        <f aca="false">HYPERLINK("https://lindat.mff.cuni.cz/services/SynSemClass40/SynSemClass40.html?veclass=vec00060#vec00060-ces-cm00432", "vec00060")</f>
        <v>vec00060</v>
      </c>
      <c r="F7624" s="0" t="s">
        <v>213</v>
      </c>
    </row>
    <row r="7625" customFormat="false" ht="12.8" hidden="false" customHeight="false" outlineLevel="0" collapsed="false">
      <c r="B7625" s="0" t="s">
        <v>1</v>
      </c>
      <c r="C7625" s="0" t="s">
        <v>214</v>
      </c>
      <c r="E7625" s="0" t="s">
        <v>147</v>
      </c>
      <c r="F7625" s="0" t="s">
        <v>215</v>
      </c>
    </row>
    <row r="7626" customFormat="false" ht="12.8" hidden="false" customHeight="false" outlineLevel="0" collapsed="false">
      <c r="B7626" s="0" t="s">
        <v>3531</v>
      </c>
    </row>
    <row r="7627" customFormat="false" ht="12.8" hidden="false" customHeight="false" outlineLevel="0" collapsed="false">
      <c r="B7627" s="0" t="s">
        <v>3532</v>
      </c>
      <c r="C7627" s="0" t="s">
        <v>217</v>
      </c>
      <c r="E7627" s="0" t="s">
        <v>218</v>
      </c>
      <c r="F7627" s="0" t="s">
        <v>219</v>
      </c>
    </row>
    <row r="7628" customFormat="false" ht="12.8" hidden="false" customHeight="false" outlineLevel="0" collapsed="false">
      <c r="B7628" s="0" t="s">
        <v>52</v>
      </c>
      <c r="C7628" s="0" t="s">
        <v>220</v>
      </c>
      <c r="E7628" s="0" t="s">
        <v>221</v>
      </c>
      <c r="F7628" s="0" t="s">
        <v>222</v>
      </c>
    </row>
    <row r="7630" customFormat="false" ht="12.8" hidden="false" customHeight="false" outlineLevel="0" collapsed="false">
      <c r="A7630" s="0" t="s">
        <v>3746</v>
      </c>
      <c r="B7630" s="0" t="str">
        <f aca="false">HYPERLINK("https://lindat.mff.cuni.cz/services/teitok/pdtc10/index.php?action=vallex&amp;frame=v-w374f25", "dávat (v-w374f25)")</f>
        <v>dávat (v-w374f25)</v>
      </c>
    </row>
    <row r="7631" customFormat="false" ht="12.8" hidden="false" customHeight="false" outlineLevel="0" collapsed="false">
      <c r="B7631" s="0" t="s">
        <v>1</v>
      </c>
    </row>
    <row r="7632" customFormat="false" ht="12.8" hidden="false" customHeight="false" outlineLevel="0" collapsed="false">
      <c r="B7632" s="0" t="s">
        <v>3571</v>
      </c>
    </row>
    <row r="7633" customFormat="false" ht="12.8" hidden="false" customHeight="false" outlineLevel="0" collapsed="false">
      <c r="B7633" s="0" t="s">
        <v>318</v>
      </c>
    </row>
    <row r="7634" customFormat="false" ht="12.8" hidden="false" customHeight="false" outlineLevel="0" collapsed="false">
      <c r="B7634" s="0" t="s">
        <v>52</v>
      </c>
    </row>
    <row r="7636" customFormat="false" ht="12.8" hidden="false" customHeight="false" outlineLevel="0" collapsed="false">
      <c r="A7636" s="0" t="s">
        <v>3747</v>
      </c>
      <c r="B7636" s="0" t="str">
        <f aca="false">HYPERLINK("https://lindat.mff.cuni.cz/services/teitok/pdtc10/index.php?action=vallex&amp;frame=v-w374f46_ZU", "dávat (v-w374f46_ZU)")</f>
        <v>dávat (v-w374f46_ZU)</v>
      </c>
      <c r="E7636" s="0" t="str">
        <f aca="false">HYPERLINK("https://lindat.mff.cuni.cz/services/SynSemClass40/SynSemClass40.html?veclass=vec00347#vec00347-ces-cm00002", "vec00347")</f>
        <v>vec00347</v>
      </c>
      <c r="F7636" s="0" t="s">
        <v>3748</v>
      </c>
    </row>
    <row r="7637" customFormat="false" ht="12.8" hidden="false" customHeight="false" outlineLevel="0" collapsed="false">
      <c r="B7637" s="0" t="s">
        <v>1</v>
      </c>
      <c r="C7637" s="0" t="s">
        <v>3749</v>
      </c>
      <c r="E7637" s="0" t="s">
        <v>3750</v>
      </c>
      <c r="F7637" s="0" t="s">
        <v>3751</v>
      </c>
    </row>
    <row r="7638" customFormat="false" ht="12.8" hidden="false" customHeight="false" outlineLevel="0" collapsed="false">
      <c r="B7638" s="0" t="s">
        <v>3752</v>
      </c>
    </row>
    <row r="7639" customFormat="false" ht="12.8" hidden="false" customHeight="false" outlineLevel="0" collapsed="false">
      <c r="B7639" s="0" t="s">
        <v>59</v>
      </c>
      <c r="C7639" s="0" t="s">
        <v>3753</v>
      </c>
      <c r="E7639" s="0" t="s">
        <v>2568</v>
      </c>
      <c r="F7639" s="0" t="s">
        <v>3754</v>
      </c>
    </row>
    <row r="7640" customFormat="false" ht="12.8" hidden="false" customHeight="false" outlineLevel="0" collapsed="false">
      <c r="B7640" s="0" t="s">
        <v>52</v>
      </c>
      <c r="C7640" s="0" t="s">
        <v>3755</v>
      </c>
      <c r="E7640" s="0" t="s">
        <v>3756</v>
      </c>
      <c r="F7640" s="0" t="s">
        <v>3757</v>
      </c>
    </row>
    <row r="7642" customFormat="false" ht="12.8" hidden="false" customHeight="false" outlineLevel="0" collapsed="false">
      <c r="A7642" s="0" t="s">
        <v>3758</v>
      </c>
      <c r="B7642" s="0" t="str">
        <f aca="false">HYPERLINK("https://lindat.mff.cuni.cz/services/teitok/pdtc10/index.php?action=vallex&amp;frame=v-w374f22", "dávat (v-w374f22)")</f>
        <v>dávat (v-w374f22)</v>
      </c>
      <c r="E7642" s="0" t="str">
        <f aca="false">HYPERLINK("https://lindat.mff.cuni.cz/services/SynSemClass40/SynSemClass40.html?veclass=vec00443#vec00443-ces-cm00021", "vec00443")</f>
        <v>vec00443</v>
      </c>
      <c r="F7642" s="0" t="s">
        <v>90</v>
      </c>
    </row>
    <row r="7643" customFormat="false" ht="12.8" hidden="false" customHeight="false" outlineLevel="0" collapsed="false">
      <c r="B7643" s="0" t="s">
        <v>1</v>
      </c>
      <c r="C7643" s="0" t="s">
        <v>91</v>
      </c>
      <c r="E7643" s="0" t="s">
        <v>92</v>
      </c>
      <c r="F7643" s="0" t="s">
        <v>93</v>
      </c>
    </row>
    <row r="7644" customFormat="false" ht="12.8" hidden="false" customHeight="false" outlineLevel="0" collapsed="false">
      <c r="B7644" s="0" t="s">
        <v>3539</v>
      </c>
    </row>
    <row r="7645" customFormat="false" ht="12.8" hidden="false" customHeight="false" outlineLevel="0" collapsed="false">
      <c r="B7645" s="0" t="s">
        <v>8</v>
      </c>
      <c r="C7645" s="0" t="s">
        <v>94</v>
      </c>
      <c r="E7645" s="0" t="s">
        <v>95</v>
      </c>
      <c r="F7645" s="0" t="s">
        <v>96</v>
      </c>
    </row>
    <row r="7647" customFormat="false" ht="12.8" hidden="false" customHeight="false" outlineLevel="0" collapsed="false">
      <c r="A7647" s="0" t="s">
        <v>3759</v>
      </c>
      <c r="B7647" s="0" t="str">
        <f aca="false">HYPERLINK("https://lindat.mff.cuni.cz/services/teitok/pdtc10/index.php?action=vallex&amp;frame=v-w374f64_ZU", "dávat (v-w374f64_ZU)")</f>
        <v>dávat (v-w374f64_ZU)</v>
      </c>
      <c r="E7647" s="0" t="str">
        <f aca="false">HYPERLINK("https://lindat.mff.cuni.cz/services/SynSemClass40/SynSemClass40.html?veclass=vec01207#vec01207-ces-cm00004", "vec01207")</f>
        <v>vec01207</v>
      </c>
      <c r="F7647" s="0" t="s">
        <v>3541</v>
      </c>
    </row>
    <row r="7648" customFormat="false" ht="12.8" hidden="false" customHeight="false" outlineLevel="0" collapsed="false">
      <c r="B7648" s="0" t="s">
        <v>1</v>
      </c>
      <c r="C7648" s="0" t="s">
        <v>239</v>
      </c>
      <c r="E7648" s="0" t="s">
        <v>621</v>
      </c>
      <c r="F7648" s="0" t="s">
        <v>3542</v>
      </c>
    </row>
    <row r="7649" customFormat="false" ht="12.8" hidden="false" customHeight="false" outlineLevel="0" collapsed="false">
      <c r="B7649" s="0" t="s">
        <v>3543</v>
      </c>
    </row>
    <row r="7650" customFormat="false" ht="12.8" hidden="false" customHeight="false" outlineLevel="0" collapsed="false">
      <c r="B7650" s="0" t="s">
        <v>3760</v>
      </c>
      <c r="C7650" s="0" t="s">
        <v>3545</v>
      </c>
      <c r="E7650" s="0" t="s">
        <v>532</v>
      </c>
      <c r="F7650" s="0" t="s">
        <v>3546</v>
      </c>
    </row>
    <row r="7652" customFormat="false" ht="12.8" hidden="false" customHeight="false" outlineLevel="0" collapsed="false">
      <c r="A7652" s="0" t="s">
        <v>3759</v>
      </c>
      <c r="B7652" s="0" t="str">
        <f aca="false">HYPERLINK("https://lindat.mff.cuni.cz/services/teitok/pdtc10/index.php?action=vallex&amp;frame=v-w374f13", "dávat (v-w374f13) - substituted with v-w374f64_ZU")</f>
        <v>dávat (v-w374f13) - substituted with v-w374f64_ZU</v>
      </c>
    </row>
    <row r="7653" customFormat="false" ht="12.8" hidden="false" customHeight="false" outlineLevel="0" collapsed="false">
      <c r="B7653" s="0" t="s">
        <v>1</v>
      </c>
    </row>
    <row r="7654" customFormat="false" ht="12.8" hidden="false" customHeight="false" outlineLevel="0" collapsed="false">
      <c r="B7654" s="0" t="s">
        <v>3543</v>
      </c>
    </row>
    <row r="7655" customFormat="false" ht="12.8" hidden="false" customHeight="false" outlineLevel="0" collapsed="false">
      <c r="B7655" s="0" t="s">
        <v>3760</v>
      </c>
    </row>
    <row r="7657" customFormat="false" ht="12.8" hidden="false" customHeight="false" outlineLevel="0" collapsed="false">
      <c r="A7657" s="0" t="s">
        <v>3759</v>
      </c>
      <c r="B7657" s="0" t="str">
        <f aca="false">HYPERLINK("https://lindat.mff.cuni.cz/services/teitok/pdtc10/index.php?action=vallex&amp;frame=v-w374f63_ZU", "dávat (v-w374f63_ZU) - substituted with v-w374f64_ZU")</f>
        <v>dávat (v-w374f63_ZU) - substituted with v-w374f64_ZU</v>
      </c>
    </row>
    <row r="7658" customFormat="false" ht="12.8" hidden="false" customHeight="false" outlineLevel="0" collapsed="false">
      <c r="B7658" s="0" t="s">
        <v>1</v>
      </c>
    </row>
    <row r="7659" customFormat="false" ht="12.8" hidden="false" customHeight="false" outlineLevel="0" collapsed="false">
      <c r="B7659" s="0" t="s">
        <v>3543</v>
      </c>
    </row>
    <row r="7660" customFormat="false" ht="12.8" hidden="false" customHeight="false" outlineLevel="0" collapsed="false">
      <c r="B7660" s="0" t="s">
        <v>3760</v>
      </c>
    </row>
    <row r="7662" customFormat="false" ht="12.8" hidden="false" customHeight="false" outlineLevel="0" collapsed="false">
      <c r="A7662" s="0" t="s">
        <v>3761</v>
      </c>
      <c r="B7662" s="0" t="str">
        <f aca="false">HYPERLINK("https://lindat.mff.cuni.cz/services/teitok/pdtc10/index.php?action=vallex&amp;frame=v-w374f39", "dávat (v-w374f39)")</f>
        <v>dávat (v-w374f39)</v>
      </c>
    </row>
    <row r="7663" customFormat="false" ht="12.8" hidden="false" customHeight="false" outlineLevel="0" collapsed="false">
      <c r="B7663" s="0" t="s">
        <v>1</v>
      </c>
    </row>
    <row r="7664" customFormat="false" ht="12.8" hidden="false" customHeight="false" outlineLevel="0" collapsed="false">
      <c r="B7664" s="0" t="s">
        <v>3762</v>
      </c>
    </row>
    <row r="7665" customFormat="false" ht="12.8" hidden="false" customHeight="false" outlineLevel="0" collapsed="false">
      <c r="B7665" s="0" t="s">
        <v>186</v>
      </c>
    </row>
    <row r="7667" customFormat="false" ht="12.8" hidden="false" customHeight="false" outlineLevel="0" collapsed="false">
      <c r="A7667" s="0" t="s">
        <v>3763</v>
      </c>
      <c r="B7667" s="0" t="str">
        <f aca="false">HYPERLINK("https://lindat.mff.cuni.cz/services/teitok/pdtc10/index.php?action=vallex&amp;frame=v-w374f21", "dávat (v-w374f21)")</f>
        <v>dávat (v-w374f21)</v>
      </c>
    </row>
    <row r="7668" customFormat="false" ht="12.8" hidden="false" customHeight="false" outlineLevel="0" collapsed="false">
      <c r="B7668" s="0" t="s">
        <v>1</v>
      </c>
    </row>
    <row r="7669" customFormat="false" ht="12.8" hidden="false" customHeight="false" outlineLevel="0" collapsed="false">
      <c r="B7669" s="0" t="s">
        <v>3764</v>
      </c>
    </row>
    <row r="7670" customFormat="false" ht="12.8" hidden="false" customHeight="false" outlineLevel="0" collapsed="false">
      <c r="B7670" s="0" t="s">
        <v>186</v>
      </c>
    </row>
    <row r="7672" customFormat="false" ht="12.8" hidden="false" customHeight="false" outlineLevel="0" collapsed="false">
      <c r="A7672" s="0" t="s">
        <v>3765</v>
      </c>
      <c r="B7672" s="0" t="str">
        <f aca="false">HYPERLINK("https://lindat.mff.cuni.cz/services/teitok/pdtc10/index.php?action=vallex&amp;frame=v-w374f26", "dávat (v-w374f26)")</f>
        <v>dávat (v-w374f26)</v>
      </c>
    </row>
    <row r="7673" customFormat="false" ht="12.8" hidden="false" customHeight="false" outlineLevel="0" collapsed="false">
      <c r="B7673" s="0" t="s">
        <v>1</v>
      </c>
    </row>
    <row r="7674" customFormat="false" ht="12.8" hidden="false" customHeight="false" outlineLevel="0" collapsed="false">
      <c r="B7674" s="0" t="s">
        <v>3766</v>
      </c>
    </row>
    <row r="7675" customFormat="false" ht="12.8" hidden="false" customHeight="false" outlineLevel="0" collapsed="false">
      <c r="B7675" s="0" t="s">
        <v>186</v>
      </c>
    </row>
    <row r="7677" customFormat="false" ht="12.8" hidden="false" customHeight="false" outlineLevel="0" collapsed="false">
      <c r="A7677" s="0" t="s">
        <v>3767</v>
      </c>
      <c r="B7677" s="0" t="str">
        <f aca="false">HYPERLINK("https://lindat.mff.cuni.cz/services/teitok/pdtc10/index.php?action=vallex&amp;frame=v-w374f45_ZU", "dávat (v-w374f45_ZU)")</f>
        <v>dávat (v-w374f45_ZU)</v>
      </c>
    </row>
    <row r="7678" customFormat="false" ht="12.8" hidden="false" customHeight="false" outlineLevel="0" collapsed="false">
      <c r="B7678" s="0" t="s">
        <v>1</v>
      </c>
    </row>
    <row r="7679" customFormat="false" ht="12.8" hidden="false" customHeight="false" outlineLevel="0" collapsed="false">
      <c r="B7679" s="0" t="s">
        <v>2856</v>
      </c>
    </row>
    <row r="7680" customFormat="false" ht="12.8" hidden="false" customHeight="false" outlineLevel="0" collapsed="false">
      <c r="B7680" s="0" t="s">
        <v>186</v>
      </c>
    </row>
    <row r="7682" customFormat="false" ht="12.8" hidden="false" customHeight="false" outlineLevel="0" collapsed="false">
      <c r="A7682" s="0" t="s">
        <v>3768</v>
      </c>
      <c r="B7682" s="0" t="str">
        <f aca="false">HYPERLINK("https://lindat.mff.cuni.cz/services/teitok/pdtc10/index.php?action=vallex&amp;frame=v-w374f11", "dávat (v-w374f11)")</f>
        <v>dávat (v-w374f11)</v>
      </c>
      <c r="E7682" s="0" t="str">
        <f aca="false">HYPERLINK("https://lindat.mff.cuni.cz/services/SynSemClass40/SynSemClass40.html?veclass=vec01320#vec01320-ces-cm00003", "vec01320")</f>
        <v>vec01320</v>
      </c>
      <c r="F7682" s="0" t="s">
        <v>912</v>
      </c>
    </row>
    <row r="7683" customFormat="false" ht="12.8" hidden="false" customHeight="false" outlineLevel="0" collapsed="false">
      <c r="B7683" s="0" t="s">
        <v>1</v>
      </c>
      <c r="C7683" s="0" t="s">
        <v>3769</v>
      </c>
      <c r="E7683" s="0" t="s">
        <v>155</v>
      </c>
      <c r="F7683" s="0" t="s">
        <v>916</v>
      </c>
    </row>
    <row r="7684" customFormat="false" ht="12.8" hidden="false" customHeight="false" outlineLevel="0" collapsed="false">
      <c r="B7684" s="0" t="s">
        <v>3568</v>
      </c>
    </row>
    <row r="7685" customFormat="false" ht="12.8" hidden="false" customHeight="false" outlineLevel="0" collapsed="false">
      <c r="B7685" s="0" t="s">
        <v>52</v>
      </c>
      <c r="C7685" s="0" t="s">
        <v>3770</v>
      </c>
      <c r="E7685" s="0" t="s">
        <v>221</v>
      </c>
      <c r="F7685" s="0" t="s">
        <v>3501</v>
      </c>
    </row>
    <row r="7686" customFormat="false" ht="12.8" hidden="false" customHeight="false" outlineLevel="0" collapsed="false">
      <c r="B7686" s="0" t="s">
        <v>918</v>
      </c>
      <c r="C7686" s="0" t="s">
        <v>3771</v>
      </c>
      <c r="E7686" s="0" t="s">
        <v>922</v>
      </c>
      <c r="F7686" s="0" t="s">
        <v>923</v>
      </c>
    </row>
    <row r="7688" customFormat="false" ht="12.8" hidden="false" customHeight="false" outlineLevel="0" collapsed="false">
      <c r="A7688" s="0" t="s">
        <v>3772</v>
      </c>
      <c r="B7688" s="0" t="str">
        <f aca="false">HYPERLINK("https://lindat.mff.cuni.cz/services/teitok/pdtc10/index.php?action=vallex&amp;frame=v-w374f16", "dávat (v-w374f16)")</f>
        <v>dávat (v-w374f16)</v>
      </c>
      <c r="E7688" s="0" t="str">
        <f aca="false">HYPERLINK("https://lindat.mff.cuni.cz/services/SynSemClass40/SynSemClass40.html?veclass=vec00060#vec00060-ces-cm00433", "vec00060")</f>
        <v>vec00060</v>
      </c>
      <c r="F7688" s="0" t="s">
        <v>213</v>
      </c>
    </row>
    <row r="7689" customFormat="false" ht="12.8" hidden="false" customHeight="false" outlineLevel="0" collapsed="false">
      <c r="B7689" s="0" t="s">
        <v>1</v>
      </c>
      <c r="C7689" s="0" t="s">
        <v>214</v>
      </c>
      <c r="E7689" s="0" t="s">
        <v>147</v>
      </c>
      <c r="F7689" s="0" t="s">
        <v>215</v>
      </c>
    </row>
    <row r="7690" customFormat="false" ht="12.8" hidden="false" customHeight="false" outlineLevel="0" collapsed="false">
      <c r="B7690" s="0" t="s">
        <v>3571</v>
      </c>
    </row>
    <row r="7691" customFormat="false" ht="12.8" hidden="false" customHeight="false" outlineLevel="0" collapsed="false">
      <c r="B7691" s="0" t="s">
        <v>52</v>
      </c>
      <c r="C7691" s="0" t="s">
        <v>220</v>
      </c>
      <c r="E7691" s="0" t="s">
        <v>221</v>
      </c>
      <c r="F7691" s="0" t="s">
        <v>222</v>
      </c>
    </row>
    <row r="7692" customFormat="false" ht="12.8" hidden="false" customHeight="false" outlineLevel="0" collapsed="false">
      <c r="B7692" s="0" t="s">
        <v>2382</v>
      </c>
      <c r="C7692" s="0" t="s">
        <v>2216</v>
      </c>
      <c r="E7692" s="0" t="s">
        <v>2217</v>
      </c>
      <c r="F7692" s="0" t="s">
        <v>2218</v>
      </c>
    </row>
    <row r="7693" customFormat="false" ht="12.8" hidden="false" customHeight="false" outlineLevel="0" collapsed="false">
      <c r="B7693" s="0" t="s">
        <v>496</v>
      </c>
      <c r="C7693" s="0" t="s">
        <v>217</v>
      </c>
      <c r="E7693" s="0" t="s">
        <v>218</v>
      </c>
      <c r="F7693" s="0" t="s">
        <v>219</v>
      </c>
    </row>
    <row r="7695" customFormat="false" ht="12.8" hidden="false" customHeight="false" outlineLevel="0" collapsed="false">
      <c r="A7695" s="0" t="s">
        <v>3773</v>
      </c>
      <c r="B7695" s="0" t="str">
        <f aca="false">HYPERLINK("https://lindat.mff.cuni.cz/services/teitok/pdtc10/index.php?action=vallex&amp;frame=v-w374f51_ZU", "dávat (v-w374f51_ZU)")</f>
        <v>dávat (v-w374f51_ZU)</v>
      </c>
    </row>
    <row r="7696" customFormat="false" ht="12.8" hidden="false" customHeight="false" outlineLevel="0" collapsed="false">
      <c r="B7696" s="0" t="s">
        <v>345</v>
      </c>
    </row>
    <row r="7697" customFormat="false" ht="12.8" hidden="false" customHeight="false" outlineLevel="0" collapsed="false">
      <c r="B7697" s="0" t="s">
        <v>3774</v>
      </c>
    </row>
    <row r="7699" customFormat="false" ht="12.8" hidden="false" customHeight="false" outlineLevel="0" collapsed="false">
      <c r="A7699" s="0" t="s">
        <v>3773</v>
      </c>
      <c r="B7699" s="0" t="str">
        <f aca="false">HYPERLINK("https://lindat.mff.cuni.cz/services/teitok/pdtc10/index.php?action=vallex&amp;frame=v-w374f41_ZU", "dávat (v-w374f41_ZU) - substituted with v-w374f51_ZU")</f>
        <v>dávat (v-w374f41_ZU) - substituted with v-w374f51_ZU</v>
      </c>
    </row>
    <row r="7700" customFormat="false" ht="12.8" hidden="false" customHeight="false" outlineLevel="0" collapsed="false">
      <c r="B7700" s="0" t="s">
        <v>345</v>
      </c>
    </row>
    <row r="7701" customFormat="false" ht="12.8" hidden="false" customHeight="false" outlineLevel="0" collapsed="false">
      <c r="B7701" s="0" t="s">
        <v>3774</v>
      </c>
    </row>
    <row r="7703" customFormat="false" ht="12.8" hidden="false" customHeight="false" outlineLevel="0" collapsed="false">
      <c r="A7703" s="0" t="s">
        <v>3773</v>
      </c>
      <c r="B7703" s="0" t="str">
        <f aca="false">HYPERLINK("https://lindat.mff.cuni.cz/services/teitok/pdtc10/index.php?action=vallex&amp;frame=v-w374f43_ZU", "dávat (v-w374f43_ZU) - substituted with v-w374f51_ZU")</f>
        <v>dávat (v-w374f43_ZU) - substituted with v-w374f51_ZU</v>
      </c>
    </row>
    <row r="7704" customFormat="false" ht="12.8" hidden="false" customHeight="false" outlineLevel="0" collapsed="false">
      <c r="B7704" s="0" t="s">
        <v>345</v>
      </c>
    </row>
    <row r="7705" customFormat="false" ht="12.8" hidden="false" customHeight="false" outlineLevel="0" collapsed="false">
      <c r="B7705" s="0" t="s">
        <v>3774</v>
      </c>
    </row>
    <row r="7707" customFormat="false" ht="12.8" hidden="false" customHeight="false" outlineLevel="0" collapsed="false">
      <c r="A7707" s="0" t="s">
        <v>3773</v>
      </c>
      <c r="B7707" s="0" t="str">
        <f aca="false">HYPERLINK("https://lindat.mff.cuni.cz/services/teitok/pdtc10/index.php?action=vallex&amp;frame=v-w374f50_ZU", "dávat (v-w374f50_ZU) - substituted with v-w374f51_ZU")</f>
        <v>dávat (v-w374f50_ZU) - substituted with v-w374f51_ZU</v>
      </c>
    </row>
    <row r="7708" customFormat="false" ht="12.8" hidden="false" customHeight="false" outlineLevel="0" collapsed="false">
      <c r="B7708" s="0" t="s">
        <v>345</v>
      </c>
    </row>
    <row r="7709" customFormat="false" ht="12.8" hidden="false" customHeight="false" outlineLevel="0" collapsed="false">
      <c r="B7709" s="0" t="s">
        <v>3774</v>
      </c>
    </row>
    <row r="7711" customFormat="false" ht="12.8" hidden="false" customHeight="false" outlineLevel="0" collapsed="false">
      <c r="A7711" s="0" t="s">
        <v>3775</v>
      </c>
      <c r="B7711" s="0" t="str">
        <f aca="false">HYPERLINK("https://lindat.mff.cuni.cz/services/teitok/pdtc10/index.php?action=vallex&amp;frame=v-w374hsa_10", "dávat (v-w374hsa_10)")</f>
        <v>dávat (v-w374hsa_10)</v>
      </c>
    </row>
    <row r="7712" customFormat="false" ht="12.8" hidden="false" customHeight="false" outlineLevel="0" collapsed="false">
      <c r="B7712" s="0" t="s">
        <v>1</v>
      </c>
    </row>
    <row r="7713" customFormat="false" ht="12.8" hidden="false" customHeight="false" outlineLevel="0" collapsed="false">
      <c r="B7713" s="0" t="s">
        <v>8</v>
      </c>
    </row>
    <row r="7714" customFormat="false" ht="12.8" hidden="false" customHeight="false" outlineLevel="0" collapsed="false">
      <c r="B7714" s="0" t="s">
        <v>52</v>
      </c>
    </row>
    <row r="7716" customFormat="false" ht="12.8" hidden="false" customHeight="false" outlineLevel="0" collapsed="false">
      <c r="A7716" s="0" t="s">
        <v>3776</v>
      </c>
      <c r="B7716" s="0" t="str">
        <f aca="false">HYPERLINK("https://lindat.mff.cuni.cz/services/teitok/pdtc10/index.php?action=vallex&amp;frame=v-w374f56_ZU", "dávat (v-w374f56_ZU)")</f>
        <v>dávat (v-w374f56_ZU)</v>
      </c>
      <c r="E7716" s="0" t="str">
        <f aca="false">HYPERLINK("https://lindat.mff.cuni.cz/services/SynSemClass40/SynSemClass40.html?veclass=vec00147#vec00147-ces-cm00041", "vec00147")</f>
        <v>vec00147</v>
      </c>
      <c r="F7716" s="0" t="s">
        <v>1698</v>
      </c>
    </row>
    <row r="7717" customFormat="false" ht="12.8" hidden="false" customHeight="false" outlineLevel="0" collapsed="false">
      <c r="B7717" s="0" t="s">
        <v>1</v>
      </c>
      <c r="C7717" s="0" t="s">
        <v>1699</v>
      </c>
      <c r="E7717" s="0" t="s">
        <v>11</v>
      </c>
      <c r="F7717" s="0" t="s">
        <v>1700</v>
      </c>
    </row>
    <row r="7718" customFormat="false" ht="12.8" hidden="false" customHeight="false" outlineLevel="0" collapsed="false">
      <c r="B7718" s="0" t="s">
        <v>8</v>
      </c>
      <c r="C7718" s="0" t="s">
        <v>1701</v>
      </c>
      <c r="E7718" s="0" t="s">
        <v>1702</v>
      </c>
      <c r="F7718" s="0" t="s">
        <v>1703</v>
      </c>
    </row>
    <row r="7719" customFormat="false" ht="12.8" hidden="false" customHeight="false" outlineLevel="0" collapsed="false">
      <c r="B7719" s="0" t="s">
        <v>841</v>
      </c>
      <c r="C7719" s="0" t="s">
        <v>3417</v>
      </c>
      <c r="E7719" s="0" t="s">
        <v>3418</v>
      </c>
      <c r="F7719" s="0" t="s">
        <v>3419</v>
      </c>
    </row>
    <row r="7721" customFormat="false" ht="12.8" hidden="false" customHeight="false" outlineLevel="0" collapsed="false">
      <c r="A7721" s="0" t="s">
        <v>3776</v>
      </c>
      <c r="B7721" s="0" t="str">
        <f aca="false">HYPERLINK("https://lindat.mff.cuni.cz/services/teitok/pdtc10/index.php?action=vallex&amp;frame=v-w374hsa_11", "dávat (v-w374hsa_11) - substituted with v-w374f56_ZU")</f>
        <v>dávat (v-w374hsa_11) - substituted with v-w374f56_ZU</v>
      </c>
    </row>
    <row r="7722" customFormat="false" ht="12.8" hidden="false" customHeight="false" outlineLevel="0" collapsed="false">
      <c r="B7722" s="0" t="s">
        <v>1</v>
      </c>
    </row>
    <row r="7723" customFormat="false" ht="12.8" hidden="false" customHeight="false" outlineLevel="0" collapsed="false">
      <c r="B7723" s="0" t="s">
        <v>8</v>
      </c>
    </row>
    <row r="7724" customFormat="false" ht="12.8" hidden="false" customHeight="false" outlineLevel="0" collapsed="false">
      <c r="B7724" s="0" t="s">
        <v>841</v>
      </c>
    </row>
    <row r="7726" customFormat="false" ht="12.8" hidden="false" customHeight="false" outlineLevel="0" collapsed="false">
      <c r="A7726" s="0" t="s">
        <v>3777</v>
      </c>
      <c r="B7726" s="0" t="str">
        <f aca="false">HYPERLINK("https://lindat.mff.cuni.cz/services/teitok/pdtc10/index.php?action=vallex&amp;frame=v-w374f53_ZU", "dávat (v-w374f53_ZU)")</f>
        <v>dávat (v-w374f53_ZU)</v>
      </c>
    </row>
    <row r="7727" customFormat="false" ht="12.8" hidden="false" customHeight="false" outlineLevel="0" collapsed="false">
      <c r="B7727" s="0" t="s">
        <v>1</v>
      </c>
    </row>
    <row r="7728" customFormat="false" ht="12.8" hidden="false" customHeight="false" outlineLevel="0" collapsed="false">
      <c r="B7728" s="0" t="s">
        <v>3778</v>
      </c>
    </row>
    <row r="7729" customFormat="false" ht="12.8" hidden="false" customHeight="false" outlineLevel="0" collapsed="false">
      <c r="B7729" s="0" t="s">
        <v>3779</v>
      </c>
    </row>
    <row r="7730" customFormat="false" ht="12.8" hidden="false" customHeight="false" outlineLevel="0" collapsed="false">
      <c r="B7730" s="0" t="s">
        <v>52</v>
      </c>
    </row>
    <row r="7732" customFormat="false" ht="12.8" hidden="false" customHeight="false" outlineLevel="0" collapsed="false">
      <c r="A7732" s="0" t="s">
        <v>3777</v>
      </c>
      <c r="B7732" s="0" t="str">
        <f aca="false">HYPERLINK("https://lindat.mff.cuni.cz/services/teitok/pdtc10/index.php?action=vallex&amp;frame=v-w374hsa_14", "dávat (v-w374hsa_14) - substituted with v-w374f53_ZU")</f>
        <v>dávat (v-w374hsa_14) - substituted with v-w374f53_ZU</v>
      </c>
    </row>
    <row r="7733" customFormat="false" ht="12.8" hidden="false" customHeight="false" outlineLevel="0" collapsed="false">
      <c r="B7733" s="0" t="s">
        <v>1</v>
      </c>
    </row>
    <row r="7734" customFormat="false" ht="12.8" hidden="false" customHeight="false" outlineLevel="0" collapsed="false">
      <c r="B7734" s="0" t="s">
        <v>3778</v>
      </c>
    </row>
    <row r="7735" customFormat="false" ht="12.8" hidden="false" customHeight="false" outlineLevel="0" collapsed="false">
      <c r="B7735" s="0" t="s">
        <v>3779</v>
      </c>
    </row>
    <row r="7736" customFormat="false" ht="12.8" hidden="false" customHeight="false" outlineLevel="0" collapsed="false">
      <c r="B7736" s="0" t="s">
        <v>52</v>
      </c>
    </row>
    <row r="7738" customFormat="false" ht="12.8" hidden="false" customHeight="false" outlineLevel="0" collapsed="false">
      <c r="A7738" s="0" t="s">
        <v>3780</v>
      </c>
      <c r="B7738" s="0" t="str">
        <f aca="false">HYPERLINK("https://lindat.mff.cuni.cz/services/teitok/pdtc10/index.php?action=vallex&amp;frame=v-w374f54_ZU", "dávat (v-w374f54_ZU)")</f>
        <v>dávat (v-w374f54_ZU)</v>
      </c>
    </row>
    <row r="7739" customFormat="false" ht="12.8" hidden="false" customHeight="false" outlineLevel="0" collapsed="false">
      <c r="B7739" s="0" t="s">
        <v>1</v>
      </c>
    </row>
    <row r="7740" customFormat="false" ht="12.8" hidden="false" customHeight="false" outlineLevel="0" collapsed="false">
      <c r="B7740" s="0" t="s">
        <v>3589</v>
      </c>
    </row>
    <row r="7741" customFormat="false" ht="12.8" hidden="false" customHeight="false" outlineLevel="0" collapsed="false">
      <c r="B7741" s="0" t="s">
        <v>8</v>
      </c>
    </row>
    <row r="7743" customFormat="false" ht="12.8" hidden="false" customHeight="false" outlineLevel="0" collapsed="false">
      <c r="A7743" s="0" t="s">
        <v>3780</v>
      </c>
      <c r="B7743" s="0" t="str">
        <f aca="false">HYPERLINK("https://lindat.mff.cuni.cz/services/teitok/pdtc10/index.php?action=vallex&amp;frame=v-w374hsa_15", "dávat (v-w374hsa_15) - substituted with v-w374f54_ZU")</f>
        <v>dávat (v-w374hsa_15) - substituted with v-w374f54_ZU</v>
      </c>
    </row>
    <row r="7744" customFormat="false" ht="12.8" hidden="false" customHeight="false" outlineLevel="0" collapsed="false">
      <c r="B7744" s="0" t="s">
        <v>1</v>
      </c>
    </row>
    <row r="7745" customFormat="false" ht="12.8" hidden="false" customHeight="false" outlineLevel="0" collapsed="false">
      <c r="B7745" s="0" t="s">
        <v>3589</v>
      </c>
    </row>
    <row r="7746" customFormat="false" ht="12.8" hidden="false" customHeight="false" outlineLevel="0" collapsed="false">
      <c r="B7746" s="0" t="s">
        <v>8</v>
      </c>
    </row>
    <row r="7748" customFormat="false" ht="12.8" hidden="false" customHeight="false" outlineLevel="0" collapsed="false">
      <c r="A7748" s="0" t="s">
        <v>3781</v>
      </c>
      <c r="B7748" s="0" t="str">
        <f aca="false">HYPERLINK("https://lindat.mff.cuni.cz/services/teitok/pdtc10/index.php?action=vallex&amp;frame=v-w374f55_ZU", "dávat (v-w374f55_ZU)")</f>
        <v>dávat (v-w374f55_ZU)</v>
      </c>
      <c r="E7748" s="0" t="str">
        <f aca="false">HYPERLINK("https://lindat.mff.cuni.cz/services/SynSemClass40/SynSemClass40.html?veclass=vec01419#vec01419-ces-cm00029", "vec01419")</f>
        <v>vec01419</v>
      </c>
      <c r="F7748" s="0" t="s">
        <v>3428</v>
      </c>
    </row>
    <row r="7749" customFormat="false" ht="12.8" hidden="false" customHeight="false" outlineLevel="0" collapsed="false">
      <c r="B7749" s="0" t="s">
        <v>1</v>
      </c>
      <c r="C7749" s="0" t="s">
        <v>3503</v>
      </c>
      <c r="E7749" s="0" t="s">
        <v>206</v>
      </c>
      <c r="F7749" s="0" t="s">
        <v>3430</v>
      </c>
    </row>
    <row r="7750" customFormat="false" ht="12.8" hidden="false" customHeight="false" outlineLevel="0" collapsed="false">
      <c r="B7750" s="0" t="s">
        <v>3782</v>
      </c>
      <c r="C7750" s="0" t="s">
        <v>3783</v>
      </c>
      <c r="E7750" s="0" t="s">
        <v>3784</v>
      </c>
      <c r="F7750" s="0" t="s">
        <v>3785</v>
      </c>
    </row>
    <row r="7751" customFormat="false" ht="12.8" hidden="false" customHeight="false" outlineLevel="0" collapsed="false">
      <c r="B7751" s="0" t="s">
        <v>186</v>
      </c>
      <c r="C7751" s="0" t="s">
        <v>3786</v>
      </c>
      <c r="E7751" s="0" t="s">
        <v>142</v>
      </c>
      <c r="F7751" s="0" t="s">
        <v>3787</v>
      </c>
    </row>
    <row r="7753" customFormat="false" ht="12.8" hidden="false" customHeight="false" outlineLevel="0" collapsed="false">
      <c r="A7753" s="0" t="s">
        <v>3781</v>
      </c>
      <c r="B7753" s="0" t="str">
        <f aca="false">HYPERLINK("https://lindat.mff.cuni.cz/services/teitok/pdtc10/index.php?action=vallex&amp;frame=v-w374hsa_16", "dávat (v-w374hsa_16) - substituted with v-w374f55_ZU")</f>
        <v>dávat (v-w374hsa_16) - substituted with v-w374f55_ZU</v>
      </c>
    </row>
    <row r="7754" customFormat="false" ht="12.8" hidden="false" customHeight="false" outlineLevel="0" collapsed="false">
      <c r="B7754" s="0" t="s">
        <v>1</v>
      </c>
    </row>
    <row r="7755" customFormat="false" ht="12.8" hidden="false" customHeight="false" outlineLevel="0" collapsed="false">
      <c r="B7755" s="0" t="s">
        <v>3782</v>
      </c>
    </row>
    <row r="7756" customFormat="false" ht="12.8" hidden="false" customHeight="false" outlineLevel="0" collapsed="false">
      <c r="B7756" s="0" t="s">
        <v>186</v>
      </c>
    </row>
    <row r="7758" customFormat="false" ht="12.8" hidden="false" customHeight="false" outlineLevel="0" collapsed="false">
      <c r="A7758" s="0" t="s">
        <v>3788</v>
      </c>
      <c r="B7758" s="0" t="str">
        <f aca="false">HYPERLINK("https://lindat.mff.cuni.cz/services/teitok/pdtc10/index.php?action=vallex&amp;frame=v-w374hsa_19", "dávat (v-w374hsa_19)")</f>
        <v>dávat (v-w374hsa_19)</v>
      </c>
    </row>
    <row r="7759" customFormat="false" ht="12.8" hidden="false" customHeight="false" outlineLevel="0" collapsed="false">
      <c r="B7759" s="0" t="s">
        <v>1</v>
      </c>
    </row>
    <row r="7760" customFormat="false" ht="12.8" hidden="false" customHeight="false" outlineLevel="0" collapsed="false">
      <c r="B7760" s="0" t="s">
        <v>3789</v>
      </c>
    </row>
    <row r="7761" customFormat="false" ht="12.8" hidden="false" customHeight="false" outlineLevel="0" collapsed="false">
      <c r="B7761" s="0" t="s">
        <v>52</v>
      </c>
    </row>
    <row r="7763" customFormat="false" ht="12.8" hidden="false" customHeight="false" outlineLevel="0" collapsed="false">
      <c r="A7763" s="0" t="s">
        <v>3790</v>
      </c>
      <c r="B7763" s="0" t="str">
        <f aca="false">HYPERLINK("https://lindat.mff.cuni.cz/services/teitok/pdtc10/index.php?action=vallex&amp;frame=v-w374f70_ZU", "dávat (v-w374f70_ZU)")</f>
        <v>dávat (v-w374f70_ZU)</v>
      </c>
    </row>
    <row r="7764" customFormat="false" ht="12.8" hidden="false" customHeight="false" outlineLevel="0" collapsed="false">
      <c r="B7764" s="0" t="s">
        <v>1</v>
      </c>
    </row>
    <row r="7765" customFormat="false" ht="12.8" hidden="false" customHeight="false" outlineLevel="0" collapsed="false">
      <c r="B7765" s="0" t="s">
        <v>8</v>
      </c>
    </row>
    <row r="7766" customFormat="false" ht="12.8" hidden="false" customHeight="false" outlineLevel="0" collapsed="false">
      <c r="B7766" s="0" t="s">
        <v>164</v>
      </c>
    </row>
    <row r="7768" customFormat="false" ht="12.8" hidden="false" customHeight="false" outlineLevel="0" collapsed="false">
      <c r="A7768" s="0" t="s">
        <v>3790</v>
      </c>
      <c r="B7768" s="0" t="str">
        <f aca="false">HYPERLINK("https://lindat.mff.cuni.cz/services/teitok/pdtc10/index.php?action=vallex&amp;frame=v-w374hsa_18", "dávat (v-w374hsa_18) - substituted with v-w374f70_ZU")</f>
        <v>dávat (v-w374hsa_18) - substituted with v-w374f70_ZU</v>
      </c>
    </row>
    <row r="7769" customFormat="false" ht="12.8" hidden="false" customHeight="false" outlineLevel="0" collapsed="false">
      <c r="B7769" s="0" t="s">
        <v>1</v>
      </c>
    </row>
    <row r="7770" customFormat="false" ht="12.8" hidden="false" customHeight="false" outlineLevel="0" collapsed="false">
      <c r="B7770" s="0" t="s">
        <v>8</v>
      </c>
    </row>
    <row r="7771" customFormat="false" ht="12.8" hidden="false" customHeight="false" outlineLevel="0" collapsed="false">
      <c r="B7771" s="0" t="s">
        <v>164</v>
      </c>
    </row>
    <row r="7773" customFormat="false" ht="12.8" hidden="false" customHeight="false" outlineLevel="0" collapsed="false">
      <c r="A7773" s="0" t="s">
        <v>3791</v>
      </c>
      <c r="B7773" s="0" t="str">
        <f aca="false">HYPERLINK("https://lindat.mff.cuni.cz/services/teitok/pdtc10/index.php?action=vallex&amp;frame=v-w374f72_ZU", "dávat (v-w374f72_ZU)")</f>
        <v>dávat (v-w374f72_ZU)</v>
      </c>
    </row>
    <row r="7774" customFormat="false" ht="12.8" hidden="false" customHeight="false" outlineLevel="0" collapsed="false">
      <c r="B7774" s="0" t="s">
        <v>1</v>
      </c>
    </row>
    <row r="7775" customFormat="false" ht="12.8" hidden="false" customHeight="false" outlineLevel="0" collapsed="false">
      <c r="B7775" s="0" t="s">
        <v>3792</v>
      </c>
    </row>
    <row r="7776" customFormat="false" ht="12.8" hidden="false" customHeight="false" outlineLevel="0" collapsed="false">
      <c r="B7776" s="0" t="s">
        <v>59</v>
      </c>
    </row>
    <row r="7778" customFormat="false" ht="12.8" hidden="false" customHeight="false" outlineLevel="0" collapsed="false">
      <c r="A7778" s="0" t="s">
        <v>3791</v>
      </c>
      <c r="B7778" s="0" t="str">
        <f aca="false">HYPERLINK("https://lindat.mff.cuni.cz/services/teitok/pdtc10/index.php?action=vallex&amp;frame=v-w374hsa_22", "dávat (v-w374hsa_22) - substituted with v-w374f72_ZU")</f>
        <v>dávat (v-w374hsa_22) - substituted with v-w374f72_ZU</v>
      </c>
    </row>
    <row r="7779" customFormat="false" ht="12.8" hidden="false" customHeight="false" outlineLevel="0" collapsed="false">
      <c r="B7779" s="0" t="s">
        <v>1</v>
      </c>
    </row>
    <row r="7780" customFormat="false" ht="12.8" hidden="false" customHeight="false" outlineLevel="0" collapsed="false">
      <c r="B7780" s="0" t="s">
        <v>3792</v>
      </c>
    </row>
    <row r="7781" customFormat="false" ht="12.8" hidden="false" customHeight="false" outlineLevel="0" collapsed="false">
      <c r="B7781" s="0" t="s">
        <v>59</v>
      </c>
    </row>
    <row r="7783" customFormat="false" ht="12.8" hidden="false" customHeight="false" outlineLevel="0" collapsed="false">
      <c r="A7783" s="0" t="s">
        <v>3793</v>
      </c>
      <c r="B7783" s="0" t="str">
        <f aca="false">HYPERLINK("https://lindat.mff.cuni.cz/services/teitok/pdtc10/index.php?action=vallex&amp;frame=v-w374f73_ZU", "dávat (v-w374f73_ZU)")</f>
        <v>dávat (v-w374f73_ZU)</v>
      </c>
    </row>
    <row r="7784" customFormat="false" ht="12.8" hidden="false" customHeight="false" outlineLevel="0" collapsed="false">
      <c r="B7784" s="0" t="s">
        <v>804</v>
      </c>
    </row>
    <row r="7785" customFormat="false" ht="12.8" hidden="false" customHeight="false" outlineLevel="0" collapsed="false">
      <c r="B7785" s="0" t="s">
        <v>3794</v>
      </c>
    </row>
    <row r="7786" customFormat="false" ht="12.8" hidden="false" customHeight="false" outlineLevel="0" collapsed="false">
      <c r="B7786" s="0" t="s">
        <v>3795</v>
      </c>
    </row>
    <row r="7788" customFormat="false" ht="12.8" hidden="false" customHeight="false" outlineLevel="0" collapsed="false">
      <c r="A7788" s="0" t="s">
        <v>3793</v>
      </c>
      <c r="B7788" s="0" t="str">
        <f aca="false">HYPERLINK("https://lindat.mff.cuni.cz/services/teitok/pdtc10/index.php?action=vallex&amp;frame=v-w374hsa_23", "dávat (v-w374hsa_23) - substituted with v-w374f73_ZU")</f>
        <v>dávat (v-w374hsa_23) - substituted with v-w374f73_ZU</v>
      </c>
    </row>
    <row r="7789" customFormat="false" ht="12.8" hidden="false" customHeight="false" outlineLevel="0" collapsed="false">
      <c r="B7789" s="0" t="s">
        <v>804</v>
      </c>
    </row>
    <row r="7790" customFormat="false" ht="12.8" hidden="false" customHeight="false" outlineLevel="0" collapsed="false">
      <c r="B7790" s="0" t="s">
        <v>3794</v>
      </c>
    </row>
    <row r="7791" customFormat="false" ht="12.8" hidden="false" customHeight="false" outlineLevel="0" collapsed="false">
      <c r="B7791" s="0" t="s">
        <v>3795</v>
      </c>
    </row>
    <row r="7793" customFormat="false" ht="12.8" hidden="false" customHeight="false" outlineLevel="0" collapsed="false">
      <c r="A7793" s="0" t="s">
        <v>3796</v>
      </c>
      <c r="B7793" s="0" t="str">
        <f aca="false">HYPERLINK("https://lindat.mff.cuni.cz/services/teitok/pdtc10/index.php?action=vallex&amp;frame=v-w374f74_ZU", "dávat (v-w374f74_ZU)")</f>
        <v>dávat (v-w374f74_ZU)</v>
      </c>
    </row>
    <row r="7794" customFormat="false" ht="12.8" hidden="false" customHeight="false" outlineLevel="0" collapsed="false">
      <c r="B7794" s="0" t="s">
        <v>1</v>
      </c>
    </row>
    <row r="7795" customFormat="false" ht="12.8" hidden="false" customHeight="false" outlineLevel="0" collapsed="false">
      <c r="B7795" s="0" t="s">
        <v>8</v>
      </c>
    </row>
    <row r="7796" customFormat="false" ht="12.8" hidden="false" customHeight="false" outlineLevel="0" collapsed="false">
      <c r="B7796" s="0" t="s">
        <v>454</v>
      </c>
    </row>
    <row r="7798" customFormat="false" ht="12.8" hidden="false" customHeight="false" outlineLevel="0" collapsed="false">
      <c r="A7798" s="0" t="s">
        <v>3797</v>
      </c>
      <c r="B7798" s="0" t="str">
        <f aca="false">HYPERLINK("https://lindat.mff.cuni.cz/services/teitok/pdtc10/index.php?action=vallex&amp;frame=v-w374f77_ZU", "dávat (v-w374f77_ZU)")</f>
        <v>dávat (v-w374f77_ZU)</v>
      </c>
    </row>
    <row r="7799" customFormat="false" ht="12.8" hidden="false" customHeight="false" outlineLevel="0" collapsed="false">
      <c r="B7799" s="0" t="s">
        <v>1</v>
      </c>
    </row>
    <row r="7800" customFormat="false" ht="12.8" hidden="false" customHeight="false" outlineLevel="0" collapsed="false">
      <c r="B7800" s="0" t="s">
        <v>2866</v>
      </c>
    </row>
    <row r="7801" customFormat="false" ht="12.8" hidden="false" customHeight="false" outlineLevel="0" collapsed="false">
      <c r="B7801" s="0" t="s">
        <v>186</v>
      </c>
    </row>
    <row r="7803" customFormat="false" ht="12.8" hidden="false" customHeight="false" outlineLevel="0" collapsed="false">
      <c r="A7803" s="0" t="s">
        <v>3797</v>
      </c>
      <c r="B7803" s="0" t="str">
        <f aca="false">HYPERLINK("https://lindat.mff.cuni.cz/services/teitok/pdtc10/index.php?action=vallex&amp;frame=v-w374f76_ZU", "dávat (v-w374f76_ZU) - substituted with v-w374f77_ZU")</f>
        <v>dávat (v-w374f76_ZU) - substituted with v-w374f77_ZU</v>
      </c>
    </row>
    <row r="7804" customFormat="false" ht="12.8" hidden="false" customHeight="false" outlineLevel="0" collapsed="false">
      <c r="B7804" s="0" t="s">
        <v>1</v>
      </c>
    </row>
    <row r="7805" customFormat="false" ht="12.8" hidden="false" customHeight="false" outlineLevel="0" collapsed="false">
      <c r="B7805" s="0" t="s">
        <v>2866</v>
      </c>
    </row>
    <row r="7806" customFormat="false" ht="12.8" hidden="false" customHeight="false" outlineLevel="0" collapsed="false">
      <c r="B7806" s="0" t="s">
        <v>186</v>
      </c>
    </row>
    <row r="7808" customFormat="false" ht="12.8" hidden="false" customHeight="false" outlineLevel="0" collapsed="false">
      <c r="A7808" s="0" t="s">
        <v>3798</v>
      </c>
      <c r="B7808" s="0" t="str">
        <f aca="false">HYPERLINK("https://lindat.mff.cuni.cz/services/teitok/pdtc10/index.php?action=vallex&amp;frame=v-w374f79_ZU", "dávat (v-w374f79_ZU)")</f>
        <v>dávat (v-w374f79_ZU)</v>
      </c>
    </row>
    <row r="7809" customFormat="false" ht="12.8" hidden="false" customHeight="false" outlineLevel="0" collapsed="false">
      <c r="B7809" s="0" t="s">
        <v>3799</v>
      </c>
    </row>
    <row r="7811" customFormat="false" ht="12.8" hidden="false" customHeight="false" outlineLevel="0" collapsed="false">
      <c r="A7811" s="0" t="s">
        <v>3800</v>
      </c>
      <c r="B7811" s="0" t="str">
        <f aca="false">HYPERLINK("https://lindat.mff.cuni.cz/services/teitok/pdtc10/index.php?action=vallex&amp;frame=v-w374f81_ZU", "dávat (v-w374f81_ZU)")</f>
        <v>dávat (v-w374f81_ZU)</v>
      </c>
    </row>
    <row r="7812" customFormat="false" ht="12.8" hidden="false" customHeight="false" outlineLevel="0" collapsed="false">
      <c r="B7812" s="0" t="s">
        <v>1</v>
      </c>
    </row>
    <row r="7813" customFormat="false" ht="12.8" hidden="false" customHeight="false" outlineLevel="0" collapsed="false">
      <c r="B7813" s="0" t="s">
        <v>3801</v>
      </c>
    </row>
    <row r="7814" customFormat="false" ht="12.8" hidden="false" customHeight="false" outlineLevel="0" collapsed="false">
      <c r="B7814" s="0" t="s">
        <v>8</v>
      </c>
    </row>
    <row r="7816" customFormat="false" ht="12.8" hidden="false" customHeight="false" outlineLevel="0" collapsed="false">
      <c r="A7816" s="0" t="s">
        <v>3800</v>
      </c>
      <c r="B7816" s="0" t="str">
        <f aca="false">HYPERLINK("https://lindat.mff.cuni.cz/services/teitok/pdtc10/index.php?action=vallex&amp;frame=v-w374f80_ZU", "dávat (v-w374f80_ZU) - substituted with v-w374f81_ZU")</f>
        <v>dávat (v-w374f80_ZU) - substituted with v-w374f81_ZU</v>
      </c>
    </row>
    <row r="7817" customFormat="false" ht="12.8" hidden="false" customHeight="false" outlineLevel="0" collapsed="false">
      <c r="B7817" s="0" t="s">
        <v>1</v>
      </c>
    </row>
    <row r="7818" customFormat="false" ht="12.8" hidden="false" customHeight="false" outlineLevel="0" collapsed="false">
      <c r="B7818" s="0" t="s">
        <v>3801</v>
      </c>
    </row>
    <row r="7819" customFormat="false" ht="12.8" hidden="false" customHeight="false" outlineLevel="0" collapsed="false">
      <c r="B7819" s="0" t="s">
        <v>8</v>
      </c>
    </row>
    <row r="7821" customFormat="false" ht="12.8" hidden="false" customHeight="false" outlineLevel="0" collapsed="false">
      <c r="A7821" s="0" t="s">
        <v>3802</v>
      </c>
      <c r="B7821" s="0" t="str">
        <f aca="false">HYPERLINK("https://lindat.mff.cuni.cz/services/teitok/pdtc10/index.php?action=vallex&amp;frame=v-w374f83_ZU", "dávat (v-w374f83_ZU)")</f>
        <v>dávat (v-w374f83_ZU)</v>
      </c>
    </row>
    <row r="7822" customFormat="false" ht="12.8" hidden="false" customHeight="false" outlineLevel="0" collapsed="false">
      <c r="B7822" s="0" t="s">
        <v>1</v>
      </c>
    </row>
    <row r="7823" customFormat="false" ht="12.8" hidden="false" customHeight="false" outlineLevel="0" collapsed="false">
      <c r="B7823" s="0" t="s">
        <v>8</v>
      </c>
    </row>
    <row r="7824" customFormat="false" ht="12.8" hidden="false" customHeight="false" outlineLevel="0" collapsed="false">
      <c r="B7824" s="0" t="s">
        <v>52</v>
      </c>
    </row>
    <row r="7826" customFormat="false" ht="12.8" hidden="false" customHeight="false" outlineLevel="0" collapsed="false">
      <c r="A7826" s="0" t="s">
        <v>3803</v>
      </c>
      <c r="B7826" s="0" t="str">
        <f aca="false">HYPERLINK("https://lindat.mff.cuni.cz/services/teitok/pdtc10/index.php?action=vallex&amp;frame=v-w374f86_MM", "dávat (v-w374f86_MM)")</f>
        <v>dávat (v-w374f86_MM)</v>
      </c>
    </row>
    <row r="7827" customFormat="false" ht="12.8" hidden="false" customHeight="false" outlineLevel="0" collapsed="false">
      <c r="B7827" s="0" t="s">
        <v>1</v>
      </c>
    </row>
    <row r="7828" customFormat="false" ht="12.8" hidden="false" customHeight="false" outlineLevel="0" collapsed="false">
      <c r="B7828" s="0" t="s">
        <v>186</v>
      </c>
    </row>
    <row r="7829" customFormat="false" ht="12.8" hidden="false" customHeight="false" outlineLevel="0" collapsed="false">
      <c r="B7829" s="0" t="s">
        <v>3804</v>
      </c>
    </row>
    <row r="7831" customFormat="false" ht="12.8" hidden="false" customHeight="false" outlineLevel="0" collapsed="false">
      <c r="A7831" s="0" t="s">
        <v>3805</v>
      </c>
      <c r="B7831" s="0" t="str">
        <f aca="false">HYPERLINK("https://lindat.mff.cuni.cz/services/teitok/pdtc10/index.php?action=vallex&amp;frame=v-w375f5", "dávat se (v-w375f5)")</f>
        <v>dávat se (v-w375f5)</v>
      </c>
      <c r="E7831" s="0" t="str">
        <f aca="false">HYPERLINK("https://lindat.mff.cuni.cz/services/SynSemClass40/SynSemClass40.html?veclass=vec00698#vec00698-ces-cm00031", "vec00698")</f>
        <v>vec00698</v>
      </c>
      <c r="F7831" s="0" t="s">
        <v>3615</v>
      </c>
    </row>
    <row r="7832" customFormat="false" ht="12.8" hidden="false" customHeight="false" outlineLevel="0" collapsed="false">
      <c r="B7832" s="0" t="s">
        <v>1</v>
      </c>
      <c r="C7832" s="0" t="s">
        <v>3616</v>
      </c>
      <c r="E7832" s="0" t="s">
        <v>31</v>
      </c>
      <c r="F7832" s="0" t="s">
        <v>3617</v>
      </c>
    </row>
    <row r="7833" customFormat="false" ht="12.8" hidden="false" customHeight="false" outlineLevel="0" collapsed="false">
      <c r="B7833" s="0" t="s">
        <v>1187</v>
      </c>
      <c r="C7833" s="0" t="s">
        <v>3618</v>
      </c>
      <c r="E7833" s="0" t="s">
        <v>79</v>
      </c>
      <c r="F7833" s="0" t="s">
        <v>3619</v>
      </c>
    </row>
    <row r="7835" customFormat="false" ht="12.8" hidden="false" customHeight="false" outlineLevel="0" collapsed="false">
      <c r="A7835" s="0" t="s">
        <v>3806</v>
      </c>
      <c r="B7835" s="0" t="str">
        <f aca="false">HYPERLINK("https://lindat.mff.cuni.cz/services/teitok/pdtc10/index.php?action=vallex&amp;frame=v-w375f4", "dávat se (v-w375f4)")</f>
        <v>dávat se (v-w375f4)</v>
      </c>
    </row>
    <row r="7836" customFormat="false" ht="12.8" hidden="false" customHeight="false" outlineLevel="0" collapsed="false">
      <c r="B7836" s="0" t="s">
        <v>1</v>
      </c>
    </row>
    <row r="7837" customFormat="false" ht="12.8" hidden="false" customHeight="false" outlineLevel="0" collapsed="false">
      <c r="B7837" s="0" t="s">
        <v>45</v>
      </c>
    </row>
    <row r="7839" customFormat="false" ht="12.8" hidden="false" customHeight="false" outlineLevel="0" collapsed="false">
      <c r="A7839" s="0" t="s">
        <v>3807</v>
      </c>
      <c r="B7839" s="0" t="str">
        <f aca="false">HYPERLINK("https://lindat.mff.cuni.cz/services/teitok/pdtc10/index.php?action=vallex&amp;frame=v-w375f3", "dávat se (v-w375f3)")</f>
        <v>dávat se (v-w375f3)</v>
      </c>
    </row>
    <row r="7840" customFormat="false" ht="12.8" hidden="false" customHeight="false" outlineLevel="0" collapsed="false">
      <c r="B7840" s="0" t="s">
        <v>1</v>
      </c>
    </row>
    <row r="7841" customFormat="false" ht="12.8" hidden="false" customHeight="false" outlineLevel="0" collapsed="false">
      <c r="B7841" s="0" t="s">
        <v>164</v>
      </c>
    </row>
    <row r="7843" customFormat="false" ht="12.8" hidden="false" customHeight="false" outlineLevel="0" collapsed="false">
      <c r="A7843" s="0" t="s">
        <v>3808</v>
      </c>
      <c r="B7843" s="0" t="str">
        <f aca="false">HYPERLINK("https://lindat.mff.cuni.cz/services/teitok/pdtc10/index.php?action=vallex&amp;frame=v-w375f2", "dávat se (v-w375f2)")</f>
        <v>dávat se (v-w375f2)</v>
      </c>
    </row>
    <row r="7844" customFormat="false" ht="12.8" hidden="false" customHeight="false" outlineLevel="0" collapsed="false">
      <c r="B7844" s="0" t="s">
        <v>1</v>
      </c>
    </row>
    <row r="7845" customFormat="false" ht="12.8" hidden="false" customHeight="false" outlineLevel="0" collapsed="false">
      <c r="B7845" s="0" t="s">
        <v>164</v>
      </c>
    </row>
    <row r="7847" customFormat="false" ht="12.8" hidden="false" customHeight="false" outlineLevel="0" collapsed="false">
      <c r="A7847" s="0" t="s">
        <v>3809</v>
      </c>
      <c r="B7847" s="0" t="str">
        <f aca="false">HYPERLINK("https://lindat.mff.cuni.cz/services/teitok/pdtc10/index.php?action=vallex&amp;frame=v-w375f1", "dávat se (v-w375f1)")</f>
        <v>dávat se (v-w375f1)</v>
      </c>
    </row>
    <row r="7848" customFormat="false" ht="12.8" hidden="false" customHeight="false" outlineLevel="0" collapsed="false">
      <c r="B7848" s="0" t="s">
        <v>1</v>
      </c>
    </row>
    <row r="7849" customFormat="false" ht="12.8" hidden="false" customHeight="false" outlineLevel="0" collapsed="false">
      <c r="B7849" s="0" t="s">
        <v>3810</v>
      </c>
    </row>
    <row r="7851" customFormat="false" ht="12.8" hidden="false" customHeight="false" outlineLevel="0" collapsed="false">
      <c r="A7851" s="0" t="s">
        <v>3811</v>
      </c>
      <c r="B7851" s="0" t="str">
        <f aca="false">HYPERLINK("https://lindat.mff.cuni.cz/services/teitok/pdtc10/index.php?action=vallex&amp;frame=v-w375f6_ZU", "dávat se (v-w375f6_ZU)")</f>
        <v>dávat se (v-w375f6_ZU)</v>
      </c>
    </row>
    <row r="7852" customFormat="false" ht="12.8" hidden="false" customHeight="false" outlineLevel="0" collapsed="false">
      <c r="B7852" s="0" t="s">
        <v>1</v>
      </c>
    </row>
    <row r="7853" customFormat="false" ht="12.8" hidden="false" customHeight="false" outlineLevel="0" collapsed="false">
      <c r="B7853" s="0" t="s">
        <v>3539</v>
      </c>
    </row>
    <row r="7854" customFormat="false" ht="12.8" hidden="false" customHeight="false" outlineLevel="0" collapsed="false">
      <c r="B7854" s="0" t="s">
        <v>721</v>
      </c>
    </row>
    <row r="7856" customFormat="false" ht="12.8" hidden="false" customHeight="false" outlineLevel="0" collapsed="false">
      <c r="A7856" s="0" t="s">
        <v>3812</v>
      </c>
      <c r="B7856" s="0" t="str">
        <f aca="false">HYPERLINK("https://lindat.mff.cuni.cz/services/teitok/pdtc10/index.php?action=vallex&amp;frame=v-w376f10_ZU", "dávat si (v-w376f10_ZU)")</f>
        <v>dávat si (v-w376f10_ZU)</v>
      </c>
    </row>
    <row r="7857" customFormat="false" ht="12.8" hidden="false" customHeight="false" outlineLevel="0" collapsed="false">
      <c r="B7857" s="0" t="s">
        <v>1</v>
      </c>
    </row>
    <row r="7858" customFormat="false" ht="12.8" hidden="false" customHeight="false" outlineLevel="0" collapsed="false">
      <c r="B7858" s="0" t="s">
        <v>3813</v>
      </c>
    </row>
    <row r="7860" customFormat="false" ht="12.8" hidden="false" customHeight="false" outlineLevel="0" collapsed="false">
      <c r="A7860" s="0" t="s">
        <v>3812</v>
      </c>
      <c r="B7860" s="0" t="str">
        <f aca="false">HYPERLINK("https://lindat.mff.cuni.cz/services/teitok/pdtc10/index.php?action=vallex&amp;frame=v-w376f5_ZU", "dávat si (v-w376f5_ZU) - substituted with v-w376f10_ZU")</f>
        <v>dávat si (v-w376f5_ZU) - substituted with v-w376f10_ZU</v>
      </c>
    </row>
    <row r="7861" customFormat="false" ht="12.8" hidden="false" customHeight="false" outlineLevel="0" collapsed="false">
      <c r="B7861" s="0" t="s">
        <v>1</v>
      </c>
    </row>
    <row r="7862" customFormat="false" ht="12.8" hidden="false" customHeight="false" outlineLevel="0" collapsed="false">
      <c r="B7862" s="0" t="s">
        <v>3813</v>
      </c>
    </row>
    <row r="7864" customFormat="false" ht="12.8" hidden="false" customHeight="false" outlineLevel="0" collapsed="false">
      <c r="A7864" s="0" t="s">
        <v>3812</v>
      </c>
      <c r="B7864" s="0" t="str">
        <f aca="false">HYPERLINK("https://lindat.mff.cuni.cz/services/teitok/pdtc10/index.php?action=vallex&amp;frame=v-w376f6_ZU", "dávat si (v-w376f6_ZU) - substituted with v-w376f10_ZU")</f>
        <v>dávat si (v-w376f6_ZU) - substituted with v-w376f10_ZU</v>
      </c>
    </row>
    <row r="7865" customFormat="false" ht="12.8" hidden="false" customHeight="false" outlineLevel="0" collapsed="false">
      <c r="B7865" s="0" t="s">
        <v>1</v>
      </c>
    </row>
    <row r="7866" customFormat="false" ht="12.8" hidden="false" customHeight="false" outlineLevel="0" collapsed="false">
      <c r="B7866" s="0" t="s">
        <v>3813</v>
      </c>
    </row>
    <row r="7868" customFormat="false" ht="12.8" hidden="false" customHeight="false" outlineLevel="0" collapsed="false">
      <c r="A7868" s="0" t="s">
        <v>3814</v>
      </c>
      <c r="B7868" s="0" t="str">
        <f aca="false">HYPERLINK("https://lindat.mff.cuni.cz/services/teitok/pdtc10/index.php?action=vallex&amp;frame=v-w376f2", "dávat si (v-w376f2)")</f>
        <v>dávat si (v-w376f2)</v>
      </c>
    </row>
    <row r="7869" customFormat="false" ht="12.8" hidden="false" customHeight="false" outlineLevel="0" collapsed="false">
      <c r="B7869" s="0" t="s">
        <v>1</v>
      </c>
    </row>
    <row r="7870" customFormat="false" ht="12.8" hidden="false" customHeight="false" outlineLevel="0" collapsed="false">
      <c r="B7870" s="0" t="s">
        <v>3815</v>
      </c>
    </row>
    <row r="7871" customFormat="false" ht="12.8" hidden="false" customHeight="false" outlineLevel="0" collapsed="false">
      <c r="B7871" s="0" t="s">
        <v>59</v>
      </c>
    </row>
    <row r="7873" customFormat="false" ht="12.8" hidden="false" customHeight="false" outlineLevel="0" collapsed="false">
      <c r="A7873" s="0" t="s">
        <v>3816</v>
      </c>
      <c r="B7873" s="0" t="str">
        <f aca="false">HYPERLINK("https://lindat.mff.cuni.cz/services/teitok/pdtc10/index.php?action=vallex&amp;frame=v-w376f3_ZU", "dávat si (v-w376f3_ZU)")</f>
        <v>dávat si (v-w376f3_ZU)</v>
      </c>
      <c r="E7873" s="0" t="str">
        <f aca="false">HYPERLINK("https://lindat.mff.cuni.cz/services/SynSemClass40/SynSemClass40.html?veclass=vec01207#vec01207-ces-cm00005", "vec01207")</f>
        <v>vec01207</v>
      </c>
      <c r="F7873" s="0" t="s">
        <v>3541</v>
      </c>
    </row>
    <row r="7874" customFormat="false" ht="12.8" hidden="false" customHeight="false" outlineLevel="0" collapsed="false">
      <c r="B7874" s="0" t="s">
        <v>1</v>
      </c>
      <c r="C7874" s="0" t="s">
        <v>239</v>
      </c>
      <c r="E7874" s="0" t="s">
        <v>621</v>
      </c>
      <c r="F7874" s="0" t="s">
        <v>3542</v>
      </c>
    </row>
    <row r="7875" customFormat="false" ht="12.8" hidden="false" customHeight="false" outlineLevel="0" collapsed="false">
      <c r="B7875" s="0" t="s">
        <v>3543</v>
      </c>
    </row>
    <row r="7876" customFormat="false" ht="12.8" hidden="false" customHeight="false" outlineLevel="0" collapsed="false">
      <c r="B7876" s="0" t="s">
        <v>3544</v>
      </c>
      <c r="C7876" s="0" t="s">
        <v>3545</v>
      </c>
      <c r="E7876" s="0" t="s">
        <v>532</v>
      </c>
      <c r="F7876" s="0" t="s">
        <v>3546</v>
      </c>
    </row>
    <row r="7878" customFormat="false" ht="12.8" hidden="false" customHeight="false" outlineLevel="0" collapsed="false">
      <c r="A7878" s="0" t="s">
        <v>3817</v>
      </c>
      <c r="B7878" s="0" t="str">
        <f aca="false">HYPERLINK("https://lindat.mff.cuni.cz/services/teitok/pdtc10/index.php?action=vallex&amp;frame=v-w376f1", "dávat si (v-w376f1)")</f>
        <v>dávat si (v-w376f1)</v>
      </c>
    </row>
    <row r="7879" customFormat="false" ht="12.8" hidden="false" customHeight="false" outlineLevel="0" collapsed="false">
      <c r="B7879" s="0" t="s">
        <v>1</v>
      </c>
    </row>
    <row r="7880" customFormat="false" ht="12.8" hidden="false" customHeight="false" outlineLevel="0" collapsed="false">
      <c r="B7880" s="0" t="s">
        <v>3818</v>
      </c>
    </row>
    <row r="7882" customFormat="false" ht="12.8" hidden="false" customHeight="false" outlineLevel="0" collapsed="false">
      <c r="A7882" s="0" t="s">
        <v>3819</v>
      </c>
      <c r="B7882" s="0" t="str">
        <f aca="false">HYPERLINK("https://lindat.mff.cuni.cz/services/teitok/pdtc10/index.php?action=vallex&amp;frame=v-w376f7_ZU", "dávat si (v-w376f7_ZU)")</f>
        <v>dávat si (v-w376f7_ZU)</v>
      </c>
    </row>
    <row r="7883" customFormat="false" ht="12.8" hidden="false" customHeight="false" outlineLevel="0" collapsed="false">
      <c r="B7883" s="0" t="s">
        <v>1</v>
      </c>
    </row>
    <row r="7884" customFormat="false" ht="12.8" hidden="false" customHeight="false" outlineLevel="0" collapsed="false">
      <c r="B7884" s="0" t="s">
        <v>3820</v>
      </c>
    </row>
    <row r="7886" customFormat="false" ht="12.8" hidden="false" customHeight="false" outlineLevel="0" collapsed="false">
      <c r="A7886" s="0" t="s">
        <v>3819</v>
      </c>
      <c r="B7886" s="0" t="str">
        <f aca="false">HYPERLINK("https://lindat.mff.cuni.cz/services/teitok/pdtc10/index.php?action=vallex&amp;frame=v-w376hsa_421", "dávat si (v-w376hsa_421) - substituted with v-w376f7_ZU")</f>
        <v>dávat si (v-w376hsa_421) - substituted with v-w376f7_ZU</v>
      </c>
    </row>
    <row r="7887" customFormat="false" ht="12.8" hidden="false" customHeight="false" outlineLevel="0" collapsed="false">
      <c r="B7887" s="0" t="s">
        <v>1</v>
      </c>
    </row>
    <row r="7888" customFormat="false" ht="12.8" hidden="false" customHeight="false" outlineLevel="0" collapsed="false">
      <c r="B7888" s="0" t="s">
        <v>3820</v>
      </c>
    </row>
    <row r="7890" customFormat="false" ht="12.8" hidden="false" customHeight="false" outlineLevel="0" collapsed="false">
      <c r="A7890" s="0" t="s">
        <v>3821</v>
      </c>
      <c r="B7890" s="0" t="str">
        <f aca="false">HYPERLINK("https://lindat.mff.cuni.cz/services/teitok/pdtc10/index.php?action=vallex&amp;frame=v-w376f8_ZU", "dávat si (v-w376f8_ZU)")</f>
        <v>dávat si (v-w376f8_ZU)</v>
      </c>
    </row>
    <row r="7891" customFormat="false" ht="12.8" hidden="false" customHeight="false" outlineLevel="0" collapsed="false">
      <c r="B7891" s="0" t="s">
        <v>1</v>
      </c>
    </row>
    <row r="7892" customFormat="false" ht="12.8" hidden="false" customHeight="false" outlineLevel="0" collapsed="false">
      <c r="B7892" s="0" t="s">
        <v>3822</v>
      </c>
    </row>
    <row r="7893" customFormat="false" ht="12.8" hidden="false" customHeight="false" outlineLevel="0" collapsed="false">
      <c r="B7893" s="0" t="s">
        <v>45</v>
      </c>
    </row>
    <row r="7895" customFormat="false" ht="12.8" hidden="false" customHeight="false" outlineLevel="0" collapsed="false">
      <c r="A7895" s="0" t="s">
        <v>3821</v>
      </c>
      <c r="B7895" s="0" t="str">
        <f aca="false">HYPERLINK("https://lindat.mff.cuni.cz/services/teitok/pdtc10/index.php?action=vallex&amp;frame=v-w376hsa_422", "dávat si (v-w376hsa_422) - substituted with v-w376f8_ZU")</f>
        <v>dávat si (v-w376hsa_422) - substituted with v-w376f8_ZU</v>
      </c>
    </row>
    <row r="7896" customFormat="false" ht="12.8" hidden="false" customHeight="false" outlineLevel="0" collapsed="false">
      <c r="B7896" s="0" t="s">
        <v>1</v>
      </c>
    </row>
    <row r="7897" customFormat="false" ht="12.8" hidden="false" customHeight="false" outlineLevel="0" collapsed="false">
      <c r="B7897" s="0" t="s">
        <v>3822</v>
      </c>
    </row>
    <row r="7898" customFormat="false" ht="12.8" hidden="false" customHeight="false" outlineLevel="0" collapsed="false">
      <c r="B7898" s="0" t="s">
        <v>45</v>
      </c>
    </row>
    <row r="7900" customFormat="false" ht="12.8" hidden="false" customHeight="false" outlineLevel="0" collapsed="false">
      <c r="A7900" s="0" t="s">
        <v>3823</v>
      </c>
      <c r="B7900" s="0" t="str">
        <f aca="false">HYPERLINK("https://lindat.mff.cuni.cz/services/teitok/pdtc10/index.php?action=vallex&amp;frame=v-w376hsa_1441", "dávat si (v-w376hsa_1441)")</f>
        <v>dávat si (v-w376hsa_1441)</v>
      </c>
    </row>
    <row r="7901" customFormat="false" ht="12.8" hidden="false" customHeight="false" outlineLevel="0" collapsed="false">
      <c r="B7901" s="0" t="s">
        <v>1</v>
      </c>
    </row>
    <row r="7902" customFormat="false" ht="12.8" hidden="false" customHeight="false" outlineLevel="0" collapsed="false">
      <c r="B7902" s="0" t="s">
        <v>8</v>
      </c>
    </row>
    <row r="7904" customFormat="false" ht="12.8" hidden="false" customHeight="false" outlineLevel="0" collapsed="false">
      <c r="A7904" s="0" t="s">
        <v>3824</v>
      </c>
      <c r="B7904" s="0" t="str">
        <f aca="false">HYPERLINK("https://lindat.mff.cuni.cz/services/teitok/pdtc10/index.php?action=vallex&amp;frame=v-w379f1", "dávkovat (v-w379f1)")</f>
        <v>dávkovat (v-w379f1)</v>
      </c>
    </row>
    <row r="7905" customFormat="false" ht="12.8" hidden="false" customHeight="false" outlineLevel="0" collapsed="false">
      <c r="B7905" s="0" t="s">
        <v>1</v>
      </c>
    </row>
    <row r="7906" customFormat="false" ht="12.8" hidden="false" customHeight="false" outlineLevel="0" collapsed="false">
      <c r="B7906" s="0" t="s">
        <v>8</v>
      </c>
    </row>
    <row r="7907" customFormat="false" ht="12.8" hidden="false" customHeight="false" outlineLevel="0" collapsed="false">
      <c r="B7907" s="0" t="s">
        <v>52</v>
      </c>
    </row>
    <row r="7909" customFormat="false" ht="12.8" hidden="false" customHeight="false" outlineLevel="0" collapsed="false">
      <c r="A7909" s="0" t="s">
        <v>3825</v>
      </c>
      <c r="B7909" s="0" t="str">
        <f aca="false">HYPERLINK("https://lindat.mff.cuni.cz/services/teitok/pdtc10/index.php?action=vallex&amp;frame=v-w428f1", "démonizovat (v-w428f1)")</f>
        <v>démonizovat (v-w428f1)</v>
      </c>
    </row>
    <row r="7910" customFormat="false" ht="12.8" hidden="false" customHeight="false" outlineLevel="0" collapsed="false">
      <c r="B7910" s="0" t="s">
        <v>1</v>
      </c>
    </row>
    <row r="7911" customFormat="false" ht="12.8" hidden="false" customHeight="false" outlineLevel="0" collapsed="false">
      <c r="B7911" s="0" t="s">
        <v>8</v>
      </c>
    </row>
    <row r="7913" customFormat="false" ht="12.8" hidden="false" customHeight="false" outlineLevel="0" collapsed="false">
      <c r="A7913" s="0" t="s">
        <v>3826</v>
      </c>
      <c r="B7913" s="0" t="str">
        <f aca="false">HYPERLINK("https://lindat.mff.cuni.cz/services/teitok/pdtc10/index.php?action=vallex&amp;frame=v-w491f1", "dít (v-w491f1)")</f>
        <v>dít (v-w491f1)</v>
      </c>
    </row>
    <row r="7914" customFormat="false" ht="12.8" hidden="false" customHeight="false" outlineLevel="0" collapsed="false">
      <c r="B7914" s="0" t="s">
        <v>1</v>
      </c>
    </row>
    <row r="7915" customFormat="false" ht="12.8" hidden="false" customHeight="false" outlineLevel="0" collapsed="false">
      <c r="B7915" s="0" t="s">
        <v>2486</v>
      </c>
    </row>
    <row r="7916" customFormat="false" ht="12.8" hidden="false" customHeight="false" outlineLevel="0" collapsed="false">
      <c r="B7916" s="0" t="s">
        <v>496</v>
      </c>
    </row>
    <row r="7918" customFormat="false" ht="12.8" hidden="false" customHeight="false" outlineLevel="0" collapsed="false">
      <c r="A7918" s="0" t="s">
        <v>3827</v>
      </c>
      <c r="B7918" s="0" t="str">
        <f aca="false">HYPERLINK("https://lindat.mff.cuni.cz/services/teitok/pdtc10/index.php?action=vallex&amp;frame=v-w492f2", "dít se (v-w492f2)")</f>
        <v>dít se (v-w492f2)</v>
      </c>
      <c r="E7918" s="0" t="str">
        <f aca="false">HYPERLINK("https://lindat.mff.cuni.cz/services/SynSemClass40/SynSemClass40.html?veclass=vec00006#vec00006-ces-cm00001", "vec00006")</f>
        <v>vec00006</v>
      </c>
      <c r="F7918" s="0" t="s">
        <v>3828</v>
      </c>
    </row>
    <row r="7919" customFormat="false" ht="12.8" hidden="false" customHeight="false" outlineLevel="0" collapsed="false">
      <c r="B7919" s="0" t="s">
        <v>1</v>
      </c>
      <c r="C7919" s="0" t="s">
        <v>3829</v>
      </c>
      <c r="E7919" s="0" t="s">
        <v>375</v>
      </c>
      <c r="F7919" s="0" t="s">
        <v>3830</v>
      </c>
    </row>
    <row r="7920" customFormat="false" ht="12.8" hidden="false" customHeight="false" outlineLevel="0" collapsed="false">
      <c r="B7920" s="0" t="s">
        <v>721</v>
      </c>
      <c r="C7920" s="0" t="s">
        <v>3831</v>
      </c>
      <c r="E7920" s="0" t="s">
        <v>3832</v>
      </c>
      <c r="F7920" s="0" t="s">
        <v>3833</v>
      </c>
    </row>
    <row r="7922" customFormat="false" ht="12.8" hidden="false" customHeight="false" outlineLevel="0" collapsed="false">
      <c r="A7922" s="0" t="s">
        <v>3834</v>
      </c>
      <c r="B7922" s="0" t="str">
        <f aca="false">HYPERLINK("https://lindat.mff.cuni.cz/services/teitok/pdtc10/index.php?action=vallex&amp;frame=v-w492f3", "dít se (v-w492f3)")</f>
        <v>dít se (v-w492f3)</v>
      </c>
    </row>
    <row r="7923" customFormat="false" ht="12.8" hidden="false" customHeight="false" outlineLevel="0" collapsed="false">
      <c r="B7923" s="0" t="s">
        <v>843</v>
      </c>
    </row>
    <row r="7924" customFormat="false" ht="12.8" hidden="false" customHeight="false" outlineLevel="0" collapsed="false">
      <c r="B7924" s="0" t="s">
        <v>157</v>
      </c>
    </row>
    <row r="7926" customFormat="false" ht="12.8" hidden="false" customHeight="false" outlineLevel="0" collapsed="false">
      <c r="A7926" s="0" t="s">
        <v>3835</v>
      </c>
      <c r="B7926" s="0" t="str">
        <f aca="false">HYPERLINK("https://lindat.mff.cuni.cz/services/teitok/pdtc10/index.php?action=vallex&amp;frame=v-w492f1", "dít se (v-w492f1)")</f>
        <v>dít se (v-w492f1)</v>
      </c>
      <c r="E7926" s="0" t="str">
        <f aca="false">HYPERLINK("https://lindat.mff.cuni.cz/services/SynSemClass40/SynSemClass40.html?veclass=vec00097#vec00097-ces-cm00004", "vec00097")</f>
        <v>vec00097</v>
      </c>
      <c r="F7926" s="0" t="s">
        <v>373</v>
      </c>
    </row>
    <row r="7927" customFormat="false" ht="12.8" hidden="false" customHeight="false" outlineLevel="0" collapsed="false">
      <c r="B7927" s="0" t="s">
        <v>3836</v>
      </c>
      <c r="C7927" s="0" t="s">
        <v>374</v>
      </c>
      <c r="E7927" s="0" t="s">
        <v>375</v>
      </c>
      <c r="F7927" s="0" t="s">
        <v>376</v>
      </c>
    </row>
    <row r="7929" customFormat="false" ht="12.8" hidden="false" customHeight="false" outlineLevel="0" collapsed="false">
      <c r="A7929" s="0" t="s">
        <v>3837</v>
      </c>
      <c r="B7929" s="0" t="str">
        <f aca="false">HYPERLINK("https://lindat.mff.cuni.cz/services/teitok/pdtc10/index.php?action=vallex&amp;frame=v-w494f11_ZU", "dívat se (v-w494f11_ZU)")</f>
        <v>dívat se (v-w494f11_ZU)</v>
      </c>
    </row>
    <row r="7930" customFormat="false" ht="12.8" hidden="false" customHeight="false" outlineLevel="0" collapsed="false">
      <c r="B7930" s="0" t="s">
        <v>1</v>
      </c>
    </row>
    <row r="7931" customFormat="false" ht="12.8" hidden="false" customHeight="false" outlineLevel="0" collapsed="false">
      <c r="B7931" s="0" t="s">
        <v>3838</v>
      </c>
    </row>
    <row r="7933" customFormat="false" ht="12.8" hidden="false" customHeight="false" outlineLevel="0" collapsed="false">
      <c r="A7933" s="0" t="s">
        <v>3837</v>
      </c>
      <c r="B7933" s="0" t="str">
        <f aca="false">HYPERLINK("https://lindat.mff.cuni.cz/services/teitok/pdtc10/index.php?action=vallex&amp;frame=v-w494f1", "dívat se (v-w494f1) - substituted with v-w494f11_ZU")</f>
        <v>dívat se (v-w494f1) - substituted with v-w494f11_ZU</v>
      </c>
      <c r="E7933" s="0" t="str">
        <f aca="false">HYPERLINK("https://lindat.mff.cuni.cz/services/SynSemClass40/SynSemClass40.html?veclass=vec00310#vec00310-ces-cm00004", "vec00310")</f>
        <v>vec00310</v>
      </c>
      <c r="F7933" s="0" t="s">
        <v>3839</v>
      </c>
    </row>
    <row r="7934" customFormat="false" ht="12.8" hidden="false" customHeight="false" outlineLevel="0" collapsed="false">
      <c r="B7934" s="0" t="s">
        <v>1</v>
      </c>
      <c r="C7934" s="0" t="s">
        <v>1745</v>
      </c>
      <c r="E7934" s="0" t="s">
        <v>3840</v>
      </c>
      <c r="F7934" s="0" t="s">
        <v>3841</v>
      </c>
    </row>
    <row r="7935" customFormat="false" ht="12.8" hidden="false" customHeight="false" outlineLevel="0" collapsed="false">
      <c r="B7935" s="0" t="s">
        <v>3838</v>
      </c>
      <c r="C7935" s="0" t="s">
        <v>571</v>
      </c>
      <c r="E7935" s="0" t="s">
        <v>180</v>
      </c>
      <c r="F7935" s="0" t="s">
        <v>3842</v>
      </c>
    </row>
    <row r="7937" customFormat="false" ht="12.8" hidden="false" customHeight="false" outlineLevel="0" collapsed="false">
      <c r="A7937" s="0" t="s">
        <v>3837</v>
      </c>
      <c r="B7937" s="0" t="str">
        <f aca="false">HYPERLINK("https://lindat.mff.cuni.cz/services/teitok/pdtc10/index.php?action=vallex&amp;frame=v-w494f7_ZU", "dívat se (v-w494f7_ZU) - substituted with v-w494f11_ZU")</f>
        <v>dívat se (v-w494f7_ZU) - substituted with v-w494f11_ZU</v>
      </c>
    </row>
    <row r="7938" customFormat="false" ht="12.8" hidden="false" customHeight="false" outlineLevel="0" collapsed="false">
      <c r="B7938" s="0" t="s">
        <v>1</v>
      </c>
    </row>
    <row r="7939" customFormat="false" ht="12.8" hidden="false" customHeight="false" outlineLevel="0" collapsed="false">
      <c r="B7939" s="0" t="s">
        <v>3838</v>
      </c>
    </row>
    <row r="7941" customFormat="false" ht="12.8" hidden="false" customHeight="false" outlineLevel="0" collapsed="false">
      <c r="A7941" s="0" t="s">
        <v>3837</v>
      </c>
      <c r="B7941" s="0" t="str">
        <f aca="false">HYPERLINK("https://lindat.mff.cuni.cz/services/teitok/pdtc10/index.php?action=vallex&amp;frame=v-w494f8_ZU", "dívat se (v-w494f8_ZU) - substituted with v-w494f11_ZU")</f>
        <v>dívat se (v-w494f8_ZU) - substituted with v-w494f11_ZU</v>
      </c>
    </row>
    <row r="7942" customFormat="false" ht="12.8" hidden="false" customHeight="false" outlineLevel="0" collapsed="false">
      <c r="B7942" s="0" t="s">
        <v>1</v>
      </c>
    </row>
    <row r="7943" customFormat="false" ht="12.8" hidden="false" customHeight="false" outlineLevel="0" collapsed="false">
      <c r="B7943" s="0" t="s">
        <v>3838</v>
      </c>
    </row>
    <row r="7945" customFormat="false" ht="12.8" hidden="false" customHeight="false" outlineLevel="0" collapsed="false">
      <c r="A7945" s="0" t="s">
        <v>3837</v>
      </c>
      <c r="B7945" s="0" t="str">
        <f aca="false">HYPERLINK("https://lindat.mff.cuni.cz/services/teitok/pdtc10/index.php?action=vallex&amp;frame=v-w494f9_ZU", "dívat se (v-w494f9_ZU) - substituted with v-w494f11_ZU")</f>
        <v>dívat se (v-w494f9_ZU) - substituted with v-w494f11_ZU</v>
      </c>
    </row>
    <row r="7946" customFormat="false" ht="12.8" hidden="false" customHeight="false" outlineLevel="0" collapsed="false">
      <c r="B7946" s="0" t="s">
        <v>1</v>
      </c>
    </row>
    <row r="7947" customFormat="false" ht="12.8" hidden="false" customHeight="false" outlineLevel="0" collapsed="false">
      <c r="B7947" s="0" t="s">
        <v>3838</v>
      </c>
    </row>
    <row r="7949" customFormat="false" ht="12.8" hidden="false" customHeight="false" outlineLevel="0" collapsed="false">
      <c r="A7949" s="0" t="s">
        <v>3843</v>
      </c>
      <c r="B7949" s="0" t="str">
        <f aca="false">HYPERLINK("https://lindat.mff.cuni.cz/services/teitok/pdtc10/index.php?action=vallex&amp;frame=v-w494f2", "dívat se (v-w494f2)")</f>
        <v>dívat se (v-w494f2)</v>
      </c>
      <c r="E7949" s="0" t="str">
        <f aca="false">HYPERLINK("https://lindat.mff.cuni.cz/services/SynSemClass40/SynSemClass40.html?veclass=vec00402#vec00402-ces-cm00023", "vec00402")</f>
        <v>vec00402</v>
      </c>
      <c r="F7949" s="0" t="s">
        <v>619</v>
      </c>
    </row>
    <row r="7950" customFormat="false" ht="12.8" hidden="false" customHeight="false" outlineLevel="0" collapsed="false">
      <c r="B7950" s="0" t="s">
        <v>1</v>
      </c>
      <c r="C7950" s="0" t="s">
        <v>620</v>
      </c>
      <c r="E7950" s="0" t="s">
        <v>621</v>
      </c>
      <c r="F7950" s="0" t="s">
        <v>622</v>
      </c>
    </row>
    <row r="7951" customFormat="false" ht="12.8" hidden="false" customHeight="false" outlineLevel="0" collapsed="false">
      <c r="B7951" s="0" t="s">
        <v>45</v>
      </c>
      <c r="C7951" s="0" t="s">
        <v>623</v>
      </c>
      <c r="E7951" s="0" t="s">
        <v>180</v>
      </c>
      <c r="F7951" s="0" t="s">
        <v>624</v>
      </c>
    </row>
    <row r="7952" customFormat="false" ht="12.8" hidden="false" customHeight="false" outlineLevel="0" collapsed="false">
      <c r="B7952" s="0" t="s">
        <v>3844</v>
      </c>
      <c r="C7952" s="0" t="s">
        <v>3845</v>
      </c>
      <c r="E7952" s="0" t="s">
        <v>3846</v>
      </c>
      <c r="F7952" s="0" t="s">
        <v>3847</v>
      </c>
    </row>
    <row r="7953" customFormat="false" ht="12.8" hidden="false" customHeight="false" outlineLevel="0" collapsed="false">
      <c r="B7953" s="0" t="s">
        <v>642</v>
      </c>
      <c r="C7953" s="0" t="s">
        <v>3848</v>
      </c>
      <c r="E7953" s="0" t="s">
        <v>3846</v>
      </c>
      <c r="F7953" s="0" t="s">
        <v>3847</v>
      </c>
    </row>
    <row r="7954" customFormat="false" ht="12.8" hidden="false" customHeight="false" outlineLevel="0" collapsed="false">
      <c r="B7954" s="0" t="s">
        <v>648</v>
      </c>
      <c r="C7954" s="0" t="s">
        <v>3849</v>
      </c>
      <c r="E7954" s="0" t="s">
        <v>3846</v>
      </c>
      <c r="F7954" s="0" t="s">
        <v>3847</v>
      </c>
    </row>
    <row r="7955" customFormat="false" ht="12.8" hidden="false" customHeight="false" outlineLevel="0" collapsed="false">
      <c r="B7955" s="0" t="s">
        <v>650</v>
      </c>
      <c r="C7955" s="0" t="s">
        <v>3850</v>
      </c>
      <c r="E7955" s="0" t="s">
        <v>3846</v>
      </c>
      <c r="F7955" s="0" t="s">
        <v>3847</v>
      </c>
    </row>
    <row r="7956" customFormat="false" ht="12.8" hidden="false" customHeight="false" outlineLevel="0" collapsed="false">
      <c r="B7956" s="0" t="s">
        <v>652</v>
      </c>
      <c r="C7956" s="0" t="s">
        <v>3851</v>
      </c>
      <c r="E7956" s="0" t="s">
        <v>3846</v>
      </c>
      <c r="F7956" s="0" t="s">
        <v>3847</v>
      </c>
    </row>
    <row r="7958" customFormat="false" ht="12.8" hidden="false" customHeight="false" outlineLevel="0" collapsed="false">
      <c r="A7958" s="0" t="s">
        <v>3852</v>
      </c>
      <c r="B7958" s="0" t="str">
        <f aca="false">HYPERLINK("https://lindat.mff.cuni.cz/services/teitok/pdtc10/index.php?action=vallex&amp;frame=v-w494f4", "dívat se (v-w494f4)")</f>
        <v>dívat se (v-w494f4)</v>
      </c>
    </row>
    <row r="7959" customFormat="false" ht="12.8" hidden="false" customHeight="false" outlineLevel="0" collapsed="false">
      <c r="B7959" s="0" t="s">
        <v>1</v>
      </c>
    </row>
    <row r="7960" customFormat="false" ht="12.8" hidden="false" customHeight="false" outlineLevel="0" collapsed="false">
      <c r="B7960" s="0" t="s">
        <v>45</v>
      </c>
    </row>
    <row r="7962" customFormat="false" ht="12.8" hidden="false" customHeight="false" outlineLevel="0" collapsed="false">
      <c r="A7962" s="0" t="s">
        <v>3853</v>
      </c>
      <c r="B7962" s="0" t="str">
        <f aca="false">HYPERLINK("https://lindat.mff.cuni.cz/services/teitok/pdtc10/index.php?action=vallex&amp;frame=v-w494f5_ZU", "dívat se (v-w494f5_ZU)")</f>
        <v>dívat se (v-w494f5_ZU)</v>
      </c>
      <c r="E7962" s="0" t="str">
        <f aca="false">HYPERLINK("https://lindat.mff.cuni.cz/services/SynSemClass40/SynSemClass40.html?veclass=vec00021#vec00021-ces-cm00072", "vec00021")</f>
        <v>vec00021</v>
      </c>
      <c r="F7962" s="0" t="s">
        <v>2261</v>
      </c>
    </row>
    <row r="7963" customFormat="false" ht="12.8" hidden="false" customHeight="false" outlineLevel="0" collapsed="false">
      <c r="B7963" s="0" t="s">
        <v>1</v>
      </c>
      <c r="C7963" s="0" t="s">
        <v>2262</v>
      </c>
      <c r="E7963" s="0" t="s">
        <v>2263</v>
      </c>
      <c r="F7963" s="0" t="s">
        <v>2264</v>
      </c>
    </row>
    <row r="7964" customFormat="false" ht="12.8" hidden="false" customHeight="false" outlineLevel="0" collapsed="false">
      <c r="B7964" s="0" t="s">
        <v>1659</v>
      </c>
      <c r="C7964" s="0" t="s">
        <v>2266</v>
      </c>
      <c r="E7964" s="0" t="s">
        <v>2267</v>
      </c>
      <c r="F7964" s="0" t="s">
        <v>2268</v>
      </c>
    </row>
    <row r="7966" customFormat="false" ht="12.8" hidden="false" customHeight="false" outlineLevel="0" collapsed="false">
      <c r="A7966" s="0" t="s">
        <v>3854</v>
      </c>
      <c r="B7966" s="0" t="str">
        <f aca="false">HYPERLINK("https://lindat.mff.cuni.cz/services/teitok/pdtc10/index.php?action=vallex&amp;frame=v-w494f13_ZU", "dívat se (v-w494f13_ZU)")</f>
        <v>dívat se (v-w494f13_ZU)</v>
      </c>
    </row>
    <row r="7967" customFormat="false" ht="12.8" hidden="false" customHeight="false" outlineLevel="0" collapsed="false">
      <c r="B7967" s="0" t="s">
        <v>1</v>
      </c>
    </row>
    <row r="7968" customFormat="false" ht="12.8" hidden="false" customHeight="false" outlineLevel="0" collapsed="false">
      <c r="B7968" s="0" t="s">
        <v>164</v>
      </c>
    </row>
    <row r="7970" customFormat="false" ht="12.8" hidden="false" customHeight="false" outlineLevel="0" collapsed="false">
      <c r="A7970" s="0" t="s">
        <v>3854</v>
      </c>
      <c r="B7970" s="0" t="str">
        <f aca="false">HYPERLINK("https://lindat.mff.cuni.cz/services/teitok/pdtc10/index.php?action=vallex&amp;frame=v-w494f3", "dívat se (v-w494f3) - substituted with v-w494f13_ZU")</f>
        <v>dívat se (v-w494f3) - substituted with v-w494f13_ZU</v>
      </c>
      <c r="E7970" s="0" t="str">
        <f aca="false">HYPERLINK("https://lindat.mff.cuni.cz/services/SynSemClass40/SynSemClass40.html?veclass=vec00869#vec00869-ces-cm00004", "vec00869")</f>
        <v>vec00869</v>
      </c>
      <c r="F7970" s="0" t="s">
        <v>3855</v>
      </c>
    </row>
    <row r="7971" customFormat="false" ht="12.8" hidden="false" customHeight="false" outlineLevel="0" collapsed="false">
      <c r="B7971" s="0" t="s">
        <v>1</v>
      </c>
      <c r="C7971" s="0" t="s">
        <v>3727</v>
      </c>
      <c r="E7971" s="0" t="s">
        <v>3856</v>
      </c>
      <c r="F7971" s="0" t="s">
        <v>3857</v>
      </c>
    </row>
    <row r="7972" customFormat="false" ht="12.8" hidden="false" customHeight="false" outlineLevel="0" collapsed="false">
      <c r="B7972" s="0" t="s">
        <v>164</v>
      </c>
      <c r="C7972" s="0" t="s">
        <v>3858</v>
      </c>
      <c r="E7972" s="0" t="s">
        <v>388</v>
      </c>
      <c r="F7972" s="0" t="s">
        <v>3859</v>
      </c>
    </row>
    <row r="7974" customFormat="false" ht="12.8" hidden="false" customHeight="false" outlineLevel="0" collapsed="false">
      <c r="A7974" s="0" t="s">
        <v>3860</v>
      </c>
      <c r="B7974" s="0" t="str">
        <f aca="false">HYPERLINK("https://lindat.mff.cuni.cz/services/teitok/pdtc10/index.php?action=vallex&amp;frame=v-w494f6_ZU", "dívat se (v-w494f6_ZU)")</f>
        <v>dívat se (v-w494f6_ZU)</v>
      </c>
    </row>
    <row r="7975" customFormat="false" ht="12.8" hidden="false" customHeight="false" outlineLevel="0" collapsed="false">
      <c r="B7975" s="0" t="s">
        <v>1</v>
      </c>
    </row>
    <row r="7976" customFormat="false" ht="12.8" hidden="false" customHeight="false" outlineLevel="0" collapsed="false">
      <c r="B7976" s="0" t="s">
        <v>186</v>
      </c>
    </row>
    <row r="7977" customFormat="false" ht="12.8" hidden="false" customHeight="false" outlineLevel="0" collapsed="false">
      <c r="B7977" s="0" t="s">
        <v>3861</v>
      </c>
    </row>
    <row r="7979" customFormat="false" ht="12.8" hidden="false" customHeight="false" outlineLevel="0" collapsed="false">
      <c r="A7979" s="0" t="s">
        <v>3860</v>
      </c>
      <c r="B7979" s="0" t="str">
        <f aca="false">HYPERLINK("https://lindat.mff.cuni.cz/services/teitok/pdtc10/index.php?action=vallex&amp;frame=v-w494hsa_1065", "dívat se (v-w494hsa_1065) - substituted with v-w494f6_ZU")</f>
        <v>dívat se (v-w494hsa_1065) - substituted with v-w494f6_ZU</v>
      </c>
    </row>
    <row r="7980" customFormat="false" ht="12.8" hidden="false" customHeight="false" outlineLevel="0" collapsed="false">
      <c r="B7980" s="0" t="s">
        <v>1</v>
      </c>
    </row>
    <row r="7981" customFormat="false" ht="12.8" hidden="false" customHeight="false" outlineLevel="0" collapsed="false">
      <c r="B7981" s="0" t="s">
        <v>186</v>
      </c>
    </row>
    <row r="7982" customFormat="false" ht="12.8" hidden="false" customHeight="false" outlineLevel="0" collapsed="false">
      <c r="B7982" s="0" t="s">
        <v>3861</v>
      </c>
    </row>
    <row r="7984" customFormat="false" ht="12.8" hidden="false" customHeight="false" outlineLevel="0" collapsed="false">
      <c r="A7984" s="0" t="s">
        <v>3862</v>
      </c>
      <c r="B7984" s="0" t="str">
        <f aca="false">HYPERLINK("https://lindat.mff.cuni.cz/services/teitok/pdtc10/index.php?action=vallex&amp;frame=v-w494f12_ZU", "dívat se (v-w494f12_ZU)")</f>
        <v>dívat se (v-w494f12_ZU)</v>
      </c>
    </row>
    <row r="7985" customFormat="false" ht="12.8" hidden="false" customHeight="false" outlineLevel="0" collapsed="false">
      <c r="B7985" s="0" t="s">
        <v>1</v>
      </c>
    </row>
    <row r="7986" customFormat="false" ht="12.8" hidden="false" customHeight="false" outlineLevel="0" collapsed="false">
      <c r="B7986" s="0" t="s">
        <v>45</v>
      </c>
    </row>
    <row r="7987" customFormat="false" ht="12.8" hidden="false" customHeight="false" outlineLevel="0" collapsed="false">
      <c r="B7987" s="0" t="s">
        <v>3863</v>
      </c>
    </row>
    <row r="7989" customFormat="false" ht="12.8" hidden="false" customHeight="false" outlineLevel="0" collapsed="false">
      <c r="A7989" s="0" t="s">
        <v>3862</v>
      </c>
      <c r="B7989" s="0" t="str">
        <f aca="false">HYPERLINK("https://lindat.mff.cuni.cz/services/teitok/pdtc10/index.php?action=vallex&amp;frame=v-w494f10_ZU", "dívat se (v-w494f10_ZU) - substituted with v-w494f12_ZU")</f>
        <v>dívat se (v-w494f10_ZU) - substituted with v-w494f12_ZU</v>
      </c>
    </row>
    <row r="7990" customFormat="false" ht="12.8" hidden="false" customHeight="false" outlineLevel="0" collapsed="false">
      <c r="B7990" s="0" t="s">
        <v>1</v>
      </c>
    </row>
    <row r="7991" customFormat="false" ht="12.8" hidden="false" customHeight="false" outlineLevel="0" collapsed="false">
      <c r="B7991" s="0" t="s">
        <v>45</v>
      </c>
    </row>
    <row r="7992" customFormat="false" ht="12.8" hidden="false" customHeight="false" outlineLevel="0" collapsed="false">
      <c r="B7992" s="0" t="s">
        <v>3863</v>
      </c>
    </row>
    <row r="7994" customFormat="false" ht="12.8" hidden="false" customHeight="false" outlineLevel="0" collapsed="false">
      <c r="A7994" s="0" t="s">
        <v>3864</v>
      </c>
      <c r="B7994" s="0" t="str">
        <f aca="false">HYPERLINK("https://lindat.mff.cuni.cz/services/teitok/pdtc10/index.php?action=vallex&amp;frame=v-w862f2", "dýchat (v-w862f2)")</f>
        <v>dýchat (v-w862f2)</v>
      </c>
    </row>
    <row r="7995" customFormat="false" ht="12.8" hidden="false" customHeight="false" outlineLevel="0" collapsed="false">
      <c r="B7995" s="0" t="s">
        <v>1</v>
      </c>
    </row>
    <row r="7996" customFormat="false" ht="12.8" hidden="false" customHeight="false" outlineLevel="0" collapsed="false">
      <c r="B7996" s="0" t="s">
        <v>8</v>
      </c>
    </row>
    <row r="7998" customFormat="false" ht="12.8" hidden="false" customHeight="false" outlineLevel="0" collapsed="false">
      <c r="A7998" s="0" t="s">
        <v>3865</v>
      </c>
      <c r="B7998" s="0" t="str">
        <f aca="false">HYPERLINK("https://lindat.mff.cuni.cz/services/teitok/pdtc10/index.php?action=vallex&amp;frame=v-w862f5_ZU", "dýchat (v-w862f5_ZU)")</f>
        <v>dýchat (v-w862f5_ZU)</v>
      </c>
    </row>
    <row r="7999" customFormat="false" ht="12.8" hidden="false" customHeight="false" outlineLevel="0" collapsed="false">
      <c r="B7999" s="0" t="s">
        <v>1</v>
      </c>
    </row>
    <row r="8001" customFormat="false" ht="12.8" hidden="false" customHeight="false" outlineLevel="0" collapsed="false">
      <c r="A8001" s="0" t="s">
        <v>3865</v>
      </c>
      <c r="B8001" s="0" t="str">
        <f aca="false">HYPERLINK("https://lindat.mff.cuni.cz/services/teitok/pdtc10/index.php?action=vallex&amp;frame=v-w862f1", "dýchat (v-w862f1) - substituted with v-w862f5_ZU")</f>
        <v>dýchat (v-w862f1) - substituted with v-w862f5_ZU</v>
      </c>
      <c r="E8001" s="0" t="str">
        <f aca="false">HYPERLINK("https://lindat.mff.cuni.cz/services/SynSemClass40/SynSemClass40.html?veclass=vec01019#vec01019-ces-cm00001", "vec01019")</f>
        <v>vec01019</v>
      </c>
      <c r="F8001" s="0" t="s">
        <v>3866</v>
      </c>
    </row>
    <row r="8002" customFormat="false" ht="12.8" hidden="false" customHeight="false" outlineLevel="0" collapsed="false">
      <c r="B8002" s="0" t="s">
        <v>1</v>
      </c>
      <c r="C8002" s="0" t="s">
        <v>3000</v>
      </c>
      <c r="E8002" s="0" t="s">
        <v>11</v>
      </c>
      <c r="F8002" s="0" t="s">
        <v>3867</v>
      </c>
    </row>
    <row r="8004" customFormat="false" ht="12.8" hidden="false" customHeight="false" outlineLevel="0" collapsed="false">
      <c r="A8004" s="0" t="s">
        <v>3865</v>
      </c>
      <c r="B8004" s="0" t="str">
        <f aca="false">HYPERLINK("https://lindat.mff.cuni.cz/services/teitok/pdtc10/index.php?action=vallex&amp;frame=v-w862f4_ZU", "dýchat (v-w862f4_ZU) - substituted with v-w862f5_ZU")</f>
        <v>dýchat (v-w862f4_ZU) - substituted with v-w862f5_ZU</v>
      </c>
    </row>
    <row r="8005" customFormat="false" ht="12.8" hidden="false" customHeight="false" outlineLevel="0" collapsed="false">
      <c r="B8005" s="0" t="s">
        <v>1</v>
      </c>
    </row>
    <row r="8007" customFormat="false" ht="12.8" hidden="false" customHeight="false" outlineLevel="0" collapsed="false">
      <c r="A8007" s="0" t="s">
        <v>3868</v>
      </c>
      <c r="B8007" s="0" t="str">
        <f aca="false">HYPERLINK("https://lindat.mff.cuni.cz/services/teitok/pdtc10/index.php?action=vallex&amp;frame=v-w862f3_ZU", "dýchat (v-w862f3_ZU)")</f>
        <v>dýchat (v-w862f3_ZU)</v>
      </c>
    </row>
    <row r="8008" customFormat="false" ht="12.8" hidden="false" customHeight="false" outlineLevel="0" collapsed="false">
      <c r="B8008" s="0" t="s">
        <v>1</v>
      </c>
    </row>
    <row r="8009" customFormat="false" ht="12.8" hidden="false" customHeight="false" outlineLevel="0" collapsed="false">
      <c r="B8009" s="0" t="s">
        <v>3869</v>
      </c>
    </row>
    <row r="8010" customFormat="false" ht="12.8" hidden="false" customHeight="false" outlineLevel="0" collapsed="false">
      <c r="B8010" s="0" t="s">
        <v>186</v>
      </c>
    </row>
    <row r="8012" customFormat="false" ht="12.8" hidden="false" customHeight="false" outlineLevel="0" collapsed="false">
      <c r="A8012" s="0" t="s">
        <v>3868</v>
      </c>
      <c r="B8012" s="0" t="str">
        <f aca="false">HYPERLINK("https://lindat.mff.cuni.cz/services/teitok/pdtc10/index.php?action=vallex&amp;frame=v-w862hsa_75", "dýchat (v-w862hsa_75) - substituted with v-w862f3_ZU")</f>
        <v>dýchat (v-w862hsa_75) - substituted with v-w862f3_ZU</v>
      </c>
    </row>
    <row r="8013" customFormat="false" ht="12.8" hidden="false" customHeight="false" outlineLevel="0" collapsed="false">
      <c r="B8013" s="0" t="s">
        <v>1</v>
      </c>
    </row>
    <row r="8014" customFormat="false" ht="12.8" hidden="false" customHeight="false" outlineLevel="0" collapsed="false">
      <c r="B8014" s="0" t="s">
        <v>3869</v>
      </c>
    </row>
    <row r="8015" customFormat="false" ht="12.8" hidden="false" customHeight="false" outlineLevel="0" collapsed="false">
      <c r="B8015" s="0" t="s">
        <v>186</v>
      </c>
    </row>
    <row r="8017" customFormat="false" ht="12.8" hidden="false" customHeight="false" outlineLevel="0" collapsed="false">
      <c r="A8017" s="0" t="s">
        <v>3870</v>
      </c>
      <c r="B8017" s="0" t="str">
        <f aca="false">HYPERLINK("https://lindat.mff.cuni.cz/services/teitok/pdtc10/index.php?action=vallex&amp;frame=v-w862hsa_1182", "dýchat (v-w862hsa_1182)")</f>
        <v>dýchat (v-w862hsa_1182)</v>
      </c>
    </row>
    <row r="8018" customFormat="false" ht="12.8" hidden="false" customHeight="false" outlineLevel="0" collapsed="false">
      <c r="B8018" s="0" t="s">
        <v>1</v>
      </c>
    </row>
    <row r="8019" customFormat="false" ht="12.8" hidden="false" customHeight="false" outlineLevel="0" collapsed="false">
      <c r="B8019" s="0" t="s">
        <v>45</v>
      </c>
    </row>
    <row r="8021" customFormat="false" ht="12.8" hidden="false" customHeight="false" outlineLevel="0" collapsed="false">
      <c r="A8021" s="0" t="s">
        <v>3871</v>
      </c>
      <c r="B8021" s="0" t="str">
        <f aca="false">HYPERLINK("https://lindat.mff.cuni.cz/services/teitok/pdtc10/index.php?action=vallex&amp;frame=v-w862hsa_1183", "dýchat (v-w862hsa_1183)")</f>
        <v>dýchat (v-w862hsa_1183)</v>
      </c>
    </row>
    <row r="8022" customFormat="false" ht="12.8" hidden="false" customHeight="false" outlineLevel="0" collapsed="false">
      <c r="B8022" s="0" t="s">
        <v>1</v>
      </c>
    </row>
    <row r="8023" customFormat="false" ht="12.8" hidden="false" customHeight="false" outlineLevel="0" collapsed="false">
      <c r="B8023" s="0" t="s">
        <v>286</v>
      </c>
    </row>
    <row r="8025" customFormat="false" ht="12.8" hidden="false" customHeight="false" outlineLevel="0" collapsed="false">
      <c r="A8025" s="0" t="s">
        <v>3872</v>
      </c>
      <c r="B8025" s="0" t="str">
        <f aca="false">HYPERLINK("https://lindat.mff.cuni.cz/services/teitok/pdtc10/index.php?action=vallex&amp;frame=v-w10147f3_ZU", "dědit (v-w10147f3_ZU)")</f>
        <v>dědit (v-w10147f3_ZU)</v>
      </c>
      <c r="E8025" s="0" t="str">
        <f aca="false">HYPERLINK("https://lindat.mff.cuni.cz/services/SynSemClass40/SynSemClass40.html?veclass=vec00584#vec00584-ces-cm00002", "vec00584")</f>
        <v>vec00584</v>
      </c>
      <c r="F8025" s="0" t="s">
        <v>3873</v>
      </c>
    </row>
    <row r="8026" customFormat="false" ht="12.8" hidden="false" customHeight="false" outlineLevel="0" collapsed="false">
      <c r="B8026" s="0" t="s">
        <v>1</v>
      </c>
      <c r="C8026" s="0" t="s">
        <v>825</v>
      </c>
      <c r="E8026" s="0" t="s">
        <v>1567</v>
      </c>
      <c r="F8026" s="0" t="s">
        <v>3874</v>
      </c>
    </row>
    <row r="8027" customFormat="false" ht="12.8" hidden="false" customHeight="false" outlineLevel="0" collapsed="false">
      <c r="B8027" s="0" t="s">
        <v>8</v>
      </c>
      <c r="C8027" s="0" t="s">
        <v>449</v>
      </c>
      <c r="E8027" s="0" t="s">
        <v>3875</v>
      </c>
      <c r="F8027" s="0" t="s">
        <v>3876</v>
      </c>
    </row>
    <row r="8029" customFormat="false" ht="12.8" hidden="false" customHeight="false" outlineLevel="0" collapsed="false">
      <c r="A8029" s="0" t="s">
        <v>3872</v>
      </c>
      <c r="B8029" s="0" t="str">
        <f aca="false">HYPERLINK("https://lindat.mff.cuni.cz/services/teitok/pdtc10/index.php?action=vallex&amp;frame=v-w10147f2", "dědit (v-w10147f2) - substituted with v-w10147f3_ZU")</f>
        <v>dědit (v-w10147f2) - substituted with v-w10147f3_ZU</v>
      </c>
    </row>
    <row r="8030" customFormat="false" ht="12.8" hidden="false" customHeight="false" outlineLevel="0" collapsed="false">
      <c r="B8030" s="0" t="s">
        <v>1</v>
      </c>
    </row>
    <row r="8031" customFormat="false" ht="12.8" hidden="false" customHeight="false" outlineLevel="0" collapsed="false">
      <c r="B8031" s="0" t="s">
        <v>8</v>
      </c>
    </row>
    <row r="8033" customFormat="false" ht="12.8" hidden="false" customHeight="false" outlineLevel="0" collapsed="false">
      <c r="A8033" s="0" t="s">
        <v>3877</v>
      </c>
      <c r="B8033" s="0" t="str">
        <f aca="false">HYPERLINK("https://lindat.mff.cuni.cz/services/teitok/pdtc10/index.php?action=vallex&amp;frame=v-w406f1", "děkovat (v-w406f1)")</f>
        <v>děkovat (v-w406f1)</v>
      </c>
      <c r="E8033" s="0" t="str">
        <f aca="false">HYPERLINK("https://lindat.mff.cuni.cz/services/SynSemClass40/SynSemClass40.html?veclass=vec00065#vec00065-ces-cm00002", "vec00065")</f>
        <v>vec00065</v>
      </c>
      <c r="F8033" s="0" t="s">
        <v>3878</v>
      </c>
    </row>
    <row r="8034" customFormat="false" ht="12.8" hidden="false" customHeight="false" outlineLevel="0" collapsed="false">
      <c r="B8034" s="0" t="s">
        <v>1</v>
      </c>
      <c r="C8034" s="0" t="s">
        <v>512</v>
      </c>
      <c r="E8034" s="0" t="s">
        <v>155</v>
      </c>
      <c r="F8034" s="0" t="s">
        <v>3879</v>
      </c>
    </row>
    <row r="8035" customFormat="false" ht="12.8" hidden="false" customHeight="false" outlineLevel="0" collapsed="false">
      <c r="B8035" s="0" t="s">
        <v>52</v>
      </c>
      <c r="C8035" s="0" t="s">
        <v>3880</v>
      </c>
      <c r="E8035" s="0" t="s">
        <v>53</v>
      </c>
      <c r="F8035" s="0" t="s">
        <v>3881</v>
      </c>
    </row>
    <row r="8036" customFormat="false" ht="12.8" hidden="false" customHeight="false" outlineLevel="0" collapsed="false">
      <c r="B8036" s="0" t="s">
        <v>313</v>
      </c>
      <c r="C8036" s="0" t="s">
        <v>3882</v>
      </c>
      <c r="E8036" s="0" t="s">
        <v>1389</v>
      </c>
      <c r="F8036" s="0" t="s">
        <v>3883</v>
      </c>
    </row>
    <row r="8038" customFormat="false" ht="12.8" hidden="false" customHeight="false" outlineLevel="0" collapsed="false">
      <c r="A8038" s="0" t="s">
        <v>3884</v>
      </c>
      <c r="B8038" s="0" t="str">
        <f aca="false">HYPERLINK("https://lindat.mff.cuni.cz/services/teitok/pdtc10/index.php?action=vallex&amp;frame=v-w409f11", "dělat (v-w409f11)")</f>
        <v>dělat (v-w409f11)</v>
      </c>
    </row>
    <row r="8039" customFormat="false" ht="12.8" hidden="false" customHeight="false" outlineLevel="0" collapsed="false">
      <c r="B8039" s="0" t="s">
        <v>345</v>
      </c>
    </row>
    <row r="8040" customFormat="false" ht="12.8" hidden="false" customHeight="false" outlineLevel="0" collapsed="false">
      <c r="B8040" s="0" t="s">
        <v>8</v>
      </c>
    </row>
    <row r="8041" customFormat="false" ht="12.8" hidden="false" customHeight="false" outlineLevel="0" collapsed="false">
      <c r="B8041" s="0" t="s">
        <v>52</v>
      </c>
    </row>
    <row r="8043" customFormat="false" ht="12.8" hidden="false" customHeight="false" outlineLevel="0" collapsed="false">
      <c r="A8043" s="0" t="s">
        <v>3885</v>
      </c>
      <c r="B8043" s="0" t="str">
        <f aca="false">HYPERLINK("https://lindat.mff.cuni.cz/services/teitok/pdtc10/index.php?action=vallex&amp;frame=v-w409f6", "dělat (v-w409f6)")</f>
        <v>dělat (v-w409f6)</v>
      </c>
    </row>
    <row r="8044" customFormat="false" ht="12.8" hidden="false" customHeight="false" outlineLevel="0" collapsed="false">
      <c r="B8044" s="0" t="s">
        <v>1</v>
      </c>
    </row>
    <row r="8045" customFormat="false" ht="12.8" hidden="false" customHeight="false" outlineLevel="0" collapsed="false">
      <c r="B8045" s="0" t="s">
        <v>8</v>
      </c>
    </row>
    <row r="8046" customFormat="false" ht="12.8" hidden="false" customHeight="false" outlineLevel="0" collapsed="false">
      <c r="B8046" s="0" t="s">
        <v>52</v>
      </c>
    </row>
    <row r="8048" customFormat="false" ht="12.8" hidden="false" customHeight="false" outlineLevel="0" collapsed="false">
      <c r="A8048" s="0" t="s">
        <v>3886</v>
      </c>
      <c r="B8048" s="0" t="str">
        <f aca="false">HYPERLINK("https://lindat.mff.cuni.cz/services/teitok/pdtc10/index.php?action=vallex&amp;frame=v-w409f7", "dělat (v-w409f7)")</f>
        <v>dělat (v-w409f7)</v>
      </c>
    </row>
    <row r="8049" customFormat="false" ht="12.8" hidden="false" customHeight="false" outlineLevel="0" collapsed="false">
      <c r="B8049" s="0" t="s">
        <v>1</v>
      </c>
    </row>
    <row r="8050" customFormat="false" ht="12.8" hidden="false" customHeight="false" outlineLevel="0" collapsed="false">
      <c r="B8050" s="0" t="s">
        <v>8</v>
      </c>
    </row>
    <row r="8051" customFormat="false" ht="12.8" hidden="false" customHeight="false" outlineLevel="0" collapsed="false">
      <c r="B8051" s="0" t="s">
        <v>276</v>
      </c>
    </row>
    <row r="8053" customFormat="false" ht="12.8" hidden="false" customHeight="false" outlineLevel="0" collapsed="false">
      <c r="A8053" s="0" t="s">
        <v>3887</v>
      </c>
      <c r="B8053" s="0" t="str">
        <f aca="false">HYPERLINK("https://lindat.mff.cuni.cz/services/teitok/pdtc10/index.php?action=vallex&amp;frame=v-w409f17", "dělat (v-w409f17)")</f>
        <v>dělat (v-w409f17)</v>
      </c>
    </row>
    <row r="8054" customFormat="false" ht="12.8" hidden="false" customHeight="false" outlineLevel="0" collapsed="false">
      <c r="B8054" s="0" t="s">
        <v>1</v>
      </c>
    </row>
    <row r="8055" customFormat="false" ht="12.8" hidden="false" customHeight="false" outlineLevel="0" collapsed="false">
      <c r="B8055" s="0" t="s">
        <v>8</v>
      </c>
    </row>
    <row r="8056" customFormat="false" ht="12.8" hidden="false" customHeight="false" outlineLevel="0" collapsed="false">
      <c r="B8056" s="0" t="s">
        <v>36</v>
      </c>
    </row>
    <row r="8057" customFormat="false" ht="12.8" hidden="false" customHeight="false" outlineLevel="0" collapsed="false">
      <c r="B8057" s="0" t="s">
        <v>40</v>
      </c>
    </row>
    <row r="8059" customFormat="false" ht="12.8" hidden="false" customHeight="false" outlineLevel="0" collapsed="false">
      <c r="A8059" s="0" t="s">
        <v>3888</v>
      </c>
      <c r="B8059" s="0" t="str">
        <f aca="false">HYPERLINK("https://lindat.mff.cuni.cz/services/teitok/pdtc10/index.php?action=vallex&amp;frame=v-w409f10", "dělat (v-w409f10)")</f>
        <v>dělat (v-w409f10)</v>
      </c>
    </row>
    <row r="8060" customFormat="false" ht="12.8" hidden="false" customHeight="false" outlineLevel="0" collapsed="false">
      <c r="B8060" s="0" t="s">
        <v>1</v>
      </c>
    </row>
    <row r="8061" customFormat="false" ht="12.8" hidden="false" customHeight="false" outlineLevel="0" collapsed="false">
      <c r="B8061" s="0" t="s">
        <v>8</v>
      </c>
    </row>
    <row r="8062" customFormat="false" ht="12.8" hidden="false" customHeight="false" outlineLevel="0" collapsed="false">
      <c r="B8062" s="0" t="s">
        <v>3889</v>
      </c>
    </row>
    <row r="8064" customFormat="false" ht="12.8" hidden="false" customHeight="false" outlineLevel="0" collapsed="false">
      <c r="A8064" s="0" t="s">
        <v>3890</v>
      </c>
      <c r="B8064" s="0" t="str">
        <f aca="false">HYPERLINK("https://lindat.mff.cuni.cz/services/teitok/pdtc10/index.php?action=vallex&amp;frame=v-w409f80_ZU", "dělat (v-w409f80_ZU)")</f>
        <v>dělat (v-w409f80_ZU)</v>
      </c>
    </row>
    <row r="8065" customFormat="false" ht="12.8" hidden="false" customHeight="false" outlineLevel="0" collapsed="false">
      <c r="B8065" s="0" t="s">
        <v>1</v>
      </c>
    </row>
    <row r="8066" customFormat="false" ht="12.8" hidden="false" customHeight="false" outlineLevel="0" collapsed="false">
      <c r="B8066" s="0" t="s">
        <v>59</v>
      </c>
    </row>
    <row r="8067" customFormat="false" ht="12.8" hidden="false" customHeight="false" outlineLevel="0" collapsed="false">
      <c r="B8067" s="0" t="s">
        <v>36</v>
      </c>
    </row>
    <row r="8069" customFormat="false" ht="12.8" hidden="false" customHeight="false" outlineLevel="0" collapsed="false">
      <c r="A8069" s="0" t="s">
        <v>3890</v>
      </c>
      <c r="B8069" s="0" t="str">
        <f aca="false">HYPERLINK("https://lindat.mff.cuni.cz/services/teitok/pdtc10/index.php?action=vallex&amp;frame=v-w409f2", "dělat (v-w409f2) - substituted with v-w409f80_ZU")</f>
        <v>dělat (v-w409f2) - substituted with v-w409f80_ZU</v>
      </c>
    </row>
    <row r="8070" customFormat="false" ht="12.8" hidden="false" customHeight="false" outlineLevel="0" collapsed="false">
      <c r="B8070" s="0" t="s">
        <v>1</v>
      </c>
    </row>
    <row r="8071" customFormat="false" ht="12.8" hidden="false" customHeight="false" outlineLevel="0" collapsed="false">
      <c r="B8071" s="0" t="s">
        <v>59</v>
      </c>
    </row>
    <row r="8072" customFormat="false" ht="12.8" hidden="false" customHeight="false" outlineLevel="0" collapsed="false">
      <c r="B8072" s="0" t="s">
        <v>36</v>
      </c>
    </row>
    <row r="8074" customFormat="false" ht="12.8" hidden="false" customHeight="false" outlineLevel="0" collapsed="false">
      <c r="A8074" s="0" t="s">
        <v>3890</v>
      </c>
      <c r="B8074" s="0" t="str">
        <f aca="false">HYPERLINK("https://lindat.mff.cuni.cz/services/teitok/pdtc10/index.php?action=vallex&amp;frame=v-w409f70_ZU", "dělat (v-w409f70_ZU) - substituted with v-w409f80_ZU")</f>
        <v>dělat (v-w409f70_ZU) - substituted with v-w409f80_ZU</v>
      </c>
    </row>
    <row r="8075" customFormat="false" ht="12.8" hidden="false" customHeight="false" outlineLevel="0" collapsed="false">
      <c r="B8075" s="0" t="s">
        <v>1</v>
      </c>
    </row>
    <row r="8076" customFormat="false" ht="12.8" hidden="false" customHeight="false" outlineLevel="0" collapsed="false">
      <c r="B8076" s="0" t="s">
        <v>59</v>
      </c>
    </row>
    <row r="8077" customFormat="false" ht="12.8" hidden="false" customHeight="false" outlineLevel="0" collapsed="false">
      <c r="B8077" s="0" t="s">
        <v>36</v>
      </c>
    </row>
    <row r="8079" customFormat="false" ht="12.8" hidden="false" customHeight="false" outlineLevel="0" collapsed="false">
      <c r="A8079" s="0" t="s">
        <v>3891</v>
      </c>
      <c r="B8079" s="0" t="str">
        <f aca="false">HYPERLINK("https://lindat.mff.cuni.cz/services/teitok/pdtc10/index.php?action=vallex&amp;frame=v-w409f18", "dělat (v-w409f18)")</f>
        <v>dělat (v-w409f18)</v>
      </c>
    </row>
    <row r="8080" customFormat="false" ht="12.8" hidden="false" customHeight="false" outlineLevel="0" collapsed="false">
      <c r="B8080" s="0" t="s">
        <v>1</v>
      </c>
    </row>
    <row r="8081" customFormat="false" ht="12.8" hidden="false" customHeight="false" outlineLevel="0" collapsed="false">
      <c r="B8081" s="0" t="s">
        <v>8</v>
      </c>
    </row>
    <row r="8082" customFormat="false" ht="12.8" hidden="false" customHeight="false" outlineLevel="0" collapsed="false">
      <c r="B8082" s="0" t="s">
        <v>1696</v>
      </c>
    </row>
    <row r="8083" customFormat="false" ht="12.8" hidden="false" customHeight="false" outlineLevel="0" collapsed="false">
      <c r="B8083" s="0" t="s">
        <v>36</v>
      </c>
    </row>
    <row r="8085" customFormat="false" ht="12.8" hidden="false" customHeight="false" outlineLevel="0" collapsed="false">
      <c r="A8085" s="0" t="s">
        <v>3892</v>
      </c>
      <c r="B8085" s="0" t="str">
        <f aca="false">HYPERLINK("https://lindat.mff.cuni.cz/services/teitok/pdtc10/index.php?action=vallex&amp;frame=v-w409f26", "dělat (v-w409f26)")</f>
        <v>dělat (v-w409f26)</v>
      </c>
    </row>
    <row r="8086" customFormat="false" ht="12.8" hidden="false" customHeight="false" outlineLevel="0" collapsed="false">
      <c r="B8086" s="0" t="s">
        <v>1</v>
      </c>
    </row>
    <row r="8087" customFormat="false" ht="12.8" hidden="false" customHeight="false" outlineLevel="0" collapsed="false">
      <c r="B8087" s="0" t="s">
        <v>8</v>
      </c>
    </row>
    <row r="8088" customFormat="false" ht="12.8" hidden="false" customHeight="false" outlineLevel="0" collapsed="false">
      <c r="B8088" s="0" t="s">
        <v>3893</v>
      </c>
    </row>
    <row r="8090" customFormat="false" ht="12.8" hidden="false" customHeight="false" outlineLevel="0" collapsed="false">
      <c r="A8090" s="0" t="s">
        <v>3894</v>
      </c>
      <c r="B8090" s="0" t="str">
        <f aca="false">HYPERLINK("https://lindat.mff.cuni.cz/services/teitok/pdtc10/index.php?action=vallex&amp;frame=v-w409f66_ZU", "dělat (v-w409f66_ZU)")</f>
        <v>dělat (v-w409f66_ZU)</v>
      </c>
    </row>
    <row r="8091" customFormat="false" ht="12.8" hidden="false" customHeight="false" outlineLevel="0" collapsed="false">
      <c r="B8091" s="0" t="s">
        <v>843</v>
      </c>
    </row>
    <row r="8092" customFormat="false" ht="12.8" hidden="false" customHeight="false" outlineLevel="0" collapsed="false">
      <c r="B8092" s="0" t="s">
        <v>186</v>
      </c>
    </row>
    <row r="8093" customFormat="false" ht="12.8" hidden="false" customHeight="false" outlineLevel="0" collapsed="false">
      <c r="B8093" s="0" t="s">
        <v>852</v>
      </c>
    </row>
    <row r="8095" customFormat="false" ht="12.8" hidden="false" customHeight="false" outlineLevel="0" collapsed="false">
      <c r="A8095" s="0" t="s">
        <v>3894</v>
      </c>
      <c r="B8095" s="0" t="str">
        <f aca="false">HYPERLINK("https://lindat.mff.cuni.cz/services/teitok/pdtc10/index.php?action=vallex&amp;frame=v-w409f14", "dělat (v-w409f14) - substituted with v-w409f66_ZU")</f>
        <v>dělat (v-w409f14) - substituted with v-w409f66_ZU</v>
      </c>
    </row>
    <row r="8096" customFormat="false" ht="12.8" hidden="false" customHeight="false" outlineLevel="0" collapsed="false">
      <c r="B8096" s="0" t="s">
        <v>843</v>
      </c>
    </row>
    <row r="8097" customFormat="false" ht="12.8" hidden="false" customHeight="false" outlineLevel="0" collapsed="false">
      <c r="B8097" s="0" t="s">
        <v>186</v>
      </c>
    </row>
    <row r="8098" customFormat="false" ht="12.8" hidden="false" customHeight="false" outlineLevel="0" collapsed="false">
      <c r="B8098" s="0" t="s">
        <v>852</v>
      </c>
    </row>
    <row r="8100" customFormat="false" ht="12.8" hidden="false" customHeight="false" outlineLevel="0" collapsed="false">
      <c r="A8100" s="0" t="s">
        <v>3895</v>
      </c>
      <c r="B8100" s="0" t="str">
        <f aca="false">HYPERLINK("https://lindat.mff.cuni.cz/services/teitok/pdtc10/index.php?action=vallex&amp;frame=v-w409f77_ZU", "dělat (v-w409f77_ZU)")</f>
        <v>dělat (v-w409f77_ZU)</v>
      </c>
    </row>
    <row r="8101" customFormat="false" ht="12.8" hidden="false" customHeight="false" outlineLevel="0" collapsed="false">
      <c r="B8101" s="0" t="s">
        <v>1</v>
      </c>
    </row>
    <row r="8102" customFormat="false" ht="12.8" hidden="false" customHeight="false" outlineLevel="0" collapsed="false">
      <c r="B8102" s="0" t="s">
        <v>305</v>
      </c>
    </row>
    <row r="8104" customFormat="false" ht="12.8" hidden="false" customHeight="false" outlineLevel="0" collapsed="false">
      <c r="A8104" s="0" t="s">
        <v>3895</v>
      </c>
      <c r="B8104" s="0" t="str">
        <f aca="false">HYPERLINK("https://lindat.mff.cuni.cz/services/teitok/pdtc10/index.php?action=vallex&amp;frame=v-w409f1", "dělat (v-w409f1) - substituted with v-w409f77_ZU")</f>
        <v>dělat (v-w409f1) - substituted with v-w409f77_ZU</v>
      </c>
    </row>
    <row r="8105" customFormat="false" ht="12.8" hidden="false" customHeight="false" outlineLevel="0" collapsed="false">
      <c r="B8105" s="0" t="s">
        <v>1</v>
      </c>
    </row>
    <row r="8106" customFormat="false" ht="12.8" hidden="false" customHeight="false" outlineLevel="0" collapsed="false">
      <c r="B8106" s="0" t="s">
        <v>305</v>
      </c>
    </row>
    <row r="8108" customFormat="false" ht="12.8" hidden="false" customHeight="false" outlineLevel="0" collapsed="false">
      <c r="A8108" s="0" t="s">
        <v>3895</v>
      </c>
      <c r="B8108" s="0" t="str">
        <f aca="false">HYPERLINK("https://lindat.mff.cuni.cz/services/teitok/pdtc10/index.php?action=vallex&amp;frame=v-w409f53_ZU", "dělat (v-w409f53_ZU) - substituted with v-w409f77_ZU")</f>
        <v>dělat (v-w409f53_ZU) - substituted with v-w409f77_ZU</v>
      </c>
    </row>
    <row r="8109" customFormat="false" ht="12.8" hidden="false" customHeight="false" outlineLevel="0" collapsed="false">
      <c r="B8109" s="0" t="s">
        <v>1</v>
      </c>
    </row>
    <row r="8110" customFormat="false" ht="12.8" hidden="false" customHeight="false" outlineLevel="0" collapsed="false">
      <c r="B8110" s="0" t="s">
        <v>305</v>
      </c>
    </row>
    <row r="8112" customFormat="false" ht="12.8" hidden="false" customHeight="false" outlineLevel="0" collapsed="false">
      <c r="A8112" s="0" t="s">
        <v>3895</v>
      </c>
      <c r="B8112" s="0" t="str">
        <f aca="false">HYPERLINK("https://lindat.mff.cuni.cz/services/teitok/pdtc10/index.php?action=vallex&amp;frame=v-w409f63_ZU", "dělat (v-w409f63_ZU) - substituted with v-w409f77_ZU")</f>
        <v>dělat (v-w409f63_ZU) - substituted with v-w409f77_ZU</v>
      </c>
    </row>
    <row r="8113" customFormat="false" ht="12.8" hidden="false" customHeight="false" outlineLevel="0" collapsed="false">
      <c r="B8113" s="0" t="s">
        <v>1</v>
      </c>
    </row>
    <row r="8114" customFormat="false" ht="12.8" hidden="false" customHeight="false" outlineLevel="0" collapsed="false">
      <c r="B8114" s="0" t="s">
        <v>305</v>
      </c>
    </row>
    <row r="8116" customFormat="false" ht="12.8" hidden="false" customHeight="false" outlineLevel="0" collapsed="false">
      <c r="A8116" s="0" t="s">
        <v>3895</v>
      </c>
      <c r="B8116" s="0" t="str">
        <f aca="false">HYPERLINK("https://lindat.mff.cuni.cz/services/teitok/pdtc10/index.php?action=vallex&amp;frame=v-w409f72_ZU", "dělat (v-w409f72_ZU) - substituted with v-w409f77_ZU")</f>
        <v>dělat (v-w409f72_ZU) - substituted with v-w409f77_ZU</v>
      </c>
    </row>
    <row r="8117" customFormat="false" ht="12.8" hidden="false" customHeight="false" outlineLevel="0" collapsed="false">
      <c r="B8117" s="0" t="s">
        <v>1</v>
      </c>
    </row>
    <row r="8118" customFormat="false" ht="12.8" hidden="false" customHeight="false" outlineLevel="0" collapsed="false">
      <c r="B8118" s="0" t="s">
        <v>305</v>
      </c>
    </row>
    <row r="8120" customFormat="false" ht="12.8" hidden="false" customHeight="false" outlineLevel="0" collapsed="false">
      <c r="A8120" s="0" t="s">
        <v>3895</v>
      </c>
      <c r="B8120" s="0" t="str">
        <f aca="false">HYPERLINK("https://lindat.mff.cuni.cz/services/teitok/pdtc10/index.php?action=vallex&amp;frame=v-w409f76_ZU", "dělat (v-w409f76_ZU) - substituted with v-w409f77_ZU")</f>
        <v>dělat (v-w409f76_ZU) - substituted with v-w409f77_ZU</v>
      </c>
    </row>
    <row r="8121" customFormat="false" ht="12.8" hidden="false" customHeight="false" outlineLevel="0" collapsed="false">
      <c r="B8121" s="0" t="s">
        <v>1</v>
      </c>
    </row>
    <row r="8122" customFormat="false" ht="12.8" hidden="false" customHeight="false" outlineLevel="0" collapsed="false">
      <c r="B8122" s="0" t="s">
        <v>305</v>
      </c>
    </row>
    <row r="8124" customFormat="false" ht="12.8" hidden="false" customHeight="false" outlineLevel="0" collapsed="false">
      <c r="A8124" s="0" t="s">
        <v>3896</v>
      </c>
      <c r="B8124" s="0" t="str">
        <f aca="false">HYPERLINK("https://lindat.mff.cuni.cz/services/teitok/pdtc10/index.php?action=vallex&amp;frame=v-w409f75_ZU", "dělat (v-w409f75_ZU)")</f>
        <v>dělat (v-w409f75_ZU)</v>
      </c>
    </row>
    <row r="8125" customFormat="false" ht="12.8" hidden="false" customHeight="false" outlineLevel="0" collapsed="false">
      <c r="B8125" s="0" t="s">
        <v>1</v>
      </c>
    </row>
    <row r="8126" customFormat="false" ht="12.8" hidden="false" customHeight="false" outlineLevel="0" collapsed="false">
      <c r="B8126" s="0" t="s">
        <v>3897</v>
      </c>
    </row>
    <row r="8128" customFormat="false" ht="12.8" hidden="false" customHeight="false" outlineLevel="0" collapsed="false">
      <c r="A8128" s="0" t="s">
        <v>3896</v>
      </c>
      <c r="B8128" s="0" t="str">
        <f aca="false">HYPERLINK("https://lindat.mff.cuni.cz/services/teitok/pdtc10/index.php?action=vallex&amp;frame=v-w409f9", "dělat (v-w409f9) - substituted with v-w409f75_ZU")</f>
        <v>dělat (v-w409f9) - substituted with v-w409f75_ZU</v>
      </c>
    </row>
    <row r="8129" customFormat="false" ht="12.8" hidden="false" customHeight="false" outlineLevel="0" collapsed="false">
      <c r="B8129" s="0" t="s">
        <v>1</v>
      </c>
    </row>
    <row r="8130" customFormat="false" ht="12.8" hidden="false" customHeight="false" outlineLevel="0" collapsed="false">
      <c r="B8130" s="0" t="s">
        <v>3897</v>
      </c>
    </row>
    <row r="8132" customFormat="false" ht="12.8" hidden="false" customHeight="false" outlineLevel="0" collapsed="false">
      <c r="A8132" s="0" t="s">
        <v>3898</v>
      </c>
      <c r="B8132" s="0" t="str">
        <f aca="false">HYPERLINK("https://lindat.mff.cuni.cz/services/teitok/pdtc10/index.php?action=vallex&amp;frame=v-w409f88_JS", "dělat (v-w409f88_JS)")</f>
        <v>dělat (v-w409f88_JS)</v>
      </c>
    </row>
    <row r="8133" customFormat="false" ht="12.8" hidden="false" customHeight="false" outlineLevel="0" collapsed="false">
      <c r="B8133" s="0" t="s">
        <v>1</v>
      </c>
    </row>
    <row r="8134" customFormat="false" ht="12.8" hidden="false" customHeight="false" outlineLevel="0" collapsed="false">
      <c r="B8134" s="0" t="s">
        <v>3899</v>
      </c>
    </row>
    <row r="8136" customFormat="false" ht="12.8" hidden="false" customHeight="false" outlineLevel="0" collapsed="false">
      <c r="A8136" s="0" t="s">
        <v>3898</v>
      </c>
      <c r="B8136" s="0" t="str">
        <f aca="false">HYPERLINK("https://lindat.mff.cuni.cz/services/teitok/pdtc10/index.php?action=vallex&amp;frame=v-w409f8", "dělat (v-w409f8) - substituted with v-w409f88_JS")</f>
        <v>dělat (v-w409f8) - substituted with v-w409f88_JS</v>
      </c>
    </row>
    <row r="8137" customFormat="false" ht="12.8" hidden="false" customHeight="false" outlineLevel="0" collapsed="false">
      <c r="B8137" s="0" t="s">
        <v>1</v>
      </c>
    </row>
    <row r="8138" customFormat="false" ht="12.8" hidden="false" customHeight="false" outlineLevel="0" collapsed="false">
      <c r="B8138" s="0" t="s">
        <v>3899</v>
      </c>
    </row>
    <row r="8140" customFormat="false" ht="12.8" hidden="false" customHeight="false" outlineLevel="0" collapsed="false">
      <c r="A8140" s="0" t="s">
        <v>3898</v>
      </c>
      <c r="B8140" s="0" t="str">
        <f aca="false">HYPERLINK("https://lindat.mff.cuni.cz/services/teitok/pdtc10/index.php?action=vallex&amp;frame=v-w409hsa_951", "dělat (v-w409hsa_951) - substituted with v-w409f88_JS")</f>
        <v>dělat (v-w409hsa_951) - substituted with v-w409f88_JS</v>
      </c>
    </row>
    <row r="8141" customFormat="false" ht="12.8" hidden="false" customHeight="false" outlineLevel="0" collapsed="false">
      <c r="B8141" s="0" t="s">
        <v>1</v>
      </c>
    </row>
    <row r="8142" customFormat="false" ht="12.8" hidden="false" customHeight="false" outlineLevel="0" collapsed="false">
      <c r="B8142" s="0" t="s">
        <v>3899</v>
      </c>
    </row>
    <row r="8144" customFormat="false" ht="12.8" hidden="false" customHeight="false" outlineLevel="0" collapsed="false">
      <c r="A8144" s="0" t="s">
        <v>3900</v>
      </c>
      <c r="B8144" s="0" t="str">
        <f aca="false">HYPERLINK("https://lindat.mff.cuni.cz/services/teitok/pdtc10/index.php?action=vallex&amp;frame=v-w409f78_ZU", "dělat (v-w409f78_ZU)")</f>
        <v>dělat (v-w409f78_ZU)</v>
      </c>
    </row>
    <row r="8145" customFormat="false" ht="12.8" hidden="false" customHeight="false" outlineLevel="0" collapsed="false">
      <c r="B8145" s="0" t="s">
        <v>1</v>
      </c>
    </row>
    <row r="8146" customFormat="false" ht="12.8" hidden="false" customHeight="false" outlineLevel="0" collapsed="false">
      <c r="B8146" s="0" t="s">
        <v>8</v>
      </c>
    </row>
    <row r="8148" customFormat="false" ht="12.8" hidden="false" customHeight="false" outlineLevel="0" collapsed="false">
      <c r="A8148" s="0" t="s">
        <v>3900</v>
      </c>
      <c r="B8148" s="0" t="str">
        <f aca="false">HYPERLINK("https://lindat.mff.cuni.cz/services/teitok/pdtc10/index.php?action=vallex&amp;frame=v-w409f4", "dělat (v-w409f4) - substituted with v-w409f78_ZU")</f>
        <v>dělat (v-w409f4) - substituted with v-w409f78_ZU</v>
      </c>
    </row>
    <row r="8149" customFormat="false" ht="12.8" hidden="false" customHeight="false" outlineLevel="0" collapsed="false">
      <c r="B8149" s="0" t="s">
        <v>1</v>
      </c>
    </row>
    <row r="8150" customFormat="false" ht="12.8" hidden="false" customHeight="false" outlineLevel="0" collapsed="false">
      <c r="B8150" s="0" t="s">
        <v>8</v>
      </c>
    </row>
    <row r="8152" customFormat="false" ht="12.8" hidden="false" customHeight="false" outlineLevel="0" collapsed="false">
      <c r="A8152" s="0" t="s">
        <v>3900</v>
      </c>
      <c r="B8152" s="0" t="str">
        <f aca="false">HYPERLINK("https://lindat.mff.cuni.cz/services/teitok/pdtc10/index.php?action=vallex&amp;frame=v-w409f57_ZU", "dělat (v-w409f57_ZU) - substituted with v-w409f78_ZU")</f>
        <v>dělat (v-w409f57_ZU) - substituted with v-w409f78_ZU</v>
      </c>
    </row>
    <row r="8153" customFormat="false" ht="12.8" hidden="false" customHeight="false" outlineLevel="0" collapsed="false">
      <c r="B8153" s="0" t="s">
        <v>1</v>
      </c>
    </row>
    <row r="8154" customFormat="false" ht="12.8" hidden="false" customHeight="false" outlineLevel="0" collapsed="false">
      <c r="B8154" s="0" t="s">
        <v>8</v>
      </c>
    </row>
    <row r="8156" customFormat="false" ht="12.8" hidden="false" customHeight="false" outlineLevel="0" collapsed="false">
      <c r="A8156" s="0" t="s">
        <v>3901</v>
      </c>
      <c r="B8156" s="0" t="str">
        <f aca="false">HYPERLINK("https://lindat.mff.cuni.cz/services/teitok/pdtc10/index.php?action=vallex&amp;frame=v-w409f23", "dělat (v-w409f23)")</f>
        <v>dělat (v-w409f23)</v>
      </c>
    </row>
    <row r="8157" customFormat="false" ht="12.8" hidden="false" customHeight="false" outlineLevel="0" collapsed="false">
      <c r="B8157" s="0" t="s">
        <v>1</v>
      </c>
    </row>
    <row r="8158" customFormat="false" ht="12.8" hidden="false" customHeight="false" outlineLevel="0" collapsed="false">
      <c r="B8158" s="0" t="s">
        <v>1187</v>
      </c>
    </row>
    <row r="8160" customFormat="false" ht="12.8" hidden="false" customHeight="false" outlineLevel="0" collapsed="false">
      <c r="A8160" s="0" t="s">
        <v>3902</v>
      </c>
      <c r="B8160" s="0" t="str">
        <f aca="false">HYPERLINK("https://lindat.mff.cuni.cz/services/teitok/pdtc10/index.php?action=vallex&amp;frame=v-w409f24", "dělat (v-w409f24)")</f>
        <v>dělat (v-w409f24)</v>
      </c>
    </row>
    <row r="8161" customFormat="false" ht="12.8" hidden="false" customHeight="false" outlineLevel="0" collapsed="false">
      <c r="B8161" s="0" t="s">
        <v>1</v>
      </c>
    </row>
    <row r="8162" customFormat="false" ht="12.8" hidden="false" customHeight="false" outlineLevel="0" collapsed="false">
      <c r="B8162" s="0" t="s">
        <v>1187</v>
      </c>
    </row>
    <row r="8164" customFormat="false" ht="12.8" hidden="false" customHeight="false" outlineLevel="0" collapsed="false">
      <c r="A8164" s="0" t="s">
        <v>3903</v>
      </c>
      <c r="B8164" s="0" t="str">
        <f aca="false">HYPERLINK("https://lindat.mff.cuni.cz/services/teitok/pdtc10/index.php?action=vallex&amp;frame=v-w409f12", "dělat (v-w409f12)")</f>
        <v>dělat (v-w409f12)</v>
      </c>
    </row>
    <row r="8165" customFormat="false" ht="12.8" hidden="false" customHeight="false" outlineLevel="0" collapsed="false">
      <c r="B8165" s="0" t="s">
        <v>1</v>
      </c>
    </row>
    <row r="8166" customFormat="false" ht="12.8" hidden="false" customHeight="false" outlineLevel="0" collapsed="false">
      <c r="B8166" s="0" t="s">
        <v>45</v>
      </c>
    </row>
    <row r="8168" customFormat="false" ht="12.8" hidden="false" customHeight="false" outlineLevel="0" collapsed="false">
      <c r="A8168" s="0" t="s">
        <v>3904</v>
      </c>
      <c r="B8168" s="0" t="str">
        <f aca="false">HYPERLINK("https://lindat.mff.cuni.cz/services/teitok/pdtc10/index.php?action=vallex&amp;frame=v-w409f25", "dělat (v-w409f25)")</f>
        <v>dělat (v-w409f25)</v>
      </c>
    </row>
    <row r="8169" customFormat="false" ht="12.8" hidden="false" customHeight="false" outlineLevel="0" collapsed="false">
      <c r="B8169" s="0" t="s">
        <v>1</v>
      </c>
    </row>
    <row r="8170" customFormat="false" ht="12.8" hidden="false" customHeight="false" outlineLevel="0" collapsed="false">
      <c r="B8170" s="0" t="s">
        <v>291</v>
      </c>
    </row>
    <row r="8172" customFormat="false" ht="12.8" hidden="false" customHeight="false" outlineLevel="0" collapsed="false">
      <c r="A8172" s="0" t="s">
        <v>3905</v>
      </c>
      <c r="B8172" s="0" t="str">
        <f aca="false">HYPERLINK("https://lindat.mff.cuni.cz/services/teitok/pdtc10/index.php?action=vallex&amp;frame=v-w409f15", "dělat (v-w409f15)")</f>
        <v>dělat (v-w409f15)</v>
      </c>
    </row>
    <row r="8173" customFormat="false" ht="12.8" hidden="false" customHeight="false" outlineLevel="0" collapsed="false">
      <c r="B8173" s="0" t="s">
        <v>1</v>
      </c>
    </row>
    <row r="8174" customFormat="false" ht="12.8" hidden="false" customHeight="false" outlineLevel="0" collapsed="false">
      <c r="B8174" s="0" t="s">
        <v>865</v>
      </c>
    </row>
    <row r="8176" customFormat="false" ht="12.8" hidden="false" customHeight="false" outlineLevel="0" collapsed="false">
      <c r="A8176" s="0" t="s">
        <v>3906</v>
      </c>
      <c r="B8176" s="0" t="str">
        <f aca="false">HYPERLINK("https://lindat.mff.cuni.cz/services/teitok/pdtc10/index.php?action=vallex&amp;frame=v-w409f5", "dělat (v-w409f5)")</f>
        <v>dělat (v-w409f5)</v>
      </c>
    </row>
    <row r="8177" customFormat="false" ht="12.8" hidden="false" customHeight="false" outlineLevel="0" collapsed="false">
      <c r="B8177" s="0" t="s">
        <v>1</v>
      </c>
    </row>
    <row r="8179" customFormat="false" ht="12.8" hidden="false" customHeight="false" outlineLevel="0" collapsed="false">
      <c r="A8179" s="0" t="s">
        <v>3907</v>
      </c>
      <c r="B8179" s="0" t="str">
        <f aca="false">HYPERLINK("https://lindat.mff.cuni.cz/services/teitok/pdtc10/index.php?action=vallex&amp;frame=v-w409f22", "dělat (v-w409f22)")</f>
        <v>dělat (v-w409f22)</v>
      </c>
    </row>
    <row r="8180" customFormat="false" ht="12.8" hidden="false" customHeight="false" outlineLevel="0" collapsed="false">
      <c r="B8180" s="0" t="s">
        <v>1</v>
      </c>
    </row>
    <row r="8182" customFormat="false" ht="12.8" hidden="false" customHeight="false" outlineLevel="0" collapsed="false">
      <c r="A8182" s="0" t="s">
        <v>3908</v>
      </c>
      <c r="B8182" s="0" t="str">
        <f aca="false">HYPERLINK("https://lindat.mff.cuni.cz/services/teitok/pdtc10/index.php?action=vallex&amp;frame=v-w409f40_ZU", "dělat (v-w409f40_ZU)")</f>
        <v>dělat (v-w409f40_ZU)</v>
      </c>
    </row>
    <row r="8183" customFormat="false" ht="12.8" hidden="false" customHeight="false" outlineLevel="0" collapsed="false">
      <c r="B8183" s="0" t="s">
        <v>843</v>
      </c>
    </row>
    <row r="8184" customFormat="false" ht="12.8" hidden="false" customHeight="false" outlineLevel="0" collapsed="false">
      <c r="B8184" s="0" t="s">
        <v>3909</v>
      </c>
    </row>
    <row r="8185" customFormat="false" ht="12.8" hidden="false" customHeight="false" outlineLevel="0" collapsed="false">
      <c r="B8185" s="0" t="s">
        <v>162</v>
      </c>
    </row>
    <row r="8187" customFormat="false" ht="12.8" hidden="false" customHeight="false" outlineLevel="0" collapsed="false">
      <c r="A8187" s="0" t="s">
        <v>3908</v>
      </c>
      <c r="B8187" s="0" t="str">
        <f aca="false">HYPERLINK("https://lindat.mff.cuni.cz/services/teitok/pdtc10/index.php?action=vallex&amp;frame=v-w409f27", "dělat (v-w409f27) - substituted with v-w409f40_ZU")</f>
        <v>dělat (v-w409f27) - substituted with v-w409f40_ZU</v>
      </c>
    </row>
    <row r="8188" customFormat="false" ht="12.8" hidden="false" customHeight="false" outlineLevel="0" collapsed="false">
      <c r="B8188" s="0" t="s">
        <v>843</v>
      </c>
    </row>
    <row r="8189" customFormat="false" ht="12.8" hidden="false" customHeight="false" outlineLevel="0" collapsed="false">
      <c r="B8189" s="0" t="s">
        <v>3909</v>
      </c>
    </row>
    <row r="8190" customFormat="false" ht="12.8" hidden="false" customHeight="false" outlineLevel="0" collapsed="false">
      <c r="B8190" s="0" t="s">
        <v>162</v>
      </c>
    </row>
    <row r="8192" customFormat="false" ht="12.8" hidden="false" customHeight="false" outlineLevel="0" collapsed="false">
      <c r="A8192" s="0" t="s">
        <v>3910</v>
      </c>
      <c r="B8192" s="0" t="str">
        <f aca="false">HYPERLINK("https://lindat.mff.cuni.cz/services/teitok/pdtc10/index.php?action=vallex&amp;frame=v-w409f50_ZU", "dělat (v-w409f50_ZU)")</f>
        <v>dělat (v-w409f50_ZU)</v>
      </c>
    </row>
    <row r="8193" customFormat="false" ht="12.8" hidden="false" customHeight="false" outlineLevel="0" collapsed="false">
      <c r="B8193" s="0" t="s">
        <v>1</v>
      </c>
    </row>
    <row r="8194" customFormat="false" ht="12.8" hidden="false" customHeight="false" outlineLevel="0" collapsed="false">
      <c r="B8194" s="0" t="s">
        <v>3911</v>
      </c>
    </row>
    <row r="8195" customFormat="false" ht="12.8" hidden="false" customHeight="false" outlineLevel="0" collapsed="false">
      <c r="B8195" s="0" t="s">
        <v>3889</v>
      </c>
    </row>
    <row r="8197" customFormat="false" ht="12.8" hidden="false" customHeight="false" outlineLevel="0" collapsed="false">
      <c r="A8197" s="0" t="s">
        <v>3910</v>
      </c>
      <c r="B8197" s="0" t="str">
        <f aca="false">HYPERLINK("https://lindat.mff.cuni.cz/services/teitok/pdtc10/index.php?action=vallex&amp;frame=v-w409f20", "dělat (v-w409f20) - substituted with v-w409f50_ZU")</f>
        <v>dělat (v-w409f20) - substituted with v-w409f50_ZU</v>
      </c>
    </row>
    <row r="8198" customFormat="false" ht="12.8" hidden="false" customHeight="false" outlineLevel="0" collapsed="false">
      <c r="B8198" s="0" t="s">
        <v>1</v>
      </c>
    </row>
    <row r="8199" customFormat="false" ht="12.8" hidden="false" customHeight="false" outlineLevel="0" collapsed="false">
      <c r="B8199" s="0" t="s">
        <v>3911</v>
      </c>
    </row>
    <row r="8200" customFormat="false" ht="12.8" hidden="false" customHeight="false" outlineLevel="0" collapsed="false">
      <c r="B8200" s="0" t="s">
        <v>3889</v>
      </c>
    </row>
    <row r="8202" customFormat="false" ht="12.8" hidden="false" customHeight="false" outlineLevel="0" collapsed="false">
      <c r="A8202" s="0" t="s">
        <v>3910</v>
      </c>
      <c r="B8202" s="0" t="str">
        <f aca="false">HYPERLINK("https://lindat.mff.cuni.cz/services/teitok/pdtc10/index.php?action=vallex&amp;frame=v-w409hsa_1101", "dělat (v-w409hsa_1101) - substituted with v-w409f50_ZU")</f>
        <v>dělat (v-w409hsa_1101) - substituted with v-w409f50_ZU</v>
      </c>
    </row>
    <row r="8203" customFormat="false" ht="12.8" hidden="false" customHeight="false" outlineLevel="0" collapsed="false">
      <c r="B8203" s="0" t="s">
        <v>1</v>
      </c>
    </row>
    <row r="8204" customFormat="false" ht="12.8" hidden="false" customHeight="false" outlineLevel="0" collapsed="false">
      <c r="B8204" s="0" t="s">
        <v>3911</v>
      </c>
    </row>
    <row r="8205" customFormat="false" ht="12.8" hidden="false" customHeight="false" outlineLevel="0" collapsed="false">
      <c r="B8205" s="0" t="s">
        <v>3889</v>
      </c>
    </row>
    <row r="8207" customFormat="false" ht="12.8" hidden="false" customHeight="false" outlineLevel="0" collapsed="false">
      <c r="A8207" s="0" t="s">
        <v>3912</v>
      </c>
      <c r="B8207" s="0" t="str">
        <f aca="false">HYPERLINK("https://lindat.mff.cuni.cz/services/teitok/pdtc10/index.php?action=vallex&amp;frame=v-w409f89_MM", "dělat (v-w409f89_MM)")</f>
        <v>dělat (v-w409f89_MM)</v>
      </c>
    </row>
    <row r="8208" customFormat="false" ht="12.8" hidden="false" customHeight="false" outlineLevel="0" collapsed="false">
      <c r="B8208" s="0" t="s">
        <v>1</v>
      </c>
    </row>
    <row r="8209" customFormat="false" ht="12.8" hidden="false" customHeight="false" outlineLevel="0" collapsed="false">
      <c r="B8209" s="0" t="s">
        <v>3913</v>
      </c>
    </row>
    <row r="8211" customFormat="false" ht="12.8" hidden="false" customHeight="false" outlineLevel="0" collapsed="false">
      <c r="A8211" s="0" t="s">
        <v>3912</v>
      </c>
      <c r="B8211" s="0" t="str">
        <f aca="false">HYPERLINK("https://lindat.mff.cuni.cz/services/teitok/pdtc10/index.php?action=vallex&amp;frame=v-w409f28_ZU", "dělat (v-w409f28_ZU) - substituted with v-w409f89_MM")</f>
        <v>dělat (v-w409f28_ZU) - substituted with v-w409f89_MM</v>
      </c>
    </row>
    <row r="8212" customFormat="false" ht="12.8" hidden="false" customHeight="false" outlineLevel="0" collapsed="false">
      <c r="B8212" s="0" t="s">
        <v>1</v>
      </c>
    </row>
    <row r="8213" customFormat="false" ht="12.8" hidden="false" customHeight="false" outlineLevel="0" collapsed="false">
      <c r="B8213" s="0" t="s">
        <v>3913</v>
      </c>
    </row>
    <row r="8215" customFormat="false" ht="12.8" hidden="false" customHeight="false" outlineLevel="0" collapsed="false">
      <c r="A8215" s="0" t="s">
        <v>3912</v>
      </c>
      <c r="B8215" s="0" t="str">
        <f aca="false">HYPERLINK("https://lindat.mff.cuni.cz/services/teitok/pdtc10/index.php?action=vallex&amp;frame=v-w409f3", "dělat (v-w409f3) - substituted with v-w409f89_MM")</f>
        <v>dělat (v-w409f3) - substituted with v-w409f89_MM</v>
      </c>
    </row>
    <row r="8216" customFormat="false" ht="12.8" hidden="false" customHeight="false" outlineLevel="0" collapsed="false">
      <c r="B8216" s="0" t="s">
        <v>1</v>
      </c>
    </row>
    <row r="8217" customFormat="false" ht="12.8" hidden="false" customHeight="false" outlineLevel="0" collapsed="false">
      <c r="B8217" s="0" t="s">
        <v>3913</v>
      </c>
    </row>
    <row r="8219" customFormat="false" ht="12.8" hidden="false" customHeight="false" outlineLevel="0" collapsed="false">
      <c r="A8219" s="0" t="s">
        <v>3912</v>
      </c>
      <c r="B8219" s="0" t="str">
        <f aca="false">HYPERLINK("https://lindat.mff.cuni.cz/services/teitok/pdtc10/index.php?action=vallex&amp;frame=v-w409f31_ZU", "dělat (v-w409f31_ZU) - substituted with v-w409f89_MM")</f>
        <v>dělat (v-w409f31_ZU) - substituted with v-w409f89_MM</v>
      </c>
    </row>
    <row r="8220" customFormat="false" ht="12.8" hidden="false" customHeight="false" outlineLevel="0" collapsed="false">
      <c r="B8220" s="0" t="s">
        <v>1</v>
      </c>
    </row>
    <row r="8221" customFormat="false" ht="12.8" hidden="false" customHeight="false" outlineLevel="0" collapsed="false">
      <c r="B8221" s="0" t="s">
        <v>3913</v>
      </c>
    </row>
    <row r="8223" customFormat="false" ht="12.8" hidden="false" customHeight="false" outlineLevel="0" collapsed="false">
      <c r="A8223" s="0" t="s">
        <v>3912</v>
      </c>
      <c r="B8223" s="0" t="str">
        <f aca="false">HYPERLINK("https://lindat.mff.cuni.cz/services/teitok/pdtc10/index.php?action=vallex&amp;frame=v-w409f44_ZU", "dělat (v-w409f44_ZU) - substituted with v-w409f89_MM")</f>
        <v>dělat (v-w409f44_ZU) - substituted with v-w409f89_MM</v>
      </c>
    </row>
    <row r="8224" customFormat="false" ht="12.8" hidden="false" customHeight="false" outlineLevel="0" collapsed="false">
      <c r="B8224" s="0" t="s">
        <v>1</v>
      </c>
    </row>
    <row r="8225" customFormat="false" ht="12.8" hidden="false" customHeight="false" outlineLevel="0" collapsed="false">
      <c r="B8225" s="0" t="s">
        <v>3913</v>
      </c>
    </row>
    <row r="8227" customFormat="false" ht="12.8" hidden="false" customHeight="false" outlineLevel="0" collapsed="false">
      <c r="A8227" s="0" t="s">
        <v>3912</v>
      </c>
      <c r="B8227" s="0" t="str">
        <f aca="false">HYPERLINK("https://lindat.mff.cuni.cz/services/teitok/pdtc10/index.php?action=vallex&amp;frame=v-w409f47_ZU", "dělat (v-w409f47_ZU) - substituted with v-w409f89_MM")</f>
        <v>dělat (v-w409f47_ZU) - substituted with v-w409f89_MM</v>
      </c>
    </row>
    <row r="8228" customFormat="false" ht="12.8" hidden="false" customHeight="false" outlineLevel="0" collapsed="false">
      <c r="B8228" s="0" t="s">
        <v>1</v>
      </c>
    </row>
    <row r="8229" customFormat="false" ht="12.8" hidden="false" customHeight="false" outlineLevel="0" collapsed="false">
      <c r="B8229" s="0" t="s">
        <v>3913</v>
      </c>
    </row>
    <row r="8231" customFormat="false" ht="12.8" hidden="false" customHeight="false" outlineLevel="0" collapsed="false">
      <c r="A8231" s="0" t="s">
        <v>3912</v>
      </c>
      <c r="B8231" s="0" t="str">
        <f aca="false">HYPERLINK("https://lindat.mff.cuni.cz/services/teitok/pdtc10/index.php?action=vallex&amp;frame=v-w409f51_ZU", "dělat (v-w409f51_ZU) - substituted with v-w409f89_MM")</f>
        <v>dělat (v-w409f51_ZU) - substituted with v-w409f89_MM</v>
      </c>
    </row>
    <row r="8232" customFormat="false" ht="12.8" hidden="false" customHeight="false" outlineLevel="0" collapsed="false">
      <c r="B8232" s="0" t="s">
        <v>1</v>
      </c>
    </row>
    <row r="8233" customFormat="false" ht="12.8" hidden="false" customHeight="false" outlineLevel="0" collapsed="false">
      <c r="B8233" s="0" t="s">
        <v>3913</v>
      </c>
    </row>
    <row r="8235" customFormat="false" ht="12.8" hidden="false" customHeight="false" outlineLevel="0" collapsed="false">
      <c r="A8235" s="0" t="s">
        <v>3912</v>
      </c>
      <c r="B8235" s="0" t="str">
        <f aca="false">HYPERLINK("https://lindat.mff.cuni.cz/services/teitok/pdtc10/index.php?action=vallex&amp;frame=v-w409f52_ZU", "dělat (v-w409f52_ZU) - substituted with v-w409f89_MM")</f>
        <v>dělat (v-w409f52_ZU) - substituted with v-w409f89_MM</v>
      </c>
    </row>
    <row r="8236" customFormat="false" ht="12.8" hidden="false" customHeight="false" outlineLevel="0" collapsed="false">
      <c r="B8236" s="0" t="s">
        <v>1</v>
      </c>
    </row>
    <row r="8237" customFormat="false" ht="12.8" hidden="false" customHeight="false" outlineLevel="0" collapsed="false">
      <c r="B8237" s="0" t="s">
        <v>3913</v>
      </c>
    </row>
    <row r="8239" customFormat="false" ht="12.8" hidden="false" customHeight="false" outlineLevel="0" collapsed="false">
      <c r="A8239" s="0" t="s">
        <v>3912</v>
      </c>
      <c r="B8239" s="0" t="str">
        <f aca="false">HYPERLINK("https://lindat.mff.cuni.cz/services/teitok/pdtc10/index.php?action=vallex&amp;frame=v-w409f58_ZU", "dělat (v-w409f58_ZU) - substituted with v-w409f89_MM")</f>
        <v>dělat (v-w409f58_ZU) - substituted with v-w409f89_MM</v>
      </c>
    </row>
    <row r="8240" customFormat="false" ht="12.8" hidden="false" customHeight="false" outlineLevel="0" collapsed="false">
      <c r="B8240" s="0" t="s">
        <v>1</v>
      </c>
    </row>
    <row r="8241" customFormat="false" ht="12.8" hidden="false" customHeight="false" outlineLevel="0" collapsed="false">
      <c r="B8241" s="0" t="s">
        <v>3913</v>
      </c>
    </row>
    <row r="8243" customFormat="false" ht="12.8" hidden="false" customHeight="false" outlineLevel="0" collapsed="false">
      <c r="A8243" s="0" t="s">
        <v>3912</v>
      </c>
      <c r="B8243" s="0" t="str">
        <f aca="false">HYPERLINK("https://lindat.mff.cuni.cz/services/teitok/pdtc10/index.php?action=vallex&amp;frame=v-w409f59_ZU", "dělat (v-w409f59_ZU) - substituted with v-w409f89_MM")</f>
        <v>dělat (v-w409f59_ZU) - substituted with v-w409f89_MM</v>
      </c>
    </row>
    <row r="8244" customFormat="false" ht="12.8" hidden="false" customHeight="false" outlineLevel="0" collapsed="false">
      <c r="B8244" s="0" t="s">
        <v>1</v>
      </c>
    </row>
    <row r="8245" customFormat="false" ht="12.8" hidden="false" customHeight="false" outlineLevel="0" collapsed="false">
      <c r="B8245" s="0" t="s">
        <v>3913</v>
      </c>
    </row>
    <row r="8247" customFormat="false" ht="12.8" hidden="false" customHeight="false" outlineLevel="0" collapsed="false">
      <c r="A8247" s="0" t="s">
        <v>3912</v>
      </c>
      <c r="B8247" s="0" t="str">
        <f aca="false">HYPERLINK("https://lindat.mff.cuni.cz/services/teitok/pdtc10/index.php?action=vallex&amp;frame=v-w409f60_ZU", "dělat (v-w409f60_ZU) - substituted with v-w409f89_MM")</f>
        <v>dělat (v-w409f60_ZU) - substituted with v-w409f89_MM</v>
      </c>
    </row>
    <row r="8248" customFormat="false" ht="12.8" hidden="false" customHeight="false" outlineLevel="0" collapsed="false">
      <c r="B8248" s="0" t="s">
        <v>1</v>
      </c>
    </row>
    <row r="8249" customFormat="false" ht="12.8" hidden="false" customHeight="false" outlineLevel="0" collapsed="false">
      <c r="B8249" s="0" t="s">
        <v>3913</v>
      </c>
    </row>
    <row r="8251" customFormat="false" ht="12.8" hidden="false" customHeight="false" outlineLevel="0" collapsed="false">
      <c r="A8251" s="0" t="s">
        <v>3912</v>
      </c>
      <c r="B8251" s="0" t="str">
        <f aca="false">HYPERLINK("https://lindat.mff.cuni.cz/services/teitok/pdtc10/index.php?action=vallex&amp;frame=v-w409f61_ZU", "dělat (v-w409f61_ZU) - substituted with v-w409f89_MM")</f>
        <v>dělat (v-w409f61_ZU) - substituted with v-w409f89_MM</v>
      </c>
    </row>
    <row r="8252" customFormat="false" ht="12.8" hidden="false" customHeight="false" outlineLevel="0" collapsed="false">
      <c r="B8252" s="0" t="s">
        <v>1</v>
      </c>
    </row>
    <row r="8253" customFormat="false" ht="12.8" hidden="false" customHeight="false" outlineLevel="0" collapsed="false">
      <c r="B8253" s="0" t="s">
        <v>3913</v>
      </c>
    </row>
    <row r="8255" customFormat="false" ht="12.8" hidden="false" customHeight="false" outlineLevel="0" collapsed="false">
      <c r="A8255" s="0" t="s">
        <v>3912</v>
      </c>
      <c r="B8255" s="0" t="str">
        <f aca="false">HYPERLINK("https://lindat.mff.cuni.cz/services/teitok/pdtc10/index.php?action=vallex&amp;frame=v-w409f62_ZU", "dělat (v-w409f62_ZU) - substituted with v-w409f89_MM")</f>
        <v>dělat (v-w409f62_ZU) - substituted with v-w409f89_MM</v>
      </c>
    </row>
    <row r="8256" customFormat="false" ht="12.8" hidden="false" customHeight="false" outlineLevel="0" collapsed="false">
      <c r="B8256" s="0" t="s">
        <v>1</v>
      </c>
    </row>
    <row r="8257" customFormat="false" ht="12.8" hidden="false" customHeight="false" outlineLevel="0" collapsed="false">
      <c r="B8257" s="0" t="s">
        <v>3913</v>
      </c>
    </row>
    <row r="8259" customFormat="false" ht="12.8" hidden="false" customHeight="false" outlineLevel="0" collapsed="false">
      <c r="A8259" s="0" t="s">
        <v>3912</v>
      </c>
      <c r="B8259" s="0" t="str">
        <f aca="false">HYPERLINK("https://lindat.mff.cuni.cz/services/teitok/pdtc10/index.php?action=vallex&amp;frame=v-w409f65_ZU", "dělat (v-w409f65_ZU) - substituted with v-w409f89_MM")</f>
        <v>dělat (v-w409f65_ZU) - substituted with v-w409f89_MM</v>
      </c>
    </row>
    <row r="8260" customFormat="false" ht="12.8" hidden="false" customHeight="false" outlineLevel="0" collapsed="false">
      <c r="B8260" s="0" t="s">
        <v>1</v>
      </c>
    </row>
    <row r="8261" customFormat="false" ht="12.8" hidden="false" customHeight="false" outlineLevel="0" collapsed="false">
      <c r="B8261" s="0" t="s">
        <v>3913</v>
      </c>
    </row>
    <row r="8263" customFormat="false" ht="12.8" hidden="false" customHeight="false" outlineLevel="0" collapsed="false">
      <c r="A8263" s="0" t="s">
        <v>3912</v>
      </c>
      <c r="B8263" s="0" t="str">
        <f aca="false">HYPERLINK("https://lindat.mff.cuni.cz/services/teitok/pdtc10/index.php?action=vallex&amp;frame=v-w409f68_ZU", "dělat (v-w409f68_ZU) - substituted with v-w409f89_MM")</f>
        <v>dělat (v-w409f68_ZU) - substituted with v-w409f89_MM</v>
      </c>
    </row>
    <row r="8264" customFormat="false" ht="12.8" hidden="false" customHeight="false" outlineLevel="0" collapsed="false">
      <c r="B8264" s="0" t="s">
        <v>1</v>
      </c>
    </row>
    <row r="8265" customFormat="false" ht="12.8" hidden="false" customHeight="false" outlineLevel="0" collapsed="false">
      <c r="B8265" s="0" t="s">
        <v>3913</v>
      </c>
    </row>
    <row r="8267" customFormat="false" ht="12.8" hidden="false" customHeight="false" outlineLevel="0" collapsed="false">
      <c r="A8267" s="0" t="s">
        <v>3912</v>
      </c>
      <c r="B8267" s="0" t="str">
        <f aca="false">HYPERLINK("https://lindat.mff.cuni.cz/services/teitok/pdtc10/index.php?action=vallex&amp;frame=v-w409f69_ZU", "dělat (v-w409f69_ZU) - substituted with v-w409f89_MM")</f>
        <v>dělat (v-w409f69_ZU) - substituted with v-w409f89_MM</v>
      </c>
    </row>
    <row r="8268" customFormat="false" ht="12.8" hidden="false" customHeight="false" outlineLevel="0" collapsed="false">
      <c r="B8268" s="0" t="s">
        <v>1</v>
      </c>
    </row>
    <row r="8269" customFormat="false" ht="12.8" hidden="false" customHeight="false" outlineLevel="0" collapsed="false">
      <c r="B8269" s="0" t="s">
        <v>3913</v>
      </c>
    </row>
    <row r="8271" customFormat="false" ht="12.8" hidden="false" customHeight="false" outlineLevel="0" collapsed="false">
      <c r="A8271" s="0" t="s">
        <v>3912</v>
      </c>
      <c r="B8271" s="0" t="str">
        <f aca="false">HYPERLINK("https://lindat.mff.cuni.cz/services/teitok/pdtc10/index.php?action=vallex&amp;frame=v-w409f71_ZU", "dělat (v-w409f71_ZU) - substituted with v-w409f89_MM")</f>
        <v>dělat (v-w409f71_ZU) - substituted with v-w409f89_MM</v>
      </c>
    </row>
    <row r="8272" customFormat="false" ht="12.8" hidden="false" customHeight="false" outlineLevel="0" collapsed="false">
      <c r="B8272" s="0" t="s">
        <v>1</v>
      </c>
    </row>
    <row r="8273" customFormat="false" ht="12.8" hidden="false" customHeight="false" outlineLevel="0" collapsed="false">
      <c r="B8273" s="0" t="s">
        <v>3913</v>
      </c>
    </row>
    <row r="8275" customFormat="false" ht="12.8" hidden="false" customHeight="false" outlineLevel="0" collapsed="false">
      <c r="A8275" s="0" t="s">
        <v>3912</v>
      </c>
      <c r="B8275" s="0" t="str">
        <f aca="false">HYPERLINK("https://lindat.mff.cuni.cz/services/teitok/pdtc10/index.php?action=vallex&amp;frame=v-w409f73_ZU", "dělat (v-w409f73_ZU) - substituted with v-w409f89_MM")</f>
        <v>dělat (v-w409f73_ZU) - substituted with v-w409f89_MM</v>
      </c>
    </row>
    <row r="8276" customFormat="false" ht="12.8" hidden="false" customHeight="false" outlineLevel="0" collapsed="false">
      <c r="B8276" s="0" t="s">
        <v>1</v>
      </c>
    </row>
    <row r="8277" customFormat="false" ht="12.8" hidden="false" customHeight="false" outlineLevel="0" collapsed="false">
      <c r="B8277" s="0" t="s">
        <v>3913</v>
      </c>
    </row>
    <row r="8279" customFormat="false" ht="12.8" hidden="false" customHeight="false" outlineLevel="0" collapsed="false">
      <c r="A8279" s="0" t="s">
        <v>3912</v>
      </c>
      <c r="B8279" s="0" t="str">
        <f aca="false">HYPERLINK("https://lindat.mff.cuni.cz/services/teitok/pdtc10/index.php?action=vallex&amp;frame=v-w409f81_ZU", "dělat (v-w409f81_ZU) - substituted with v-w409f89_MM")</f>
        <v>dělat (v-w409f81_ZU) - substituted with v-w409f89_MM</v>
      </c>
    </row>
    <row r="8280" customFormat="false" ht="12.8" hidden="false" customHeight="false" outlineLevel="0" collapsed="false">
      <c r="B8280" s="0" t="s">
        <v>1</v>
      </c>
    </row>
    <row r="8281" customFormat="false" ht="12.8" hidden="false" customHeight="false" outlineLevel="0" collapsed="false">
      <c r="B8281" s="0" t="s">
        <v>3913</v>
      </c>
    </row>
    <row r="8283" customFormat="false" ht="12.8" hidden="false" customHeight="false" outlineLevel="0" collapsed="false">
      <c r="A8283" s="0" t="s">
        <v>3912</v>
      </c>
      <c r="B8283" s="0" t="str">
        <f aca="false">HYPERLINK("https://lindat.mff.cuni.cz/services/teitok/pdtc10/index.php?action=vallex&amp;frame=v-w409f82_ZU", "dělat (v-w409f82_ZU) - substituted with v-w409f89_MM")</f>
        <v>dělat (v-w409f82_ZU) - substituted with v-w409f89_MM</v>
      </c>
    </row>
    <row r="8284" customFormat="false" ht="12.8" hidden="false" customHeight="false" outlineLevel="0" collapsed="false">
      <c r="B8284" s="0" t="s">
        <v>1</v>
      </c>
    </row>
    <row r="8285" customFormat="false" ht="12.8" hidden="false" customHeight="false" outlineLevel="0" collapsed="false">
      <c r="B8285" s="0" t="s">
        <v>3913</v>
      </c>
    </row>
    <row r="8287" customFormat="false" ht="12.8" hidden="false" customHeight="false" outlineLevel="0" collapsed="false">
      <c r="A8287" s="0" t="s">
        <v>3912</v>
      </c>
      <c r="B8287" s="0" t="str">
        <f aca="false">HYPERLINK("https://lindat.mff.cuni.cz/services/teitok/pdtc10/index.php?action=vallex&amp;frame=v-w409f83_ZU", "dělat (v-w409f83_ZU) - substituted with v-w409f89_MM")</f>
        <v>dělat (v-w409f83_ZU) - substituted with v-w409f89_MM</v>
      </c>
    </row>
    <row r="8288" customFormat="false" ht="12.8" hidden="false" customHeight="false" outlineLevel="0" collapsed="false">
      <c r="B8288" s="0" t="s">
        <v>1</v>
      </c>
    </row>
    <row r="8289" customFormat="false" ht="12.8" hidden="false" customHeight="false" outlineLevel="0" collapsed="false">
      <c r="B8289" s="0" t="s">
        <v>3913</v>
      </c>
    </row>
    <row r="8291" customFormat="false" ht="12.8" hidden="false" customHeight="false" outlineLevel="0" collapsed="false">
      <c r="A8291" s="0" t="s">
        <v>3912</v>
      </c>
      <c r="B8291" s="0" t="str">
        <f aca="false">HYPERLINK("https://lindat.mff.cuni.cz/services/teitok/pdtc10/index.php?action=vallex&amp;frame=v-w409f84_ZU", "dělat (v-w409f84_ZU) - substituted with v-w409f89_MM")</f>
        <v>dělat (v-w409f84_ZU) - substituted with v-w409f89_MM</v>
      </c>
    </row>
    <row r="8292" customFormat="false" ht="12.8" hidden="false" customHeight="false" outlineLevel="0" collapsed="false">
      <c r="B8292" s="0" t="s">
        <v>1</v>
      </c>
    </row>
    <row r="8293" customFormat="false" ht="12.8" hidden="false" customHeight="false" outlineLevel="0" collapsed="false">
      <c r="B8293" s="0" t="s">
        <v>3913</v>
      </c>
    </row>
    <row r="8295" customFormat="false" ht="12.8" hidden="false" customHeight="false" outlineLevel="0" collapsed="false">
      <c r="A8295" s="0" t="s">
        <v>3912</v>
      </c>
      <c r="B8295" s="0" t="str">
        <f aca="false">HYPERLINK("https://lindat.mff.cuni.cz/services/teitok/pdtc10/index.php?action=vallex&amp;frame=v-w409f86_MM", "dělat (v-w409f86_MM) - substituted with v-w409f89_MM")</f>
        <v>dělat (v-w409f86_MM) - substituted with v-w409f89_MM</v>
      </c>
    </row>
    <row r="8296" customFormat="false" ht="12.8" hidden="false" customHeight="false" outlineLevel="0" collapsed="false">
      <c r="B8296" s="0" t="s">
        <v>1</v>
      </c>
    </row>
    <row r="8297" customFormat="false" ht="12.8" hidden="false" customHeight="false" outlineLevel="0" collapsed="false">
      <c r="B8297" s="0" t="s">
        <v>3913</v>
      </c>
    </row>
    <row r="8299" customFormat="false" ht="12.8" hidden="false" customHeight="false" outlineLevel="0" collapsed="false">
      <c r="A8299" s="0" t="s">
        <v>3912</v>
      </c>
      <c r="B8299" s="0" t="str">
        <f aca="false">HYPERLINK("https://lindat.mff.cuni.cz/services/teitok/pdtc10/index.php?action=vallex&amp;frame=v-w409hsa_1100", "dělat (v-w409hsa_1100) - substituted with v-w409f89_MM")</f>
        <v>dělat (v-w409hsa_1100) - substituted with v-w409f89_MM</v>
      </c>
    </row>
    <row r="8300" customFormat="false" ht="12.8" hidden="false" customHeight="false" outlineLevel="0" collapsed="false">
      <c r="B8300" s="0" t="s">
        <v>1</v>
      </c>
    </row>
    <row r="8301" customFormat="false" ht="12.8" hidden="false" customHeight="false" outlineLevel="0" collapsed="false">
      <c r="B8301" s="0" t="s">
        <v>3913</v>
      </c>
    </row>
    <row r="8303" customFormat="false" ht="12.8" hidden="false" customHeight="false" outlineLevel="0" collapsed="false">
      <c r="A8303" s="0" t="s">
        <v>3912</v>
      </c>
      <c r="B8303" s="0" t="str">
        <f aca="false">HYPERLINK("https://lindat.mff.cuni.cz/services/teitok/pdtc10/index.php?action=vallex&amp;frame=v-w409hsa_952", "dělat (v-w409hsa_952) - substituted with v-w409f89_MM")</f>
        <v>dělat (v-w409hsa_952) - substituted with v-w409f89_MM</v>
      </c>
    </row>
    <row r="8304" customFormat="false" ht="12.8" hidden="false" customHeight="false" outlineLevel="0" collapsed="false">
      <c r="B8304" s="0" t="s">
        <v>1</v>
      </c>
    </row>
    <row r="8305" customFormat="false" ht="12.8" hidden="false" customHeight="false" outlineLevel="0" collapsed="false">
      <c r="B8305" s="0" t="s">
        <v>3913</v>
      </c>
    </row>
    <row r="8307" customFormat="false" ht="12.8" hidden="false" customHeight="false" outlineLevel="0" collapsed="false">
      <c r="A8307" s="0" t="s">
        <v>3914</v>
      </c>
      <c r="B8307" s="0" t="str">
        <f aca="false">HYPERLINK("https://lindat.mff.cuni.cz/services/teitok/pdtc10/index.php?action=vallex&amp;frame=v-w409f30_ZU", "dělat (v-w409f30_ZU)")</f>
        <v>dělat (v-w409f30_ZU)</v>
      </c>
    </row>
    <row r="8308" customFormat="false" ht="12.8" hidden="false" customHeight="false" outlineLevel="0" collapsed="false">
      <c r="B8308" s="0" t="s">
        <v>1</v>
      </c>
    </row>
    <row r="8309" customFormat="false" ht="12.8" hidden="false" customHeight="false" outlineLevel="0" collapsed="false">
      <c r="B8309" s="0" t="s">
        <v>3915</v>
      </c>
    </row>
    <row r="8311" customFormat="false" ht="12.8" hidden="false" customHeight="false" outlineLevel="0" collapsed="false">
      <c r="A8311" s="0" t="s">
        <v>3914</v>
      </c>
      <c r="B8311" s="0" t="str">
        <f aca="false">HYPERLINK("https://lindat.mff.cuni.cz/services/teitok/pdtc10/index.php?action=vallex&amp;frame=v-w409f29_ZU", "dělat (v-w409f29_ZU) - substituted with v-w409f30_ZU")</f>
        <v>dělat (v-w409f29_ZU) - substituted with v-w409f30_ZU</v>
      </c>
    </row>
    <row r="8312" customFormat="false" ht="12.8" hidden="false" customHeight="false" outlineLevel="0" collapsed="false">
      <c r="B8312" s="0" t="s">
        <v>1</v>
      </c>
    </row>
    <row r="8313" customFormat="false" ht="12.8" hidden="false" customHeight="false" outlineLevel="0" collapsed="false">
      <c r="B8313" s="0" t="s">
        <v>3915</v>
      </c>
    </row>
    <row r="8315" customFormat="false" ht="12.8" hidden="false" customHeight="false" outlineLevel="0" collapsed="false">
      <c r="A8315" s="0" t="s">
        <v>3916</v>
      </c>
      <c r="B8315" s="0" t="str">
        <f aca="false">HYPERLINK("https://lindat.mff.cuni.cz/services/teitok/pdtc10/index.php?action=vallex&amp;frame=v-w409f32_ZU", "dělat (v-w409f32_ZU)")</f>
        <v>dělat (v-w409f32_ZU)</v>
      </c>
    </row>
    <row r="8316" customFormat="false" ht="12.8" hidden="false" customHeight="false" outlineLevel="0" collapsed="false">
      <c r="B8316" s="0" t="s">
        <v>1</v>
      </c>
    </row>
    <row r="8317" customFormat="false" ht="12.8" hidden="false" customHeight="false" outlineLevel="0" collapsed="false">
      <c r="B8317" s="0" t="s">
        <v>3917</v>
      </c>
    </row>
    <row r="8319" customFormat="false" ht="12.8" hidden="false" customHeight="false" outlineLevel="0" collapsed="false">
      <c r="A8319" s="0" t="s">
        <v>3918</v>
      </c>
      <c r="B8319" s="0" t="str">
        <f aca="false">HYPERLINK("https://lindat.mff.cuni.cz/services/teitok/pdtc10/index.php?action=vallex&amp;frame=v-w409f56_ZU", "dělat (v-w409f56_ZU)")</f>
        <v>dělat (v-w409f56_ZU)</v>
      </c>
    </row>
    <row r="8320" customFormat="false" ht="12.8" hidden="false" customHeight="false" outlineLevel="0" collapsed="false">
      <c r="B8320" s="0" t="s">
        <v>1</v>
      </c>
    </row>
    <row r="8321" customFormat="false" ht="12.8" hidden="false" customHeight="false" outlineLevel="0" collapsed="false">
      <c r="B8321" s="0" t="s">
        <v>3919</v>
      </c>
    </row>
    <row r="8323" customFormat="false" ht="12.8" hidden="false" customHeight="false" outlineLevel="0" collapsed="false">
      <c r="A8323" s="0" t="s">
        <v>3918</v>
      </c>
      <c r="B8323" s="0" t="str">
        <f aca="false">HYPERLINK("https://lindat.mff.cuni.cz/services/teitok/pdtc10/index.php?action=vallex&amp;frame=v-w409f33_ZU", "dělat (v-w409f33_ZU) - substituted with v-w409f56_ZU")</f>
        <v>dělat (v-w409f33_ZU) - substituted with v-w409f56_ZU</v>
      </c>
    </row>
    <row r="8324" customFormat="false" ht="12.8" hidden="false" customHeight="false" outlineLevel="0" collapsed="false">
      <c r="B8324" s="0" t="s">
        <v>1</v>
      </c>
    </row>
    <row r="8325" customFormat="false" ht="12.8" hidden="false" customHeight="false" outlineLevel="0" collapsed="false">
      <c r="B8325" s="0" t="s">
        <v>3919</v>
      </c>
    </row>
    <row r="8327" customFormat="false" ht="12.8" hidden="false" customHeight="false" outlineLevel="0" collapsed="false">
      <c r="A8327" s="0" t="s">
        <v>3918</v>
      </c>
      <c r="B8327" s="0" t="str">
        <f aca="false">HYPERLINK("https://lindat.mff.cuni.cz/services/teitok/pdtc10/index.php?action=vallex&amp;frame=v-w409hsa_953", "dělat (v-w409hsa_953) - substituted with v-w409f56_ZU")</f>
        <v>dělat (v-w409hsa_953) - substituted with v-w409f56_ZU</v>
      </c>
    </row>
    <row r="8328" customFormat="false" ht="12.8" hidden="false" customHeight="false" outlineLevel="0" collapsed="false">
      <c r="B8328" s="0" t="s">
        <v>1</v>
      </c>
    </row>
    <row r="8329" customFormat="false" ht="12.8" hidden="false" customHeight="false" outlineLevel="0" collapsed="false">
      <c r="B8329" s="0" t="s">
        <v>3919</v>
      </c>
    </row>
    <row r="8331" customFormat="false" ht="12.8" hidden="false" customHeight="false" outlineLevel="0" collapsed="false">
      <c r="A8331" s="0" t="s">
        <v>3920</v>
      </c>
      <c r="B8331" s="0" t="str">
        <f aca="false">HYPERLINK("https://lindat.mff.cuni.cz/services/teitok/pdtc10/index.php?action=vallex&amp;frame=v-w409f16", "dělat (v-w409f16)")</f>
        <v>dělat (v-w409f16)</v>
      </c>
    </row>
    <row r="8332" customFormat="false" ht="12.8" hidden="false" customHeight="false" outlineLevel="0" collapsed="false">
      <c r="B8332" s="0" t="s">
        <v>3921</v>
      </c>
    </row>
    <row r="8333" customFormat="false" ht="12.8" hidden="false" customHeight="false" outlineLevel="0" collapsed="false">
      <c r="B8333" s="0" t="s">
        <v>3922</v>
      </c>
    </row>
    <row r="8335" customFormat="false" ht="12.8" hidden="false" customHeight="false" outlineLevel="0" collapsed="false">
      <c r="A8335" s="0" t="s">
        <v>3923</v>
      </c>
      <c r="B8335" s="0" t="str">
        <f aca="false">HYPERLINK("https://lindat.mff.cuni.cz/services/teitok/pdtc10/index.php?action=vallex&amp;frame=v-w409f21", "dělat (v-w409f21)")</f>
        <v>dělat (v-w409f21)</v>
      </c>
    </row>
    <row r="8336" customFormat="false" ht="12.8" hidden="false" customHeight="false" outlineLevel="0" collapsed="false">
      <c r="B8336" s="0" t="s">
        <v>1</v>
      </c>
    </row>
    <row r="8337" customFormat="false" ht="12.8" hidden="false" customHeight="false" outlineLevel="0" collapsed="false">
      <c r="B8337" s="0" t="s">
        <v>3924</v>
      </c>
    </row>
    <row r="8339" customFormat="false" ht="12.8" hidden="false" customHeight="false" outlineLevel="0" collapsed="false">
      <c r="A8339" s="0" t="s">
        <v>3925</v>
      </c>
      <c r="B8339" s="0" t="str">
        <f aca="false">HYPERLINK("https://lindat.mff.cuni.cz/services/teitok/pdtc10/index.php?action=vallex&amp;frame=v-w409f19", "dělat (v-w409f19)")</f>
        <v>dělat (v-w409f19)</v>
      </c>
    </row>
    <row r="8340" customFormat="false" ht="12.8" hidden="false" customHeight="false" outlineLevel="0" collapsed="false">
      <c r="B8340" s="0" t="s">
        <v>1</v>
      </c>
    </row>
    <row r="8341" customFormat="false" ht="12.8" hidden="false" customHeight="false" outlineLevel="0" collapsed="false">
      <c r="B8341" s="0" t="s">
        <v>3926</v>
      </c>
    </row>
    <row r="8343" customFormat="false" ht="12.8" hidden="false" customHeight="false" outlineLevel="0" collapsed="false">
      <c r="A8343" s="0" t="s">
        <v>3927</v>
      </c>
      <c r="B8343" s="0" t="str">
        <f aca="false">HYPERLINK("https://lindat.mff.cuni.cz/services/teitok/pdtc10/index.php?action=vallex&amp;frame=v-w409f13", "dělat (v-w409f13)")</f>
        <v>dělat (v-w409f13)</v>
      </c>
    </row>
    <row r="8344" customFormat="false" ht="12.8" hidden="false" customHeight="false" outlineLevel="0" collapsed="false">
      <c r="B8344" s="0" t="s">
        <v>1</v>
      </c>
    </row>
    <row r="8345" customFormat="false" ht="12.8" hidden="false" customHeight="false" outlineLevel="0" collapsed="false">
      <c r="B8345" s="0" t="s">
        <v>3928</v>
      </c>
    </row>
    <row r="8347" customFormat="false" ht="12.8" hidden="false" customHeight="false" outlineLevel="0" collapsed="false">
      <c r="A8347" s="0" t="s">
        <v>3929</v>
      </c>
      <c r="B8347" s="0" t="str">
        <f aca="false">HYPERLINK("https://lindat.mff.cuni.cz/services/teitok/pdtc10/index.php?action=vallex&amp;frame=v-w409f34_ZU", "dělat (v-w409f34_ZU)")</f>
        <v>dělat (v-w409f34_ZU)</v>
      </c>
    </row>
    <row r="8348" customFormat="false" ht="12.8" hidden="false" customHeight="false" outlineLevel="0" collapsed="false">
      <c r="B8348" s="0" t="s">
        <v>1</v>
      </c>
    </row>
    <row r="8349" customFormat="false" ht="12.8" hidden="false" customHeight="false" outlineLevel="0" collapsed="false">
      <c r="B8349" s="0" t="s">
        <v>3930</v>
      </c>
    </row>
    <row r="8350" customFormat="false" ht="12.8" hidden="false" customHeight="false" outlineLevel="0" collapsed="false">
      <c r="B8350" s="0" t="s">
        <v>45</v>
      </c>
    </row>
    <row r="8352" customFormat="false" ht="12.8" hidden="false" customHeight="false" outlineLevel="0" collapsed="false">
      <c r="A8352" s="0" t="s">
        <v>3931</v>
      </c>
      <c r="B8352" s="0" t="str">
        <f aca="false">HYPERLINK("https://lindat.mff.cuni.cz/services/teitok/pdtc10/index.php?action=vallex&amp;frame=v-w409f35_ZU", "dělat (v-w409f35_ZU)")</f>
        <v>dělat (v-w409f35_ZU)</v>
      </c>
    </row>
    <row r="8353" customFormat="false" ht="12.8" hidden="false" customHeight="false" outlineLevel="0" collapsed="false">
      <c r="B8353" s="0" t="s">
        <v>1</v>
      </c>
    </row>
    <row r="8354" customFormat="false" ht="12.8" hidden="false" customHeight="false" outlineLevel="0" collapsed="false">
      <c r="B8354" s="0" t="s">
        <v>305</v>
      </c>
    </row>
    <row r="8356" customFormat="false" ht="12.8" hidden="false" customHeight="false" outlineLevel="0" collapsed="false">
      <c r="A8356" s="0" t="s">
        <v>3931</v>
      </c>
      <c r="B8356" s="0" t="str">
        <f aca="false">HYPERLINK("https://lindat.mff.cuni.cz/services/teitok/pdtc10/index.php?action=vallex&amp;frame=v-w409hsa_950", "dělat (v-w409hsa_950) - substituted with v-w409f35_ZU")</f>
        <v>dělat (v-w409hsa_950) - substituted with v-w409f35_ZU</v>
      </c>
    </row>
    <row r="8357" customFormat="false" ht="12.8" hidden="false" customHeight="false" outlineLevel="0" collapsed="false">
      <c r="B8357" s="0" t="s">
        <v>1</v>
      </c>
    </row>
    <row r="8358" customFormat="false" ht="12.8" hidden="false" customHeight="false" outlineLevel="0" collapsed="false">
      <c r="B8358" s="0" t="s">
        <v>305</v>
      </c>
    </row>
    <row r="8360" customFormat="false" ht="12.8" hidden="false" customHeight="false" outlineLevel="0" collapsed="false">
      <c r="A8360" s="0" t="s">
        <v>3932</v>
      </c>
      <c r="B8360" s="0" t="str">
        <f aca="false">HYPERLINK("https://lindat.mff.cuni.cz/services/teitok/pdtc10/index.php?action=vallex&amp;frame=v-w409f36_ZU", "dělat (v-w409f36_ZU)")</f>
        <v>dělat (v-w409f36_ZU)</v>
      </c>
    </row>
    <row r="8361" customFormat="false" ht="12.8" hidden="false" customHeight="false" outlineLevel="0" collapsed="false">
      <c r="B8361" s="0" t="s">
        <v>1</v>
      </c>
    </row>
    <row r="8362" customFormat="false" ht="12.8" hidden="false" customHeight="false" outlineLevel="0" collapsed="false">
      <c r="B8362" s="0" t="s">
        <v>3933</v>
      </c>
    </row>
    <row r="8364" customFormat="false" ht="12.8" hidden="false" customHeight="false" outlineLevel="0" collapsed="false">
      <c r="A8364" s="0" t="s">
        <v>3932</v>
      </c>
      <c r="B8364" s="0" t="str">
        <f aca="false">HYPERLINK("https://lindat.mff.cuni.cz/services/teitok/pdtc10/index.php?action=vallex&amp;frame=v-w409hsa_954", "dělat (v-w409hsa_954) - substituted with v-w409f36_ZU")</f>
        <v>dělat (v-w409hsa_954) - substituted with v-w409f36_ZU</v>
      </c>
    </row>
    <row r="8365" customFormat="false" ht="12.8" hidden="false" customHeight="false" outlineLevel="0" collapsed="false">
      <c r="B8365" s="0" t="s">
        <v>1</v>
      </c>
    </row>
    <row r="8366" customFormat="false" ht="12.8" hidden="false" customHeight="false" outlineLevel="0" collapsed="false">
      <c r="B8366" s="0" t="s">
        <v>3933</v>
      </c>
    </row>
    <row r="8368" customFormat="false" ht="12.8" hidden="false" customHeight="false" outlineLevel="0" collapsed="false">
      <c r="A8368" s="0" t="s">
        <v>3934</v>
      </c>
      <c r="B8368" s="0" t="str">
        <f aca="false">HYPERLINK("https://lindat.mff.cuni.cz/services/teitok/pdtc10/index.php?action=vallex&amp;frame=v-w409f37_ZU", "dělat (v-w409f37_ZU)")</f>
        <v>dělat (v-w409f37_ZU)</v>
      </c>
    </row>
    <row r="8369" customFormat="false" ht="12.8" hidden="false" customHeight="false" outlineLevel="0" collapsed="false">
      <c r="B8369" s="0" t="s">
        <v>1</v>
      </c>
    </row>
    <row r="8370" customFormat="false" ht="12.8" hidden="false" customHeight="false" outlineLevel="0" collapsed="false">
      <c r="B8370" s="0" t="s">
        <v>3935</v>
      </c>
    </row>
    <row r="8372" customFormat="false" ht="12.8" hidden="false" customHeight="false" outlineLevel="0" collapsed="false">
      <c r="A8372" s="0" t="s">
        <v>3934</v>
      </c>
      <c r="B8372" s="0" t="str">
        <f aca="false">HYPERLINK("https://lindat.mff.cuni.cz/services/teitok/pdtc10/index.php?action=vallex&amp;frame=v-w409hsa_955", "dělat (v-w409hsa_955) - substituted with v-w409f37_ZU")</f>
        <v>dělat (v-w409hsa_955) - substituted with v-w409f37_ZU</v>
      </c>
    </row>
    <row r="8373" customFormat="false" ht="12.8" hidden="false" customHeight="false" outlineLevel="0" collapsed="false">
      <c r="B8373" s="0" t="s">
        <v>1</v>
      </c>
    </row>
    <row r="8374" customFormat="false" ht="12.8" hidden="false" customHeight="false" outlineLevel="0" collapsed="false">
      <c r="B8374" s="0" t="s">
        <v>3935</v>
      </c>
    </row>
    <row r="8376" customFormat="false" ht="12.8" hidden="false" customHeight="false" outlineLevel="0" collapsed="false">
      <c r="A8376" s="0" t="s">
        <v>3936</v>
      </c>
      <c r="B8376" s="0" t="str">
        <f aca="false">HYPERLINK("https://lindat.mff.cuni.cz/services/teitok/pdtc10/index.php?action=vallex&amp;frame=v-w409f38_ZU", "dělat (v-w409f38_ZU)")</f>
        <v>dělat (v-w409f38_ZU)</v>
      </c>
    </row>
    <row r="8377" customFormat="false" ht="12.8" hidden="false" customHeight="false" outlineLevel="0" collapsed="false">
      <c r="B8377" s="0" t="s">
        <v>1</v>
      </c>
    </row>
    <row r="8378" customFormat="false" ht="12.8" hidden="false" customHeight="false" outlineLevel="0" collapsed="false">
      <c r="B8378" s="0" t="s">
        <v>3937</v>
      </c>
    </row>
    <row r="8380" customFormat="false" ht="12.8" hidden="false" customHeight="false" outlineLevel="0" collapsed="false">
      <c r="A8380" s="0" t="s">
        <v>3936</v>
      </c>
      <c r="B8380" s="0" t="str">
        <f aca="false">HYPERLINK("https://lindat.mff.cuni.cz/services/teitok/pdtc10/index.php?action=vallex&amp;frame=v-w409hsa_956", "dělat (v-w409hsa_956) - substituted with v-w409f38_ZU")</f>
        <v>dělat (v-w409hsa_956) - substituted with v-w409f38_ZU</v>
      </c>
    </row>
    <row r="8381" customFormat="false" ht="12.8" hidden="false" customHeight="false" outlineLevel="0" collapsed="false">
      <c r="B8381" s="0" t="s">
        <v>1</v>
      </c>
    </row>
    <row r="8382" customFormat="false" ht="12.8" hidden="false" customHeight="false" outlineLevel="0" collapsed="false">
      <c r="B8382" s="0" t="s">
        <v>3937</v>
      </c>
    </row>
    <row r="8384" customFormat="false" ht="12.8" hidden="false" customHeight="false" outlineLevel="0" collapsed="false">
      <c r="A8384" s="0" t="s">
        <v>3938</v>
      </c>
      <c r="B8384" s="0" t="str">
        <f aca="false">HYPERLINK("https://lindat.mff.cuni.cz/services/teitok/pdtc10/index.php?action=vallex&amp;frame=v-w409f39_ZU", "dělat (v-w409f39_ZU)")</f>
        <v>dělat (v-w409f39_ZU)</v>
      </c>
    </row>
    <row r="8385" customFormat="false" ht="12.8" hidden="false" customHeight="false" outlineLevel="0" collapsed="false">
      <c r="B8385" s="0" t="s">
        <v>1</v>
      </c>
    </row>
    <row r="8386" customFormat="false" ht="12.8" hidden="false" customHeight="false" outlineLevel="0" collapsed="false">
      <c r="B8386" s="0" t="s">
        <v>3939</v>
      </c>
    </row>
    <row r="8388" customFormat="false" ht="12.8" hidden="false" customHeight="false" outlineLevel="0" collapsed="false">
      <c r="A8388" s="0" t="s">
        <v>3938</v>
      </c>
      <c r="B8388" s="0" t="str">
        <f aca="false">HYPERLINK("https://lindat.mff.cuni.cz/services/teitok/pdtc10/index.php?action=vallex&amp;frame=v-w409hsa_957", "dělat (v-w409hsa_957) - substituted with v-w409f39_ZU")</f>
        <v>dělat (v-w409hsa_957) - substituted with v-w409f39_ZU</v>
      </c>
    </row>
    <row r="8389" customFormat="false" ht="12.8" hidden="false" customHeight="false" outlineLevel="0" collapsed="false">
      <c r="B8389" s="0" t="s">
        <v>1</v>
      </c>
    </row>
    <row r="8390" customFormat="false" ht="12.8" hidden="false" customHeight="false" outlineLevel="0" collapsed="false">
      <c r="B8390" s="0" t="s">
        <v>3939</v>
      </c>
    </row>
    <row r="8392" customFormat="false" ht="12.8" hidden="false" customHeight="false" outlineLevel="0" collapsed="false">
      <c r="A8392" s="0" t="s">
        <v>3940</v>
      </c>
      <c r="B8392" s="0" t="str">
        <f aca="false">HYPERLINK("https://lindat.mff.cuni.cz/services/teitok/pdtc10/index.php?action=vallex&amp;frame=v-w409f42_ZU", "dělat (v-w409f42_ZU)")</f>
        <v>dělat (v-w409f42_ZU)</v>
      </c>
    </row>
    <row r="8393" customFormat="false" ht="12.8" hidden="false" customHeight="false" outlineLevel="0" collapsed="false">
      <c r="B8393" s="0" t="s">
        <v>1</v>
      </c>
    </row>
    <row r="8394" customFormat="false" ht="12.8" hidden="false" customHeight="false" outlineLevel="0" collapsed="false">
      <c r="B8394" s="0" t="s">
        <v>8</v>
      </c>
    </row>
    <row r="8396" customFormat="false" ht="12.8" hidden="false" customHeight="false" outlineLevel="0" collapsed="false">
      <c r="A8396" s="0" t="s">
        <v>3940</v>
      </c>
      <c r="B8396" s="0" t="str">
        <f aca="false">HYPERLINK("https://lindat.mff.cuni.cz/services/teitok/pdtc10/index.php?action=vallex&amp;frame=v-w409f41_ZU", "dělat (v-w409f41_ZU) - substituted with v-w409f42_ZU")</f>
        <v>dělat (v-w409f41_ZU) - substituted with v-w409f42_ZU</v>
      </c>
    </row>
    <row r="8397" customFormat="false" ht="12.8" hidden="false" customHeight="false" outlineLevel="0" collapsed="false">
      <c r="B8397" s="0" t="s">
        <v>1</v>
      </c>
    </row>
    <row r="8398" customFormat="false" ht="12.8" hidden="false" customHeight="false" outlineLevel="0" collapsed="false">
      <c r="B8398" s="0" t="s">
        <v>8</v>
      </c>
    </row>
    <row r="8400" customFormat="false" ht="12.8" hidden="false" customHeight="false" outlineLevel="0" collapsed="false">
      <c r="A8400" s="0" t="s">
        <v>3941</v>
      </c>
      <c r="B8400" s="0" t="str">
        <f aca="false">HYPERLINK("https://lindat.mff.cuni.cz/services/teitok/pdtc10/index.php?action=vallex&amp;frame=v-w409f48_ZU", "dělat (v-w409f48_ZU)")</f>
        <v>dělat (v-w409f48_ZU)</v>
      </c>
    </row>
    <row r="8401" customFormat="false" ht="12.8" hidden="false" customHeight="false" outlineLevel="0" collapsed="false">
      <c r="B8401" s="0" t="s">
        <v>1</v>
      </c>
    </row>
    <row r="8402" customFormat="false" ht="12.8" hidden="false" customHeight="false" outlineLevel="0" collapsed="false">
      <c r="B8402" s="0" t="s">
        <v>3942</v>
      </c>
    </row>
    <row r="8404" customFormat="false" ht="12.8" hidden="false" customHeight="false" outlineLevel="0" collapsed="false">
      <c r="A8404" s="0" t="s">
        <v>3941</v>
      </c>
      <c r="B8404" s="0" t="str">
        <f aca="false">HYPERLINK("https://lindat.mff.cuni.cz/services/teitok/pdtc10/index.php?action=vallex&amp;frame=v-w409f43_ZU", "dělat (v-w409f43_ZU) - substituted with v-w409f48_ZU")</f>
        <v>dělat (v-w409f43_ZU) - substituted with v-w409f48_ZU</v>
      </c>
    </row>
    <row r="8405" customFormat="false" ht="12.8" hidden="false" customHeight="false" outlineLevel="0" collapsed="false">
      <c r="B8405" s="0" t="s">
        <v>1</v>
      </c>
    </row>
    <row r="8406" customFormat="false" ht="12.8" hidden="false" customHeight="false" outlineLevel="0" collapsed="false">
      <c r="B8406" s="0" t="s">
        <v>3942</v>
      </c>
    </row>
    <row r="8408" customFormat="false" ht="12.8" hidden="false" customHeight="false" outlineLevel="0" collapsed="false">
      <c r="A8408" s="0" t="s">
        <v>3941</v>
      </c>
      <c r="B8408" s="0" t="str">
        <f aca="false">HYPERLINK("https://lindat.mff.cuni.cz/services/teitok/pdtc10/index.php?action=vallex&amp;frame=v-w409f45_ZU", "dělat (v-w409f45_ZU) - substituted with v-w409f48_ZU")</f>
        <v>dělat (v-w409f45_ZU) - substituted with v-w409f48_ZU</v>
      </c>
    </row>
    <row r="8409" customFormat="false" ht="12.8" hidden="false" customHeight="false" outlineLevel="0" collapsed="false">
      <c r="B8409" s="0" t="s">
        <v>1</v>
      </c>
    </row>
    <row r="8410" customFormat="false" ht="12.8" hidden="false" customHeight="false" outlineLevel="0" collapsed="false">
      <c r="B8410" s="0" t="s">
        <v>3942</v>
      </c>
    </row>
    <row r="8412" customFormat="false" ht="12.8" hidden="false" customHeight="false" outlineLevel="0" collapsed="false">
      <c r="A8412" s="0" t="s">
        <v>3941</v>
      </c>
      <c r="B8412" s="0" t="str">
        <f aca="false">HYPERLINK("https://lindat.mff.cuni.cz/services/teitok/pdtc10/index.php?action=vallex&amp;frame=v-w409f46_ZU", "dělat (v-w409f46_ZU) - substituted with v-w409f48_ZU")</f>
        <v>dělat (v-w409f46_ZU) - substituted with v-w409f48_ZU</v>
      </c>
    </row>
    <row r="8413" customFormat="false" ht="12.8" hidden="false" customHeight="false" outlineLevel="0" collapsed="false">
      <c r="B8413" s="0" t="s">
        <v>1</v>
      </c>
    </row>
    <row r="8414" customFormat="false" ht="12.8" hidden="false" customHeight="false" outlineLevel="0" collapsed="false">
      <c r="B8414" s="0" t="s">
        <v>3942</v>
      </c>
    </row>
    <row r="8416" customFormat="false" ht="12.8" hidden="false" customHeight="false" outlineLevel="0" collapsed="false">
      <c r="A8416" s="0" t="s">
        <v>3943</v>
      </c>
      <c r="B8416" s="0" t="str">
        <f aca="false">HYPERLINK("https://lindat.mff.cuni.cz/services/teitok/pdtc10/index.php?action=vallex&amp;frame=v-w409f54_ZU", "dělat (v-w409f54_ZU)")</f>
        <v>dělat (v-w409f54_ZU)</v>
      </c>
    </row>
    <row r="8417" customFormat="false" ht="12.8" hidden="false" customHeight="false" outlineLevel="0" collapsed="false">
      <c r="B8417" s="0" t="s">
        <v>1</v>
      </c>
    </row>
    <row r="8418" customFormat="false" ht="12.8" hidden="false" customHeight="false" outlineLevel="0" collapsed="false">
      <c r="B8418" s="0" t="s">
        <v>3944</v>
      </c>
    </row>
    <row r="8420" customFormat="false" ht="12.8" hidden="false" customHeight="false" outlineLevel="0" collapsed="false">
      <c r="A8420" s="0" t="s">
        <v>3945</v>
      </c>
      <c r="B8420" s="0" t="str">
        <f aca="false">HYPERLINK("https://lindat.mff.cuni.cz/services/teitok/pdtc10/index.php?action=vallex&amp;frame=v-w409f64_ZU", "dělat (v-w409f64_ZU)")</f>
        <v>dělat (v-w409f64_ZU)</v>
      </c>
    </row>
    <row r="8421" customFormat="false" ht="12.8" hidden="false" customHeight="false" outlineLevel="0" collapsed="false">
      <c r="B8421" s="0" t="s">
        <v>1</v>
      </c>
    </row>
    <row r="8422" customFormat="false" ht="12.8" hidden="false" customHeight="false" outlineLevel="0" collapsed="false">
      <c r="B8422" s="0" t="s">
        <v>8</v>
      </c>
    </row>
    <row r="8424" customFormat="false" ht="12.8" hidden="false" customHeight="false" outlineLevel="0" collapsed="false">
      <c r="A8424" s="0" t="s">
        <v>3945</v>
      </c>
      <c r="B8424" s="0" t="str">
        <f aca="false">HYPERLINK("https://lindat.mff.cuni.cz/services/teitok/pdtc10/index.php?action=vallex&amp;frame=v-w409f49_ZU", "dělat (v-w409f49_ZU) - substituted with v-w409f64_ZU")</f>
        <v>dělat (v-w409f49_ZU) - substituted with v-w409f64_ZU</v>
      </c>
    </row>
    <row r="8425" customFormat="false" ht="12.8" hidden="false" customHeight="false" outlineLevel="0" collapsed="false">
      <c r="B8425" s="0" t="s">
        <v>1</v>
      </c>
    </row>
    <row r="8426" customFormat="false" ht="12.8" hidden="false" customHeight="false" outlineLevel="0" collapsed="false">
      <c r="B8426" s="0" t="s">
        <v>8</v>
      </c>
    </row>
    <row r="8428" customFormat="false" ht="12.8" hidden="false" customHeight="false" outlineLevel="0" collapsed="false">
      <c r="A8428" s="0" t="s">
        <v>3946</v>
      </c>
      <c r="B8428" s="0" t="str">
        <f aca="false">HYPERLINK("https://lindat.mff.cuni.cz/services/teitok/pdtc10/index.php?action=vallex&amp;frame=v-w409f67_ZU", "dělat (v-w409f67_ZU)")</f>
        <v>dělat (v-w409f67_ZU)</v>
      </c>
    </row>
    <row r="8429" customFormat="false" ht="12.8" hidden="false" customHeight="false" outlineLevel="0" collapsed="false">
      <c r="B8429" s="0" t="s">
        <v>1</v>
      </c>
    </row>
    <row r="8430" customFormat="false" ht="12.8" hidden="false" customHeight="false" outlineLevel="0" collapsed="false">
      <c r="B8430" s="0" t="s">
        <v>3947</v>
      </c>
    </row>
    <row r="8431" customFormat="false" ht="12.8" hidden="false" customHeight="false" outlineLevel="0" collapsed="false">
      <c r="B8431" s="0" t="s">
        <v>298</v>
      </c>
    </row>
    <row r="8433" customFormat="false" ht="12.8" hidden="false" customHeight="false" outlineLevel="0" collapsed="false">
      <c r="A8433" s="0" t="s">
        <v>3948</v>
      </c>
      <c r="B8433" s="0" t="str">
        <f aca="false">HYPERLINK("https://lindat.mff.cuni.cz/services/teitok/pdtc10/index.php?action=vallex&amp;frame=v-w409f74_ZU", "dělat (v-w409f74_ZU)")</f>
        <v>dělat (v-w409f74_ZU)</v>
      </c>
    </row>
    <row r="8434" customFormat="false" ht="12.8" hidden="false" customHeight="false" outlineLevel="0" collapsed="false">
      <c r="B8434" s="0" t="s">
        <v>1</v>
      </c>
    </row>
    <row r="8435" customFormat="false" ht="12.8" hidden="false" customHeight="false" outlineLevel="0" collapsed="false">
      <c r="B8435" s="0" t="s">
        <v>3949</v>
      </c>
    </row>
    <row r="8437" customFormat="false" ht="12.8" hidden="false" customHeight="false" outlineLevel="0" collapsed="false">
      <c r="A8437" s="0" t="s">
        <v>3950</v>
      </c>
      <c r="B8437" s="0" t="str">
        <f aca="false">HYPERLINK("https://lindat.mff.cuni.cz/services/teitok/pdtc10/index.php?action=vallex&amp;frame=v-w409f79_ZU", "dělat (v-w409f79_ZU)")</f>
        <v>dělat (v-w409f79_ZU)</v>
      </c>
    </row>
    <row r="8438" customFormat="false" ht="12.8" hidden="false" customHeight="false" outlineLevel="0" collapsed="false">
      <c r="B8438" s="0" t="s">
        <v>1</v>
      </c>
    </row>
    <row r="8439" customFormat="false" ht="12.8" hidden="false" customHeight="false" outlineLevel="0" collapsed="false">
      <c r="B8439" s="0" t="s">
        <v>8</v>
      </c>
    </row>
    <row r="8441" customFormat="false" ht="12.8" hidden="false" customHeight="false" outlineLevel="0" collapsed="false">
      <c r="A8441" s="0" t="s">
        <v>3950</v>
      </c>
      <c r="B8441" s="0" t="str">
        <f aca="false">HYPERLINK("https://lindat.mff.cuni.cz/services/teitok/pdtc10/index.php?action=vallex&amp;frame=v-w409f55_ZU", "dělat (v-w409f55_ZU) - substituted with v-w409f79_ZU")</f>
        <v>dělat (v-w409f55_ZU) - substituted with v-w409f79_ZU</v>
      </c>
    </row>
    <row r="8442" customFormat="false" ht="12.8" hidden="false" customHeight="false" outlineLevel="0" collapsed="false">
      <c r="B8442" s="0" t="s">
        <v>1</v>
      </c>
    </row>
    <row r="8443" customFormat="false" ht="12.8" hidden="false" customHeight="false" outlineLevel="0" collapsed="false">
      <c r="B8443" s="0" t="s">
        <v>8</v>
      </c>
    </row>
    <row r="8445" customFormat="false" ht="12.8" hidden="false" customHeight="false" outlineLevel="0" collapsed="false">
      <c r="A8445" s="0" t="s">
        <v>3951</v>
      </c>
      <c r="B8445" s="0" t="str">
        <f aca="false">HYPERLINK("https://lindat.mff.cuni.cz/services/teitok/pdtc10/index.php?action=vallex&amp;frame=v-w409f85_ZU", "dělat (v-w409f85_ZU)")</f>
        <v>dělat (v-w409f85_ZU)</v>
      </c>
    </row>
    <row r="8446" customFormat="false" ht="12.8" hidden="false" customHeight="false" outlineLevel="0" collapsed="false">
      <c r="B8446" s="0" t="s">
        <v>1</v>
      </c>
    </row>
    <row r="8447" customFormat="false" ht="12.8" hidden="false" customHeight="false" outlineLevel="0" collapsed="false">
      <c r="B8447" s="0" t="s">
        <v>3952</v>
      </c>
    </row>
    <row r="8449" customFormat="false" ht="12.8" hidden="false" customHeight="false" outlineLevel="0" collapsed="false">
      <c r="A8449" s="0" t="s">
        <v>3953</v>
      </c>
      <c r="B8449" s="0" t="str">
        <f aca="false">HYPERLINK("https://lindat.mff.cuni.cz/services/teitok/pdtc10/index.php?action=vallex&amp;frame=v-w409f87_MM", "dělat (v-w409f87_MM)")</f>
        <v>dělat (v-w409f87_MM)</v>
      </c>
    </row>
    <row r="8450" customFormat="false" ht="12.8" hidden="false" customHeight="false" outlineLevel="0" collapsed="false">
      <c r="B8450" s="0" t="s">
        <v>1</v>
      </c>
    </row>
    <row r="8451" customFormat="false" ht="12.8" hidden="false" customHeight="false" outlineLevel="0" collapsed="false">
      <c r="B8451" s="0" t="s">
        <v>3954</v>
      </c>
    </row>
    <row r="8453" customFormat="false" ht="12.8" hidden="false" customHeight="false" outlineLevel="0" collapsed="false">
      <c r="A8453" s="0" t="s">
        <v>3955</v>
      </c>
      <c r="B8453" s="0" t="str">
        <f aca="false">HYPERLINK("https://lindat.mff.cuni.cz/services/teitok/pdtc10/index.php?action=vallex&amp;frame=v-w409hsa_948", "dělat (v-w409hsa_948)")</f>
        <v>dělat (v-w409hsa_948)</v>
      </c>
    </row>
    <row r="8454" customFormat="false" ht="12.8" hidden="false" customHeight="false" outlineLevel="0" collapsed="false">
      <c r="B8454" s="0" t="s">
        <v>1</v>
      </c>
    </row>
    <row r="8455" customFormat="false" ht="12.8" hidden="false" customHeight="false" outlineLevel="0" collapsed="false">
      <c r="B8455" s="0" t="s">
        <v>721</v>
      </c>
    </row>
    <row r="8457" customFormat="false" ht="12.8" hidden="false" customHeight="false" outlineLevel="0" collapsed="false">
      <c r="A8457" s="0" t="s">
        <v>3956</v>
      </c>
      <c r="B8457" s="0" t="str">
        <f aca="false">HYPERLINK("https://lindat.mff.cuni.cz/services/teitok/pdtc10/index.php?action=vallex&amp;frame=v-w409hsa_949", "dělat (v-w409hsa_949)")</f>
        <v>dělat (v-w409hsa_949)</v>
      </c>
    </row>
    <row r="8458" customFormat="false" ht="12.8" hidden="false" customHeight="false" outlineLevel="0" collapsed="false">
      <c r="B8458" s="0" t="s">
        <v>1</v>
      </c>
    </row>
    <row r="8459" customFormat="false" ht="12.8" hidden="false" customHeight="false" outlineLevel="0" collapsed="false">
      <c r="B8459" s="0" t="s">
        <v>8</v>
      </c>
    </row>
    <row r="8461" customFormat="false" ht="12.8" hidden="false" customHeight="false" outlineLevel="0" collapsed="false">
      <c r="A8461" s="0" t="s">
        <v>3957</v>
      </c>
      <c r="B8461" s="0" t="str">
        <f aca="false">HYPERLINK("https://lindat.mff.cuni.cz/services/teitok/pdtc10/index.php?action=vallex&amp;frame=v-w409hsa_1099", "dělat (v-w409hsa_1099)")</f>
        <v>dělat (v-w409hsa_1099)</v>
      </c>
    </row>
    <row r="8462" customFormat="false" ht="12.8" hidden="false" customHeight="false" outlineLevel="0" collapsed="false">
      <c r="B8462" s="0" t="s">
        <v>1</v>
      </c>
    </row>
    <row r="8463" customFormat="false" ht="12.8" hidden="false" customHeight="false" outlineLevel="0" collapsed="false">
      <c r="B8463" s="0" t="s">
        <v>1289</v>
      </c>
    </row>
    <row r="8464" customFormat="false" ht="12.8" hidden="false" customHeight="false" outlineLevel="0" collapsed="false">
      <c r="B8464" s="0" t="s">
        <v>865</v>
      </c>
    </row>
    <row r="8466" customFormat="false" ht="12.8" hidden="false" customHeight="false" outlineLevel="0" collapsed="false">
      <c r="A8466" s="0" t="s">
        <v>3958</v>
      </c>
      <c r="B8466" s="0" t="str">
        <f aca="false">HYPERLINK("https://lindat.mff.cuni.cz/services/teitok/pdtc10/index.php?action=vallex&amp;frame=v-w410f1", "dělat se (v-w410f1)")</f>
        <v>dělat se (v-w410f1)</v>
      </c>
      <c r="E8466" s="0" t="str">
        <f aca="false">HYPERLINK("https://lindat.mff.cuni.cz/services/SynSemClass40/SynSemClass40.html?veclass=vec00089#vec00089-ces-cm00325", "vec00089")</f>
        <v>vec00089</v>
      </c>
      <c r="F8466" s="0" t="s">
        <v>3959</v>
      </c>
    </row>
    <row r="8467" customFormat="false" ht="12.8" hidden="false" customHeight="false" outlineLevel="0" collapsed="false">
      <c r="B8467" s="0" t="s">
        <v>1</v>
      </c>
      <c r="C8467" s="0" t="s">
        <v>1561</v>
      </c>
      <c r="E8467" s="0" t="s">
        <v>31</v>
      </c>
      <c r="F8467" s="0" t="s">
        <v>3960</v>
      </c>
    </row>
    <row r="8468" customFormat="false" ht="12.8" hidden="false" customHeight="false" outlineLevel="0" collapsed="false">
      <c r="B8468" s="0" t="s">
        <v>721</v>
      </c>
      <c r="C8468" s="0" t="s">
        <v>22</v>
      </c>
      <c r="E8468" s="0" t="s">
        <v>2628</v>
      </c>
      <c r="F8468" s="0" t="s">
        <v>3961</v>
      </c>
    </row>
    <row r="8470" customFormat="false" ht="12.8" hidden="false" customHeight="false" outlineLevel="0" collapsed="false">
      <c r="A8470" s="0" t="s">
        <v>3962</v>
      </c>
      <c r="B8470" s="0" t="str">
        <f aca="false">HYPERLINK("https://lindat.mff.cuni.cz/services/teitok/pdtc10/index.php?action=vallex&amp;frame=v-w410f2", "dělat se (v-w410f2)")</f>
        <v>dělat se (v-w410f2)</v>
      </c>
    </row>
    <row r="8471" customFormat="false" ht="12.8" hidden="false" customHeight="false" outlineLevel="0" collapsed="false">
      <c r="B8471" s="0" t="s">
        <v>725</v>
      </c>
    </row>
    <row r="8472" customFormat="false" ht="12.8" hidden="false" customHeight="false" outlineLevel="0" collapsed="false">
      <c r="B8472" s="0" t="s">
        <v>642</v>
      </c>
    </row>
    <row r="8473" customFormat="false" ht="12.8" hidden="false" customHeight="false" outlineLevel="0" collapsed="false">
      <c r="B8473" s="0" t="s">
        <v>646</v>
      </c>
    </row>
    <row r="8474" customFormat="false" ht="12.8" hidden="false" customHeight="false" outlineLevel="0" collapsed="false">
      <c r="B8474" s="0" t="s">
        <v>648</v>
      </c>
    </row>
    <row r="8475" customFormat="false" ht="12.8" hidden="false" customHeight="false" outlineLevel="0" collapsed="false">
      <c r="B8475" s="0" t="s">
        <v>650</v>
      </c>
    </row>
    <row r="8476" customFormat="false" ht="12.8" hidden="false" customHeight="false" outlineLevel="0" collapsed="false">
      <c r="B8476" s="0" t="s">
        <v>652</v>
      </c>
    </row>
    <row r="8478" customFormat="false" ht="12.8" hidden="false" customHeight="false" outlineLevel="0" collapsed="false">
      <c r="A8478" s="0" t="s">
        <v>3963</v>
      </c>
      <c r="B8478" s="0" t="str">
        <f aca="false">HYPERLINK("https://lindat.mff.cuni.cz/services/teitok/pdtc10/index.php?action=vallex&amp;frame=v-w410f3_ZU", "dělat se (v-w410f3_ZU)")</f>
        <v>dělat se (v-w410f3_ZU)</v>
      </c>
    </row>
    <row r="8479" customFormat="false" ht="12.8" hidden="false" customHeight="false" outlineLevel="0" collapsed="false">
      <c r="B8479" s="0" t="s">
        <v>1</v>
      </c>
    </row>
    <row r="8481" customFormat="false" ht="12.8" hidden="false" customHeight="false" outlineLevel="0" collapsed="false">
      <c r="A8481" s="0" t="s">
        <v>3964</v>
      </c>
      <c r="B8481" s="0" t="str">
        <f aca="false">HYPERLINK("https://lindat.mff.cuni.cz/services/teitok/pdtc10/index.php?action=vallex&amp;frame=v-w410hsa_1676", "dělat se (v-w410hsa_1676)")</f>
        <v>dělat se (v-w410hsa_1676)</v>
      </c>
    </row>
    <row r="8482" customFormat="false" ht="12.8" hidden="false" customHeight="false" outlineLevel="0" collapsed="false">
      <c r="B8482" s="0" t="s">
        <v>804</v>
      </c>
    </row>
    <row r="8483" customFormat="false" ht="12.8" hidden="false" customHeight="false" outlineLevel="0" collapsed="false">
      <c r="B8483" s="0" t="s">
        <v>852</v>
      </c>
    </row>
    <row r="8485" customFormat="false" ht="12.8" hidden="false" customHeight="false" outlineLevel="0" collapsed="false">
      <c r="A8485" s="0" t="s">
        <v>3965</v>
      </c>
      <c r="B8485" s="0" t="str">
        <f aca="false">HYPERLINK("https://lindat.mff.cuni.cz/services/teitok/pdtc10/index.php?action=vallex&amp;frame=v-w411f1", "dělat si (v-w411f1)")</f>
        <v>dělat si (v-w411f1)</v>
      </c>
    </row>
    <row r="8486" customFormat="false" ht="12.8" hidden="false" customHeight="false" outlineLevel="0" collapsed="false">
      <c r="B8486" s="0" t="s">
        <v>1</v>
      </c>
    </row>
    <row r="8487" customFormat="false" ht="12.8" hidden="false" customHeight="false" outlineLevel="0" collapsed="false">
      <c r="B8487" s="0" t="s">
        <v>305</v>
      </c>
    </row>
    <row r="8489" customFormat="false" ht="12.8" hidden="false" customHeight="false" outlineLevel="0" collapsed="false">
      <c r="A8489" s="0" t="s">
        <v>3966</v>
      </c>
      <c r="B8489" s="0" t="str">
        <f aca="false">HYPERLINK("https://lindat.mff.cuni.cz/services/teitok/pdtc10/index.php?action=vallex&amp;frame=v-w411f2", "dělat si (v-w411f2)")</f>
        <v>dělat si (v-w411f2)</v>
      </c>
      <c r="E8489" s="0" t="str">
        <f aca="false">HYPERLINK("https://lindat.mff.cuni.cz/services/SynSemClass40/SynSemClass40.html?veclass=vec00032#vec00032-ces-cm00192", "vec00032")</f>
        <v>vec00032</v>
      </c>
      <c r="F8489" s="0" t="s">
        <v>911</v>
      </c>
      <c r="H8489" s="0" t="str">
        <f aca="false">HYPERLINK("https://lindat.mff.cuni.cz/services/SynSemClass40/SynSemClass40.html?veclass=vec00219#vec00219-ces-cm00045", "vec00219")</f>
        <v>vec00219</v>
      </c>
      <c r="I8489" s="0" t="s">
        <v>3050</v>
      </c>
    </row>
    <row r="8490" customFormat="false" ht="12.8" hidden="false" customHeight="false" outlineLevel="0" collapsed="false">
      <c r="B8490" s="0" t="s">
        <v>1</v>
      </c>
      <c r="C8490" s="0" t="s">
        <v>3967</v>
      </c>
      <c r="E8490" s="0" t="s">
        <v>914</v>
      </c>
      <c r="F8490" s="0" t="s">
        <v>915</v>
      </c>
      <c r="H8490" s="0" t="s">
        <v>11</v>
      </c>
      <c r="I8490" s="0" t="s">
        <v>3052</v>
      </c>
    </row>
    <row r="8491" customFormat="false" ht="12.8" hidden="false" customHeight="false" outlineLevel="0" collapsed="false">
      <c r="B8491" s="0" t="s">
        <v>3968</v>
      </c>
      <c r="C8491" s="0" t="s">
        <v>3969</v>
      </c>
      <c r="E8491" s="0" t="s">
        <v>3970</v>
      </c>
      <c r="F8491" s="0" t="s">
        <v>3971</v>
      </c>
      <c r="H8491" s="0" t="s">
        <v>3972</v>
      </c>
      <c r="I8491" s="0" t="s">
        <v>3973</v>
      </c>
    </row>
    <row r="8493" customFormat="false" ht="12.8" hidden="false" customHeight="false" outlineLevel="0" collapsed="false">
      <c r="A8493" s="0" t="s">
        <v>3974</v>
      </c>
      <c r="B8493" s="0" t="str">
        <f aca="false">HYPERLINK("https://lindat.mff.cuni.cz/services/teitok/pdtc10/index.php?action=vallex&amp;frame=v-w411f10_ZU", "dělat si (v-w411f10_ZU)")</f>
        <v>dělat si (v-w411f10_ZU)</v>
      </c>
    </row>
    <row r="8494" customFormat="false" ht="12.8" hidden="false" customHeight="false" outlineLevel="0" collapsed="false">
      <c r="B8494" s="0" t="s">
        <v>1</v>
      </c>
    </row>
    <row r="8495" customFormat="false" ht="12.8" hidden="false" customHeight="false" outlineLevel="0" collapsed="false">
      <c r="B8495" s="0" t="s">
        <v>3975</v>
      </c>
    </row>
    <row r="8497" customFormat="false" ht="12.8" hidden="false" customHeight="false" outlineLevel="0" collapsed="false">
      <c r="A8497" s="0" t="s">
        <v>3974</v>
      </c>
      <c r="B8497" s="0" t="str">
        <f aca="false">HYPERLINK("https://lindat.mff.cuni.cz/services/teitok/pdtc10/index.php?action=vallex&amp;frame=v-w411f7_ZU", "dělat si (v-w411f7_ZU) - substituted with v-w411f10_ZU")</f>
        <v>dělat si (v-w411f7_ZU) - substituted with v-w411f10_ZU</v>
      </c>
    </row>
    <row r="8498" customFormat="false" ht="12.8" hidden="false" customHeight="false" outlineLevel="0" collapsed="false">
      <c r="B8498" s="0" t="s">
        <v>1</v>
      </c>
    </row>
    <row r="8499" customFormat="false" ht="12.8" hidden="false" customHeight="false" outlineLevel="0" collapsed="false">
      <c r="B8499" s="0" t="s">
        <v>3975</v>
      </c>
    </row>
    <row r="8501" customFormat="false" ht="12.8" hidden="false" customHeight="false" outlineLevel="0" collapsed="false">
      <c r="A8501" s="0" t="s">
        <v>3974</v>
      </c>
      <c r="B8501" s="0" t="str">
        <f aca="false">HYPERLINK("https://lindat.mff.cuni.cz/services/teitok/pdtc10/index.php?action=vallex&amp;frame=v-w411f8_ZU", "dělat si (v-w411f8_ZU) - substituted with v-w411f10_ZU")</f>
        <v>dělat si (v-w411f8_ZU) - substituted with v-w411f10_ZU</v>
      </c>
    </row>
    <row r="8502" customFormat="false" ht="12.8" hidden="false" customHeight="false" outlineLevel="0" collapsed="false">
      <c r="B8502" s="0" t="s">
        <v>1</v>
      </c>
    </row>
    <row r="8503" customFormat="false" ht="12.8" hidden="false" customHeight="false" outlineLevel="0" collapsed="false">
      <c r="B8503" s="0" t="s">
        <v>3975</v>
      </c>
    </row>
    <row r="8505" customFormat="false" ht="12.8" hidden="false" customHeight="false" outlineLevel="0" collapsed="false">
      <c r="A8505" s="0" t="s">
        <v>3976</v>
      </c>
      <c r="B8505" s="0" t="str">
        <f aca="false">HYPERLINK("https://lindat.mff.cuni.cz/services/teitok/pdtc10/index.php?action=vallex&amp;frame=v-w411f6", "dělat si (v-w411f6)")</f>
        <v>dělat si (v-w411f6)</v>
      </c>
    </row>
    <row r="8506" customFormat="false" ht="12.8" hidden="false" customHeight="false" outlineLevel="0" collapsed="false">
      <c r="B8506" s="0" t="s">
        <v>1</v>
      </c>
    </row>
    <row r="8507" customFormat="false" ht="12.8" hidden="false" customHeight="false" outlineLevel="0" collapsed="false">
      <c r="B8507" s="0" t="s">
        <v>3977</v>
      </c>
    </row>
    <row r="8508" customFormat="false" ht="12.8" hidden="false" customHeight="false" outlineLevel="0" collapsed="false">
      <c r="B8508" s="0" t="s">
        <v>298</v>
      </c>
    </row>
    <row r="8510" customFormat="false" ht="12.8" hidden="false" customHeight="false" outlineLevel="0" collapsed="false">
      <c r="A8510" s="0" t="s">
        <v>3978</v>
      </c>
      <c r="B8510" s="0" t="str">
        <f aca="false">HYPERLINK("https://lindat.mff.cuni.cz/services/teitok/pdtc10/index.php?action=vallex&amp;frame=v-w411f3", "dělat si (v-w411f3)")</f>
        <v>dělat si (v-w411f3)</v>
      </c>
    </row>
    <row r="8511" customFormat="false" ht="12.8" hidden="false" customHeight="false" outlineLevel="0" collapsed="false">
      <c r="B8511" s="0" t="s">
        <v>1</v>
      </c>
    </row>
    <row r="8512" customFormat="false" ht="12.8" hidden="false" customHeight="false" outlineLevel="0" collapsed="false">
      <c r="B8512" s="0" t="s">
        <v>3979</v>
      </c>
    </row>
    <row r="8513" customFormat="false" ht="12.8" hidden="false" customHeight="false" outlineLevel="0" collapsed="false">
      <c r="B8513" s="0" t="s">
        <v>298</v>
      </c>
    </row>
    <row r="8515" customFormat="false" ht="12.8" hidden="false" customHeight="false" outlineLevel="0" collapsed="false">
      <c r="A8515" s="0" t="s">
        <v>3980</v>
      </c>
      <c r="B8515" s="0" t="str">
        <f aca="false">HYPERLINK("https://lindat.mff.cuni.cz/services/teitok/pdtc10/index.php?action=vallex&amp;frame=v-w411f16_MM", "dělat si (v-w411f16_MM)")</f>
        <v>dělat si (v-w411f16_MM)</v>
      </c>
    </row>
    <row r="8516" customFormat="false" ht="12.8" hidden="false" customHeight="false" outlineLevel="0" collapsed="false">
      <c r="B8516" s="0" t="s">
        <v>1</v>
      </c>
    </row>
    <row r="8517" customFormat="false" ht="12.8" hidden="false" customHeight="false" outlineLevel="0" collapsed="false">
      <c r="B8517" s="0" t="s">
        <v>3981</v>
      </c>
    </row>
    <row r="8518" customFormat="false" ht="12.8" hidden="false" customHeight="false" outlineLevel="0" collapsed="false">
      <c r="B8518" s="0" t="s">
        <v>298</v>
      </c>
    </row>
    <row r="8519" customFormat="false" ht="12.8" hidden="false" customHeight="false" outlineLevel="0" collapsed="false">
      <c r="B8519" s="0" t="s">
        <v>3982</v>
      </c>
    </row>
    <row r="8521" customFormat="false" ht="12.8" hidden="false" customHeight="false" outlineLevel="0" collapsed="false">
      <c r="A8521" s="0" t="s">
        <v>3980</v>
      </c>
      <c r="B8521" s="0" t="str">
        <f aca="false">HYPERLINK("https://lindat.mff.cuni.cz/services/teitok/pdtc10/index.php?action=vallex&amp;frame=v-w411f15_ZU", "dělat si (v-w411f15_ZU) - substituted with v-w411f16_MM")</f>
        <v>dělat si (v-w411f15_ZU) - substituted with v-w411f16_MM</v>
      </c>
    </row>
    <row r="8522" customFormat="false" ht="12.8" hidden="false" customHeight="false" outlineLevel="0" collapsed="false">
      <c r="B8522" s="0" t="s">
        <v>1</v>
      </c>
    </row>
    <row r="8523" customFormat="false" ht="12.8" hidden="false" customHeight="false" outlineLevel="0" collapsed="false">
      <c r="B8523" s="0" t="s">
        <v>3981</v>
      </c>
    </row>
    <row r="8524" customFormat="false" ht="12.8" hidden="false" customHeight="false" outlineLevel="0" collapsed="false">
      <c r="B8524" s="0" t="s">
        <v>298</v>
      </c>
    </row>
    <row r="8525" customFormat="false" ht="12.8" hidden="false" customHeight="false" outlineLevel="0" collapsed="false">
      <c r="B8525" s="0" t="s">
        <v>3982</v>
      </c>
    </row>
    <row r="8527" customFormat="false" ht="12.8" hidden="false" customHeight="false" outlineLevel="0" collapsed="false">
      <c r="A8527" s="0" t="s">
        <v>3980</v>
      </c>
      <c r="B8527" s="0" t="str">
        <f aca="false">HYPERLINK("https://lindat.mff.cuni.cz/services/teitok/pdtc10/index.php?action=vallex&amp;frame=v-w411f5", "dělat si (v-w411f5) - substituted with v-w411f16_MM")</f>
        <v>dělat si (v-w411f5) - substituted with v-w411f16_MM</v>
      </c>
    </row>
    <row r="8528" customFormat="false" ht="12.8" hidden="false" customHeight="false" outlineLevel="0" collapsed="false">
      <c r="B8528" s="0" t="s">
        <v>1</v>
      </c>
    </row>
    <row r="8529" customFormat="false" ht="12.8" hidden="false" customHeight="false" outlineLevel="0" collapsed="false">
      <c r="B8529" s="0" t="s">
        <v>3981</v>
      </c>
    </row>
    <row r="8530" customFormat="false" ht="12.8" hidden="false" customHeight="false" outlineLevel="0" collapsed="false">
      <c r="B8530" s="0" t="s">
        <v>298</v>
      </c>
    </row>
    <row r="8531" customFormat="false" ht="12.8" hidden="false" customHeight="false" outlineLevel="0" collapsed="false">
      <c r="B8531" s="0" t="s">
        <v>3982</v>
      </c>
    </row>
    <row r="8533" customFormat="false" ht="12.8" hidden="false" customHeight="false" outlineLevel="0" collapsed="false">
      <c r="A8533" s="0" t="s">
        <v>3980</v>
      </c>
      <c r="B8533" s="0" t="str">
        <f aca="false">HYPERLINK("https://lindat.mff.cuni.cz/services/teitok/pdtc10/index.php?action=vallex&amp;frame=v-w411f9_ZU", "dělat si (v-w411f9_ZU) - substituted with v-w411f16_MM")</f>
        <v>dělat si (v-w411f9_ZU) - substituted with v-w411f16_MM</v>
      </c>
    </row>
    <row r="8534" customFormat="false" ht="12.8" hidden="false" customHeight="false" outlineLevel="0" collapsed="false">
      <c r="B8534" s="0" t="s">
        <v>1</v>
      </c>
    </row>
    <row r="8535" customFormat="false" ht="12.8" hidden="false" customHeight="false" outlineLevel="0" collapsed="false">
      <c r="B8535" s="0" t="s">
        <v>3981</v>
      </c>
    </row>
    <row r="8536" customFormat="false" ht="12.8" hidden="false" customHeight="false" outlineLevel="0" collapsed="false">
      <c r="B8536" s="0" t="s">
        <v>298</v>
      </c>
    </row>
    <row r="8537" customFormat="false" ht="12.8" hidden="false" customHeight="false" outlineLevel="0" collapsed="false">
      <c r="B8537" s="0" t="s">
        <v>3982</v>
      </c>
    </row>
    <row r="8539" customFormat="false" ht="12.8" hidden="false" customHeight="false" outlineLevel="0" collapsed="false">
      <c r="A8539" s="0" t="s">
        <v>3983</v>
      </c>
      <c r="B8539" s="0" t="str">
        <f aca="false">HYPERLINK("https://lindat.mff.cuni.cz/services/teitok/pdtc10/index.php?action=vallex&amp;frame=v-w411f4", "dělat si (v-w411f4)")</f>
        <v>dělat si (v-w411f4)</v>
      </c>
    </row>
    <row r="8540" customFormat="false" ht="12.8" hidden="false" customHeight="false" outlineLevel="0" collapsed="false">
      <c r="B8540" s="0" t="s">
        <v>629</v>
      </c>
    </row>
    <row r="8541" customFormat="false" ht="12.8" hidden="false" customHeight="false" outlineLevel="0" collapsed="false">
      <c r="B8541" s="0" t="s">
        <v>3984</v>
      </c>
    </row>
    <row r="8543" customFormat="false" ht="12.8" hidden="false" customHeight="false" outlineLevel="0" collapsed="false">
      <c r="A8543" s="0" t="s">
        <v>3985</v>
      </c>
      <c r="B8543" s="0" t="str">
        <f aca="false">HYPERLINK("https://lindat.mff.cuni.cz/services/teitok/pdtc10/index.php?action=vallex&amp;frame=v-w411f12_ZU", "dělat si (v-w411f12_ZU)")</f>
        <v>dělat si (v-w411f12_ZU)</v>
      </c>
    </row>
    <row r="8544" customFormat="false" ht="12.8" hidden="false" customHeight="false" outlineLevel="0" collapsed="false">
      <c r="B8544" s="0" t="s">
        <v>1</v>
      </c>
    </row>
    <row r="8545" customFormat="false" ht="12.8" hidden="false" customHeight="false" outlineLevel="0" collapsed="false">
      <c r="B8545" s="0" t="s">
        <v>3986</v>
      </c>
    </row>
    <row r="8546" customFormat="false" ht="12.8" hidden="false" customHeight="false" outlineLevel="0" collapsed="false">
      <c r="B8546" s="0" t="s">
        <v>3987</v>
      </c>
    </row>
    <row r="8548" customFormat="false" ht="12.8" hidden="false" customHeight="false" outlineLevel="0" collapsed="false">
      <c r="A8548" s="0" t="s">
        <v>3985</v>
      </c>
      <c r="B8548" s="0" t="str">
        <f aca="false">HYPERLINK("https://lindat.mff.cuni.cz/services/teitok/pdtc10/index.php?action=vallex&amp;frame=v-w411f11_ZU", "dělat si (v-w411f11_ZU) - substituted with v-w411f12_ZU")</f>
        <v>dělat si (v-w411f11_ZU) - substituted with v-w411f12_ZU</v>
      </c>
    </row>
    <row r="8549" customFormat="false" ht="12.8" hidden="false" customHeight="false" outlineLevel="0" collapsed="false">
      <c r="B8549" s="0" t="s">
        <v>1</v>
      </c>
    </row>
    <row r="8550" customFormat="false" ht="12.8" hidden="false" customHeight="false" outlineLevel="0" collapsed="false">
      <c r="B8550" s="0" t="s">
        <v>3986</v>
      </c>
    </row>
    <row r="8551" customFormat="false" ht="12.8" hidden="false" customHeight="false" outlineLevel="0" collapsed="false">
      <c r="B8551" s="0" t="s">
        <v>3987</v>
      </c>
    </row>
    <row r="8553" customFormat="false" ht="12.8" hidden="false" customHeight="false" outlineLevel="0" collapsed="false">
      <c r="A8553" s="0" t="s">
        <v>3985</v>
      </c>
      <c r="B8553" s="0" t="str">
        <f aca="false">HYPERLINK("https://lindat.mff.cuni.cz/services/teitok/pdtc10/index.php?action=vallex&amp;frame=v-w411hsa_851", "dělat si (v-w411hsa_851) - substituted with v-w411f12_ZU")</f>
        <v>dělat si (v-w411hsa_851) - substituted with v-w411f12_ZU</v>
      </c>
    </row>
    <row r="8554" customFormat="false" ht="12.8" hidden="false" customHeight="false" outlineLevel="0" collapsed="false">
      <c r="B8554" s="0" t="s">
        <v>1</v>
      </c>
    </row>
    <row r="8555" customFormat="false" ht="12.8" hidden="false" customHeight="false" outlineLevel="0" collapsed="false">
      <c r="B8555" s="0" t="s">
        <v>3986</v>
      </c>
    </row>
    <row r="8556" customFormat="false" ht="12.8" hidden="false" customHeight="false" outlineLevel="0" collapsed="false">
      <c r="B8556" s="0" t="s">
        <v>3987</v>
      </c>
    </row>
    <row r="8558" customFormat="false" ht="12.8" hidden="false" customHeight="false" outlineLevel="0" collapsed="false">
      <c r="A8558" s="0" t="s">
        <v>3988</v>
      </c>
      <c r="B8558" s="0" t="str">
        <f aca="false">HYPERLINK("https://lindat.mff.cuni.cz/services/teitok/pdtc10/index.php?action=vallex&amp;frame=v-w411f13_ZU", "dělat si (v-w411f13_ZU)")</f>
        <v>dělat si (v-w411f13_ZU)</v>
      </c>
    </row>
    <row r="8559" customFormat="false" ht="12.8" hidden="false" customHeight="false" outlineLevel="0" collapsed="false">
      <c r="B8559" s="0" t="s">
        <v>1</v>
      </c>
    </row>
    <row r="8560" customFormat="false" ht="12.8" hidden="false" customHeight="false" outlineLevel="0" collapsed="false">
      <c r="B8560" s="0" t="s">
        <v>3989</v>
      </c>
    </row>
    <row r="8561" customFormat="false" ht="12.8" hidden="false" customHeight="false" outlineLevel="0" collapsed="false">
      <c r="B8561" s="0" t="s">
        <v>276</v>
      </c>
    </row>
    <row r="8563" customFormat="false" ht="12.8" hidden="false" customHeight="false" outlineLevel="0" collapsed="false">
      <c r="A8563" s="0" t="s">
        <v>3990</v>
      </c>
      <c r="B8563" s="0" t="str">
        <f aca="false">HYPERLINK("https://lindat.mff.cuni.cz/services/teitok/pdtc10/index.php?action=vallex&amp;frame=v-w411f14_ZU", "dělat si (v-w411f14_ZU)")</f>
        <v>dělat si (v-w411f14_ZU)</v>
      </c>
    </row>
    <row r="8564" customFormat="false" ht="12.8" hidden="false" customHeight="false" outlineLevel="0" collapsed="false">
      <c r="B8564" s="0" t="s">
        <v>1</v>
      </c>
    </row>
    <row r="8565" customFormat="false" ht="12.8" hidden="false" customHeight="false" outlineLevel="0" collapsed="false">
      <c r="B8565" s="0" t="s">
        <v>3991</v>
      </c>
    </row>
    <row r="8566" customFormat="false" ht="12.8" hidden="false" customHeight="false" outlineLevel="0" collapsed="false">
      <c r="B8566" s="0" t="s">
        <v>298</v>
      </c>
    </row>
    <row r="8568" customFormat="false" ht="12.8" hidden="false" customHeight="false" outlineLevel="0" collapsed="false">
      <c r="A8568" s="0" t="s">
        <v>3990</v>
      </c>
      <c r="B8568" s="0" t="str">
        <f aca="false">HYPERLINK("https://lindat.mff.cuni.cz/services/teitok/pdtc10/index.php?action=vallex&amp;frame=v-w411hsa_850", "dělat si (v-w411hsa_850) - substituted with v-w411f14_ZU")</f>
        <v>dělat si (v-w411hsa_850) - substituted with v-w411f14_ZU</v>
      </c>
    </row>
    <row r="8569" customFormat="false" ht="12.8" hidden="false" customHeight="false" outlineLevel="0" collapsed="false">
      <c r="B8569" s="0" t="s">
        <v>1</v>
      </c>
    </row>
    <row r="8570" customFormat="false" ht="12.8" hidden="false" customHeight="false" outlineLevel="0" collapsed="false">
      <c r="B8570" s="0" t="s">
        <v>3991</v>
      </c>
    </row>
    <row r="8571" customFormat="false" ht="12.8" hidden="false" customHeight="false" outlineLevel="0" collapsed="false">
      <c r="B8571" s="0" t="s">
        <v>298</v>
      </c>
    </row>
    <row r="8573" customFormat="false" ht="12.8" hidden="false" customHeight="false" outlineLevel="0" collapsed="false">
      <c r="A8573" s="0" t="s">
        <v>3992</v>
      </c>
      <c r="B8573" s="0" t="str">
        <f aca="false">HYPERLINK("https://lindat.mff.cuni.cz/services/teitok/pdtc10/index.php?action=vallex&amp;frame=v-w411hsa_852", "dělat si (v-w411hsa_852)")</f>
        <v>dělat si (v-w411hsa_852)</v>
      </c>
    </row>
    <row r="8574" customFormat="false" ht="12.8" hidden="false" customHeight="false" outlineLevel="0" collapsed="false">
      <c r="B8574" s="0" t="s">
        <v>1</v>
      </c>
    </row>
    <row r="8575" customFormat="false" ht="12.8" hidden="false" customHeight="false" outlineLevel="0" collapsed="false">
      <c r="B8575" s="0" t="s">
        <v>3993</v>
      </c>
    </row>
    <row r="8576" customFormat="false" ht="12.8" hidden="false" customHeight="false" outlineLevel="0" collapsed="false">
      <c r="B8576" s="0" t="s">
        <v>298</v>
      </c>
    </row>
    <row r="8578" customFormat="false" ht="12.8" hidden="false" customHeight="false" outlineLevel="0" collapsed="false">
      <c r="A8578" s="0" t="s">
        <v>3994</v>
      </c>
      <c r="B8578" s="0" t="str">
        <f aca="false">HYPERLINK("https://lindat.mff.cuni.cz/services/teitok/pdtc10/index.php?action=vallex&amp;frame=v-w417f3", "dělit (v-w417f3)")</f>
        <v>dělit (v-w417f3)</v>
      </c>
    </row>
    <row r="8579" customFormat="false" ht="12.8" hidden="false" customHeight="false" outlineLevel="0" collapsed="false">
      <c r="B8579" s="0" t="s">
        <v>1</v>
      </c>
    </row>
    <row r="8580" customFormat="false" ht="12.8" hidden="false" customHeight="false" outlineLevel="0" collapsed="false">
      <c r="B8580" s="0" t="s">
        <v>8</v>
      </c>
    </row>
    <row r="8581" customFormat="false" ht="12.8" hidden="false" customHeight="false" outlineLevel="0" collapsed="false">
      <c r="B8581" s="0" t="s">
        <v>3995</v>
      </c>
    </row>
    <row r="8583" customFormat="false" ht="12.8" hidden="false" customHeight="false" outlineLevel="0" collapsed="false">
      <c r="A8583" s="0" t="s">
        <v>3996</v>
      </c>
      <c r="B8583" s="0" t="str">
        <f aca="false">HYPERLINK("https://lindat.mff.cuni.cz/services/teitok/pdtc10/index.php?action=vallex&amp;frame=v-w417f2", "dělit (v-w417f2)")</f>
        <v>dělit (v-w417f2)</v>
      </c>
    </row>
    <row r="8584" customFormat="false" ht="12.8" hidden="false" customHeight="false" outlineLevel="0" collapsed="false">
      <c r="B8584" s="0" t="s">
        <v>1</v>
      </c>
    </row>
    <row r="8585" customFormat="false" ht="12.8" hidden="false" customHeight="false" outlineLevel="0" collapsed="false">
      <c r="B8585" s="0" t="s">
        <v>8</v>
      </c>
    </row>
    <row r="8586" customFormat="false" ht="12.8" hidden="false" customHeight="false" outlineLevel="0" collapsed="false">
      <c r="B8586" s="0" t="s">
        <v>602</v>
      </c>
    </row>
    <row r="8588" customFormat="false" ht="12.8" hidden="false" customHeight="false" outlineLevel="0" collapsed="false">
      <c r="A8588" s="0" t="s">
        <v>3997</v>
      </c>
      <c r="B8588" s="0" t="str">
        <f aca="false">HYPERLINK("https://lindat.mff.cuni.cz/services/teitok/pdtc10/index.php?action=vallex&amp;frame=v-w417f4_ZU", "dělit (v-w417f4_ZU)")</f>
        <v>dělit (v-w417f4_ZU)</v>
      </c>
    </row>
    <row r="8589" customFormat="false" ht="12.8" hidden="false" customHeight="false" outlineLevel="0" collapsed="false">
      <c r="B8589" s="0" t="s">
        <v>1</v>
      </c>
    </row>
    <row r="8590" customFormat="false" ht="12.8" hidden="false" customHeight="false" outlineLevel="0" collapsed="false">
      <c r="B8590" s="0" t="s">
        <v>8</v>
      </c>
    </row>
    <row r="8591" customFormat="false" ht="12.8" hidden="false" customHeight="false" outlineLevel="0" collapsed="false">
      <c r="B8591" s="0" t="s">
        <v>1696</v>
      </c>
    </row>
    <row r="8593" customFormat="false" ht="12.8" hidden="false" customHeight="false" outlineLevel="0" collapsed="false">
      <c r="A8593" s="0" t="s">
        <v>3998</v>
      </c>
      <c r="B8593" s="0" t="str">
        <f aca="false">HYPERLINK("https://lindat.mff.cuni.cz/services/teitok/pdtc10/index.php?action=vallex&amp;frame=v-w417f1", "dělit (v-w417f1)")</f>
        <v>dělit (v-w417f1)</v>
      </c>
    </row>
    <row r="8594" customFormat="false" ht="12.8" hidden="false" customHeight="false" outlineLevel="0" collapsed="false">
      <c r="B8594" s="0" t="s">
        <v>1</v>
      </c>
    </row>
    <row r="8595" customFormat="false" ht="12.8" hidden="false" customHeight="false" outlineLevel="0" collapsed="false">
      <c r="B8595" s="0" t="s">
        <v>8</v>
      </c>
    </row>
    <row r="8596" customFormat="false" ht="12.8" hidden="false" customHeight="false" outlineLevel="0" collapsed="false">
      <c r="B8596" s="0" t="s">
        <v>3211</v>
      </c>
    </row>
    <row r="8598" customFormat="false" ht="12.8" hidden="false" customHeight="false" outlineLevel="0" collapsed="false">
      <c r="A8598" s="0" t="s">
        <v>3999</v>
      </c>
      <c r="B8598" s="0" t="str">
        <f aca="false">HYPERLINK("https://lindat.mff.cuni.cz/services/teitok/pdtc10/index.php?action=vallex&amp;frame=v-w419f1", "dělit se (v-w419f1)")</f>
        <v>dělit se (v-w419f1)</v>
      </c>
      <c r="E8598" s="0" t="str">
        <f aca="false">HYPERLINK("https://lindat.mff.cuni.cz/services/SynSemClass40/SynSemClass40.html?veclass=vec00304#vec00304-ces-cm00003", "vec00304")</f>
        <v>vec00304</v>
      </c>
      <c r="F8598" s="0" t="s">
        <v>4000</v>
      </c>
    </row>
    <row r="8599" customFormat="false" ht="12.8" hidden="false" customHeight="false" outlineLevel="0" collapsed="false">
      <c r="B8599" s="0" t="s">
        <v>1</v>
      </c>
      <c r="C8599" s="0" t="s">
        <v>4001</v>
      </c>
      <c r="E8599" s="0" t="s">
        <v>2241</v>
      </c>
      <c r="F8599" s="0" t="s">
        <v>2662</v>
      </c>
    </row>
    <row r="8600" customFormat="false" ht="12.8" hidden="false" customHeight="false" outlineLevel="0" collapsed="false">
      <c r="B8600" s="0" t="s">
        <v>814</v>
      </c>
      <c r="C8600" s="0" t="s">
        <v>4002</v>
      </c>
      <c r="E8600" s="0" t="s">
        <v>34</v>
      </c>
      <c r="F8600" s="0" t="s">
        <v>4003</v>
      </c>
    </row>
    <row r="8601" customFormat="false" ht="12.8" hidden="false" customHeight="false" outlineLevel="0" collapsed="false">
      <c r="B8601" s="0" t="s">
        <v>276</v>
      </c>
      <c r="C8601" s="0" t="s">
        <v>4004</v>
      </c>
      <c r="E8601" s="0" t="s">
        <v>2247</v>
      </c>
      <c r="F8601" s="0" t="s">
        <v>4005</v>
      </c>
    </row>
    <row r="8603" customFormat="false" ht="12.8" hidden="false" customHeight="false" outlineLevel="0" collapsed="false">
      <c r="A8603" s="0" t="s">
        <v>4006</v>
      </c>
      <c r="B8603" s="0" t="str">
        <f aca="false">HYPERLINK("https://lindat.mff.cuni.cz/services/teitok/pdtc10/index.php?action=vallex&amp;frame=v-w419f2", "dělit se (v-w419f2)")</f>
        <v>dělit se (v-w419f2)</v>
      </c>
      <c r="E8603" s="0" t="str">
        <f aca="false">HYPERLINK("https://lindat.mff.cuni.cz/services/SynSemClass40/SynSemClass40.html?veclass=vec01305#vec01305-ces-cm00001", "vec01305")</f>
        <v>vec01305</v>
      </c>
      <c r="F8603" s="0" t="s">
        <v>2015</v>
      </c>
    </row>
    <row r="8604" customFormat="false" ht="12.8" hidden="false" customHeight="false" outlineLevel="0" collapsed="false">
      <c r="B8604" s="0" t="s">
        <v>1</v>
      </c>
      <c r="C8604" s="0" t="s">
        <v>2016</v>
      </c>
      <c r="E8604" s="0" t="s">
        <v>2017</v>
      </c>
      <c r="F8604" s="0" t="s">
        <v>2018</v>
      </c>
    </row>
    <row r="8605" customFormat="false" ht="12.8" hidden="false" customHeight="false" outlineLevel="0" collapsed="false">
      <c r="B8605" s="0" t="s">
        <v>4007</v>
      </c>
      <c r="C8605" s="0" t="s">
        <v>2019</v>
      </c>
      <c r="E8605" s="0" t="s">
        <v>110</v>
      </c>
      <c r="F8605" s="0" t="s">
        <v>2020</v>
      </c>
    </row>
    <row r="8607" customFormat="false" ht="12.8" hidden="false" customHeight="false" outlineLevel="0" collapsed="false">
      <c r="A8607" s="0" t="s">
        <v>4008</v>
      </c>
      <c r="B8607" s="0" t="str">
        <f aca="false">HYPERLINK("https://lindat.mff.cuni.cz/services/teitok/pdtc10/index.php?action=vallex&amp;frame=v-whsa_1269hsa_1270", "dělávat (v-whsa_1269hsa_1270)")</f>
        <v>dělávat (v-whsa_1269hsa_1270)</v>
      </c>
    </row>
    <row r="8608" customFormat="false" ht="12.8" hidden="false" customHeight="false" outlineLevel="0" collapsed="false">
      <c r="B8608" s="0" t="s">
        <v>1</v>
      </c>
    </row>
    <row r="8609" customFormat="false" ht="12.8" hidden="false" customHeight="false" outlineLevel="0" collapsed="false">
      <c r="B8609" s="0" t="s">
        <v>3897</v>
      </c>
    </row>
    <row r="8611" customFormat="false" ht="12.8" hidden="false" customHeight="false" outlineLevel="0" collapsed="false">
      <c r="A8611" s="0" t="s">
        <v>4009</v>
      </c>
      <c r="B8611" s="0" t="str">
        <f aca="false">HYPERLINK("https://lindat.mff.cuni.cz/services/teitok/pdtc10/index.php?action=vallex&amp;frame=v-whsb_1269f1_ZU", "dělávat (v-whsb_1269f1_ZU)")</f>
        <v>dělávat (v-whsb_1269f1_ZU)</v>
      </c>
    </row>
    <row r="8612" customFormat="false" ht="12.8" hidden="false" customHeight="false" outlineLevel="0" collapsed="false">
      <c r="B8612" s="0" t="s">
        <v>1</v>
      </c>
    </row>
    <row r="8613" customFormat="false" ht="12.8" hidden="false" customHeight="false" outlineLevel="0" collapsed="false">
      <c r="B8613" s="0" t="s">
        <v>1262</v>
      </c>
    </row>
    <row r="8615" customFormat="false" ht="12.8" hidden="false" customHeight="false" outlineLevel="0" collapsed="false">
      <c r="A8615" s="0" t="s">
        <v>4010</v>
      </c>
      <c r="B8615" s="0" t="str">
        <f aca="false">HYPERLINK("https://lindat.mff.cuni.cz/services/teitok/pdtc10/index.php?action=vallex&amp;frame=v-whsa_1269hsa_1077", "dělávat (v-whsa_1269hsa_1077)")</f>
        <v>dělávat (v-whsa_1269hsa_1077)</v>
      </c>
    </row>
    <row r="8616" customFormat="false" ht="12.8" hidden="false" customHeight="false" outlineLevel="0" collapsed="false">
      <c r="B8616" s="0" t="s">
        <v>1</v>
      </c>
    </row>
    <row r="8617" customFormat="false" ht="12.8" hidden="false" customHeight="false" outlineLevel="0" collapsed="false">
      <c r="B8617" s="0" t="s">
        <v>8</v>
      </c>
    </row>
    <row r="8619" customFormat="false" ht="12.8" hidden="false" customHeight="false" outlineLevel="0" collapsed="false">
      <c r="A8619" s="0" t="s">
        <v>4011</v>
      </c>
      <c r="B8619" s="0" t="str">
        <f aca="false">HYPERLINK("https://lindat.mff.cuni.cz/services/teitok/pdtc10/index.php?action=vallex&amp;frame=v-whsa_1269hsa_1078", "dělávat (v-whsa_1269hsa_1078)")</f>
        <v>dělávat (v-whsa_1269hsa_1078)</v>
      </c>
    </row>
    <row r="8620" customFormat="false" ht="12.8" hidden="false" customHeight="false" outlineLevel="0" collapsed="false">
      <c r="B8620" s="0" t="s">
        <v>1</v>
      </c>
    </row>
    <row r="8621" customFormat="false" ht="12.8" hidden="false" customHeight="false" outlineLevel="0" collapsed="false">
      <c r="B8621" s="0" t="s">
        <v>8</v>
      </c>
    </row>
    <row r="8622" customFormat="false" ht="12.8" hidden="false" customHeight="false" outlineLevel="0" collapsed="false">
      <c r="B8622" s="0" t="s">
        <v>36</v>
      </c>
    </row>
    <row r="8624" customFormat="false" ht="12.8" hidden="false" customHeight="false" outlineLevel="0" collapsed="false">
      <c r="A8624" s="0" t="s">
        <v>4012</v>
      </c>
      <c r="B8624" s="0" t="str">
        <f aca="false">HYPERLINK("https://lindat.mff.cuni.cz/services/teitok/pdtc10/index.php?action=vallex&amp;frame=v-whsa_1269hsa_1079", "dělávat (v-whsa_1269hsa_1079)")</f>
        <v>dělávat (v-whsa_1269hsa_1079)</v>
      </c>
    </row>
    <row r="8625" customFormat="false" ht="12.8" hidden="false" customHeight="false" outlineLevel="0" collapsed="false">
      <c r="B8625" s="0" t="s">
        <v>1</v>
      </c>
    </row>
    <row r="8626" customFormat="false" ht="12.8" hidden="false" customHeight="false" outlineLevel="0" collapsed="false">
      <c r="B8626" s="0" t="s">
        <v>8</v>
      </c>
    </row>
    <row r="8628" customFormat="false" ht="12.8" hidden="false" customHeight="false" outlineLevel="0" collapsed="false">
      <c r="A8628" s="0" t="s">
        <v>4013</v>
      </c>
      <c r="B8628" s="0" t="str">
        <f aca="false">HYPERLINK("https://lindat.mff.cuni.cz/services/teitok/pdtc10/index.php?action=vallex&amp;frame=v-w446f1", "děsit (v-w446f1)")</f>
        <v>děsit (v-w446f1)</v>
      </c>
      <c r="E8628" s="0" t="str">
        <f aca="false">HYPERLINK("https://lindat.mff.cuni.cz/services/SynSemClass40/SynSemClass40.html?veclass=vec00761#vec00761-ces-cm00010", "vec00761")</f>
        <v>vec00761</v>
      </c>
      <c r="F8628" s="0" t="s">
        <v>4014</v>
      </c>
    </row>
    <row r="8629" customFormat="false" ht="12.8" hidden="false" customHeight="false" outlineLevel="0" collapsed="false">
      <c r="B8629" s="0" t="s">
        <v>1</v>
      </c>
      <c r="C8629" s="0" t="s">
        <v>4015</v>
      </c>
      <c r="E8629" s="0" t="s">
        <v>1103</v>
      </c>
      <c r="F8629" s="0" t="s">
        <v>4016</v>
      </c>
    </row>
    <row r="8630" customFormat="false" ht="12.8" hidden="false" customHeight="false" outlineLevel="0" collapsed="false">
      <c r="B8630" s="0" t="s">
        <v>8</v>
      </c>
      <c r="C8630" s="0" t="s">
        <v>4017</v>
      </c>
      <c r="E8630" s="0" t="s">
        <v>199</v>
      </c>
      <c r="F8630" s="0" t="s">
        <v>4018</v>
      </c>
    </row>
    <row r="8632" customFormat="false" ht="12.8" hidden="false" customHeight="false" outlineLevel="0" collapsed="false">
      <c r="A8632" s="0" t="s">
        <v>4019</v>
      </c>
      <c r="B8632" s="0" t="str">
        <f aca="false">HYPERLINK("https://lindat.mff.cuni.cz/services/teitok/pdtc10/index.php?action=vallex&amp;frame=v-w11782_ZUf1_ZU", "děsit se (v-w11782_ZUf1_ZU)")</f>
        <v>děsit se (v-w11782_ZUf1_ZU)</v>
      </c>
    </row>
    <row r="8633" customFormat="false" ht="12.8" hidden="false" customHeight="false" outlineLevel="0" collapsed="false">
      <c r="B8633" s="0" t="s">
        <v>1</v>
      </c>
    </row>
    <row r="8634" customFormat="false" ht="12.8" hidden="false" customHeight="false" outlineLevel="0" collapsed="false">
      <c r="B8634" s="0" t="s">
        <v>1289</v>
      </c>
    </row>
    <row r="8636" customFormat="false" ht="12.8" hidden="false" customHeight="false" outlineLevel="0" collapsed="false">
      <c r="A8636" s="0" t="s">
        <v>4020</v>
      </c>
      <c r="B8636" s="0" t="str">
        <f aca="false">HYPERLINK("https://lindat.mff.cuni.cz/services/teitok/pdtc10/index.php?action=vallex&amp;frame=v-w11809_ZUf1_ZU", "dřepnout si (v-w11809_ZUf1_ZU)")</f>
        <v>dřepnout si (v-w11809_ZUf1_ZU)</v>
      </c>
    </row>
    <row r="8637" customFormat="false" ht="12.8" hidden="false" customHeight="false" outlineLevel="0" collapsed="false">
      <c r="B8637" s="0" t="s">
        <v>1</v>
      </c>
    </row>
    <row r="8638" customFormat="false" ht="12.8" hidden="false" customHeight="false" outlineLevel="0" collapsed="false">
      <c r="B8638" s="0" t="s">
        <v>454</v>
      </c>
    </row>
    <row r="8640" customFormat="false" ht="12.8" hidden="false" customHeight="false" outlineLevel="0" collapsed="false">
      <c r="A8640" s="0" t="s">
        <v>4021</v>
      </c>
      <c r="B8640" s="0" t="str">
        <f aca="false">HYPERLINK("https://lindat.mff.cuni.cz/services/teitok/pdtc10/index.php?action=vallex&amp;frame=v-w843f2", "dřímat (v-w843f2)")</f>
        <v>dřímat (v-w843f2)</v>
      </c>
    </row>
    <row r="8641" customFormat="false" ht="12.8" hidden="false" customHeight="false" outlineLevel="0" collapsed="false">
      <c r="B8641" s="0" t="s">
        <v>1</v>
      </c>
    </row>
    <row r="8642" customFormat="false" ht="12.8" hidden="false" customHeight="false" outlineLevel="0" collapsed="false">
      <c r="B8642" s="0" t="s">
        <v>536</v>
      </c>
    </row>
    <row r="8644" customFormat="false" ht="12.8" hidden="false" customHeight="false" outlineLevel="0" collapsed="false">
      <c r="A8644" s="0" t="s">
        <v>4022</v>
      </c>
      <c r="B8644" s="0" t="str">
        <f aca="false">HYPERLINK("https://lindat.mff.cuni.cz/services/teitok/pdtc10/index.php?action=vallex&amp;frame=v-w843f1", "dřímat (v-w843f1)")</f>
        <v>dřímat (v-w843f1)</v>
      </c>
    </row>
    <row r="8645" customFormat="false" ht="12.8" hidden="false" customHeight="false" outlineLevel="0" collapsed="false">
      <c r="B8645" s="0" t="s">
        <v>1</v>
      </c>
    </row>
    <row r="8647" customFormat="false" ht="12.8" hidden="false" customHeight="false" outlineLevel="0" collapsed="false">
      <c r="A8647" s="0" t="s">
        <v>4023</v>
      </c>
      <c r="B8647" s="0" t="str">
        <f aca="false">HYPERLINK("https://lindat.mff.cuni.cz/services/teitok/pdtc10/index.php?action=vallex&amp;frame=v-w11219f2", "dřít (v-w11219f2)")</f>
        <v>dřít (v-w11219f2)</v>
      </c>
      <c r="E8647" s="0" t="str">
        <f aca="false">HYPERLINK("https://lindat.mff.cuni.cz/services/SynSemClass40/SynSemClass40.html?veclass=vec00273#vec00273-ces-cm00003", "vec00273")</f>
        <v>vec00273</v>
      </c>
      <c r="F8647" s="0" t="s">
        <v>4024</v>
      </c>
      <c r="H8647" s="0" t="str">
        <f aca="false">HYPERLINK("https://lindat.mff.cuni.cz/services/SynSemClass40/SynSemClass40.html?veclass=vec01268#vec01268-ces-cm00009", "vec01268")</f>
        <v>vec01268</v>
      </c>
      <c r="I8647" s="0" t="s">
        <v>4025</v>
      </c>
    </row>
    <row r="8648" customFormat="false" ht="12.8" hidden="false" customHeight="false" outlineLevel="0" collapsed="false">
      <c r="B8648" s="0" t="s">
        <v>1</v>
      </c>
      <c r="C8648" s="0" t="s">
        <v>4026</v>
      </c>
      <c r="E8648" s="0" t="s">
        <v>11</v>
      </c>
      <c r="F8648" s="0" t="s">
        <v>4027</v>
      </c>
      <c r="H8648" s="0" t="s">
        <v>31</v>
      </c>
      <c r="I8648" s="0" t="s">
        <v>4028</v>
      </c>
    </row>
    <row r="8650" customFormat="false" ht="12.8" hidden="false" customHeight="false" outlineLevel="0" collapsed="false">
      <c r="A8650" s="0" t="s">
        <v>4029</v>
      </c>
      <c r="B8650" s="0" t="str">
        <f aca="false">HYPERLINK("https://lindat.mff.cuni.cz/services/teitok/pdtc10/index.php?action=vallex&amp;frame=v-w11500hsa_1529", "dřít se (v-w11500hsa_1529)")</f>
        <v>dřít se (v-w11500hsa_1529)</v>
      </c>
    </row>
    <row r="8651" customFormat="false" ht="12.8" hidden="false" customHeight="false" outlineLevel="0" collapsed="false">
      <c r="B8651" s="0" t="s">
        <v>1</v>
      </c>
    </row>
    <row r="8652" customFormat="false" ht="12.8" hidden="false" customHeight="false" outlineLevel="0" collapsed="false">
      <c r="B8652" s="0" t="s">
        <v>4030</v>
      </c>
    </row>
    <row r="8654" customFormat="false" ht="12.8" hidden="false" customHeight="false" outlineLevel="0" collapsed="false">
      <c r="A8654" s="0" t="s">
        <v>4029</v>
      </c>
      <c r="B8654" s="0" t="str">
        <f aca="false">HYPERLINK("https://lindat.mff.cuni.cz/services/teitok/pdtc10/index.php?action=vallex&amp;frame=v-w11500f1", "dřít se (v-w11500f1) - substituted with v-w11500hsa_1529")</f>
        <v>dřít se (v-w11500f1) - substituted with v-w11500hsa_1529</v>
      </c>
      <c r="E8654" s="0" t="str">
        <f aca="false">HYPERLINK("https://lindat.mff.cuni.cz/services/SynSemClass40/SynSemClass40.html?veclass=vec00273#vec00273-ces-cm00027", "vec00273")</f>
        <v>vec00273</v>
      </c>
      <c r="F8654" s="0" t="s">
        <v>4024</v>
      </c>
    </row>
    <row r="8655" customFormat="false" ht="12.8" hidden="false" customHeight="false" outlineLevel="0" collapsed="false">
      <c r="B8655" s="0" t="s">
        <v>1</v>
      </c>
      <c r="C8655" s="0" t="s">
        <v>4031</v>
      </c>
      <c r="E8655" s="0" t="s">
        <v>11</v>
      </c>
      <c r="F8655" s="0" t="s">
        <v>4027</v>
      </c>
    </row>
    <row r="8656" customFormat="false" ht="12.8" hidden="false" customHeight="false" outlineLevel="0" collapsed="false">
      <c r="B8656" s="0" t="s">
        <v>4030</v>
      </c>
    </row>
    <row r="8658" customFormat="false" ht="12.8" hidden="false" customHeight="false" outlineLevel="0" collapsed="false">
      <c r="A8658" s="0" t="s">
        <v>4032</v>
      </c>
      <c r="B8658" s="0" t="str">
        <f aca="false">HYPERLINK("https://lindat.mff.cuni.cz/services/teitok/pdtc10/index.php?action=vallex&amp;frame=v-w11500f2_ZU", "dřít se (v-w11500f2_ZU)")</f>
        <v>dřít se (v-w11500f2_ZU)</v>
      </c>
    </row>
    <row r="8659" customFormat="false" ht="12.8" hidden="false" customHeight="false" outlineLevel="0" collapsed="false">
      <c r="B8659" s="0" t="s">
        <v>1</v>
      </c>
    </row>
    <row r="8660" customFormat="false" ht="12.8" hidden="false" customHeight="false" outlineLevel="0" collapsed="false">
      <c r="B8660" s="0" t="s">
        <v>3152</v>
      </c>
    </row>
    <row r="8662" customFormat="false" ht="12.8" hidden="false" customHeight="false" outlineLevel="0" collapsed="false">
      <c r="A8662" s="0" t="s">
        <v>4033</v>
      </c>
      <c r="B8662" s="0" t="str">
        <f aca="false">HYPERLINK("https://lindat.mff.cuni.cz/services/teitok/pdtc10/index.php?action=vallex&amp;frame=v-w10370f2", "dštít (v-w10370f2)")</f>
        <v>dštít (v-w10370f2)</v>
      </c>
    </row>
    <row r="8663" customFormat="false" ht="12.8" hidden="false" customHeight="false" outlineLevel="0" collapsed="false">
      <c r="B8663" s="0" t="s">
        <v>1</v>
      </c>
    </row>
    <row r="8664" customFormat="false" ht="12.8" hidden="false" customHeight="false" outlineLevel="0" collapsed="false">
      <c r="B8664" s="0" t="s">
        <v>4034</v>
      </c>
    </row>
    <row r="8666" customFormat="false" ht="12.8" hidden="false" customHeight="false" outlineLevel="0" collapsed="false">
      <c r="A8666" s="0" t="s">
        <v>4035</v>
      </c>
      <c r="B8666" s="0" t="str">
        <f aca="false">HYPERLINK("https://lindat.mff.cuni.cz/services/teitok/pdtc10/index.php?action=vallex&amp;frame=v-w857f2", "důvěřovat (v-w857f2)")</f>
        <v>důvěřovat (v-w857f2)</v>
      </c>
      <c r="E8666" s="0" t="str">
        <f aca="false">HYPERLINK("https://lindat.mff.cuni.cz/services/SynSemClass40/SynSemClass40.html?veclass=vec00345#vec00345-ces-cm00007", "vec00345")</f>
        <v>vec00345</v>
      </c>
      <c r="F8666" s="0" t="s">
        <v>2478</v>
      </c>
    </row>
    <row r="8667" customFormat="false" ht="12.8" hidden="false" customHeight="false" outlineLevel="0" collapsed="false">
      <c r="B8667" s="0" t="s">
        <v>1</v>
      </c>
      <c r="C8667" s="0" t="s">
        <v>2479</v>
      </c>
      <c r="E8667" s="0" t="s">
        <v>621</v>
      </c>
      <c r="F8667" s="0" t="s">
        <v>2480</v>
      </c>
    </row>
    <row r="8668" customFormat="false" ht="12.8" hidden="false" customHeight="false" outlineLevel="0" collapsed="false">
      <c r="B8668" s="0" t="s">
        <v>4036</v>
      </c>
      <c r="C8668" s="0" t="s">
        <v>2482</v>
      </c>
      <c r="E8668" s="0" t="s">
        <v>218</v>
      </c>
      <c r="F8668" s="0" t="s">
        <v>2483</v>
      </c>
    </row>
    <row r="8670" customFormat="false" ht="12.8" hidden="false" customHeight="false" outlineLevel="0" collapsed="false">
      <c r="A8670" s="0" t="s">
        <v>4037</v>
      </c>
      <c r="B8670" s="0" t="str">
        <f aca="false">HYPERLINK("https://lindat.mff.cuni.cz/services/teitok/pdtc10/index.php?action=vallex&amp;frame=v-w857f3", "důvěřovat (v-w857f3)")</f>
        <v>důvěřovat (v-w857f3)</v>
      </c>
    </row>
    <row r="8671" customFormat="false" ht="12.8" hidden="false" customHeight="false" outlineLevel="0" collapsed="false">
      <c r="B8671" s="0" t="s">
        <v>1</v>
      </c>
    </row>
    <row r="8672" customFormat="false" ht="12.8" hidden="false" customHeight="false" outlineLevel="0" collapsed="false">
      <c r="B8672" s="0" t="s">
        <v>2769</v>
      </c>
    </row>
    <row r="8674" customFormat="false" ht="12.8" hidden="false" customHeight="false" outlineLevel="0" collapsed="false">
      <c r="A8674" s="0" t="s">
        <v>4038</v>
      </c>
      <c r="B8674" s="0" t="str">
        <f aca="false">HYPERLINK("https://lindat.mff.cuni.cz/services/teitok/pdtc10/index.php?action=vallex&amp;frame=v-w857f1", "důvěřovat (v-w857f1)")</f>
        <v>důvěřovat (v-w857f1)</v>
      </c>
      <c r="E8674" s="0" t="str">
        <f aca="false">HYPERLINK("https://lindat.mff.cuni.cz/services/SynSemClass40/SynSemClass40.html?veclass=vec01341#vec01341-ces-cm00006", "vec01341")</f>
        <v>vec01341</v>
      </c>
      <c r="F8674" s="0" t="s">
        <v>4039</v>
      </c>
    </row>
    <row r="8675" customFormat="false" ht="12.8" hidden="false" customHeight="false" outlineLevel="0" collapsed="false">
      <c r="B8675" s="0" t="s">
        <v>1</v>
      </c>
      <c r="C8675" s="0" t="s">
        <v>2462</v>
      </c>
      <c r="E8675" s="0" t="s">
        <v>621</v>
      </c>
      <c r="F8675" s="0" t="s">
        <v>4040</v>
      </c>
    </row>
    <row r="8676" customFormat="false" ht="12.8" hidden="false" customHeight="false" outlineLevel="0" collapsed="false">
      <c r="B8676" s="0" t="s">
        <v>52</v>
      </c>
      <c r="C8676" s="0" t="s">
        <v>2304</v>
      </c>
      <c r="E8676" s="0" t="s">
        <v>4041</v>
      </c>
      <c r="F8676" s="0" t="s">
        <v>4042</v>
      </c>
    </row>
    <row r="8677" customFormat="false" ht="12.8" hidden="false" customHeight="false" outlineLevel="0" collapsed="false">
      <c r="B8677" s="0" t="s">
        <v>918</v>
      </c>
      <c r="C8677" s="0" t="s">
        <v>462</v>
      </c>
      <c r="E8677" s="0" t="s">
        <v>218</v>
      </c>
      <c r="F8677" s="0" t="s">
        <v>1366</v>
      </c>
    </row>
    <row r="8679" customFormat="false" ht="12.8" hidden="false" customHeight="false" outlineLevel="0" collapsed="false">
      <c r="A8679" s="0" t="s">
        <v>4043</v>
      </c>
      <c r="B8679" s="0" t="str">
        <f aca="false">HYPERLINK("https://lindat.mff.cuni.cz/services/teitok/pdtc10/index.php?action=vallex&amp;frame=v-whsa_427hsa_428", "důvěřovat si (v-whsa_427hsa_428)")</f>
        <v>důvěřovat si (v-whsa_427hsa_428)</v>
      </c>
    </row>
    <row r="8680" customFormat="false" ht="12.8" hidden="false" customHeight="false" outlineLevel="0" collapsed="false">
      <c r="B8680" s="0" t="s">
        <v>1</v>
      </c>
    </row>
    <row r="8681" customFormat="false" ht="12.8" hidden="false" customHeight="false" outlineLevel="0" collapsed="false">
      <c r="B8681" s="0" t="s">
        <v>721</v>
      </c>
    </row>
    <row r="8683" customFormat="false" ht="12.8" hidden="false" customHeight="false" outlineLevel="0" collapsed="false">
      <c r="A8683" s="0" t="s">
        <v>4044</v>
      </c>
      <c r="B8683" s="0" t="str">
        <f aca="false">HYPERLINK("https://lindat.mff.cuni.cz/services/teitok/pdtc10/index.php?action=vallex&amp;frame=v-w868f1", "elektrifikovat (v-w868f1)")</f>
        <v>elektrifikovat (v-w868f1)</v>
      </c>
    </row>
    <row r="8684" customFormat="false" ht="12.8" hidden="false" customHeight="false" outlineLevel="0" collapsed="false">
      <c r="B8684" s="0" t="s">
        <v>1</v>
      </c>
    </row>
    <row r="8685" customFormat="false" ht="12.8" hidden="false" customHeight="false" outlineLevel="0" collapsed="false">
      <c r="B8685" s="0" t="s">
        <v>8</v>
      </c>
    </row>
    <row r="8687" customFormat="false" ht="12.8" hidden="false" customHeight="false" outlineLevel="0" collapsed="false">
      <c r="A8687" s="0" t="s">
        <v>4045</v>
      </c>
      <c r="B8687" s="0" t="str">
        <f aca="false">HYPERLINK("https://lindat.mff.cuni.cz/services/teitok/pdtc10/index.php?action=vallex&amp;frame=v-w870f1", "eliminovat (v-w870f1)")</f>
        <v>eliminovat (v-w870f1)</v>
      </c>
    </row>
    <row r="8688" customFormat="false" ht="12.8" hidden="false" customHeight="false" outlineLevel="0" collapsed="false">
      <c r="B8688" s="0" t="s">
        <v>1</v>
      </c>
    </row>
    <row r="8689" customFormat="false" ht="12.8" hidden="false" customHeight="false" outlineLevel="0" collapsed="false">
      <c r="B8689" s="0" t="s">
        <v>8</v>
      </c>
    </row>
    <row r="8691" customFormat="false" ht="12.8" hidden="false" customHeight="false" outlineLevel="0" collapsed="false">
      <c r="A8691" s="0" t="s">
        <v>4046</v>
      </c>
      <c r="B8691" s="0" t="str">
        <f aca="false">HYPERLINK("https://lindat.mff.cuni.cz/services/teitok/pdtc10/index.php?action=vallex&amp;frame=v-w874f1", "emigrovat (v-w874f1)")</f>
        <v>emigrovat (v-w874f1)</v>
      </c>
      <c r="E8691" s="0" t="str">
        <f aca="false">HYPERLINK("https://lindat.mff.cuni.cz/services/SynSemClass40/SynSemClass40.html?veclass=vec00048#vec00048-ces-cm00020", "vec00048")</f>
        <v>vec00048</v>
      </c>
      <c r="F8691" s="0" t="s">
        <v>1945</v>
      </c>
      <c r="H8691" s="0" t="str">
        <f aca="false">HYPERLINK("https://lindat.mff.cuni.cz/services/SynSemClass40/SynSemClass40.html?veclass=vec00146#vec00146-ces-cm00026", "vec00146")</f>
        <v>vec00146</v>
      </c>
      <c r="I8691" s="0" t="s">
        <v>4047</v>
      </c>
      <c r="K8691" s="0" t="str">
        <f aca="false">HYPERLINK("https://lindat.mff.cuni.cz/services/SynSemClass40/SynSemClass40.html?veclass=vec00811#vec00811-ces-cm00060", "vec00811")</f>
        <v>vec00811</v>
      </c>
      <c r="L8691" s="0" t="s">
        <v>2889</v>
      </c>
    </row>
    <row r="8692" customFormat="false" ht="12.8" hidden="false" customHeight="false" outlineLevel="0" collapsed="false">
      <c r="B8692" s="0" t="s">
        <v>1</v>
      </c>
      <c r="C8692" s="0" t="s">
        <v>4048</v>
      </c>
      <c r="E8692" s="0" t="s">
        <v>334</v>
      </c>
      <c r="F8692" s="0" t="s">
        <v>1947</v>
      </c>
      <c r="H8692" s="0" t="s">
        <v>2892</v>
      </c>
      <c r="I8692" s="0" t="s">
        <v>4049</v>
      </c>
      <c r="K8692" s="0" t="s">
        <v>2892</v>
      </c>
      <c r="L8692" s="0" t="s">
        <v>2893</v>
      </c>
    </row>
    <row r="8693" customFormat="false" ht="12.8" hidden="false" customHeight="false" outlineLevel="0" collapsed="false">
      <c r="B8693" s="0" t="s">
        <v>631</v>
      </c>
      <c r="C8693" s="0" t="s">
        <v>1948</v>
      </c>
      <c r="E8693" s="0" t="s">
        <v>1949</v>
      </c>
      <c r="F8693" s="0" t="s">
        <v>1950</v>
      </c>
      <c r="H8693" s="0" t="s">
        <v>4050</v>
      </c>
      <c r="I8693" s="0" t="s">
        <v>4051</v>
      </c>
      <c r="K8693" s="0" t="s">
        <v>1949</v>
      </c>
      <c r="L8693" s="0" t="s">
        <v>2896</v>
      </c>
    </row>
    <row r="8695" customFormat="false" ht="12.8" hidden="false" customHeight="false" outlineLevel="0" collapsed="false">
      <c r="A8695" s="0" t="s">
        <v>4052</v>
      </c>
      <c r="B8695" s="0" t="str">
        <f aca="false">HYPERLINK("https://lindat.mff.cuni.cz/services/teitok/pdtc10/index.php?action=vallex&amp;frame=v-w877f1", "emitovat (v-w877f1)")</f>
        <v>emitovat (v-w877f1)</v>
      </c>
    </row>
    <row r="8696" customFormat="false" ht="12.8" hidden="false" customHeight="false" outlineLevel="0" collapsed="false">
      <c r="B8696" s="0" t="s">
        <v>1</v>
      </c>
    </row>
    <row r="8697" customFormat="false" ht="12.8" hidden="false" customHeight="false" outlineLevel="0" collapsed="false">
      <c r="B8697" s="0" t="s">
        <v>8</v>
      </c>
    </row>
    <row r="8699" customFormat="false" ht="12.8" hidden="false" customHeight="false" outlineLevel="0" collapsed="false">
      <c r="A8699" s="0" t="s">
        <v>4053</v>
      </c>
      <c r="B8699" s="0" t="str">
        <f aca="false">HYPERLINK("https://lindat.mff.cuni.cz/services/teitok/pdtc10/index.php?action=vallex&amp;frame=v-w880f1", "erodovat (v-w880f1)")</f>
        <v>erodovat (v-w880f1)</v>
      </c>
    </row>
    <row r="8700" customFormat="false" ht="12.8" hidden="false" customHeight="false" outlineLevel="0" collapsed="false">
      <c r="B8700" s="0" t="s">
        <v>1</v>
      </c>
    </row>
    <row r="8702" customFormat="false" ht="12.8" hidden="false" customHeight="false" outlineLevel="0" collapsed="false">
      <c r="A8702" s="0" t="s">
        <v>4054</v>
      </c>
      <c r="B8702" s="0" t="str">
        <f aca="false">HYPERLINK("https://lindat.mff.cuni.cz/services/teitok/pdtc10/index.php?action=vallex&amp;frame=v-w10145f2", "eskalovat (v-w10145f2)")</f>
        <v>eskalovat (v-w10145f2)</v>
      </c>
    </row>
    <row r="8703" customFormat="false" ht="12.8" hidden="false" customHeight="false" outlineLevel="0" collapsed="false">
      <c r="B8703" s="0" t="s">
        <v>1</v>
      </c>
    </row>
    <row r="8705" customFormat="false" ht="12.8" hidden="false" customHeight="false" outlineLevel="0" collapsed="false">
      <c r="A8705" s="0" t="s">
        <v>4055</v>
      </c>
      <c r="B8705" s="0" t="str">
        <f aca="false">HYPERLINK("https://lindat.mff.cuni.cz/services/teitok/pdtc10/index.php?action=vallex&amp;frame=v-w885f1", "eskortovat (v-w885f1)")</f>
        <v>eskortovat (v-w885f1)</v>
      </c>
    </row>
    <row r="8706" customFormat="false" ht="12.8" hidden="false" customHeight="false" outlineLevel="0" collapsed="false">
      <c r="B8706" s="0" t="s">
        <v>1</v>
      </c>
    </row>
    <row r="8707" customFormat="false" ht="12.8" hidden="false" customHeight="false" outlineLevel="0" collapsed="false">
      <c r="B8707" s="0" t="s">
        <v>8</v>
      </c>
    </row>
    <row r="8708" customFormat="false" ht="12.8" hidden="false" customHeight="false" outlineLevel="0" collapsed="false">
      <c r="B8708" s="0" t="s">
        <v>164</v>
      </c>
    </row>
    <row r="8710" customFormat="false" ht="12.8" hidden="false" customHeight="false" outlineLevel="0" collapsed="false">
      <c r="A8710" s="0" t="s">
        <v>4056</v>
      </c>
      <c r="B8710" s="0" t="str">
        <f aca="false">HYPERLINK("https://lindat.mff.cuni.cz/services/teitok/pdtc10/index.php?action=vallex&amp;frame=v-w886f1", "etablovat se (v-w886f1)")</f>
        <v>etablovat se (v-w886f1)</v>
      </c>
    </row>
    <row r="8711" customFormat="false" ht="12.8" hidden="false" customHeight="false" outlineLevel="0" collapsed="false">
      <c r="B8711" s="0" t="s">
        <v>1</v>
      </c>
    </row>
    <row r="8713" customFormat="false" ht="12.8" hidden="false" customHeight="false" outlineLevel="0" collapsed="false">
      <c r="A8713" s="0" t="s">
        <v>4057</v>
      </c>
      <c r="B8713" s="0" t="str">
        <f aca="false">HYPERLINK("https://lindat.mff.cuni.cz/services/teitok/pdtc10/index.php?action=vallex&amp;frame=v-w890f1", "evakuovat (v-w890f1)")</f>
        <v>evakuovat (v-w890f1)</v>
      </c>
      <c r="E8713" s="0" t="str">
        <f aca="false">HYPERLINK("https://lindat.mff.cuni.cz/services/SynSemClass40/SynSemClass40.html?veclass=vec01214#vec01214-ces-cm00002", "vec01214")</f>
        <v>vec01214</v>
      </c>
      <c r="F8713" s="0" t="s">
        <v>2816</v>
      </c>
    </row>
    <row r="8714" customFormat="false" ht="12.8" hidden="false" customHeight="false" outlineLevel="0" collapsed="false">
      <c r="B8714" s="0" t="s">
        <v>1</v>
      </c>
      <c r="E8714" s="0" t="s">
        <v>206</v>
      </c>
      <c r="F8714" s="0" t="s">
        <v>1359</v>
      </c>
    </row>
    <row r="8715" customFormat="false" ht="12.8" hidden="false" customHeight="false" outlineLevel="0" collapsed="false">
      <c r="B8715" s="0" t="s">
        <v>8</v>
      </c>
      <c r="C8715" s="0" t="s">
        <v>1910</v>
      </c>
      <c r="E8715" s="0" t="s">
        <v>2648</v>
      </c>
      <c r="F8715" s="0" t="s">
        <v>2817</v>
      </c>
    </row>
    <row r="8716" customFormat="false" ht="12.8" hidden="false" customHeight="false" outlineLevel="0" collapsed="false">
      <c r="B8716" s="0" t="s">
        <v>631</v>
      </c>
      <c r="E8716" s="0" t="s">
        <v>2818</v>
      </c>
      <c r="F8716" s="0" t="s">
        <v>2819</v>
      </c>
    </row>
    <row r="8718" customFormat="false" ht="12.8" hidden="false" customHeight="false" outlineLevel="0" collapsed="false">
      <c r="A8718" s="0" t="s">
        <v>4058</v>
      </c>
      <c r="B8718" s="0" t="str">
        <f aca="false">HYPERLINK("https://lindat.mff.cuni.cz/services/teitok/pdtc10/index.php?action=vallex&amp;frame=v-w890hsa_1079", "evakuovat (v-w890hsa_1079)")</f>
        <v>evakuovat (v-w890hsa_1079)</v>
      </c>
      <c r="E8718" s="0" t="str">
        <f aca="false">HYPERLINK("https://lindat.mff.cuni.cz/services/SynSemClass40/SynSemClass40.html?veclass=vec01020#vec01020-ces-cm00001", "vec01020")</f>
        <v>vec01020</v>
      </c>
      <c r="F8718" s="0" t="s">
        <v>4059</v>
      </c>
    </row>
    <row r="8719" customFormat="false" ht="12.8" hidden="false" customHeight="false" outlineLevel="0" collapsed="false">
      <c r="B8719" s="0" t="s">
        <v>1</v>
      </c>
      <c r="E8719" s="0" t="s">
        <v>206</v>
      </c>
      <c r="F8719" s="0" t="s">
        <v>1359</v>
      </c>
    </row>
    <row r="8720" customFormat="false" ht="12.8" hidden="false" customHeight="false" outlineLevel="0" collapsed="false">
      <c r="B8720" s="0" t="s">
        <v>8</v>
      </c>
      <c r="C8720" s="0" t="s">
        <v>462</v>
      </c>
      <c r="E8720" s="0" t="s">
        <v>4060</v>
      </c>
      <c r="F8720" s="0" t="s">
        <v>4061</v>
      </c>
    </row>
    <row r="8722" customFormat="false" ht="12.8" hidden="false" customHeight="false" outlineLevel="0" collapsed="false">
      <c r="A8722" s="0" t="s">
        <v>4062</v>
      </c>
      <c r="B8722" s="0" t="str">
        <f aca="false">HYPERLINK("https://lindat.mff.cuni.cz/services/teitok/pdtc10/index.php?action=vallex&amp;frame=v-w892f1", "evaluovat (v-w892f1)")</f>
        <v>evaluovat (v-w892f1)</v>
      </c>
    </row>
    <row r="8723" customFormat="false" ht="12.8" hidden="false" customHeight="false" outlineLevel="0" collapsed="false">
      <c r="B8723" s="0" t="s">
        <v>1</v>
      </c>
    </row>
    <row r="8724" customFormat="false" ht="12.8" hidden="false" customHeight="false" outlineLevel="0" collapsed="false">
      <c r="B8724" s="0" t="s">
        <v>8</v>
      </c>
    </row>
    <row r="8726" customFormat="false" ht="12.8" hidden="false" customHeight="false" outlineLevel="0" collapsed="false">
      <c r="A8726" s="0" t="s">
        <v>4063</v>
      </c>
      <c r="B8726" s="0" t="str">
        <f aca="false">HYPERLINK("https://lindat.mff.cuni.cz/services/teitok/pdtc10/index.php?action=vallex&amp;frame=v-w895f1", "evidovat (v-w895f1)")</f>
        <v>evidovat (v-w895f1)</v>
      </c>
    </row>
    <row r="8727" customFormat="false" ht="12.8" hidden="false" customHeight="false" outlineLevel="0" collapsed="false">
      <c r="B8727" s="0" t="s">
        <v>1</v>
      </c>
    </row>
    <row r="8728" customFormat="false" ht="12.8" hidden="false" customHeight="false" outlineLevel="0" collapsed="false">
      <c r="B8728" s="0" t="s">
        <v>59</v>
      </c>
    </row>
    <row r="8730" customFormat="false" ht="12.8" hidden="false" customHeight="false" outlineLevel="0" collapsed="false">
      <c r="A8730" s="0" t="s">
        <v>4064</v>
      </c>
      <c r="B8730" s="0" t="str">
        <f aca="false">HYPERLINK("https://lindat.mff.cuni.cz/services/teitok/pdtc10/index.php?action=vallex&amp;frame=v-w895f2", "evidovat (v-w895f2)")</f>
        <v>evidovat (v-w895f2)</v>
      </c>
    </row>
    <row r="8731" customFormat="false" ht="12.8" hidden="false" customHeight="false" outlineLevel="0" collapsed="false">
      <c r="B8731" s="0" t="s">
        <v>1</v>
      </c>
    </row>
    <row r="8732" customFormat="false" ht="12.8" hidden="false" customHeight="false" outlineLevel="0" collapsed="false">
      <c r="B8732" s="0" t="s">
        <v>4065</v>
      </c>
    </row>
    <row r="8733" customFormat="false" ht="12.8" hidden="false" customHeight="false" outlineLevel="0" collapsed="false">
      <c r="B8733" s="0" t="s">
        <v>496</v>
      </c>
    </row>
    <row r="8735" customFormat="false" ht="12.8" hidden="false" customHeight="false" outlineLevel="0" collapsed="false">
      <c r="A8735" s="0" t="s">
        <v>4066</v>
      </c>
      <c r="B8735" s="0" t="str">
        <f aca="false">HYPERLINK("https://lindat.mff.cuni.cz/services/teitok/pdtc10/index.php?action=vallex&amp;frame=v-w897f1", "evokovat (v-w897f1)")</f>
        <v>evokovat (v-w897f1)</v>
      </c>
      <c r="E8735" s="0" t="str">
        <f aca="false">HYPERLINK("https://lindat.mff.cuni.cz/services/SynSemClass40/SynSemClass40.html?veclass=vec00016#vec00016-ces-cm00001", "vec00016")</f>
        <v>vec00016</v>
      </c>
      <c r="F8735" s="0" t="s">
        <v>4067</v>
      </c>
    </row>
    <row r="8736" customFormat="false" ht="12.8" hidden="false" customHeight="false" outlineLevel="0" collapsed="false">
      <c r="B8736" s="0" t="s">
        <v>1</v>
      </c>
      <c r="C8736" s="0" t="s">
        <v>459</v>
      </c>
      <c r="E8736" s="0" t="s">
        <v>1103</v>
      </c>
      <c r="F8736" s="0" t="s">
        <v>4068</v>
      </c>
    </row>
    <row r="8737" customFormat="false" ht="12.8" hidden="false" customHeight="false" outlineLevel="0" collapsed="false">
      <c r="B8737" s="0" t="s">
        <v>8</v>
      </c>
      <c r="C8737" s="0" t="s">
        <v>744</v>
      </c>
      <c r="E8737" s="0" t="s">
        <v>180</v>
      </c>
      <c r="F8737" s="0" t="s">
        <v>1755</v>
      </c>
    </row>
    <row r="8739" customFormat="false" ht="12.8" hidden="false" customHeight="false" outlineLevel="0" collapsed="false">
      <c r="A8739" s="0" t="s">
        <v>4069</v>
      </c>
      <c r="B8739" s="0" t="str">
        <f aca="false">HYPERLINK("https://lindat.mff.cuni.cz/services/teitok/pdtc10/index.php?action=vallex&amp;frame=v-w899f1", "excelovat (v-w899f1)")</f>
        <v>excelovat (v-w899f1)</v>
      </c>
    </row>
    <row r="8740" customFormat="false" ht="12.8" hidden="false" customHeight="false" outlineLevel="0" collapsed="false">
      <c r="B8740" s="0" t="s">
        <v>1</v>
      </c>
    </row>
    <row r="8741" customFormat="false" ht="12.8" hidden="false" customHeight="false" outlineLevel="0" collapsed="false">
      <c r="B8741" s="0" t="s">
        <v>4070</v>
      </c>
    </row>
    <row r="8743" customFormat="false" ht="12.8" hidden="false" customHeight="false" outlineLevel="0" collapsed="false">
      <c r="A8743" s="0" t="s">
        <v>4071</v>
      </c>
      <c r="B8743" s="0" t="str">
        <f aca="false">HYPERLINK("https://lindat.mff.cuni.cz/services/teitok/pdtc10/index.php?action=vallex&amp;frame=v-w902f2_ZU", "existovat (v-w902f2_ZU)")</f>
        <v>existovat (v-w902f2_ZU)</v>
      </c>
    </row>
    <row r="8744" customFormat="false" ht="12.8" hidden="false" customHeight="false" outlineLevel="0" collapsed="false">
      <c r="B8744" s="0" t="s">
        <v>4072</v>
      </c>
    </row>
    <row r="8746" customFormat="false" ht="12.8" hidden="false" customHeight="false" outlineLevel="0" collapsed="false">
      <c r="A8746" s="0" t="s">
        <v>4071</v>
      </c>
      <c r="B8746" s="0" t="str">
        <f aca="false">HYPERLINK("https://lindat.mff.cuni.cz/services/teitok/pdtc10/index.php?action=vallex&amp;frame=v-w902f1", "existovat (v-w902f1) - substituted with v-w902f2_ZU")</f>
        <v>existovat (v-w902f1) - substituted with v-w902f2_ZU</v>
      </c>
      <c r="E8746" s="0" t="str">
        <f aca="false">HYPERLINK("https://lindat.mff.cuni.cz/services/SynSemClass40/SynSemClass40.html?veclass=vec00017#vec00017-ces-cm00001", "vec00017")</f>
        <v>vec00017</v>
      </c>
      <c r="F8746" s="0" t="s">
        <v>954</v>
      </c>
    </row>
    <row r="8747" customFormat="false" ht="12.8" hidden="false" customHeight="false" outlineLevel="0" collapsed="false">
      <c r="B8747" s="0" t="s">
        <v>4072</v>
      </c>
      <c r="C8747" s="0" t="s">
        <v>956</v>
      </c>
      <c r="E8747" s="0" t="s">
        <v>957</v>
      </c>
      <c r="F8747" s="0" t="s">
        <v>958</v>
      </c>
    </row>
    <row r="8749" customFormat="false" ht="12.8" hidden="false" customHeight="false" outlineLevel="0" collapsed="false">
      <c r="A8749" s="0" t="s">
        <v>4071</v>
      </c>
      <c r="B8749" s="0" t="str">
        <f aca="false">HYPERLINK("https://lindat.mff.cuni.cz/services/teitok/pdtc10/index.php?action=vallex&amp;frame=v-w902hsa_1497", "existovat (v-w902hsa_1497) - substituted with v-w902f2_ZU")</f>
        <v>existovat (v-w902hsa_1497) - substituted with v-w902f2_ZU</v>
      </c>
    </row>
    <row r="8750" customFormat="false" ht="12.8" hidden="false" customHeight="false" outlineLevel="0" collapsed="false">
      <c r="B8750" s="0" t="s">
        <v>4072</v>
      </c>
    </row>
    <row r="8752" customFormat="false" ht="12.8" hidden="false" customHeight="false" outlineLevel="0" collapsed="false">
      <c r="A8752" s="0" t="s">
        <v>4073</v>
      </c>
      <c r="B8752" s="0" t="str">
        <f aca="false">HYPERLINK("https://lindat.mff.cuni.cz/services/teitok/pdtc10/index.php?action=vallex&amp;frame=v-w10234f2", "expandovat (v-w10234f2)")</f>
        <v>expandovat (v-w10234f2)</v>
      </c>
      <c r="E8752" s="0" t="str">
        <f aca="false">HYPERLINK("https://lindat.mff.cuni.cz/services/SynSemClass40/SynSemClass40.html?veclass=vec00510#vec00510-ces-cm00004", "vec00510")</f>
        <v>vec00510</v>
      </c>
      <c r="F8752" s="0" t="s">
        <v>4074</v>
      </c>
      <c r="H8752" s="0" t="str">
        <f aca="false">HYPERLINK("https://lindat.mff.cuni.cz/services/SynSemClass40/SynSemClass40.html?veclass=vec01520#vec01520-ces-cm00001", "vec01520")</f>
        <v>vec01520</v>
      </c>
      <c r="I8752" s="0" t="s">
        <v>4075</v>
      </c>
    </row>
    <row r="8753" customFormat="false" ht="12.8" hidden="false" customHeight="false" outlineLevel="0" collapsed="false">
      <c r="B8753" s="0" t="s">
        <v>1</v>
      </c>
      <c r="C8753" s="0" t="s">
        <v>4076</v>
      </c>
      <c r="E8753" s="0" t="s">
        <v>84</v>
      </c>
      <c r="F8753" s="0" t="s">
        <v>4077</v>
      </c>
      <c r="H8753" s="0" t="s">
        <v>957</v>
      </c>
      <c r="I8753" s="0" t="s">
        <v>4078</v>
      </c>
    </row>
    <row r="8755" customFormat="false" ht="12.8" hidden="false" customHeight="false" outlineLevel="0" collapsed="false">
      <c r="A8755" s="0" t="s">
        <v>4079</v>
      </c>
      <c r="B8755" s="0" t="str">
        <f aca="false">HYPERLINK("https://lindat.mff.cuni.cz/services/teitok/pdtc10/index.php?action=vallex&amp;frame=v-w10533f2", "expedovat (v-w10533f2)")</f>
        <v>expedovat (v-w10533f2)</v>
      </c>
      <c r="E8755" s="0" t="str">
        <f aca="false">HYPERLINK("https://lindat.mff.cuni.cz/services/SynSemClass40/SynSemClass40.html?veclass=vec00209#vec00209-ces-cm00010", "vec00209")</f>
        <v>vec00209</v>
      </c>
      <c r="F8755" s="0" t="s">
        <v>2040</v>
      </c>
    </row>
    <row r="8756" customFormat="false" ht="12.8" hidden="false" customHeight="false" outlineLevel="0" collapsed="false">
      <c r="B8756" s="0" t="s">
        <v>1</v>
      </c>
      <c r="C8756" s="0" t="s">
        <v>2041</v>
      </c>
      <c r="E8756" s="0" t="s">
        <v>1784</v>
      </c>
      <c r="F8756" s="0" t="s">
        <v>2042</v>
      </c>
    </row>
    <row r="8757" customFormat="false" ht="12.8" hidden="false" customHeight="false" outlineLevel="0" collapsed="false">
      <c r="B8757" s="0" t="s">
        <v>8</v>
      </c>
      <c r="C8757" s="0" t="s">
        <v>2043</v>
      </c>
      <c r="E8757" s="0" t="s">
        <v>1787</v>
      </c>
      <c r="F8757" s="0" t="s">
        <v>2044</v>
      </c>
    </row>
    <row r="8758" customFormat="false" ht="12.8" hidden="false" customHeight="false" outlineLevel="0" collapsed="false">
      <c r="B8758" s="0" t="s">
        <v>164</v>
      </c>
      <c r="C8758" s="0" t="s">
        <v>2654</v>
      </c>
      <c r="E8758" s="0" t="s">
        <v>2212</v>
      </c>
      <c r="F8758" s="0" t="s">
        <v>2651</v>
      </c>
    </row>
    <row r="8760" customFormat="false" ht="12.8" hidden="false" customHeight="false" outlineLevel="0" collapsed="false">
      <c r="A8760" s="0" t="s">
        <v>4080</v>
      </c>
      <c r="B8760" s="0" t="str">
        <f aca="false">HYPERLINK("https://lindat.mff.cuni.cz/services/teitok/pdtc10/index.php?action=vallex&amp;frame=v-w908f1", "experimentovat (v-w908f1)")</f>
        <v>experimentovat (v-w908f1)</v>
      </c>
      <c r="E8760" s="0" t="str">
        <f aca="false">HYPERLINK("https://lindat.mff.cuni.cz/services/SynSemClass40/SynSemClass40.html?veclass=vec01021#vec01021-ces-cm00001", "vec01021")</f>
        <v>vec01021</v>
      </c>
      <c r="F8760" s="0" t="s">
        <v>4081</v>
      </c>
    </row>
    <row r="8761" customFormat="false" ht="12.8" hidden="false" customHeight="false" outlineLevel="0" collapsed="false">
      <c r="B8761" s="0" t="s">
        <v>1</v>
      </c>
      <c r="C8761" s="0" t="s">
        <v>3000</v>
      </c>
      <c r="E8761" s="0" t="s">
        <v>437</v>
      </c>
      <c r="F8761" s="0" t="s">
        <v>4082</v>
      </c>
    </row>
    <row r="8762" customFormat="false" ht="12.8" hidden="false" customHeight="false" outlineLevel="0" collapsed="false">
      <c r="B8762" s="0" t="s">
        <v>3321</v>
      </c>
      <c r="C8762" s="0" t="s">
        <v>4083</v>
      </c>
      <c r="E8762" s="0" t="s">
        <v>4084</v>
      </c>
      <c r="F8762" s="0" t="s">
        <v>4085</v>
      </c>
    </row>
    <row r="8764" customFormat="false" ht="12.8" hidden="false" customHeight="false" outlineLevel="0" collapsed="false">
      <c r="A8764" s="0" t="s">
        <v>4086</v>
      </c>
      <c r="B8764" s="0" t="str">
        <f aca="false">HYPERLINK("https://lindat.mff.cuni.cz/services/teitok/pdtc10/index.php?action=vallex&amp;frame=v-w912f1", "explodovat (v-w912f1)")</f>
        <v>explodovat (v-w912f1)</v>
      </c>
      <c r="E8764" s="0" t="str">
        <f aca="false">HYPERLINK("https://lindat.mff.cuni.cz/services/SynSemClass40/SynSemClass40.html?veclass=vec00018#vec00018-ces-cm00001", "vec00018")</f>
        <v>vec00018</v>
      </c>
      <c r="F8764" s="0" t="s">
        <v>2155</v>
      </c>
    </row>
    <row r="8765" customFormat="false" ht="12.8" hidden="false" customHeight="false" outlineLevel="0" collapsed="false">
      <c r="B8765" s="0" t="s">
        <v>1</v>
      </c>
      <c r="C8765" s="0" t="s">
        <v>2157</v>
      </c>
      <c r="E8765" s="0" t="s">
        <v>2158</v>
      </c>
      <c r="F8765" s="0" t="s">
        <v>2159</v>
      </c>
    </row>
    <row r="8767" customFormat="false" ht="12.8" hidden="false" customHeight="false" outlineLevel="0" collapsed="false">
      <c r="A8767" s="0" t="s">
        <v>4087</v>
      </c>
      <c r="B8767" s="0" t="str">
        <f aca="false">HYPERLINK("https://lindat.mff.cuni.cz/services/teitok/pdtc10/index.php?action=vallex&amp;frame=v-w11988_ZUf1_ZU", "exponovat (v-w11988_ZUf1_ZU)")</f>
        <v>exponovat (v-w11988_ZUf1_ZU)</v>
      </c>
    </row>
    <row r="8768" customFormat="false" ht="12.8" hidden="false" customHeight="false" outlineLevel="0" collapsed="false">
      <c r="B8768" s="0" t="s">
        <v>1</v>
      </c>
    </row>
    <row r="8769" customFormat="false" ht="12.8" hidden="false" customHeight="false" outlineLevel="0" collapsed="false">
      <c r="B8769" s="0" t="s">
        <v>8</v>
      </c>
    </row>
    <row r="8771" customFormat="false" ht="12.8" hidden="false" customHeight="false" outlineLevel="0" collapsed="false">
      <c r="A8771" s="0" t="s">
        <v>4088</v>
      </c>
      <c r="B8771" s="0" t="str">
        <f aca="false">HYPERLINK("https://lindat.mff.cuni.cz/services/teitok/pdtc10/index.php?action=vallex&amp;frame=v-w916f1", "exportovat (v-w916f1)")</f>
        <v>exportovat (v-w916f1)</v>
      </c>
    </row>
    <row r="8772" customFormat="false" ht="12.8" hidden="false" customHeight="false" outlineLevel="0" collapsed="false">
      <c r="B8772" s="0" t="s">
        <v>1</v>
      </c>
    </row>
    <row r="8773" customFormat="false" ht="12.8" hidden="false" customHeight="false" outlineLevel="0" collapsed="false">
      <c r="B8773" s="0" t="s">
        <v>8</v>
      </c>
    </row>
    <row r="8774" customFormat="false" ht="12.8" hidden="false" customHeight="false" outlineLevel="0" collapsed="false">
      <c r="B8774" s="0" t="s">
        <v>631</v>
      </c>
    </row>
    <row r="8776" customFormat="false" ht="12.8" hidden="false" customHeight="false" outlineLevel="0" collapsed="false">
      <c r="A8776" s="0" t="s">
        <v>4089</v>
      </c>
      <c r="B8776" s="0" t="str">
        <f aca="false">HYPERLINK("https://lindat.mff.cuni.cz/services/teitok/pdtc10/index.php?action=vallex&amp;frame=v-w918f1", "externalizovat (v-w918f1)")</f>
        <v>externalizovat (v-w918f1)</v>
      </c>
    </row>
    <row r="8777" customFormat="false" ht="12.8" hidden="false" customHeight="false" outlineLevel="0" collapsed="false">
      <c r="B8777" s="0" t="s">
        <v>1</v>
      </c>
    </row>
    <row r="8778" customFormat="false" ht="12.8" hidden="false" customHeight="false" outlineLevel="0" collapsed="false">
      <c r="B8778" s="0" t="s">
        <v>8</v>
      </c>
    </row>
    <row r="8780" customFormat="false" ht="12.8" hidden="false" customHeight="false" outlineLevel="0" collapsed="false">
      <c r="A8780" s="0" t="s">
        <v>4090</v>
      </c>
      <c r="B8780" s="0" t="str">
        <f aca="false">HYPERLINK("https://lindat.mff.cuni.cz/services/teitok/pdtc10/index.php?action=vallex&amp;frame=v-w10751f2", "extradikovat (v-w10751f2)")</f>
        <v>extradikovat (v-w10751f2)</v>
      </c>
    </row>
    <row r="8781" customFormat="false" ht="12.8" hidden="false" customHeight="false" outlineLevel="0" collapsed="false">
      <c r="B8781" s="0" t="s">
        <v>1</v>
      </c>
    </row>
    <row r="8782" customFormat="false" ht="12.8" hidden="false" customHeight="false" outlineLevel="0" collapsed="false">
      <c r="B8782" s="0" t="s">
        <v>8</v>
      </c>
    </row>
    <row r="8783" customFormat="false" ht="12.8" hidden="false" customHeight="false" outlineLevel="0" collapsed="false">
      <c r="B8783" s="0" t="s">
        <v>631</v>
      </c>
    </row>
    <row r="8785" customFormat="false" ht="12.8" hidden="false" customHeight="false" outlineLevel="0" collapsed="false">
      <c r="A8785" s="0" t="s">
        <v>4091</v>
      </c>
      <c r="B8785" s="0" t="str">
        <f aca="false">HYPERLINK("https://lindat.mff.cuni.cz/services/teitok/pdtc10/index.php?action=vallex&amp;frame=v-w10474f3", "extrahovat (v-w10474f3)")</f>
        <v>extrahovat (v-w10474f3)</v>
      </c>
      <c r="E8785" s="0" t="str">
        <f aca="false">HYPERLINK("https://lindat.mff.cuni.cz/services/SynSemClass40/SynSemClass40.html?veclass=vec00816#vec00816-ces-cm00001", "vec00816")</f>
        <v>vec00816</v>
      </c>
      <c r="F8785" s="0" t="s">
        <v>4092</v>
      </c>
    </row>
    <row r="8786" customFormat="false" ht="12.8" hidden="false" customHeight="false" outlineLevel="0" collapsed="false">
      <c r="B8786" s="0" t="s">
        <v>1</v>
      </c>
      <c r="C8786" s="0" t="s">
        <v>512</v>
      </c>
      <c r="E8786" s="0" t="s">
        <v>107</v>
      </c>
      <c r="F8786" s="0" t="s">
        <v>4093</v>
      </c>
    </row>
    <row r="8787" customFormat="false" ht="12.8" hidden="false" customHeight="false" outlineLevel="0" collapsed="false">
      <c r="B8787" s="0" t="s">
        <v>8</v>
      </c>
      <c r="C8787" s="0" t="s">
        <v>1575</v>
      </c>
      <c r="E8787" s="0" t="s">
        <v>4094</v>
      </c>
      <c r="F8787" s="0" t="s">
        <v>4095</v>
      </c>
    </row>
    <row r="8788" customFormat="false" ht="12.8" hidden="false" customHeight="false" outlineLevel="0" collapsed="false">
      <c r="B8788" s="0" t="s">
        <v>631</v>
      </c>
      <c r="E8788" s="0" t="s">
        <v>4096</v>
      </c>
      <c r="F8788" s="0" t="s">
        <v>4097</v>
      </c>
    </row>
    <row r="8790" customFormat="false" ht="12.8" hidden="false" customHeight="false" outlineLevel="0" collapsed="false">
      <c r="A8790" s="0" t="s">
        <v>4098</v>
      </c>
      <c r="B8790" s="0" t="str">
        <f aca="false">HYPERLINK("https://lindat.mff.cuni.cz/services/teitok/pdtc10/index.php?action=vallex&amp;frame=v-w10474f2", "extrahovat (v-w10474f2)")</f>
        <v>extrahovat (v-w10474f2)</v>
      </c>
    </row>
    <row r="8791" customFormat="false" ht="12.8" hidden="false" customHeight="false" outlineLevel="0" collapsed="false">
      <c r="B8791" s="0" t="s">
        <v>1</v>
      </c>
    </row>
    <row r="8792" customFormat="false" ht="12.8" hidden="false" customHeight="false" outlineLevel="0" collapsed="false">
      <c r="B8792" s="0" t="s">
        <v>8</v>
      </c>
    </row>
    <row r="8794" customFormat="false" ht="12.8" hidden="false" customHeight="false" outlineLevel="0" collapsed="false">
      <c r="A8794" s="0" t="s">
        <v>4099</v>
      </c>
      <c r="B8794" s="0" t="str">
        <f aca="false">HYPERLINK("https://lindat.mff.cuni.cz/services/teitok/pdtc10/index.php?action=vallex&amp;frame=v-w10493f2", "extrapolovat (v-w10493f2)")</f>
        <v>extrapolovat (v-w10493f2)</v>
      </c>
    </row>
    <row r="8795" customFormat="false" ht="12.8" hidden="false" customHeight="false" outlineLevel="0" collapsed="false">
      <c r="B8795" s="0" t="s">
        <v>1</v>
      </c>
    </row>
    <row r="8796" customFormat="false" ht="12.8" hidden="false" customHeight="false" outlineLevel="0" collapsed="false">
      <c r="B8796" s="0" t="s">
        <v>8</v>
      </c>
    </row>
    <row r="8797" customFormat="false" ht="12.8" hidden="false" customHeight="false" outlineLevel="0" collapsed="false">
      <c r="B8797" s="0" t="s">
        <v>36</v>
      </c>
    </row>
    <row r="8798" customFormat="false" ht="12.8" hidden="false" customHeight="false" outlineLevel="0" collapsed="false">
      <c r="B8798" s="0" t="s">
        <v>101</v>
      </c>
    </row>
    <row r="8800" customFormat="false" ht="12.8" hidden="false" customHeight="false" outlineLevel="0" collapsed="false">
      <c r="A8800" s="0" t="s">
        <v>4100</v>
      </c>
      <c r="B8800" s="0" t="str">
        <f aca="false">HYPERLINK("https://lindat.mff.cuni.cz/services/teitok/pdtc10/index.php?action=vallex&amp;frame=v-w922f1", "fackovat (v-w922f1)")</f>
        <v>fackovat (v-w922f1)</v>
      </c>
    </row>
    <row r="8801" customFormat="false" ht="12.8" hidden="false" customHeight="false" outlineLevel="0" collapsed="false">
      <c r="B8801" s="0" t="s">
        <v>1</v>
      </c>
    </row>
    <row r="8802" customFormat="false" ht="12.8" hidden="false" customHeight="false" outlineLevel="0" collapsed="false">
      <c r="B8802" s="0" t="s">
        <v>8</v>
      </c>
    </row>
    <row r="8804" customFormat="false" ht="12.8" hidden="false" customHeight="false" outlineLevel="0" collapsed="false">
      <c r="A8804" s="0" t="s">
        <v>4101</v>
      </c>
      <c r="B8804" s="0" t="str">
        <f aca="false">HYPERLINK("https://lindat.mff.cuni.cz/services/teitok/pdtc10/index.php?action=vallex&amp;frame=v-whsa_1848hsa_1849", "fajrat (v-whsa_1848hsa_1849)")</f>
        <v>fajrat (v-whsa_1848hsa_1849)</v>
      </c>
    </row>
    <row r="8805" customFormat="false" ht="12.8" hidden="false" customHeight="false" outlineLevel="0" collapsed="false">
      <c r="B8805" s="0" t="s">
        <v>1</v>
      </c>
    </row>
    <row r="8807" customFormat="false" ht="12.8" hidden="false" customHeight="false" outlineLevel="0" collapsed="false">
      <c r="A8807" s="0" t="s">
        <v>4102</v>
      </c>
      <c r="B8807" s="0" t="str">
        <f aca="false">HYPERLINK("https://lindat.mff.cuni.cz/services/teitok/pdtc10/index.php?action=vallex&amp;frame=v-w924f1", "fakturovat (v-w924f1)")</f>
        <v>fakturovat (v-w924f1)</v>
      </c>
    </row>
    <row r="8808" customFormat="false" ht="12.8" hidden="false" customHeight="false" outlineLevel="0" collapsed="false">
      <c r="B8808" s="0" t="s">
        <v>1</v>
      </c>
    </row>
    <row r="8809" customFormat="false" ht="12.8" hidden="false" customHeight="false" outlineLevel="0" collapsed="false">
      <c r="B8809" s="0" t="s">
        <v>8</v>
      </c>
    </row>
    <row r="8810" customFormat="false" ht="12.8" hidden="false" customHeight="false" outlineLevel="0" collapsed="false">
      <c r="B8810" s="0" t="s">
        <v>52</v>
      </c>
    </row>
    <row r="8811" customFormat="false" ht="12.8" hidden="false" customHeight="false" outlineLevel="0" collapsed="false">
      <c r="B8811" s="0" t="s">
        <v>723</v>
      </c>
    </row>
    <row r="8813" customFormat="false" ht="12.8" hidden="false" customHeight="false" outlineLevel="0" collapsed="false">
      <c r="A8813" s="0" t="s">
        <v>4103</v>
      </c>
      <c r="B8813" s="0" t="str">
        <f aca="false">HYPERLINK("https://lindat.mff.cuni.cz/services/teitok/pdtc10/index.php?action=vallex&amp;frame=v-w926f1", "falšovat (v-w926f1)")</f>
        <v>falšovat (v-w926f1)</v>
      </c>
      <c r="E8813" s="0" t="str">
        <f aca="false">HYPERLINK("https://lindat.mff.cuni.cz/services/SynSemClass40/SynSemClass40.html?veclass=vec01381#vec01381-ces-cm00001", "vec01381")</f>
        <v>vec01381</v>
      </c>
      <c r="F8813" s="0" t="s">
        <v>4104</v>
      </c>
    </row>
    <row r="8814" customFormat="false" ht="12.8" hidden="false" customHeight="false" outlineLevel="0" collapsed="false">
      <c r="B8814" s="0" t="s">
        <v>1</v>
      </c>
      <c r="C8814" s="0" t="s">
        <v>239</v>
      </c>
      <c r="E8814" s="0" t="s">
        <v>1573</v>
      </c>
      <c r="F8814" s="0" t="s">
        <v>2626</v>
      </c>
    </row>
    <row r="8815" customFormat="false" ht="12.8" hidden="false" customHeight="false" outlineLevel="0" collapsed="false">
      <c r="B8815" s="0" t="s">
        <v>8</v>
      </c>
      <c r="C8815" s="0" t="s">
        <v>4105</v>
      </c>
      <c r="E8815" s="0" t="s">
        <v>142</v>
      </c>
      <c r="F8815" s="0" t="s">
        <v>4106</v>
      </c>
    </row>
    <row r="8817" customFormat="false" ht="12.8" hidden="false" customHeight="false" outlineLevel="0" collapsed="false">
      <c r="A8817" s="0" t="s">
        <v>4107</v>
      </c>
      <c r="B8817" s="0" t="str">
        <f aca="false">HYPERLINK("https://lindat.mff.cuni.cz/services/teitok/pdtc10/index.php?action=vallex&amp;frame=v-w928f1", "fandit (v-w928f1)")</f>
        <v>fandit (v-w928f1)</v>
      </c>
    </row>
    <row r="8818" customFormat="false" ht="12.8" hidden="false" customHeight="false" outlineLevel="0" collapsed="false">
      <c r="B8818" s="0" t="s">
        <v>1</v>
      </c>
    </row>
    <row r="8819" customFormat="false" ht="12.8" hidden="false" customHeight="false" outlineLevel="0" collapsed="false">
      <c r="B8819" s="0" t="s">
        <v>186</v>
      </c>
    </row>
    <row r="8821" customFormat="false" ht="12.8" hidden="false" customHeight="false" outlineLevel="0" collapsed="false">
      <c r="A8821" s="0" t="s">
        <v>4108</v>
      </c>
      <c r="B8821" s="0" t="str">
        <f aca="false">HYPERLINK("https://lindat.mff.cuni.cz/services/teitok/pdtc10/index.php?action=vallex&amp;frame=v-w930f2", "fantazírovat (v-w930f2)")</f>
        <v>fantazírovat (v-w930f2)</v>
      </c>
    </row>
    <row r="8822" customFormat="false" ht="12.8" hidden="false" customHeight="false" outlineLevel="0" collapsed="false">
      <c r="B8822" s="0" t="s">
        <v>1</v>
      </c>
    </row>
    <row r="8823" customFormat="false" ht="12.8" hidden="false" customHeight="false" outlineLevel="0" collapsed="false">
      <c r="B8823" s="0" t="s">
        <v>4109</v>
      </c>
    </row>
    <row r="8824" customFormat="false" ht="12.8" hidden="false" customHeight="false" outlineLevel="0" collapsed="false">
      <c r="B8824" s="0" t="s">
        <v>496</v>
      </c>
    </row>
    <row r="8826" customFormat="false" ht="12.8" hidden="false" customHeight="false" outlineLevel="0" collapsed="false">
      <c r="A8826" s="0" t="s">
        <v>4110</v>
      </c>
      <c r="B8826" s="0" t="str">
        <f aca="false">HYPERLINK("https://lindat.mff.cuni.cz/services/teitok/pdtc10/index.php?action=vallex&amp;frame=v-w930f1", "fantazírovat (v-w930f1)")</f>
        <v>fantazírovat (v-w930f1)</v>
      </c>
    </row>
    <row r="8827" customFormat="false" ht="12.8" hidden="false" customHeight="false" outlineLevel="0" collapsed="false">
      <c r="B8827" s="0" t="s">
        <v>1</v>
      </c>
    </row>
    <row r="8829" customFormat="false" ht="12.8" hidden="false" customHeight="false" outlineLevel="0" collapsed="false">
      <c r="A8829" s="0" t="s">
        <v>4111</v>
      </c>
      <c r="B8829" s="0" t="str">
        <f aca="false">HYPERLINK("https://lindat.mff.cuni.cz/services/teitok/pdtc10/index.php?action=vallex&amp;frame=v-w931f1", "farmařit (v-w931f1)")</f>
        <v>farmařit (v-w931f1)</v>
      </c>
    </row>
    <row r="8830" customFormat="false" ht="12.8" hidden="false" customHeight="false" outlineLevel="0" collapsed="false">
      <c r="B8830" s="0" t="s">
        <v>1</v>
      </c>
    </row>
    <row r="8832" customFormat="false" ht="12.8" hidden="false" customHeight="false" outlineLevel="0" collapsed="false">
      <c r="A8832" s="0" t="s">
        <v>4112</v>
      </c>
      <c r="B8832" s="0" t="str">
        <f aca="false">HYPERLINK("https://lindat.mff.cuni.cz/services/teitok/pdtc10/index.php?action=vallex&amp;frame=v-w933f2_ZU", "fascinovat (v-w933f2_ZU)")</f>
        <v>fascinovat (v-w933f2_ZU)</v>
      </c>
    </row>
    <row r="8833" customFormat="false" ht="12.8" hidden="false" customHeight="false" outlineLevel="0" collapsed="false">
      <c r="B8833" s="0" t="s">
        <v>4113</v>
      </c>
    </row>
    <row r="8834" customFormat="false" ht="12.8" hidden="false" customHeight="false" outlineLevel="0" collapsed="false">
      <c r="B8834" s="0" t="s">
        <v>8</v>
      </c>
    </row>
    <row r="8836" customFormat="false" ht="12.8" hidden="false" customHeight="false" outlineLevel="0" collapsed="false">
      <c r="A8836" s="0" t="s">
        <v>4112</v>
      </c>
      <c r="B8836" s="0" t="str">
        <f aca="false">HYPERLINK("https://lindat.mff.cuni.cz/services/teitok/pdtc10/index.php?action=vallex&amp;frame=v-w933f1", "fascinovat (v-w933f1) - substituted with v-w933f2_ZU")</f>
        <v>fascinovat (v-w933f1) - substituted with v-w933f2_ZU</v>
      </c>
      <c r="E8836" s="0" t="str">
        <f aca="false">HYPERLINK("https://lindat.mff.cuni.cz/services/SynSemClass40/SynSemClass40.html?veclass=vec00609#vec00609-ces-cm00001", "vec00609")</f>
        <v>vec00609</v>
      </c>
      <c r="F8836" s="0" t="s">
        <v>263</v>
      </c>
    </row>
    <row r="8837" customFormat="false" ht="12.8" hidden="false" customHeight="false" outlineLevel="0" collapsed="false">
      <c r="B8837" s="0" t="s">
        <v>4113</v>
      </c>
      <c r="C8837" s="0" t="s">
        <v>4114</v>
      </c>
      <c r="E8837" s="0" t="s">
        <v>1103</v>
      </c>
      <c r="F8837" s="0" t="s">
        <v>4115</v>
      </c>
    </row>
    <row r="8838" customFormat="false" ht="12.8" hidden="false" customHeight="false" outlineLevel="0" collapsed="false">
      <c r="B8838" s="0" t="s">
        <v>8</v>
      </c>
      <c r="C8838" s="0" t="s">
        <v>1575</v>
      </c>
      <c r="E8838" s="0" t="s">
        <v>1930</v>
      </c>
      <c r="F8838" s="0" t="s">
        <v>4116</v>
      </c>
    </row>
    <row r="8840" customFormat="false" ht="12.8" hidden="false" customHeight="false" outlineLevel="0" collapsed="false">
      <c r="A8840" s="0" t="s">
        <v>4117</v>
      </c>
      <c r="B8840" s="0" t="str">
        <f aca="false">HYPERLINK("https://lindat.mff.cuni.cz/services/teitok/pdtc10/index.php?action=vallex&amp;frame=v-w934f1", "fasovat (v-w934f1)")</f>
        <v>fasovat (v-w934f1)</v>
      </c>
      <c r="E8840" s="0" t="str">
        <f aca="false">HYPERLINK("https://lindat.mff.cuni.cz/services/SynSemClass40/SynSemClass40.html?veclass=vec01491#vec01491-ces-cm00106", "vec01491")</f>
        <v>vec01491</v>
      </c>
      <c r="F8840" s="0" t="s">
        <v>2792</v>
      </c>
    </row>
    <row r="8841" customFormat="false" ht="12.8" hidden="false" customHeight="false" outlineLevel="0" collapsed="false">
      <c r="B8841" s="0" t="s">
        <v>1</v>
      </c>
      <c r="C8841" s="0" t="s">
        <v>2847</v>
      </c>
      <c r="E8841" s="0" t="s">
        <v>1567</v>
      </c>
      <c r="F8841" s="0" t="s">
        <v>2794</v>
      </c>
    </row>
    <row r="8842" customFormat="false" ht="12.8" hidden="false" customHeight="false" outlineLevel="0" collapsed="false">
      <c r="B8842" s="0" t="s">
        <v>8</v>
      </c>
      <c r="C8842" s="0" t="s">
        <v>2849</v>
      </c>
      <c r="E8842" s="0" t="s">
        <v>1875</v>
      </c>
      <c r="F8842" s="0" t="s">
        <v>2796</v>
      </c>
    </row>
    <row r="8843" customFormat="false" ht="12.8" hidden="false" customHeight="false" outlineLevel="0" collapsed="false">
      <c r="B8843" s="0" t="s">
        <v>602</v>
      </c>
      <c r="C8843" s="0" t="s">
        <v>4118</v>
      </c>
      <c r="E8843" s="0" t="s">
        <v>2798</v>
      </c>
      <c r="F8843" s="0" t="s">
        <v>2799</v>
      </c>
    </row>
    <row r="8845" customFormat="false" ht="12.8" hidden="false" customHeight="false" outlineLevel="0" collapsed="false">
      <c r="A8845" s="0" t="s">
        <v>4119</v>
      </c>
      <c r="B8845" s="0" t="str">
        <f aca="false">HYPERLINK("https://lindat.mff.cuni.cz/services/teitok/pdtc10/index.php?action=vallex&amp;frame=v-w936f1", "faulovat (v-w936f1)")</f>
        <v>faulovat (v-w936f1)</v>
      </c>
    </row>
    <row r="8846" customFormat="false" ht="12.8" hidden="false" customHeight="false" outlineLevel="0" collapsed="false">
      <c r="B8846" s="0" t="s">
        <v>1</v>
      </c>
    </row>
    <row r="8847" customFormat="false" ht="12.8" hidden="false" customHeight="false" outlineLevel="0" collapsed="false">
      <c r="B8847" s="0" t="s">
        <v>8</v>
      </c>
    </row>
    <row r="8849" customFormat="false" ht="12.8" hidden="false" customHeight="false" outlineLevel="0" collapsed="false">
      <c r="A8849" s="0" t="s">
        <v>4120</v>
      </c>
      <c r="B8849" s="0" t="str">
        <f aca="false">HYPERLINK("https://lindat.mff.cuni.cz/services/teitok/pdtc10/index.php?action=vallex&amp;frame=v-w938f1", "favorizovat (v-w938f1)")</f>
        <v>favorizovat (v-w938f1)</v>
      </c>
    </row>
    <row r="8850" customFormat="false" ht="12.8" hidden="false" customHeight="false" outlineLevel="0" collapsed="false">
      <c r="B8850" s="0" t="s">
        <v>1</v>
      </c>
    </row>
    <row r="8851" customFormat="false" ht="12.8" hidden="false" customHeight="false" outlineLevel="0" collapsed="false">
      <c r="B8851" s="0" t="s">
        <v>8</v>
      </c>
    </row>
    <row r="8853" customFormat="false" ht="12.8" hidden="false" customHeight="false" outlineLevel="0" collapsed="false">
      <c r="A8853" s="0" t="s">
        <v>4121</v>
      </c>
      <c r="B8853" s="0" t="str">
        <f aca="false">HYPERLINK("https://lindat.mff.cuni.cz/services/teitok/pdtc10/index.php?action=vallex&amp;frame=v-w942f1", "figurovat (v-w942f1)")</f>
        <v>figurovat (v-w942f1)</v>
      </c>
      <c r="E8853" s="0" t="str">
        <f aca="false">HYPERLINK("https://lindat.mff.cuni.cz/services/SynSemClass40/SynSemClass40.html?veclass=vec01022#vec01022-ces-cm00001", "vec01022")</f>
        <v>vec01022</v>
      </c>
      <c r="F8853" s="0" t="s">
        <v>4122</v>
      </c>
    </row>
    <row r="8854" customFormat="false" ht="12.8" hidden="false" customHeight="false" outlineLevel="0" collapsed="false">
      <c r="B8854" s="0" t="s">
        <v>1</v>
      </c>
      <c r="C8854" s="0" t="s">
        <v>3000</v>
      </c>
      <c r="E8854" s="0" t="s">
        <v>957</v>
      </c>
      <c r="F8854" s="0" t="s">
        <v>4123</v>
      </c>
    </row>
    <row r="8855" customFormat="false" ht="12.8" hidden="false" customHeight="false" outlineLevel="0" collapsed="false">
      <c r="B8855" s="0" t="s">
        <v>5</v>
      </c>
      <c r="C8855" s="0" t="s">
        <v>4124</v>
      </c>
      <c r="E8855" s="0" t="s">
        <v>3254</v>
      </c>
      <c r="F8855" s="0" t="s">
        <v>4125</v>
      </c>
    </row>
    <row r="8857" customFormat="false" ht="12.8" hidden="false" customHeight="false" outlineLevel="0" collapsed="false">
      <c r="A8857" s="0" t="s">
        <v>4126</v>
      </c>
      <c r="B8857" s="0" t="str">
        <f aca="false">HYPERLINK("https://lindat.mff.cuni.cz/services/teitok/pdtc10/index.php?action=vallex&amp;frame=v-w11937_ZUf1_ZU", "fiknout (v-w11937_ZUf1_ZU)")</f>
        <v>fiknout (v-w11937_ZUf1_ZU)</v>
      </c>
    </row>
    <row r="8858" customFormat="false" ht="12.8" hidden="false" customHeight="false" outlineLevel="0" collapsed="false">
      <c r="B8858" s="0" t="s">
        <v>1</v>
      </c>
    </row>
    <row r="8860" customFormat="false" ht="12.8" hidden="false" customHeight="false" outlineLevel="0" collapsed="false">
      <c r="A8860" s="0" t="s">
        <v>4127</v>
      </c>
      <c r="B8860" s="0" t="str">
        <f aca="false">HYPERLINK("https://lindat.mff.cuni.cz/services/teitok/pdtc10/index.php?action=vallex&amp;frame=v-w946f1", "filmovat (v-w946f1)")</f>
        <v>filmovat (v-w946f1)</v>
      </c>
      <c r="E8860" s="0" t="str">
        <f aca="false">HYPERLINK("https://lindat.mff.cuni.cz/services/SynSemClass40/SynSemClass40.html?veclass=vec00640#vec00640-ces-cm00004", "vec00640")</f>
        <v>vec00640</v>
      </c>
      <c r="F8860" s="0" t="s">
        <v>4128</v>
      </c>
    </row>
    <row r="8861" customFormat="false" ht="12.8" hidden="false" customHeight="false" outlineLevel="0" collapsed="false">
      <c r="B8861" s="0" t="s">
        <v>1</v>
      </c>
      <c r="C8861" s="0" t="s">
        <v>4001</v>
      </c>
      <c r="E8861" s="0" t="s">
        <v>768</v>
      </c>
      <c r="F8861" s="0" t="s">
        <v>4129</v>
      </c>
    </row>
    <row r="8862" customFormat="false" ht="12.8" hidden="false" customHeight="false" outlineLevel="0" collapsed="false">
      <c r="B8862" s="0" t="s">
        <v>8</v>
      </c>
      <c r="C8862" s="0" t="s">
        <v>4130</v>
      </c>
      <c r="E8862" s="0" t="s">
        <v>771</v>
      </c>
      <c r="F8862" s="0" t="s">
        <v>4131</v>
      </c>
    </row>
    <row r="8864" customFormat="false" ht="12.8" hidden="false" customHeight="false" outlineLevel="0" collapsed="false">
      <c r="A8864" s="0" t="s">
        <v>4132</v>
      </c>
      <c r="B8864" s="0" t="str">
        <f aca="false">HYPERLINK("https://lindat.mff.cuni.cz/services/teitok/pdtc10/index.php?action=vallex&amp;frame=v-w948f1", "filozofovat (v-w948f1)")</f>
        <v>filozofovat (v-w948f1)</v>
      </c>
      <c r="E8864" s="0" t="str">
        <f aca="false">HYPERLINK("https://lindat.mff.cuni.cz/services/SynSemClass40/SynSemClass40.html?veclass=vec01333#vec01333-ces-cm00001", "vec01333")</f>
        <v>vec01333</v>
      </c>
      <c r="F8864" s="0" t="s">
        <v>4133</v>
      </c>
    </row>
    <row r="8865" customFormat="false" ht="12.8" hidden="false" customHeight="false" outlineLevel="0" collapsed="false">
      <c r="B8865" s="0" t="s">
        <v>1</v>
      </c>
      <c r="C8865" s="0" t="s">
        <v>4134</v>
      </c>
      <c r="E8865" s="0" t="s">
        <v>621</v>
      </c>
      <c r="F8865" s="0" t="s">
        <v>4135</v>
      </c>
    </row>
    <row r="8866" customFormat="false" ht="12.8" hidden="false" customHeight="false" outlineLevel="0" collapsed="false">
      <c r="B8866" s="0" t="s">
        <v>3363</v>
      </c>
      <c r="C8866" s="0" t="s">
        <v>744</v>
      </c>
      <c r="E8866" s="0" t="s">
        <v>180</v>
      </c>
      <c r="F8866" s="0" t="s">
        <v>1755</v>
      </c>
    </row>
    <row r="8868" customFormat="false" ht="12.8" hidden="false" customHeight="false" outlineLevel="0" collapsed="false">
      <c r="A8868" s="0" t="s">
        <v>4136</v>
      </c>
      <c r="B8868" s="0" t="str">
        <f aca="false">HYPERLINK("https://lindat.mff.cuni.cz/services/teitok/pdtc10/index.php?action=vallex&amp;frame=v-w951f1", "filtrovat (v-w951f1)")</f>
        <v>filtrovat (v-w951f1)</v>
      </c>
    </row>
    <row r="8869" customFormat="false" ht="12.8" hidden="false" customHeight="false" outlineLevel="0" collapsed="false">
      <c r="B8869" s="0" t="s">
        <v>1</v>
      </c>
    </row>
    <row r="8870" customFormat="false" ht="12.8" hidden="false" customHeight="false" outlineLevel="0" collapsed="false">
      <c r="B8870" s="0" t="s">
        <v>8</v>
      </c>
    </row>
    <row r="8872" customFormat="false" ht="12.8" hidden="false" customHeight="false" outlineLevel="0" collapsed="false">
      <c r="A8872" s="0" t="s">
        <v>4137</v>
      </c>
      <c r="B8872" s="0" t="str">
        <f aca="false">HYPERLINK("https://lindat.mff.cuni.cz/services/teitok/pdtc10/index.php?action=vallex&amp;frame=v-w951f2_ZU", "filtrovat (v-w951f2_ZU)")</f>
        <v>filtrovat (v-w951f2_ZU)</v>
      </c>
    </row>
    <row r="8873" customFormat="false" ht="12.8" hidden="false" customHeight="false" outlineLevel="0" collapsed="false">
      <c r="B8873" s="0" t="s">
        <v>1</v>
      </c>
    </row>
    <row r="8874" customFormat="false" ht="12.8" hidden="false" customHeight="false" outlineLevel="0" collapsed="false">
      <c r="B8874" s="0" t="s">
        <v>8</v>
      </c>
    </row>
    <row r="8876" customFormat="false" ht="12.8" hidden="false" customHeight="false" outlineLevel="0" collapsed="false">
      <c r="A8876" s="0" t="s">
        <v>4137</v>
      </c>
      <c r="B8876" s="0" t="str">
        <f aca="false">HYPERLINK("https://lindat.mff.cuni.cz/services/teitok/pdtc10/index.php?action=vallex&amp;frame=v-w951hsa_388", "filtrovat (v-w951hsa_388) - substituted with v-w951f2_ZU")</f>
        <v>filtrovat (v-w951hsa_388) - substituted with v-w951f2_ZU</v>
      </c>
    </row>
    <row r="8877" customFormat="false" ht="12.8" hidden="false" customHeight="false" outlineLevel="0" collapsed="false">
      <c r="B8877" s="0" t="s">
        <v>1</v>
      </c>
    </row>
    <row r="8878" customFormat="false" ht="12.8" hidden="false" customHeight="false" outlineLevel="0" collapsed="false">
      <c r="B8878" s="0" t="s">
        <v>8</v>
      </c>
    </row>
    <row r="8880" customFormat="false" ht="12.8" hidden="false" customHeight="false" outlineLevel="0" collapsed="false">
      <c r="A8880" s="0" t="s">
        <v>4138</v>
      </c>
      <c r="B8880" s="0" t="str">
        <f aca="false">HYPERLINK("https://lindat.mff.cuni.cz/services/teitok/pdtc10/index.php?action=vallex&amp;frame=v-w955f1", "financovat (v-w955f1)")</f>
        <v>financovat (v-w955f1)</v>
      </c>
      <c r="E8880" s="0" t="str">
        <f aca="false">HYPERLINK("https://lindat.mff.cuni.cz/services/SynSemClass40/SynSemClass40.html?veclass=vec00410#vec00410-ces-cm00002", "vec00410")</f>
        <v>vec00410</v>
      </c>
      <c r="F8880" s="0" t="s">
        <v>3019</v>
      </c>
      <c r="H8880" s="0" t="str">
        <f aca="false">HYPERLINK("https://lindat.mff.cuni.cz/services/SynSemClass40/SynSemClass40.html?veclass=vec01356#vec01356-ces-cm00007", "vec01356")</f>
        <v>vec01356</v>
      </c>
      <c r="I8880" s="0" t="s">
        <v>4139</v>
      </c>
    </row>
    <row r="8881" customFormat="false" ht="12.8" hidden="false" customHeight="false" outlineLevel="0" collapsed="false">
      <c r="B8881" s="0" t="s">
        <v>1</v>
      </c>
      <c r="C8881" s="0" t="s">
        <v>4140</v>
      </c>
      <c r="E8881" s="0" t="s">
        <v>3021</v>
      </c>
      <c r="F8881" s="0" t="s">
        <v>3022</v>
      </c>
      <c r="H8881" s="0" t="s">
        <v>2554</v>
      </c>
      <c r="I8881" s="0" t="s">
        <v>4141</v>
      </c>
    </row>
    <row r="8882" customFormat="false" ht="12.8" hidden="false" customHeight="false" outlineLevel="0" collapsed="false">
      <c r="B8882" s="0" t="s">
        <v>8</v>
      </c>
      <c r="C8882" s="0" t="s">
        <v>4142</v>
      </c>
      <c r="E8882" s="0" t="s">
        <v>3023</v>
      </c>
      <c r="F8882" s="0" t="s">
        <v>3024</v>
      </c>
      <c r="H8882" s="0" t="s">
        <v>4143</v>
      </c>
      <c r="I8882" s="0" t="s">
        <v>4144</v>
      </c>
    </row>
    <row r="8884" customFormat="false" ht="12.8" hidden="false" customHeight="false" outlineLevel="0" collapsed="false">
      <c r="A8884" s="0" t="s">
        <v>4145</v>
      </c>
      <c r="B8884" s="0" t="str">
        <f aca="false">HYPERLINK("https://lindat.mff.cuni.cz/services/teitok/pdtc10/index.php?action=vallex&amp;frame=v-w956f1", "finišovat (v-w956f1)")</f>
        <v>finišovat (v-w956f1)</v>
      </c>
      <c r="E8884" s="0" t="str">
        <f aca="false">HYPERLINK("https://lindat.mff.cuni.cz/services/SynSemClass40/SynSemClass40.html?veclass=vec00113#vec00113-ces-cm00046", "vec00113")</f>
        <v>vec00113</v>
      </c>
      <c r="F8884" s="0" t="s">
        <v>2122</v>
      </c>
    </row>
    <row r="8885" customFormat="false" ht="12.8" hidden="false" customHeight="false" outlineLevel="0" collapsed="false">
      <c r="B8885" s="0" t="s">
        <v>1</v>
      </c>
      <c r="C8885" s="0" t="s">
        <v>4146</v>
      </c>
      <c r="E8885" s="0" t="s">
        <v>1084</v>
      </c>
      <c r="F8885" s="0" t="s">
        <v>2124</v>
      </c>
    </row>
    <row r="8887" customFormat="false" ht="12.8" hidden="false" customHeight="false" outlineLevel="0" collapsed="false">
      <c r="A8887" s="0" t="s">
        <v>4147</v>
      </c>
      <c r="B8887" s="0" t="str">
        <f aca="false">HYPERLINK("https://lindat.mff.cuni.cz/services/teitok/pdtc10/index.php?action=vallex&amp;frame=v-w958f1", "fixlovat (v-w958f1)")</f>
        <v>fixlovat (v-w958f1)</v>
      </c>
    </row>
    <row r="8888" customFormat="false" ht="12.8" hidden="false" customHeight="false" outlineLevel="0" collapsed="false">
      <c r="B8888" s="0" t="s">
        <v>1</v>
      </c>
    </row>
    <row r="8890" customFormat="false" ht="12.8" hidden="false" customHeight="false" outlineLevel="0" collapsed="false">
      <c r="A8890" s="0" t="s">
        <v>4148</v>
      </c>
      <c r="B8890" s="0" t="str">
        <f aca="false">HYPERLINK("https://lindat.mff.cuni.cz/services/teitok/pdtc10/index.php?action=vallex&amp;frame=v-w959f1", "fixovat (v-w959f1)")</f>
        <v>fixovat (v-w959f1)</v>
      </c>
    </row>
    <row r="8891" customFormat="false" ht="12.8" hidden="false" customHeight="false" outlineLevel="0" collapsed="false">
      <c r="B8891" s="0" t="s">
        <v>1</v>
      </c>
    </row>
    <row r="8892" customFormat="false" ht="12.8" hidden="false" customHeight="false" outlineLevel="0" collapsed="false">
      <c r="B8892" s="0" t="s">
        <v>8</v>
      </c>
    </row>
    <row r="8894" customFormat="false" ht="12.8" hidden="false" customHeight="false" outlineLevel="0" collapsed="false">
      <c r="A8894" s="0" t="s">
        <v>4149</v>
      </c>
      <c r="B8894" s="0" t="str">
        <f aca="false">HYPERLINK("https://lindat.mff.cuni.cz/services/teitok/pdtc10/index.php?action=vallex&amp;frame=v-w12013_ZUf1_ZU", "fičet (v-w12013_ZUf1_ZU)")</f>
        <v>fičet (v-w12013_ZUf1_ZU)</v>
      </c>
    </row>
    <row r="8895" customFormat="false" ht="12.8" hidden="false" customHeight="false" outlineLevel="0" collapsed="false">
      <c r="B8895" s="0" t="s">
        <v>1</v>
      </c>
    </row>
    <row r="8897" customFormat="false" ht="12.8" hidden="false" customHeight="false" outlineLevel="0" collapsed="false">
      <c r="A8897" s="0" t="s">
        <v>4150</v>
      </c>
      <c r="B8897" s="0" t="str">
        <f aca="false">HYPERLINK("https://lindat.mff.cuni.cz/services/teitok/pdtc10/index.php?action=vallex&amp;frame=v-w11823_ZUf1_ZU", "flinkat (v-w11823_ZUf1_ZU)")</f>
        <v>flinkat (v-w11823_ZUf1_ZU)</v>
      </c>
    </row>
    <row r="8898" customFormat="false" ht="12.8" hidden="false" customHeight="false" outlineLevel="0" collapsed="false">
      <c r="B8898" s="0" t="s">
        <v>1</v>
      </c>
    </row>
    <row r="8899" customFormat="false" ht="12.8" hidden="false" customHeight="false" outlineLevel="0" collapsed="false">
      <c r="B8899" s="0" t="s">
        <v>8</v>
      </c>
    </row>
    <row r="8901" customFormat="false" ht="12.8" hidden="false" customHeight="false" outlineLevel="0" collapsed="false">
      <c r="A8901" s="0" t="s">
        <v>4151</v>
      </c>
      <c r="B8901" s="0" t="str">
        <f aca="false">HYPERLINK("https://lindat.mff.cuni.cz/services/teitok/pdtc10/index.php?action=vallex&amp;frame=v-whsa_1193hsa_1194", "flinkat se (v-whsa_1193hsa_1194)")</f>
        <v>flinkat se (v-whsa_1193hsa_1194)</v>
      </c>
    </row>
    <row r="8902" customFormat="false" ht="12.8" hidden="false" customHeight="false" outlineLevel="0" collapsed="false">
      <c r="B8902" s="0" t="s">
        <v>1</v>
      </c>
    </row>
    <row r="8904" customFormat="false" ht="12.8" hidden="false" customHeight="false" outlineLevel="0" collapsed="false">
      <c r="A8904" s="0" t="s">
        <v>4152</v>
      </c>
      <c r="B8904" s="0" t="str">
        <f aca="false">HYPERLINK("https://lindat.mff.cuni.cz/services/teitok/pdtc10/index.php?action=vallex&amp;frame=v-w10552f2", "flirtovat (v-w10552f2)")</f>
        <v>flirtovat (v-w10552f2)</v>
      </c>
    </row>
    <row r="8905" customFormat="false" ht="12.8" hidden="false" customHeight="false" outlineLevel="0" collapsed="false">
      <c r="B8905" s="0" t="s">
        <v>1</v>
      </c>
    </row>
    <row r="8906" customFormat="false" ht="12.8" hidden="false" customHeight="false" outlineLevel="0" collapsed="false">
      <c r="B8906" s="0" t="s">
        <v>4153</v>
      </c>
    </row>
    <row r="8907" customFormat="false" ht="12.8" hidden="false" customHeight="false" outlineLevel="0" collapsed="false">
      <c r="B8907" s="0" t="s">
        <v>3205</v>
      </c>
    </row>
    <row r="8909" customFormat="false" ht="12.8" hidden="false" customHeight="false" outlineLevel="0" collapsed="false">
      <c r="A8909" s="0" t="s">
        <v>4154</v>
      </c>
      <c r="B8909" s="0" t="str">
        <f aca="false">HYPERLINK("https://lindat.mff.cuni.cz/services/teitok/pdtc10/index.php?action=vallex&amp;frame=v-w10552f4", "flirtovat (v-w10552f4)")</f>
        <v>flirtovat (v-w10552f4)</v>
      </c>
      <c r="E8909" s="0" t="str">
        <f aca="false">HYPERLINK("https://lindat.mff.cuni.cz/services/SynSemClass40/SynSemClass40.html?veclass=vec00817#vec00817-ces-cm00001", "vec00817")</f>
        <v>vec00817</v>
      </c>
      <c r="F8909" s="0" t="s">
        <v>4155</v>
      </c>
    </row>
    <row r="8910" customFormat="false" ht="12.8" hidden="false" customHeight="false" outlineLevel="0" collapsed="false">
      <c r="B8910" s="0" t="s">
        <v>1</v>
      </c>
      <c r="C8910" s="0" t="s">
        <v>4114</v>
      </c>
      <c r="E8910" s="0" t="s">
        <v>11</v>
      </c>
      <c r="F8910" s="0" t="s">
        <v>4156</v>
      </c>
    </row>
    <row r="8911" customFormat="false" ht="12.8" hidden="false" customHeight="false" outlineLevel="0" collapsed="false">
      <c r="B8911" s="0" t="s">
        <v>721</v>
      </c>
      <c r="C8911" s="0" t="s">
        <v>1940</v>
      </c>
      <c r="E8911" s="0" t="s">
        <v>34</v>
      </c>
      <c r="F8911" s="0" t="s">
        <v>4157</v>
      </c>
    </row>
    <row r="8913" customFormat="false" ht="12.8" hidden="false" customHeight="false" outlineLevel="0" collapsed="false">
      <c r="A8913" s="0" t="s">
        <v>4158</v>
      </c>
      <c r="B8913" s="0" t="str">
        <f aca="false">HYPERLINK("https://lindat.mff.cuni.cz/services/teitok/pdtc10/index.php?action=vallex&amp;frame=v-w11116f5", "fluktuovat (v-w11116f5)")</f>
        <v>fluktuovat (v-w11116f5)</v>
      </c>
    </row>
    <row r="8914" customFormat="false" ht="12.8" hidden="false" customHeight="false" outlineLevel="0" collapsed="false">
      <c r="B8914" s="0" t="s">
        <v>1</v>
      </c>
    </row>
    <row r="8916" customFormat="false" ht="12.8" hidden="false" customHeight="false" outlineLevel="0" collapsed="false">
      <c r="A8916" s="0" t="s">
        <v>4159</v>
      </c>
      <c r="B8916" s="0" t="str">
        <f aca="false">HYPERLINK("https://lindat.mff.cuni.cz/services/teitok/pdtc10/index.php?action=vallex&amp;frame=v-w12244_ZUf1_ZU", "flákat (v-w12244_ZUf1_ZU)")</f>
        <v>flákat (v-w12244_ZUf1_ZU)</v>
      </c>
    </row>
    <row r="8917" customFormat="false" ht="12.8" hidden="false" customHeight="false" outlineLevel="0" collapsed="false">
      <c r="B8917" s="0" t="s">
        <v>1</v>
      </c>
    </row>
    <row r="8918" customFormat="false" ht="12.8" hidden="false" customHeight="false" outlineLevel="0" collapsed="false">
      <c r="B8918" s="0" t="s">
        <v>8</v>
      </c>
    </row>
    <row r="8920" customFormat="false" ht="12.8" hidden="false" customHeight="false" outlineLevel="0" collapsed="false">
      <c r="A8920" s="0" t="s">
        <v>4160</v>
      </c>
      <c r="B8920" s="0" t="str">
        <f aca="false">HYPERLINK("https://lindat.mff.cuni.cz/services/teitok/pdtc10/index.php?action=vallex&amp;frame=v-w11824_ZUf2_ZU", "flákat se (v-w11824_ZUf2_ZU)")</f>
        <v>flákat se (v-w11824_ZUf2_ZU)</v>
      </c>
    </row>
    <row r="8921" customFormat="false" ht="12.8" hidden="false" customHeight="false" outlineLevel="0" collapsed="false">
      <c r="B8921" s="0" t="s">
        <v>1</v>
      </c>
    </row>
    <row r="8923" customFormat="false" ht="12.8" hidden="false" customHeight="false" outlineLevel="0" collapsed="false">
      <c r="A8923" s="0" t="s">
        <v>4160</v>
      </c>
      <c r="B8923" s="0" t="str">
        <f aca="false">HYPERLINK("https://lindat.mff.cuni.cz/services/teitok/pdtc10/index.php?action=vallex&amp;frame=v-w11824_ZUf1_ZU", "flákat se (v-w11824_ZUf1_ZU) - substituted with v-w11824_ZUf2_ZU")</f>
        <v>flákat se (v-w11824_ZUf1_ZU) - substituted with v-w11824_ZUf2_ZU</v>
      </c>
    </row>
    <row r="8924" customFormat="false" ht="12.8" hidden="false" customHeight="false" outlineLevel="0" collapsed="false">
      <c r="B8924" s="0" t="s">
        <v>1</v>
      </c>
    </row>
    <row r="8926" customFormat="false" ht="12.8" hidden="false" customHeight="false" outlineLevel="0" collapsed="false">
      <c r="A8926" s="0" t="s">
        <v>4161</v>
      </c>
      <c r="B8926" s="0" t="str">
        <f aca="false">HYPERLINK("https://lindat.mff.cuni.cz/services/teitok/pdtc10/index.php?action=vallex&amp;frame=v-whsa_741hsa_742", "fláknout (v-whsa_741hsa_742)")</f>
        <v>fláknout (v-whsa_741hsa_742)</v>
      </c>
    </row>
    <row r="8927" customFormat="false" ht="12.8" hidden="false" customHeight="false" outlineLevel="0" collapsed="false">
      <c r="B8927" s="0" t="s">
        <v>1</v>
      </c>
    </row>
    <row r="8928" customFormat="false" ht="12.8" hidden="false" customHeight="false" outlineLevel="0" collapsed="false">
      <c r="B8928" s="0" t="s">
        <v>8</v>
      </c>
    </row>
    <row r="8929" customFormat="false" ht="12.8" hidden="false" customHeight="false" outlineLevel="0" collapsed="false">
      <c r="B8929" s="0" t="s">
        <v>52</v>
      </c>
    </row>
    <row r="8931" customFormat="false" ht="12.8" hidden="false" customHeight="false" outlineLevel="0" collapsed="false">
      <c r="A8931" s="0" t="s">
        <v>4162</v>
      </c>
      <c r="B8931" s="0" t="str">
        <f aca="false">HYPERLINK("https://lindat.mff.cuni.cz/services/teitok/pdtc10/index.php?action=vallex&amp;frame=v-w10579f2", "formalizovat (v-w10579f2)")</f>
        <v>formalizovat (v-w10579f2)</v>
      </c>
    </row>
    <row r="8932" customFormat="false" ht="12.8" hidden="false" customHeight="false" outlineLevel="0" collapsed="false">
      <c r="B8932" s="0" t="s">
        <v>1</v>
      </c>
    </row>
    <row r="8933" customFormat="false" ht="12.8" hidden="false" customHeight="false" outlineLevel="0" collapsed="false">
      <c r="B8933" s="0" t="s">
        <v>8</v>
      </c>
    </row>
    <row r="8935" customFormat="false" ht="12.8" hidden="false" customHeight="false" outlineLevel="0" collapsed="false">
      <c r="A8935" s="0" t="s">
        <v>4163</v>
      </c>
      <c r="B8935" s="0" t="str">
        <f aca="false">HYPERLINK("https://lindat.mff.cuni.cz/services/teitok/pdtc10/index.php?action=vallex&amp;frame=v-w967f1", "formovat (v-w967f1)")</f>
        <v>formovat (v-w967f1)</v>
      </c>
      <c r="E8935" s="0" t="str">
        <f aca="false">HYPERLINK("https://lindat.mff.cuni.cz/services/SynSemClass40/SynSemClass40.html?veclass=vec00944#vec00944-ces-cm00002", "vec00944")</f>
        <v>vec00944</v>
      </c>
      <c r="F8935" s="0" t="s">
        <v>4164</v>
      </c>
    </row>
    <row r="8936" customFormat="false" ht="12.8" hidden="false" customHeight="false" outlineLevel="0" collapsed="false">
      <c r="B8936" s="0" t="s">
        <v>1</v>
      </c>
      <c r="C8936" s="0" t="s">
        <v>1752</v>
      </c>
      <c r="E8936" s="0" t="s">
        <v>768</v>
      </c>
      <c r="F8936" s="0" t="s">
        <v>4165</v>
      </c>
    </row>
    <row r="8937" customFormat="false" ht="12.8" hidden="false" customHeight="false" outlineLevel="0" collapsed="false">
      <c r="B8937" s="0" t="s">
        <v>8</v>
      </c>
      <c r="C8937" s="0" t="s">
        <v>2627</v>
      </c>
      <c r="E8937" s="0" t="s">
        <v>1702</v>
      </c>
      <c r="F8937" s="0" t="s">
        <v>4166</v>
      </c>
    </row>
    <row r="8938" customFormat="false" ht="12.8" hidden="false" customHeight="false" outlineLevel="0" collapsed="false">
      <c r="B8938" s="0" t="s">
        <v>4167</v>
      </c>
      <c r="C8938" s="0" t="s">
        <v>4168</v>
      </c>
      <c r="E8938" s="0" t="s">
        <v>4169</v>
      </c>
      <c r="F8938" s="0" t="s">
        <v>4170</v>
      </c>
    </row>
    <row r="8940" customFormat="false" ht="12.8" hidden="false" customHeight="false" outlineLevel="0" collapsed="false">
      <c r="A8940" s="0" t="s">
        <v>4171</v>
      </c>
      <c r="B8940" s="0" t="str">
        <f aca="false">HYPERLINK("https://lindat.mff.cuni.cz/services/teitok/pdtc10/index.php?action=vallex&amp;frame=v-w968f1", "formovat se (v-w968f1)")</f>
        <v>formovat se (v-w968f1)</v>
      </c>
    </row>
    <row r="8941" customFormat="false" ht="12.8" hidden="false" customHeight="false" outlineLevel="0" collapsed="false">
      <c r="B8941" s="0" t="s">
        <v>1</v>
      </c>
    </row>
    <row r="8942" customFormat="false" ht="12.8" hidden="false" customHeight="false" outlineLevel="0" collapsed="false">
      <c r="B8942" s="0" t="s">
        <v>763</v>
      </c>
    </row>
    <row r="8944" customFormat="false" ht="12.8" hidden="false" customHeight="false" outlineLevel="0" collapsed="false">
      <c r="A8944" s="0" t="s">
        <v>4172</v>
      </c>
      <c r="B8944" s="0" t="str">
        <f aca="false">HYPERLINK("https://lindat.mff.cuni.cz/services/teitok/pdtc10/index.php?action=vallex&amp;frame=v-w972f1", "formulovat (v-w972f1)")</f>
        <v>formulovat (v-w972f1)</v>
      </c>
      <c r="E8944" s="0" t="str">
        <f aca="false">HYPERLINK("https://lindat.mff.cuni.cz/services/SynSemClass40/SynSemClass40.html?veclass=vec00784#vec00784-ces-cm00002", "vec00784")</f>
        <v>vec00784</v>
      </c>
      <c r="F8944" s="0" t="s">
        <v>4173</v>
      </c>
    </row>
    <row r="8945" customFormat="false" ht="12.8" hidden="false" customHeight="false" outlineLevel="0" collapsed="false">
      <c r="B8945" s="0" t="s">
        <v>1</v>
      </c>
      <c r="C8945" s="0" t="s">
        <v>3375</v>
      </c>
      <c r="E8945" s="0" t="s">
        <v>63</v>
      </c>
      <c r="F8945" s="0" t="s">
        <v>4174</v>
      </c>
    </row>
    <row r="8946" customFormat="false" ht="12.8" hidden="false" customHeight="false" outlineLevel="0" collapsed="false">
      <c r="B8946" s="0" t="s">
        <v>8</v>
      </c>
      <c r="C8946" s="0" t="s">
        <v>1388</v>
      </c>
      <c r="E8946" s="0" t="s">
        <v>50</v>
      </c>
      <c r="F8946" s="0" t="s">
        <v>4175</v>
      </c>
    </row>
    <row r="8948" customFormat="false" ht="12.8" hidden="false" customHeight="false" outlineLevel="0" collapsed="false">
      <c r="A8948" s="0" t="s">
        <v>4176</v>
      </c>
      <c r="B8948" s="0" t="str">
        <f aca="false">HYPERLINK("https://lindat.mff.cuni.cz/services/teitok/pdtc10/index.php?action=vallex&amp;frame=v-w964f1", "formátovat (v-w964f1)")</f>
        <v>formátovat (v-w964f1)</v>
      </c>
    </row>
    <row r="8949" customFormat="false" ht="12.8" hidden="false" customHeight="false" outlineLevel="0" collapsed="false">
      <c r="B8949" s="0" t="s">
        <v>1</v>
      </c>
    </row>
    <row r="8950" customFormat="false" ht="12.8" hidden="false" customHeight="false" outlineLevel="0" collapsed="false">
      <c r="B8950" s="0" t="s">
        <v>8</v>
      </c>
    </row>
    <row r="8952" customFormat="false" ht="12.8" hidden="false" customHeight="false" outlineLevel="0" collapsed="false">
      <c r="A8952" s="0" t="s">
        <v>4177</v>
      </c>
      <c r="B8952" s="0" t="str">
        <f aca="false">HYPERLINK("https://lindat.mff.cuni.cz/services/teitok/pdtc10/index.php?action=vallex&amp;frame=v-w10185f5_ZU", "fotit (v-w10185f5_ZU)")</f>
        <v>fotit (v-w10185f5_ZU)</v>
      </c>
    </row>
    <row r="8953" customFormat="false" ht="12.8" hidden="false" customHeight="false" outlineLevel="0" collapsed="false">
      <c r="B8953" s="0" t="s">
        <v>1</v>
      </c>
    </row>
    <row r="8954" customFormat="false" ht="12.8" hidden="false" customHeight="false" outlineLevel="0" collapsed="false">
      <c r="B8954" s="0" t="s">
        <v>8</v>
      </c>
    </row>
    <row r="8956" customFormat="false" ht="12.8" hidden="false" customHeight="false" outlineLevel="0" collapsed="false">
      <c r="A8956" s="0" t="s">
        <v>4177</v>
      </c>
      <c r="B8956" s="0" t="str">
        <f aca="false">HYPERLINK("https://lindat.mff.cuni.cz/services/teitok/pdtc10/index.php?action=vallex&amp;frame=v-w10185f2", "fotit (v-w10185f2) - substituted with v-w10185f5_ZU")</f>
        <v>fotit (v-w10185f2) - substituted with v-w10185f5_ZU</v>
      </c>
    </row>
    <row r="8957" customFormat="false" ht="12.8" hidden="false" customHeight="false" outlineLevel="0" collapsed="false">
      <c r="B8957" s="0" t="s">
        <v>1</v>
      </c>
    </row>
    <row r="8958" customFormat="false" ht="12.8" hidden="false" customHeight="false" outlineLevel="0" collapsed="false">
      <c r="B8958" s="0" t="s">
        <v>8</v>
      </c>
    </row>
    <row r="8960" customFormat="false" ht="12.8" hidden="false" customHeight="false" outlineLevel="0" collapsed="false">
      <c r="A8960" s="0" t="s">
        <v>4177</v>
      </c>
      <c r="B8960" s="0" t="str">
        <f aca="false">HYPERLINK("https://lindat.mff.cuni.cz/services/teitok/pdtc10/index.php?action=vallex&amp;frame=v-w10185f4_ZU", "fotit (v-w10185f4_ZU) - substituted with v-w10185f5_ZU")</f>
        <v>fotit (v-w10185f4_ZU) - substituted with v-w10185f5_ZU</v>
      </c>
    </row>
    <row r="8961" customFormat="false" ht="12.8" hidden="false" customHeight="false" outlineLevel="0" collapsed="false">
      <c r="B8961" s="0" t="s">
        <v>1</v>
      </c>
    </row>
    <row r="8962" customFormat="false" ht="12.8" hidden="false" customHeight="false" outlineLevel="0" collapsed="false">
      <c r="B8962" s="0" t="s">
        <v>8</v>
      </c>
    </row>
    <row r="8964" customFormat="false" ht="12.8" hidden="false" customHeight="false" outlineLevel="0" collapsed="false">
      <c r="A8964" s="0" t="s">
        <v>4178</v>
      </c>
      <c r="B8964" s="0" t="str">
        <f aca="false">HYPERLINK("https://lindat.mff.cuni.cz/services/teitok/pdtc10/index.php?action=vallex&amp;frame=v-w10185f3_ZU", "fotit (v-w10185f3_ZU)")</f>
        <v>fotit (v-w10185f3_ZU)</v>
      </c>
    </row>
    <row r="8965" customFormat="false" ht="12.8" hidden="false" customHeight="false" outlineLevel="0" collapsed="false">
      <c r="B8965" s="0" t="s">
        <v>1</v>
      </c>
    </row>
    <row r="8966" customFormat="false" ht="12.8" hidden="false" customHeight="false" outlineLevel="0" collapsed="false">
      <c r="B8966" s="0" t="s">
        <v>8</v>
      </c>
    </row>
    <row r="8968" customFormat="false" ht="12.8" hidden="false" customHeight="false" outlineLevel="0" collapsed="false">
      <c r="A8968" s="0" t="s">
        <v>4179</v>
      </c>
      <c r="B8968" s="0" t="str">
        <f aca="false">HYPERLINK("https://lindat.mff.cuni.cz/services/teitok/pdtc10/index.php?action=vallex&amp;frame=v-w11902_ZUf2_ZU", "fotit se (v-w11902_ZUf2_ZU)")</f>
        <v>fotit se (v-w11902_ZUf2_ZU)</v>
      </c>
    </row>
    <row r="8969" customFormat="false" ht="12.8" hidden="false" customHeight="false" outlineLevel="0" collapsed="false">
      <c r="B8969" s="0" t="s">
        <v>1</v>
      </c>
    </row>
    <row r="8971" customFormat="false" ht="12.8" hidden="false" customHeight="false" outlineLevel="0" collapsed="false">
      <c r="A8971" s="0" t="s">
        <v>4179</v>
      </c>
      <c r="B8971" s="0" t="str">
        <f aca="false">HYPERLINK("https://lindat.mff.cuni.cz/services/teitok/pdtc10/index.php?action=vallex&amp;frame=v-w11902_ZUf1_ZU", "fotit se (v-w11902_ZUf1_ZU) - substituted with v-w11902_ZUf2_ZU")</f>
        <v>fotit se (v-w11902_ZUf1_ZU) - substituted with v-w11902_ZUf2_ZU</v>
      </c>
    </row>
    <row r="8972" customFormat="false" ht="12.8" hidden="false" customHeight="false" outlineLevel="0" collapsed="false">
      <c r="B8972" s="0" t="s">
        <v>1</v>
      </c>
    </row>
    <row r="8974" customFormat="false" ht="12.8" hidden="false" customHeight="false" outlineLevel="0" collapsed="false">
      <c r="A8974" s="0" t="s">
        <v>4180</v>
      </c>
      <c r="B8974" s="0" t="str">
        <f aca="false">HYPERLINK("https://lindat.mff.cuni.cz/services/teitok/pdtc10/index.php?action=vallex&amp;frame=v-w975f4_ZU", "fotografovat (v-w975f4_ZU)")</f>
        <v>fotografovat (v-w975f4_ZU)</v>
      </c>
    </row>
    <row r="8975" customFormat="false" ht="12.8" hidden="false" customHeight="false" outlineLevel="0" collapsed="false">
      <c r="B8975" s="0" t="s">
        <v>1</v>
      </c>
    </row>
    <row r="8976" customFormat="false" ht="12.8" hidden="false" customHeight="false" outlineLevel="0" collapsed="false">
      <c r="B8976" s="0" t="s">
        <v>8</v>
      </c>
    </row>
    <row r="8978" customFormat="false" ht="12.8" hidden="false" customHeight="false" outlineLevel="0" collapsed="false">
      <c r="A8978" s="0" t="s">
        <v>4180</v>
      </c>
      <c r="B8978" s="0" t="str">
        <f aca="false">HYPERLINK("https://lindat.mff.cuni.cz/services/teitok/pdtc10/index.php?action=vallex&amp;frame=v-w975f1", "fotografovat (v-w975f1) - substituted with v-w975f4_ZU")</f>
        <v>fotografovat (v-w975f1) - substituted with v-w975f4_ZU</v>
      </c>
      <c r="E8978" s="0" t="str">
        <f aca="false">HYPERLINK("https://lindat.mff.cuni.cz/services/SynSemClass40/SynSemClass40.html?veclass=vec01169#vec01169-ces-cm00021", "vec01169")</f>
        <v>vec01169</v>
      </c>
      <c r="F8978" s="0" t="s">
        <v>1955</v>
      </c>
    </row>
    <row r="8979" customFormat="false" ht="12.8" hidden="false" customHeight="false" outlineLevel="0" collapsed="false">
      <c r="B8979" s="0" t="s">
        <v>1</v>
      </c>
      <c r="C8979" s="0" t="s">
        <v>2418</v>
      </c>
      <c r="E8979" s="0" t="s">
        <v>1958</v>
      </c>
      <c r="F8979" s="0" t="s">
        <v>1959</v>
      </c>
    </row>
    <row r="8980" customFormat="false" ht="12.8" hidden="false" customHeight="false" outlineLevel="0" collapsed="false">
      <c r="B8980" s="0" t="s">
        <v>8</v>
      </c>
      <c r="C8980" s="0" t="s">
        <v>2420</v>
      </c>
      <c r="E8980" s="0" t="s">
        <v>180</v>
      </c>
      <c r="F8980" s="0" t="s">
        <v>1962</v>
      </c>
    </row>
    <row r="8982" customFormat="false" ht="12.8" hidden="false" customHeight="false" outlineLevel="0" collapsed="false">
      <c r="A8982" s="0" t="s">
        <v>4180</v>
      </c>
      <c r="B8982" s="0" t="str">
        <f aca="false">HYPERLINK("https://lindat.mff.cuni.cz/services/teitok/pdtc10/index.php?action=vallex&amp;frame=v-w975f3_ZU", "fotografovat (v-w975f3_ZU) - substituted with v-w975f4_ZU")</f>
        <v>fotografovat (v-w975f3_ZU) - substituted with v-w975f4_ZU</v>
      </c>
    </row>
    <row r="8983" customFormat="false" ht="12.8" hidden="false" customHeight="false" outlineLevel="0" collapsed="false">
      <c r="B8983" s="0" t="s">
        <v>1</v>
      </c>
    </row>
    <row r="8984" customFormat="false" ht="12.8" hidden="false" customHeight="false" outlineLevel="0" collapsed="false">
      <c r="B8984" s="0" t="s">
        <v>8</v>
      </c>
    </row>
    <row r="8986" customFormat="false" ht="12.8" hidden="false" customHeight="false" outlineLevel="0" collapsed="false">
      <c r="A8986" s="0" t="s">
        <v>4181</v>
      </c>
      <c r="B8986" s="0" t="str">
        <f aca="false">HYPERLINK("https://lindat.mff.cuni.cz/services/teitok/pdtc10/index.php?action=vallex&amp;frame=v-w975f2_ZU", "fotografovat (v-w975f2_ZU)")</f>
        <v>fotografovat (v-w975f2_ZU)</v>
      </c>
    </row>
    <row r="8987" customFormat="false" ht="12.8" hidden="false" customHeight="false" outlineLevel="0" collapsed="false">
      <c r="B8987" s="0" t="s">
        <v>1</v>
      </c>
    </row>
    <row r="8988" customFormat="false" ht="12.8" hidden="false" customHeight="false" outlineLevel="0" collapsed="false">
      <c r="B8988" s="0" t="s">
        <v>8</v>
      </c>
    </row>
    <row r="8990" customFormat="false" ht="12.8" hidden="false" customHeight="false" outlineLevel="0" collapsed="false">
      <c r="A8990" s="0" t="s">
        <v>4182</v>
      </c>
      <c r="B8990" s="0" t="str">
        <f aca="false">HYPERLINK("https://lindat.mff.cuni.cz/services/teitok/pdtc10/index.php?action=vallex&amp;frame=v-w11901_ZUf1_ZU", "fotografovat se (v-w11901_ZUf1_ZU)")</f>
        <v>fotografovat se (v-w11901_ZUf1_ZU)</v>
      </c>
    </row>
    <row r="8991" customFormat="false" ht="12.8" hidden="false" customHeight="false" outlineLevel="0" collapsed="false">
      <c r="B8991" s="0" t="s">
        <v>1</v>
      </c>
    </row>
    <row r="8993" customFormat="false" ht="12.8" hidden="false" customHeight="false" outlineLevel="0" collapsed="false">
      <c r="A8993" s="0" t="s">
        <v>4183</v>
      </c>
      <c r="B8993" s="0" t="str">
        <f aca="false">HYPERLINK("https://lindat.mff.cuni.cz/services/teitok/pdtc10/index.php?action=vallex&amp;frame=v-w11918_ZUf1_ZU", "fotívat (v-w11918_ZUf1_ZU)")</f>
        <v>fotívat (v-w11918_ZUf1_ZU)</v>
      </c>
    </row>
    <row r="8994" customFormat="false" ht="12.8" hidden="false" customHeight="false" outlineLevel="0" collapsed="false">
      <c r="B8994" s="0" t="s">
        <v>1</v>
      </c>
    </row>
    <row r="8995" customFormat="false" ht="12.8" hidden="false" customHeight="false" outlineLevel="0" collapsed="false">
      <c r="B8995" s="0" t="s">
        <v>8</v>
      </c>
    </row>
    <row r="8997" customFormat="false" ht="12.8" hidden="false" customHeight="false" outlineLevel="0" collapsed="false">
      <c r="A8997" s="0" t="s">
        <v>4184</v>
      </c>
      <c r="B8997" s="0" t="str">
        <f aca="false">HYPERLINK("https://lindat.mff.cuni.cz/services/teitok/pdtc10/index.php?action=vallex&amp;frame=v-w978f1", "foukat (v-w978f1)")</f>
        <v>foukat (v-w978f1)</v>
      </c>
    </row>
    <row r="8998" customFormat="false" ht="12.8" hidden="false" customHeight="false" outlineLevel="0" collapsed="false">
      <c r="B8998" s="0" t="s">
        <v>1</v>
      </c>
    </row>
    <row r="9000" customFormat="false" ht="12.8" hidden="false" customHeight="false" outlineLevel="0" collapsed="false">
      <c r="A9000" s="0" t="s">
        <v>4185</v>
      </c>
      <c r="B9000" s="0" t="str">
        <f aca="false">HYPERLINK("https://lindat.mff.cuni.cz/services/teitok/pdtc10/index.php?action=vallex&amp;frame=v-w978f2", "foukat (v-w978f2)")</f>
        <v>foukat (v-w978f2)</v>
      </c>
    </row>
    <row r="9002" customFormat="false" ht="12.8" hidden="false" customHeight="false" outlineLevel="0" collapsed="false">
      <c r="A9002" s="0" t="s">
        <v>4186</v>
      </c>
      <c r="B9002" s="0" t="str">
        <f aca="false">HYPERLINK("https://lindat.mff.cuni.cz/services/teitok/pdtc10/index.php?action=vallex&amp;frame=v-w978hsa_31", "foukat (v-w978hsa_31)")</f>
        <v>foukat (v-w978hsa_31)</v>
      </c>
    </row>
    <row r="9003" customFormat="false" ht="12.8" hidden="false" customHeight="false" outlineLevel="0" collapsed="false">
      <c r="B9003" s="0" t="s">
        <v>1</v>
      </c>
    </row>
    <row r="9004" customFormat="false" ht="12.8" hidden="false" customHeight="false" outlineLevel="0" collapsed="false">
      <c r="B9004" s="0" t="s">
        <v>8</v>
      </c>
    </row>
    <row r="9006" customFormat="false" ht="12.8" hidden="false" customHeight="false" outlineLevel="0" collapsed="false">
      <c r="A9006" s="0" t="s">
        <v>4187</v>
      </c>
      <c r="B9006" s="0" t="str">
        <f aca="false">HYPERLINK("https://lindat.mff.cuni.cz/services/teitok/pdtc10/index.php?action=vallex&amp;frame=v-w980f1", "fragmentovat (v-w980f1)")</f>
        <v>fragmentovat (v-w980f1)</v>
      </c>
    </row>
    <row r="9007" customFormat="false" ht="12.8" hidden="false" customHeight="false" outlineLevel="0" collapsed="false">
      <c r="B9007" s="0" t="s">
        <v>1</v>
      </c>
    </row>
    <row r="9008" customFormat="false" ht="12.8" hidden="false" customHeight="false" outlineLevel="0" collapsed="false">
      <c r="B9008" s="0" t="s">
        <v>8</v>
      </c>
    </row>
    <row r="9009" customFormat="false" ht="12.8" hidden="false" customHeight="false" outlineLevel="0" collapsed="false">
      <c r="B9009" s="0" t="s">
        <v>3211</v>
      </c>
    </row>
    <row r="9011" customFormat="false" ht="12.8" hidden="false" customHeight="false" outlineLevel="0" collapsed="false">
      <c r="A9011" s="0" t="s">
        <v>4188</v>
      </c>
      <c r="B9011" s="0" t="str">
        <f aca="false">HYPERLINK("https://lindat.mff.cuni.cz/services/teitok/pdtc10/index.php?action=vallex&amp;frame=v-w987f1", "frustrovat (v-w987f1)")</f>
        <v>frustrovat (v-w987f1)</v>
      </c>
      <c r="E9011" s="0" t="str">
        <f aca="false">HYPERLINK("https://lindat.mff.cuni.cz/services/SynSemClass40/SynSemClass40.html?veclass=vec01183#vec01183-ces-cm00002", "vec01183")</f>
        <v>vec01183</v>
      </c>
      <c r="F9011" s="0" t="s">
        <v>4189</v>
      </c>
    </row>
    <row r="9012" customFormat="false" ht="12.8" hidden="false" customHeight="false" outlineLevel="0" collapsed="false">
      <c r="B9012" s="0" t="s">
        <v>1</v>
      </c>
      <c r="C9012" s="0" t="s">
        <v>4190</v>
      </c>
      <c r="E9012" s="0" t="s">
        <v>76</v>
      </c>
      <c r="F9012" s="0" t="s">
        <v>4191</v>
      </c>
    </row>
    <row r="9013" customFormat="false" ht="12.8" hidden="false" customHeight="false" outlineLevel="0" collapsed="false">
      <c r="B9013" s="0" t="s">
        <v>8</v>
      </c>
      <c r="C9013" s="0" t="s">
        <v>4192</v>
      </c>
      <c r="E9013" s="0" t="s">
        <v>1930</v>
      </c>
      <c r="F9013" s="0" t="s">
        <v>4193</v>
      </c>
    </row>
    <row r="9015" customFormat="false" ht="12.8" hidden="false" customHeight="false" outlineLevel="0" collapsed="false">
      <c r="A9015" s="0" t="s">
        <v>4194</v>
      </c>
      <c r="B9015" s="0" t="str">
        <f aca="false">HYPERLINK("https://lindat.mff.cuni.cz/services/teitok/pdtc10/index.php?action=vallex&amp;frame=v-w990f1", "fungovat (v-w990f1)")</f>
        <v>fungovat (v-w990f1)</v>
      </c>
      <c r="E9015" s="0" t="str">
        <f aca="false">HYPERLINK("https://lindat.mff.cuni.cz/services/SynSemClass40/SynSemClass40.html?veclass=vec00221#vec00221-ces-cm00001", "vec00221")</f>
        <v>vec00221</v>
      </c>
      <c r="F9015" s="0" t="s">
        <v>1051</v>
      </c>
    </row>
    <row r="9016" customFormat="false" ht="12.8" hidden="false" customHeight="false" outlineLevel="0" collapsed="false">
      <c r="B9016" s="0" t="s">
        <v>1</v>
      </c>
      <c r="C9016" s="0" t="s">
        <v>1052</v>
      </c>
      <c r="E9016" s="0" t="s">
        <v>1053</v>
      </c>
      <c r="F9016" s="0" t="s">
        <v>1054</v>
      </c>
    </row>
    <row r="9018" customFormat="false" ht="12.8" hidden="false" customHeight="false" outlineLevel="0" collapsed="false">
      <c r="A9018" s="0" t="s">
        <v>4195</v>
      </c>
      <c r="B9018" s="0" t="str">
        <f aca="false">HYPERLINK("https://lindat.mff.cuni.cz/services/teitok/pdtc10/index.php?action=vallex&amp;frame=v-w990f2", "fungovat (v-w990f2)")</f>
        <v>fungovat (v-w990f2)</v>
      </c>
      <c r="E9018" s="0" t="str">
        <f aca="false">HYPERLINK("https://lindat.mff.cuni.cz/services/SynSemClass40/SynSemClass40.html?veclass=vec00273#vec00273-ces-cm00005", "vec00273")</f>
        <v>vec00273</v>
      </c>
      <c r="F9018" s="0" t="s">
        <v>4024</v>
      </c>
    </row>
    <row r="9019" customFormat="false" ht="12.8" hidden="false" customHeight="false" outlineLevel="0" collapsed="false">
      <c r="B9019" s="0" t="s">
        <v>1</v>
      </c>
      <c r="C9019" s="0" t="s">
        <v>4031</v>
      </c>
      <c r="E9019" s="0" t="s">
        <v>11</v>
      </c>
      <c r="F9019" s="0" t="s">
        <v>4027</v>
      </c>
    </row>
    <row r="9021" customFormat="false" ht="12.8" hidden="false" customHeight="false" outlineLevel="0" collapsed="false">
      <c r="A9021" s="0" t="s">
        <v>4196</v>
      </c>
      <c r="B9021" s="0" t="str">
        <f aca="false">HYPERLINK("https://lindat.mff.cuni.cz/services/teitok/pdtc10/index.php?action=vallex&amp;frame=v-w990f3", "fungovat (v-w990f3)")</f>
        <v>fungovat (v-w990f3)</v>
      </c>
      <c r="E9021" s="0" t="str">
        <f aca="false">HYPERLINK("https://lindat.mff.cuni.cz/services/SynSemClass40/SynSemClass40.html?veclass=vec00221#vec00221-ces-cm00008", "vec00221")</f>
        <v>vec00221</v>
      </c>
      <c r="F9021" s="0" t="s">
        <v>1051</v>
      </c>
    </row>
    <row r="9022" customFormat="false" ht="12.8" hidden="false" customHeight="false" outlineLevel="0" collapsed="false">
      <c r="B9022" s="0" t="s">
        <v>1</v>
      </c>
      <c r="C9022" s="0" t="s">
        <v>1052</v>
      </c>
      <c r="E9022" s="0" t="s">
        <v>1053</v>
      </c>
      <c r="F9022" s="0" t="s">
        <v>1054</v>
      </c>
    </row>
    <row r="9024" customFormat="false" ht="12.8" hidden="false" customHeight="false" outlineLevel="0" collapsed="false">
      <c r="A9024" s="0" t="s">
        <v>4197</v>
      </c>
      <c r="B9024" s="0" t="str">
        <f aca="false">HYPERLINK("https://lindat.mff.cuni.cz/services/teitok/pdtc10/index.php?action=vallex&amp;frame=v-w11511_ZUf1_ZU", "funět (v-w11511_ZUf1_ZU)")</f>
        <v>funět (v-w11511_ZUf1_ZU)</v>
      </c>
    </row>
    <row r="9025" customFormat="false" ht="12.8" hidden="false" customHeight="false" outlineLevel="0" collapsed="false">
      <c r="B9025" s="0" t="s">
        <v>1</v>
      </c>
    </row>
    <row r="9027" customFormat="false" ht="12.8" hidden="false" customHeight="false" outlineLevel="0" collapsed="false">
      <c r="A9027" s="0" t="s">
        <v>4198</v>
      </c>
      <c r="B9027" s="0" t="str">
        <f aca="false">HYPERLINK("https://lindat.mff.cuni.cz/services/teitok/pdtc10/index.php?action=vallex&amp;frame=v-w11511_ZUf2_ZU", "funět (v-w11511_ZUf2_ZU)")</f>
        <v>funět (v-w11511_ZUf2_ZU)</v>
      </c>
    </row>
    <row r="9028" customFormat="false" ht="12.8" hidden="false" customHeight="false" outlineLevel="0" collapsed="false">
      <c r="B9028" s="0" t="s">
        <v>1</v>
      </c>
    </row>
    <row r="9030" customFormat="false" ht="12.8" hidden="false" customHeight="false" outlineLevel="0" collapsed="false">
      <c r="A9030" s="0" t="s">
        <v>4199</v>
      </c>
      <c r="B9030" s="0" t="str">
        <f aca="false">HYPERLINK("https://lindat.mff.cuni.cz/services/teitok/pdtc10/index.php?action=vallex&amp;frame=v-w10507f2", "fušovat (v-w10507f2)")</f>
        <v>fušovat (v-w10507f2)</v>
      </c>
      <c r="E9030" s="0" t="str">
        <f aca="false">HYPERLINK("https://lindat.mff.cuni.cz/services/SynSemClass40/SynSemClass40.html?veclass=vec00818#vec00818-ces-cm00001", "vec00818")</f>
        <v>vec00818</v>
      </c>
      <c r="F9030" s="0" t="s">
        <v>4200</v>
      </c>
    </row>
    <row r="9031" customFormat="false" ht="12.8" hidden="false" customHeight="false" outlineLevel="0" collapsed="false">
      <c r="B9031" s="0" t="s">
        <v>1</v>
      </c>
      <c r="C9031" s="0" t="s">
        <v>459</v>
      </c>
      <c r="E9031" s="0" t="s">
        <v>3010</v>
      </c>
      <c r="F9031" s="0" t="s">
        <v>4201</v>
      </c>
    </row>
    <row r="9032" customFormat="false" ht="12.8" hidden="false" customHeight="false" outlineLevel="0" collapsed="false">
      <c r="B9032" s="0" t="s">
        <v>1187</v>
      </c>
      <c r="C9032" s="0" t="s">
        <v>1575</v>
      </c>
      <c r="E9032" s="0" t="s">
        <v>4202</v>
      </c>
      <c r="F9032" s="0" t="s">
        <v>4203</v>
      </c>
    </row>
    <row r="9034" customFormat="false" ht="12.8" hidden="false" customHeight="false" outlineLevel="0" collapsed="false">
      <c r="A9034" s="0" t="s">
        <v>4204</v>
      </c>
      <c r="B9034" s="0" t="str">
        <f aca="false">HYPERLINK("https://lindat.mff.cuni.cz/services/teitok/pdtc10/index.php?action=vallex&amp;frame=v-w12138_ZUf1_ZU", "fárat (v-w12138_ZUf1_ZU)")</f>
        <v>fárat (v-w12138_ZUf1_ZU)</v>
      </c>
    </row>
    <row r="9035" customFormat="false" ht="12.8" hidden="false" customHeight="false" outlineLevel="0" collapsed="false">
      <c r="B9035" s="0" t="s">
        <v>1</v>
      </c>
    </row>
    <row r="9037" customFormat="false" ht="12.8" hidden="false" customHeight="false" outlineLevel="0" collapsed="false">
      <c r="A9037" s="0" t="s">
        <v>4205</v>
      </c>
      <c r="B9037" s="0" t="str">
        <f aca="false">HYPERLINK("https://lindat.mff.cuni.cz/services/teitok/pdtc10/index.php?action=vallex&amp;frame=v-w993f2", "fúzovat (v-w993f2)")</f>
        <v>fúzovat (v-w993f2)</v>
      </c>
    </row>
    <row r="9038" customFormat="false" ht="12.8" hidden="false" customHeight="false" outlineLevel="0" collapsed="false">
      <c r="B9038" s="0" t="s">
        <v>1</v>
      </c>
    </row>
    <row r="9039" customFormat="false" ht="12.8" hidden="false" customHeight="false" outlineLevel="0" collapsed="false">
      <c r="B9039" s="0" t="s">
        <v>8</v>
      </c>
    </row>
    <row r="9040" customFormat="false" ht="12.8" hidden="false" customHeight="false" outlineLevel="0" collapsed="false">
      <c r="B9040" s="0" t="s">
        <v>3537</v>
      </c>
    </row>
    <row r="9042" customFormat="false" ht="12.8" hidden="false" customHeight="false" outlineLevel="0" collapsed="false">
      <c r="A9042" s="0" t="s">
        <v>4206</v>
      </c>
      <c r="B9042" s="0" t="str">
        <f aca="false">HYPERLINK("https://lindat.mff.cuni.cz/services/teitok/pdtc10/index.php?action=vallex&amp;frame=v-w993f1", "fúzovat (v-w993f1)")</f>
        <v>fúzovat (v-w993f1)</v>
      </c>
    </row>
    <row r="9043" customFormat="false" ht="12.8" hidden="false" customHeight="false" outlineLevel="0" collapsed="false">
      <c r="B9043" s="0" t="s">
        <v>1</v>
      </c>
    </row>
    <row r="9044" customFormat="false" ht="12.8" hidden="false" customHeight="false" outlineLevel="0" collapsed="false">
      <c r="B9044" s="0" t="s">
        <v>721</v>
      </c>
    </row>
    <row r="9045" customFormat="false" ht="12.8" hidden="false" customHeight="false" outlineLevel="0" collapsed="false">
      <c r="B9045" s="0" t="s">
        <v>3026</v>
      </c>
    </row>
    <row r="9047" customFormat="false" ht="12.8" hidden="false" customHeight="false" outlineLevel="0" collapsed="false">
      <c r="A9047" s="0" t="s">
        <v>4207</v>
      </c>
      <c r="B9047" s="0" t="str">
        <f aca="false">HYPERLINK("https://lindat.mff.cuni.cz/services/teitok/pdtc10/index.php?action=vallex&amp;frame=v-w997f1", "garantovat (v-w997f1)")</f>
        <v>garantovat (v-w997f1)</v>
      </c>
      <c r="E9047" s="0" t="str">
        <f aca="false">HYPERLINK("https://lindat.mff.cuni.cz/services/SynSemClass40/SynSemClass40.html?veclass=vec00511#vec00511-ces-cm00002", "vec00511")</f>
        <v>vec00511</v>
      </c>
      <c r="F9047" s="0" t="s">
        <v>3726</v>
      </c>
    </row>
    <row r="9048" customFormat="false" ht="12.8" hidden="false" customHeight="false" outlineLevel="0" collapsed="false">
      <c r="B9048" s="0" t="s">
        <v>1</v>
      </c>
      <c r="C9048" s="0" t="s">
        <v>3727</v>
      </c>
      <c r="E9048" s="0" t="s">
        <v>206</v>
      </c>
      <c r="F9048" s="0" t="s">
        <v>3728</v>
      </c>
    </row>
    <row r="9049" customFormat="false" ht="12.8" hidden="false" customHeight="false" outlineLevel="0" collapsed="false">
      <c r="B9049" s="0" t="s">
        <v>8</v>
      </c>
      <c r="C9049" s="0" t="s">
        <v>4208</v>
      </c>
      <c r="E9049" s="0" t="s">
        <v>4209</v>
      </c>
      <c r="F9049" s="0" t="s">
        <v>4210</v>
      </c>
    </row>
    <row r="9050" customFormat="false" ht="12.8" hidden="false" customHeight="false" outlineLevel="0" collapsed="false">
      <c r="B9050" s="0" t="s">
        <v>3473</v>
      </c>
      <c r="C9050" s="0" t="s">
        <v>3733</v>
      </c>
      <c r="E9050" s="0" t="s">
        <v>3734</v>
      </c>
      <c r="F9050" s="0" t="s">
        <v>3735</v>
      </c>
    </row>
    <row r="9052" customFormat="false" ht="12.8" hidden="false" customHeight="false" outlineLevel="0" collapsed="false">
      <c r="A9052" s="0" t="s">
        <v>4211</v>
      </c>
      <c r="B9052" s="0" t="str">
        <f aca="false">HYPERLINK("https://lindat.mff.cuni.cz/services/teitok/pdtc10/index.php?action=vallex&amp;frame=v-w10594f2", "generalizovat (v-w10594f2)")</f>
        <v>generalizovat (v-w10594f2)</v>
      </c>
      <c r="E9052" s="0" t="str">
        <f aca="false">HYPERLINK("https://lindat.mff.cuni.cz/services/SynSemClass40/SynSemClass40.html?veclass=vec01492#vec01492-ces-cm00003", "vec01492")</f>
        <v>vec01492</v>
      </c>
      <c r="F9052" s="0" t="s">
        <v>4212</v>
      </c>
    </row>
    <row r="9053" customFormat="false" ht="12.8" hidden="false" customHeight="false" outlineLevel="0" collapsed="false">
      <c r="B9053" s="0" t="s">
        <v>1</v>
      </c>
      <c r="E9053" s="0" t="s">
        <v>621</v>
      </c>
      <c r="F9053" s="0" t="s">
        <v>4213</v>
      </c>
    </row>
    <row r="9054" customFormat="false" ht="12.8" hidden="false" customHeight="false" outlineLevel="0" collapsed="false">
      <c r="B9054" s="0" t="s">
        <v>8</v>
      </c>
      <c r="C9054" s="0" t="s">
        <v>462</v>
      </c>
      <c r="E9054" s="0" t="s">
        <v>4214</v>
      </c>
      <c r="F9054" s="0" t="s">
        <v>4215</v>
      </c>
    </row>
    <row r="9056" customFormat="false" ht="12.8" hidden="false" customHeight="false" outlineLevel="0" collapsed="false">
      <c r="A9056" s="0" t="s">
        <v>4216</v>
      </c>
      <c r="B9056" s="0" t="str">
        <f aca="false">HYPERLINK("https://lindat.mff.cuni.cz/services/teitok/pdtc10/index.php?action=vallex&amp;frame=v-w10732f2", "generovat (v-w10732f2)")</f>
        <v>generovat (v-w10732f2)</v>
      </c>
      <c r="E9056" s="0" t="str">
        <f aca="false">HYPERLINK("https://lindat.mff.cuni.cz/services/SynSemClass40/SynSemClass40.html?veclass=vec00355#vec00355-ces-cm00040", "vec00355")</f>
        <v>vec00355</v>
      </c>
      <c r="F9056" s="0" t="s">
        <v>4217</v>
      </c>
    </row>
    <row r="9057" customFormat="false" ht="12.8" hidden="false" customHeight="false" outlineLevel="0" collapsed="false">
      <c r="B9057" s="0" t="s">
        <v>1</v>
      </c>
      <c r="C9057" s="0" t="s">
        <v>4218</v>
      </c>
      <c r="E9057" s="0" t="s">
        <v>1086</v>
      </c>
      <c r="F9057" s="0" t="s">
        <v>4219</v>
      </c>
    </row>
    <row r="9058" customFormat="false" ht="12.8" hidden="false" customHeight="false" outlineLevel="0" collapsed="false">
      <c r="B9058" s="0" t="s">
        <v>8</v>
      </c>
      <c r="C9058" s="0" t="s">
        <v>4220</v>
      </c>
      <c r="E9058" s="0" t="s">
        <v>2111</v>
      </c>
      <c r="F9058" s="0" t="s">
        <v>4221</v>
      </c>
    </row>
    <row r="9060" customFormat="false" ht="12.8" hidden="false" customHeight="false" outlineLevel="0" collapsed="false">
      <c r="A9060" s="0" t="s">
        <v>4222</v>
      </c>
      <c r="B9060" s="0" t="str">
        <f aca="false">HYPERLINK("https://lindat.mff.cuni.cz/services/teitok/pdtc10/index.php?action=vallex&amp;frame=v-w10169f2", "gestikulovat (v-w10169f2)")</f>
        <v>gestikulovat (v-w10169f2)</v>
      </c>
      <c r="E9060" s="0" t="str">
        <f aca="false">HYPERLINK("https://lindat.mff.cuni.cz/services/SynSemClass40/SynSemClass40.html?veclass=vec00838#vec00838-ces-cm00003", "vec00838")</f>
        <v>vec00838</v>
      </c>
      <c r="F9060" s="0" t="s">
        <v>4223</v>
      </c>
    </row>
    <row r="9061" customFormat="false" ht="12.8" hidden="false" customHeight="false" outlineLevel="0" collapsed="false">
      <c r="B9061" s="0" t="s">
        <v>1</v>
      </c>
      <c r="C9061" s="0" t="s">
        <v>1752</v>
      </c>
      <c r="E9061" s="0" t="s">
        <v>155</v>
      </c>
      <c r="F9061" s="0" t="s">
        <v>4224</v>
      </c>
    </row>
    <row r="9063" customFormat="false" ht="12.8" hidden="false" customHeight="false" outlineLevel="0" collapsed="false">
      <c r="A9063" s="0" t="s">
        <v>4225</v>
      </c>
      <c r="B9063" s="0" t="str">
        <f aca="false">HYPERLINK("https://lindat.mff.cuni.cz/services/teitok/pdtc10/index.php?action=vallex&amp;frame=v-w10169hsa_1120", "gestikulovat (v-w10169hsa_1120)")</f>
        <v>gestikulovat (v-w10169hsa_1120)</v>
      </c>
    </row>
    <row r="9064" customFormat="false" ht="12.8" hidden="false" customHeight="false" outlineLevel="0" collapsed="false">
      <c r="B9064" s="0" t="s">
        <v>1</v>
      </c>
    </row>
    <row r="9065" customFormat="false" ht="12.8" hidden="false" customHeight="false" outlineLevel="0" collapsed="false">
      <c r="B9065" s="0" t="s">
        <v>162</v>
      </c>
    </row>
    <row r="9066" customFormat="false" ht="12.8" hidden="false" customHeight="false" outlineLevel="0" collapsed="false">
      <c r="B9066" s="0" t="s">
        <v>4226</v>
      </c>
    </row>
    <row r="9068" customFormat="false" ht="12.8" hidden="false" customHeight="false" outlineLevel="0" collapsed="false">
      <c r="A9068" s="0" t="s">
        <v>4227</v>
      </c>
      <c r="B9068" s="0" t="str">
        <f aca="false">HYPERLINK("https://lindat.mff.cuni.cz/services/teitok/pdtc10/index.php?action=vallex&amp;frame=v-w1002f1", "glajchšaltovat (v-w1002f1)")</f>
        <v>glajchšaltovat (v-w1002f1)</v>
      </c>
    </row>
    <row r="9069" customFormat="false" ht="12.8" hidden="false" customHeight="false" outlineLevel="0" collapsed="false">
      <c r="B9069" s="0" t="s">
        <v>1</v>
      </c>
    </row>
    <row r="9070" customFormat="false" ht="12.8" hidden="false" customHeight="false" outlineLevel="0" collapsed="false">
      <c r="B9070" s="0" t="s">
        <v>8</v>
      </c>
    </row>
    <row r="9072" customFormat="false" ht="12.8" hidden="false" customHeight="false" outlineLevel="0" collapsed="false">
      <c r="A9072" s="0" t="s">
        <v>4228</v>
      </c>
      <c r="B9072" s="0" t="str">
        <f aca="false">HYPERLINK("https://lindat.mff.cuni.cz/services/teitok/pdtc10/index.php?action=vallex&amp;frame=v-w1003f1", "globalizovat (v-w1003f1)")</f>
        <v>globalizovat (v-w1003f1)</v>
      </c>
    </row>
    <row r="9073" customFormat="false" ht="12.8" hidden="false" customHeight="false" outlineLevel="0" collapsed="false">
      <c r="B9073" s="0" t="s">
        <v>1</v>
      </c>
    </row>
    <row r="9074" customFormat="false" ht="12.8" hidden="false" customHeight="false" outlineLevel="0" collapsed="false">
      <c r="B9074" s="0" t="s">
        <v>8</v>
      </c>
    </row>
    <row r="9076" customFormat="false" ht="12.8" hidden="false" customHeight="false" outlineLevel="0" collapsed="false">
      <c r="A9076" s="0" t="s">
        <v>4229</v>
      </c>
      <c r="B9076" s="0" t="str">
        <f aca="false">HYPERLINK("https://lindat.mff.cuni.cz/services/teitok/pdtc10/index.php?action=vallex&amp;frame=v-w1004f1", "glosovat (v-w1004f1)")</f>
        <v>glosovat (v-w1004f1)</v>
      </c>
    </row>
    <row r="9077" customFormat="false" ht="12.8" hidden="false" customHeight="false" outlineLevel="0" collapsed="false">
      <c r="B9077" s="0" t="s">
        <v>1</v>
      </c>
    </row>
    <row r="9078" customFormat="false" ht="12.8" hidden="false" customHeight="false" outlineLevel="0" collapsed="false">
      <c r="B9078" s="0" t="s">
        <v>500</v>
      </c>
    </row>
    <row r="9080" customFormat="false" ht="12.8" hidden="false" customHeight="false" outlineLevel="0" collapsed="false">
      <c r="A9080" s="0" t="s">
        <v>4230</v>
      </c>
      <c r="B9080" s="0" t="str">
        <f aca="false">HYPERLINK("https://lindat.mff.cuni.cz/services/teitok/pdtc10/index.php?action=vallex&amp;frame=v-w1008f1", "gratulovat (v-w1008f1)")</f>
        <v>gratulovat (v-w1008f1)</v>
      </c>
      <c r="E9080" s="0" t="str">
        <f aca="false">HYPERLINK("https://lindat.mff.cuni.cz/services/SynSemClass40/SynSemClass40.html?veclass=vec01023#vec01023-ces-cm00001", "vec01023")</f>
        <v>vec01023</v>
      </c>
      <c r="F9080" s="0" t="s">
        <v>4231</v>
      </c>
    </row>
    <row r="9081" customFormat="false" ht="12.8" hidden="false" customHeight="false" outlineLevel="0" collapsed="false">
      <c r="B9081" s="0" t="s">
        <v>1</v>
      </c>
      <c r="C9081" s="0" t="s">
        <v>459</v>
      </c>
      <c r="E9081" s="0" t="s">
        <v>155</v>
      </c>
      <c r="F9081" s="0" t="s">
        <v>4232</v>
      </c>
    </row>
    <row r="9082" customFormat="false" ht="12.8" hidden="false" customHeight="false" outlineLevel="0" collapsed="false">
      <c r="B9082" s="0" t="s">
        <v>311</v>
      </c>
      <c r="C9082" s="0" t="s">
        <v>1910</v>
      </c>
      <c r="E9082" s="0" t="s">
        <v>1809</v>
      </c>
      <c r="F9082" s="0" t="s">
        <v>4233</v>
      </c>
    </row>
    <row r="9083" customFormat="false" ht="12.8" hidden="false" customHeight="false" outlineLevel="0" collapsed="false">
      <c r="B9083" s="0" t="s">
        <v>52</v>
      </c>
      <c r="C9083" s="0" t="s">
        <v>4234</v>
      </c>
      <c r="E9083" s="0" t="s">
        <v>4235</v>
      </c>
      <c r="F9083" s="0" t="s">
        <v>4236</v>
      </c>
    </row>
    <row r="9085" customFormat="false" ht="12.8" hidden="false" customHeight="false" outlineLevel="0" collapsed="false">
      <c r="A9085" s="0" t="s">
        <v>4237</v>
      </c>
      <c r="B9085" s="0" t="str">
        <f aca="false">HYPERLINK("https://lindat.mff.cuni.cz/services/teitok/pdtc10/index.php?action=vallex&amp;frame=v-whsa_1642f1_ZU", "grilovat (v-whsa_1642f1_ZU)")</f>
        <v>grilovat (v-whsa_1642f1_ZU)</v>
      </c>
    </row>
    <row r="9086" customFormat="false" ht="12.8" hidden="false" customHeight="false" outlineLevel="0" collapsed="false">
      <c r="B9086" s="0" t="s">
        <v>1</v>
      </c>
    </row>
    <row r="9087" customFormat="false" ht="12.8" hidden="false" customHeight="false" outlineLevel="0" collapsed="false">
      <c r="B9087" s="0" t="s">
        <v>8</v>
      </c>
    </row>
    <row r="9089" customFormat="false" ht="12.8" hidden="false" customHeight="false" outlineLevel="0" collapsed="false">
      <c r="A9089" s="0" t="s">
        <v>4237</v>
      </c>
      <c r="B9089" s="0" t="str">
        <f aca="false">HYPERLINK("https://lindat.mff.cuni.cz/services/teitok/pdtc10/index.php?action=vallex&amp;frame=v-whsa_1642hsa_1643", "grilovat (v-whsa_1642hsa_1643) - substituted with v-whsa_1642f1_ZU")</f>
        <v>grilovat (v-whsa_1642hsa_1643) - substituted with v-whsa_1642f1_ZU</v>
      </c>
    </row>
    <row r="9090" customFormat="false" ht="12.8" hidden="false" customHeight="false" outlineLevel="0" collapsed="false">
      <c r="B9090" s="0" t="s">
        <v>1</v>
      </c>
    </row>
    <row r="9091" customFormat="false" ht="12.8" hidden="false" customHeight="false" outlineLevel="0" collapsed="false">
      <c r="B9091" s="0" t="s">
        <v>8</v>
      </c>
    </row>
    <row r="9093" customFormat="false" ht="12.8" hidden="false" customHeight="false" outlineLevel="0" collapsed="false">
      <c r="A9093" s="0" t="s">
        <v>4238</v>
      </c>
      <c r="B9093" s="0" t="str">
        <f aca="false">HYPERLINK("https://lindat.mff.cuni.cz/services/teitok/pdtc10/index.php?action=vallex&amp;frame=v-w1010f1", "habilitovat (v-w1010f1)")</f>
        <v>habilitovat (v-w1010f1)</v>
      </c>
    </row>
    <row r="9094" customFormat="false" ht="12.8" hidden="false" customHeight="false" outlineLevel="0" collapsed="false">
      <c r="B9094" s="0" t="s">
        <v>1</v>
      </c>
    </row>
    <row r="9095" customFormat="false" ht="12.8" hidden="false" customHeight="false" outlineLevel="0" collapsed="false">
      <c r="B9095" s="0" t="s">
        <v>8</v>
      </c>
    </row>
    <row r="9097" customFormat="false" ht="12.8" hidden="false" customHeight="false" outlineLevel="0" collapsed="false">
      <c r="A9097" s="0" t="s">
        <v>4239</v>
      </c>
      <c r="B9097" s="0" t="str">
        <f aca="false">HYPERLINK("https://lindat.mff.cuni.cz/services/teitok/pdtc10/index.php?action=vallex&amp;frame=v-w1011f1", "habilitovat se (v-w1011f1)")</f>
        <v>habilitovat se (v-w1011f1)</v>
      </c>
    </row>
    <row r="9098" customFormat="false" ht="12.8" hidden="false" customHeight="false" outlineLevel="0" collapsed="false">
      <c r="B9098" s="0" t="s">
        <v>1</v>
      </c>
    </row>
    <row r="9100" customFormat="false" ht="12.8" hidden="false" customHeight="false" outlineLevel="0" collapsed="false">
      <c r="A9100" s="0" t="s">
        <v>4240</v>
      </c>
      <c r="B9100" s="0" t="str">
        <f aca="false">HYPERLINK("https://lindat.mff.cuni.cz/services/teitok/pdtc10/index.php?action=vallex&amp;frame=v-w10416f2", "halit (v-w10416f2)")</f>
        <v>halit (v-w10416f2)</v>
      </c>
      <c r="E9100" s="0" t="str">
        <f aca="false">HYPERLINK("https://lindat.mff.cuni.cz/services/SynSemClass40/SynSemClass40.html?veclass=vec00769#vec00769-ces-cm00009", "vec00769")</f>
        <v>vec00769</v>
      </c>
      <c r="F9100" s="0" t="s">
        <v>4241</v>
      </c>
    </row>
    <row r="9101" customFormat="false" ht="12.8" hidden="false" customHeight="false" outlineLevel="0" collapsed="false">
      <c r="B9101" s="0" t="s">
        <v>1</v>
      </c>
      <c r="C9101" s="0" t="s">
        <v>4242</v>
      </c>
      <c r="E9101" s="0" t="s">
        <v>4243</v>
      </c>
      <c r="F9101" s="0" t="s">
        <v>4244</v>
      </c>
    </row>
    <row r="9102" customFormat="false" ht="12.8" hidden="false" customHeight="false" outlineLevel="0" collapsed="false">
      <c r="B9102" s="0" t="s">
        <v>4245</v>
      </c>
      <c r="C9102" s="0" t="s">
        <v>531</v>
      </c>
      <c r="E9102" s="0" t="s">
        <v>4246</v>
      </c>
      <c r="F9102" s="0" t="s">
        <v>4247</v>
      </c>
    </row>
    <row r="9103" customFormat="false" ht="12.8" hidden="false" customHeight="false" outlineLevel="0" collapsed="false">
      <c r="B9103" s="0" t="s">
        <v>4248</v>
      </c>
    </row>
    <row r="9105" customFormat="false" ht="12.8" hidden="false" customHeight="false" outlineLevel="0" collapsed="false">
      <c r="A9105" s="0" t="s">
        <v>4249</v>
      </c>
      <c r="B9105" s="0" t="str">
        <f aca="false">HYPERLINK("https://lindat.mff.cuni.cz/services/teitok/pdtc10/index.php?action=vallex&amp;frame=v-w11712_ZUf1_ZU", "halit se (v-w11712_ZUf1_ZU)")</f>
        <v>halit se (v-w11712_ZUf1_ZU)</v>
      </c>
    </row>
    <row r="9106" customFormat="false" ht="12.8" hidden="false" customHeight="false" outlineLevel="0" collapsed="false">
      <c r="B9106" s="0" t="s">
        <v>1</v>
      </c>
    </row>
    <row r="9107" customFormat="false" ht="12.8" hidden="false" customHeight="false" outlineLevel="0" collapsed="false">
      <c r="B9107" s="0" t="s">
        <v>4250</v>
      </c>
    </row>
    <row r="9109" customFormat="false" ht="12.8" hidden="false" customHeight="false" outlineLevel="0" collapsed="false">
      <c r="A9109" s="0" t="s">
        <v>4251</v>
      </c>
      <c r="B9109" s="0" t="str">
        <f aca="false">HYPERLINK("https://lindat.mff.cuni.cz/services/teitok/pdtc10/index.php?action=vallex&amp;frame=v-w1020f1", "handicapovat (v-w1020f1)")</f>
        <v>handicapovat (v-w1020f1)</v>
      </c>
    </row>
    <row r="9110" customFormat="false" ht="12.8" hidden="false" customHeight="false" outlineLevel="0" collapsed="false">
      <c r="B9110" s="0" t="s">
        <v>1</v>
      </c>
    </row>
    <row r="9111" customFormat="false" ht="12.8" hidden="false" customHeight="false" outlineLevel="0" collapsed="false">
      <c r="B9111" s="0" t="s">
        <v>8</v>
      </c>
    </row>
    <row r="9113" customFormat="false" ht="12.8" hidden="false" customHeight="false" outlineLevel="0" collapsed="false">
      <c r="A9113" s="0" t="s">
        <v>4252</v>
      </c>
      <c r="B9113" s="0" t="str">
        <f aca="false">HYPERLINK("https://lindat.mff.cuni.cz/services/teitok/pdtc10/index.php?action=vallex&amp;frame=v-w11467f1", "handrkovat se (v-w11467f1)")</f>
        <v>handrkovat se (v-w11467f1)</v>
      </c>
      <c r="E9113" s="0" t="str">
        <f aca="false">HYPERLINK("https://lindat.mff.cuni.cz/services/SynSemClass40/SynSemClass40.html?veclass=vec00019#vec00019-ces-cm00001", "vec00019")</f>
        <v>vec00019</v>
      </c>
      <c r="F9113" s="0" t="s">
        <v>2250</v>
      </c>
    </row>
    <row r="9114" customFormat="false" ht="12.8" hidden="false" customHeight="false" outlineLevel="0" collapsed="false">
      <c r="B9114" s="0" t="s">
        <v>1</v>
      </c>
      <c r="C9114" s="0" t="s">
        <v>239</v>
      </c>
      <c r="E9114" s="0" t="s">
        <v>2251</v>
      </c>
      <c r="F9114" s="0" t="s">
        <v>2252</v>
      </c>
    </row>
    <row r="9115" customFormat="false" ht="12.8" hidden="false" customHeight="false" outlineLevel="0" collapsed="false">
      <c r="B9115" s="0" t="s">
        <v>276</v>
      </c>
      <c r="E9115" s="0" t="s">
        <v>2256</v>
      </c>
      <c r="F9115" s="0" t="s">
        <v>2257</v>
      </c>
    </row>
    <row r="9116" customFormat="false" ht="12.8" hidden="false" customHeight="false" outlineLevel="0" collapsed="false">
      <c r="B9116" s="0" t="s">
        <v>4253</v>
      </c>
      <c r="C9116" s="0" t="s">
        <v>2254</v>
      </c>
      <c r="E9116" s="0" t="s">
        <v>230</v>
      </c>
      <c r="F9116" s="0" t="s">
        <v>2255</v>
      </c>
    </row>
    <row r="9118" customFormat="false" ht="12.8" hidden="false" customHeight="false" outlineLevel="0" collapsed="false">
      <c r="A9118" s="0" t="s">
        <v>4254</v>
      </c>
      <c r="B9118" s="0" t="str">
        <f aca="false">HYPERLINK("https://lindat.mff.cuni.cz/services/teitok/pdtc10/index.php?action=vallex&amp;frame=v-w1022f1", "hanobit (v-w1022f1)")</f>
        <v>hanobit (v-w1022f1)</v>
      </c>
      <c r="E9118" s="0" t="str">
        <f aca="false">HYPERLINK("https://lindat.mff.cuni.cz/services/SynSemClass40/SynSemClass40.html?veclass=vec00230#vec00230-ces-cm00039", "vec00230")</f>
        <v>vec00230</v>
      </c>
      <c r="F9118" s="0" t="s">
        <v>4255</v>
      </c>
      <c r="H9118" s="0" t="str">
        <f aca="false">HYPERLINK("https://lindat.mff.cuni.cz/services/SynSemClass40/SynSemClass40.html?veclass=vec01192#vec01192-ces-cm00005", "vec01192")</f>
        <v>vec01192</v>
      </c>
      <c r="I9118" s="0" t="s">
        <v>2000</v>
      </c>
    </row>
    <row r="9119" customFormat="false" ht="12.8" hidden="false" customHeight="false" outlineLevel="0" collapsed="false">
      <c r="B9119" s="0" t="s">
        <v>1</v>
      </c>
      <c r="C9119" s="0" t="s">
        <v>4256</v>
      </c>
      <c r="E9119" s="0" t="s">
        <v>3750</v>
      </c>
      <c r="F9119" s="0" t="s">
        <v>4257</v>
      </c>
      <c r="H9119" s="0" t="s">
        <v>11</v>
      </c>
      <c r="I9119" s="0" t="s">
        <v>1613</v>
      </c>
    </row>
    <row r="9120" customFormat="false" ht="12.8" hidden="false" customHeight="false" outlineLevel="0" collapsed="false">
      <c r="B9120" s="0" t="s">
        <v>8</v>
      </c>
      <c r="C9120" s="0" t="s">
        <v>4258</v>
      </c>
      <c r="E9120" s="0" t="s">
        <v>4259</v>
      </c>
      <c r="F9120" s="0" t="s">
        <v>4260</v>
      </c>
      <c r="H9120" s="0" t="s">
        <v>142</v>
      </c>
      <c r="I9120" s="0" t="s">
        <v>2002</v>
      </c>
    </row>
    <row r="9122" customFormat="false" ht="12.8" hidden="false" customHeight="false" outlineLevel="0" collapsed="false">
      <c r="A9122" s="0" t="s">
        <v>4261</v>
      </c>
      <c r="B9122" s="0" t="str">
        <f aca="false">HYPERLINK("https://lindat.mff.cuni.cz/services/teitok/pdtc10/index.php?action=vallex&amp;frame=v-whsa_455hsa_456", "hanět (v-whsa_455hsa_456)")</f>
        <v>hanět (v-whsa_455hsa_456)</v>
      </c>
      <c r="E9122" s="0" t="str">
        <f aca="false">HYPERLINK("https://lindat.mff.cuni.cz/services/SynSemClass40/SynSemClass40.html?veclass=vec00620#vec00620-ces-cm00016", "vec00620")</f>
        <v>vec00620</v>
      </c>
      <c r="F9122" s="0" t="s">
        <v>4262</v>
      </c>
      <c r="H9122" s="0" t="str">
        <f aca="false">HYPERLINK("https://lindat.mff.cuni.cz/services/SynSemClass40/SynSemClass40.html?veclass=vec00707#vec00707-ces-cm00007", "vec00707")</f>
        <v>vec00707</v>
      </c>
      <c r="I9122" s="0" t="s">
        <v>4263</v>
      </c>
      <c r="K9122" s="0" t="str">
        <f aca="false">HYPERLINK("https://lindat.mff.cuni.cz/services/SynSemClass40/SynSemClass40.html?veclass=vec01192#vec01192-ces-cm00006", "vec01192")</f>
        <v>vec01192</v>
      </c>
      <c r="L9122" s="0" t="s">
        <v>2000</v>
      </c>
    </row>
    <row r="9123" customFormat="false" ht="12.8" hidden="false" customHeight="false" outlineLevel="0" collapsed="false">
      <c r="B9123" s="0" t="s">
        <v>1</v>
      </c>
      <c r="C9123" s="0" t="s">
        <v>4264</v>
      </c>
      <c r="E9123" s="0" t="s">
        <v>31</v>
      </c>
      <c r="F9123" s="0" t="s">
        <v>4265</v>
      </c>
      <c r="H9123" s="0" t="s">
        <v>2005</v>
      </c>
      <c r="I9123" s="0" t="s">
        <v>4266</v>
      </c>
      <c r="K9123" s="0" t="s">
        <v>11</v>
      </c>
      <c r="L9123" s="0" t="s">
        <v>1613</v>
      </c>
    </row>
    <row r="9124" customFormat="false" ht="12.8" hidden="false" customHeight="false" outlineLevel="0" collapsed="false">
      <c r="B9124" s="0" t="s">
        <v>8</v>
      </c>
      <c r="C9124" s="0" t="s">
        <v>4267</v>
      </c>
      <c r="E9124" s="0" t="s">
        <v>142</v>
      </c>
      <c r="F9124" s="0" t="s">
        <v>4268</v>
      </c>
      <c r="H9124" s="0" t="s">
        <v>2007</v>
      </c>
      <c r="I9124" s="0" t="s">
        <v>4269</v>
      </c>
      <c r="K9124" s="0" t="s">
        <v>142</v>
      </c>
      <c r="L9124" s="0" t="s">
        <v>2002</v>
      </c>
    </row>
    <row r="9126" customFormat="false" ht="12.8" hidden="false" customHeight="false" outlineLevel="0" collapsed="false">
      <c r="A9126" s="0" t="s">
        <v>4270</v>
      </c>
      <c r="B9126" s="0" t="str">
        <f aca="false">HYPERLINK("https://lindat.mff.cuni.cz/services/teitok/pdtc10/index.php?action=vallex&amp;frame=v-w12064_ZUf1_ZU", "haprovat (v-w12064_ZUf1_ZU)")</f>
        <v>haprovat (v-w12064_ZUf1_ZU)</v>
      </c>
    </row>
    <row r="9127" customFormat="false" ht="12.8" hidden="false" customHeight="false" outlineLevel="0" collapsed="false">
      <c r="B9127" s="0" t="s">
        <v>1</v>
      </c>
    </row>
    <row r="9128" customFormat="false" ht="12.8" hidden="false" customHeight="false" outlineLevel="0" collapsed="false">
      <c r="B9128" s="0" t="s">
        <v>883</v>
      </c>
    </row>
    <row r="9130" customFormat="false" ht="12.8" hidden="false" customHeight="false" outlineLevel="0" collapsed="false">
      <c r="A9130" s="0" t="s">
        <v>4271</v>
      </c>
      <c r="B9130" s="0" t="str">
        <f aca="false">HYPERLINK("https://lindat.mff.cuni.cz/services/teitok/pdtc10/index.php?action=vallex&amp;frame=v-w1025f1", "harmonizovat (v-w1025f1)")</f>
        <v>harmonizovat (v-w1025f1)</v>
      </c>
    </row>
    <row r="9131" customFormat="false" ht="12.8" hidden="false" customHeight="false" outlineLevel="0" collapsed="false">
      <c r="B9131" s="0" t="s">
        <v>1</v>
      </c>
    </row>
    <row r="9132" customFormat="false" ht="12.8" hidden="false" customHeight="false" outlineLevel="0" collapsed="false">
      <c r="B9132" s="0" t="s">
        <v>8</v>
      </c>
    </row>
    <row r="9133" customFormat="false" ht="12.8" hidden="false" customHeight="false" outlineLevel="0" collapsed="false">
      <c r="B9133" s="0" t="s">
        <v>3537</v>
      </c>
    </row>
    <row r="9135" customFormat="false" ht="12.8" hidden="false" customHeight="false" outlineLevel="0" collapsed="false">
      <c r="A9135" s="0" t="s">
        <v>4272</v>
      </c>
      <c r="B9135" s="0" t="str">
        <f aca="false">HYPERLINK("https://lindat.mff.cuni.cz/services/teitok/pdtc10/index.php?action=vallex&amp;frame=v-w1027f1", "harmonovat (v-w1027f1)")</f>
        <v>harmonovat (v-w1027f1)</v>
      </c>
    </row>
    <row r="9136" customFormat="false" ht="12.8" hidden="false" customHeight="false" outlineLevel="0" collapsed="false">
      <c r="B9136" s="0" t="s">
        <v>1</v>
      </c>
    </row>
    <row r="9137" customFormat="false" ht="12.8" hidden="false" customHeight="false" outlineLevel="0" collapsed="false">
      <c r="B9137" s="0" t="s">
        <v>721</v>
      </c>
    </row>
    <row r="9139" customFormat="false" ht="12.8" hidden="false" customHeight="false" outlineLevel="0" collapsed="false">
      <c r="A9139" s="0" t="s">
        <v>4273</v>
      </c>
      <c r="B9139" s="0" t="str">
        <f aca="false">HYPERLINK("https://lindat.mff.cuni.cz/services/teitok/pdtc10/index.php?action=vallex&amp;frame=v-w1029f1", "hasit (v-w1029f1)")</f>
        <v>hasit (v-w1029f1)</v>
      </c>
    </row>
    <row r="9140" customFormat="false" ht="12.8" hidden="false" customHeight="false" outlineLevel="0" collapsed="false">
      <c r="B9140" s="0" t="s">
        <v>1</v>
      </c>
    </row>
    <row r="9141" customFormat="false" ht="12.8" hidden="false" customHeight="false" outlineLevel="0" collapsed="false">
      <c r="B9141" s="0" t="s">
        <v>8</v>
      </c>
    </row>
    <row r="9143" customFormat="false" ht="12.8" hidden="false" customHeight="false" outlineLevel="0" collapsed="false">
      <c r="A9143" s="0" t="s">
        <v>4274</v>
      </c>
      <c r="B9143" s="0" t="str">
        <f aca="false">HYPERLINK("https://lindat.mff.cuni.cz/services/teitok/pdtc10/index.php?action=vallex&amp;frame=v-w12007_ZUf1_ZU", "hauzírovat (v-w12007_ZUf1_ZU)")</f>
        <v>hauzírovat (v-w12007_ZUf1_ZU)</v>
      </c>
    </row>
    <row r="9144" customFormat="false" ht="12.8" hidden="false" customHeight="false" outlineLevel="0" collapsed="false">
      <c r="B9144" s="0" t="s">
        <v>1</v>
      </c>
    </row>
    <row r="9145" customFormat="false" ht="12.8" hidden="false" customHeight="false" outlineLevel="0" collapsed="false">
      <c r="B9145" s="0" t="s">
        <v>721</v>
      </c>
    </row>
    <row r="9147" customFormat="false" ht="12.8" hidden="false" customHeight="false" outlineLevel="0" collapsed="false">
      <c r="A9147" s="0" t="s">
        <v>4275</v>
      </c>
      <c r="B9147" s="0" t="str">
        <f aca="false">HYPERLINK("https://lindat.mff.cuni.cz/services/teitok/pdtc10/index.php?action=vallex&amp;frame=v-w1032f1", "havarovat (v-w1032f1)")</f>
        <v>havarovat (v-w1032f1)</v>
      </c>
    </row>
    <row r="9148" customFormat="false" ht="12.8" hidden="false" customHeight="false" outlineLevel="0" collapsed="false">
      <c r="B9148" s="0" t="s">
        <v>1</v>
      </c>
    </row>
    <row r="9150" customFormat="false" ht="12.8" hidden="false" customHeight="false" outlineLevel="0" collapsed="false">
      <c r="A9150" s="0" t="s">
        <v>4276</v>
      </c>
      <c r="B9150" s="0" t="str">
        <f aca="false">HYPERLINK("https://lindat.mff.cuni.cz/services/teitok/pdtc10/index.php?action=vallex&amp;frame=v-w1034f1", "hazardovat (v-w1034f1)")</f>
        <v>hazardovat (v-w1034f1)</v>
      </c>
    </row>
    <row r="9151" customFormat="false" ht="12.8" hidden="false" customHeight="false" outlineLevel="0" collapsed="false">
      <c r="B9151" s="0" t="s">
        <v>1</v>
      </c>
    </row>
    <row r="9152" customFormat="false" ht="12.8" hidden="false" customHeight="false" outlineLevel="0" collapsed="false">
      <c r="B9152" s="0" t="s">
        <v>4277</v>
      </c>
    </row>
    <row r="9154" customFormat="false" ht="12.8" hidden="false" customHeight="false" outlineLevel="0" collapsed="false">
      <c r="A9154" s="0" t="s">
        <v>4278</v>
      </c>
      <c r="B9154" s="0" t="str">
        <f aca="false">HYPERLINK("https://lindat.mff.cuni.cz/services/teitok/pdtc10/index.php?action=vallex&amp;frame=v-w11380f1", "hašteřit se (v-w11380f1)")</f>
        <v>hašteřit se (v-w11380f1)</v>
      </c>
    </row>
    <row r="9155" customFormat="false" ht="12.8" hidden="false" customHeight="false" outlineLevel="0" collapsed="false">
      <c r="B9155" s="0" t="s">
        <v>1</v>
      </c>
    </row>
    <row r="9156" customFormat="false" ht="12.8" hidden="false" customHeight="false" outlineLevel="0" collapsed="false">
      <c r="B9156" s="0" t="s">
        <v>276</v>
      </c>
    </row>
    <row r="9157" customFormat="false" ht="12.8" hidden="false" customHeight="false" outlineLevel="0" collapsed="false">
      <c r="B9157" s="0" t="s">
        <v>4253</v>
      </c>
    </row>
    <row r="9159" customFormat="false" ht="12.8" hidden="false" customHeight="false" outlineLevel="0" collapsed="false">
      <c r="A9159" s="0" t="s">
        <v>4279</v>
      </c>
      <c r="B9159" s="0" t="str">
        <f aca="false">HYPERLINK("https://lindat.mff.cuni.cz/services/teitok/pdtc10/index.php?action=vallex&amp;frame=v-w1037f1", "hecovat (v-w1037f1)")</f>
        <v>hecovat (v-w1037f1)</v>
      </c>
    </row>
    <row r="9160" customFormat="false" ht="12.8" hidden="false" customHeight="false" outlineLevel="0" collapsed="false">
      <c r="B9160" s="0" t="s">
        <v>1</v>
      </c>
    </row>
    <row r="9161" customFormat="false" ht="12.8" hidden="false" customHeight="false" outlineLevel="0" collapsed="false">
      <c r="B9161" s="0" t="s">
        <v>8</v>
      </c>
    </row>
    <row r="9163" customFormat="false" ht="12.8" hidden="false" customHeight="false" outlineLevel="0" collapsed="false">
      <c r="A9163" s="0" t="s">
        <v>4280</v>
      </c>
      <c r="B9163" s="0" t="str">
        <f aca="false">HYPERLINK("https://lindat.mff.cuni.cz/services/teitok/pdtc10/index.php?action=vallex&amp;frame=v-w1037f2_ZU", "hecovat (v-w1037f2_ZU)")</f>
        <v>hecovat (v-w1037f2_ZU)</v>
      </c>
    </row>
    <row r="9164" customFormat="false" ht="12.8" hidden="false" customHeight="false" outlineLevel="0" collapsed="false">
      <c r="B9164" s="0" t="s">
        <v>1</v>
      </c>
    </row>
    <row r="9165" customFormat="false" ht="12.8" hidden="false" customHeight="false" outlineLevel="0" collapsed="false">
      <c r="B9165" s="0" t="s">
        <v>98</v>
      </c>
    </row>
    <row r="9166" customFormat="false" ht="12.8" hidden="false" customHeight="false" outlineLevel="0" collapsed="false">
      <c r="B9166" s="0" t="s">
        <v>4281</v>
      </c>
    </row>
    <row r="9168" customFormat="false" ht="12.8" hidden="false" customHeight="false" outlineLevel="0" collapsed="false">
      <c r="A9168" s="0" t="s">
        <v>4282</v>
      </c>
      <c r="B9168" s="0" t="str">
        <f aca="false">HYPERLINK("https://lindat.mff.cuni.cz/services/teitok/pdtc10/index.php?action=vallex&amp;frame=v-w11512_ZUf1_ZU", "hejbat se (v-w11512_ZUf1_ZU)")</f>
        <v>hejbat se (v-w11512_ZUf1_ZU)</v>
      </c>
    </row>
    <row r="9169" customFormat="false" ht="12.8" hidden="false" customHeight="false" outlineLevel="0" collapsed="false">
      <c r="B9169" s="0" t="s">
        <v>1</v>
      </c>
    </row>
    <row r="9171" customFormat="false" ht="12.8" hidden="false" customHeight="false" outlineLevel="0" collapsed="false">
      <c r="A9171" s="0" t="s">
        <v>4283</v>
      </c>
      <c r="B9171" s="0" t="str">
        <f aca="false">HYPERLINK("https://lindat.mff.cuni.cz/services/teitok/pdtc10/index.php?action=vallex&amp;frame=v-w1040f1", "hemžit se (v-w1040f1)")</f>
        <v>hemžit se (v-w1040f1)</v>
      </c>
    </row>
    <row r="9172" customFormat="false" ht="12.8" hidden="false" customHeight="false" outlineLevel="0" collapsed="false">
      <c r="B9172" s="0" t="s">
        <v>1</v>
      </c>
    </row>
    <row r="9173" customFormat="false" ht="12.8" hidden="false" customHeight="false" outlineLevel="0" collapsed="false">
      <c r="B9173" s="0" t="s">
        <v>286</v>
      </c>
    </row>
    <row r="9175" customFormat="false" ht="12.8" hidden="false" customHeight="false" outlineLevel="0" collapsed="false">
      <c r="A9175" s="0" t="s">
        <v>4284</v>
      </c>
      <c r="B9175" s="0" t="str">
        <f aca="false">HYPERLINK("https://lindat.mff.cuni.cz/services/teitok/pdtc10/index.php?action=vallex&amp;frame=v-w1040f2", "hemžit se (v-w1040f2)")</f>
        <v>hemžit se (v-w1040f2)</v>
      </c>
    </row>
    <row r="9176" customFormat="false" ht="12.8" hidden="false" customHeight="false" outlineLevel="0" collapsed="false">
      <c r="B9176" s="0" t="s">
        <v>1</v>
      </c>
    </row>
    <row r="9178" customFormat="false" ht="12.8" hidden="false" customHeight="false" outlineLevel="0" collapsed="false">
      <c r="A9178" s="0" t="s">
        <v>4285</v>
      </c>
      <c r="B9178" s="0" t="str">
        <f aca="false">HYPERLINK("https://lindat.mff.cuni.cz/services/teitok/pdtc10/index.php?action=vallex&amp;frame=v-w1040f3_ZU", "hemžit se (v-w1040f3_ZU)")</f>
        <v>hemžit se (v-w1040f3_ZU)</v>
      </c>
    </row>
    <row r="9179" customFormat="false" ht="12.8" hidden="false" customHeight="false" outlineLevel="0" collapsed="false">
      <c r="B9179" s="0" t="s">
        <v>4286</v>
      </c>
    </row>
    <row r="9180" customFormat="false" ht="12.8" hidden="false" customHeight="false" outlineLevel="0" collapsed="false">
      <c r="B9180" s="0" t="s">
        <v>4287</v>
      </c>
    </row>
    <row r="9182" customFormat="false" ht="12.8" hidden="false" customHeight="false" outlineLevel="0" collapsed="false">
      <c r="A9182" s="0" t="s">
        <v>4285</v>
      </c>
      <c r="B9182" s="0" t="str">
        <f aca="false">HYPERLINK("https://lindat.mff.cuni.cz/services/teitok/pdtc10/index.php?action=vallex&amp;frame=v-w1040hsa_522", "hemžit se (v-w1040hsa_522) - substituted with v-w1040f3_ZU")</f>
        <v>hemžit se (v-w1040hsa_522) - substituted with v-w1040f3_ZU</v>
      </c>
    </row>
    <row r="9183" customFormat="false" ht="12.8" hidden="false" customHeight="false" outlineLevel="0" collapsed="false">
      <c r="B9183" s="0" t="s">
        <v>4286</v>
      </c>
    </row>
    <row r="9184" customFormat="false" ht="12.8" hidden="false" customHeight="false" outlineLevel="0" collapsed="false">
      <c r="B9184" s="0" t="s">
        <v>4287</v>
      </c>
    </row>
    <row r="9186" customFormat="false" ht="12.8" hidden="false" customHeight="false" outlineLevel="0" collapsed="false">
      <c r="A9186" s="0" t="s">
        <v>4288</v>
      </c>
      <c r="B9186" s="0" t="str">
        <f aca="false">HYPERLINK("https://lindat.mff.cuni.cz/services/teitok/pdtc10/index.php?action=vallex&amp;frame=v-w10949f2", "hladit (v-w10949f2)")</f>
        <v>hladit (v-w10949f2)</v>
      </c>
    </row>
    <row r="9187" customFormat="false" ht="12.8" hidden="false" customHeight="false" outlineLevel="0" collapsed="false">
      <c r="B9187" s="0" t="s">
        <v>1</v>
      </c>
    </row>
    <row r="9188" customFormat="false" ht="12.8" hidden="false" customHeight="false" outlineLevel="0" collapsed="false">
      <c r="B9188" s="0" t="s">
        <v>8</v>
      </c>
    </row>
    <row r="9190" customFormat="false" ht="12.8" hidden="false" customHeight="false" outlineLevel="0" collapsed="false">
      <c r="A9190" s="0" t="s">
        <v>4289</v>
      </c>
      <c r="B9190" s="0" t="str">
        <f aca="false">HYPERLINK("https://lindat.mff.cuni.cz/services/teitok/pdtc10/index.php?action=vallex&amp;frame=v-w1045f2", "hladovět (v-w1045f2)")</f>
        <v>hladovět (v-w1045f2)</v>
      </c>
    </row>
    <row r="9191" customFormat="false" ht="12.8" hidden="false" customHeight="false" outlineLevel="0" collapsed="false">
      <c r="B9191" s="0" t="s">
        <v>1</v>
      </c>
    </row>
    <row r="9192" customFormat="false" ht="12.8" hidden="false" customHeight="false" outlineLevel="0" collapsed="false">
      <c r="B9192" s="0" t="s">
        <v>1659</v>
      </c>
    </row>
    <row r="9194" customFormat="false" ht="12.8" hidden="false" customHeight="false" outlineLevel="0" collapsed="false">
      <c r="A9194" s="0" t="s">
        <v>4290</v>
      </c>
      <c r="B9194" s="0" t="str">
        <f aca="false">HYPERLINK("https://lindat.mff.cuni.cz/services/teitok/pdtc10/index.php?action=vallex&amp;frame=v-w1045f1", "hladovět (v-w1045f1)")</f>
        <v>hladovět (v-w1045f1)</v>
      </c>
    </row>
    <row r="9195" customFormat="false" ht="12.8" hidden="false" customHeight="false" outlineLevel="0" collapsed="false">
      <c r="B9195" s="0" t="s">
        <v>1</v>
      </c>
    </row>
    <row r="9197" customFormat="false" ht="12.8" hidden="false" customHeight="false" outlineLevel="0" collapsed="false">
      <c r="A9197" s="0" t="s">
        <v>4291</v>
      </c>
      <c r="B9197" s="0" t="str">
        <f aca="false">HYPERLINK("https://lindat.mff.cuni.cz/services/teitok/pdtc10/index.php?action=vallex&amp;frame=v-w1053f3", "hlasovat (v-w1053f3)")</f>
        <v>hlasovat (v-w1053f3)</v>
      </c>
    </row>
    <row r="9198" customFormat="false" ht="12.8" hidden="false" customHeight="false" outlineLevel="0" collapsed="false">
      <c r="B9198" s="0" t="s">
        <v>1</v>
      </c>
    </row>
    <row r="9199" customFormat="false" ht="12.8" hidden="false" customHeight="false" outlineLevel="0" collapsed="false">
      <c r="B9199" s="0" t="s">
        <v>8</v>
      </c>
    </row>
    <row r="9201" customFormat="false" ht="12.8" hidden="false" customHeight="false" outlineLevel="0" collapsed="false">
      <c r="A9201" s="0" t="s">
        <v>4292</v>
      </c>
      <c r="B9201" s="0" t="str">
        <f aca="false">HYPERLINK("https://lindat.mff.cuni.cz/services/teitok/pdtc10/index.php?action=vallex&amp;frame=v-w1053f4_ZU", "hlasovat (v-w1053f4_ZU)")</f>
        <v>hlasovat (v-w1053f4_ZU)</v>
      </c>
      <c r="E9201" s="0" t="str">
        <f aca="false">HYPERLINK("https://lindat.mff.cuni.cz/services/SynSemClass40/SynSemClass40.html?veclass=vec00020#vec00020-ces-cm00001", "vec00020")</f>
        <v>vec00020</v>
      </c>
      <c r="F9201" s="0" t="s">
        <v>4293</v>
      </c>
    </row>
    <row r="9202" customFormat="false" ht="12.8" hidden="false" customHeight="false" outlineLevel="0" collapsed="false">
      <c r="B9202" s="0" t="s">
        <v>1</v>
      </c>
      <c r="C9202" s="0" t="s">
        <v>4294</v>
      </c>
      <c r="E9202" s="0" t="s">
        <v>31</v>
      </c>
      <c r="F9202" s="0" t="s">
        <v>4295</v>
      </c>
    </row>
    <row r="9203" customFormat="false" ht="12.8" hidden="false" customHeight="false" outlineLevel="0" collapsed="false">
      <c r="B9203" s="0" t="s">
        <v>4296</v>
      </c>
      <c r="C9203" s="0" t="s">
        <v>1398</v>
      </c>
      <c r="E9203" s="0" t="s">
        <v>4297</v>
      </c>
      <c r="F9203" s="0" t="s">
        <v>4298</v>
      </c>
    </row>
    <row r="9205" customFormat="false" ht="12.8" hidden="false" customHeight="false" outlineLevel="0" collapsed="false">
      <c r="A9205" s="0" t="s">
        <v>4292</v>
      </c>
      <c r="B9205" s="0" t="str">
        <f aca="false">HYPERLINK("https://lindat.mff.cuni.cz/services/teitok/pdtc10/index.php?action=vallex&amp;frame=v-w1053f2", "hlasovat (v-w1053f2) - substituted with v-w1053f4_ZU")</f>
        <v>hlasovat (v-w1053f2) - substituted with v-w1053f4_ZU</v>
      </c>
    </row>
    <row r="9206" customFormat="false" ht="12.8" hidden="false" customHeight="false" outlineLevel="0" collapsed="false">
      <c r="B9206" s="0" t="s">
        <v>1</v>
      </c>
    </row>
    <row r="9207" customFormat="false" ht="12.8" hidden="false" customHeight="false" outlineLevel="0" collapsed="false">
      <c r="B9207" s="0" t="s">
        <v>4296</v>
      </c>
    </row>
    <row r="9209" customFormat="false" ht="12.8" hidden="false" customHeight="false" outlineLevel="0" collapsed="false">
      <c r="A9209" s="0" t="s">
        <v>4299</v>
      </c>
      <c r="B9209" s="0" t="str">
        <f aca="false">HYPERLINK("https://lindat.mff.cuni.cz/services/teitok/pdtc10/index.php?action=vallex&amp;frame=v-w1053f5_ZU", "hlasovat (v-w1053f5_ZU)")</f>
        <v>hlasovat (v-w1053f5_ZU)</v>
      </c>
      <c r="E9209" s="0" t="str">
        <f aca="false">HYPERLINK("https://lindat.mff.cuni.cz/services/SynSemClass40/SynSemClass40.html?veclass=vec00069#vec00069-ces-cm00006", "vec00069")</f>
        <v>vec00069</v>
      </c>
      <c r="F9209" s="0" t="s">
        <v>4300</v>
      </c>
      <c r="H9209" s="0" t="str">
        <f aca="false">HYPERLINK("https://lindat.mff.cuni.cz/services/SynSemClass40/SynSemClass40.html?veclass=vec00461#vec00461-ces-cm00004", "vec00461")</f>
        <v>vec00461</v>
      </c>
      <c r="I9209" s="0" t="s">
        <v>476</v>
      </c>
    </row>
    <row r="9210" customFormat="false" ht="12.8" hidden="false" customHeight="false" outlineLevel="0" collapsed="false">
      <c r="B9210" s="0" t="s">
        <v>1</v>
      </c>
      <c r="C9210" s="0" t="s">
        <v>4301</v>
      </c>
      <c r="E9210" s="0" t="s">
        <v>3021</v>
      </c>
      <c r="F9210" s="0" t="s">
        <v>4302</v>
      </c>
      <c r="H9210" s="0" t="s">
        <v>478</v>
      </c>
      <c r="I9210" s="0" t="s">
        <v>479</v>
      </c>
    </row>
    <row r="9211" customFormat="false" ht="12.8" hidden="false" customHeight="false" outlineLevel="0" collapsed="false">
      <c r="B9211" s="0" t="s">
        <v>4303</v>
      </c>
      <c r="C9211" s="0" t="s">
        <v>4304</v>
      </c>
      <c r="E9211" s="0" t="s">
        <v>3023</v>
      </c>
      <c r="F9211" s="0" t="s">
        <v>4305</v>
      </c>
      <c r="H9211" s="0" t="s">
        <v>4306</v>
      </c>
      <c r="I9211" s="0" t="s">
        <v>4307</v>
      </c>
    </row>
    <row r="9213" customFormat="false" ht="12.8" hidden="false" customHeight="false" outlineLevel="0" collapsed="false">
      <c r="A9213" s="0" t="s">
        <v>4299</v>
      </c>
      <c r="B9213" s="0" t="str">
        <f aca="false">HYPERLINK("https://lindat.mff.cuni.cz/services/teitok/pdtc10/index.php?action=vallex&amp;frame=v-w1053f1", "hlasovat (v-w1053f1) - substituted with v-w1053f5_ZU")</f>
        <v>hlasovat (v-w1053f1) - substituted with v-w1053f5_ZU</v>
      </c>
    </row>
    <row r="9214" customFormat="false" ht="12.8" hidden="false" customHeight="false" outlineLevel="0" collapsed="false">
      <c r="B9214" s="0" t="s">
        <v>1</v>
      </c>
    </row>
    <row r="9215" customFormat="false" ht="12.8" hidden="false" customHeight="false" outlineLevel="0" collapsed="false">
      <c r="B9215" s="0" t="s">
        <v>4303</v>
      </c>
    </row>
    <row r="9217" customFormat="false" ht="12.8" hidden="false" customHeight="false" outlineLevel="0" collapsed="false">
      <c r="A9217" s="0" t="s">
        <v>4308</v>
      </c>
      <c r="B9217" s="0" t="str">
        <f aca="false">HYPERLINK("https://lindat.mff.cuni.cz/services/teitok/pdtc10/index.php?action=vallex&amp;frame=v-w1055f1", "hlavičkovat (v-w1055f1)")</f>
        <v>hlavičkovat (v-w1055f1)</v>
      </c>
    </row>
    <row r="9218" customFormat="false" ht="12.8" hidden="false" customHeight="false" outlineLevel="0" collapsed="false">
      <c r="B9218" s="0" t="s">
        <v>1</v>
      </c>
    </row>
    <row r="9220" customFormat="false" ht="12.8" hidden="false" customHeight="false" outlineLevel="0" collapsed="false">
      <c r="A9220" s="0" t="s">
        <v>4309</v>
      </c>
      <c r="B9220" s="0" t="str">
        <f aca="false">HYPERLINK("https://lindat.mff.cuni.cz/services/teitok/pdtc10/index.php?action=vallex&amp;frame=v-w1058f3", "hledat (v-w1058f3)")</f>
        <v>hledat (v-w1058f3)</v>
      </c>
    </row>
    <row r="9221" customFormat="false" ht="12.8" hidden="false" customHeight="false" outlineLevel="0" collapsed="false">
      <c r="B9221" s="0" t="s">
        <v>1</v>
      </c>
    </row>
    <row r="9222" customFormat="false" ht="12.8" hidden="false" customHeight="false" outlineLevel="0" collapsed="false">
      <c r="B9222" s="0" t="s">
        <v>8</v>
      </c>
    </row>
    <row r="9223" customFormat="false" ht="12.8" hidden="false" customHeight="false" outlineLevel="0" collapsed="false">
      <c r="B9223" s="0" t="s">
        <v>5</v>
      </c>
    </row>
    <row r="9225" customFormat="false" ht="12.8" hidden="false" customHeight="false" outlineLevel="0" collapsed="false">
      <c r="A9225" s="0" t="s">
        <v>4310</v>
      </c>
      <c r="B9225" s="0" t="str">
        <f aca="false">HYPERLINK("https://lindat.mff.cuni.cz/services/teitok/pdtc10/index.php?action=vallex&amp;frame=v-w1058f2", "hledat (v-w1058f2)")</f>
        <v>hledat (v-w1058f2)</v>
      </c>
      <c r="E9225" s="0" t="str">
        <f aca="false">HYPERLINK("https://lindat.mff.cuni.cz/services/SynSemClass40/SynSemClass40.html?veclass=vec00021#vec00021-ces-cm00001", "vec00021")</f>
        <v>vec00021</v>
      </c>
      <c r="F9225" s="0" t="s">
        <v>2261</v>
      </c>
    </row>
    <row r="9226" customFormat="false" ht="12.8" hidden="false" customHeight="false" outlineLevel="0" collapsed="false">
      <c r="B9226" s="0" t="s">
        <v>1</v>
      </c>
      <c r="C9226" s="0" t="s">
        <v>2262</v>
      </c>
      <c r="E9226" s="0" t="s">
        <v>2263</v>
      </c>
      <c r="F9226" s="0" t="s">
        <v>2264</v>
      </c>
    </row>
    <row r="9227" customFormat="false" ht="12.8" hidden="false" customHeight="false" outlineLevel="0" collapsed="false">
      <c r="B9227" s="0" t="s">
        <v>4311</v>
      </c>
      <c r="C9227" s="0" t="s">
        <v>2266</v>
      </c>
      <c r="E9227" s="0" t="s">
        <v>2267</v>
      </c>
      <c r="F9227" s="0" t="s">
        <v>2268</v>
      </c>
    </row>
    <row r="9229" customFormat="false" ht="12.8" hidden="false" customHeight="false" outlineLevel="0" collapsed="false">
      <c r="A9229" s="0" t="s">
        <v>4312</v>
      </c>
      <c r="B9229" s="0" t="str">
        <f aca="false">HYPERLINK("https://lindat.mff.cuni.cz/services/teitok/pdtc10/index.php?action=vallex&amp;frame=v-w1058f4_ZU", "hledat (v-w1058f4_ZU)")</f>
        <v>hledat (v-w1058f4_ZU)</v>
      </c>
    </row>
    <row r="9230" customFormat="false" ht="12.8" hidden="false" customHeight="false" outlineLevel="0" collapsed="false">
      <c r="B9230" s="0" t="s">
        <v>1</v>
      </c>
    </row>
    <row r="9231" customFormat="false" ht="12.8" hidden="false" customHeight="false" outlineLevel="0" collapsed="false">
      <c r="B9231" s="0" t="s">
        <v>305</v>
      </c>
    </row>
    <row r="9233" customFormat="false" ht="12.8" hidden="false" customHeight="false" outlineLevel="0" collapsed="false">
      <c r="A9233" s="0" t="s">
        <v>4312</v>
      </c>
      <c r="B9233" s="0" t="str">
        <f aca="false">HYPERLINK("https://lindat.mff.cuni.cz/services/teitok/pdtc10/index.php?action=vallex&amp;frame=v-w1058f1", "hledat (v-w1058f1) - substituted with v-w1058f4_ZU")</f>
        <v>hledat (v-w1058f1) - substituted with v-w1058f4_ZU</v>
      </c>
      <c r="E9233" s="0" t="str">
        <f aca="false">HYPERLINK("https://lindat.mff.cuni.cz/services/SynSemClass40/SynSemClass40.html?veclass=vec00021#vec00021-ces-cm00009", "vec00021")</f>
        <v>vec00021</v>
      </c>
      <c r="F9233" s="0" t="s">
        <v>2261</v>
      </c>
    </row>
    <row r="9234" customFormat="false" ht="12.8" hidden="false" customHeight="false" outlineLevel="0" collapsed="false">
      <c r="B9234" s="0" t="s">
        <v>1</v>
      </c>
      <c r="C9234" s="0" t="s">
        <v>2262</v>
      </c>
      <c r="E9234" s="0" t="s">
        <v>2263</v>
      </c>
      <c r="F9234" s="0" t="s">
        <v>2264</v>
      </c>
    </row>
    <row r="9235" customFormat="false" ht="12.8" hidden="false" customHeight="false" outlineLevel="0" collapsed="false">
      <c r="B9235" s="0" t="s">
        <v>305</v>
      </c>
      <c r="C9235" s="0" t="s">
        <v>2266</v>
      </c>
      <c r="E9235" s="0" t="s">
        <v>2267</v>
      </c>
      <c r="F9235" s="0" t="s">
        <v>2268</v>
      </c>
    </row>
    <row r="9237" customFormat="false" ht="12.8" hidden="false" customHeight="false" outlineLevel="0" collapsed="false">
      <c r="A9237" s="0" t="s">
        <v>4313</v>
      </c>
      <c r="B9237" s="0" t="str">
        <f aca="false">HYPERLINK("https://lindat.mff.cuni.cz/services/teitok/pdtc10/index.php?action=vallex&amp;frame=v-w1059f3", "hledět (v-w1059f3)")</f>
        <v>hledět (v-w1059f3)</v>
      </c>
      <c r="E9237" s="0" t="str">
        <f aca="false">HYPERLINK("https://lindat.mff.cuni.cz/services/SynSemClass40/SynSemClass40.html?veclass=vec00310#vec00310-ces-cm00117", "vec00310")</f>
        <v>vec00310</v>
      </c>
      <c r="F9237" s="0" t="s">
        <v>3839</v>
      </c>
    </row>
    <row r="9238" customFormat="false" ht="12.8" hidden="false" customHeight="false" outlineLevel="0" collapsed="false">
      <c r="B9238" s="0" t="s">
        <v>1</v>
      </c>
      <c r="C9238" s="0" t="s">
        <v>1745</v>
      </c>
      <c r="E9238" s="0" t="s">
        <v>3840</v>
      </c>
      <c r="F9238" s="0" t="s">
        <v>3841</v>
      </c>
    </row>
    <row r="9239" customFormat="false" ht="12.8" hidden="false" customHeight="false" outlineLevel="0" collapsed="false">
      <c r="B9239" s="0" t="s">
        <v>1679</v>
      </c>
      <c r="C9239" s="0" t="s">
        <v>571</v>
      </c>
      <c r="E9239" s="0" t="s">
        <v>180</v>
      </c>
      <c r="F9239" s="0" t="s">
        <v>3842</v>
      </c>
    </row>
    <row r="9241" customFormat="false" ht="12.8" hidden="false" customHeight="false" outlineLevel="0" collapsed="false">
      <c r="A9241" s="0" t="s">
        <v>4314</v>
      </c>
      <c r="B9241" s="0" t="str">
        <f aca="false">HYPERLINK("https://lindat.mff.cuni.cz/services/teitok/pdtc10/index.php?action=vallex&amp;frame=v-w1059f2", "hledět (v-w1059f2)")</f>
        <v>hledět (v-w1059f2)</v>
      </c>
    </row>
    <row r="9242" customFormat="false" ht="12.8" hidden="false" customHeight="false" outlineLevel="0" collapsed="false">
      <c r="B9242" s="0" t="s">
        <v>1</v>
      </c>
    </row>
    <row r="9243" customFormat="false" ht="12.8" hidden="false" customHeight="false" outlineLevel="0" collapsed="false">
      <c r="B9243" s="0" t="s">
        <v>45</v>
      </c>
    </row>
    <row r="9245" customFormat="false" ht="12.8" hidden="false" customHeight="false" outlineLevel="0" collapsed="false">
      <c r="A9245" s="0" t="s">
        <v>4315</v>
      </c>
      <c r="B9245" s="0" t="str">
        <f aca="false">HYPERLINK("https://lindat.mff.cuni.cz/services/teitok/pdtc10/index.php?action=vallex&amp;frame=v-w1059f4", "hledět (v-w1059f4)")</f>
        <v>hledět (v-w1059f4)</v>
      </c>
      <c r="E9245" s="0" t="str">
        <f aca="false">HYPERLINK("https://lindat.mff.cuni.cz/services/SynSemClass40/SynSemClass40.html?veclass=vec00402#vec00402-ces-cm00155", "vec00402")</f>
        <v>vec00402</v>
      </c>
      <c r="F9245" s="0" t="s">
        <v>619</v>
      </c>
    </row>
    <row r="9246" customFormat="false" ht="12.8" hidden="false" customHeight="false" outlineLevel="0" collapsed="false">
      <c r="B9246" s="0" t="s">
        <v>1</v>
      </c>
      <c r="C9246" s="0" t="s">
        <v>620</v>
      </c>
      <c r="E9246" s="0" t="s">
        <v>621</v>
      </c>
      <c r="F9246" s="0" t="s">
        <v>622</v>
      </c>
    </row>
    <row r="9247" customFormat="false" ht="12.8" hidden="false" customHeight="false" outlineLevel="0" collapsed="false">
      <c r="B9247" s="0" t="s">
        <v>45</v>
      </c>
      <c r="C9247" s="0" t="s">
        <v>623</v>
      </c>
      <c r="E9247" s="0" t="s">
        <v>180</v>
      </c>
      <c r="F9247" s="0" t="s">
        <v>624</v>
      </c>
    </row>
    <row r="9248" customFormat="false" ht="12.8" hidden="false" customHeight="false" outlineLevel="0" collapsed="false">
      <c r="B9248" s="0" t="s">
        <v>642</v>
      </c>
      <c r="C9248" s="0" t="s">
        <v>3848</v>
      </c>
      <c r="E9248" s="0" t="s">
        <v>4316</v>
      </c>
      <c r="F9248" s="0" t="s">
        <v>4317</v>
      </c>
    </row>
    <row r="9249" customFormat="false" ht="12.8" hidden="false" customHeight="false" outlineLevel="0" collapsed="false">
      <c r="B9249" s="0" t="s">
        <v>648</v>
      </c>
      <c r="C9249" s="0" t="s">
        <v>3849</v>
      </c>
      <c r="E9249" s="0" t="s">
        <v>4316</v>
      </c>
      <c r="F9249" s="0" t="s">
        <v>4317</v>
      </c>
    </row>
    <row r="9250" customFormat="false" ht="12.8" hidden="false" customHeight="false" outlineLevel="0" collapsed="false">
      <c r="B9250" s="0" t="s">
        <v>650</v>
      </c>
      <c r="C9250" s="0" t="s">
        <v>3850</v>
      </c>
      <c r="E9250" s="0" t="s">
        <v>4316</v>
      </c>
      <c r="F9250" s="0" t="s">
        <v>4317</v>
      </c>
    </row>
    <row r="9251" customFormat="false" ht="12.8" hidden="false" customHeight="false" outlineLevel="0" collapsed="false">
      <c r="B9251" s="0" t="s">
        <v>652</v>
      </c>
      <c r="C9251" s="0" t="s">
        <v>3851</v>
      </c>
      <c r="E9251" s="0" t="s">
        <v>4316</v>
      </c>
      <c r="F9251" s="0" t="s">
        <v>4317</v>
      </c>
    </row>
    <row r="9253" customFormat="false" ht="12.8" hidden="false" customHeight="false" outlineLevel="0" collapsed="false">
      <c r="A9253" s="0" t="s">
        <v>4318</v>
      </c>
      <c r="B9253" s="0" t="str">
        <f aca="false">HYPERLINK("https://lindat.mff.cuni.cz/services/teitok/pdtc10/index.php?action=vallex&amp;frame=v-w1059f1", "hledět (v-w1059f1)")</f>
        <v>hledět (v-w1059f1)</v>
      </c>
      <c r="E9253" s="0" t="str">
        <f aca="false">HYPERLINK("https://lindat.mff.cuni.cz/services/SynSemClass40/SynSemClass40.html?veclass=vec00869#vec00869-ces-cm00045", "vec00869")</f>
        <v>vec00869</v>
      </c>
      <c r="F9253" s="0" t="s">
        <v>3855</v>
      </c>
    </row>
    <row r="9254" customFormat="false" ht="12.8" hidden="false" customHeight="false" outlineLevel="0" collapsed="false">
      <c r="B9254" s="0" t="s">
        <v>1</v>
      </c>
      <c r="C9254" s="0" t="s">
        <v>3727</v>
      </c>
      <c r="E9254" s="0" t="s">
        <v>3856</v>
      </c>
      <c r="F9254" s="0" t="s">
        <v>3857</v>
      </c>
    </row>
    <row r="9255" customFormat="false" ht="12.8" hidden="false" customHeight="false" outlineLevel="0" collapsed="false">
      <c r="B9255" s="0" t="s">
        <v>164</v>
      </c>
      <c r="C9255" s="0" t="s">
        <v>3858</v>
      </c>
      <c r="E9255" s="0" t="s">
        <v>388</v>
      </c>
      <c r="F9255" s="0" t="s">
        <v>3859</v>
      </c>
    </row>
    <row r="9257" customFormat="false" ht="12.8" hidden="false" customHeight="false" outlineLevel="0" collapsed="false">
      <c r="A9257" s="0" t="s">
        <v>4319</v>
      </c>
      <c r="B9257" s="0" t="str">
        <f aca="false">HYPERLINK("https://lindat.mff.cuni.cz/services/teitok/pdtc10/index.php?action=vallex&amp;frame=v-w1059hsa_593", "hledět (v-w1059hsa_593)")</f>
        <v>hledět (v-w1059hsa_593)</v>
      </c>
    </row>
    <row r="9258" customFormat="false" ht="12.8" hidden="false" customHeight="false" outlineLevel="0" collapsed="false">
      <c r="B9258" s="0" t="s">
        <v>1</v>
      </c>
    </row>
    <row r="9259" customFormat="false" ht="12.8" hidden="false" customHeight="false" outlineLevel="0" collapsed="false">
      <c r="B9259" s="0" t="s">
        <v>4320</v>
      </c>
    </row>
    <row r="9261" customFormat="false" ht="12.8" hidden="false" customHeight="false" outlineLevel="0" collapsed="false">
      <c r="A9261" s="0" t="s">
        <v>4321</v>
      </c>
      <c r="B9261" s="0" t="str">
        <f aca="false">HYPERLINK("https://lindat.mff.cuni.cz/services/teitok/pdtc10/index.php?action=vallex&amp;frame=v-w1060f1", "hledět si (v-w1060f1)")</f>
        <v>hledět si (v-w1060f1)</v>
      </c>
    </row>
    <row r="9262" customFormat="false" ht="12.8" hidden="false" customHeight="false" outlineLevel="0" collapsed="false">
      <c r="B9262" s="0" t="s">
        <v>1</v>
      </c>
    </row>
    <row r="9263" customFormat="false" ht="12.8" hidden="false" customHeight="false" outlineLevel="0" collapsed="false">
      <c r="B9263" s="0" t="s">
        <v>1289</v>
      </c>
    </row>
    <row r="9265" customFormat="false" ht="12.8" hidden="false" customHeight="false" outlineLevel="0" collapsed="false">
      <c r="A9265" s="0" t="s">
        <v>4322</v>
      </c>
      <c r="B9265" s="0" t="str">
        <f aca="false">HYPERLINK("https://lindat.mff.cuni.cz/services/teitok/pdtc10/index.php?action=vallex&amp;frame=v-w10577f2", "hloubat (v-w10577f2)")</f>
        <v>hloubat (v-w10577f2)</v>
      </c>
    </row>
    <row r="9266" customFormat="false" ht="12.8" hidden="false" customHeight="false" outlineLevel="0" collapsed="false">
      <c r="B9266" s="0" t="s">
        <v>1</v>
      </c>
    </row>
    <row r="9267" customFormat="false" ht="12.8" hidden="false" customHeight="false" outlineLevel="0" collapsed="false">
      <c r="B9267" s="0" t="s">
        <v>3363</v>
      </c>
    </row>
    <row r="9269" customFormat="false" ht="12.8" hidden="false" customHeight="false" outlineLevel="0" collapsed="false">
      <c r="A9269" s="0" t="s">
        <v>4323</v>
      </c>
      <c r="B9269" s="0" t="str">
        <f aca="false">HYPERLINK("https://lindat.mff.cuni.cz/services/teitok/pdtc10/index.php?action=vallex&amp;frame=v-w12340_MMf1_MM", "hloubit (v-w12340_MMf1_MM)")</f>
        <v>hloubit (v-w12340_MMf1_MM)</v>
      </c>
    </row>
    <row r="9270" customFormat="false" ht="12.8" hidden="false" customHeight="false" outlineLevel="0" collapsed="false">
      <c r="B9270" s="0" t="s">
        <v>1</v>
      </c>
    </row>
    <row r="9271" customFormat="false" ht="12.8" hidden="false" customHeight="false" outlineLevel="0" collapsed="false">
      <c r="B9271" s="0" t="s">
        <v>8</v>
      </c>
    </row>
    <row r="9273" customFormat="false" ht="12.8" hidden="false" customHeight="false" outlineLevel="0" collapsed="false">
      <c r="A9273" s="0" t="s">
        <v>4324</v>
      </c>
      <c r="B9273" s="0" t="str">
        <f aca="false">HYPERLINK("https://lindat.mff.cuni.cz/services/teitok/pdtc10/index.php?action=vallex&amp;frame=v-w1064f1", "hltat (v-w1064f1)")</f>
        <v>hltat (v-w1064f1)</v>
      </c>
    </row>
    <row r="9274" customFormat="false" ht="12.8" hidden="false" customHeight="false" outlineLevel="0" collapsed="false">
      <c r="B9274" s="0" t="s">
        <v>1</v>
      </c>
    </row>
    <row r="9275" customFormat="false" ht="12.8" hidden="false" customHeight="false" outlineLevel="0" collapsed="false">
      <c r="B9275" s="0" t="s">
        <v>8</v>
      </c>
    </row>
    <row r="9277" customFormat="false" ht="12.8" hidden="false" customHeight="false" outlineLevel="0" collapsed="false">
      <c r="A9277" s="0" t="s">
        <v>4325</v>
      </c>
      <c r="B9277" s="0" t="str">
        <f aca="false">HYPERLINK("https://lindat.mff.cuni.cz/services/teitok/pdtc10/index.php?action=vallex&amp;frame=v-w1064f2", "hltat (v-w1064f2)")</f>
        <v>hltat (v-w1064f2)</v>
      </c>
      <c r="E9277" s="0" t="str">
        <f aca="false">HYPERLINK("https://lindat.mff.cuni.cz/services/SynSemClass40/SynSemClass40.html?veclass=vec00476#vec00476-ces-cm00027", "vec00476")</f>
        <v>vec00476</v>
      </c>
      <c r="F9277" s="0" t="s">
        <v>18</v>
      </c>
      <c r="H9277" s="0" t="str">
        <f aca="false">HYPERLINK("https://lindat.mff.cuni.cz/services/SynSemClass40/SynSemClass40.html?veclass=vec00828#vec00828-ces-cm00016", "vec00828")</f>
        <v>vec00828</v>
      </c>
      <c r="I9277" s="0" t="s">
        <v>4326</v>
      </c>
      <c r="K9277" s="0" t="str">
        <f aca="false">HYPERLINK("https://lindat.mff.cuni.cz/services/SynSemClass40/SynSemClass40.html?veclass=vec00866#vec00866-ces-cm00005", "vec00866")</f>
        <v>vec00866</v>
      </c>
      <c r="L9277" s="0" t="s">
        <v>4327</v>
      </c>
    </row>
    <row r="9278" customFormat="false" ht="12.8" hidden="false" customHeight="false" outlineLevel="0" collapsed="false">
      <c r="B9278" s="0" t="s">
        <v>1</v>
      </c>
      <c r="C9278" s="0" t="s">
        <v>4328</v>
      </c>
      <c r="E9278" s="0" t="s">
        <v>20</v>
      </c>
      <c r="F9278" s="0" t="s">
        <v>21</v>
      </c>
      <c r="H9278" s="0" t="s">
        <v>658</v>
      </c>
      <c r="I9278" s="0" t="s">
        <v>4329</v>
      </c>
      <c r="K9278" s="0" t="s">
        <v>658</v>
      </c>
      <c r="L9278" s="0" t="s">
        <v>4330</v>
      </c>
    </row>
    <row r="9279" customFormat="false" ht="12.8" hidden="false" customHeight="false" outlineLevel="0" collapsed="false">
      <c r="B9279" s="0" t="s">
        <v>8</v>
      </c>
      <c r="C9279" s="0" t="s">
        <v>4331</v>
      </c>
      <c r="E9279" s="0" t="s">
        <v>23</v>
      </c>
      <c r="F9279" s="0" t="s">
        <v>24</v>
      </c>
      <c r="H9279" s="0" t="s">
        <v>661</v>
      </c>
      <c r="I9279" s="0" t="s">
        <v>4332</v>
      </c>
      <c r="K9279" s="0" t="s">
        <v>661</v>
      </c>
      <c r="L9279" s="0" t="s">
        <v>4333</v>
      </c>
    </row>
    <row r="9281" customFormat="false" ht="12.8" hidden="false" customHeight="false" outlineLevel="0" collapsed="false">
      <c r="A9281" s="0" t="s">
        <v>4334</v>
      </c>
      <c r="B9281" s="0" t="str">
        <f aca="false">HYPERLINK("https://lindat.mff.cuni.cz/services/teitok/pdtc10/index.php?action=vallex&amp;frame=v-w1047f3", "hlásat (v-w1047f3)")</f>
        <v>hlásat (v-w1047f3)</v>
      </c>
      <c r="E9281" s="0" t="str">
        <f aca="false">HYPERLINK("https://lindat.mff.cuni.cz/services/SynSemClass40/SynSemClass40.html?veclass=vec00060#vec00060-ces-cm00436", "vec00060")</f>
        <v>vec00060</v>
      </c>
      <c r="F9281" s="0" t="s">
        <v>213</v>
      </c>
    </row>
    <row r="9282" customFormat="false" ht="12.8" hidden="false" customHeight="false" outlineLevel="0" collapsed="false">
      <c r="B9282" s="0" t="s">
        <v>1</v>
      </c>
      <c r="C9282" s="0" t="s">
        <v>214</v>
      </c>
      <c r="E9282" s="0" t="s">
        <v>147</v>
      </c>
      <c r="F9282" s="0" t="s">
        <v>215</v>
      </c>
    </row>
    <row r="9283" customFormat="false" ht="12.8" hidden="false" customHeight="false" outlineLevel="0" collapsed="false">
      <c r="B9283" s="0" t="s">
        <v>4335</v>
      </c>
      <c r="C9283" s="0" t="s">
        <v>217</v>
      </c>
      <c r="E9283" s="0" t="s">
        <v>218</v>
      </c>
      <c r="F9283" s="0" t="s">
        <v>219</v>
      </c>
    </row>
    <row r="9284" customFormat="false" ht="12.8" hidden="false" customHeight="false" outlineLevel="0" collapsed="false">
      <c r="B9284" s="0" t="s">
        <v>132</v>
      </c>
      <c r="C9284" s="0" t="s">
        <v>220</v>
      </c>
      <c r="E9284" s="0" t="s">
        <v>221</v>
      </c>
      <c r="F9284" s="0" t="s">
        <v>222</v>
      </c>
    </row>
    <row r="9286" customFormat="false" ht="12.8" hidden="false" customHeight="false" outlineLevel="0" collapsed="false">
      <c r="A9286" s="0" t="s">
        <v>4336</v>
      </c>
      <c r="B9286" s="0" t="str">
        <f aca="false">HYPERLINK("https://lindat.mff.cuni.cz/services/teitok/pdtc10/index.php?action=vallex&amp;frame=v-w1047f1", "hlásat (v-w1047f1)")</f>
        <v>hlásat (v-w1047f1)</v>
      </c>
      <c r="E9286" s="0" t="str">
        <f aca="false">HYPERLINK("https://lindat.mff.cuni.cz/services/SynSemClass40/SynSemClass40.html?veclass=vec00060#vec00060-ces-cm00211", "vec00060")</f>
        <v>vec00060</v>
      </c>
      <c r="F9286" s="0" t="s">
        <v>213</v>
      </c>
    </row>
    <row r="9287" customFormat="false" ht="12.8" hidden="false" customHeight="false" outlineLevel="0" collapsed="false">
      <c r="B9287" s="0" t="s">
        <v>1</v>
      </c>
      <c r="C9287" s="0" t="s">
        <v>214</v>
      </c>
      <c r="E9287" s="0" t="s">
        <v>147</v>
      </c>
      <c r="F9287" s="0" t="s">
        <v>215</v>
      </c>
    </row>
    <row r="9288" customFormat="false" ht="12.8" hidden="false" customHeight="false" outlineLevel="0" collapsed="false">
      <c r="B9288" s="0" t="s">
        <v>228</v>
      </c>
      <c r="C9288" s="0" t="s">
        <v>217</v>
      </c>
      <c r="E9288" s="0" t="s">
        <v>218</v>
      </c>
      <c r="F9288" s="0" t="s">
        <v>219</v>
      </c>
    </row>
    <row r="9289" customFormat="false" ht="12.8" hidden="false" customHeight="false" outlineLevel="0" collapsed="false">
      <c r="B9289" s="0" t="s">
        <v>132</v>
      </c>
      <c r="C9289" s="0" t="s">
        <v>220</v>
      </c>
      <c r="E9289" s="0" t="s">
        <v>221</v>
      </c>
      <c r="F9289" s="0" t="s">
        <v>222</v>
      </c>
    </row>
    <row r="9291" customFormat="false" ht="12.8" hidden="false" customHeight="false" outlineLevel="0" collapsed="false">
      <c r="A9291" s="0" t="s">
        <v>4337</v>
      </c>
      <c r="B9291" s="0" t="str">
        <f aca="false">HYPERLINK("https://lindat.mff.cuni.cz/services/teitok/pdtc10/index.php?action=vallex&amp;frame=v-w1047f2", "hlásat (v-w1047f2)")</f>
        <v>hlásat (v-w1047f2)</v>
      </c>
      <c r="E9291" s="0" t="str">
        <f aca="false">HYPERLINK("https://lindat.mff.cuni.cz/services/SynSemClass40/SynSemClass40.html?veclass=vec00060#vec00060-ces-cm00435", "vec00060")</f>
        <v>vec00060</v>
      </c>
      <c r="F9291" s="0" t="s">
        <v>213</v>
      </c>
    </row>
    <row r="9292" customFormat="false" ht="12.8" hidden="false" customHeight="false" outlineLevel="0" collapsed="false">
      <c r="B9292" s="0" t="s">
        <v>1</v>
      </c>
      <c r="C9292" s="0" t="s">
        <v>214</v>
      </c>
      <c r="E9292" s="0" t="s">
        <v>147</v>
      </c>
      <c r="F9292" s="0" t="s">
        <v>215</v>
      </c>
    </row>
    <row r="9293" customFormat="false" ht="12.8" hidden="false" customHeight="false" outlineLevel="0" collapsed="false">
      <c r="B9293" s="0" t="s">
        <v>495</v>
      </c>
      <c r="C9293" s="0" t="s">
        <v>2216</v>
      </c>
      <c r="E9293" s="0" t="s">
        <v>2217</v>
      </c>
      <c r="F9293" s="0" t="s">
        <v>2218</v>
      </c>
    </row>
    <row r="9294" customFormat="false" ht="12.8" hidden="false" customHeight="false" outlineLevel="0" collapsed="false">
      <c r="B9294" s="0" t="s">
        <v>496</v>
      </c>
      <c r="C9294" s="0" t="s">
        <v>217</v>
      </c>
      <c r="E9294" s="0" t="s">
        <v>218</v>
      </c>
      <c r="F9294" s="0" t="s">
        <v>219</v>
      </c>
    </row>
    <row r="9295" customFormat="false" ht="12.8" hidden="false" customHeight="false" outlineLevel="0" collapsed="false">
      <c r="B9295" s="0" t="s">
        <v>132</v>
      </c>
      <c r="C9295" s="0" t="s">
        <v>220</v>
      </c>
      <c r="E9295" s="0" t="s">
        <v>221</v>
      </c>
      <c r="F9295" s="0" t="s">
        <v>222</v>
      </c>
    </row>
    <row r="9297" customFormat="false" ht="12.8" hidden="false" customHeight="false" outlineLevel="0" collapsed="false">
      <c r="A9297" s="0" t="s">
        <v>4338</v>
      </c>
      <c r="B9297" s="0" t="str">
        <f aca="false">HYPERLINK("https://lindat.mff.cuni.cz/services/teitok/pdtc10/index.php?action=vallex&amp;frame=v-w1050f1", "hlásit (v-w1050f1)")</f>
        <v>hlásit (v-w1050f1)</v>
      </c>
      <c r="E9297" s="0" t="str">
        <f aca="false">HYPERLINK("https://lindat.mff.cuni.cz/services/SynSemClass40/SynSemClass40.html?veclass=vec00060#vec00060-ces-cm00017", "vec00060")</f>
        <v>vec00060</v>
      </c>
      <c r="F9297" s="0" t="s">
        <v>213</v>
      </c>
    </row>
    <row r="9298" customFormat="false" ht="12.8" hidden="false" customHeight="false" outlineLevel="0" collapsed="false">
      <c r="B9298" s="0" t="s">
        <v>1</v>
      </c>
      <c r="C9298" s="0" t="s">
        <v>214</v>
      </c>
      <c r="E9298" s="0" t="s">
        <v>147</v>
      </c>
      <c r="F9298" s="0" t="s">
        <v>215</v>
      </c>
    </row>
    <row r="9299" customFormat="false" ht="12.8" hidden="false" customHeight="false" outlineLevel="0" collapsed="false">
      <c r="B9299" s="0" t="s">
        <v>228</v>
      </c>
      <c r="C9299" s="0" t="s">
        <v>217</v>
      </c>
      <c r="E9299" s="0" t="s">
        <v>218</v>
      </c>
      <c r="F9299" s="0" t="s">
        <v>219</v>
      </c>
    </row>
    <row r="9300" customFormat="false" ht="12.8" hidden="false" customHeight="false" outlineLevel="0" collapsed="false">
      <c r="B9300" s="0" t="s">
        <v>132</v>
      </c>
      <c r="C9300" s="0" t="s">
        <v>220</v>
      </c>
      <c r="E9300" s="0" t="s">
        <v>221</v>
      </c>
      <c r="F9300" s="0" t="s">
        <v>222</v>
      </c>
    </row>
    <row r="9302" customFormat="false" ht="12.8" hidden="false" customHeight="false" outlineLevel="0" collapsed="false">
      <c r="A9302" s="0" t="s">
        <v>4339</v>
      </c>
      <c r="B9302" s="0" t="str">
        <f aca="false">HYPERLINK("https://lindat.mff.cuni.cz/services/teitok/pdtc10/index.php?action=vallex&amp;frame=v-w1050f2", "hlásit (v-w1050f2)")</f>
        <v>hlásit (v-w1050f2)</v>
      </c>
      <c r="E9302" s="0" t="str">
        <f aca="false">HYPERLINK("https://lindat.mff.cuni.cz/services/SynSemClass40/SynSemClass40.html?veclass=vec00060#vec00060-ces-cm00018", "vec00060")</f>
        <v>vec00060</v>
      </c>
      <c r="F9302" s="0" t="s">
        <v>213</v>
      </c>
    </row>
    <row r="9303" customFormat="false" ht="12.8" hidden="false" customHeight="false" outlineLevel="0" collapsed="false">
      <c r="B9303" s="0" t="s">
        <v>1</v>
      </c>
      <c r="C9303" s="0" t="s">
        <v>214</v>
      </c>
      <c r="E9303" s="0" t="s">
        <v>147</v>
      </c>
      <c r="F9303" s="0" t="s">
        <v>215</v>
      </c>
    </row>
    <row r="9304" customFormat="false" ht="12.8" hidden="false" customHeight="false" outlineLevel="0" collapsed="false">
      <c r="B9304" s="0" t="s">
        <v>4340</v>
      </c>
      <c r="C9304" s="0" t="s">
        <v>2216</v>
      </c>
      <c r="E9304" s="0" t="s">
        <v>2217</v>
      </c>
      <c r="F9304" s="0" t="s">
        <v>2218</v>
      </c>
    </row>
    <row r="9305" customFormat="false" ht="12.8" hidden="false" customHeight="false" outlineLevel="0" collapsed="false">
      <c r="B9305" s="0" t="s">
        <v>69</v>
      </c>
      <c r="C9305" s="0" t="s">
        <v>217</v>
      </c>
      <c r="E9305" s="0" t="s">
        <v>218</v>
      </c>
      <c r="F9305" s="0" t="s">
        <v>219</v>
      </c>
    </row>
    <row r="9306" customFormat="false" ht="12.8" hidden="false" customHeight="false" outlineLevel="0" collapsed="false">
      <c r="B9306" s="0" t="s">
        <v>132</v>
      </c>
      <c r="C9306" s="0" t="s">
        <v>220</v>
      </c>
      <c r="E9306" s="0" t="s">
        <v>221</v>
      </c>
      <c r="F9306" s="0" t="s">
        <v>222</v>
      </c>
    </row>
    <row r="9308" customFormat="false" ht="12.8" hidden="false" customHeight="false" outlineLevel="0" collapsed="false">
      <c r="A9308" s="0" t="s">
        <v>4341</v>
      </c>
      <c r="B9308" s="0" t="str">
        <f aca="false">HYPERLINK("https://lindat.mff.cuni.cz/services/teitok/pdtc10/index.php?action=vallex&amp;frame=v-w1050f3", "hlásit (v-w1050f3)")</f>
        <v>hlásit (v-w1050f3)</v>
      </c>
      <c r="E9308" s="0" t="str">
        <f aca="false">HYPERLINK("https://lindat.mff.cuni.cz/services/SynSemClass40/SynSemClass40.html?veclass=vec00060#vec00060-ces-cm00019", "vec00060")</f>
        <v>vec00060</v>
      </c>
      <c r="F9308" s="0" t="s">
        <v>213</v>
      </c>
    </row>
    <row r="9309" customFormat="false" ht="12.8" hidden="false" customHeight="false" outlineLevel="0" collapsed="false">
      <c r="B9309" s="0" t="s">
        <v>1</v>
      </c>
      <c r="C9309" s="0" t="s">
        <v>214</v>
      </c>
      <c r="E9309" s="0" t="s">
        <v>147</v>
      </c>
      <c r="F9309" s="0" t="s">
        <v>215</v>
      </c>
    </row>
    <row r="9310" customFormat="false" ht="12.8" hidden="false" customHeight="false" outlineLevel="0" collapsed="false">
      <c r="B9310" s="0" t="s">
        <v>495</v>
      </c>
      <c r="C9310" s="0" t="s">
        <v>2216</v>
      </c>
      <c r="E9310" s="0" t="s">
        <v>2217</v>
      </c>
      <c r="F9310" s="0" t="s">
        <v>2218</v>
      </c>
    </row>
    <row r="9311" customFormat="false" ht="12.8" hidden="false" customHeight="false" outlineLevel="0" collapsed="false">
      <c r="B9311" s="0" t="s">
        <v>496</v>
      </c>
      <c r="C9311" s="0" t="s">
        <v>217</v>
      </c>
      <c r="E9311" s="0" t="s">
        <v>218</v>
      </c>
      <c r="F9311" s="0" t="s">
        <v>219</v>
      </c>
    </row>
    <row r="9312" customFormat="false" ht="12.8" hidden="false" customHeight="false" outlineLevel="0" collapsed="false">
      <c r="B9312" s="0" t="s">
        <v>132</v>
      </c>
      <c r="C9312" s="0" t="s">
        <v>220</v>
      </c>
      <c r="E9312" s="0" t="s">
        <v>221</v>
      </c>
      <c r="F9312" s="0" t="s">
        <v>222</v>
      </c>
    </row>
    <row r="9314" customFormat="false" ht="12.8" hidden="false" customHeight="false" outlineLevel="0" collapsed="false">
      <c r="A9314" s="0" t="s">
        <v>4342</v>
      </c>
      <c r="B9314" s="0" t="str">
        <f aca="false">HYPERLINK("https://lindat.mff.cuni.cz/services/teitok/pdtc10/index.php?action=vallex&amp;frame=v-w1051f3", "hlásit se (v-w1051f3)")</f>
        <v>hlásit se (v-w1051f3)</v>
      </c>
      <c r="E9314" s="0" t="str">
        <f aca="false">HYPERLINK("https://lindat.mff.cuni.cz/services/SynSemClass40/SynSemClass40.html?veclass=vec01245#vec01245-ces-cm00002", "vec01245")</f>
        <v>vec01245</v>
      </c>
      <c r="F9314" s="0" t="s">
        <v>4343</v>
      </c>
    </row>
    <row r="9315" customFormat="false" ht="12.8" hidden="false" customHeight="false" outlineLevel="0" collapsed="false">
      <c r="B9315" s="0" t="s">
        <v>1</v>
      </c>
      <c r="C9315" s="0" t="s">
        <v>106</v>
      </c>
      <c r="E9315" s="0" t="s">
        <v>1413</v>
      </c>
      <c r="F9315" s="0" t="s">
        <v>4344</v>
      </c>
    </row>
    <row r="9316" customFormat="false" ht="12.8" hidden="false" customHeight="false" outlineLevel="0" collapsed="false">
      <c r="B9316" s="0" t="s">
        <v>186</v>
      </c>
      <c r="C9316" s="0" t="s">
        <v>4345</v>
      </c>
      <c r="E9316" s="0" t="s">
        <v>4346</v>
      </c>
      <c r="F9316" s="0" t="s">
        <v>4347</v>
      </c>
    </row>
    <row r="9318" customFormat="false" ht="12.8" hidden="false" customHeight="false" outlineLevel="0" collapsed="false">
      <c r="A9318" s="0" t="s">
        <v>4348</v>
      </c>
      <c r="B9318" s="0" t="str">
        <f aca="false">HYPERLINK("https://lindat.mff.cuni.cz/services/teitok/pdtc10/index.php?action=vallex&amp;frame=v-w1051f1", "hlásit se (v-w1051f1)")</f>
        <v>hlásit se (v-w1051f1)</v>
      </c>
      <c r="E9318" s="0" t="str">
        <f aca="false">HYPERLINK("https://lindat.mff.cuni.cz/services/SynSemClass40/SynSemClass40.html?veclass=vec00345#vec00345-ces-cm00033", "vec00345")</f>
        <v>vec00345</v>
      </c>
      <c r="F9318" s="0" t="s">
        <v>2478</v>
      </c>
    </row>
    <row r="9319" customFormat="false" ht="12.8" hidden="false" customHeight="false" outlineLevel="0" collapsed="false">
      <c r="B9319" s="0" t="s">
        <v>1</v>
      </c>
      <c r="C9319" s="0" t="s">
        <v>2479</v>
      </c>
      <c r="E9319" s="0" t="s">
        <v>621</v>
      </c>
      <c r="F9319" s="0" t="s">
        <v>2480</v>
      </c>
    </row>
    <row r="9320" customFormat="false" ht="12.8" hidden="false" customHeight="false" outlineLevel="0" collapsed="false">
      <c r="B9320" s="0" t="s">
        <v>311</v>
      </c>
      <c r="C9320" s="0" t="s">
        <v>2482</v>
      </c>
      <c r="E9320" s="0" t="s">
        <v>218</v>
      </c>
      <c r="F9320" s="0" t="s">
        <v>2483</v>
      </c>
    </row>
    <row r="9322" customFormat="false" ht="12.8" hidden="false" customHeight="false" outlineLevel="0" collapsed="false">
      <c r="A9322" s="0" t="s">
        <v>4349</v>
      </c>
      <c r="B9322" s="0" t="str">
        <f aca="false">HYPERLINK("https://lindat.mff.cuni.cz/services/teitok/pdtc10/index.php?action=vallex&amp;frame=v-w1051f7_ZU", "hlásit se (v-w1051f7_ZU)")</f>
        <v>hlásit se (v-w1051f7_ZU)</v>
      </c>
    </row>
    <row r="9323" customFormat="false" ht="12.8" hidden="false" customHeight="false" outlineLevel="0" collapsed="false">
      <c r="B9323" s="0" t="s">
        <v>1</v>
      </c>
    </row>
    <row r="9324" customFormat="false" ht="12.8" hidden="false" customHeight="false" outlineLevel="0" collapsed="false">
      <c r="B9324" s="0" t="s">
        <v>4350</v>
      </c>
    </row>
    <row r="9326" customFormat="false" ht="12.8" hidden="false" customHeight="false" outlineLevel="0" collapsed="false">
      <c r="A9326" s="0" t="s">
        <v>4349</v>
      </c>
      <c r="B9326" s="0" t="str">
        <f aca="false">HYPERLINK("https://lindat.mff.cuni.cz/services/teitok/pdtc10/index.php?action=vallex&amp;frame=v-w1051f5", "hlásit se (v-w1051f5) - substituted with v-w1051f7_ZU")</f>
        <v>hlásit se (v-w1051f5) - substituted with v-w1051f7_ZU</v>
      </c>
    </row>
    <row r="9327" customFormat="false" ht="12.8" hidden="false" customHeight="false" outlineLevel="0" collapsed="false">
      <c r="B9327" s="0" t="s">
        <v>1</v>
      </c>
    </row>
    <row r="9328" customFormat="false" ht="12.8" hidden="false" customHeight="false" outlineLevel="0" collapsed="false">
      <c r="B9328" s="0" t="s">
        <v>4350</v>
      </c>
    </row>
    <row r="9330" customFormat="false" ht="12.8" hidden="false" customHeight="false" outlineLevel="0" collapsed="false">
      <c r="A9330" s="0" t="s">
        <v>4349</v>
      </c>
      <c r="B9330" s="0" t="str">
        <f aca="false">HYPERLINK("https://lindat.mff.cuni.cz/services/teitok/pdtc10/index.php?action=vallex&amp;frame=v-w1051hsa_927", "hlásit se (v-w1051hsa_927) - substituted with v-w1051f7_ZU")</f>
        <v>hlásit se (v-w1051hsa_927) - substituted with v-w1051f7_ZU</v>
      </c>
    </row>
    <row r="9331" customFormat="false" ht="12.8" hidden="false" customHeight="false" outlineLevel="0" collapsed="false">
      <c r="B9331" s="0" t="s">
        <v>1</v>
      </c>
    </row>
    <row r="9332" customFormat="false" ht="12.8" hidden="false" customHeight="false" outlineLevel="0" collapsed="false">
      <c r="B9332" s="0" t="s">
        <v>4350</v>
      </c>
    </row>
    <row r="9334" customFormat="false" ht="12.8" hidden="false" customHeight="false" outlineLevel="0" collapsed="false">
      <c r="A9334" s="0" t="s">
        <v>4351</v>
      </c>
      <c r="B9334" s="0" t="str">
        <f aca="false">HYPERLINK("https://lindat.mff.cuni.cz/services/teitok/pdtc10/index.php?action=vallex&amp;frame=v-w1051f8_ZU", "hlásit se (v-w1051f8_ZU)")</f>
        <v>hlásit se (v-w1051f8_ZU)</v>
      </c>
    </row>
    <row r="9335" customFormat="false" ht="12.8" hidden="false" customHeight="false" outlineLevel="0" collapsed="false">
      <c r="B9335" s="0" t="s">
        <v>1</v>
      </c>
    </row>
    <row r="9336" customFormat="false" ht="12.8" hidden="false" customHeight="false" outlineLevel="0" collapsed="false">
      <c r="B9336" s="0" t="s">
        <v>5</v>
      </c>
    </row>
    <row r="9338" customFormat="false" ht="12.8" hidden="false" customHeight="false" outlineLevel="0" collapsed="false">
      <c r="A9338" s="0" t="s">
        <v>4351</v>
      </c>
      <c r="B9338" s="0" t="str">
        <f aca="false">HYPERLINK("https://lindat.mff.cuni.cz/services/teitok/pdtc10/index.php?action=vallex&amp;frame=v-w1051f4", "hlásit se (v-w1051f4) - substituted with v-w1051f8_ZU")</f>
        <v>hlásit se (v-w1051f4) - substituted with v-w1051f8_ZU</v>
      </c>
      <c r="E9338" s="0" t="str">
        <f aca="false">HYPERLINK("https://lindat.mff.cuni.cz/services/SynSemClass40/SynSemClass40.html?veclass=vec00239#vec00239-ces-cm00095", "vec00239")</f>
        <v>vec00239</v>
      </c>
      <c r="F9338" s="0" t="s">
        <v>4352</v>
      </c>
    </row>
    <row r="9339" customFormat="false" ht="12.8" hidden="false" customHeight="false" outlineLevel="0" collapsed="false">
      <c r="B9339" s="0" t="s">
        <v>1</v>
      </c>
      <c r="C9339" s="0" t="s">
        <v>4353</v>
      </c>
      <c r="E9339" s="0" t="s">
        <v>4354</v>
      </c>
      <c r="F9339" s="0" t="s">
        <v>4355</v>
      </c>
    </row>
    <row r="9340" customFormat="false" ht="12.8" hidden="false" customHeight="false" outlineLevel="0" collapsed="false">
      <c r="B9340" s="0" t="s">
        <v>5</v>
      </c>
      <c r="C9340" s="0" t="s">
        <v>4356</v>
      </c>
      <c r="E9340" s="0" t="s">
        <v>4357</v>
      </c>
      <c r="F9340" s="0" t="s">
        <v>4358</v>
      </c>
    </row>
    <row r="9342" customFormat="false" ht="12.8" hidden="false" customHeight="false" outlineLevel="0" collapsed="false">
      <c r="A9342" s="0" t="s">
        <v>4359</v>
      </c>
      <c r="B9342" s="0" t="str">
        <f aca="false">HYPERLINK("https://lindat.mff.cuni.cz/services/teitok/pdtc10/index.php?action=vallex&amp;frame=v-w1051f2", "hlásit se (v-w1051f2)")</f>
        <v>hlásit se (v-w1051f2)</v>
      </c>
    </row>
    <row r="9343" customFormat="false" ht="12.8" hidden="false" customHeight="false" outlineLevel="0" collapsed="false">
      <c r="B9343" s="0" t="s">
        <v>1</v>
      </c>
    </row>
    <row r="9344" customFormat="false" ht="12.8" hidden="false" customHeight="false" outlineLevel="0" collapsed="false">
      <c r="B9344" s="0" t="s">
        <v>164</v>
      </c>
    </row>
    <row r="9346" customFormat="false" ht="12.8" hidden="false" customHeight="false" outlineLevel="0" collapsed="false">
      <c r="A9346" s="0" t="s">
        <v>4360</v>
      </c>
      <c r="B9346" s="0" t="str">
        <f aca="false">HYPERLINK("https://lindat.mff.cuni.cz/services/teitok/pdtc10/index.php?action=vallex&amp;frame=v-w1051f6", "hlásit se (v-w1051f6)")</f>
        <v>hlásit se (v-w1051f6)</v>
      </c>
    </row>
    <row r="9347" customFormat="false" ht="12.8" hidden="false" customHeight="false" outlineLevel="0" collapsed="false">
      <c r="B9347" s="0" t="s">
        <v>1</v>
      </c>
    </row>
    <row r="9349" customFormat="false" ht="12.8" hidden="false" customHeight="false" outlineLevel="0" collapsed="false">
      <c r="A9349" s="0" t="s">
        <v>4361</v>
      </c>
      <c r="B9349" s="0" t="str">
        <f aca="false">HYPERLINK("https://lindat.mff.cuni.cz/services/teitok/pdtc10/index.php?action=vallex&amp;frame=v-w12063_ZUf2_MM", "hláskovat (v-w12063_ZUf2_MM)")</f>
        <v>hláskovat (v-w12063_ZUf2_MM)</v>
      </c>
    </row>
    <row r="9350" customFormat="false" ht="12.8" hidden="false" customHeight="false" outlineLevel="0" collapsed="false">
      <c r="B9350" s="0" t="s">
        <v>1</v>
      </c>
    </row>
    <row r="9351" customFormat="false" ht="12.8" hidden="false" customHeight="false" outlineLevel="0" collapsed="false">
      <c r="B9351" s="0" t="s">
        <v>8</v>
      </c>
    </row>
    <row r="9353" customFormat="false" ht="12.8" hidden="false" customHeight="false" outlineLevel="0" collapsed="false">
      <c r="A9353" s="0" t="s">
        <v>4361</v>
      </c>
      <c r="B9353" s="0" t="str">
        <f aca="false">HYPERLINK("https://lindat.mff.cuni.cz/services/teitok/pdtc10/index.php?action=vallex&amp;frame=v-w12063_ZUf1_ZU", "hláskovat (v-w12063_ZUf1_ZU) - substituted with v-w12063_ZUf2_MM")</f>
        <v>hláskovat (v-w12063_ZUf1_ZU) - substituted with v-w12063_ZUf2_MM</v>
      </c>
    </row>
    <row r="9354" customFormat="false" ht="12.8" hidden="false" customHeight="false" outlineLevel="0" collapsed="false">
      <c r="B9354" s="0" t="s">
        <v>1</v>
      </c>
    </row>
    <row r="9355" customFormat="false" ht="12.8" hidden="false" customHeight="false" outlineLevel="0" collapsed="false">
      <c r="B9355" s="0" t="s">
        <v>8</v>
      </c>
    </row>
    <row r="9357" customFormat="false" ht="12.8" hidden="false" customHeight="false" outlineLevel="0" collapsed="false">
      <c r="A9357" s="0" t="s">
        <v>4362</v>
      </c>
      <c r="B9357" s="0" t="str">
        <f aca="false">HYPERLINK("https://lindat.mff.cuni.cz/services/teitok/pdtc10/index.php?action=vallex&amp;frame=v-w1062hsa_171", "hlídat (v-w1062hsa_171)")</f>
        <v>hlídat (v-w1062hsa_171)</v>
      </c>
    </row>
    <row r="9358" customFormat="false" ht="12.8" hidden="false" customHeight="false" outlineLevel="0" collapsed="false">
      <c r="B9358" s="0" t="s">
        <v>1</v>
      </c>
    </row>
    <row r="9359" customFormat="false" ht="12.8" hidden="false" customHeight="false" outlineLevel="0" collapsed="false">
      <c r="B9359" s="0" t="s">
        <v>4363</v>
      </c>
    </row>
    <row r="9361" customFormat="false" ht="12.8" hidden="false" customHeight="false" outlineLevel="0" collapsed="false">
      <c r="A9361" s="0" t="s">
        <v>4362</v>
      </c>
      <c r="B9361" s="0" t="str">
        <f aca="false">HYPERLINK("https://lindat.mff.cuni.cz/services/teitok/pdtc10/index.php?action=vallex&amp;frame=v-w1062f1", "hlídat (v-w1062f1) - substituted with v-w1062hsa_171")</f>
        <v>hlídat (v-w1062f1) - substituted with v-w1062hsa_171</v>
      </c>
      <c r="E9361" s="0" t="str">
        <f aca="false">HYPERLINK("https://lindat.mff.cuni.cz/services/SynSemClass40/SynSemClass40.html?veclass=vec00820#vec00820-ces-cm00001", "vec00820")</f>
        <v>vec00820</v>
      </c>
      <c r="F9361" s="0" t="s">
        <v>4364</v>
      </c>
    </row>
    <row r="9362" customFormat="false" ht="12.8" hidden="false" customHeight="false" outlineLevel="0" collapsed="false">
      <c r="B9362" s="0" t="s">
        <v>1</v>
      </c>
      <c r="C9362" s="0" t="s">
        <v>3000</v>
      </c>
      <c r="E9362" s="0" t="s">
        <v>3840</v>
      </c>
      <c r="F9362" s="0" t="s">
        <v>4365</v>
      </c>
    </row>
    <row r="9363" customFormat="false" ht="12.8" hidden="false" customHeight="false" outlineLevel="0" collapsed="false">
      <c r="B9363" s="0" t="s">
        <v>4363</v>
      </c>
      <c r="C9363" s="0" t="s">
        <v>1940</v>
      </c>
      <c r="E9363" s="0" t="s">
        <v>4366</v>
      </c>
      <c r="F9363" s="0" t="s">
        <v>4367</v>
      </c>
    </row>
    <row r="9365" customFormat="false" ht="12.8" hidden="false" customHeight="false" outlineLevel="0" collapsed="false">
      <c r="A9365" s="0" t="s">
        <v>4368</v>
      </c>
      <c r="B9365" s="0" t="str">
        <f aca="false">HYPERLINK("https://lindat.mff.cuni.cz/services/teitok/pdtc10/index.php?action=vallex&amp;frame=v-w1063f1", "hlídkovat (v-w1063f1)")</f>
        <v>hlídkovat (v-w1063f1)</v>
      </c>
      <c r="E9365" s="0" t="str">
        <f aca="false">HYPERLINK("https://lindat.mff.cuni.cz/services/SynSemClass40/SynSemClass40.html?veclass=vec00211#vec00211-ces-cm00038", "vec00211")</f>
        <v>vec00211</v>
      </c>
      <c r="F9365" s="0" t="s">
        <v>2270</v>
      </c>
    </row>
    <row r="9366" customFormat="false" ht="12.8" hidden="false" customHeight="false" outlineLevel="0" collapsed="false">
      <c r="B9366" s="0" t="s">
        <v>1</v>
      </c>
      <c r="C9366" s="0" t="s">
        <v>2271</v>
      </c>
      <c r="E9366" s="0" t="s">
        <v>206</v>
      </c>
      <c r="F9366" s="0" t="s">
        <v>2272</v>
      </c>
    </row>
    <row r="9368" customFormat="false" ht="12.8" hidden="false" customHeight="false" outlineLevel="0" collapsed="false">
      <c r="A9368" s="0" t="s">
        <v>4369</v>
      </c>
      <c r="B9368" s="0" t="str">
        <f aca="false">HYPERLINK("https://lindat.mff.cuni.cz/services/teitok/pdtc10/index.php?action=vallex&amp;frame=v-whsa_245hsa_246", "hlídávat (v-whsa_245hsa_246)")</f>
        <v>hlídávat (v-whsa_245hsa_246)</v>
      </c>
    </row>
    <row r="9369" customFormat="false" ht="12.8" hidden="false" customHeight="false" outlineLevel="0" collapsed="false">
      <c r="B9369" s="0" t="s">
        <v>1</v>
      </c>
    </row>
    <row r="9370" customFormat="false" ht="12.8" hidden="false" customHeight="false" outlineLevel="0" collapsed="false">
      <c r="B9370" s="0" t="s">
        <v>8</v>
      </c>
    </row>
    <row r="9372" customFormat="false" ht="12.8" hidden="false" customHeight="false" outlineLevel="0" collapsed="false">
      <c r="A9372" s="0" t="s">
        <v>4370</v>
      </c>
      <c r="B9372" s="0" t="str">
        <f aca="false">HYPERLINK("https://lindat.mff.cuni.cz/services/teitok/pdtc10/index.php?action=vallex&amp;frame=v-w1071f1", "hnisat (v-w1071f1)")</f>
        <v>hnisat (v-w1071f1)</v>
      </c>
    </row>
    <row r="9373" customFormat="false" ht="12.8" hidden="false" customHeight="false" outlineLevel="0" collapsed="false">
      <c r="B9373" s="0" t="s">
        <v>1</v>
      </c>
    </row>
    <row r="9375" customFormat="false" ht="12.8" hidden="false" customHeight="false" outlineLevel="0" collapsed="false">
      <c r="A9375" s="0" t="s">
        <v>4371</v>
      </c>
      <c r="B9375" s="0" t="str">
        <f aca="false">HYPERLINK("https://lindat.mff.cuni.cz/services/teitok/pdtc10/index.php?action=vallex&amp;frame=v-w1072f3", "hnout (v-w1072f3)")</f>
        <v>hnout (v-w1072f3)</v>
      </c>
    </row>
    <row r="9376" customFormat="false" ht="12.8" hidden="false" customHeight="false" outlineLevel="0" collapsed="false">
      <c r="B9376" s="0" t="s">
        <v>1</v>
      </c>
    </row>
    <row r="9377" customFormat="false" ht="12.8" hidden="false" customHeight="false" outlineLevel="0" collapsed="false">
      <c r="B9377" s="0" t="s">
        <v>4277</v>
      </c>
    </row>
    <row r="9379" customFormat="false" ht="12.8" hidden="false" customHeight="false" outlineLevel="0" collapsed="false">
      <c r="A9379" s="0" t="s">
        <v>4372</v>
      </c>
      <c r="B9379" s="0" t="str">
        <f aca="false">HYPERLINK("https://lindat.mff.cuni.cz/services/teitok/pdtc10/index.php?action=vallex&amp;frame=v-w1072f1", "hnout (v-w1072f1)")</f>
        <v>hnout (v-w1072f1)</v>
      </c>
    </row>
    <row r="9380" customFormat="false" ht="12.8" hidden="false" customHeight="false" outlineLevel="0" collapsed="false">
      <c r="B9380" s="0" t="s">
        <v>1</v>
      </c>
    </row>
    <row r="9381" customFormat="false" ht="12.8" hidden="false" customHeight="false" outlineLevel="0" collapsed="false">
      <c r="B9381" s="0" t="s">
        <v>4373</v>
      </c>
    </row>
    <row r="9382" customFormat="false" ht="12.8" hidden="false" customHeight="false" outlineLevel="0" collapsed="false">
      <c r="B9382" s="0" t="s">
        <v>186</v>
      </c>
    </row>
    <row r="9384" customFormat="false" ht="12.8" hidden="false" customHeight="false" outlineLevel="0" collapsed="false">
      <c r="A9384" s="0" t="s">
        <v>4374</v>
      </c>
      <c r="B9384" s="0" t="str">
        <f aca="false">HYPERLINK("https://lindat.mff.cuni.cz/services/teitok/pdtc10/index.php?action=vallex&amp;frame=v-w1072f2", "hnout (v-w1072f2)")</f>
        <v>hnout (v-w1072f2)</v>
      </c>
    </row>
    <row r="9385" customFormat="false" ht="12.8" hidden="false" customHeight="false" outlineLevel="0" collapsed="false">
      <c r="B9385" s="0" t="s">
        <v>1</v>
      </c>
    </row>
    <row r="9386" customFormat="false" ht="12.8" hidden="false" customHeight="false" outlineLevel="0" collapsed="false">
      <c r="B9386" s="0" t="s">
        <v>4375</v>
      </c>
    </row>
    <row r="9388" customFormat="false" ht="12.8" hidden="false" customHeight="false" outlineLevel="0" collapsed="false">
      <c r="A9388" s="0" t="s">
        <v>4376</v>
      </c>
      <c r="B9388" s="0" t="str">
        <f aca="false">HYPERLINK("https://lindat.mff.cuni.cz/services/teitok/pdtc10/index.php?action=vallex&amp;frame=v-w1073f1", "hnout se (v-w1073f1)")</f>
        <v>hnout se (v-w1073f1)</v>
      </c>
      <c r="E9388" s="0" t="str">
        <f aca="false">HYPERLINK("https://lindat.mff.cuni.cz/services/SynSemClass40/SynSemClass40.html?veclass=vec00022#vec00022-ces-cm00001", "vec00022")</f>
        <v>vec00022</v>
      </c>
      <c r="F9388" s="0" t="s">
        <v>4377</v>
      </c>
    </row>
    <row r="9389" customFormat="false" ht="12.8" hidden="false" customHeight="false" outlineLevel="0" collapsed="false">
      <c r="B9389" s="0" t="s">
        <v>1</v>
      </c>
      <c r="C9389" s="0" t="s">
        <v>4378</v>
      </c>
      <c r="E9389" s="0" t="s">
        <v>334</v>
      </c>
      <c r="F9389" s="0" t="s">
        <v>4379</v>
      </c>
    </row>
    <row r="9391" customFormat="false" ht="12.8" hidden="false" customHeight="false" outlineLevel="0" collapsed="false">
      <c r="A9391" s="0" t="s">
        <v>4380</v>
      </c>
      <c r="B9391" s="0" t="str">
        <f aca="false">HYPERLINK("https://lindat.mff.cuni.cz/services/teitok/pdtc10/index.php?action=vallex&amp;frame=v-w1067f2", "hnát (v-w1067f2)")</f>
        <v>hnát (v-w1067f2)</v>
      </c>
      <c r="E9391" s="0" t="str">
        <f aca="false">HYPERLINK("https://lindat.mff.cuni.cz/services/SynSemClass40/SynSemClass40.html?veclass=vec00812#vec00812-ces-cm00014", "vec00812")</f>
        <v>vec00812</v>
      </c>
      <c r="F9391" s="0" t="s">
        <v>2822</v>
      </c>
    </row>
    <row r="9392" customFormat="false" ht="12.8" hidden="false" customHeight="false" outlineLevel="0" collapsed="false">
      <c r="B9392" s="0" t="s">
        <v>1</v>
      </c>
      <c r="C9392" s="0" t="s">
        <v>2823</v>
      </c>
      <c r="E9392" s="0" t="s">
        <v>1103</v>
      </c>
      <c r="F9392" s="0" t="s">
        <v>2824</v>
      </c>
    </row>
    <row r="9393" customFormat="false" ht="12.8" hidden="false" customHeight="false" outlineLevel="0" collapsed="false">
      <c r="B9393" s="0" t="s">
        <v>8</v>
      </c>
      <c r="C9393" s="0" t="s">
        <v>2372</v>
      </c>
      <c r="E9393" s="0" t="s">
        <v>142</v>
      </c>
      <c r="F9393" s="0" t="s">
        <v>2825</v>
      </c>
    </row>
    <row r="9394" customFormat="false" ht="12.8" hidden="false" customHeight="false" outlineLevel="0" collapsed="false">
      <c r="B9394" s="0" t="s">
        <v>361</v>
      </c>
      <c r="C9394" s="0" t="s">
        <v>2826</v>
      </c>
      <c r="E9394" s="0" t="s">
        <v>3114</v>
      </c>
      <c r="F9394" s="0" t="s">
        <v>3115</v>
      </c>
    </row>
    <row r="9396" customFormat="false" ht="12.8" hidden="false" customHeight="false" outlineLevel="0" collapsed="false">
      <c r="A9396" s="0" t="s">
        <v>4381</v>
      </c>
      <c r="B9396" s="0" t="str">
        <f aca="false">HYPERLINK("https://lindat.mff.cuni.cz/services/teitok/pdtc10/index.php?action=vallex&amp;frame=v-w1067f1", "hnát (v-w1067f1)")</f>
        <v>hnát (v-w1067f1)</v>
      </c>
    </row>
    <row r="9397" customFormat="false" ht="12.8" hidden="false" customHeight="false" outlineLevel="0" collapsed="false">
      <c r="B9397" s="0" t="s">
        <v>1</v>
      </c>
    </row>
    <row r="9398" customFormat="false" ht="12.8" hidden="false" customHeight="false" outlineLevel="0" collapsed="false">
      <c r="B9398" s="0" t="s">
        <v>8</v>
      </c>
    </row>
    <row r="9400" customFormat="false" ht="12.8" hidden="false" customHeight="false" outlineLevel="0" collapsed="false">
      <c r="A9400" s="0" t="s">
        <v>4382</v>
      </c>
      <c r="B9400" s="0" t="str">
        <f aca="false">HYPERLINK("https://lindat.mff.cuni.cz/services/teitok/pdtc10/index.php?action=vallex&amp;frame=v-w1067f3", "hnát (v-w1067f3)")</f>
        <v>hnát (v-w1067f3)</v>
      </c>
    </row>
    <row r="9401" customFormat="false" ht="12.8" hidden="false" customHeight="false" outlineLevel="0" collapsed="false">
      <c r="B9401" s="0" t="s">
        <v>1</v>
      </c>
    </row>
    <row r="9403" customFormat="false" ht="12.8" hidden="false" customHeight="false" outlineLevel="0" collapsed="false">
      <c r="A9403" s="0" t="s">
        <v>4383</v>
      </c>
      <c r="B9403" s="0" t="str">
        <f aca="false">HYPERLINK("https://lindat.mff.cuni.cz/services/teitok/pdtc10/index.php?action=vallex&amp;frame=v-w1067f4_ZU", "hnát (v-w1067f4_ZU)")</f>
        <v>hnát (v-w1067f4_ZU)</v>
      </c>
    </row>
    <row r="9404" customFormat="false" ht="12.8" hidden="false" customHeight="false" outlineLevel="0" collapsed="false">
      <c r="B9404" s="0" t="s">
        <v>1</v>
      </c>
    </row>
    <row r="9405" customFormat="false" ht="12.8" hidden="false" customHeight="false" outlineLevel="0" collapsed="false">
      <c r="B9405" s="0" t="s">
        <v>8</v>
      </c>
    </row>
    <row r="9407" customFormat="false" ht="12.8" hidden="false" customHeight="false" outlineLevel="0" collapsed="false">
      <c r="A9407" s="0" t="s">
        <v>4384</v>
      </c>
      <c r="B9407" s="0" t="str">
        <f aca="false">HYPERLINK("https://lindat.mff.cuni.cz/services/teitok/pdtc10/index.php?action=vallex&amp;frame=v-w1067hsa_2031", "hnát (v-w1067hsa_2031)")</f>
        <v>hnát (v-w1067hsa_2031)</v>
      </c>
    </row>
    <row r="9408" customFormat="false" ht="12.8" hidden="false" customHeight="false" outlineLevel="0" collapsed="false">
      <c r="B9408" s="0" t="s">
        <v>1</v>
      </c>
    </row>
    <row r="9409" customFormat="false" ht="12.8" hidden="false" customHeight="false" outlineLevel="0" collapsed="false">
      <c r="B9409" s="0" t="s">
        <v>8</v>
      </c>
    </row>
    <row r="9411" customFormat="false" ht="12.8" hidden="false" customHeight="false" outlineLevel="0" collapsed="false">
      <c r="A9411" s="0" t="s">
        <v>4385</v>
      </c>
      <c r="B9411" s="0" t="str">
        <f aca="false">HYPERLINK("https://lindat.mff.cuni.cz/services/teitok/pdtc10/index.php?action=vallex&amp;frame=v-w1067hsa_2032", "hnát (v-w1067hsa_2032)")</f>
        <v>hnát (v-w1067hsa_2032)</v>
      </c>
    </row>
    <row r="9412" customFormat="false" ht="12.8" hidden="false" customHeight="false" outlineLevel="0" collapsed="false">
      <c r="B9412" s="0" t="s">
        <v>1</v>
      </c>
    </row>
    <row r="9413" customFormat="false" ht="12.8" hidden="false" customHeight="false" outlineLevel="0" collapsed="false">
      <c r="B9413" s="0" t="s">
        <v>311</v>
      </c>
    </row>
    <row r="9414" customFormat="false" ht="12.8" hidden="false" customHeight="false" outlineLevel="0" collapsed="false">
      <c r="B9414" s="0" t="s">
        <v>98</v>
      </c>
    </row>
    <row r="9416" customFormat="false" ht="12.8" hidden="false" customHeight="false" outlineLevel="0" collapsed="false">
      <c r="A9416" s="0" t="s">
        <v>4386</v>
      </c>
      <c r="B9416" s="0" t="str">
        <f aca="false">HYPERLINK("https://lindat.mff.cuni.cz/services/teitok/pdtc10/index.php?action=vallex&amp;frame=v-w1068f1", "hnát se (v-w1068f1)")</f>
        <v>hnát se (v-w1068f1)</v>
      </c>
      <c r="E9416" s="0" t="str">
        <f aca="false">HYPERLINK("https://lindat.mff.cuni.cz/services/SynSemClass40/SynSemClass40.html?veclass=vec00610#vec00610-ces-cm00001", "vec00610")</f>
        <v>vec00610</v>
      </c>
      <c r="F9416" s="0" t="s">
        <v>3225</v>
      </c>
    </row>
    <row r="9417" customFormat="false" ht="12.8" hidden="false" customHeight="false" outlineLevel="0" collapsed="false">
      <c r="B9417" s="0" t="s">
        <v>1</v>
      </c>
      <c r="C9417" s="0" t="s">
        <v>4387</v>
      </c>
      <c r="E9417" s="0" t="s">
        <v>11</v>
      </c>
      <c r="F9417" s="0" t="s">
        <v>3227</v>
      </c>
    </row>
    <row r="9418" customFormat="false" ht="12.8" hidden="false" customHeight="false" outlineLevel="0" collapsed="false">
      <c r="B9418" s="0" t="s">
        <v>361</v>
      </c>
      <c r="C9418" s="0" t="s">
        <v>4388</v>
      </c>
      <c r="E9418" s="0" t="s">
        <v>3229</v>
      </c>
      <c r="F9418" s="0" t="s">
        <v>3230</v>
      </c>
    </row>
    <row r="9420" customFormat="false" ht="12.8" hidden="false" customHeight="false" outlineLevel="0" collapsed="false">
      <c r="A9420" s="0" t="s">
        <v>4389</v>
      </c>
      <c r="B9420" s="0" t="str">
        <f aca="false">HYPERLINK("https://lindat.mff.cuni.cz/services/teitok/pdtc10/index.php?action=vallex&amp;frame=v-w1068f2", "hnát se (v-w1068f2)")</f>
        <v>hnát se (v-w1068f2)</v>
      </c>
    </row>
    <row r="9421" customFormat="false" ht="12.8" hidden="false" customHeight="false" outlineLevel="0" collapsed="false">
      <c r="B9421" s="0" t="s">
        <v>1</v>
      </c>
    </row>
    <row r="9423" customFormat="false" ht="12.8" hidden="false" customHeight="false" outlineLevel="0" collapsed="false">
      <c r="A9423" s="0" t="s">
        <v>4390</v>
      </c>
      <c r="B9423" s="0" t="str">
        <f aca="false">HYPERLINK("https://lindat.mff.cuni.cz/services/teitok/pdtc10/index.php?action=vallex&amp;frame=v-w1068hsa_1263", "hnát se (v-w1068hsa_1263)")</f>
        <v>hnát se (v-w1068hsa_1263)</v>
      </c>
      <c r="E9423" s="0" t="str">
        <f aca="false">HYPERLINK("https://lindat.mff.cuni.cz/services/SynSemClass40/SynSemClass40.html?veclass=vec00610#vec00610-ces-cm00047", "vec00610")</f>
        <v>vec00610</v>
      </c>
      <c r="F9423" s="0" t="s">
        <v>3225</v>
      </c>
    </row>
    <row r="9424" customFormat="false" ht="12.8" hidden="false" customHeight="false" outlineLevel="0" collapsed="false">
      <c r="B9424" s="0" t="s">
        <v>1</v>
      </c>
      <c r="C9424" s="0" t="s">
        <v>4387</v>
      </c>
      <c r="E9424" s="0" t="s">
        <v>11</v>
      </c>
      <c r="F9424" s="0" t="s">
        <v>3227</v>
      </c>
    </row>
    <row r="9425" customFormat="false" ht="12.8" hidden="false" customHeight="false" outlineLevel="0" collapsed="false">
      <c r="B9425" s="0" t="s">
        <v>4391</v>
      </c>
      <c r="C9425" s="0" t="s">
        <v>4392</v>
      </c>
      <c r="E9425" s="0" t="s">
        <v>523</v>
      </c>
      <c r="F9425" s="0" t="s">
        <v>4393</v>
      </c>
    </row>
    <row r="9427" customFormat="false" ht="12.8" hidden="false" customHeight="false" outlineLevel="0" collapsed="false">
      <c r="A9427" s="0" t="s">
        <v>4394</v>
      </c>
      <c r="B9427" s="0" t="str">
        <f aca="false">HYPERLINK("https://lindat.mff.cuni.cz/services/teitok/pdtc10/index.php?action=vallex&amp;frame=v-w12108_ZUf2_ZU", "hnít (v-w12108_ZUf2_ZU)")</f>
        <v>hnít (v-w12108_ZUf2_ZU)</v>
      </c>
    </row>
    <row r="9428" customFormat="false" ht="12.8" hidden="false" customHeight="false" outlineLevel="0" collapsed="false">
      <c r="B9428" s="0" t="s">
        <v>1</v>
      </c>
    </row>
    <row r="9430" customFormat="false" ht="12.8" hidden="false" customHeight="false" outlineLevel="0" collapsed="false">
      <c r="A9430" s="0" t="s">
        <v>4394</v>
      </c>
      <c r="B9430" s="0" t="str">
        <f aca="false">HYPERLINK("https://lindat.mff.cuni.cz/services/teitok/pdtc10/index.php?action=vallex&amp;frame=v-w12108_ZUf1_ZU", "hnít (v-w12108_ZUf1_ZU) - substituted with v-w12108_ZUf2_ZU")</f>
        <v>hnít (v-w12108_ZUf1_ZU) - substituted with v-w12108_ZUf2_ZU</v>
      </c>
    </row>
    <row r="9431" customFormat="false" ht="12.8" hidden="false" customHeight="false" outlineLevel="0" collapsed="false">
      <c r="B9431" s="0" t="s">
        <v>1</v>
      </c>
    </row>
    <row r="9433" customFormat="false" ht="12.8" hidden="false" customHeight="false" outlineLevel="0" collapsed="false">
      <c r="A9433" s="0" t="s">
        <v>4395</v>
      </c>
      <c r="B9433" s="0" t="str">
        <f aca="false">HYPERLINK("https://lindat.mff.cuni.cz/services/teitok/pdtc10/index.php?action=vallex&amp;frame=v-w1070f1", "hněvat se (v-w1070f1)")</f>
        <v>hněvat se (v-w1070f1)</v>
      </c>
    </row>
    <row r="9434" customFormat="false" ht="12.8" hidden="false" customHeight="false" outlineLevel="0" collapsed="false">
      <c r="B9434" s="0" t="s">
        <v>1</v>
      </c>
    </row>
    <row r="9435" customFormat="false" ht="12.8" hidden="false" customHeight="false" outlineLevel="0" collapsed="false">
      <c r="B9435" s="0" t="s">
        <v>69</v>
      </c>
    </row>
    <row r="9437" customFormat="false" ht="12.8" hidden="false" customHeight="false" outlineLevel="0" collapsed="false">
      <c r="A9437" s="0" t="s">
        <v>4396</v>
      </c>
      <c r="B9437" s="0" t="str">
        <f aca="false">HYPERLINK("https://lindat.mff.cuni.cz/services/teitok/pdtc10/index.php?action=vallex&amp;frame=v-w12276_ZUf2_MM", "hoblovat (v-w12276_ZUf2_MM)")</f>
        <v>hoblovat (v-w12276_ZUf2_MM)</v>
      </c>
    </row>
    <row r="9438" customFormat="false" ht="12.8" hidden="false" customHeight="false" outlineLevel="0" collapsed="false">
      <c r="B9438" s="0" t="s">
        <v>1</v>
      </c>
    </row>
    <row r="9439" customFormat="false" ht="12.8" hidden="false" customHeight="false" outlineLevel="0" collapsed="false">
      <c r="B9439" s="0" t="s">
        <v>8</v>
      </c>
    </row>
    <row r="9441" customFormat="false" ht="12.8" hidden="false" customHeight="false" outlineLevel="0" collapsed="false">
      <c r="A9441" s="0" t="s">
        <v>4396</v>
      </c>
      <c r="B9441" s="0" t="str">
        <f aca="false">HYPERLINK("https://lindat.mff.cuni.cz/services/teitok/pdtc10/index.php?action=vallex&amp;frame=v-w12276_ZUf1_ZU", "hoblovat (v-w12276_ZUf1_ZU) - substituted with v-w12276_ZUf2_MM")</f>
        <v>hoblovat (v-w12276_ZUf1_ZU) - substituted with v-w12276_ZUf2_MM</v>
      </c>
    </row>
    <row r="9442" customFormat="false" ht="12.8" hidden="false" customHeight="false" outlineLevel="0" collapsed="false">
      <c r="B9442" s="0" t="s">
        <v>1</v>
      </c>
    </row>
    <row r="9443" customFormat="false" ht="12.8" hidden="false" customHeight="false" outlineLevel="0" collapsed="false">
      <c r="B9443" s="0" t="s">
        <v>8</v>
      </c>
    </row>
    <row r="9445" customFormat="false" ht="12.8" hidden="false" customHeight="false" outlineLevel="0" collapsed="false">
      <c r="A9445" s="0" t="s">
        <v>4397</v>
      </c>
      <c r="B9445" s="0" t="str">
        <f aca="false">HYPERLINK("https://lindat.mff.cuni.cz/services/teitok/pdtc10/index.php?action=vallex&amp;frame=v-w1076f5", "hodit (v-w1076f5)")</f>
        <v>hodit (v-w1076f5)</v>
      </c>
    </row>
    <row r="9446" customFormat="false" ht="12.8" hidden="false" customHeight="false" outlineLevel="0" collapsed="false">
      <c r="B9446" s="0" t="s">
        <v>1</v>
      </c>
    </row>
    <row r="9447" customFormat="false" ht="12.8" hidden="false" customHeight="false" outlineLevel="0" collapsed="false">
      <c r="B9447" s="0" t="s">
        <v>8</v>
      </c>
    </row>
    <row r="9448" customFormat="false" ht="12.8" hidden="false" customHeight="false" outlineLevel="0" collapsed="false">
      <c r="B9448" s="0" t="s">
        <v>52</v>
      </c>
    </row>
    <row r="9450" customFormat="false" ht="12.8" hidden="false" customHeight="false" outlineLevel="0" collapsed="false">
      <c r="A9450" s="0" t="s">
        <v>4398</v>
      </c>
      <c r="B9450" s="0" t="str">
        <f aca="false">HYPERLINK("https://lindat.mff.cuni.cz/services/teitok/pdtc10/index.php?action=vallex&amp;frame=v-w1076f8", "hodit (v-w1076f8)")</f>
        <v>hodit (v-w1076f8)</v>
      </c>
      <c r="E9450" s="0" t="str">
        <f aca="false">HYPERLINK("https://lindat.mff.cuni.cz/services/SynSemClass40/SynSemClass40.html?veclass=vec00819#vec00819-ces-cm00003", "vec00819")</f>
        <v>vec00819</v>
      </c>
      <c r="F9450" s="0" t="s">
        <v>4399</v>
      </c>
    </row>
    <row r="9451" customFormat="false" ht="12.8" hidden="false" customHeight="false" outlineLevel="0" collapsed="false">
      <c r="B9451" s="0" t="s">
        <v>1</v>
      </c>
      <c r="C9451" s="0" t="s">
        <v>255</v>
      </c>
      <c r="E9451" s="0" t="s">
        <v>2196</v>
      </c>
      <c r="F9451" s="0" t="s">
        <v>4400</v>
      </c>
    </row>
    <row r="9452" customFormat="false" ht="12.8" hidden="false" customHeight="false" outlineLevel="0" collapsed="false">
      <c r="B9452" s="0" t="s">
        <v>2299</v>
      </c>
      <c r="C9452" s="0" t="s">
        <v>4401</v>
      </c>
      <c r="E9452" s="0" t="s">
        <v>2200</v>
      </c>
      <c r="F9452" s="0" t="s">
        <v>4402</v>
      </c>
    </row>
    <row r="9453" customFormat="false" ht="12.8" hidden="false" customHeight="false" outlineLevel="0" collapsed="false">
      <c r="B9453" s="0" t="s">
        <v>132</v>
      </c>
      <c r="C9453" s="0" t="s">
        <v>1391</v>
      </c>
      <c r="E9453" s="0" t="s">
        <v>53</v>
      </c>
      <c r="F9453" s="0" t="s">
        <v>4403</v>
      </c>
    </row>
    <row r="9455" customFormat="false" ht="12.8" hidden="false" customHeight="false" outlineLevel="0" collapsed="false">
      <c r="A9455" s="0" t="s">
        <v>4404</v>
      </c>
      <c r="B9455" s="0" t="str">
        <f aca="false">HYPERLINK("https://lindat.mff.cuni.cz/services/teitok/pdtc10/index.php?action=vallex&amp;frame=v-w1076f1", "hodit (v-w1076f1)")</f>
        <v>hodit (v-w1076f1)</v>
      </c>
      <c r="E9455" s="0" t="str">
        <f aca="false">HYPERLINK("https://lindat.mff.cuni.cz/services/SynSemClass40/SynSemClass40.html?veclass=vec01358#vec01358-ces-cm00009", "vec01358")</f>
        <v>vec01358</v>
      </c>
      <c r="F9455" s="0" t="s">
        <v>4405</v>
      </c>
    </row>
    <row r="9456" customFormat="false" ht="12.8" hidden="false" customHeight="false" outlineLevel="0" collapsed="false">
      <c r="B9456" s="0" t="s">
        <v>1</v>
      </c>
      <c r="C9456" s="0" t="s">
        <v>1540</v>
      </c>
      <c r="E9456" s="0" t="s">
        <v>334</v>
      </c>
      <c r="F9456" s="0" t="s">
        <v>4406</v>
      </c>
    </row>
    <row r="9457" customFormat="false" ht="12.8" hidden="false" customHeight="false" outlineLevel="0" collapsed="false">
      <c r="B9457" s="0" t="s">
        <v>8</v>
      </c>
      <c r="C9457" s="0" t="s">
        <v>1747</v>
      </c>
      <c r="E9457" s="0" t="s">
        <v>2648</v>
      </c>
      <c r="F9457" s="0" t="s">
        <v>4407</v>
      </c>
    </row>
    <row r="9458" customFormat="false" ht="12.8" hidden="false" customHeight="false" outlineLevel="0" collapsed="false">
      <c r="B9458" s="0" t="s">
        <v>164</v>
      </c>
      <c r="E9458" s="0" t="s">
        <v>4408</v>
      </c>
      <c r="F9458" s="0" t="s">
        <v>4409</v>
      </c>
    </row>
    <row r="9460" customFormat="false" ht="12.8" hidden="false" customHeight="false" outlineLevel="0" collapsed="false">
      <c r="A9460" s="0" t="s">
        <v>4410</v>
      </c>
      <c r="B9460" s="0" t="str">
        <f aca="false">HYPERLINK("https://lindat.mff.cuni.cz/services/teitok/pdtc10/index.php?action=vallex&amp;frame=v-w1076f6", "hodit (v-w1076f6)")</f>
        <v>hodit (v-w1076f6)</v>
      </c>
    </row>
    <row r="9461" customFormat="false" ht="12.8" hidden="false" customHeight="false" outlineLevel="0" collapsed="false">
      <c r="B9461" s="0" t="s">
        <v>1</v>
      </c>
    </row>
    <row r="9462" customFormat="false" ht="12.8" hidden="false" customHeight="false" outlineLevel="0" collapsed="false">
      <c r="B9462" s="0" t="s">
        <v>286</v>
      </c>
    </row>
    <row r="9464" customFormat="false" ht="12.8" hidden="false" customHeight="false" outlineLevel="0" collapsed="false">
      <c r="A9464" s="0" t="s">
        <v>4411</v>
      </c>
      <c r="B9464" s="0" t="str">
        <f aca="false">HYPERLINK("https://lindat.mff.cuni.cz/services/teitok/pdtc10/index.php?action=vallex&amp;frame=v-w1076f4", "hodit (v-w1076f4)")</f>
        <v>hodit (v-w1076f4)</v>
      </c>
    </row>
    <row r="9465" customFormat="false" ht="12.8" hidden="false" customHeight="false" outlineLevel="0" collapsed="false">
      <c r="B9465" s="0" t="s">
        <v>1</v>
      </c>
    </row>
    <row r="9466" customFormat="false" ht="12.8" hidden="false" customHeight="false" outlineLevel="0" collapsed="false">
      <c r="B9466" s="0" t="s">
        <v>4412</v>
      </c>
    </row>
    <row r="9467" customFormat="false" ht="12.8" hidden="false" customHeight="false" outlineLevel="0" collapsed="false">
      <c r="B9467" s="0" t="s">
        <v>8</v>
      </c>
    </row>
    <row r="9469" customFormat="false" ht="12.8" hidden="false" customHeight="false" outlineLevel="0" collapsed="false">
      <c r="A9469" s="0" t="s">
        <v>4413</v>
      </c>
      <c r="B9469" s="0" t="str">
        <f aca="false">HYPERLINK("https://lindat.mff.cuni.cz/services/teitok/pdtc10/index.php?action=vallex&amp;frame=v-w1076f2", "hodit (v-w1076f2)")</f>
        <v>hodit (v-w1076f2)</v>
      </c>
      <c r="E9469" s="0" t="str">
        <f aca="false">HYPERLINK("https://lindat.mff.cuni.cz/services/SynSemClass40/SynSemClass40.html?veclass=vec00380#vec00380-ces-cm00085", "vec00380")</f>
        <v>vec00380</v>
      </c>
      <c r="F9469" s="0" t="s">
        <v>4414</v>
      </c>
    </row>
    <row r="9470" customFormat="false" ht="12.8" hidden="false" customHeight="false" outlineLevel="0" collapsed="false">
      <c r="B9470" s="0" t="s">
        <v>1</v>
      </c>
      <c r="C9470" s="0" t="s">
        <v>4415</v>
      </c>
      <c r="E9470" s="0" t="s">
        <v>4416</v>
      </c>
      <c r="F9470" s="0" t="s">
        <v>4417</v>
      </c>
    </row>
    <row r="9471" customFormat="false" ht="12.8" hidden="false" customHeight="false" outlineLevel="0" collapsed="false">
      <c r="B9471" s="0" t="s">
        <v>1583</v>
      </c>
    </row>
    <row r="9472" customFormat="false" ht="12.8" hidden="false" customHeight="false" outlineLevel="0" collapsed="false">
      <c r="B9472" s="0" t="s">
        <v>8</v>
      </c>
      <c r="C9472" s="0" t="s">
        <v>4418</v>
      </c>
      <c r="E9472" s="0" t="s">
        <v>532</v>
      </c>
      <c r="F9472" s="0" t="s">
        <v>4419</v>
      </c>
    </row>
    <row r="9474" customFormat="false" ht="12.8" hidden="false" customHeight="false" outlineLevel="0" collapsed="false">
      <c r="A9474" s="0" t="s">
        <v>4420</v>
      </c>
      <c r="B9474" s="0" t="str">
        <f aca="false">HYPERLINK("https://lindat.mff.cuni.cz/services/teitok/pdtc10/index.php?action=vallex&amp;frame=v-w1076f3", "hodit (v-w1076f3)")</f>
        <v>hodit (v-w1076f3)</v>
      </c>
    </row>
    <row r="9475" customFormat="false" ht="12.8" hidden="false" customHeight="false" outlineLevel="0" collapsed="false">
      <c r="B9475" s="0" t="s">
        <v>1</v>
      </c>
    </row>
    <row r="9476" customFormat="false" ht="12.8" hidden="false" customHeight="false" outlineLevel="0" collapsed="false">
      <c r="B9476" s="0" t="s">
        <v>4421</v>
      </c>
    </row>
    <row r="9478" customFormat="false" ht="12.8" hidden="false" customHeight="false" outlineLevel="0" collapsed="false">
      <c r="A9478" s="0" t="s">
        <v>4422</v>
      </c>
      <c r="B9478" s="0" t="str">
        <f aca="false">HYPERLINK("https://lindat.mff.cuni.cz/services/teitok/pdtc10/index.php?action=vallex&amp;frame=v-w1076f9_ZU", "hodit (v-w1076f9_ZU)")</f>
        <v>hodit (v-w1076f9_ZU)</v>
      </c>
      <c r="E9478" s="0" t="str">
        <f aca="false">HYPERLINK("https://lindat.mff.cuni.cz/services/SynSemClass40/SynSemClass40.html?veclass=vec00942#vec00942-ces-cm00018", "vec00942")</f>
        <v>vec00942</v>
      </c>
      <c r="F9478" s="0" t="s">
        <v>1686</v>
      </c>
    </row>
    <row r="9479" customFormat="false" ht="12.8" hidden="false" customHeight="false" outlineLevel="0" collapsed="false">
      <c r="B9479" s="0" t="s">
        <v>1</v>
      </c>
      <c r="C9479" s="0" t="s">
        <v>1687</v>
      </c>
      <c r="E9479" s="0" t="s">
        <v>11</v>
      </c>
      <c r="F9479" s="0" t="s">
        <v>1688</v>
      </c>
    </row>
    <row r="9480" customFormat="false" ht="12.8" hidden="false" customHeight="false" outlineLevel="0" collapsed="false">
      <c r="B9480" s="0" t="s">
        <v>4423</v>
      </c>
    </row>
    <row r="9482" customFormat="false" ht="12.8" hidden="false" customHeight="false" outlineLevel="0" collapsed="false">
      <c r="A9482" s="0" t="s">
        <v>4422</v>
      </c>
      <c r="B9482" s="0" t="str">
        <f aca="false">HYPERLINK("https://lindat.mff.cuni.cz/services/teitok/pdtc10/index.php?action=vallex&amp;frame=v-w1076hsa_204", "hodit (v-w1076hsa_204) - substituted with v-w1076f9_ZU")</f>
        <v>hodit (v-w1076hsa_204) - substituted with v-w1076f9_ZU</v>
      </c>
    </row>
    <row r="9483" customFormat="false" ht="12.8" hidden="false" customHeight="false" outlineLevel="0" collapsed="false">
      <c r="B9483" s="0" t="s">
        <v>1</v>
      </c>
    </row>
    <row r="9484" customFormat="false" ht="12.8" hidden="false" customHeight="false" outlineLevel="0" collapsed="false">
      <c r="B9484" s="0" t="s">
        <v>4423</v>
      </c>
    </row>
    <row r="9486" customFormat="false" ht="12.8" hidden="false" customHeight="false" outlineLevel="0" collapsed="false">
      <c r="A9486" s="0" t="s">
        <v>4424</v>
      </c>
      <c r="B9486" s="0" t="str">
        <f aca="false">HYPERLINK("https://lindat.mff.cuni.cz/services/teitok/pdtc10/index.php?action=vallex&amp;frame=v-w1076f10_ZU", "hodit (v-w1076f10_ZU)")</f>
        <v>hodit (v-w1076f10_ZU)</v>
      </c>
    </row>
    <row r="9487" customFormat="false" ht="12.8" hidden="false" customHeight="false" outlineLevel="0" collapsed="false">
      <c r="B9487" s="0" t="s">
        <v>1</v>
      </c>
    </row>
    <row r="9488" customFormat="false" ht="12.8" hidden="false" customHeight="false" outlineLevel="0" collapsed="false">
      <c r="B9488" s="0" t="s">
        <v>8</v>
      </c>
    </row>
    <row r="9489" customFormat="false" ht="12.8" hidden="false" customHeight="false" outlineLevel="0" collapsed="false">
      <c r="B9489" s="0" t="s">
        <v>454</v>
      </c>
    </row>
    <row r="9491" customFormat="false" ht="12.8" hidden="false" customHeight="false" outlineLevel="0" collapsed="false">
      <c r="A9491" s="0" t="s">
        <v>4425</v>
      </c>
      <c r="B9491" s="0" t="str">
        <f aca="false">HYPERLINK("https://lindat.mff.cuni.cz/services/teitok/pdtc10/index.php?action=vallex&amp;frame=v-w1077f4_ZU", "hodit se (v-w1077f4_ZU)")</f>
        <v>hodit se (v-w1077f4_ZU)</v>
      </c>
    </row>
    <row r="9492" customFormat="false" ht="12.8" hidden="false" customHeight="false" outlineLevel="0" collapsed="false">
      <c r="B9492" s="0" t="s">
        <v>4426</v>
      </c>
    </row>
    <row r="9493" customFormat="false" ht="12.8" hidden="false" customHeight="false" outlineLevel="0" collapsed="false">
      <c r="B9493" s="0" t="s">
        <v>4427</v>
      </c>
    </row>
    <row r="9494" customFormat="false" ht="12.8" hidden="false" customHeight="false" outlineLevel="0" collapsed="false">
      <c r="B9494" s="0" t="s">
        <v>4428</v>
      </c>
    </row>
    <row r="9496" customFormat="false" ht="12.8" hidden="false" customHeight="false" outlineLevel="0" collapsed="false">
      <c r="A9496" s="0" t="s">
        <v>4425</v>
      </c>
      <c r="B9496" s="0" t="str">
        <f aca="false">HYPERLINK("https://lindat.mff.cuni.cz/services/teitok/pdtc10/index.php?action=vallex&amp;frame=v-w1077f1", "hodit se (v-w1077f1) - substituted with v-w1077f4_ZU")</f>
        <v>hodit se (v-w1077f1) - substituted with v-w1077f4_ZU</v>
      </c>
      <c r="E9496" s="0" t="str">
        <f aca="false">HYPERLINK("https://lindat.mff.cuni.cz/services/SynSemClass40/SynSemClass40.html?veclass=vec00960#vec00960-ces-cm00003", "vec00960")</f>
        <v>vec00960</v>
      </c>
      <c r="F9496" s="0" t="s">
        <v>4429</v>
      </c>
      <c r="H9496" s="0" t="str">
        <f aca="false">HYPERLINK("https://lindat.mff.cuni.cz/services/SynSemClass40/SynSemClass40.html?veclass=vec01523#vec01523-ces-cm00001", "vec01523")</f>
        <v>vec01523</v>
      </c>
      <c r="I9496" s="0" t="s">
        <v>4430</v>
      </c>
    </row>
    <row r="9497" customFormat="false" ht="12.8" hidden="false" customHeight="false" outlineLevel="0" collapsed="false">
      <c r="B9497" s="0" t="s">
        <v>4426</v>
      </c>
      <c r="C9497" s="0" t="s">
        <v>4431</v>
      </c>
      <c r="E9497" s="0" t="s">
        <v>4432</v>
      </c>
      <c r="F9497" s="0" t="s">
        <v>4433</v>
      </c>
      <c r="H9497" s="0" t="s">
        <v>4434</v>
      </c>
      <c r="I9497" s="0" t="s">
        <v>4435</v>
      </c>
    </row>
    <row r="9498" customFormat="false" ht="12.8" hidden="false" customHeight="false" outlineLevel="0" collapsed="false">
      <c r="B9498" s="0" t="s">
        <v>4427</v>
      </c>
      <c r="C9498" s="0" t="s">
        <v>4436</v>
      </c>
      <c r="E9498" s="0" t="s">
        <v>1930</v>
      </c>
      <c r="F9498" s="0" t="s">
        <v>4437</v>
      </c>
      <c r="H9498" s="0" t="s">
        <v>4438</v>
      </c>
      <c r="I9498" s="0" t="s">
        <v>4439</v>
      </c>
    </row>
    <row r="9499" customFormat="false" ht="12.8" hidden="false" customHeight="false" outlineLevel="0" collapsed="false">
      <c r="B9499" s="0" t="s">
        <v>4428</v>
      </c>
    </row>
    <row r="9501" customFormat="false" ht="12.8" hidden="false" customHeight="false" outlineLevel="0" collapsed="false">
      <c r="A9501" s="0" t="s">
        <v>4425</v>
      </c>
      <c r="B9501" s="0" t="str">
        <f aca="false">HYPERLINK("https://lindat.mff.cuni.cz/services/teitok/pdtc10/index.php?action=vallex&amp;frame=v-w1077f3_ZU", "hodit se (v-w1077f3_ZU) - substituted with v-w1077f4_ZU")</f>
        <v>hodit se (v-w1077f3_ZU) - substituted with v-w1077f4_ZU</v>
      </c>
    </row>
    <row r="9502" customFormat="false" ht="12.8" hidden="false" customHeight="false" outlineLevel="0" collapsed="false">
      <c r="B9502" s="0" t="s">
        <v>4426</v>
      </c>
    </row>
    <row r="9503" customFormat="false" ht="12.8" hidden="false" customHeight="false" outlineLevel="0" collapsed="false">
      <c r="B9503" s="0" t="s">
        <v>4427</v>
      </c>
    </row>
    <row r="9504" customFormat="false" ht="12.8" hidden="false" customHeight="false" outlineLevel="0" collapsed="false">
      <c r="B9504" s="0" t="s">
        <v>4428</v>
      </c>
    </row>
    <row r="9506" customFormat="false" ht="12.8" hidden="false" customHeight="false" outlineLevel="0" collapsed="false">
      <c r="A9506" s="0" t="s">
        <v>4440</v>
      </c>
      <c r="B9506" s="0" t="str">
        <f aca="false">HYPERLINK("https://lindat.mff.cuni.cz/services/teitok/pdtc10/index.php?action=vallex&amp;frame=v-w1077f2", "hodit se (v-w1077f2)")</f>
        <v>hodit se (v-w1077f2)</v>
      </c>
      <c r="E9506" s="0" t="str">
        <f aca="false">HYPERLINK("https://lindat.mff.cuni.cz/services/SynSemClass40/SynSemClass40.html?veclass=vec01523#vec01523-ces-cm00002", "vec01523")</f>
        <v>vec01523</v>
      </c>
      <c r="F9506" s="0" t="s">
        <v>4430</v>
      </c>
    </row>
    <row r="9507" customFormat="false" ht="12.8" hidden="false" customHeight="false" outlineLevel="0" collapsed="false">
      <c r="B9507" s="0" t="s">
        <v>629</v>
      </c>
      <c r="C9507" s="0" t="s">
        <v>4441</v>
      </c>
      <c r="E9507" s="0" t="s">
        <v>4434</v>
      </c>
      <c r="F9507" s="0" t="s">
        <v>4435</v>
      </c>
    </row>
    <row r="9508" customFormat="false" ht="12.8" hidden="false" customHeight="false" outlineLevel="0" collapsed="false">
      <c r="B9508" s="0" t="s">
        <v>164</v>
      </c>
      <c r="C9508" s="0" t="s">
        <v>4442</v>
      </c>
      <c r="E9508" s="0" t="s">
        <v>4443</v>
      </c>
      <c r="F9508" s="0" t="s">
        <v>4444</v>
      </c>
    </row>
    <row r="9510" customFormat="false" ht="12.8" hidden="false" customHeight="false" outlineLevel="0" collapsed="false">
      <c r="A9510" s="0" t="s">
        <v>4445</v>
      </c>
      <c r="B9510" s="0" t="str">
        <f aca="false">HYPERLINK("https://lindat.mff.cuni.cz/services/teitok/pdtc10/index.php?action=vallex&amp;frame=v-w1077f5_ZU", "hodit se (v-w1077f5_ZU)")</f>
        <v>hodit se (v-w1077f5_ZU)</v>
      </c>
    </row>
    <row r="9511" customFormat="false" ht="12.8" hidden="false" customHeight="false" outlineLevel="0" collapsed="false">
      <c r="B9511" s="0" t="s">
        <v>1</v>
      </c>
    </row>
    <row r="9512" customFormat="false" ht="12.8" hidden="false" customHeight="false" outlineLevel="0" collapsed="false">
      <c r="B9512" s="0" t="s">
        <v>4446</v>
      </c>
    </row>
    <row r="9514" customFormat="false" ht="12.8" hidden="false" customHeight="false" outlineLevel="0" collapsed="false">
      <c r="A9514" s="0" t="s">
        <v>4445</v>
      </c>
      <c r="B9514" s="0" t="str">
        <f aca="false">HYPERLINK("https://lindat.mff.cuni.cz/services/teitok/pdtc10/index.php?action=vallex&amp;frame=v-w1077hsa_367", "hodit se (v-w1077hsa_367) - substituted with v-w1077f5_ZU")</f>
        <v>hodit se (v-w1077hsa_367) - substituted with v-w1077f5_ZU</v>
      </c>
      <c r="E9514" s="0" t="str">
        <f aca="false">HYPERLINK("https://lindat.mff.cuni.cz/services/SynSemClass40/SynSemClass40.html?veclass=vec00821#vec00821-ces-cm00001", "vec00821")</f>
        <v>vec00821</v>
      </c>
      <c r="F9514" s="0" t="s">
        <v>4447</v>
      </c>
      <c r="H9514" s="0" t="str">
        <f aca="false">HYPERLINK("https://lindat.mff.cuni.cz/services/SynSemClass40/SynSemClass40.html?veclass=vec01523#vec01523-ces-cm00003", "vec01523")</f>
        <v>vec01523</v>
      </c>
      <c r="I9514" s="0" t="s">
        <v>4430</v>
      </c>
    </row>
    <row r="9515" customFormat="false" ht="12.8" hidden="false" customHeight="false" outlineLevel="0" collapsed="false">
      <c r="B9515" s="0" t="s">
        <v>1</v>
      </c>
      <c r="C9515" s="0" t="s">
        <v>4448</v>
      </c>
      <c r="E9515" s="0" t="s">
        <v>4432</v>
      </c>
      <c r="F9515" s="0" t="s">
        <v>4449</v>
      </c>
      <c r="H9515" s="0" t="s">
        <v>4434</v>
      </c>
      <c r="I9515" s="0" t="s">
        <v>4435</v>
      </c>
    </row>
    <row r="9516" customFormat="false" ht="12.8" hidden="false" customHeight="false" outlineLevel="0" collapsed="false">
      <c r="B9516" s="0" t="s">
        <v>4446</v>
      </c>
      <c r="C9516" s="0" t="s">
        <v>4450</v>
      </c>
      <c r="E9516" s="0" t="s">
        <v>4451</v>
      </c>
      <c r="F9516" s="0" t="s">
        <v>4452</v>
      </c>
      <c r="H9516" s="0" t="s">
        <v>4438</v>
      </c>
      <c r="I9516" s="0" t="s">
        <v>4439</v>
      </c>
    </row>
    <row r="9518" customFormat="false" ht="12.8" hidden="false" customHeight="false" outlineLevel="0" collapsed="false">
      <c r="A9518" s="0" t="s">
        <v>4453</v>
      </c>
      <c r="B9518" s="0" t="str">
        <f aca="false">HYPERLINK("https://lindat.mff.cuni.cz/services/teitok/pdtc10/index.php?action=vallex&amp;frame=v-w1081f2", "hodnotit (v-w1081f2)")</f>
        <v>hodnotit (v-w1081f2)</v>
      </c>
      <c r="E9518" s="0" t="str">
        <f aca="false">HYPERLINK("https://lindat.mff.cuni.cz/services/SynSemClass40/SynSemClass40.html?veclass=vec00159#vec00159-ces-cm00004", "vec00159")</f>
        <v>vec00159</v>
      </c>
      <c r="F9518" s="0" t="s">
        <v>4454</v>
      </c>
    </row>
    <row r="9519" customFormat="false" ht="12.8" hidden="false" customHeight="false" outlineLevel="0" collapsed="false">
      <c r="B9519" s="0" t="s">
        <v>1</v>
      </c>
      <c r="C9519" s="0" t="s">
        <v>4134</v>
      </c>
      <c r="E9519" s="0" t="s">
        <v>4455</v>
      </c>
      <c r="F9519" s="0" t="s">
        <v>4456</v>
      </c>
    </row>
    <row r="9520" customFormat="false" ht="12.8" hidden="false" customHeight="false" outlineLevel="0" collapsed="false">
      <c r="B9520" s="0" t="s">
        <v>8</v>
      </c>
      <c r="C9520" s="0" t="s">
        <v>2380</v>
      </c>
      <c r="E9520" s="0" t="s">
        <v>180</v>
      </c>
      <c r="F9520" s="0" t="s">
        <v>4457</v>
      </c>
    </row>
    <row r="9521" customFormat="false" ht="12.8" hidden="false" customHeight="false" outlineLevel="0" collapsed="false">
      <c r="B9521" s="0" t="s">
        <v>4458</v>
      </c>
      <c r="E9521" s="0" t="s">
        <v>1350</v>
      </c>
      <c r="F9521" s="0" t="s">
        <v>4459</v>
      </c>
    </row>
    <row r="9523" customFormat="false" ht="12.8" hidden="false" customHeight="false" outlineLevel="0" collapsed="false">
      <c r="A9523" s="0" t="s">
        <v>4460</v>
      </c>
      <c r="B9523" s="0" t="str">
        <f aca="false">HYPERLINK("https://lindat.mff.cuni.cz/services/teitok/pdtc10/index.php?action=vallex&amp;frame=v-w1081f3_ZU", "hodnotit (v-w1081f3_ZU)")</f>
        <v>hodnotit (v-w1081f3_ZU)</v>
      </c>
      <c r="E9523" s="0" t="str">
        <f aca="false">HYPERLINK("https://lindat.mff.cuni.cz/services/SynSemClass40/SynSemClass40.html?veclass=vec00322#vec00322-ces-cm00119", "vec00322")</f>
        <v>vec00322</v>
      </c>
      <c r="F9523" s="0" t="s">
        <v>1343</v>
      </c>
    </row>
    <row r="9524" customFormat="false" ht="12.8" hidden="false" customHeight="false" outlineLevel="0" collapsed="false">
      <c r="B9524" s="0" t="s">
        <v>1</v>
      </c>
      <c r="C9524" s="0" t="s">
        <v>1344</v>
      </c>
      <c r="E9524" s="0" t="s">
        <v>206</v>
      </c>
      <c r="F9524" s="0" t="s">
        <v>1345</v>
      </c>
    </row>
    <row r="9525" customFormat="false" ht="12.8" hidden="false" customHeight="false" outlineLevel="0" collapsed="false">
      <c r="B9525" s="0" t="s">
        <v>8</v>
      </c>
      <c r="C9525" s="0" t="s">
        <v>1346</v>
      </c>
      <c r="E9525" s="0" t="s">
        <v>1347</v>
      </c>
      <c r="F9525" s="0" t="s">
        <v>1348</v>
      </c>
    </row>
    <row r="9526" customFormat="false" ht="12.8" hidden="false" customHeight="false" outlineLevel="0" collapsed="false">
      <c r="B9526" s="0" t="s">
        <v>2207</v>
      </c>
      <c r="C9526" s="0" t="s">
        <v>1349</v>
      </c>
      <c r="E9526" s="0" t="s">
        <v>1350</v>
      </c>
      <c r="F9526" s="0" t="s">
        <v>1351</v>
      </c>
    </row>
    <row r="9528" customFormat="false" ht="12.8" hidden="false" customHeight="false" outlineLevel="0" collapsed="false">
      <c r="A9528" s="0" t="s">
        <v>4461</v>
      </c>
      <c r="B9528" s="0" t="str">
        <f aca="false">HYPERLINK("https://lindat.mff.cuni.cz/services/teitok/pdtc10/index.php?action=vallex&amp;frame=v-w1081hsa_1847", "hodnotit (v-w1081hsa_1847)")</f>
        <v>hodnotit (v-w1081hsa_1847)</v>
      </c>
    </row>
    <row r="9529" customFormat="false" ht="12.8" hidden="false" customHeight="false" outlineLevel="0" collapsed="false">
      <c r="B9529" s="0" t="s">
        <v>1</v>
      </c>
    </row>
    <row r="9530" customFormat="false" ht="12.8" hidden="false" customHeight="false" outlineLevel="0" collapsed="false">
      <c r="B9530" s="0" t="s">
        <v>4462</v>
      </c>
    </row>
    <row r="9532" customFormat="false" ht="12.8" hidden="false" customHeight="false" outlineLevel="0" collapsed="false">
      <c r="A9532" s="0" t="s">
        <v>4461</v>
      </c>
      <c r="B9532" s="0" t="str">
        <f aca="false">HYPERLINK("https://lindat.mff.cuni.cz/services/teitok/pdtc10/index.php?action=vallex&amp;frame=v-w1081f1", "hodnotit (v-w1081f1) - substituted with v-w1081hsa_1847")</f>
        <v>hodnotit (v-w1081f1) - substituted with v-w1081hsa_1847</v>
      </c>
      <c r="E9532" s="0" t="str">
        <f aca="false">HYPERLINK("https://lindat.mff.cuni.cz/services/SynSemClass40/SynSemClass40.html?veclass=vec00159#vec00159-ces-cm00003", "vec00159")</f>
        <v>vec00159</v>
      </c>
      <c r="F9532" s="0" t="s">
        <v>4454</v>
      </c>
    </row>
    <row r="9533" customFormat="false" ht="12.8" hidden="false" customHeight="false" outlineLevel="0" collapsed="false">
      <c r="B9533" s="0" t="s">
        <v>1</v>
      </c>
      <c r="C9533" s="0" t="s">
        <v>4134</v>
      </c>
      <c r="E9533" s="0" t="s">
        <v>4455</v>
      </c>
      <c r="F9533" s="0" t="s">
        <v>4456</v>
      </c>
    </row>
    <row r="9534" customFormat="false" ht="12.8" hidden="false" customHeight="false" outlineLevel="0" collapsed="false">
      <c r="B9534" s="0" t="s">
        <v>4462</v>
      </c>
      <c r="C9534" s="0" t="s">
        <v>2380</v>
      </c>
      <c r="E9534" s="0" t="s">
        <v>180</v>
      </c>
      <c r="F9534" s="0" t="s">
        <v>4457</v>
      </c>
    </row>
    <row r="9536" customFormat="false" ht="12.8" hidden="false" customHeight="false" outlineLevel="0" collapsed="false">
      <c r="A9536" s="0" t="s">
        <v>4463</v>
      </c>
      <c r="B9536" s="0" t="str">
        <f aca="false">HYPERLINK("https://lindat.mff.cuni.cz/services/teitok/pdtc10/index.php?action=vallex&amp;frame=v-whsb_1009hsa_1010", "hodovat (v-whsb_1009hsa_1010)")</f>
        <v>hodovat (v-whsb_1009hsa_1010)</v>
      </c>
    </row>
    <row r="9537" customFormat="false" ht="12.8" hidden="false" customHeight="false" outlineLevel="0" collapsed="false">
      <c r="B9537" s="0" t="s">
        <v>1</v>
      </c>
    </row>
    <row r="9539" customFormat="false" ht="12.8" hidden="false" customHeight="false" outlineLevel="0" collapsed="false">
      <c r="A9539" s="0" t="s">
        <v>4464</v>
      </c>
      <c r="B9539" s="0" t="str">
        <f aca="false">HYPERLINK("https://lindat.mff.cuni.cz/services/teitok/pdtc10/index.php?action=vallex&amp;frame=v-w1083f1", "hojit se (v-w1083f1)")</f>
        <v>hojit se (v-w1083f1)</v>
      </c>
    </row>
    <row r="9540" customFormat="false" ht="12.8" hidden="false" customHeight="false" outlineLevel="0" collapsed="false">
      <c r="B9540" s="0" t="s">
        <v>1</v>
      </c>
    </row>
    <row r="9542" customFormat="false" ht="12.8" hidden="false" customHeight="false" outlineLevel="0" collapsed="false">
      <c r="A9542" s="0" t="s">
        <v>4465</v>
      </c>
      <c r="B9542" s="0" t="str">
        <f aca="false">HYPERLINK("https://lindat.mff.cuni.cz/services/teitok/pdtc10/index.php?action=vallex&amp;frame=v-w1084f1", "holdovat (v-w1084f1)")</f>
        <v>holdovat (v-w1084f1)</v>
      </c>
    </row>
    <row r="9543" customFormat="false" ht="12.8" hidden="false" customHeight="false" outlineLevel="0" collapsed="false">
      <c r="B9543" s="0" t="s">
        <v>1</v>
      </c>
    </row>
    <row r="9544" customFormat="false" ht="12.8" hidden="false" customHeight="false" outlineLevel="0" collapsed="false">
      <c r="B9544" s="0" t="s">
        <v>186</v>
      </c>
    </row>
    <row r="9546" customFormat="false" ht="12.8" hidden="false" customHeight="false" outlineLevel="0" collapsed="false">
      <c r="A9546" s="0" t="s">
        <v>4466</v>
      </c>
      <c r="B9546" s="0" t="str">
        <f aca="false">HYPERLINK("https://lindat.mff.cuni.cz/services/teitok/pdtc10/index.php?action=vallex&amp;frame=v-w1085f1", "holedbat se (v-w1085f1)")</f>
        <v>holedbat se (v-w1085f1)</v>
      </c>
      <c r="E9546" s="0" t="str">
        <f aca="false">HYPERLINK("https://lindat.mff.cuni.cz/services/SynSemClass40/SynSemClass40.html?veclass=vec00418#vec00418-ces-cm00002", "vec00418")</f>
        <v>vec00418</v>
      </c>
      <c r="F9546" s="0" t="s">
        <v>1385</v>
      </c>
    </row>
    <row r="9547" customFormat="false" ht="12.8" hidden="false" customHeight="false" outlineLevel="0" collapsed="false">
      <c r="B9547" s="0" t="s">
        <v>1</v>
      </c>
      <c r="C9547" s="0" t="s">
        <v>255</v>
      </c>
      <c r="E9547" s="0" t="s">
        <v>1386</v>
      </c>
      <c r="F9547" s="0" t="s">
        <v>1387</v>
      </c>
    </row>
    <row r="9548" customFormat="false" ht="12.8" hidden="false" customHeight="false" outlineLevel="0" collapsed="false">
      <c r="B9548" s="0" t="s">
        <v>380</v>
      </c>
      <c r="C9548" s="0" t="s">
        <v>1388</v>
      </c>
      <c r="E9548" s="0" t="s">
        <v>1389</v>
      </c>
      <c r="F9548" s="0" t="s">
        <v>1390</v>
      </c>
    </row>
    <row r="9549" customFormat="false" ht="12.8" hidden="false" customHeight="false" outlineLevel="0" collapsed="false">
      <c r="B9549" s="0" t="s">
        <v>4248</v>
      </c>
      <c r="C9549" s="0" t="s">
        <v>1391</v>
      </c>
      <c r="E9549" s="0" t="s">
        <v>1392</v>
      </c>
      <c r="F9549" s="0" t="s">
        <v>1393</v>
      </c>
    </row>
    <row r="9551" customFormat="false" ht="12.8" hidden="false" customHeight="false" outlineLevel="0" collapsed="false">
      <c r="A9551" s="0" t="s">
        <v>4467</v>
      </c>
      <c r="B9551" s="0" t="str">
        <f aca="false">HYPERLINK("https://lindat.mff.cuni.cz/services/teitok/pdtc10/index.php?action=vallex&amp;frame=v-w1086f1", "holit (v-w1086f1)")</f>
        <v>holit (v-w1086f1)</v>
      </c>
    </row>
    <row r="9552" customFormat="false" ht="12.8" hidden="false" customHeight="false" outlineLevel="0" collapsed="false">
      <c r="B9552" s="0" t="s">
        <v>1</v>
      </c>
    </row>
    <row r="9553" customFormat="false" ht="12.8" hidden="false" customHeight="false" outlineLevel="0" collapsed="false">
      <c r="B9553" s="0" t="s">
        <v>8</v>
      </c>
    </row>
    <row r="9555" customFormat="false" ht="12.8" hidden="false" customHeight="false" outlineLevel="0" collapsed="false">
      <c r="A9555" s="0" t="s">
        <v>4468</v>
      </c>
      <c r="B9555" s="0" t="str">
        <f aca="false">HYPERLINK("https://lindat.mff.cuni.cz/services/teitok/pdtc10/index.php?action=vallex&amp;frame=v-w1088f1", "homologovat (v-w1088f1)")</f>
        <v>homologovat (v-w1088f1)</v>
      </c>
    </row>
    <row r="9556" customFormat="false" ht="12.8" hidden="false" customHeight="false" outlineLevel="0" collapsed="false">
      <c r="B9556" s="0" t="s">
        <v>1</v>
      </c>
    </row>
    <row r="9557" customFormat="false" ht="12.8" hidden="false" customHeight="false" outlineLevel="0" collapsed="false">
      <c r="B9557" s="0" t="s">
        <v>8</v>
      </c>
    </row>
    <row r="9559" customFormat="false" ht="12.8" hidden="false" customHeight="false" outlineLevel="0" collapsed="false">
      <c r="A9559" s="0" t="s">
        <v>4469</v>
      </c>
      <c r="B9559" s="0" t="str">
        <f aca="false">HYPERLINK("https://lindat.mff.cuni.cz/services/teitok/pdtc10/index.php?action=vallex&amp;frame=v-w1091f1", "honit (v-w1091f1)")</f>
        <v>honit (v-w1091f1)</v>
      </c>
      <c r="E9559" s="0" t="str">
        <f aca="false">HYPERLINK("https://lindat.mff.cuni.cz/services/SynSemClass40/SynSemClass40.html?veclass=vec00687#vec00687-ces-cm00002", "vec00687")</f>
        <v>vec00687</v>
      </c>
      <c r="F9559" s="0" t="s">
        <v>4470</v>
      </c>
    </row>
    <row r="9560" customFormat="false" ht="12.8" hidden="false" customHeight="false" outlineLevel="0" collapsed="false">
      <c r="B9560" s="0" t="s">
        <v>1</v>
      </c>
      <c r="C9560" s="0" t="s">
        <v>4471</v>
      </c>
      <c r="E9560" s="0" t="s">
        <v>2291</v>
      </c>
      <c r="F9560" s="0" t="s">
        <v>4472</v>
      </c>
    </row>
    <row r="9561" customFormat="false" ht="12.8" hidden="false" customHeight="false" outlineLevel="0" collapsed="false">
      <c r="B9561" s="0" t="s">
        <v>8</v>
      </c>
      <c r="C9561" s="0" t="s">
        <v>4473</v>
      </c>
      <c r="E9561" s="0" t="s">
        <v>384</v>
      </c>
      <c r="F9561" s="0" t="s">
        <v>4474</v>
      </c>
    </row>
    <row r="9563" customFormat="false" ht="12.8" hidden="false" customHeight="false" outlineLevel="0" collapsed="false">
      <c r="A9563" s="0" t="s">
        <v>4475</v>
      </c>
      <c r="B9563" s="0" t="str">
        <f aca="false">HYPERLINK("https://lindat.mff.cuni.cz/services/teitok/pdtc10/index.php?action=vallex&amp;frame=v-w1091f3_ZU", "honit (v-w1091f3_ZU)")</f>
        <v>honit (v-w1091f3_ZU)</v>
      </c>
    </row>
    <row r="9564" customFormat="false" ht="12.8" hidden="false" customHeight="false" outlineLevel="0" collapsed="false">
      <c r="B9564" s="0" t="s">
        <v>1</v>
      </c>
    </row>
    <row r="9565" customFormat="false" ht="12.8" hidden="false" customHeight="false" outlineLevel="0" collapsed="false">
      <c r="B9565" s="0" t="s">
        <v>4476</v>
      </c>
    </row>
    <row r="9566" customFormat="false" ht="12.8" hidden="false" customHeight="false" outlineLevel="0" collapsed="false">
      <c r="B9566" s="0" t="s">
        <v>98</v>
      </c>
    </row>
    <row r="9568" customFormat="false" ht="12.8" hidden="false" customHeight="false" outlineLevel="0" collapsed="false">
      <c r="A9568" s="0" t="s">
        <v>4475</v>
      </c>
      <c r="B9568" s="0" t="str">
        <f aca="false">HYPERLINK("https://lindat.mff.cuni.cz/services/teitok/pdtc10/index.php?action=vallex&amp;frame=v-w1091f2_ZU", "honit (v-w1091f2_ZU) - substituted with v-w1091f3_ZU")</f>
        <v>honit (v-w1091f2_ZU) - substituted with v-w1091f3_ZU</v>
      </c>
    </row>
    <row r="9569" customFormat="false" ht="12.8" hidden="false" customHeight="false" outlineLevel="0" collapsed="false">
      <c r="B9569" s="0" t="s">
        <v>1</v>
      </c>
    </row>
    <row r="9570" customFormat="false" ht="12.8" hidden="false" customHeight="false" outlineLevel="0" collapsed="false">
      <c r="B9570" s="0" t="s">
        <v>4476</v>
      </c>
    </row>
    <row r="9571" customFormat="false" ht="12.8" hidden="false" customHeight="false" outlineLevel="0" collapsed="false">
      <c r="B9571" s="0" t="s">
        <v>98</v>
      </c>
    </row>
    <row r="9573" customFormat="false" ht="12.8" hidden="false" customHeight="false" outlineLevel="0" collapsed="false">
      <c r="A9573" s="0" t="s">
        <v>4475</v>
      </c>
      <c r="B9573" s="0" t="str">
        <f aca="false">HYPERLINK("https://lindat.mff.cuni.cz/services/teitok/pdtc10/index.php?action=vallex&amp;frame=v-w1091hsa_1817", "honit (v-w1091hsa_1817) - substituted with v-w1091f3_ZU")</f>
        <v>honit (v-w1091hsa_1817) - substituted with v-w1091f3_ZU</v>
      </c>
    </row>
    <row r="9574" customFormat="false" ht="12.8" hidden="false" customHeight="false" outlineLevel="0" collapsed="false">
      <c r="B9574" s="0" t="s">
        <v>1</v>
      </c>
    </row>
    <row r="9575" customFormat="false" ht="12.8" hidden="false" customHeight="false" outlineLevel="0" collapsed="false">
      <c r="B9575" s="0" t="s">
        <v>4476</v>
      </c>
    </row>
    <row r="9576" customFormat="false" ht="12.8" hidden="false" customHeight="false" outlineLevel="0" collapsed="false">
      <c r="B9576" s="0" t="s">
        <v>98</v>
      </c>
    </row>
    <row r="9578" customFormat="false" ht="12.8" hidden="false" customHeight="false" outlineLevel="0" collapsed="false">
      <c r="A9578" s="0" t="s">
        <v>4477</v>
      </c>
      <c r="B9578" s="0" t="str">
        <f aca="false">HYPERLINK("https://lindat.mff.cuni.cz/services/teitok/pdtc10/index.php?action=vallex&amp;frame=v-w1091hsa_1815", "honit (v-w1091hsa_1815)")</f>
        <v>honit (v-w1091hsa_1815)</v>
      </c>
    </row>
    <row r="9579" customFormat="false" ht="12.8" hidden="false" customHeight="false" outlineLevel="0" collapsed="false">
      <c r="B9579" s="0" t="s">
        <v>1</v>
      </c>
    </row>
    <row r="9580" customFormat="false" ht="12.8" hidden="false" customHeight="false" outlineLevel="0" collapsed="false">
      <c r="B9580" s="0" t="s">
        <v>8</v>
      </c>
    </row>
    <row r="9582" customFormat="false" ht="12.8" hidden="false" customHeight="false" outlineLevel="0" collapsed="false">
      <c r="A9582" s="0" t="s">
        <v>4478</v>
      </c>
      <c r="B9582" s="0" t="str">
        <f aca="false">HYPERLINK("https://lindat.mff.cuni.cz/services/teitok/pdtc10/index.php?action=vallex&amp;frame=v-w1091hsa_1816", "honit (v-w1091hsa_1816)")</f>
        <v>honit (v-w1091hsa_1816)</v>
      </c>
    </row>
    <row r="9583" customFormat="false" ht="12.8" hidden="false" customHeight="false" outlineLevel="0" collapsed="false">
      <c r="B9583" s="0" t="s">
        <v>1</v>
      </c>
    </row>
    <row r="9584" customFormat="false" ht="12.8" hidden="false" customHeight="false" outlineLevel="0" collapsed="false">
      <c r="B9584" s="0" t="s">
        <v>8</v>
      </c>
    </row>
    <row r="9586" customFormat="false" ht="12.8" hidden="false" customHeight="false" outlineLevel="0" collapsed="false">
      <c r="A9586" s="0" t="s">
        <v>4479</v>
      </c>
      <c r="B9586" s="0" t="str">
        <f aca="false">HYPERLINK("https://lindat.mff.cuni.cz/services/teitok/pdtc10/index.php?action=vallex&amp;frame=v-w1092f1", "honit se (v-w1092f1)")</f>
        <v>honit se (v-w1092f1)</v>
      </c>
      <c r="E9586" s="0" t="str">
        <f aca="false">HYPERLINK("https://lindat.mff.cuni.cz/services/SynSemClass40/SynSemClass40.html?veclass=vec00687#vec00687-ces-cm00017", "vec00687")</f>
        <v>vec00687</v>
      </c>
      <c r="F9586" s="0" t="s">
        <v>4470</v>
      </c>
    </row>
    <row r="9587" customFormat="false" ht="12.8" hidden="false" customHeight="false" outlineLevel="0" collapsed="false">
      <c r="B9587" s="0" t="s">
        <v>1</v>
      </c>
      <c r="C9587" s="0" t="s">
        <v>4471</v>
      </c>
      <c r="E9587" s="0" t="s">
        <v>2291</v>
      </c>
      <c r="F9587" s="0" t="s">
        <v>4472</v>
      </c>
    </row>
    <row r="9588" customFormat="false" ht="12.8" hidden="false" customHeight="false" outlineLevel="0" collapsed="false">
      <c r="B9588" s="0" t="s">
        <v>4480</v>
      </c>
      <c r="C9588" s="0" t="s">
        <v>4473</v>
      </c>
      <c r="E9588" s="0" t="s">
        <v>384</v>
      </c>
      <c r="F9588" s="0" t="s">
        <v>4474</v>
      </c>
    </row>
    <row r="9590" customFormat="false" ht="12.8" hidden="false" customHeight="false" outlineLevel="0" collapsed="false">
      <c r="A9590" s="0" t="s">
        <v>4481</v>
      </c>
      <c r="B9590" s="0" t="str">
        <f aca="false">HYPERLINK("https://lindat.mff.cuni.cz/services/teitok/pdtc10/index.php?action=vallex&amp;frame=v-w1092f4", "honit se (v-w1092f4)")</f>
        <v>honit se (v-w1092f4)</v>
      </c>
    </row>
    <row r="9591" customFormat="false" ht="12.8" hidden="false" customHeight="false" outlineLevel="0" collapsed="false">
      <c r="B9591" s="0" t="s">
        <v>1</v>
      </c>
    </row>
    <row r="9592" customFormat="false" ht="12.8" hidden="false" customHeight="false" outlineLevel="0" collapsed="false">
      <c r="B9592" s="0" t="s">
        <v>4480</v>
      </c>
    </row>
    <row r="9594" customFormat="false" ht="12.8" hidden="false" customHeight="false" outlineLevel="0" collapsed="false">
      <c r="A9594" s="0" t="s">
        <v>4482</v>
      </c>
      <c r="B9594" s="0" t="str">
        <f aca="false">HYPERLINK("https://lindat.mff.cuni.cz/services/teitok/pdtc10/index.php?action=vallex&amp;frame=v-w1092f2", "honit se (v-w1092f2)")</f>
        <v>honit se (v-w1092f2)</v>
      </c>
    </row>
    <row r="9595" customFormat="false" ht="12.8" hidden="false" customHeight="false" outlineLevel="0" collapsed="false">
      <c r="B9595" s="0" t="s">
        <v>1</v>
      </c>
    </row>
    <row r="9597" customFormat="false" ht="12.8" hidden="false" customHeight="false" outlineLevel="0" collapsed="false">
      <c r="A9597" s="0" t="s">
        <v>4483</v>
      </c>
      <c r="B9597" s="0" t="str">
        <f aca="false">HYPERLINK("https://lindat.mff.cuni.cz/services/teitok/pdtc10/index.php?action=vallex&amp;frame=v-w1092f3", "honit se (v-w1092f3)")</f>
        <v>honit se (v-w1092f3)</v>
      </c>
    </row>
    <row r="9598" customFormat="false" ht="12.8" hidden="false" customHeight="false" outlineLevel="0" collapsed="false">
      <c r="B9598" s="0" t="s">
        <v>1</v>
      </c>
    </row>
    <row r="9600" customFormat="false" ht="12.8" hidden="false" customHeight="false" outlineLevel="0" collapsed="false">
      <c r="A9600" s="0" t="s">
        <v>4484</v>
      </c>
      <c r="B9600" s="0" t="str">
        <f aca="false">HYPERLINK("https://lindat.mff.cuni.cz/services/teitok/pdtc10/index.php?action=vallex&amp;frame=v-w1093f1", "honorovat (v-w1093f1)")</f>
        <v>honorovat (v-w1093f1)</v>
      </c>
    </row>
    <row r="9601" customFormat="false" ht="12.8" hidden="false" customHeight="false" outlineLevel="0" collapsed="false">
      <c r="B9601" s="0" t="s">
        <v>1</v>
      </c>
    </row>
    <row r="9602" customFormat="false" ht="12.8" hidden="false" customHeight="false" outlineLevel="0" collapsed="false">
      <c r="B9602" s="0" t="s">
        <v>8</v>
      </c>
    </row>
    <row r="9604" customFormat="false" ht="12.8" hidden="false" customHeight="false" outlineLevel="0" collapsed="false">
      <c r="A9604" s="0" t="s">
        <v>4485</v>
      </c>
      <c r="B9604" s="0" t="str">
        <f aca="false">HYPERLINK("https://lindat.mff.cuni.cz/services/teitok/pdtc10/index.php?action=vallex&amp;frame=v-w1094f1", "honosit se (v-w1094f1)")</f>
        <v>honosit se (v-w1094f1)</v>
      </c>
    </row>
    <row r="9605" customFormat="false" ht="12.8" hidden="false" customHeight="false" outlineLevel="0" collapsed="false">
      <c r="B9605" s="0" t="s">
        <v>1</v>
      </c>
    </row>
    <row r="9606" customFormat="false" ht="12.8" hidden="false" customHeight="false" outlineLevel="0" collapsed="false">
      <c r="B9606" s="0" t="s">
        <v>4486</v>
      </c>
    </row>
    <row r="9607" customFormat="false" ht="12.8" hidden="false" customHeight="false" outlineLevel="0" collapsed="false">
      <c r="B9607" s="0" t="s">
        <v>4487</v>
      </c>
    </row>
    <row r="9609" customFormat="false" ht="12.8" hidden="false" customHeight="false" outlineLevel="0" collapsed="false">
      <c r="A9609" s="0" t="s">
        <v>4488</v>
      </c>
      <c r="B9609" s="0" t="str">
        <f aca="false">HYPERLINK("https://lindat.mff.cuni.cz/services/teitok/pdtc10/index.php?action=vallex&amp;frame=v-whsa_226hsa_227", "hopsat (v-whsa_226hsa_227)")</f>
        <v>hopsat (v-whsa_226hsa_227)</v>
      </c>
    </row>
    <row r="9610" customFormat="false" ht="12.8" hidden="false" customHeight="false" outlineLevel="0" collapsed="false">
      <c r="B9610" s="0" t="s">
        <v>1</v>
      </c>
    </row>
    <row r="9612" customFormat="false" ht="12.8" hidden="false" customHeight="false" outlineLevel="0" collapsed="false">
      <c r="A9612" s="0" t="s">
        <v>4489</v>
      </c>
      <c r="B9612" s="0" t="str">
        <f aca="false">HYPERLINK("https://lindat.mff.cuni.cz/services/teitok/pdtc10/index.php?action=vallex&amp;frame=v-w1095f1", "horlit (v-w1095f1)")</f>
        <v>horlit (v-w1095f1)</v>
      </c>
    </row>
    <row r="9613" customFormat="false" ht="12.8" hidden="false" customHeight="false" outlineLevel="0" collapsed="false">
      <c r="B9613" s="0" t="s">
        <v>1</v>
      </c>
    </row>
    <row r="9614" customFormat="false" ht="12.8" hidden="false" customHeight="false" outlineLevel="0" collapsed="false">
      <c r="B9614" s="0" t="s">
        <v>504</v>
      </c>
    </row>
    <row r="9616" customFormat="false" ht="12.8" hidden="false" customHeight="false" outlineLevel="0" collapsed="false">
      <c r="A9616" s="0" t="s">
        <v>4490</v>
      </c>
      <c r="B9616" s="0" t="str">
        <f aca="false">HYPERLINK("https://lindat.mff.cuni.cz/services/teitok/pdtc10/index.php?action=vallex&amp;frame=v-w1095f2", "horlit (v-w1095f2)")</f>
        <v>horlit (v-w1095f2)</v>
      </c>
    </row>
    <row r="9617" customFormat="false" ht="12.8" hidden="false" customHeight="false" outlineLevel="0" collapsed="false">
      <c r="B9617" s="0" t="s">
        <v>1</v>
      </c>
    </row>
    <row r="9618" customFormat="false" ht="12.8" hidden="false" customHeight="false" outlineLevel="0" collapsed="false">
      <c r="B9618" s="0" t="s">
        <v>4491</v>
      </c>
    </row>
    <row r="9620" customFormat="false" ht="12.8" hidden="false" customHeight="false" outlineLevel="0" collapsed="false">
      <c r="A9620" s="0" t="s">
        <v>4492</v>
      </c>
      <c r="B9620" s="0" t="str">
        <f aca="false">HYPERLINK("https://lindat.mff.cuni.cz/services/teitok/pdtc10/index.php?action=vallex&amp;frame=v-w10907f2", "horovat (v-w10907f2)")</f>
        <v>horovat (v-w10907f2)</v>
      </c>
    </row>
    <row r="9621" customFormat="false" ht="12.8" hidden="false" customHeight="false" outlineLevel="0" collapsed="false">
      <c r="B9621" s="0" t="s">
        <v>1</v>
      </c>
    </row>
    <row r="9622" customFormat="false" ht="12.8" hidden="false" customHeight="false" outlineLevel="0" collapsed="false">
      <c r="B9622" s="0" t="s">
        <v>318</v>
      </c>
    </row>
    <row r="9624" customFormat="false" ht="12.8" hidden="false" customHeight="false" outlineLevel="0" collapsed="false">
      <c r="A9624" s="0" t="s">
        <v>4493</v>
      </c>
      <c r="B9624" s="0" t="str">
        <f aca="false">HYPERLINK("https://lindat.mff.cuni.cz/services/teitok/pdtc10/index.php?action=vallex&amp;frame=v-w12045_ZUf1_ZU", "horšit se (v-w12045_ZUf1_ZU)")</f>
        <v>horšit se (v-w12045_ZUf1_ZU)</v>
      </c>
    </row>
    <row r="9625" customFormat="false" ht="12.8" hidden="false" customHeight="false" outlineLevel="0" collapsed="false">
      <c r="B9625" s="0" t="s">
        <v>1</v>
      </c>
    </row>
    <row r="9627" customFormat="false" ht="12.8" hidden="false" customHeight="false" outlineLevel="0" collapsed="false">
      <c r="A9627" s="0" t="s">
        <v>4494</v>
      </c>
      <c r="B9627" s="0" t="str">
        <f aca="false">HYPERLINK("https://lindat.mff.cuni.cz/services/teitok/pdtc10/index.php?action=vallex&amp;frame=v-w1098f1", "hospitalizovat (v-w1098f1)")</f>
        <v>hospitalizovat (v-w1098f1)</v>
      </c>
      <c r="E9627" s="0" t="str">
        <f aca="false">HYPERLINK("https://lindat.mff.cuni.cz/services/SynSemClass40/SynSemClass40.html?veclass=vec01024#vec01024-ces-cm00001", "vec01024")</f>
        <v>vec01024</v>
      </c>
      <c r="F9627" s="0" t="s">
        <v>4495</v>
      </c>
    </row>
    <row r="9628" customFormat="false" ht="12.8" hidden="false" customHeight="false" outlineLevel="0" collapsed="false">
      <c r="B9628" s="0" t="s">
        <v>1</v>
      </c>
      <c r="E9628" s="0" t="s">
        <v>206</v>
      </c>
      <c r="F9628" s="0" t="s">
        <v>1359</v>
      </c>
    </row>
    <row r="9629" customFormat="false" ht="12.8" hidden="false" customHeight="false" outlineLevel="0" collapsed="false">
      <c r="B9629" s="0" t="s">
        <v>8</v>
      </c>
      <c r="C9629" s="0" t="s">
        <v>800</v>
      </c>
      <c r="E9629" s="0" t="s">
        <v>142</v>
      </c>
      <c r="F9629" s="0" t="s">
        <v>4496</v>
      </c>
    </row>
    <row r="9631" customFormat="false" ht="12.8" hidden="false" customHeight="false" outlineLevel="0" collapsed="false">
      <c r="A9631" s="0" t="s">
        <v>4497</v>
      </c>
      <c r="B9631" s="0" t="str">
        <f aca="false">HYPERLINK("https://lindat.mff.cuni.cz/services/teitok/pdtc10/index.php?action=vallex&amp;frame=v-w1100f2", "hospodařit (v-w1100f2)")</f>
        <v>hospodařit (v-w1100f2)</v>
      </c>
      <c r="E9631" s="0" t="str">
        <f aca="false">HYPERLINK("https://lindat.mff.cuni.cz/services/SynSemClass40/SynSemClass40.html?veclass=vec00277#vec00277-ces-cm00080", "vec00277")</f>
        <v>vec00277</v>
      </c>
      <c r="F9631" s="0" t="s">
        <v>2025</v>
      </c>
    </row>
    <row r="9632" customFormat="false" ht="12.8" hidden="false" customHeight="false" outlineLevel="0" collapsed="false">
      <c r="B9632" s="0" t="s">
        <v>1</v>
      </c>
      <c r="C9632" s="0" t="s">
        <v>2026</v>
      </c>
      <c r="E9632" s="0" t="s">
        <v>2027</v>
      </c>
      <c r="F9632" s="0" t="s">
        <v>2028</v>
      </c>
    </row>
    <row r="9633" customFormat="false" ht="12.8" hidden="false" customHeight="false" outlineLevel="0" collapsed="false">
      <c r="B9633" s="0" t="s">
        <v>2024</v>
      </c>
      <c r="C9633" s="0" t="s">
        <v>2029</v>
      </c>
      <c r="E9633" s="0" t="s">
        <v>1995</v>
      </c>
      <c r="F9633" s="0" t="s">
        <v>2030</v>
      </c>
    </row>
    <row r="9634" customFormat="false" ht="12.8" hidden="false" customHeight="false" outlineLevel="0" collapsed="false">
      <c r="B9634" s="0" t="s">
        <v>642</v>
      </c>
    </row>
    <row r="9635" customFormat="false" ht="12.8" hidden="false" customHeight="false" outlineLevel="0" collapsed="false">
      <c r="B9635" s="0" t="s">
        <v>648</v>
      </c>
    </row>
    <row r="9636" customFormat="false" ht="12.8" hidden="false" customHeight="false" outlineLevel="0" collapsed="false">
      <c r="B9636" s="0" t="s">
        <v>650</v>
      </c>
    </row>
    <row r="9637" customFormat="false" ht="12.8" hidden="false" customHeight="false" outlineLevel="0" collapsed="false">
      <c r="B9637" s="0" t="s">
        <v>652</v>
      </c>
    </row>
    <row r="9639" customFormat="false" ht="12.8" hidden="false" customHeight="false" outlineLevel="0" collapsed="false">
      <c r="A9639" s="0" t="s">
        <v>4498</v>
      </c>
      <c r="B9639" s="0" t="str">
        <f aca="false">HYPERLINK("https://lindat.mff.cuni.cz/services/teitok/pdtc10/index.php?action=vallex&amp;frame=v-w1100f1", "hospodařit (v-w1100f1)")</f>
        <v>hospodařit (v-w1100f1)</v>
      </c>
    </row>
    <row r="9640" customFormat="false" ht="12.8" hidden="false" customHeight="false" outlineLevel="0" collapsed="false">
      <c r="B9640" s="0" t="s">
        <v>1</v>
      </c>
    </row>
    <row r="9642" customFormat="false" ht="12.8" hidden="false" customHeight="false" outlineLevel="0" collapsed="false">
      <c r="A9642" s="0" t="s">
        <v>4499</v>
      </c>
      <c r="B9642" s="0" t="str">
        <f aca="false">HYPERLINK("https://lindat.mff.cuni.cz/services/teitok/pdtc10/index.php?action=vallex&amp;frame=v-w1101f1", "hostit (v-w1101f1)")</f>
        <v>hostit (v-w1101f1)</v>
      </c>
      <c r="E9642" s="0" t="str">
        <f aca="false">HYPERLINK("https://lindat.mff.cuni.cz/services/SynSemClass40/SynSemClass40.html?veclass=vec00822#vec00822-ces-cm00001", "vec00822")</f>
        <v>vec00822</v>
      </c>
      <c r="F9642" s="0" t="s">
        <v>4500</v>
      </c>
    </row>
    <row r="9643" customFormat="false" ht="12.8" hidden="false" customHeight="false" outlineLevel="0" collapsed="false">
      <c r="B9643" s="0" t="s">
        <v>1</v>
      </c>
      <c r="C9643" s="0" t="s">
        <v>447</v>
      </c>
      <c r="E9643" s="0" t="s">
        <v>4501</v>
      </c>
      <c r="F9643" s="0" t="s">
        <v>4502</v>
      </c>
    </row>
    <row r="9644" customFormat="false" ht="12.8" hidden="false" customHeight="false" outlineLevel="0" collapsed="false">
      <c r="B9644" s="0" t="s">
        <v>8</v>
      </c>
      <c r="C9644" s="0" t="s">
        <v>3252</v>
      </c>
      <c r="E9644" s="0" t="s">
        <v>4503</v>
      </c>
      <c r="F9644" s="0" t="s">
        <v>4504</v>
      </c>
    </row>
    <row r="9646" customFormat="false" ht="12.8" hidden="false" customHeight="false" outlineLevel="0" collapsed="false">
      <c r="A9646" s="0" t="s">
        <v>4505</v>
      </c>
      <c r="B9646" s="0" t="str">
        <f aca="false">HYPERLINK("https://lindat.mff.cuni.cz/services/teitok/pdtc10/index.php?action=vallex&amp;frame=v-w1104f1", "hostovat (v-w1104f1)")</f>
        <v>hostovat (v-w1104f1)</v>
      </c>
      <c r="E9646" s="0" t="str">
        <f aca="false">HYPERLINK("https://lindat.mff.cuni.cz/services/SynSemClass40/SynSemClass40.html?veclass=vec01493#vec01493-ces-cm00001", "vec01493")</f>
        <v>vec01493</v>
      </c>
      <c r="F9646" s="0" t="s">
        <v>4506</v>
      </c>
    </row>
    <row r="9647" customFormat="false" ht="12.8" hidden="false" customHeight="false" outlineLevel="0" collapsed="false">
      <c r="B9647" s="0" t="s">
        <v>1</v>
      </c>
      <c r="C9647" s="0" t="s">
        <v>4114</v>
      </c>
      <c r="E9647" s="0" t="s">
        <v>31</v>
      </c>
      <c r="F9647" s="0" t="s">
        <v>4507</v>
      </c>
    </row>
    <row r="9648" customFormat="false" ht="12.8" hidden="false" customHeight="false" outlineLevel="0" collapsed="false">
      <c r="B9648" s="0" t="s">
        <v>5</v>
      </c>
      <c r="E9648" s="0" t="s">
        <v>3254</v>
      </c>
      <c r="F9648" s="0" t="s">
        <v>3255</v>
      </c>
    </row>
    <row r="9650" customFormat="false" ht="12.8" hidden="false" customHeight="false" outlineLevel="0" collapsed="false">
      <c r="A9650" s="0" t="s">
        <v>4508</v>
      </c>
      <c r="B9650" s="0" t="str">
        <f aca="false">HYPERLINK("https://lindat.mff.cuni.cz/services/teitok/pdtc10/index.php?action=vallex&amp;frame=v-whsa_1171hsa_1172", "houbařit (v-whsa_1171hsa_1172)")</f>
        <v>houbařit (v-whsa_1171hsa_1172)</v>
      </c>
    </row>
    <row r="9651" customFormat="false" ht="12.8" hidden="false" customHeight="false" outlineLevel="0" collapsed="false">
      <c r="B9651" s="0" t="s">
        <v>1</v>
      </c>
    </row>
    <row r="9653" customFormat="false" ht="12.8" hidden="false" customHeight="false" outlineLevel="0" collapsed="false">
      <c r="A9653" s="0" t="s">
        <v>4509</v>
      </c>
      <c r="B9653" s="0" t="str">
        <f aca="false">HYPERLINK("https://lindat.mff.cuni.cz/services/teitok/pdtc10/index.php?action=vallex&amp;frame=v-w1106f1", "houfovat se (v-w1106f1)")</f>
        <v>houfovat se (v-w1106f1)</v>
      </c>
    </row>
    <row r="9654" customFormat="false" ht="12.8" hidden="false" customHeight="false" outlineLevel="0" collapsed="false">
      <c r="B9654" s="0" t="s">
        <v>1</v>
      </c>
    </row>
    <row r="9655" customFormat="false" ht="12.8" hidden="false" customHeight="false" outlineLevel="0" collapsed="false">
      <c r="B9655" s="0" t="s">
        <v>4510</v>
      </c>
    </row>
    <row r="9657" customFormat="false" ht="12.8" hidden="false" customHeight="false" outlineLevel="0" collapsed="false">
      <c r="A9657" s="0" t="s">
        <v>4511</v>
      </c>
      <c r="B9657" s="0" t="str">
        <f aca="false">HYPERLINK("https://lindat.mff.cuni.cz/services/teitok/pdtc10/index.php?action=vallex&amp;frame=v-w1107hsa_454", "houkat (v-w1107hsa_454)")</f>
        <v>houkat (v-w1107hsa_454)</v>
      </c>
    </row>
    <row r="9658" customFormat="false" ht="12.8" hidden="false" customHeight="false" outlineLevel="0" collapsed="false">
      <c r="B9658" s="0" t="s">
        <v>1</v>
      </c>
    </row>
    <row r="9659" customFormat="false" ht="12.8" hidden="false" customHeight="false" outlineLevel="0" collapsed="false">
      <c r="B9659" s="0" t="s">
        <v>390</v>
      </c>
    </row>
    <row r="9661" customFormat="false" ht="12.8" hidden="false" customHeight="false" outlineLevel="0" collapsed="false">
      <c r="A9661" s="0" t="s">
        <v>4511</v>
      </c>
      <c r="B9661" s="0" t="str">
        <f aca="false">HYPERLINK("https://lindat.mff.cuni.cz/services/teitok/pdtc10/index.php?action=vallex&amp;frame=v-w1107f1", "houkat (v-w1107f1) - substituted with v-w1107hsa_454")</f>
        <v>houkat (v-w1107f1) - substituted with v-w1107hsa_454</v>
      </c>
      <c r="E9661" s="0" t="str">
        <f aca="false">HYPERLINK("https://lindat.mff.cuni.cz/services/SynSemClass40/SynSemClass40.html?veclass=vec01348#vec01348-ces-cm00002", "vec01348")</f>
        <v>vec01348</v>
      </c>
      <c r="F9661" s="0" t="s">
        <v>793</v>
      </c>
    </row>
    <row r="9662" customFormat="false" ht="12.8" hidden="false" customHeight="false" outlineLevel="0" collapsed="false">
      <c r="B9662" s="0" t="s">
        <v>1</v>
      </c>
      <c r="C9662" s="0" t="s">
        <v>471</v>
      </c>
      <c r="E9662" s="0" t="s">
        <v>794</v>
      </c>
      <c r="F9662" s="0" t="s">
        <v>795</v>
      </c>
    </row>
    <row r="9663" customFormat="false" ht="12.8" hidden="false" customHeight="false" outlineLevel="0" collapsed="false">
      <c r="B9663" s="0" t="s">
        <v>390</v>
      </c>
    </row>
    <row r="9665" customFormat="false" ht="12.8" hidden="false" customHeight="false" outlineLevel="0" collapsed="false">
      <c r="A9665" s="0" t="s">
        <v>4512</v>
      </c>
      <c r="B9665" s="0" t="str">
        <f aca="false">HYPERLINK("https://lindat.mff.cuni.cz/services/teitok/pdtc10/index.php?action=vallex&amp;frame=v-whsa_168hsa_169", "houpat (v-whsa_168hsa_169)")</f>
        <v>houpat (v-whsa_168hsa_169)</v>
      </c>
    </row>
    <row r="9666" customFormat="false" ht="12.8" hidden="false" customHeight="false" outlineLevel="0" collapsed="false">
      <c r="B9666" s="0" t="s">
        <v>1</v>
      </c>
    </row>
    <row r="9667" customFormat="false" ht="12.8" hidden="false" customHeight="false" outlineLevel="0" collapsed="false">
      <c r="B9667" s="0" t="s">
        <v>8</v>
      </c>
    </row>
    <row r="9669" customFormat="false" ht="12.8" hidden="false" customHeight="false" outlineLevel="0" collapsed="false">
      <c r="A9669" s="0" t="s">
        <v>4513</v>
      </c>
      <c r="B9669" s="0" t="str">
        <f aca="false">HYPERLINK("https://lindat.mff.cuni.cz/services/teitok/pdtc10/index.php?action=vallex&amp;frame=v-w1108f1", "houpat se (v-w1108f1)")</f>
        <v>houpat se (v-w1108f1)</v>
      </c>
      <c r="E9669" s="0" t="str">
        <f aca="false">HYPERLINK("https://lindat.mff.cuni.cz/services/SynSemClass40/SynSemClass40.html?veclass=vec00626#vec00626-ces-cm00003", "vec00626")</f>
        <v>vec00626</v>
      </c>
      <c r="F9669" s="0" t="s">
        <v>4514</v>
      </c>
    </row>
    <row r="9670" customFormat="false" ht="12.8" hidden="false" customHeight="false" outlineLevel="0" collapsed="false">
      <c r="B9670" s="0" t="s">
        <v>1</v>
      </c>
      <c r="C9670" s="0" t="s">
        <v>4515</v>
      </c>
      <c r="E9670" s="0" t="s">
        <v>334</v>
      </c>
      <c r="F9670" s="0" t="s">
        <v>4516</v>
      </c>
    </row>
    <row r="9672" customFormat="false" ht="12.8" hidden="false" customHeight="false" outlineLevel="0" collapsed="false">
      <c r="A9672" s="0" t="s">
        <v>4517</v>
      </c>
      <c r="B9672" s="0" t="str">
        <f aca="false">HYPERLINK("https://lindat.mff.cuni.cz/services/teitok/pdtc10/index.php?action=vallex&amp;frame=v-w1108hsa_1075", "houpat se (v-w1108hsa_1075)")</f>
        <v>houpat se (v-w1108hsa_1075)</v>
      </c>
      <c r="E9672" s="0" t="str">
        <f aca="false">HYPERLINK("https://lindat.mff.cuni.cz/services/SynSemClass40/SynSemClass40.html?veclass=vec00626#vec00626-ces-cm00010", "vec00626")</f>
        <v>vec00626</v>
      </c>
      <c r="F9672" s="0" t="s">
        <v>4514</v>
      </c>
    </row>
    <row r="9673" customFormat="false" ht="12.8" hidden="false" customHeight="false" outlineLevel="0" collapsed="false">
      <c r="B9673" s="0" t="s">
        <v>1</v>
      </c>
      <c r="C9673" s="0" t="s">
        <v>4515</v>
      </c>
      <c r="E9673" s="0" t="s">
        <v>334</v>
      </c>
      <c r="F9673" s="0" t="s">
        <v>4516</v>
      </c>
    </row>
    <row r="9675" customFormat="false" ht="12.8" hidden="false" customHeight="false" outlineLevel="0" collapsed="false">
      <c r="A9675" s="0" t="s">
        <v>4518</v>
      </c>
      <c r="B9675" s="0" t="str">
        <f aca="false">HYPERLINK("https://lindat.mff.cuni.cz/services/teitok/pdtc10/index.php?action=vallex&amp;frame=v-w11088f3_ZU", "houstnout (v-w11088f3_ZU)")</f>
        <v>houstnout (v-w11088f3_ZU)</v>
      </c>
      <c r="E9675" s="0" t="str">
        <f aca="false">HYPERLINK("https://lindat.mff.cuni.cz/services/SynSemClass40/SynSemClass40.html?veclass=vec00510#vec00510-ces-cm00062", "vec00510")</f>
        <v>vec00510</v>
      </c>
      <c r="F9675" s="0" t="s">
        <v>4074</v>
      </c>
      <c r="H9675" s="0" t="str">
        <f aca="false">HYPERLINK("https://lindat.mff.cuni.cz/services/SynSemClass40/SynSemClass40.html?veclass=vec00786#vec00786-ces-cm00058", "vec00786")</f>
        <v>vec00786</v>
      </c>
      <c r="I9675" s="0" t="s">
        <v>4519</v>
      </c>
    </row>
    <row r="9676" customFormat="false" ht="12.8" hidden="false" customHeight="false" outlineLevel="0" collapsed="false">
      <c r="B9676" s="0" t="s">
        <v>1</v>
      </c>
      <c r="C9676" s="0" t="s">
        <v>4520</v>
      </c>
      <c r="E9676" s="0" t="s">
        <v>84</v>
      </c>
      <c r="F9676" s="0" t="s">
        <v>4077</v>
      </c>
      <c r="H9676" s="0" t="s">
        <v>957</v>
      </c>
      <c r="I9676" s="0" t="s">
        <v>4521</v>
      </c>
    </row>
    <row r="9678" customFormat="false" ht="12.8" hidden="false" customHeight="false" outlineLevel="0" collapsed="false">
      <c r="A9678" s="0" t="s">
        <v>4518</v>
      </c>
      <c r="B9678" s="0" t="str">
        <f aca="false">HYPERLINK("https://lindat.mff.cuni.cz/services/teitok/pdtc10/index.php?action=vallex&amp;frame=v-w11088f2", "houstnout (v-w11088f2) - substituted with v-w11088f3_ZU")</f>
        <v>houstnout (v-w11088f2) - substituted with v-w11088f3_ZU</v>
      </c>
    </row>
    <row r="9679" customFormat="false" ht="12.8" hidden="false" customHeight="false" outlineLevel="0" collapsed="false">
      <c r="B9679" s="0" t="s">
        <v>1</v>
      </c>
    </row>
    <row r="9681" customFormat="false" ht="12.8" hidden="false" customHeight="false" outlineLevel="0" collapsed="false">
      <c r="A9681" s="0" t="s">
        <v>4522</v>
      </c>
      <c r="B9681" s="0" t="str">
        <f aca="false">HYPERLINK("https://lindat.mff.cuni.cz/services/teitok/pdtc10/index.php?action=vallex&amp;frame=v-w1111f1", "hovořit (v-w1111f1)")</f>
        <v>hovořit (v-w1111f1)</v>
      </c>
      <c r="E9681" s="0" t="str">
        <f aca="false">HYPERLINK("https://lindat.mff.cuni.cz/services/SynSemClass40/SynSemClass40.html?veclass=vec00031#vec00031-ces-cm00011", "vec00031")</f>
        <v>vec00031</v>
      </c>
      <c r="F9681" s="0" t="s">
        <v>277</v>
      </c>
    </row>
    <row r="9682" customFormat="false" ht="12.8" hidden="false" customHeight="false" outlineLevel="0" collapsed="false">
      <c r="B9682" s="0" t="s">
        <v>1</v>
      </c>
      <c r="C9682" s="0" t="s">
        <v>278</v>
      </c>
      <c r="E9682" s="0" t="s">
        <v>147</v>
      </c>
      <c r="F9682" s="0" t="s">
        <v>279</v>
      </c>
    </row>
    <row r="9683" customFormat="false" ht="12.8" hidden="false" customHeight="false" outlineLevel="0" collapsed="false">
      <c r="B9683" s="0" t="s">
        <v>4523</v>
      </c>
      <c r="C9683" s="0" t="s">
        <v>280</v>
      </c>
      <c r="E9683" s="0" t="s">
        <v>218</v>
      </c>
      <c r="F9683" s="0" t="s">
        <v>281</v>
      </c>
    </row>
    <row r="9684" customFormat="false" ht="12.8" hidden="false" customHeight="false" outlineLevel="0" collapsed="false">
      <c r="B9684" s="0" t="s">
        <v>3205</v>
      </c>
      <c r="C9684" s="0" t="s">
        <v>282</v>
      </c>
      <c r="E9684" s="0" t="s">
        <v>221</v>
      </c>
      <c r="F9684" s="0" t="s">
        <v>283</v>
      </c>
    </row>
    <row r="9686" customFormat="false" ht="12.8" hidden="false" customHeight="false" outlineLevel="0" collapsed="false">
      <c r="A9686" s="0" t="s">
        <v>4524</v>
      </c>
      <c r="B9686" s="0" t="str">
        <f aca="false">HYPERLINK("https://lindat.mff.cuni.cz/services/teitok/pdtc10/index.php?action=vallex&amp;frame=v-w1111f13_ZU", "hovořit (v-w1111f13_ZU)")</f>
        <v>hovořit (v-w1111f13_ZU)</v>
      </c>
    </row>
    <row r="9687" customFormat="false" ht="12.8" hidden="false" customHeight="false" outlineLevel="0" collapsed="false">
      <c r="B9687" s="0" t="s">
        <v>1</v>
      </c>
    </row>
    <row r="9688" customFormat="false" ht="12.8" hidden="false" customHeight="false" outlineLevel="0" collapsed="false">
      <c r="B9688" s="0" t="s">
        <v>4525</v>
      </c>
    </row>
    <row r="9689" customFormat="false" ht="12.8" hidden="false" customHeight="false" outlineLevel="0" collapsed="false">
      <c r="B9689" s="0" t="s">
        <v>1333</v>
      </c>
    </row>
    <row r="9691" customFormat="false" ht="12.8" hidden="false" customHeight="false" outlineLevel="0" collapsed="false">
      <c r="A9691" s="0" t="s">
        <v>4524</v>
      </c>
      <c r="B9691" s="0" t="str">
        <f aca="false">HYPERLINK("https://lindat.mff.cuni.cz/services/teitok/pdtc10/index.php?action=vallex&amp;frame=v-w1111f5", "hovořit (v-w1111f5) - substituted with v-w1111f13_ZU")</f>
        <v>hovořit (v-w1111f5) - substituted with v-w1111f13_ZU</v>
      </c>
      <c r="E9691" s="0" t="str">
        <f aca="false">HYPERLINK("https://lindat.mff.cuni.cz/services/SynSemClass40/SynSemClass40.html?veclass=vec00031#vec00031-ces-cm00013", "vec00031")</f>
        <v>vec00031</v>
      </c>
      <c r="F9691" s="0" t="s">
        <v>277</v>
      </c>
    </row>
    <row r="9692" customFormat="false" ht="12.8" hidden="false" customHeight="false" outlineLevel="0" collapsed="false">
      <c r="B9692" s="0" t="s">
        <v>1</v>
      </c>
      <c r="C9692" s="0" t="s">
        <v>278</v>
      </c>
      <c r="E9692" s="0" t="s">
        <v>147</v>
      </c>
      <c r="F9692" s="0" t="s">
        <v>279</v>
      </c>
    </row>
    <row r="9693" customFormat="false" ht="12.8" hidden="false" customHeight="false" outlineLevel="0" collapsed="false">
      <c r="B9693" s="0" t="s">
        <v>4525</v>
      </c>
      <c r="C9693" s="0" t="s">
        <v>280</v>
      </c>
      <c r="E9693" s="0" t="s">
        <v>218</v>
      </c>
      <c r="F9693" s="0" t="s">
        <v>281</v>
      </c>
    </row>
    <row r="9694" customFormat="false" ht="12.8" hidden="false" customHeight="false" outlineLevel="0" collapsed="false">
      <c r="B9694" s="0" t="s">
        <v>1333</v>
      </c>
      <c r="C9694" s="0" t="s">
        <v>282</v>
      </c>
      <c r="E9694" s="0" t="s">
        <v>221</v>
      </c>
      <c r="F9694" s="0" t="s">
        <v>283</v>
      </c>
    </row>
    <row r="9696" customFormat="false" ht="12.8" hidden="false" customHeight="false" outlineLevel="0" collapsed="false">
      <c r="A9696" s="0" t="s">
        <v>4526</v>
      </c>
      <c r="B9696" s="0" t="str">
        <f aca="false">HYPERLINK("https://lindat.mff.cuni.cz/services/teitok/pdtc10/index.php?action=vallex&amp;frame=v-w1111f10", "hovořit (v-w1111f10)")</f>
        <v>hovořit (v-w1111f10)</v>
      </c>
    </row>
    <row r="9697" customFormat="false" ht="12.8" hidden="false" customHeight="false" outlineLevel="0" collapsed="false">
      <c r="B9697" s="0" t="s">
        <v>1</v>
      </c>
    </row>
    <row r="9698" customFormat="false" ht="12.8" hidden="false" customHeight="false" outlineLevel="0" collapsed="false">
      <c r="B9698" s="0" t="s">
        <v>8</v>
      </c>
    </row>
    <row r="9700" customFormat="false" ht="12.8" hidden="false" customHeight="false" outlineLevel="0" collapsed="false">
      <c r="A9700" s="0" t="s">
        <v>4527</v>
      </c>
      <c r="B9700" s="0" t="str">
        <f aca="false">HYPERLINK("https://lindat.mff.cuni.cz/services/teitok/pdtc10/index.php?action=vallex&amp;frame=v-w1111f9", "hovořit (v-w1111f9)")</f>
        <v>hovořit (v-w1111f9)</v>
      </c>
    </row>
    <row r="9701" customFormat="false" ht="12.8" hidden="false" customHeight="false" outlineLevel="0" collapsed="false">
      <c r="B9701" s="0" t="s">
        <v>1</v>
      </c>
    </row>
    <row r="9702" customFormat="false" ht="12.8" hidden="false" customHeight="false" outlineLevel="0" collapsed="false">
      <c r="B9702" s="0" t="s">
        <v>8</v>
      </c>
    </row>
    <row r="9704" customFormat="false" ht="12.8" hidden="false" customHeight="false" outlineLevel="0" collapsed="false">
      <c r="A9704" s="0" t="s">
        <v>4528</v>
      </c>
      <c r="B9704" s="0" t="str">
        <f aca="false">HYPERLINK("https://lindat.mff.cuni.cz/services/teitok/pdtc10/index.php?action=vallex&amp;frame=v-w1111f2", "hovořit (v-w1111f2)")</f>
        <v>hovořit (v-w1111f2)</v>
      </c>
    </row>
    <row r="9705" customFormat="false" ht="12.8" hidden="false" customHeight="false" outlineLevel="0" collapsed="false">
      <c r="B9705" s="0" t="s">
        <v>1</v>
      </c>
    </row>
    <row r="9706" customFormat="false" ht="12.8" hidden="false" customHeight="false" outlineLevel="0" collapsed="false">
      <c r="B9706" s="0" t="s">
        <v>318</v>
      </c>
    </row>
    <row r="9708" customFormat="false" ht="12.8" hidden="false" customHeight="false" outlineLevel="0" collapsed="false">
      <c r="A9708" s="0" t="s">
        <v>4529</v>
      </c>
      <c r="B9708" s="0" t="str">
        <f aca="false">HYPERLINK("https://lindat.mff.cuni.cz/services/teitok/pdtc10/index.php?action=vallex&amp;frame=v-w1111f12_ZU", "hovořit (v-w1111f12_ZU)")</f>
        <v>hovořit (v-w1111f12_ZU)</v>
      </c>
      <c r="E9708" s="0" t="str">
        <f aca="false">HYPERLINK("https://lindat.mff.cuni.cz/services/SynSemClass40/SynSemClass40.html?veclass=vec00561#vec00561-ces-cm00008", "vec00561")</f>
        <v>vec00561</v>
      </c>
      <c r="F9708" s="0" t="s">
        <v>4530</v>
      </c>
    </row>
    <row r="9709" customFormat="false" ht="12.8" hidden="false" customHeight="false" outlineLevel="0" collapsed="false">
      <c r="B9709" s="0" t="s">
        <v>1</v>
      </c>
      <c r="C9709" s="0" t="s">
        <v>4471</v>
      </c>
      <c r="E9709" s="0" t="s">
        <v>147</v>
      </c>
      <c r="F9709" s="0" t="s">
        <v>4531</v>
      </c>
    </row>
    <row r="9710" customFormat="false" ht="12.8" hidden="false" customHeight="false" outlineLevel="0" collapsed="false">
      <c r="B9710" s="0" t="s">
        <v>4532</v>
      </c>
      <c r="C9710" s="0" t="s">
        <v>4533</v>
      </c>
      <c r="E9710" s="0" t="s">
        <v>1732</v>
      </c>
      <c r="F9710" s="0" t="s">
        <v>4534</v>
      </c>
    </row>
    <row r="9712" customFormat="false" ht="12.8" hidden="false" customHeight="false" outlineLevel="0" collapsed="false">
      <c r="A9712" s="0" t="s">
        <v>4529</v>
      </c>
      <c r="B9712" s="0" t="str">
        <f aca="false">HYPERLINK("https://lindat.mff.cuni.cz/services/teitok/pdtc10/index.php?action=vallex&amp;frame=v-w1111f3", "hovořit (v-w1111f3) - substituted with v-w1111f12_ZU")</f>
        <v>hovořit (v-w1111f3) - substituted with v-w1111f12_ZU</v>
      </c>
    </row>
    <row r="9713" customFormat="false" ht="12.8" hidden="false" customHeight="false" outlineLevel="0" collapsed="false">
      <c r="B9713" s="0" t="s">
        <v>1</v>
      </c>
    </row>
    <row r="9714" customFormat="false" ht="12.8" hidden="false" customHeight="false" outlineLevel="0" collapsed="false">
      <c r="B9714" s="0" t="s">
        <v>4532</v>
      </c>
    </row>
    <row r="9716" customFormat="false" ht="12.8" hidden="false" customHeight="false" outlineLevel="0" collapsed="false">
      <c r="A9716" s="0" t="s">
        <v>4535</v>
      </c>
      <c r="B9716" s="0" t="str">
        <f aca="false">HYPERLINK("https://lindat.mff.cuni.cz/services/teitok/pdtc10/index.php?action=vallex&amp;frame=v-w1111f6", "hovořit (v-w1111f6)")</f>
        <v>hovořit (v-w1111f6)</v>
      </c>
    </row>
    <row r="9717" customFormat="false" ht="12.8" hidden="false" customHeight="false" outlineLevel="0" collapsed="false">
      <c r="B9717" s="0" t="s">
        <v>1</v>
      </c>
    </row>
    <row r="9718" customFormat="false" ht="12.8" hidden="false" customHeight="false" outlineLevel="0" collapsed="false">
      <c r="B9718" s="0" t="s">
        <v>4536</v>
      </c>
    </row>
    <row r="9719" customFormat="false" ht="12.8" hidden="false" customHeight="false" outlineLevel="0" collapsed="false">
      <c r="B9719" s="0" t="s">
        <v>496</v>
      </c>
    </row>
    <row r="9721" customFormat="false" ht="12.8" hidden="false" customHeight="false" outlineLevel="0" collapsed="false">
      <c r="A9721" s="0" t="s">
        <v>4537</v>
      </c>
      <c r="B9721" s="0" t="str">
        <f aca="false">HYPERLINK("https://lindat.mff.cuni.cz/services/teitok/pdtc10/index.php?action=vallex&amp;frame=v-w1111f4", "hovořit (v-w1111f4)")</f>
        <v>hovořit (v-w1111f4)</v>
      </c>
      <c r="E9721" s="0" t="str">
        <f aca="false">HYPERLINK("https://lindat.mff.cuni.cz/services/SynSemClass40/SynSemClass40.html?veclass=vec00435#vec00435-ces-cm00002", "vec00435")</f>
        <v>vec00435</v>
      </c>
      <c r="F9721" s="0" t="s">
        <v>731</v>
      </c>
    </row>
    <row r="9722" customFormat="false" ht="12.8" hidden="false" customHeight="false" outlineLevel="0" collapsed="false">
      <c r="B9722" s="0" t="s">
        <v>1</v>
      </c>
      <c r="C9722" s="0" t="s">
        <v>732</v>
      </c>
      <c r="E9722" s="0" t="s">
        <v>147</v>
      </c>
      <c r="F9722" s="0" t="s">
        <v>733</v>
      </c>
    </row>
    <row r="9724" customFormat="false" ht="12.8" hidden="false" customHeight="false" outlineLevel="0" collapsed="false">
      <c r="A9724" s="0" t="s">
        <v>4538</v>
      </c>
      <c r="B9724" s="0" t="str">
        <f aca="false">HYPERLINK("https://lindat.mff.cuni.cz/services/teitok/pdtc10/index.php?action=vallex&amp;frame=v-w1111f11", "hovořit (v-w1111f11)")</f>
        <v>hovořit (v-w1111f11)</v>
      </c>
    </row>
    <row r="9725" customFormat="false" ht="12.8" hidden="false" customHeight="false" outlineLevel="0" collapsed="false">
      <c r="B9725" s="0" t="s">
        <v>1</v>
      </c>
    </row>
    <row r="9726" customFormat="false" ht="12.8" hidden="false" customHeight="false" outlineLevel="0" collapsed="false">
      <c r="B9726" s="0" t="s">
        <v>4539</v>
      </c>
    </row>
    <row r="9727" customFormat="false" ht="12.8" hidden="false" customHeight="false" outlineLevel="0" collapsed="false">
      <c r="B9727" s="0" t="s">
        <v>186</v>
      </c>
    </row>
    <row r="9729" customFormat="false" ht="12.8" hidden="false" customHeight="false" outlineLevel="0" collapsed="false">
      <c r="A9729" s="0" t="s">
        <v>4540</v>
      </c>
      <c r="B9729" s="0" t="str">
        <f aca="false">HYPERLINK("https://lindat.mff.cuni.cz/services/teitok/pdtc10/index.php?action=vallex&amp;frame=v-w1111f8", "hovořit (v-w1111f8)")</f>
        <v>hovořit (v-w1111f8)</v>
      </c>
    </row>
    <row r="9730" customFormat="false" ht="12.8" hidden="false" customHeight="false" outlineLevel="0" collapsed="false">
      <c r="B9730" s="0" t="s">
        <v>1</v>
      </c>
    </row>
    <row r="9731" customFormat="false" ht="12.8" hidden="false" customHeight="false" outlineLevel="0" collapsed="false">
      <c r="B9731" s="0" t="s">
        <v>4541</v>
      </c>
    </row>
    <row r="9733" customFormat="false" ht="12.8" hidden="false" customHeight="false" outlineLevel="0" collapsed="false">
      <c r="A9733" s="0" t="s">
        <v>4542</v>
      </c>
      <c r="B9733" s="0" t="str">
        <f aca="false">HYPERLINK("https://lindat.mff.cuni.cz/services/teitok/pdtc10/index.php?action=vallex&amp;frame=v-w1111f7", "hovořit (v-w1111f7)")</f>
        <v>hovořit (v-w1111f7)</v>
      </c>
    </row>
    <row r="9734" customFormat="false" ht="12.8" hidden="false" customHeight="false" outlineLevel="0" collapsed="false">
      <c r="B9734" s="0" t="s">
        <v>1</v>
      </c>
    </row>
    <row r="9735" customFormat="false" ht="12.8" hidden="false" customHeight="false" outlineLevel="0" collapsed="false">
      <c r="B9735" s="0" t="s">
        <v>4543</v>
      </c>
    </row>
    <row r="9737" customFormat="false" ht="12.8" hidden="false" customHeight="false" outlineLevel="0" collapsed="false">
      <c r="A9737" s="0" t="s">
        <v>4544</v>
      </c>
      <c r="B9737" s="0" t="str">
        <f aca="false">HYPERLINK("https://lindat.mff.cuni.cz/services/teitok/pdtc10/index.php?action=vallex&amp;frame=v-w1109f1", "hovět si (v-w1109f1)")</f>
        <v>hovět si (v-w1109f1)</v>
      </c>
    </row>
    <row r="9738" customFormat="false" ht="12.8" hidden="false" customHeight="false" outlineLevel="0" collapsed="false">
      <c r="B9738" s="0" t="s">
        <v>1</v>
      </c>
    </row>
    <row r="9740" customFormat="false" ht="12.8" hidden="false" customHeight="false" outlineLevel="0" collapsed="false">
      <c r="A9740" s="0" t="s">
        <v>4545</v>
      </c>
      <c r="B9740" s="0" t="str">
        <f aca="false">HYPERLINK("https://lindat.mff.cuni.cz/services/teitok/pdtc10/index.php?action=vallex&amp;frame=v-w1096f5_ZU", "hořet (v-w1096f5_ZU)")</f>
        <v>hořet (v-w1096f5_ZU)</v>
      </c>
    </row>
    <row r="9741" customFormat="false" ht="12.8" hidden="false" customHeight="false" outlineLevel="0" collapsed="false">
      <c r="B9741" s="0" t="s">
        <v>1</v>
      </c>
    </row>
    <row r="9743" customFormat="false" ht="12.8" hidden="false" customHeight="false" outlineLevel="0" collapsed="false">
      <c r="A9743" s="0" t="s">
        <v>4545</v>
      </c>
      <c r="B9743" s="0" t="str">
        <f aca="false">HYPERLINK("https://lindat.mff.cuni.cz/services/teitok/pdtc10/index.php?action=vallex&amp;frame=v-w1096f1", "hořet (v-w1096f1) - substituted with v-w1096f5_ZU")</f>
        <v>hořet (v-w1096f1) - substituted with v-w1096f5_ZU</v>
      </c>
      <c r="E9743" s="0" t="str">
        <f aca="false">HYPERLINK("https://lindat.mff.cuni.cz/services/SynSemClass40/SynSemClass40.html?veclass=vec01215#vec01215-ces-cm00001", "vec01215")</f>
        <v>vec01215</v>
      </c>
      <c r="F9743" s="0" t="s">
        <v>4546</v>
      </c>
    </row>
    <row r="9744" customFormat="false" ht="12.8" hidden="false" customHeight="false" outlineLevel="0" collapsed="false">
      <c r="B9744" s="0" t="s">
        <v>1</v>
      </c>
      <c r="C9744" s="0" t="s">
        <v>1507</v>
      </c>
      <c r="E9744" s="0" t="s">
        <v>1590</v>
      </c>
      <c r="F9744" s="0" t="s">
        <v>4547</v>
      </c>
    </row>
    <row r="9746" customFormat="false" ht="12.8" hidden="false" customHeight="false" outlineLevel="0" collapsed="false">
      <c r="A9746" s="0" t="s">
        <v>4548</v>
      </c>
      <c r="B9746" s="0" t="str">
        <f aca="false">HYPERLINK("https://lindat.mff.cuni.cz/services/teitok/pdtc10/index.php?action=vallex&amp;frame=v-w1096f3", "hořet (v-w1096f3)")</f>
        <v>hořet (v-w1096f3)</v>
      </c>
    </row>
    <row r="9747" customFormat="false" ht="12.8" hidden="false" customHeight="false" outlineLevel="0" collapsed="false">
      <c r="B9747" s="0" t="s">
        <v>1</v>
      </c>
    </row>
    <row r="9749" customFormat="false" ht="12.8" hidden="false" customHeight="false" outlineLevel="0" collapsed="false">
      <c r="A9749" s="0" t="s">
        <v>4549</v>
      </c>
      <c r="B9749" s="0" t="str">
        <f aca="false">HYPERLINK("https://lindat.mff.cuni.cz/services/teitok/pdtc10/index.php?action=vallex&amp;frame=v-w1096f4_ZU", "hořet (v-w1096f4_ZU)")</f>
        <v>hořet (v-w1096f4_ZU)</v>
      </c>
    </row>
    <row r="9750" customFormat="false" ht="12.8" hidden="false" customHeight="false" outlineLevel="0" collapsed="false">
      <c r="B9750" s="0" t="s">
        <v>1</v>
      </c>
    </row>
    <row r="9752" customFormat="false" ht="12.8" hidden="false" customHeight="false" outlineLevel="0" collapsed="false">
      <c r="A9752" s="0" t="s">
        <v>4550</v>
      </c>
      <c r="B9752" s="0" t="str">
        <f aca="false">HYPERLINK("https://lindat.mff.cuni.cz/services/teitok/pdtc10/index.php?action=vallex&amp;frame=v-w1096f2", "hořet (v-w1096f2)")</f>
        <v>hořet (v-w1096f2)</v>
      </c>
    </row>
    <row r="9753" customFormat="false" ht="12.8" hidden="false" customHeight="false" outlineLevel="0" collapsed="false">
      <c r="B9753" s="0" t="s">
        <v>1</v>
      </c>
    </row>
    <row r="9754" customFormat="false" ht="12.8" hidden="false" customHeight="false" outlineLevel="0" collapsed="false">
      <c r="B9754" s="0" t="s">
        <v>4551</v>
      </c>
    </row>
    <row r="9756" customFormat="false" ht="12.8" hidden="false" customHeight="false" outlineLevel="0" collapsed="false">
      <c r="A9756" s="0" t="s">
        <v>4552</v>
      </c>
      <c r="B9756" s="0" t="str">
        <f aca="false">HYPERLINK("https://lindat.mff.cuni.cz/services/teitok/pdtc10/index.php?action=vallex&amp;frame=v-w10638f3_ZU", "hrabat (v-w10638f3_ZU)")</f>
        <v>hrabat (v-w10638f3_ZU)</v>
      </c>
    </row>
    <row r="9757" customFormat="false" ht="12.8" hidden="false" customHeight="false" outlineLevel="0" collapsed="false">
      <c r="B9757" s="0" t="s">
        <v>1</v>
      </c>
    </row>
    <row r="9758" customFormat="false" ht="12.8" hidden="false" customHeight="false" outlineLevel="0" collapsed="false">
      <c r="B9758" s="0" t="s">
        <v>8</v>
      </c>
    </row>
    <row r="9759" customFormat="false" ht="12.8" hidden="false" customHeight="false" outlineLevel="0" collapsed="false">
      <c r="B9759" s="0" t="s">
        <v>4553</v>
      </c>
    </row>
    <row r="9761" customFormat="false" ht="12.8" hidden="false" customHeight="false" outlineLevel="0" collapsed="false">
      <c r="A9761" s="0" t="s">
        <v>4552</v>
      </c>
      <c r="B9761" s="0" t="str">
        <f aca="false">HYPERLINK("https://lindat.mff.cuni.cz/services/teitok/pdtc10/index.php?action=vallex&amp;frame=v-w10638f2", "hrabat (v-w10638f2) - substituted with v-w10638f3_ZU")</f>
        <v>hrabat (v-w10638f2) - substituted with v-w10638f3_ZU</v>
      </c>
    </row>
    <row r="9762" customFormat="false" ht="12.8" hidden="false" customHeight="false" outlineLevel="0" collapsed="false">
      <c r="B9762" s="0" t="s">
        <v>1</v>
      </c>
    </row>
    <row r="9763" customFormat="false" ht="12.8" hidden="false" customHeight="false" outlineLevel="0" collapsed="false">
      <c r="B9763" s="0" t="s">
        <v>8</v>
      </c>
    </row>
    <row r="9764" customFormat="false" ht="12.8" hidden="false" customHeight="false" outlineLevel="0" collapsed="false">
      <c r="B9764" s="0" t="s">
        <v>4553</v>
      </c>
    </row>
    <row r="9766" customFormat="false" ht="12.8" hidden="false" customHeight="false" outlineLevel="0" collapsed="false">
      <c r="A9766" s="0" t="s">
        <v>4554</v>
      </c>
      <c r="B9766" s="0" t="str">
        <f aca="false">HYPERLINK("https://lindat.mff.cuni.cz/services/teitok/pdtc10/index.php?action=vallex&amp;frame=v-w11356f1", "hrabat se (v-w11356f1)")</f>
        <v>hrabat se (v-w11356f1)</v>
      </c>
      <c r="E9766" s="0" t="str">
        <f aca="false">HYPERLINK("https://lindat.mff.cuni.cz/services/SynSemClass40/SynSemClass40.html?veclass=vec01216#vec01216-ces-cm00001", "vec01216")</f>
        <v>vec01216</v>
      </c>
      <c r="F9766" s="0" t="s">
        <v>4555</v>
      </c>
      <c r="H9766" s="0" t="str">
        <f aca="false">HYPERLINK("https://lindat.mff.cuni.cz/services/SynSemClass40/SynSemClass40.html?veclass=vec01527#vec01527-ces-cm00005", "vec01527")</f>
        <v>vec01527</v>
      </c>
      <c r="I9766" s="0" t="s">
        <v>4556</v>
      </c>
    </row>
    <row r="9767" customFormat="false" ht="12.8" hidden="false" customHeight="false" outlineLevel="0" collapsed="false">
      <c r="B9767" s="0" t="s">
        <v>1</v>
      </c>
      <c r="C9767" s="0" t="s">
        <v>447</v>
      </c>
      <c r="E9767" s="0" t="s">
        <v>31</v>
      </c>
      <c r="F9767" s="0" t="s">
        <v>2437</v>
      </c>
      <c r="H9767" s="0" t="s">
        <v>2263</v>
      </c>
      <c r="I9767" s="0" t="s">
        <v>4557</v>
      </c>
    </row>
    <row r="9768" customFormat="false" ht="12.8" hidden="false" customHeight="false" outlineLevel="0" collapsed="false">
      <c r="B9768" s="0" t="s">
        <v>1262</v>
      </c>
      <c r="C9768" s="0" t="s">
        <v>4558</v>
      </c>
      <c r="E9768" s="0" t="s">
        <v>4559</v>
      </c>
      <c r="F9768" s="0" t="s">
        <v>4560</v>
      </c>
      <c r="H9768" s="0" t="s">
        <v>3254</v>
      </c>
      <c r="I9768" s="0" t="s">
        <v>4561</v>
      </c>
    </row>
    <row r="9770" customFormat="false" ht="12.8" hidden="false" customHeight="false" outlineLevel="0" collapsed="false">
      <c r="A9770" s="0" t="s">
        <v>4562</v>
      </c>
      <c r="B9770" s="0" t="str">
        <f aca="false">HYPERLINK("https://lindat.mff.cuni.cz/services/teitok/pdtc10/index.php?action=vallex&amp;frame=v-w1116f1", "hradit (v-w1116f1)")</f>
        <v>hradit (v-w1116f1)</v>
      </c>
      <c r="E9770" s="0" t="str">
        <f aca="false">HYPERLINK("https://lindat.mff.cuni.cz/services/SynSemClass40/SynSemClass40.html?veclass=vec00125#vec00125-ces-cm00017", "vec00125")</f>
        <v>vec00125</v>
      </c>
      <c r="F9770" s="0" t="s">
        <v>2552</v>
      </c>
      <c r="H9770" s="0" t="str">
        <f aca="false">HYPERLINK("https://lindat.mff.cuni.cz/services/SynSemClass40/SynSemClass40.html?veclass=vec01356#vec01356-ces-cm00008", "vec01356")</f>
        <v>vec01356</v>
      </c>
      <c r="I9770" s="0" t="s">
        <v>4139</v>
      </c>
    </row>
    <row r="9771" customFormat="false" ht="12.8" hidden="false" customHeight="false" outlineLevel="0" collapsed="false">
      <c r="B9771" s="0" t="s">
        <v>1</v>
      </c>
      <c r="C9771" s="0" t="s">
        <v>4563</v>
      </c>
      <c r="E9771" s="0" t="s">
        <v>2554</v>
      </c>
      <c r="F9771" s="0" t="s">
        <v>2555</v>
      </c>
      <c r="H9771" s="0" t="s">
        <v>2554</v>
      </c>
      <c r="I9771" s="0" t="s">
        <v>4141</v>
      </c>
    </row>
    <row r="9772" customFormat="false" ht="12.8" hidden="false" customHeight="false" outlineLevel="0" collapsed="false">
      <c r="B9772" s="0" t="s">
        <v>8</v>
      </c>
      <c r="C9772" s="0" t="s">
        <v>4564</v>
      </c>
      <c r="E9772" s="0" t="s">
        <v>2557</v>
      </c>
      <c r="F9772" s="0" t="s">
        <v>2558</v>
      </c>
      <c r="H9772" s="0" t="s">
        <v>4565</v>
      </c>
      <c r="I9772" s="0" t="s">
        <v>4566</v>
      </c>
    </row>
    <row r="9773" customFormat="false" ht="12.8" hidden="false" customHeight="false" outlineLevel="0" collapsed="false">
      <c r="B9773" s="0" t="s">
        <v>132</v>
      </c>
      <c r="C9773" s="0" t="s">
        <v>4567</v>
      </c>
      <c r="E9773" s="0" t="s">
        <v>2560</v>
      </c>
      <c r="F9773" s="0" t="s">
        <v>2561</v>
      </c>
      <c r="H9773" s="0" t="s">
        <v>2560</v>
      </c>
      <c r="I9773" s="0" t="s">
        <v>4568</v>
      </c>
    </row>
    <row r="9774" customFormat="false" ht="12.8" hidden="false" customHeight="false" outlineLevel="0" collapsed="false">
      <c r="B9774" s="0" t="s">
        <v>723</v>
      </c>
    </row>
    <row r="9776" customFormat="false" ht="12.8" hidden="false" customHeight="false" outlineLevel="0" collapsed="false">
      <c r="A9776" s="0" t="s">
        <v>4569</v>
      </c>
      <c r="B9776" s="0" t="str">
        <f aca="false">HYPERLINK("https://lindat.mff.cuni.cz/services/teitok/pdtc10/index.php?action=vallex&amp;frame=v-w1116f2", "hradit (v-w1116f2)")</f>
        <v>hradit (v-w1116f2)</v>
      </c>
    </row>
    <row r="9777" customFormat="false" ht="12.8" hidden="false" customHeight="false" outlineLevel="0" collapsed="false">
      <c r="B9777" s="0" t="s">
        <v>1</v>
      </c>
    </row>
    <row r="9778" customFormat="false" ht="12.8" hidden="false" customHeight="false" outlineLevel="0" collapsed="false">
      <c r="B9778" s="0" t="s">
        <v>865</v>
      </c>
    </row>
    <row r="9779" customFormat="false" ht="12.8" hidden="false" customHeight="false" outlineLevel="0" collapsed="false">
      <c r="B9779" s="0" t="s">
        <v>2069</v>
      </c>
    </row>
    <row r="9780" customFormat="false" ht="12.8" hidden="false" customHeight="false" outlineLevel="0" collapsed="false">
      <c r="B9780" s="0" t="s">
        <v>132</v>
      </c>
    </row>
    <row r="9782" customFormat="false" ht="12.8" hidden="false" customHeight="false" outlineLevel="0" collapsed="false">
      <c r="A9782" s="0" t="s">
        <v>4570</v>
      </c>
      <c r="B9782" s="0" t="str">
        <f aca="false">HYPERLINK("https://lindat.mff.cuni.cz/services/teitok/pdtc10/index.php?action=vallex&amp;frame=v-w1121f1", "hraničit (v-w1121f1)")</f>
        <v>hraničit (v-w1121f1)</v>
      </c>
    </row>
    <row r="9783" customFormat="false" ht="12.8" hidden="false" customHeight="false" outlineLevel="0" collapsed="false">
      <c r="B9783" s="0" t="s">
        <v>1</v>
      </c>
    </row>
    <row r="9784" customFormat="false" ht="12.8" hidden="false" customHeight="false" outlineLevel="0" collapsed="false">
      <c r="B9784" s="0" t="s">
        <v>721</v>
      </c>
    </row>
    <row r="9786" customFormat="false" ht="12.8" hidden="false" customHeight="false" outlineLevel="0" collapsed="false">
      <c r="A9786" s="0" t="s">
        <v>4571</v>
      </c>
      <c r="B9786" s="0" t="str">
        <f aca="false">HYPERLINK("https://lindat.mff.cuni.cz/services/teitok/pdtc10/index.php?action=vallex&amp;frame=v-w1121f2", "hraničit (v-w1121f2)")</f>
        <v>hraničit (v-w1121f2)</v>
      </c>
    </row>
    <row r="9787" customFormat="false" ht="12.8" hidden="false" customHeight="false" outlineLevel="0" collapsed="false">
      <c r="B9787" s="0" t="s">
        <v>1</v>
      </c>
    </row>
    <row r="9788" customFormat="false" ht="12.8" hidden="false" customHeight="false" outlineLevel="0" collapsed="false">
      <c r="B9788" s="0" t="s">
        <v>721</v>
      </c>
    </row>
    <row r="9790" customFormat="false" ht="12.8" hidden="false" customHeight="false" outlineLevel="0" collapsed="false">
      <c r="A9790" s="0" t="s">
        <v>4572</v>
      </c>
      <c r="B9790" s="0" t="str">
        <f aca="false">HYPERLINK("https://lindat.mff.cuni.cz/services/teitok/pdtc10/index.php?action=vallex&amp;frame=v-w11720_ZUf1_ZU", "hrkat (v-w11720_ZUf1_ZU)")</f>
        <v>hrkat (v-w11720_ZUf1_ZU)</v>
      </c>
    </row>
    <row r="9791" customFormat="false" ht="12.8" hidden="false" customHeight="false" outlineLevel="0" collapsed="false">
      <c r="B9791" s="0" t="s">
        <v>1</v>
      </c>
    </row>
    <row r="9793" customFormat="false" ht="12.8" hidden="false" customHeight="false" outlineLevel="0" collapsed="false">
      <c r="A9793" s="0" t="s">
        <v>4573</v>
      </c>
      <c r="B9793" s="0" t="str">
        <f aca="false">HYPERLINK("https://lindat.mff.cuni.cz/services/teitok/pdtc10/index.php?action=vallex&amp;frame=v-w1129f1", "hrknout (v-w1129f1)")</f>
        <v>hrknout (v-w1129f1)</v>
      </c>
    </row>
    <row r="9794" customFormat="false" ht="12.8" hidden="false" customHeight="false" outlineLevel="0" collapsed="false">
      <c r="B9794" s="0" t="s">
        <v>1</v>
      </c>
    </row>
    <row r="9796" customFormat="false" ht="12.8" hidden="false" customHeight="false" outlineLevel="0" collapsed="false">
      <c r="A9796" s="0" t="s">
        <v>4574</v>
      </c>
      <c r="B9796" s="0" t="str">
        <f aca="false">HYPERLINK("https://lindat.mff.cuni.cz/services/teitok/pdtc10/index.php?action=vallex&amp;frame=v-w1129f2", "hrknout (v-w1129f2)")</f>
        <v>hrknout (v-w1129f2)</v>
      </c>
    </row>
    <row r="9797" customFormat="false" ht="12.8" hidden="false" customHeight="false" outlineLevel="0" collapsed="false">
      <c r="B9797" s="0" t="s">
        <v>5</v>
      </c>
    </row>
    <row r="9799" customFormat="false" ht="12.8" hidden="false" customHeight="false" outlineLevel="0" collapsed="false">
      <c r="A9799" s="0" t="s">
        <v>4575</v>
      </c>
      <c r="B9799" s="0" t="str">
        <f aca="false">HYPERLINK("https://lindat.mff.cuni.cz/services/teitok/pdtc10/index.php?action=vallex&amp;frame=v-w1130f1", "hrnout (v-w1130f1)")</f>
        <v>hrnout (v-w1130f1)</v>
      </c>
    </row>
    <row r="9800" customFormat="false" ht="12.8" hidden="false" customHeight="false" outlineLevel="0" collapsed="false">
      <c r="B9800" s="0" t="s">
        <v>1</v>
      </c>
    </row>
    <row r="9801" customFormat="false" ht="12.8" hidden="false" customHeight="false" outlineLevel="0" collapsed="false">
      <c r="B9801" s="0" t="s">
        <v>8</v>
      </c>
    </row>
    <row r="9802" customFormat="false" ht="12.8" hidden="false" customHeight="false" outlineLevel="0" collapsed="false">
      <c r="B9802" s="0" t="s">
        <v>245</v>
      </c>
    </row>
    <row r="9804" customFormat="false" ht="12.8" hidden="false" customHeight="false" outlineLevel="0" collapsed="false">
      <c r="A9804" s="0" t="s">
        <v>4576</v>
      </c>
      <c r="B9804" s="0" t="str">
        <f aca="false">HYPERLINK("https://lindat.mff.cuni.cz/services/teitok/pdtc10/index.php?action=vallex&amp;frame=v-w1131f1", "hrnout se (v-w1131f1)")</f>
        <v>hrnout se (v-w1131f1)</v>
      </c>
      <c r="E9804" s="0" t="str">
        <f aca="false">HYPERLINK("https://lindat.mff.cuni.cz/services/SynSemClass40/SynSemClass40.html?veclass=vec00610#vec00610-ces-cm00003", "vec00610")</f>
        <v>vec00610</v>
      </c>
      <c r="F9804" s="0" t="s">
        <v>3225</v>
      </c>
      <c r="H9804" s="0" t="str">
        <f aca="false">HYPERLINK("https://lindat.mff.cuni.cz/services/SynSemClass40/SynSemClass40.html?veclass=vec00747#vec00747-ces-cm00002", "vec00747")</f>
        <v>vec00747</v>
      </c>
      <c r="I9804" s="0" t="s">
        <v>4577</v>
      </c>
      <c r="K9804" s="0" t="str">
        <f aca="false">HYPERLINK("https://lindat.mff.cuni.cz/services/SynSemClass40/SynSemClass40.html?veclass=vec01499#vec01499-ces-cm00001", "vec01499")</f>
        <v>vec01499</v>
      </c>
      <c r="L9804" s="0" t="s">
        <v>4578</v>
      </c>
    </row>
    <row r="9805" customFormat="false" ht="12.8" hidden="false" customHeight="false" outlineLevel="0" collapsed="false">
      <c r="B9805" s="0" t="s">
        <v>1</v>
      </c>
      <c r="C9805" s="0" t="s">
        <v>4579</v>
      </c>
      <c r="E9805" s="0" t="s">
        <v>11</v>
      </c>
      <c r="F9805" s="0" t="s">
        <v>3227</v>
      </c>
      <c r="H9805" s="0" t="s">
        <v>334</v>
      </c>
      <c r="I9805" s="0" t="s">
        <v>4580</v>
      </c>
      <c r="K9805" s="0" t="s">
        <v>4581</v>
      </c>
      <c r="L9805" s="0" t="s">
        <v>4582</v>
      </c>
    </row>
    <row r="9806" customFormat="false" ht="12.8" hidden="false" customHeight="false" outlineLevel="0" collapsed="false">
      <c r="B9806" s="0" t="s">
        <v>164</v>
      </c>
      <c r="C9806" s="0" t="s">
        <v>4583</v>
      </c>
      <c r="E9806" s="0" t="s">
        <v>3229</v>
      </c>
      <c r="F9806" s="0" t="s">
        <v>3230</v>
      </c>
      <c r="H9806" s="0" t="s">
        <v>370</v>
      </c>
      <c r="I9806" s="0" t="s">
        <v>2451</v>
      </c>
      <c r="K9806" s="0" t="s">
        <v>4584</v>
      </c>
      <c r="L9806" s="0" t="s">
        <v>4585</v>
      </c>
    </row>
    <row r="9808" customFormat="false" ht="12.8" hidden="false" customHeight="false" outlineLevel="0" collapsed="false">
      <c r="A9808" s="0" t="s">
        <v>4586</v>
      </c>
      <c r="B9808" s="0" t="str">
        <f aca="false">HYPERLINK("https://lindat.mff.cuni.cz/services/teitok/pdtc10/index.php?action=vallex&amp;frame=v-w1132f1", "hromadit (v-w1132f1)")</f>
        <v>hromadit (v-w1132f1)</v>
      </c>
      <c r="E9808" s="0" t="str">
        <f aca="false">HYPERLINK("https://lindat.mff.cuni.cz/services/SynSemClass40/SynSemClass40.html?veclass=vec00443#vec00443-ces-cm00003", "vec00443")</f>
        <v>vec00443</v>
      </c>
      <c r="F9808" s="0" t="s">
        <v>90</v>
      </c>
    </row>
    <row r="9809" customFormat="false" ht="12.8" hidden="false" customHeight="false" outlineLevel="0" collapsed="false">
      <c r="B9809" s="0" t="s">
        <v>1</v>
      </c>
      <c r="C9809" s="0" t="s">
        <v>91</v>
      </c>
      <c r="E9809" s="0" t="s">
        <v>92</v>
      </c>
      <c r="F9809" s="0" t="s">
        <v>93</v>
      </c>
    </row>
    <row r="9810" customFormat="false" ht="12.8" hidden="false" customHeight="false" outlineLevel="0" collapsed="false">
      <c r="B9810" s="0" t="s">
        <v>8</v>
      </c>
      <c r="C9810" s="0" t="s">
        <v>94</v>
      </c>
      <c r="E9810" s="0" t="s">
        <v>95</v>
      </c>
      <c r="F9810" s="0" t="s">
        <v>96</v>
      </c>
    </row>
    <row r="9812" customFormat="false" ht="12.8" hidden="false" customHeight="false" outlineLevel="0" collapsed="false">
      <c r="A9812" s="0" t="s">
        <v>4587</v>
      </c>
      <c r="B9812" s="0" t="str">
        <f aca="false">HYPERLINK("https://lindat.mff.cuni.cz/services/teitok/pdtc10/index.php?action=vallex&amp;frame=v-w1133f1", "hromadit se (v-w1133f1)")</f>
        <v>hromadit se (v-w1133f1)</v>
      </c>
      <c r="E9812" s="0" t="str">
        <f aca="false">HYPERLINK("https://lindat.mff.cuni.cz/services/SynSemClass40/SynSemClass40.html?veclass=vec00836#vec00836-ces-cm00006", "vec00836")</f>
        <v>vec00836</v>
      </c>
      <c r="F9812" s="0" t="s">
        <v>4588</v>
      </c>
    </row>
    <row r="9813" customFormat="false" ht="12.8" hidden="false" customHeight="false" outlineLevel="0" collapsed="false">
      <c r="B9813" s="0" t="s">
        <v>1</v>
      </c>
      <c r="C9813" s="0" t="s">
        <v>4589</v>
      </c>
      <c r="E9813" s="0" t="s">
        <v>4590</v>
      </c>
      <c r="F9813" s="0" t="s">
        <v>4591</v>
      </c>
    </row>
    <row r="9815" customFormat="false" ht="12.8" hidden="false" customHeight="false" outlineLevel="0" collapsed="false">
      <c r="A9815" s="0" t="s">
        <v>4592</v>
      </c>
      <c r="B9815" s="0" t="str">
        <f aca="false">HYPERLINK("https://lindat.mff.cuni.cz/services/teitok/pdtc10/index.php?action=vallex&amp;frame=v-w1134f3_ZU", "hroutit se (v-w1134f3_ZU)")</f>
        <v>hroutit se (v-w1134f3_ZU)</v>
      </c>
    </row>
    <row r="9816" customFormat="false" ht="12.8" hidden="false" customHeight="false" outlineLevel="0" collapsed="false">
      <c r="B9816" s="0" t="s">
        <v>1</v>
      </c>
    </row>
    <row r="9818" customFormat="false" ht="12.8" hidden="false" customHeight="false" outlineLevel="0" collapsed="false">
      <c r="A9818" s="0" t="s">
        <v>4592</v>
      </c>
      <c r="B9818" s="0" t="str">
        <f aca="false">HYPERLINK("https://lindat.mff.cuni.cz/services/teitok/pdtc10/index.php?action=vallex&amp;frame=v-w1134f1", "hroutit se (v-w1134f1) - substituted with v-w1134f3_ZU")</f>
        <v>hroutit se (v-w1134f1) - substituted with v-w1134f3_ZU</v>
      </c>
      <c r="E9818" s="0" t="str">
        <f aca="false">HYPERLINK("https://lindat.mff.cuni.cz/services/SynSemClass40/SynSemClass40.html?veclass=vec00599#vec00599-ces-cm00023", "vec00599")</f>
        <v>vec00599</v>
      </c>
      <c r="F9818" s="0" t="s">
        <v>4593</v>
      </c>
    </row>
    <row r="9819" customFormat="false" ht="12.8" hidden="false" customHeight="false" outlineLevel="0" collapsed="false">
      <c r="B9819" s="0" t="s">
        <v>1</v>
      </c>
      <c r="C9819" s="0" t="s">
        <v>4594</v>
      </c>
      <c r="E9819" s="0" t="s">
        <v>4595</v>
      </c>
      <c r="F9819" s="0" t="s">
        <v>4596</v>
      </c>
    </row>
    <row r="9821" customFormat="false" ht="12.8" hidden="false" customHeight="false" outlineLevel="0" collapsed="false">
      <c r="A9821" s="0" t="s">
        <v>4597</v>
      </c>
      <c r="B9821" s="0" t="str">
        <f aca="false">HYPERLINK("https://lindat.mff.cuni.cz/services/teitok/pdtc10/index.php?action=vallex&amp;frame=v-w1134f2", "hroutit se (v-w1134f2)")</f>
        <v>hroutit se (v-w1134f2)</v>
      </c>
    </row>
    <row r="9822" customFormat="false" ht="12.8" hidden="false" customHeight="false" outlineLevel="0" collapsed="false">
      <c r="B9822" s="0" t="s">
        <v>1</v>
      </c>
    </row>
    <row r="9824" customFormat="false" ht="12.8" hidden="false" customHeight="false" outlineLevel="0" collapsed="false">
      <c r="A9824" s="0" t="s">
        <v>4598</v>
      </c>
      <c r="B9824" s="0" t="str">
        <f aca="false">HYPERLINK("https://lindat.mff.cuni.cz/services/teitok/pdtc10/index.php?action=vallex&amp;frame=v-w1136f2", "hrozit (v-w1136f2)")</f>
        <v>hrozit (v-w1136f2)</v>
      </c>
      <c r="E9824" s="0" t="str">
        <f aca="false">HYPERLINK("https://lindat.mff.cuni.cz/services/SynSemClass40/SynSemClass40.html?veclass=vec00477#vec00477-ces-cm00003", "vec00477")</f>
        <v>vec00477</v>
      </c>
      <c r="F9824" s="0" t="s">
        <v>4599</v>
      </c>
    </row>
    <row r="9825" customFormat="false" ht="12.8" hidden="false" customHeight="false" outlineLevel="0" collapsed="false">
      <c r="B9825" s="0" t="s">
        <v>1</v>
      </c>
      <c r="C9825" s="0" t="s">
        <v>106</v>
      </c>
      <c r="E9825" s="0" t="s">
        <v>31</v>
      </c>
      <c r="F9825" s="0" t="s">
        <v>4600</v>
      </c>
    </row>
    <row r="9826" customFormat="false" ht="12.8" hidden="false" customHeight="false" outlineLevel="0" collapsed="false">
      <c r="B9826" s="0" t="s">
        <v>4601</v>
      </c>
      <c r="C9826" s="0" t="s">
        <v>4602</v>
      </c>
      <c r="E9826" s="0" t="s">
        <v>532</v>
      </c>
      <c r="F9826" s="0" t="s">
        <v>4603</v>
      </c>
    </row>
    <row r="9827" customFormat="false" ht="12.8" hidden="false" customHeight="false" outlineLevel="0" collapsed="false">
      <c r="B9827" s="0" t="s">
        <v>52</v>
      </c>
      <c r="C9827" s="0" t="s">
        <v>4604</v>
      </c>
      <c r="E9827" s="0" t="s">
        <v>2287</v>
      </c>
      <c r="F9827" s="0" t="s">
        <v>4605</v>
      </c>
    </row>
    <row r="9829" customFormat="false" ht="12.8" hidden="false" customHeight="false" outlineLevel="0" collapsed="false">
      <c r="A9829" s="0" t="s">
        <v>4606</v>
      </c>
      <c r="B9829" s="0" t="str">
        <f aca="false">HYPERLINK("https://lindat.mff.cuni.cz/services/teitok/pdtc10/index.php?action=vallex&amp;frame=v-w1136f1", "hrozit (v-w1136f1)")</f>
        <v>hrozit (v-w1136f1)</v>
      </c>
      <c r="E9829" s="0" t="str">
        <f aca="false">HYPERLINK("https://lindat.mff.cuni.cz/services/SynSemClass40/SynSemClass40.html?veclass=vec00416#vec00416-ces-cm00001", "vec00416")</f>
        <v>vec00416</v>
      </c>
      <c r="F9829" s="0" t="s">
        <v>4607</v>
      </c>
    </row>
    <row r="9830" customFormat="false" ht="12.8" hidden="false" customHeight="false" outlineLevel="0" collapsed="false">
      <c r="B9830" s="0" t="s">
        <v>944</v>
      </c>
      <c r="C9830" s="0" t="s">
        <v>4608</v>
      </c>
      <c r="E9830" s="0" t="s">
        <v>4609</v>
      </c>
      <c r="F9830" s="0" t="s">
        <v>4610</v>
      </c>
    </row>
    <row r="9831" customFormat="false" ht="12.8" hidden="false" customHeight="false" outlineLevel="0" collapsed="false">
      <c r="B9831" s="0" t="s">
        <v>186</v>
      </c>
      <c r="C9831" s="0" t="s">
        <v>4611</v>
      </c>
      <c r="E9831" s="0" t="s">
        <v>142</v>
      </c>
      <c r="F9831" s="0" t="s">
        <v>4612</v>
      </c>
    </row>
    <row r="9833" customFormat="false" ht="12.8" hidden="false" customHeight="false" outlineLevel="0" collapsed="false">
      <c r="A9833" s="0" t="s">
        <v>4613</v>
      </c>
      <c r="B9833" s="0" t="str">
        <f aca="false">HYPERLINK("https://lindat.mff.cuni.cz/services/teitok/pdtc10/index.php?action=vallex&amp;frame=v-w1136f3", "hrozit (v-w1136f3)")</f>
        <v>hrozit (v-w1136f3)</v>
      </c>
    </row>
    <row r="9834" customFormat="false" ht="12.8" hidden="false" customHeight="false" outlineLevel="0" collapsed="false">
      <c r="B9834" s="0" t="s">
        <v>1</v>
      </c>
    </row>
    <row r="9835" customFormat="false" ht="12.8" hidden="false" customHeight="false" outlineLevel="0" collapsed="false">
      <c r="B9835" s="0" t="s">
        <v>157</v>
      </c>
    </row>
    <row r="9837" customFormat="false" ht="12.8" hidden="false" customHeight="false" outlineLevel="0" collapsed="false">
      <c r="A9837" s="0" t="s">
        <v>4614</v>
      </c>
      <c r="B9837" s="0" t="str">
        <f aca="false">HYPERLINK("https://lindat.mff.cuni.cz/services/teitok/pdtc10/index.php?action=vallex&amp;frame=v-w1137f1", "hrozit se (v-w1137f1)")</f>
        <v>hrozit se (v-w1137f1)</v>
      </c>
    </row>
    <row r="9838" customFormat="false" ht="12.8" hidden="false" customHeight="false" outlineLevel="0" collapsed="false">
      <c r="B9838" s="0" t="s">
        <v>1</v>
      </c>
    </row>
    <row r="9839" customFormat="false" ht="12.8" hidden="false" customHeight="false" outlineLevel="0" collapsed="false">
      <c r="B9839" s="0" t="s">
        <v>4615</v>
      </c>
    </row>
    <row r="9841" customFormat="false" ht="12.8" hidden="false" customHeight="false" outlineLevel="0" collapsed="false">
      <c r="A9841" s="0" t="s">
        <v>4616</v>
      </c>
      <c r="B9841" s="0" t="str">
        <f aca="false">HYPERLINK("https://lindat.mff.cuni.cz/services/teitok/pdtc10/index.php?action=vallex&amp;frame=v-w1138f1", "hrrr (v-w1138f1)")</f>
        <v>hrrr (v-w1138f1)</v>
      </c>
    </row>
    <row r="9842" customFormat="false" ht="12.8" hidden="false" customHeight="false" outlineLevel="0" collapsed="false">
      <c r="B9842" s="0" t="s">
        <v>164</v>
      </c>
    </row>
    <row r="9844" customFormat="false" ht="12.8" hidden="false" customHeight="false" outlineLevel="0" collapsed="false">
      <c r="A9844" s="0" t="s">
        <v>4617</v>
      </c>
      <c r="B9844" s="0" t="str">
        <f aca="false">HYPERLINK("https://lindat.mff.cuni.cz/services/teitok/pdtc10/index.php?action=vallex&amp;frame=v-whsa_299hsa_300", "hrábnout (v-whsa_299hsa_300)")</f>
        <v>hrábnout (v-whsa_299hsa_300)</v>
      </c>
      <c r="E9844" s="0" t="str">
        <f aca="false">HYPERLINK("https://lindat.mff.cuni.cz/services/SynSemClass40/SynSemClass40.html?veclass=vec00918#vec00918-ces-cm00006", "vec00918")</f>
        <v>vec00918</v>
      </c>
      <c r="F9844" s="0" t="s">
        <v>2999</v>
      </c>
      <c r="H9844" s="0" t="str">
        <f aca="false">HYPERLINK("https://lindat.mff.cuni.cz/services/SynSemClass40/SynSemClass40.html?veclass=vec01527#vec01527-ces-cm00006", "vec01527")</f>
        <v>vec01527</v>
      </c>
      <c r="I9844" s="0" t="s">
        <v>4556</v>
      </c>
    </row>
    <row r="9845" customFormat="false" ht="12.8" hidden="false" customHeight="false" outlineLevel="0" collapsed="false">
      <c r="B9845" s="0" t="s">
        <v>1</v>
      </c>
      <c r="C9845" s="0" t="s">
        <v>106</v>
      </c>
      <c r="E9845" s="0" t="s">
        <v>31</v>
      </c>
      <c r="F9845" s="0" t="s">
        <v>3001</v>
      </c>
      <c r="H9845" s="0" t="s">
        <v>2263</v>
      </c>
      <c r="I9845" s="0" t="s">
        <v>4557</v>
      </c>
    </row>
    <row r="9846" customFormat="false" ht="12.8" hidden="false" customHeight="false" outlineLevel="0" collapsed="false">
      <c r="B9846" s="0" t="s">
        <v>164</v>
      </c>
      <c r="C9846" s="0" t="s">
        <v>4618</v>
      </c>
      <c r="E9846" s="0" t="s">
        <v>4619</v>
      </c>
      <c r="F9846" s="0" t="s">
        <v>4620</v>
      </c>
      <c r="H9846" s="0" t="s">
        <v>370</v>
      </c>
      <c r="I9846" s="0" t="s">
        <v>4621</v>
      </c>
    </row>
    <row r="9848" customFormat="false" ht="12.8" hidden="false" customHeight="false" outlineLevel="0" collapsed="false">
      <c r="A9848" s="0" t="s">
        <v>4622</v>
      </c>
      <c r="B9848" s="0" t="str">
        <f aca="false">HYPERLINK("https://lindat.mff.cuni.cz/services/teitok/pdtc10/index.php?action=vallex&amp;frame=v-w1122f15_ZU", "hrát (v-w1122f15_ZU)")</f>
        <v>hrát (v-w1122f15_ZU)</v>
      </c>
    </row>
    <row r="9849" customFormat="false" ht="12.8" hidden="false" customHeight="false" outlineLevel="0" collapsed="false">
      <c r="B9849" s="0" t="s">
        <v>1</v>
      </c>
    </row>
    <row r="9850" customFormat="false" ht="12.8" hidden="false" customHeight="false" outlineLevel="0" collapsed="false">
      <c r="B9850" s="0" t="s">
        <v>4623</v>
      </c>
    </row>
    <row r="9851" customFormat="false" ht="12.8" hidden="false" customHeight="false" outlineLevel="0" collapsed="false">
      <c r="B9851" s="0" t="s">
        <v>3153</v>
      </c>
    </row>
    <row r="9852" customFormat="false" ht="12.8" hidden="false" customHeight="false" outlineLevel="0" collapsed="false">
      <c r="B9852" s="0" t="s">
        <v>2413</v>
      </c>
    </row>
    <row r="9854" customFormat="false" ht="12.8" hidden="false" customHeight="false" outlineLevel="0" collapsed="false">
      <c r="A9854" s="0" t="s">
        <v>4622</v>
      </c>
      <c r="B9854" s="0" t="str">
        <f aca="false">HYPERLINK("https://lindat.mff.cuni.cz/services/teitok/pdtc10/index.php?action=vallex&amp;frame=v-w1122f1", "hrát (v-w1122f1) - substituted with v-w1122f15_ZU")</f>
        <v>hrát (v-w1122f1) - substituted with v-w1122f15_ZU</v>
      </c>
      <c r="E9854" s="0" t="str">
        <f aca="false">HYPERLINK("https://lindat.mff.cuni.cz/services/SynSemClass40/SynSemClass40.html?veclass=vec00415#vec00415-ces-cm00001", "vec00415")</f>
        <v>vec00415</v>
      </c>
      <c r="F9854" s="0" t="s">
        <v>4624</v>
      </c>
    </row>
    <row r="9855" customFormat="false" ht="12.8" hidden="false" customHeight="false" outlineLevel="0" collapsed="false">
      <c r="B9855" s="0" t="s">
        <v>1</v>
      </c>
      <c r="C9855" s="0" t="s">
        <v>4625</v>
      </c>
      <c r="E9855" s="0" t="s">
        <v>416</v>
      </c>
      <c r="F9855" s="0" t="s">
        <v>4626</v>
      </c>
    </row>
    <row r="9856" customFormat="false" ht="12.8" hidden="false" customHeight="false" outlineLevel="0" collapsed="false">
      <c r="B9856" s="0" t="s">
        <v>4623</v>
      </c>
      <c r="C9856" s="0" t="s">
        <v>4627</v>
      </c>
      <c r="E9856" s="0" t="s">
        <v>432</v>
      </c>
      <c r="F9856" s="0" t="s">
        <v>4628</v>
      </c>
    </row>
    <row r="9857" customFormat="false" ht="12.8" hidden="false" customHeight="false" outlineLevel="0" collapsed="false">
      <c r="B9857" s="0" t="s">
        <v>3153</v>
      </c>
      <c r="E9857" s="0" t="s">
        <v>420</v>
      </c>
      <c r="F9857" s="0" t="s">
        <v>4629</v>
      </c>
    </row>
    <row r="9858" customFormat="false" ht="12.8" hidden="false" customHeight="false" outlineLevel="0" collapsed="false">
      <c r="B9858" s="0" t="s">
        <v>2413</v>
      </c>
      <c r="E9858" s="0" t="s">
        <v>4630</v>
      </c>
      <c r="F9858" s="0" t="s">
        <v>4631</v>
      </c>
    </row>
    <row r="9860" customFormat="false" ht="12.8" hidden="false" customHeight="false" outlineLevel="0" collapsed="false">
      <c r="A9860" s="0" t="s">
        <v>4632</v>
      </c>
      <c r="B9860" s="0" t="str">
        <f aca="false">HYPERLINK("https://lindat.mff.cuni.cz/services/teitok/pdtc10/index.php?action=vallex&amp;frame=v-w1122f5", "hrát (v-w1122f5)")</f>
        <v>hrát (v-w1122f5)</v>
      </c>
    </row>
    <row r="9861" customFormat="false" ht="12.8" hidden="false" customHeight="false" outlineLevel="0" collapsed="false">
      <c r="B9861" s="0" t="s">
        <v>1</v>
      </c>
    </row>
    <row r="9862" customFormat="false" ht="12.8" hidden="false" customHeight="false" outlineLevel="0" collapsed="false">
      <c r="B9862" s="0" t="s">
        <v>228</v>
      </c>
    </row>
    <row r="9864" customFormat="false" ht="12.8" hidden="false" customHeight="false" outlineLevel="0" collapsed="false">
      <c r="A9864" s="0" t="s">
        <v>4633</v>
      </c>
      <c r="B9864" s="0" t="str">
        <f aca="false">HYPERLINK("https://lindat.mff.cuni.cz/services/teitok/pdtc10/index.php?action=vallex&amp;frame=v-w1122f2", "hrát (v-w1122f2)")</f>
        <v>hrát (v-w1122f2)</v>
      </c>
      <c r="E9864" s="0" t="str">
        <f aca="false">HYPERLINK("https://lindat.mff.cuni.cz/services/SynSemClass40/SynSemClass40.html?veclass=vec00611#vec00611-ces-cm00001", "vec00611")</f>
        <v>vec00611</v>
      </c>
      <c r="F9864" s="0" t="s">
        <v>1828</v>
      </c>
    </row>
    <row r="9865" customFormat="false" ht="12.8" hidden="false" customHeight="false" outlineLevel="0" collapsed="false">
      <c r="B9865" s="0" t="s">
        <v>1</v>
      </c>
      <c r="C9865" s="0" t="s">
        <v>1829</v>
      </c>
      <c r="E9865" s="0" t="s">
        <v>1830</v>
      </c>
      <c r="F9865" s="0" t="s">
        <v>1831</v>
      </c>
    </row>
    <row r="9866" customFormat="false" ht="12.8" hidden="false" customHeight="false" outlineLevel="0" collapsed="false">
      <c r="B9866" s="0" t="s">
        <v>8</v>
      </c>
      <c r="C9866" s="0" t="s">
        <v>4002</v>
      </c>
      <c r="E9866" s="0" t="s">
        <v>4634</v>
      </c>
      <c r="F9866" s="0" t="s">
        <v>4635</v>
      </c>
    </row>
    <row r="9868" customFormat="false" ht="12.8" hidden="false" customHeight="false" outlineLevel="0" collapsed="false">
      <c r="A9868" s="0" t="s">
        <v>4636</v>
      </c>
      <c r="B9868" s="0" t="str">
        <f aca="false">HYPERLINK("https://lindat.mff.cuni.cz/services/teitok/pdtc10/index.php?action=vallex&amp;frame=v-w1122f4", "hrát (v-w1122f4)")</f>
        <v>hrát (v-w1122f4)</v>
      </c>
      <c r="E9868" s="0" t="str">
        <f aca="false">HYPERLINK("https://lindat.mff.cuni.cz/services/SynSemClass40/SynSemClass40.html?veclass=vec00823#vec00823-ces-cm00001", "vec00823")</f>
        <v>vec00823</v>
      </c>
      <c r="F9868" s="0" t="s">
        <v>2321</v>
      </c>
    </row>
    <row r="9869" customFormat="false" ht="12.8" hidden="false" customHeight="false" outlineLevel="0" collapsed="false">
      <c r="B9869" s="0" t="s">
        <v>1</v>
      </c>
      <c r="E9869" s="0" t="s">
        <v>1830</v>
      </c>
      <c r="F9869" s="0" t="s">
        <v>2322</v>
      </c>
    </row>
    <row r="9870" customFormat="false" ht="12.8" hidden="false" customHeight="false" outlineLevel="0" collapsed="false">
      <c r="B9870" s="0" t="s">
        <v>8</v>
      </c>
      <c r="E9870" s="0" t="s">
        <v>2323</v>
      </c>
      <c r="F9870" s="0" t="s">
        <v>2324</v>
      </c>
    </row>
    <row r="9872" customFormat="false" ht="12.8" hidden="false" customHeight="false" outlineLevel="0" collapsed="false">
      <c r="A9872" s="0" t="s">
        <v>4637</v>
      </c>
      <c r="B9872" s="0" t="str">
        <f aca="false">HYPERLINK("https://lindat.mff.cuni.cz/services/teitok/pdtc10/index.php?action=vallex&amp;frame=v-w1122f6", "hrát (v-w1122f6)")</f>
        <v>hrát (v-w1122f6)</v>
      </c>
    </row>
    <row r="9873" customFormat="false" ht="12.8" hidden="false" customHeight="false" outlineLevel="0" collapsed="false">
      <c r="B9873" s="0" t="s">
        <v>1</v>
      </c>
    </row>
    <row r="9874" customFormat="false" ht="12.8" hidden="false" customHeight="false" outlineLevel="0" collapsed="false">
      <c r="B9874" s="0" t="s">
        <v>2119</v>
      </c>
    </row>
    <row r="9876" customFormat="false" ht="12.8" hidden="false" customHeight="false" outlineLevel="0" collapsed="false">
      <c r="A9876" s="0" t="s">
        <v>4638</v>
      </c>
      <c r="B9876" s="0" t="str">
        <f aca="false">HYPERLINK("https://lindat.mff.cuni.cz/services/teitok/pdtc10/index.php?action=vallex&amp;frame=v-w1122f9", "hrát (v-w1122f9)")</f>
        <v>hrát (v-w1122f9)</v>
      </c>
    </row>
    <row r="9877" customFormat="false" ht="12.8" hidden="false" customHeight="false" outlineLevel="0" collapsed="false">
      <c r="B9877" s="0" t="s">
        <v>1</v>
      </c>
    </row>
    <row r="9878" customFormat="false" ht="12.8" hidden="false" customHeight="false" outlineLevel="0" collapsed="false">
      <c r="B9878" s="0" t="s">
        <v>4639</v>
      </c>
    </row>
    <row r="9879" customFormat="false" ht="12.8" hidden="false" customHeight="false" outlineLevel="0" collapsed="false">
      <c r="B9879" s="0" t="s">
        <v>186</v>
      </c>
    </row>
    <row r="9881" customFormat="false" ht="12.8" hidden="false" customHeight="false" outlineLevel="0" collapsed="false">
      <c r="A9881" s="0" t="s">
        <v>4640</v>
      </c>
      <c r="B9881" s="0" t="str">
        <f aca="false">HYPERLINK("https://lindat.mff.cuni.cz/services/teitok/pdtc10/index.php?action=vallex&amp;frame=v-w1122f10", "hrát (v-w1122f10)")</f>
        <v>hrát (v-w1122f10)</v>
      </c>
    </row>
    <row r="9882" customFormat="false" ht="12.8" hidden="false" customHeight="false" outlineLevel="0" collapsed="false">
      <c r="B9882" s="0" t="s">
        <v>1</v>
      </c>
    </row>
    <row r="9883" customFormat="false" ht="12.8" hidden="false" customHeight="false" outlineLevel="0" collapsed="false">
      <c r="B9883" s="0" t="s">
        <v>1244</v>
      </c>
    </row>
    <row r="9884" customFormat="false" ht="12.8" hidden="false" customHeight="false" outlineLevel="0" collapsed="false">
      <c r="B9884" s="0" t="s">
        <v>186</v>
      </c>
    </row>
    <row r="9886" customFormat="false" ht="12.8" hidden="false" customHeight="false" outlineLevel="0" collapsed="false">
      <c r="A9886" s="0" t="s">
        <v>4641</v>
      </c>
      <c r="B9886" s="0" t="str">
        <f aca="false">HYPERLINK("https://lindat.mff.cuni.cz/services/teitok/pdtc10/index.php?action=vallex&amp;frame=v-w1122f11", "hrát (v-w1122f11)")</f>
        <v>hrát (v-w1122f11)</v>
      </c>
    </row>
    <row r="9887" customFormat="false" ht="12.8" hidden="false" customHeight="false" outlineLevel="0" collapsed="false">
      <c r="B9887" s="0" t="s">
        <v>629</v>
      </c>
    </row>
    <row r="9888" customFormat="false" ht="12.8" hidden="false" customHeight="false" outlineLevel="0" collapsed="false">
      <c r="B9888" s="0" t="s">
        <v>4642</v>
      </c>
    </row>
    <row r="9890" customFormat="false" ht="12.8" hidden="false" customHeight="false" outlineLevel="0" collapsed="false">
      <c r="A9890" s="0" t="s">
        <v>4643</v>
      </c>
      <c r="B9890" s="0" t="str">
        <f aca="false">HYPERLINK("https://lindat.mff.cuni.cz/services/teitok/pdtc10/index.php?action=vallex&amp;frame=v-w1122f3", "hrát (v-w1122f3)")</f>
        <v>hrát (v-w1122f3)</v>
      </c>
      <c r="E9890" s="0" t="str">
        <f aca="false">HYPERLINK("https://lindat.mff.cuni.cz/services/SynSemClass40/SynSemClass40.html?veclass=vec00222#vec00222-ces-cm00001", "vec00222")</f>
        <v>vec00222</v>
      </c>
      <c r="F9890" s="0" t="s">
        <v>4644</v>
      </c>
    </row>
    <row r="9891" customFormat="false" ht="12.8" hidden="false" customHeight="false" outlineLevel="0" collapsed="false">
      <c r="B9891" s="0" t="s">
        <v>4645</v>
      </c>
      <c r="E9891" s="0" t="s">
        <v>1053</v>
      </c>
      <c r="F9891" s="0" t="s">
        <v>4646</v>
      </c>
    </row>
    <row r="9892" customFormat="false" ht="12.8" hidden="false" customHeight="false" outlineLevel="0" collapsed="false">
      <c r="B9892" s="0" t="s">
        <v>4647</v>
      </c>
    </row>
    <row r="9894" customFormat="false" ht="12.8" hidden="false" customHeight="false" outlineLevel="0" collapsed="false">
      <c r="A9894" s="0" t="s">
        <v>4648</v>
      </c>
      <c r="B9894" s="0" t="str">
        <f aca="false">HYPERLINK("https://lindat.mff.cuni.cz/services/teitok/pdtc10/index.php?action=vallex&amp;frame=v-w1122f8", "hrát (v-w1122f8)")</f>
        <v>hrát (v-w1122f8)</v>
      </c>
      <c r="E9894" s="0" t="str">
        <f aca="false">HYPERLINK("https://lindat.mff.cuni.cz/services/SynSemClass40/SynSemClass40.html?veclass=vec00222#vec00222-ces-cm00003", "vec00222")</f>
        <v>vec00222</v>
      </c>
      <c r="F9894" s="0" t="s">
        <v>4644</v>
      </c>
    </row>
    <row r="9895" customFormat="false" ht="12.8" hidden="false" customHeight="false" outlineLevel="0" collapsed="false">
      <c r="B9895" s="0" t="s">
        <v>4649</v>
      </c>
      <c r="E9895" s="0" t="s">
        <v>1053</v>
      </c>
      <c r="F9895" s="0" t="s">
        <v>4646</v>
      </c>
    </row>
    <row r="9896" customFormat="false" ht="12.8" hidden="false" customHeight="false" outlineLevel="0" collapsed="false">
      <c r="B9896" s="0" t="s">
        <v>4650</v>
      </c>
    </row>
    <row r="9898" customFormat="false" ht="12.8" hidden="false" customHeight="false" outlineLevel="0" collapsed="false">
      <c r="A9898" s="0" t="s">
        <v>4651</v>
      </c>
      <c r="B9898" s="0" t="str">
        <f aca="false">HYPERLINK("https://lindat.mff.cuni.cz/services/teitok/pdtc10/index.php?action=vallex&amp;frame=v-w1122f7", "hrát (v-w1122f7)")</f>
        <v>hrát (v-w1122f7)</v>
      </c>
    </row>
    <row r="9899" customFormat="false" ht="12.8" hidden="false" customHeight="false" outlineLevel="0" collapsed="false">
      <c r="B9899" s="0" t="s">
        <v>1</v>
      </c>
    </row>
    <row r="9900" customFormat="false" ht="12.8" hidden="false" customHeight="false" outlineLevel="0" collapsed="false">
      <c r="B9900" s="0" t="s">
        <v>4652</v>
      </c>
    </row>
    <row r="9902" customFormat="false" ht="12.8" hidden="false" customHeight="false" outlineLevel="0" collapsed="false">
      <c r="A9902" s="0" t="s">
        <v>4653</v>
      </c>
      <c r="B9902" s="0" t="str">
        <f aca="false">HYPERLINK("https://lindat.mff.cuni.cz/services/teitok/pdtc10/index.php?action=vallex&amp;frame=v-w1122f12_ZU", "hrát (v-w1122f12_ZU)")</f>
        <v>hrát (v-w1122f12_ZU)</v>
      </c>
      <c r="E9902" s="0" t="str">
        <f aca="false">HYPERLINK("https://lindat.mff.cuni.cz/services/SynSemClass40/SynSemClass40.html?veclass=vec00222#vec00222-ces-cm00010", "vec00222")</f>
        <v>vec00222</v>
      </c>
      <c r="F9902" s="0" t="s">
        <v>4644</v>
      </c>
    </row>
    <row r="9903" customFormat="false" ht="12.8" hidden="false" customHeight="false" outlineLevel="0" collapsed="false">
      <c r="B9903" s="0" t="s">
        <v>1</v>
      </c>
      <c r="E9903" s="0" t="s">
        <v>1053</v>
      </c>
      <c r="F9903" s="0" t="s">
        <v>4646</v>
      </c>
    </row>
    <row r="9904" customFormat="false" ht="12.8" hidden="false" customHeight="false" outlineLevel="0" collapsed="false">
      <c r="B9904" s="0" t="s">
        <v>4654</v>
      </c>
    </row>
    <row r="9906" customFormat="false" ht="12.8" hidden="false" customHeight="false" outlineLevel="0" collapsed="false">
      <c r="A9906" s="0" t="s">
        <v>4655</v>
      </c>
      <c r="B9906" s="0" t="str">
        <f aca="false">HYPERLINK("https://lindat.mff.cuni.cz/services/teitok/pdtc10/index.php?action=vallex&amp;frame=v-w1122f14_ZU", "hrát (v-w1122f14_ZU)")</f>
        <v>hrát (v-w1122f14_ZU)</v>
      </c>
    </row>
    <row r="9907" customFormat="false" ht="12.8" hidden="false" customHeight="false" outlineLevel="0" collapsed="false">
      <c r="B9907" s="0" t="s">
        <v>1</v>
      </c>
    </row>
    <row r="9908" customFormat="false" ht="12.8" hidden="false" customHeight="false" outlineLevel="0" collapsed="false">
      <c r="B9908" s="0" t="s">
        <v>3153</v>
      </c>
    </row>
    <row r="9909" customFormat="false" ht="12.8" hidden="false" customHeight="false" outlineLevel="0" collapsed="false">
      <c r="B9909" s="0" t="s">
        <v>390</v>
      </c>
    </row>
    <row r="9910" customFormat="false" ht="12.8" hidden="false" customHeight="false" outlineLevel="0" collapsed="false">
      <c r="B9910" s="0" t="s">
        <v>4656</v>
      </c>
    </row>
    <row r="9911" customFormat="false" ht="12.8" hidden="false" customHeight="false" outlineLevel="0" collapsed="false">
      <c r="B9911" s="0" t="s">
        <v>4657</v>
      </c>
    </row>
    <row r="9913" customFormat="false" ht="12.8" hidden="false" customHeight="false" outlineLevel="0" collapsed="false">
      <c r="A9913" s="0" t="s">
        <v>4655</v>
      </c>
      <c r="B9913" s="0" t="str">
        <f aca="false">HYPERLINK("https://lindat.mff.cuni.cz/services/teitok/pdtc10/index.php?action=vallex&amp;frame=v-w1122hsa_254", "hrát (v-w1122hsa_254) - substituted with v-w1122f14_ZU")</f>
        <v>hrát (v-w1122hsa_254) - substituted with v-w1122f14_ZU</v>
      </c>
    </row>
    <row r="9914" customFormat="false" ht="12.8" hidden="false" customHeight="false" outlineLevel="0" collapsed="false">
      <c r="B9914" s="0" t="s">
        <v>1</v>
      </c>
    </row>
    <row r="9915" customFormat="false" ht="12.8" hidden="false" customHeight="false" outlineLevel="0" collapsed="false">
      <c r="B9915" s="0" t="s">
        <v>3153</v>
      </c>
    </row>
    <row r="9916" customFormat="false" ht="12.8" hidden="false" customHeight="false" outlineLevel="0" collapsed="false">
      <c r="B9916" s="0" t="s">
        <v>390</v>
      </c>
    </row>
    <row r="9917" customFormat="false" ht="12.8" hidden="false" customHeight="false" outlineLevel="0" collapsed="false">
      <c r="B9917" s="0" t="s">
        <v>4656</v>
      </c>
    </row>
    <row r="9918" customFormat="false" ht="12.8" hidden="false" customHeight="false" outlineLevel="0" collapsed="false">
      <c r="B9918" s="0" t="s">
        <v>4657</v>
      </c>
    </row>
    <row r="9920" customFormat="false" ht="12.8" hidden="false" customHeight="false" outlineLevel="0" collapsed="false">
      <c r="A9920" s="0" t="s">
        <v>4658</v>
      </c>
      <c r="B9920" s="0" t="str">
        <f aca="false">HYPERLINK("https://lindat.mff.cuni.cz/services/teitok/pdtc10/index.php?action=vallex&amp;frame=v-w1122f13_ZU", "hrát (v-w1122f13_ZU)")</f>
        <v>hrát (v-w1122f13_ZU)</v>
      </c>
    </row>
    <row r="9921" customFormat="false" ht="12.8" hidden="false" customHeight="false" outlineLevel="0" collapsed="false">
      <c r="B9921" s="0" t="s">
        <v>1</v>
      </c>
    </row>
    <row r="9922" customFormat="false" ht="12.8" hidden="false" customHeight="false" outlineLevel="0" collapsed="false">
      <c r="B9922" s="0" t="s">
        <v>4659</v>
      </c>
    </row>
    <row r="9923" customFormat="false" ht="12.8" hidden="false" customHeight="false" outlineLevel="0" collapsed="false">
      <c r="B9923" s="0" t="s">
        <v>186</v>
      </c>
    </row>
    <row r="9925" customFormat="false" ht="12.8" hidden="false" customHeight="false" outlineLevel="0" collapsed="false">
      <c r="A9925" s="0" t="s">
        <v>4658</v>
      </c>
      <c r="B9925" s="0" t="str">
        <f aca="false">HYPERLINK("https://lindat.mff.cuni.cz/services/teitok/pdtc10/index.php?action=vallex&amp;frame=v-w1122hsa_255", "hrát (v-w1122hsa_255) - substituted with v-w1122f13_ZU")</f>
        <v>hrát (v-w1122hsa_255) - substituted with v-w1122f13_ZU</v>
      </c>
    </row>
    <row r="9926" customFormat="false" ht="12.8" hidden="false" customHeight="false" outlineLevel="0" collapsed="false">
      <c r="B9926" s="0" t="s">
        <v>1</v>
      </c>
    </row>
    <row r="9927" customFormat="false" ht="12.8" hidden="false" customHeight="false" outlineLevel="0" collapsed="false">
      <c r="B9927" s="0" t="s">
        <v>4659</v>
      </c>
    </row>
    <row r="9928" customFormat="false" ht="12.8" hidden="false" customHeight="false" outlineLevel="0" collapsed="false">
      <c r="B9928" s="0" t="s">
        <v>186</v>
      </c>
    </row>
    <row r="9930" customFormat="false" ht="12.8" hidden="false" customHeight="false" outlineLevel="0" collapsed="false">
      <c r="A9930" s="0" t="s">
        <v>4660</v>
      </c>
      <c r="B9930" s="0" t="str">
        <f aca="false">HYPERLINK("https://lindat.mff.cuni.cz/services/teitok/pdtc10/index.php?action=vallex&amp;frame=v-w1122f16_ZU", "hrát (v-w1122f16_ZU)")</f>
        <v>hrát (v-w1122f16_ZU)</v>
      </c>
    </row>
    <row r="9931" customFormat="false" ht="12.8" hidden="false" customHeight="false" outlineLevel="0" collapsed="false">
      <c r="B9931" s="0" t="s">
        <v>1</v>
      </c>
    </row>
    <row r="9932" customFormat="false" ht="12.8" hidden="false" customHeight="false" outlineLevel="0" collapsed="false">
      <c r="B9932" s="0" t="s">
        <v>721</v>
      </c>
    </row>
    <row r="9934" customFormat="false" ht="12.8" hidden="false" customHeight="false" outlineLevel="0" collapsed="false">
      <c r="A9934" s="0" t="s">
        <v>4661</v>
      </c>
      <c r="B9934" s="0" t="str">
        <f aca="false">HYPERLINK("https://lindat.mff.cuni.cz/services/teitok/pdtc10/index.php?action=vallex&amp;frame=v-w1122hsa_1307", "hrát (v-w1122hsa_1307)")</f>
        <v>hrát (v-w1122hsa_1307)</v>
      </c>
    </row>
    <row r="9935" customFormat="false" ht="12.8" hidden="false" customHeight="false" outlineLevel="0" collapsed="false">
      <c r="B9935" s="0" t="s">
        <v>1</v>
      </c>
    </row>
    <row r="9937" customFormat="false" ht="12.8" hidden="false" customHeight="false" outlineLevel="0" collapsed="false">
      <c r="A9937" s="0" t="s">
        <v>4662</v>
      </c>
      <c r="B9937" s="0" t="str">
        <f aca="false">HYPERLINK("https://lindat.mff.cuni.cz/services/teitok/pdtc10/index.php?action=vallex&amp;frame=v-w1122hsa_1308", "hrát (v-w1122hsa_1308)")</f>
        <v>hrát (v-w1122hsa_1308)</v>
      </c>
    </row>
    <row r="9938" customFormat="false" ht="12.8" hidden="false" customHeight="false" outlineLevel="0" collapsed="false">
      <c r="B9938" s="0" t="s">
        <v>1</v>
      </c>
    </row>
    <row r="9939" customFormat="false" ht="12.8" hidden="false" customHeight="false" outlineLevel="0" collapsed="false">
      <c r="B9939" s="0" t="s">
        <v>8</v>
      </c>
    </row>
    <row r="9941" customFormat="false" ht="12.8" hidden="false" customHeight="false" outlineLevel="0" collapsed="false">
      <c r="A9941" s="0" t="s">
        <v>4663</v>
      </c>
      <c r="B9941" s="0" t="str">
        <f aca="false">HYPERLINK("https://lindat.mff.cuni.cz/services/teitok/pdtc10/index.php?action=vallex&amp;frame=v-w1122hsa_1309", "hrát (v-w1122hsa_1309)")</f>
        <v>hrát (v-w1122hsa_1309)</v>
      </c>
    </row>
    <row r="9942" customFormat="false" ht="12.8" hidden="false" customHeight="false" outlineLevel="0" collapsed="false">
      <c r="B9942" s="0" t="s">
        <v>1</v>
      </c>
    </row>
    <row r="9943" customFormat="false" ht="12.8" hidden="false" customHeight="false" outlineLevel="0" collapsed="false">
      <c r="B9943" s="0" t="s">
        <v>45</v>
      </c>
    </row>
    <row r="9945" customFormat="false" ht="12.8" hidden="false" customHeight="false" outlineLevel="0" collapsed="false">
      <c r="A9945" s="0" t="s">
        <v>4664</v>
      </c>
      <c r="B9945" s="0" t="str">
        <f aca="false">HYPERLINK("https://lindat.mff.cuni.cz/services/teitok/pdtc10/index.php?action=vallex&amp;frame=v-w1123f6_MM", "hrát si (v-w1123f6_MM)")</f>
        <v>hrát si (v-w1123f6_MM)</v>
      </c>
    </row>
    <row r="9946" customFormat="false" ht="12.8" hidden="false" customHeight="false" outlineLevel="0" collapsed="false">
      <c r="B9946" s="0" t="s">
        <v>1</v>
      </c>
    </row>
    <row r="9947" customFormat="false" ht="12.8" hidden="false" customHeight="false" outlineLevel="0" collapsed="false">
      <c r="B9947" s="0" t="s">
        <v>3321</v>
      </c>
    </row>
    <row r="9948" customFormat="false" ht="12.8" hidden="false" customHeight="false" outlineLevel="0" collapsed="false">
      <c r="B9948" s="0" t="s">
        <v>4665</v>
      </c>
    </row>
    <row r="9950" customFormat="false" ht="12.8" hidden="false" customHeight="false" outlineLevel="0" collapsed="false">
      <c r="A9950" s="0" t="s">
        <v>4664</v>
      </c>
      <c r="B9950" s="0" t="str">
        <f aca="false">HYPERLINK("https://lindat.mff.cuni.cz/services/teitok/pdtc10/index.php?action=vallex&amp;frame=v-w1123f1", "hrát si (v-w1123f1) - substituted with v-w1123f6_MM")</f>
        <v>hrát si (v-w1123f1) - substituted with v-w1123f6_MM</v>
      </c>
      <c r="E9950" s="0" t="str">
        <f aca="false">HYPERLINK("https://lindat.mff.cuni.cz/services/SynSemClass40/SynSemClass40.html?veclass=vec00824#vec00824-ces-cm00001", "vec00824")</f>
        <v>vec00824</v>
      </c>
      <c r="F9950" s="0" t="s">
        <v>4666</v>
      </c>
    </row>
    <row r="9951" customFormat="false" ht="12.8" hidden="false" customHeight="false" outlineLevel="0" collapsed="false">
      <c r="B9951" s="0" t="s">
        <v>1</v>
      </c>
      <c r="C9951" s="0" t="s">
        <v>459</v>
      </c>
      <c r="E9951" s="0" t="s">
        <v>31</v>
      </c>
      <c r="F9951" s="0" t="s">
        <v>2437</v>
      </c>
    </row>
    <row r="9952" customFormat="false" ht="12.8" hidden="false" customHeight="false" outlineLevel="0" collapsed="false">
      <c r="B9952" s="0" t="s">
        <v>3321</v>
      </c>
      <c r="C9952" s="0" t="s">
        <v>800</v>
      </c>
      <c r="E9952" s="0" t="s">
        <v>170</v>
      </c>
      <c r="F9952" s="0" t="s">
        <v>1667</v>
      </c>
    </row>
    <row r="9953" customFormat="false" ht="12.8" hidden="false" customHeight="false" outlineLevel="0" collapsed="false">
      <c r="B9953" s="0" t="s">
        <v>4665</v>
      </c>
    </row>
    <row r="9955" customFormat="false" ht="12.8" hidden="false" customHeight="false" outlineLevel="0" collapsed="false">
      <c r="A9955" s="0" t="s">
        <v>4667</v>
      </c>
      <c r="B9955" s="0" t="str">
        <f aca="false">HYPERLINK("https://lindat.mff.cuni.cz/services/teitok/pdtc10/index.php?action=vallex&amp;frame=v-w1123f2", "hrát si (v-w1123f2)")</f>
        <v>hrát si (v-w1123f2)</v>
      </c>
    </row>
    <row r="9956" customFormat="false" ht="12.8" hidden="false" customHeight="false" outlineLevel="0" collapsed="false">
      <c r="B9956" s="0" t="s">
        <v>1</v>
      </c>
    </row>
    <row r="9957" customFormat="false" ht="12.8" hidden="false" customHeight="false" outlineLevel="0" collapsed="false">
      <c r="B9957" s="0" t="s">
        <v>45</v>
      </c>
    </row>
    <row r="9959" customFormat="false" ht="12.8" hidden="false" customHeight="false" outlineLevel="0" collapsed="false">
      <c r="A9959" s="0" t="s">
        <v>4668</v>
      </c>
      <c r="B9959" s="0" t="str">
        <f aca="false">HYPERLINK("https://lindat.mff.cuni.cz/services/teitok/pdtc10/index.php?action=vallex&amp;frame=v-w1123f3_ZU", "hrát si (v-w1123f3_ZU)")</f>
        <v>hrát si (v-w1123f3_ZU)</v>
      </c>
    </row>
    <row r="9960" customFormat="false" ht="12.8" hidden="false" customHeight="false" outlineLevel="0" collapsed="false">
      <c r="B9960" s="0" t="s">
        <v>1</v>
      </c>
    </row>
    <row r="9961" customFormat="false" ht="12.8" hidden="false" customHeight="false" outlineLevel="0" collapsed="false">
      <c r="B9961" s="0" t="s">
        <v>4669</v>
      </c>
    </row>
    <row r="9963" customFormat="false" ht="12.8" hidden="false" customHeight="false" outlineLevel="0" collapsed="false">
      <c r="A9963" s="0" t="s">
        <v>4668</v>
      </c>
      <c r="B9963" s="0" t="str">
        <f aca="false">HYPERLINK("https://lindat.mff.cuni.cz/services/teitok/pdtc10/index.php?action=vallex&amp;frame=v-w1123hsa_1198", "hrát si (v-w1123hsa_1198) - substituted with v-w1123f3_ZU")</f>
        <v>hrát si (v-w1123hsa_1198) - substituted with v-w1123f3_ZU</v>
      </c>
    </row>
    <row r="9964" customFormat="false" ht="12.8" hidden="false" customHeight="false" outlineLevel="0" collapsed="false">
      <c r="B9964" s="0" t="s">
        <v>1</v>
      </c>
    </row>
    <row r="9965" customFormat="false" ht="12.8" hidden="false" customHeight="false" outlineLevel="0" collapsed="false">
      <c r="B9965" s="0" t="s">
        <v>4669</v>
      </c>
    </row>
    <row r="9967" customFormat="false" ht="12.8" hidden="false" customHeight="false" outlineLevel="0" collapsed="false">
      <c r="A9967" s="0" t="s">
        <v>4670</v>
      </c>
      <c r="B9967" s="0" t="str">
        <f aca="false">HYPERLINK("https://lindat.mff.cuni.cz/services/teitok/pdtc10/index.php?action=vallex&amp;frame=v-w1123f4_ZU", "hrát si (v-w1123f4_ZU)")</f>
        <v>hrát si (v-w1123f4_ZU)</v>
      </c>
    </row>
    <row r="9968" customFormat="false" ht="12.8" hidden="false" customHeight="false" outlineLevel="0" collapsed="false">
      <c r="B9968" s="0" t="s">
        <v>1</v>
      </c>
    </row>
    <row r="9969" customFormat="false" ht="12.8" hidden="false" customHeight="false" outlineLevel="0" collapsed="false">
      <c r="B9969" s="0" t="s">
        <v>4671</v>
      </c>
    </row>
    <row r="9971" customFormat="false" ht="12.8" hidden="false" customHeight="false" outlineLevel="0" collapsed="false">
      <c r="A9971" s="0" t="s">
        <v>4670</v>
      </c>
      <c r="B9971" s="0" t="str">
        <f aca="false">HYPERLINK("https://lindat.mff.cuni.cz/services/teitok/pdtc10/index.php?action=vallex&amp;frame=v-w1123hsa_1199", "hrát si (v-w1123hsa_1199) - substituted with v-w1123f4_ZU")</f>
        <v>hrát si (v-w1123hsa_1199) - substituted with v-w1123f4_ZU</v>
      </c>
    </row>
    <row r="9972" customFormat="false" ht="12.8" hidden="false" customHeight="false" outlineLevel="0" collapsed="false">
      <c r="B9972" s="0" t="s">
        <v>1</v>
      </c>
    </row>
    <row r="9973" customFormat="false" ht="12.8" hidden="false" customHeight="false" outlineLevel="0" collapsed="false">
      <c r="B9973" s="0" t="s">
        <v>4671</v>
      </c>
    </row>
    <row r="9975" customFormat="false" ht="12.8" hidden="false" customHeight="false" outlineLevel="0" collapsed="false">
      <c r="A9975" s="0" t="s">
        <v>4672</v>
      </c>
      <c r="B9975" s="0" t="str">
        <f aca="false">HYPERLINK("https://lindat.mff.cuni.cz/services/teitok/pdtc10/index.php?action=vallex&amp;frame=v-w1123f5_ZU", "hrát si (v-w1123f5_ZU)")</f>
        <v>hrát si (v-w1123f5_ZU)</v>
      </c>
    </row>
    <row r="9976" customFormat="false" ht="12.8" hidden="false" customHeight="false" outlineLevel="0" collapsed="false">
      <c r="B9976" s="0" t="s">
        <v>1</v>
      </c>
    </row>
    <row r="9977" customFormat="false" ht="12.8" hidden="false" customHeight="false" outlineLevel="0" collapsed="false">
      <c r="B9977" s="0" t="s">
        <v>721</v>
      </c>
    </row>
    <row r="9979" customFormat="false" ht="12.8" hidden="false" customHeight="false" outlineLevel="0" collapsed="false">
      <c r="A9979" s="0" t="s">
        <v>4673</v>
      </c>
      <c r="B9979" s="0" t="str">
        <f aca="false">HYPERLINK("https://lindat.mff.cuni.cz/services/teitok/pdtc10/index.php?action=vallex&amp;frame=v-w1124f1", "hrávat (v-w1124f1)")</f>
        <v>hrávat (v-w1124f1)</v>
      </c>
      <c r="E9979" s="0" t="str">
        <f aca="false">HYPERLINK("https://lindat.mff.cuni.cz/services/SynSemClass40/SynSemClass40.html?veclass=vec00415#vec00415-ces-cm00014", "vec00415")</f>
        <v>vec00415</v>
      </c>
      <c r="F9979" s="0" t="s">
        <v>4624</v>
      </c>
    </row>
    <row r="9980" customFormat="false" ht="12.8" hidden="false" customHeight="false" outlineLevel="0" collapsed="false">
      <c r="B9980" s="0" t="s">
        <v>1</v>
      </c>
      <c r="C9980" s="0" t="s">
        <v>4625</v>
      </c>
      <c r="E9980" s="0" t="s">
        <v>416</v>
      </c>
      <c r="F9980" s="0" t="s">
        <v>4626</v>
      </c>
    </row>
    <row r="9981" customFormat="false" ht="12.8" hidden="false" customHeight="false" outlineLevel="0" collapsed="false">
      <c r="B9981" s="0" t="s">
        <v>4674</v>
      </c>
      <c r="C9981" s="0" t="s">
        <v>4627</v>
      </c>
      <c r="E9981" s="0" t="s">
        <v>432</v>
      </c>
      <c r="F9981" s="0" t="s">
        <v>4628</v>
      </c>
    </row>
    <row r="9982" customFormat="false" ht="12.8" hidden="false" customHeight="false" outlineLevel="0" collapsed="false">
      <c r="B9982" s="0" t="s">
        <v>3153</v>
      </c>
      <c r="E9982" s="0" t="s">
        <v>420</v>
      </c>
      <c r="F9982" s="0" t="s">
        <v>4629</v>
      </c>
    </row>
    <row r="9983" customFormat="false" ht="12.8" hidden="false" customHeight="false" outlineLevel="0" collapsed="false">
      <c r="B9983" s="0" t="s">
        <v>2413</v>
      </c>
      <c r="E9983" s="0" t="s">
        <v>4630</v>
      </c>
      <c r="F9983" s="0" t="s">
        <v>4631</v>
      </c>
    </row>
    <row r="9985" customFormat="false" ht="12.8" hidden="false" customHeight="false" outlineLevel="0" collapsed="false">
      <c r="A9985" s="0" t="s">
        <v>4675</v>
      </c>
      <c r="B9985" s="0" t="str">
        <f aca="false">HYPERLINK("https://lindat.mff.cuni.cz/services/teitok/pdtc10/index.php?action=vallex&amp;frame=v-w1124f2", "hrávat (v-w1124f2)")</f>
        <v>hrávat (v-w1124f2)</v>
      </c>
      <c r="E9985" s="0" t="str">
        <f aca="false">HYPERLINK("https://lindat.mff.cuni.cz/services/SynSemClass40/SynSemClass40.html?veclass=vec00222#vec00222-ces-cm00007", "vec00222")</f>
        <v>vec00222</v>
      </c>
      <c r="F9985" s="0" t="s">
        <v>4644</v>
      </c>
    </row>
    <row r="9986" customFormat="false" ht="12.8" hidden="false" customHeight="false" outlineLevel="0" collapsed="false">
      <c r="B9986" s="0" t="s">
        <v>4649</v>
      </c>
      <c r="E9986" s="0" t="s">
        <v>1053</v>
      </c>
      <c r="F9986" s="0" t="s">
        <v>4646</v>
      </c>
    </row>
    <row r="9987" customFormat="false" ht="12.8" hidden="false" customHeight="false" outlineLevel="0" collapsed="false">
      <c r="B9987" s="0" t="s">
        <v>4650</v>
      </c>
    </row>
    <row r="9989" customFormat="false" ht="12.8" hidden="false" customHeight="false" outlineLevel="0" collapsed="false">
      <c r="A9989" s="0" t="s">
        <v>4676</v>
      </c>
      <c r="B9989" s="0" t="str">
        <f aca="false">HYPERLINK("https://lindat.mff.cuni.cz/services/teitok/pdtc10/index.php?action=vallex&amp;frame=v-w1124f3_ZU", "hrávat (v-w1124f3_ZU)")</f>
        <v>hrávat (v-w1124f3_ZU)</v>
      </c>
    </row>
    <row r="9990" customFormat="false" ht="12.8" hidden="false" customHeight="false" outlineLevel="0" collapsed="false">
      <c r="B9990" s="0" t="s">
        <v>1</v>
      </c>
    </row>
    <row r="9991" customFormat="false" ht="12.8" hidden="false" customHeight="false" outlineLevel="0" collapsed="false">
      <c r="B9991" s="0" t="s">
        <v>8</v>
      </c>
    </row>
    <row r="9993" customFormat="false" ht="12.8" hidden="false" customHeight="false" outlineLevel="0" collapsed="false">
      <c r="A9993" s="0" t="s">
        <v>4676</v>
      </c>
      <c r="B9993" s="0" t="str">
        <f aca="false">HYPERLINK("https://lindat.mff.cuni.cz/services/teitok/pdtc10/index.php?action=vallex&amp;frame=v-w1124hsa_272", "hrávat (v-w1124hsa_272) - substituted with v-w1124f3_ZU")</f>
        <v>hrávat (v-w1124hsa_272) - substituted with v-w1124f3_ZU</v>
      </c>
    </row>
    <row r="9994" customFormat="false" ht="12.8" hidden="false" customHeight="false" outlineLevel="0" collapsed="false">
      <c r="B9994" s="0" t="s">
        <v>1</v>
      </c>
    </row>
    <row r="9995" customFormat="false" ht="12.8" hidden="false" customHeight="false" outlineLevel="0" collapsed="false">
      <c r="B9995" s="0" t="s">
        <v>8</v>
      </c>
    </row>
    <row r="9997" customFormat="false" ht="12.8" hidden="false" customHeight="false" outlineLevel="0" collapsed="false">
      <c r="A9997" s="0" t="s">
        <v>4677</v>
      </c>
      <c r="B9997" s="0" t="str">
        <f aca="false">HYPERLINK("https://lindat.mff.cuni.cz/services/teitok/pdtc10/index.php?action=vallex&amp;frame=v-w1124f4_ZU", "hrávat (v-w1124f4_ZU)")</f>
        <v>hrávat (v-w1124f4_ZU)</v>
      </c>
    </row>
    <row r="9998" customFormat="false" ht="12.8" hidden="false" customHeight="false" outlineLevel="0" collapsed="false">
      <c r="B9998" s="0" t="s">
        <v>1</v>
      </c>
    </row>
    <row r="9999" customFormat="false" ht="12.8" hidden="false" customHeight="false" outlineLevel="0" collapsed="false">
      <c r="B9999" s="0" t="s">
        <v>8</v>
      </c>
    </row>
    <row r="10001" customFormat="false" ht="12.8" hidden="false" customHeight="false" outlineLevel="0" collapsed="false">
      <c r="A10001" s="0" t="s">
        <v>4678</v>
      </c>
      <c r="B10001" s="0" t="str">
        <f aca="false">HYPERLINK("https://lindat.mff.cuni.cz/services/teitok/pdtc10/index.php?action=vallex&amp;frame=v-w1124hsa_271", "hrávat (v-w1124hsa_271)")</f>
        <v>hrávat (v-w1124hsa_271)</v>
      </c>
    </row>
    <row r="10002" customFormat="false" ht="12.8" hidden="false" customHeight="false" outlineLevel="0" collapsed="false">
      <c r="B10002" s="0" t="s">
        <v>1</v>
      </c>
    </row>
    <row r="10003" customFormat="false" ht="12.8" hidden="false" customHeight="false" outlineLevel="0" collapsed="false">
      <c r="B10003" s="0" t="s">
        <v>8</v>
      </c>
    </row>
    <row r="10005" customFormat="false" ht="12.8" hidden="false" customHeight="false" outlineLevel="0" collapsed="false">
      <c r="A10005" s="0" t="s">
        <v>4679</v>
      </c>
      <c r="B10005" s="0" t="str">
        <f aca="false">HYPERLINK("https://lindat.mff.cuni.cz/services/teitok/pdtc10/index.php?action=vallex&amp;frame=v-w1124hsa_273", "hrávat (v-w1124hsa_273)")</f>
        <v>hrávat (v-w1124hsa_273)</v>
      </c>
    </row>
    <row r="10006" customFormat="false" ht="12.8" hidden="false" customHeight="false" outlineLevel="0" collapsed="false">
      <c r="B10006" s="0" t="s">
        <v>1</v>
      </c>
    </row>
    <row r="10007" customFormat="false" ht="12.8" hidden="false" customHeight="false" outlineLevel="0" collapsed="false">
      <c r="B10007" s="0" t="s">
        <v>4674</v>
      </c>
    </row>
    <row r="10008" customFormat="false" ht="12.8" hidden="false" customHeight="false" outlineLevel="0" collapsed="false">
      <c r="B10008" s="0" t="s">
        <v>3153</v>
      </c>
    </row>
    <row r="10009" customFormat="false" ht="12.8" hidden="false" customHeight="false" outlineLevel="0" collapsed="false">
      <c r="B10009" s="0" t="s">
        <v>2413</v>
      </c>
    </row>
    <row r="10011" customFormat="false" ht="12.8" hidden="false" customHeight="false" outlineLevel="0" collapsed="false">
      <c r="A10011" s="0" t="s">
        <v>4680</v>
      </c>
      <c r="B10011" s="0" t="str">
        <f aca="false">HYPERLINK("https://lindat.mff.cuni.cz/services/teitok/pdtc10/index.php?action=vallex&amp;frame=v-whsa_1540hsa_1541", "hrávat si (v-whsa_1540hsa_1541)")</f>
        <v>hrávat si (v-whsa_1540hsa_1541)</v>
      </c>
    </row>
    <row r="10012" customFormat="false" ht="12.8" hidden="false" customHeight="false" outlineLevel="0" collapsed="false">
      <c r="B10012" s="0" t="s">
        <v>1</v>
      </c>
    </row>
    <row r="10013" customFormat="false" ht="12.8" hidden="false" customHeight="false" outlineLevel="0" collapsed="false">
      <c r="B10013" s="0" t="s">
        <v>3321</v>
      </c>
    </row>
    <row r="10014" customFormat="false" ht="12.8" hidden="false" customHeight="false" outlineLevel="0" collapsed="false">
      <c r="B10014" s="0" t="s">
        <v>101</v>
      </c>
    </row>
    <row r="10016" customFormat="false" ht="12.8" hidden="false" customHeight="false" outlineLevel="0" collapsed="false">
      <c r="A10016" s="0" t="s">
        <v>4681</v>
      </c>
      <c r="B10016" s="0" t="str">
        <f aca="false">HYPERLINK("https://lindat.mff.cuni.cz/services/teitok/pdtc10/index.php?action=vallex&amp;frame=v-w1144f1", "hubnout (v-w1144f1)")</f>
        <v>hubnout (v-w1144f1)</v>
      </c>
    </row>
    <row r="10017" customFormat="false" ht="12.8" hidden="false" customHeight="false" outlineLevel="0" collapsed="false">
      <c r="B10017" s="0" t="s">
        <v>1</v>
      </c>
    </row>
    <row r="10019" customFormat="false" ht="12.8" hidden="false" customHeight="false" outlineLevel="0" collapsed="false">
      <c r="A10019" s="0" t="s">
        <v>4682</v>
      </c>
      <c r="B10019" s="0" t="str">
        <f aca="false">HYPERLINK("https://lindat.mff.cuni.cz/services/teitok/pdtc10/index.php?action=vallex&amp;frame=v-whsa_1027f1_MM", "hubovat (v-whsa_1027f1_MM)")</f>
        <v>hubovat (v-whsa_1027f1_MM)</v>
      </c>
    </row>
    <row r="10020" customFormat="false" ht="12.8" hidden="false" customHeight="false" outlineLevel="0" collapsed="false">
      <c r="B10020" s="0" t="s">
        <v>1</v>
      </c>
    </row>
    <row r="10021" customFormat="false" ht="12.8" hidden="false" customHeight="false" outlineLevel="0" collapsed="false">
      <c r="B10021" s="0" t="s">
        <v>8</v>
      </c>
    </row>
    <row r="10023" customFormat="false" ht="12.8" hidden="false" customHeight="false" outlineLevel="0" collapsed="false">
      <c r="A10023" s="0" t="s">
        <v>4683</v>
      </c>
      <c r="B10023" s="0" t="str">
        <f aca="false">HYPERLINK("https://lindat.mff.cuni.cz/services/teitok/pdtc10/index.php?action=vallex&amp;frame=v-whsa_1027hsa_1028", "hubovat (v-whsa_1027hsa_1028)")</f>
        <v>hubovat (v-whsa_1027hsa_1028)</v>
      </c>
    </row>
    <row r="10024" customFormat="false" ht="12.8" hidden="false" customHeight="false" outlineLevel="0" collapsed="false">
      <c r="B10024" s="0" t="s">
        <v>1</v>
      </c>
    </row>
    <row r="10025" customFormat="false" ht="12.8" hidden="false" customHeight="false" outlineLevel="0" collapsed="false">
      <c r="B10025" s="0" t="s">
        <v>797</v>
      </c>
    </row>
    <row r="10027" customFormat="false" ht="12.8" hidden="false" customHeight="false" outlineLevel="0" collapsed="false">
      <c r="A10027" s="0" t="s">
        <v>4684</v>
      </c>
      <c r="B10027" s="0" t="str">
        <f aca="false">HYPERLINK("https://lindat.mff.cuni.cz/services/teitok/pdtc10/index.php?action=vallex&amp;frame=v-w12260_ZUf1_ZU", "huhňat (v-w12260_ZUf1_ZU)")</f>
        <v>huhňat (v-w12260_ZUf1_ZU)</v>
      </c>
    </row>
    <row r="10028" customFormat="false" ht="12.8" hidden="false" customHeight="false" outlineLevel="0" collapsed="false">
      <c r="B10028" s="0" t="s">
        <v>1</v>
      </c>
    </row>
    <row r="10030" customFormat="false" ht="12.8" hidden="false" customHeight="false" outlineLevel="0" collapsed="false">
      <c r="A10030" s="0" t="s">
        <v>4685</v>
      </c>
      <c r="B10030" s="0" t="str">
        <f aca="false">HYPERLINK("https://lindat.mff.cuni.cz/services/teitok/pdtc10/index.php?action=vallex&amp;frame=v-w1147f1", "hulit (v-w1147f1)")</f>
        <v>hulit (v-w1147f1)</v>
      </c>
    </row>
    <row r="10031" customFormat="false" ht="12.8" hidden="false" customHeight="false" outlineLevel="0" collapsed="false">
      <c r="B10031" s="0" t="s">
        <v>1</v>
      </c>
    </row>
    <row r="10032" customFormat="false" ht="12.8" hidden="false" customHeight="false" outlineLevel="0" collapsed="false">
      <c r="B10032" s="0" t="s">
        <v>8</v>
      </c>
    </row>
    <row r="10034" customFormat="false" ht="12.8" hidden="false" customHeight="false" outlineLevel="0" collapsed="false">
      <c r="A10034" s="0" t="s">
        <v>4686</v>
      </c>
      <c r="B10034" s="0" t="str">
        <f aca="false">HYPERLINK("https://lindat.mff.cuni.cz/services/teitok/pdtc10/index.php?action=vallex&amp;frame=v-w11680_ZUf1_ZU", "hulákat (v-w11680_ZUf1_ZU)")</f>
        <v>hulákat (v-w11680_ZUf1_ZU)</v>
      </c>
    </row>
    <row r="10035" customFormat="false" ht="12.8" hidden="false" customHeight="false" outlineLevel="0" collapsed="false">
      <c r="B10035" s="0" t="s">
        <v>1</v>
      </c>
    </row>
    <row r="10036" customFormat="false" ht="12.8" hidden="false" customHeight="false" outlineLevel="0" collapsed="false">
      <c r="B10036" s="0" t="s">
        <v>4687</v>
      </c>
    </row>
    <row r="10037" customFormat="false" ht="12.8" hidden="false" customHeight="false" outlineLevel="0" collapsed="false">
      <c r="B10037" s="0" t="s">
        <v>4688</v>
      </c>
    </row>
    <row r="10039" customFormat="false" ht="12.8" hidden="false" customHeight="false" outlineLevel="0" collapsed="false">
      <c r="A10039" s="0" t="s">
        <v>4689</v>
      </c>
      <c r="B10039" s="0" t="str">
        <f aca="false">HYPERLINK("https://lindat.mff.cuni.cz/services/teitok/pdtc10/index.php?action=vallex&amp;frame=v-whsa_686hsa_687", "hupnout (v-whsa_686hsa_687)")</f>
        <v>hupnout (v-whsa_686hsa_687)</v>
      </c>
    </row>
    <row r="10040" customFormat="false" ht="12.8" hidden="false" customHeight="false" outlineLevel="0" collapsed="false">
      <c r="B10040" s="0" t="s">
        <v>1</v>
      </c>
    </row>
    <row r="10041" customFormat="false" ht="12.8" hidden="false" customHeight="false" outlineLevel="0" collapsed="false">
      <c r="B10041" s="0" t="s">
        <v>164</v>
      </c>
    </row>
    <row r="10043" customFormat="false" ht="12.8" hidden="false" customHeight="false" outlineLevel="0" collapsed="false">
      <c r="A10043" s="0" t="s">
        <v>4690</v>
      </c>
      <c r="B10043" s="0" t="str">
        <f aca="false">HYPERLINK("https://lindat.mff.cuni.cz/services/teitok/pdtc10/index.php?action=vallex&amp;frame=v-w1145f1", "hučet (v-w1145f1)")</f>
        <v>hučet (v-w1145f1)</v>
      </c>
    </row>
    <row r="10044" customFormat="false" ht="12.8" hidden="false" customHeight="false" outlineLevel="0" collapsed="false">
      <c r="B10044" s="0" t="s">
        <v>1</v>
      </c>
    </row>
    <row r="10046" customFormat="false" ht="12.8" hidden="false" customHeight="false" outlineLevel="0" collapsed="false">
      <c r="A10046" s="0" t="s">
        <v>4691</v>
      </c>
      <c r="B10046" s="0" t="str">
        <f aca="false">HYPERLINK("https://lindat.mff.cuni.cz/services/teitok/pdtc10/index.php?action=vallex&amp;frame=v-w1145f2", "hučet (v-w1145f2)")</f>
        <v>hučet (v-w1145f2)</v>
      </c>
    </row>
    <row r="10047" customFormat="false" ht="12.8" hidden="false" customHeight="false" outlineLevel="0" collapsed="false">
      <c r="B10047" s="0" t="s">
        <v>5</v>
      </c>
    </row>
    <row r="10049" customFormat="false" ht="12.8" hidden="false" customHeight="false" outlineLevel="0" collapsed="false">
      <c r="A10049" s="0" t="s">
        <v>4692</v>
      </c>
      <c r="B10049" s="0" t="str">
        <f aca="false">HYPERLINK("https://lindat.mff.cuni.cz/services/teitok/pdtc10/index.php?action=vallex&amp;frame=v-w1145f3_ZU", "hučet (v-w1145f3_ZU)")</f>
        <v>hučet (v-w1145f3_ZU)</v>
      </c>
    </row>
    <row r="10050" customFormat="false" ht="12.8" hidden="false" customHeight="false" outlineLevel="0" collapsed="false">
      <c r="B10050" s="0" t="s">
        <v>1</v>
      </c>
    </row>
    <row r="10051" customFormat="false" ht="12.8" hidden="false" customHeight="false" outlineLevel="0" collapsed="false">
      <c r="B10051" s="0" t="s">
        <v>1187</v>
      </c>
    </row>
    <row r="10053" customFormat="false" ht="12.8" hidden="false" customHeight="false" outlineLevel="0" collapsed="false">
      <c r="A10053" s="0" t="s">
        <v>4693</v>
      </c>
      <c r="B10053" s="0" t="str">
        <f aca="false">HYPERLINK("https://lindat.mff.cuni.cz/services/teitok/pdtc10/index.php?action=vallex&amp;frame=v-w1149f1", "hvízdat (v-w1149f1)")</f>
        <v>hvízdat (v-w1149f1)</v>
      </c>
      <c r="E10053" s="0" t="str">
        <f aca="false">HYPERLINK("https://lindat.mff.cuni.cz/services/SynSemClass40/SynSemClass40.html?veclass=vec01398#vec01398-ces-cm00001", "vec01398")</f>
        <v>vec01398</v>
      </c>
      <c r="F10053" s="0" t="s">
        <v>4694</v>
      </c>
    </row>
    <row r="10054" customFormat="false" ht="12.8" hidden="false" customHeight="false" outlineLevel="0" collapsed="false">
      <c r="B10054" s="0" t="s">
        <v>1</v>
      </c>
      <c r="C10054" s="0" t="s">
        <v>4695</v>
      </c>
      <c r="E10054" s="0" t="s">
        <v>147</v>
      </c>
      <c r="F10054" s="0" t="s">
        <v>4696</v>
      </c>
    </row>
    <row r="10055" customFormat="false" ht="12.8" hidden="false" customHeight="false" outlineLevel="0" collapsed="false">
      <c r="B10055" s="0" t="s">
        <v>4697</v>
      </c>
      <c r="C10055" s="0" t="s">
        <v>744</v>
      </c>
      <c r="E10055" s="0" t="s">
        <v>2323</v>
      </c>
      <c r="F10055" s="0" t="s">
        <v>4698</v>
      </c>
    </row>
    <row r="10056" customFormat="false" ht="12.8" hidden="false" customHeight="false" outlineLevel="0" collapsed="false">
      <c r="B10056" s="0" t="s">
        <v>4688</v>
      </c>
      <c r="E10056" s="0" t="s">
        <v>221</v>
      </c>
      <c r="F10056" s="0" t="s">
        <v>4699</v>
      </c>
    </row>
    <row r="10058" customFormat="false" ht="12.8" hidden="false" customHeight="false" outlineLevel="0" collapsed="false">
      <c r="A10058" s="0" t="s">
        <v>4700</v>
      </c>
      <c r="B10058" s="0" t="str">
        <f aca="false">HYPERLINK("https://lindat.mff.cuni.cz/services/teitok/pdtc10/index.php?action=vallex&amp;frame=v-w1149f2", "hvízdat (v-w1149f2)")</f>
        <v>hvízdat (v-w1149f2)</v>
      </c>
    </row>
    <row r="10059" customFormat="false" ht="12.8" hidden="false" customHeight="false" outlineLevel="0" collapsed="false">
      <c r="B10059" s="0" t="s">
        <v>1</v>
      </c>
    </row>
    <row r="10061" customFormat="false" ht="12.8" hidden="false" customHeight="false" outlineLevel="0" collapsed="false">
      <c r="A10061" s="0" t="s">
        <v>4701</v>
      </c>
      <c r="B10061" s="0" t="str">
        <f aca="false">HYPERLINK("https://lindat.mff.cuni.cz/services/teitok/pdtc10/index.php?action=vallex&amp;frame=v-w11350f3_ZU", "hvízdat si (v-w11350f3_ZU)")</f>
        <v>hvízdat si (v-w11350f3_ZU)</v>
      </c>
      <c r="E10061" s="0" t="str">
        <f aca="false">HYPERLINK("https://lindat.mff.cuni.cz/services/SynSemClass40/SynSemClass40.html?veclass=vec01398#vec01398-ces-cm00002", "vec01398")</f>
        <v>vec01398</v>
      </c>
      <c r="F10061" s="0" t="s">
        <v>4694</v>
      </c>
    </row>
    <row r="10062" customFormat="false" ht="12.8" hidden="false" customHeight="false" outlineLevel="0" collapsed="false">
      <c r="B10062" s="0" t="s">
        <v>1</v>
      </c>
      <c r="C10062" s="0" t="s">
        <v>4695</v>
      </c>
      <c r="E10062" s="0" t="s">
        <v>147</v>
      </c>
      <c r="F10062" s="0" t="s">
        <v>4696</v>
      </c>
    </row>
    <row r="10063" customFormat="false" ht="12.8" hidden="false" customHeight="false" outlineLevel="0" collapsed="false">
      <c r="B10063" s="0" t="s">
        <v>390</v>
      </c>
      <c r="C10063" s="0" t="s">
        <v>744</v>
      </c>
      <c r="E10063" s="0" t="s">
        <v>2323</v>
      </c>
      <c r="F10063" s="0" t="s">
        <v>4698</v>
      </c>
    </row>
    <row r="10065" customFormat="false" ht="12.8" hidden="false" customHeight="false" outlineLevel="0" collapsed="false">
      <c r="A10065" s="0" t="s">
        <v>4701</v>
      </c>
      <c r="B10065" s="0" t="str">
        <f aca="false">HYPERLINK("https://lindat.mff.cuni.cz/services/teitok/pdtc10/index.php?action=vallex&amp;frame=v-w11350f2", "hvízdat si (v-w11350f2) - substituted with v-w11350f3_ZU")</f>
        <v>hvízdat si (v-w11350f2) - substituted with v-w11350f3_ZU</v>
      </c>
    </row>
    <row r="10066" customFormat="false" ht="12.8" hidden="false" customHeight="false" outlineLevel="0" collapsed="false">
      <c r="B10066" s="0" t="s">
        <v>1</v>
      </c>
    </row>
    <row r="10067" customFormat="false" ht="12.8" hidden="false" customHeight="false" outlineLevel="0" collapsed="false">
      <c r="B10067" s="0" t="s">
        <v>390</v>
      </c>
    </row>
    <row r="10069" customFormat="false" ht="12.8" hidden="false" customHeight="false" outlineLevel="0" collapsed="false">
      <c r="A10069" s="0" t="s">
        <v>4702</v>
      </c>
      <c r="B10069" s="0" t="str">
        <f aca="false">HYPERLINK("https://lindat.mff.cuni.cz/services/teitok/pdtc10/index.php?action=vallex&amp;frame=v-w1150f1", "hvízdnout (v-w1150f1)")</f>
        <v>hvízdnout (v-w1150f1)</v>
      </c>
    </row>
    <row r="10070" customFormat="false" ht="12.8" hidden="false" customHeight="false" outlineLevel="0" collapsed="false">
      <c r="B10070" s="0" t="s">
        <v>1</v>
      </c>
    </row>
    <row r="10072" customFormat="false" ht="12.8" hidden="false" customHeight="false" outlineLevel="0" collapsed="false">
      <c r="A10072" s="0" t="s">
        <v>4703</v>
      </c>
      <c r="B10072" s="0" t="str">
        <f aca="false">HYPERLINK("https://lindat.mff.cuni.cz/services/teitok/pdtc10/index.php?action=vallex&amp;frame=v-w1154f1", "hynout (v-w1154f1)")</f>
        <v>hynout (v-w1154f1)</v>
      </c>
    </row>
    <row r="10073" customFormat="false" ht="12.8" hidden="false" customHeight="false" outlineLevel="0" collapsed="false">
      <c r="B10073" s="0" t="s">
        <v>1</v>
      </c>
    </row>
    <row r="10075" customFormat="false" ht="12.8" hidden="false" customHeight="false" outlineLevel="0" collapsed="false">
      <c r="A10075" s="0" t="s">
        <v>4704</v>
      </c>
      <c r="B10075" s="0" t="str">
        <f aca="false">HYPERLINK("https://lindat.mff.cuni.cz/services/teitok/pdtc10/index.php?action=vallex&amp;frame=v-w1156f1", "hypertrofovat (v-w1156f1)")</f>
        <v>hypertrofovat (v-w1156f1)</v>
      </c>
    </row>
    <row r="10076" customFormat="false" ht="12.8" hidden="false" customHeight="false" outlineLevel="0" collapsed="false">
      <c r="B10076" s="0" t="s">
        <v>1</v>
      </c>
    </row>
    <row r="10077" customFormat="false" ht="12.8" hidden="false" customHeight="false" outlineLevel="0" collapsed="false">
      <c r="B10077" s="0" t="s">
        <v>69</v>
      </c>
    </row>
    <row r="10078" customFormat="false" ht="12.8" hidden="false" customHeight="false" outlineLevel="0" collapsed="false">
      <c r="B10078" s="0" t="s">
        <v>36</v>
      </c>
    </row>
    <row r="10080" customFormat="false" ht="12.8" hidden="false" customHeight="false" outlineLevel="0" collapsed="false">
      <c r="A10080" s="0" t="s">
        <v>4705</v>
      </c>
      <c r="B10080" s="0" t="str">
        <f aca="false">HYPERLINK("https://lindat.mff.cuni.cz/services/teitok/pdtc10/index.php?action=vallex&amp;frame=v-w10687f2", "hypnotizovat (v-w10687f2)")</f>
        <v>hypnotizovat (v-w10687f2)</v>
      </c>
    </row>
    <row r="10081" customFormat="false" ht="12.8" hidden="false" customHeight="false" outlineLevel="0" collapsed="false">
      <c r="B10081" s="0" t="s">
        <v>1</v>
      </c>
    </row>
    <row r="10082" customFormat="false" ht="12.8" hidden="false" customHeight="false" outlineLevel="0" collapsed="false">
      <c r="B10082" s="0" t="s">
        <v>8</v>
      </c>
    </row>
    <row r="10084" customFormat="false" ht="12.8" hidden="false" customHeight="false" outlineLevel="0" collapsed="false">
      <c r="A10084" s="0" t="s">
        <v>4706</v>
      </c>
      <c r="B10084" s="0" t="str">
        <f aca="false">HYPERLINK("https://lindat.mff.cuni.cz/services/teitok/pdtc10/index.php?action=vallex&amp;frame=v-w1160f1", "hyzdit (v-w1160f1)")</f>
        <v>hyzdit (v-w1160f1)</v>
      </c>
    </row>
    <row r="10085" customFormat="false" ht="12.8" hidden="false" customHeight="false" outlineLevel="0" collapsed="false">
      <c r="B10085" s="0" t="s">
        <v>1</v>
      </c>
    </row>
    <row r="10086" customFormat="false" ht="12.8" hidden="false" customHeight="false" outlineLevel="0" collapsed="false">
      <c r="B10086" s="0" t="s">
        <v>8</v>
      </c>
    </row>
    <row r="10088" customFormat="false" ht="12.8" hidden="false" customHeight="false" outlineLevel="0" collapsed="false">
      <c r="A10088" s="0" t="s">
        <v>4707</v>
      </c>
      <c r="B10088" s="0" t="str">
        <f aca="false">HYPERLINK("https://lindat.mff.cuni.cz/services/teitok/pdtc10/index.php?action=vallex&amp;frame=v-w1013f1", "hádat (v-w1013f1)")</f>
        <v>hádat (v-w1013f1)</v>
      </c>
      <c r="E10088" s="0" t="str">
        <f aca="false">HYPERLINK("https://lindat.mff.cuni.cz/services/SynSemClass40/SynSemClass40.html?veclass=vec00093#vec00093-ces-cm00027", "vec00093")</f>
        <v>vec00093</v>
      </c>
      <c r="F10088" s="0" t="s">
        <v>4708</v>
      </c>
    </row>
    <row r="10089" customFormat="false" ht="12.8" hidden="false" customHeight="false" outlineLevel="0" collapsed="false">
      <c r="B10089" s="0" t="s">
        <v>1</v>
      </c>
      <c r="C10089" s="0" t="s">
        <v>2758</v>
      </c>
      <c r="E10089" s="0" t="s">
        <v>4709</v>
      </c>
      <c r="F10089" s="0" t="s">
        <v>4710</v>
      </c>
    </row>
    <row r="10090" customFormat="false" ht="12.8" hidden="false" customHeight="false" outlineLevel="0" collapsed="false">
      <c r="B10090" s="0" t="s">
        <v>4711</v>
      </c>
      <c r="C10090" s="0" t="s">
        <v>4712</v>
      </c>
      <c r="E10090" s="0" t="s">
        <v>4713</v>
      </c>
      <c r="F10090" s="0" t="s">
        <v>4714</v>
      </c>
    </row>
    <row r="10092" customFormat="false" ht="12.8" hidden="false" customHeight="false" outlineLevel="0" collapsed="false">
      <c r="A10092" s="0" t="s">
        <v>4715</v>
      </c>
      <c r="B10092" s="0" t="str">
        <f aca="false">HYPERLINK("https://lindat.mff.cuni.cz/services/teitok/pdtc10/index.php?action=vallex&amp;frame=v-w1014f1", "hádat se (v-w1014f1)")</f>
        <v>hádat se (v-w1014f1)</v>
      </c>
    </row>
    <row r="10093" customFormat="false" ht="12.8" hidden="false" customHeight="false" outlineLevel="0" collapsed="false">
      <c r="B10093" s="0" t="s">
        <v>1</v>
      </c>
    </row>
    <row r="10094" customFormat="false" ht="12.8" hidden="false" customHeight="false" outlineLevel="0" collapsed="false">
      <c r="B10094" s="0" t="s">
        <v>276</v>
      </c>
    </row>
    <row r="10095" customFormat="false" ht="12.8" hidden="false" customHeight="false" outlineLevel="0" collapsed="false">
      <c r="B10095" s="0" t="s">
        <v>4253</v>
      </c>
    </row>
    <row r="10097" customFormat="false" ht="12.8" hidden="false" customHeight="false" outlineLevel="0" collapsed="false">
      <c r="A10097" s="0" t="s">
        <v>4716</v>
      </c>
      <c r="B10097" s="0" t="str">
        <f aca="false">HYPERLINK("https://lindat.mff.cuni.cz/services/teitok/pdtc10/index.php?action=vallex&amp;frame=v-w1018f1", "hájit (v-w1018f1)")</f>
        <v>hájit (v-w1018f1)</v>
      </c>
      <c r="E10097" s="0" t="str">
        <f aca="false">HYPERLINK("https://lindat.mff.cuni.cz/services/SynSemClass40/SynSemClass40.html?veclass=vec00244#vec00244-ces-cm00006", "vec00244")</f>
        <v>vec00244</v>
      </c>
      <c r="F10097" s="0" t="s">
        <v>567</v>
      </c>
    </row>
    <row r="10098" customFormat="false" ht="12.8" hidden="false" customHeight="false" outlineLevel="0" collapsed="false">
      <c r="B10098" s="0" t="s">
        <v>1</v>
      </c>
      <c r="C10098" s="0" t="s">
        <v>568</v>
      </c>
      <c r="E10098" s="0" t="s">
        <v>569</v>
      </c>
      <c r="F10098" s="0" t="s">
        <v>570</v>
      </c>
    </row>
    <row r="10099" customFormat="false" ht="12.8" hidden="false" customHeight="false" outlineLevel="0" collapsed="false">
      <c r="B10099" s="0" t="s">
        <v>8</v>
      </c>
      <c r="C10099" s="0" t="s">
        <v>571</v>
      </c>
      <c r="E10099" s="0" t="s">
        <v>572</v>
      </c>
      <c r="F10099" s="0" t="s">
        <v>573</v>
      </c>
    </row>
    <row r="10100" customFormat="false" ht="12.8" hidden="false" customHeight="false" outlineLevel="0" collapsed="false">
      <c r="B10100" s="0" t="s">
        <v>574</v>
      </c>
      <c r="C10100" s="0" t="s">
        <v>575</v>
      </c>
      <c r="E10100" s="0" t="s">
        <v>576</v>
      </c>
      <c r="F10100" s="0" t="s">
        <v>577</v>
      </c>
    </row>
    <row r="10102" customFormat="false" ht="12.8" hidden="false" customHeight="false" outlineLevel="0" collapsed="false">
      <c r="A10102" s="0" t="s">
        <v>4717</v>
      </c>
      <c r="B10102" s="0" t="str">
        <f aca="false">HYPERLINK("https://lindat.mff.cuni.cz/services/teitok/pdtc10/index.php?action=vallex&amp;frame=v-w1019f1", "hájit se (v-w1019f1)")</f>
        <v>hájit se (v-w1019f1)</v>
      </c>
      <c r="E10102" s="0" t="str">
        <f aca="false">HYPERLINK("https://lindat.mff.cuni.cz/services/SynSemClass40/SynSemClass40.html?veclass=vec00024#vec00024-ces-cm00008", "vec00024")</f>
        <v>vec00024</v>
      </c>
      <c r="F10102" s="0" t="s">
        <v>580</v>
      </c>
    </row>
    <row r="10103" customFormat="false" ht="12.8" hidden="false" customHeight="false" outlineLevel="0" collapsed="false">
      <c r="B10103" s="0" t="s">
        <v>1</v>
      </c>
      <c r="C10103" s="0" t="s">
        <v>581</v>
      </c>
      <c r="E10103" s="0" t="s">
        <v>582</v>
      </c>
      <c r="F10103" s="0" t="s">
        <v>583</v>
      </c>
    </row>
    <row r="10104" customFormat="false" ht="12.8" hidden="false" customHeight="false" outlineLevel="0" collapsed="false">
      <c r="B10104" s="0" t="s">
        <v>4718</v>
      </c>
      <c r="C10104" s="0" t="s">
        <v>585</v>
      </c>
      <c r="E10104" s="0" t="s">
        <v>532</v>
      </c>
      <c r="F10104" s="0" t="s">
        <v>586</v>
      </c>
    </row>
    <row r="10106" customFormat="false" ht="12.8" hidden="false" customHeight="false" outlineLevel="0" collapsed="false">
      <c r="A10106" s="0" t="s">
        <v>4719</v>
      </c>
      <c r="B10106" s="0" t="str">
        <f aca="false">HYPERLINK("https://lindat.mff.cuni.cz/services/teitok/pdtc10/index.php?action=vallex&amp;frame=v-w1036f7_ZU", "házet (v-w1036f7_ZU)")</f>
        <v>házet (v-w1036f7_ZU)</v>
      </c>
    </row>
    <row r="10107" customFormat="false" ht="12.8" hidden="false" customHeight="false" outlineLevel="0" collapsed="false">
      <c r="B10107" s="0" t="s">
        <v>1</v>
      </c>
    </row>
    <row r="10108" customFormat="false" ht="12.8" hidden="false" customHeight="false" outlineLevel="0" collapsed="false">
      <c r="B10108" s="0" t="s">
        <v>8</v>
      </c>
    </row>
    <row r="10109" customFormat="false" ht="12.8" hidden="false" customHeight="false" outlineLevel="0" collapsed="false">
      <c r="B10109" s="0" t="s">
        <v>4720</v>
      </c>
    </row>
    <row r="10111" customFormat="false" ht="12.8" hidden="false" customHeight="false" outlineLevel="0" collapsed="false">
      <c r="A10111" s="0" t="s">
        <v>4719</v>
      </c>
      <c r="B10111" s="0" t="str">
        <f aca="false">HYPERLINK("https://lindat.mff.cuni.cz/services/teitok/pdtc10/index.php?action=vallex&amp;frame=v-w1036f5", "házet (v-w1036f5) - substituted with v-w1036f7_ZU")</f>
        <v>házet (v-w1036f5) - substituted with v-w1036f7_ZU</v>
      </c>
    </row>
    <row r="10112" customFormat="false" ht="12.8" hidden="false" customHeight="false" outlineLevel="0" collapsed="false">
      <c r="B10112" s="0" t="s">
        <v>1</v>
      </c>
    </row>
    <row r="10113" customFormat="false" ht="12.8" hidden="false" customHeight="false" outlineLevel="0" collapsed="false">
      <c r="B10113" s="0" t="s">
        <v>8</v>
      </c>
    </row>
    <row r="10114" customFormat="false" ht="12.8" hidden="false" customHeight="false" outlineLevel="0" collapsed="false">
      <c r="B10114" s="0" t="s">
        <v>4720</v>
      </c>
    </row>
    <row r="10116" customFormat="false" ht="12.8" hidden="false" customHeight="false" outlineLevel="0" collapsed="false">
      <c r="A10116" s="0" t="s">
        <v>4721</v>
      </c>
      <c r="B10116" s="0" t="str">
        <f aca="false">HYPERLINK("https://lindat.mff.cuni.cz/services/teitok/pdtc10/index.php?action=vallex&amp;frame=v-w1036f6", "házet (v-w1036f6)")</f>
        <v>házet (v-w1036f6)</v>
      </c>
      <c r="E10116" s="0" t="str">
        <f aca="false">HYPERLINK("https://lindat.mff.cuni.cz/services/SynSemClass40/SynSemClass40.html?veclass=vec00819#vec00819-ces-cm00001", "vec00819")</f>
        <v>vec00819</v>
      </c>
      <c r="F10116" s="0" t="s">
        <v>4399</v>
      </c>
    </row>
    <row r="10117" customFormat="false" ht="12.8" hidden="false" customHeight="false" outlineLevel="0" collapsed="false">
      <c r="B10117" s="0" t="s">
        <v>1</v>
      </c>
      <c r="C10117" s="0" t="s">
        <v>255</v>
      </c>
      <c r="E10117" s="0" t="s">
        <v>2196</v>
      </c>
      <c r="F10117" s="0" t="s">
        <v>4400</v>
      </c>
    </row>
    <row r="10118" customFormat="false" ht="12.8" hidden="false" customHeight="false" outlineLevel="0" collapsed="false">
      <c r="B10118" s="0" t="s">
        <v>2299</v>
      </c>
      <c r="C10118" s="0" t="s">
        <v>4401</v>
      </c>
      <c r="E10118" s="0" t="s">
        <v>2200</v>
      </c>
      <c r="F10118" s="0" t="s">
        <v>4402</v>
      </c>
    </row>
    <row r="10119" customFormat="false" ht="12.8" hidden="false" customHeight="false" outlineLevel="0" collapsed="false">
      <c r="B10119" s="0" t="s">
        <v>132</v>
      </c>
      <c r="C10119" s="0" t="s">
        <v>1391</v>
      </c>
      <c r="E10119" s="0" t="s">
        <v>53</v>
      </c>
      <c r="F10119" s="0" t="s">
        <v>4403</v>
      </c>
    </row>
    <row r="10121" customFormat="false" ht="12.8" hidden="false" customHeight="false" outlineLevel="0" collapsed="false">
      <c r="A10121" s="0" t="s">
        <v>4721</v>
      </c>
      <c r="B10121" s="0" t="str">
        <f aca="false">HYPERLINK("https://lindat.mff.cuni.cz/services/teitok/pdtc10/index.php?action=vallex&amp;frame=v-w1036f2", "házet (v-w1036f2) - substituted with v-w1036f6")</f>
        <v>házet (v-w1036f2) - substituted with v-w1036f6</v>
      </c>
    </row>
    <row r="10122" customFormat="false" ht="12.8" hidden="false" customHeight="false" outlineLevel="0" collapsed="false">
      <c r="B10122" s="0" t="s">
        <v>1</v>
      </c>
    </row>
    <row r="10123" customFormat="false" ht="12.8" hidden="false" customHeight="false" outlineLevel="0" collapsed="false">
      <c r="B10123" s="0" t="s">
        <v>2299</v>
      </c>
    </row>
    <row r="10124" customFormat="false" ht="12.8" hidden="false" customHeight="false" outlineLevel="0" collapsed="false">
      <c r="B10124" s="0" t="s">
        <v>132</v>
      </c>
    </row>
    <row r="10126" customFormat="false" ht="12.8" hidden="false" customHeight="false" outlineLevel="0" collapsed="false">
      <c r="A10126" s="0" t="s">
        <v>4722</v>
      </c>
      <c r="B10126" s="0" t="str">
        <f aca="false">HYPERLINK("https://lindat.mff.cuni.cz/services/teitok/pdtc10/index.php?action=vallex&amp;frame=v-w1036f8_ZU", "házet (v-w1036f8_ZU)")</f>
        <v>házet (v-w1036f8_ZU)</v>
      </c>
    </row>
    <row r="10127" customFormat="false" ht="12.8" hidden="false" customHeight="false" outlineLevel="0" collapsed="false">
      <c r="B10127" s="0" t="s">
        <v>1</v>
      </c>
    </row>
    <row r="10128" customFormat="false" ht="12.8" hidden="false" customHeight="false" outlineLevel="0" collapsed="false">
      <c r="B10128" s="0" t="s">
        <v>8</v>
      </c>
    </row>
    <row r="10129" customFormat="false" ht="12.8" hidden="false" customHeight="false" outlineLevel="0" collapsed="false">
      <c r="B10129" s="0" t="s">
        <v>164</v>
      </c>
    </row>
    <row r="10131" customFormat="false" ht="12.8" hidden="false" customHeight="false" outlineLevel="0" collapsed="false">
      <c r="A10131" s="0" t="s">
        <v>4722</v>
      </c>
      <c r="B10131" s="0" t="str">
        <f aca="false">HYPERLINK("https://lindat.mff.cuni.cz/services/teitok/pdtc10/index.php?action=vallex&amp;frame=v-w1036f1", "házet (v-w1036f1) - substituted with v-w1036f8_ZU")</f>
        <v>házet (v-w1036f1) - substituted with v-w1036f8_ZU</v>
      </c>
      <c r="E10131" s="0" t="str">
        <f aca="false">HYPERLINK("https://lindat.mff.cuni.cz/services/SynSemClass40/SynSemClass40.html?veclass=vec00819#vec00819-ces-cm00017", "vec00819")</f>
        <v>vec00819</v>
      </c>
      <c r="F10131" s="0" t="s">
        <v>4399</v>
      </c>
      <c r="H10131" s="0" t="str">
        <f aca="false">HYPERLINK("https://lindat.mff.cuni.cz/services/SynSemClass40/SynSemClass40.html?veclass=vec00932#vec00932-ces-cm00007", "vec00932")</f>
        <v>vec00932</v>
      </c>
      <c r="I10131" s="0" t="s">
        <v>4723</v>
      </c>
      <c r="K10131" s="0" t="str">
        <f aca="false">HYPERLINK("https://lindat.mff.cuni.cz/services/SynSemClass40/SynSemClass40.html?veclass=vec01107#vec01107-ces-cm00002", "vec01107")</f>
        <v>vec01107</v>
      </c>
      <c r="L10131" s="0" t="s">
        <v>4724</v>
      </c>
    </row>
    <row r="10132" customFormat="false" ht="12.8" hidden="false" customHeight="false" outlineLevel="0" collapsed="false">
      <c r="B10132" s="0" t="s">
        <v>1</v>
      </c>
      <c r="C10132" s="0" t="s">
        <v>4725</v>
      </c>
      <c r="E10132" s="0" t="s">
        <v>2196</v>
      </c>
      <c r="F10132" s="0" t="s">
        <v>4400</v>
      </c>
      <c r="H10132" s="0" t="s">
        <v>4726</v>
      </c>
      <c r="I10132" s="0" t="s">
        <v>4727</v>
      </c>
      <c r="K10132" s="0" t="s">
        <v>1665</v>
      </c>
      <c r="L10132" s="0" t="s">
        <v>4728</v>
      </c>
    </row>
    <row r="10133" customFormat="false" ht="12.8" hidden="false" customHeight="false" outlineLevel="0" collapsed="false">
      <c r="B10133" s="0" t="s">
        <v>8</v>
      </c>
      <c r="C10133" s="0" t="s">
        <v>4729</v>
      </c>
      <c r="E10133" s="0" t="s">
        <v>2200</v>
      </c>
      <c r="F10133" s="0" t="s">
        <v>4402</v>
      </c>
      <c r="H10133" s="0" t="s">
        <v>514</v>
      </c>
      <c r="I10133" s="0" t="s">
        <v>4730</v>
      </c>
      <c r="K10133" s="0" t="s">
        <v>1569</v>
      </c>
      <c r="L10133" s="0" t="s">
        <v>1570</v>
      </c>
    </row>
    <row r="10134" customFormat="false" ht="12.8" hidden="false" customHeight="false" outlineLevel="0" collapsed="false">
      <c r="B10134" s="0" t="s">
        <v>164</v>
      </c>
      <c r="C10134" s="0" t="s">
        <v>4731</v>
      </c>
      <c r="E10134" s="0" t="s">
        <v>2212</v>
      </c>
      <c r="F10134" s="0" t="s">
        <v>4732</v>
      </c>
      <c r="H10134" s="0" t="s">
        <v>370</v>
      </c>
      <c r="I10134" s="0" t="s">
        <v>3041</v>
      </c>
      <c r="K10134" s="0" t="s">
        <v>1315</v>
      </c>
      <c r="L10134" s="0" t="s">
        <v>1316</v>
      </c>
    </row>
    <row r="10136" customFormat="false" ht="12.8" hidden="false" customHeight="false" outlineLevel="0" collapsed="false">
      <c r="A10136" s="0" t="s">
        <v>4733</v>
      </c>
      <c r="B10136" s="0" t="str">
        <f aca="false">HYPERLINK("https://lindat.mff.cuni.cz/services/teitok/pdtc10/index.php?action=vallex&amp;frame=v-w1036f4", "házet (v-w1036f4)")</f>
        <v>házet (v-w1036f4)</v>
      </c>
    </row>
    <row r="10137" customFormat="false" ht="12.8" hidden="false" customHeight="false" outlineLevel="0" collapsed="false">
      <c r="B10137" s="0" t="s">
        <v>1</v>
      </c>
    </row>
    <row r="10138" customFormat="false" ht="12.8" hidden="false" customHeight="false" outlineLevel="0" collapsed="false">
      <c r="B10138" s="0" t="s">
        <v>286</v>
      </c>
    </row>
    <row r="10140" customFormat="false" ht="12.8" hidden="false" customHeight="false" outlineLevel="0" collapsed="false">
      <c r="A10140" s="0" t="s">
        <v>4734</v>
      </c>
      <c r="B10140" s="0" t="str">
        <f aca="false">HYPERLINK("https://lindat.mff.cuni.cz/services/teitok/pdtc10/index.php?action=vallex&amp;frame=v-w1036f3", "házet (v-w1036f3)")</f>
        <v>házet (v-w1036f3)</v>
      </c>
    </row>
    <row r="10141" customFormat="false" ht="12.8" hidden="false" customHeight="false" outlineLevel="0" collapsed="false">
      <c r="B10141" s="0" t="s">
        <v>1</v>
      </c>
    </row>
    <row r="10142" customFormat="false" ht="12.8" hidden="false" customHeight="false" outlineLevel="0" collapsed="false">
      <c r="B10142" s="0" t="s">
        <v>4735</v>
      </c>
    </row>
    <row r="10143" customFormat="false" ht="12.8" hidden="false" customHeight="false" outlineLevel="0" collapsed="false">
      <c r="B10143" s="0" t="s">
        <v>186</v>
      </c>
    </row>
    <row r="10145" customFormat="false" ht="12.8" hidden="false" customHeight="false" outlineLevel="0" collapsed="false">
      <c r="A10145" s="0" t="s">
        <v>4736</v>
      </c>
      <c r="B10145" s="0" t="str">
        <f aca="false">HYPERLINK("https://lindat.mff.cuni.cz/services/teitok/pdtc10/index.php?action=vallex&amp;frame=v-w1036hsa_305", "házet (v-w1036hsa_305)")</f>
        <v>házet (v-w1036hsa_305)</v>
      </c>
    </row>
    <row r="10146" customFormat="false" ht="12.8" hidden="false" customHeight="false" outlineLevel="0" collapsed="false">
      <c r="B10146" s="0" t="s">
        <v>1</v>
      </c>
    </row>
    <row r="10147" customFormat="false" ht="12.8" hidden="false" customHeight="false" outlineLevel="0" collapsed="false">
      <c r="B10147" s="0" t="s">
        <v>8</v>
      </c>
    </row>
    <row r="10148" customFormat="false" ht="12.8" hidden="false" customHeight="false" outlineLevel="0" collapsed="false">
      <c r="B10148" s="0" t="s">
        <v>162</v>
      </c>
    </row>
    <row r="10150" customFormat="false" ht="12.8" hidden="false" customHeight="false" outlineLevel="0" collapsed="false">
      <c r="A10150" s="0" t="s">
        <v>4737</v>
      </c>
      <c r="B10150" s="0" t="str">
        <f aca="false">HYPERLINK("https://lindat.mff.cuni.cz/services/teitok/pdtc10/index.php?action=vallex&amp;frame=v-w1036hsa_242", "házet (v-w1036hsa_242)")</f>
        <v>házet (v-w1036hsa_242)</v>
      </c>
    </row>
    <row r="10151" customFormat="false" ht="12.8" hidden="false" customHeight="false" outlineLevel="0" collapsed="false">
      <c r="B10151" s="0" t="s">
        <v>1</v>
      </c>
    </row>
    <row r="10152" customFormat="false" ht="12.8" hidden="false" customHeight="false" outlineLevel="0" collapsed="false">
      <c r="B10152" s="0" t="s">
        <v>8</v>
      </c>
    </row>
    <row r="10154" customFormat="false" ht="12.8" hidden="false" customHeight="false" outlineLevel="0" collapsed="false">
      <c r="A10154" s="0" t="s">
        <v>4738</v>
      </c>
      <c r="B10154" s="0" t="str">
        <f aca="false">HYPERLINK("https://lindat.mff.cuni.cz/services/teitok/pdtc10/index.php?action=vallex&amp;frame=v-whsa_1728f1_ZU", "háčkovat (v-whsa_1728f1_ZU)")</f>
        <v>háčkovat (v-whsa_1728f1_ZU)</v>
      </c>
    </row>
    <row r="10155" customFormat="false" ht="12.8" hidden="false" customHeight="false" outlineLevel="0" collapsed="false">
      <c r="B10155" s="0" t="s">
        <v>1</v>
      </c>
    </row>
    <row r="10156" customFormat="false" ht="12.8" hidden="false" customHeight="false" outlineLevel="0" collapsed="false">
      <c r="B10156" s="0" t="s">
        <v>8</v>
      </c>
    </row>
    <row r="10157" customFormat="false" ht="12.8" hidden="false" customHeight="false" outlineLevel="0" collapsed="false">
      <c r="B10157" s="0" t="s">
        <v>36</v>
      </c>
    </row>
    <row r="10159" customFormat="false" ht="12.8" hidden="false" customHeight="false" outlineLevel="0" collapsed="false">
      <c r="A10159" s="0" t="s">
        <v>4738</v>
      </c>
      <c r="B10159" s="0" t="str">
        <f aca="false">HYPERLINK("https://lindat.mff.cuni.cz/services/teitok/pdtc10/index.php?action=vallex&amp;frame=v-whsa_1728hsa_1729", "háčkovat (v-whsa_1728hsa_1729) - substituted with v-whsa_1728f1_ZU")</f>
        <v>háčkovat (v-whsa_1728hsa_1729) - substituted with v-whsa_1728f1_ZU</v>
      </c>
    </row>
    <row r="10160" customFormat="false" ht="12.8" hidden="false" customHeight="false" outlineLevel="0" collapsed="false">
      <c r="B10160" s="0" t="s">
        <v>1</v>
      </c>
    </row>
    <row r="10161" customFormat="false" ht="12.8" hidden="false" customHeight="false" outlineLevel="0" collapsed="false">
      <c r="B10161" s="0" t="s">
        <v>8</v>
      </c>
    </row>
    <row r="10162" customFormat="false" ht="12.8" hidden="false" customHeight="false" outlineLevel="0" collapsed="false">
      <c r="B10162" s="0" t="s">
        <v>36</v>
      </c>
    </row>
    <row r="10164" customFormat="false" ht="12.8" hidden="false" customHeight="false" outlineLevel="0" collapsed="false">
      <c r="A10164" s="0" t="s">
        <v>4739</v>
      </c>
      <c r="B10164" s="0" t="str">
        <f aca="false">HYPERLINK("https://lindat.mff.cuni.cz/services/teitok/pdtc10/index.php?action=vallex&amp;frame=v-w1151f2", "hýbat (v-w1151f2)")</f>
        <v>hýbat (v-w1151f2)</v>
      </c>
    </row>
    <row r="10165" customFormat="false" ht="12.8" hidden="false" customHeight="false" outlineLevel="0" collapsed="false">
      <c r="B10165" s="0" t="s">
        <v>1</v>
      </c>
    </row>
    <row r="10166" customFormat="false" ht="12.8" hidden="false" customHeight="false" outlineLevel="0" collapsed="false">
      <c r="B10166" s="0" t="s">
        <v>4277</v>
      </c>
    </row>
    <row r="10168" customFormat="false" ht="12.8" hidden="false" customHeight="false" outlineLevel="0" collapsed="false">
      <c r="A10168" s="0" t="s">
        <v>4740</v>
      </c>
      <c r="B10168" s="0" t="str">
        <f aca="false">HYPERLINK("https://lindat.mff.cuni.cz/services/teitok/pdtc10/index.php?action=vallex&amp;frame=v-w1151f1", "hýbat (v-w1151f1)")</f>
        <v>hýbat (v-w1151f1)</v>
      </c>
    </row>
    <row r="10169" customFormat="false" ht="12.8" hidden="false" customHeight="false" outlineLevel="0" collapsed="false">
      <c r="B10169" s="0" t="s">
        <v>1</v>
      </c>
    </row>
    <row r="10170" customFormat="false" ht="12.8" hidden="false" customHeight="false" outlineLevel="0" collapsed="false">
      <c r="B10170" s="0" t="s">
        <v>286</v>
      </c>
    </row>
    <row r="10172" customFormat="false" ht="12.8" hidden="false" customHeight="false" outlineLevel="0" collapsed="false">
      <c r="A10172" s="0" t="s">
        <v>4741</v>
      </c>
      <c r="B10172" s="0" t="str">
        <f aca="false">HYPERLINK("https://lindat.mff.cuni.cz/services/teitok/pdtc10/index.php?action=vallex&amp;frame=v-w1152f1", "hýbat se (v-w1152f1)")</f>
        <v>hýbat se (v-w1152f1)</v>
      </c>
      <c r="E10172" s="0" t="str">
        <f aca="false">HYPERLINK("https://lindat.mff.cuni.cz/services/SynSemClass40/SynSemClass40.html?veclass=vec00626#vec00626-ces-cm00004", "vec00626")</f>
        <v>vec00626</v>
      </c>
      <c r="F10172" s="0" t="s">
        <v>4514</v>
      </c>
    </row>
    <row r="10173" customFormat="false" ht="12.8" hidden="false" customHeight="false" outlineLevel="0" collapsed="false">
      <c r="B10173" s="0" t="s">
        <v>1</v>
      </c>
      <c r="C10173" s="0" t="s">
        <v>4515</v>
      </c>
      <c r="E10173" s="0" t="s">
        <v>334</v>
      </c>
      <c r="F10173" s="0" t="s">
        <v>4516</v>
      </c>
    </row>
    <row r="10175" customFormat="false" ht="12.8" hidden="false" customHeight="false" outlineLevel="0" collapsed="false">
      <c r="A10175" s="0" t="s">
        <v>4742</v>
      </c>
      <c r="B10175" s="0" t="str">
        <f aca="false">HYPERLINK("https://lindat.mff.cuni.cz/services/teitok/pdtc10/index.php?action=vallex&amp;frame=v-w1153f1", "hýčkat (v-w1153f1)")</f>
        <v>hýčkat (v-w1153f1)</v>
      </c>
    </row>
    <row r="10176" customFormat="false" ht="12.8" hidden="false" customHeight="false" outlineLevel="0" collapsed="false">
      <c r="B10176" s="0" t="s">
        <v>1</v>
      </c>
    </row>
    <row r="10177" customFormat="false" ht="12.8" hidden="false" customHeight="false" outlineLevel="0" collapsed="false">
      <c r="B10177" s="0" t="s">
        <v>8</v>
      </c>
    </row>
    <row r="10179" customFormat="false" ht="12.8" hidden="false" customHeight="false" outlineLevel="0" collapsed="false">
      <c r="A10179" s="0" t="s">
        <v>4743</v>
      </c>
      <c r="B10179" s="0" t="str">
        <f aca="false">HYPERLINK("https://lindat.mff.cuni.cz/services/teitok/pdtc10/index.php?action=vallex&amp;frame=v-w1159f1", "hýřit (v-w1159f1)")</f>
        <v>hýřit (v-w1159f1)</v>
      </c>
    </row>
    <row r="10180" customFormat="false" ht="12.8" hidden="false" customHeight="false" outlineLevel="0" collapsed="false">
      <c r="B10180" s="0" t="s">
        <v>1</v>
      </c>
    </row>
    <row r="10181" customFormat="false" ht="12.8" hidden="false" customHeight="false" outlineLevel="0" collapsed="false">
      <c r="B10181" s="0" t="s">
        <v>286</v>
      </c>
    </row>
    <row r="10183" customFormat="false" ht="12.8" hidden="false" customHeight="false" outlineLevel="0" collapsed="false">
      <c r="A10183" s="0" t="s">
        <v>4744</v>
      </c>
      <c r="B10183" s="0" t="str">
        <f aca="false">HYPERLINK("https://lindat.mff.cuni.cz/services/teitok/pdtc10/index.php?action=vallex&amp;frame=v-w1159f2", "hýřit (v-w1159f2)")</f>
        <v>hýřit (v-w1159f2)</v>
      </c>
    </row>
    <row r="10184" customFormat="false" ht="12.8" hidden="false" customHeight="false" outlineLevel="0" collapsed="false">
      <c r="B10184" s="0" t="s">
        <v>1</v>
      </c>
    </row>
    <row r="10186" customFormat="false" ht="12.8" hidden="false" customHeight="false" outlineLevel="0" collapsed="false">
      <c r="A10186" s="0" t="s">
        <v>4745</v>
      </c>
      <c r="B10186" s="0" t="str">
        <f aca="false">HYPERLINK("https://lindat.mff.cuni.cz/services/teitok/pdtc10/index.php?action=vallex&amp;frame=v-whsa_1856hsa_1857", "hřebelcovat (v-whsa_1856hsa_1857)")</f>
        <v>hřebelcovat (v-whsa_1856hsa_1857)</v>
      </c>
    </row>
    <row r="10187" customFormat="false" ht="12.8" hidden="false" customHeight="false" outlineLevel="0" collapsed="false">
      <c r="B10187" s="0" t="s">
        <v>1</v>
      </c>
    </row>
    <row r="10188" customFormat="false" ht="12.8" hidden="false" customHeight="false" outlineLevel="0" collapsed="false">
      <c r="B10188" s="0" t="s">
        <v>8</v>
      </c>
    </row>
    <row r="10190" customFormat="false" ht="12.8" hidden="false" customHeight="false" outlineLevel="0" collapsed="false">
      <c r="A10190" s="0" t="s">
        <v>4746</v>
      </c>
      <c r="B10190" s="0" t="str">
        <f aca="false">HYPERLINK("https://lindat.mff.cuni.cz/services/teitok/pdtc10/index.php?action=vallex&amp;frame=v-w1141f1", "hřešit (v-w1141f1)")</f>
        <v>hřešit (v-w1141f1)</v>
      </c>
    </row>
    <row r="10191" customFormat="false" ht="12.8" hidden="false" customHeight="false" outlineLevel="0" collapsed="false">
      <c r="B10191" s="0" t="s">
        <v>1</v>
      </c>
    </row>
    <row r="10192" customFormat="false" ht="12.8" hidden="false" customHeight="false" outlineLevel="0" collapsed="false">
      <c r="B10192" s="0" t="s">
        <v>45</v>
      </c>
    </row>
    <row r="10194" customFormat="false" ht="12.8" hidden="false" customHeight="false" outlineLevel="0" collapsed="false">
      <c r="A10194" s="0" t="s">
        <v>4747</v>
      </c>
      <c r="B10194" s="0" t="str">
        <f aca="false">HYPERLINK("https://lindat.mff.cuni.cz/services/teitok/pdtc10/index.php?action=vallex&amp;frame=v-w1141f2", "hřešit (v-w1141f2)")</f>
        <v>hřešit (v-w1141f2)</v>
      </c>
    </row>
    <row r="10195" customFormat="false" ht="12.8" hidden="false" customHeight="false" outlineLevel="0" collapsed="false">
      <c r="B10195" s="0" t="s">
        <v>1</v>
      </c>
    </row>
    <row r="10197" customFormat="false" ht="12.8" hidden="false" customHeight="false" outlineLevel="0" collapsed="false">
      <c r="A10197" s="0" t="s">
        <v>4748</v>
      </c>
      <c r="B10197" s="0" t="str">
        <f aca="false">HYPERLINK("https://lindat.mff.cuni.cz/services/teitok/pdtc10/index.php?action=vallex&amp;frame=v-w1143f2", "hřmět (v-w1143f2)")</f>
        <v>hřmět (v-w1143f2)</v>
      </c>
      <c r="E10197" s="0" t="str">
        <f aca="false">HYPERLINK("https://lindat.mff.cuni.cz/services/SynSemClass40/SynSemClass40.html?veclass=vec00592#vec00592-ces-cm00003", "vec00592")</f>
        <v>vec00592</v>
      </c>
      <c r="F10197" s="0" t="s">
        <v>4749</v>
      </c>
      <c r="H10197" s="0" t="str">
        <f aca="false">HYPERLINK("https://lindat.mff.cuni.cz/services/SynSemClass40/SynSemClass40.html?veclass=vec01348#vec01348-ces-cm00003", "vec01348")</f>
        <v>vec01348</v>
      </c>
      <c r="I10197" s="0" t="s">
        <v>793</v>
      </c>
      <c r="K10197" s="0" t="str">
        <f aca="false">HYPERLINK("https://lindat.mff.cuni.cz/services/SynSemClass40/SynSemClass40.html?veclass=vec01487#vec01487-ces-cm00007", "vec01487")</f>
        <v>vec01487</v>
      </c>
      <c r="L10197" s="0" t="s">
        <v>470</v>
      </c>
    </row>
    <row r="10198" customFormat="false" ht="12.8" hidden="false" customHeight="false" outlineLevel="0" collapsed="false">
      <c r="B10198" s="0" t="s">
        <v>1</v>
      </c>
      <c r="C10198" s="0" t="s">
        <v>4750</v>
      </c>
      <c r="E10198" s="0" t="s">
        <v>472</v>
      </c>
      <c r="F10198" s="0" t="s">
        <v>4751</v>
      </c>
      <c r="H10198" s="0" t="s">
        <v>794</v>
      </c>
      <c r="I10198" s="0" t="s">
        <v>795</v>
      </c>
      <c r="K10198" s="0" t="s">
        <v>472</v>
      </c>
      <c r="L10198" s="0" t="s">
        <v>473</v>
      </c>
    </row>
    <row r="10200" customFormat="false" ht="12.8" hidden="false" customHeight="false" outlineLevel="0" collapsed="false">
      <c r="A10200" s="0" t="s">
        <v>4752</v>
      </c>
      <c r="B10200" s="0" t="str">
        <f aca="false">HYPERLINK("https://lindat.mff.cuni.cz/services/teitok/pdtc10/index.php?action=vallex&amp;frame=v-w1143f3", "hřmět (v-w1143f3)")</f>
        <v>hřmět (v-w1143f3)</v>
      </c>
      <c r="E10200" s="0" t="str">
        <f aca="false">HYPERLINK("https://lindat.mff.cuni.cz/services/SynSemClass40/SynSemClass40.html?veclass=vec01487#vec01487-ces-cm00008", "vec01487")</f>
        <v>vec01487</v>
      </c>
      <c r="F10200" s="0" t="s">
        <v>470</v>
      </c>
    </row>
    <row r="10201" customFormat="false" ht="12.8" hidden="false" customHeight="false" outlineLevel="0" collapsed="false">
      <c r="B10201" s="0" t="s">
        <v>1</v>
      </c>
      <c r="C10201" s="0" t="s">
        <v>471</v>
      </c>
      <c r="E10201" s="0" t="s">
        <v>472</v>
      </c>
      <c r="F10201" s="0" t="s">
        <v>473</v>
      </c>
    </row>
    <row r="10203" customFormat="false" ht="12.8" hidden="false" customHeight="false" outlineLevel="0" collapsed="false">
      <c r="A10203" s="0" t="s">
        <v>4753</v>
      </c>
      <c r="B10203" s="0" t="str">
        <f aca="false">HYPERLINK("https://lindat.mff.cuni.cz/services/teitok/pdtc10/index.php?action=vallex&amp;frame=v-w1143f1", "hřmět (v-w1143f1)")</f>
        <v>hřmět (v-w1143f1)</v>
      </c>
      <c r="E10203" s="0" t="str">
        <f aca="false">HYPERLINK("https://lindat.mff.cuni.cz/services/SynSemClass40/SynSemClass40.html?veclass=vec01487#vec01487-ces-cm00006", "vec01487")</f>
        <v>vec01487</v>
      </c>
      <c r="F10203" s="0" t="s">
        <v>470</v>
      </c>
    </row>
    <row r="10205" customFormat="false" ht="12.8" hidden="false" customHeight="false" outlineLevel="0" collapsed="false">
      <c r="A10205" s="0" t="s">
        <v>4754</v>
      </c>
      <c r="B10205" s="0" t="str">
        <f aca="false">HYPERLINK("https://lindat.mff.cuni.cz/services/teitok/pdtc10/index.php?action=vallex&amp;frame=v-w1140f1", "hřát (v-w1140f1)")</f>
        <v>hřát (v-w1140f1)</v>
      </c>
    </row>
    <row r="10206" customFormat="false" ht="12.8" hidden="false" customHeight="false" outlineLevel="0" collapsed="false">
      <c r="B10206" s="0" t="s">
        <v>1</v>
      </c>
    </row>
    <row r="10207" customFormat="false" ht="12.8" hidden="false" customHeight="false" outlineLevel="0" collapsed="false">
      <c r="B10207" s="0" t="s">
        <v>8</v>
      </c>
    </row>
    <row r="10209" customFormat="false" ht="12.8" hidden="false" customHeight="false" outlineLevel="0" collapsed="false">
      <c r="A10209" s="0" t="s">
        <v>4755</v>
      </c>
      <c r="B10209" s="0" t="str">
        <f aca="false">HYPERLINK("https://lindat.mff.cuni.cz/services/teitok/pdtc10/index.php?action=vallex&amp;frame=v-w1142f1", "hřímat (v-w1142f1)")</f>
        <v>hřímat (v-w1142f1)</v>
      </c>
      <c r="E10209" s="0" t="str">
        <f aca="false">HYPERLINK("https://lindat.mff.cuni.cz/services/SynSemClass40/SynSemClass40.html?veclass=vec00426#vec00426-ces-cm00011", "vec00426")</f>
        <v>vec00426</v>
      </c>
      <c r="F10209" s="0" t="s">
        <v>4756</v>
      </c>
    </row>
    <row r="10210" customFormat="false" ht="12.8" hidden="false" customHeight="false" outlineLevel="0" collapsed="false">
      <c r="B10210" s="0" t="s">
        <v>1</v>
      </c>
      <c r="C10210" s="0" t="s">
        <v>4725</v>
      </c>
      <c r="E10210" s="0" t="s">
        <v>147</v>
      </c>
      <c r="F10210" s="0" t="s">
        <v>4757</v>
      </c>
    </row>
    <row r="10211" customFormat="false" ht="12.8" hidden="false" customHeight="false" outlineLevel="0" collapsed="false">
      <c r="B10211" s="0" t="s">
        <v>4758</v>
      </c>
      <c r="C10211" s="0" t="s">
        <v>4759</v>
      </c>
      <c r="E10211" s="0" t="s">
        <v>2217</v>
      </c>
      <c r="F10211" s="0" t="s">
        <v>4760</v>
      </c>
    </row>
    <row r="10212" customFormat="false" ht="12.8" hidden="false" customHeight="false" outlineLevel="0" collapsed="false">
      <c r="B10212" s="0" t="s">
        <v>496</v>
      </c>
    </row>
    <row r="10213" customFormat="false" ht="12.8" hidden="false" customHeight="false" outlineLevel="0" collapsed="false">
      <c r="B10213" s="0" t="s">
        <v>132</v>
      </c>
      <c r="C10213" s="0" t="s">
        <v>4761</v>
      </c>
      <c r="E10213" s="0" t="s">
        <v>564</v>
      </c>
      <c r="F10213" s="0" t="s">
        <v>4762</v>
      </c>
    </row>
    <row r="10215" customFormat="false" ht="12.8" hidden="false" customHeight="false" outlineLevel="0" collapsed="false">
      <c r="A10215" s="0" t="s">
        <v>4763</v>
      </c>
      <c r="B10215" s="0" t="str">
        <f aca="false">HYPERLINK("https://lindat.mff.cuni.cz/services/teitok/pdtc10/index.php?action=vallex&amp;frame=v-w1216f1", "idealizovat si (v-w1216f1)")</f>
        <v>idealizovat si (v-w1216f1)</v>
      </c>
    </row>
    <row r="10216" customFormat="false" ht="12.8" hidden="false" customHeight="false" outlineLevel="0" collapsed="false">
      <c r="B10216" s="0" t="s">
        <v>1</v>
      </c>
    </row>
    <row r="10217" customFormat="false" ht="12.8" hidden="false" customHeight="false" outlineLevel="0" collapsed="false">
      <c r="B10217" s="0" t="s">
        <v>8</v>
      </c>
    </row>
    <row r="10219" customFormat="false" ht="12.8" hidden="false" customHeight="false" outlineLevel="0" collapsed="false">
      <c r="A10219" s="0" t="s">
        <v>4764</v>
      </c>
      <c r="B10219" s="0" t="str">
        <f aca="false">HYPERLINK("https://lindat.mff.cuni.cz/services/teitok/pdtc10/index.php?action=vallex&amp;frame=v-w1218f2", "identifikovat (v-w1218f2)")</f>
        <v>identifikovat (v-w1218f2)</v>
      </c>
    </row>
    <row r="10220" customFormat="false" ht="12.8" hidden="false" customHeight="false" outlineLevel="0" collapsed="false">
      <c r="B10220" s="0" t="s">
        <v>1</v>
      </c>
    </row>
    <row r="10221" customFormat="false" ht="12.8" hidden="false" customHeight="false" outlineLevel="0" collapsed="false">
      <c r="B10221" s="0" t="s">
        <v>8</v>
      </c>
    </row>
    <row r="10222" customFormat="false" ht="12.8" hidden="false" customHeight="false" outlineLevel="0" collapsed="false">
      <c r="B10222" s="0" t="s">
        <v>276</v>
      </c>
    </row>
    <row r="10224" customFormat="false" ht="12.8" hidden="false" customHeight="false" outlineLevel="0" collapsed="false">
      <c r="A10224" s="0" t="s">
        <v>4765</v>
      </c>
      <c r="B10224" s="0" t="str">
        <f aca="false">HYPERLINK("https://lindat.mff.cuni.cz/services/teitok/pdtc10/index.php?action=vallex&amp;frame=v-w1218f1", "identifikovat (v-w1218f1)")</f>
        <v>identifikovat (v-w1218f1)</v>
      </c>
      <c r="E10224" s="0" t="str">
        <f aca="false">HYPERLINK("https://lindat.mff.cuni.cz/services/SynSemClass40/SynSemClass40.html?veclass=vec00909#vec00909-ces-cm00008", "vec00909")</f>
        <v>vec00909</v>
      </c>
      <c r="F10224" s="0" t="s">
        <v>1954</v>
      </c>
    </row>
    <row r="10225" customFormat="false" ht="12.8" hidden="false" customHeight="false" outlineLevel="0" collapsed="false">
      <c r="B10225" s="0" t="s">
        <v>1</v>
      </c>
      <c r="C10225" s="0" t="s">
        <v>4256</v>
      </c>
      <c r="E10225" s="0" t="s">
        <v>621</v>
      </c>
      <c r="F10225" s="0" t="s">
        <v>1957</v>
      </c>
    </row>
    <row r="10226" customFormat="false" ht="12.8" hidden="false" customHeight="false" outlineLevel="0" collapsed="false">
      <c r="B10226" s="0" t="s">
        <v>8</v>
      </c>
      <c r="C10226" s="0" t="s">
        <v>4766</v>
      </c>
      <c r="E10226" s="0" t="s">
        <v>180</v>
      </c>
      <c r="F10226" s="0" t="s">
        <v>1961</v>
      </c>
    </row>
    <row r="10228" customFormat="false" ht="12.8" hidden="false" customHeight="false" outlineLevel="0" collapsed="false">
      <c r="A10228" s="0" t="s">
        <v>4767</v>
      </c>
      <c r="B10228" s="0" t="str">
        <f aca="false">HYPERLINK("https://lindat.mff.cuni.cz/services/teitok/pdtc10/index.php?action=vallex&amp;frame=v-w1222f1", "ideologizovat (v-w1222f1)")</f>
        <v>ideologizovat (v-w1222f1)</v>
      </c>
      <c r="E10228" s="0" t="str">
        <f aca="false">HYPERLINK("https://lindat.mff.cuni.cz/services/SynSemClass40/SynSemClass40.html?veclass=vec00791#vec00791-ces-cm00010", "vec00791")</f>
        <v>vec00791</v>
      </c>
      <c r="F10228" s="0" t="s">
        <v>4768</v>
      </c>
    </row>
    <row r="10229" customFormat="false" ht="12.8" hidden="false" customHeight="false" outlineLevel="0" collapsed="false">
      <c r="B10229" s="0" t="s">
        <v>1</v>
      </c>
      <c r="C10229" s="0" t="s">
        <v>4264</v>
      </c>
      <c r="E10229" s="0" t="s">
        <v>4726</v>
      </c>
      <c r="F10229" s="0" t="s">
        <v>4769</v>
      </c>
    </row>
    <row r="10230" customFormat="false" ht="12.8" hidden="false" customHeight="false" outlineLevel="0" collapsed="false">
      <c r="B10230" s="0" t="s">
        <v>8</v>
      </c>
      <c r="C10230" s="0" t="s">
        <v>4770</v>
      </c>
      <c r="E10230" s="0" t="s">
        <v>142</v>
      </c>
      <c r="F10230" s="0" t="s">
        <v>4771</v>
      </c>
    </row>
    <row r="10232" customFormat="false" ht="12.8" hidden="false" customHeight="false" outlineLevel="0" collapsed="false">
      <c r="A10232" s="0" t="s">
        <v>4772</v>
      </c>
      <c r="B10232" s="0" t="str">
        <f aca="false">HYPERLINK("https://lindat.mff.cuni.cz/services/teitok/pdtc10/index.php?action=vallex&amp;frame=v-w1225f1", "ignorovat (v-w1225f1)")</f>
        <v>ignorovat (v-w1225f1)</v>
      </c>
      <c r="E10232" s="0" t="str">
        <f aca="false">HYPERLINK("https://lindat.mff.cuni.cz/services/SynSemClass40/SynSemClass40.html?veclass=vec00460#vec00460-ces-cm00003", "vec00460")</f>
        <v>vec00460</v>
      </c>
      <c r="F10232" s="0" t="s">
        <v>4773</v>
      </c>
    </row>
    <row r="10233" customFormat="false" ht="12.8" hidden="false" customHeight="false" outlineLevel="0" collapsed="false">
      <c r="B10233" s="0" t="s">
        <v>1</v>
      </c>
      <c r="C10233" s="0" t="s">
        <v>4774</v>
      </c>
      <c r="E10233" s="0" t="s">
        <v>2034</v>
      </c>
      <c r="F10233" s="0" t="s">
        <v>4775</v>
      </c>
    </row>
    <row r="10234" customFormat="false" ht="12.8" hidden="false" customHeight="false" outlineLevel="0" collapsed="false">
      <c r="B10234" s="0" t="s">
        <v>228</v>
      </c>
      <c r="C10234" s="0" t="s">
        <v>4776</v>
      </c>
      <c r="E10234" s="0" t="s">
        <v>2037</v>
      </c>
      <c r="F10234" s="0" t="s">
        <v>4777</v>
      </c>
    </row>
    <row r="10236" customFormat="false" ht="12.8" hidden="false" customHeight="false" outlineLevel="0" collapsed="false">
      <c r="A10236" s="0" t="s">
        <v>4778</v>
      </c>
      <c r="B10236" s="0" t="str">
        <f aca="false">HYPERLINK("https://lindat.mff.cuni.cz/services/teitok/pdtc10/index.php?action=vallex&amp;frame=v-w1228f1", "ilustrovat (v-w1228f1)")</f>
        <v>ilustrovat (v-w1228f1)</v>
      </c>
      <c r="E10236" s="0" t="str">
        <f aca="false">HYPERLINK("https://lindat.mff.cuni.cz/services/SynSemClass40/SynSemClass40.html?veclass=vec00330#vec00330-ces-cm00100", "vec00330")</f>
        <v>vec00330</v>
      </c>
      <c r="F10236" s="0" t="s">
        <v>1896</v>
      </c>
    </row>
    <row r="10237" customFormat="false" ht="12.8" hidden="false" customHeight="false" outlineLevel="0" collapsed="false">
      <c r="B10237" s="0" t="s">
        <v>1</v>
      </c>
      <c r="C10237" s="0" t="s">
        <v>1897</v>
      </c>
      <c r="E10237" s="0" t="s">
        <v>11</v>
      </c>
      <c r="F10237" s="0" t="s">
        <v>1898</v>
      </c>
    </row>
    <row r="10238" customFormat="false" ht="12.8" hidden="false" customHeight="false" outlineLevel="0" collapsed="false">
      <c r="B10238" s="0" t="s">
        <v>228</v>
      </c>
      <c r="C10238" s="0" t="s">
        <v>1900</v>
      </c>
      <c r="E10238" s="0" t="s">
        <v>180</v>
      </c>
      <c r="F10238" s="0" t="s">
        <v>1901</v>
      </c>
    </row>
    <row r="10240" customFormat="false" ht="12.8" hidden="false" customHeight="false" outlineLevel="0" collapsed="false">
      <c r="A10240" s="0" t="s">
        <v>4779</v>
      </c>
      <c r="B10240" s="0" t="str">
        <f aca="false">HYPERLINK("https://lindat.mff.cuni.cz/services/teitok/pdtc10/index.php?action=vallex&amp;frame=v-w1228f2", "ilustrovat (v-w1228f2)")</f>
        <v>ilustrovat (v-w1228f2)</v>
      </c>
      <c r="E10240" s="0" t="str">
        <f aca="false">HYPERLINK("https://lindat.mff.cuni.cz/services/SynSemClass40/SynSemClass40.html?veclass=vec01400#vec01400-ces-cm00003", "vec01400")</f>
        <v>vec01400</v>
      </c>
      <c r="F10240" s="0" t="s">
        <v>4780</v>
      </c>
    </row>
    <row r="10241" customFormat="false" ht="12.8" hidden="false" customHeight="false" outlineLevel="0" collapsed="false">
      <c r="B10241" s="0" t="s">
        <v>1</v>
      </c>
      <c r="C10241" s="0" t="s">
        <v>4695</v>
      </c>
      <c r="E10241" s="0" t="s">
        <v>768</v>
      </c>
      <c r="F10241" s="0" t="s">
        <v>4781</v>
      </c>
    </row>
    <row r="10242" customFormat="false" ht="12.8" hidden="false" customHeight="false" outlineLevel="0" collapsed="false">
      <c r="B10242" s="0" t="s">
        <v>8</v>
      </c>
      <c r="C10242" s="0" t="s">
        <v>798</v>
      </c>
      <c r="E10242" s="0" t="s">
        <v>4782</v>
      </c>
      <c r="F10242" s="0" t="s">
        <v>4783</v>
      </c>
    </row>
    <row r="10244" customFormat="false" ht="12.8" hidden="false" customHeight="false" outlineLevel="0" collapsed="false">
      <c r="A10244" s="0" t="s">
        <v>4784</v>
      </c>
      <c r="B10244" s="0" t="str">
        <f aca="false">HYPERLINK("https://lindat.mff.cuni.cz/services/teitok/pdtc10/index.php?action=vallex&amp;frame=v-w1232f1", "imitovat (v-w1232f1)")</f>
        <v>imitovat (v-w1232f1)</v>
      </c>
    </row>
    <row r="10245" customFormat="false" ht="12.8" hidden="false" customHeight="false" outlineLevel="0" collapsed="false">
      <c r="B10245" s="0" t="s">
        <v>1</v>
      </c>
    </row>
    <row r="10246" customFormat="false" ht="12.8" hidden="false" customHeight="false" outlineLevel="0" collapsed="false">
      <c r="B10246" s="0" t="s">
        <v>117</v>
      </c>
    </row>
    <row r="10248" customFormat="false" ht="12.8" hidden="false" customHeight="false" outlineLevel="0" collapsed="false">
      <c r="A10248" s="0" t="s">
        <v>4785</v>
      </c>
      <c r="B10248" s="0" t="str">
        <f aca="false">HYPERLINK("https://lindat.mff.cuni.cz/services/teitok/pdtc10/index.php?action=vallex&amp;frame=v-w11191f2", "implantovat (v-w11191f2)")</f>
        <v>implantovat (v-w11191f2)</v>
      </c>
      <c r="E10248" s="0" t="str">
        <f aca="false">HYPERLINK("https://lindat.mff.cuni.cz/services/SynSemClass40/SynSemClass40.html?veclass=vec01027#vec01027-ces-cm00001", "vec01027")</f>
        <v>vec01027</v>
      </c>
      <c r="F10248" s="0" t="s">
        <v>4786</v>
      </c>
    </row>
    <row r="10249" customFormat="false" ht="12.8" hidden="false" customHeight="false" outlineLevel="0" collapsed="false">
      <c r="B10249" s="0" t="s">
        <v>1</v>
      </c>
      <c r="C10249" s="0" t="s">
        <v>4695</v>
      </c>
      <c r="E10249" s="0" t="s">
        <v>31</v>
      </c>
      <c r="F10249" s="0" t="s">
        <v>460</v>
      </c>
    </row>
    <row r="10250" customFormat="false" ht="12.8" hidden="false" customHeight="false" outlineLevel="0" collapsed="false">
      <c r="B10250" s="0" t="s">
        <v>8</v>
      </c>
      <c r="C10250" s="0" t="s">
        <v>744</v>
      </c>
      <c r="E10250" s="0" t="s">
        <v>1569</v>
      </c>
      <c r="F10250" s="0" t="s">
        <v>1570</v>
      </c>
    </row>
    <row r="10251" customFormat="false" ht="12.8" hidden="false" customHeight="false" outlineLevel="0" collapsed="false">
      <c r="B10251" s="0" t="s">
        <v>164</v>
      </c>
      <c r="E10251" s="0" t="s">
        <v>370</v>
      </c>
      <c r="F10251" s="0" t="s">
        <v>3041</v>
      </c>
    </row>
    <row r="10253" customFormat="false" ht="12.8" hidden="false" customHeight="false" outlineLevel="0" collapsed="false">
      <c r="A10253" s="0" t="s">
        <v>4787</v>
      </c>
      <c r="B10253" s="0" t="str">
        <f aca="false">HYPERLINK("https://lindat.mff.cuni.cz/services/teitok/pdtc10/index.php?action=vallex&amp;frame=v-w10686f2", "implementovat (v-w10686f2)")</f>
        <v>implementovat (v-w10686f2)</v>
      </c>
    </row>
    <row r="10254" customFormat="false" ht="12.8" hidden="false" customHeight="false" outlineLevel="0" collapsed="false">
      <c r="B10254" s="0" t="s">
        <v>1</v>
      </c>
    </row>
    <row r="10255" customFormat="false" ht="12.8" hidden="false" customHeight="false" outlineLevel="0" collapsed="false">
      <c r="B10255" s="0" t="s">
        <v>8</v>
      </c>
    </row>
    <row r="10257" customFormat="false" ht="12.8" hidden="false" customHeight="false" outlineLevel="0" collapsed="false">
      <c r="A10257" s="0" t="s">
        <v>4788</v>
      </c>
      <c r="B10257" s="0" t="str">
        <f aca="false">HYPERLINK("https://lindat.mff.cuni.cz/services/teitok/pdtc10/index.php?action=vallex&amp;frame=v-w1233f1", "implikovat (v-w1233f1)")</f>
        <v>implikovat (v-w1233f1)</v>
      </c>
    </row>
    <row r="10258" customFormat="false" ht="12.8" hidden="false" customHeight="false" outlineLevel="0" collapsed="false">
      <c r="B10258" s="0" t="s">
        <v>1</v>
      </c>
    </row>
    <row r="10259" customFormat="false" ht="12.8" hidden="false" customHeight="false" outlineLevel="0" collapsed="false">
      <c r="B10259" s="0" t="s">
        <v>8</v>
      </c>
    </row>
    <row r="10261" customFormat="false" ht="12.8" hidden="false" customHeight="false" outlineLevel="0" collapsed="false">
      <c r="A10261" s="0" t="s">
        <v>4789</v>
      </c>
      <c r="B10261" s="0" t="str">
        <f aca="false">HYPERLINK("https://lindat.mff.cuni.cz/services/teitok/pdtc10/index.php?action=vallex&amp;frame=v-w1234f1", "imponovat (v-w1234f1)")</f>
        <v>imponovat (v-w1234f1)</v>
      </c>
    </row>
    <row r="10262" customFormat="false" ht="12.8" hidden="false" customHeight="false" outlineLevel="0" collapsed="false">
      <c r="B10262" s="0" t="s">
        <v>1</v>
      </c>
    </row>
    <row r="10263" customFormat="false" ht="12.8" hidden="false" customHeight="false" outlineLevel="0" collapsed="false">
      <c r="B10263" s="0" t="s">
        <v>186</v>
      </c>
    </row>
    <row r="10265" customFormat="false" ht="12.8" hidden="false" customHeight="false" outlineLevel="0" collapsed="false">
      <c r="A10265" s="0" t="s">
        <v>4790</v>
      </c>
      <c r="B10265" s="0" t="str">
        <f aca="false">HYPERLINK("https://lindat.mff.cuni.cz/services/teitok/pdtc10/index.php?action=vallex&amp;frame=v-w1237f1", "importovat (v-w1237f1)")</f>
        <v>importovat (v-w1237f1)</v>
      </c>
    </row>
    <row r="10266" customFormat="false" ht="12.8" hidden="false" customHeight="false" outlineLevel="0" collapsed="false">
      <c r="B10266" s="0" t="s">
        <v>1</v>
      </c>
    </row>
    <row r="10267" customFormat="false" ht="12.8" hidden="false" customHeight="false" outlineLevel="0" collapsed="false">
      <c r="B10267" s="0" t="s">
        <v>8</v>
      </c>
    </row>
    <row r="10268" customFormat="false" ht="12.8" hidden="false" customHeight="false" outlineLevel="0" collapsed="false">
      <c r="B10268" s="0" t="s">
        <v>164</v>
      </c>
    </row>
    <row r="10270" customFormat="false" ht="12.8" hidden="false" customHeight="false" outlineLevel="0" collapsed="false">
      <c r="A10270" s="0" t="s">
        <v>4791</v>
      </c>
      <c r="B10270" s="0" t="str">
        <f aca="false">HYPERLINK("https://lindat.mff.cuni.cz/services/teitok/pdtc10/index.php?action=vallex&amp;frame=v-whsa_12hsa_13", "impregnovat (v-whsa_12hsa_13)")</f>
        <v>impregnovat (v-whsa_12hsa_13)</v>
      </c>
    </row>
    <row r="10271" customFormat="false" ht="12.8" hidden="false" customHeight="false" outlineLevel="0" collapsed="false">
      <c r="B10271" s="0" t="s">
        <v>1</v>
      </c>
    </row>
    <row r="10272" customFormat="false" ht="12.8" hidden="false" customHeight="false" outlineLevel="0" collapsed="false">
      <c r="B10272" s="0" t="s">
        <v>8</v>
      </c>
    </row>
    <row r="10274" customFormat="false" ht="12.8" hidden="false" customHeight="false" outlineLevel="0" collapsed="false">
      <c r="A10274" s="0" t="s">
        <v>4792</v>
      </c>
      <c r="B10274" s="0" t="str">
        <f aca="false">HYPERLINK("https://lindat.mff.cuni.cz/services/teitok/pdtc10/index.php?action=vallex&amp;frame=v-w1238f1", "improvizovat (v-w1238f1)")</f>
        <v>improvizovat (v-w1238f1)</v>
      </c>
    </row>
    <row r="10275" customFormat="false" ht="12.8" hidden="false" customHeight="false" outlineLevel="0" collapsed="false">
      <c r="B10275" s="0" t="s">
        <v>1</v>
      </c>
    </row>
    <row r="10276" customFormat="false" ht="12.8" hidden="false" customHeight="false" outlineLevel="0" collapsed="false">
      <c r="B10276" s="0" t="s">
        <v>8</v>
      </c>
    </row>
    <row r="10278" customFormat="false" ht="12.8" hidden="false" customHeight="false" outlineLevel="0" collapsed="false">
      <c r="A10278" s="0" t="s">
        <v>4793</v>
      </c>
      <c r="B10278" s="0" t="str">
        <f aca="false">HYPERLINK("https://lindat.mff.cuni.cz/services/teitok/pdtc10/index.php?action=vallex&amp;frame=v-w1240f1", "imunizovat (v-w1240f1)")</f>
        <v>imunizovat (v-w1240f1)</v>
      </c>
    </row>
    <row r="10279" customFormat="false" ht="12.8" hidden="false" customHeight="false" outlineLevel="0" collapsed="false">
      <c r="B10279" s="0" t="s">
        <v>1</v>
      </c>
    </row>
    <row r="10280" customFormat="false" ht="12.8" hidden="false" customHeight="false" outlineLevel="0" collapsed="false">
      <c r="B10280" s="0" t="s">
        <v>8</v>
      </c>
    </row>
    <row r="10281" customFormat="false" ht="12.8" hidden="false" customHeight="false" outlineLevel="0" collapsed="false">
      <c r="B10281" s="0" t="s">
        <v>574</v>
      </c>
    </row>
    <row r="10283" customFormat="false" ht="12.8" hidden="false" customHeight="false" outlineLevel="0" collapsed="false">
      <c r="A10283" s="0" t="s">
        <v>4794</v>
      </c>
      <c r="B10283" s="0" t="str">
        <f aca="false">HYPERLINK("https://lindat.mff.cuni.cz/services/teitok/pdtc10/index.php?action=vallex&amp;frame=v-w1242f1", "inaugurovat (v-w1242f1)")</f>
        <v>inaugurovat (v-w1242f1)</v>
      </c>
    </row>
    <row r="10284" customFormat="false" ht="12.8" hidden="false" customHeight="false" outlineLevel="0" collapsed="false">
      <c r="B10284" s="0" t="s">
        <v>1</v>
      </c>
    </row>
    <row r="10285" customFormat="false" ht="12.8" hidden="false" customHeight="false" outlineLevel="0" collapsed="false">
      <c r="B10285" s="0" t="s">
        <v>8</v>
      </c>
    </row>
    <row r="10287" customFormat="false" ht="12.8" hidden="false" customHeight="false" outlineLevel="0" collapsed="false">
      <c r="A10287" s="0" t="s">
        <v>4795</v>
      </c>
      <c r="B10287" s="0" t="str">
        <f aca="false">HYPERLINK("https://lindat.mff.cuni.cz/services/teitok/pdtc10/index.php?action=vallex&amp;frame=v-w11031f3", "indikovat (v-w11031f3)")</f>
        <v>indikovat (v-w11031f3)</v>
      </c>
      <c r="E10287" s="0" t="str">
        <f aca="false">HYPERLINK("https://lindat.mff.cuni.cz/services/SynSemClass40/SynSemClass40.html?veclass=vec00141#vec00141-ces-cm00049", "vec00141")</f>
        <v>vec00141</v>
      </c>
      <c r="F10287" s="0" t="s">
        <v>4796</v>
      </c>
    </row>
    <row r="10288" customFormat="false" ht="12.8" hidden="false" customHeight="false" outlineLevel="0" collapsed="false">
      <c r="B10288" s="0" t="s">
        <v>1</v>
      </c>
      <c r="C10288" s="0" t="s">
        <v>4797</v>
      </c>
      <c r="E10288" s="0" t="s">
        <v>4798</v>
      </c>
      <c r="F10288" s="0" t="s">
        <v>4799</v>
      </c>
    </row>
    <row r="10289" customFormat="false" ht="12.8" hidden="false" customHeight="false" outlineLevel="0" collapsed="false">
      <c r="B10289" s="0" t="s">
        <v>59</v>
      </c>
      <c r="C10289" s="0" t="s">
        <v>4800</v>
      </c>
      <c r="E10289" s="0" t="s">
        <v>4801</v>
      </c>
      <c r="F10289" s="0" t="s">
        <v>4802</v>
      </c>
    </row>
    <row r="10291" customFormat="false" ht="12.8" hidden="false" customHeight="false" outlineLevel="0" collapsed="false">
      <c r="A10291" s="0" t="s">
        <v>4803</v>
      </c>
      <c r="B10291" s="0" t="str">
        <f aca="false">HYPERLINK("https://lindat.mff.cuni.cz/services/teitok/pdtc10/index.php?action=vallex&amp;frame=v-w11053f2", "infikovat (v-w11053f2)")</f>
        <v>infikovat (v-w11053f2)</v>
      </c>
      <c r="E10291" s="0" t="str">
        <f aca="false">HYPERLINK("https://lindat.mff.cuni.cz/services/SynSemClass40/SynSemClass40.html?veclass=vec00635#vec00635-ces-cm00008", "vec00635")</f>
        <v>vec00635</v>
      </c>
      <c r="F10291" s="0" t="s">
        <v>4804</v>
      </c>
    </row>
    <row r="10292" customFormat="false" ht="12.8" hidden="false" customHeight="false" outlineLevel="0" collapsed="false">
      <c r="B10292" s="0" t="s">
        <v>1</v>
      </c>
      <c r="C10292" s="0" t="s">
        <v>4805</v>
      </c>
      <c r="E10292" s="0" t="s">
        <v>4806</v>
      </c>
      <c r="F10292" s="0" t="s">
        <v>4807</v>
      </c>
    </row>
    <row r="10293" customFormat="false" ht="12.8" hidden="false" customHeight="false" outlineLevel="0" collapsed="false">
      <c r="B10293" s="0" t="s">
        <v>8</v>
      </c>
      <c r="C10293" s="0" t="s">
        <v>4083</v>
      </c>
      <c r="E10293" s="0" t="s">
        <v>4808</v>
      </c>
      <c r="F10293" s="0" t="s">
        <v>4809</v>
      </c>
    </row>
    <row r="10295" customFormat="false" ht="12.8" hidden="false" customHeight="false" outlineLevel="0" collapsed="false">
      <c r="A10295" s="0" t="s">
        <v>4810</v>
      </c>
      <c r="B10295" s="0" t="str">
        <f aca="false">HYPERLINK("https://lindat.mff.cuni.cz/services/teitok/pdtc10/index.php?action=vallex&amp;frame=v-w1249f1", "infiltrovat (v-w1249f1)")</f>
        <v>infiltrovat (v-w1249f1)</v>
      </c>
    </row>
    <row r="10296" customFormat="false" ht="12.8" hidden="false" customHeight="false" outlineLevel="0" collapsed="false">
      <c r="B10296" s="0" t="s">
        <v>1</v>
      </c>
    </row>
    <row r="10297" customFormat="false" ht="12.8" hidden="false" customHeight="false" outlineLevel="0" collapsed="false">
      <c r="B10297" s="0" t="s">
        <v>8</v>
      </c>
    </row>
    <row r="10299" customFormat="false" ht="12.8" hidden="false" customHeight="false" outlineLevel="0" collapsed="false">
      <c r="A10299" s="0" t="s">
        <v>4811</v>
      </c>
      <c r="B10299" s="0" t="str">
        <f aca="false">HYPERLINK("https://lindat.mff.cuni.cz/services/teitok/pdtc10/index.php?action=vallex&amp;frame=v-w1254f1", "informovat (v-w1254f1)")</f>
        <v>informovat (v-w1254f1)</v>
      </c>
      <c r="E10299" s="0" t="str">
        <f aca="false">HYPERLINK("https://lindat.mff.cuni.cz/services/SynSemClass40/SynSemClass40.html?veclass=vec00060#vec00060-ces-cm00023", "vec00060")</f>
        <v>vec00060</v>
      </c>
      <c r="F10299" s="0" t="s">
        <v>213</v>
      </c>
    </row>
    <row r="10300" customFormat="false" ht="12.8" hidden="false" customHeight="false" outlineLevel="0" collapsed="false">
      <c r="B10300" s="0" t="s">
        <v>1</v>
      </c>
      <c r="C10300" s="0" t="s">
        <v>214</v>
      </c>
      <c r="E10300" s="0" t="s">
        <v>147</v>
      </c>
      <c r="F10300" s="0" t="s">
        <v>215</v>
      </c>
    </row>
    <row r="10301" customFormat="false" ht="12.8" hidden="false" customHeight="false" outlineLevel="0" collapsed="false">
      <c r="B10301" s="0" t="s">
        <v>4812</v>
      </c>
      <c r="C10301" s="0" t="s">
        <v>217</v>
      </c>
      <c r="E10301" s="0" t="s">
        <v>218</v>
      </c>
      <c r="F10301" s="0" t="s">
        <v>219</v>
      </c>
    </row>
    <row r="10302" customFormat="false" ht="12.8" hidden="false" customHeight="false" outlineLevel="0" collapsed="false">
      <c r="B10302" s="0" t="s">
        <v>98</v>
      </c>
      <c r="C10302" s="0" t="s">
        <v>220</v>
      </c>
      <c r="E10302" s="0" t="s">
        <v>221</v>
      </c>
      <c r="F10302" s="0" t="s">
        <v>222</v>
      </c>
    </row>
    <row r="10304" customFormat="false" ht="12.8" hidden="false" customHeight="false" outlineLevel="0" collapsed="false">
      <c r="A10304" s="0" t="s">
        <v>4813</v>
      </c>
      <c r="B10304" s="0" t="str">
        <f aca="false">HYPERLINK("https://lindat.mff.cuni.cz/services/teitok/pdtc10/index.php?action=vallex&amp;frame=v-w1255f1", "informovat se (v-w1255f1)")</f>
        <v>informovat se (v-w1255f1)</v>
      </c>
      <c r="E10304" s="0" t="str">
        <f aca="false">HYPERLINK("https://lindat.mff.cuni.cz/services/SynSemClass40/SynSemClass40.html?veclass=vec00384#vec00384-ces-cm00019", "vec00384")</f>
        <v>vec00384</v>
      </c>
      <c r="F10304" s="0" t="s">
        <v>2985</v>
      </c>
    </row>
    <row r="10305" customFormat="false" ht="12.8" hidden="false" customHeight="false" outlineLevel="0" collapsed="false">
      <c r="B10305" s="0" t="s">
        <v>1</v>
      </c>
      <c r="C10305" s="0" t="s">
        <v>2986</v>
      </c>
      <c r="E10305" s="0" t="s">
        <v>147</v>
      </c>
      <c r="F10305" s="0" t="s">
        <v>2987</v>
      </c>
    </row>
    <row r="10306" customFormat="false" ht="12.8" hidden="false" customHeight="false" outlineLevel="0" collapsed="false">
      <c r="B10306" s="0" t="s">
        <v>4814</v>
      </c>
      <c r="C10306" s="0" t="s">
        <v>2989</v>
      </c>
      <c r="E10306" s="0" t="s">
        <v>218</v>
      </c>
      <c r="F10306" s="0" t="s">
        <v>2990</v>
      </c>
    </row>
    <row r="10308" customFormat="false" ht="12.8" hidden="false" customHeight="false" outlineLevel="0" collapsed="false">
      <c r="A10308" s="0" t="s">
        <v>4815</v>
      </c>
      <c r="B10308" s="0" t="str">
        <f aca="false">HYPERLINK("https://lindat.mff.cuni.cz/services/teitok/pdtc10/index.php?action=vallex&amp;frame=v-w1260f1", "iniciovat (v-w1260f1)")</f>
        <v>iniciovat (v-w1260f1)</v>
      </c>
      <c r="E10308" s="0" t="str">
        <f aca="false">HYPERLINK("https://lindat.mff.cuni.cz/services/SynSemClass40/SynSemClass40.html?veclass=vec00038#vec00038-ces-cm00259", "vec00038")</f>
        <v>vec00038</v>
      </c>
      <c r="F10308" s="0" t="s">
        <v>74</v>
      </c>
    </row>
    <row r="10309" customFormat="false" ht="12.8" hidden="false" customHeight="false" outlineLevel="0" collapsed="false">
      <c r="B10309" s="0" t="s">
        <v>1</v>
      </c>
      <c r="C10309" s="0" t="s">
        <v>75</v>
      </c>
      <c r="E10309" s="0" t="s">
        <v>76</v>
      </c>
      <c r="F10309" s="0" t="s">
        <v>77</v>
      </c>
    </row>
    <row r="10310" customFormat="false" ht="12.8" hidden="false" customHeight="false" outlineLevel="0" collapsed="false">
      <c r="B10310" s="0" t="s">
        <v>8</v>
      </c>
      <c r="C10310" s="0" t="s">
        <v>78</v>
      </c>
      <c r="E10310" s="0" t="s">
        <v>79</v>
      </c>
      <c r="F10310" s="0" t="s">
        <v>80</v>
      </c>
    </row>
    <row r="10312" customFormat="false" ht="12.8" hidden="false" customHeight="false" outlineLevel="0" collapsed="false">
      <c r="A10312" s="0" t="s">
        <v>4816</v>
      </c>
      <c r="B10312" s="0" t="str">
        <f aca="false">HYPERLINK("https://lindat.mff.cuni.cz/services/teitok/pdtc10/index.php?action=vallex&amp;frame=v-w1261f1", "inkasovat (v-w1261f1)")</f>
        <v>inkasovat (v-w1261f1)</v>
      </c>
      <c r="E10312" s="0" t="str">
        <f aca="false">HYPERLINK("https://lindat.mff.cuni.cz/services/SynSemClass40/SynSemClass40.html?veclass=vec00189#vec00189-ces-cm00067", "vec00189")</f>
        <v>vec00189</v>
      </c>
      <c r="F10312" s="0" t="s">
        <v>2169</v>
      </c>
    </row>
    <row r="10313" customFormat="false" ht="12.8" hidden="false" customHeight="false" outlineLevel="0" collapsed="false">
      <c r="B10313" s="0" t="s">
        <v>1</v>
      </c>
      <c r="C10313" s="0" t="s">
        <v>2170</v>
      </c>
      <c r="E10313" s="0" t="s">
        <v>1567</v>
      </c>
      <c r="F10313" s="0" t="s">
        <v>2171</v>
      </c>
    </row>
    <row r="10314" customFormat="false" ht="12.8" hidden="false" customHeight="false" outlineLevel="0" collapsed="false">
      <c r="B10314" s="0" t="s">
        <v>8</v>
      </c>
      <c r="C10314" s="0" t="s">
        <v>2173</v>
      </c>
      <c r="E10314" s="0" t="s">
        <v>2111</v>
      </c>
      <c r="F10314" s="0" t="s">
        <v>2174</v>
      </c>
    </row>
    <row r="10315" customFormat="false" ht="12.8" hidden="false" customHeight="false" outlineLevel="0" collapsed="false">
      <c r="B10315" s="0" t="s">
        <v>602</v>
      </c>
      <c r="C10315" s="0" t="s">
        <v>2175</v>
      </c>
      <c r="E10315" s="0" t="s">
        <v>2176</v>
      </c>
      <c r="F10315" s="0" t="s">
        <v>2177</v>
      </c>
    </row>
    <row r="10317" customFormat="false" ht="12.8" hidden="false" customHeight="false" outlineLevel="0" collapsed="false">
      <c r="A10317" s="0" t="s">
        <v>4817</v>
      </c>
      <c r="B10317" s="0" t="str">
        <f aca="false">HYPERLINK("https://lindat.mff.cuni.cz/services/teitok/pdtc10/index.php?action=vallex&amp;frame=v-w1262f1", "inklinovat (v-w1262f1)")</f>
        <v>inklinovat (v-w1262f1)</v>
      </c>
      <c r="E10317" s="0" t="str">
        <f aca="false">HYPERLINK("https://lindat.mff.cuni.cz/services/SynSemClass40/SynSemClass40.html?veclass=vec00516#vec00516-ces-cm00006", "vec00516")</f>
        <v>vec00516</v>
      </c>
      <c r="F10317" s="0" t="s">
        <v>4818</v>
      </c>
    </row>
    <row r="10318" customFormat="false" ht="12.8" hidden="false" customHeight="false" outlineLevel="0" collapsed="false">
      <c r="B10318" s="0" t="s">
        <v>1</v>
      </c>
      <c r="C10318" s="0" t="s">
        <v>4819</v>
      </c>
      <c r="E10318" s="0" t="s">
        <v>11</v>
      </c>
      <c r="F10318" s="0" t="s">
        <v>4820</v>
      </c>
    </row>
    <row r="10319" customFormat="false" ht="12.8" hidden="false" customHeight="false" outlineLevel="0" collapsed="false">
      <c r="B10319" s="0" t="s">
        <v>311</v>
      </c>
      <c r="C10319" s="0" t="s">
        <v>4821</v>
      </c>
      <c r="E10319" s="0" t="s">
        <v>523</v>
      </c>
      <c r="F10319" s="0" t="s">
        <v>4822</v>
      </c>
    </row>
    <row r="10321" customFormat="false" ht="12.8" hidden="false" customHeight="false" outlineLevel="0" collapsed="false">
      <c r="A10321" s="0" t="s">
        <v>4823</v>
      </c>
      <c r="B10321" s="0" t="str">
        <f aca="false">HYPERLINK("https://lindat.mff.cuni.cz/services/teitok/pdtc10/index.php?action=vallex&amp;frame=v-w1264f1", "inovovat (v-w1264f1)")</f>
        <v>inovovat (v-w1264f1)</v>
      </c>
      <c r="E10321" s="0" t="str">
        <f aca="false">HYPERLINK("https://lindat.mff.cuni.cz/services/SynSemClass40/SynSemClass40.html?veclass=vec00436#vec00436-ces-cm00015", "vec00436")</f>
        <v>vec00436</v>
      </c>
      <c r="F10321" s="0" t="s">
        <v>82</v>
      </c>
    </row>
    <row r="10322" customFormat="false" ht="12.8" hidden="false" customHeight="false" outlineLevel="0" collapsed="false">
      <c r="B10322" s="0" t="s">
        <v>1</v>
      </c>
      <c r="C10322" s="0" t="s">
        <v>83</v>
      </c>
      <c r="E10322" s="0" t="s">
        <v>84</v>
      </c>
      <c r="F10322" s="0" t="s">
        <v>85</v>
      </c>
    </row>
    <row r="10323" customFormat="false" ht="12.8" hidden="false" customHeight="false" outlineLevel="0" collapsed="false">
      <c r="B10323" s="0" t="s">
        <v>8</v>
      </c>
      <c r="C10323" s="0" t="s">
        <v>86</v>
      </c>
      <c r="E10323" s="0" t="s">
        <v>87</v>
      </c>
      <c r="F10323" s="0" t="s">
        <v>88</v>
      </c>
    </row>
    <row r="10325" customFormat="false" ht="12.8" hidden="false" customHeight="false" outlineLevel="0" collapsed="false">
      <c r="A10325" s="0" t="s">
        <v>4824</v>
      </c>
      <c r="B10325" s="0" t="str">
        <f aca="false">HYPERLINK("https://lindat.mff.cuni.cz/services/teitok/pdtc10/index.php?action=vallex&amp;frame=v-w1267f2", "inscenovat (v-w1267f2)")</f>
        <v>inscenovat (v-w1267f2)</v>
      </c>
    </row>
    <row r="10326" customFormat="false" ht="12.8" hidden="false" customHeight="false" outlineLevel="0" collapsed="false">
      <c r="B10326" s="0" t="s">
        <v>1</v>
      </c>
    </row>
    <row r="10327" customFormat="false" ht="12.8" hidden="false" customHeight="false" outlineLevel="0" collapsed="false">
      <c r="B10327" s="0" t="s">
        <v>8</v>
      </c>
    </row>
    <row r="10328" customFormat="false" ht="12.8" hidden="false" customHeight="false" outlineLevel="0" collapsed="false">
      <c r="B10328" s="0" t="s">
        <v>36</v>
      </c>
    </row>
    <row r="10330" customFormat="false" ht="12.8" hidden="false" customHeight="false" outlineLevel="0" collapsed="false">
      <c r="A10330" s="0" t="s">
        <v>4825</v>
      </c>
      <c r="B10330" s="0" t="str">
        <f aca="false">HYPERLINK("https://lindat.mff.cuni.cz/services/teitok/pdtc10/index.php?action=vallex&amp;frame=v-w1267f1", "inscenovat (v-w1267f1)")</f>
        <v>inscenovat (v-w1267f1)</v>
      </c>
      <c r="E10330" s="0" t="str">
        <f aca="false">HYPERLINK("https://lindat.mff.cuni.cz/services/SynSemClass40/SynSemClass40.html?veclass=vec00611#vec00611-ces-cm00022", "vec00611")</f>
        <v>vec00611</v>
      </c>
      <c r="F10330" s="0" t="s">
        <v>1828</v>
      </c>
    </row>
    <row r="10331" customFormat="false" ht="12.8" hidden="false" customHeight="false" outlineLevel="0" collapsed="false">
      <c r="B10331" s="0" t="s">
        <v>1</v>
      </c>
      <c r="C10331" s="0" t="s">
        <v>1829</v>
      </c>
      <c r="E10331" s="0" t="s">
        <v>1830</v>
      </c>
      <c r="F10331" s="0" t="s">
        <v>1831</v>
      </c>
    </row>
    <row r="10332" customFormat="false" ht="12.8" hidden="false" customHeight="false" outlineLevel="0" collapsed="false">
      <c r="B10332" s="0" t="s">
        <v>8</v>
      </c>
      <c r="C10332" s="0" t="s">
        <v>4002</v>
      </c>
      <c r="E10332" s="0" t="s">
        <v>4634</v>
      </c>
      <c r="F10332" s="0" t="s">
        <v>4635</v>
      </c>
    </row>
    <row r="10334" customFormat="false" ht="12.8" hidden="false" customHeight="false" outlineLevel="0" collapsed="false">
      <c r="A10334" s="0" t="s">
        <v>4826</v>
      </c>
      <c r="B10334" s="0" t="str">
        <f aca="false">HYPERLINK("https://lindat.mff.cuni.cz/services/teitok/pdtc10/index.php?action=vallex&amp;frame=v-w1270f1", "inspirovat (v-w1270f1)")</f>
        <v>inspirovat (v-w1270f1)</v>
      </c>
      <c r="E10334" s="0" t="str">
        <f aca="false">HYPERLINK("https://lindat.mff.cuni.cz/services/SynSemClass40/SynSemClass40.html?veclass=vec00080#vec00080-ces-cm00004", "vec00080")</f>
        <v>vec00080</v>
      </c>
      <c r="F10334" s="0" t="s">
        <v>4827</v>
      </c>
    </row>
    <row r="10335" customFormat="false" ht="12.8" hidden="false" customHeight="false" outlineLevel="0" collapsed="false">
      <c r="B10335" s="0" t="s">
        <v>1</v>
      </c>
      <c r="C10335" s="0" t="s">
        <v>4001</v>
      </c>
      <c r="E10335" s="0" t="s">
        <v>31</v>
      </c>
      <c r="F10335" s="0" t="s">
        <v>4828</v>
      </c>
    </row>
    <row r="10336" customFormat="false" ht="12.8" hidden="false" customHeight="false" outlineLevel="0" collapsed="false">
      <c r="B10336" s="0" t="s">
        <v>8</v>
      </c>
      <c r="C10336" s="0" t="s">
        <v>4829</v>
      </c>
      <c r="E10336" s="0" t="s">
        <v>4202</v>
      </c>
      <c r="F10336" s="0" t="s">
        <v>4830</v>
      </c>
    </row>
    <row r="10338" customFormat="false" ht="12.8" hidden="false" customHeight="false" outlineLevel="0" collapsed="false">
      <c r="A10338" s="0" t="s">
        <v>4831</v>
      </c>
      <c r="B10338" s="0" t="str">
        <f aca="false">HYPERLINK("https://lindat.mff.cuni.cz/services/teitok/pdtc10/index.php?action=vallex&amp;frame=v-w1271f1", "inspirovat se (v-w1271f1)")</f>
        <v>inspirovat se (v-w1271f1)</v>
      </c>
    </row>
    <row r="10339" customFormat="false" ht="12.8" hidden="false" customHeight="false" outlineLevel="0" collapsed="false">
      <c r="B10339" s="0" t="s">
        <v>1</v>
      </c>
    </row>
    <row r="10341" customFormat="false" ht="12.8" hidden="false" customHeight="false" outlineLevel="0" collapsed="false">
      <c r="A10341" s="0" t="s">
        <v>4832</v>
      </c>
      <c r="B10341" s="0" t="str">
        <f aca="false">HYPERLINK("https://lindat.mff.cuni.cz/services/teitok/pdtc10/index.php?action=vallex&amp;frame=v-w1274f1", "instalovat (v-w1274f1)")</f>
        <v>instalovat (v-w1274f1)</v>
      </c>
      <c r="E10341" s="0" t="str">
        <f aca="false">HYPERLINK("https://lindat.mff.cuni.cz/services/SynSemClass40/SynSemClass40.html?veclass=vec00440#vec00440-ces-cm00002", "vec00440")</f>
        <v>vec00440</v>
      </c>
      <c r="F10341" s="0" t="s">
        <v>4833</v>
      </c>
    </row>
    <row r="10342" customFormat="false" ht="12.8" hidden="false" customHeight="false" outlineLevel="0" collapsed="false">
      <c r="B10342" s="0" t="s">
        <v>1</v>
      </c>
      <c r="C10342" s="0" t="s">
        <v>4834</v>
      </c>
      <c r="E10342" s="0" t="s">
        <v>31</v>
      </c>
      <c r="F10342" s="0" t="s">
        <v>4835</v>
      </c>
    </row>
    <row r="10343" customFormat="false" ht="12.8" hidden="false" customHeight="false" outlineLevel="0" collapsed="false">
      <c r="B10343" s="0" t="s">
        <v>8</v>
      </c>
      <c r="C10343" s="0" t="s">
        <v>490</v>
      </c>
      <c r="E10343" s="0" t="s">
        <v>1569</v>
      </c>
      <c r="F10343" s="0" t="s">
        <v>4836</v>
      </c>
    </row>
    <row r="10345" customFormat="false" ht="12.8" hidden="false" customHeight="false" outlineLevel="0" collapsed="false">
      <c r="A10345" s="0" t="s">
        <v>4837</v>
      </c>
      <c r="B10345" s="0" t="str">
        <f aca="false">HYPERLINK("https://lindat.mff.cuni.cz/services/teitok/pdtc10/index.php?action=vallex&amp;frame=v-w1276f1", "institucionalizovat (v-w1276f1)")</f>
        <v>institucionalizovat (v-w1276f1)</v>
      </c>
    </row>
    <row r="10346" customFormat="false" ht="12.8" hidden="false" customHeight="false" outlineLevel="0" collapsed="false">
      <c r="B10346" s="0" t="s">
        <v>1</v>
      </c>
    </row>
    <row r="10347" customFormat="false" ht="12.8" hidden="false" customHeight="false" outlineLevel="0" collapsed="false">
      <c r="B10347" s="0" t="s">
        <v>8</v>
      </c>
    </row>
    <row r="10349" customFormat="false" ht="12.8" hidden="false" customHeight="false" outlineLevel="0" collapsed="false">
      <c r="A10349" s="0" t="s">
        <v>4838</v>
      </c>
      <c r="B10349" s="0" t="str">
        <f aca="false">HYPERLINK("https://lindat.mff.cuni.cz/services/teitok/pdtc10/index.php?action=vallex&amp;frame=v-w1279f1", "instruovat (v-w1279f1)")</f>
        <v>instruovat (v-w1279f1)</v>
      </c>
      <c r="E10349" s="0" t="str">
        <f aca="false">HYPERLINK("https://lindat.mff.cuni.cz/services/SynSemClass40/SynSemClass40.html?veclass=vec00827#vec00827-ces-cm00001", "vec00827")</f>
        <v>vec00827</v>
      </c>
      <c r="F10349" s="0" t="s">
        <v>4839</v>
      </c>
    </row>
    <row r="10350" customFormat="false" ht="12.8" hidden="false" customHeight="false" outlineLevel="0" collapsed="false">
      <c r="B10350" s="0" t="s">
        <v>1</v>
      </c>
      <c r="C10350" s="0" t="s">
        <v>4840</v>
      </c>
      <c r="E10350" s="0" t="s">
        <v>206</v>
      </c>
      <c r="F10350" s="0" t="s">
        <v>4841</v>
      </c>
    </row>
    <row r="10351" customFormat="false" ht="12.8" hidden="false" customHeight="false" outlineLevel="0" collapsed="false">
      <c r="B10351" s="0" t="s">
        <v>4842</v>
      </c>
      <c r="C10351" s="0" t="s">
        <v>4843</v>
      </c>
      <c r="E10351" s="0" t="s">
        <v>218</v>
      </c>
      <c r="F10351" s="0" t="s">
        <v>4844</v>
      </c>
    </row>
    <row r="10352" customFormat="false" ht="12.8" hidden="false" customHeight="false" outlineLevel="0" collapsed="false">
      <c r="B10352" s="0" t="s">
        <v>98</v>
      </c>
      <c r="C10352" s="0" t="s">
        <v>4845</v>
      </c>
      <c r="E10352" s="0" t="s">
        <v>564</v>
      </c>
      <c r="F10352" s="0" t="s">
        <v>4846</v>
      </c>
    </row>
    <row r="10354" customFormat="false" ht="12.8" hidden="false" customHeight="false" outlineLevel="0" collapsed="false">
      <c r="A10354" s="0" t="s">
        <v>4847</v>
      </c>
      <c r="B10354" s="0" t="str">
        <f aca="false">HYPERLINK("https://lindat.mff.cuni.cz/services/teitok/pdtc10/index.php?action=vallex&amp;frame=v-w11821_ZUf1_ZU", "intarzovat (v-w11821_ZUf1_ZU)")</f>
        <v>intarzovat (v-w11821_ZUf1_ZU)</v>
      </c>
    </row>
    <row r="10355" customFormat="false" ht="12.8" hidden="false" customHeight="false" outlineLevel="0" collapsed="false">
      <c r="B10355" s="0" t="s">
        <v>1</v>
      </c>
    </row>
    <row r="10356" customFormat="false" ht="12.8" hidden="false" customHeight="false" outlineLevel="0" collapsed="false">
      <c r="B10356" s="0" t="s">
        <v>8</v>
      </c>
    </row>
    <row r="10358" customFormat="false" ht="12.8" hidden="false" customHeight="false" outlineLevel="0" collapsed="false">
      <c r="A10358" s="0" t="s">
        <v>4848</v>
      </c>
      <c r="B10358" s="0" t="str">
        <f aca="false">HYPERLINK("https://lindat.mff.cuni.cz/services/teitok/pdtc10/index.php?action=vallex&amp;frame=v-w1281f1", "integrovat (v-w1281f1)")</f>
        <v>integrovat (v-w1281f1)</v>
      </c>
      <c r="E10358" s="0" t="str">
        <f aca="false">HYPERLINK("https://lindat.mff.cuni.cz/services/SynSemClass40/SynSemClass40.html?veclass=vec00723#vec00723-ces-cm00106", "vec00723")</f>
        <v>vec00723</v>
      </c>
      <c r="F10358" s="0" t="s">
        <v>4849</v>
      </c>
    </row>
    <row r="10359" customFormat="false" ht="12.8" hidden="false" customHeight="false" outlineLevel="0" collapsed="false">
      <c r="B10359" s="0" t="s">
        <v>1</v>
      </c>
      <c r="C10359" s="0" t="s">
        <v>106</v>
      </c>
      <c r="E10359" s="0" t="s">
        <v>4850</v>
      </c>
      <c r="F10359" s="0" t="s">
        <v>4851</v>
      </c>
    </row>
    <row r="10360" customFormat="false" ht="12.8" hidden="false" customHeight="false" outlineLevel="0" collapsed="false">
      <c r="B10360" s="0" t="s">
        <v>8</v>
      </c>
      <c r="C10360" s="0" t="s">
        <v>1388</v>
      </c>
      <c r="E10360" s="0" t="s">
        <v>4852</v>
      </c>
      <c r="F10360" s="0" t="s">
        <v>4853</v>
      </c>
    </row>
    <row r="10361" customFormat="false" ht="12.8" hidden="false" customHeight="false" outlineLevel="0" collapsed="false">
      <c r="B10361" s="0" t="s">
        <v>3205</v>
      </c>
      <c r="C10361" s="0" t="s">
        <v>4854</v>
      </c>
      <c r="E10361" s="0" t="s">
        <v>4855</v>
      </c>
      <c r="F10361" s="0" t="s">
        <v>4856</v>
      </c>
    </row>
    <row r="10362" customFormat="false" ht="12.8" hidden="false" customHeight="false" outlineLevel="0" collapsed="false">
      <c r="B10362" s="0" t="s">
        <v>3026</v>
      </c>
      <c r="C10362" s="0" t="s">
        <v>4857</v>
      </c>
      <c r="E10362" s="0" t="s">
        <v>4858</v>
      </c>
      <c r="F10362" s="0" t="s">
        <v>4859</v>
      </c>
    </row>
    <row r="10364" customFormat="false" ht="12.8" hidden="false" customHeight="false" outlineLevel="0" collapsed="false">
      <c r="A10364" s="0" t="s">
        <v>4860</v>
      </c>
      <c r="B10364" s="0" t="str">
        <f aca="false">HYPERLINK("https://lindat.mff.cuni.cz/services/teitok/pdtc10/index.php?action=vallex&amp;frame=v-w11656_ZUf1_ZU", "integrovat se (v-w11656_ZUf1_ZU)")</f>
        <v>integrovat se (v-w11656_ZUf1_ZU)</v>
      </c>
      <c r="E10364" s="0" t="str">
        <f aca="false">HYPERLINK("https://lindat.mff.cuni.cz/services/SynSemClass40/SynSemClass40.html?veclass=vec00175#vec00175-ces-cm00085", "vec00175")</f>
        <v>vec00175</v>
      </c>
      <c r="F10364" s="0" t="s">
        <v>4861</v>
      </c>
    </row>
    <row r="10365" customFormat="false" ht="12.8" hidden="false" customHeight="false" outlineLevel="0" collapsed="false">
      <c r="B10365" s="0" t="s">
        <v>1</v>
      </c>
      <c r="C10365" s="0" t="s">
        <v>4862</v>
      </c>
      <c r="E10365" s="0" t="s">
        <v>4863</v>
      </c>
      <c r="F10365" s="0" t="s">
        <v>4864</v>
      </c>
    </row>
    <row r="10366" customFormat="false" ht="12.8" hidden="false" customHeight="false" outlineLevel="0" collapsed="false">
      <c r="B10366" s="0" t="s">
        <v>454</v>
      </c>
      <c r="C10366" s="0" t="s">
        <v>4865</v>
      </c>
      <c r="E10366" s="0" t="s">
        <v>4866</v>
      </c>
      <c r="F10366" s="0" t="s">
        <v>4867</v>
      </c>
    </row>
    <row r="10368" customFormat="false" ht="12.8" hidden="false" customHeight="false" outlineLevel="0" collapsed="false">
      <c r="A10368" s="0" t="s">
        <v>4868</v>
      </c>
      <c r="B10368" s="0" t="str">
        <f aca="false">HYPERLINK("https://lindat.mff.cuni.cz/services/teitok/pdtc10/index.php?action=vallex&amp;frame=v-whsa_1931hsa_1932", "interagovat (v-whsa_1931hsa_1932)")</f>
        <v>interagovat (v-whsa_1931hsa_1932)</v>
      </c>
    </row>
    <row r="10369" customFormat="false" ht="12.8" hidden="false" customHeight="false" outlineLevel="0" collapsed="false">
      <c r="B10369" s="0" t="s">
        <v>1</v>
      </c>
    </row>
    <row r="10370" customFormat="false" ht="12.8" hidden="false" customHeight="false" outlineLevel="0" collapsed="false">
      <c r="B10370" s="0" t="s">
        <v>721</v>
      </c>
    </row>
    <row r="10372" customFormat="false" ht="12.8" hidden="false" customHeight="false" outlineLevel="0" collapsed="false">
      <c r="A10372" s="0" t="s">
        <v>4869</v>
      </c>
      <c r="B10372" s="0" t="str">
        <f aca="false">HYPERLINK("https://lindat.mff.cuni.cz/services/teitok/pdtc10/index.php?action=vallex&amp;frame=v-w1287f1", "internacionalizovat (v-w1287f1)")</f>
        <v>internacionalizovat (v-w1287f1)</v>
      </c>
    </row>
    <row r="10373" customFormat="false" ht="12.8" hidden="false" customHeight="false" outlineLevel="0" collapsed="false">
      <c r="B10373" s="0" t="s">
        <v>1</v>
      </c>
    </row>
    <row r="10374" customFormat="false" ht="12.8" hidden="false" customHeight="false" outlineLevel="0" collapsed="false">
      <c r="B10374" s="0" t="s">
        <v>8</v>
      </c>
    </row>
    <row r="10376" customFormat="false" ht="12.8" hidden="false" customHeight="false" outlineLevel="0" collapsed="false">
      <c r="A10376" s="0" t="s">
        <v>4870</v>
      </c>
      <c r="B10376" s="0" t="str">
        <f aca="false">HYPERLINK("https://lindat.mff.cuni.cz/services/teitok/pdtc10/index.php?action=vallex&amp;frame=v-w1288f1", "internalizovat (v-w1288f1)")</f>
        <v>internalizovat (v-w1288f1)</v>
      </c>
    </row>
    <row r="10377" customFormat="false" ht="12.8" hidden="false" customHeight="false" outlineLevel="0" collapsed="false">
      <c r="B10377" s="0" t="s">
        <v>1</v>
      </c>
    </row>
    <row r="10378" customFormat="false" ht="12.8" hidden="false" customHeight="false" outlineLevel="0" collapsed="false">
      <c r="B10378" s="0" t="s">
        <v>8</v>
      </c>
    </row>
    <row r="10380" customFormat="false" ht="12.8" hidden="false" customHeight="false" outlineLevel="0" collapsed="false">
      <c r="A10380" s="0" t="s">
        <v>4871</v>
      </c>
      <c r="B10380" s="0" t="str">
        <f aca="false">HYPERLINK("https://lindat.mff.cuni.cz/services/teitok/pdtc10/index.php?action=vallex&amp;frame=v-w1289f1", "internovat (v-w1289f1)")</f>
        <v>internovat (v-w1289f1)</v>
      </c>
    </row>
    <row r="10381" customFormat="false" ht="12.8" hidden="false" customHeight="false" outlineLevel="0" collapsed="false">
      <c r="B10381" s="0" t="s">
        <v>1</v>
      </c>
    </row>
    <row r="10382" customFormat="false" ht="12.8" hidden="false" customHeight="false" outlineLevel="0" collapsed="false">
      <c r="B10382" s="0" t="s">
        <v>8</v>
      </c>
    </row>
    <row r="10384" customFormat="false" ht="12.8" hidden="false" customHeight="false" outlineLevel="0" collapsed="false">
      <c r="A10384" s="0" t="s">
        <v>4872</v>
      </c>
      <c r="B10384" s="0" t="str">
        <f aca="false">HYPERLINK("https://lindat.mff.cuni.cz/services/teitok/pdtc10/index.php?action=vallex&amp;frame=v-w1291f1", "interpelovat (v-w1291f1)")</f>
        <v>interpelovat (v-w1291f1)</v>
      </c>
    </row>
    <row r="10385" customFormat="false" ht="12.8" hidden="false" customHeight="false" outlineLevel="0" collapsed="false">
      <c r="B10385" s="0" t="s">
        <v>1</v>
      </c>
    </row>
    <row r="10386" customFormat="false" ht="12.8" hidden="false" customHeight="false" outlineLevel="0" collapsed="false">
      <c r="B10386" s="0" t="s">
        <v>8</v>
      </c>
    </row>
    <row r="10388" customFormat="false" ht="12.8" hidden="false" customHeight="false" outlineLevel="0" collapsed="false">
      <c r="A10388" s="0" t="s">
        <v>4873</v>
      </c>
      <c r="B10388" s="0" t="str">
        <f aca="false">HYPERLINK("https://lindat.mff.cuni.cz/services/teitok/pdtc10/index.php?action=vallex&amp;frame=v-w1295f1", "interpretovat (v-w1295f1)")</f>
        <v>interpretovat (v-w1295f1)</v>
      </c>
      <c r="E10388" s="0" t="str">
        <f aca="false">HYPERLINK("https://lindat.mff.cuni.cz/services/SynSemClass40/SynSemClass40.html?veclass=vec00402#vec00402-ces-cm00028", "vec00402")</f>
        <v>vec00402</v>
      </c>
      <c r="F10388" s="0" t="s">
        <v>619</v>
      </c>
    </row>
    <row r="10389" customFormat="false" ht="12.8" hidden="false" customHeight="false" outlineLevel="0" collapsed="false">
      <c r="B10389" s="0" t="s">
        <v>1</v>
      </c>
      <c r="C10389" s="0" t="s">
        <v>620</v>
      </c>
      <c r="E10389" s="0" t="s">
        <v>621</v>
      </c>
      <c r="F10389" s="0" t="s">
        <v>622</v>
      </c>
    </row>
    <row r="10390" customFormat="false" ht="12.8" hidden="false" customHeight="false" outlineLevel="0" collapsed="false">
      <c r="B10390" s="0" t="s">
        <v>8</v>
      </c>
      <c r="C10390" s="0" t="s">
        <v>623</v>
      </c>
      <c r="E10390" s="0" t="s">
        <v>180</v>
      </c>
      <c r="F10390" s="0" t="s">
        <v>624</v>
      </c>
    </row>
    <row r="10392" customFormat="false" ht="12.8" hidden="false" customHeight="false" outlineLevel="0" collapsed="false">
      <c r="A10392" s="0" t="s">
        <v>4874</v>
      </c>
      <c r="B10392" s="0" t="str">
        <f aca="false">HYPERLINK("https://lindat.mff.cuni.cz/services/teitok/pdtc10/index.php?action=vallex&amp;frame=v-w1298f1", "intervenovat (v-w1298f1)")</f>
        <v>intervenovat (v-w1298f1)</v>
      </c>
      <c r="E10392" s="0" t="str">
        <f aca="false">HYPERLINK("https://lindat.mff.cuni.cz/services/SynSemClass40/SynSemClass40.html?veclass=vec00069#vec00069-ces-cm00269", "vec00069")</f>
        <v>vec00069</v>
      </c>
      <c r="F10392" s="0" t="s">
        <v>4300</v>
      </c>
      <c r="H10392" s="0" t="str">
        <f aca="false">HYPERLINK("https://lindat.mff.cuni.cz/services/SynSemClass40/SynSemClass40.html?veclass=vec00774#vec00774-ces-cm00009", "vec00774")</f>
        <v>vec00774</v>
      </c>
      <c r="I10392" s="0" t="s">
        <v>4875</v>
      </c>
    </row>
    <row r="10393" customFormat="false" ht="12.8" hidden="false" customHeight="false" outlineLevel="0" collapsed="false">
      <c r="B10393" s="0" t="s">
        <v>1</v>
      </c>
      <c r="C10393" s="0" t="s">
        <v>4876</v>
      </c>
      <c r="E10393" s="0" t="s">
        <v>3021</v>
      </c>
      <c r="F10393" s="0" t="s">
        <v>4302</v>
      </c>
      <c r="H10393" s="0" t="s">
        <v>206</v>
      </c>
      <c r="I10393" s="0" t="s">
        <v>4877</v>
      </c>
    </row>
    <row r="10394" customFormat="false" ht="12.8" hidden="false" customHeight="false" outlineLevel="0" collapsed="false">
      <c r="B10394" s="0" t="s">
        <v>4878</v>
      </c>
      <c r="C10394" s="0" t="s">
        <v>4879</v>
      </c>
      <c r="E10394" s="0" t="s">
        <v>3023</v>
      </c>
      <c r="F10394" s="0" t="s">
        <v>4305</v>
      </c>
      <c r="H10394" s="0" t="s">
        <v>532</v>
      </c>
      <c r="I10394" s="0" t="s">
        <v>4880</v>
      </c>
    </row>
    <row r="10396" customFormat="false" ht="12.8" hidden="false" customHeight="false" outlineLevel="0" collapsed="false">
      <c r="A10396" s="0" t="s">
        <v>4881</v>
      </c>
      <c r="B10396" s="0" t="str">
        <f aca="false">HYPERLINK("https://lindat.mff.cuni.cz/services/teitok/pdtc10/index.php?action=vallex&amp;frame=v-w1301f1", "intrikovat (v-w1301f1)")</f>
        <v>intrikovat (v-w1301f1)</v>
      </c>
    </row>
    <row r="10397" customFormat="false" ht="12.8" hidden="false" customHeight="false" outlineLevel="0" collapsed="false">
      <c r="B10397" s="0" t="s">
        <v>1</v>
      </c>
    </row>
    <row r="10399" customFormat="false" ht="12.8" hidden="false" customHeight="false" outlineLevel="0" collapsed="false">
      <c r="A10399" s="0" t="s">
        <v>4882</v>
      </c>
      <c r="B10399" s="0" t="str">
        <f aca="false">HYPERLINK("https://lindat.mff.cuni.cz/services/teitok/pdtc10/index.php?action=vallex&amp;frame=v-w1307f1", "inventarizovat (v-w1307f1)")</f>
        <v>inventarizovat (v-w1307f1)</v>
      </c>
    </row>
    <row r="10400" customFormat="false" ht="12.8" hidden="false" customHeight="false" outlineLevel="0" collapsed="false">
      <c r="B10400" s="0" t="s">
        <v>1</v>
      </c>
    </row>
    <row r="10401" customFormat="false" ht="12.8" hidden="false" customHeight="false" outlineLevel="0" collapsed="false">
      <c r="B10401" s="0" t="s">
        <v>8</v>
      </c>
    </row>
    <row r="10403" customFormat="false" ht="12.8" hidden="false" customHeight="false" outlineLevel="0" collapsed="false">
      <c r="A10403" s="0" t="s">
        <v>4883</v>
      </c>
      <c r="B10403" s="0" t="str">
        <f aca="false">HYPERLINK("https://lindat.mff.cuni.cz/services/teitok/pdtc10/index.php?action=vallex&amp;frame=v-w1312f1", "investovat (v-w1312f1)")</f>
        <v>investovat (v-w1312f1)</v>
      </c>
      <c r="E10403" s="0" t="str">
        <f aca="false">HYPERLINK("https://lindat.mff.cuni.cz/services/SynSemClass40/SynSemClass40.html?veclass=vec00147#vec00147-ces-cm00003", "vec00147")</f>
        <v>vec00147</v>
      </c>
      <c r="F10403" s="0" t="s">
        <v>1698</v>
      </c>
    </row>
    <row r="10404" customFormat="false" ht="12.8" hidden="false" customHeight="false" outlineLevel="0" collapsed="false">
      <c r="B10404" s="0" t="s">
        <v>1</v>
      </c>
      <c r="C10404" s="0" t="s">
        <v>1699</v>
      </c>
      <c r="E10404" s="0" t="s">
        <v>11</v>
      </c>
      <c r="F10404" s="0" t="s">
        <v>1700</v>
      </c>
    </row>
    <row r="10405" customFormat="false" ht="12.8" hidden="false" customHeight="false" outlineLevel="0" collapsed="false">
      <c r="B10405" s="0" t="s">
        <v>8</v>
      </c>
      <c r="C10405" s="0" t="s">
        <v>1701</v>
      </c>
      <c r="E10405" s="0" t="s">
        <v>1702</v>
      </c>
      <c r="F10405" s="0" t="s">
        <v>1703</v>
      </c>
    </row>
    <row r="10406" customFormat="false" ht="12.8" hidden="false" customHeight="false" outlineLevel="0" collapsed="false">
      <c r="B10406" s="0" t="s">
        <v>723</v>
      </c>
      <c r="C10406" s="0" t="s">
        <v>3417</v>
      </c>
      <c r="E10406" s="0" t="s">
        <v>3418</v>
      </c>
      <c r="F10406" s="0" t="s">
        <v>3419</v>
      </c>
    </row>
    <row r="10408" customFormat="false" ht="12.8" hidden="false" customHeight="false" outlineLevel="0" collapsed="false">
      <c r="A10408" s="0" t="s">
        <v>4884</v>
      </c>
      <c r="B10408" s="0" t="str">
        <f aca="false">HYPERLINK("https://lindat.mff.cuni.cz/services/teitok/pdtc10/index.php?action=vallex&amp;frame=v-w1312hsa_1007", "investovat (v-w1312hsa_1007)")</f>
        <v>investovat (v-w1312hsa_1007)</v>
      </c>
      <c r="E10408" s="0" t="str">
        <f aca="false">HYPERLINK("https://lindat.mff.cuni.cz/services/SynSemClass40/SynSemClass40.html?veclass=vec00147#vec00147-ces-cm00004", "vec00147")</f>
        <v>vec00147</v>
      </c>
      <c r="F10408" s="0" t="s">
        <v>1698</v>
      </c>
    </row>
    <row r="10409" customFormat="false" ht="12.8" hidden="false" customHeight="false" outlineLevel="0" collapsed="false">
      <c r="B10409" s="0" t="s">
        <v>1</v>
      </c>
      <c r="C10409" s="0" t="s">
        <v>1699</v>
      </c>
      <c r="E10409" s="0" t="s">
        <v>11</v>
      </c>
      <c r="F10409" s="0" t="s">
        <v>1700</v>
      </c>
    </row>
    <row r="10410" customFormat="false" ht="12.8" hidden="false" customHeight="false" outlineLevel="0" collapsed="false">
      <c r="B10410" s="0" t="s">
        <v>8</v>
      </c>
      <c r="C10410" s="0" t="s">
        <v>1701</v>
      </c>
      <c r="E10410" s="0" t="s">
        <v>1702</v>
      </c>
      <c r="F10410" s="0" t="s">
        <v>1703</v>
      </c>
    </row>
    <row r="10411" customFormat="false" ht="12.8" hidden="false" customHeight="false" outlineLevel="0" collapsed="false">
      <c r="B10411" s="0" t="s">
        <v>4885</v>
      </c>
      <c r="C10411" s="0" t="s">
        <v>3417</v>
      </c>
      <c r="E10411" s="0" t="s">
        <v>3418</v>
      </c>
      <c r="F10411" s="0" t="s">
        <v>3419</v>
      </c>
    </row>
    <row r="10413" customFormat="false" ht="12.8" hidden="false" customHeight="false" outlineLevel="0" collapsed="false">
      <c r="A10413" s="0" t="s">
        <v>4886</v>
      </c>
      <c r="B10413" s="0" t="str">
        <f aca="false">HYPERLINK("https://lindat.mff.cuni.cz/services/teitok/pdtc10/index.php?action=vallex&amp;frame=v-w1314f1", "inzerovat (v-w1314f1)")</f>
        <v>inzerovat (v-w1314f1)</v>
      </c>
      <c r="E10413" s="0" t="str">
        <f aca="false">HYPERLINK("https://lindat.mff.cuni.cz/services/SynSemClass40/SynSemClass40.html?veclass=vec01028#vec01028-ces-cm00001", "vec01028")</f>
        <v>vec01028</v>
      </c>
      <c r="F10413" s="0" t="s">
        <v>4887</v>
      </c>
    </row>
    <row r="10414" customFormat="false" ht="12.8" hidden="false" customHeight="false" outlineLevel="0" collapsed="false">
      <c r="B10414" s="0" t="s">
        <v>1</v>
      </c>
      <c r="C10414" s="0" t="s">
        <v>447</v>
      </c>
      <c r="E10414" s="0" t="s">
        <v>4888</v>
      </c>
      <c r="F10414" s="0" t="s">
        <v>4889</v>
      </c>
    </row>
    <row r="10415" customFormat="false" ht="12.8" hidden="false" customHeight="false" outlineLevel="0" collapsed="false">
      <c r="B10415" s="0" t="s">
        <v>59</v>
      </c>
      <c r="E10415" s="0" t="s">
        <v>4890</v>
      </c>
      <c r="F10415" s="0" t="s">
        <v>4891</v>
      </c>
    </row>
    <row r="10417" customFormat="false" ht="12.8" hidden="false" customHeight="false" outlineLevel="0" collapsed="false">
      <c r="A10417" s="0" t="s">
        <v>4892</v>
      </c>
      <c r="B10417" s="0" t="str">
        <f aca="false">HYPERLINK("https://lindat.mff.cuni.cz/services/teitok/pdtc10/index.php?action=vallex&amp;frame=v-w1315f1", "iritovat (v-w1315f1)")</f>
        <v>iritovat (v-w1315f1)</v>
      </c>
    </row>
    <row r="10418" customFormat="false" ht="12.8" hidden="false" customHeight="false" outlineLevel="0" collapsed="false">
      <c r="B10418" s="0" t="s">
        <v>1</v>
      </c>
    </row>
    <row r="10419" customFormat="false" ht="12.8" hidden="false" customHeight="false" outlineLevel="0" collapsed="false">
      <c r="B10419" s="0" t="s">
        <v>8</v>
      </c>
    </row>
    <row r="10421" customFormat="false" ht="12.8" hidden="false" customHeight="false" outlineLevel="0" collapsed="false">
      <c r="A10421" s="0" t="s">
        <v>4893</v>
      </c>
      <c r="B10421" s="0" t="str">
        <f aca="false">HYPERLINK("https://lindat.mff.cuni.cz/services/teitok/pdtc10/index.php?action=vallex&amp;frame=v-w1317f1", "izolovat (v-w1317f1)")</f>
        <v>izolovat (v-w1317f1)</v>
      </c>
      <c r="E10421" s="0" t="str">
        <f aca="false">HYPERLINK("https://lindat.mff.cuni.cz/services/SynSemClass40/SynSemClass40.html?veclass=vec00047#vec00047-ces-cm00023", "vec00047")</f>
        <v>vec00047</v>
      </c>
      <c r="F10421" s="0" t="s">
        <v>4894</v>
      </c>
    </row>
    <row r="10422" customFormat="false" ht="12.8" hidden="false" customHeight="false" outlineLevel="0" collapsed="false">
      <c r="B10422" s="0" t="s">
        <v>1</v>
      </c>
      <c r="C10422" s="0" t="s">
        <v>4895</v>
      </c>
      <c r="E10422" s="0" t="s">
        <v>31</v>
      </c>
      <c r="F10422" s="0" t="s">
        <v>4896</v>
      </c>
    </row>
    <row r="10423" customFormat="false" ht="12.8" hidden="false" customHeight="false" outlineLevel="0" collapsed="false">
      <c r="B10423" s="0" t="s">
        <v>8</v>
      </c>
      <c r="C10423" s="0" t="s">
        <v>4897</v>
      </c>
      <c r="E10423" s="0" t="s">
        <v>4852</v>
      </c>
      <c r="F10423" s="0" t="s">
        <v>4898</v>
      </c>
    </row>
    <row r="10424" customFormat="false" ht="12.8" hidden="false" customHeight="false" outlineLevel="0" collapsed="false">
      <c r="B10424" s="0" t="s">
        <v>602</v>
      </c>
      <c r="C10424" s="0" t="s">
        <v>4899</v>
      </c>
      <c r="E10424" s="0" t="s">
        <v>4900</v>
      </c>
      <c r="F10424" s="0" t="s">
        <v>4901</v>
      </c>
    </row>
    <row r="10426" customFormat="false" ht="12.8" hidden="false" customHeight="false" outlineLevel="0" collapsed="false">
      <c r="A10426" s="0" t="s">
        <v>4902</v>
      </c>
      <c r="B10426" s="0" t="str">
        <f aca="false">HYPERLINK("https://lindat.mff.cuni.cz/services/teitok/pdtc10/index.php?action=vallex&amp;frame=v-w1317hsa_617", "izolovat (v-w1317hsa_617)")</f>
        <v>izolovat (v-w1317hsa_617)</v>
      </c>
      <c r="E10426" s="0" t="str">
        <f aca="false">HYPERLINK("https://lindat.mff.cuni.cz/services/SynSemClass40/SynSemClass40.html?veclass=vec00024#vec00024-ces-cm00036", "vec00024")</f>
        <v>vec00024</v>
      </c>
      <c r="F10426" s="0" t="s">
        <v>580</v>
      </c>
    </row>
    <row r="10427" customFormat="false" ht="12.8" hidden="false" customHeight="false" outlineLevel="0" collapsed="false">
      <c r="B10427" s="0" t="s">
        <v>1</v>
      </c>
      <c r="C10427" s="0" t="s">
        <v>4903</v>
      </c>
      <c r="E10427" s="0" t="s">
        <v>569</v>
      </c>
      <c r="F10427" s="0" t="s">
        <v>1472</v>
      </c>
    </row>
    <row r="10428" customFormat="false" ht="12.8" hidden="false" customHeight="false" outlineLevel="0" collapsed="false">
      <c r="B10428" s="0" t="s">
        <v>8</v>
      </c>
      <c r="C10428" s="0" t="s">
        <v>4904</v>
      </c>
      <c r="E10428" s="0" t="s">
        <v>34</v>
      </c>
      <c r="F10428" s="0" t="s">
        <v>1475</v>
      </c>
    </row>
    <row r="10430" customFormat="false" ht="12.8" hidden="false" customHeight="false" outlineLevel="0" collapsed="false">
      <c r="A10430" s="0" t="s">
        <v>4905</v>
      </c>
      <c r="B10430" s="0" t="str">
        <f aca="false">HYPERLINK("https://lindat.mff.cuni.cz/services/teitok/pdtc10/index.php?action=vallex&amp;frame=v-w1323f1", "jednat (v-w1323f1)")</f>
        <v>jednat (v-w1323f1)</v>
      </c>
      <c r="E10430" s="0" t="str">
        <f aca="false">HYPERLINK("https://lindat.mff.cuni.cz/services/SynSemClass40/SynSemClass40.html?veclass=vec00162#vec00162-ces-cm00007", "vec00162")</f>
        <v>vec00162</v>
      </c>
      <c r="F10430" s="0" t="s">
        <v>1109</v>
      </c>
    </row>
    <row r="10431" customFormat="false" ht="12.8" hidden="false" customHeight="false" outlineLevel="0" collapsed="false">
      <c r="B10431" s="0" t="s">
        <v>1</v>
      </c>
      <c r="C10431" s="0" t="s">
        <v>2240</v>
      </c>
      <c r="E10431" s="0" t="s">
        <v>2241</v>
      </c>
      <c r="F10431" s="0" t="s">
        <v>2242</v>
      </c>
    </row>
    <row r="10432" customFormat="false" ht="12.8" hidden="false" customHeight="false" outlineLevel="0" collapsed="false">
      <c r="B10432" s="0" t="s">
        <v>4906</v>
      </c>
      <c r="C10432" s="0" t="s">
        <v>2244</v>
      </c>
      <c r="E10432" s="0" t="s">
        <v>209</v>
      </c>
      <c r="F10432" s="0" t="s">
        <v>2245</v>
      </c>
    </row>
    <row r="10433" customFormat="false" ht="12.8" hidden="false" customHeight="false" outlineLevel="0" collapsed="false">
      <c r="B10433" s="0" t="s">
        <v>276</v>
      </c>
      <c r="C10433" s="0" t="s">
        <v>2246</v>
      </c>
      <c r="E10433" s="0" t="s">
        <v>2247</v>
      </c>
      <c r="F10433" s="0" t="s">
        <v>2248</v>
      </c>
    </row>
    <row r="10435" customFormat="false" ht="12.8" hidden="false" customHeight="false" outlineLevel="0" collapsed="false">
      <c r="A10435" s="0" t="s">
        <v>4907</v>
      </c>
      <c r="B10435" s="0" t="str">
        <f aca="false">HYPERLINK("https://lindat.mff.cuni.cz/services/teitok/pdtc10/index.php?action=vallex&amp;frame=v-w1323f4", "jednat (v-w1323f4)")</f>
        <v>jednat (v-w1323f4)</v>
      </c>
    </row>
    <row r="10436" customFormat="false" ht="12.8" hidden="false" customHeight="false" outlineLevel="0" collapsed="false">
      <c r="B10436" s="0" t="s">
        <v>1</v>
      </c>
    </row>
    <row r="10437" customFormat="false" ht="12.8" hidden="false" customHeight="false" outlineLevel="0" collapsed="false">
      <c r="B10437" s="0" t="s">
        <v>318</v>
      </c>
    </row>
    <row r="10439" customFormat="false" ht="12.8" hidden="false" customHeight="false" outlineLevel="0" collapsed="false">
      <c r="A10439" s="0" t="s">
        <v>4908</v>
      </c>
      <c r="B10439" s="0" t="str">
        <f aca="false">HYPERLINK("https://lindat.mff.cuni.cz/services/teitok/pdtc10/index.php?action=vallex&amp;frame=v-w1323f3", "jednat (v-w1323f3)")</f>
        <v>jednat (v-w1323f3)</v>
      </c>
    </row>
    <row r="10440" customFormat="false" ht="12.8" hidden="false" customHeight="false" outlineLevel="0" collapsed="false">
      <c r="B10440" s="0" t="s">
        <v>1</v>
      </c>
    </row>
    <row r="10441" customFormat="false" ht="12.8" hidden="false" customHeight="false" outlineLevel="0" collapsed="false">
      <c r="B10441" s="0" t="s">
        <v>721</v>
      </c>
    </row>
    <row r="10442" customFormat="false" ht="12.8" hidden="false" customHeight="false" outlineLevel="0" collapsed="false">
      <c r="B10442" s="0" t="s">
        <v>642</v>
      </c>
    </row>
    <row r="10443" customFormat="false" ht="12.8" hidden="false" customHeight="false" outlineLevel="0" collapsed="false">
      <c r="B10443" s="0" t="s">
        <v>648</v>
      </c>
    </row>
    <row r="10444" customFormat="false" ht="12.8" hidden="false" customHeight="false" outlineLevel="0" collapsed="false">
      <c r="B10444" s="0" t="s">
        <v>650</v>
      </c>
    </row>
    <row r="10445" customFormat="false" ht="12.8" hidden="false" customHeight="false" outlineLevel="0" collapsed="false">
      <c r="B10445" s="0" t="s">
        <v>652</v>
      </c>
    </row>
    <row r="10447" customFormat="false" ht="12.8" hidden="false" customHeight="false" outlineLevel="0" collapsed="false">
      <c r="A10447" s="0" t="s">
        <v>4909</v>
      </c>
      <c r="B10447" s="0" t="str">
        <f aca="false">HYPERLINK("https://lindat.mff.cuni.cz/services/teitok/pdtc10/index.php?action=vallex&amp;frame=v-w1323f2", "jednat (v-w1323f2)")</f>
        <v>jednat (v-w1323f2)</v>
      </c>
      <c r="E10447" s="0" t="str">
        <f aca="false">HYPERLINK("https://lindat.mff.cuni.cz/services/SynSemClass40/SynSemClass40.html?veclass=vec00225#vec00225-ces-cm00001", "vec00225")</f>
        <v>vec00225</v>
      </c>
      <c r="F10447" s="0" t="s">
        <v>1453</v>
      </c>
    </row>
    <row r="10448" customFormat="false" ht="12.8" hidden="false" customHeight="false" outlineLevel="0" collapsed="false">
      <c r="B10448" s="0" t="s">
        <v>1</v>
      </c>
      <c r="C10448" s="0" t="s">
        <v>4910</v>
      </c>
      <c r="E10448" s="0" t="s">
        <v>11</v>
      </c>
      <c r="F10448" s="0" t="s">
        <v>1456</v>
      </c>
    </row>
    <row r="10449" customFormat="false" ht="12.8" hidden="false" customHeight="false" outlineLevel="0" collapsed="false">
      <c r="B10449" s="0" t="s">
        <v>725</v>
      </c>
      <c r="E10449" s="0" t="s">
        <v>4911</v>
      </c>
      <c r="F10449" s="0" t="s">
        <v>4912</v>
      </c>
    </row>
    <row r="10450" customFormat="false" ht="12.8" hidden="false" customHeight="false" outlineLevel="0" collapsed="false">
      <c r="B10450" s="0" t="s">
        <v>642</v>
      </c>
      <c r="E10450" s="0" t="s">
        <v>4911</v>
      </c>
      <c r="F10450" s="0" t="s">
        <v>4912</v>
      </c>
    </row>
    <row r="10451" customFormat="false" ht="12.8" hidden="false" customHeight="false" outlineLevel="0" collapsed="false">
      <c r="B10451" s="0" t="s">
        <v>648</v>
      </c>
      <c r="E10451" s="0" t="s">
        <v>4911</v>
      </c>
      <c r="F10451" s="0" t="s">
        <v>4912</v>
      </c>
    </row>
    <row r="10452" customFormat="false" ht="12.8" hidden="false" customHeight="false" outlineLevel="0" collapsed="false">
      <c r="B10452" s="0" t="s">
        <v>650</v>
      </c>
      <c r="E10452" s="0" t="s">
        <v>4911</v>
      </c>
      <c r="F10452" s="0" t="s">
        <v>4912</v>
      </c>
    </row>
    <row r="10453" customFormat="false" ht="12.8" hidden="false" customHeight="false" outlineLevel="0" collapsed="false">
      <c r="B10453" s="0" t="s">
        <v>652</v>
      </c>
      <c r="E10453" s="0" t="s">
        <v>4911</v>
      </c>
      <c r="F10453" s="0" t="s">
        <v>4912</v>
      </c>
    </row>
    <row r="10454" customFormat="false" ht="12.8" hidden="false" customHeight="false" outlineLevel="0" collapsed="false">
      <c r="B10454" s="0" t="s">
        <v>4913</v>
      </c>
      <c r="E10454" s="0" t="s">
        <v>4911</v>
      </c>
      <c r="F10454" s="0" t="s">
        <v>4912</v>
      </c>
    </row>
    <row r="10456" customFormat="false" ht="12.8" hidden="false" customHeight="false" outlineLevel="0" collapsed="false">
      <c r="A10456" s="0" t="s">
        <v>4914</v>
      </c>
      <c r="B10456" s="0" t="str">
        <f aca="false">HYPERLINK("https://lindat.mff.cuni.cz/services/teitok/pdtc10/index.php?action=vallex&amp;frame=v-w1324f2", "jednat se (v-w1324f2)")</f>
        <v>jednat se (v-w1324f2)</v>
      </c>
    </row>
    <row r="10457" customFormat="false" ht="12.8" hidden="false" customHeight="false" outlineLevel="0" collapsed="false">
      <c r="B10457" s="0" t="s">
        <v>804</v>
      </c>
    </row>
    <row r="10458" customFormat="false" ht="12.8" hidden="false" customHeight="false" outlineLevel="0" collapsed="false">
      <c r="B10458" s="0" t="s">
        <v>814</v>
      </c>
    </row>
    <row r="10460" customFormat="false" ht="12.8" hidden="false" customHeight="false" outlineLevel="0" collapsed="false">
      <c r="A10460" s="0" t="s">
        <v>4915</v>
      </c>
      <c r="B10460" s="0" t="str">
        <f aca="false">HYPERLINK("https://lindat.mff.cuni.cz/services/teitok/pdtc10/index.php?action=vallex&amp;frame=v-w1324f1", "jednat se (v-w1324f1)")</f>
        <v>jednat se (v-w1324f1)</v>
      </c>
      <c r="E10460" s="0" t="str">
        <f aca="false">HYPERLINK("https://lindat.mff.cuni.cz/services/SynSemClass40/SynSemClass40.html?veclass=vec00226#vec00226-ces-cm00001", "vec00226")</f>
        <v>vec00226</v>
      </c>
      <c r="F10460" s="0" t="s">
        <v>986</v>
      </c>
    </row>
    <row r="10461" customFormat="false" ht="12.8" hidden="false" customHeight="false" outlineLevel="0" collapsed="false">
      <c r="B10461" s="0" t="s">
        <v>4916</v>
      </c>
      <c r="E10461" s="0" t="s">
        <v>987</v>
      </c>
      <c r="F10461" s="0" t="s">
        <v>988</v>
      </c>
    </row>
    <row r="10463" customFormat="false" ht="12.8" hidden="false" customHeight="false" outlineLevel="0" collapsed="false">
      <c r="A10463" s="0" t="s">
        <v>4917</v>
      </c>
      <c r="B10463" s="0" t="str">
        <f aca="false">HYPERLINK("https://lindat.mff.cuni.cz/services/teitok/pdtc10/index.php?action=vallex&amp;frame=v-whsa_1680f1_ZU", "jektat (v-whsa_1680f1_ZU)")</f>
        <v>jektat (v-whsa_1680f1_ZU)</v>
      </c>
    </row>
    <row r="10464" customFormat="false" ht="12.8" hidden="false" customHeight="false" outlineLevel="0" collapsed="false">
      <c r="B10464" s="0" t="s">
        <v>1</v>
      </c>
    </row>
    <row r="10465" customFormat="false" ht="12.8" hidden="false" customHeight="false" outlineLevel="0" collapsed="false">
      <c r="B10465" s="0" t="s">
        <v>286</v>
      </c>
    </row>
    <row r="10467" customFormat="false" ht="12.8" hidden="false" customHeight="false" outlineLevel="0" collapsed="false">
      <c r="A10467" s="0" t="s">
        <v>4917</v>
      </c>
      <c r="B10467" s="0" t="str">
        <f aca="false">HYPERLINK("https://lindat.mff.cuni.cz/services/teitok/pdtc10/index.php?action=vallex&amp;frame=v-whsa_1680hsa_1681", "jektat (v-whsa_1680hsa_1681) - substituted with v-whsa_1680f1_ZU")</f>
        <v>jektat (v-whsa_1680hsa_1681) - substituted with v-whsa_1680f1_ZU</v>
      </c>
    </row>
    <row r="10468" customFormat="false" ht="12.8" hidden="false" customHeight="false" outlineLevel="0" collapsed="false">
      <c r="B10468" s="0" t="s">
        <v>1</v>
      </c>
    </row>
    <row r="10469" customFormat="false" ht="12.8" hidden="false" customHeight="false" outlineLevel="0" collapsed="false">
      <c r="B10469" s="0" t="s">
        <v>286</v>
      </c>
    </row>
    <row r="10471" customFormat="false" ht="12.8" hidden="false" customHeight="false" outlineLevel="0" collapsed="false">
      <c r="A10471" s="0" t="s">
        <v>4918</v>
      </c>
      <c r="B10471" s="0" t="str">
        <f aca="false">HYPERLINK("https://lindat.mff.cuni.cz/services/teitok/pdtc10/index.php?action=vallex&amp;frame=v-whsa_1680hsa_1682", "jektat (v-whsa_1680hsa_1682)")</f>
        <v>jektat (v-whsa_1680hsa_1682)</v>
      </c>
    </row>
    <row r="10472" customFormat="false" ht="12.8" hidden="false" customHeight="false" outlineLevel="0" collapsed="false">
      <c r="B10472" s="0" t="s">
        <v>1</v>
      </c>
    </row>
    <row r="10474" customFormat="false" ht="12.8" hidden="false" customHeight="false" outlineLevel="0" collapsed="false">
      <c r="A10474" s="0" t="s">
        <v>4919</v>
      </c>
      <c r="B10474" s="0" t="str">
        <f aca="false">HYPERLINK("https://lindat.mff.cuni.cz/services/teitok/pdtc10/index.php?action=vallex&amp;frame=v-w1325f2", "jet (v-w1325f2)")</f>
        <v>jet (v-w1325f2)</v>
      </c>
    </row>
    <row r="10475" customFormat="false" ht="12.8" hidden="false" customHeight="false" outlineLevel="0" collapsed="false">
      <c r="B10475" s="0" t="s">
        <v>1</v>
      </c>
    </row>
    <row r="10476" customFormat="false" ht="12.8" hidden="false" customHeight="false" outlineLevel="0" collapsed="false">
      <c r="B10476" s="0" t="s">
        <v>8</v>
      </c>
    </row>
    <row r="10478" customFormat="false" ht="12.8" hidden="false" customHeight="false" outlineLevel="0" collapsed="false">
      <c r="A10478" s="0" t="s">
        <v>4920</v>
      </c>
      <c r="B10478" s="0" t="str">
        <f aca="false">HYPERLINK("https://lindat.mff.cuni.cz/services/teitok/pdtc10/index.php?action=vallex&amp;frame=v-w1325f5", "jet (v-w1325f5)")</f>
        <v>jet (v-w1325f5)</v>
      </c>
    </row>
    <row r="10479" customFormat="false" ht="12.8" hidden="false" customHeight="false" outlineLevel="0" collapsed="false">
      <c r="B10479" s="0" t="s">
        <v>1</v>
      </c>
    </row>
    <row r="10480" customFormat="false" ht="12.8" hidden="false" customHeight="false" outlineLevel="0" collapsed="false">
      <c r="B10480" s="0" t="s">
        <v>536</v>
      </c>
    </row>
    <row r="10482" customFormat="false" ht="12.8" hidden="false" customHeight="false" outlineLevel="0" collapsed="false">
      <c r="A10482" s="0" t="s">
        <v>4921</v>
      </c>
      <c r="B10482" s="0" t="str">
        <f aca="false">HYPERLINK("https://lindat.mff.cuni.cz/services/teitok/pdtc10/index.php?action=vallex&amp;frame=v-w1325f7", "jet (v-w1325f7)")</f>
        <v>jet (v-w1325f7)</v>
      </c>
    </row>
    <row r="10483" customFormat="false" ht="12.8" hidden="false" customHeight="false" outlineLevel="0" collapsed="false">
      <c r="B10483" s="0" t="s">
        <v>4922</v>
      </c>
    </row>
    <row r="10484" customFormat="false" ht="12.8" hidden="false" customHeight="false" outlineLevel="0" collapsed="false">
      <c r="B10484" s="0" t="s">
        <v>439</v>
      </c>
    </row>
    <row r="10486" customFormat="false" ht="12.8" hidden="false" customHeight="false" outlineLevel="0" collapsed="false">
      <c r="A10486" s="0" t="s">
        <v>4923</v>
      </c>
      <c r="B10486" s="0" t="str">
        <f aca="false">HYPERLINK("https://lindat.mff.cuni.cz/services/teitok/pdtc10/index.php?action=vallex&amp;frame=v-w1325f1", "jet (v-w1325f1)")</f>
        <v>jet (v-w1325f1)</v>
      </c>
      <c r="E10486" s="0" t="str">
        <f aca="false">HYPERLINK("https://lindat.mff.cuni.cz/services/SynSemClass40/SynSemClass40.html?veclass=vec00403#vec00403-ces-cm00002", "vec00403")</f>
        <v>vec00403</v>
      </c>
      <c r="F10486" s="0" t="s">
        <v>1368</v>
      </c>
    </row>
    <row r="10487" customFormat="false" ht="12.8" hidden="false" customHeight="false" outlineLevel="0" collapsed="false">
      <c r="B10487" s="0" t="s">
        <v>1</v>
      </c>
      <c r="C10487" s="0" t="s">
        <v>1369</v>
      </c>
      <c r="E10487" s="0" t="s">
        <v>11</v>
      </c>
      <c r="F10487" s="0" t="s">
        <v>1370</v>
      </c>
    </row>
    <row r="10488" customFormat="false" ht="12.8" hidden="false" customHeight="false" outlineLevel="0" collapsed="false">
      <c r="B10488" s="0" t="s">
        <v>164</v>
      </c>
      <c r="C10488" s="0" t="s">
        <v>4924</v>
      </c>
      <c r="E10488" s="0" t="s">
        <v>2365</v>
      </c>
      <c r="F10488" s="0" t="s">
        <v>2366</v>
      </c>
    </row>
    <row r="10490" customFormat="false" ht="12.8" hidden="false" customHeight="false" outlineLevel="0" collapsed="false">
      <c r="A10490" s="0" t="s">
        <v>4925</v>
      </c>
      <c r="B10490" s="0" t="str">
        <f aca="false">HYPERLINK("https://lindat.mff.cuni.cz/services/teitok/pdtc10/index.php?action=vallex&amp;frame=v-w1325f3", "jet (v-w1325f3)")</f>
        <v>jet (v-w1325f3)</v>
      </c>
      <c r="E10490" s="0" t="str">
        <f aca="false">HYPERLINK("https://lindat.mff.cuni.cz/services/SynSemClass40/SynSemClass40.html?veclass=vec00026#vec00026-ces-cm00025", "vec00026")</f>
        <v>vec00026</v>
      </c>
      <c r="F10490" s="0" t="s">
        <v>4926</v>
      </c>
    </row>
    <row r="10491" customFormat="false" ht="12.8" hidden="false" customHeight="false" outlineLevel="0" collapsed="false">
      <c r="B10491" s="0" t="s">
        <v>1</v>
      </c>
      <c r="C10491" s="0" t="s">
        <v>3375</v>
      </c>
      <c r="E10491" s="0" t="s">
        <v>334</v>
      </c>
      <c r="F10491" s="0" t="s">
        <v>4927</v>
      </c>
    </row>
    <row r="10493" customFormat="false" ht="12.8" hidden="false" customHeight="false" outlineLevel="0" collapsed="false">
      <c r="A10493" s="0" t="s">
        <v>4928</v>
      </c>
      <c r="B10493" s="0" t="str">
        <f aca="false">HYPERLINK("https://lindat.mff.cuni.cz/services/teitok/pdtc10/index.php?action=vallex&amp;frame=v-w1325f10_ZU", "jet (v-w1325f10_ZU)")</f>
        <v>jet (v-w1325f10_ZU)</v>
      </c>
    </row>
    <row r="10494" customFormat="false" ht="12.8" hidden="false" customHeight="false" outlineLevel="0" collapsed="false">
      <c r="B10494" s="0" t="s">
        <v>1</v>
      </c>
    </row>
    <row r="10496" customFormat="false" ht="12.8" hidden="false" customHeight="false" outlineLevel="0" collapsed="false">
      <c r="A10496" s="0" t="s">
        <v>4928</v>
      </c>
      <c r="B10496" s="0" t="str">
        <f aca="false">HYPERLINK("https://lindat.mff.cuni.cz/services/teitok/pdtc10/index.php?action=vallex&amp;frame=v-w1325f4", "jet (v-w1325f4) - substituted with v-w1325f10_ZU")</f>
        <v>jet (v-w1325f4) - substituted with v-w1325f10_ZU</v>
      </c>
    </row>
    <row r="10497" customFormat="false" ht="12.8" hidden="false" customHeight="false" outlineLevel="0" collapsed="false">
      <c r="B10497" s="0" t="s">
        <v>1</v>
      </c>
    </row>
    <row r="10499" customFormat="false" ht="12.8" hidden="false" customHeight="false" outlineLevel="0" collapsed="false">
      <c r="A10499" s="0" t="s">
        <v>4929</v>
      </c>
      <c r="B10499" s="0" t="str">
        <f aca="false">HYPERLINK("https://lindat.mff.cuni.cz/services/teitok/pdtc10/index.php?action=vallex&amp;frame=v-w1325f6", "jet (v-w1325f6)")</f>
        <v>jet (v-w1325f6)</v>
      </c>
    </row>
    <row r="10500" customFormat="false" ht="12.8" hidden="false" customHeight="false" outlineLevel="0" collapsed="false">
      <c r="B10500" s="0" t="s">
        <v>1</v>
      </c>
    </row>
    <row r="10501" customFormat="false" ht="12.8" hidden="false" customHeight="false" outlineLevel="0" collapsed="false">
      <c r="B10501" s="0" t="s">
        <v>4930</v>
      </c>
    </row>
    <row r="10503" customFormat="false" ht="12.8" hidden="false" customHeight="false" outlineLevel="0" collapsed="false">
      <c r="A10503" s="0" t="s">
        <v>4931</v>
      </c>
      <c r="B10503" s="0" t="str">
        <f aca="false">HYPERLINK("https://lindat.mff.cuni.cz/services/teitok/pdtc10/index.php?action=vallex&amp;frame=v-w1325f8_ZU", "jet (v-w1325f8_ZU)")</f>
        <v>jet (v-w1325f8_ZU)</v>
      </c>
    </row>
    <row r="10504" customFormat="false" ht="12.8" hidden="false" customHeight="false" outlineLevel="0" collapsed="false">
      <c r="B10504" s="0" t="s">
        <v>1</v>
      </c>
    </row>
    <row r="10505" customFormat="false" ht="12.8" hidden="false" customHeight="false" outlineLevel="0" collapsed="false">
      <c r="B10505" s="0" t="s">
        <v>4932</v>
      </c>
    </row>
    <row r="10507" customFormat="false" ht="12.8" hidden="false" customHeight="false" outlineLevel="0" collapsed="false">
      <c r="A10507" s="0" t="s">
        <v>4931</v>
      </c>
      <c r="B10507" s="0" t="str">
        <f aca="false">HYPERLINK("https://lindat.mff.cuni.cz/services/teitok/pdtc10/index.php?action=vallex&amp;frame=v-w1325hsa_263", "jet (v-w1325hsa_263) - substituted with v-w1325f8_ZU")</f>
        <v>jet (v-w1325hsa_263) - substituted with v-w1325f8_ZU</v>
      </c>
    </row>
    <row r="10508" customFormat="false" ht="12.8" hidden="false" customHeight="false" outlineLevel="0" collapsed="false">
      <c r="B10508" s="0" t="s">
        <v>1</v>
      </c>
    </row>
    <row r="10509" customFormat="false" ht="12.8" hidden="false" customHeight="false" outlineLevel="0" collapsed="false">
      <c r="B10509" s="0" t="s">
        <v>4932</v>
      </c>
    </row>
    <row r="10511" customFormat="false" ht="12.8" hidden="false" customHeight="false" outlineLevel="0" collapsed="false">
      <c r="A10511" s="0" t="s">
        <v>4933</v>
      </c>
      <c r="B10511" s="0" t="str">
        <f aca="false">HYPERLINK("https://lindat.mff.cuni.cz/services/teitok/pdtc10/index.php?action=vallex&amp;frame=v-w1325f11_ZU", "jet (v-w1325f11_ZU)")</f>
        <v>jet (v-w1325f11_ZU)</v>
      </c>
    </row>
    <row r="10512" customFormat="false" ht="12.8" hidden="false" customHeight="false" outlineLevel="0" collapsed="false">
      <c r="B10512" s="0" t="s">
        <v>1</v>
      </c>
    </row>
    <row r="10513" customFormat="false" ht="12.8" hidden="false" customHeight="false" outlineLevel="0" collapsed="false">
      <c r="B10513" s="0" t="s">
        <v>286</v>
      </c>
    </row>
    <row r="10514" customFormat="false" ht="12.8" hidden="false" customHeight="false" outlineLevel="0" collapsed="false">
      <c r="B10514" s="0" t="s">
        <v>1262</v>
      </c>
    </row>
    <row r="10516" customFormat="false" ht="12.8" hidden="false" customHeight="false" outlineLevel="0" collapsed="false">
      <c r="A10516" s="0" t="s">
        <v>4933</v>
      </c>
      <c r="B10516" s="0" t="str">
        <f aca="false">HYPERLINK("https://lindat.mff.cuni.cz/services/teitok/pdtc10/index.php?action=vallex&amp;frame=v-w1325f9_ZU", "jet (v-w1325f9_ZU) - substituted with v-w1325f11_ZU")</f>
        <v>jet (v-w1325f9_ZU) - substituted with v-w1325f11_ZU</v>
      </c>
    </row>
    <row r="10517" customFormat="false" ht="12.8" hidden="false" customHeight="false" outlineLevel="0" collapsed="false">
      <c r="B10517" s="0" t="s">
        <v>1</v>
      </c>
    </row>
    <row r="10518" customFormat="false" ht="12.8" hidden="false" customHeight="false" outlineLevel="0" collapsed="false">
      <c r="B10518" s="0" t="s">
        <v>286</v>
      </c>
    </row>
    <row r="10519" customFormat="false" ht="12.8" hidden="false" customHeight="false" outlineLevel="0" collapsed="false">
      <c r="B10519" s="0" t="s">
        <v>1262</v>
      </c>
    </row>
    <row r="10521" customFormat="false" ht="12.8" hidden="false" customHeight="false" outlineLevel="0" collapsed="false">
      <c r="A10521" s="0" t="s">
        <v>4934</v>
      </c>
      <c r="B10521" s="0" t="str">
        <f aca="false">HYPERLINK("https://lindat.mff.cuni.cz/services/teitok/pdtc10/index.php?action=vallex&amp;frame=v-w1325f12_ZU", "jet (v-w1325f12_ZU)")</f>
        <v>jet (v-w1325f12_ZU)</v>
      </c>
    </row>
    <row r="10522" customFormat="false" ht="12.8" hidden="false" customHeight="false" outlineLevel="0" collapsed="false">
      <c r="B10522" s="0" t="s">
        <v>1</v>
      </c>
    </row>
    <row r="10524" customFormat="false" ht="12.8" hidden="false" customHeight="false" outlineLevel="0" collapsed="false">
      <c r="A10524" s="0" t="s">
        <v>4935</v>
      </c>
      <c r="B10524" s="0" t="str">
        <f aca="false">HYPERLINK("https://lindat.mff.cuni.cz/services/teitok/pdtc10/index.php?action=vallex&amp;frame=v-w1325hsa_264", "jet (v-w1325hsa_264)")</f>
        <v>jet (v-w1325hsa_264)</v>
      </c>
    </row>
    <row r="10525" customFormat="false" ht="12.8" hidden="false" customHeight="false" outlineLevel="0" collapsed="false">
      <c r="B10525" s="0" t="s">
        <v>1</v>
      </c>
    </row>
    <row r="10526" customFormat="false" ht="12.8" hidden="false" customHeight="false" outlineLevel="0" collapsed="false">
      <c r="B10526" s="0" t="s">
        <v>1187</v>
      </c>
    </row>
    <row r="10528" customFormat="false" ht="12.8" hidden="false" customHeight="false" outlineLevel="0" collapsed="false">
      <c r="A10528" s="0" t="s">
        <v>4936</v>
      </c>
      <c r="B10528" s="0" t="str">
        <f aca="false">HYPERLINK("https://lindat.mff.cuni.cz/services/teitok/pdtc10/index.php?action=vallex&amp;frame=v-w1326f1", "jevit (v-w1326f1)")</f>
        <v>jevit (v-w1326f1)</v>
      </c>
    </row>
    <row r="10529" customFormat="false" ht="12.8" hidden="false" customHeight="false" outlineLevel="0" collapsed="false">
      <c r="B10529" s="0" t="s">
        <v>1</v>
      </c>
    </row>
    <row r="10530" customFormat="false" ht="12.8" hidden="false" customHeight="false" outlineLevel="0" collapsed="false">
      <c r="B10530" s="0" t="s">
        <v>4937</v>
      </c>
    </row>
    <row r="10532" customFormat="false" ht="12.8" hidden="false" customHeight="false" outlineLevel="0" collapsed="false">
      <c r="A10532" s="0" t="s">
        <v>4938</v>
      </c>
      <c r="B10532" s="0" t="str">
        <f aca="false">HYPERLINK("https://lindat.mff.cuni.cz/services/teitok/pdtc10/index.php?action=vallex&amp;frame=v-w1326f2_ZU", "jevit (v-w1326f2_ZU)")</f>
        <v>jevit (v-w1326f2_ZU)</v>
      </c>
    </row>
    <row r="10533" customFormat="false" ht="12.8" hidden="false" customHeight="false" outlineLevel="0" collapsed="false">
      <c r="B10533" s="0" t="s">
        <v>1</v>
      </c>
    </row>
    <row r="10534" customFormat="false" ht="12.8" hidden="false" customHeight="false" outlineLevel="0" collapsed="false">
      <c r="B10534" s="0" t="s">
        <v>4939</v>
      </c>
    </row>
    <row r="10536" customFormat="false" ht="12.8" hidden="false" customHeight="false" outlineLevel="0" collapsed="false">
      <c r="A10536" s="0" t="s">
        <v>4940</v>
      </c>
      <c r="B10536" s="0" t="str">
        <f aca="false">HYPERLINK("https://lindat.mff.cuni.cz/services/teitok/pdtc10/index.php?action=vallex&amp;frame=v-w1327f1", "jevit se (v-w1327f1)")</f>
        <v>jevit se (v-w1327f1)</v>
      </c>
      <c r="E10536" s="0" t="str">
        <f aca="false">HYPERLINK("https://lindat.mff.cuni.cz/services/SynSemClass40/SynSemClass40.html?veclass=vec00164#vec00164-ces-cm00054", "vec00164")</f>
        <v>vec00164</v>
      </c>
      <c r="F10536" s="0" t="s">
        <v>4941</v>
      </c>
    </row>
    <row r="10537" customFormat="false" ht="12.8" hidden="false" customHeight="false" outlineLevel="0" collapsed="false">
      <c r="B10537" s="0" t="s">
        <v>804</v>
      </c>
      <c r="C10537" s="0" t="s">
        <v>4942</v>
      </c>
      <c r="E10537" s="0" t="s">
        <v>4943</v>
      </c>
      <c r="F10537" s="0" t="s">
        <v>4944</v>
      </c>
    </row>
    <row r="10538" customFormat="false" ht="12.8" hidden="false" customHeight="false" outlineLevel="0" collapsed="false">
      <c r="B10538" s="0" t="s">
        <v>4945</v>
      </c>
      <c r="C10538" s="0" t="s">
        <v>4946</v>
      </c>
      <c r="E10538" s="0" t="s">
        <v>4947</v>
      </c>
      <c r="F10538" s="0" t="s">
        <v>4948</v>
      </c>
    </row>
    <row r="10539" customFormat="false" ht="12.8" hidden="false" customHeight="false" outlineLevel="0" collapsed="false">
      <c r="B10539" s="0" t="s">
        <v>4949</v>
      </c>
      <c r="C10539" s="0" t="s">
        <v>4950</v>
      </c>
      <c r="E10539" s="0" t="s">
        <v>626</v>
      </c>
      <c r="F10539" s="0" t="s">
        <v>4951</v>
      </c>
    </row>
    <row r="10541" customFormat="false" ht="12.8" hidden="false" customHeight="false" outlineLevel="0" collapsed="false">
      <c r="A10541" s="0" t="s">
        <v>4952</v>
      </c>
      <c r="B10541" s="0" t="str">
        <f aca="false">HYPERLINK("https://lindat.mff.cuni.cz/services/teitok/pdtc10/index.php?action=vallex&amp;frame=v-w1327f2", "jevit se (v-w1327f2)")</f>
        <v>jevit se (v-w1327f2)</v>
      </c>
      <c r="E10541" s="0" t="str">
        <f aca="false">HYPERLINK("https://lindat.mff.cuni.cz/services/SynSemClass40/SynSemClass40.html?veclass=vec00164#vec00164-ces-cm00055", "vec00164")</f>
        <v>vec00164</v>
      </c>
      <c r="F10541" s="0" t="s">
        <v>4941</v>
      </c>
    </row>
    <row r="10542" customFormat="false" ht="12.8" hidden="false" customHeight="false" outlineLevel="0" collapsed="false">
      <c r="B10542" s="0" t="s">
        <v>804</v>
      </c>
      <c r="C10542" s="0" t="s">
        <v>4953</v>
      </c>
      <c r="E10542" s="0" t="s">
        <v>637</v>
      </c>
      <c r="F10542" s="0" t="s">
        <v>4954</v>
      </c>
    </row>
    <row r="10543" customFormat="false" ht="12.8" hidden="false" customHeight="false" outlineLevel="0" collapsed="false">
      <c r="B10543" s="0" t="s">
        <v>4945</v>
      </c>
      <c r="C10543" s="0" t="s">
        <v>4955</v>
      </c>
      <c r="E10543" s="0" t="s">
        <v>180</v>
      </c>
      <c r="F10543" s="0" t="s">
        <v>4956</v>
      </c>
    </row>
    <row r="10544" customFormat="false" ht="12.8" hidden="false" customHeight="false" outlineLevel="0" collapsed="false">
      <c r="B10544" s="0" t="s">
        <v>852</v>
      </c>
      <c r="C10544" s="0" t="s">
        <v>4957</v>
      </c>
      <c r="E10544" s="0" t="s">
        <v>4958</v>
      </c>
      <c r="F10544" s="0" t="s">
        <v>4959</v>
      </c>
    </row>
    <row r="10546" customFormat="false" ht="12.8" hidden="false" customHeight="false" outlineLevel="0" collapsed="false">
      <c r="A10546" s="0" t="s">
        <v>4960</v>
      </c>
      <c r="B10546" s="0" t="str">
        <f aca="false">HYPERLINK("https://lindat.mff.cuni.cz/services/teitok/pdtc10/index.php?action=vallex&amp;frame=v-w1327f3", "jevit se (v-w1327f3)")</f>
        <v>jevit se (v-w1327f3)</v>
      </c>
    </row>
    <row r="10547" customFormat="false" ht="12.8" hidden="false" customHeight="false" outlineLevel="0" collapsed="false">
      <c r="B10547" s="0" t="s">
        <v>804</v>
      </c>
    </row>
    <row r="10548" customFormat="false" ht="12.8" hidden="false" customHeight="false" outlineLevel="0" collapsed="false">
      <c r="B10548" s="0" t="s">
        <v>4961</v>
      </c>
    </row>
    <row r="10550" customFormat="false" ht="12.8" hidden="false" customHeight="false" outlineLevel="0" collapsed="false">
      <c r="A10550" s="0" t="s">
        <v>4962</v>
      </c>
      <c r="B10550" s="0" t="str">
        <f aca="false">HYPERLINK("https://lindat.mff.cuni.cz/services/teitok/pdtc10/index.php?action=vallex&amp;frame=v-w1328f3", "jezdit (v-w1328f3)")</f>
        <v>jezdit (v-w1328f3)</v>
      </c>
    </row>
    <row r="10551" customFormat="false" ht="12.8" hidden="false" customHeight="false" outlineLevel="0" collapsed="false">
      <c r="B10551" s="0" t="s">
        <v>1</v>
      </c>
    </row>
    <row r="10552" customFormat="false" ht="12.8" hidden="false" customHeight="false" outlineLevel="0" collapsed="false">
      <c r="B10552" s="0" t="s">
        <v>8</v>
      </c>
    </row>
    <row r="10554" customFormat="false" ht="12.8" hidden="false" customHeight="false" outlineLevel="0" collapsed="false">
      <c r="A10554" s="0" t="s">
        <v>4963</v>
      </c>
      <c r="B10554" s="0" t="str">
        <f aca="false">HYPERLINK("https://lindat.mff.cuni.cz/services/teitok/pdtc10/index.php?action=vallex&amp;frame=v-w1328f10_ZU", "jezdit (v-w1328f10_ZU)")</f>
        <v>jezdit (v-w1328f10_ZU)</v>
      </c>
    </row>
    <row r="10555" customFormat="false" ht="12.8" hidden="false" customHeight="false" outlineLevel="0" collapsed="false">
      <c r="B10555" s="0" t="s">
        <v>1</v>
      </c>
    </row>
    <row r="10556" customFormat="false" ht="12.8" hidden="false" customHeight="false" outlineLevel="0" collapsed="false">
      <c r="B10556" s="0" t="s">
        <v>164</v>
      </c>
    </row>
    <row r="10558" customFormat="false" ht="12.8" hidden="false" customHeight="false" outlineLevel="0" collapsed="false">
      <c r="A10558" s="0" t="s">
        <v>4963</v>
      </c>
      <c r="B10558" s="0" t="str">
        <f aca="false">HYPERLINK("https://lindat.mff.cuni.cz/services/teitok/pdtc10/index.php?action=vallex&amp;frame=v-w1328f2", "jezdit (v-w1328f2) - substituted with v-w1328f10_ZU")</f>
        <v>jezdit (v-w1328f2) - substituted with v-w1328f10_ZU</v>
      </c>
      <c r="E10558" s="0" t="str">
        <f aca="false">HYPERLINK("https://lindat.mff.cuni.cz/services/SynSemClass40/SynSemClass40.html?veclass=vec00403#vec00403-ces-cm00003", "vec00403")</f>
        <v>vec00403</v>
      </c>
      <c r="F10558" s="0" t="s">
        <v>1368</v>
      </c>
    </row>
    <row r="10559" customFormat="false" ht="12.8" hidden="false" customHeight="false" outlineLevel="0" collapsed="false">
      <c r="B10559" s="0" t="s">
        <v>1</v>
      </c>
      <c r="C10559" s="0" t="s">
        <v>1369</v>
      </c>
      <c r="E10559" s="0" t="s">
        <v>11</v>
      </c>
      <c r="F10559" s="0" t="s">
        <v>1370</v>
      </c>
    </row>
    <row r="10560" customFormat="false" ht="12.8" hidden="false" customHeight="false" outlineLevel="0" collapsed="false">
      <c r="B10560" s="0" t="s">
        <v>164</v>
      </c>
      <c r="C10560" s="0" t="s">
        <v>4924</v>
      </c>
      <c r="E10560" s="0" t="s">
        <v>2365</v>
      </c>
      <c r="F10560" s="0" t="s">
        <v>2366</v>
      </c>
    </row>
    <row r="10562" customFormat="false" ht="12.8" hidden="false" customHeight="false" outlineLevel="0" collapsed="false">
      <c r="A10562" s="0" t="s">
        <v>4963</v>
      </c>
      <c r="B10562" s="0" t="str">
        <f aca="false">HYPERLINK("https://lindat.mff.cuni.cz/services/teitok/pdtc10/index.php?action=vallex&amp;frame=v-w1328f8_ZU", "jezdit (v-w1328f8_ZU) - substituted with v-w1328f10_ZU")</f>
        <v>jezdit (v-w1328f8_ZU) - substituted with v-w1328f10_ZU</v>
      </c>
    </row>
    <row r="10563" customFormat="false" ht="12.8" hidden="false" customHeight="false" outlineLevel="0" collapsed="false">
      <c r="B10563" s="0" t="s">
        <v>1</v>
      </c>
    </row>
    <row r="10564" customFormat="false" ht="12.8" hidden="false" customHeight="false" outlineLevel="0" collapsed="false">
      <c r="B10564" s="0" t="s">
        <v>164</v>
      </c>
    </row>
    <row r="10566" customFormat="false" ht="12.8" hidden="false" customHeight="false" outlineLevel="0" collapsed="false">
      <c r="A10566" s="0" t="s">
        <v>4964</v>
      </c>
      <c r="B10566" s="0" t="str">
        <f aca="false">HYPERLINK("https://lindat.mff.cuni.cz/services/teitok/pdtc10/index.php?action=vallex&amp;frame=v-w1328f1", "jezdit (v-w1328f1)")</f>
        <v>jezdit (v-w1328f1)</v>
      </c>
      <c r="E10566" s="0" t="str">
        <f aca="false">HYPERLINK("https://lindat.mff.cuni.cz/services/SynSemClass40/SynSemClass40.html?veclass=vec00026#vec00026-ces-cm00001", "vec00026")</f>
        <v>vec00026</v>
      </c>
      <c r="F10566" s="0" t="s">
        <v>4926</v>
      </c>
    </row>
    <row r="10567" customFormat="false" ht="12.8" hidden="false" customHeight="false" outlineLevel="0" collapsed="false">
      <c r="B10567" s="0" t="s">
        <v>1</v>
      </c>
      <c r="C10567" s="0" t="s">
        <v>3375</v>
      </c>
      <c r="E10567" s="0" t="s">
        <v>334</v>
      </c>
      <c r="F10567" s="0" t="s">
        <v>4927</v>
      </c>
    </row>
    <row r="10569" customFormat="false" ht="12.8" hidden="false" customHeight="false" outlineLevel="0" collapsed="false">
      <c r="A10569" s="0" t="s">
        <v>4965</v>
      </c>
      <c r="B10569" s="0" t="str">
        <f aca="false">HYPERLINK("https://lindat.mff.cuni.cz/services/teitok/pdtc10/index.php?action=vallex&amp;frame=v-w1328f6_ZU", "jezdit (v-w1328f6_ZU)")</f>
        <v>jezdit (v-w1328f6_ZU)</v>
      </c>
    </row>
    <row r="10570" customFormat="false" ht="12.8" hidden="false" customHeight="false" outlineLevel="0" collapsed="false">
      <c r="B10570" s="0" t="s">
        <v>1</v>
      </c>
    </row>
    <row r="10571" customFormat="false" ht="12.8" hidden="false" customHeight="false" outlineLevel="0" collapsed="false">
      <c r="B10571" s="0" t="s">
        <v>4966</v>
      </c>
    </row>
    <row r="10573" customFormat="false" ht="12.8" hidden="false" customHeight="false" outlineLevel="0" collapsed="false">
      <c r="A10573" s="0" t="s">
        <v>4965</v>
      </c>
      <c r="B10573" s="0" t="str">
        <f aca="false">HYPERLINK("https://lindat.mff.cuni.cz/services/teitok/pdtc10/index.php?action=vallex&amp;frame=v-w1328f4_ZU", "jezdit (v-w1328f4_ZU) - substituted with v-w1328f6_ZU")</f>
        <v>jezdit (v-w1328f4_ZU) - substituted with v-w1328f6_ZU</v>
      </c>
    </row>
    <row r="10574" customFormat="false" ht="12.8" hidden="false" customHeight="false" outlineLevel="0" collapsed="false">
      <c r="B10574" s="0" t="s">
        <v>1</v>
      </c>
    </row>
    <row r="10575" customFormat="false" ht="12.8" hidden="false" customHeight="false" outlineLevel="0" collapsed="false">
      <c r="B10575" s="0" t="s">
        <v>4966</v>
      </c>
    </row>
    <row r="10577" customFormat="false" ht="12.8" hidden="false" customHeight="false" outlineLevel="0" collapsed="false">
      <c r="A10577" s="0" t="s">
        <v>4967</v>
      </c>
      <c r="B10577" s="0" t="str">
        <f aca="false">HYPERLINK("https://lindat.mff.cuni.cz/services/teitok/pdtc10/index.php?action=vallex&amp;frame=v-w1328f7_ZU", "jezdit (v-w1328f7_ZU)")</f>
        <v>jezdit (v-w1328f7_ZU)</v>
      </c>
    </row>
    <row r="10578" customFormat="false" ht="12.8" hidden="false" customHeight="false" outlineLevel="0" collapsed="false">
      <c r="B10578" s="0" t="s">
        <v>1</v>
      </c>
    </row>
    <row r="10579" customFormat="false" ht="12.8" hidden="false" customHeight="false" outlineLevel="0" collapsed="false">
      <c r="B10579" s="0" t="s">
        <v>8</v>
      </c>
    </row>
    <row r="10581" customFormat="false" ht="12.8" hidden="false" customHeight="false" outlineLevel="0" collapsed="false">
      <c r="A10581" s="0" t="s">
        <v>4968</v>
      </c>
      <c r="B10581" s="0" t="str">
        <f aca="false">HYPERLINK("https://lindat.mff.cuni.cz/services/teitok/pdtc10/index.php?action=vallex&amp;frame=v-w1328f11_ZU", "jezdit (v-w1328f11_ZU)")</f>
        <v>jezdit (v-w1328f11_ZU)</v>
      </c>
    </row>
    <row r="10582" customFormat="false" ht="12.8" hidden="false" customHeight="false" outlineLevel="0" collapsed="false">
      <c r="B10582" s="0" t="s">
        <v>1</v>
      </c>
    </row>
    <row r="10583" customFormat="false" ht="12.8" hidden="false" customHeight="false" outlineLevel="0" collapsed="false">
      <c r="B10583" s="0" t="s">
        <v>1262</v>
      </c>
    </row>
    <row r="10585" customFormat="false" ht="12.8" hidden="false" customHeight="false" outlineLevel="0" collapsed="false">
      <c r="A10585" s="0" t="s">
        <v>4968</v>
      </c>
      <c r="B10585" s="0" t="str">
        <f aca="false">HYPERLINK("https://lindat.mff.cuni.cz/services/teitok/pdtc10/index.php?action=vallex&amp;frame=v-w1328f5_ZU", "jezdit (v-w1328f5_ZU) - substituted with v-w1328f11_ZU")</f>
        <v>jezdit (v-w1328f5_ZU) - substituted with v-w1328f11_ZU</v>
      </c>
    </row>
    <row r="10586" customFormat="false" ht="12.8" hidden="false" customHeight="false" outlineLevel="0" collapsed="false">
      <c r="B10586" s="0" t="s">
        <v>1</v>
      </c>
    </row>
    <row r="10587" customFormat="false" ht="12.8" hidden="false" customHeight="false" outlineLevel="0" collapsed="false">
      <c r="B10587" s="0" t="s">
        <v>1262</v>
      </c>
    </row>
    <row r="10589" customFormat="false" ht="12.8" hidden="false" customHeight="false" outlineLevel="0" collapsed="false">
      <c r="A10589" s="0" t="s">
        <v>4968</v>
      </c>
      <c r="B10589" s="0" t="str">
        <f aca="false">HYPERLINK("https://lindat.mff.cuni.cz/services/teitok/pdtc10/index.php?action=vallex&amp;frame=v-w1328f9_ZU", "jezdit (v-w1328f9_ZU) - substituted with v-w1328f11_ZU")</f>
        <v>jezdit (v-w1328f9_ZU) - substituted with v-w1328f11_ZU</v>
      </c>
    </row>
    <row r="10590" customFormat="false" ht="12.8" hidden="false" customHeight="false" outlineLevel="0" collapsed="false">
      <c r="B10590" s="0" t="s">
        <v>1</v>
      </c>
    </row>
    <row r="10591" customFormat="false" ht="12.8" hidden="false" customHeight="false" outlineLevel="0" collapsed="false">
      <c r="B10591" s="0" t="s">
        <v>1262</v>
      </c>
    </row>
    <row r="10593" customFormat="false" ht="12.8" hidden="false" customHeight="false" outlineLevel="0" collapsed="false">
      <c r="A10593" s="0" t="s">
        <v>4969</v>
      </c>
      <c r="B10593" s="0" t="str">
        <f aca="false">HYPERLINK("https://lindat.mff.cuni.cz/services/teitok/pdtc10/index.php?action=vallex&amp;frame=v-w1328hsa_675", "jezdit (v-w1328hsa_675)")</f>
        <v>jezdit (v-w1328hsa_675)</v>
      </c>
    </row>
    <row r="10594" customFormat="false" ht="12.8" hidden="false" customHeight="false" outlineLevel="0" collapsed="false">
      <c r="B10594" s="0" t="s">
        <v>1</v>
      </c>
    </row>
    <row r="10595" customFormat="false" ht="12.8" hidden="false" customHeight="false" outlineLevel="0" collapsed="false">
      <c r="B10595" s="0" t="s">
        <v>721</v>
      </c>
    </row>
    <row r="10597" customFormat="false" ht="12.8" hidden="false" customHeight="false" outlineLevel="0" collapsed="false">
      <c r="A10597" s="0" t="s">
        <v>4970</v>
      </c>
      <c r="B10597" s="0" t="str">
        <f aca="false">HYPERLINK("https://lindat.mff.cuni.cz/services/teitok/pdtc10/index.php?action=vallex&amp;frame=v-w1329f1", "jezdívat (v-w1329f1)")</f>
        <v>jezdívat (v-w1329f1)</v>
      </c>
      <c r="E10597" s="0" t="str">
        <f aca="false">HYPERLINK("https://lindat.mff.cuni.cz/services/SynSemClass40/SynSemClass40.html?veclass=vec00403#vec00403-ces-cm00030", "vec00403")</f>
        <v>vec00403</v>
      </c>
      <c r="F10597" s="0" t="s">
        <v>1368</v>
      </c>
    </row>
    <row r="10598" customFormat="false" ht="12.8" hidden="false" customHeight="false" outlineLevel="0" collapsed="false">
      <c r="B10598" s="0" t="s">
        <v>1</v>
      </c>
      <c r="C10598" s="0" t="s">
        <v>1369</v>
      </c>
      <c r="E10598" s="0" t="s">
        <v>11</v>
      </c>
      <c r="F10598" s="0" t="s">
        <v>1370</v>
      </c>
    </row>
    <row r="10599" customFormat="false" ht="12.8" hidden="false" customHeight="false" outlineLevel="0" collapsed="false">
      <c r="B10599" s="0" t="s">
        <v>164</v>
      </c>
      <c r="C10599" s="0" t="s">
        <v>4924</v>
      </c>
      <c r="E10599" s="0" t="s">
        <v>2365</v>
      </c>
      <c r="F10599" s="0" t="s">
        <v>2366</v>
      </c>
    </row>
    <row r="10601" customFormat="false" ht="12.8" hidden="false" customHeight="false" outlineLevel="0" collapsed="false">
      <c r="A10601" s="0" t="s">
        <v>4971</v>
      </c>
      <c r="B10601" s="0" t="str">
        <f aca="false">HYPERLINK("https://lindat.mff.cuni.cz/services/teitok/pdtc10/index.php?action=vallex&amp;frame=v-w1329f2_ZU", "jezdívat (v-w1329f2_ZU)")</f>
        <v>jezdívat (v-w1329f2_ZU)</v>
      </c>
    </row>
    <row r="10602" customFormat="false" ht="12.8" hidden="false" customHeight="false" outlineLevel="0" collapsed="false">
      <c r="B10602" s="0" t="s">
        <v>1</v>
      </c>
    </row>
    <row r="10603" customFormat="false" ht="12.8" hidden="false" customHeight="false" outlineLevel="0" collapsed="false">
      <c r="B10603" s="0" t="s">
        <v>8</v>
      </c>
    </row>
    <row r="10605" customFormat="false" ht="12.8" hidden="false" customHeight="false" outlineLevel="0" collapsed="false">
      <c r="A10605" s="0" t="s">
        <v>4972</v>
      </c>
      <c r="B10605" s="0" t="str">
        <f aca="false">HYPERLINK("https://lindat.mff.cuni.cz/services/teitok/pdtc10/index.php?action=vallex&amp;frame=v-w1329hsa_249", "jezdívat (v-w1329hsa_249)")</f>
        <v>jezdívat (v-w1329hsa_249)</v>
      </c>
    </row>
    <row r="10606" customFormat="false" ht="12.8" hidden="false" customHeight="false" outlineLevel="0" collapsed="false">
      <c r="B10606" s="0" t="s">
        <v>1</v>
      </c>
    </row>
    <row r="10608" customFormat="false" ht="12.8" hidden="false" customHeight="false" outlineLevel="0" collapsed="false">
      <c r="A10608" s="0" t="s">
        <v>4973</v>
      </c>
      <c r="B10608" s="0" t="str">
        <f aca="false">HYPERLINK("https://lindat.mff.cuni.cz/services/teitok/pdtc10/index.php?action=vallex&amp;frame=v-whsa_1426hsa_1427", "jezdívávat (v-whsa_1426hsa_1427)")</f>
        <v>jezdívávat (v-whsa_1426hsa_1427)</v>
      </c>
    </row>
    <row r="10609" customFormat="false" ht="12.8" hidden="false" customHeight="false" outlineLevel="0" collapsed="false">
      <c r="B10609" s="0" t="s">
        <v>1</v>
      </c>
    </row>
    <row r="10610" customFormat="false" ht="12.8" hidden="false" customHeight="false" outlineLevel="0" collapsed="false">
      <c r="B10610" s="0" t="s">
        <v>8</v>
      </c>
    </row>
    <row r="10612" customFormat="false" ht="12.8" hidden="false" customHeight="false" outlineLevel="0" collapsed="false">
      <c r="A10612" s="0" t="s">
        <v>4974</v>
      </c>
      <c r="B10612" s="0" t="str">
        <f aca="false">HYPERLINK("https://lindat.mff.cuni.cz/services/teitok/pdtc10/index.php?action=vallex&amp;frame=v-whsa_1426hsa_1428", "jezdívávat (v-whsa_1426hsa_1428)")</f>
        <v>jezdívávat (v-whsa_1426hsa_1428)</v>
      </c>
    </row>
    <row r="10613" customFormat="false" ht="12.8" hidden="false" customHeight="false" outlineLevel="0" collapsed="false">
      <c r="B10613" s="0" t="s">
        <v>1</v>
      </c>
    </row>
    <row r="10615" customFormat="false" ht="12.8" hidden="false" customHeight="false" outlineLevel="0" collapsed="false">
      <c r="A10615" s="0" t="s">
        <v>4975</v>
      </c>
      <c r="B10615" s="0" t="str">
        <f aca="false">HYPERLINK("https://lindat.mff.cuni.cz/services/teitok/pdtc10/index.php?action=vallex&amp;frame=v-whsa_1426hsa_1429", "jezdívávat (v-whsa_1426hsa_1429)")</f>
        <v>jezdívávat (v-whsa_1426hsa_1429)</v>
      </c>
    </row>
    <row r="10616" customFormat="false" ht="12.8" hidden="false" customHeight="false" outlineLevel="0" collapsed="false">
      <c r="B10616" s="0" t="s">
        <v>1</v>
      </c>
    </row>
    <row r="10617" customFormat="false" ht="12.8" hidden="false" customHeight="false" outlineLevel="0" collapsed="false">
      <c r="B10617" s="0" t="s">
        <v>164</v>
      </c>
    </row>
    <row r="10619" customFormat="false" ht="12.8" hidden="false" customHeight="false" outlineLevel="0" collapsed="false">
      <c r="A10619" s="0" t="s">
        <v>4976</v>
      </c>
      <c r="B10619" s="0" t="str">
        <f aca="false">HYPERLINK("https://lindat.mff.cuni.cz/services/teitok/pdtc10/index.php?action=vallex&amp;frame=v-w10865f2", "ječet (v-w10865f2)")</f>
        <v>ječet (v-w10865f2)</v>
      </c>
      <c r="E10619" s="0" t="str">
        <f aca="false">HYPERLINK("https://lindat.mff.cuni.cz/services/SynSemClass40/SynSemClass40.html?veclass=vec00426#vec00426-ces-cm00002", "vec00426")</f>
        <v>vec00426</v>
      </c>
      <c r="F10619" s="0" t="s">
        <v>4756</v>
      </c>
    </row>
    <row r="10620" customFormat="false" ht="12.8" hidden="false" customHeight="false" outlineLevel="0" collapsed="false">
      <c r="B10620" s="0" t="s">
        <v>1</v>
      </c>
      <c r="C10620" s="0" t="s">
        <v>4725</v>
      </c>
      <c r="E10620" s="0" t="s">
        <v>147</v>
      </c>
      <c r="F10620" s="0" t="s">
        <v>4757</v>
      </c>
    </row>
    <row r="10621" customFormat="false" ht="12.8" hidden="false" customHeight="false" outlineLevel="0" collapsed="false">
      <c r="B10621" s="0" t="s">
        <v>4977</v>
      </c>
      <c r="C10621" s="0" t="s">
        <v>4627</v>
      </c>
      <c r="E10621" s="0" t="s">
        <v>218</v>
      </c>
      <c r="F10621" s="0" t="s">
        <v>4978</v>
      </c>
    </row>
    <row r="10622" customFormat="false" ht="12.8" hidden="false" customHeight="false" outlineLevel="0" collapsed="false">
      <c r="B10622" s="0" t="s">
        <v>4688</v>
      </c>
      <c r="C10622" s="0" t="s">
        <v>4761</v>
      </c>
      <c r="E10622" s="0" t="s">
        <v>564</v>
      </c>
      <c r="F10622" s="0" t="s">
        <v>4762</v>
      </c>
    </row>
    <row r="10624" customFormat="false" ht="12.8" hidden="false" customHeight="false" outlineLevel="0" collapsed="false">
      <c r="A10624" s="0" t="s">
        <v>4979</v>
      </c>
      <c r="B10624" s="0" t="str">
        <f aca="false">HYPERLINK("https://lindat.mff.cuni.cz/services/teitok/pdtc10/index.php?action=vallex&amp;frame=v-w10865hsa_938", "ječet (v-w10865hsa_938)")</f>
        <v>ječet (v-w10865hsa_938)</v>
      </c>
      <c r="E10624" s="0" t="str">
        <f aca="false">HYPERLINK("https://lindat.mff.cuni.cz/services/SynSemClass40/SynSemClass40.html?veclass=vec01348#vec01348-ces-cm00004", "vec01348")</f>
        <v>vec01348</v>
      </c>
      <c r="F10624" s="0" t="s">
        <v>793</v>
      </c>
    </row>
    <row r="10625" customFormat="false" ht="12.8" hidden="false" customHeight="false" outlineLevel="0" collapsed="false">
      <c r="B10625" s="0" t="s">
        <v>1</v>
      </c>
      <c r="C10625" s="0" t="s">
        <v>471</v>
      </c>
      <c r="E10625" s="0" t="s">
        <v>794</v>
      </c>
      <c r="F10625" s="0" t="s">
        <v>795</v>
      </c>
    </row>
    <row r="10627" customFormat="false" ht="12.8" hidden="false" customHeight="false" outlineLevel="0" collapsed="false">
      <c r="A10627" s="0" t="s">
        <v>4980</v>
      </c>
      <c r="B10627" s="0" t="str">
        <f aca="false">HYPERLINK("https://lindat.mff.cuni.cz/services/teitok/pdtc10/index.php?action=vallex&amp;frame=v-w1330f1", "ježit se (v-w1330f1)")</f>
        <v>ježit se (v-w1330f1)</v>
      </c>
    </row>
    <row r="10628" customFormat="false" ht="12.8" hidden="false" customHeight="false" outlineLevel="0" collapsed="false">
      <c r="B10628" s="0" t="s">
        <v>1</v>
      </c>
    </row>
    <row r="10629" customFormat="false" ht="12.8" hidden="false" customHeight="false" outlineLevel="0" collapsed="false">
      <c r="B10629" s="0" t="s">
        <v>286</v>
      </c>
    </row>
    <row r="10631" customFormat="false" ht="12.8" hidden="false" customHeight="false" outlineLevel="0" collapsed="false">
      <c r="A10631" s="0" t="s">
        <v>4981</v>
      </c>
      <c r="B10631" s="0" t="str">
        <f aca="false">HYPERLINK("https://lindat.mff.cuni.cz/services/teitok/pdtc10/index.php?action=vallex&amp;frame=v-w1330f3", "ježit se (v-w1330f3)")</f>
        <v>ježit se (v-w1330f3)</v>
      </c>
    </row>
    <row r="10632" customFormat="false" ht="12.8" hidden="false" customHeight="false" outlineLevel="0" collapsed="false">
      <c r="B10632" s="0" t="s">
        <v>1</v>
      </c>
    </row>
    <row r="10633" customFormat="false" ht="12.8" hidden="false" customHeight="false" outlineLevel="0" collapsed="false">
      <c r="B10633" s="0" t="s">
        <v>797</v>
      </c>
    </row>
    <row r="10635" customFormat="false" ht="12.8" hidden="false" customHeight="false" outlineLevel="0" collapsed="false">
      <c r="A10635" s="0" t="s">
        <v>4982</v>
      </c>
      <c r="B10635" s="0" t="str">
        <f aca="false">HYPERLINK("https://lindat.mff.cuni.cz/services/teitok/pdtc10/index.php?action=vallex&amp;frame=v-w1330f2", "ježit se (v-w1330f2)")</f>
        <v>ježit se (v-w1330f2)</v>
      </c>
    </row>
    <row r="10636" customFormat="false" ht="12.8" hidden="false" customHeight="false" outlineLevel="0" collapsed="false">
      <c r="B10636" s="0" t="s">
        <v>1</v>
      </c>
    </row>
    <row r="10638" customFormat="false" ht="12.8" hidden="false" customHeight="false" outlineLevel="0" collapsed="false">
      <c r="A10638" s="0" t="s">
        <v>4983</v>
      </c>
      <c r="B10638" s="0" t="str">
        <f aca="false">HYPERLINK("https://lindat.mff.cuni.cz/services/teitok/pdtc10/index.php?action=vallex&amp;frame=v-w1333f1", "jiskřit (v-w1333f1)")</f>
        <v>jiskřit (v-w1333f1)</v>
      </c>
    </row>
    <row r="10639" customFormat="false" ht="12.8" hidden="false" customHeight="false" outlineLevel="0" collapsed="false">
      <c r="B10639" s="0" t="s">
        <v>1</v>
      </c>
    </row>
    <row r="10641" customFormat="false" ht="12.8" hidden="false" customHeight="false" outlineLevel="0" collapsed="false">
      <c r="A10641" s="0" t="s">
        <v>4984</v>
      </c>
      <c r="B10641" s="0" t="str">
        <f aca="false">HYPERLINK("https://lindat.mff.cuni.cz/services/teitok/pdtc10/index.php?action=vallex&amp;frame=v-w1335f2_ZU", "jistit (v-w1335f2_ZU)")</f>
        <v>jistit (v-w1335f2_ZU)</v>
      </c>
    </row>
    <row r="10642" customFormat="false" ht="12.8" hidden="false" customHeight="false" outlineLevel="0" collapsed="false">
      <c r="B10642" s="0" t="s">
        <v>1</v>
      </c>
    </row>
    <row r="10643" customFormat="false" ht="12.8" hidden="false" customHeight="false" outlineLevel="0" collapsed="false">
      <c r="B10643" s="0" t="s">
        <v>8</v>
      </c>
    </row>
    <row r="10644" customFormat="false" ht="12.8" hidden="false" customHeight="false" outlineLevel="0" collapsed="false">
      <c r="B10644" s="0" t="s">
        <v>574</v>
      </c>
    </row>
    <row r="10646" customFormat="false" ht="12.8" hidden="false" customHeight="false" outlineLevel="0" collapsed="false">
      <c r="A10646" s="0" t="s">
        <v>4984</v>
      </c>
      <c r="B10646" s="0" t="str">
        <f aca="false">HYPERLINK("https://lindat.mff.cuni.cz/services/teitok/pdtc10/index.php?action=vallex&amp;frame=v-w1335f1", "jistit (v-w1335f1) - substituted with v-w1335f2_ZU")</f>
        <v>jistit (v-w1335f1) - substituted with v-w1335f2_ZU</v>
      </c>
      <c r="E10646" s="0" t="str">
        <f aca="false">HYPERLINK("https://lindat.mff.cuni.cz/services/SynSemClass40/SynSemClass40.html?veclass=vec00260#vec00260-ces-cm00002", "vec00260")</f>
        <v>vec00260</v>
      </c>
      <c r="F10646" s="0" t="s">
        <v>4985</v>
      </c>
    </row>
    <row r="10647" customFormat="false" ht="12.8" hidden="false" customHeight="false" outlineLevel="0" collapsed="false">
      <c r="B10647" s="0" t="s">
        <v>1</v>
      </c>
      <c r="C10647" s="0" t="s">
        <v>4986</v>
      </c>
      <c r="E10647" s="0" t="s">
        <v>4987</v>
      </c>
      <c r="F10647" s="0" t="s">
        <v>4988</v>
      </c>
    </row>
    <row r="10648" customFormat="false" ht="12.8" hidden="false" customHeight="false" outlineLevel="0" collapsed="false">
      <c r="B10648" s="0" t="s">
        <v>8</v>
      </c>
      <c r="C10648" s="0" t="s">
        <v>4017</v>
      </c>
      <c r="E10648" s="0" t="s">
        <v>594</v>
      </c>
      <c r="F10648" s="0" t="s">
        <v>4989</v>
      </c>
    </row>
    <row r="10649" customFormat="false" ht="12.8" hidden="false" customHeight="false" outlineLevel="0" collapsed="false">
      <c r="B10649" s="0" t="s">
        <v>574</v>
      </c>
      <c r="C10649" s="0" t="s">
        <v>4990</v>
      </c>
      <c r="E10649" s="0" t="s">
        <v>4991</v>
      </c>
      <c r="F10649" s="0" t="s">
        <v>4992</v>
      </c>
    </row>
    <row r="10651" customFormat="false" ht="12.8" hidden="false" customHeight="false" outlineLevel="0" collapsed="false">
      <c r="A10651" s="0" t="s">
        <v>4993</v>
      </c>
      <c r="B10651" s="0" t="str">
        <f aca="false">HYPERLINK("https://lindat.mff.cuni.cz/services/teitok/pdtc10/index.php?action=vallex&amp;frame=v-w1344f3", "jmenovat (v-w1344f3)")</f>
        <v>jmenovat (v-w1344f3)</v>
      </c>
      <c r="E10651" s="0" t="str">
        <f aca="false">HYPERLINK("https://lindat.mff.cuni.cz/services/SynSemClass40/SynSemClass40.html?veclass=vec01029#vec01029-ces-cm00001", "vec01029")</f>
        <v>vec01029</v>
      </c>
      <c r="F10651" s="0" t="s">
        <v>4994</v>
      </c>
    </row>
    <row r="10652" customFormat="false" ht="12.8" hidden="false" customHeight="false" outlineLevel="0" collapsed="false">
      <c r="B10652" s="0" t="s">
        <v>1</v>
      </c>
      <c r="C10652" s="0" t="s">
        <v>4995</v>
      </c>
      <c r="E10652" s="0" t="s">
        <v>63</v>
      </c>
      <c r="F10652" s="0" t="s">
        <v>4996</v>
      </c>
    </row>
    <row r="10653" customFormat="false" ht="12.8" hidden="false" customHeight="false" outlineLevel="0" collapsed="false">
      <c r="B10653" s="0" t="s">
        <v>305</v>
      </c>
      <c r="C10653" s="0" t="s">
        <v>4997</v>
      </c>
      <c r="E10653" s="0" t="s">
        <v>34</v>
      </c>
      <c r="F10653" s="0" t="s">
        <v>4998</v>
      </c>
    </row>
    <row r="10654" customFormat="false" ht="12.8" hidden="false" customHeight="false" outlineLevel="0" collapsed="false">
      <c r="B10654" s="0" t="s">
        <v>132</v>
      </c>
      <c r="E10654" s="0" t="s">
        <v>221</v>
      </c>
      <c r="F10654" s="0" t="s">
        <v>4699</v>
      </c>
    </row>
    <row r="10656" customFormat="false" ht="12.8" hidden="false" customHeight="false" outlineLevel="0" collapsed="false">
      <c r="A10656" s="0" t="s">
        <v>4999</v>
      </c>
      <c r="B10656" s="0" t="str">
        <f aca="false">HYPERLINK("https://lindat.mff.cuni.cz/services/teitok/pdtc10/index.php?action=vallex&amp;frame=v-w1344f4_ZU", "jmenovat (v-w1344f4_ZU)")</f>
        <v>jmenovat (v-w1344f4_ZU)</v>
      </c>
      <c r="E10656" s="0" t="str">
        <f aca="false">HYPERLINK("https://lindat.mff.cuni.cz/services/SynSemClass40/SynSemClass40.html?veclass=vec00228#vec00228-ces-cm00001", "vec00228")</f>
        <v>vec00228</v>
      </c>
      <c r="F10656" s="0" t="s">
        <v>5000</v>
      </c>
    </row>
    <row r="10657" customFormat="false" ht="12.8" hidden="false" customHeight="false" outlineLevel="0" collapsed="false">
      <c r="B10657" s="0" t="s">
        <v>1</v>
      </c>
      <c r="C10657" s="0" t="s">
        <v>5001</v>
      </c>
      <c r="E10657" s="0" t="s">
        <v>206</v>
      </c>
      <c r="F10657" s="0" t="s">
        <v>5002</v>
      </c>
    </row>
    <row r="10658" customFormat="false" ht="12.8" hidden="false" customHeight="false" outlineLevel="0" collapsed="false">
      <c r="B10658" s="0" t="s">
        <v>8</v>
      </c>
      <c r="C10658" s="0" t="s">
        <v>5003</v>
      </c>
      <c r="E10658" s="0" t="s">
        <v>4297</v>
      </c>
      <c r="F10658" s="0" t="s">
        <v>5004</v>
      </c>
    </row>
    <row r="10659" customFormat="false" ht="12.8" hidden="false" customHeight="false" outlineLevel="0" collapsed="false">
      <c r="B10659" s="0" t="s">
        <v>5005</v>
      </c>
      <c r="C10659" s="0" t="s">
        <v>5006</v>
      </c>
      <c r="E10659" s="0" t="s">
        <v>5007</v>
      </c>
      <c r="F10659" s="0" t="s">
        <v>5008</v>
      </c>
    </row>
    <row r="10661" customFormat="false" ht="12.8" hidden="false" customHeight="false" outlineLevel="0" collapsed="false">
      <c r="A10661" s="0" t="s">
        <v>4999</v>
      </c>
      <c r="B10661" s="0" t="str">
        <f aca="false">HYPERLINK("https://lindat.mff.cuni.cz/services/teitok/pdtc10/index.php?action=vallex&amp;frame=v-w1344f2", "jmenovat (v-w1344f2) - substituted with v-w1344f4_ZU")</f>
        <v>jmenovat (v-w1344f2) - substituted with v-w1344f4_ZU</v>
      </c>
    </row>
    <row r="10662" customFormat="false" ht="12.8" hidden="false" customHeight="false" outlineLevel="0" collapsed="false">
      <c r="B10662" s="0" t="s">
        <v>1</v>
      </c>
    </row>
    <row r="10663" customFormat="false" ht="12.8" hidden="false" customHeight="false" outlineLevel="0" collapsed="false">
      <c r="B10663" s="0" t="s">
        <v>8</v>
      </c>
    </row>
    <row r="10664" customFormat="false" ht="12.8" hidden="false" customHeight="false" outlineLevel="0" collapsed="false">
      <c r="B10664" s="0" t="s">
        <v>5005</v>
      </c>
    </row>
    <row r="10666" customFormat="false" ht="12.8" hidden="false" customHeight="false" outlineLevel="0" collapsed="false">
      <c r="A10666" s="0" t="s">
        <v>5009</v>
      </c>
      <c r="B10666" s="0" t="str">
        <f aca="false">HYPERLINK("https://lindat.mff.cuni.cz/services/teitok/pdtc10/index.php?action=vallex&amp;frame=v-w1344f1", "jmenovat (v-w1344f1)")</f>
        <v>jmenovat (v-w1344f1)</v>
      </c>
      <c r="E10666" s="0" t="str">
        <f aca="false">HYPERLINK("https://lindat.mff.cuni.cz/services/SynSemClass40/SynSemClass40.html?veclass=vec00228#vec00228-ces-cm00002", "vec00228")</f>
        <v>vec00228</v>
      </c>
      <c r="F10666" s="0" t="s">
        <v>5000</v>
      </c>
    </row>
    <row r="10667" customFormat="false" ht="12.8" hidden="false" customHeight="false" outlineLevel="0" collapsed="false">
      <c r="B10667" s="0" t="s">
        <v>1</v>
      </c>
      <c r="C10667" s="0" t="s">
        <v>5001</v>
      </c>
      <c r="E10667" s="0" t="s">
        <v>206</v>
      </c>
      <c r="F10667" s="0" t="s">
        <v>5002</v>
      </c>
    </row>
    <row r="10668" customFormat="false" ht="12.8" hidden="false" customHeight="false" outlineLevel="0" collapsed="false">
      <c r="B10668" s="0" t="s">
        <v>8</v>
      </c>
      <c r="C10668" s="0" t="s">
        <v>5003</v>
      </c>
      <c r="E10668" s="0" t="s">
        <v>4297</v>
      </c>
      <c r="F10668" s="0" t="s">
        <v>5004</v>
      </c>
    </row>
    <row r="10670" customFormat="false" ht="12.8" hidden="false" customHeight="false" outlineLevel="0" collapsed="false">
      <c r="A10670" s="0" t="s">
        <v>5010</v>
      </c>
      <c r="B10670" s="0" t="str">
        <f aca="false">HYPERLINK("https://lindat.mff.cuni.cz/services/teitok/pdtc10/index.php?action=vallex&amp;frame=v-w1344hsa_778", "jmenovat (v-w1344hsa_778)")</f>
        <v>jmenovat (v-w1344hsa_778)</v>
      </c>
    </row>
    <row r="10671" customFormat="false" ht="12.8" hidden="false" customHeight="false" outlineLevel="0" collapsed="false">
      <c r="B10671" s="0" t="s">
        <v>1</v>
      </c>
    </row>
    <row r="10672" customFormat="false" ht="12.8" hidden="false" customHeight="false" outlineLevel="0" collapsed="false">
      <c r="B10672" s="0" t="s">
        <v>8</v>
      </c>
    </row>
    <row r="10673" customFormat="false" ht="12.8" hidden="false" customHeight="false" outlineLevel="0" collapsed="false">
      <c r="B10673" s="0" t="s">
        <v>852</v>
      </c>
    </row>
    <row r="10675" customFormat="false" ht="12.8" hidden="false" customHeight="false" outlineLevel="0" collapsed="false">
      <c r="A10675" s="0" t="s">
        <v>5011</v>
      </c>
      <c r="B10675" s="0" t="str">
        <f aca="false">HYPERLINK("https://lindat.mff.cuni.cz/services/teitok/pdtc10/index.php?action=vallex&amp;frame=v-w1345f1", "jmenovat se (v-w1345f1)")</f>
        <v>jmenovat se (v-w1345f1)</v>
      </c>
      <c r="E10675" s="0" t="str">
        <f aca="false">HYPERLINK("https://lindat.mff.cuni.cz/services/SynSemClass40/SynSemClass40.html?veclass=vec00043#vec00043-ces-cm00004", "vec00043")</f>
        <v>vec00043</v>
      </c>
      <c r="F10675" s="0" t="s">
        <v>5012</v>
      </c>
    </row>
    <row r="10676" customFormat="false" ht="12.8" hidden="false" customHeight="false" outlineLevel="0" collapsed="false">
      <c r="B10676" s="0" t="s">
        <v>1</v>
      </c>
      <c r="C10676" s="0" t="s">
        <v>5013</v>
      </c>
      <c r="E10676" s="0" t="s">
        <v>5014</v>
      </c>
      <c r="F10676" s="0" t="s">
        <v>5015</v>
      </c>
    </row>
    <row r="10677" customFormat="false" ht="12.8" hidden="false" customHeight="false" outlineLevel="0" collapsed="false">
      <c r="B10677" s="0" t="s">
        <v>439</v>
      </c>
      <c r="C10677" s="0" t="s">
        <v>5016</v>
      </c>
      <c r="E10677" s="0" t="s">
        <v>5017</v>
      </c>
      <c r="F10677" s="0" t="s">
        <v>5018</v>
      </c>
    </row>
    <row r="10679" customFormat="false" ht="12.8" hidden="false" customHeight="false" outlineLevel="0" collapsed="false">
      <c r="A10679" s="0" t="s">
        <v>5019</v>
      </c>
      <c r="B10679" s="0" t="str">
        <f aca="false">HYPERLINK("https://lindat.mff.cuni.cz/services/teitok/pdtc10/index.php?action=vallex&amp;frame=v-w1345f2", "jmenovat se (v-w1345f2)")</f>
        <v>jmenovat se (v-w1345f2)</v>
      </c>
    </row>
    <row r="10680" customFormat="false" ht="12.8" hidden="false" customHeight="false" outlineLevel="0" collapsed="false">
      <c r="B10680" s="0" t="s">
        <v>1</v>
      </c>
    </row>
    <row r="10681" customFormat="false" ht="12.8" hidden="false" customHeight="false" outlineLevel="0" collapsed="false">
      <c r="B10681" s="0" t="s">
        <v>852</v>
      </c>
    </row>
    <row r="10683" customFormat="false" ht="12.8" hidden="false" customHeight="false" outlineLevel="0" collapsed="false">
      <c r="A10683" s="0" t="s">
        <v>5020</v>
      </c>
      <c r="B10683" s="0" t="str">
        <f aca="false">HYPERLINK("https://lindat.mff.cuni.cz/services/teitok/pdtc10/index.php?action=vallex&amp;frame=v-w11358f1", "jmout se (v-w11358f1)")</f>
        <v>jmout se (v-w11358f1)</v>
      </c>
    </row>
    <row r="10684" customFormat="false" ht="12.8" hidden="false" customHeight="false" outlineLevel="0" collapsed="false">
      <c r="B10684" s="0" t="s">
        <v>1</v>
      </c>
    </row>
    <row r="10685" customFormat="false" ht="12.8" hidden="false" customHeight="false" outlineLevel="0" collapsed="false">
      <c r="B10685" s="0" t="s">
        <v>886</v>
      </c>
    </row>
    <row r="10687" customFormat="false" ht="12.8" hidden="false" customHeight="false" outlineLevel="0" collapsed="false">
      <c r="A10687" s="0" t="s">
        <v>5021</v>
      </c>
      <c r="B10687" s="0" t="str">
        <f aca="false">HYPERLINK("https://lindat.mff.cuni.cz/services/teitok/pdtc10/index.php?action=vallex&amp;frame=v-w1346f1", "joggovat (v-w1346f1)")</f>
        <v>joggovat (v-w1346f1)</v>
      </c>
    </row>
    <row r="10688" customFormat="false" ht="12.8" hidden="false" customHeight="false" outlineLevel="0" collapsed="false">
      <c r="B10688" s="0" t="s">
        <v>1</v>
      </c>
    </row>
    <row r="10690" customFormat="false" ht="12.8" hidden="false" customHeight="false" outlineLevel="0" collapsed="false">
      <c r="A10690" s="0" t="s">
        <v>5022</v>
      </c>
      <c r="B10690" s="0" t="str">
        <f aca="false">HYPERLINK("https://lindat.mff.cuni.cz/services/teitok/pdtc10/index.php?action=vallex&amp;frame=v-w11039f3", "jásat (v-w11039f3)")</f>
        <v>jásat (v-w11039f3)</v>
      </c>
      <c r="E10690" s="0" t="str">
        <f aca="false">HYPERLINK("https://lindat.mff.cuni.cz/services/SynSemClass40/SynSemClass40.html?veclass=vec00135#vec00135-ces-cm00002", "vec00135")</f>
        <v>vec00135</v>
      </c>
      <c r="F10690" s="0" t="s">
        <v>153</v>
      </c>
      <c r="H10690" s="0" t="str">
        <f aca="false">HYPERLINK("https://lindat.mff.cuni.cz/services/SynSemClass40/SynSemClass40.html?veclass=vec01310#vec01310-ces-cm00003", "vec01310")</f>
        <v>vec01310</v>
      </c>
      <c r="I10690" s="0" t="s">
        <v>5023</v>
      </c>
    </row>
    <row r="10691" customFormat="false" ht="12.8" hidden="false" customHeight="false" outlineLevel="0" collapsed="false">
      <c r="B10691" s="0" t="s">
        <v>1</v>
      </c>
      <c r="C10691" s="0" t="s">
        <v>4471</v>
      </c>
      <c r="E10691" s="0" t="s">
        <v>155</v>
      </c>
      <c r="F10691" s="0" t="s">
        <v>156</v>
      </c>
      <c r="H10691" s="0" t="s">
        <v>266</v>
      </c>
      <c r="I10691" s="0" t="s">
        <v>5024</v>
      </c>
    </row>
    <row r="10692" customFormat="false" ht="12.8" hidden="false" customHeight="false" outlineLevel="0" collapsed="false">
      <c r="B10692" s="0" t="s">
        <v>4070</v>
      </c>
      <c r="C10692" s="0" t="s">
        <v>4473</v>
      </c>
      <c r="E10692" s="0" t="s">
        <v>159</v>
      </c>
      <c r="F10692" s="0" t="s">
        <v>160</v>
      </c>
      <c r="H10692" s="0" t="s">
        <v>271</v>
      </c>
      <c r="I10692" s="0" t="s">
        <v>5025</v>
      </c>
    </row>
    <row r="10694" customFormat="false" ht="12.8" hidden="false" customHeight="false" outlineLevel="0" collapsed="false">
      <c r="A10694" s="0" t="s">
        <v>5026</v>
      </c>
      <c r="B10694" s="0" t="str">
        <f aca="false">HYPERLINK("https://lindat.mff.cuni.cz/services/teitok/pdtc10/index.php?action=vallex&amp;frame=v-whsa_1872hsa_1873", "jídávat (v-whsa_1872hsa_1873)")</f>
        <v>jídávat (v-whsa_1872hsa_1873)</v>
      </c>
    </row>
    <row r="10695" customFormat="false" ht="12.8" hidden="false" customHeight="false" outlineLevel="0" collapsed="false">
      <c r="B10695" s="0" t="s">
        <v>1</v>
      </c>
    </row>
    <row r="10697" customFormat="false" ht="12.8" hidden="false" customHeight="false" outlineLevel="0" collapsed="false">
      <c r="A10697" s="0" t="s">
        <v>5027</v>
      </c>
      <c r="B10697" s="0" t="str">
        <f aca="false">HYPERLINK("https://lindat.mff.cuni.cz/services/teitok/pdtc10/index.php?action=vallex&amp;frame=v-whsa_1872hsa_1874", "jídávat (v-whsa_1872hsa_1874)")</f>
        <v>jídávat (v-whsa_1872hsa_1874)</v>
      </c>
    </row>
    <row r="10698" customFormat="false" ht="12.8" hidden="false" customHeight="false" outlineLevel="0" collapsed="false">
      <c r="B10698" s="0" t="s">
        <v>1</v>
      </c>
    </row>
    <row r="10699" customFormat="false" ht="12.8" hidden="false" customHeight="false" outlineLevel="0" collapsed="false">
      <c r="B10699" s="0" t="s">
        <v>8</v>
      </c>
    </row>
    <row r="10701" customFormat="false" ht="12.8" hidden="false" customHeight="false" outlineLevel="0" collapsed="false">
      <c r="A10701" s="0" t="s">
        <v>5028</v>
      </c>
      <c r="B10701" s="0" t="str">
        <f aca="false">HYPERLINK("https://lindat.mff.cuni.cz/services/teitok/pdtc10/index.php?action=vallex&amp;frame=v-w1331f1", "jímat (v-w1331f1)")</f>
        <v>jímat (v-w1331f1)</v>
      </c>
    </row>
    <row r="10702" customFormat="false" ht="12.8" hidden="false" customHeight="false" outlineLevel="0" collapsed="false">
      <c r="B10702" s="0" t="s">
        <v>5029</v>
      </c>
    </row>
    <row r="10703" customFormat="false" ht="12.8" hidden="false" customHeight="false" outlineLevel="0" collapsed="false">
      <c r="B10703" s="0" t="s">
        <v>8</v>
      </c>
    </row>
    <row r="10705" customFormat="false" ht="12.8" hidden="false" customHeight="false" outlineLevel="0" collapsed="false">
      <c r="A10705" s="0" t="s">
        <v>5030</v>
      </c>
      <c r="B10705" s="0" t="str">
        <f aca="false">HYPERLINK("https://lindat.mff.cuni.cz/services/teitok/pdtc10/index.php?action=vallex&amp;frame=v-w1334f1", "jíst (v-w1334f1)")</f>
        <v>jíst (v-w1334f1)</v>
      </c>
      <c r="E10705" s="0" t="str">
        <f aca="false">HYPERLINK("https://lindat.mff.cuni.cz/services/SynSemClass40/SynSemClass40.html?veclass=vec00828#vec00828-ces-cm00002", "vec00828")</f>
        <v>vec00828</v>
      </c>
      <c r="F10705" s="0" t="s">
        <v>4326</v>
      </c>
    </row>
    <row r="10706" customFormat="false" ht="12.8" hidden="false" customHeight="false" outlineLevel="0" collapsed="false">
      <c r="B10706" s="0" t="s">
        <v>1</v>
      </c>
      <c r="C10706" s="0" t="s">
        <v>5031</v>
      </c>
      <c r="E10706" s="0" t="s">
        <v>658</v>
      </c>
      <c r="F10706" s="0" t="s">
        <v>4329</v>
      </c>
    </row>
    <row r="10707" customFormat="false" ht="12.8" hidden="false" customHeight="false" outlineLevel="0" collapsed="false">
      <c r="B10707" s="0" t="s">
        <v>5032</v>
      </c>
      <c r="C10707" s="0" t="s">
        <v>1767</v>
      </c>
      <c r="E10707" s="0" t="s">
        <v>661</v>
      </c>
      <c r="F10707" s="0" t="s">
        <v>4332</v>
      </c>
    </row>
    <row r="10709" customFormat="false" ht="12.8" hidden="false" customHeight="false" outlineLevel="0" collapsed="false">
      <c r="A10709" s="0" t="s">
        <v>5033</v>
      </c>
      <c r="B10709" s="0" t="str">
        <f aca="false">HYPERLINK("https://lindat.mff.cuni.cz/services/teitok/pdtc10/index.php?action=vallex&amp;frame=v-w1334f2", "jíst (v-w1334f2)")</f>
        <v>jíst (v-w1334f2)</v>
      </c>
      <c r="E10709" s="0" t="str">
        <f aca="false">HYPERLINK("https://lindat.mff.cuni.cz/services/SynSemClass40/SynSemClass40.html?veclass=vec00828#vec00828-ces-cm00001", "vec00828")</f>
        <v>vec00828</v>
      </c>
      <c r="F10709" s="0" t="s">
        <v>4326</v>
      </c>
    </row>
    <row r="10710" customFormat="false" ht="12.8" hidden="false" customHeight="false" outlineLevel="0" collapsed="false">
      <c r="B10710" s="0" t="s">
        <v>1</v>
      </c>
      <c r="C10710" s="0" t="s">
        <v>5031</v>
      </c>
      <c r="E10710" s="0" t="s">
        <v>658</v>
      </c>
      <c r="F10710" s="0" t="s">
        <v>4329</v>
      </c>
    </row>
    <row r="10712" customFormat="false" ht="12.8" hidden="false" customHeight="false" outlineLevel="0" collapsed="false">
      <c r="A10712" s="0" t="s">
        <v>5034</v>
      </c>
      <c r="B10712" s="0" t="str">
        <f aca="false">HYPERLINK("https://lindat.mff.cuni.cz/services/teitok/pdtc10/index.php?action=vallex&amp;frame=v-w1339f40", "jít (v-w1339f40)")</f>
        <v>jít (v-w1339f40)</v>
      </c>
    </row>
    <row r="10713" customFormat="false" ht="12.8" hidden="false" customHeight="false" outlineLevel="0" collapsed="false">
      <c r="B10713" s="0" t="s">
        <v>1</v>
      </c>
    </row>
    <row r="10714" customFormat="false" ht="12.8" hidden="false" customHeight="false" outlineLevel="0" collapsed="false">
      <c r="B10714" s="0" t="s">
        <v>26</v>
      </c>
    </row>
    <row r="10715" customFormat="false" ht="12.8" hidden="false" customHeight="false" outlineLevel="0" collapsed="false">
      <c r="B10715" s="0" t="s">
        <v>5035</v>
      </c>
    </row>
    <row r="10717" customFormat="false" ht="12.8" hidden="false" customHeight="false" outlineLevel="0" collapsed="false">
      <c r="A10717" s="0" t="s">
        <v>5036</v>
      </c>
      <c r="B10717" s="0" t="str">
        <f aca="false">HYPERLINK("https://lindat.mff.cuni.cz/services/teitok/pdtc10/index.php?action=vallex&amp;frame=v-w1339f49_ZU", "jít (v-w1339f49_ZU)")</f>
        <v>jít (v-w1339f49_ZU)</v>
      </c>
    </row>
    <row r="10718" customFormat="false" ht="12.8" hidden="false" customHeight="false" outlineLevel="0" collapsed="false">
      <c r="B10718" s="0" t="s">
        <v>1</v>
      </c>
    </row>
    <row r="10719" customFormat="false" ht="12.8" hidden="false" customHeight="false" outlineLevel="0" collapsed="false">
      <c r="B10719" s="0" t="s">
        <v>721</v>
      </c>
    </row>
    <row r="10720" customFormat="false" ht="12.8" hidden="false" customHeight="false" outlineLevel="0" collapsed="false">
      <c r="B10720" s="0" t="s">
        <v>164</v>
      </c>
    </row>
    <row r="10722" customFormat="false" ht="12.8" hidden="false" customHeight="false" outlineLevel="0" collapsed="false">
      <c r="A10722" s="0" t="s">
        <v>5037</v>
      </c>
      <c r="B10722" s="0" t="str">
        <f aca="false">HYPERLINK("https://lindat.mff.cuni.cz/services/teitok/pdtc10/index.php?action=vallex&amp;frame=v-w1339f36", "jít (v-w1339f36)")</f>
        <v>jít (v-w1339f36)</v>
      </c>
      <c r="E10722" s="0" t="str">
        <f aca="false">HYPERLINK("https://lindat.mff.cuni.cz/services/SynSemClass40/SynSemClass40.html?veclass=vec00619#vec00619-ces-cm00001", "vec00619")</f>
        <v>vec00619</v>
      </c>
      <c r="F10722" s="0" t="s">
        <v>5038</v>
      </c>
    </row>
    <row r="10723" customFormat="false" ht="12.8" hidden="false" customHeight="false" outlineLevel="0" collapsed="false">
      <c r="B10723" s="0" t="s">
        <v>629</v>
      </c>
      <c r="C10723" s="0" t="s">
        <v>767</v>
      </c>
      <c r="E10723" s="0" t="s">
        <v>2291</v>
      </c>
      <c r="F10723" s="0" t="s">
        <v>5039</v>
      </c>
    </row>
    <row r="10724" customFormat="false" ht="12.8" hidden="false" customHeight="false" outlineLevel="0" collapsed="false">
      <c r="B10724" s="0" t="s">
        <v>1659</v>
      </c>
      <c r="C10724" s="0" t="s">
        <v>4105</v>
      </c>
      <c r="E10724" s="0" t="s">
        <v>384</v>
      </c>
      <c r="F10724" s="0" t="s">
        <v>5040</v>
      </c>
    </row>
    <row r="10726" customFormat="false" ht="12.8" hidden="false" customHeight="false" outlineLevel="0" collapsed="false">
      <c r="A10726" s="0" t="s">
        <v>5041</v>
      </c>
      <c r="B10726" s="0" t="str">
        <f aca="false">HYPERLINK("https://lindat.mff.cuni.cz/services/teitok/pdtc10/index.php?action=vallex&amp;frame=v-w1339f26", "jít (v-w1339f26)")</f>
        <v>jít (v-w1339f26)</v>
      </c>
    </row>
    <row r="10727" customFormat="false" ht="12.8" hidden="false" customHeight="false" outlineLevel="0" collapsed="false">
      <c r="B10727" s="0" t="s">
        <v>1</v>
      </c>
    </row>
    <row r="10728" customFormat="false" ht="12.8" hidden="false" customHeight="false" outlineLevel="0" collapsed="false">
      <c r="B10728" s="0" t="s">
        <v>8</v>
      </c>
    </row>
    <row r="10730" customFormat="false" ht="12.8" hidden="false" customHeight="false" outlineLevel="0" collapsed="false">
      <c r="A10730" s="0" t="s">
        <v>5042</v>
      </c>
      <c r="B10730" s="0" t="str">
        <f aca="false">HYPERLINK("https://lindat.mff.cuni.cz/services/teitok/pdtc10/index.php?action=vallex&amp;frame=v-w1339f45", "jít (v-w1339f45)")</f>
        <v>jít (v-w1339f45)</v>
      </c>
    </row>
    <row r="10731" customFormat="false" ht="12.8" hidden="false" customHeight="false" outlineLevel="0" collapsed="false">
      <c r="B10731" s="0" t="s">
        <v>1</v>
      </c>
    </row>
    <row r="10732" customFormat="false" ht="12.8" hidden="false" customHeight="false" outlineLevel="0" collapsed="false">
      <c r="B10732" s="0" t="s">
        <v>1405</v>
      </c>
    </row>
    <row r="10734" customFormat="false" ht="12.8" hidden="false" customHeight="false" outlineLevel="0" collapsed="false">
      <c r="A10734" s="0" t="s">
        <v>5043</v>
      </c>
      <c r="B10734" s="0" t="str">
        <f aca="false">HYPERLINK("https://lindat.mff.cuni.cz/services/teitok/pdtc10/index.php?action=vallex&amp;frame=v-w1339f10", "jít (v-w1339f10)")</f>
        <v>jít (v-w1339f10)</v>
      </c>
      <c r="E10734" s="0" t="str">
        <f aca="false">HYPERLINK("https://lindat.mff.cuni.cz/services/SynSemClass40/SynSemClass40.html?veclass=vec00618#vec00618-ces-cm00001", "vec00618")</f>
        <v>vec00618</v>
      </c>
      <c r="F10734" s="0" t="s">
        <v>5044</v>
      </c>
      <c r="H10734" s="0" t="str">
        <f aca="false">HYPERLINK("https://lindat.mff.cuni.cz/services/SynSemClass40/SynSemClass40.html?veclass=vec01458#vec01458-ces-cm00020", "vec01458")</f>
        <v>vec01458</v>
      </c>
      <c r="I10734" s="0" t="s">
        <v>127</v>
      </c>
    </row>
    <row r="10735" customFormat="false" ht="12.8" hidden="false" customHeight="false" outlineLevel="0" collapsed="false">
      <c r="B10735" s="0" t="s">
        <v>1</v>
      </c>
      <c r="C10735" s="0" t="s">
        <v>5045</v>
      </c>
      <c r="E10735" s="0" t="s">
        <v>11</v>
      </c>
      <c r="F10735" s="0" t="s">
        <v>5046</v>
      </c>
      <c r="H10735" s="0" t="s">
        <v>31</v>
      </c>
      <c r="I10735" s="0" t="s">
        <v>130</v>
      </c>
    </row>
    <row r="10736" customFormat="false" ht="12.8" hidden="false" customHeight="false" outlineLevel="0" collapsed="false">
      <c r="B10736" s="0" t="s">
        <v>1187</v>
      </c>
      <c r="C10736" s="0" t="s">
        <v>5047</v>
      </c>
      <c r="E10736" s="0" t="s">
        <v>14</v>
      </c>
      <c r="F10736" s="0" t="s">
        <v>5048</v>
      </c>
      <c r="H10736" s="0" t="s">
        <v>14</v>
      </c>
      <c r="I10736" s="0" t="s">
        <v>288</v>
      </c>
    </row>
    <row r="10738" customFormat="false" ht="12.8" hidden="false" customHeight="false" outlineLevel="0" collapsed="false">
      <c r="A10738" s="0" t="s">
        <v>5049</v>
      </c>
      <c r="B10738" s="0" t="str">
        <f aca="false">HYPERLINK("https://lindat.mff.cuni.cz/services/teitok/pdtc10/index.php?action=vallex&amp;frame=v-w1339f47", "jít (v-w1339f47)")</f>
        <v>jít (v-w1339f47)</v>
      </c>
    </row>
    <row r="10739" customFormat="false" ht="12.8" hidden="false" customHeight="false" outlineLevel="0" collapsed="false">
      <c r="B10739" s="0" t="s">
        <v>1</v>
      </c>
    </row>
    <row r="10740" customFormat="false" ht="12.8" hidden="false" customHeight="false" outlineLevel="0" collapsed="false">
      <c r="B10740" s="0" t="s">
        <v>1187</v>
      </c>
    </row>
    <row r="10742" customFormat="false" ht="12.8" hidden="false" customHeight="false" outlineLevel="0" collapsed="false">
      <c r="A10742" s="0" t="s">
        <v>5050</v>
      </c>
      <c r="B10742" s="0" t="str">
        <f aca="false">HYPERLINK("https://lindat.mff.cuni.cz/services/teitok/pdtc10/index.php?action=vallex&amp;frame=v-w1339f19", "jít (v-w1339f19)")</f>
        <v>jít (v-w1339f19)</v>
      </c>
      <c r="E10742" s="0" t="str">
        <f aca="false">HYPERLINK("https://lindat.mff.cuni.cz/services/SynSemClass40/SynSemClass40.html?veclass=vec00027#vec00027-ces-cm00006", "vec00027")</f>
        <v>vec00027</v>
      </c>
      <c r="F10742" s="0" t="s">
        <v>5051</v>
      </c>
    </row>
    <row r="10743" customFormat="false" ht="12.8" hidden="false" customHeight="false" outlineLevel="0" collapsed="false">
      <c r="B10743" s="0" t="s">
        <v>1</v>
      </c>
      <c r="C10743" s="0" t="s">
        <v>5052</v>
      </c>
      <c r="E10743" s="0" t="s">
        <v>957</v>
      </c>
      <c r="F10743" s="0" t="s">
        <v>5053</v>
      </c>
    </row>
    <row r="10744" customFormat="false" ht="12.8" hidden="false" customHeight="false" outlineLevel="0" collapsed="false">
      <c r="B10744" s="0" t="s">
        <v>45</v>
      </c>
      <c r="C10744" s="0" t="s">
        <v>5054</v>
      </c>
      <c r="E10744" s="0" t="s">
        <v>5055</v>
      </c>
      <c r="F10744" s="0" t="s">
        <v>5056</v>
      </c>
    </row>
    <row r="10746" customFormat="false" ht="12.8" hidden="false" customHeight="false" outlineLevel="0" collapsed="false">
      <c r="A10746" s="0" t="s">
        <v>5057</v>
      </c>
      <c r="B10746" s="0" t="str">
        <f aca="false">HYPERLINK("https://lindat.mff.cuni.cz/services/teitok/pdtc10/index.php?action=vallex&amp;frame=v-w1339f18", "jít (v-w1339f18)")</f>
        <v>jít (v-w1339f18)</v>
      </c>
    </row>
    <row r="10747" customFormat="false" ht="12.8" hidden="false" customHeight="false" outlineLevel="0" collapsed="false">
      <c r="B10747" s="0" t="s">
        <v>1</v>
      </c>
    </row>
    <row r="10748" customFormat="false" ht="12.8" hidden="false" customHeight="false" outlineLevel="0" collapsed="false">
      <c r="B10748" s="0" t="s">
        <v>45</v>
      </c>
    </row>
    <row r="10750" customFormat="false" ht="12.8" hidden="false" customHeight="false" outlineLevel="0" collapsed="false">
      <c r="A10750" s="0" t="s">
        <v>5058</v>
      </c>
      <c r="B10750" s="0" t="str">
        <f aca="false">HYPERLINK("https://lindat.mff.cuni.cz/services/teitok/pdtc10/index.php?action=vallex&amp;frame=v-w1339f33", "jít (v-w1339f33)")</f>
        <v>jít (v-w1339f33)</v>
      </c>
    </row>
    <row r="10751" customFormat="false" ht="12.8" hidden="false" customHeight="false" outlineLevel="0" collapsed="false">
      <c r="B10751" s="0" t="s">
        <v>1</v>
      </c>
    </row>
    <row r="10752" customFormat="false" ht="12.8" hidden="false" customHeight="false" outlineLevel="0" collapsed="false">
      <c r="B10752" s="0" t="s">
        <v>45</v>
      </c>
    </row>
    <row r="10754" customFormat="false" ht="12.8" hidden="false" customHeight="false" outlineLevel="0" collapsed="false">
      <c r="A10754" s="0" t="s">
        <v>5059</v>
      </c>
      <c r="B10754" s="0" t="str">
        <f aca="false">HYPERLINK("https://lindat.mff.cuni.cz/services/teitok/pdtc10/index.php?action=vallex&amp;frame=v-w1339f30", "jít (v-w1339f30)")</f>
        <v>jít (v-w1339f30)</v>
      </c>
    </row>
    <row r="10755" customFormat="false" ht="12.8" hidden="false" customHeight="false" outlineLevel="0" collapsed="false">
      <c r="B10755" s="0" t="s">
        <v>1</v>
      </c>
    </row>
    <row r="10756" customFormat="false" ht="12.8" hidden="false" customHeight="false" outlineLevel="0" collapsed="false">
      <c r="B10756" s="0" t="s">
        <v>1659</v>
      </c>
    </row>
    <row r="10758" customFormat="false" ht="12.8" hidden="false" customHeight="false" outlineLevel="0" collapsed="false">
      <c r="A10758" s="0" t="s">
        <v>5060</v>
      </c>
      <c r="B10758" s="0" t="str">
        <f aca="false">HYPERLINK("https://lindat.mff.cuni.cz/services/teitok/pdtc10/index.php?action=vallex&amp;frame=v-w1339f22", "jít (v-w1339f22)")</f>
        <v>jít (v-w1339f22)</v>
      </c>
    </row>
    <row r="10759" customFormat="false" ht="12.8" hidden="false" customHeight="false" outlineLevel="0" collapsed="false">
      <c r="B10759" s="0" t="s">
        <v>1</v>
      </c>
    </row>
    <row r="10760" customFormat="false" ht="12.8" hidden="false" customHeight="false" outlineLevel="0" collapsed="false">
      <c r="B10760" s="0" t="s">
        <v>5061</v>
      </c>
    </row>
    <row r="10762" customFormat="false" ht="12.8" hidden="false" customHeight="false" outlineLevel="0" collapsed="false">
      <c r="A10762" s="0" t="s">
        <v>5062</v>
      </c>
      <c r="B10762" s="0" t="str">
        <f aca="false">HYPERLINK("https://lindat.mff.cuni.cz/services/teitok/pdtc10/index.php?action=vallex&amp;frame=v-w1339f43", "jít (v-w1339f43)")</f>
        <v>jít (v-w1339f43)</v>
      </c>
    </row>
    <row r="10763" customFormat="false" ht="12.8" hidden="false" customHeight="false" outlineLevel="0" collapsed="false">
      <c r="B10763" s="0" t="s">
        <v>1</v>
      </c>
    </row>
    <row r="10764" customFormat="false" ht="12.8" hidden="false" customHeight="false" outlineLevel="0" collapsed="false">
      <c r="B10764" s="0" t="s">
        <v>1408</v>
      </c>
    </row>
    <row r="10766" customFormat="false" ht="12.8" hidden="false" customHeight="false" outlineLevel="0" collapsed="false">
      <c r="A10766" s="0" t="s">
        <v>5063</v>
      </c>
      <c r="B10766" s="0" t="str">
        <f aca="false">HYPERLINK("https://lindat.mff.cuni.cz/services/teitok/pdtc10/index.php?action=vallex&amp;frame=v-w1339f77_ZU", "jít (v-w1339f77_ZU)")</f>
        <v>jít (v-w1339f77_ZU)</v>
      </c>
    </row>
    <row r="10767" customFormat="false" ht="12.8" hidden="false" customHeight="false" outlineLevel="0" collapsed="false">
      <c r="B10767" s="0" t="s">
        <v>1</v>
      </c>
    </row>
    <row r="10768" customFormat="false" ht="12.8" hidden="false" customHeight="false" outlineLevel="0" collapsed="false">
      <c r="B10768" s="0" t="s">
        <v>4480</v>
      </c>
    </row>
    <row r="10770" customFormat="false" ht="12.8" hidden="false" customHeight="false" outlineLevel="0" collapsed="false">
      <c r="A10770" s="0" t="s">
        <v>5063</v>
      </c>
      <c r="B10770" s="0" t="str">
        <f aca="false">HYPERLINK("https://lindat.mff.cuni.cz/services/teitok/pdtc10/index.php?action=vallex&amp;frame=v-w1339f28", "jít (v-w1339f28) - substituted with v-w1339f77_ZU")</f>
        <v>jít (v-w1339f28) - substituted with v-w1339f77_ZU</v>
      </c>
      <c r="E10770" s="0" t="str">
        <f aca="false">HYPERLINK("https://lindat.mff.cuni.cz/services/SynSemClass40/SynSemClass40.html?veclass=vec00516#vec00516-ces-cm00007", "vec00516")</f>
        <v>vec00516</v>
      </c>
      <c r="F10770" s="0" t="s">
        <v>4818</v>
      </c>
    </row>
    <row r="10771" customFormat="false" ht="12.8" hidden="false" customHeight="false" outlineLevel="0" collapsed="false">
      <c r="B10771" s="0" t="s">
        <v>1</v>
      </c>
      <c r="C10771" s="0" t="s">
        <v>4819</v>
      </c>
      <c r="E10771" s="0" t="s">
        <v>11</v>
      </c>
      <c r="F10771" s="0" t="s">
        <v>4820</v>
      </c>
    </row>
    <row r="10772" customFormat="false" ht="12.8" hidden="false" customHeight="false" outlineLevel="0" collapsed="false">
      <c r="B10772" s="0" t="s">
        <v>4480</v>
      </c>
      <c r="C10772" s="0" t="s">
        <v>4821</v>
      </c>
      <c r="E10772" s="0" t="s">
        <v>523</v>
      </c>
      <c r="F10772" s="0" t="s">
        <v>4822</v>
      </c>
    </row>
    <row r="10774" customFormat="false" ht="12.8" hidden="false" customHeight="false" outlineLevel="0" collapsed="false">
      <c r="A10774" s="0" t="s">
        <v>5064</v>
      </c>
      <c r="B10774" s="0" t="str">
        <f aca="false">HYPERLINK("https://lindat.mff.cuni.cz/services/teitok/pdtc10/index.php?action=vallex&amp;frame=v-w1339f17", "jít (v-w1339f17)")</f>
        <v>jít (v-w1339f17)</v>
      </c>
    </row>
    <row r="10775" customFormat="false" ht="12.8" hidden="false" customHeight="false" outlineLevel="0" collapsed="false">
      <c r="B10775" s="0" t="s">
        <v>804</v>
      </c>
    </row>
    <row r="10776" customFormat="false" ht="12.8" hidden="false" customHeight="false" outlineLevel="0" collapsed="false">
      <c r="B10776" s="0" t="s">
        <v>3556</v>
      </c>
    </row>
    <row r="10778" customFormat="false" ht="12.8" hidden="false" customHeight="false" outlineLevel="0" collapsed="false">
      <c r="A10778" s="0" t="s">
        <v>5065</v>
      </c>
      <c r="B10778" s="0" t="str">
        <f aca="false">HYPERLINK("https://lindat.mff.cuni.cz/services/teitok/pdtc10/index.php?action=vallex&amp;frame=v-w1339f46", "jít (v-w1339f46)")</f>
        <v>jít (v-w1339f46)</v>
      </c>
    </row>
    <row r="10779" customFormat="false" ht="12.8" hidden="false" customHeight="false" outlineLevel="0" collapsed="false">
      <c r="B10779" s="0" t="s">
        <v>804</v>
      </c>
    </row>
    <row r="10780" customFormat="false" ht="12.8" hidden="false" customHeight="false" outlineLevel="0" collapsed="false">
      <c r="B10780" s="0" t="s">
        <v>45</v>
      </c>
    </row>
    <row r="10782" customFormat="false" ht="12.8" hidden="false" customHeight="false" outlineLevel="0" collapsed="false">
      <c r="A10782" s="0" t="s">
        <v>5066</v>
      </c>
      <c r="B10782" s="0" t="str">
        <f aca="false">HYPERLINK("https://lindat.mff.cuni.cz/services/teitok/pdtc10/index.php?action=vallex&amp;frame=v-w1339f2", "jít (v-w1339f2)")</f>
        <v>jít (v-w1339f2)</v>
      </c>
      <c r="E10782" s="0" t="str">
        <f aca="false">HYPERLINK("https://lindat.mff.cuni.cz/services/SynSemClass40/SynSemClass40.html?veclass=vec00574#vec00574-ces-cm00037", "vec00574")</f>
        <v>vec00574</v>
      </c>
      <c r="F10782" s="0" t="s">
        <v>5067</v>
      </c>
    </row>
    <row r="10783" customFormat="false" ht="12.8" hidden="false" customHeight="false" outlineLevel="0" collapsed="false">
      <c r="B10783" s="0" t="s">
        <v>804</v>
      </c>
      <c r="C10783" s="0" t="s">
        <v>5068</v>
      </c>
      <c r="E10783" s="0" t="s">
        <v>621</v>
      </c>
      <c r="F10783" s="0" t="s">
        <v>5069</v>
      </c>
    </row>
    <row r="10784" customFormat="false" ht="12.8" hidden="false" customHeight="false" outlineLevel="0" collapsed="false">
      <c r="B10784" s="0" t="s">
        <v>814</v>
      </c>
      <c r="C10784" s="0" t="s">
        <v>5070</v>
      </c>
      <c r="E10784" s="0" t="s">
        <v>1732</v>
      </c>
      <c r="F10784" s="0" t="s">
        <v>5071</v>
      </c>
    </row>
    <row r="10786" customFormat="false" ht="12.8" hidden="false" customHeight="false" outlineLevel="0" collapsed="false">
      <c r="A10786" s="0" t="s">
        <v>5072</v>
      </c>
      <c r="B10786" s="0" t="str">
        <f aca="false">HYPERLINK("https://lindat.mff.cuni.cz/services/teitok/pdtc10/index.php?action=vallex&amp;frame=v-w1339f72_ZU", "jít (v-w1339f72_ZU)")</f>
        <v>jít (v-w1339f72_ZU)</v>
      </c>
    </row>
    <row r="10787" customFormat="false" ht="12.8" hidden="false" customHeight="false" outlineLevel="0" collapsed="false">
      <c r="B10787" s="0" t="s">
        <v>1</v>
      </c>
    </row>
    <row r="10788" customFormat="false" ht="12.8" hidden="false" customHeight="false" outlineLevel="0" collapsed="false">
      <c r="B10788" s="0" t="s">
        <v>4427</v>
      </c>
    </row>
    <row r="10790" customFormat="false" ht="12.8" hidden="false" customHeight="false" outlineLevel="0" collapsed="false">
      <c r="A10790" s="0" t="s">
        <v>5072</v>
      </c>
      <c r="B10790" s="0" t="str">
        <f aca="false">HYPERLINK("https://lindat.mff.cuni.cz/services/teitok/pdtc10/index.php?action=vallex&amp;frame=v-w1339f50_ZU", "jít (v-w1339f50_ZU) - substituted with v-w1339f72_ZU")</f>
        <v>jít (v-w1339f50_ZU) - substituted with v-w1339f72_ZU</v>
      </c>
      <c r="E10790" s="0" t="str">
        <f aca="false">HYPERLINK("https://lindat.mff.cuni.cz/services/SynSemClass40/SynSemClass40.html?veclass=vec00027#vec00027-ces-cm00007", "vec00027")</f>
        <v>vec00027</v>
      </c>
      <c r="F10790" s="0" t="s">
        <v>5051</v>
      </c>
    </row>
    <row r="10791" customFormat="false" ht="12.8" hidden="false" customHeight="false" outlineLevel="0" collapsed="false">
      <c r="B10791" s="0" t="s">
        <v>1</v>
      </c>
      <c r="C10791" s="0" t="s">
        <v>5052</v>
      </c>
      <c r="E10791" s="0" t="s">
        <v>957</v>
      </c>
      <c r="F10791" s="0" t="s">
        <v>5053</v>
      </c>
    </row>
    <row r="10792" customFormat="false" ht="12.8" hidden="false" customHeight="false" outlineLevel="0" collapsed="false">
      <c r="B10792" s="0" t="s">
        <v>4427</v>
      </c>
      <c r="C10792" s="0" t="s">
        <v>5054</v>
      </c>
      <c r="E10792" s="0" t="s">
        <v>5055</v>
      </c>
      <c r="F10792" s="0" t="s">
        <v>5056</v>
      </c>
    </row>
    <row r="10794" customFormat="false" ht="12.8" hidden="false" customHeight="false" outlineLevel="0" collapsed="false">
      <c r="A10794" s="0" t="s">
        <v>5073</v>
      </c>
      <c r="B10794" s="0" t="str">
        <f aca="false">HYPERLINK("https://lindat.mff.cuni.cz/services/teitok/pdtc10/index.php?action=vallex&amp;frame=v-w1339f85_ZU", "jít (v-w1339f85_ZU)")</f>
        <v>jít (v-w1339f85_ZU)</v>
      </c>
    </row>
    <row r="10795" customFormat="false" ht="12.8" hidden="false" customHeight="false" outlineLevel="0" collapsed="false">
      <c r="B10795" s="0" t="s">
        <v>1</v>
      </c>
    </row>
    <row r="10796" customFormat="false" ht="12.8" hidden="false" customHeight="false" outlineLevel="0" collapsed="false">
      <c r="B10796" s="0" t="s">
        <v>631</v>
      </c>
    </row>
    <row r="10798" customFormat="false" ht="12.8" hidden="false" customHeight="false" outlineLevel="0" collapsed="false">
      <c r="A10798" s="0" t="s">
        <v>5073</v>
      </c>
      <c r="B10798" s="0" t="str">
        <f aca="false">HYPERLINK("https://lindat.mff.cuni.cz/services/teitok/pdtc10/index.php?action=vallex&amp;frame=v-w1339f23", "jít (v-w1339f23) - substituted with v-w1339f85_ZU")</f>
        <v>jít (v-w1339f23) - substituted with v-w1339f85_ZU</v>
      </c>
    </row>
    <row r="10799" customFormat="false" ht="12.8" hidden="false" customHeight="false" outlineLevel="0" collapsed="false">
      <c r="B10799" s="0" t="s">
        <v>1</v>
      </c>
    </row>
    <row r="10800" customFormat="false" ht="12.8" hidden="false" customHeight="false" outlineLevel="0" collapsed="false">
      <c r="B10800" s="0" t="s">
        <v>631</v>
      </c>
    </row>
    <row r="10802" customFormat="false" ht="12.8" hidden="false" customHeight="false" outlineLevel="0" collapsed="false">
      <c r="A10802" s="0" t="s">
        <v>5074</v>
      </c>
      <c r="B10802" s="0" t="str">
        <f aca="false">HYPERLINK("https://lindat.mff.cuni.cz/services/teitok/pdtc10/index.php?action=vallex&amp;frame=v-w1339f5", "jít (v-w1339f5)")</f>
        <v>jít (v-w1339f5)</v>
      </c>
      <c r="E10802" s="0" t="str">
        <f aca="false">HYPERLINK("https://lindat.mff.cuni.cz/services/SynSemClass40/SynSemClass40.html?veclass=vec00403#vec00403-ces-cm00014", "vec00403")</f>
        <v>vec00403</v>
      </c>
      <c r="F10802" s="0" t="s">
        <v>1368</v>
      </c>
    </row>
    <row r="10803" customFormat="false" ht="12.8" hidden="false" customHeight="false" outlineLevel="0" collapsed="false">
      <c r="B10803" s="0" t="s">
        <v>1</v>
      </c>
      <c r="C10803" s="0" t="s">
        <v>1369</v>
      </c>
      <c r="E10803" s="0" t="s">
        <v>11</v>
      </c>
      <c r="F10803" s="0" t="s">
        <v>1370</v>
      </c>
    </row>
    <row r="10804" customFormat="false" ht="12.8" hidden="false" customHeight="false" outlineLevel="0" collapsed="false">
      <c r="B10804" s="0" t="s">
        <v>336</v>
      </c>
      <c r="C10804" s="0" t="s">
        <v>5075</v>
      </c>
      <c r="E10804" s="0" t="s">
        <v>5076</v>
      </c>
      <c r="F10804" s="0" t="s">
        <v>5077</v>
      </c>
    </row>
    <row r="10806" customFormat="false" ht="12.8" hidden="false" customHeight="false" outlineLevel="0" collapsed="false">
      <c r="A10806" s="0" t="s">
        <v>5078</v>
      </c>
      <c r="B10806" s="0" t="str">
        <f aca="false">HYPERLINK("https://lindat.mff.cuni.cz/services/teitok/pdtc10/index.php?action=vallex&amp;frame=v-w1339f96_ZU", "jít (v-w1339f96_ZU)")</f>
        <v>jít (v-w1339f96_ZU)</v>
      </c>
    </row>
    <row r="10807" customFormat="false" ht="12.8" hidden="false" customHeight="false" outlineLevel="0" collapsed="false">
      <c r="B10807" s="0" t="s">
        <v>1</v>
      </c>
    </row>
    <row r="10808" customFormat="false" ht="12.8" hidden="false" customHeight="false" outlineLevel="0" collapsed="false">
      <c r="B10808" s="0" t="s">
        <v>361</v>
      </c>
    </row>
    <row r="10810" customFormat="false" ht="12.8" hidden="false" customHeight="false" outlineLevel="0" collapsed="false">
      <c r="A10810" s="0" t="s">
        <v>5078</v>
      </c>
      <c r="B10810" s="0" t="str">
        <f aca="false">HYPERLINK("https://lindat.mff.cuni.cz/services/teitok/pdtc10/index.php?action=vallex&amp;frame=v-w1339f7", "jít (v-w1339f7) - substituted with v-w1339f96_ZU")</f>
        <v>jít (v-w1339f7) - substituted with v-w1339f96_ZU</v>
      </c>
      <c r="E10810" s="0" t="str">
        <f aca="false">HYPERLINK("https://lindat.mff.cuni.cz/services/SynSemClass40/SynSemClass40.html?veclass=vec00218#vec00218-ces-cm00041", "vec00218")</f>
        <v>vec00218</v>
      </c>
      <c r="F10810" s="0" t="s">
        <v>2143</v>
      </c>
      <c r="H10810" s="0" t="str">
        <f aca="false">HYPERLINK("https://lindat.mff.cuni.cz/services/SynSemClass40/SynSemClass40.html?veclass=vec01458#vec01458-ces-cm00019", "vec01458")</f>
        <v>vec01458</v>
      </c>
      <c r="I10810" s="0" t="s">
        <v>127</v>
      </c>
    </row>
    <row r="10811" customFormat="false" ht="12.8" hidden="false" customHeight="false" outlineLevel="0" collapsed="false">
      <c r="B10811" s="0" t="s">
        <v>1</v>
      </c>
      <c r="C10811" s="0" t="s">
        <v>5079</v>
      </c>
      <c r="E10811" s="0" t="s">
        <v>11</v>
      </c>
      <c r="F10811" s="0" t="s">
        <v>2145</v>
      </c>
      <c r="H10811" s="0" t="s">
        <v>31</v>
      </c>
      <c r="I10811" s="0" t="s">
        <v>130</v>
      </c>
    </row>
    <row r="10812" customFormat="false" ht="12.8" hidden="false" customHeight="false" outlineLevel="0" collapsed="false">
      <c r="B10812" s="0" t="s">
        <v>361</v>
      </c>
      <c r="C10812" s="0" t="s">
        <v>5080</v>
      </c>
      <c r="E10812" s="0" t="s">
        <v>370</v>
      </c>
      <c r="F10812" s="0" t="s">
        <v>2147</v>
      </c>
      <c r="H10812" s="0" t="s">
        <v>5081</v>
      </c>
      <c r="I10812" s="0" t="s">
        <v>5082</v>
      </c>
    </row>
    <row r="10814" customFormat="false" ht="12.8" hidden="false" customHeight="false" outlineLevel="0" collapsed="false">
      <c r="A10814" s="0" t="s">
        <v>5083</v>
      </c>
      <c r="B10814" s="0" t="str">
        <f aca="false">HYPERLINK("https://lindat.mff.cuni.cz/services/teitok/pdtc10/index.php?action=vallex&amp;frame=v-w1339f84_ZU", "jít (v-w1339f84_ZU)")</f>
        <v>jít (v-w1339f84_ZU)</v>
      </c>
    </row>
    <row r="10815" customFormat="false" ht="12.8" hidden="false" customHeight="false" outlineLevel="0" collapsed="false">
      <c r="B10815" s="0" t="s">
        <v>1</v>
      </c>
    </row>
    <row r="10816" customFormat="false" ht="12.8" hidden="false" customHeight="false" outlineLevel="0" collapsed="false">
      <c r="B10816" s="0" t="s">
        <v>164</v>
      </c>
    </row>
    <row r="10818" customFormat="false" ht="12.8" hidden="false" customHeight="false" outlineLevel="0" collapsed="false">
      <c r="A10818" s="0" t="s">
        <v>5083</v>
      </c>
      <c r="B10818" s="0" t="str">
        <f aca="false">HYPERLINK("https://lindat.mff.cuni.cz/services/teitok/pdtc10/index.php?action=vallex&amp;frame=v-w1339f3", "jít (v-w1339f3) - substituted with v-w1339f84_ZU")</f>
        <v>jít (v-w1339f3) - substituted with v-w1339f84_ZU</v>
      </c>
      <c r="E10818" s="0" t="str">
        <f aca="false">HYPERLINK("https://lindat.mff.cuni.cz/services/SynSemClass40/SynSemClass40.html?veclass=vec00227#vec00227-ces-cm00001", "vec00227")</f>
        <v>vec00227</v>
      </c>
      <c r="F10818" s="0" t="s">
        <v>1313</v>
      </c>
      <c r="H10818" s="0" t="str">
        <f aca="false">HYPERLINK("https://lindat.mff.cuni.cz/services/SynSemClass40/SynSemClass40.html?veclass=vec01318#vec01318-ces-cm00015", "vec01318")</f>
        <v>vec01318</v>
      </c>
      <c r="I10818" s="0" t="s">
        <v>5084</v>
      </c>
    </row>
    <row r="10819" customFormat="false" ht="12.8" hidden="false" customHeight="false" outlineLevel="0" collapsed="false">
      <c r="B10819" s="0" t="s">
        <v>1</v>
      </c>
      <c r="C10819" s="0" t="s">
        <v>5085</v>
      </c>
      <c r="E10819" s="0" t="s">
        <v>334</v>
      </c>
      <c r="F10819" s="0" t="s">
        <v>1314</v>
      </c>
      <c r="H10819" s="0" t="s">
        <v>334</v>
      </c>
      <c r="I10819" s="0" t="s">
        <v>5086</v>
      </c>
    </row>
    <row r="10820" customFormat="false" ht="12.8" hidden="false" customHeight="false" outlineLevel="0" collapsed="false">
      <c r="B10820" s="0" t="s">
        <v>164</v>
      </c>
      <c r="E10820" s="0" t="s">
        <v>1315</v>
      </c>
      <c r="F10820" s="0" t="s">
        <v>1316</v>
      </c>
      <c r="H10820" s="0" t="s">
        <v>370</v>
      </c>
      <c r="I10820" s="0" t="s">
        <v>3041</v>
      </c>
    </row>
    <row r="10822" customFormat="false" ht="12.8" hidden="false" customHeight="false" outlineLevel="0" collapsed="false">
      <c r="A10822" s="0" t="s">
        <v>5083</v>
      </c>
      <c r="B10822" s="0" t="str">
        <f aca="false">HYPERLINK("https://lindat.mff.cuni.cz/services/teitok/pdtc10/index.php?action=vallex&amp;frame=v-w1339f82_ZU", "jít (v-w1339f82_ZU) - substituted with v-w1339f84_ZU")</f>
        <v>jít (v-w1339f82_ZU) - substituted with v-w1339f84_ZU</v>
      </c>
    </row>
    <row r="10823" customFormat="false" ht="12.8" hidden="false" customHeight="false" outlineLevel="0" collapsed="false">
      <c r="B10823" s="0" t="s">
        <v>1</v>
      </c>
    </row>
    <row r="10824" customFormat="false" ht="12.8" hidden="false" customHeight="false" outlineLevel="0" collapsed="false">
      <c r="B10824" s="0" t="s">
        <v>164</v>
      </c>
    </row>
    <row r="10826" customFormat="false" ht="12.8" hidden="false" customHeight="false" outlineLevel="0" collapsed="false">
      <c r="A10826" s="0" t="s">
        <v>5087</v>
      </c>
      <c r="B10826" s="0" t="str">
        <f aca="false">HYPERLINK("https://lindat.mff.cuni.cz/services/teitok/pdtc10/index.php?action=vallex&amp;frame=v-w1339f6", "jít (v-w1339f6)")</f>
        <v>jít (v-w1339f6)</v>
      </c>
    </row>
    <row r="10827" customFormat="false" ht="12.8" hidden="false" customHeight="false" outlineLevel="0" collapsed="false">
      <c r="B10827" s="0" t="s">
        <v>1</v>
      </c>
    </row>
    <row r="10828" customFormat="false" ht="12.8" hidden="false" customHeight="false" outlineLevel="0" collapsed="false">
      <c r="B10828" s="0" t="s">
        <v>164</v>
      </c>
    </row>
    <row r="10830" customFormat="false" ht="12.8" hidden="false" customHeight="false" outlineLevel="0" collapsed="false">
      <c r="A10830" s="0" t="s">
        <v>5088</v>
      </c>
      <c r="B10830" s="0" t="str">
        <f aca="false">HYPERLINK("https://lindat.mff.cuni.cz/services/teitok/pdtc10/index.php?action=vallex&amp;frame=v-w1339f9", "jít (v-w1339f9)")</f>
        <v>jít (v-w1339f9)</v>
      </c>
      <c r="E10830" s="0" t="str">
        <f aca="false">HYPERLINK("https://lindat.mff.cuni.cz/services/SynSemClass40/SynSemClass40.html?veclass=vec00027#vec00027-ces-cm00001", "vec00027")</f>
        <v>vec00027</v>
      </c>
      <c r="F10830" s="0" t="s">
        <v>5051</v>
      </c>
    </row>
    <row r="10831" customFormat="false" ht="12.8" hidden="false" customHeight="false" outlineLevel="0" collapsed="false">
      <c r="B10831" s="0" t="s">
        <v>1</v>
      </c>
      <c r="C10831" s="0" t="s">
        <v>5052</v>
      </c>
      <c r="E10831" s="0" t="s">
        <v>957</v>
      </c>
      <c r="F10831" s="0" t="s">
        <v>5053</v>
      </c>
    </row>
    <row r="10832" customFormat="false" ht="12.8" hidden="false" customHeight="false" outlineLevel="0" collapsed="false">
      <c r="B10832" s="0" t="s">
        <v>164</v>
      </c>
      <c r="C10832" s="0" t="s">
        <v>5089</v>
      </c>
      <c r="E10832" s="0" t="s">
        <v>5090</v>
      </c>
      <c r="F10832" s="0" t="s">
        <v>5091</v>
      </c>
    </row>
    <row r="10834" customFormat="false" ht="12.8" hidden="false" customHeight="false" outlineLevel="0" collapsed="false">
      <c r="A10834" s="0" t="s">
        <v>5092</v>
      </c>
      <c r="B10834" s="0" t="str">
        <f aca="false">HYPERLINK("https://lindat.mff.cuni.cz/services/teitok/pdtc10/index.php?action=vallex&amp;frame=v-w1339f79_ZU", "jít (v-w1339f79_ZU)")</f>
        <v>jít (v-w1339f79_ZU)</v>
      </c>
    </row>
    <row r="10835" customFormat="false" ht="12.8" hidden="false" customHeight="false" outlineLevel="0" collapsed="false">
      <c r="B10835" s="0" t="s">
        <v>1</v>
      </c>
    </row>
    <row r="10836" customFormat="false" ht="12.8" hidden="false" customHeight="false" outlineLevel="0" collapsed="false">
      <c r="B10836" s="0" t="s">
        <v>164</v>
      </c>
    </row>
    <row r="10838" customFormat="false" ht="12.8" hidden="false" customHeight="false" outlineLevel="0" collapsed="false">
      <c r="A10838" s="0" t="s">
        <v>5092</v>
      </c>
      <c r="B10838" s="0" t="str">
        <f aca="false">HYPERLINK("https://lindat.mff.cuni.cz/services/teitok/pdtc10/index.php?action=vallex&amp;frame=v-w1339f12", "jít (v-w1339f12) - substituted with v-w1339f79_ZU")</f>
        <v>jít (v-w1339f12) - substituted with v-w1339f79_ZU</v>
      </c>
      <c r="E10838" s="0" t="str">
        <f aca="false">HYPERLINK("https://lindat.mff.cuni.cz/services/SynSemClass40/SynSemClass40.html?veclass=vec00218#vec00218-ces-cm00044", "vec00218")</f>
        <v>vec00218</v>
      </c>
      <c r="F10838" s="0" t="s">
        <v>2143</v>
      </c>
    </row>
    <row r="10839" customFormat="false" ht="12.8" hidden="false" customHeight="false" outlineLevel="0" collapsed="false">
      <c r="B10839" s="0" t="s">
        <v>1</v>
      </c>
      <c r="C10839" s="0" t="s">
        <v>2144</v>
      </c>
      <c r="E10839" s="0" t="s">
        <v>11</v>
      </c>
      <c r="F10839" s="0" t="s">
        <v>2145</v>
      </c>
    </row>
    <row r="10840" customFormat="false" ht="12.8" hidden="false" customHeight="false" outlineLevel="0" collapsed="false">
      <c r="B10840" s="0" t="s">
        <v>164</v>
      </c>
      <c r="C10840" s="0" t="s">
        <v>2146</v>
      </c>
      <c r="E10840" s="0" t="s">
        <v>370</v>
      </c>
      <c r="F10840" s="0" t="s">
        <v>2147</v>
      </c>
    </row>
    <row r="10842" customFormat="false" ht="12.8" hidden="false" customHeight="false" outlineLevel="0" collapsed="false">
      <c r="A10842" s="0" t="s">
        <v>5093</v>
      </c>
      <c r="B10842" s="0" t="str">
        <f aca="false">HYPERLINK("https://lindat.mff.cuni.cz/services/teitok/pdtc10/index.php?action=vallex&amp;frame=v-w1339f94_ZU", "jít (v-w1339f94_ZU)")</f>
        <v>jít (v-w1339f94_ZU)</v>
      </c>
    </row>
    <row r="10843" customFormat="false" ht="12.8" hidden="false" customHeight="false" outlineLevel="0" collapsed="false">
      <c r="B10843" s="0" t="s">
        <v>1</v>
      </c>
    </row>
    <row r="10844" customFormat="false" ht="12.8" hidden="false" customHeight="false" outlineLevel="0" collapsed="false">
      <c r="B10844" s="0" t="s">
        <v>164</v>
      </c>
    </row>
    <row r="10846" customFormat="false" ht="12.8" hidden="false" customHeight="false" outlineLevel="0" collapsed="false">
      <c r="A10846" s="0" t="s">
        <v>5093</v>
      </c>
      <c r="B10846" s="0" t="str">
        <f aca="false">HYPERLINK("https://lindat.mff.cuni.cz/services/teitok/pdtc10/index.php?action=vallex&amp;frame=v-w1339f13", "jít (v-w1339f13) - substituted with v-w1339f94_ZU")</f>
        <v>jít (v-w1339f13) - substituted with v-w1339f94_ZU</v>
      </c>
    </row>
    <row r="10847" customFormat="false" ht="12.8" hidden="false" customHeight="false" outlineLevel="0" collapsed="false">
      <c r="B10847" s="0" t="s">
        <v>1</v>
      </c>
    </row>
    <row r="10848" customFormat="false" ht="12.8" hidden="false" customHeight="false" outlineLevel="0" collapsed="false">
      <c r="B10848" s="0" t="s">
        <v>164</v>
      </c>
    </row>
    <row r="10850" customFormat="false" ht="12.8" hidden="false" customHeight="false" outlineLevel="0" collapsed="false">
      <c r="A10850" s="0" t="s">
        <v>5094</v>
      </c>
      <c r="B10850" s="0" t="str">
        <f aca="false">HYPERLINK("https://lindat.mff.cuni.cz/services/teitok/pdtc10/index.php?action=vallex&amp;frame=v-w1339f24", "jít (v-w1339f24)")</f>
        <v>jít (v-w1339f24)</v>
      </c>
      <c r="E10850" s="0" t="str">
        <f aca="false">HYPERLINK("https://lindat.mff.cuni.cz/services/SynSemClass40/SynSemClass40.html?veclass=vec00218#vec00218-ces-cm00047", "vec00218")</f>
        <v>vec00218</v>
      </c>
      <c r="F10850" s="0" t="s">
        <v>2143</v>
      </c>
    </row>
    <row r="10851" customFormat="false" ht="12.8" hidden="false" customHeight="false" outlineLevel="0" collapsed="false">
      <c r="B10851" s="0" t="s">
        <v>1</v>
      </c>
      <c r="C10851" s="0" t="s">
        <v>2144</v>
      </c>
      <c r="E10851" s="0" t="s">
        <v>11</v>
      </c>
      <c r="F10851" s="0" t="s">
        <v>2145</v>
      </c>
    </row>
    <row r="10852" customFormat="false" ht="12.8" hidden="false" customHeight="false" outlineLevel="0" collapsed="false">
      <c r="B10852" s="0" t="s">
        <v>164</v>
      </c>
      <c r="C10852" s="0" t="s">
        <v>2146</v>
      </c>
      <c r="E10852" s="0" t="s">
        <v>370</v>
      </c>
      <c r="F10852" s="0" t="s">
        <v>2147</v>
      </c>
    </row>
    <row r="10854" customFormat="false" ht="12.8" hidden="false" customHeight="false" outlineLevel="0" collapsed="false">
      <c r="A10854" s="0" t="s">
        <v>5095</v>
      </c>
      <c r="B10854" s="0" t="str">
        <f aca="false">HYPERLINK("https://lindat.mff.cuni.cz/services/teitok/pdtc10/index.php?action=vallex&amp;frame=v-w1339f25", "jít (v-w1339f25)")</f>
        <v>jít (v-w1339f25)</v>
      </c>
      <c r="E10854" s="0" t="str">
        <f aca="false">HYPERLINK("https://lindat.mff.cuni.cz/services/SynSemClass40/SynSemClass40.html?veclass=vec00218#vec00218-ces-cm00048", "vec00218")</f>
        <v>vec00218</v>
      </c>
      <c r="F10854" s="0" t="s">
        <v>2143</v>
      </c>
    </row>
    <row r="10855" customFormat="false" ht="12.8" hidden="false" customHeight="false" outlineLevel="0" collapsed="false">
      <c r="B10855" s="0" t="s">
        <v>1</v>
      </c>
      <c r="C10855" s="0" t="s">
        <v>2144</v>
      </c>
      <c r="E10855" s="0" t="s">
        <v>11</v>
      </c>
      <c r="F10855" s="0" t="s">
        <v>2145</v>
      </c>
    </row>
    <row r="10856" customFormat="false" ht="12.8" hidden="false" customHeight="false" outlineLevel="0" collapsed="false">
      <c r="B10856" s="0" t="s">
        <v>164</v>
      </c>
      <c r="C10856" s="0" t="s">
        <v>2146</v>
      </c>
      <c r="E10856" s="0" t="s">
        <v>370</v>
      </c>
      <c r="F10856" s="0" t="s">
        <v>2147</v>
      </c>
    </row>
    <row r="10858" customFormat="false" ht="12.8" hidden="false" customHeight="false" outlineLevel="0" collapsed="false">
      <c r="A10858" s="0" t="s">
        <v>5096</v>
      </c>
      <c r="B10858" s="0" t="str">
        <f aca="false">HYPERLINK("https://lindat.mff.cuni.cz/services/teitok/pdtc10/index.php?action=vallex&amp;frame=v-w1339f14", "jít (v-w1339f14)")</f>
        <v>jít (v-w1339f14)</v>
      </c>
    </row>
    <row r="10859" customFormat="false" ht="12.8" hidden="false" customHeight="false" outlineLevel="0" collapsed="false">
      <c r="B10859" s="0" t="s">
        <v>5097</v>
      </c>
    </row>
    <row r="10861" customFormat="false" ht="12.8" hidden="false" customHeight="false" outlineLevel="0" collapsed="false">
      <c r="A10861" s="0" t="s">
        <v>5098</v>
      </c>
      <c r="B10861" s="0" t="str">
        <f aca="false">HYPERLINK("https://lindat.mff.cuni.cz/services/teitok/pdtc10/index.php?action=vallex&amp;frame=v-w1339f8", "jít (v-w1339f8)")</f>
        <v>jít (v-w1339f8)</v>
      </c>
    </row>
    <row r="10862" customFormat="false" ht="12.8" hidden="false" customHeight="false" outlineLevel="0" collapsed="false">
      <c r="B10862" s="0" t="s">
        <v>345</v>
      </c>
    </row>
    <row r="10864" customFormat="false" ht="12.8" hidden="false" customHeight="false" outlineLevel="0" collapsed="false">
      <c r="A10864" s="0" t="s">
        <v>5099</v>
      </c>
      <c r="B10864" s="0" t="str">
        <f aca="false">HYPERLINK("https://lindat.mff.cuni.cz/services/teitok/pdtc10/index.php?action=vallex&amp;frame=v-w1339f4", "jít (v-w1339f4)")</f>
        <v>jít (v-w1339f4)</v>
      </c>
      <c r="E10864" s="0" t="str">
        <f aca="false">HYPERLINK("https://lindat.mff.cuni.cz/services/SynSemClass40/SynSemClass40.html?veclass=vec00221#vec00221-ces-cm00059", "vec00221")</f>
        <v>vec00221</v>
      </c>
      <c r="F10864" s="0" t="s">
        <v>1051</v>
      </c>
    </row>
    <row r="10865" customFormat="false" ht="12.8" hidden="false" customHeight="false" outlineLevel="0" collapsed="false">
      <c r="B10865" s="0" t="s">
        <v>1</v>
      </c>
      <c r="C10865" s="0" t="s">
        <v>1052</v>
      </c>
      <c r="E10865" s="0" t="s">
        <v>1053</v>
      </c>
      <c r="F10865" s="0" t="s">
        <v>1054</v>
      </c>
    </row>
    <row r="10867" customFormat="false" ht="12.8" hidden="false" customHeight="false" outlineLevel="0" collapsed="false">
      <c r="A10867" s="0" t="s">
        <v>5100</v>
      </c>
      <c r="B10867" s="0" t="str">
        <f aca="false">HYPERLINK("https://lindat.mff.cuni.cz/services/teitok/pdtc10/index.php?action=vallex&amp;frame=v-w1339f20", "jít (v-w1339f20)")</f>
        <v>jít (v-w1339f20)</v>
      </c>
    </row>
    <row r="10868" customFormat="false" ht="12.8" hidden="false" customHeight="false" outlineLevel="0" collapsed="false">
      <c r="B10868" s="0" t="s">
        <v>1</v>
      </c>
    </row>
    <row r="10870" customFormat="false" ht="12.8" hidden="false" customHeight="false" outlineLevel="0" collapsed="false">
      <c r="A10870" s="0" t="s">
        <v>5101</v>
      </c>
      <c r="B10870" s="0" t="str">
        <f aca="false">HYPERLINK("https://lindat.mff.cuni.cz/services/teitok/pdtc10/index.php?action=vallex&amp;frame=v-w1339f35", "jít (v-w1339f35)")</f>
        <v>jít (v-w1339f35)</v>
      </c>
    </row>
    <row r="10871" customFormat="false" ht="12.8" hidden="false" customHeight="false" outlineLevel="0" collapsed="false">
      <c r="B10871" s="0" t="s">
        <v>1</v>
      </c>
    </row>
    <row r="10873" customFormat="false" ht="12.8" hidden="false" customHeight="false" outlineLevel="0" collapsed="false">
      <c r="A10873" s="0" t="s">
        <v>5102</v>
      </c>
      <c r="B10873" s="0" t="str">
        <f aca="false">HYPERLINK("https://lindat.mff.cuni.cz/services/teitok/pdtc10/index.php?action=vallex&amp;frame=v-w1339f88_ZU", "jít (v-w1339f88_ZU)")</f>
        <v>jít (v-w1339f88_ZU)</v>
      </c>
    </row>
    <row r="10874" customFormat="false" ht="12.8" hidden="false" customHeight="false" outlineLevel="0" collapsed="false">
      <c r="B10874" s="0" t="s">
        <v>1</v>
      </c>
    </row>
    <row r="10876" customFormat="false" ht="12.8" hidden="false" customHeight="false" outlineLevel="0" collapsed="false">
      <c r="A10876" s="0" t="s">
        <v>5102</v>
      </c>
      <c r="B10876" s="0" t="str">
        <f aca="false">HYPERLINK("https://lindat.mff.cuni.cz/services/teitok/pdtc10/index.php?action=vallex&amp;frame=v-w1339f34", "jít (v-w1339f34) - substituted with v-w1339f88_ZU")</f>
        <v>jít (v-w1339f34) - substituted with v-w1339f88_ZU</v>
      </c>
    </row>
    <row r="10877" customFormat="false" ht="12.8" hidden="false" customHeight="false" outlineLevel="0" collapsed="false">
      <c r="B10877" s="0" t="s">
        <v>1</v>
      </c>
    </row>
    <row r="10879" customFormat="false" ht="12.8" hidden="false" customHeight="false" outlineLevel="0" collapsed="false">
      <c r="A10879" s="0" t="s">
        <v>5103</v>
      </c>
      <c r="B10879" s="0" t="str">
        <f aca="false">HYPERLINK("https://lindat.mff.cuni.cz/services/teitok/pdtc10/index.php?action=vallex&amp;frame=v-w1339f1", "jít (v-w1339f1)")</f>
        <v>jít (v-w1339f1)</v>
      </c>
      <c r="E10879" s="0" t="str">
        <f aca="false">HYPERLINK("https://lindat.mff.cuni.cz/services/SynSemClass40/SynSemClass40.html?veclass=vec00226#vec00226-ces-cm00005", "vec00226")</f>
        <v>vec00226</v>
      </c>
      <c r="F10879" s="0" t="s">
        <v>986</v>
      </c>
    </row>
    <row r="10880" customFormat="false" ht="12.8" hidden="false" customHeight="false" outlineLevel="0" collapsed="false">
      <c r="B10880" s="0" t="s">
        <v>4916</v>
      </c>
      <c r="E10880" s="0" t="s">
        <v>987</v>
      </c>
      <c r="F10880" s="0" t="s">
        <v>988</v>
      </c>
    </row>
    <row r="10882" customFormat="false" ht="12.8" hidden="false" customHeight="false" outlineLevel="0" collapsed="false">
      <c r="A10882" s="0" t="s">
        <v>5104</v>
      </c>
      <c r="B10882" s="0" t="str">
        <f aca="false">HYPERLINK("https://lindat.mff.cuni.cz/services/teitok/pdtc10/index.php?action=vallex&amp;frame=v-w1339f42", "jít (v-w1339f42)")</f>
        <v>jít (v-w1339f42)</v>
      </c>
    </row>
    <row r="10883" customFormat="false" ht="12.8" hidden="false" customHeight="false" outlineLevel="0" collapsed="false">
      <c r="B10883" s="0" t="s">
        <v>1</v>
      </c>
    </row>
    <row r="10884" customFormat="false" ht="12.8" hidden="false" customHeight="false" outlineLevel="0" collapsed="false">
      <c r="B10884" s="0" t="s">
        <v>3539</v>
      </c>
    </row>
    <row r="10885" customFormat="false" ht="12.8" hidden="false" customHeight="false" outlineLevel="0" collapsed="false">
      <c r="B10885" s="0" t="s">
        <v>721</v>
      </c>
    </row>
    <row r="10887" customFormat="false" ht="12.8" hidden="false" customHeight="false" outlineLevel="0" collapsed="false">
      <c r="A10887" s="0" t="s">
        <v>5105</v>
      </c>
      <c r="B10887" s="0" t="str">
        <f aca="false">HYPERLINK("https://lindat.mff.cuni.cz/services/teitok/pdtc10/index.php?action=vallex&amp;frame=v-w1339f29", "jít (v-w1339f29)")</f>
        <v>jít (v-w1339f29)</v>
      </c>
    </row>
    <row r="10888" customFormat="false" ht="12.8" hidden="false" customHeight="false" outlineLevel="0" collapsed="false">
      <c r="B10888" s="0" t="s">
        <v>1</v>
      </c>
    </row>
    <row r="10889" customFormat="false" ht="12.8" hidden="false" customHeight="false" outlineLevel="0" collapsed="false">
      <c r="B10889" s="0" t="s">
        <v>5106</v>
      </c>
    </row>
    <row r="10890" customFormat="false" ht="12.8" hidden="false" customHeight="false" outlineLevel="0" collapsed="false">
      <c r="B10890" s="0" t="s">
        <v>186</v>
      </c>
    </row>
    <row r="10892" customFormat="false" ht="12.8" hidden="false" customHeight="false" outlineLevel="0" collapsed="false">
      <c r="A10892" s="0" t="s">
        <v>5107</v>
      </c>
      <c r="B10892" s="0" t="str">
        <f aca="false">HYPERLINK("https://lindat.mff.cuni.cz/services/teitok/pdtc10/index.php?action=vallex&amp;frame=v-w1339f31", "jít (v-w1339f31)")</f>
        <v>jít (v-w1339f31)</v>
      </c>
    </row>
    <row r="10893" customFormat="false" ht="12.8" hidden="false" customHeight="false" outlineLevel="0" collapsed="false">
      <c r="B10893" s="0" t="s">
        <v>1</v>
      </c>
    </row>
    <row r="10894" customFormat="false" ht="12.8" hidden="false" customHeight="false" outlineLevel="0" collapsed="false">
      <c r="B10894" s="0" t="s">
        <v>5108</v>
      </c>
    </row>
    <row r="10895" customFormat="false" ht="12.8" hidden="false" customHeight="false" outlineLevel="0" collapsed="false">
      <c r="B10895" s="0" t="s">
        <v>186</v>
      </c>
    </row>
    <row r="10897" customFormat="false" ht="12.8" hidden="false" customHeight="false" outlineLevel="0" collapsed="false">
      <c r="A10897" s="0" t="s">
        <v>5109</v>
      </c>
      <c r="B10897" s="0" t="str">
        <f aca="false">HYPERLINK("https://lindat.mff.cuni.cz/services/teitok/pdtc10/index.php?action=vallex&amp;frame=v-w1339f32", "jít (v-w1339f32)")</f>
        <v>jít (v-w1339f32)</v>
      </c>
    </row>
    <row r="10898" customFormat="false" ht="12.8" hidden="false" customHeight="false" outlineLevel="0" collapsed="false">
      <c r="B10898" s="0" t="s">
        <v>1</v>
      </c>
    </row>
    <row r="10899" customFormat="false" ht="12.8" hidden="false" customHeight="false" outlineLevel="0" collapsed="false">
      <c r="B10899" s="0" t="s">
        <v>5110</v>
      </c>
    </row>
    <row r="10900" customFormat="false" ht="12.8" hidden="false" customHeight="false" outlineLevel="0" collapsed="false">
      <c r="B10900" s="0" t="s">
        <v>186</v>
      </c>
    </row>
    <row r="10902" customFormat="false" ht="12.8" hidden="false" customHeight="false" outlineLevel="0" collapsed="false">
      <c r="A10902" s="0" t="s">
        <v>5111</v>
      </c>
      <c r="B10902" s="0" t="str">
        <f aca="false">HYPERLINK("https://lindat.mff.cuni.cz/services/teitok/pdtc10/index.php?action=vallex&amp;frame=v-w1339f60_ZU", "jít (v-w1339f60_ZU)")</f>
        <v>jít (v-w1339f60_ZU)</v>
      </c>
      <c r="E10902" s="0" t="str">
        <f aca="false">HYPERLINK("https://lindat.mff.cuni.cz/services/SynSemClass40/SynSemClass40.html?veclass=vec00153#vec00153-ces-cm00012", "vec00153")</f>
        <v>vec00153</v>
      </c>
      <c r="F10902" s="0" t="s">
        <v>925</v>
      </c>
    </row>
    <row r="10903" customFormat="false" ht="12.8" hidden="false" customHeight="false" outlineLevel="0" collapsed="false">
      <c r="B10903" s="0" t="s">
        <v>1</v>
      </c>
      <c r="E10903" s="0" t="s">
        <v>5112</v>
      </c>
      <c r="F10903" s="0" t="s">
        <v>5113</v>
      </c>
    </row>
    <row r="10904" customFormat="false" ht="12.8" hidden="false" customHeight="false" outlineLevel="0" collapsed="false">
      <c r="B10904" s="0" t="s">
        <v>5114</v>
      </c>
      <c r="C10904" s="0" t="s">
        <v>1034</v>
      </c>
      <c r="E10904" s="0" t="s">
        <v>5115</v>
      </c>
      <c r="F10904" s="0" t="s">
        <v>5116</v>
      </c>
    </row>
    <row r="10905" customFormat="false" ht="12.8" hidden="false" customHeight="false" outlineLevel="0" collapsed="false">
      <c r="B10905" s="0" t="s">
        <v>721</v>
      </c>
      <c r="C10905" s="0" t="s">
        <v>5117</v>
      </c>
      <c r="E10905" s="0" t="s">
        <v>1847</v>
      </c>
      <c r="F10905" s="0" t="s">
        <v>5118</v>
      </c>
    </row>
    <row r="10907" customFormat="false" ht="12.8" hidden="false" customHeight="false" outlineLevel="0" collapsed="false">
      <c r="A10907" s="0" t="s">
        <v>5111</v>
      </c>
      <c r="B10907" s="0" t="str">
        <f aca="false">HYPERLINK("https://lindat.mff.cuni.cz/services/teitok/pdtc10/index.php?action=vallex&amp;frame=v-w1339f38", "jít (v-w1339f38) - substituted with v-w1339f60_ZU")</f>
        <v>jít (v-w1339f38) - substituted with v-w1339f60_ZU</v>
      </c>
    </row>
    <row r="10908" customFormat="false" ht="12.8" hidden="false" customHeight="false" outlineLevel="0" collapsed="false">
      <c r="B10908" s="0" t="s">
        <v>1</v>
      </c>
    </row>
    <row r="10909" customFormat="false" ht="12.8" hidden="false" customHeight="false" outlineLevel="0" collapsed="false">
      <c r="B10909" s="0" t="s">
        <v>5114</v>
      </c>
    </row>
    <row r="10910" customFormat="false" ht="12.8" hidden="false" customHeight="false" outlineLevel="0" collapsed="false">
      <c r="B10910" s="0" t="s">
        <v>721</v>
      </c>
    </row>
    <row r="10912" customFormat="false" ht="12.8" hidden="false" customHeight="false" outlineLevel="0" collapsed="false">
      <c r="A10912" s="0" t="s">
        <v>5119</v>
      </c>
      <c r="B10912" s="0" t="str">
        <f aca="false">HYPERLINK("https://lindat.mff.cuni.cz/services/teitok/pdtc10/index.php?action=vallex&amp;frame=v-w1339f39", "jít (v-w1339f39)")</f>
        <v>jít (v-w1339f39)</v>
      </c>
    </row>
    <row r="10913" customFormat="false" ht="12.8" hidden="false" customHeight="false" outlineLevel="0" collapsed="false">
      <c r="B10913" s="0" t="s">
        <v>1</v>
      </c>
    </row>
    <row r="10914" customFormat="false" ht="12.8" hidden="false" customHeight="false" outlineLevel="0" collapsed="false">
      <c r="B10914" s="0" t="s">
        <v>5120</v>
      </c>
    </row>
    <row r="10915" customFormat="false" ht="12.8" hidden="false" customHeight="false" outlineLevel="0" collapsed="false">
      <c r="B10915" s="0" t="s">
        <v>164</v>
      </c>
    </row>
    <row r="10917" customFormat="false" ht="12.8" hidden="false" customHeight="false" outlineLevel="0" collapsed="false">
      <c r="A10917" s="0" t="s">
        <v>5121</v>
      </c>
      <c r="B10917" s="0" t="str">
        <f aca="false">HYPERLINK("https://lindat.mff.cuni.cz/services/teitok/pdtc10/index.php?action=vallex&amp;frame=v-w1339f11", "jít (v-w1339f11)")</f>
        <v>jít (v-w1339f11)</v>
      </c>
    </row>
    <row r="10918" customFormat="false" ht="12.8" hidden="false" customHeight="false" outlineLevel="0" collapsed="false">
      <c r="B10918" s="0" t="s">
        <v>1</v>
      </c>
    </row>
    <row r="10919" customFormat="false" ht="12.8" hidden="false" customHeight="false" outlineLevel="0" collapsed="false">
      <c r="B10919" s="0" t="s">
        <v>2357</v>
      </c>
    </row>
    <row r="10921" customFormat="false" ht="12.8" hidden="false" customHeight="false" outlineLevel="0" collapsed="false">
      <c r="A10921" s="0" t="s">
        <v>5122</v>
      </c>
      <c r="B10921" s="0" t="str">
        <f aca="false">HYPERLINK("https://lindat.mff.cuni.cz/services/teitok/pdtc10/index.php?action=vallex&amp;frame=v-w1339f41", "jít (v-w1339f41)")</f>
        <v>jít (v-w1339f41)</v>
      </c>
    </row>
    <row r="10922" customFormat="false" ht="12.8" hidden="false" customHeight="false" outlineLevel="0" collapsed="false">
      <c r="B10922" s="0" t="s">
        <v>1</v>
      </c>
    </row>
    <row r="10923" customFormat="false" ht="12.8" hidden="false" customHeight="false" outlineLevel="0" collapsed="false">
      <c r="B10923" s="0" t="s">
        <v>5123</v>
      </c>
    </row>
    <row r="10925" customFormat="false" ht="12.8" hidden="false" customHeight="false" outlineLevel="0" collapsed="false">
      <c r="A10925" s="0" t="s">
        <v>5124</v>
      </c>
      <c r="B10925" s="0" t="str">
        <f aca="false">HYPERLINK("https://lindat.mff.cuni.cz/services/teitok/pdtc10/index.php?action=vallex&amp;frame=v-w1339f15", "jít (v-w1339f15)")</f>
        <v>jít (v-w1339f15)</v>
      </c>
    </row>
    <row r="10926" customFormat="false" ht="12.8" hidden="false" customHeight="false" outlineLevel="0" collapsed="false">
      <c r="B10926" s="0" t="s">
        <v>1</v>
      </c>
    </row>
    <row r="10927" customFormat="false" ht="12.8" hidden="false" customHeight="false" outlineLevel="0" collapsed="false">
      <c r="B10927" s="0" t="s">
        <v>5125</v>
      </c>
    </row>
    <row r="10929" customFormat="false" ht="12.8" hidden="false" customHeight="false" outlineLevel="0" collapsed="false">
      <c r="A10929" s="0" t="s">
        <v>5126</v>
      </c>
      <c r="B10929" s="0" t="str">
        <f aca="false">HYPERLINK("https://lindat.mff.cuni.cz/services/teitok/pdtc10/index.php?action=vallex&amp;frame=v-w1339f27", "jít (v-w1339f27)")</f>
        <v>jít (v-w1339f27)</v>
      </c>
    </row>
    <row r="10930" customFormat="false" ht="12.8" hidden="false" customHeight="false" outlineLevel="0" collapsed="false">
      <c r="B10930" s="0" t="s">
        <v>1</v>
      </c>
    </row>
    <row r="10931" customFormat="false" ht="12.8" hidden="false" customHeight="false" outlineLevel="0" collapsed="false">
      <c r="B10931" s="0" t="s">
        <v>5127</v>
      </c>
    </row>
    <row r="10933" customFormat="false" ht="12.8" hidden="false" customHeight="false" outlineLevel="0" collapsed="false">
      <c r="A10933" s="0" t="s">
        <v>5128</v>
      </c>
      <c r="B10933" s="0" t="str">
        <f aca="false">HYPERLINK("https://lindat.mff.cuni.cz/services/teitok/pdtc10/index.php?action=vallex&amp;frame=v-w1339f48", "jít (v-w1339f48)")</f>
        <v>jít (v-w1339f48)</v>
      </c>
    </row>
    <row r="10934" customFormat="false" ht="12.8" hidden="false" customHeight="false" outlineLevel="0" collapsed="false">
      <c r="B10934" s="0" t="s">
        <v>1</v>
      </c>
    </row>
    <row r="10935" customFormat="false" ht="12.8" hidden="false" customHeight="false" outlineLevel="0" collapsed="false">
      <c r="B10935" s="0" t="s">
        <v>5129</v>
      </c>
    </row>
    <row r="10937" customFormat="false" ht="12.8" hidden="false" customHeight="false" outlineLevel="0" collapsed="false">
      <c r="A10937" s="0" t="s">
        <v>5130</v>
      </c>
      <c r="B10937" s="0" t="str">
        <f aca="false">HYPERLINK("https://lindat.mff.cuni.cz/services/teitok/pdtc10/index.php?action=vallex&amp;frame=v-w1339f58_ZU", "jít (v-w1339f58_ZU)")</f>
        <v>jít (v-w1339f58_ZU)</v>
      </c>
    </row>
    <row r="10938" customFormat="false" ht="12.8" hidden="false" customHeight="false" outlineLevel="0" collapsed="false">
      <c r="B10938" s="0" t="s">
        <v>1</v>
      </c>
    </row>
    <row r="10939" customFormat="false" ht="12.8" hidden="false" customHeight="false" outlineLevel="0" collapsed="false">
      <c r="B10939" s="0" t="s">
        <v>5131</v>
      </c>
    </row>
    <row r="10940" customFormat="false" ht="12.8" hidden="false" customHeight="false" outlineLevel="0" collapsed="false">
      <c r="B10940" s="0" t="s">
        <v>721</v>
      </c>
    </row>
    <row r="10942" customFormat="false" ht="12.8" hidden="false" customHeight="false" outlineLevel="0" collapsed="false">
      <c r="A10942" s="0" t="s">
        <v>5130</v>
      </c>
      <c r="B10942" s="0" t="str">
        <f aca="false">HYPERLINK("https://lindat.mff.cuni.cz/services/teitok/pdtc10/index.php?action=vallex&amp;frame=v-w1339f21", "jít (v-w1339f21) - substituted with v-w1339f58_ZU")</f>
        <v>jít (v-w1339f21) - substituted with v-w1339f58_ZU</v>
      </c>
    </row>
    <row r="10943" customFormat="false" ht="12.8" hidden="false" customHeight="false" outlineLevel="0" collapsed="false">
      <c r="B10943" s="0" t="s">
        <v>1</v>
      </c>
    </row>
    <row r="10944" customFormat="false" ht="12.8" hidden="false" customHeight="false" outlineLevel="0" collapsed="false">
      <c r="B10944" s="0" t="s">
        <v>5131</v>
      </c>
    </row>
    <row r="10945" customFormat="false" ht="12.8" hidden="false" customHeight="false" outlineLevel="0" collapsed="false">
      <c r="B10945" s="0" t="s">
        <v>721</v>
      </c>
    </row>
    <row r="10947" customFormat="false" ht="12.8" hidden="false" customHeight="false" outlineLevel="0" collapsed="false">
      <c r="A10947" s="0" t="s">
        <v>5132</v>
      </c>
      <c r="B10947" s="0" t="str">
        <f aca="false">HYPERLINK("https://lindat.mff.cuni.cz/services/teitok/pdtc10/index.php?action=vallex&amp;frame=v-w1339f44", "jít (v-w1339f44)")</f>
        <v>jít (v-w1339f44)</v>
      </c>
    </row>
    <row r="10948" customFormat="false" ht="12.8" hidden="false" customHeight="false" outlineLevel="0" collapsed="false">
      <c r="B10948" s="0" t="s">
        <v>1</v>
      </c>
    </row>
    <row r="10949" customFormat="false" ht="12.8" hidden="false" customHeight="false" outlineLevel="0" collapsed="false">
      <c r="B10949" s="0" t="s">
        <v>5133</v>
      </c>
    </row>
    <row r="10951" customFormat="false" ht="12.8" hidden="false" customHeight="false" outlineLevel="0" collapsed="false">
      <c r="A10951" s="0" t="s">
        <v>5134</v>
      </c>
      <c r="B10951" s="0" t="str">
        <f aca="false">HYPERLINK("https://lindat.mff.cuni.cz/services/teitok/pdtc10/index.php?action=vallex&amp;frame=v-w1339f51_ZU", "jít (v-w1339f51_ZU)")</f>
        <v>jít (v-w1339f51_ZU)</v>
      </c>
      <c r="E10951" s="0" t="str">
        <f aca="false">HYPERLINK("https://lindat.mff.cuni.cz/services/SynSemClass40/SynSemClass40.html?veclass=vec01401#vec01401-ces-cm00001", "vec01401")</f>
        <v>vec01401</v>
      </c>
      <c r="F10951" s="0" t="s">
        <v>5135</v>
      </c>
    </row>
    <row r="10952" customFormat="false" ht="12.8" hidden="false" customHeight="false" outlineLevel="0" collapsed="false">
      <c r="B10952" s="0" t="s">
        <v>1</v>
      </c>
      <c r="E10952" s="0" t="s">
        <v>11</v>
      </c>
      <c r="F10952" s="0" t="s">
        <v>959</v>
      </c>
    </row>
    <row r="10953" customFormat="false" ht="12.8" hidden="false" customHeight="false" outlineLevel="0" collapsed="false">
      <c r="B10953" s="0" t="s">
        <v>5136</v>
      </c>
    </row>
    <row r="10955" customFormat="false" ht="12.8" hidden="false" customHeight="false" outlineLevel="0" collapsed="false">
      <c r="A10955" s="0" t="s">
        <v>5137</v>
      </c>
      <c r="B10955" s="0" t="str">
        <f aca="false">HYPERLINK("https://lindat.mff.cuni.cz/services/teitok/pdtc10/index.php?action=vallex&amp;frame=v-w1339f16", "jít (v-w1339f16)")</f>
        <v>jít (v-w1339f16)</v>
      </c>
    </row>
    <row r="10956" customFormat="false" ht="12.8" hidden="false" customHeight="false" outlineLevel="0" collapsed="false">
      <c r="B10956" s="0" t="s">
        <v>5138</v>
      </c>
    </row>
    <row r="10958" customFormat="false" ht="12.8" hidden="false" customHeight="false" outlineLevel="0" collapsed="false">
      <c r="A10958" s="0" t="s">
        <v>5139</v>
      </c>
      <c r="B10958" s="0" t="str">
        <f aca="false">HYPERLINK("https://lindat.mff.cuni.cz/services/teitok/pdtc10/index.php?action=vallex&amp;frame=v-w1339f37", "jít (v-w1339f37)")</f>
        <v>jít (v-w1339f37)</v>
      </c>
    </row>
    <row r="10959" customFormat="false" ht="12.8" hidden="false" customHeight="false" outlineLevel="0" collapsed="false">
      <c r="B10959" s="0" t="s">
        <v>5140</v>
      </c>
    </row>
    <row r="10961" customFormat="false" ht="12.8" hidden="false" customHeight="false" outlineLevel="0" collapsed="false">
      <c r="A10961" s="0" t="s">
        <v>5141</v>
      </c>
      <c r="B10961" s="0" t="str">
        <f aca="false">HYPERLINK("https://lindat.mff.cuni.cz/services/teitok/pdtc10/index.php?action=vallex&amp;frame=v-w1339f59_ZU", "jít (v-w1339f59_ZU)")</f>
        <v>jít (v-w1339f59_ZU)</v>
      </c>
    </row>
    <row r="10962" customFormat="false" ht="12.8" hidden="false" customHeight="false" outlineLevel="0" collapsed="false">
      <c r="B10962" s="0" t="s">
        <v>1</v>
      </c>
    </row>
    <row r="10963" customFormat="false" ht="12.8" hidden="false" customHeight="false" outlineLevel="0" collapsed="false">
      <c r="B10963" s="0" t="s">
        <v>721</v>
      </c>
    </row>
    <row r="10965" customFormat="false" ht="12.8" hidden="false" customHeight="false" outlineLevel="0" collapsed="false">
      <c r="A10965" s="0" t="s">
        <v>5141</v>
      </c>
      <c r="B10965" s="0" t="str">
        <f aca="false">HYPERLINK("https://lindat.mff.cuni.cz/services/teitok/pdtc10/index.php?action=vallex&amp;frame=v-w1339hsa_478", "jít (v-w1339hsa_478) - substituted with v-w1339f59_ZU")</f>
        <v>jít (v-w1339hsa_478) - substituted with v-w1339f59_ZU</v>
      </c>
    </row>
    <row r="10966" customFormat="false" ht="12.8" hidden="false" customHeight="false" outlineLevel="0" collapsed="false">
      <c r="B10966" s="0" t="s">
        <v>1</v>
      </c>
    </row>
    <row r="10967" customFormat="false" ht="12.8" hidden="false" customHeight="false" outlineLevel="0" collapsed="false">
      <c r="B10967" s="0" t="s">
        <v>721</v>
      </c>
    </row>
    <row r="10969" customFormat="false" ht="12.8" hidden="false" customHeight="false" outlineLevel="0" collapsed="false">
      <c r="A10969" s="0" t="s">
        <v>5142</v>
      </c>
      <c r="B10969" s="0" t="str">
        <f aca="false">HYPERLINK("https://lindat.mff.cuni.cz/services/teitok/pdtc10/index.php?action=vallex&amp;frame=v-w1339hsa_479", "jít (v-w1339hsa_479)")</f>
        <v>jít (v-w1339hsa_479)</v>
      </c>
      <c r="E10969" s="0" t="str">
        <f aca="false">HYPERLINK("https://lindat.mff.cuni.cz/services/SynSemClass40/SynSemClass40.html?veclass=vec00109#vec00109-ces-cm00168", "vec00109")</f>
        <v>vec00109</v>
      </c>
      <c r="F10969" s="0" t="s">
        <v>5143</v>
      </c>
      <c r="H10969" s="0" t="str">
        <f aca="false">HYPERLINK("https://lindat.mff.cuni.cz/services/SynSemClass40/SynSemClass40.html?veclass=vec00730#vec00730-ces-cm00021", "vec00730")</f>
        <v>vec00730</v>
      </c>
      <c r="I10969" s="0" t="s">
        <v>5144</v>
      </c>
    </row>
    <row r="10970" customFormat="false" ht="12.8" hidden="false" customHeight="false" outlineLevel="0" collapsed="false">
      <c r="B10970" s="0" t="s">
        <v>1</v>
      </c>
      <c r="C10970" s="0" t="s">
        <v>5145</v>
      </c>
      <c r="E10970" s="0" t="s">
        <v>235</v>
      </c>
      <c r="F10970" s="0" t="s">
        <v>5146</v>
      </c>
      <c r="H10970" s="0" t="s">
        <v>4943</v>
      </c>
      <c r="I10970" s="0" t="s">
        <v>5147</v>
      </c>
    </row>
    <row r="10971" customFormat="false" ht="12.8" hidden="false" customHeight="false" outlineLevel="0" collapsed="false">
      <c r="B10971" s="0" t="s">
        <v>69</v>
      </c>
      <c r="C10971" s="0" t="s">
        <v>5148</v>
      </c>
      <c r="E10971" s="0" t="s">
        <v>5149</v>
      </c>
      <c r="F10971" s="0" t="s">
        <v>5150</v>
      </c>
    </row>
    <row r="10972" customFormat="false" ht="12.8" hidden="false" customHeight="false" outlineLevel="0" collapsed="false">
      <c r="B10972" s="0" t="s">
        <v>36</v>
      </c>
      <c r="C10972" s="0" t="s">
        <v>5151</v>
      </c>
      <c r="E10972" s="0" t="s">
        <v>5152</v>
      </c>
      <c r="F10972" s="0" t="s">
        <v>5153</v>
      </c>
    </row>
    <row r="10974" customFormat="false" ht="12.8" hidden="false" customHeight="false" outlineLevel="0" collapsed="false">
      <c r="A10974" s="0" t="s">
        <v>5154</v>
      </c>
      <c r="B10974" s="0" t="str">
        <f aca="false">HYPERLINK("https://lindat.mff.cuni.cz/services/teitok/pdtc10/index.php?action=vallex&amp;frame=v-w1339f54_ZU", "jít (v-w1339f54_ZU)")</f>
        <v>jít (v-w1339f54_ZU)</v>
      </c>
    </row>
    <row r="10975" customFormat="false" ht="12.8" hidden="false" customHeight="false" outlineLevel="0" collapsed="false">
      <c r="B10975" s="0" t="s">
        <v>1</v>
      </c>
    </row>
    <row r="10976" customFormat="false" ht="12.8" hidden="false" customHeight="false" outlineLevel="0" collapsed="false">
      <c r="B10976" s="0" t="s">
        <v>5155</v>
      </c>
    </row>
    <row r="10978" customFormat="false" ht="12.8" hidden="false" customHeight="false" outlineLevel="0" collapsed="false">
      <c r="A10978" s="0" t="s">
        <v>5154</v>
      </c>
      <c r="B10978" s="0" t="str">
        <f aca="false">HYPERLINK("https://lindat.mff.cuni.cz/services/teitok/pdtc10/index.php?action=vallex&amp;frame=v-w1339hsa_480", "jít (v-w1339hsa_480) - substituted with v-w1339f54_ZU")</f>
        <v>jít (v-w1339hsa_480) - substituted with v-w1339f54_ZU</v>
      </c>
    </row>
    <row r="10979" customFormat="false" ht="12.8" hidden="false" customHeight="false" outlineLevel="0" collapsed="false">
      <c r="B10979" s="0" t="s">
        <v>1</v>
      </c>
    </row>
    <row r="10980" customFormat="false" ht="12.8" hidden="false" customHeight="false" outlineLevel="0" collapsed="false">
      <c r="B10980" s="0" t="s">
        <v>5155</v>
      </c>
    </row>
    <row r="10982" customFormat="false" ht="12.8" hidden="false" customHeight="false" outlineLevel="0" collapsed="false">
      <c r="A10982" s="0" t="s">
        <v>5156</v>
      </c>
      <c r="B10982" s="0" t="str">
        <f aca="false">HYPERLINK("https://lindat.mff.cuni.cz/services/teitok/pdtc10/index.php?action=vallex&amp;frame=v-w1339f53_ZU", "jít (v-w1339f53_ZU)")</f>
        <v>jít (v-w1339f53_ZU)</v>
      </c>
    </row>
    <row r="10983" customFormat="false" ht="12.8" hidden="false" customHeight="false" outlineLevel="0" collapsed="false">
      <c r="B10983" s="0" t="s">
        <v>1</v>
      </c>
    </row>
    <row r="10984" customFormat="false" ht="12.8" hidden="false" customHeight="false" outlineLevel="0" collapsed="false">
      <c r="B10984" s="0" t="s">
        <v>5157</v>
      </c>
    </row>
    <row r="10986" customFormat="false" ht="12.8" hidden="false" customHeight="false" outlineLevel="0" collapsed="false">
      <c r="A10986" s="0" t="s">
        <v>5156</v>
      </c>
      <c r="B10986" s="0" t="str">
        <f aca="false">HYPERLINK("https://lindat.mff.cuni.cz/services/teitok/pdtc10/index.php?action=vallex&amp;frame=v-w1339hsa_481", "jít (v-w1339hsa_481) - substituted with v-w1339f53_ZU")</f>
        <v>jít (v-w1339hsa_481) - substituted with v-w1339f53_ZU</v>
      </c>
    </row>
    <row r="10987" customFormat="false" ht="12.8" hidden="false" customHeight="false" outlineLevel="0" collapsed="false">
      <c r="B10987" s="0" t="s">
        <v>1</v>
      </c>
    </row>
    <row r="10988" customFormat="false" ht="12.8" hidden="false" customHeight="false" outlineLevel="0" collapsed="false">
      <c r="B10988" s="0" t="s">
        <v>5157</v>
      </c>
    </row>
    <row r="10990" customFormat="false" ht="12.8" hidden="false" customHeight="false" outlineLevel="0" collapsed="false">
      <c r="A10990" s="0" t="s">
        <v>5158</v>
      </c>
      <c r="B10990" s="0" t="str">
        <f aca="false">HYPERLINK("https://lindat.mff.cuni.cz/services/teitok/pdtc10/index.php?action=vallex&amp;frame=v-w1339f55_ZU", "jít (v-w1339f55_ZU)")</f>
        <v>jít (v-w1339f55_ZU)</v>
      </c>
    </row>
    <row r="10991" customFormat="false" ht="12.8" hidden="false" customHeight="false" outlineLevel="0" collapsed="false">
      <c r="B10991" s="0" t="s">
        <v>1</v>
      </c>
    </row>
    <row r="10992" customFormat="false" ht="12.8" hidden="false" customHeight="false" outlineLevel="0" collapsed="false">
      <c r="B10992" s="0" t="s">
        <v>5159</v>
      </c>
    </row>
    <row r="10994" customFormat="false" ht="12.8" hidden="false" customHeight="false" outlineLevel="0" collapsed="false">
      <c r="A10994" s="0" t="s">
        <v>5158</v>
      </c>
      <c r="B10994" s="0" t="str">
        <f aca="false">HYPERLINK("https://lindat.mff.cuni.cz/services/teitok/pdtc10/index.php?action=vallex&amp;frame=v-w1339hsa_482", "jít (v-w1339hsa_482) - substituted with v-w1339f55_ZU")</f>
        <v>jít (v-w1339hsa_482) - substituted with v-w1339f55_ZU</v>
      </c>
    </row>
    <row r="10995" customFormat="false" ht="12.8" hidden="false" customHeight="false" outlineLevel="0" collapsed="false">
      <c r="B10995" s="0" t="s">
        <v>1</v>
      </c>
    </row>
    <row r="10996" customFormat="false" ht="12.8" hidden="false" customHeight="false" outlineLevel="0" collapsed="false">
      <c r="B10996" s="0" t="s">
        <v>5159</v>
      </c>
    </row>
    <row r="10998" customFormat="false" ht="12.8" hidden="false" customHeight="false" outlineLevel="0" collapsed="false">
      <c r="A10998" s="0" t="s">
        <v>5160</v>
      </c>
      <c r="B10998" s="0" t="str">
        <f aca="false">HYPERLINK("https://lindat.mff.cuni.cz/services/teitok/pdtc10/index.php?action=vallex&amp;frame=v-w1339f56_ZU", "jít (v-w1339f56_ZU)")</f>
        <v>jít (v-w1339f56_ZU)</v>
      </c>
    </row>
    <row r="10999" customFormat="false" ht="12.8" hidden="false" customHeight="false" outlineLevel="0" collapsed="false">
      <c r="B10999" s="0" t="s">
        <v>1</v>
      </c>
    </row>
    <row r="11000" customFormat="false" ht="12.8" hidden="false" customHeight="false" outlineLevel="0" collapsed="false">
      <c r="B11000" s="0" t="s">
        <v>1244</v>
      </c>
    </row>
    <row r="11001" customFormat="false" ht="12.8" hidden="false" customHeight="false" outlineLevel="0" collapsed="false">
      <c r="B11001" s="0" t="s">
        <v>186</v>
      </c>
    </row>
    <row r="11003" customFormat="false" ht="12.8" hidden="false" customHeight="false" outlineLevel="0" collapsed="false">
      <c r="A11003" s="0" t="s">
        <v>5160</v>
      </c>
      <c r="B11003" s="0" t="str">
        <f aca="false">HYPERLINK("https://lindat.mff.cuni.cz/services/teitok/pdtc10/index.php?action=vallex&amp;frame=v-w1339hsa_483", "jít (v-w1339hsa_483) - substituted with v-w1339f56_ZU")</f>
        <v>jít (v-w1339hsa_483) - substituted with v-w1339f56_ZU</v>
      </c>
    </row>
    <row r="11004" customFormat="false" ht="12.8" hidden="false" customHeight="false" outlineLevel="0" collapsed="false">
      <c r="B11004" s="0" t="s">
        <v>1</v>
      </c>
    </row>
    <row r="11005" customFormat="false" ht="12.8" hidden="false" customHeight="false" outlineLevel="0" collapsed="false">
      <c r="B11005" s="0" t="s">
        <v>1244</v>
      </c>
    </row>
    <row r="11006" customFormat="false" ht="12.8" hidden="false" customHeight="false" outlineLevel="0" collapsed="false">
      <c r="B11006" s="0" t="s">
        <v>186</v>
      </c>
    </row>
    <row r="11008" customFormat="false" ht="12.8" hidden="false" customHeight="false" outlineLevel="0" collapsed="false">
      <c r="A11008" s="0" t="s">
        <v>5161</v>
      </c>
      <c r="B11008" s="0" t="str">
        <f aca="false">HYPERLINK("https://lindat.mff.cuni.cz/services/teitok/pdtc10/index.php?action=vallex&amp;frame=v-w1339f52_ZU", "jít (v-w1339f52_ZU)")</f>
        <v>jít (v-w1339f52_ZU)</v>
      </c>
    </row>
    <row r="11009" customFormat="false" ht="12.8" hidden="false" customHeight="false" outlineLevel="0" collapsed="false">
      <c r="B11009" s="0" t="s">
        <v>1</v>
      </c>
    </row>
    <row r="11010" customFormat="false" ht="12.8" hidden="false" customHeight="false" outlineLevel="0" collapsed="false">
      <c r="B11010" s="0" t="s">
        <v>5162</v>
      </c>
    </row>
    <row r="11012" customFormat="false" ht="12.8" hidden="false" customHeight="false" outlineLevel="0" collapsed="false">
      <c r="A11012" s="0" t="s">
        <v>5161</v>
      </c>
      <c r="B11012" s="0" t="str">
        <f aca="false">HYPERLINK("https://lindat.mff.cuni.cz/services/teitok/pdtc10/index.php?action=vallex&amp;frame=v-w1339hsa_484", "jít (v-w1339hsa_484) - substituted with v-w1339f52_ZU")</f>
        <v>jít (v-w1339hsa_484) - substituted with v-w1339f52_ZU</v>
      </c>
    </row>
    <row r="11013" customFormat="false" ht="12.8" hidden="false" customHeight="false" outlineLevel="0" collapsed="false">
      <c r="B11013" s="0" t="s">
        <v>1</v>
      </c>
    </row>
    <row r="11014" customFormat="false" ht="12.8" hidden="false" customHeight="false" outlineLevel="0" collapsed="false">
      <c r="B11014" s="0" t="s">
        <v>5162</v>
      </c>
    </row>
    <row r="11016" customFormat="false" ht="12.8" hidden="false" customHeight="false" outlineLevel="0" collapsed="false">
      <c r="A11016" s="0" t="s">
        <v>5163</v>
      </c>
      <c r="B11016" s="0" t="str">
        <f aca="false">HYPERLINK("https://lindat.mff.cuni.cz/services/teitok/pdtc10/index.php?action=vallex&amp;frame=v-w1339f57_ZU", "jít (v-w1339f57_ZU)")</f>
        <v>jít (v-w1339f57_ZU)</v>
      </c>
    </row>
    <row r="11017" customFormat="false" ht="12.8" hidden="false" customHeight="false" outlineLevel="0" collapsed="false">
      <c r="B11017" s="0" t="s">
        <v>1</v>
      </c>
    </row>
    <row r="11018" customFormat="false" ht="12.8" hidden="false" customHeight="false" outlineLevel="0" collapsed="false">
      <c r="B11018" s="0" t="s">
        <v>5164</v>
      </c>
    </row>
    <row r="11019" customFormat="false" ht="12.8" hidden="false" customHeight="false" outlineLevel="0" collapsed="false">
      <c r="B11019" s="0" t="s">
        <v>186</v>
      </c>
    </row>
    <row r="11021" customFormat="false" ht="12.8" hidden="false" customHeight="false" outlineLevel="0" collapsed="false">
      <c r="A11021" s="0" t="s">
        <v>5163</v>
      </c>
      <c r="B11021" s="0" t="str">
        <f aca="false">HYPERLINK("https://lindat.mff.cuni.cz/services/teitok/pdtc10/index.php?action=vallex&amp;frame=v-w1339hsa_485", "jít (v-w1339hsa_485) - substituted with v-w1339f57_ZU")</f>
        <v>jít (v-w1339hsa_485) - substituted with v-w1339f57_ZU</v>
      </c>
    </row>
    <row r="11022" customFormat="false" ht="12.8" hidden="false" customHeight="false" outlineLevel="0" collapsed="false">
      <c r="B11022" s="0" t="s">
        <v>1</v>
      </c>
    </row>
    <row r="11023" customFormat="false" ht="12.8" hidden="false" customHeight="false" outlineLevel="0" collapsed="false">
      <c r="B11023" s="0" t="s">
        <v>5164</v>
      </c>
    </row>
    <row r="11024" customFormat="false" ht="12.8" hidden="false" customHeight="false" outlineLevel="0" collapsed="false">
      <c r="B11024" s="0" t="s">
        <v>186</v>
      </c>
    </row>
    <row r="11026" customFormat="false" ht="12.8" hidden="false" customHeight="false" outlineLevel="0" collapsed="false">
      <c r="A11026" s="0" t="s">
        <v>5165</v>
      </c>
      <c r="B11026" s="0" t="str">
        <f aca="false">HYPERLINK("https://lindat.mff.cuni.cz/services/teitok/pdtc10/index.php?action=vallex&amp;frame=v-w1339f61_ZU", "jít (v-w1339f61_ZU)")</f>
        <v>jít (v-w1339f61_ZU)</v>
      </c>
    </row>
    <row r="11027" customFormat="false" ht="12.8" hidden="false" customHeight="false" outlineLevel="0" collapsed="false">
      <c r="B11027" s="0" t="s">
        <v>1</v>
      </c>
    </row>
    <row r="11028" customFormat="false" ht="12.8" hidden="false" customHeight="false" outlineLevel="0" collapsed="false">
      <c r="B11028" s="0" t="s">
        <v>311</v>
      </c>
    </row>
    <row r="11030" customFormat="false" ht="12.8" hidden="false" customHeight="false" outlineLevel="0" collapsed="false">
      <c r="A11030" s="0" t="s">
        <v>5165</v>
      </c>
      <c r="B11030" s="0" t="str">
        <f aca="false">HYPERLINK("https://lindat.mff.cuni.cz/services/teitok/pdtc10/index.php?action=vallex&amp;frame=v-w1339hsa_401", "jít (v-w1339hsa_401) - substituted with v-w1339f61_ZU")</f>
        <v>jít (v-w1339hsa_401) - substituted with v-w1339f61_ZU</v>
      </c>
    </row>
    <row r="11031" customFormat="false" ht="12.8" hidden="false" customHeight="false" outlineLevel="0" collapsed="false">
      <c r="B11031" s="0" t="s">
        <v>1</v>
      </c>
    </row>
    <row r="11032" customFormat="false" ht="12.8" hidden="false" customHeight="false" outlineLevel="0" collapsed="false">
      <c r="B11032" s="0" t="s">
        <v>311</v>
      </c>
    </row>
    <row r="11034" customFormat="false" ht="12.8" hidden="false" customHeight="false" outlineLevel="0" collapsed="false">
      <c r="A11034" s="0" t="s">
        <v>5166</v>
      </c>
      <c r="B11034" s="0" t="str">
        <f aca="false">HYPERLINK("https://lindat.mff.cuni.cz/services/teitok/pdtc10/index.php?action=vallex&amp;frame=v-w1339f62_ZU", "jít (v-w1339f62_ZU)")</f>
        <v>jít (v-w1339f62_ZU)</v>
      </c>
    </row>
    <row r="11035" customFormat="false" ht="12.8" hidden="false" customHeight="false" outlineLevel="0" collapsed="false">
      <c r="B11035" s="0" t="s">
        <v>1</v>
      </c>
    </row>
    <row r="11036" customFormat="false" ht="12.8" hidden="false" customHeight="false" outlineLevel="0" collapsed="false">
      <c r="B11036" s="0" t="s">
        <v>5157</v>
      </c>
    </row>
    <row r="11038" customFormat="false" ht="12.8" hidden="false" customHeight="false" outlineLevel="0" collapsed="false">
      <c r="A11038" s="0" t="s">
        <v>5166</v>
      </c>
      <c r="B11038" s="0" t="str">
        <f aca="false">HYPERLINK("https://lindat.mff.cuni.cz/services/teitok/pdtc10/index.php?action=vallex&amp;frame=v-w1339hsa_405", "jít (v-w1339hsa_405) - substituted with v-w1339f62_ZU")</f>
        <v>jít (v-w1339hsa_405) - substituted with v-w1339f62_ZU</v>
      </c>
    </row>
    <row r="11039" customFormat="false" ht="12.8" hidden="false" customHeight="false" outlineLevel="0" collapsed="false">
      <c r="B11039" s="0" t="s">
        <v>1</v>
      </c>
    </row>
    <row r="11040" customFormat="false" ht="12.8" hidden="false" customHeight="false" outlineLevel="0" collapsed="false">
      <c r="B11040" s="0" t="s">
        <v>5157</v>
      </c>
    </row>
    <row r="11042" customFormat="false" ht="12.8" hidden="false" customHeight="false" outlineLevel="0" collapsed="false">
      <c r="A11042" s="0" t="s">
        <v>5167</v>
      </c>
      <c r="B11042" s="0" t="str">
        <f aca="false">HYPERLINK("https://lindat.mff.cuni.cz/services/teitok/pdtc10/index.php?action=vallex&amp;frame=v-w1339f63_ZU", "jít (v-w1339f63_ZU)")</f>
        <v>jít (v-w1339f63_ZU)</v>
      </c>
    </row>
    <row r="11043" customFormat="false" ht="12.8" hidden="false" customHeight="false" outlineLevel="0" collapsed="false">
      <c r="B11043" s="0" t="s">
        <v>1</v>
      </c>
    </row>
    <row r="11044" customFormat="false" ht="12.8" hidden="false" customHeight="false" outlineLevel="0" collapsed="false">
      <c r="B11044" s="0" t="s">
        <v>5168</v>
      </c>
    </row>
    <row r="11046" customFormat="false" ht="12.8" hidden="false" customHeight="false" outlineLevel="0" collapsed="false">
      <c r="A11046" s="0" t="s">
        <v>5167</v>
      </c>
      <c r="B11046" s="0" t="str">
        <f aca="false">HYPERLINK("https://lindat.mff.cuni.cz/services/teitok/pdtc10/index.php?action=vallex&amp;frame=v-w1339hsa_406", "jít (v-w1339hsa_406) - substituted with v-w1339f63_ZU")</f>
        <v>jít (v-w1339hsa_406) - substituted with v-w1339f63_ZU</v>
      </c>
    </row>
    <row r="11047" customFormat="false" ht="12.8" hidden="false" customHeight="false" outlineLevel="0" collapsed="false">
      <c r="B11047" s="0" t="s">
        <v>1</v>
      </c>
    </row>
    <row r="11048" customFormat="false" ht="12.8" hidden="false" customHeight="false" outlineLevel="0" collapsed="false">
      <c r="B11048" s="0" t="s">
        <v>5168</v>
      </c>
    </row>
    <row r="11050" customFormat="false" ht="12.8" hidden="false" customHeight="false" outlineLevel="0" collapsed="false">
      <c r="A11050" s="0" t="s">
        <v>5169</v>
      </c>
      <c r="B11050" s="0" t="str">
        <f aca="false">HYPERLINK("https://lindat.mff.cuni.cz/services/teitok/pdtc10/index.php?action=vallex&amp;frame=v-w1339f64_ZU", "jít (v-w1339f64_ZU)")</f>
        <v>jít (v-w1339f64_ZU)</v>
      </c>
    </row>
    <row r="11051" customFormat="false" ht="12.8" hidden="false" customHeight="false" outlineLevel="0" collapsed="false">
      <c r="B11051" s="0" t="s">
        <v>1</v>
      </c>
    </row>
    <row r="11052" customFormat="false" ht="12.8" hidden="false" customHeight="false" outlineLevel="0" collapsed="false">
      <c r="B11052" s="0" t="s">
        <v>5170</v>
      </c>
    </row>
    <row r="11054" customFormat="false" ht="12.8" hidden="false" customHeight="false" outlineLevel="0" collapsed="false">
      <c r="A11054" s="0" t="s">
        <v>5169</v>
      </c>
      <c r="B11054" s="0" t="str">
        <f aca="false">HYPERLINK("https://lindat.mff.cuni.cz/services/teitok/pdtc10/index.php?action=vallex&amp;frame=v-w1339hsa_407", "jít (v-w1339hsa_407) - substituted with v-w1339f64_ZU")</f>
        <v>jít (v-w1339hsa_407) - substituted with v-w1339f64_ZU</v>
      </c>
    </row>
    <row r="11055" customFormat="false" ht="12.8" hidden="false" customHeight="false" outlineLevel="0" collapsed="false">
      <c r="B11055" s="0" t="s">
        <v>1</v>
      </c>
    </row>
    <row r="11056" customFormat="false" ht="12.8" hidden="false" customHeight="false" outlineLevel="0" collapsed="false">
      <c r="B11056" s="0" t="s">
        <v>5170</v>
      </c>
    </row>
    <row r="11058" customFormat="false" ht="12.8" hidden="false" customHeight="false" outlineLevel="0" collapsed="false">
      <c r="A11058" s="0" t="s">
        <v>5171</v>
      </c>
      <c r="B11058" s="0" t="str">
        <f aca="false">HYPERLINK("https://lindat.mff.cuni.cz/services/teitok/pdtc10/index.php?action=vallex&amp;frame=v-w1339f65_ZU", "jít (v-w1339f65_ZU)")</f>
        <v>jít (v-w1339f65_ZU)</v>
      </c>
    </row>
    <row r="11059" customFormat="false" ht="12.8" hidden="false" customHeight="false" outlineLevel="0" collapsed="false">
      <c r="B11059" s="0" t="s">
        <v>1</v>
      </c>
    </row>
    <row r="11060" customFormat="false" ht="12.8" hidden="false" customHeight="false" outlineLevel="0" collapsed="false">
      <c r="B11060" s="0" t="s">
        <v>5172</v>
      </c>
    </row>
    <row r="11061" customFormat="false" ht="12.8" hidden="false" customHeight="false" outlineLevel="0" collapsed="false">
      <c r="B11061" s="0" t="s">
        <v>186</v>
      </c>
    </row>
    <row r="11063" customFormat="false" ht="12.8" hidden="false" customHeight="false" outlineLevel="0" collapsed="false">
      <c r="A11063" s="0" t="s">
        <v>5171</v>
      </c>
      <c r="B11063" s="0" t="str">
        <f aca="false">HYPERLINK("https://lindat.mff.cuni.cz/services/teitok/pdtc10/index.php?action=vallex&amp;frame=v-w1339hsa_408", "jít (v-w1339hsa_408) - substituted with v-w1339f65_ZU")</f>
        <v>jít (v-w1339hsa_408) - substituted with v-w1339f65_ZU</v>
      </c>
    </row>
    <row r="11064" customFormat="false" ht="12.8" hidden="false" customHeight="false" outlineLevel="0" collapsed="false">
      <c r="B11064" s="0" t="s">
        <v>1</v>
      </c>
    </row>
    <row r="11065" customFormat="false" ht="12.8" hidden="false" customHeight="false" outlineLevel="0" collapsed="false">
      <c r="B11065" s="0" t="s">
        <v>5172</v>
      </c>
    </row>
    <row r="11066" customFormat="false" ht="12.8" hidden="false" customHeight="false" outlineLevel="0" collapsed="false">
      <c r="B11066" s="0" t="s">
        <v>186</v>
      </c>
    </row>
    <row r="11068" customFormat="false" ht="12.8" hidden="false" customHeight="false" outlineLevel="0" collapsed="false">
      <c r="A11068" s="0" t="s">
        <v>5173</v>
      </c>
      <c r="B11068" s="0" t="str">
        <f aca="false">HYPERLINK("https://lindat.mff.cuni.cz/services/teitok/pdtc10/index.php?action=vallex&amp;frame=v-w1339f66_ZU", "jít (v-w1339f66_ZU)")</f>
        <v>jít (v-w1339f66_ZU)</v>
      </c>
    </row>
    <row r="11069" customFormat="false" ht="12.8" hidden="false" customHeight="false" outlineLevel="0" collapsed="false">
      <c r="B11069" s="0" t="s">
        <v>1</v>
      </c>
    </row>
    <row r="11070" customFormat="false" ht="12.8" hidden="false" customHeight="false" outlineLevel="0" collapsed="false">
      <c r="B11070" s="0" t="s">
        <v>5174</v>
      </c>
    </row>
    <row r="11072" customFormat="false" ht="12.8" hidden="false" customHeight="false" outlineLevel="0" collapsed="false">
      <c r="A11072" s="0" t="s">
        <v>5173</v>
      </c>
      <c r="B11072" s="0" t="str">
        <f aca="false">HYPERLINK("https://lindat.mff.cuni.cz/services/teitok/pdtc10/index.php?action=vallex&amp;frame=v-w1339hsa_411", "jít (v-w1339hsa_411) - substituted with v-w1339f66_ZU")</f>
        <v>jít (v-w1339hsa_411) - substituted with v-w1339f66_ZU</v>
      </c>
    </row>
    <row r="11073" customFormat="false" ht="12.8" hidden="false" customHeight="false" outlineLevel="0" collapsed="false">
      <c r="B11073" s="0" t="s">
        <v>1</v>
      </c>
    </row>
    <row r="11074" customFormat="false" ht="12.8" hidden="false" customHeight="false" outlineLevel="0" collapsed="false">
      <c r="B11074" s="0" t="s">
        <v>5174</v>
      </c>
    </row>
    <row r="11076" customFormat="false" ht="12.8" hidden="false" customHeight="false" outlineLevel="0" collapsed="false">
      <c r="A11076" s="0" t="s">
        <v>5175</v>
      </c>
      <c r="B11076" s="0" t="str">
        <f aca="false">HYPERLINK("https://lindat.mff.cuni.cz/services/teitok/pdtc10/index.php?action=vallex&amp;frame=v-w1339f67_ZU", "jít (v-w1339f67_ZU)")</f>
        <v>jít (v-w1339f67_ZU)</v>
      </c>
    </row>
    <row r="11077" customFormat="false" ht="12.8" hidden="false" customHeight="false" outlineLevel="0" collapsed="false">
      <c r="B11077" s="0" t="s">
        <v>804</v>
      </c>
    </row>
    <row r="11078" customFormat="false" ht="12.8" hidden="false" customHeight="false" outlineLevel="0" collapsed="false">
      <c r="B11078" s="0" t="s">
        <v>5176</v>
      </c>
    </row>
    <row r="11080" customFormat="false" ht="12.8" hidden="false" customHeight="false" outlineLevel="0" collapsed="false">
      <c r="A11080" s="0" t="s">
        <v>5175</v>
      </c>
      <c r="B11080" s="0" t="str">
        <f aca="false">HYPERLINK("https://lindat.mff.cuni.cz/services/teitok/pdtc10/index.php?action=vallex&amp;frame=v-w1339hsa_412", "jít (v-w1339hsa_412) - substituted with v-w1339f67_ZU")</f>
        <v>jít (v-w1339hsa_412) - substituted with v-w1339f67_ZU</v>
      </c>
    </row>
    <row r="11081" customFormat="false" ht="12.8" hidden="false" customHeight="false" outlineLevel="0" collapsed="false">
      <c r="B11081" s="0" t="s">
        <v>804</v>
      </c>
    </row>
    <row r="11082" customFormat="false" ht="12.8" hidden="false" customHeight="false" outlineLevel="0" collapsed="false">
      <c r="B11082" s="0" t="s">
        <v>5176</v>
      </c>
    </row>
    <row r="11084" customFormat="false" ht="12.8" hidden="false" customHeight="false" outlineLevel="0" collapsed="false">
      <c r="A11084" s="0" t="s">
        <v>5177</v>
      </c>
      <c r="B11084" s="0" t="str">
        <f aca="false">HYPERLINK("https://lindat.mff.cuni.cz/services/teitok/pdtc10/index.php?action=vallex&amp;frame=v-w1339f68_ZU", "jít (v-w1339f68_ZU)")</f>
        <v>jít (v-w1339f68_ZU)</v>
      </c>
    </row>
    <row r="11085" customFormat="false" ht="12.8" hidden="false" customHeight="false" outlineLevel="0" collapsed="false">
      <c r="B11085" s="0" t="s">
        <v>1</v>
      </c>
    </row>
    <row r="11086" customFormat="false" ht="12.8" hidden="false" customHeight="false" outlineLevel="0" collapsed="false">
      <c r="B11086" s="0" t="s">
        <v>5178</v>
      </c>
    </row>
    <row r="11087" customFormat="false" ht="12.8" hidden="false" customHeight="false" outlineLevel="0" collapsed="false">
      <c r="B11087" s="0" t="s">
        <v>721</v>
      </c>
    </row>
    <row r="11089" customFormat="false" ht="12.8" hidden="false" customHeight="false" outlineLevel="0" collapsed="false">
      <c r="A11089" s="0" t="s">
        <v>5177</v>
      </c>
      <c r="B11089" s="0" t="str">
        <f aca="false">HYPERLINK("https://lindat.mff.cuni.cz/services/teitok/pdtc10/index.php?action=vallex&amp;frame=v-w1339hsa_409", "jít (v-w1339hsa_409) - substituted with v-w1339f68_ZU")</f>
        <v>jít (v-w1339hsa_409) - substituted with v-w1339f68_ZU</v>
      </c>
    </row>
    <row r="11090" customFormat="false" ht="12.8" hidden="false" customHeight="false" outlineLevel="0" collapsed="false">
      <c r="B11090" s="0" t="s">
        <v>1</v>
      </c>
    </row>
    <row r="11091" customFormat="false" ht="12.8" hidden="false" customHeight="false" outlineLevel="0" collapsed="false">
      <c r="B11091" s="0" t="s">
        <v>5178</v>
      </c>
    </row>
    <row r="11092" customFormat="false" ht="12.8" hidden="false" customHeight="false" outlineLevel="0" collapsed="false">
      <c r="B11092" s="0" t="s">
        <v>721</v>
      </c>
    </row>
    <row r="11094" customFormat="false" ht="12.8" hidden="false" customHeight="false" outlineLevel="0" collapsed="false">
      <c r="A11094" s="0" t="s">
        <v>5179</v>
      </c>
      <c r="B11094" s="0" t="str">
        <f aca="false">HYPERLINK("https://lindat.mff.cuni.cz/services/teitok/pdtc10/index.php?action=vallex&amp;frame=v-w1339f69_ZU", "jít (v-w1339f69_ZU)")</f>
        <v>jít (v-w1339f69_ZU)</v>
      </c>
    </row>
    <row r="11095" customFormat="false" ht="12.8" hidden="false" customHeight="false" outlineLevel="0" collapsed="false">
      <c r="B11095" s="0" t="s">
        <v>1</v>
      </c>
    </row>
    <row r="11096" customFormat="false" ht="12.8" hidden="false" customHeight="false" outlineLevel="0" collapsed="false">
      <c r="B11096" s="0" t="s">
        <v>5180</v>
      </c>
    </row>
    <row r="11098" customFormat="false" ht="12.8" hidden="false" customHeight="false" outlineLevel="0" collapsed="false">
      <c r="A11098" s="0" t="s">
        <v>5179</v>
      </c>
      <c r="B11098" s="0" t="str">
        <f aca="false">HYPERLINK("https://lindat.mff.cuni.cz/services/teitok/pdtc10/index.php?action=vallex&amp;frame=v-w1339hsa_410", "jít (v-w1339hsa_410) - substituted with v-w1339f69_ZU")</f>
        <v>jít (v-w1339hsa_410) - substituted with v-w1339f69_ZU</v>
      </c>
    </row>
    <row r="11099" customFormat="false" ht="12.8" hidden="false" customHeight="false" outlineLevel="0" collapsed="false">
      <c r="B11099" s="0" t="s">
        <v>1</v>
      </c>
    </row>
    <row r="11100" customFormat="false" ht="12.8" hidden="false" customHeight="false" outlineLevel="0" collapsed="false">
      <c r="B11100" s="0" t="s">
        <v>5180</v>
      </c>
    </row>
    <row r="11102" customFormat="false" ht="12.8" hidden="false" customHeight="false" outlineLevel="0" collapsed="false">
      <c r="A11102" s="0" t="s">
        <v>5181</v>
      </c>
      <c r="B11102" s="0" t="str">
        <f aca="false">HYPERLINK("https://lindat.mff.cuni.cz/services/teitok/pdtc10/index.php?action=vallex&amp;frame=v-w1339f73_ZU", "jít (v-w1339f73_ZU)")</f>
        <v>jít (v-w1339f73_ZU)</v>
      </c>
    </row>
    <row r="11103" customFormat="false" ht="12.8" hidden="false" customHeight="false" outlineLevel="0" collapsed="false">
      <c r="B11103" s="0" t="s">
        <v>1</v>
      </c>
    </row>
    <row r="11104" customFormat="false" ht="12.8" hidden="false" customHeight="false" outlineLevel="0" collapsed="false">
      <c r="B11104" s="0" t="s">
        <v>5182</v>
      </c>
    </row>
    <row r="11106" customFormat="false" ht="12.8" hidden="false" customHeight="false" outlineLevel="0" collapsed="false">
      <c r="A11106" s="0" t="s">
        <v>5183</v>
      </c>
      <c r="B11106" s="0" t="str">
        <f aca="false">HYPERLINK("https://lindat.mff.cuni.cz/services/teitok/pdtc10/index.php?action=vallex&amp;frame=v-w1339f74_ZU", "jít (v-w1339f74_ZU)")</f>
        <v>jít (v-w1339f74_ZU)</v>
      </c>
    </row>
    <row r="11107" customFormat="false" ht="12.8" hidden="false" customHeight="false" outlineLevel="0" collapsed="false">
      <c r="B11107" s="0" t="s">
        <v>1</v>
      </c>
    </row>
    <row r="11108" customFormat="false" ht="12.8" hidden="false" customHeight="false" outlineLevel="0" collapsed="false">
      <c r="B11108" s="0" t="s">
        <v>5184</v>
      </c>
    </row>
    <row r="11109" customFormat="false" ht="12.8" hidden="false" customHeight="false" outlineLevel="0" collapsed="false">
      <c r="B11109" s="0" t="s">
        <v>855</v>
      </c>
    </row>
    <row r="11111" customFormat="false" ht="12.8" hidden="false" customHeight="false" outlineLevel="0" collapsed="false">
      <c r="A11111" s="0" t="s">
        <v>5185</v>
      </c>
      <c r="B11111" s="0" t="str">
        <f aca="false">HYPERLINK("https://lindat.mff.cuni.cz/services/teitok/pdtc10/index.php?action=vallex&amp;frame=v-w1339f76_ZU", "jít (v-w1339f76_ZU)")</f>
        <v>jít (v-w1339f76_ZU)</v>
      </c>
    </row>
    <row r="11112" customFormat="false" ht="12.8" hidden="false" customHeight="false" outlineLevel="0" collapsed="false">
      <c r="B11112" s="0" t="s">
        <v>1</v>
      </c>
    </row>
    <row r="11113" customFormat="false" ht="12.8" hidden="false" customHeight="false" outlineLevel="0" collapsed="false">
      <c r="B11113" s="0" t="s">
        <v>45</v>
      </c>
    </row>
    <row r="11115" customFormat="false" ht="12.8" hidden="false" customHeight="false" outlineLevel="0" collapsed="false">
      <c r="A11115" s="0" t="s">
        <v>5186</v>
      </c>
      <c r="B11115" s="0" t="str">
        <f aca="false">HYPERLINK("https://lindat.mff.cuni.cz/services/teitok/pdtc10/index.php?action=vallex&amp;frame=v-w1339f80_ZU", "jít (v-w1339f80_ZU)")</f>
        <v>jít (v-w1339f80_ZU)</v>
      </c>
    </row>
    <row r="11116" customFormat="false" ht="12.8" hidden="false" customHeight="false" outlineLevel="0" collapsed="false">
      <c r="B11116" s="0" t="s">
        <v>1</v>
      </c>
    </row>
    <row r="11117" customFormat="false" ht="12.8" hidden="false" customHeight="false" outlineLevel="0" collapsed="false">
      <c r="B11117" s="0" t="s">
        <v>454</v>
      </c>
    </row>
    <row r="11119" customFormat="false" ht="12.8" hidden="false" customHeight="false" outlineLevel="0" collapsed="false">
      <c r="A11119" s="0" t="s">
        <v>5186</v>
      </c>
      <c r="B11119" s="0" t="str">
        <f aca="false">HYPERLINK("https://lindat.mff.cuni.cz/services/teitok/pdtc10/index.php?action=vallex&amp;frame=v-w1339f70_ZU", "jít (v-w1339f70_ZU) - substituted with v-w1339f80_ZU")</f>
        <v>jít (v-w1339f70_ZU) - substituted with v-w1339f80_ZU</v>
      </c>
    </row>
    <row r="11120" customFormat="false" ht="12.8" hidden="false" customHeight="false" outlineLevel="0" collapsed="false">
      <c r="B11120" s="0" t="s">
        <v>1</v>
      </c>
    </row>
    <row r="11121" customFormat="false" ht="12.8" hidden="false" customHeight="false" outlineLevel="0" collapsed="false">
      <c r="B11121" s="0" t="s">
        <v>454</v>
      </c>
    </row>
    <row r="11123" customFormat="false" ht="12.8" hidden="false" customHeight="false" outlineLevel="0" collapsed="false">
      <c r="A11123" s="0" t="s">
        <v>5186</v>
      </c>
      <c r="B11123" s="0" t="str">
        <f aca="false">HYPERLINK("https://lindat.mff.cuni.cz/services/teitok/pdtc10/index.php?action=vallex&amp;frame=v-w1339f71_ZU", "jít (v-w1339f71_ZU) - substituted with v-w1339f80_ZU")</f>
        <v>jít (v-w1339f71_ZU) - substituted with v-w1339f80_ZU</v>
      </c>
    </row>
    <row r="11124" customFormat="false" ht="12.8" hidden="false" customHeight="false" outlineLevel="0" collapsed="false">
      <c r="B11124" s="0" t="s">
        <v>1</v>
      </c>
    </row>
    <row r="11125" customFormat="false" ht="12.8" hidden="false" customHeight="false" outlineLevel="0" collapsed="false">
      <c r="B11125" s="0" t="s">
        <v>454</v>
      </c>
    </row>
    <row r="11127" customFormat="false" ht="12.8" hidden="false" customHeight="false" outlineLevel="0" collapsed="false">
      <c r="A11127" s="0" t="s">
        <v>5186</v>
      </c>
      <c r="B11127" s="0" t="str">
        <f aca="false">HYPERLINK("https://lindat.mff.cuni.cz/services/teitok/pdtc10/index.php?action=vallex&amp;frame=v-w1339f78_ZU", "jít (v-w1339f78_ZU) - substituted with v-w1339f80_ZU")</f>
        <v>jít (v-w1339f78_ZU) - substituted with v-w1339f80_ZU</v>
      </c>
    </row>
    <row r="11128" customFormat="false" ht="12.8" hidden="false" customHeight="false" outlineLevel="0" collapsed="false">
      <c r="B11128" s="0" t="s">
        <v>1</v>
      </c>
    </row>
    <row r="11129" customFormat="false" ht="12.8" hidden="false" customHeight="false" outlineLevel="0" collapsed="false">
      <c r="B11129" s="0" t="s">
        <v>454</v>
      </c>
    </row>
    <row r="11131" customFormat="false" ht="12.8" hidden="false" customHeight="false" outlineLevel="0" collapsed="false">
      <c r="A11131" s="0" t="s">
        <v>5187</v>
      </c>
      <c r="B11131" s="0" t="str">
        <f aca="false">HYPERLINK("https://lindat.mff.cuni.cz/services/teitok/pdtc10/index.php?action=vallex&amp;frame=v-w1339f81_ZU", "jít (v-w1339f81_ZU)")</f>
        <v>jít (v-w1339f81_ZU)</v>
      </c>
    </row>
    <row r="11132" customFormat="false" ht="12.8" hidden="false" customHeight="false" outlineLevel="0" collapsed="false">
      <c r="B11132" s="0" t="s">
        <v>1</v>
      </c>
    </row>
    <row r="11133" customFormat="false" ht="12.8" hidden="false" customHeight="false" outlineLevel="0" collapsed="false">
      <c r="B11133" s="0" t="s">
        <v>454</v>
      </c>
    </row>
    <row r="11135" customFormat="false" ht="12.8" hidden="false" customHeight="false" outlineLevel="0" collapsed="false">
      <c r="A11135" s="0" t="s">
        <v>5187</v>
      </c>
      <c r="B11135" s="0" t="str">
        <f aca="false">HYPERLINK("https://lindat.mff.cuni.cz/services/teitok/pdtc10/index.php?action=vallex&amp;frame=v-w1339f75_ZU", "jít (v-w1339f75_ZU) - substituted with v-w1339f81_ZU")</f>
        <v>jít (v-w1339f75_ZU) - substituted with v-w1339f81_ZU</v>
      </c>
    </row>
    <row r="11136" customFormat="false" ht="12.8" hidden="false" customHeight="false" outlineLevel="0" collapsed="false">
      <c r="B11136" s="0" t="s">
        <v>1</v>
      </c>
    </row>
    <row r="11137" customFormat="false" ht="12.8" hidden="false" customHeight="false" outlineLevel="0" collapsed="false">
      <c r="B11137" s="0" t="s">
        <v>454</v>
      </c>
    </row>
    <row r="11139" customFormat="false" ht="12.8" hidden="false" customHeight="false" outlineLevel="0" collapsed="false">
      <c r="A11139" s="0" t="s">
        <v>5188</v>
      </c>
      <c r="B11139" s="0" t="str">
        <f aca="false">HYPERLINK("https://lindat.mff.cuni.cz/services/teitok/pdtc10/index.php?action=vallex&amp;frame=v-w1339f83_ZU", "jít (v-w1339f83_ZU)")</f>
        <v>jít (v-w1339f83_ZU)</v>
      </c>
    </row>
    <row r="11140" customFormat="false" ht="12.8" hidden="false" customHeight="false" outlineLevel="0" collapsed="false">
      <c r="B11140" s="0" t="s">
        <v>1</v>
      </c>
    </row>
    <row r="11141" customFormat="false" ht="12.8" hidden="false" customHeight="false" outlineLevel="0" collapsed="false">
      <c r="B11141" s="0" t="s">
        <v>5189</v>
      </c>
    </row>
    <row r="11143" customFormat="false" ht="12.8" hidden="false" customHeight="false" outlineLevel="0" collapsed="false">
      <c r="A11143" s="0" t="s">
        <v>5190</v>
      </c>
      <c r="B11143" s="0" t="str">
        <f aca="false">HYPERLINK("https://lindat.mff.cuni.cz/services/teitok/pdtc10/index.php?action=vallex&amp;frame=v-w1339f86_ZU", "jít (v-w1339f86_ZU)")</f>
        <v>jít (v-w1339f86_ZU)</v>
      </c>
    </row>
    <row r="11144" customFormat="false" ht="12.8" hidden="false" customHeight="false" outlineLevel="0" collapsed="false">
      <c r="B11144" s="0" t="s">
        <v>1</v>
      </c>
    </row>
    <row r="11145" customFormat="false" ht="12.8" hidden="false" customHeight="false" outlineLevel="0" collapsed="false">
      <c r="B11145" s="0" t="s">
        <v>5191</v>
      </c>
    </row>
    <row r="11147" customFormat="false" ht="12.8" hidden="false" customHeight="false" outlineLevel="0" collapsed="false">
      <c r="A11147" s="0" t="s">
        <v>5190</v>
      </c>
      <c r="B11147" s="0" t="str">
        <f aca="false">HYPERLINK("https://lindat.mff.cuni.cz/services/teitok/pdtc10/index.php?action=vallex&amp;frame=v-w1339hsa_402", "jít (v-w1339hsa_402) - substituted with v-w1339f86_ZU")</f>
        <v>jít (v-w1339hsa_402) - substituted with v-w1339f86_ZU</v>
      </c>
    </row>
    <row r="11148" customFormat="false" ht="12.8" hidden="false" customHeight="false" outlineLevel="0" collapsed="false">
      <c r="B11148" s="0" t="s">
        <v>1</v>
      </c>
    </row>
    <row r="11149" customFormat="false" ht="12.8" hidden="false" customHeight="false" outlineLevel="0" collapsed="false">
      <c r="B11149" s="0" t="s">
        <v>5191</v>
      </c>
    </row>
    <row r="11151" customFormat="false" ht="12.8" hidden="false" customHeight="false" outlineLevel="0" collapsed="false">
      <c r="A11151" s="0" t="s">
        <v>5192</v>
      </c>
      <c r="B11151" s="0" t="str">
        <f aca="false">HYPERLINK("https://lindat.mff.cuni.cz/services/teitok/pdtc10/index.php?action=vallex&amp;frame=v-w1339f89_ZU", "jít (v-w1339f89_ZU)")</f>
        <v>jít (v-w1339f89_ZU)</v>
      </c>
    </row>
    <row r="11152" customFormat="false" ht="12.8" hidden="false" customHeight="false" outlineLevel="0" collapsed="false">
      <c r="B11152" s="0" t="s">
        <v>1</v>
      </c>
    </row>
    <row r="11154" customFormat="false" ht="12.8" hidden="false" customHeight="false" outlineLevel="0" collapsed="false">
      <c r="A11154" s="0" t="s">
        <v>5192</v>
      </c>
      <c r="B11154" s="0" t="str">
        <f aca="false">HYPERLINK("https://lindat.mff.cuni.cz/services/teitok/pdtc10/index.php?action=vallex&amp;frame=v-w1339f87_ZU", "jít (v-w1339f87_ZU) - substituted with v-w1339f89_ZU")</f>
        <v>jít (v-w1339f87_ZU) - substituted with v-w1339f89_ZU</v>
      </c>
    </row>
    <row r="11155" customFormat="false" ht="12.8" hidden="false" customHeight="false" outlineLevel="0" collapsed="false">
      <c r="B11155" s="0" t="s">
        <v>1</v>
      </c>
    </row>
    <row r="11157" customFormat="false" ht="12.8" hidden="false" customHeight="false" outlineLevel="0" collapsed="false">
      <c r="A11157" s="0" t="s">
        <v>5193</v>
      </c>
      <c r="B11157" s="0" t="str">
        <f aca="false">HYPERLINK("https://lindat.mff.cuni.cz/services/teitok/pdtc10/index.php?action=vallex&amp;frame=v-w1339f90_ZU", "jít (v-w1339f90_ZU)")</f>
        <v>jít (v-w1339f90_ZU)</v>
      </c>
    </row>
    <row r="11158" customFormat="false" ht="12.8" hidden="false" customHeight="false" outlineLevel="0" collapsed="false">
      <c r="B11158" s="0" t="s">
        <v>1</v>
      </c>
    </row>
    <row r="11160" customFormat="false" ht="12.8" hidden="false" customHeight="false" outlineLevel="0" collapsed="false">
      <c r="A11160" s="0" t="s">
        <v>5193</v>
      </c>
      <c r="B11160" s="0" t="str">
        <f aca="false">HYPERLINK("https://lindat.mff.cuni.cz/services/teitok/pdtc10/index.php?action=vallex&amp;frame=v-w1339hsa_400", "jít (v-w1339hsa_400) - substituted with v-w1339f90_ZU")</f>
        <v>jít (v-w1339hsa_400) - substituted with v-w1339f90_ZU</v>
      </c>
    </row>
    <row r="11161" customFormat="false" ht="12.8" hidden="false" customHeight="false" outlineLevel="0" collapsed="false">
      <c r="B11161" s="0" t="s">
        <v>1</v>
      </c>
    </row>
    <row r="11163" customFormat="false" ht="12.8" hidden="false" customHeight="false" outlineLevel="0" collapsed="false">
      <c r="A11163" s="0" t="s">
        <v>5194</v>
      </c>
      <c r="B11163" s="0" t="str">
        <f aca="false">HYPERLINK("https://lindat.mff.cuni.cz/services/teitok/pdtc10/index.php?action=vallex&amp;frame=v-w1339f91_ZU", "jít (v-w1339f91_ZU)")</f>
        <v>jít (v-w1339f91_ZU)</v>
      </c>
    </row>
    <row r="11164" customFormat="false" ht="12.8" hidden="false" customHeight="false" outlineLevel="0" collapsed="false">
      <c r="B11164" s="0" t="s">
        <v>1</v>
      </c>
    </row>
    <row r="11166" customFormat="false" ht="12.8" hidden="false" customHeight="false" outlineLevel="0" collapsed="false">
      <c r="A11166" s="0" t="s">
        <v>5195</v>
      </c>
      <c r="B11166" s="0" t="str">
        <f aca="false">HYPERLINK("https://lindat.mff.cuni.cz/services/teitok/pdtc10/index.php?action=vallex&amp;frame=v-w1339f92_ZU", "jít (v-w1339f92_ZU)")</f>
        <v>jít (v-w1339f92_ZU)</v>
      </c>
    </row>
    <row r="11167" customFormat="false" ht="12.8" hidden="false" customHeight="false" outlineLevel="0" collapsed="false">
      <c r="B11167" s="0" t="s">
        <v>1</v>
      </c>
    </row>
    <row r="11169" customFormat="false" ht="12.8" hidden="false" customHeight="false" outlineLevel="0" collapsed="false">
      <c r="A11169" s="0" t="s">
        <v>5196</v>
      </c>
      <c r="B11169" s="0" t="str">
        <f aca="false">HYPERLINK("https://lindat.mff.cuni.cz/services/teitok/pdtc10/index.php?action=vallex&amp;frame=v-w1339f93_ZU", "jít (v-w1339f93_ZU)")</f>
        <v>jít (v-w1339f93_ZU)</v>
      </c>
    </row>
    <row r="11170" customFormat="false" ht="12.8" hidden="false" customHeight="false" outlineLevel="0" collapsed="false">
      <c r="B11170" s="0" t="s">
        <v>1</v>
      </c>
    </row>
    <row r="11171" customFormat="false" ht="12.8" hidden="false" customHeight="false" outlineLevel="0" collapsed="false">
      <c r="B11171" s="0" t="s">
        <v>5197</v>
      </c>
    </row>
    <row r="11173" customFormat="false" ht="12.8" hidden="false" customHeight="false" outlineLevel="0" collapsed="false">
      <c r="A11173" s="0" t="s">
        <v>5198</v>
      </c>
      <c r="B11173" s="0" t="str">
        <f aca="false">HYPERLINK("https://lindat.mff.cuni.cz/services/teitok/pdtc10/index.php?action=vallex&amp;frame=v-w1339f95_ZU", "jít (v-w1339f95_ZU)")</f>
        <v>jít (v-w1339f95_ZU)</v>
      </c>
    </row>
    <row r="11174" customFormat="false" ht="12.8" hidden="false" customHeight="false" outlineLevel="0" collapsed="false">
      <c r="B11174" s="0" t="s">
        <v>1</v>
      </c>
    </row>
    <row r="11175" customFormat="false" ht="12.8" hidden="false" customHeight="false" outlineLevel="0" collapsed="false">
      <c r="B11175" s="0" t="s">
        <v>5199</v>
      </c>
    </row>
    <row r="11177" customFormat="false" ht="12.8" hidden="false" customHeight="false" outlineLevel="0" collapsed="false">
      <c r="A11177" s="0" t="s">
        <v>5200</v>
      </c>
      <c r="B11177" s="0" t="str">
        <f aca="false">HYPERLINK("https://lindat.mff.cuni.cz/services/teitok/pdtc10/index.php?action=vallex&amp;frame=v-w1339f97_ZU", "jít (v-w1339f97_ZU)")</f>
        <v>jít (v-w1339f97_ZU)</v>
      </c>
    </row>
    <row r="11178" customFormat="false" ht="12.8" hidden="false" customHeight="false" outlineLevel="0" collapsed="false">
      <c r="B11178" s="0" t="s">
        <v>1</v>
      </c>
    </row>
    <row r="11179" customFormat="false" ht="12.8" hidden="false" customHeight="false" outlineLevel="0" collapsed="false">
      <c r="B11179" s="0" t="s">
        <v>721</v>
      </c>
    </row>
    <row r="11180" customFormat="false" ht="12.8" hidden="false" customHeight="false" outlineLevel="0" collapsed="false">
      <c r="B11180" s="0" t="s">
        <v>5201</v>
      </c>
    </row>
    <row r="11182" customFormat="false" ht="12.8" hidden="false" customHeight="false" outlineLevel="0" collapsed="false">
      <c r="A11182" s="0" t="s">
        <v>5202</v>
      </c>
      <c r="B11182" s="0" t="str">
        <f aca="false">HYPERLINK("https://lindat.mff.cuni.cz/services/teitok/pdtc10/index.php?action=vallex&amp;frame=v-w1339hsa_403", "jít (v-w1339hsa_403)")</f>
        <v>jít (v-w1339hsa_403)</v>
      </c>
    </row>
    <row r="11183" customFormat="false" ht="12.8" hidden="false" customHeight="false" outlineLevel="0" collapsed="false">
      <c r="B11183" s="0" t="s">
        <v>1</v>
      </c>
    </row>
    <row r="11184" customFormat="false" ht="12.8" hidden="false" customHeight="false" outlineLevel="0" collapsed="false">
      <c r="B11184" s="0" t="s">
        <v>721</v>
      </c>
    </row>
    <row r="11186" customFormat="false" ht="12.8" hidden="false" customHeight="false" outlineLevel="0" collapsed="false">
      <c r="A11186" s="0" t="s">
        <v>5203</v>
      </c>
      <c r="B11186" s="0" t="str">
        <f aca="false">HYPERLINK("https://lindat.mff.cuni.cz/services/teitok/pdtc10/index.php?action=vallex&amp;frame=v-w1339hsa_404", "jít (v-w1339hsa_404)")</f>
        <v>jít (v-w1339hsa_404)</v>
      </c>
    </row>
    <row r="11188" customFormat="false" ht="12.8" hidden="false" customHeight="false" outlineLevel="0" collapsed="false">
      <c r="A11188" s="0" t="s">
        <v>5204</v>
      </c>
      <c r="B11188" s="0" t="str">
        <f aca="false">HYPERLINK("https://lindat.mff.cuni.cz/services/teitok/pdtc10/index.php?action=vallex&amp;frame=v-w1339hsa_486", "jít (v-w1339hsa_486)")</f>
        <v>jít (v-w1339hsa_486)</v>
      </c>
    </row>
    <row r="11189" customFormat="false" ht="12.8" hidden="false" customHeight="false" outlineLevel="0" collapsed="false">
      <c r="B11189" s="0" t="s">
        <v>1</v>
      </c>
    </row>
    <row r="11190" customFormat="false" ht="12.8" hidden="false" customHeight="false" outlineLevel="0" collapsed="false">
      <c r="B11190" s="0" t="s">
        <v>5205</v>
      </c>
    </row>
    <row r="11191" customFormat="false" ht="12.8" hidden="false" customHeight="false" outlineLevel="0" collapsed="false">
      <c r="B11191" s="0" t="s">
        <v>721</v>
      </c>
    </row>
    <row r="11193" customFormat="false" ht="12.8" hidden="false" customHeight="false" outlineLevel="0" collapsed="false">
      <c r="A11193" s="0" t="s">
        <v>5206</v>
      </c>
      <c r="B11193" s="0" t="str">
        <f aca="false">HYPERLINK("https://lindat.mff.cuni.cz/services/teitok/pdtc10/index.php?action=vallex&amp;frame=v-w11513_ZUf4_ZU", "jít si (v-w11513_ZUf4_ZU)")</f>
        <v>jít si (v-w11513_ZUf4_ZU)</v>
      </c>
    </row>
    <row r="11194" customFormat="false" ht="12.8" hidden="false" customHeight="false" outlineLevel="0" collapsed="false">
      <c r="B11194" s="0" t="s">
        <v>1</v>
      </c>
    </row>
    <row r="11195" customFormat="false" ht="12.8" hidden="false" customHeight="false" outlineLevel="0" collapsed="false">
      <c r="B11195" s="0" t="s">
        <v>5207</v>
      </c>
    </row>
    <row r="11197" customFormat="false" ht="12.8" hidden="false" customHeight="false" outlineLevel="0" collapsed="false">
      <c r="A11197" s="0" t="s">
        <v>5206</v>
      </c>
      <c r="B11197" s="0" t="str">
        <f aca="false">HYPERLINK("https://lindat.mff.cuni.cz/services/teitok/pdtc10/index.php?action=vallex&amp;frame=v-w11513_ZUf1_ZU", "jít si (v-w11513_ZUf1_ZU) - substituted with v-w11513_ZUf4_ZU")</f>
        <v>jít si (v-w11513_ZUf1_ZU) - substituted with v-w11513_ZUf4_ZU</v>
      </c>
    </row>
    <row r="11198" customFormat="false" ht="12.8" hidden="false" customHeight="false" outlineLevel="0" collapsed="false">
      <c r="B11198" s="0" t="s">
        <v>1</v>
      </c>
    </row>
    <row r="11199" customFormat="false" ht="12.8" hidden="false" customHeight="false" outlineLevel="0" collapsed="false">
      <c r="B11199" s="0" t="s">
        <v>5207</v>
      </c>
    </row>
    <row r="11201" customFormat="false" ht="12.8" hidden="false" customHeight="false" outlineLevel="0" collapsed="false">
      <c r="A11201" s="0" t="s">
        <v>5206</v>
      </c>
      <c r="B11201" s="0" t="str">
        <f aca="false">HYPERLINK("https://lindat.mff.cuni.cz/services/teitok/pdtc10/index.php?action=vallex&amp;frame=v-w11513_ZUf2_ZU", "jít si (v-w11513_ZUf2_ZU) - substituted with v-w11513_ZUf4_ZU")</f>
        <v>jít si (v-w11513_ZUf2_ZU) - substituted with v-w11513_ZUf4_ZU</v>
      </c>
    </row>
    <row r="11202" customFormat="false" ht="12.8" hidden="false" customHeight="false" outlineLevel="0" collapsed="false">
      <c r="B11202" s="0" t="s">
        <v>1</v>
      </c>
    </row>
    <row r="11203" customFormat="false" ht="12.8" hidden="false" customHeight="false" outlineLevel="0" collapsed="false">
      <c r="B11203" s="0" t="s">
        <v>5207</v>
      </c>
    </row>
    <row r="11205" customFormat="false" ht="12.8" hidden="false" customHeight="false" outlineLevel="0" collapsed="false">
      <c r="A11205" s="0" t="s">
        <v>5208</v>
      </c>
      <c r="B11205" s="0" t="str">
        <f aca="false">HYPERLINK("https://lindat.mff.cuni.cz/services/teitok/pdtc10/index.php?action=vallex&amp;frame=v-w11513_ZUf3_ZU", "jít si (v-w11513_ZUf3_ZU)")</f>
        <v>jít si (v-w11513_ZUf3_ZU)</v>
      </c>
    </row>
    <row r="11206" customFormat="false" ht="12.8" hidden="false" customHeight="false" outlineLevel="0" collapsed="false">
      <c r="B11206" s="0" t="s">
        <v>1</v>
      </c>
    </row>
    <row r="11207" customFormat="false" ht="12.8" hidden="false" customHeight="false" outlineLevel="0" collapsed="false">
      <c r="B11207" s="0" t="s">
        <v>5209</v>
      </c>
    </row>
    <row r="11209" customFormat="false" ht="12.8" hidden="false" customHeight="false" outlineLevel="0" collapsed="false">
      <c r="A11209" s="0" t="s">
        <v>5210</v>
      </c>
      <c r="B11209" s="0" t="str">
        <f aca="false">HYPERLINK("https://lindat.mff.cuni.cz/services/teitok/pdtc10/index.php?action=vallex&amp;frame=v-w11982_ZUf1_ZU", "kakat (v-w11982_ZUf1_ZU)")</f>
        <v>kakat (v-w11982_ZUf1_ZU)</v>
      </c>
    </row>
    <row r="11210" customFormat="false" ht="12.8" hidden="false" customHeight="false" outlineLevel="0" collapsed="false">
      <c r="B11210" s="0" t="s">
        <v>1</v>
      </c>
    </row>
    <row r="11212" customFormat="false" ht="12.8" hidden="false" customHeight="false" outlineLevel="0" collapsed="false">
      <c r="A11212" s="0" t="s">
        <v>5211</v>
      </c>
      <c r="B11212" s="0" t="str">
        <f aca="false">HYPERLINK("https://lindat.mff.cuni.cz/services/teitok/pdtc10/index.php?action=vallex&amp;frame=v-w1347f1", "kalit (v-w1347f1)")</f>
        <v>kalit (v-w1347f1)</v>
      </c>
    </row>
    <row r="11213" customFormat="false" ht="12.8" hidden="false" customHeight="false" outlineLevel="0" collapsed="false">
      <c r="B11213" s="0" t="s">
        <v>1</v>
      </c>
    </row>
    <row r="11214" customFormat="false" ht="12.8" hidden="false" customHeight="false" outlineLevel="0" collapsed="false">
      <c r="B11214" s="0" t="s">
        <v>8</v>
      </c>
    </row>
    <row r="11216" customFormat="false" ht="12.8" hidden="false" customHeight="false" outlineLevel="0" collapsed="false">
      <c r="A11216" s="0" t="s">
        <v>5212</v>
      </c>
      <c r="B11216" s="0" t="str">
        <f aca="false">HYPERLINK("https://lindat.mff.cuni.cz/services/teitok/pdtc10/index.php?action=vallex&amp;frame=v-w1349f2", "kalkulovat (v-w1349f2)")</f>
        <v>kalkulovat (v-w1349f2)</v>
      </c>
    </row>
    <row r="11217" customFormat="false" ht="12.8" hidden="false" customHeight="false" outlineLevel="0" collapsed="false">
      <c r="B11217" s="0" t="s">
        <v>1</v>
      </c>
    </row>
    <row r="11218" customFormat="false" ht="12.8" hidden="false" customHeight="false" outlineLevel="0" collapsed="false">
      <c r="B11218" s="0" t="s">
        <v>1838</v>
      </c>
    </row>
    <row r="11219" customFormat="false" ht="12.8" hidden="false" customHeight="false" outlineLevel="0" collapsed="false">
      <c r="B11219" s="0" t="s">
        <v>36</v>
      </c>
    </row>
    <row r="11221" customFormat="false" ht="12.8" hidden="false" customHeight="false" outlineLevel="0" collapsed="false">
      <c r="A11221" s="0" t="s">
        <v>5213</v>
      </c>
      <c r="B11221" s="0" t="str">
        <f aca="false">HYPERLINK("https://lindat.mff.cuni.cz/services/teitok/pdtc10/index.php?action=vallex&amp;frame=v-w1349f1", "kalkulovat (v-w1349f1)")</f>
        <v>kalkulovat (v-w1349f1)</v>
      </c>
    </row>
    <row r="11222" customFormat="false" ht="12.8" hidden="false" customHeight="false" outlineLevel="0" collapsed="false">
      <c r="B11222" s="0" t="s">
        <v>1</v>
      </c>
    </row>
    <row r="11223" customFormat="false" ht="12.8" hidden="false" customHeight="false" outlineLevel="0" collapsed="false">
      <c r="B11223" s="0" t="s">
        <v>5214</v>
      </c>
    </row>
    <row r="11225" customFormat="false" ht="12.8" hidden="false" customHeight="false" outlineLevel="0" collapsed="false">
      <c r="A11225" s="0" t="s">
        <v>5215</v>
      </c>
      <c r="B11225" s="0" t="str">
        <f aca="false">HYPERLINK("https://lindat.mff.cuni.cz/services/teitok/pdtc10/index.php?action=vallex&amp;frame=v-whsb_1178hsa_1179", "kamarádit (v-whsb_1178hsa_1179)")</f>
        <v>kamarádit (v-whsb_1178hsa_1179)</v>
      </c>
    </row>
    <row r="11226" customFormat="false" ht="12.8" hidden="false" customHeight="false" outlineLevel="0" collapsed="false">
      <c r="B11226" s="0" t="s">
        <v>1</v>
      </c>
    </row>
    <row r="11227" customFormat="false" ht="12.8" hidden="false" customHeight="false" outlineLevel="0" collapsed="false">
      <c r="B11227" s="0" t="s">
        <v>721</v>
      </c>
    </row>
    <row r="11229" customFormat="false" ht="12.8" hidden="false" customHeight="false" outlineLevel="0" collapsed="false">
      <c r="A11229" s="0" t="s">
        <v>5216</v>
      </c>
      <c r="B11229" s="0" t="str">
        <f aca="false">HYPERLINK("https://lindat.mff.cuni.cz/services/teitok/pdtc10/index.php?action=vallex&amp;frame=v-whsa_1760hsa_1761", "kamarádit se (v-whsa_1760hsa_1761)")</f>
        <v>kamarádit se (v-whsa_1760hsa_1761)</v>
      </c>
    </row>
    <row r="11230" customFormat="false" ht="12.8" hidden="false" customHeight="false" outlineLevel="0" collapsed="false">
      <c r="B11230" s="0" t="s">
        <v>1</v>
      </c>
    </row>
    <row r="11231" customFormat="false" ht="12.8" hidden="false" customHeight="false" outlineLevel="0" collapsed="false">
      <c r="B11231" s="0" t="s">
        <v>721</v>
      </c>
    </row>
    <row r="11233" customFormat="false" ht="12.8" hidden="false" customHeight="false" outlineLevel="0" collapsed="false">
      <c r="A11233" s="0" t="s">
        <v>5217</v>
      </c>
      <c r="B11233" s="0" t="str">
        <f aca="false">HYPERLINK("https://lindat.mff.cuni.cz/services/teitok/pdtc10/index.php?action=vallex&amp;frame=v-w1355f2", "kandidovat (v-w1355f2)")</f>
        <v>kandidovat (v-w1355f2)</v>
      </c>
    </row>
    <row r="11234" customFormat="false" ht="12.8" hidden="false" customHeight="false" outlineLevel="0" collapsed="false">
      <c r="B11234" s="0" t="s">
        <v>1</v>
      </c>
    </row>
    <row r="11235" customFormat="false" ht="12.8" hidden="false" customHeight="false" outlineLevel="0" collapsed="false">
      <c r="B11235" s="0" t="s">
        <v>8</v>
      </c>
    </row>
    <row r="11236" customFormat="false" ht="12.8" hidden="false" customHeight="false" outlineLevel="0" collapsed="false">
      <c r="B11236" s="0" t="s">
        <v>101</v>
      </c>
    </row>
    <row r="11238" customFormat="false" ht="12.8" hidden="false" customHeight="false" outlineLevel="0" collapsed="false">
      <c r="A11238" s="0" t="s">
        <v>5218</v>
      </c>
      <c r="B11238" s="0" t="str">
        <f aca="false">HYPERLINK("https://lindat.mff.cuni.cz/services/teitok/pdtc10/index.php?action=vallex&amp;frame=v-w1355f1", "kandidovat (v-w1355f1)")</f>
        <v>kandidovat (v-w1355f1)</v>
      </c>
      <c r="E11238" s="0" t="str">
        <f aca="false">HYPERLINK("https://lindat.mff.cuni.cz/services/SynSemClass40/SynSemClass40.html?veclass=vec00423#vec00423-ces-cm00001", "vec00423")</f>
        <v>vec00423</v>
      </c>
      <c r="F11238" s="0" t="s">
        <v>5219</v>
      </c>
    </row>
    <row r="11239" customFormat="false" ht="12.8" hidden="false" customHeight="false" outlineLevel="0" collapsed="false">
      <c r="B11239" s="0" t="s">
        <v>1</v>
      </c>
      <c r="C11239" s="0" t="s">
        <v>239</v>
      </c>
      <c r="E11239" s="0" t="s">
        <v>429</v>
      </c>
      <c r="F11239" s="0" t="s">
        <v>5220</v>
      </c>
    </row>
    <row r="11240" customFormat="false" ht="12.8" hidden="false" customHeight="false" outlineLevel="0" collapsed="false">
      <c r="B11240" s="0" t="s">
        <v>69</v>
      </c>
      <c r="C11240" s="0" t="s">
        <v>449</v>
      </c>
      <c r="E11240" s="0" t="s">
        <v>5221</v>
      </c>
      <c r="F11240" s="0" t="s">
        <v>5222</v>
      </c>
    </row>
    <row r="11242" customFormat="false" ht="12.8" hidden="false" customHeight="false" outlineLevel="0" collapsed="false">
      <c r="A11242" s="0" t="s">
        <v>5223</v>
      </c>
      <c r="B11242" s="0" t="str">
        <f aca="false">HYPERLINK("https://lindat.mff.cuni.cz/services/teitok/pdtc10/index.php?action=vallex&amp;frame=v-w1358f1", "kapat (v-w1358f1)")</f>
        <v>kapat (v-w1358f1)</v>
      </c>
      <c r="E11242" s="0" t="str">
        <f aca="false">HYPERLINK("https://lindat.mff.cuni.cz/services/SynSemClass40/SynSemClass40.html?veclass=vec01533#vec01533-ces-cm00001", "vec01533")</f>
        <v>vec01533</v>
      </c>
      <c r="F11242" s="0" t="s">
        <v>5224</v>
      </c>
    </row>
    <row r="11243" customFormat="false" ht="12.8" hidden="false" customHeight="false" outlineLevel="0" collapsed="false">
      <c r="B11243" s="0" t="s">
        <v>1</v>
      </c>
      <c r="E11243" s="0" t="s">
        <v>5225</v>
      </c>
      <c r="F11243" s="0" t="s">
        <v>5226</v>
      </c>
    </row>
    <row r="11245" customFormat="false" ht="12.8" hidden="false" customHeight="false" outlineLevel="0" collapsed="false">
      <c r="A11245" s="0" t="s">
        <v>5227</v>
      </c>
      <c r="B11245" s="0" t="str">
        <f aca="false">HYPERLINK("https://lindat.mff.cuni.cz/services/teitok/pdtc10/index.php?action=vallex&amp;frame=v-w10968f3_ZU", "kapitalizovat (v-w10968f3_ZU)")</f>
        <v>kapitalizovat (v-w10968f3_ZU)</v>
      </c>
      <c r="E11245" s="0" t="str">
        <f aca="false">HYPERLINK("https://lindat.mff.cuni.cz/services/SynSemClass40/SynSemClass40.html?veclass=vec01030#vec01030-ces-cm00001", "vec01030")</f>
        <v>vec01030</v>
      </c>
      <c r="F11245" s="0" t="s">
        <v>5228</v>
      </c>
    </row>
    <row r="11246" customFormat="false" ht="12.8" hidden="false" customHeight="false" outlineLevel="0" collapsed="false">
      <c r="B11246" s="0" t="s">
        <v>1</v>
      </c>
      <c r="E11246" s="0" t="s">
        <v>206</v>
      </c>
      <c r="F11246" s="0" t="s">
        <v>1359</v>
      </c>
    </row>
    <row r="11247" customFormat="false" ht="12.8" hidden="false" customHeight="false" outlineLevel="0" collapsed="false">
      <c r="B11247" s="0" t="s">
        <v>8</v>
      </c>
      <c r="C11247" s="0" t="s">
        <v>3252</v>
      </c>
      <c r="E11247" s="0" t="s">
        <v>159</v>
      </c>
      <c r="F11247" s="0" t="s">
        <v>5229</v>
      </c>
    </row>
    <row r="11248" customFormat="false" ht="12.8" hidden="false" customHeight="false" outlineLevel="0" collapsed="false">
      <c r="B11248" s="0" t="s">
        <v>101</v>
      </c>
      <c r="C11248" s="0" t="s">
        <v>4168</v>
      </c>
      <c r="E11248" s="0" t="s">
        <v>1350</v>
      </c>
      <c r="F11248" s="0" t="s">
        <v>5230</v>
      </c>
    </row>
    <row r="11250" customFormat="false" ht="12.8" hidden="false" customHeight="false" outlineLevel="0" collapsed="false">
      <c r="A11250" s="0" t="s">
        <v>5227</v>
      </c>
      <c r="B11250" s="0" t="str">
        <f aca="false">HYPERLINK("https://lindat.mff.cuni.cz/services/teitok/pdtc10/index.php?action=vallex&amp;frame=v-w10968f2", "kapitalizovat (v-w10968f2) - substituted with v-w10968f3_ZU")</f>
        <v>kapitalizovat (v-w10968f2) - substituted with v-w10968f3_ZU</v>
      </c>
    </row>
    <row r="11251" customFormat="false" ht="12.8" hidden="false" customHeight="false" outlineLevel="0" collapsed="false">
      <c r="B11251" s="0" t="s">
        <v>1</v>
      </c>
    </row>
    <row r="11252" customFormat="false" ht="12.8" hidden="false" customHeight="false" outlineLevel="0" collapsed="false">
      <c r="B11252" s="0" t="s">
        <v>8</v>
      </c>
    </row>
    <row r="11253" customFormat="false" ht="12.8" hidden="false" customHeight="false" outlineLevel="0" collapsed="false">
      <c r="B11253" s="0" t="s">
        <v>101</v>
      </c>
    </row>
    <row r="11255" customFormat="false" ht="12.8" hidden="false" customHeight="false" outlineLevel="0" collapsed="false">
      <c r="A11255" s="0" t="s">
        <v>5231</v>
      </c>
      <c r="B11255" s="0" t="str">
        <f aca="false">HYPERLINK("https://lindat.mff.cuni.cz/services/teitok/pdtc10/index.php?action=vallex&amp;frame=v-w1363f1", "kapitulovat (v-w1363f1)")</f>
        <v>kapitulovat (v-w1363f1)</v>
      </c>
      <c r="E11255" s="0" t="str">
        <f aca="false">HYPERLINK("https://lindat.mff.cuni.cz/services/SynSemClass40/SynSemClass40.html?veclass=vec00739#vec00739-ces-cm00018", "vec00739")</f>
        <v>vec00739</v>
      </c>
      <c r="F11255" s="0" t="s">
        <v>5232</v>
      </c>
    </row>
    <row r="11256" customFormat="false" ht="12.8" hidden="false" customHeight="false" outlineLevel="0" collapsed="false">
      <c r="B11256" s="0" t="s">
        <v>1</v>
      </c>
      <c r="C11256" s="0" t="s">
        <v>5233</v>
      </c>
      <c r="E11256" s="0" t="s">
        <v>5234</v>
      </c>
      <c r="F11256" s="0" t="s">
        <v>5235</v>
      </c>
    </row>
    <row r="11257" customFormat="false" ht="12.8" hidden="false" customHeight="false" outlineLevel="0" collapsed="false">
      <c r="B11257" s="0" t="s">
        <v>1689</v>
      </c>
      <c r="C11257" s="0" t="s">
        <v>5236</v>
      </c>
      <c r="E11257" s="0" t="s">
        <v>5237</v>
      </c>
      <c r="F11257" s="0" t="s">
        <v>5238</v>
      </c>
    </row>
    <row r="11259" customFormat="false" ht="12.8" hidden="false" customHeight="false" outlineLevel="0" collapsed="false">
      <c r="A11259" s="0" t="s">
        <v>5239</v>
      </c>
      <c r="B11259" s="0" t="str">
        <f aca="false">HYPERLINK("https://lindat.mff.cuni.cz/services/teitok/pdtc10/index.php?action=vallex&amp;frame=v-whsa_1324hsa_1325", "karikovat (v-whsa_1324hsa_1325)")</f>
        <v>karikovat (v-whsa_1324hsa_1325)</v>
      </c>
      <c r="E11259" s="0" t="str">
        <f aca="false">HYPERLINK("https://lindat.mff.cuni.cz/services/SynSemClass40/SynSemClass40.html?veclass=vec01031#vec01031-ces-cm00001", "vec01031")</f>
        <v>vec01031</v>
      </c>
      <c r="F11259" s="0" t="s">
        <v>5240</v>
      </c>
    </row>
    <row r="11260" customFormat="false" ht="12.8" hidden="false" customHeight="false" outlineLevel="0" collapsed="false">
      <c r="B11260" s="0" t="s">
        <v>1</v>
      </c>
      <c r="C11260" s="0" t="s">
        <v>4695</v>
      </c>
      <c r="E11260" s="0" t="s">
        <v>768</v>
      </c>
      <c r="F11260" s="0" t="s">
        <v>4781</v>
      </c>
    </row>
    <row r="11261" customFormat="false" ht="12.8" hidden="false" customHeight="false" outlineLevel="0" collapsed="false">
      <c r="B11261" s="0" t="s">
        <v>8</v>
      </c>
      <c r="C11261" s="0" t="s">
        <v>462</v>
      </c>
      <c r="E11261" s="0" t="s">
        <v>230</v>
      </c>
      <c r="F11261" s="0" t="s">
        <v>5241</v>
      </c>
    </row>
    <row r="11263" customFormat="false" ht="12.8" hidden="false" customHeight="false" outlineLevel="0" collapsed="false">
      <c r="A11263" s="0" t="s">
        <v>5242</v>
      </c>
      <c r="B11263" s="0" t="str">
        <f aca="false">HYPERLINK("https://lindat.mff.cuni.cz/services/teitok/pdtc10/index.php?action=vallex&amp;frame=v-w1369f1", "katalyzovat (v-w1369f1)")</f>
        <v>katalyzovat (v-w1369f1)</v>
      </c>
    </row>
    <row r="11264" customFormat="false" ht="12.8" hidden="false" customHeight="false" outlineLevel="0" collapsed="false">
      <c r="B11264" s="0" t="s">
        <v>1</v>
      </c>
    </row>
    <row r="11265" customFormat="false" ht="12.8" hidden="false" customHeight="false" outlineLevel="0" collapsed="false">
      <c r="B11265" s="0" t="s">
        <v>8</v>
      </c>
    </row>
    <row r="11267" customFormat="false" ht="12.8" hidden="false" customHeight="false" outlineLevel="0" collapsed="false">
      <c r="A11267" s="0" t="s">
        <v>5243</v>
      </c>
      <c r="B11267" s="0" t="str">
        <f aca="false">HYPERLINK("https://lindat.mff.cuni.cz/services/teitok/pdtc10/index.php?action=vallex&amp;frame=v-w1370f1", "katapultovat (v-w1370f1)")</f>
        <v>katapultovat (v-w1370f1)</v>
      </c>
      <c r="E11267" s="0" t="str">
        <f aca="false">HYPERLINK("https://lindat.mff.cuni.cz/services/SynSemClass40/SynSemClass40.html?veclass=vec01032#vec01032-ces-cm00001", "vec01032")</f>
        <v>vec01032</v>
      </c>
      <c r="F11267" s="0" t="s">
        <v>5244</v>
      </c>
    </row>
    <row r="11268" customFormat="false" ht="12.8" hidden="false" customHeight="false" outlineLevel="0" collapsed="false">
      <c r="B11268" s="0" t="s">
        <v>1</v>
      </c>
      <c r="C11268" s="0" t="s">
        <v>4695</v>
      </c>
      <c r="E11268" s="0" t="s">
        <v>334</v>
      </c>
      <c r="F11268" s="0" t="s">
        <v>5245</v>
      </c>
    </row>
    <row r="11269" customFormat="false" ht="12.8" hidden="false" customHeight="false" outlineLevel="0" collapsed="false">
      <c r="B11269" s="0" t="s">
        <v>8</v>
      </c>
      <c r="C11269" s="0" t="s">
        <v>462</v>
      </c>
      <c r="E11269" s="0" t="s">
        <v>2648</v>
      </c>
      <c r="F11269" s="0" t="s">
        <v>5246</v>
      </c>
    </row>
    <row r="11271" customFormat="false" ht="12.8" hidden="false" customHeight="false" outlineLevel="0" collapsed="false">
      <c r="A11271" s="0" t="s">
        <v>5247</v>
      </c>
      <c r="B11271" s="0" t="str">
        <f aca="false">HYPERLINK("https://lindat.mff.cuni.cz/services/teitok/pdtc10/index.php?action=vallex&amp;frame=v-w11262f1", "katapultovat se (v-w11262f1)")</f>
        <v>katapultovat se (v-w11262f1)</v>
      </c>
    </row>
    <row r="11272" customFormat="false" ht="12.8" hidden="false" customHeight="false" outlineLevel="0" collapsed="false">
      <c r="B11272" s="0" t="s">
        <v>1</v>
      </c>
    </row>
    <row r="11274" customFormat="false" ht="12.8" hidden="false" customHeight="false" outlineLevel="0" collapsed="false">
      <c r="A11274" s="0" t="s">
        <v>5248</v>
      </c>
      <c r="B11274" s="0" t="str">
        <f aca="false">HYPERLINK("https://lindat.mff.cuni.cz/services/teitok/pdtc10/index.php?action=vallex&amp;frame=v-w1376f1", "kazit (v-w1376f1)")</f>
        <v>kazit (v-w1376f1)</v>
      </c>
      <c r="E11274" s="0" t="str">
        <f aca="false">HYPERLINK("https://lindat.mff.cuni.cz/services/SynSemClass40/SynSemClass40.html?veclass=vec00389#vec00389-ces-cm00004", "vec00389")</f>
        <v>vec00389</v>
      </c>
      <c r="F11274" s="0" t="s">
        <v>1888</v>
      </c>
    </row>
    <row r="11275" customFormat="false" ht="12.8" hidden="false" customHeight="false" outlineLevel="0" collapsed="false">
      <c r="B11275" s="0" t="s">
        <v>1</v>
      </c>
      <c r="C11275" s="0" t="s">
        <v>1889</v>
      </c>
      <c r="E11275" s="0" t="s">
        <v>1890</v>
      </c>
      <c r="F11275" s="0" t="s">
        <v>1891</v>
      </c>
    </row>
    <row r="11276" customFormat="false" ht="12.8" hidden="false" customHeight="false" outlineLevel="0" collapsed="false">
      <c r="B11276" s="0" t="s">
        <v>8</v>
      </c>
      <c r="C11276" s="0" t="s">
        <v>1892</v>
      </c>
      <c r="E11276" s="0" t="s">
        <v>1893</v>
      </c>
      <c r="F11276" s="0" t="s">
        <v>1894</v>
      </c>
    </row>
    <row r="11278" customFormat="false" ht="12.8" hidden="false" customHeight="false" outlineLevel="0" collapsed="false">
      <c r="A11278" s="0" t="s">
        <v>5249</v>
      </c>
      <c r="B11278" s="0" t="str">
        <f aca="false">HYPERLINK("https://lindat.mff.cuni.cz/services/teitok/pdtc10/index.php?action=vallex&amp;frame=v-w12364_MMf1_MM", "kazit se (v-w12364_MMf1_MM)")</f>
        <v>kazit se (v-w12364_MMf1_MM)</v>
      </c>
    </row>
    <row r="11279" customFormat="false" ht="12.8" hidden="false" customHeight="false" outlineLevel="0" collapsed="false">
      <c r="B11279" s="0" t="s">
        <v>1</v>
      </c>
    </row>
    <row r="11281" customFormat="false" ht="12.8" hidden="false" customHeight="false" outlineLevel="0" collapsed="false">
      <c r="A11281" s="0" t="s">
        <v>5250</v>
      </c>
      <c r="B11281" s="0" t="str">
        <f aca="false">HYPERLINK("https://lindat.mff.cuni.cz/services/teitok/pdtc10/index.php?action=vallex&amp;frame=v-w10866f2", "kašlat (v-w10866f2)")</f>
        <v>kašlat (v-w10866f2)</v>
      </c>
    </row>
    <row r="11282" customFormat="false" ht="12.8" hidden="false" customHeight="false" outlineLevel="0" collapsed="false">
      <c r="B11282" s="0" t="s">
        <v>1</v>
      </c>
    </row>
    <row r="11283" customFormat="false" ht="12.8" hidden="false" customHeight="false" outlineLevel="0" collapsed="false">
      <c r="B11283" s="0" t="s">
        <v>45</v>
      </c>
    </row>
    <row r="11285" customFormat="false" ht="12.8" hidden="false" customHeight="false" outlineLevel="0" collapsed="false">
      <c r="A11285" s="0" t="s">
        <v>5251</v>
      </c>
      <c r="B11285" s="0" t="str">
        <f aca="false">HYPERLINK("https://lindat.mff.cuni.cz/services/teitok/pdtc10/index.php?action=vallex&amp;frame=v-w10866hsa_730", "kašlat (v-w10866hsa_730)")</f>
        <v>kašlat (v-w10866hsa_730)</v>
      </c>
    </row>
    <row r="11286" customFormat="false" ht="12.8" hidden="false" customHeight="false" outlineLevel="0" collapsed="false">
      <c r="B11286" s="0" t="s">
        <v>1</v>
      </c>
    </row>
    <row r="11288" customFormat="false" ht="12.8" hidden="false" customHeight="false" outlineLevel="0" collapsed="false">
      <c r="A11288" s="0" t="s">
        <v>5252</v>
      </c>
      <c r="B11288" s="0" t="str">
        <f aca="false">HYPERLINK("https://lindat.mff.cuni.cz/services/teitok/pdtc10/index.php?action=vallex&amp;frame=v-whsa_771f1_ZU", "kecat (v-whsa_771f1_ZU)")</f>
        <v>kecat (v-whsa_771f1_ZU)</v>
      </c>
    </row>
    <row r="11289" customFormat="false" ht="12.8" hidden="false" customHeight="false" outlineLevel="0" collapsed="false">
      <c r="B11289" s="0" t="s">
        <v>1</v>
      </c>
    </row>
    <row r="11290" customFormat="false" ht="12.8" hidden="false" customHeight="false" outlineLevel="0" collapsed="false">
      <c r="B11290" s="0" t="s">
        <v>3204</v>
      </c>
    </row>
    <row r="11291" customFormat="false" ht="12.8" hidden="false" customHeight="false" outlineLevel="0" collapsed="false">
      <c r="B11291" s="0" t="s">
        <v>3205</v>
      </c>
    </row>
    <row r="11293" customFormat="false" ht="12.8" hidden="false" customHeight="false" outlineLevel="0" collapsed="false">
      <c r="A11293" s="0" t="s">
        <v>5252</v>
      </c>
      <c r="B11293" s="0" t="str">
        <f aca="false">HYPERLINK("https://lindat.mff.cuni.cz/services/teitok/pdtc10/index.php?action=vallex&amp;frame=v-whsa_771hsa_772", "kecat (v-whsa_771hsa_772) - substituted with v-whsa_771f1_ZU")</f>
        <v>kecat (v-whsa_771hsa_772) - substituted with v-whsa_771f1_ZU</v>
      </c>
    </row>
    <row r="11294" customFormat="false" ht="12.8" hidden="false" customHeight="false" outlineLevel="0" collapsed="false">
      <c r="B11294" s="0" t="s">
        <v>1</v>
      </c>
    </row>
    <row r="11295" customFormat="false" ht="12.8" hidden="false" customHeight="false" outlineLevel="0" collapsed="false">
      <c r="B11295" s="0" t="s">
        <v>3204</v>
      </c>
    </row>
    <row r="11296" customFormat="false" ht="12.8" hidden="false" customHeight="false" outlineLevel="0" collapsed="false">
      <c r="B11296" s="0" t="s">
        <v>3205</v>
      </c>
    </row>
    <row r="11298" customFormat="false" ht="12.8" hidden="false" customHeight="false" outlineLevel="0" collapsed="false">
      <c r="A11298" s="0" t="s">
        <v>5253</v>
      </c>
      <c r="B11298" s="0" t="str">
        <f aca="false">HYPERLINK("https://lindat.mff.cuni.cz/services/teitok/pdtc10/index.php?action=vallex&amp;frame=v-whsa_771f2_ZU", "kecat (v-whsa_771f2_ZU)")</f>
        <v>kecat (v-whsa_771f2_ZU)</v>
      </c>
    </row>
    <row r="11299" customFormat="false" ht="12.8" hidden="false" customHeight="false" outlineLevel="0" collapsed="false">
      <c r="B11299" s="0" t="s">
        <v>1</v>
      </c>
    </row>
    <row r="11300" customFormat="false" ht="12.8" hidden="false" customHeight="false" outlineLevel="0" collapsed="false">
      <c r="B11300" s="0" t="s">
        <v>132</v>
      </c>
    </row>
    <row r="11301" customFormat="false" ht="12.8" hidden="false" customHeight="false" outlineLevel="0" collapsed="false">
      <c r="B11301" s="0" t="s">
        <v>390</v>
      </c>
    </row>
    <row r="11303" customFormat="false" ht="12.8" hidden="false" customHeight="false" outlineLevel="0" collapsed="false">
      <c r="A11303" s="0" t="s">
        <v>5254</v>
      </c>
      <c r="B11303" s="0" t="str">
        <f aca="false">HYPERLINK("https://lindat.mff.cuni.cz/services/teitok/pdtc10/index.php?action=vallex&amp;frame=v-whsa_771hsa_773", "kecat (v-whsa_771hsa_773)")</f>
        <v>kecat (v-whsa_771hsa_773)</v>
      </c>
    </row>
    <row r="11304" customFormat="false" ht="12.8" hidden="false" customHeight="false" outlineLevel="0" collapsed="false">
      <c r="B11304" s="0" t="s">
        <v>1</v>
      </c>
    </row>
    <row r="11305" customFormat="false" ht="12.8" hidden="false" customHeight="false" outlineLevel="0" collapsed="false">
      <c r="B11305" s="0" t="s">
        <v>1187</v>
      </c>
    </row>
    <row r="11306" customFormat="false" ht="12.8" hidden="false" customHeight="false" outlineLevel="0" collapsed="false">
      <c r="B11306" s="0" t="s">
        <v>132</v>
      </c>
    </row>
    <row r="11308" customFormat="false" ht="12.8" hidden="false" customHeight="false" outlineLevel="0" collapsed="false">
      <c r="A11308" s="0" t="s">
        <v>5255</v>
      </c>
      <c r="B11308" s="0" t="str">
        <f aca="false">HYPERLINK("https://lindat.mff.cuni.cz/services/teitok/pdtc10/index.php?action=vallex&amp;frame=v-w11890_ZUf1_ZU", "kibicovat (v-w11890_ZUf1_ZU)")</f>
        <v>kibicovat (v-w11890_ZUf1_ZU)</v>
      </c>
    </row>
    <row r="11309" customFormat="false" ht="12.8" hidden="false" customHeight="false" outlineLevel="0" collapsed="false">
      <c r="B11309" s="0" t="s">
        <v>1</v>
      </c>
    </row>
    <row r="11310" customFormat="false" ht="12.8" hidden="false" customHeight="false" outlineLevel="0" collapsed="false">
      <c r="B11310" s="0" t="s">
        <v>157</v>
      </c>
    </row>
    <row r="11312" customFormat="false" ht="12.8" hidden="false" customHeight="false" outlineLevel="0" collapsed="false">
      <c r="A11312" s="0" t="s">
        <v>5256</v>
      </c>
      <c r="B11312" s="0" t="str">
        <f aca="false">HYPERLINK("https://lindat.mff.cuni.cz/services/teitok/pdtc10/index.php?action=vallex&amp;frame=v-w1382f1", "klamat (v-w1382f1)")</f>
        <v>klamat (v-w1382f1)</v>
      </c>
      <c r="E11312" s="0" t="str">
        <f aca="false">HYPERLINK("https://lindat.mff.cuni.cz/services/SynSemClass40/SynSemClass40.html?veclass=vec00589#vec00589-ces-cm00002", "vec00589")</f>
        <v>vec00589</v>
      </c>
      <c r="F11312" s="0" t="s">
        <v>5257</v>
      </c>
    </row>
    <row r="11313" customFormat="false" ht="12.8" hidden="false" customHeight="false" outlineLevel="0" collapsed="false">
      <c r="B11313" s="0" t="s">
        <v>1</v>
      </c>
      <c r="C11313" s="0" t="s">
        <v>5258</v>
      </c>
      <c r="E11313" s="0" t="s">
        <v>1103</v>
      </c>
      <c r="F11313" s="0" t="s">
        <v>5259</v>
      </c>
    </row>
    <row r="11314" customFormat="false" ht="12.8" hidden="false" customHeight="false" outlineLevel="0" collapsed="false">
      <c r="B11314" s="0" t="s">
        <v>8</v>
      </c>
      <c r="C11314" s="0" t="s">
        <v>5260</v>
      </c>
      <c r="E11314" s="0" t="s">
        <v>1399</v>
      </c>
      <c r="F11314" s="0" t="s">
        <v>5261</v>
      </c>
    </row>
    <row r="11316" customFormat="false" ht="12.8" hidden="false" customHeight="false" outlineLevel="0" collapsed="false">
      <c r="A11316" s="0" t="s">
        <v>5262</v>
      </c>
      <c r="B11316" s="0" t="str">
        <f aca="false">HYPERLINK("https://lindat.mff.cuni.cz/services/teitok/pdtc10/index.php?action=vallex&amp;frame=v-w11364f1", "klanět se (v-w11364f1)")</f>
        <v>klanět se (v-w11364f1)</v>
      </c>
    </row>
    <row r="11317" customFormat="false" ht="12.8" hidden="false" customHeight="false" outlineLevel="0" collapsed="false">
      <c r="B11317" s="0" t="s">
        <v>1</v>
      </c>
    </row>
    <row r="11318" customFormat="false" ht="12.8" hidden="false" customHeight="false" outlineLevel="0" collapsed="false">
      <c r="B11318" s="0" t="s">
        <v>157</v>
      </c>
    </row>
    <row r="11320" customFormat="false" ht="12.8" hidden="false" customHeight="false" outlineLevel="0" collapsed="false">
      <c r="A11320" s="0" t="s">
        <v>5263</v>
      </c>
      <c r="B11320" s="0" t="str">
        <f aca="false">HYPERLINK("https://lindat.mff.cuni.cz/services/teitok/pdtc10/index.php?action=vallex&amp;frame=v-w1384f1", "klapat (v-w1384f1)")</f>
        <v>klapat (v-w1384f1)</v>
      </c>
    </row>
    <row r="11321" customFormat="false" ht="12.8" hidden="false" customHeight="false" outlineLevel="0" collapsed="false">
      <c r="B11321" s="0" t="s">
        <v>1</v>
      </c>
    </row>
    <row r="11323" customFormat="false" ht="12.8" hidden="false" customHeight="false" outlineLevel="0" collapsed="false">
      <c r="A11323" s="0" t="s">
        <v>5264</v>
      </c>
      <c r="B11323" s="0" t="str">
        <f aca="false">HYPERLINK("https://lindat.mff.cuni.cz/services/teitok/pdtc10/index.php?action=vallex&amp;frame=v-w1384f2_ZU", "klapat (v-w1384f2_ZU)")</f>
        <v>klapat (v-w1384f2_ZU)</v>
      </c>
    </row>
    <row r="11324" customFormat="false" ht="12.8" hidden="false" customHeight="false" outlineLevel="0" collapsed="false">
      <c r="B11324" s="0" t="s">
        <v>1</v>
      </c>
    </row>
    <row r="11325" customFormat="false" ht="12.8" hidden="false" customHeight="false" outlineLevel="0" collapsed="false">
      <c r="B11325" s="0" t="s">
        <v>286</v>
      </c>
    </row>
    <row r="11327" customFormat="false" ht="12.8" hidden="false" customHeight="false" outlineLevel="0" collapsed="false">
      <c r="A11327" s="0" t="s">
        <v>5265</v>
      </c>
      <c r="B11327" s="0" t="str">
        <f aca="false">HYPERLINK("https://lindat.mff.cuni.cz/services/teitok/pdtc10/index.php?action=vallex&amp;frame=v-w1384hsa_1154", "klapat (v-w1384hsa_1154)")</f>
        <v>klapat (v-w1384hsa_1154)</v>
      </c>
    </row>
    <row r="11328" customFormat="false" ht="12.8" hidden="false" customHeight="false" outlineLevel="0" collapsed="false">
      <c r="B11328" s="0" t="s">
        <v>1</v>
      </c>
    </row>
    <row r="11330" customFormat="false" ht="12.8" hidden="false" customHeight="false" outlineLevel="0" collapsed="false">
      <c r="A11330" s="0" t="s">
        <v>5266</v>
      </c>
      <c r="B11330" s="0" t="str">
        <f aca="false">HYPERLINK("https://lindat.mff.cuni.cz/services/teitok/pdtc10/index.php?action=vallex&amp;frame=v-w11732_ZUf1_ZU", "klapnout (v-w11732_ZUf1_ZU)")</f>
        <v>klapnout (v-w11732_ZUf1_ZU)</v>
      </c>
    </row>
    <row r="11331" customFormat="false" ht="12.8" hidden="false" customHeight="false" outlineLevel="0" collapsed="false">
      <c r="B11331" s="0" t="s">
        <v>1</v>
      </c>
    </row>
    <row r="11333" customFormat="false" ht="12.8" hidden="false" customHeight="false" outlineLevel="0" collapsed="false">
      <c r="A11333" s="0" t="s">
        <v>5267</v>
      </c>
      <c r="B11333" s="0" t="str">
        <f aca="false">HYPERLINK("https://lindat.mff.cuni.cz/services/teitok/pdtc10/index.php?action=vallex&amp;frame=v-w1386f4_ZU", "klasifikovat (v-w1386f4_ZU)")</f>
        <v>klasifikovat (v-w1386f4_ZU)</v>
      </c>
      <c r="E11333" s="0" t="str">
        <f aca="false">HYPERLINK("https://lindat.mff.cuni.cz/services/SynSemClass40/SynSemClass40.html?veclass=vec00916#vec00916-ces-cm00017", "vec00916")</f>
        <v>vec00916</v>
      </c>
      <c r="F11333" s="0" t="s">
        <v>5268</v>
      </c>
    </row>
    <row r="11334" customFormat="false" ht="12.8" hidden="false" customHeight="false" outlineLevel="0" collapsed="false">
      <c r="B11334" s="0" t="s">
        <v>1</v>
      </c>
      <c r="C11334" s="0" t="s">
        <v>767</v>
      </c>
      <c r="E11334" s="0" t="s">
        <v>206</v>
      </c>
      <c r="F11334" s="0" t="s">
        <v>5269</v>
      </c>
    </row>
    <row r="11335" customFormat="false" ht="12.8" hidden="false" customHeight="false" outlineLevel="0" collapsed="false">
      <c r="B11335" s="0" t="s">
        <v>8</v>
      </c>
      <c r="C11335" s="0" t="s">
        <v>4401</v>
      </c>
      <c r="E11335" s="0" t="s">
        <v>180</v>
      </c>
      <c r="F11335" s="0" t="s">
        <v>5270</v>
      </c>
    </row>
    <row r="11336" customFormat="false" ht="12.8" hidden="false" customHeight="false" outlineLevel="0" collapsed="false">
      <c r="B11336" s="0" t="s">
        <v>1640</v>
      </c>
      <c r="C11336" s="0" t="s">
        <v>5271</v>
      </c>
      <c r="E11336" s="0" t="s">
        <v>5272</v>
      </c>
      <c r="F11336" s="0" t="s">
        <v>5273</v>
      </c>
    </row>
    <row r="11338" customFormat="false" ht="12.8" hidden="false" customHeight="false" outlineLevel="0" collapsed="false">
      <c r="A11338" s="0" t="s">
        <v>5267</v>
      </c>
      <c r="B11338" s="0" t="str">
        <f aca="false">HYPERLINK("https://lindat.mff.cuni.cz/services/teitok/pdtc10/index.php?action=vallex&amp;frame=v-w1386f3_ZU", "klasifikovat (v-w1386f3_ZU) - substituted with v-w1386f4_ZU")</f>
        <v>klasifikovat (v-w1386f3_ZU) - substituted with v-w1386f4_ZU</v>
      </c>
    </row>
    <row r="11339" customFormat="false" ht="12.8" hidden="false" customHeight="false" outlineLevel="0" collapsed="false">
      <c r="B11339" s="0" t="s">
        <v>1</v>
      </c>
    </row>
    <row r="11340" customFormat="false" ht="12.8" hidden="false" customHeight="false" outlineLevel="0" collapsed="false">
      <c r="B11340" s="0" t="s">
        <v>8</v>
      </c>
    </row>
    <row r="11341" customFormat="false" ht="12.8" hidden="false" customHeight="false" outlineLevel="0" collapsed="false">
      <c r="B11341" s="0" t="s">
        <v>1640</v>
      </c>
    </row>
    <row r="11343" customFormat="false" ht="12.8" hidden="false" customHeight="false" outlineLevel="0" collapsed="false">
      <c r="A11343" s="0" t="s">
        <v>5274</v>
      </c>
      <c r="B11343" s="0" t="str">
        <f aca="false">HYPERLINK("https://lindat.mff.cuni.cz/services/teitok/pdtc10/index.php?action=vallex&amp;frame=v-w1386f1", "klasifikovat (v-w1386f1)")</f>
        <v>klasifikovat (v-w1386f1)</v>
      </c>
      <c r="E11343" s="0" t="str">
        <f aca="false">HYPERLINK("https://lindat.mff.cuni.cz/services/SynSemClass40/SynSemClass40.html?veclass=vec00296#vec00296-ces-cm00002", "vec00296")</f>
        <v>vec00296</v>
      </c>
      <c r="F11343" s="0" t="s">
        <v>5275</v>
      </c>
    </row>
    <row r="11344" customFormat="false" ht="12.8" hidden="false" customHeight="false" outlineLevel="0" collapsed="false">
      <c r="B11344" s="0" t="s">
        <v>1</v>
      </c>
      <c r="C11344" s="0" t="s">
        <v>5276</v>
      </c>
      <c r="E11344" s="0" t="s">
        <v>11</v>
      </c>
      <c r="F11344" s="0" t="s">
        <v>5277</v>
      </c>
    </row>
    <row r="11345" customFormat="false" ht="12.8" hidden="false" customHeight="false" outlineLevel="0" collapsed="false">
      <c r="B11345" s="0" t="s">
        <v>8</v>
      </c>
      <c r="C11345" s="0" t="s">
        <v>5278</v>
      </c>
      <c r="E11345" s="0" t="s">
        <v>5279</v>
      </c>
      <c r="F11345" s="0" t="s">
        <v>5280</v>
      </c>
    </row>
    <row r="11346" customFormat="false" ht="12.8" hidden="false" customHeight="false" outlineLevel="0" collapsed="false">
      <c r="B11346" s="0" t="s">
        <v>3211</v>
      </c>
      <c r="C11346" s="0" t="s">
        <v>5281</v>
      </c>
      <c r="E11346" s="0" t="s">
        <v>2584</v>
      </c>
      <c r="F11346" s="0" t="s">
        <v>5282</v>
      </c>
    </row>
    <row r="11348" customFormat="false" ht="12.8" hidden="false" customHeight="false" outlineLevel="0" collapsed="false">
      <c r="A11348" s="0" t="s">
        <v>5283</v>
      </c>
      <c r="B11348" s="0" t="str">
        <f aca="false">HYPERLINK("https://lindat.mff.cuni.cz/services/teitok/pdtc10/index.php?action=vallex&amp;frame=v-w1386f2", "klasifikovat (v-w1386f2)")</f>
        <v>klasifikovat (v-w1386f2)</v>
      </c>
    </row>
    <row r="11349" customFormat="false" ht="12.8" hidden="false" customHeight="false" outlineLevel="0" collapsed="false">
      <c r="B11349" s="0" t="s">
        <v>1</v>
      </c>
    </row>
    <row r="11350" customFormat="false" ht="12.8" hidden="false" customHeight="false" outlineLevel="0" collapsed="false">
      <c r="B11350" s="0" t="s">
        <v>8</v>
      </c>
    </row>
    <row r="11352" customFormat="false" ht="12.8" hidden="false" customHeight="false" outlineLevel="0" collapsed="false">
      <c r="A11352" s="0" t="s">
        <v>5284</v>
      </c>
      <c r="B11352" s="0" t="str">
        <f aca="false">HYPERLINK("https://lindat.mff.cuni.cz/services/teitok/pdtc10/index.php?action=vallex&amp;frame=v-w11788_ZUf1_ZU", "klekat si (v-w11788_ZUf1_ZU)")</f>
        <v>klekat si (v-w11788_ZUf1_ZU)</v>
      </c>
    </row>
    <row r="11353" customFormat="false" ht="12.8" hidden="false" customHeight="false" outlineLevel="0" collapsed="false">
      <c r="B11353" s="0" t="s">
        <v>1</v>
      </c>
    </row>
    <row r="11354" customFormat="false" ht="12.8" hidden="false" customHeight="false" outlineLevel="0" collapsed="false">
      <c r="B11354" s="0" t="s">
        <v>454</v>
      </c>
    </row>
    <row r="11356" customFormat="false" ht="12.8" hidden="false" customHeight="false" outlineLevel="0" collapsed="false">
      <c r="A11356" s="0" t="s">
        <v>5285</v>
      </c>
      <c r="B11356" s="0" t="str">
        <f aca="false">HYPERLINK("https://lindat.mff.cuni.cz/services/teitok/pdtc10/index.php?action=vallex&amp;frame=v-w1390f1", "kleknout (v-w1390f1)")</f>
        <v>kleknout (v-w1390f1)</v>
      </c>
    </row>
    <row r="11357" customFormat="false" ht="12.8" hidden="false" customHeight="false" outlineLevel="0" collapsed="false">
      <c r="B11357" s="0" t="s">
        <v>1</v>
      </c>
    </row>
    <row r="11358" customFormat="false" ht="12.8" hidden="false" customHeight="false" outlineLevel="0" collapsed="false">
      <c r="B11358" s="0" t="s">
        <v>164</v>
      </c>
    </row>
    <row r="11360" customFormat="false" ht="12.8" hidden="false" customHeight="false" outlineLevel="0" collapsed="false">
      <c r="A11360" s="0" t="s">
        <v>5286</v>
      </c>
      <c r="B11360" s="0" t="str">
        <f aca="false">HYPERLINK("https://lindat.mff.cuni.cz/services/teitok/pdtc10/index.php?action=vallex&amp;frame=v-whsa_1383hsa_1384", "kleknout si (v-whsa_1383hsa_1384)")</f>
        <v>kleknout si (v-whsa_1383hsa_1384)</v>
      </c>
    </row>
    <row r="11361" customFormat="false" ht="12.8" hidden="false" customHeight="false" outlineLevel="0" collapsed="false">
      <c r="B11361" s="0" t="s">
        <v>1</v>
      </c>
    </row>
    <row r="11362" customFormat="false" ht="12.8" hidden="false" customHeight="false" outlineLevel="0" collapsed="false">
      <c r="B11362" s="0" t="s">
        <v>164</v>
      </c>
    </row>
    <row r="11364" customFormat="false" ht="12.8" hidden="false" customHeight="false" outlineLevel="0" collapsed="false">
      <c r="A11364" s="0" t="s">
        <v>5287</v>
      </c>
      <c r="B11364" s="0" t="str">
        <f aca="false">HYPERLINK("https://lindat.mff.cuni.cz/services/teitok/pdtc10/index.php?action=vallex&amp;frame=v-w1391f1", "klenout se (v-w1391f1)")</f>
        <v>klenout se (v-w1391f1)</v>
      </c>
      <c r="E11364" s="0" t="str">
        <f aca="false">HYPERLINK("https://lindat.mff.cuni.cz/services/SynSemClass40/SynSemClass40.html?veclass=vec01336#vec01336-ces-cm00001", "vec01336")</f>
        <v>vec01336</v>
      </c>
      <c r="F11364" s="0" t="s">
        <v>5288</v>
      </c>
    </row>
    <row r="11365" customFormat="false" ht="12.8" hidden="false" customHeight="false" outlineLevel="0" collapsed="false">
      <c r="B11365" s="0" t="s">
        <v>1</v>
      </c>
      <c r="C11365" s="0" t="s">
        <v>4695</v>
      </c>
      <c r="E11365" s="0" t="s">
        <v>957</v>
      </c>
      <c r="F11365" s="0" t="s">
        <v>5289</v>
      </c>
    </row>
    <row r="11367" customFormat="false" ht="12.8" hidden="false" customHeight="false" outlineLevel="0" collapsed="false">
      <c r="A11367" s="0" t="s">
        <v>5290</v>
      </c>
      <c r="B11367" s="0" t="str">
        <f aca="false">HYPERLINK("https://lindat.mff.cuni.cz/services/teitok/pdtc10/index.php?action=vallex&amp;frame=v-w1393f2", "klepat (v-w1393f2)")</f>
        <v>klepat (v-w1393f2)</v>
      </c>
    </row>
    <row r="11368" customFormat="false" ht="12.8" hidden="false" customHeight="false" outlineLevel="0" collapsed="false">
      <c r="B11368" s="0" t="s">
        <v>1</v>
      </c>
    </row>
    <row r="11369" customFormat="false" ht="12.8" hidden="false" customHeight="false" outlineLevel="0" collapsed="false">
      <c r="B11369" s="0" t="s">
        <v>8</v>
      </c>
    </row>
    <row r="11371" customFormat="false" ht="12.8" hidden="false" customHeight="false" outlineLevel="0" collapsed="false">
      <c r="A11371" s="0" t="s">
        <v>5291</v>
      </c>
      <c r="B11371" s="0" t="str">
        <f aca="false">HYPERLINK("https://lindat.mff.cuni.cz/services/teitok/pdtc10/index.php?action=vallex&amp;frame=v-w1393f1", "klepat (v-w1393f1)")</f>
        <v>klepat (v-w1393f1)</v>
      </c>
      <c r="E11371" s="0" t="str">
        <f aca="false">HYPERLINK("https://lindat.mff.cuni.cz/services/SynSemClass40/SynSemClass40.html?veclass=vec01035#vec01035-ces-cm00001", "vec01035")</f>
        <v>vec01035</v>
      </c>
      <c r="F11371" s="0" t="s">
        <v>5292</v>
      </c>
    </row>
    <row r="11372" customFormat="false" ht="12.8" hidden="false" customHeight="false" outlineLevel="0" collapsed="false">
      <c r="B11372" s="0" t="s">
        <v>1</v>
      </c>
      <c r="C11372" s="0" t="s">
        <v>1752</v>
      </c>
      <c r="E11372" s="0" t="s">
        <v>31</v>
      </c>
      <c r="F11372" s="0" t="s">
        <v>5293</v>
      </c>
    </row>
    <row r="11374" customFormat="false" ht="12.8" hidden="false" customHeight="false" outlineLevel="0" collapsed="false">
      <c r="A11374" s="0" t="s">
        <v>5294</v>
      </c>
      <c r="B11374" s="0" t="str">
        <f aca="false">HYPERLINK("https://lindat.mff.cuni.cz/services/teitok/pdtc10/index.php?action=vallex&amp;frame=v-w1393f3_ZU", "klepat (v-w1393f3_ZU)")</f>
        <v>klepat (v-w1393f3_ZU)</v>
      </c>
    </row>
    <row r="11375" customFormat="false" ht="12.8" hidden="false" customHeight="false" outlineLevel="0" collapsed="false">
      <c r="B11375" s="0" t="s">
        <v>1</v>
      </c>
    </row>
    <row r="11376" customFormat="false" ht="12.8" hidden="false" customHeight="false" outlineLevel="0" collapsed="false">
      <c r="B11376" s="0" t="s">
        <v>8</v>
      </c>
    </row>
    <row r="11378" customFormat="false" ht="12.8" hidden="false" customHeight="false" outlineLevel="0" collapsed="false">
      <c r="A11378" s="0" t="s">
        <v>5295</v>
      </c>
      <c r="B11378" s="0" t="str">
        <f aca="false">HYPERLINK("https://lindat.mff.cuni.cz/services/teitok/pdtc10/index.php?action=vallex&amp;frame=v-w1393f4_ZU", "klepat (v-w1393f4_ZU)")</f>
        <v>klepat (v-w1393f4_ZU)</v>
      </c>
    </row>
    <row r="11379" customFormat="false" ht="12.8" hidden="false" customHeight="false" outlineLevel="0" collapsed="false">
      <c r="B11379" s="0" t="s">
        <v>1</v>
      </c>
    </row>
    <row r="11381" customFormat="false" ht="12.8" hidden="false" customHeight="false" outlineLevel="0" collapsed="false">
      <c r="A11381" s="0" t="s">
        <v>5296</v>
      </c>
      <c r="B11381" s="0" t="str">
        <f aca="false">HYPERLINK("https://lindat.mff.cuni.cz/services/teitok/pdtc10/index.php?action=vallex&amp;frame=v-whsa_433hsa_434", "klepetat (v-whsa_433hsa_434)")</f>
        <v>klepetat (v-whsa_433hsa_434)</v>
      </c>
    </row>
    <row r="11382" customFormat="false" ht="12.8" hidden="false" customHeight="false" outlineLevel="0" collapsed="false">
      <c r="B11382" s="0" t="s">
        <v>1</v>
      </c>
    </row>
    <row r="11383" customFormat="false" ht="12.8" hidden="false" customHeight="false" outlineLevel="0" collapsed="false">
      <c r="B11383" s="0" t="s">
        <v>286</v>
      </c>
    </row>
    <row r="11385" customFormat="false" ht="12.8" hidden="false" customHeight="false" outlineLevel="0" collapsed="false">
      <c r="A11385" s="0" t="s">
        <v>5297</v>
      </c>
      <c r="B11385" s="0" t="str">
        <f aca="false">HYPERLINK("https://lindat.mff.cuni.cz/services/teitok/pdtc10/index.php?action=vallex&amp;frame=v-w1394f1", "klepnout (v-w1394f1)")</f>
        <v>klepnout (v-w1394f1)</v>
      </c>
    </row>
    <row r="11386" customFormat="false" ht="12.8" hidden="false" customHeight="false" outlineLevel="0" collapsed="false">
      <c r="B11386" s="0" t="s">
        <v>1</v>
      </c>
    </row>
    <row r="11387" customFormat="false" ht="12.8" hidden="false" customHeight="false" outlineLevel="0" collapsed="false">
      <c r="B11387" s="0" t="s">
        <v>8</v>
      </c>
    </row>
    <row r="11389" customFormat="false" ht="12.8" hidden="false" customHeight="false" outlineLevel="0" collapsed="false">
      <c r="A11389" s="0" t="s">
        <v>5298</v>
      </c>
      <c r="B11389" s="0" t="str">
        <f aca="false">HYPERLINK("https://lindat.mff.cuni.cz/services/teitok/pdtc10/index.php?action=vallex&amp;frame=v-w1394f2_ZU", "klepnout (v-w1394f2_ZU)")</f>
        <v>klepnout (v-w1394f2_ZU)</v>
      </c>
    </row>
    <row r="11390" customFormat="false" ht="12.8" hidden="false" customHeight="false" outlineLevel="0" collapsed="false">
      <c r="B11390" s="0" t="s">
        <v>1</v>
      </c>
    </row>
    <row r="11391" customFormat="false" ht="12.8" hidden="false" customHeight="false" outlineLevel="0" collapsed="false">
      <c r="B11391" s="0" t="s">
        <v>8</v>
      </c>
    </row>
    <row r="11393" customFormat="false" ht="12.8" hidden="false" customHeight="false" outlineLevel="0" collapsed="false">
      <c r="A11393" s="0" t="s">
        <v>5299</v>
      </c>
      <c r="B11393" s="0" t="str">
        <f aca="false">HYPERLINK("https://lindat.mff.cuni.cz/services/teitok/pdtc10/index.php?action=vallex&amp;frame=v-w1394f3_ZU", "klepnout (v-w1394f3_ZU)")</f>
        <v>klepnout (v-w1394f3_ZU)</v>
      </c>
    </row>
    <row r="11394" customFormat="false" ht="12.8" hidden="false" customHeight="false" outlineLevel="0" collapsed="false">
      <c r="B11394" s="0" t="s">
        <v>1</v>
      </c>
    </row>
    <row r="11395" customFormat="false" ht="12.8" hidden="false" customHeight="false" outlineLevel="0" collapsed="false">
      <c r="B11395" s="0" t="s">
        <v>454</v>
      </c>
    </row>
    <row r="11397" customFormat="false" ht="12.8" hidden="false" customHeight="false" outlineLevel="0" collapsed="false">
      <c r="A11397" s="0" t="s">
        <v>5300</v>
      </c>
      <c r="B11397" s="0" t="str">
        <f aca="false">HYPERLINK("https://lindat.mff.cuni.cz/services/teitok/pdtc10/index.php?action=vallex&amp;frame=v-w1395f1", "klesat (v-w1395f1)")</f>
        <v>klesat (v-w1395f1)</v>
      </c>
      <c r="E11397" s="0" t="str">
        <f aca="false">HYPERLINK("https://lindat.mff.cuni.cz/services/SynSemClass40/SynSemClass40.html?veclass=vec00028#vec00028-ces-cm00007", "vec00028")</f>
        <v>vec00028</v>
      </c>
      <c r="F11397" s="0" t="s">
        <v>5301</v>
      </c>
      <c r="H11397" s="0" t="str">
        <f aca="false">HYPERLINK("https://lindat.mff.cuni.cz/services/SynSemClass40/SynSemClass40.html?veclass=vec01512#vec01512-ces-cm00001", "vec01512")</f>
        <v>vec01512</v>
      </c>
      <c r="I11397" s="0" t="s">
        <v>5302</v>
      </c>
    </row>
    <row r="11398" customFormat="false" ht="12.8" hidden="false" customHeight="false" outlineLevel="0" collapsed="false">
      <c r="B11398" s="0" t="s">
        <v>1</v>
      </c>
      <c r="C11398" s="0" t="s">
        <v>5303</v>
      </c>
      <c r="E11398" s="0" t="s">
        <v>235</v>
      </c>
      <c r="F11398" s="0" t="s">
        <v>5304</v>
      </c>
      <c r="H11398" s="0" t="s">
        <v>334</v>
      </c>
      <c r="I11398" s="0" t="s">
        <v>5305</v>
      </c>
    </row>
    <row r="11399" customFormat="false" ht="12.8" hidden="false" customHeight="false" outlineLevel="0" collapsed="false">
      <c r="B11399" s="0" t="s">
        <v>69</v>
      </c>
      <c r="C11399" s="0" t="s">
        <v>5306</v>
      </c>
      <c r="E11399" s="0" t="s">
        <v>5149</v>
      </c>
      <c r="F11399" s="0" t="s">
        <v>5307</v>
      </c>
      <c r="H11399" s="0" t="s">
        <v>5308</v>
      </c>
      <c r="I11399" s="0" t="s">
        <v>5309</v>
      </c>
    </row>
    <row r="11400" customFormat="false" ht="12.8" hidden="false" customHeight="false" outlineLevel="0" collapsed="false">
      <c r="B11400" s="0" t="s">
        <v>36</v>
      </c>
      <c r="C11400" s="0" t="s">
        <v>5310</v>
      </c>
      <c r="E11400" s="0" t="s">
        <v>5152</v>
      </c>
      <c r="F11400" s="0" t="s">
        <v>5311</v>
      </c>
      <c r="H11400" s="0" t="s">
        <v>5312</v>
      </c>
      <c r="I11400" s="0" t="s">
        <v>5313</v>
      </c>
    </row>
    <row r="11402" customFormat="false" ht="12.8" hidden="false" customHeight="false" outlineLevel="0" collapsed="false">
      <c r="A11402" s="0" t="s">
        <v>5314</v>
      </c>
      <c r="B11402" s="0" t="str">
        <f aca="false">HYPERLINK("https://lindat.mff.cuni.cz/services/teitok/pdtc10/index.php?action=vallex&amp;frame=v-w1396f3_ZU", "klesnout (v-w1396f3_ZU)")</f>
        <v>klesnout (v-w1396f3_ZU)</v>
      </c>
      <c r="E11402" s="0" t="str">
        <f aca="false">HYPERLINK("https://lindat.mff.cuni.cz/services/SynSemClass40/SynSemClass40.html?veclass=vec00028#vec00028-ces-cm00001", "vec00028")</f>
        <v>vec00028</v>
      </c>
      <c r="F11402" s="0" t="s">
        <v>5301</v>
      </c>
      <c r="H11402" s="0" t="str">
        <f aca="false">HYPERLINK("https://lindat.mff.cuni.cz/services/SynSemClass40/SynSemClass40.html?veclass=vec01512#vec01512-ces-cm00002", "vec01512")</f>
        <v>vec01512</v>
      </c>
      <c r="I11402" s="0" t="s">
        <v>5302</v>
      </c>
    </row>
    <row r="11403" customFormat="false" ht="12.8" hidden="false" customHeight="false" outlineLevel="0" collapsed="false">
      <c r="B11403" s="0" t="s">
        <v>1</v>
      </c>
      <c r="C11403" s="0" t="s">
        <v>5303</v>
      </c>
      <c r="E11403" s="0" t="s">
        <v>235</v>
      </c>
      <c r="F11403" s="0" t="s">
        <v>5304</v>
      </c>
      <c r="H11403" s="0" t="s">
        <v>334</v>
      </c>
      <c r="I11403" s="0" t="s">
        <v>5305</v>
      </c>
    </row>
    <row r="11404" customFormat="false" ht="12.8" hidden="false" customHeight="false" outlineLevel="0" collapsed="false">
      <c r="B11404" s="0" t="s">
        <v>5315</v>
      </c>
      <c r="C11404" s="0" t="s">
        <v>5306</v>
      </c>
      <c r="E11404" s="0" t="s">
        <v>5149</v>
      </c>
      <c r="F11404" s="0" t="s">
        <v>5307</v>
      </c>
      <c r="H11404" s="0" t="s">
        <v>5308</v>
      </c>
      <c r="I11404" s="0" t="s">
        <v>5309</v>
      </c>
    </row>
    <row r="11405" customFormat="false" ht="12.8" hidden="false" customHeight="false" outlineLevel="0" collapsed="false">
      <c r="B11405" s="0" t="s">
        <v>36</v>
      </c>
      <c r="C11405" s="0" t="s">
        <v>5310</v>
      </c>
      <c r="E11405" s="0" t="s">
        <v>5152</v>
      </c>
      <c r="F11405" s="0" t="s">
        <v>5311</v>
      </c>
      <c r="H11405" s="0" t="s">
        <v>5312</v>
      </c>
      <c r="I11405" s="0" t="s">
        <v>5313</v>
      </c>
    </row>
    <row r="11407" customFormat="false" ht="12.8" hidden="false" customHeight="false" outlineLevel="0" collapsed="false">
      <c r="A11407" s="0" t="s">
        <v>5314</v>
      </c>
      <c r="B11407" s="0" t="str">
        <f aca="false">HYPERLINK("https://lindat.mff.cuni.cz/services/teitok/pdtc10/index.php?action=vallex&amp;frame=v-w1396f1", "klesnout (v-w1396f1) - substituted with v-w1396f3_ZU")</f>
        <v>klesnout (v-w1396f1) - substituted with v-w1396f3_ZU</v>
      </c>
    </row>
    <row r="11408" customFormat="false" ht="12.8" hidden="false" customHeight="false" outlineLevel="0" collapsed="false">
      <c r="B11408" s="0" t="s">
        <v>1</v>
      </c>
    </row>
    <row r="11409" customFormat="false" ht="12.8" hidden="false" customHeight="false" outlineLevel="0" collapsed="false">
      <c r="B11409" s="0" t="s">
        <v>5315</v>
      </c>
    </row>
    <row r="11410" customFormat="false" ht="12.8" hidden="false" customHeight="false" outlineLevel="0" collapsed="false">
      <c r="B11410" s="0" t="s">
        <v>36</v>
      </c>
    </row>
    <row r="11412" customFormat="false" ht="12.8" hidden="false" customHeight="false" outlineLevel="0" collapsed="false">
      <c r="A11412" s="0" t="s">
        <v>5314</v>
      </c>
      <c r="B11412" s="0" t="str">
        <f aca="false">HYPERLINK("https://lindat.mff.cuni.cz/services/teitok/pdtc10/index.php?action=vallex&amp;frame=v-w1396f2_ZU", "klesnout (v-w1396f2_ZU) - substituted with v-w1396f3_ZU")</f>
        <v>klesnout (v-w1396f2_ZU) - substituted with v-w1396f3_ZU</v>
      </c>
    </row>
    <row r="11413" customFormat="false" ht="12.8" hidden="false" customHeight="false" outlineLevel="0" collapsed="false">
      <c r="B11413" s="0" t="s">
        <v>1</v>
      </c>
    </row>
    <row r="11414" customFormat="false" ht="12.8" hidden="false" customHeight="false" outlineLevel="0" collapsed="false">
      <c r="B11414" s="0" t="s">
        <v>5315</v>
      </c>
    </row>
    <row r="11415" customFormat="false" ht="12.8" hidden="false" customHeight="false" outlineLevel="0" collapsed="false">
      <c r="B11415" s="0" t="s">
        <v>36</v>
      </c>
    </row>
    <row r="11417" customFormat="false" ht="12.8" hidden="false" customHeight="false" outlineLevel="0" collapsed="false">
      <c r="A11417" s="0" t="s">
        <v>5316</v>
      </c>
      <c r="B11417" s="0" t="str">
        <f aca="false">HYPERLINK("https://lindat.mff.cuni.cz/services/teitok/pdtc10/index.php?action=vallex&amp;frame=v-w1396f4_ZU", "klesnout (v-w1396f4_ZU)")</f>
        <v>klesnout (v-w1396f4_ZU)</v>
      </c>
    </row>
    <row r="11418" customFormat="false" ht="12.8" hidden="false" customHeight="false" outlineLevel="0" collapsed="false">
      <c r="B11418" s="0" t="s">
        <v>1</v>
      </c>
    </row>
    <row r="11420" customFormat="false" ht="12.8" hidden="false" customHeight="false" outlineLevel="0" collapsed="false">
      <c r="A11420" s="0" t="s">
        <v>5317</v>
      </c>
      <c r="B11420" s="0" t="str">
        <f aca="false">HYPERLINK("https://lindat.mff.cuni.cz/services/teitok/pdtc10/index.php?action=vallex&amp;frame=v-w10164f2", "klestit (v-w10164f2)")</f>
        <v>klestit (v-w10164f2)</v>
      </c>
    </row>
    <row r="11421" customFormat="false" ht="12.8" hidden="false" customHeight="false" outlineLevel="0" collapsed="false">
      <c r="B11421" s="0" t="s">
        <v>1</v>
      </c>
    </row>
    <row r="11422" customFormat="false" ht="12.8" hidden="false" customHeight="false" outlineLevel="0" collapsed="false">
      <c r="B11422" s="0" t="s">
        <v>2076</v>
      </c>
    </row>
    <row r="11424" customFormat="false" ht="12.8" hidden="false" customHeight="false" outlineLevel="0" collapsed="false">
      <c r="A11424" s="0" t="s">
        <v>5318</v>
      </c>
      <c r="B11424" s="0" t="str">
        <f aca="false">HYPERLINK("https://lindat.mff.cuni.cz/services/teitok/pdtc10/index.php?action=vallex&amp;frame=v-w10188f2", "klečet (v-w10188f2)")</f>
        <v>klečet (v-w10188f2)</v>
      </c>
    </row>
    <row r="11425" customFormat="false" ht="12.8" hidden="false" customHeight="false" outlineLevel="0" collapsed="false">
      <c r="B11425" s="0" t="s">
        <v>1</v>
      </c>
    </row>
    <row r="11427" customFormat="false" ht="12.8" hidden="false" customHeight="false" outlineLevel="0" collapsed="false">
      <c r="A11427" s="0" t="s">
        <v>5319</v>
      </c>
      <c r="B11427" s="0" t="str">
        <f aca="false">HYPERLINK("https://lindat.mff.cuni.cz/services/teitok/pdtc10/index.php?action=vallex&amp;frame=v-w10772f2", "klidit (v-w10772f2)")</f>
        <v>klidit (v-w10772f2)</v>
      </c>
    </row>
    <row r="11428" customFormat="false" ht="12.8" hidden="false" customHeight="false" outlineLevel="0" collapsed="false">
      <c r="B11428" s="0" t="s">
        <v>1</v>
      </c>
    </row>
    <row r="11429" customFormat="false" ht="12.8" hidden="false" customHeight="false" outlineLevel="0" collapsed="false">
      <c r="B11429" s="0" t="s">
        <v>8</v>
      </c>
    </row>
    <row r="11431" customFormat="false" ht="12.8" hidden="false" customHeight="false" outlineLevel="0" collapsed="false">
      <c r="A11431" s="0" t="s">
        <v>5320</v>
      </c>
      <c r="B11431" s="0" t="str">
        <f aca="false">HYPERLINK("https://lindat.mff.cuni.cz/services/teitok/pdtc10/index.php?action=vallex&amp;frame=v-w1401f1", "klikatit se (v-w1401f1)")</f>
        <v>klikatit se (v-w1401f1)</v>
      </c>
      <c r="E11431" s="0" t="str">
        <f aca="false">HYPERLINK("https://lindat.mff.cuni.cz/services/SynSemClass40/SynSemClass40.html?veclass=vec01347#vec01347-ces-cm00001", "vec01347")</f>
        <v>vec01347</v>
      </c>
      <c r="F11431" s="0" t="s">
        <v>5321</v>
      </c>
    </row>
    <row r="11432" customFormat="false" ht="12.8" hidden="false" customHeight="false" outlineLevel="0" collapsed="false">
      <c r="B11432" s="0" t="s">
        <v>1</v>
      </c>
      <c r="C11432" s="0" t="s">
        <v>5322</v>
      </c>
      <c r="E11432" s="0" t="s">
        <v>957</v>
      </c>
      <c r="F11432" s="0" t="s">
        <v>5323</v>
      </c>
    </row>
    <row r="11434" customFormat="false" ht="12.8" hidden="false" customHeight="false" outlineLevel="0" collapsed="false">
      <c r="A11434" s="0" t="s">
        <v>5324</v>
      </c>
      <c r="B11434" s="0" t="str">
        <f aca="false">HYPERLINK("https://lindat.mff.cuni.cz/services/teitok/pdtc10/index.php?action=vallex&amp;frame=v-whsa_1459hsa_1460", "kliknout (v-whsa_1459hsa_1460)")</f>
        <v>kliknout (v-whsa_1459hsa_1460)</v>
      </c>
    </row>
    <row r="11435" customFormat="false" ht="12.8" hidden="false" customHeight="false" outlineLevel="0" collapsed="false">
      <c r="B11435" s="0" t="s">
        <v>1</v>
      </c>
    </row>
    <row r="11436" customFormat="false" ht="12.8" hidden="false" customHeight="false" outlineLevel="0" collapsed="false">
      <c r="B11436" s="0" t="s">
        <v>164</v>
      </c>
    </row>
    <row r="11438" customFormat="false" ht="12.8" hidden="false" customHeight="false" outlineLevel="0" collapsed="false">
      <c r="A11438" s="0" t="s">
        <v>5325</v>
      </c>
      <c r="B11438" s="0" t="str">
        <f aca="false">HYPERLINK("https://lindat.mff.cuni.cz/services/teitok/pdtc10/index.php?action=vallex&amp;frame=v-w1398f1", "kličkovat (v-w1398f1)")</f>
        <v>kličkovat (v-w1398f1)</v>
      </c>
    </row>
    <row r="11439" customFormat="false" ht="12.8" hidden="false" customHeight="false" outlineLevel="0" collapsed="false">
      <c r="B11439" s="0" t="s">
        <v>1</v>
      </c>
    </row>
    <row r="11441" customFormat="false" ht="12.8" hidden="false" customHeight="false" outlineLevel="0" collapsed="false">
      <c r="A11441" s="0" t="s">
        <v>5326</v>
      </c>
      <c r="B11441" s="0" t="str">
        <f aca="false">HYPERLINK("https://lindat.mff.cuni.cz/services/teitok/pdtc10/index.php?action=vallex&amp;frame=v-w11496f1", "klonit se (v-w11496f1)")</f>
        <v>klonit se (v-w11496f1)</v>
      </c>
      <c r="E11441" s="0" t="str">
        <f aca="false">HYPERLINK("https://lindat.mff.cuni.cz/services/SynSemClass40/SynSemClass40.html?veclass=vec00334#vec00334-ces-cm00032", "vec00334")</f>
        <v>vec00334</v>
      </c>
      <c r="F11441" s="0" t="s">
        <v>3508</v>
      </c>
    </row>
    <row r="11442" customFormat="false" ht="12.8" hidden="false" customHeight="false" outlineLevel="0" collapsed="false">
      <c r="B11442" s="0" t="s">
        <v>1</v>
      </c>
      <c r="C11442" s="0" t="s">
        <v>3509</v>
      </c>
      <c r="E11442" s="0" t="s">
        <v>155</v>
      </c>
      <c r="F11442" s="0" t="s">
        <v>3510</v>
      </c>
    </row>
    <row r="11443" customFormat="false" ht="12.8" hidden="false" customHeight="false" outlineLevel="0" collapsed="false">
      <c r="B11443" s="0" t="s">
        <v>311</v>
      </c>
      <c r="C11443" s="0" t="s">
        <v>5327</v>
      </c>
      <c r="E11443" s="0" t="s">
        <v>4852</v>
      </c>
      <c r="F11443" s="0" t="s">
        <v>5328</v>
      </c>
    </row>
    <row r="11445" customFormat="false" ht="12.8" hidden="false" customHeight="false" outlineLevel="0" collapsed="false">
      <c r="A11445" s="0" t="s">
        <v>5329</v>
      </c>
      <c r="B11445" s="0" t="str">
        <f aca="false">HYPERLINK("https://lindat.mff.cuni.cz/services/teitok/pdtc10/index.php?action=vallex&amp;frame=v-w10139f3", "klonovat (v-w10139f3)")</f>
        <v>klonovat (v-w10139f3)</v>
      </c>
      <c r="E11445" s="0" t="str">
        <f aca="false">HYPERLINK("https://lindat.mff.cuni.cz/services/SynSemClass40/SynSemClass40.html?veclass=vec00360#vec00360-ces-cm00039", "vec00360")</f>
        <v>vec00360</v>
      </c>
      <c r="F11445" s="0" t="s">
        <v>5330</v>
      </c>
    </row>
    <row r="11446" customFormat="false" ht="12.8" hidden="false" customHeight="false" outlineLevel="0" collapsed="false">
      <c r="B11446" s="0" t="s">
        <v>1</v>
      </c>
      <c r="C11446" s="0" t="s">
        <v>5331</v>
      </c>
      <c r="E11446" s="0" t="s">
        <v>768</v>
      </c>
      <c r="F11446" s="0" t="s">
        <v>5332</v>
      </c>
    </row>
    <row r="11447" customFormat="false" ht="12.8" hidden="false" customHeight="false" outlineLevel="0" collapsed="false">
      <c r="B11447" s="0" t="s">
        <v>8</v>
      </c>
      <c r="C11447" s="0" t="s">
        <v>5333</v>
      </c>
      <c r="E11447" s="0" t="s">
        <v>771</v>
      </c>
      <c r="F11447" s="0" t="s">
        <v>5334</v>
      </c>
    </row>
    <row r="11448" customFormat="false" ht="12.8" hidden="false" customHeight="false" outlineLevel="0" collapsed="false">
      <c r="B11448" s="0" t="s">
        <v>36</v>
      </c>
      <c r="C11448" s="0" t="s">
        <v>5335</v>
      </c>
      <c r="E11448" s="0" t="s">
        <v>787</v>
      </c>
      <c r="F11448" s="0" t="s">
        <v>5336</v>
      </c>
    </row>
    <row r="11450" customFormat="false" ht="12.8" hidden="false" customHeight="false" outlineLevel="0" collapsed="false">
      <c r="A11450" s="0" t="s">
        <v>5337</v>
      </c>
      <c r="B11450" s="0" t="str">
        <f aca="false">HYPERLINK("https://lindat.mff.cuni.cz/services/teitok/pdtc10/index.php?action=vallex&amp;frame=v-w1402f3", "klopýtat (v-w1402f3)")</f>
        <v>klopýtat (v-w1402f3)</v>
      </c>
    </row>
    <row r="11451" customFormat="false" ht="12.8" hidden="false" customHeight="false" outlineLevel="0" collapsed="false">
      <c r="B11451" s="0" t="s">
        <v>1</v>
      </c>
    </row>
    <row r="11452" customFormat="false" ht="12.8" hidden="false" customHeight="false" outlineLevel="0" collapsed="false">
      <c r="B11452" s="0" t="s">
        <v>5338</v>
      </c>
    </row>
    <row r="11454" customFormat="false" ht="12.8" hidden="false" customHeight="false" outlineLevel="0" collapsed="false">
      <c r="A11454" s="0" t="s">
        <v>5337</v>
      </c>
      <c r="B11454" s="0" t="str">
        <f aca="false">HYPERLINK("https://lindat.mff.cuni.cz/services/teitok/pdtc10/index.php?action=vallex&amp;frame=v-w1402f1", "klopýtat (v-w1402f1) - substituted with v-w1402f3")</f>
        <v>klopýtat (v-w1402f1) - substituted with v-w1402f3</v>
      </c>
    </row>
    <row r="11455" customFormat="false" ht="12.8" hidden="false" customHeight="false" outlineLevel="0" collapsed="false">
      <c r="B11455" s="0" t="s">
        <v>1</v>
      </c>
    </row>
    <row r="11456" customFormat="false" ht="12.8" hidden="false" customHeight="false" outlineLevel="0" collapsed="false">
      <c r="B11456" s="0" t="s">
        <v>5338</v>
      </c>
    </row>
    <row r="11458" customFormat="false" ht="12.8" hidden="false" customHeight="false" outlineLevel="0" collapsed="false">
      <c r="A11458" s="0" t="s">
        <v>5339</v>
      </c>
      <c r="B11458" s="0" t="str">
        <f aca="false">HYPERLINK("https://lindat.mff.cuni.cz/services/teitok/pdtc10/index.php?action=vallex&amp;frame=v-w1402f4", "klopýtat (v-w1402f4)")</f>
        <v>klopýtat (v-w1402f4)</v>
      </c>
      <c r="E11458" s="0" t="str">
        <f aca="false">HYPERLINK("https://lindat.mff.cuni.cz/services/SynSemClass40/SynSemClass40.html?veclass=vec00622#vec00622-ces-cm00001", "vec00622")</f>
        <v>vec00622</v>
      </c>
      <c r="F11458" s="0" t="s">
        <v>5340</v>
      </c>
    </row>
    <row r="11459" customFormat="false" ht="12.8" hidden="false" customHeight="false" outlineLevel="0" collapsed="false">
      <c r="B11459" s="0" t="s">
        <v>1</v>
      </c>
      <c r="C11459" s="0" t="s">
        <v>4114</v>
      </c>
      <c r="E11459" s="0" t="s">
        <v>11</v>
      </c>
      <c r="F11459" s="0" t="s">
        <v>4156</v>
      </c>
    </row>
    <row r="11461" customFormat="false" ht="12.8" hidden="false" customHeight="false" outlineLevel="0" collapsed="false">
      <c r="A11461" s="0" t="s">
        <v>5341</v>
      </c>
      <c r="B11461" s="0" t="str">
        <f aca="false">HYPERLINK("https://lindat.mff.cuni.cz/services/teitok/pdtc10/index.php?action=vallex&amp;frame=v-w10902f2", "klopýtnout (v-w10902f2)")</f>
        <v>klopýtnout (v-w10902f2)</v>
      </c>
    </row>
    <row r="11462" customFormat="false" ht="12.8" hidden="false" customHeight="false" outlineLevel="0" collapsed="false">
      <c r="B11462" s="0" t="s">
        <v>1</v>
      </c>
    </row>
    <row r="11463" customFormat="false" ht="12.8" hidden="false" customHeight="false" outlineLevel="0" collapsed="false">
      <c r="B11463" s="0" t="s">
        <v>3152</v>
      </c>
    </row>
    <row r="11465" customFormat="false" ht="12.8" hidden="false" customHeight="false" outlineLevel="0" collapsed="false">
      <c r="A11465" s="0" t="s">
        <v>5342</v>
      </c>
      <c r="B11465" s="0" t="str">
        <f aca="false">HYPERLINK("https://lindat.mff.cuni.cz/services/teitok/pdtc10/index.php?action=vallex&amp;frame=v-w11397f1", "klouzat (v-w11397f1)")</f>
        <v>klouzat (v-w11397f1)</v>
      </c>
      <c r="E11465" s="0" t="str">
        <f aca="false">HYPERLINK("https://lindat.mff.cuni.cz/services/SynSemClass40/SynSemClass40.html?veclass=vec01219#vec01219-ces-cm00001", "vec01219")</f>
        <v>vec01219</v>
      </c>
      <c r="F11465" s="0" t="s">
        <v>5343</v>
      </c>
    </row>
    <row r="11466" customFormat="false" ht="12.8" hidden="false" customHeight="false" outlineLevel="0" collapsed="false">
      <c r="B11466" s="0" t="s">
        <v>1</v>
      </c>
      <c r="C11466" s="0" t="s">
        <v>5344</v>
      </c>
      <c r="E11466" s="0" t="s">
        <v>334</v>
      </c>
      <c r="F11466" s="0" t="s">
        <v>5345</v>
      </c>
    </row>
    <row r="11468" customFormat="false" ht="12.8" hidden="false" customHeight="false" outlineLevel="0" collapsed="false">
      <c r="A11468" s="0" t="s">
        <v>5346</v>
      </c>
      <c r="B11468" s="0" t="str">
        <f aca="false">HYPERLINK("https://lindat.mff.cuni.cz/services/teitok/pdtc10/index.php?action=vallex&amp;frame=v-w1404f1", "klouzat se (v-w1404f1)")</f>
        <v>klouzat se (v-w1404f1)</v>
      </c>
      <c r="E11468" s="0" t="str">
        <f aca="false">HYPERLINK("https://lindat.mff.cuni.cz/services/SynSemClass40/SynSemClass40.html?veclass=vec01219#vec01219-ces-cm00004", "vec01219")</f>
        <v>vec01219</v>
      </c>
      <c r="F11468" s="0" t="s">
        <v>5343</v>
      </c>
    </row>
    <row r="11469" customFormat="false" ht="12.8" hidden="false" customHeight="false" outlineLevel="0" collapsed="false">
      <c r="B11469" s="0" t="s">
        <v>1</v>
      </c>
      <c r="C11469" s="0" t="s">
        <v>5344</v>
      </c>
      <c r="E11469" s="0" t="s">
        <v>334</v>
      </c>
      <c r="F11469" s="0" t="s">
        <v>5345</v>
      </c>
    </row>
    <row r="11471" customFormat="false" ht="12.8" hidden="false" customHeight="false" outlineLevel="0" collapsed="false">
      <c r="A11471" s="0" t="s">
        <v>5347</v>
      </c>
      <c r="B11471" s="0" t="str">
        <f aca="false">HYPERLINK("https://lindat.mff.cuni.cz/services/teitok/pdtc10/index.php?action=vallex&amp;frame=v-w1405f1", "klubat se (v-w1405f1)")</f>
        <v>klubat se (v-w1405f1)</v>
      </c>
    </row>
    <row r="11472" customFormat="false" ht="12.8" hidden="false" customHeight="false" outlineLevel="0" collapsed="false">
      <c r="B11472" s="0" t="s">
        <v>1</v>
      </c>
    </row>
    <row r="11473" customFormat="false" ht="12.8" hidden="false" customHeight="false" outlineLevel="0" collapsed="false">
      <c r="B11473" s="0" t="s">
        <v>763</v>
      </c>
    </row>
    <row r="11475" customFormat="false" ht="12.8" hidden="false" customHeight="false" outlineLevel="0" collapsed="false">
      <c r="A11475" s="0" t="s">
        <v>5348</v>
      </c>
      <c r="B11475" s="0" t="str">
        <f aca="false">HYPERLINK("https://lindat.mff.cuni.cz/services/teitok/pdtc10/index.php?action=vallex&amp;frame=v-w12113_ZUf1_ZU", "klábosit (v-w12113_ZUf1_ZU)")</f>
        <v>klábosit (v-w12113_ZUf1_ZU)</v>
      </c>
    </row>
    <row r="11476" customFormat="false" ht="12.8" hidden="false" customHeight="false" outlineLevel="0" collapsed="false">
      <c r="B11476" s="0" t="s">
        <v>1</v>
      </c>
    </row>
    <row r="11477" customFormat="false" ht="12.8" hidden="false" customHeight="false" outlineLevel="0" collapsed="false">
      <c r="B11477" s="0" t="s">
        <v>496</v>
      </c>
    </row>
    <row r="11478" customFormat="false" ht="12.8" hidden="false" customHeight="false" outlineLevel="0" collapsed="false">
      <c r="B11478" s="0" t="s">
        <v>3205</v>
      </c>
    </row>
    <row r="11480" customFormat="false" ht="12.8" hidden="false" customHeight="false" outlineLevel="0" collapsed="false">
      <c r="A11480" s="0" t="s">
        <v>5349</v>
      </c>
      <c r="B11480" s="0" t="str">
        <f aca="false">HYPERLINK("https://lindat.mff.cuni.cz/services/teitok/pdtc10/index.php?action=vallex&amp;frame=v-w1387f3", "klást (v-w1387f3)")</f>
        <v>klást (v-w1387f3)</v>
      </c>
    </row>
    <row r="11481" customFormat="false" ht="12.8" hidden="false" customHeight="false" outlineLevel="0" collapsed="false">
      <c r="B11481" s="0" t="s">
        <v>1</v>
      </c>
    </row>
    <row r="11482" customFormat="false" ht="12.8" hidden="false" customHeight="false" outlineLevel="0" collapsed="false">
      <c r="B11482" s="0" t="s">
        <v>2811</v>
      </c>
    </row>
    <row r="11483" customFormat="false" ht="12.8" hidden="false" customHeight="false" outlineLevel="0" collapsed="false">
      <c r="B11483" s="0" t="s">
        <v>52</v>
      </c>
    </row>
    <row r="11484" customFormat="false" ht="12.8" hidden="false" customHeight="false" outlineLevel="0" collapsed="false">
      <c r="B11484" s="0" t="s">
        <v>5350</v>
      </c>
    </row>
    <row r="11486" customFormat="false" ht="12.8" hidden="false" customHeight="false" outlineLevel="0" collapsed="false">
      <c r="A11486" s="0" t="s">
        <v>5351</v>
      </c>
      <c r="B11486" s="0" t="str">
        <f aca="false">HYPERLINK("https://lindat.mff.cuni.cz/services/teitok/pdtc10/index.php?action=vallex&amp;frame=v-w1387f6", "klást (v-w1387f6)")</f>
        <v>klást (v-w1387f6)</v>
      </c>
      <c r="E11486" s="0" t="str">
        <f aca="false">HYPERLINK("https://lindat.mff.cuni.cz/services/SynSemClass40/SynSemClass40.html?veclass=vec00812#vec00812-ces-cm00246", "vec00812")</f>
        <v>vec00812</v>
      </c>
      <c r="F11486" s="0" t="s">
        <v>2822</v>
      </c>
    </row>
    <row r="11487" customFormat="false" ht="12.8" hidden="false" customHeight="false" outlineLevel="0" collapsed="false">
      <c r="B11487" s="0" t="s">
        <v>1</v>
      </c>
      <c r="C11487" s="0" t="s">
        <v>2823</v>
      </c>
      <c r="E11487" s="0" t="s">
        <v>1103</v>
      </c>
      <c r="F11487" s="0" t="s">
        <v>2824</v>
      </c>
    </row>
    <row r="11488" customFormat="false" ht="12.8" hidden="false" customHeight="false" outlineLevel="0" collapsed="false">
      <c r="B11488" s="0" t="s">
        <v>8</v>
      </c>
      <c r="C11488" s="0" t="s">
        <v>2372</v>
      </c>
      <c r="E11488" s="0" t="s">
        <v>142</v>
      </c>
      <c r="F11488" s="0" t="s">
        <v>2825</v>
      </c>
    </row>
    <row r="11489" customFormat="false" ht="12.8" hidden="false" customHeight="false" outlineLevel="0" collapsed="false">
      <c r="B11489" s="0" t="s">
        <v>361</v>
      </c>
      <c r="C11489" s="0" t="s">
        <v>2826</v>
      </c>
      <c r="E11489" s="0" t="s">
        <v>2827</v>
      </c>
      <c r="F11489" s="0" t="s">
        <v>2828</v>
      </c>
    </row>
    <row r="11491" customFormat="false" ht="12.8" hidden="false" customHeight="false" outlineLevel="0" collapsed="false">
      <c r="A11491" s="0" t="s">
        <v>5352</v>
      </c>
      <c r="B11491" s="0" t="str">
        <f aca="false">HYPERLINK("https://lindat.mff.cuni.cz/services/teitok/pdtc10/index.php?action=vallex&amp;frame=v-w1387f9", "klást (v-w1387f9)")</f>
        <v>klást (v-w1387f9)</v>
      </c>
      <c r="E11491" s="0" t="str">
        <f aca="false">HYPERLINK("https://lindat.mff.cuni.cz/services/SynSemClass40/SynSemClass40.html?veclass=vec00735#vec00735-ces-cm00166", "vec00735")</f>
        <v>vec00735</v>
      </c>
      <c r="F11491" s="0" t="s">
        <v>2719</v>
      </c>
    </row>
    <row r="11492" customFormat="false" ht="12.8" hidden="false" customHeight="false" outlineLevel="0" collapsed="false">
      <c r="B11492" s="0" t="s">
        <v>1</v>
      </c>
      <c r="C11492" s="0" t="s">
        <v>2720</v>
      </c>
      <c r="E11492" s="0" t="s">
        <v>334</v>
      </c>
      <c r="F11492" s="0" t="s">
        <v>2721</v>
      </c>
    </row>
    <row r="11493" customFormat="false" ht="12.8" hidden="false" customHeight="false" outlineLevel="0" collapsed="false">
      <c r="B11493" s="0" t="s">
        <v>8</v>
      </c>
      <c r="C11493" s="0" t="s">
        <v>2722</v>
      </c>
      <c r="E11493" s="0" t="s">
        <v>2648</v>
      </c>
      <c r="F11493" s="0" t="s">
        <v>2723</v>
      </c>
    </row>
    <row r="11494" customFormat="false" ht="12.8" hidden="false" customHeight="false" outlineLevel="0" collapsed="false">
      <c r="B11494" s="0" t="s">
        <v>164</v>
      </c>
      <c r="C11494" s="0" t="s">
        <v>2724</v>
      </c>
      <c r="E11494" s="0" t="s">
        <v>370</v>
      </c>
      <c r="F11494" s="0" t="s">
        <v>2725</v>
      </c>
    </row>
    <row r="11496" customFormat="false" ht="12.8" hidden="false" customHeight="false" outlineLevel="0" collapsed="false">
      <c r="A11496" s="0" t="s">
        <v>5353</v>
      </c>
      <c r="B11496" s="0" t="str">
        <f aca="false">HYPERLINK("https://lindat.mff.cuni.cz/services/teitok/pdtc10/index.php?action=vallex&amp;frame=v-w1387f7", "klást (v-w1387f7)")</f>
        <v>klást (v-w1387f7)</v>
      </c>
    </row>
    <row r="11497" customFormat="false" ht="12.8" hidden="false" customHeight="false" outlineLevel="0" collapsed="false">
      <c r="B11497" s="0" t="s">
        <v>1</v>
      </c>
    </row>
    <row r="11498" customFormat="false" ht="12.8" hidden="false" customHeight="false" outlineLevel="0" collapsed="false">
      <c r="B11498" s="0" t="s">
        <v>8</v>
      </c>
    </row>
    <row r="11500" customFormat="false" ht="12.8" hidden="false" customHeight="false" outlineLevel="0" collapsed="false">
      <c r="A11500" s="0" t="s">
        <v>5354</v>
      </c>
      <c r="B11500" s="0" t="str">
        <f aca="false">HYPERLINK("https://lindat.mff.cuni.cz/services/teitok/pdtc10/index.php?action=vallex&amp;frame=v-w1387f8", "klást (v-w1387f8)")</f>
        <v>klást (v-w1387f8)</v>
      </c>
      <c r="E11500" s="0" t="str">
        <f aca="false">HYPERLINK("https://lindat.mff.cuni.cz/services/SynSemClass40/SynSemClass40.html?veclass=vec01034#vec01034-ces-cm00001", "vec01034")</f>
        <v>vec01034</v>
      </c>
      <c r="F11500" s="0" t="s">
        <v>5355</v>
      </c>
    </row>
    <row r="11501" customFormat="false" ht="12.8" hidden="false" customHeight="false" outlineLevel="0" collapsed="false">
      <c r="B11501" s="0" t="s">
        <v>1</v>
      </c>
      <c r="C11501" s="0" t="s">
        <v>459</v>
      </c>
      <c r="E11501" s="0" t="s">
        <v>5356</v>
      </c>
      <c r="F11501" s="0" t="s">
        <v>5357</v>
      </c>
    </row>
    <row r="11502" customFormat="false" ht="12.8" hidden="false" customHeight="false" outlineLevel="0" collapsed="false">
      <c r="B11502" s="0" t="s">
        <v>8</v>
      </c>
      <c r="C11502" s="0" t="s">
        <v>3252</v>
      </c>
      <c r="E11502" s="0" t="s">
        <v>771</v>
      </c>
      <c r="F11502" s="0" t="s">
        <v>5358</v>
      </c>
    </row>
    <row r="11504" customFormat="false" ht="12.8" hidden="false" customHeight="false" outlineLevel="0" collapsed="false">
      <c r="A11504" s="0" t="s">
        <v>5359</v>
      </c>
      <c r="B11504" s="0" t="str">
        <f aca="false">HYPERLINK("https://lindat.mff.cuni.cz/services/teitok/pdtc10/index.php?action=vallex&amp;frame=v-w1387f5", "klást (v-w1387f5)")</f>
        <v>klást (v-w1387f5)</v>
      </c>
    </row>
    <row r="11505" customFormat="false" ht="12.8" hidden="false" customHeight="false" outlineLevel="0" collapsed="false">
      <c r="B11505" s="0" t="s">
        <v>1</v>
      </c>
    </row>
    <row r="11506" customFormat="false" ht="12.8" hidden="false" customHeight="false" outlineLevel="0" collapsed="false">
      <c r="B11506" s="0" t="s">
        <v>5360</v>
      </c>
    </row>
    <row r="11507" customFormat="false" ht="12.8" hidden="false" customHeight="false" outlineLevel="0" collapsed="false">
      <c r="B11507" s="0" t="s">
        <v>52</v>
      </c>
    </row>
    <row r="11509" customFormat="false" ht="12.8" hidden="false" customHeight="false" outlineLevel="0" collapsed="false">
      <c r="A11509" s="0" t="s">
        <v>5361</v>
      </c>
      <c r="B11509" s="0" t="str">
        <f aca="false">HYPERLINK("https://lindat.mff.cuni.cz/services/teitok/pdtc10/index.php?action=vallex&amp;frame=v-w1387f1", "klást (v-w1387f1)")</f>
        <v>klást (v-w1387f1)</v>
      </c>
      <c r="E11509" s="0" t="str">
        <f aca="false">HYPERLINK("https://lindat.mff.cuni.cz/services/SynSemClass40/SynSemClass40.html?veclass=vec00384#vec00384-ces-cm00005", "vec00384")</f>
        <v>vec00384</v>
      </c>
      <c r="F11509" s="0" t="s">
        <v>2985</v>
      </c>
    </row>
    <row r="11510" customFormat="false" ht="12.8" hidden="false" customHeight="false" outlineLevel="0" collapsed="false">
      <c r="B11510" s="0" t="s">
        <v>1</v>
      </c>
      <c r="C11510" s="0" t="s">
        <v>2986</v>
      </c>
      <c r="E11510" s="0" t="s">
        <v>147</v>
      </c>
      <c r="F11510" s="0" t="s">
        <v>2987</v>
      </c>
    </row>
    <row r="11511" customFormat="false" ht="12.8" hidden="false" customHeight="false" outlineLevel="0" collapsed="false">
      <c r="B11511" s="0" t="s">
        <v>5362</v>
      </c>
      <c r="C11511" s="0" t="s">
        <v>5363</v>
      </c>
      <c r="E11511" s="0" t="s">
        <v>5364</v>
      </c>
      <c r="F11511" s="0" t="s">
        <v>5365</v>
      </c>
    </row>
    <row r="11512" customFormat="false" ht="12.8" hidden="false" customHeight="false" outlineLevel="0" collapsed="false">
      <c r="B11512" s="0" t="s">
        <v>52</v>
      </c>
      <c r="C11512" s="0" t="s">
        <v>2992</v>
      </c>
      <c r="E11512" s="0" t="s">
        <v>221</v>
      </c>
      <c r="F11512" s="0" t="s">
        <v>2993</v>
      </c>
    </row>
    <row r="11514" customFormat="false" ht="12.8" hidden="false" customHeight="false" outlineLevel="0" collapsed="false">
      <c r="A11514" s="0" t="s">
        <v>5366</v>
      </c>
      <c r="B11514" s="0" t="str">
        <f aca="false">HYPERLINK("https://lindat.mff.cuni.cz/services/teitok/pdtc10/index.php?action=vallex&amp;frame=v-w1387hsa_549", "klást (v-w1387hsa_549)")</f>
        <v>klást (v-w1387hsa_549)</v>
      </c>
    </row>
    <row r="11515" customFormat="false" ht="12.8" hidden="false" customHeight="false" outlineLevel="0" collapsed="false">
      <c r="B11515" s="0" t="s">
        <v>1</v>
      </c>
    </row>
    <row r="11516" customFormat="false" ht="12.8" hidden="false" customHeight="false" outlineLevel="0" collapsed="false">
      <c r="B11516" s="0" t="s">
        <v>5367</v>
      </c>
    </row>
    <row r="11517" customFormat="false" ht="12.8" hidden="false" customHeight="false" outlineLevel="0" collapsed="false">
      <c r="B11517" s="0" t="s">
        <v>162</v>
      </c>
    </row>
    <row r="11519" customFormat="false" ht="12.8" hidden="false" customHeight="false" outlineLevel="0" collapsed="false">
      <c r="A11519" s="0" t="s">
        <v>5366</v>
      </c>
      <c r="B11519" s="0" t="str">
        <f aca="false">HYPERLINK("https://lindat.mff.cuni.cz/services/teitok/pdtc10/index.php?action=vallex&amp;frame=v-w1387f4", "klást (v-w1387f4) - substituted with v-w1387hsa_549")</f>
        <v>klást (v-w1387f4) - substituted with v-w1387hsa_549</v>
      </c>
    </row>
    <row r="11520" customFormat="false" ht="12.8" hidden="false" customHeight="false" outlineLevel="0" collapsed="false">
      <c r="B11520" s="0" t="s">
        <v>1</v>
      </c>
    </row>
    <row r="11521" customFormat="false" ht="12.8" hidden="false" customHeight="false" outlineLevel="0" collapsed="false">
      <c r="B11521" s="0" t="s">
        <v>5367</v>
      </c>
    </row>
    <row r="11522" customFormat="false" ht="12.8" hidden="false" customHeight="false" outlineLevel="0" collapsed="false">
      <c r="B11522" s="0" t="s">
        <v>162</v>
      </c>
    </row>
    <row r="11524" customFormat="false" ht="12.8" hidden="false" customHeight="false" outlineLevel="0" collapsed="false">
      <c r="A11524" s="0" t="s">
        <v>5368</v>
      </c>
      <c r="B11524" s="0" t="str">
        <f aca="false">HYPERLINK("https://lindat.mff.cuni.cz/services/teitok/pdtc10/index.php?action=vallex&amp;frame=v-w1387f2", "klást (v-w1387f2)")</f>
        <v>klást (v-w1387f2)</v>
      </c>
      <c r="E11524" s="0" t="str">
        <f aca="false">HYPERLINK("https://lindat.mff.cuni.cz/services/SynSemClass40/SynSemClass40.html?veclass=vec00382#vec00382-ces-cm00003", "vec00382")</f>
        <v>vec00382</v>
      </c>
      <c r="F11524" s="0" t="s">
        <v>5369</v>
      </c>
    </row>
    <row r="11525" customFormat="false" ht="12.8" hidden="false" customHeight="false" outlineLevel="0" collapsed="false">
      <c r="B11525" s="0" t="s">
        <v>1</v>
      </c>
      <c r="C11525" s="0" t="s">
        <v>5370</v>
      </c>
      <c r="E11525" s="0" t="s">
        <v>63</v>
      </c>
      <c r="F11525" s="0" t="s">
        <v>5371</v>
      </c>
    </row>
    <row r="11526" customFormat="false" ht="12.8" hidden="false" customHeight="false" outlineLevel="0" collapsed="false">
      <c r="B11526" s="0" t="s">
        <v>3521</v>
      </c>
      <c r="C11526" s="0" t="s">
        <v>5372</v>
      </c>
      <c r="E11526" s="0" t="s">
        <v>5373</v>
      </c>
      <c r="F11526" s="0" t="s">
        <v>5374</v>
      </c>
    </row>
    <row r="11528" customFormat="false" ht="12.8" hidden="false" customHeight="false" outlineLevel="0" collapsed="false">
      <c r="A11528" s="0" t="s">
        <v>5375</v>
      </c>
      <c r="B11528" s="0" t="str">
        <f aca="false">HYPERLINK("https://lindat.mff.cuni.cz/services/teitok/pdtc10/index.php?action=vallex&amp;frame=v-w1387hsa_547", "klást (v-w1387hsa_547)")</f>
        <v>klást (v-w1387hsa_547)</v>
      </c>
    </row>
    <row r="11529" customFormat="false" ht="12.8" hidden="false" customHeight="false" outlineLevel="0" collapsed="false">
      <c r="B11529" s="0" t="s">
        <v>1</v>
      </c>
    </row>
    <row r="11530" customFormat="false" ht="12.8" hidden="false" customHeight="false" outlineLevel="0" collapsed="false">
      <c r="B11530" s="0" t="s">
        <v>8</v>
      </c>
    </row>
    <row r="11531" customFormat="false" ht="12.8" hidden="false" customHeight="false" outlineLevel="0" collapsed="false">
      <c r="B11531" s="0" t="s">
        <v>164</v>
      </c>
    </row>
    <row r="11533" customFormat="false" ht="12.8" hidden="false" customHeight="false" outlineLevel="0" collapsed="false">
      <c r="A11533" s="0" t="s">
        <v>5376</v>
      </c>
      <c r="B11533" s="0" t="str">
        <f aca="false">HYPERLINK("https://lindat.mff.cuni.cz/services/teitok/pdtc10/index.php?action=vallex&amp;frame=v-w1387f10_ZU", "klást (v-w1387f10_ZU)")</f>
        <v>klást (v-w1387f10_ZU)</v>
      </c>
    </row>
    <row r="11534" customFormat="false" ht="12.8" hidden="false" customHeight="false" outlineLevel="0" collapsed="false">
      <c r="B11534" s="0" t="s">
        <v>1</v>
      </c>
    </row>
    <row r="11535" customFormat="false" ht="12.8" hidden="false" customHeight="false" outlineLevel="0" collapsed="false">
      <c r="B11535" s="0" t="s">
        <v>5377</v>
      </c>
    </row>
    <row r="11536" customFormat="false" ht="12.8" hidden="false" customHeight="false" outlineLevel="0" collapsed="false">
      <c r="B11536" s="0" t="s">
        <v>164</v>
      </c>
    </row>
    <row r="11538" customFormat="false" ht="12.8" hidden="false" customHeight="false" outlineLevel="0" collapsed="false">
      <c r="A11538" s="0" t="s">
        <v>5376</v>
      </c>
      <c r="B11538" s="0" t="str">
        <f aca="false">HYPERLINK("https://lindat.mff.cuni.cz/services/teitok/pdtc10/index.php?action=vallex&amp;frame=v-w1387hsa_548", "klást (v-w1387hsa_548) - substituted with v-w1387f10_ZU")</f>
        <v>klást (v-w1387hsa_548) - substituted with v-w1387f10_ZU</v>
      </c>
    </row>
    <row r="11539" customFormat="false" ht="12.8" hidden="false" customHeight="false" outlineLevel="0" collapsed="false">
      <c r="B11539" s="0" t="s">
        <v>1</v>
      </c>
    </row>
    <row r="11540" customFormat="false" ht="12.8" hidden="false" customHeight="false" outlineLevel="0" collapsed="false">
      <c r="B11540" s="0" t="s">
        <v>5377</v>
      </c>
    </row>
    <row r="11541" customFormat="false" ht="12.8" hidden="false" customHeight="false" outlineLevel="0" collapsed="false">
      <c r="B11541" s="0" t="s">
        <v>164</v>
      </c>
    </row>
    <row r="11543" customFormat="false" ht="12.8" hidden="false" customHeight="false" outlineLevel="0" collapsed="false">
      <c r="A11543" s="0" t="s">
        <v>5378</v>
      </c>
      <c r="B11543" s="0" t="str">
        <f aca="false">HYPERLINK("https://lindat.mff.cuni.cz/services/teitok/pdtc10/index.php?action=vallex&amp;frame=v-w1387f11_ZU", "klást (v-w1387f11_ZU)")</f>
        <v>klást (v-w1387f11_ZU)</v>
      </c>
    </row>
    <row r="11544" customFormat="false" ht="12.8" hidden="false" customHeight="false" outlineLevel="0" collapsed="false">
      <c r="B11544" s="0" t="s">
        <v>1</v>
      </c>
    </row>
    <row r="11545" customFormat="false" ht="12.8" hidden="false" customHeight="false" outlineLevel="0" collapsed="false">
      <c r="B11545" s="0" t="s">
        <v>5379</v>
      </c>
    </row>
    <row r="11546" customFormat="false" ht="12.8" hidden="false" customHeight="false" outlineLevel="0" collapsed="false">
      <c r="B11546" s="0" t="s">
        <v>59</v>
      </c>
    </row>
    <row r="11548" customFormat="false" ht="12.8" hidden="false" customHeight="false" outlineLevel="0" collapsed="false">
      <c r="A11548" s="0" t="s">
        <v>5380</v>
      </c>
      <c r="B11548" s="0" t="str">
        <f aca="false">HYPERLINK("https://lindat.mff.cuni.cz/services/teitok/pdtc10/index.php?action=vallex&amp;frame=v-w1388f1", "klást se (v-w1388f1)")</f>
        <v>klást se (v-w1388f1)</v>
      </c>
    </row>
    <row r="11549" customFormat="false" ht="12.8" hidden="false" customHeight="false" outlineLevel="0" collapsed="false">
      <c r="B11549" s="0" t="s">
        <v>1</v>
      </c>
    </row>
    <row r="11551" customFormat="false" ht="12.8" hidden="false" customHeight="false" outlineLevel="0" collapsed="false">
      <c r="A11551" s="0" t="s">
        <v>5381</v>
      </c>
      <c r="B11551" s="0" t="str">
        <f aca="false">HYPERLINK("https://lindat.mff.cuni.cz/services/teitok/pdtc10/index.php?action=vallex&amp;frame=v-w10591f2", "klátit (v-w10591f2)")</f>
        <v>klátit (v-w10591f2)</v>
      </c>
    </row>
    <row r="11552" customFormat="false" ht="12.8" hidden="false" customHeight="false" outlineLevel="0" collapsed="false">
      <c r="B11552" s="0" t="s">
        <v>1</v>
      </c>
    </row>
    <row r="11553" customFormat="false" ht="12.8" hidden="false" customHeight="false" outlineLevel="0" collapsed="false">
      <c r="B11553" s="0" t="s">
        <v>4277</v>
      </c>
    </row>
    <row r="11555" customFormat="false" ht="12.8" hidden="false" customHeight="false" outlineLevel="0" collapsed="false">
      <c r="A11555" s="0" t="s">
        <v>5382</v>
      </c>
      <c r="B11555" s="0" t="str">
        <f aca="false">HYPERLINK("https://lindat.mff.cuni.cz/services/teitok/pdtc10/index.php?action=vallex&amp;frame=v-w10591f3_ZU", "klátit (v-w10591f3_ZU)")</f>
        <v>klátit (v-w10591f3_ZU)</v>
      </c>
    </row>
    <row r="11556" customFormat="false" ht="12.8" hidden="false" customHeight="false" outlineLevel="0" collapsed="false">
      <c r="B11556" s="0" t="s">
        <v>1</v>
      </c>
    </row>
    <row r="11557" customFormat="false" ht="12.8" hidden="false" customHeight="false" outlineLevel="0" collapsed="false">
      <c r="B11557" s="0" t="s">
        <v>8</v>
      </c>
    </row>
    <row r="11559" customFormat="false" ht="12.8" hidden="false" customHeight="false" outlineLevel="0" collapsed="false">
      <c r="A11559" s="0" t="s">
        <v>5383</v>
      </c>
      <c r="B11559" s="0" t="str">
        <f aca="false">HYPERLINK("https://lindat.mff.cuni.cz/services/teitok/pdtc10/index.php?action=vallex&amp;frame=v-w10967f2", "klít (v-w10967f2)")</f>
        <v>klít (v-w10967f2)</v>
      </c>
    </row>
    <row r="11560" customFormat="false" ht="12.8" hidden="false" customHeight="false" outlineLevel="0" collapsed="false">
      <c r="B11560" s="0" t="s">
        <v>1</v>
      </c>
    </row>
    <row r="11561" customFormat="false" ht="12.8" hidden="false" customHeight="false" outlineLevel="0" collapsed="false">
      <c r="B11561" s="0" t="s">
        <v>5384</v>
      </c>
    </row>
    <row r="11563" customFormat="false" ht="12.8" hidden="false" customHeight="false" outlineLevel="0" collapsed="false">
      <c r="A11563" s="0" t="s">
        <v>5385</v>
      </c>
      <c r="B11563" s="0" t="str">
        <f aca="false">HYPERLINK("https://lindat.mff.cuni.cz/services/teitok/pdtc10/index.php?action=vallex&amp;frame=v-w10411f2", "kmitat (v-w10411f2)")</f>
        <v>kmitat (v-w10411f2)</v>
      </c>
    </row>
    <row r="11564" customFormat="false" ht="12.8" hidden="false" customHeight="false" outlineLevel="0" collapsed="false">
      <c r="B11564" s="0" t="s">
        <v>1</v>
      </c>
    </row>
    <row r="11566" customFormat="false" ht="12.8" hidden="false" customHeight="false" outlineLevel="0" collapsed="false">
      <c r="A11566" s="0" t="s">
        <v>5386</v>
      </c>
      <c r="B11566" s="0" t="str">
        <f aca="false">HYPERLINK("https://lindat.mff.cuni.cz/services/teitok/pdtc10/index.php?action=vallex&amp;frame=v-w10734f2", "knokautovat (v-w10734f2)")</f>
        <v>knokautovat (v-w10734f2)</v>
      </c>
      <c r="E11566" s="0" t="str">
        <f aca="false">HYPERLINK("https://lindat.mff.cuni.cz/services/SynSemClass40/SynSemClass40.html?veclass=vec01220#vec01220-ces-cm00001", "vec01220")</f>
        <v>vec01220</v>
      </c>
      <c r="F11566" s="0" t="s">
        <v>5387</v>
      </c>
      <c r="H11566" s="0" t="str">
        <f aca="false">HYPERLINK("https://lindat.mff.cuni.cz/services/SynSemClass40/SynSemClass40.html?veclass=vec01505#vec01505-ces-cm00001", "vec01505")</f>
        <v>vec01505</v>
      </c>
      <c r="I11566" s="0" t="s">
        <v>5388</v>
      </c>
    </row>
    <row r="11567" customFormat="false" ht="12.8" hidden="false" customHeight="false" outlineLevel="0" collapsed="false">
      <c r="B11567" s="0" t="s">
        <v>1</v>
      </c>
      <c r="C11567" s="0" t="s">
        <v>1752</v>
      </c>
      <c r="E11567" s="0" t="s">
        <v>2106</v>
      </c>
      <c r="F11567" s="0" t="s">
        <v>5389</v>
      </c>
      <c r="H11567" s="0" t="s">
        <v>196</v>
      </c>
      <c r="I11567" s="0" t="s">
        <v>5390</v>
      </c>
    </row>
    <row r="11568" customFormat="false" ht="12.8" hidden="false" customHeight="false" outlineLevel="0" collapsed="false">
      <c r="B11568" s="0" t="s">
        <v>8</v>
      </c>
      <c r="C11568" s="0" t="s">
        <v>5391</v>
      </c>
      <c r="E11568" s="0" t="s">
        <v>5392</v>
      </c>
      <c r="F11568" s="0" t="s">
        <v>5393</v>
      </c>
      <c r="H11568" s="0" t="s">
        <v>199</v>
      </c>
      <c r="I11568" s="0" t="s">
        <v>5394</v>
      </c>
    </row>
    <row r="11570" customFormat="false" ht="12.8" hidden="false" customHeight="false" outlineLevel="0" collapsed="false">
      <c r="A11570" s="0" t="s">
        <v>5395</v>
      </c>
      <c r="B11570" s="0" t="str">
        <f aca="false">HYPERLINK("https://lindat.mff.cuni.cz/services/teitok/pdtc10/index.php?action=vallex&amp;frame=v-w1417f1", "kochat se (v-w1417f1)")</f>
        <v>kochat se (v-w1417f1)</v>
      </c>
    </row>
    <row r="11571" customFormat="false" ht="12.8" hidden="false" customHeight="false" outlineLevel="0" collapsed="false">
      <c r="B11571" s="0" t="s">
        <v>1</v>
      </c>
    </row>
    <row r="11572" customFormat="false" ht="12.8" hidden="false" customHeight="false" outlineLevel="0" collapsed="false">
      <c r="B11572" s="0" t="s">
        <v>286</v>
      </c>
    </row>
    <row r="11574" customFormat="false" ht="12.8" hidden="false" customHeight="false" outlineLevel="0" collapsed="false">
      <c r="A11574" s="0" t="s">
        <v>5396</v>
      </c>
      <c r="B11574" s="0" t="str">
        <f aca="false">HYPERLINK("https://lindat.mff.cuni.cz/services/teitok/pdtc10/index.php?action=vallex&amp;frame=v-w1414f1", "kodifikovat (v-w1414f1)")</f>
        <v>kodifikovat (v-w1414f1)</v>
      </c>
      <c r="E11574" s="0" t="str">
        <f aca="false">HYPERLINK("https://lindat.mff.cuni.cz/services/SynSemClass40/SynSemClass40.html?veclass=vec00546#vec00546-ces-cm00047", "vec00546")</f>
        <v>vec00546</v>
      </c>
      <c r="F11574" s="0" t="s">
        <v>5397</v>
      </c>
      <c r="H11574" s="0" t="str">
        <f aca="false">HYPERLINK("https://lindat.mff.cuni.cz/services/SynSemClass40/SynSemClass40.html?veclass=vec00784#vec00784-ces-cm00010", "vec00784")</f>
        <v>vec00784</v>
      </c>
      <c r="I11574" s="0" t="s">
        <v>4173</v>
      </c>
      <c r="K11574" s="0" t="str">
        <f aca="false">HYPERLINK("https://lindat.mff.cuni.cz/services/SynSemClass40/SynSemClass40.html?veclass=vec01117#vec01117-ces-cm00002", "vec01117")</f>
        <v>vec01117</v>
      </c>
      <c r="L11574" s="0" t="s">
        <v>5398</v>
      </c>
    </row>
    <row r="11575" customFormat="false" ht="12.8" hidden="false" customHeight="false" outlineLevel="0" collapsed="false">
      <c r="B11575" s="0" t="s">
        <v>1</v>
      </c>
      <c r="C11575" s="0" t="s">
        <v>5399</v>
      </c>
      <c r="E11575" s="0" t="s">
        <v>206</v>
      </c>
      <c r="F11575" s="0" t="s">
        <v>5400</v>
      </c>
      <c r="H11575" s="0" t="s">
        <v>63</v>
      </c>
      <c r="I11575" s="0" t="s">
        <v>4174</v>
      </c>
      <c r="K11575" s="0" t="s">
        <v>5401</v>
      </c>
      <c r="L11575" s="0" t="s">
        <v>5402</v>
      </c>
    </row>
    <row r="11576" customFormat="false" ht="12.8" hidden="false" customHeight="false" outlineLevel="0" collapsed="false">
      <c r="B11576" s="0" t="s">
        <v>1838</v>
      </c>
      <c r="C11576" s="0" t="s">
        <v>5403</v>
      </c>
      <c r="E11576" s="0" t="s">
        <v>1823</v>
      </c>
      <c r="F11576" s="0" t="s">
        <v>5404</v>
      </c>
      <c r="H11576" s="0" t="s">
        <v>50</v>
      </c>
      <c r="I11576" s="0" t="s">
        <v>4175</v>
      </c>
      <c r="K11576" s="0" t="s">
        <v>5405</v>
      </c>
      <c r="L11576" s="0" t="s">
        <v>5406</v>
      </c>
    </row>
    <row r="11578" customFormat="false" ht="12.8" hidden="false" customHeight="false" outlineLevel="0" collapsed="false">
      <c r="A11578" s="0" t="s">
        <v>5407</v>
      </c>
      <c r="B11578" s="0" t="str">
        <f aca="false">HYPERLINK("https://lindat.mff.cuni.cz/services/teitok/pdtc10/index.php?action=vallex&amp;frame=v-w10580f2", "kodrcat (v-w10580f2)")</f>
        <v>kodrcat (v-w10580f2)</v>
      </c>
    </row>
    <row r="11579" customFormat="false" ht="12.8" hidden="false" customHeight="false" outlineLevel="0" collapsed="false">
      <c r="B11579" s="0" t="s">
        <v>1</v>
      </c>
    </row>
    <row r="11581" customFormat="false" ht="12.8" hidden="false" customHeight="false" outlineLevel="0" collapsed="false">
      <c r="A11581" s="0" t="s">
        <v>5408</v>
      </c>
      <c r="B11581" s="0" t="str">
        <f aca="false">HYPERLINK("https://lindat.mff.cuni.cz/services/teitok/pdtc10/index.php?action=vallex&amp;frame=v-w10780f2", "koexistovat (v-w10780f2)")</f>
        <v>koexistovat (v-w10780f2)</v>
      </c>
    </row>
    <row r="11582" customFormat="false" ht="12.8" hidden="false" customHeight="false" outlineLevel="0" collapsed="false">
      <c r="B11582" s="0" t="s">
        <v>1</v>
      </c>
    </row>
    <row r="11583" customFormat="false" ht="12.8" hidden="false" customHeight="false" outlineLevel="0" collapsed="false">
      <c r="B11583" s="0" t="s">
        <v>721</v>
      </c>
    </row>
    <row r="11585" customFormat="false" ht="12.8" hidden="false" customHeight="false" outlineLevel="0" collapsed="false">
      <c r="A11585" s="0" t="s">
        <v>5409</v>
      </c>
      <c r="B11585" s="0" t="str">
        <f aca="false">HYPERLINK("https://lindat.mff.cuni.cz/services/teitok/pdtc10/index.php?action=vallex&amp;frame=v-w1418f1", "kojit (v-w1418f1)")</f>
        <v>kojit (v-w1418f1)</v>
      </c>
    </row>
    <row r="11586" customFormat="false" ht="12.8" hidden="false" customHeight="false" outlineLevel="0" collapsed="false">
      <c r="B11586" s="0" t="s">
        <v>1</v>
      </c>
    </row>
    <row r="11587" customFormat="false" ht="12.8" hidden="false" customHeight="false" outlineLevel="0" collapsed="false">
      <c r="B11587" s="0" t="s">
        <v>8</v>
      </c>
    </row>
    <row r="11589" customFormat="false" ht="12.8" hidden="false" customHeight="false" outlineLevel="0" collapsed="false">
      <c r="A11589" s="0" t="s">
        <v>5410</v>
      </c>
      <c r="B11589" s="0" t="str">
        <f aca="false">HYPERLINK("https://lindat.mff.cuni.cz/services/teitok/pdtc10/index.php?action=vallex&amp;frame=v-w1420f1", "koketovat (v-w1420f1)")</f>
        <v>koketovat (v-w1420f1)</v>
      </c>
      <c r="E11589" s="0" t="str">
        <f aca="false">HYPERLINK("https://lindat.mff.cuni.cz/services/SynSemClass40/SynSemClass40.html?veclass=vec00817#vec00817-ces-cm00003", "vec00817")</f>
        <v>vec00817</v>
      </c>
      <c r="F11589" s="0" t="s">
        <v>4155</v>
      </c>
    </row>
    <row r="11590" customFormat="false" ht="12.8" hidden="false" customHeight="false" outlineLevel="0" collapsed="false">
      <c r="B11590" s="0" t="s">
        <v>1</v>
      </c>
      <c r="C11590" s="0" t="s">
        <v>4114</v>
      </c>
      <c r="E11590" s="0" t="s">
        <v>11</v>
      </c>
      <c r="F11590" s="0" t="s">
        <v>4156</v>
      </c>
    </row>
    <row r="11591" customFormat="false" ht="12.8" hidden="false" customHeight="false" outlineLevel="0" collapsed="false">
      <c r="B11591" s="0" t="s">
        <v>3321</v>
      </c>
      <c r="C11591" s="0" t="s">
        <v>1940</v>
      </c>
      <c r="E11591" s="0" t="s">
        <v>34</v>
      </c>
      <c r="F11591" s="0" t="s">
        <v>4157</v>
      </c>
    </row>
    <row r="11593" customFormat="false" ht="12.8" hidden="false" customHeight="false" outlineLevel="0" collapsed="false">
      <c r="A11593" s="0" t="s">
        <v>5411</v>
      </c>
      <c r="B11593" s="0" t="str">
        <f aca="false">HYPERLINK("https://lindat.mff.cuni.cz/services/teitok/pdtc10/index.php?action=vallex&amp;frame=v-w12101_ZUf1_ZU", "koktat (v-w12101_ZUf1_ZU)")</f>
        <v>koktat (v-w12101_ZUf1_ZU)</v>
      </c>
    </row>
    <row r="11594" customFormat="false" ht="12.8" hidden="false" customHeight="false" outlineLevel="0" collapsed="false">
      <c r="B11594" s="0" t="s">
        <v>1</v>
      </c>
    </row>
    <row r="11596" customFormat="false" ht="12.8" hidden="false" customHeight="false" outlineLevel="0" collapsed="false">
      <c r="A11596" s="0" t="s">
        <v>5412</v>
      </c>
      <c r="B11596" s="0" t="str">
        <f aca="false">HYPERLINK("https://lindat.mff.cuni.cz/services/teitok/pdtc10/index.php?action=vallex&amp;frame=v-w10664f2", "kolaborovat (v-w10664f2)")</f>
        <v>kolaborovat (v-w10664f2)</v>
      </c>
      <c r="E11596" s="0" t="str">
        <f aca="false">HYPERLINK("https://lindat.mff.cuni.cz/services/SynSemClass40/SynSemClass40.html?veclass=vec00319#vec00319-ces-cm00006", "vec00319")</f>
        <v>vec00319</v>
      </c>
      <c r="F11596" s="0" t="s">
        <v>5413</v>
      </c>
    </row>
    <row r="11597" customFormat="false" ht="12.8" hidden="false" customHeight="false" outlineLevel="0" collapsed="false">
      <c r="B11597" s="0" t="s">
        <v>1</v>
      </c>
      <c r="C11597" s="0" t="s">
        <v>5414</v>
      </c>
      <c r="E11597" s="0" t="s">
        <v>2241</v>
      </c>
      <c r="F11597" s="0" t="s">
        <v>5415</v>
      </c>
    </row>
    <row r="11598" customFormat="false" ht="12.8" hidden="false" customHeight="false" outlineLevel="0" collapsed="false">
      <c r="B11598" s="0" t="s">
        <v>5416</v>
      </c>
      <c r="C11598" s="0" t="s">
        <v>5417</v>
      </c>
      <c r="E11598" s="0" t="s">
        <v>2247</v>
      </c>
      <c r="F11598" s="0" t="s">
        <v>5418</v>
      </c>
    </row>
    <row r="11599" customFormat="false" ht="12.8" hidden="false" customHeight="false" outlineLevel="0" collapsed="false">
      <c r="B11599" s="0" t="s">
        <v>5419</v>
      </c>
      <c r="C11599" s="0" t="s">
        <v>5420</v>
      </c>
      <c r="E11599" s="0" t="s">
        <v>5421</v>
      </c>
      <c r="F11599" s="0" t="s">
        <v>5422</v>
      </c>
    </row>
    <row r="11601" customFormat="false" ht="12.8" hidden="false" customHeight="false" outlineLevel="0" collapsed="false">
      <c r="A11601" s="0" t="s">
        <v>5423</v>
      </c>
      <c r="B11601" s="0" t="str">
        <f aca="false">HYPERLINK("https://lindat.mff.cuni.cz/services/teitok/pdtc10/index.php?action=vallex&amp;frame=v-whsa_1628hsa_1629", "koledovat (v-whsa_1628hsa_1629)")</f>
        <v>koledovat (v-whsa_1628hsa_1629)</v>
      </c>
    </row>
    <row r="11602" customFormat="false" ht="12.8" hidden="false" customHeight="false" outlineLevel="0" collapsed="false">
      <c r="B11602" s="0" t="s">
        <v>1</v>
      </c>
    </row>
    <row r="11604" customFormat="false" ht="12.8" hidden="false" customHeight="false" outlineLevel="0" collapsed="false">
      <c r="A11604" s="0" t="s">
        <v>5424</v>
      </c>
      <c r="B11604" s="0" t="str">
        <f aca="false">HYPERLINK("https://lindat.mff.cuni.cz/services/teitok/pdtc10/index.php?action=vallex&amp;frame=v-w1429f1", "kolidovat (v-w1429f1)")</f>
        <v>kolidovat (v-w1429f1)</v>
      </c>
    </row>
    <row r="11605" customFormat="false" ht="12.8" hidden="false" customHeight="false" outlineLevel="0" collapsed="false">
      <c r="B11605" s="0" t="s">
        <v>1</v>
      </c>
    </row>
    <row r="11606" customFormat="false" ht="12.8" hidden="false" customHeight="false" outlineLevel="0" collapsed="false">
      <c r="B11606" s="0" t="s">
        <v>721</v>
      </c>
    </row>
    <row r="11608" customFormat="false" ht="12.8" hidden="false" customHeight="false" outlineLevel="0" collapsed="false">
      <c r="A11608" s="0" t="s">
        <v>5425</v>
      </c>
      <c r="B11608" s="0" t="str">
        <f aca="false">HYPERLINK("https://lindat.mff.cuni.cz/services/teitok/pdtc10/index.php?action=vallex&amp;frame=v-w11856_ZUf1_ZU", "kolorovat (v-w11856_ZUf1_ZU)")</f>
        <v>kolorovat (v-w11856_ZUf1_ZU)</v>
      </c>
    </row>
    <row r="11609" customFormat="false" ht="12.8" hidden="false" customHeight="false" outlineLevel="0" collapsed="false">
      <c r="B11609" s="0" t="s">
        <v>1</v>
      </c>
    </row>
    <row r="11610" customFormat="false" ht="12.8" hidden="false" customHeight="false" outlineLevel="0" collapsed="false">
      <c r="B11610" s="0" t="s">
        <v>8</v>
      </c>
    </row>
    <row r="11612" customFormat="false" ht="12.8" hidden="false" customHeight="false" outlineLevel="0" collapsed="false">
      <c r="A11612" s="0" t="s">
        <v>5426</v>
      </c>
      <c r="B11612" s="0" t="str">
        <f aca="false">HYPERLINK("https://lindat.mff.cuni.cz/services/teitok/pdtc10/index.php?action=vallex&amp;frame=v-w1435f1", "kolovat (v-w1435f1)")</f>
        <v>kolovat (v-w1435f1)</v>
      </c>
      <c r="E11612" s="0" t="str">
        <f aca="false">HYPERLINK("https://lindat.mff.cuni.cz/services/SynSemClass40/SynSemClass40.html?veclass=vec00017#vec00017-ces-cm00048", "vec00017")</f>
        <v>vec00017</v>
      </c>
      <c r="F11612" s="0" t="s">
        <v>954</v>
      </c>
    </row>
    <row r="11613" customFormat="false" ht="12.8" hidden="false" customHeight="false" outlineLevel="0" collapsed="false">
      <c r="B11613" s="0" t="s">
        <v>1</v>
      </c>
      <c r="C11613" s="0" t="s">
        <v>956</v>
      </c>
      <c r="E11613" s="0" t="s">
        <v>957</v>
      </c>
      <c r="F11613" s="0" t="s">
        <v>958</v>
      </c>
    </row>
    <row r="11615" customFormat="false" ht="12.8" hidden="false" customHeight="false" outlineLevel="0" collapsed="false">
      <c r="A11615" s="0" t="s">
        <v>5427</v>
      </c>
      <c r="B11615" s="0" t="str">
        <f aca="false">HYPERLINK("https://lindat.mff.cuni.cz/services/teitok/pdtc10/index.php?action=vallex&amp;frame=v-w11239f1", "kolébat se (v-w11239f1)")</f>
        <v>kolébat se (v-w11239f1)</v>
      </c>
      <c r="E11615" s="0" t="str">
        <f aca="false">HYPERLINK("https://lindat.mff.cuni.cz/services/SynSemClass40/SynSemClass40.html?veclass=vec00622#vec00622-ces-cm00010", "vec00622")</f>
        <v>vec00622</v>
      </c>
      <c r="F11615" s="0" t="s">
        <v>5340</v>
      </c>
      <c r="H11615" s="0" t="str">
        <f aca="false">HYPERLINK("https://lindat.mff.cuni.cz/services/SynSemClass40/SynSemClass40.html?veclass=vec00875#vec00875-ces-cm00002", "vec00875")</f>
        <v>vec00875</v>
      </c>
      <c r="I11615" s="0" t="s">
        <v>5428</v>
      </c>
      <c r="K11615" s="0" t="str">
        <f aca="false">HYPERLINK("https://lindat.mff.cuni.cz/services/SynSemClass40/SynSemClass40.html?veclass=vec01147#vec01147-ces-cm00002", "vec01147")</f>
        <v>vec01147</v>
      </c>
      <c r="L11615" s="0" t="s">
        <v>5429</v>
      </c>
    </row>
    <row r="11616" customFormat="false" ht="12.8" hidden="false" customHeight="false" outlineLevel="0" collapsed="false">
      <c r="B11616" s="0" t="s">
        <v>1</v>
      </c>
      <c r="C11616" s="0" t="s">
        <v>5430</v>
      </c>
      <c r="E11616" s="0" t="s">
        <v>11</v>
      </c>
      <c r="F11616" s="0" t="s">
        <v>4156</v>
      </c>
      <c r="H11616" s="0" t="s">
        <v>84</v>
      </c>
      <c r="I11616" s="0" t="s">
        <v>5431</v>
      </c>
      <c r="K11616" s="0" t="s">
        <v>334</v>
      </c>
      <c r="L11616" s="0" t="s">
        <v>5432</v>
      </c>
    </row>
    <row r="11618" customFormat="false" ht="12.8" hidden="false" customHeight="false" outlineLevel="0" collapsed="false">
      <c r="A11618" s="0" t="s">
        <v>5433</v>
      </c>
      <c r="B11618" s="0" t="str">
        <f aca="false">HYPERLINK("https://lindat.mff.cuni.cz/services/teitok/pdtc10/index.php?action=vallex&amp;frame=v-w1428f1", "kolíbat (v-w1428f1)")</f>
        <v>kolíbat (v-w1428f1)</v>
      </c>
    </row>
    <row r="11619" customFormat="false" ht="12.8" hidden="false" customHeight="false" outlineLevel="0" collapsed="false">
      <c r="B11619" s="0" t="s">
        <v>1</v>
      </c>
    </row>
    <row r="11620" customFormat="false" ht="12.8" hidden="false" customHeight="false" outlineLevel="0" collapsed="false">
      <c r="B11620" s="0" t="s">
        <v>8</v>
      </c>
    </row>
    <row r="11622" customFormat="false" ht="12.8" hidden="false" customHeight="false" outlineLevel="0" collapsed="false">
      <c r="A11622" s="0" t="s">
        <v>5434</v>
      </c>
      <c r="B11622" s="0" t="str">
        <f aca="false">HYPERLINK("https://lindat.mff.cuni.cz/services/teitok/pdtc10/index.php?action=vallex&amp;frame=v-w1430f1", "kolísat (v-w1430f1)")</f>
        <v>kolísat (v-w1430f1)</v>
      </c>
      <c r="E11622" s="0" t="str">
        <f aca="false">HYPERLINK("https://lindat.mff.cuni.cz/services/SynSemClass40/SynSemClass40.html?veclass=vec00626#vec00626-ces-cm00012", "vec00626")</f>
        <v>vec00626</v>
      </c>
      <c r="F11622" s="0" t="s">
        <v>4514</v>
      </c>
    </row>
    <row r="11623" customFormat="false" ht="12.8" hidden="false" customHeight="false" outlineLevel="0" collapsed="false">
      <c r="B11623" s="0" t="s">
        <v>1</v>
      </c>
      <c r="C11623" s="0" t="s">
        <v>4515</v>
      </c>
      <c r="E11623" s="0" t="s">
        <v>334</v>
      </c>
      <c r="F11623" s="0" t="s">
        <v>4516</v>
      </c>
    </row>
    <row r="11625" customFormat="false" ht="12.8" hidden="false" customHeight="false" outlineLevel="0" collapsed="false">
      <c r="A11625" s="0" t="s">
        <v>5435</v>
      </c>
      <c r="B11625" s="0" t="str">
        <f aca="false">HYPERLINK("https://lindat.mff.cuni.cz/services/teitok/pdtc10/index.php?action=vallex&amp;frame=v-w1430hsa_1800", "kolísat (v-w1430hsa_1800)")</f>
        <v>kolísat (v-w1430hsa_1800)</v>
      </c>
    </row>
    <row r="11626" customFormat="false" ht="12.8" hidden="false" customHeight="false" outlineLevel="0" collapsed="false">
      <c r="B11626" s="0" t="s">
        <v>1</v>
      </c>
    </row>
    <row r="11627" customFormat="false" ht="12.8" hidden="false" customHeight="false" outlineLevel="0" collapsed="false">
      <c r="B11627" s="0" t="s">
        <v>5436</v>
      </c>
    </row>
    <row r="11629" customFormat="false" ht="12.8" hidden="false" customHeight="false" outlineLevel="0" collapsed="false">
      <c r="A11629" s="0" t="s">
        <v>5437</v>
      </c>
      <c r="B11629" s="0" t="str">
        <f aca="false">HYPERLINK("https://lindat.mff.cuni.cz/services/teitok/pdtc10/index.php?action=vallex&amp;frame=v-whsa_499hsa_500", "komandovat (v-whsa_499hsa_500)")</f>
        <v>komandovat (v-whsa_499hsa_500)</v>
      </c>
    </row>
    <row r="11630" customFormat="false" ht="12.8" hidden="false" customHeight="false" outlineLevel="0" collapsed="false">
      <c r="B11630" s="0" t="s">
        <v>1</v>
      </c>
    </row>
    <row r="11631" customFormat="false" ht="12.8" hidden="false" customHeight="false" outlineLevel="0" collapsed="false">
      <c r="B11631" s="0" t="s">
        <v>8</v>
      </c>
    </row>
    <row r="11633" customFormat="false" ht="12.8" hidden="false" customHeight="false" outlineLevel="0" collapsed="false">
      <c r="A11633" s="0" t="s">
        <v>5438</v>
      </c>
      <c r="B11633" s="0" t="str">
        <f aca="false">HYPERLINK("https://lindat.mff.cuni.cz/services/teitok/pdtc10/index.php?action=vallex&amp;frame=v-w1437f1", "kombinovat (v-w1437f1)")</f>
        <v>kombinovat (v-w1437f1)</v>
      </c>
      <c r="E11633" s="0" t="str">
        <f aca="false">HYPERLINK("https://lindat.mff.cuni.cz/services/SynSemClass40/SynSemClass40.html?veclass=vec00623#vec00623-ces-cm00001", "vec00623")</f>
        <v>vec00623</v>
      </c>
      <c r="F11633" s="0" t="s">
        <v>5439</v>
      </c>
    </row>
    <row r="11634" customFormat="false" ht="12.8" hidden="false" customHeight="false" outlineLevel="0" collapsed="false">
      <c r="B11634" s="0" t="s">
        <v>1</v>
      </c>
      <c r="C11634" s="0" t="s">
        <v>5440</v>
      </c>
      <c r="E11634" s="0" t="s">
        <v>31</v>
      </c>
      <c r="F11634" s="0" t="s">
        <v>5441</v>
      </c>
    </row>
    <row r="11635" customFormat="false" ht="12.8" hidden="false" customHeight="false" outlineLevel="0" collapsed="false">
      <c r="B11635" s="0" t="s">
        <v>8</v>
      </c>
      <c r="C11635" s="0" t="s">
        <v>5442</v>
      </c>
      <c r="E11635" s="0" t="s">
        <v>4852</v>
      </c>
      <c r="F11635" s="0" t="s">
        <v>5443</v>
      </c>
    </row>
    <row r="11636" customFormat="false" ht="12.8" hidden="false" customHeight="false" outlineLevel="0" collapsed="false">
      <c r="B11636" s="0" t="s">
        <v>3537</v>
      </c>
      <c r="C11636" s="0" t="s">
        <v>5444</v>
      </c>
      <c r="E11636" s="0" t="s">
        <v>5445</v>
      </c>
      <c r="F11636" s="0" t="s">
        <v>5446</v>
      </c>
    </row>
    <row r="11638" customFormat="false" ht="12.8" hidden="false" customHeight="false" outlineLevel="0" collapsed="false">
      <c r="A11638" s="0" t="s">
        <v>5447</v>
      </c>
      <c r="B11638" s="0" t="str">
        <f aca="false">HYPERLINK("https://lindat.mff.cuni.cz/services/teitok/pdtc10/index.php?action=vallex&amp;frame=v-w1443hsa_395", "komentovat (v-w1443hsa_395)")</f>
        <v>komentovat (v-w1443hsa_395)</v>
      </c>
      <c r="E11638" s="0" t="str">
        <f aca="false">HYPERLINK("https://lindat.mff.cuni.cz/services/SynSemClass40/SynSemClass40.html?veclass=vec00161#vec00161-ces-cm00016", "vec00161")</f>
        <v>vec00161</v>
      </c>
      <c r="F11638" s="0" t="s">
        <v>5448</v>
      </c>
    </row>
    <row r="11639" customFormat="false" ht="12.8" hidden="false" customHeight="false" outlineLevel="0" collapsed="false">
      <c r="B11639" s="0" t="s">
        <v>1</v>
      </c>
      <c r="C11639" s="0" t="s">
        <v>5449</v>
      </c>
      <c r="E11639" s="0" t="s">
        <v>63</v>
      </c>
      <c r="F11639" s="0" t="s">
        <v>5450</v>
      </c>
    </row>
    <row r="11640" customFormat="false" ht="12.8" hidden="false" customHeight="false" outlineLevel="0" collapsed="false">
      <c r="B11640" s="0" t="s">
        <v>5451</v>
      </c>
      <c r="C11640" s="0" t="s">
        <v>5452</v>
      </c>
      <c r="E11640" s="0" t="s">
        <v>209</v>
      </c>
      <c r="F11640" s="0" t="s">
        <v>5453</v>
      </c>
    </row>
    <row r="11642" customFormat="false" ht="12.8" hidden="false" customHeight="false" outlineLevel="0" collapsed="false">
      <c r="A11642" s="0" t="s">
        <v>5447</v>
      </c>
      <c r="B11642" s="0" t="str">
        <f aca="false">HYPERLINK("https://lindat.mff.cuni.cz/services/teitok/pdtc10/index.php?action=vallex&amp;frame=v-w1443f1", "komentovat (v-w1443f1) - substituted with v-w1443hsa_395")</f>
        <v>komentovat (v-w1443f1) - substituted with v-w1443hsa_395</v>
      </c>
    </row>
    <row r="11643" customFormat="false" ht="12.8" hidden="false" customHeight="false" outlineLevel="0" collapsed="false">
      <c r="B11643" s="0" t="s">
        <v>1</v>
      </c>
    </row>
    <row r="11644" customFormat="false" ht="12.8" hidden="false" customHeight="false" outlineLevel="0" collapsed="false">
      <c r="B11644" s="0" t="s">
        <v>5451</v>
      </c>
    </row>
    <row r="11646" customFormat="false" ht="12.8" hidden="false" customHeight="false" outlineLevel="0" collapsed="false">
      <c r="A11646" s="0" t="s">
        <v>5454</v>
      </c>
      <c r="B11646" s="0" t="str">
        <f aca="false">HYPERLINK("https://lindat.mff.cuni.cz/services/teitok/pdtc10/index.php?action=vallex&amp;frame=v-w1446f1", "komolit (v-w1446f1)")</f>
        <v>komolit (v-w1446f1)</v>
      </c>
    </row>
    <row r="11647" customFormat="false" ht="12.8" hidden="false" customHeight="false" outlineLevel="0" collapsed="false">
      <c r="B11647" s="0" t="s">
        <v>1</v>
      </c>
    </row>
    <row r="11648" customFormat="false" ht="12.8" hidden="false" customHeight="false" outlineLevel="0" collapsed="false">
      <c r="B11648" s="0" t="s">
        <v>59</v>
      </c>
    </row>
    <row r="11650" customFormat="false" ht="12.8" hidden="false" customHeight="false" outlineLevel="0" collapsed="false">
      <c r="A11650" s="0" t="s">
        <v>5455</v>
      </c>
      <c r="B11650" s="0" t="str">
        <f aca="false">HYPERLINK("https://lindat.mff.cuni.cz/services/teitok/pdtc10/index.php?action=vallex&amp;frame=v-w1451f1", "kompenzovat (v-w1451f1)")</f>
        <v>kompenzovat (v-w1451f1)</v>
      </c>
    </row>
    <row r="11651" customFormat="false" ht="12.8" hidden="false" customHeight="false" outlineLevel="0" collapsed="false">
      <c r="B11651" s="0" t="s">
        <v>1</v>
      </c>
    </row>
    <row r="11652" customFormat="false" ht="12.8" hidden="false" customHeight="false" outlineLevel="0" collapsed="false">
      <c r="B11652" s="0" t="s">
        <v>8</v>
      </c>
    </row>
    <row r="11653" customFormat="false" ht="12.8" hidden="false" customHeight="false" outlineLevel="0" collapsed="false">
      <c r="B11653" s="0" t="s">
        <v>132</v>
      </c>
    </row>
    <row r="11654" customFormat="false" ht="12.8" hidden="false" customHeight="false" outlineLevel="0" collapsed="false">
      <c r="B11654" s="0" t="s">
        <v>723</v>
      </c>
    </row>
    <row r="11656" customFormat="false" ht="12.8" hidden="false" customHeight="false" outlineLevel="0" collapsed="false">
      <c r="A11656" s="0" t="s">
        <v>5456</v>
      </c>
      <c r="B11656" s="0" t="str">
        <f aca="false">HYPERLINK("https://lindat.mff.cuni.cz/services/teitok/pdtc10/index.php?action=vallex&amp;frame=v-w1451f2", "kompenzovat (v-w1451f2)")</f>
        <v>kompenzovat (v-w1451f2)</v>
      </c>
      <c r="E11656" s="0" t="str">
        <f aca="false">HYPERLINK("https://lindat.mff.cuni.cz/services/SynSemClass40/SynSemClass40.html?veclass=vec00356#vec00356-ces-cm00003", "vec00356")</f>
        <v>vec00356</v>
      </c>
      <c r="F11656" s="0" t="s">
        <v>5457</v>
      </c>
    </row>
    <row r="11657" customFormat="false" ht="12.8" hidden="false" customHeight="false" outlineLevel="0" collapsed="false">
      <c r="B11657" s="0" t="s">
        <v>1</v>
      </c>
      <c r="C11657" s="0" t="s">
        <v>5458</v>
      </c>
      <c r="E11657" s="0" t="s">
        <v>84</v>
      </c>
      <c r="F11657" s="0" t="s">
        <v>5459</v>
      </c>
    </row>
    <row r="11658" customFormat="false" ht="12.8" hidden="false" customHeight="false" outlineLevel="0" collapsed="false">
      <c r="B11658" s="0" t="s">
        <v>8</v>
      </c>
      <c r="C11658" s="0" t="s">
        <v>5460</v>
      </c>
      <c r="E11658" s="0" t="s">
        <v>4852</v>
      </c>
      <c r="F11658" s="0" t="s">
        <v>5461</v>
      </c>
    </row>
    <row r="11660" customFormat="false" ht="12.8" hidden="false" customHeight="false" outlineLevel="0" collapsed="false">
      <c r="A11660" s="0" t="s">
        <v>5462</v>
      </c>
      <c r="B11660" s="0" t="str">
        <f aca="false">HYPERLINK("https://lindat.mff.cuni.cz/services/teitok/pdtc10/index.php?action=vallex&amp;frame=v-w1457f1", "komplikovat (v-w1457f1)")</f>
        <v>komplikovat (v-w1457f1)</v>
      </c>
      <c r="E11660" s="0" t="str">
        <f aca="false">HYPERLINK("https://lindat.mff.cuni.cz/services/SynSemClass40/SynSemClass40.html?veclass=vec00785#vec00785-ces-cm00111", "vec00785")</f>
        <v>vec00785</v>
      </c>
      <c r="F11660" s="0" t="s">
        <v>5463</v>
      </c>
      <c r="H11660" s="0" t="str">
        <f aca="false">HYPERLINK("https://lindat.mff.cuni.cz/services/SynSemClass40/SynSemClass40.html?veclass=vec00789#vec00789-ces-cm00026", "vec00789")</f>
        <v>vec00789</v>
      </c>
      <c r="I11660" s="0" t="s">
        <v>5464</v>
      </c>
    </row>
    <row r="11661" customFormat="false" ht="12.8" hidden="false" customHeight="false" outlineLevel="0" collapsed="false">
      <c r="B11661" s="0" t="s">
        <v>1</v>
      </c>
      <c r="C11661" s="0" t="s">
        <v>5465</v>
      </c>
      <c r="E11661" s="0" t="s">
        <v>76</v>
      </c>
      <c r="F11661" s="0" t="s">
        <v>5466</v>
      </c>
      <c r="H11661" s="0" t="s">
        <v>1890</v>
      </c>
      <c r="I11661" s="0" t="s">
        <v>5467</v>
      </c>
    </row>
    <row r="11662" customFormat="false" ht="12.8" hidden="false" customHeight="false" outlineLevel="0" collapsed="false">
      <c r="B11662" s="0" t="s">
        <v>8</v>
      </c>
      <c r="C11662" s="0" t="s">
        <v>5468</v>
      </c>
      <c r="E11662" s="0" t="s">
        <v>142</v>
      </c>
      <c r="F11662" s="0" t="s">
        <v>5469</v>
      </c>
      <c r="H11662" s="0" t="s">
        <v>1893</v>
      </c>
      <c r="I11662" s="0" t="s">
        <v>5470</v>
      </c>
    </row>
    <row r="11664" customFormat="false" ht="12.8" hidden="false" customHeight="false" outlineLevel="0" collapsed="false">
      <c r="A11664" s="0" t="s">
        <v>5471</v>
      </c>
      <c r="B11664" s="0" t="str">
        <f aca="false">HYPERLINK("https://lindat.mff.cuni.cz/services/teitok/pdtc10/index.php?action=vallex&amp;frame=v-w1458f1", "komponovat (v-w1458f1)")</f>
        <v>komponovat (v-w1458f1)</v>
      </c>
    </row>
    <row r="11665" customFormat="false" ht="12.8" hidden="false" customHeight="false" outlineLevel="0" collapsed="false">
      <c r="B11665" s="0" t="s">
        <v>1</v>
      </c>
    </row>
    <row r="11666" customFormat="false" ht="12.8" hidden="false" customHeight="false" outlineLevel="0" collapsed="false">
      <c r="B11666" s="0" t="s">
        <v>8</v>
      </c>
    </row>
    <row r="11668" customFormat="false" ht="12.8" hidden="false" customHeight="false" outlineLevel="0" collapsed="false">
      <c r="A11668" s="0" t="s">
        <v>5472</v>
      </c>
      <c r="B11668" s="0" t="str">
        <f aca="false">HYPERLINK("https://lindat.mff.cuni.cz/services/teitok/pdtc10/index.php?action=vallex&amp;frame=v-w10175f2", "komputerizovat (v-w10175f2)")</f>
        <v>komputerizovat (v-w10175f2)</v>
      </c>
    </row>
    <row r="11669" customFormat="false" ht="12.8" hidden="false" customHeight="false" outlineLevel="0" collapsed="false">
      <c r="B11669" s="0" t="s">
        <v>1</v>
      </c>
    </row>
    <row r="11670" customFormat="false" ht="12.8" hidden="false" customHeight="false" outlineLevel="0" collapsed="false">
      <c r="B11670" s="0" t="s">
        <v>8</v>
      </c>
    </row>
    <row r="11672" customFormat="false" ht="12.8" hidden="false" customHeight="false" outlineLevel="0" collapsed="false">
      <c r="A11672" s="0" t="s">
        <v>5473</v>
      </c>
      <c r="B11672" s="0" t="str">
        <f aca="false">HYPERLINK("https://lindat.mff.cuni.cz/services/teitok/pdtc10/index.php?action=vallex&amp;frame=v-w1464f1", "komunikovat (v-w1464f1)")</f>
        <v>komunikovat (v-w1464f1)</v>
      </c>
      <c r="E11672" s="0" t="str">
        <f aca="false">HYPERLINK("https://lindat.mff.cuni.cz/services/SynSemClass40/SynSemClass40.html?veclass=vec00031#vec00031-ces-cm00017", "vec00031")</f>
        <v>vec00031</v>
      </c>
      <c r="F11672" s="0" t="s">
        <v>277</v>
      </c>
    </row>
    <row r="11673" customFormat="false" ht="12.8" hidden="false" customHeight="false" outlineLevel="0" collapsed="false">
      <c r="B11673" s="0" t="s">
        <v>1</v>
      </c>
      <c r="C11673" s="0" t="s">
        <v>278</v>
      </c>
      <c r="E11673" s="0" t="s">
        <v>147</v>
      </c>
      <c r="F11673" s="0" t="s">
        <v>279</v>
      </c>
    </row>
    <row r="11674" customFormat="false" ht="12.8" hidden="false" customHeight="false" outlineLevel="0" collapsed="false">
      <c r="B11674" s="0" t="s">
        <v>276</v>
      </c>
      <c r="C11674" s="0" t="s">
        <v>282</v>
      </c>
      <c r="E11674" s="0" t="s">
        <v>221</v>
      </c>
      <c r="F11674" s="0" t="s">
        <v>283</v>
      </c>
    </row>
    <row r="11675" customFormat="false" ht="12.8" hidden="false" customHeight="false" outlineLevel="0" collapsed="false">
      <c r="B11675" s="0" t="s">
        <v>496</v>
      </c>
      <c r="C11675" s="0" t="s">
        <v>280</v>
      </c>
      <c r="E11675" s="0" t="s">
        <v>218</v>
      </c>
      <c r="F11675" s="0" t="s">
        <v>281</v>
      </c>
    </row>
    <row r="11677" customFormat="false" ht="12.8" hidden="false" customHeight="false" outlineLevel="0" collapsed="false">
      <c r="A11677" s="0" t="s">
        <v>5474</v>
      </c>
      <c r="B11677" s="0" t="str">
        <f aca="false">HYPERLINK("https://lindat.mff.cuni.cz/services/teitok/pdtc10/index.php?action=vallex&amp;frame=v-w1467f2", "konat (v-w1467f2)")</f>
        <v>konat (v-w1467f2)</v>
      </c>
      <c r="E11677" s="0" t="str">
        <f aca="false">HYPERLINK("https://lindat.mff.cuni.cz/services/SynSemClass40/SynSemClass40.html?veclass=vec01414#vec01414-ces-cm00002", "vec01414")</f>
        <v>vec01414</v>
      </c>
      <c r="F11677" s="0" t="s">
        <v>5475</v>
      </c>
    </row>
    <row r="11678" customFormat="false" ht="12.8" hidden="false" customHeight="false" outlineLevel="0" collapsed="false">
      <c r="B11678" s="0" t="s">
        <v>1</v>
      </c>
      <c r="C11678" s="0" t="s">
        <v>5476</v>
      </c>
      <c r="E11678" s="0" t="s">
        <v>31</v>
      </c>
      <c r="F11678" s="0" t="s">
        <v>5477</v>
      </c>
    </row>
    <row r="11679" customFormat="false" ht="12.8" hidden="false" customHeight="false" outlineLevel="0" collapsed="false">
      <c r="B11679" s="0" t="s">
        <v>3897</v>
      </c>
      <c r="C11679" s="0" t="s">
        <v>5478</v>
      </c>
      <c r="E11679" s="0" t="s">
        <v>14</v>
      </c>
      <c r="F11679" s="0" t="s">
        <v>5479</v>
      </c>
    </row>
    <row r="11681" customFormat="false" ht="12.8" hidden="false" customHeight="false" outlineLevel="0" collapsed="false">
      <c r="A11681" s="0" t="s">
        <v>5480</v>
      </c>
      <c r="B11681" s="0" t="str">
        <f aca="false">HYPERLINK("https://lindat.mff.cuni.cz/services/teitok/pdtc10/index.php?action=vallex&amp;frame=v-w1467hsa_802", "konat (v-w1467hsa_802)")</f>
        <v>konat (v-w1467hsa_802)</v>
      </c>
      <c r="E11681" s="0" t="str">
        <f aca="false">HYPERLINK("https://lindat.mff.cuni.cz/services/SynSemClass40/SynSemClass40.html?veclass=vec00089#vec00089-ces-cm00037", "vec00089")</f>
        <v>vec00089</v>
      </c>
      <c r="F11681" s="0" t="s">
        <v>3959</v>
      </c>
      <c r="H11681" s="0" t="str">
        <f aca="false">HYPERLINK("https://lindat.mff.cuni.cz/services/SynSemClass40/SynSemClass40.html?veclass=vec01188#vec01188-ces-cm00061", "vec01188")</f>
        <v>vec01188</v>
      </c>
      <c r="I11681" s="0" t="s">
        <v>5481</v>
      </c>
    </row>
    <row r="11682" customFormat="false" ht="12.8" hidden="false" customHeight="false" outlineLevel="0" collapsed="false">
      <c r="B11682" s="0" t="s">
        <v>1</v>
      </c>
      <c r="C11682" s="0" t="s">
        <v>5482</v>
      </c>
      <c r="E11682" s="0" t="s">
        <v>31</v>
      </c>
      <c r="F11682" s="0" t="s">
        <v>3960</v>
      </c>
      <c r="H11682" s="0" t="s">
        <v>31</v>
      </c>
      <c r="I11682" s="0" t="s">
        <v>5483</v>
      </c>
    </row>
    <row r="11683" customFormat="false" ht="12.8" hidden="false" customHeight="false" outlineLevel="0" collapsed="false">
      <c r="B11683" s="0" t="s">
        <v>5484</v>
      </c>
      <c r="C11683" s="0" t="s">
        <v>5485</v>
      </c>
      <c r="E11683" s="0" t="s">
        <v>5486</v>
      </c>
      <c r="F11683" s="0" t="s">
        <v>5487</v>
      </c>
      <c r="H11683" s="0" t="s">
        <v>3478</v>
      </c>
      <c r="I11683" s="0" t="s">
        <v>5488</v>
      </c>
    </row>
    <row r="11685" customFormat="false" ht="12.8" hidden="false" customHeight="false" outlineLevel="0" collapsed="false">
      <c r="A11685" s="0" t="s">
        <v>5480</v>
      </c>
      <c r="B11685" s="0" t="str">
        <f aca="false">HYPERLINK("https://lindat.mff.cuni.cz/services/teitok/pdtc10/index.php?action=vallex&amp;frame=v-w1467f1", "konat (v-w1467f1) - substituted with v-w1467hsa_802")</f>
        <v>konat (v-w1467f1) - substituted with v-w1467hsa_802</v>
      </c>
    </row>
    <row r="11686" customFormat="false" ht="12.8" hidden="false" customHeight="false" outlineLevel="0" collapsed="false">
      <c r="B11686" s="0" t="s">
        <v>1</v>
      </c>
    </row>
    <row r="11687" customFormat="false" ht="12.8" hidden="false" customHeight="false" outlineLevel="0" collapsed="false">
      <c r="B11687" s="0" t="s">
        <v>5484</v>
      </c>
    </row>
    <row r="11689" customFormat="false" ht="12.8" hidden="false" customHeight="false" outlineLevel="0" collapsed="false">
      <c r="A11689" s="0" t="s">
        <v>5480</v>
      </c>
      <c r="B11689" s="0" t="str">
        <f aca="false">HYPERLINK("https://lindat.mff.cuni.cz/services/teitok/pdtc10/index.php?action=vallex&amp;frame=v-w1467f3_ZU", "konat (v-w1467f3_ZU) - substituted with v-w1467hsa_802")</f>
        <v>konat (v-w1467f3_ZU) - substituted with v-w1467hsa_802</v>
      </c>
    </row>
    <row r="11690" customFormat="false" ht="12.8" hidden="false" customHeight="false" outlineLevel="0" collapsed="false">
      <c r="B11690" s="0" t="s">
        <v>1</v>
      </c>
    </row>
    <row r="11691" customFormat="false" ht="12.8" hidden="false" customHeight="false" outlineLevel="0" collapsed="false">
      <c r="B11691" s="0" t="s">
        <v>5484</v>
      </c>
    </row>
    <row r="11693" customFormat="false" ht="12.8" hidden="false" customHeight="false" outlineLevel="0" collapsed="false">
      <c r="A11693" s="0" t="s">
        <v>5489</v>
      </c>
      <c r="B11693" s="0" t="str">
        <f aca="false">HYPERLINK("https://lindat.mff.cuni.cz/services/teitok/pdtc10/index.php?action=vallex&amp;frame=v-w1468f1", "konat se (v-w1468f1)")</f>
        <v>konat se (v-w1468f1)</v>
      </c>
      <c r="E11693" s="0" t="str">
        <f aca="false">HYPERLINK("https://lindat.mff.cuni.cz/services/SynSemClass40/SynSemClass40.html?veclass=vec00097#vec00097-ces-cm00011", "vec00097")</f>
        <v>vec00097</v>
      </c>
      <c r="F11693" s="0" t="s">
        <v>373</v>
      </c>
    </row>
    <row r="11694" customFormat="false" ht="12.8" hidden="false" customHeight="false" outlineLevel="0" collapsed="false">
      <c r="B11694" s="0" t="s">
        <v>1</v>
      </c>
      <c r="C11694" s="0" t="s">
        <v>374</v>
      </c>
      <c r="E11694" s="0" t="s">
        <v>375</v>
      </c>
      <c r="F11694" s="0" t="s">
        <v>376</v>
      </c>
    </row>
    <row r="11696" customFormat="false" ht="12.8" hidden="false" customHeight="false" outlineLevel="0" collapsed="false">
      <c r="A11696" s="0" t="s">
        <v>5490</v>
      </c>
      <c r="B11696" s="0" t="str">
        <f aca="false">HYPERLINK("https://lindat.mff.cuni.cz/services/teitok/pdtc10/index.php?action=vallex&amp;frame=v-w1470f1", "koncentrovat (v-w1470f1)")</f>
        <v>koncentrovat (v-w1470f1)</v>
      </c>
    </row>
    <row r="11697" customFormat="false" ht="12.8" hidden="false" customHeight="false" outlineLevel="0" collapsed="false">
      <c r="B11697" s="0" t="s">
        <v>1</v>
      </c>
    </row>
    <row r="11698" customFormat="false" ht="12.8" hidden="false" customHeight="false" outlineLevel="0" collapsed="false">
      <c r="B11698" s="0" t="s">
        <v>8</v>
      </c>
    </row>
    <row r="11699" customFormat="false" ht="12.8" hidden="false" customHeight="false" outlineLevel="0" collapsed="false">
      <c r="B11699" s="0" t="s">
        <v>5</v>
      </c>
    </row>
    <row r="11701" customFormat="false" ht="12.8" hidden="false" customHeight="false" outlineLevel="0" collapsed="false">
      <c r="A11701" s="0" t="s">
        <v>5491</v>
      </c>
      <c r="B11701" s="0" t="str">
        <f aca="false">HYPERLINK("https://lindat.mff.cuni.cz/services/teitok/pdtc10/index.php?action=vallex&amp;frame=v-w1470f2", "koncentrovat (v-w1470f2)")</f>
        <v>koncentrovat (v-w1470f2)</v>
      </c>
    </row>
    <row r="11702" customFormat="false" ht="12.8" hidden="false" customHeight="false" outlineLevel="0" collapsed="false">
      <c r="B11702" s="0" t="s">
        <v>1</v>
      </c>
    </row>
    <row r="11703" customFormat="false" ht="12.8" hidden="false" customHeight="false" outlineLevel="0" collapsed="false">
      <c r="B11703" s="0" t="s">
        <v>8</v>
      </c>
    </row>
    <row r="11704" customFormat="false" ht="12.8" hidden="false" customHeight="false" outlineLevel="0" collapsed="false">
      <c r="B11704" s="0" t="s">
        <v>164</v>
      </c>
    </row>
    <row r="11706" customFormat="false" ht="12.8" hidden="false" customHeight="false" outlineLevel="0" collapsed="false">
      <c r="A11706" s="0" t="s">
        <v>5492</v>
      </c>
      <c r="B11706" s="0" t="str">
        <f aca="false">HYPERLINK("https://lindat.mff.cuni.cz/services/teitok/pdtc10/index.php?action=vallex&amp;frame=v-w1471f2", "koncentrovat se (v-w1471f2)")</f>
        <v>koncentrovat se (v-w1471f2)</v>
      </c>
      <c r="E11706" s="0" t="str">
        <f aca="false">HYPERLINK("https://lindat.mff.cuni.cz/services/SynSemClass40/SynSemClass40.html?veclass=vec00859#vec00859-ces-cm00033", "vec00859")</f>
        <v>vec00859</v>
      </c>
      <c r="F11706" s="0" t="s">
        <v>1728</v>
      </c>
    </row>
    <row r="11707" customFormat="false" ht="12.8" hidden="false" customHeight="false" outlineLevel="0" collapsed="false">
      <c r="B11707" s="0" t="s">
        <v>1</v>
      </c>
      <c r="C11707" s="0" t="s">
        <v>5493</v>
      </c>
      <c r="E11707" s="0" t="s">
        <v>5494</v>
      </c>
      <c r="F11707" s="0" t="s">
        <v>5495</v>
      </c>
    </row>
    <row r="11708" customFormat="false" ht="12.8" hidden="false" customHeight="false" outlineLevel="0" collapsed="false">
      <c r="B11708" s="0" t="s">
        <v>45</v>
      </c>
      <c r="C11708" s="0" t="s">
        <v>5496</v>
      </c>
      <c r="E11708" s="0" t="s">
        <v>523</v>
      </c>
      <c r="F11708" s="0" t="s">
        <v>5497</v>
      </c>
    </row>
    <row r="11710" customFormat="false" ht="12.8" hidden="false" customHeight="false" outlineLevel="0" collapsed="false">
      <c r="A11710" s="0" t="s">
        <v>5498</v>
      </c>
      <c r="B11710" s="0" t="str">
        <f aca="false">HYPERLINK("https://lindat.mff.cuni.cz/services/teitok/pdtc10/index.php?action=vallex&amp;frame=v-w1471f1", "koncentrovat se (v-w1471f1)")</f>
        <v>koncentrovat se (v-w1471f1)</v>
      </c>
      <c r="E11710" s="0" t="str">
        <f aca="false">HYPERLINK("https://lindat.mff.cuni.cz/services/SynSemClass40/SynSemClass40.html?veclass=vec00710#vec00710-ces-cm00015", "vec00710")</f>
        <v>vec00710</v>
      </c>
      <c r="F11710" s="0" t="s">
        <v>5499</v>
      </c>
    </row>
    <row r="11711" customFormat="false" ht="12.8" hidden="false" customHeight="false" outlineLevel="0" collapsed="false">
      <c r="B11711" s="0" t="s">
        <v>1</v>
      </c>
      <c r="C11711" s="0" t="s">
        <v>5500</v>
      </c>
      <c r="E11711" s="0" t="s">
        <v>5501</v>
      </c>
      <c r="F11711" s="0" t="s">
        <v>5502</v>
      </c>
    </row>
    <row r="11712" customFormat="false" ht="12.8" hidden="false" customHeight="false" outlineLevel="0" collapsed="false">
      <c r="B11712" s="0" t="s">
        <v>5</v>
      </c>
      <c r="E11712" s="0" t="s">
        <v>3254</v>
      </c>
      <c r="F11712" s="0" t="s">
        <v>3255</v>
      </c>
    </row>
    <row r="11714" customFormat="false" ht="12.8" hidden="false" customHeight="false" outlineLevel="0" collapsed="false">
      <c r="A11714" s="0" t="s">
        <v>5503</v>
      </c>
      <c r="B11714" s="0" t="str">
        <f aca="false">HYPERLINK("https://lindat.mff.cuni.cz/services/teitok/pdtc10/index.php?action=vallex&amp;frame=v-w1471f3", "koncentrovat se (v-w1471f3)")</f>
        <v>koncentrovat se (v-w1471f3)</v>
      </c>
    </row>
    <row r="11715" customFormat="false" ht="12.8" hidden="false" customHeight="false" outlineLevel="0" collapsed="false">
      <c r="B11715" s="0" t="s">
        <v>1</v>
      </c>
    </row>
    <row r="11716" customFormat="false" ht="12.8" hidden="false" customHeight="false" outlineLevel="0" collapsed="false">
      <c r="B11716" s="0" t="s">
        <v>164</v>
      </c>
    </row>
    <row r="11718" customFormat="false" ht="12.8" hidden="false" customHeight="false" outlineLevel="0" collapsed="false">
      <c r="A11718" s="0" t="s">
        <v>5504</v>
      </c>
      <c r="B11718" s="0" t="str">
        <f aca="false">HYPERLINK("https://lindat.mff.cuni.cz/services/teitok/pdtc10/index.php?action=vallex&amp;frame=v-w1476f1", "koncertovat (v-w1476f1)")</f>
        <v>koncertovat (v-w1476f1)</v>
      </c>
    </row>
    <row r="11719" customFormat="false" ht="12.8" hidden="false" customHeight="false" outlineLevel="0" collapsed="false">
      <c r="B11719" s="0" t="s">
        <v>1</v>
      </c>
    </row>
    <row r="11721" customFormat="false" ht="12.8" hidden="false" customHeight="false" outlineLevel="0" collapsed="false">
      <c r="A11721" s="0" t="s">
        <v>5505</v>
      </c>
      <c r="B11721" s="0" t="str">
        <f aca="false">HYPERLINK("https://lindat.mff.cuni.cz/services/teitok/pdtc10/index.php?action=vallex&amp;frame=v-w1478f1", "koncipovat (v-w1478f1)")</f>
        <v>koncipovat (v-w1478f1)</v>
      </c>
      <c r="E11721" s="0" t="str">
        <f aca="false">HYPERLINK("https://lindat.mff.cuni.cz/services/SynSemClass40/SynSemClass40.html?veclass=vec00040#vec00040-ces-cm00003", "vec00040")</f>
        <v>vec00040</v>
      </c>
      <c r="F11721" s="0" t="s">
        <v>5506</v>
      </c>
      <c r="H11721" s="0" t="str">
        <f aca="false">HYPERLINK("https://lindat.mff.cuni.cz/services/SynSemClass40/SynSemClass40.html?veclass=vec01496#vec01496-ces-cm00001", "vec01496")</f>
        <v>vec01496</v>
      </c>
      <c r="I11721" s="0" t="s">
        <v>5507</v>
      </c>
    </row>
    <row r="11722" customFormat="false" ht="12.8" hidden="false" customHeight="false" outlineLevel="0" collapsed="false">
      <c r="B11722" s="0" t="s">
        <v>1</v>
      </c>
      <c r="C11722" s="0" t="s">
        <v>5508</v>
      </c>
      <c r="E11722" s="0" t="s">
        <v>2619</v>
      </c>
      <c r="F11722" s="0" t="s">
        <v>5509</v>
      </c>
      <c r="H11722" s="0" t="s">
        <v>768</v>
      </c>
      <c r="I11722" s="0" t="s">
        <v>5510</v>
      </c>
    </row>
    <row r="11723" customFormat="false" ht="12.8" hidden="false" customHeight="false" outlineLevel="0" collapsed="false">
      <c r="B11723" s="0" t="s">
        <v>8</v>
      </c>
      <c r="C11723" s="0" t="s">
        <v>5511</v>
      </c>
      <c r="E11723" s="0" t="s">
        <v>771</v>
      </c>
      <c r="F11723" s="0" t="s">
        <v>5512</v>
      </c>
      <c r="H11723" s="0" t="s">
        <v>771</v>
      </c>
      <c r="I11723" s="0" t="s">
        <v>5513</v>
      </c>
    </row>
    <row r="11725" customFormat="false" ht="12.8" hidden="false" customHeight="false" outlineLevel="0" collapsed="false">
      <c r="A11725" s="0" t="s">
        <v>5514</v>
      </c>
      <c r="B11725" s="0" t="str">
        <f aca="false">HYPERLINK("https://lindat.mff.cuni.cz/services/teitok/pdtc10/index.php?action=vallex&amp;frame=v-w1483f1", "kondolovat (v-w1483f1)")</f>
        <v>kondolovat (v-w1483f1)</v>
      </c>
    </row>
    <row r="11726" customFormat="false" ht="12.8" hidden="false" customHeight="false" outlineLevel="0" collapsed="false">
      <c r="B11726" s="0" t="s">
        <v>1</v>
      </c>
    </row>
    <row r="11727" customFormat="false" ht="12.8" hidden="false" customHeight="false" outlineLevel="0" collapsed="false">
      <c r="B11727" s="0" t="s">
        <v>311</v>
      </c>
    </row>
    <row r="11728" customFormat="false" ht="12.8" hidden="false" customHeight="false" outlineLevel="0" collapsed="false">
      <c r="B11728" s="0" t="s">
        <v>52</v>
      </c>
    </row>
    <row r="11730" customFormat="false" ht="12.8" hidden="false" customHeight="false" outlineLevel="0" collapsed="false">
      <c r="A11730" s="0" t="s">
        <v>5515</v>
      </c>
      <c r="B11730" s="0" t="str">
        <f aca="false">HYPERLINK("https://lindat.mff.cuni.cz/services/teitok/pdtc10/index.php?action=vallex&amp;frame=v-w1485f1", "konejšit (v-w1485f1)")</f>
        <v>konejšit (v-w1485f1)</v>
      </c>
    </row>
    <row r="11731" customFormat="false" ht="12.8" hidden="false" customHeight="false" outlineLevel="0" collapsed="false">
      <c r="B11731" s="0" t="s">
        <v>1</v>
      </c>
    </row>
    <row r="11732" customFormat="false" ht="12.8" hidden="false" customHeight="false" outlineLevel="0" collapsed="false">
      <c r="B11732" s="0" t="s">
        <v>8</v>
      </c>
    </row>
    <row r="11734" customFormat="false" ht="12.8" hidden="false" customHeight="false" outlineLevel="0" collapsed="false">
      <c r="A11734" s="0" t="s">
        <v>5516</v>
      </c>
      <c r="B11734" s="0" t="str">
        <f aca="false">HYPERLINK("https://lindat.mff.cuni.cz/services/teitok/pdtc10/index.php?action=vallex&amp;frame=v-w1489f1", "konferovat (v-w1489f1)")</f>
        <v>konferovat (v-w1489f1)</v>
      </c>
    </row>
    <row r="11735" customFormat="false" ht="12.8" hidden="false" customHeight="false" outlineLevel="0" collapsed="false">
      <c r="B11735" s="0" t="s">
        <v>1</v>
      </c>
    </row>
    <row r="11736" customFormat="false" ht="12.8" hidden="false" customHeight="false" outlineLevel="0" collapsed="false">
      <c r="B11736" s="0" t="s">
        <v>8</v>
      </c>
    </row>
    <row r="11738" customFormat="false" ht="12.8" hidden="false" customHeight="false" outlineLevel="0" collapsed="false">
      <c r="A11738" s="0" t="s">
        <v>5517</v>
      </c>
      <c r="B11738" s="0" t="str">
        <f aca="false">HYPERLINK("https://lindat.mff.cuni.cz/services/teitok/pdtc10/index.php?action=vallex&amp;frame=v-w1491f1", "konfiskovat (v-w1491f1)")</f>
        <v>konfiskovat (v-w1491f1)</v>
      </c>
      <c r="E11738" s="0" t="str">
        <f aca="false">HYPERLINK("https://lindat.mff.cuni.cz/services/SynSemClass40/SynSemClass40.html?veclass=vec00569#vec00569-ces-cm00003", "vec00569")</f>
        <v>vec00569</v>
      </c>
      <c r="F11738" s="0" t="s">
        <v>5518</v>
      </c>
    </row>
    <row r="11739" customFormat="false" ht="12.8" hidden="false" customHeight="false" outlineLevel="0" collapsed="false">
      <c r="B11739" s="0" t="s">
        <v>1</v>
      </c>
      <c r="C11739" s="0" t="s">
        <v>4725</v>
      </c>
      <c r="E11739" s="0" t="s">
        <v>206</v>
      </c>
      <c r="F11739" s="0" t="s">
        <v>5519</v>
      </c>
    </row>
    <row r="11740" customFormat="false" ht="12.8" hidden="false" customHeight="false" outlineLevel="0" collapsed="false">
      <c r="B11740" s="0" t="s">
        <v>8</v>
      </c>
      <c r="C11740" s="0" t="s">
        <v>5520</v>
      </c>
      <c r="E11740" s="0" t="s">
        <v>5521</v>
      </c>
      <c r="F11740" s="0" t="s">
        <v>5522</v>
      </c>
    </row>
    <row r="11741" customFormat="false" ht="12.8" hidden="false" customHeight="false" outlineLevel="0" collapsed="false">
      <c r="B11741" s="0" t="s">
        <v>5523</v>
      </c>
      <c r="C11741" s="0" t="s">
        <v>5524</v>
      </c>
      <c r="E11741" s="0" t="s">
        <v>598</v>
      </c>
      <c r="F11741" s="0" t="s">
        <v>5525</v>
      </c>
    </row>
    <row r="11743" customFormat="false" ht="12.8" hidden="false" customHeight="false" outlineLevel="0" collapsed="false">
      <c r="A11743" s="0" t="s">
        <v>5526</v>
      </c>
      <c r="B11743" s="0" t="str">
        <f aca="false">HYPERLINK("https://lindat.mff.cuni.cz/services/teitok/pdtc10/index.php?action=vallex&amp;frame=v-w1495f2_ZU", "konfrontovat (v-w1495f2_ZU)")</f>
        <v>konfrontovat (v-w1495f2_ZU)</v>
      </c>
    </row>
    <row r="11744" customFormat="false" ht="12.8" hidden="false" customHeight="false" outlineLevel="0" collapsed="false">
      <c r="B11744" s="0" t="s">
        <v>1</v>
      </c>
    </row>
    <row r="11745" customFormat="false" ht="12.8" hidden="false" customHeight="false" outlineLevel="0" collapsed="false">
      <c r="B11745" s="0" t="s">
        <v>8</v>
      </c>
    </row>
    <row r="11746" customFormat="false" ht="12.8" hidden="false" customHeight="false" outlineLevel="0" collapsed="false">
      <c r="B11746" s="0" t="s">
        <v>5527</v>
      </c>
    </row>
    <row r="11748" customFormat="false" ht="12.8" hidden="false" customHeight="false" outlineLevel="0" collapsed="false">
      <c r="A11748" s="0" t="s">
        <v>5526</v>
      </c>
      <c r="B11748" s="0" t="str">
        <f aca="false">HYPERLINK("https://lindat.mff.cuni.cz/services/teitok/pdtc10/index.php?action=vallex&amp;frame=v-w1495f1", "konfrontovat (v-w1495f1) - substituted with v-w1495f2_ZU")</f>
        <v>konfrontovat (v-w1495f1) - substituted with v-w1495f2_ZU</v>
      </c>
      <c r="E11748" s="0" t="str">
        <f aca="false">HYPERLINK("https://lindat.mff.cuni.cz/services/SynSemClass40/SynSemClass40.html?veclass=vec01036#vec01036-ces-cm00001", "vec01036")</f>
        <v>vec01036</v>
      </c>
      <c r="F11748" s="0" t="s">
        <v>5528</v>
      </c>
    </row>
    <row r="11749" customFormat="false" ht="12.8" hidden="false" customHeight="false" outlineLevel="0" collapsed="false">
      <c r="B11749" s="0" t="s">
        <v>1</v>
      </c>
      <c r="C11749" s="0" t="s">
        <v>512</v>
      </c>
      <c r="E11749" s="0" t="s">
        <v>5529</v>
      </c>
      <c r="F11749" s="0" t="s">
        <v>5530</v>
      </c>
    </row>
    <row r="11750" customFormat="false" ht="12.8" hidden="false" customHeight="false" outlineLevel="0" collapsed="false">
      <c r="B11750" s="0" t="s">
        <v>8</v>
      </c>
      <c r="C11750" s="0" t="s">
        <v>744</v>
      </c>
      <c r="E11750" s="0" t="s">
        <v>5531</v>
      </c>
      <c r="F11750" s="0" t="s">
        <v>5532</v>
      </c>
    </row>
    <row r="11751" customFormat="false" ht="12.8" hidden="false" customHeight="false" outlineLevel="0" collapsed="false">
      <c r="B11751" s="0" t="s">
        <v>5527</v>
      </c>
      <c r="C11751" s="0" t="s">
        <v>5533</v>
      </c>
      <c r="E11751" s="0" t="s">
        <v>5534</v>
      </c>
      <c r="F11751" s="0" t="s">
        <v>5535</v>
      </c>
    </row>
    <row r="11753" customFormat="false" ht="12.8" hidden="false" customHeight="false" outlineLevel="0" collapsed="false">
      <c r="A11753" s="0" t="s">
        <v>5536</v>
      </c>
      <c r="B11753" s="0" t="str">
        <f aca="false">HYPERLINK("https://lindat.mff.cuni.cz/services/teitok/pdtc10/index.php?action=vallex&amp;frame=v-w1498f1", "konkretizovat (v-w1498f1)")</f>
        <v>konkretizovat (v-w1498f1)</v>
      </c>
      <c r="E11753" s="0" t="str">
        <f aca="false">HYPERLINK("https://lindat.mff.cuni.cz/services/SynSemClass40/SynSemClass40.html?veclass=vec00108#vec00108-ces-cm00023", "vec00108")</f>
        <v>vec00108</v>
      </c>
      <c r="F11753" s="0" t="s">
        <v>5537</v>
      </c>
    </row>
    <row r="11754" customFormat="false" ht="12.8" hidden="false" customHeight="false" outlineLevel="0" collapsed="false">
      <c r="B11754" s="0" t="s">
        <v>1</v>
      </c>
      <c r="C11754" s="0" t="s">
        <v>5538</v>
      </c>
      <c r="E11754" s="0" t="s">
        <v>147</v>
      </c>
      <c r="F11754" s="0" t="s">
        <v>5539</v>
      </c>
    </row>
    <row r="11755" customFormat="false" ht="12.8" hidden="false" customHeight="false" outlineLevel="0" collapsed="false">
      <c r="B11755" s="0" t="s">
        <v>305</v>
      </c>
      <c r="C11755" s="0" t="s">
        <v>198</v>
      </c>
      <c r="E11755" s="0" t="s">
        <v>209</v>
      </c>
      <c r="F11755" s="0" t="s">
        <v>5540</v>
      </c>
    </row>
    <row r="11757" customFormat="false" ht="12.8" hidden="false" customHeight="false" outlineLevel="0" collapsed="false">
      <c r="A11757" s="0" t="s">
        <v>5541</v>
      </c>
      <c r="B11757" s="0" t="str">
        <f aca="false">HYPERLINK("https://lindat.mff.cuni.cz/services/teitok/pdtc10/index.php?action=vallex&amp;frame=v-w1501f1", "konkurovat (v-w1501f1)")</f>
        <v>konkurovat (v-w1501f1)</v>
      </c>
      <c r="E11757" s="0" t="str">
        <f aca="false">HYPERLINK("https://lindat.mff.cuni.cz/services/SynSemClass40/SynSemClass40.html?veclass=vec00121#vec00121-ces-cm00003", "vec00121")</f>
        <v>vec00121</v>
      </c>
      <c r="F11757" s="0" t="s">
        <v>414</v>
      </c>
    </row>
    <row r="11758" customFormat="false" ht="12.8" hidden="false" customHeight="false" outlineLevel="0" collapsed="false">
      <c r="B11758" s="0" t="s">
        <v>1</v>
      </c>
      <c r="C11758" s="0" t="s">
        <v>415</v>
      </c>
      <c r="E11758" s="0" t="s">
        <v>416</v>
      </c>
      <c r="F11758" s="0" t="s">
        <v>417</v>
      </c>
    </row>
    <row r="11759" customFormat="false" ht="12.8" hidden="false" customHeight="false" outlineLevel="0" collapsed="false">
      <c r="B11759" s="0" t="s">
        <v>186</v>
      </c>
      <c r="C11759" s="0" t="s">
        <v>5542</v>
      </c>
      <c r="E11759" s="0" t="s">
        <v>801</v>
      </c>
      <c r="F11759" s="0" t="s">
        <v>5543</v>
      </c>
    </row>
    <row r="11761" customFormat="false" ht="12.8" hidden="false" customHeight="false" outlineLevel="0" collapsed="false">
      <c r="A11761" s="0" t="s">
        <v>5544</v>
      </c>
      <c r="B11761" s="0" t="str">
        <f aca="false">HYPERLINK("https://lindat.mff.cuni.cz/services/teitok/pdtc10/index.php?action=vallex&amp;frame=v-w1504f1", "konsolidovat (v-w1504f1)")</f>
        <v>konsolidovat (v-w1504f1)</v>
      </c>
    </row>
    <row r="11762" customFormat="false" ht="12.8" hidden="false" customHeight="false" outlineLevel="0" collapsed="false">
      <c r="B11762" s="0" t="s">
        <v>1</v>
      </c>
    </row>
    <row r="11763" customFormat="false" ht="12.8" hidden="false" customHeight="false" outlineLevel="0" collapsed="false">
      <c r="B11763" s="0" t="s">
        <v>8</v>
      </c>
    </row>
    <row r="11765" customFormat="false" ht="12.8" hidden="false" customHeight="false" outlineLevel="0" collapsed="false">
      <c r="A11765" s="0" t="s">
        <v>5545</v>
      </c>
      <c r="B11765" s="0" t="str">
        <f aca="false">HYPERLINK("https://lindat.mff.cuni.cz/services/teitok/pdtc10/index.php?action=vallex&amp;frame=v-w1505f1", "konspirovat (v-w1505f1)")</f>
        <v>konspirovat (v-w1505f1)</v>
      </c>
    </row>
    <row r="11766" customFormat="false" ht="12.8" hidden="false" customHeight="false" outlineLevel="0" collapsed="false">
      <c r="B11766" s="0" t="s">
        <v>1</v>
      </c>
    </row>
    <row r="11768" customFormat="false" ht="12.8" hidden="false" customHeight="false" outlineLevel="0" collapsed="false">
      <c r="A11768" s="0" t="s">
        <v>5546</v>
      </c>
      <c r="B11768" s="0" t="str">
        <f aca="false">HYPERLINK("https://lindat.mff.cuni.cz/services/teitok/pdtc10/index.php?action=vallex&amp;frame=v-w1508f2", "konstatovat (v-w1508f2)")</f>
        <v>konstatovat (v-w1508f2)</v>
      </c>
    </row>
    <row r="11769" customFormat="false" ht="12.8" hidden="false" customHeight="false" outlineLevel="0" collapsed="false">
      <c r="B11769" s="0" t="s">
        <v>1</v>
      </c>
    </row>
    <row r="11770" customFormat="false" ht="12.8" hidden="false" customHeight="false" outlineLevel="0" collapsed="false">
      <c r="B11770" s="0" t="s">
        <v>8</v>
      </c>
    </row>
    <row r="11772" customFormat="false" ht="12.8" hidden="false" customHeight="false" outlineLevel="0" collapsed="false">
      <c r="A11772" s="0" t="s">
        <v>5547</v>
      </c>
      <c r="B11772" s="0" t="str">
        <f aca="false">HYPERLINK("https://lindat.mff.cuni.cz/services/teitok/pdtc10/index.php?action=vallex&amp;frame=v-w1508f1", "konstatovat (v-w1508f1)")</f>
        <v>konstatovat (v-w1508f1)</v>
      </c>
      <c r="E11772" s="0" t="str">
        <f aca="false">HYPERLINK("https://lindat.mff.cuni.cz/services/SynSemClass40/SynSemClass40.html?veclass=vec00060#vec00060-ces-cm00026", "vec00060")</f>
        <v>vec00060</v>
      </c>
      <c r="F11772" s="0" t="s">
        <v>213</v>
      </c>
    </row>
    <row r="11773" customFormat="false" ht="12.8" hidden="false" customHeight="false" outlineLevel="0" collapsed="false">
      <c r="B11773" s="0" t="s">
        <v>1</v>
      </c>
      <c r="C11773" s="0" t="s">
        <v>214</v>
      </c>
      <c r="E11773" s="0" t="s">
        <v>147</v>
      </c>
      <c r="F11773" s="0" t="s">
        <v>215</v>
      </c>
    </row>
    <row r="11774" customFormat="false" ht="12.8" hidden="false" customHeight="false" outlineLevel="0" collapsed="false">
      <c r="B11774" s="0" t="s">
        <v>5548</v>
      </c>
      <c r="C11774" s="0" t="s">
        <v>2216</v>
      </c>
      <c r="E11774" s="0" t="s">
        <v>2217</v>
      </c>
      <c r="F11774" s="0" t="s">
        <v>2218</v>
      </c>
    </row>
    <row r="11775" customFormat="false" ht="12.8" hidden="false" customHeight="false" outlineLevel="0" collapsed="false">
      <c r="B11775" s="0" t="s">
        <v>496</v>
      </c>
      <c r="C11775" s="0" t="s">
        <v>217</v>
      </c>
      <c r="E11775" s="0" t="s">
        <v>218</v>
      </c>
      <c r="F11775" s="0" t="s">
        <v>219</v>
      </c>
    </row>
    <row r="11777" customFormat="false" ht="12.8" hidden="false" customHeight="false" outlineLevel="0" collapsed="false">
      <c r="A11777" s="0" t="s">
        <v>5549</v>
      </c>
      <c r="B11777" s="0" t="str">
        <f aca="false">HYPERLINK("https://lindat.mff.cuni.cz/services/teitok/pdtc10/index.php?action=vallex&amp;frame=v-whsa_1086hsa_1087", "konsternovat (v-whsa_1086hsa_1087)")</f>
        <v>konsternovat (v-whsa_1086hsa_1087)</v>
      </c>
      <c r="E11777" s="0" t="str">
        <f aca="false">HYPERLINK("https://lindat.mff.cuni.cz/services/SynSemClass40/SynSemClass40.html?veclass=vec01506#vec01506-ces-cm00001", "vec01506")</f>
        <v>vec01506</v>
      </c>
      <c r="F11777" s="0" t="s">
        <v>5550</v>
      </c>
    </row>
    <row r="11778" customFormat="false" ht="12.8" hidden="false" customHeight="false" outlineLevel="0" collapsed="false">
      <c r="B11778" s="0" t="s">
        <v>1</v>
      </c>
      <c r="C11778" s="0" t="s">
        <v>5551</v>
      </c>
      <c r="E11778" s="0" t="s">
        <v>266</v>
      </c>
      <c r="F11778" s="0" t="s">
        <v>5552</v>
      </c>
    </row>
    <row r="11779" customFormat="false" ht="12.8" hidden="false" customHeight="false" outlineLevel="0" collapsed="false">
      <c r="B11779" s="0" t="s">
        <v>8</v>
      </c>
      <c r="C11779" s="0" t="s">
        <v>5553</v>
      </c>
      <c r="E11779" s="0" t="s">
        <v>271</v>
      </c>
      <c r="F11779" s="0" t="s">
        <v>5554</v>
      </c>
    </row>
    <row r="11781" customFormat="false" ht="12.8" hidden="false" customHeight="false" outlineLevel="0" collapsed="false">
      <c r="A11781" s="0" t="s">
        <v>5555</v>
      </c>
      <c r="B11781" s="0" t="str">
        <f aca="false">HYPERLINK("https://lindat.mff.cuni.cz/services/teitok/pdtc10/index.php?action=vallex&amp;frame=v-w1511f1", "konstituovat (v-w1511f1)")</f>
        <v>konstituovat (v-w1511f1)</v>
      </c>
    </row>
    <row r="11782" customFormat="false" ht="12.8" hidden="false" customHeight="false" outlineLevel="0" collapsed="false">
      <c r="B11782" s="0" t="s">
        <v>1</v>
      </c>
    </row>
    <row r="11783" customFormat="false" ht="12.8" hidden="false" customHeight="false" outlineLevel="0" collapsed="false">
      <c r="B11783" s="0" t="s">
        <v>59</v>
      </c>
    </row>
    <row r="11785" customFormat="false" ht="12.8" hidden="false" customHeight="false" outlineLevel="0" collapsed="false">
      <c r="A11785" s="0" t="s">
        <v>5556</v>
      </c>
      <c r="B11785" s="0" t="str">
        <f aca="false">HYPERLINK("https://lindat.mff.cuni.cz/services/teitok/pdtc10/index.php?action=vallex&amp;frame=v-w1514f1", "konstruovat (v-w1514f1)")</f>
        <v>konstruovat (v-w1514f1)</v>
      </c>
      <c r="E11785" s="0" t="str">
        <f aca="false">HYPERLINK("https://lindat.mff.cuni.cz/services/SynSemClass40/SynSemClass40.html?veclass=vec00084#vec00084-ces-cm00011", "vec00084")</f>
        <v>vec00084</v>
      </c>
      <c r="F11785" s="0" t="s">
        <v>778</v>
      </c>
    </row>
    <row r="11786" customFormat="false" ht="12.8" hidden="false" customHeight="false" outlineLevel="0" collapsed="false">
      <c r="B11786" s="0" t="s">
        <v>1</v>
      </c>
      <c r="C11786" s="0" t="s">
        <v>5557</v>
      </c>
      <c r="E11786" s="0" t="s">
        <v>31</v>
      </c>
      <c r="F11786" s="0" t="s">
        <v>781</v>
      </c>
    </row>
    <row r="11787" customFormat="false" ht="12.8" hidden="false" customHeight="false" outlineLevel="0" collapsed="false">
      <c r="B11787" s="0" t="s">
        <v>8</v>
      </c>
      <c r="C11787" s="0" t="s">
        <v>5558</v>
      </c>
      <c r="E11787" s="0" t="s">
        <v>771</v>
      </c>
      <c r="F11787" s="0" t="s">
        <v>784</v>
      </c>
    </row>
    <row r="11789" customFormat="false" ht="12.8" hidden="false" customHeight="false" outlineLevel="0" collapsed="false">
      <c r="A11789" s="0" t="s">
        <v>5559</v>
      </c>
      <c r="B11789" s="0" t="str">
        <f aca="false">HYPERLINK("https://lindat.mff.cuni.cz/services/teitok/pdtc10/index.php?action=vallex&amp;frame=v-w1518f3_ZU", "kontaktovat (v-w1518f3_ZU)")</f>
        <v>kontaktovat (v-w1518f3_ZU)</v>
      </c>
    </row>
    <row r="11790" customFormat="false" ht="12.8" hidden="false" customHeight="false" outlineLevel="0" collapsed="false">
      <c r="B11790" s="0" t="s">
        <v>1</v>
      </c>
    </row>
    <row r="11791" customFormat="false" ht="12.8" hidden="false" customHeight="false" outlineLevel="0" collapsed="false">
      <c r="B11791" s="0" t="s">
        <v>721</v>
      </c>
    </row>
    <row r="11792" customFormat="false" ht="12.8" hidden="false" customHeight="false" outlineLevel="0" collapsed="false">
      <c r="B11792" s="0" t="s">
        <v>98</v>
      </c>
    </row>
    <row r="11794" customFormat="false" ht="12.8" hidden="false" customHeight="false" outlineLevel="0" collapsed="false">
      <c r="A11794" s="0" t="s">
        <v>5559</v>
      </c>
      <c r="B11794" s="0" t="str">
        <f aca="false">HYPERLINK("https://lindat.mff.cuni.cz/services/teitok/pdtc10/index.php?action=vallex&amp;frame=v-w1518f2", "kontaktovat (v-w1518f2) - substituted with v-w1518f3_ZU")</f>
        <v>kontaktovat (v-w1518f2) - substituted with v-w1518f3_ZU</v>
      </c>
    </row>
    <row r="11795" customFormat="false" ht="12.8" hidden="false" customHeight="false" outlineLevel="0" collapsed="false">
      <c r="B11795" s="0" t="s">
        <v>1</v>
      </c>
    </row>
    <row r="11796" customFormat="false" ht="12.8" hidden="false" customHeight="false" outlineLevel="0" collapsed="false">
      <c r="B11796" s="0" t="s">
        <v>721</v>
      </c>
    </row>
    <row r="11797" customFormat="false" ht="12.8" hidden="false" customHeight="false" outlineLevel="0" collapsed="false">
      <c r="B11797" s="0" t="s">
        <v>98</v>
      </c>
    </row>
    <row r="11799" customFormat="false" ht="12.8" hidden="false" customHeight="false" outlineLevel="0" collapsed="false">
      <c r="A11799" s="0" t="s">
        <v>5560</v>
      </c>
      <c r="B11799" s="0" t="str">
        <f aca="false">HYPERLINK("https://lindat.mff.cuni.cz/services/teitok/pdtc10/index.php?action=vallex&amp;frame=v-w1518f1", "kontaktovat (v-w1518f1)")</f>
        <v>kontaktovat (v-w1518f1)</v>
      </c>
      <c r="E11799" s="0" t="str">
        <f aca="false">HYPERLINK("https://lindat.mff.cuni.cz/services/SynSemClass40/SynSemClass40.html?veclass=vec00057#vec00057-ces-cm00026", "vec00057")</f>
        <v>vec00057</v>
      </c>
      <c r="F11799" s="0" t="s">
        <v>145</v>
      </c>
    </row>
    <row r="11800" customFormat="false" ht="12.8" hidden="false" customHeight="false" outlineLevel="0" collapsed="false">
      <c r="B11800" s="0" t="s">
        <v>1</v>
      </c>
      <c r="C11800" s="0" t="s">
        <v>146</v>
      </c>
      <c r="E11800" s="0" t="s">
        <v>147</v>
      </c>
      <c r="F11800" s="0" t="s">
        <v>148</v>
      </c>
    </row>
    <row r="11801" customFormat="false" ht="12.8" hidden="false" customHeight="false" outlineLevel="0" collapsed="false">
      <c r="B11801" s="0" t="s">
        <v>8</v>
      </c>
      <c r="C11801" s="0" t="s">
        <v>149</v>
      </c>
      <c r="E11801" s="0" t="s">
        <v>150</v>
      </c>
      <c r="F11801" s="0" t="s">
        <v>151</v>
      </c>
    </row>
    <row r="11803" customFormat="false" ht="12.8" hidden="false" customHeight="false" outlineLevel="0" collapsed="false">
      <c r="A11803" s="0" t="s">
        <v>5561</v>
      </c>
      <c r="B11803" s="0" t="str">
        <f aca="false">HYPERLINK("https://lindat.mff.cuni.cz/services/teitok/pdtc10/index.php?action=vallex&amp;frame=v-w1521f1", "kontaminovat (v-w1521f1)")</f>
        <v>kontaminovat (v-w1521f1)</v>
      </c>
    </row>
    <row r="11804" customFormat="false" ht="12.8" hidden="false" customHeight="false" outlineLevel="0" collapsed="false">
      <c r="B11804" s="0" t="s">
        <v>1</v>
      </c>
    </row>
    <row r="11805" customFormat="false" ht="12.8" hidden="false" customHeight="false" outlineLevel="0" collapsed="false">
      <c r="B11805" s="0" t="s">
        <v>8</v>
      </c>
    </row>
    <row r="11807" customFormat="false" ht="12.8" hidden="false" customHeight="false" outlineLevel="0" collapsed="false">
      <c r="A11807" s="0" t="s">
        <v>5562</v>
      </c>
      <c r="B11807" s="0" t="str">
        <f aca="false">HYPERLINK("https://lindat.mff.cuni.cz/services/teitok/pdtc10/index.php?action=vallex&amp;frame=v-w1522f1", "kontinuovat (v-w1522f1)")</f>
        <v>kontinuovat (v-w1522f1)</v>
      </c>
    </row>
    <row r="11808" customFormat="false" ht="12.8" hidden="false" customHeight="false" outlineLevel="0" collapsed="false">
      <c r="B11808" s="0" t="s">
        <v>1</v>
      </c>
    </row>
    <row r="11810" customFormat="false" ht="12.8" hidden="false" customHeight="false" outlineLevel="0" collapsed="false">
      <c r="A11810" s="0" t="s">
        <v>5563</v>
      </c>
      <c r="B11810" s="0" t="str">
        <f aca="false">HYPERLINK("https://lindat.mff.cuni.cz/services/teitok/pdtc10/index.php?action=vallex&amp;frame=v-w1523f1", "kontrahovat (v-w1523f1)")</f>
        <v>kontrahovat (v-w1523f1)</v>
      </c>
    </row>
    <row r="11811" customFormat="false" ht="12.8" hidden="false" customHeight="false" outlineLevel="0" collapsed="false">
      <c r="B11811" s="0" t="s">
        <v>1</v>
      </c>
    </row>
    <row r="11812" customFormat="false" ht="12.8" hidden="false" customHeight="false" outlineLevel="0" collapsed="false">
      <c r="B11812" s="0" t="s">
        <v>8</v>
      </c>
    </row>
    <row r="11814" customFormat="false" ht="12.8" hidden="false" customHeight="false" outlineLevel="0" collapsed="false">
      <c r="A11814" s="0" t="s">
        <v>5564</v>
      </c>
      <c r="B11814" s="0" t="str">
        <f aca="false">HYPERLINK("https://lindat.mff.cuni.cz/services/teitok/pdtc10/index.php?action=vallex&amp;frame=v-w1526f1", "kontrastovat (v-w1526f1)")</f>
        <v>kontrastovat (v-w1526f1)</v>
      </c>
      <c r="E11814" s="0" t="str">
        <f aca="false">HYPERLINK("https://lindat.mff.cuni.cz/services/SynSemClass40/SynSemClass40.html?veclass=vec00829#vec00829-ces-cm00001", "vec00829")</f>
        <v>vec00829</v>
      </c>
      <c r="F11814" s="0" t="s">
        <v>1968</v>
      </c>
    </row>
    <row r="11815" customFormat="false" ht="12.8" hidden="false" customHeight="false" outlineLevel="0" collapsed="false">
      <c r="B11815" s="0" t="s">
        <v>1</v>
      </c>
      <c r="C11815" s="0" t="s">
        <v>5565</v>
      </c>
      <c r="E11815" s="0" t="s">
        <v>1971</v>
      </c>
      <c r="F11815" s="0" t="s">
        <v>1972</v>
      </c>
    </row>
    <row r="11816" customFormat="false" ht="12.8" hidden="false" customHeight="false" outlineLevel="0" collapsed="false">
      <c r="B11816" s="0" t="s">
        <v>721</v>
      </c>
      <c r="C11816" s="0" t="s">
        <v>5566</v>
      </c>
      <c r="E11816" s="0" t="s">
        <v>1976</v>
      </c>
      <c r="F11816" s="0" t="s">
        <v>1977</v>
      </c>
    </row>
    <row r="11818" customFormat="false" ht="12.8" hidden="false" customHeight="false" outlineLevel="0" collapsed="false">
      <c r="A11818" s="0" t="s">
        <v>5567</v>
      </c>
      <c r="B11818" s="0" t="str">
        <f aca="false">HYPERLINK("https://lindat.mff.cuni.cz/services/teitok/pdtc10/index.php?action=vallex&amp;frame=v-w1529f1", "kontrolovat (v-w1529f1)")</f>
        <v>kontrolovat (v-w1529f1)</v>
      </c>
      <c r="E11818" s="0" t="str">
        <f aca="false">HYPERLINK("https://lindat.mff.cuni.cz/services/SynSemClass40/SynSemClass40.html?veclass=vec00090#vec00090-ces-cm00005", "vec00090")</f>
        <v>vec00090</v>
      </c>
      <c r="F11818" s="0" t="s">
        <v>113</v>
      </c>
      <c r="H11818" s="0" t="str">
        <f aca="false">HYPERLINK("https://lindat.mff.cuni.cz/services/SynSemClass40/SynSemClass40.html?veclass=vec00115#vec00115-ces-cm00029", "vec00115")</f>
        <v>vec00115</v>
      </c>
      <c r="I11818" s="0" t="s">
        <v>5568</v>
      </c>
      <c r="K11818" s="0" t="str">
        <f aca="false">HYPERLINK("https://lindat.mff.cuni.cz/services/SynSemClass40/SynSemClass40.html?veclass=vec00211#vec00211-ces-cm00004", "vec00211")</f>
        <v>vec00211</v>
      </c>
      <c r="L11818" s="0" t="s">
        <v>2270</v>
      </c>
    </row>
    <row r="11819" customFormat="false" ht="12.8" hidden="false" customHeight="false" outlineLevel="0" collapsed="false">
      <c r="B11819" s="0" t="s">
        <v>1</v>
      </c>
      <c r="C11819" s="0" t="s">
        <v>5569</v>
      </c>
      <c r="E11819" s="0" t="s">
        <v>115</v>
      </c>
      <c r="F11819" s="0" t="s">
        <v>116</v>
      </c>
      <c r="H11819" s="0" t="s">
        <v>5570</v>
      </c>
      <c r="I11819" s="0" t="s">
        <v>5571</v>
      </c>
      <c r="K11819" s="0" t="s">
        <v>206</v>
      </c>
      <c r="L11819" s="0" t="s">
        <v>2272</v>
      </c>
    </row>
    <row r="11820" customFormat="false" ht="12.8" hidden="false" customHeight="false" outlineLevel="0" collapsed="false">
      <c r="B11820" s="0" t="s">
        <v>2493</v>
      </c>
      <c r="C11820" s="0" t="s">
        <v>5572</v>
      </c>
      <c r="E11820" s="0" t="s">
        <v>119</v>
      </c>
      <c r="F11820" s="0" t="s">
        <v>120</v>
      </c>
      <c r="H11820" s="0" t="s">
        <v>180</v>
      </c>
      <c r="I11820" s="0" t="s">
        <v>5573</v>
      </c>
      <c r="K11820" s="0" t="s">
        <v>1995</v>
      </c>
      <c r="L11820" s="0" t="s">
        <v>2275</v>
      </c>
    </row>
    <row r="11822" customFormat="false" ht="12.8" hidden="false" customHeight="false" outlineLevel="0" collapsed="false">
      <c r="A11822" s="0" t="s">
        <v>5574</v>
      </c>
      <c r="B11822" s="0" t="str">
        <f aca="false">HYPERLINK("https://lindat.mff.cuni.cz/services/teitok/pdtc10/index.php?action=vallex&amp;frame=v-w1529f2_ZU", "kontrolovat (v-w1529f2_ZU)")</f>
        <v>kontrolovat (v-w1529f2_ZU)</v>
      </c>
      <c r="E11822" s="0" t="str">
        <f aca="false">HYPERLINK("https://lindat.mff.cuni.cz/services/SynSemClass40/SynSemClass40.html?veclass=vec00302#vec00302-ces-cm00014", "vec00302")</f>
        <v>vec00302</v>
      </c>
      <c r="F11822" s="0" t="s">
        <v>1991</v>
      </c>
    </row>
    <row r="11823" customFormat="false" ht="12.8" hidden="false" customHeight="false" outlineLevel="0" collapsed="false">
      <c r="B11823" s="0" t="s">
        <v>1</v>
      </c>
      <c r="C11823" s="0" t="s">
        <v>1992</v>
      </c>
      <c r="E11823" s="0" t="s">
        <v>206</v>
      </c>
      <c r="F11823" s="0" t="s">
        <v>1993</v>
      </c>
    </row>
    <row r="11824" customFormat="false" ht="12.8" hidden="false" customHeight="false" outlineLevel="0" collapsed="false">
      <c r="B11824" s="0" t="s">
        <v>8</v>
      </c>
      <c r="C11824" s="0" t="s">
        <v>1994</v>
      </c>
      <c r="E11824" s="0" t="s">
        <v>1995</v>
      </c>
      <c r="F11824" s="0" t="s">
        <v>1996</v>
      </c>
    </row>
    <row r="11826" customFormat="false" ht="12.8" hidden="false" customHeight="false" outlineLevel="0" collapsed="false">
      <c r="A11826" s="0" t="s">
        <v>5575</v>
      </c>
      <c r="B11826" s="0" t="str">
        <f aca="false">HYPERLINK("https://lindat.mff.cuni.cz/services/teitok/pdtc10/index.php?action=vallex&amp;frame=v-w1532f2", "kontrovat (v-w1532f2)")</f>
        <v>kontrovat (v-w1532f2)</v>
      </c>
      <c r="E11826" s="0" t="str">
        <f aca="false">HYPERLINK("https://lindat.mff.cuni.cz/services/SynSemClass40/SynSemClass40.html?veclass=vec00844#vec00844-ces-cm00007", "vec00844")</f>
        <v>vec00844</v>
      </c>
      <c r="F11826" s="0" t="s">
        <v>5576</v>
      </c>
    </row>
    <row r="11827" customFormat="false" ht="12.8" hidden="false" customHeight="false" outlineLevel="0" collapsed="false">
      <c r="B11827" s="0" t="s">
        <v>1</v>
      </c>
      <c r="C11827" s="0" t="s">
        <v>5577</v>
      </c>
      <c r="E11827" s="0" t="s">
        <v>478</v>
      </c>
      <c r="F11827" s="0" t="s">
        <v>5578</v>
      </c>
    </row>
    <row r="11828" customFormat="false" ht="12.8" hidden="false" customHeight="false" outlineLevel="0" collapsed="false">
      <c r="B11828" s="0" t="s">
        <v>52</v>
      </c>
      <c r="C11828" s="0" t="s">
        <v>1391</v>
      </c>
      <c r="E11828" s="0" t="s">
        <v>221</v>
      </c>
      <c r="F11828" s="0" t="s">
        <v>5579</v>
      </c>
    </row>
    <row r="11829" customFormat="false" ht="12.8" hidden="false" customHeight="false" outlineLevel="0" collapsed="false">
      <c r="B11829" s="0" t="s">
        <v>5580</v>
      </c>
      <c r="C11829" s="0" t="s">
        <v>575</v>
      </c>
      <c r="E11829" s="0" t="s">
        <v>5581</v>
      </c>
      <c r="F11829" s="0" t="s">
        <v>5582</v>
      </c>
    </row>
    <row r="11830" customFormat="false" ht="12.8" hidden="false" customHeight="false" outlineLevel="0" collapsed="false">
      <c r="B11830" s="0" t="s">
        <v>69</v>
      </c>
      <c r="C11830" s="0" t="s">
        <v>5583</v>
      </c>
      <c r="E11830" s="0" t="s">
        <v>230</v>
      </c>
      <c r="F11830" s="0" t="s">
        <v>5584</v>
      </c>
    </row>
    <row r="11832" customFormat="false" ht="12.8" hidden="false" customHeight="false" outlineLevel="0" collapsed="false">
      <c r="A11832" s="0" t="s">
        <v>5585</v>
      </c>
      <c r="B11832" s="0" t="str">
        <f aca="false">HYPERLINK("https://lindat.mff.cuni.cz/services/teitok/pdtc10/index.php?action=vallex&amp;frame=v-w1532f1", "kontrovat (v-w1532f1)")</f>
        <v>kontrovat (v-w1532f1)</v>
      </c>
    </row>
    <row r="11833" customFormat="false" ht="12.8" hidden="false" customHeight="false" outlineLevel="0" collapsed="false">
      <c r="B11833" s="0" t="s">
        <v>1</v>
      </c>
    </row>
    <row r="11835" customFormat="false" ht="12.8" hidden="false" customHeight="false" outlineLevel="0" collapsed="false">
      <c r="A11835" s="0" t="s">
        <v>5586</v>
      </c>
      <c r="B11835" s="0" t="str">
        <f aca="false">HYPERLINK("https://lindat.mff.cuni.cz/services/teitok/pdtc10/index.php?action=vallex&amp;frame=v-w10251f2", "konvertovat (v-w10251f2)")</f>
        <v>konvertovat (v-w10251f2)</v>
      </c>
      <c r="E11835" s="0" t="str">
        <f aca="false">HYPERLINK("https://lindat.mff.cuni.cz/services/SynSemClass40/SynSemClass40.html?veclass=vec00095#vec00095-ces-cm00003", "vec00095")</f>
        <v>vec00095</v>
      </c>
      <c r="F11835" s="0" t="s">
        <v>29</v>
      </c>
    </row>
    <row r="11836" customFormat="false" ht="12.8" hidden="false" customHeight="false" outlineLevel="0" collapsed="false">
      <c r="B11836" s="0" t="s">
        <v>1</v>
      </c>
      <c r="C11836" s="0" t="s">
        <v>30</v>
      </c>
      <c r="E11836" s="0" t="s">
        <v>31</v>
      </c>
      <c r="F11836" s="0" t="s">
        <v>32</v>
      </c>
    </row>
    <row r="11837" customFormat="false" ht="12.8" hidden="false" customHeight="false" outlineLevel="0" collapsed="false">
      <c r="B11837" s="0" t="s">
        <v>8</v>
      </c>
      <c r="C11837" s="0" t="s">
        <v>33</v>
      </c>
      <c r="E11837" s="0" t="s">
        <v>34</v>
      </c>
      <c r="F11837" s="0" t="s">
        <v>35</v>
      </c>
    </row>
    <row r="11838" customFormat="false" ht="12.8" hidden="false" customHeight="false" outlineLevel="0" collapsed="false">
      <c r="B11838" s="0" t="s">
        <v>36</v>
      </c>
      <c r="C11838" s="0" t="s">
        <v>37</v>
      </c>
      <c r="E11838" s="0" t="s">
        <v>38</v>
      </c>
      <c r="F11838" s="0" t="s">
        <v>39</v>
      </c>
    </row>
    <row r="11839" customFormat="false" ht="12.8" hidden="false" customHeight="false" outlineLevel="0" collapsed="false">
      <c r="B11839" s="0" t="s">
        <v>5587</v>
      </c>
      <c r="C11839" s="0" t="s">
        <v>41</v>
      </c>
      <c r="E11839" s="0" t="s">
        <v>42</v>
      </c>
      <c r="F11839" s="0" t="s">
        <v>43</v>
      </c>
    </row>
    <row r="11841" customFormat="false" ht="12.8" hidden="false" customHeight="false" outlineLevel="0" collapsed="false">
      <c r="A11841" s="0" t="s">
        <v>5588</v>
      </c>
      <c r="B11841" s="0" t="str">
        <f aca="false">HYPERLINK("https://lindat.mff.cuni.cz/services/teitok/pdtc10/index.php?action=vallex&amp;frame=v-w1537f1", "konverzovat (v-w1537f1)")</f>
        <v>konverzovat (v-w1537f1)</v>
      </c>
      <c r="E11841" s="0" t="str">
        <f aca="false">HYPERLINK("https://lindat.mff.cuni.cz/services/SynSemClass40/SynSemClass40.html?veclass=vec00031#vec00031-ces-cm00114", "vec00031")</f>
        <v>vec00031</v>
      </c>
      <c r="F11841" s="0" t="s">
        <v>277</v>
      </c>
    </row>
    <row r="11842" customFormat="false" ht="12.8" hidden="false" customHeight="false" outlineLevel="0" collapsed="false">
      <c r="B11842" s="0" t="s">
        <v>1</v>
      </c>
      <c r="C11842" s="0" t="s">
        <v>278</v>
      </c>
      <c r="E11842" s="0" t="s">
        <v>147</v>
      </c>
      <c r="F11842" s="0" t="s">
        <v>279</v>
      </c>
    </row>
    <row r="11843" customFormat="false" ht="12.8" hidden="false" customHeight="false" outlineLevel="0" collapsed="false">
      <c r="B11843" s="0" t="s">
        <v>276</v>
      </c>
      <c r="C11843" s="0" t="s">
        <v>282</v>
      </c>
      <c r="E11843" s="0" t="s">
        <v>221</v>
      </c>
      <c r="F11843" s="0" t="s">
        <v>283</v>
      </c>
    </row>
    <row r="11844" customFormat="false" ht="12.8" hidden="false" customHeight="false" outlineLevel="0" collapsed="false">
      <c r="B11844" s="0" t="s">
        <v>496</v>
      </c>
      <c r="C11844" s="0" t="s">
        <v>280</v>
      </c>
      <c r="E11844" s="0" t="s">
        <v>218</v>
      </c>
      <c r="F11844" s="0" t="s">
        <v>281</v>
      </c>
    </row>
    <row r="11846" customFormat="false" ht="12.8" hidden="false" customHeight="false" outlineLevel="0" collapsed="false">
      <c r="A11846" s="0" t="s">
        <v>5589</v>
      </c>
      <c r="B11846" s="0" t="str">
        <f aca="false">HYPERLINK("https://lindat.mff.cuni.cz/services/teitok/pdtc10/index.php?action=vallex&amp;frame=v-w1538f1", "konzervovat (v-w1538f1)")</f>
        <v>konzervovat (v-w1538f1)</v>
      </c>
      <c r="E11846" s="0" t="str">
        <f aca="false">HYPERLINK("https://lindat.mff.cuni.cz/services/SynSemClass40/SynSemClass40.html?veclass=vec00603#vec00603-ces-cm00014", "vec00603")</f>
        <v>vec00603</v>
      </c>
      <c r="F11846" s="0" t="s">
        <v>238</v>
      </c>
    </row>
    <row r="11847" customFormat="false" ht="12.8" hidden="false" customHeight="false" outlineLevel="0" collapsed="false">
      <c r="B11847" s="0" t="s">
        <v>1</v>
      </c>
      <c r="C11847" s="0" t="s">
        <v>239</v>
      </c>
      <c r="E11847" s="0" t="s">
        <v>240</v>
      </c>
      <c r="F11847" s="0" t="s">
        <v>241</v>
      </c>
    </row>
    <row r="11848" customFormat="false" ht="12.8" hidden="false" customHeight="false" outlineLevel="0" collapsed="false">
      <c r="B11848" s="0" t="s">
        <v>8</v>
      </c>
      <c r="C11848" s="0" t="s">
        <v>242</v>
      </c>
      <c r="E11848" s="0" t="s">
        <v>243</v>
      </c>
      <c r="F11848" s="0" t="s">
        <v>244</v>
      </c>
    </row>
    <row r="11849" customFormat="false" ht="12.8" hidden="false" customHeight="false" outlineLevel="0" collapsed="false">
      <c r="B11849" s="0" t="s">
        <v>36</v>
      </c>
    </row>
    <row r="11851" customFormat="false" ht="12.8" hidden="false" customHeight="false" outlineLevel="0" collapsed="false">
      <c r="A11851" s="0" t="s">
        <v>5590</v>
      </c>
      <c r="B11851" s="0" t="str">
        <f aca="false">HYPERLINK("https://lindat.mff.cuni.cz/services/teitok/pdtc10/index.php?action=vallex&amp;frame=v-w1540f1", "konzultovat (v-w1540f1)")</f>
        <v>konzultovat (v-w1540f1)</v>
      </c>
      <c r="E11851" s="0" t="str">
        <f aca="false">HYPERLINK("https://lindat.mff.cuni.cz/services/SynSemClass40/SynSemClass40.html?veclass=vec00031#vec00031-ces-cm00116", "vec00031")</f>
        <v>vec00031</v>
      </c>
      <c r="F11851" s="0" t="s">
        <v>277</v>
      </c>
    </row>
    <row r="11852" customFormat="false" ht="12.8" hidden="false" customHeight="false" outlineLevel="0" collapsed="false">
      <c r="B11852" s="0" t="s">
        <v>1</v>
      </c>
      <c r="C11852" s="0" t="s">
        <v>278</v>
      </c>
      <c r="E11852" s="0" t="s">
        <v>147</v>
      </c>
      <c r="F11852" s="0" t="s">
        <v>279</v>
      </c>
    </row>
    <row r="11853" customFormat="false" ht="12.8" hidden="false" customHeight="false" outlineLevel="0" collapsed="false">
      <c r="B11853" s="0" t="s">
        <v>276</v>
      </c>
      <c r="C11853" s="0" t="s">
        <v>282</v>
      </c>
      <c r="E11853" s="0" t="s">
        <v>221</v>
      </c>
      <c r="F11853" s="0" t="s">
        <v>283</v>
      </c>
    </row>
    <row r="11854" customFormat="false" ht="12.8" hidden="false" customHeight="false" outlineLevel="0" collapsed="false">
      <c r="B11854" s="0" t="s">
        <v>5591</v>
      </c>
      <c r="C11854" s="0" t="s">
        <v>280</v>
      </c>
      <c r="E11854" s="0" t="s">
        <v>218</v>
      </c>
      <c r="F11854" s="0" t="s">
        <v>281</v>
      </c>
    </row>
    <row r="11856" customFormat="false" ht="12.8" hidden="false" customHeight="false" outlineLevel="0" collapsed="false">
      <c r="A11856" s="0" t="s">
        <v>5592</v>
      </c>
      <c r="B11856" s="0" t="str">
        <f aca="false">HYPERLINK("https://lindat.mff.cuni.cz/services/teitok/pdtc10/index.php?action=vallex&amp;frame=v-w1542f1", "konzumovat (v-w1542f1)")</f>
        <v>konzumovat (v-w1542f1)</v>
      </c>
    </row>
    <row r="11857" customFormat="false" ht="12.8" hidden="false" customHeight="false" outlineLevel="0" collapsed="false">
      <c r="B11857" s="0" t="s">
        <v>1</v>
      </c>
    </row>
    <row r="11858" customFormat="false" ht="12.8" hidden="false" customHeight="false" outlineLevel="0" collapsed="false">
      <c r="B11858" s="0" t="s">
        <v>8</v>
      </c>
    </row>
    <row r="11860" customFormat="false" ht="12.8" hidden="false" customHeight="false" outlineLevel="0" collapsed="false">
      <c r="A11860" s="0" t="s">
        <v>5593</v>
      </c>
      <c r="B11860" s="0" t="str">
        <f aca="false">HYPERLINK("https://lindat.mff.cuni.cz/services/teitok/pdtc10/index.php?action=vallex&amp;frame=v-w1542hsa_325", "konzumovat (v-w1542hsa_325)")</f>
        <v>konzumovat (v-w1542hsa_325)</v>
      </c>
    </row>
    <row r="11861" customFormat="false" ht="12.8" hidden="false" customHeight="false" outlineLevel="0" collapsed="false">
      <c r="B11861" s="0" t="s">
        <v>1</v>
      </c>
    </row>
    <row r="11862" customFormat="false" ht="12.8" hidden="false" customHeight="false" outlineLevel="0" collapsed="false">
      <c r="B11862" s="0" t="s">
        <v>8</v>
      </c>
    </row>
    <row r="11864" customFormat="false" ht="12.8" hidden="false" customHeight="false" outlineLevel="0" collapsed="false">
      <c r="A11864" s="0" t="s">
        <v>5594</v>
      </c>
      <c r="B11864" s="0" t="str">
        <f aca="false">HYPERLINK("https://lindat.mff.cuni.cz/services/teitok/pdtc10/index.php?action=vallex&amp;frame=v-w1480f2", "končit (v-w1480f2)")</f>
        <v>končit (v-w1480f2)</v>
      </c>
      <c r="E11864" s="0" t="str">
        <f aca="false">HYPERLINK("https://lindat.mff.cuni.cz/services/SynSemClass40/SynSemClass40.html?veclass=vec00213#vec00213-ces-cm00035", "vec00213")</f>
        <v>vec00213</v>
      </c>
      <c r="F11864" s="0" t="s">
        <v>2399</v>
      </c>
    </row>
    <row r="11865" customFormat="false" ht="12.8" hidden="false" customHeight="false" outlineLevel="0" collapsed="false">
      <c r="B11865" s="0" t="s">
        <v>1</v>
      </c>
      <c r="C11865" s="0" t="s">
        <v>2400</v>
      </c>
      <c r="E11865" s="0" t="s">
        <v>31</v>
      </c>
      <c r="F11865" s="0" t="s">
        <v>2401</v>
      </c>
    </row>
    <row r="11866" customFormat="false" ht="12.8" hidden="false" customHeight="false" outlineLevel="0" collapsed="false">
      <c r="B11866" s="0" t="s">
        <v>8</v>
      </c>
      <c r="C11866" s="0" t="s">
        <v>2402</v>
      </c>
      <c r="E11866" s="0" t="s">
        <v>2403</v>
      </c>
      <c r="F11866" s="0" t="s">
        <v>2404</v>
      </c>
    </row>
    <row r="11868" customFormat="false" ht="12.8" hidden="false" customHeight="false" outlineLevel="0" collapsed="false">
      <c r="A11868" s="0" t="s">
        <v>5595</v>
      </c>
      <c r="B11868" s="0" t="str">
        <f aca="false">HYPERLINK("https://lindat.mff.cuni.cz/services/teitok/pdtc10/index.php?action=vallex&amp;frame=v-w1480f3", "končit (v-w1480f3)")</f>
        <v>končit (v-w1480f3)</v>
      </c>
    </row>
    <row r="11869" customFormat="false" ht="12.8" hidden="false" customHeight="false" outlineLevel="0" collapsed="false">
      <c r="B11869" s="0" t="s">
        <v>1</v>
      </c>
    </row>
    <row r="11870" customFormat="false" ht="12.8" hidden="false" customHeight="false" outlineLevel="0" collapsed="false">
      <c r="B11870" s="0" t="s">
        <v>8</v>
      </c>
    </row>
    <row r="11872" customFormat="false" ht="12.8" hidden="false" customHeight="false" outlineLevel="0" collapsed="false">
      <c r="A11872" s="0" t="s">
        <v>5596</v>
      </c>
      <c r="B11872" s="0" t="str">
        <f aca="false">HYPERLINK("https://lindat.mff.cuni.cz/services/teitok/pdtc10/index.php?action=vallex&amp;frame=v-w1480f5", "končit (v-w1480f5)")</f>
        <v>končit (v-w1480f5)</v>
      </c>
      <c r="E11872" s="0" t="str">
        <f aca="false">HYPERLINK("https://lindat.mff.cuni.cz/services/SynSemClass40/SynSemClass40.html?veclass=vec00213#vec00213-ces-cm00036", "vec00213")</f>
        <v>vec00213</v>
      </c>
      <c r="F11872" s="0" t="s">
        <v>2399</v>
      </c>
    </row>
    <row r="11873" customFormat="false" ht="12.8" hidden="false" customHeight="false" outlineLevel="0" collapsed="false">
      <c r="B11873" s="0" t="s">
        <v>1</v>
      </c>
      <c r="C11873" s="0" t="s">
        <v>2400</v>
      </c>
      <c r="E11873" s="0" t="s">
        <v>31</v>
      </c>
      <c r="F11873" s="0" t="s">
        <v>2401</v>
      </c>
    </row>
    <row r="11874" customFormat="false" ht="12.8" hidden="false" customHeight="false" outlineLevel="0" collapsed="false">
      <c r="B11874" s="0" t="s">
        <v>721</v>
      </c>
      <c r="C11874" s="0" t="s">
        <v>2402</v>
      </c>
      <c r="E11874" s="0" t="s">
        <v>2403</v>
      </c>
      <c r="F11874" s="0" t="s">
        <v>2404</v>
      </c>
    </row>
    <row r="11876" customFormat="false" ht="12.8" hidden="false" customHeight="false" outlineLevel="0" collapsed="false">
      <c r="A11876" s="0" t="s">
        <v>5597</v>
      </c>
      <c r="B11876" s="0" t="str">
        <f aca="false">HYPERLINK("https://lindat.mff.cuni.cz/services/teitok/pdtc10/index.php?action=vallex&amp;frame=v-w1480f1", "končit (v-w1480f1)")</f>
        <v>končit (v-w1480f1)</v>
      </c>
      <c r="E11876" s="0" t="str">
        <f aca="false">HYPERLINK("https://lindat.mff.cuni.cz/services/SynSemClass40/SynSemClass40.html?veclass=vec00113#vec00113-ces-cm00066", "vec00113")</f>
        <v>vec00113</v>
      </c>
      <c r="F11876" s="0" t="s">
        <v>2122</v>
      </c>
    </row>
    <row r="11877" customFormat="false" ht="12.8" hidden="false" customHeight="false" outlineLevel="0" collapsed="false">
      <c r="B11877" s="0" t="s">
        <v>1</v>
      </c>
      <c r="C11877" s="0" t="s">
        <v>4146</v>
      </c>
      <c r="E11877" s="0" t="s">
        <v>1084</v>
      </c>
      <c r="F11877" s="0" t="s">
        <v>2124</v>
      </c>
    </row>
    <row r="11879" customFormat="false" ht="12.8" hidden="false" customHeight="false" outlineLevel="0" collapsed="false">
      <c r="A11879" s="0" t="s">
        <v>5598</v>
      </c>
      <c r="B11879" s="0" t="str">
        <f aca="false">HYPERLINK("https://lindat.mff.cuni.cz/services/teitok/pdtc10/index.php?action=vallex&amp;frame=v-w1480f4", "končit (v-w1480f4)")</f>
        <v>končit (v-w1480f4)</v>
      </c>
    </row>
    <row r="11880" customFormat="false" ht="12.8" hidden="false" customHeight="false" outlineLevel="0" collapsed="false">
      <c r="B11880" s="0" t="s">
        <v>1</v>
      </c>
    </row>
    <row r="11881" customFormat="false" ht="12.8" hidden="false" customHeight="false" outlineLevel="0" collapsed="false">
      <c r="B11881" s="0" t="s">
        <v>725</v>
      </c>
    </row>
    <row r="11882" customFormat="false" ht="12.8" hidden="false" customHeight="false" outlineLevel="0" collapsed="false">
      <c r="B11882" s="0" t="s">
        <v>642</v>
      </c>
    </row>
    <row r="11883" customFormat="false" ht="12.8" hidden="false" customHeight="false" outlineLevel="0" collapsed="false">
      <c r="B11883" s="0" t="s">
        <v>646</v>
      </c>
    </row>
    <row r="11884" customFormat="false" ht="12.8" hidden="false" customHeight="false" outlineLevel="0" collapsed="false">
      <c r="B11884" s="0" t="s">
        <v>648</v>
      </c>
    </row>
    <row r="11885" customFormat="false" ht="12.8" hidden="false" customHeight="false" outlineLevel="0" collapsed="false">
      <c r="B11885" s="0" t="s">
        <v>650</v>
      </c>
    </row>
    <row r="11887" customFormat="false" ht="12.8" hidden="false" customHeight="false" outlineLevel="0" collapsed="false">
      <c r="A11887" s="0" t="s">
        <v>5599</v>
      </c>
      <c r="B11887" s="0" t="str">
        <f aca="false">HYPERLINK("https://lindat.mff.cuni.cz/services/teitok/pdtc10/index.php?action=vallex&amp;frame=v-w1480hsa_1280", "končit (v-w1480hsa_1280)")</f>
        <v>končit (v-w1480hsa_1280)</v>
      </c>
      <c r="E11887" s="0" t="str">
        <f aca="false">HYPERLINK("https://lindat.mff.cuni.cz/services/SynSemClass40/SynSemClass40.html?veclass=vec00309#vec00309-ces-cm00007", "vec00309")</f>
        <v>vec00309</v>
      </c>
      <c r="F11887" s="0" t="s">
        <v>1081</v>
      </c>
      <c r="H11887" s="0" t="str">
        <f aca="false">HYPERLINK("https://lindat.mff.cuni.cz/services/SynSemClass40/SynSemClass40.html?veclass=vec00741#vec00741-ces-cm00004", "vec00741")</f>
        <v>vec00741</v>
      </c>
      <c r="I11887" s="0" t="s">
        <v>5600</v>
      </c>
    </row>
    <row r="11888" customFormat="false" ht="12.8" hidden="false" customHeight="false" outlineLevel="0" collapsed="false">
      <c r="B11888" s="0" t="s">
        <v>1</v>
      </c>
      <c r="C11888" s="0" t="s">
        <v>5601</v>
      </c>
      <c r="E11888" s="0" t="s">
        <v>1084</v>
      </c>
      <c r="F11888" s="0" t="s">
        <v>1085</v>
      </c>
      <c r="H11888" s="0" t="s">
        <v>957</v>
      </c>
      <c r="I11888" s="0" t="s">
        <v>5602</v>
      </c>
    </row>
    <row r="11889" customFormat="false" ht="12.8" hidden="false" customHeight="false" outlineLevel="0" collapsed="false">
      <c r="B11889" s="0" t="s">
        <v>1773</v>
      </c>
      <c r="C11889" s="0" t="s">
        <v>5603</v>
      </c>
      <c r="E11889" s="0" t="s">
        <v>5604</v>
      </c>
      <c r="F11889" s="0" t="s">
        <v>5605</v>
      </c>
      <c r="H11889" s="0" t="s">
        <v>5606</v>
      </c>
      <c r="I11889" s="0" t="s">
        <v>5607</v>
      </c>
    </row>
    <row r="11890" customFormat="false" ht="12.8" hidden="false" customHeight="false" outlineLevel="0" collapsed="false">
      <c r="B11890" s="0" t="s">
        <v>642</v>
      </c>
      <c r="C11890" s="0" t="s">
        <v>5608</v>
      </c>
      <c r="E11890" s="0" t="s">
        <v>5604</v>
      </c>
      <c r="F11890" s="0" t="s">
        <v>5605</v>
      </c>
      <c r="H11890" s="0" t="s">
        <v>5606</v>
      </c>
      <c r="I11890" s="0" t="s">
        <v>5607</v>
      </c>
    </row>
    <row r="11891" customFormat="false" ht="12.8" hidden="false" customHeight="false" outlineLevel="0" collapsed="false">
      <c r="B11891" s="0" t="s">
        <v>648</v>
      </c>
      <c r="C11891" s="0" t="s">
        <v>5609</v>
      </c>
      <c r="E11891" s="0" t="s">
        <v>5604</v>
      </c>
      <c r="F11891" s="0" t="s">
        <v>5605</v>
      </c>
      <c r="H11891" s="0" t="s">
        <v>5606</v>
      </c>
      <c r="I11891" s="0" t="s">
        <v>5607</v>
      </c>
    </row>
    <row r="11893" customFormat="false" ht="12.8" hidden="false" customHeight="false" outlineLevel="0" collapsed="false">
      <c r="A11893" s="0" t="s">
        <v>5610</v>
      </c>
      <c r="B11893" s="0" t="str">
        <f aca="false">HYPERLINK("https://lindat.mff.cuni.cz/services/teitok/pdtc10/index.php?action=vallex&amp;frame=v-w1481f1", "končit se (v-w1481f1)")</f>
        <v>končit se (v-w1481f1)</v>
      </c>
    </row>
    <row r="11894" customFormat="false" ht="12.8" hidden="false" customHeight="false" outlineLevel="0" collapsed="false">
      <c r="B11894" s="0" t="s">
        <v>1</v>
      </c>
    </row>
    <row r="11896" customFormat="false" ht="12.8" hidden="false" customHeight="false" outlineLevel="0" collapsed="false">
      <c r="A11896" s="0" t="s">
        <v>5611</v>
      </c>
      <c r="B11896" s="0" t="str">
        <f aca="false">HYPERLINK("https://lindat.mff.cuni.cz/services/teitok/pdtc10/index.php?action=vallex&amp;frame=v-w1482f1", "končívat (v-w1482f1)")</f>
        <v>končívat (v-w1482f1)</v>
      </c>
      <c r="E11896" s="0" t="str">
        <f aca="false">HYPERLINK("https://lindat.mff.cuni.cz/services/SynSemClass40/SynSemClass40.html?veclass=vec00113#vec00113-ces-cm00301", "vec00113")</f>
        <v>vec00113</v>
      </c>
      <c r="F11896" s="0" t="s">
        <v>2122</v>
      </c>
    </row>
    <row r="11897" customFormat="false" ht="12.8" hidden="false" customHeight="false" outlineLevel="0" collapsed="false">
      <c r="B11897" s="0" t="s">
        <v>1</v>
      </c>
      <c r="C11897" s="0" t="s">
        <v>4146</v>
      </c>
      <c r="E11897" s="0" t="s">
        <v>1084</v>
      </c>
      <c r="F11897" s="0" t="s">
        <v>2124</v>
      </c>
    </row>
    <row r="11899" customFormat="false" ht="12.8" hidden="false" customHeight="false" outlineLevel="0" collapsed="false">
      <c r="A11899" s="0" t="s">
        <v>5612</v>
      </c>
      <c r="B11899" s="0" t="str">
        <f aca="false">HYPERLINK("https://lindat.mff.cuni.cz/services/teitok/pdtc10/index.php?action=vallex&amp;frame=v-w1544f1", "kooperovat (v-w1544f1)")</f>
        <v>kooperovat (v-w1544f1)</v>
      </c>
    </row>
    <row r="11900" customFormat="false" ht="12.8" hidden="false" customHeight="false" outlineLevel="0" collapsed="false">
      <c r="B11900" s="0" t="s">
        <v>1</v>
      </c>
    </row>
    <row r="11901" customFormat="false" ht="12.8" hidden="false" customHeight="false" outlineLevel="0" collapsed="false">
      <c r="B11901" s="0" t="s">
        <v>5416</v>
      </c>
    </row>
    <row r="11902" customFormat="false" ht="12.8" hidden="false" customHeight="false" outlineLevel="0" collapsed="false">
      <c r="B11902" s="0" t="s">
        <v>5613</v>
      </c>
    </row>
    <row r="11904" customFormat="false" ht="12.8" hidden="false" customHeight="false" outlineLevel="0" collapsed="false">
      <c r="A11904" s="0" t="s">
        <v>5614</v>
      </c>
      <c r="B11904" s="0" t="str">
        <f aca="false">HYPERLINK("https://lindat.mff.cuni.cz/services/teitok/pdtc10/index.php?action=vallex&amp;frame=v-w11802_ZUf1_ZU", "kooptovat (v-w11802_ZUf1_ZU)")</f>
        <v>kooptovat (v-w11802_ZUf1_ZU)</v>
      </c>
    </row>
    <row r="11905" customFormat="false" ht="12.8" hidden="false" customHeight="false" outlineLevel="0" collapsed="false">
      <c r="B11905" s="0" t="s">
        <v>1</v>
      </c>
    </row>
    <row r="11906" customFormat="false" ht="12.8" hidden="false" customHeight="false" outlineLevel="0" collapsed="false">
      <c r="B11906" s="0" t="s">
        <v>8</v>
      </c>
    </row>
    <row r="11908" customFormat="false" ht="12.8" hidden="false" customHeight="false" outlineLevel="0" collapsed="false">
      <c r="A11908" s="0" t="s">
        <v>5615</v>
      </c>
      <c r="B11908" s="0" t="str">
        <f aca="false">HYPERLINK("https://lindat.mff.cuni.cz/services/teitok/pdtc10/index.php?action=vallex&amp;frame=v-w1548f1", "koordinovat (v-w1548f1)")</f>
        <v>koordinovat (v-w1548f1)</v>
      </c>
      <c r="E11908" s="0" t="str">
        <f aca="false">HYPERLINK("https://lindat.mff.cuni.cz/services/SynSemClass40/SynSemClass40.html?veclass=vec00425#vec00425-ces-cm00001", "vec00425")</f>
        <v>vec00425</v>
      </c>
      <c r="F11908" s="0" t="s">
        <v>5616</v>
      </c>
    </row>
    <row r="11909" customFormat="false" ht="12.8" hidden="false" customHeight="false" outlineLevel="0" collapsed="false">
      <c r="B11909" s="0" t="s">
        <v>1</v>
      </c>
      <c r="C11909" s="0" t="s">
        <v>767</v>
      </c>
      <c r="E11909" s="0" t="s">
        <v>31</v>
      </c>
      <c r="F11909" s="0" t="s">
        <v>5617</v>
      </c>
    </row>
    <row r="11910" customFormat="false" ht="12.8" hidden="false" customHeight="false" outlineLevel="0" collapsed="false">
      <c r="B11910" s="0" t="s">
        <v>8</v>
      </c>
      <c r="C11910" s="0" t="s">
        <v>5618</v>
      </c>
      <c r="E11910" s="0" t="s">
        <v>4852</v>
      </c>
      <c r="F11910" s="0" t="s">
        <v>5619</v>
      </c>
    </row>
    <row r="11911" customFormat="false" ht="12.8" hidden="false" customHeight="false" outlineLevel="0" collapsed="false">
      <c r="B11911" s="0" t="s">
        <v>3537</v>
      </c>
      <c r="C11911" s="0" t="s">
        <v>1851</v>
      </c>
      <c r="E11911" s="0" t="s">
        <v>5445</v>
      </c>
      <c r="F11911" s="0" t="s">
        <v>5620</v>
      </c>
    </row>
    <row r="11913" customFormat="false" ht="12.8" hidden="false" customHeight="false" outlineLevel="0" collapsed="false">
      <c r="A11913" s="0" t="s">
        <v>5621</v>
      </c>
      <c r="B11913" s="0" t="str">
        <f aca="false">HYPERLINK("https://lindat.mff.cuni.cz/services/teitok/pdtc10/index.php?action=vallex&amp;frame=v-w1550f2", "kopat (v-w1550f2)")</f>
        <v>kopat (v-w1550f2)</v>
      </c>
    </row>
    <row r="11914" customFormat="false" ht="12.8" hidden="false" customHeight="false" outlineLevel="0" collapsed="false">
      <c r="B11914" s="0" t="s">
        <v>1</v>
      </c>
    </row>
    <row r="11915" customFormat="false" ht="12.8" hidden="false" customHeight="false" outlineLevel="0" collapsed="false">
      <c r="B11915" s="0" t="s">
        <v>8</v>
      </c>
    </row>
    <row r="11917" customFormat="false" ht="12.8" hidden="false" customHeight="false" outlineLevel="0" collapsed="false">
      <c r="A11917" s="0" t="s">
        <v>5622</v>
      </c>
      <c r="B11917" s="0" t="str">
        <f aca="false">HYPERLINK("https://lindat.mff.cuni.cz/services/teitok/pdtc10/index.php?action=vallex&amp;frame=v-w1550f3", "kopat (v-w1550f3)")</f>
        <v>kopat (v-w1550f3)</v>
      </c>
      <c r="E11917" s="0" t="str">
        <f aca="false">HYPERLINK("https://lindat.mff.cuni.cz/services/SynSemClass40/SynSemClass40.html?veclass=vec00992#vec00992-ces-cm00003", "vec00992")</f>
        <v>vec00992</v>
      </c>
      <c r="F11917" s="0" t="s">
        <v>824</v>
      </c>
      <c r="H11917" s="0" t="str">
        <f aca="false">HYPERLINK("https://lindat.mff.cuni.cz/services/SynSemClass40/SynSemClass40.html?veclass=vec01403#vec01403-ces-cm00003", "vec01403")</f>
        <v>vec01403</v>
      </c>
      <c r="I11917" s="0" t="s">
        <v>5623</v>
      </c>
    </row>
    <row r="11918" customFormat="false" ht="12.8" hidden="false" customHeight="false" outlineLevel="0" collapsed="false">
      <c r="B11918" s="0" t="s">
        <v>1</v>
      </c>
      <c r="C11918" s="0" t="s">
        <v>4114</v>
      </c>
      <c r="E11918" s="0" t="s">
        <v>196</v>
      </c>
      <c r="F11918" s="0" t="s">
        <v>826</v>
      </c>
      <c r="H11918" s="0" t="s">
        <v>334</v>
      </c>
      <c r="I11918" s="0" t="s">
        <v>5245</v>
      </c>
    </row>
    <row r="11919" customFormat="false" ht="12.8" hidden="false" customHeight="false" outlineLevel="0" collapsed="false">
      <c r="B11919" s="0" t="s">
        <v>8</v>
      </c>
      <c r="C11919" s="0" t="s">
        <v>827</v>
      </c>
      <c r="E11919" s="0" t="s">
        <v>199</v>
      </c>
      <c r="F11919" s="0" t="s">
        <v>828</v>
      </c>
      <c r="H11919" s="0" t="s">
        <v>142</v>
      </c>
      <c r="I11919" s="0" t="s">
        <v>4496</v>
      </c>
    </row>
    <row r="11921" customFormat="false" ht="12.8" hidden="false" customHeight="false" outlineLevel="0" collapsed="false">
      <c r="A11921" s="0" t="s">
        <v>5624</v>
      </c>
      <c r="B11921" s="0" t="str">
        <f aca="false">HYPERLINK("https://lindat.mff.cuni.cz/services/teitok/pdtc10/index.php?action=vallex&amp;frame=v-w1550f1", "kopat (v-w1550f1)")</f>
        <v>kopat (v-w1550f1)</v>
      </c>
      <c r="E11921" s="0" t="str">
        <f aca="false">HYPERLINK("https://lindat.mff.cuni.cz/services/SynSemClass40/SynSemClass40.html?veclass=vec01403#vec01403-ces-cm00001", "vec01403")</f>
        <v>vec01403</v>
      </c>
      <c r="F11921" s="0" t="s">
        <v>5623</v>
      </c>
    </row>
    <row r="11922" customFormat="false" ht="12.8" hidden="false" customHeight="false" outlineLevel="0" collapsed="false">
      <c r="B11922" s="0" t="s">
        <v>1</v>
      </c>
      <c r="C11922" s="0" t="s">
        <v>4695</v>
      </c>
      <c r="E11922" s="0" t="s">
        <v>334</v>
      </c>
      <c r="F11922" s="0" t="s">
        <v>5245</v>
      </c>
    </row>
    <row r="11924" customFormat="false" ht="12.8" hidden="false" customHeight="false" outlineLevel="0" collapsed="false">
      <c r="A11924" s="0" t="s">
        <v>5625</v>
      </c>
      <c r="B11924" s="0" t="str">
        <f aca="false">HYPERLINK("https://lindat.mff.cuni.cz/services/teitok/pdtc10/index.php?action=vallex&amp;frame=v-w1550f5_ZU", "kopat (v-w1550f5_ZU)")</f>
        <v>kopat (v-w1550f5_ZU)</v>
      </c>
    </row>
    <row r="11925" customFormat="false" ht="12.8" hidden="false" customHeight="false" outlineLevel="0" collapsed="false">
      <c r="B11925" s="0" t="s">
        <v>1</v>
      </c>
    </row>
    <row r="11926" customFormat="false" ht="12.8" hidden="false" customHeight="false" outlineLevel="0" collapsed="false">
      <c r="B11926" s="0" t="s">
        <v>8</v>
      </c>
    </row>
    <row r="11928" customFormat="false" ht="12.8" hidden="false" customHeight="false" outlineLevel="0" collapsed="false">
      <c r="A11928" s="0" t="s">
        <v>5625</v>
      </c>
      <c r="B11928" s="0" t="str">
        <f aca="false">HYPERLINK("https://lindat.mff.cuni.cz/services/teitok/pdtc10/index.php?action=vallex&amp;frame=v-w1550f4_ZU", "kopat (v-w1550f4_ZU) - substituted with v-w1550f5_ZU")</f>
        <v>kopat (v-w1550f4_ZU) - substituted with v-w1550f5_ZU</v>
      </c>
    </row>
    <row r="11929" customFormat="false" ht="12.8" hidden="false" customHeight="false" outlineLevel="0" collapsed="false">
      <c r="B11929" s="0" t="s">
        <v>1</v>
      </c>
    </row>
    <row r="11930" customFormat="false" ht="12.8" hidden="false" customHeight="false" outlineLevel="0" collapsed="false">
      <c r="B11930" s="0" t="s">
        <v>8</v>
      </c>
    </row>
    <row r="11932" customFormat="false" ht="12.8" hidden="false" customHeight="false" outlineLevel="0" collapsed="false">
      <c r="A11932" s="0" t="s">
        <v>5626</v>
      </c>
      <c r="B11932" s="0" t="str">
        <f aca="false">HYPERLINK("https://lindat.mff.cuni.cz/services/teitok/pdtc10/index.php?action=vallex&amp;frame=v-w1550hsa_1193", "kopat (v-w1550hsa_1193)")</f>
        <v>kopat (v-w1550hsa_1193)</v>
      </c>
    </row>
    <row r="11933" customFormat="false" ht="12.8" hidden="false" customHeight="false" outlineLevel="0" collapsed="false">
      <c r="B11933" s="0" t="s">
        <v>1</v>
      </c>
    </row>
    <row r="11934" customFormat="false" ht="12.8" hidden="false" customHeight="false" outlineLevel="0" collapsed="false">
      <c r="B11934" s="0" t="s">
        <v>8</v>
      </c>
    </row>
    <row r="11936" customFormat="false" ht="12.8" hidden="false" customHeight="false" outlineLevel="0" collapsed="false">
      <c r="A11936" s="0" t="s">
        <v>5627</v>
      </c>
      <c r="B11936" s="0" t="str">
        <f aca="false">HYPERLINK("https://lindat.mff.cuni.cz/services/teitok/pdtc10/index.php?action=vallex&amp;frame=v-whsa_501hsa_502", "kopat si (v-whsa_501hsa_502)")</f>
        <v>kopat si (v-whsa_501hsa_502)</v>
      </c>
    </row>
    <row r="11937" customFormat="false" ht="12.8" hidden="false" customHeight="false" outlineLevel="0" collapsed="false">
      <c r="B11937" s="0" t="s">
        <v>1</v>
      </c>
    </row>
    <row r="11938" customFormat="false" ht="12.8" hidden="false" customHeight="false" outlineLevel="0" collapsed="false">
      <c r="B11938" s="0" t="s">
        <v>5628</v>
      </c>
    </row>
    <row r="11940" customFormat="false" ht="12.8" hidden="false" customHeight="false" outlineLevel="0" collapsed="false">
      <c r="A11940" s="0" t="s">
        <v>5629</v>
      </c>
      <c r="B11940" s="0" t="str">
        <f aca="false">HYPERLINK("https://lindat.mff.cuni.cz/services/teitok/pdtc10/index.php?action=vallex&amp;frame=v-w1554f1", "kopnout (v-w1554f1)")</f>
        <v>kopnout (v-w1554f1)</v>
      </c>
      <c r="E11940" s="0" t="str">
        <f aca="false">HYPERLINK("https://lindat.mff.cuni.cz/services/SynSemClass40/SynSemClass40.html?veclass=vec01403#vec01403-ces-cm00004", "vec01403")</f>
        <v>vec01403</v>
      </c>
      <c r="F11940" s="0" t="s">
        <v>5623</v>
      </c>
    </row>
    <row r="11941" customFormat="false" ht="12.8" hidden="false" customHeight="false" outlineLevel="0" collapsed="false">
      <c r="B11941" s="0" t="s">
        <v>1</v>
      </c>
      <c r="C11941" s="0" t="s">
        <v>4695</v>
      </c>
      <c r="E11941" s="0" t="s">
        <v>334</v>
      </c>
      <c r="F11941" s="0" t="s">
        <v>5245</v>
      </c>
    </row>
    <row r="11942" customFormat="false" ht="12.8" hidden="false" customHeight="false" outlineLevel="0" collapsed="false">
      <c r="B11942" s="0" t="s">
        <v>8</v>
      </c>
      <c r="C11942" s="0" t="s">
        <v>800</v>
      </c>
      <c r="E11942" s="0" t="s">
        <v>142</v>
      </c>
      <c r="F11942" s="0" t="s">
        <v>4496</v>
      </c>
    </row>
    <row r="11944" customFormat="false" ht="12.8" hidden="false" customHeight="false" outlineLevel="0" collapsed="false">
      <c r="A11944" s="0" t="s">
        <v>5630</v>
      </c>
      <c r="B11944" s="0" t="str">
        <f aca="false">HYPERLINK("https://lindat.mff.cuni.cz/services/teitok/pdtc10/index.php?action=vallex&amp;frame=v-w1552f2", "kopírovat (v-w1552f2)")</f>
        <v>kopírovat (v-w1552f2)</v>
      </c>
      <c r="E11944" s="0" t="str">
        <f aca="false">HYPERLINK("https://lindat.mff.cuni.cz/services/SynSemClass40/SynSemClass40.html?veclass=vec01109#vec01109-ces-cm00003", "vec01109")</f>
        <v>vec01109</v>
      </c>
      <c r="F11944" s="0" t="s">
        <v>5631</v>
      </c>
    </row>
    <row r="11945" customFormat="false" ht="12.8" hidden="false" customHeight="false" outlineLevel="0" collapsed="false">
      <c r="B11945" s="0" t="s">
        <v>1</v>
      </c>
      <c r="C11945" s="0" t="s">
        <v>3288</v>
      </c>
      <c r="E11945" s="0" t="s">
        <v>11</v>
      </c>
      <c r="F11945" s="0" t="s">
        <v>5632</v>
      </c>
    </row>
    <row r="11946" customFormat="false" ht="12.8" hidden="false" customHeight="false" outlineLevel="0" collapsed="false">
      <c r="B11946" s="0" t="s">
        <v>117</v>
      </c>
      <c r="C11946" s="0" t="s">
        <v>827</v>
      </c>
      <c r="E11946" s="0" t="s">
        <v>5633</v>
      </c>
      <c r="F11946" s="0" t="s">
        <v>5634</v>
      </c>
    </row>
    <row r="11948" customFormat="false" ht="12.8" hidden="false" customHeight="false" outlineLevel="0" collapsed="false">
      <c r="A11948" s="0" t="s">
        <v>5635</v>
      </c>
      <c r="B11948" s="0" t="str">
        <f aca="false">HYPERLINK("https://lindat.mff.cuni.cz/services/teitok/pdtc10/index.php?action=vallex&amp;frame=v-w1552f1", "kopírovat (v-w1552f1)")</f>
        <v>kopírovat (v-w1552f1)</v>
      </c>
      <c r="E11948" s="0" t="str">
        <f aca="false">HYPERLINK("https://lindat.mff.cuni.cz/services/SynSemClass40/SynSemClass40.html?veclass=vec01246#vec01246-ces-cm00001", "vec01246")</f>
        <v>vec01246</v>
      </c>
      <c r="F11948" s="0" t="s">
        <v>5636</v>
      </c>
    </row>
    <row r="11949" customFormat="false" ht="12.8" hidden="false" customHeight="false" outlineLevel="0" collapsed="false">
      <c r="B11949" s="0" t="s">
        <v>1</v>
      </c>
      <c r="C11949" s="0" t="s">
        <v>447</v>
      </c>
      <c r="E11949" s="0" t="s">
        <v>768</v>
      </c>
      <c r="F11949" s="0" t="s">
        <v>5637</v>
      </c>
    </row>
    <row r="11950" customFormat="false" ht="12.8" hidden="false" customHeight="false" outlineLevel="0" collapsed="false">
      <c r="B11950" s="0" t="s">
        <v>8</v>
      </c>
      <c r="C11950" s="0" t="s">
        <v>827</v>
      </c>
      <c r="E11950" s="0" t="s">
        <v>1569</v>
      </c>
      <c r="F11950" s="0" t="s">
        <v>5638</v>
      </c>
    </row>
    <row r="11952" customFormat="false" ht="12.8" hidden="false" customHeight="false" outlineLevel="0" collapsed="false">
      <c r="A11952" s="0" t="s">
        <v>5639</v>
      </c>
      <c r="B11952" s="0" t="str">
        <f aca="false">HYPERLINK("https://lindat.mff.cuni.cz/services/teitok/pdtc10/index.php?action=vallex&amp;frame=v-whsa_1878hsa_1879", "korepetovat (v-whsa_1878hsa_1879)")</f>
        <v>korepetovat (v-whsa_1878hsa_1879)</v>
      </c>
    </row>
    <row r="11953" customFormat="false" ht="12.8" hidden="false" customHeight="false" outlineLevel="0" collapsed="false">
      <c r="B11953" s="0" t="s">
        <v>1</v>
      </c>
    </row>
    <row r="11954" customFormat="false" ht="12.8" hidden="false" customHeight="false" outlineLevel="0" collapsed="false">
      <c r="B11954" s="0" t="s">
        <v>8</v>
      </c>
    </row>
    <row r="11956" customFormat="false" ht="12.8" hidden="false" customHeight="false" outlineLevel="0" collapsed="false">
      <c r="A11956" s="0" t="s">
        <v>5640</v>
      </c>
      <c r="B11956" s="0" t="str">
        <f aca="false">HYPERLINK("https://lindat.mff.cuni.cz/services/teitok/pdtc10/index.php?action=vallex&amp;frame=v-w1559f1", "korespondovat (v-w1559f1)")</f>
        <v>korespondovat (v-w1559f1)</v>
      </c>
      <c r="E11956" s="0" t="str">
        <f aca="false">HYPERLINK("https://lindat.mff.cuni.cz/services/SynSemClass40/SynSemClass40.html?veclass=vec00929#vec00929-ces-cm00002", "vec00929")</f>
        <v>vec00929</v>
      </c>
      <c r="F11956" s="0" t="s">
        <v>5641</v>
      </c>
    </row>
    <row r="11957" customFormat="false" ht="12.8" hidden="false" customHeight="false" outlineLevel="0" collapsed="false">
      <c r="B11957" s="0" t="s">
        <v>1</v>
      </c>
      <c r="C11957" s="0" t="s">
        <v>549</v>
      </c>
      <c r="E11957" s="0" t="s">
        <v>1971</v>
      </c>
      <c r="F11957" s="0" t="s">
        <v>5642</v>
      </c>
    </row>
    <row r="11958" customFormat="false" ht="12.8" hidden="false" customHeight="false" outlineLevel="0" collapsed="false">
      <c r="B11958" s="0" t="s">
        <v>721</v>
      </c>
      <c r="C11958" s="0" t="s">
        <v>5643</v>
      </c>
      <c r="E11958" s="0" t="s">
        <v>1976</v>
      </c>
      <c r="F11958" s="0" t="s">
        <v>5644</v>
      </c>
    </row>
    <row r="11960" customFormat="false" ht="12.8" hidden="false" customHeight="false" outlineLevel="0" collapsed="false">
      <c r="A11960" s="0" t="s">
        <v>5645</v>
      </c>
      <c r="B11960" s="0" t="str">
        <f aca="false">HYPERLINK("https://lindat.mff.cuni.cz/services/teitok/pdtc10/index.php?action=vallex&amp;frame=v-w1559f2", "korespondovat (v-w1559f2)")</f>
        <v>korespondovat (v-w1559f2)</v>
      </c>
    </row>
    <row r="11961" customFormat="false" ht="12.8" hidden="false" customHeight="false" outlineLevel="0" collapsed="false">
      <c r="B11961" s="0" t="s">
        <v>1</v>
      </c>
    </row>
    <row r="11962" customFormat="false" ht="12.8" hidden="false" customHeight="false" outlineLevel="0" collapsed="false">
      <c r="B11962" s="0" t="s">
        <v>276</v>
      </c>
    </row>
    <row r="11963" customFormat="false" ht="12.8" hidden="false" customHeight="false" outlineLevel="0" collapsed="false">
      <c r="B11963" s="0" t="s">
        <v>496</v>
      </c>
    </row>
    <row r="11965" customFormat="false" ht="12.8" hidden="false" customHeight="false" outlineLevel="0" collapsed="false">
      <c r="A11965" s="0" t="s">
        <v>5646</v>
      </c>
      <c r="B11965" s="0" t="str">
        <f aca="false">HYPERLINK("https://lindat.mff.cuni.cz/services/teitok/pdtc10/index.php?action=vallex&amp;frame=v-w1559f3_ZU", "korespondovat (v-w1559f3_ZU)")</f>
        <v>korespondovat (v-w1559f3_ZU)</v>
      </c>
    </row>
    <row r="11966" customFormat="false" ht="12.8" hidden="false" customHeight="false" outlineLevel="0" collapsed="false">
      <c r="B11966" s="0" t="s">
        <v>1</v>
      </c>
    </row>
    <row r="11967" customFormat="false" ht="12.8" hidden="false" customHeight="false" outlineLevel="0" collapsed="false">
      <c r="B11967" s="0" t="s">
        <v>8</v>
      </c>
    </row>
    <row r="11969" customFormat="false" ht="12.8" hidden="false" customHeight="false" outlineLevel="0" collapsed="false">
      <c r="A11969" s="0" t="s">
        <v>5647</v>
      </c>
      <c r="B11969" s="0" t="str">
        <f aca="false">HYPERLINK("https://lindat.mff.cuni.cz/services/teitok/pdtc10/index.php?action=vallex&amp;frame=v-w1560f1", "korigovat (v-w1560f1)")</f>
        <v>korigovat (v-w1560f1)</v>
      </c>
      <c r="E11969" s="0" t="str">
        <f aca="false">HYPERLINK("https://lindat.mff.cuni.cz/services/SynSemClass40/SynSemClass40.html?veclass=vec01416#vec01416-ces-cm00001", "vec01416")</f>
        <v>vec01416</v>
      </c>
      <c r="F11969" s="0" t="s">
        <v>5648</v>
      </c>
    </row>
    <row r="11970" customFormat="false" ht="12.8" hidden="false" customHeight="false" outlineLevel="0" collapsed="false">
      <c r="B11970" s="0" t="s">
        <v>1</v>
      </c>
      <c r="C11970" s="0" t="s">
        <v>5649</v>
      </c>
      <c r="E11970" s="0" t="s">
        <v>4581</v>
      </c>
      <c r="F11970" s="0" t="s">
        <v>5650</v>
      </c>
    </row>
    <row r="11971" customFormat="false" ht="12.8" hidden="false" customHeight="false" outlineLevel="0" collapsed="false">
      <c r="B11971" s="0" t="s">
        <v>8</v>
      </c>
      <c r="C11971" s="0" t="s">
        <v>5651</v>
      </c>
      <c r="E11971" s="0" t="s">
        <v>142</v>
      </c>
      <c r="F11971" s="0" t="s">
        <v>5652</v>
      </c>
    </row>
    <row r="11972" customFormat="false" ht="12.8" hidden="false" customHeight="false" outlineLevel="0" collapsed="false">
      <c r="B11972" s="0" t="s">
        <v>5653</v>
      </c>
      <c r="E11972" s="0" t="s">
        <v>5654</v>
      </c>
      <c r="F11972" s="0" t="s">
        <v>5655</v>
      </c>
    </row>
    <row r="11974" customFormat="false" ht="12.8" hidden="false" customHeight="false" outlineLevel="0" collapsed="false">
      <c r="A11974" s="0" t="s">
        <v>5656</v>
      </c>
      <c r="B11974" s="0" t="str">
        <f aca="false">HYPERLINK("https://lindat.mff.cuni.cz/services/teitok/pdtc10/index.php?action=vallex&amp;frame=v-w10472f2", "kormidlovat (v-w10472f2)")</f>
        <v>kormidlovat (v-w10472f2)</v>
      </c>
      <c r="E11974" s="0" t="str">
        <f aca="false">HYPERLINK("https://lindat.mff.cuni.cz/services/SynSemClass40/SynSemClass40.html?veclass=vec01037#vec01037-ces-cm00001", "vec01037")</f>
        <v>vec01037</v>
      </c>
      <c r="F11974" s="0" t="s">
        <v>5657</v>
      </c>
    </row>
    <row r="11975" customFormat="false" ht="12.8" hidden="false" customHeight="false" outlineLevel="0" collapsed="false">
      <c r="B11975" s="0" t="s">
        <v>1</v>
      </c>
      <c r="C11975" s="0" t="s">
        <v>3000</v>
      </c>
      <c r="E11975" s="0" t="s">
        <v>2027</v>
      </c>
      <c r="F11975" s="0" t="s">
        <v>5658</v>
      </c>
    </row>
    <row r="11976" customFormat="false" ht="12.8" hidden="false" customHeight="false" outlineLevel="0" collapsed="false">
      <c r="B11976" s="0" t="s">
        <v>8</v>
      </c>
      <c r="C11976" s="0" t="s">
        <v>1575</v>
      </c>
      <c r="E11976" s="0" t="s">
        <v>1995</v>
      </c>
      <c r="F11976" s="0" t="s">
        <v>5659</v>
      </c>
    </row>
    <row r="11978" customFormat="false" ht="12.8" hidden="false" customHeight="false" outlineLevel="0" collapsed="false">
      <c r="A11978" s="0" t="s">
        <v>5660</v>
      </c>
      <c r="B11978" s="0" t="str">
        <f aca="false">HYPERLINK("https://lindat.mff.cuni.cz/services/teitok/pdtc10/index.php?action=vallex&amp;frame=v-w1561f1", "korodovat (v-w1561f1)")</f>
        <v>korodovat (v-w1561f1)</v>
      </c>
    </row>
    <row r="11979" customFormat="false" ht="12.8" hidden="false" customHeight="false" outlineLevel="0" collapsed="false">
      <c r="B11979" s="0" t="s">
        <v>1</v>
      </c>
    </row>
    <row r="11981" customFormat="false" ht="12.8" hidden="false" customHeight="false" outlineLevel="0" collapsed="false">
      <c r="A11981" s="0" t="s">
        <v>5661</v>
      </c>
      <c r="B11981" s="0" t="str">
        <f aca="false">HYPERLINK("https://lindat.mff.cuni.cz/services/teitok/pdtc10/index.php?action=vallex&amp;frame=v-w1563f1", "korumpovat (v-w1563f1)")</f>
        <v>korumpovat (v-w1563f1)</v>
      </c>
    </row>
    <row r="11982" customFormat="false" ht="12.8" hidden="false" customHeight="false" outlineLevel="0" collapsed="false">
      <c r="B11982" s="0" t="s">
        <v>1</v>
      </c>
    </row>
    <row r="11983" customFormat="false" ht="12.8" hidden="false" customHeight="false" outlineLevel="0" collapsed="false">
      <c r="B11983" s="0" t="s">
        <v>8</v>
      </c>
    </row>
    <row r="11985" customFormat="false" ht="12.8" hidden="false" customHeight="false" outlineLevel="0" collapsed="false">
      <c r="A11985" s="0" t="s">
        <v>5662</v>
      </c>
      <c r="B11985" s="0" t="str">
        <f aca="false">HYPERLINK("https://lindat.mff.cuni.cz/services/teitok/pdtc10/index.php?action=vallex&amp;frame=v-w11514_ZUf2_ZU", "korunovat (v-w11514_ZUf2_ZU)")</f>
        <v>korunovat (v-w11514_ZUf2_ZU)</v>
      </c>
    </row>
    <row r="11986" customFormat="false" ht="12.8" hidden="false" customHeight="false" outlineLevel="0" collapsed="false">
      <c r="B11986" s="0" t="s">
        <v>1</v>
      </c>
    </row>
    <row r="11987" customFormat="false" ht="12.8" hidden="false" customHeight="false" outlineLevel="0" collapsed="false">
      <c r="B11987" s="0" t="s">
        <v>8</v>
      </c>
    </row>
    <row r="11988" customFormat="false" ht="12.8" hidden="false" customHeight="false" outlineLevel="0" collapsed="false">
      <c r="B11988" s="0" t="s">
        <v>5663</v>
      </c>
    </row>
    <row r="11990" customFormat="false" ht="12.8" hidden="false" customHeight="false" outlineLevel="0" collapsed="false">
      <c r="A11990" s="0" t="s">
        <v>5662</v>
      </c>
      <c r="B11990" s="0" t="str">
        <f aca="false">HYPERLINK("https://lindat.mff.cuni.cz/services/teitok/pdtc10/index.php?action=vallex&amp;frame=v-w11514_ZUf1_ZU", "korunovat (v-w11514_ZUf1_ZU) - substituted with v-w11514_ZUf2_ZU")</f>
        <v>korunovat (v-w11514_ZUf1_ZU) - substituted with v-w11514_ZUf2_ZU</v>
      </c>
    </row>
    <row r="11991" customFormat="false" ht="12.8" hidden="false" customHeight="false" outlineLevel="0" collapsed="false">
      <c r="B11991" s="0" t="s">
        <v>1</v>
      </c>
    </row>
    <row r="11992" customFormat="false" ht="12.8" hidden="false" customHeight="false" outlineLevel="0" collapsed="false">
      <c r="B11992" s="0" t="s">
        <v>8</v>
      </c>
    </row>
    <row r="11993" customFormat="false" ht="12.8" hidden="false" customHeight="false" outlineLevel="0" collapsed="false">
      <c r="B11993" s="0" t="s">
        <v>5663</v>
      </c>
    </row>
    <row r="11995" customFormat="false" ht="12.8" hidden="false" customHeight="false" outlineLevel="0" collapsed="false">
      <c r="A11995" s="0" t="s">
        <v>5664</v>
      </c>
      <c r="B11995" s="0" t="str">
        <f aca="false">HYPERLINK("https://lindat.mff.cuni.cz/services/teitok/pdtc10/index.php?action=vallex&amp;frame=v-w1564f1", "korunovat (v-w1564f1)")</f>
        <v>korunovat (v-w1564f1)</v>
      </c>
    </row>
    <row r="11996" customFormat="false" ht="12.8" hidden="false" customHeight="false" outlineLevel="0" collapsed="false">
      <c r="B11996" s="0" t="s">
        <v>1</v>
      </c>
    </row>
    <row r="11997" customFormat="false" ht="12.8" hidden="false" customHeight="false" outlineLevel="0" collapsed="false">
      <c r="B11997" s="0" t="s">
        <v>8</v>
      </c>
    </row>
    <row r="11999" customFormat="false" ht="12.8" hidden="false" customHeight="false" outlineLevel="0" collapsed="false">
      <c r="A11999" s="0" t="s">
        <v>5665</v>
      </c>
      <c r="B11999" s="0" t="str">
        <f aca="false">HYPERLINK("https://lindat.mff.cuni.cz/services/teitok/pdtc10/index.php?action=vallex&amp;frame=v-whsa_192hsa_193", "korzovat (v-whsa_192hsa_193)")</f>
        <v>korzovat (v-whsa_192hsa_193)</v>
      </c>
      <c r="E11999" s="0" t="str">
        <f aca="false">HYPERLINK("https://lindat.mff.cuni.cz/services/SynSemClass40/SynSemClass40.html?veclass=vec01025#vec01025-ces-cm00045", "vec01025")</f>
        <v>vec01025</v>
      </c>
      <c r="F11999" s="0" t="s">
        <v>332</v>
      </c>
    </row>
    <row r="12000" customFormat="false" ht="12.8" hidden="false" customHeight="false" outlineLevel="0" collapsed="false">
      <c r="B12000" s="0" t="s">
        <v>1</v>
      </c>
      <c r="C12000" s="0" t="s">
        <v>333</v>
      </c>
      <c r="E12000" s="0" t="s">
        <v>334</v>
      </c>
      <c r="F12000" s="0" t="s">
        <v>335</v>
      </c>
    </row>
    <row r="12002" customFormat="false" ht="12.8" hidden="false" customHeight="false" outlineLevel="0" collapsed="false">
      <c r="A12002" s="0" t="s">
        <v>5666</v>
      </c>
      <c r="B12002" s="0" t="str">
        <f aca="false">HYPERLINK("https://lindat.mff.cuni.cz/services/teitok/pdtc10/index.php?action=vallex&amp;frame=v-whsb_671hsa_672", "kosit (v-whsb_671hsa_672)")</f>
        <v>kosit (v-whsb_671hsa_672)</v>
      </c>
    </row>
    <row r="12003" customFormat="false" ht="12.8" hidden="false" customHeight="false" outlineLevel="0" collapsed="false">
      <c r="B12003" s="0" t="s">
        <v>1</v>
      </c>
    </row>
    <row r="12004" customFormat="false" ht="12.8" hidden="false" customHeight="false" outlineLevel="0" collapsed="false">
      <c r="B12004" s="0" t="s">
        <v>8</v>
      </c>
    </row>
    <row r="12006" customFormat="false" ht="12.8" hidden="false" customHeight="false" outlineLevel="0" collapsed="false">
      <c r="A12006" s="0" t="s">
        <v>5667</v>
      </c>
      <c r="B12006" s="0" t="str">
        <f aca="false">HYPERLINK("https://lindat.mff.cuni.cz/services/teitok/pdtc10/index.php?action=vallex&amp;frame=v-whsa_126f1_ZU", "kotovat (v-whsa_126f1_ZU)")</f>
        <v>kotovat (v-whsa_126f1_ZU)</v>
      </c>
      <c r="E12006" s="0" t="str">
        <f aca="false">HYPERLINK("https://lindat.mff.cuni.cz/services/SynSemClass40/SynSemClass40.html?veclass=vec00322#vec00322-ces-cm00122", "vec00322")</f>
        <v>vec00322</v>
      </c>
      <c r="F12006" s="0" t="s">
        <v>1343</v>
      </c>
    </row>
    <row r="12007" customFormat="false" ht="12.8" hidden="false" customHeight="false" outlineLevel="0" collapsed="false">
      <c r="B12007" s="0" t="s">
        <v>1</v>
      </c>
      <c r="C12007" s="0" t="s">
        <v>1344</v>
      </c>
      <c r="E12007" s="0" t="s">
        <v>206</v>
      </c>
      <c r="F12007" s="0" t="s">
        <v>1345</v>
      </c>
    </row>
    <row r="12008" customFormat="false" ht="12.8" hidden="false" customHeight="false" outlineLevel="0" collapsed="false">
      <c r="B12008" s="0" t="s">
        <v>8</v>
      </c>
      <c r="C12008" s="0" t="s">
        <v>1346</v>
      </c>
      <c r="E12008" s="0" t="s">
        <v>1347</v>
      </c>
      <c r="F12008" s="0" t="s">
        <v>1348</v>
      </c>
    </row>
    <row r="12009" customFormat="false" ht="12.8" hidden="false" customHeight="false" outlineLevel="0" collapsed="false">
      <c r="B12009" s="0" t="s">
        <v>101</v>
      </c>
      <c r="C12009" s="0" t="s">
        <v>1349</v>
      </c>
      <c r="E12009" s="0" t="s">
        <v>1350</v>
      </c>
      <c r="F12009" s="0" t="s">
        <v>1351</v>
      </c>
    </row>
    <row r="12011" customFormat="false" ht="12.8" hidden="false" customHeight="false" outlineLevel="0" collapsed="false">
      <c r="A12011" s="0" t="s">
        <v>5667</v>
      </c>
      <c r="B12011" s="0" t="str">
        <f aca="false">HYPERLINK("https://lindat.mff.cuni.cz/services/teitok/pdtc10/index.php?action=vallex&amp;frame=v-whsa_126hsa_127", "kotovat (v-whsa_126hsa_127) - substituted with v-whsa_126f1_ZU")</f>
        <v>kotovat (v-whsa_126hsa_127) - substituted with v-whsa_126f1_ZU</v>
      </c>
    </row>
    <row r="12012" customFormat="false" ht="12.8" hidden="false" customHeight="false" outlineLevel="0" collapsed="false">
      <c r="B12012" s="0" t="s">
        <v>1</v>
      </c>
    </row>
    <row r="12013" customFormat="false" ht="12.8" hidden="false" customHeight="false" outlineLevel="0" collapsed="false">
      <c r="B12013" s="0" t="s">
        <v>8</v>
      </c>
    </row>
    <row r="12014" customFormat="false" ht="12.8" hidden="false" customHeight="false" outlineLevel="0" collapsed="false">
      <c r="B12014" s="0" t="s">
        <v>101</v>
      </c>
    </row>
    <row r="12016" customFormat="false" ht="12.8" hidden="false" customHeight="false" outlineLevel="0" collapsed="false">
      <c r="A12016" s="0" t="s">
        <v>5668</v>
      </c>
      <c r="B12016" s="0" t="str">
        <f aca="false">HYPERLINK("https://lindat.mff.cuni.cz/services/teitok/pdtc10/index.php?action=vallex&amp;frame=v-w1568f2", "kotvit (v-w1568f2)")</f>
        <v>kotvit (v-w1568f2)</v>
      </c>
    </row>
    <row r="12017" customFormat="false" ht="12.8" hidden="false" customHeight="false" outlineLevel="0" collapsed="false">
      <c r="B12017" s="0" t="s">
        <v>1</v>
      </c>
    </row>
    <row r="12018" customFormat="false" ht="12.8" hidden="false" customHeight="false" outlineLevel="0" collapsed="false">
      <c r="B12018" s="0" t="s">
        <v>8</v>
      </c>
    </row>
    <row r="12019" customFormat="false" ht="12.8" hidden="false" customHeight="false" outlineLevel="0" collapsed="false">
      <c r="B12019" s="0" t="s">
        <v>164</v>
      </c>
    </row>
    <row r="12021" customFormat="false" ht="12.8" hidden="false" customHeight="false" outlineLevel="0" collapsed="false">
      <c r="A12021" s="0" t="s">
        <v>5669</v>
      </c>
      <c r="B12021" s="0" t="str">
        <f aca="false">HYPERLINK("https://lindat.mff.cuni.cz/services/teitok/pdtc10/index.php?action=vallex&amp;frame=v-w1568f1", "kotvit (v-w1568f1)")</f>
        <v>kotvit (v-w1568f1)</v>
      </c>
    </row>
    <row r="12022" customFormat="false" ht="12.8" hidden="false" customHeight="false" outlineLevel="0" collapsed="false">
      <c r="B12022" s="0" t="s">
        <v>1</v>
      </c>
    </row>
    <row r="12024" customFormat="false" ht="12.8" hidden="false" customHeight="false" outlineLevel="0" collapsed="false">
      <c r="A12024" s="0" t="s">
        <v>5670</v>
      </c>
      <c r="B12024" s="0" t="str">
        <f aca="false">HYPERLINK("https://lindat.mff.cuni.cz/services/teitok/pdtc10/index.php?action=vallex&amp;frame=v-w1570f5_ZU", "koukat (v-w1570f5_ZU)")</f>
        <v>koukat (v-w1570f5_ZU)</v>
      </c>
    </row>
    <row r="12025" customFormat="false" ht="12.8" hidden="false" customHeight="false" outlineLevel="0" collapsed="false">
      <c r="B12025" s="0" t="s">
        <v>1</v>
      </c>
    </row>
    <row r="12026" customFormat="false" ht="12.8" hidden="false" customHeight="false" outlineLevel="0" collapsed="false">
      <c r="B12026" s="0" t="s">
        <v>5671</v>
      </c>
    </row>
    <row r="12028" customFormat="false" ht="12.8" hidden="false" customHeight="false" outlineLevel="0" collapsed="false">
      <c r="A12028" s="0" t="s">
        <v>5670</v>
      </c>
      <c r="B12028" s="0" t="str">
        <f aca="false">HYPERLINK("https://lindat.mff.cuni.cz/services/teitok/pdtc10/index.php?action=vallex&amp;frame=v-w1570f2", "koukat (v-w1570f2) - substituted with v-w1570f5_ZU")</f>
        <v>koukat (v-w1570f2) - substituted with v-w1570f5_ZU</v>
      </c>
    </row>
    <row r="12029" customFormat="false" ht="12.8" hidden="false" customHeight="false" outlineLevel="0" collapsed="false">
      <c r="B12029" s="0" t="s">
        <v>1</v>
      </c>
    </row>
    <row r="12030" customFormat="false" ht="12.8" hidden="false" customHeight="false" outlineLevel="0" collapsed="false">
      <c r="B12030" s="0" t="s">
        <v>5671</v>
      </c>
    </row>
    <row r="12032" customFormat="false" ht="12.8" hidden="false" customHeight="false" outlineLevel="0" collapsed="false">
      <c r="A12032" s="0" t="s">
        <v>5672</v>
      </c>
      <c r="B12032" s="0" t="str">
        <f aca="false">HYPERLINK("https://lindat.mff.cuni.cz/services/teitok/pdtc10/index.php?action=vallex&amp;frame=v-w1570f12_ZU", "koukat (v-w1570f12_ZU)")</f>
        <v>koukat (v-w1570f12_ZU)</v>
      </c>
    </row>
    <row r="12033" customFormat="false" ht="12.8" hidden="false" customHeight="false" outlineLevel="0" collapsed="false">
      <c r="B12033" s="0" t="s">
        <v>1</v>
      </c>
    </row>
    <row r="12034" customFormat="false" ht="12.8" hidden="false" customHeight="false" outlineLevel="0" collapsed="false">
      <c r="B12034" s="0" t="s">
        <v>5673</v>
      </c>
    </row>
    <row r="12036" customFormat="false" ht="12.8" hidden="false" customHeight="false" outlineLevel="0" collapsed="false">
      <c r="A12036" s="0" t="s">
        <v>5672</v>
      </c>
      <c r="B12036" s="0" t="str">
        <f aca="false">HYPERLINK("https://lindat.mff.cuni.cz/services/teitok/pdtc10/index.php?action=vallex&amp;frame=v-w1570f1", "koukat (v-w1570f1) - substituted with v-w1570f12_ZU")</f>
        <v>koukat (v-w1570f1) - substituted with v-w1570f12_ZU</v>
      </c>
    </row>
    <row r="12037" customFormat="false" ht="12.8" hidden="false" customHeight="false" outlineLevel="0" collapsed="false">
      <c r="B12037" s="0" t="s">
        <v>1</v>
      </c>
    </row>
    <row r="12038" customFormat="false" ht="12.8" hidden="false" customHeight="false" outlineLevel="0" collapsed="false">
      <c r="B12038" s="0" t="s">
        <v>5673</v>
      </c>
    </row>
    <row r="12040" customFormat="false" ht="12.8" hidden="false" customHeight="false" outlineLevel="0" collapsed="false">
      <c r="A12040" s="0" t="s">
        <v>5672</v>
      </c>
      <c r="B12040" s="0" t="str">
        <f aca="false">HYPERLINK("https://lindat.mff.cuni.cz/services/teitok/pdtc10/index.php?action=vallex&amp;frame=v-w1570f11_ZU", "koukat (v-w1570f11_ZU) - substituted with v-w1570f12_ZU")</f>
        <v>koukat (v-w1570f11_ZU) - substituted with v-w1570f12_ZU</v>
      </c>
    </row>
    <row r="12041" customFormat="false" ht="12.8" hidden="false" customHeight="false" outlineLevel="0" collapsed="false">
      <c r="B12041" s="0" t="s">
        <v>1</v>
      </c>
    </row>
    <row r="12042" customFormat="false" ht="12.8" hidden="false" customHeight="false" outlineLevel="0" collapsed="false">
      <c r="B12042" s="0" t="s">
        <v>5673</v>
      </c>
    </row>
    <row r="12044" customFormat="false" ht="12.8" hidden="false" customHeight="false" outlineLevel="0" collapsed="false">
      <c r="A12044" s="0" t="s">
        <v>5672</v>
      </c>
      <c r="B12044" s="0" t="str">
        <f aca="false">HYPERLINK("https://lindat.mff.cuni.cz/services/teitok/pdtc10/index.php?action=vallex&amp;frame=v-w1570f4_ZU", "koukat (v-w1570f4_ZU) - substituted with v-w1570f12_ZU")</f>
        <v>koukat (v-w1570f4_ZU) - substituted with v-w1570f12_ZU</v>
      </c>
    </row>
    <row r="12045" customFormat="false" ht="12.8" hidden="false" customHeight="false" outlineLevel="0" collapsed="false">
      <c r="B12045" s="0" t="s">
        <v>1</v>
      </c>
    </row>
    <row r="12046" customFormat="false" ht="12.8" hidden="false" customHeight="false" outlineLevel="0" collapsed="false">
      <c r="B12046" s="0" t="s">
        <v>5673</v>
      </c>
    </row>
    <row r="12048" customFormat="false" ht="12.8" hidden="false" customHeight="false" outlineLevel="0" collapsed="false">
      <c r="A12048" s="0" t="s">
        <v>5672</v>
      </c>
      <c r="B12048" s="0" t="str">
        <f aca="false">HYPERLINK("https://lindat.mff.cuni.cz/services/teitok/pdtc10/index.php?action=vallex&amp;frame=v-w1570f7_ZU", "koukat (v-w1570f7_ZU) - substituted with v-w1570f12_ZU")</f>
        <v>koukat (v-w1570f7_ZU) - substituted with v-w1570f12_ZU</v>
      </c>
    </row>
    <row r="12049" customFormat="false" ht="12.8" hidden="false" customHeight="false" outlineLevel="0" collapsed="false">
      <c r="B12049" s="0" t="s">
        <v>1</v>
      </c>
    </row>
    <row r="12050" customFormat="false" ht="12.8" hidden="false" customHeight="false" outlineLevel="0" collapsed="false">
      <c r="B12050" s="0" t="s">
        <v>5673</v>
      </c>
    </row>
    <row r="12052" customFormat="false" ht="12.8" hidden="false" customHeight="false" outlineLevel="0" collapsed="false">
      <c r="A12052" s="0" t="s">
        <v>5672</v>
      </c>
      <c r="B12052" s="0" t="str">
        <f aca="false">HYPERLINK("https://lindat.mff.cuni.cz/services/teitok/pdtc10/index.php?action=vallex&amp;frame=v-w1570f8_ZU", "koukat (v-w1570f8_ZU) - substituted with v-w1570f12_ZU")</f>
        <v>koukat (v-w1570f8_ZU) - substituted with v-w1570f12_ZU</v>
      </c>
    </row>
    <row r="12053" customFormat="false" ht="12.8" hidden="false" customHeight="false" outlineLevel="0" collapsed="false">
      <c r="B12053" s="0" t="s">
        <v>1</v>
      </c>
    </row>
    <row r="12054" customFormat="false" ht="12.8" hidden="false" customHeight="false" outlineLevel="0" collapsed="false">
      <c r="B12054" s="0" t="s">
        <v>5673</v>
      </c>
    </row>
    <row r="12056" customFormat="false" ht="12.8" hidden="false" customHeight="false" outlineLevel="0" collapsed="false">
      <c r="A12056" s="0" t="s">
        <v>5672</v>
      </c>
      <c r="B12056" s="0" t="str">
        <f aca="false">HYPERLINK("https://lindat.mff.cuni.cz/services/teitok/pdtc10/index.php?action=vallex&amp;frame=v-w1570f9_ZU", "koukat (v-w1570f9_ZU) - substituted with v-w1570f12_ZU")</f>
        <v>koukat (v-w1570f9_ZU) - substituted with v-w1570f12_ZU</v>
      </c>
    </row>
    <row r="12057" customFormat="false" ht="12.8" hidden="false" customHeight="false" outlineLevel="0" collapsed="false">
      <c r="B12057" s="0" t="s">
        <v>1</v>
      </c>
    </row>
    <row r="12058" customFormat="false" ht="12.8" hidden="false" customHeight="false" outlineLevel="0" collapsed="false">
      <c r="B12058" s="0" t="s">
        <v>5673</v>
      </c>
    </row>
    <row r="12060" customFormat="false" ht="12.8" hidden="false" customHeight="false" outlineLevel="0" collapsed="false">
      <c r="A12060" s="0" t="s">
        <v>5674</v>
      </c>
      <c r="B12060" s="0" t="str">
        <f aca="false">HYPERLINK("https://lindat.mff.cuni.cz/services/teitok/pdtc10/index.php?action=vallex&amp;frame=v-w1570f3", "koukat (v-w1570f3)")</f>
        <v>koukat (v-w1570f3)</v>
      </c>
      <c r="E12060" s="0" t="str">
        <f aca="false">HYPERLINK("https://lindat.mff.cuni.cz/services/SynSemClass40/SynSemClass40.html?veclass=vec00869#vec00869-ces-cm00009", "vec00869")</f>
        <v>vec00869</v>
      </c>
      <c r="F12060" s="0" t="s">
        <v>3855</v>
      </c>
    </row>
    <row r="12061" customFormat="false" ht="12.8" hidden="false" customHeight="false" outlineLevel="0" collapsed="false">
      <c r="B12061" s="0" t="s">
        <v>1</v>
      </c>
      <c r="C12061" s="0" t="s">
        <v>3727</v>
      </c>
      <c r="E12061" s="0" t="s">
        <v>3856</v>
      </c>
      <c r="F12061" s="0" t="s">
        <v>3857</v>
      </c>
    </row>
    <row r="12062" customFormat="false" ht="12.8" hidden="false" customHeight="false" outlineLevel="0" collapsed="false">
      <c r="B12062" s="0" t="s">
        <v>164</v>
      </c>
      <c r="C12062" s="0" t="s">
        <v>3858</v>
      </c>
      <c r="E12062" s="0" t="s">
        <v>388</v>
      </c>
      <c r="F12062" s="0" t="s">
        <v>3859</v>
      </c>
    </row>
    <row r="12064" customFormat="false" ht="12.8" hidden="false" customHeight="false" outlineLevel="0" collapsed="false">
      <c r="A12064" s="0" t="s">
        <v>5675</v>
      </c>
      <c r="B12064" s="0" t="str">
        <f aca="false">HYPERLINK("https://lindat.mff.cuni.cz/services/teitok/pdtc10/index.php?action=vallex&amp;frame=v-w1570f6_ZU", "koukat (v-w1570f6_ZU)")</f>
        <v>koukat (v-w1570f6_ZU)</v>
      </c>
    </row>
    <row r="12065" customFormat="false" ht="12.8" hidden="false" customHeight="false" outlineLevel="0" collapsed="false">
      <c r="B12065" s="0" t="s">
        <v>1</v>
      </c>
    </row>
    <row r="12066" customFormat="false" ht="12.8" hidden="false" customHeight="false" outlineLevel="0" collapsed="false">
      <c r="B12066" s="0" t="s">
        <v>45</v>
      </c>
    </row>
    <row r="12068" customFormat="false" ht="12.8" hidden="false" customHeight="false" outlineLevel="0" collapsed="false">
      <c r="A12068" s="0" t="s">
        <v>5676</v>
      </c>
      <c r="B12068" s="0" t="str">
        <f aca="false">HYPERLINK("https://lindat.mff.cuni.cz/services/teitok/pdtc10/index.php?action=vallex&amp;frame=v-w1570f10_ZU", "koukat (v-w1570f10_ZU)")</f>
        <v>koukat (v-w1570f10_ZU)</v>
      </c>
    </row>
    <row r="12069" customFormat="false" ht="12.8" hidden="false" customHeight="false" outlineLevel="0" collapsed="false">
      <c r="B12069" s="0" t="s">
        <v>1</v>
      </c>
    </row>
    <row r="12070" customFormat="false" ht="12.8" hidden="false" customHeight="false" outlineLevel="0" collapsed="false">
      <c r="B12070" s="0" t="s">
        <v>1659</v>
      </c>
    </row>
    <row r="12072" customFormat="false" ht="12.8" hidden="false" customHeight="false" outlineLevel="0" collapsed="false">
      <c r="A12072" s="0" t="s">
        <v>5676</v>
      </c>
      <c r="B12072" s="0" t="str">
        <f aca="false">HYPERLINK("https://lindat.mff.cuni.cz/services/teitok/pdtc10/index.php?action=vallex&amp;frame=v-w1570hsa_1671", "koukat (v-w1570hsa_1671) - substituted with v-w1570f10_ZU")</f>
        <v>koukat (v-w1570hsa_1671) - substituted with v-w1570f10_ZU</v>
      </c>
    </row>
    <row r="12073" customFormat="false" ht="12.8" hidden="false" customHeight="false" outlineLevel="0" collapsed="false">
      <c r="B12073" s="0" t="s">
        <v>1</v>
      </c>
    </row>
    <row r="12074" customFormat="false" ht="12.8" hidden="false" customHeight="false" outlineLevel="0" collapsed="false">
      <c r="B12074" s="0" t="s">
        <v>1659</v>
      </c>
    </row>
    <row r="12076" customFormat="false" ht="12.8" hidden="false" customHeight="false" outlineLevel="0" collapsed="false">
      <c r="A12076" s="0" t="s">
        <v>5677</v>
      </c>
      <c r="B12076" s="0" t="str">
        <f aca="false">HYPERLINK("https://lindat.mff.cuni.cz/services/teitok/pdtc10/index.php?action=vallex&amp;frame=v-w1570f13_MM", "koukat (v-w1570f13_MM)")</f>
        <v>koukat (v-w1570f13_MM)</v>
      </c>
    </row>
    <row r="12077" customFormat="false" ht="12.8" hidden="false" customHeight="false" outlineLevel="0" collapsed="false">
      <c r="B12077" s="0" t="s">
        <v>1</v>
      </c>
    </row>
    <row r="12078" customFormat="false" ht="12.8" hidden="false" customHeight="false" outlineLevel="0" collapsed="false">
      <c r="B12078" s="0" t="s">
        <v>5678</v>
      </c>
    </row>
    <row r="12080" customFormat="false" ht="12.8" hidden="false" customHeight="false" outlineLevel="0" collapsed="false">
      <c r="A12080" s="0" t="s">
        <v>5679</v>
      </c>
      <c r="B12080" s="0" t="str">
        <f aca="false">HYPERLINK("https://lindat.mff.cuni.cz/services/teitok/pdtc10/index.php?action=vallex&amp;frame=v-w1570hsa_1670", "koukat (v-w1570hsa_1670)")</f>
        <v>koukat (v-w1570hsa_1670)</v>
      </c>
    </row>
    <row r="12081" customFormat="false" ht="12.8" hidden="false" customHeight="false" outlineLevel="0" collapsed="false">
      <c r="B12081" s="0" t="s">
        <v>1</v>
      </c>
    </row>
    <row r="12083" customFormat="false" ht="12.8" hidden="false" customHeight="false" outlineLevel="0" collapsed="false">
      <c r="A12083" s="0" t="s">
        <v>5680</v>
      </c>
      <c r="B12083" s="0" t="str">
        <f aca="false">HYPERLINK("https://lindat.mff.cuni.cz/services/teitok/pdtc10/index.php?action=vallex&amp;frame=v-w1570hsa_1672", "koukat (v-w1570hsa_1672)")</f>
        <v>koukat (v-w1570hsa_1672)</v>
      </c>
    </row>
    <row r="12084" customFormat="false" ht="12.8" hidden="false" customHeight="false" outlineLevel="0" collapsed="false">
      <c r="B12084" s="0" t="s">
        <v>4320</v>
      </c>
    </row>
    <row r="12086" customFormat="false" ht="12.8" hidden="false" customHeight="false" outlineLevel="0" collapsed="false">
      <c r="A12086" s="0" t="s">
        <v>5681</v>
      </c>
      <c r="B12086" s="0" t="str">
        <f aca="false">HYPERLINK("https://lindat.mff.cuni.cz/services/teitok/pdtc10/index.php?action=vallex&amp;frame=v-w1571hsa_723", "koukat se (v-w1571hsa_723)")</f>
        <v>koukat se (v-w1571hsa_723)</v>
      </c>
    </row>
    <row r="12087" customFormat="false" ht="12.8" hidden="false" customHeight="false" outlineLevel="0" collapsed="false">
      <c r="B12087" s="0" t="s">
        <v>1</v>
      </c>
    </row>
    <row r="12088" customFormat="false" ht="12.8" hidden="false" customHeight="false" outlineLevel="0" collapsed="false">
      <c r="B12088" s="0" t="s">
        <v>5682</v>
      </c>
    </row>
    <row r="12090" customFormat="false" ht="12.8" hidden="false" customHeight="false" outlineLevel="0" collapsed="false">
      <c r="A12090" s="0" t="s">
        <v>5681</v>
      </c>
      <c r="B12090" s="0" t="str">
        <f aca="false">HYPERLINK("https://lindat.mff.cuni.cz/services/teitok/pdtc10/index.php?action=vallex&amp;frame=v-w1571f2", "koukat se (v-w1571f2) - substituted with v-w1571hsa_723")</f>
        <v>koukat se (v-w1571f2) - substituted with v-w1571hsa_723</v>
      </c>
    </row>
    <row r="12091" customFormat="false" ht="12.8" hidden="false" customHeight="false" outlineLevel="0" collapsed="false">
      <c r="B12091" s="0" t="s">
        <v>1</v>
      </c>
    </row>
    <row r="12092" customFormat="false" ht="12.8" hidden="false" customHeight="false" outlineLevel="0" collapsed="false">
      <c r="B12092" s="0" t="s">
        <v>5682</v>
      </c>
    </row>
    <row r="12094" customFormat="false" ht="12.8" hidden="false" customHeight="false" outlineLevel="0" collapsed="false">
      <c r="A12094" s="0" t="s">
        <v>5683</v>
      </c>
      <c r="B12094" s="0" t="str">
        <f aca="false">HYPERLINK("https://lindat.mff.cuni.cz/services/teitok/pdtc10/index.php?action=vallex&amp;frame=v-w1571f1", "koukat se (v-w1571f1)")</f>
        <v>koukat se (v-w1571f1)</v>
      </c>
    </row>
    <row r="12095" customFormat="false" ht="12.8" hidden="false" customHeight="false" outlineLevel="0" collapsed="false">
      <c r="B12095" s="0" t="s">
        <v>1</v>
      </c>
    </row>
    <row r="12096" customFormat="false" ht="12.8" hidden="false" customHeight="false" outlineLevel="0" collapsed="false">
      <c r="B12096" s="0" t="s">
        <v>164</v>
      </c>
    </row>
    <row r="12098" customFormat="false" ht="12.8" hidden="false" customHeight="false" outlineLevel="0" collapsed="false">
      <c r="A12098" s="0" t="s">
        <v>5684</v>
      </c>
      <c r="B12098" s="0" t="str">
        <f aca="false">HYPERLINK("https://lindat.mff.cuni.cz/services/teitok/pdtc10/index.php?action=vallex&amp;frame=v-w11193f2", "kouknout (v-w11193f2)")</f>
        <v>kouknout (v-w11193f2)</v>
      </c>
    </row>
    <row r="12099" customFormat="false" ht="12.8" hidden="false" customHeight="false" outlineLevel="0" collapsed="false">
      <c r="B12099" s="0" t="s">
        <v>1</v>
      </c>
    </row>
    <row r="12100" customFormat="false" ht="12.8" hidden="false" customHeight="false" outlineLevel="0" collapsed="false">
      <c r="B12100" s="0" t="s">
        <v>1679</v>
      </c>
    </row>
    <row r="12102" customFormat="false" ht="12.8" hidden="false" customHeight="false" outlineLevel="0" collapsed="false">
      <c r="A12102" s="0" t="s">
        <v>5685</v>
      </c>
      <c r="B12102" s="0" t="str">
        <f aca="false">HYPERLINK("https://lindat.mff.cuni.cz/services/teitok/pdtc10/index.php?action=vallex&amp;frame=v-w11193hsa_1001", "kouknout (v-w11193hsa_1001)")</f>
        <v>kouknout (v-w11193hsa_1001)</v>
      </c>
    </row>
    <row r="12103" customFormat="false" ht="12.8" hidden="false" customHeight="false" outlineLevel="0" collapsed="false">
      <c r="B12103" s="0" t="s">
        <v>1</v>
      </c>
    </row>
    <row r="12104" customFormat="false" ht="12.8" hidden="false" customHeight="false" outlineLevel="0" collapsed="false">
      <c r="B12104" s="0" t="s">
        <v>164</v>
      </c>
    </row>
    <row r="12106" customFormat="false" ht="12.8" hidden="false" customHeight="false" outlineLevel="0" collapsed="false">
      <c r="A12106" s="0" t="s">
        <v>5686</v>
      </c>
      <c r="B12106" s="0" t="str">
        <f aca="false">HYPERLINK("https://lindat.mff.cuni.cz/services/teitok/pdtc10/index.php?action=vallex&amp;frame=v-whsa_1942hsa_1943", "kouknout se (v-whsa_1942hsa_1943)")</f>
        <v>kouknout se (v-whsa_1942hsa_1943)</v>
      </c>
    </row>
    <row r="12107" customFormat="false" ht="12.8" hidden="false" customHeight="false" outlineLevel="0" collapsed="false">
      <c r="B12107" s="0" t="s">
        <v>1</v>
      </c>
    </row>
    <row r="12108" customFormat="false" ht="12.8" hidden="false" customHeight="false" outlineLevel="0" collapsed="false">
      <c r="B12108" s="0" t="s">
        <v>164</v>
      </c>
    </row>
    <row r="12110" customFormat="false" ht="12.8" hidden="false" customHeight="false" outlineLevel="0" collapsed="false">
      <c r="A12110" s="0" t="s">
        <v>5687</v>
      </c>
      <c r="B12110" s="0" t="str">
        <f aca="false">HYPERLINK("https://lindat.mff.cuni.cz/services/teitok/pdtc10/index.php?action=vallex&amp;frame=v-w12347_MMf1_MM", "koulovat (v-w12347_MMf1_MM)")</f>
        <v>koulovat (v-w12347_MMf1_MM)</v>
      </c>
    </row>
    <row r="12111" customFormat="false" ht="12.8" hidden="false" customHeight="false" outlineLevel="0" collapsed="false">
      <c r="B12111" s="0" t="s">
        <v>1</v>
      </c>
    </row>
    <row r="12112" customFormat="false" ht="12.8" hidden="false" customHeight="false" outlineLevel="0" collapsed="false">
      <c r="B12112" s="0" t="s">
        <v>8</v>
      </c>
    </row>
    <row r="12114" customFormat="false" ht="12.8" hidden="false" customHeight="false" outlineLevel="0" collapsed="false">
      <c r="A12114" s="0" t="s">
        <v>5688</v>
      </c>
      <c r="B12114" s="0" t="str">
        <f aca="false">HYPERLINK("https://lindat.mff.cuni.cz/services/teitok/pdtc10/index.php?action=vallex&amp;frame=v-w1573f1", "koupat (v-w1573f1)")</f>
        <v>koupat (v-w1573f1)</v>
      </c>
      <c r="E12114" s="0" t="str">
        <f aca="false">HYPERLINK("https://lindat.mff.cuni.cz/services/SynSemClass40/SynSemClass40.html?veclass=vec01525#vec01525-ces-cm00002", "vec01525")</f>
        <v>vec01525</v>
      </c>
      <c r="F12114" s="0" t="s">
        <v>5689</v>
      </c>
    </row>
    <row r="12115" customFormat="false" ht="12.8" hidden="false" customHeight="false" outlineLevel="0" collapsed="false">
      <c r="B12115" s="0" t="s">
        <v>1</v>
      </c>
      <c r="C12115" s="0" t="s">
        <v>4114</v>
      </c>
      <c r="E12115" s="0" t="s">
        <v>5690</v>
      </c>
      <c r="F12115" s="0" t="s">
        <v>5691</v>
      </c>
    </row>
    <row r="12116" customFormat="false" ht="12.8" hidden="false" customHeight="false" outlineLevel="0" collapsed="false">
      <c r="B12116" s="0" t="s">
        <v>8</v>
      </c>
      <c r="C12116" s="0" t="s">
        <v>5692</v>
      </c>
      <c r="E12116" s="0" t="s">
        <v>5693</v>
      </c>
      <c r="F12116" s="0" t="s">
        <v>5694</v>
      </c>
    </row>
    <row r="12118" customFormat="false" ht="12.8" hidden="false" customHeight="false" outlineLevel="0" collapsed="false">
      <c r="A12118" s="0" t="s">
        <v>5695</v>
      </c>
      <c r="B12118" s="0" t="str">
        <f aca="false">HYPERLINK("https://lindat.mff.cuni.cz/services/teitok/pdtc10/index.php?action=vallex&amp;frame=v-w1574f1", "koupat se (v-w1574f1)")</f>
        <v>koupat se (v-w1574f1)</v>
      </c>
    </row>
    <row r="12119" customFormat="false" ht="12.8" hidden="false" customHeight="false" outlineLevel="0" collapsed="false">
      <c r="B12119" s="0" t="s">
        <v>1</v>
      </c>
    </row>
    <row r="12121" customFormat="false" ht="12.8" hidden="false" customHeight="false" outlineLevel="0" collapsed="false">
      <c r="A12121" s="0" t="s">
        <v>5696</v>
      </c>
      <c r="B12121" s="0" t="str">
        <f aca="false">HYPERLINK("https://lindat.mff.cuni.cz/services/teitok/pdtc10/index.php?action=vallex&amp;frame=v-w1574f2", "koupat se (v-w1574f2)")</f>
        <v>koupat se (v-w1574f2)</v>
      </c>
      <c r="E12121" s="0" t="str">
        <f aca="false">HYPERLINK("https://lindat.mff.cuni.cz/services/SynSemClass40/SynSemClass40.html?veclass=vec01525#vec01525-ces-cm00004", "vec01525")</f>
        <v>vec01525</v>
      </c>
      <c r="F12121" s="0" t="s">
        <v>5689</v>
      </c>
    </row>
    <row r="12122" customFormat="false" ht="12.8" hidden="false" customHeight="false" outlineLevel="0" collapsed="false">
      <c r="B12122" s="0" t="s">
        <v>1</v>
      </c>
      <c r="C12122" s="0" t="s">
        <v>5697</v>
      </c>
      <c r="E12122" s="0" t="s">
        <v>5698</v>
      </c>
      <c r="F12122" s="0" t="s">
        <v>5699</v>
      </c>
    </row>
    <row r="12124" customFormat="false" ht="12.8" hidden="false" customHeight="false" outlineLevel="0" collapsed="false">
      <c r="A12124" s="0" t="s">
        <v>5700</v>
      </c>
      <c r="B12124" s="0" t="str">
        <f aca="false">HYPERLINK("https://lindat.mff.cuni.cz/services/teitok/pdtc10/index.php?action=vallex&amp;frame=v-w1578f2_ZU", "koupit (v-w1578f2_ZU)")</f>
        <v>koupit (v-w1578f2_ZU)</v>
      </c>
    </row>
    <row r="12125" customFormat="false" ht="12.8" hidden="false" customHeight="false" outlineLevel="0" collapsed="false">
      <c r="B12125" s="0" t="s">
        <v>1</v>
      </c>
    </row>
    <row r="12126" customFormat="false" ht="12.8" hidden="false" customHeight="false" outlineLevel="0" collapsed="false">
      <c r="B12126" s="0" t="s">
        <v>305</v>
      </c>
    </row>
    <row r="12127" customFormat="false" ht="12.8" hidden="false" customHeight="false" outlineLevel="0" collapsed="false">
      <c r="B12127" s="0" t="s">
        <v>2410</v>
      </c>
    </row>
    <row r="12128" customFormat="false" ht="12.8" hidden="false" customHeight="false" outlineLevel="0" collapsed="false">
      <c r="B12128" s="0" t="s">
        <v>602</v>
      </c>
    </row>
    <row r="12130" customFormat="false" ht="12.8" hidden="false" customHeight="false" outlineLevel="0" collapsed="false">
      <c r="A12130" s="0" t="s">
        <v>5700</v>
      </c>
      <c r="B12130" s="0" t="str">
        <f aca="false">HYPERLINK("https://lindat.mff.cuni.cz/services/teitok/pdtc10/index.php?action=vallex&amp;frame=v-w1578f1", "koupit (v-w1578f1) - substituted with v-w1578f2_ZU")</f>
        <v>koupit (v-w1578f1) - substituted with v-w1578f2_ZU</v>
      </c>
      <c r="E12130" s="0" t="str">
        <f aca="false">HYPERLINK("https://lindat.mff.cuni.cz/services/SynSemClass40/SynSemClass40.html?veclass=vec00035#vec00035-ces-cm00002", "vec00035")</f>
        <v>vec00035</v>
      </c>
      <c r="F12130" s="0" t="s">
        <v>5701</v>
      </c>
    </row>
    <row r="12131" customFormat="false" ht="12.8" hidden="false" customHeight="false" outlineLevel="0" collapsed="false">
      <c r="B12131" s="0" t="s">
        <v>1</v>
      </c>
      <c r="C12131" s="0" t="s">
        <v>5702</v>
      </c>
      <c r="E12131" s="0" t="s">
        <v>5703</v>
      </c>
      <c r="F12131" s="0" t="s">
        <v>5704</v>
      </c>
    </row>
    <row r="12132" customFormat="false" ht="12.8" hidden="false" customHeight="false" outlineLevel="0" collapsed="false">
      <c r="B12132" s="0" t="s">
        <v>305</v>
      </c>
      <c r="C12132" s="0" t="s">
        <v>5705</v>
      </c>
      <c r="E12132" s="0" t="s">
        <v>3201</v>
      </c>
      <c r="F12132" s="0" t="s">
        <v>5706</v>
      </c>
    </row>
    <row r="12133" customFormat="false" ht="12.8" hidden="false" customHeight="false" outlineLevel="0" collapsed="false">
      <c r="B12133" s="0" t="s">
        <v>2410</v>
      </c>
      <c r="C12133" s="0" t="s">
        <v>5707</v>
      </c>
      <c r="E12133" s="0" t="s">
        <v>4235</v>
      </c>
      <c r="F12133" s="0" t="s">
        <v>5708</v>
      </c>
    </row>
    <row r="12134" customFormat="false" ht="12.8" hidden="false" customHeight="false" outlineLevel="0" collapsed="false">
      <c r="B12134" s="0" t="s">
        <v>602</v>
      </c>
      <c r="C12134" s="0" t="s">
        <v>5709</v>
      </c>
      <c r="E12134" s="0" t="s">
        <v>5710</v>
      </c>
      <c r="F12134" s="0" t="s">
        <v>5711</v>
      </c>
    </row>
    <row r="12136" customFormat="false" ht="12.8" hidden="false" customHeight="false" outlineLevel="0" collapsed="false">
      <c r="A12136" s="0" t="s">
        <v>5712</v>
      </c>
      <c r="B12136" s="0" t="str">
        <f aca="false">HYPERLINK("https://lindat.mff.cuni.cz/services/teitok/pdtc10/index.php?action=vallex&amp;frame=v-w1581f1", "kousat (v-w1581f1)")</f>
        <v>kousat (v-w1581f1)</v>
      </c>
    </row>
    <row r="12137" customFormat="false" ht="12.8" hidden="false" customHeight="false" outlineLevel="0" collapsed="false">
      <c r="B12137" s="0" t="s">
        <v>1</v>
      </c>
    </row>
    <row r="12138" customFormat="false" ht="12.8" hidden="false" customHeight="false" outlineLevel="0" collapsed="false">
      <c r="B12138" s="0" t="s">
        <v>8</v>
      </c>
    </row>
    <row r="12140" customFormat="false" ht="12.8" hidden="false" customHeight="false" outlineLevel="0" collapsed="false">
      <c r="A12140" s="0" t="s">
        <v>5713</v>
      </c>
      <c r="B12140" s="0" t="str">
        <f aca="false">HYPERLINK("https://lindat.mff.cuni.cz/services/teitok/pdtc10/index.php?action=vallex&amp;frame=v-w1581hsa_2058", "kousat (v-w1581hsa_2058)")</f>
        <v>kousat (v-w1581hsa_2058)</v>
      </c>
    </row>
    <row r="12141" customFormat="false" ht="12.8" hidden="false" customHeight="false" outlineLevel="0" collapsed="false">
      <c r="B12141" s="0" t="s">
        <v>1</v>
      </c>
    </row>
    <row r="12142" customFormat="false" ht="12.8" hidden="false" customHeight="false" outlineLevel="0" collapsed="false">
      <c r="B12142" s="0" t="s">
        <v>5714</v>
      </c>
    </row>
    <row r="12144" customFormat="false" ht="12.8" hidden="false" customHeight="false" outlineLevel="0" collapsed="false">
      <c r="A12144" s="0" t="s">
        <v>5715</v>
      </c>
      <c r="B12144" s="0" t="str">
        <f aca="false">HYPERLINK("https://lindat.mff.cuni.cz/services/teitok/pdtc10/index.php?action=vallex&amp;frame=v-w1582f1", "kousat se (v-w1582f1)")</f>
        <v>kousat se (v-w1582f1)</v>
      </c>
    </row>
    <row r="12145" customFormat="false" ht="12.8" hidden="false" customHeight="false" outlineLevel="0" collapsed="false">
      <c r="B12145" s="0" t="s">
        <v>1</v>
      </c>
    </row>
    <row r="12146" customFormat="false" ht="12.8" hidden="false" customHeight="false" outlineLevel="0" collapsed="false">
      <c r="B12146" s="0" t="s">
        <v>5716</v>
      </c>
    </row>
    <row r="12148" customFormat="false" ht="12.8" hidden="false" customHeight="false" outlineLevel="0" collapsed="false">
      <c r="A12148" s="0" t="s">
        <v>5717</v>
      </c>
      <c r="B12148" s="0" t="str">
        <f aca="false">HYPERLINK("https://lindat.mff.cuni.cz/services/teitok/pdtc10/index.php?action=vallex&amp;frame=v-w1583f1", "kouskovat (v-w1583f1)")</f>
        <v>kouskovat (v-w1583f1)</v>
      </c>
      <c r="E12148" s="0" t="str">
        <f aca="false">HYPERLINK("https://lindat.mff.cuni.cz/services/SynSemClass40/SynSemClass40.html?veclass=vec01449#vec01449-ces-cm00002", "vec01449")</f>
        <v>vec01449</v>
      </c>
      <c r="F12148" s="0" t="s">
        <v>5718</v>
      </c>
    </row>
    <row r="12149" customFormat="false" ht="12.8" hidden="false" customHeight="false" outlineLevel="0" collapsed="false">
      <c r="B12149" s="0" t="s">
        <v>1</v>
      </c>
      <c r="C12149" s="0" t="s">
        <v>5719</v>
      </c>
      <c r="E12149" s="0" t="s">
        <v>11</v>
      </c>
      <c r="F12149" s="0" t="s">
        <v>5720</v>
      </c>
    </row>
    <row r="12150" customFormat="false" ht="12.8" hidden="false" customHeight="false" outlineLevel="0" collapsed="false">
      <c r="B12150" s="0" t="s">
        <v>8</v>
      </c>
      <c r="C12150" s="0" t="s">
        <v>5721</v>
      </c>
      <c r="E12150" s="0" t="s">
        <v>5279</v>
      </c>
      <c r="F12150" s="0" t="s">
        <v>5722</v>
      </c>
    </row>
    <row r="12151" customFormat="false" ht="12.8" hidden="false" customHeight="false" outlineLevel="0" collapsed="false">
      <c r="B12151" s="0" t="s">
        <v>3211</v>
      </c>
      <c r="C12151" s="0" t="s">
        <v>5723</v>
      </c>
      <c r="E12151" s="0" t="s">
        <v>2584</v>
      </c>
      <c r="F12151" s="0" t="s">
        <v>5724</v>
      </c>
    </row>
    <row r="12153" customFormat="false" ht="12.8" hidden="false" customHeight="false" outlineLevel="0" collapsed="false">
      <c r="A12153" s="0" t="s">
        <v>5725</v>
      </c>
      <c r="B12153" s="0" t="str">
        <f aca="false">HYPERLINK("https://lindat.mff.cuni.cz/services/teitok/pdtc10/index.php?action=vallex&amp;frame=v-w1584f1", "kousnout (v-w1584f1)")</f>
        <v>kousnout (v-w1584f1)</v>
      </c>
      <c r="E12153" s="0" t="str">
        <f aca="false">HYPERLINK("https://lindat.mff.cuni.cz/services/SynSemClass40/SynSemClass40.html?veclass=vec01038#vec01038-ces-cm00001", "vec01038")</f>
        <v>vec01038</v>
      </c>
      <c r="F12153" s="0" t="s">
        <v>5726</v>
      </c>
    </row>
    <row r="12154" customFormat="false" ht="12.8" hidden="false" customHeight="false" outlineLevel="0" collapsed="false">
      <c r="B12154" s="0" t="s">
        <v>1</v>
      </c>
      <c r="C12154" s="0" t="s">
        <v>1752</v>
      </c>
      <c r="E12154" s="0" t="s">
        <v>196</v>
      </c>
      <c r="F12154" s="0" t="s">
        <v>5390</v>
      </c>
    </row>
    <row r="12155" customFormat="false" ht="12.8" hidden="false" customHeight="false" outlineLevel="0" collapsed="false">
      <c r="B12155" s="0" t="s">
        <v>8</v>
      </c>
      <c r="C12155" s="0" t="s">
        <v>744</v>
      </c>
      <c r="E12155" s="0" t="s">
        <v>199</v>
      </c>
      <c r="F12155" s="0" t="s">
        <v>5727</v>
      </c>
    </row>
    <row r="12157" customFormat="false" ht="12.8" hidden="false" customHeight="false" outlineLevel="0" collapsed="false">
      <c r="A12157" s="0" t="s">
        <v>5728</v>
      </c>
      <c r="B12157" s="0" t="str">
        <f aca="false">HYPERLINK("https://lindat.mff.cuni.cz/services/teitok/pdtc10/index.php?action=vallex&amp;frame=v-w1584f2", "kousnout (v-w1584f2)")</f>
        <v>kousnout (v-w1584f2)</v>
      </c>
    </row>
    <row r="12158" customFormat="false" ht="12.8" hidden="false" customHeight="false" outlineLevel="0" collapsed="false">
      <c r="B12158" s="0" t="s">
        <v>1</v>
      </c>
    </row>
    <row r="12159" customFormat="false" ht="12.8" hidden="false" customHeight="false" outlineLevel="0" collapsed="false">
      <c r="B12159" s="0" t="s">
        <v>164</v>
      </c>
    </row>
    <row r="12161" customFormat="false" ht="12.8" hidden="false" customHeight="false" outlineLevel="0" collapsed="false">
      <c r="A12161" s="0" t="s">
        <v>5729</v>
      </c>
      <c r="B12161" s="0" t="str">
        <f aca="false">HYPERLINK("https://lindat.mff.cuni.cz/services/teitok/pdtc10/index.php?action=vallex&amp;frame=v-whsb_56hsa_57", "kousnout se (v-whsb_56hsa_57)")</f>
        <v>kousnout se (v-whsb_56hsa_57)</v>
      </c>
    </row>
    <row r="12162" customFormat="false" ht="12.8" hidden="false" customHeight="false" outlineLevel="0" collapsed="false">
      <c r="B12162" s="0" t="s">
        <v>1</v>
      </c>
    </row>
    <row r="12164" customFormat="false" ht="12.8" hidden="false" customHeight="false" outlineLevel="0" collapsed="false">
      <c r="A12164" s="0" t="s">
        <v>5730</v>
      </c>
      <c r="B12164" s="0" t="str">
        <f aca="false">HYPERLINK("https://lindat.mff.cuni.cz/services/teitok/pdtc10/index.php?action=vallex&amp;frame=v-w11491f1", "kousnout si (v-w11491f1)")</f>
        <v>kousnout si (v-w11491f1)</v>
      </c>
      <c r="E12164" s="0" t="str">
        <f aca="false">HYPERLINK("https://lindat.mff.cuni.cz/services/SynSemClass40/SynSemClass40.html?veclass=vec01039#vec01039-ces-cm00001", "vec01039")</f>
        <v>vec01039</v>
      </c>
      <c r="F12164" s="0" t="s">
        <v>5731</v>
      </c>
    </row>
    <row r="12165" customFormat="false" ht="12.8" hidden="false" customHeight="false" outlineLevel="0" collapsed="false">
      <c r="B12165" s="0" t="s">
        <v>1</v>
      </c>
      <c r="E12165" s="0" t="s">
        <v>11</v>
      </c>
      <c r="F12165" s="0" t="s">
        <v>959</v>
      </c>
    </row>
    <row r="12166" customFormat="false" ht="12.8" hidden="false" customHeight="false" outlineLevel="0" collapsed="false">
      <c r="B12166" s="0" t="s">
        <v>164</v>
      </c>
      <c r="E12166" s="0" t="s">
        <v>388</v>
      </c>
      <c r="F12166" s="0" t="s">
        <v>389</v>
      </c>
    </row>
    <row r="12168" customFormat="false" ht="12.8" hidden="false" customHeight="false" outlineLevel="0" collapsed="false">
      <c r="A12168" s="0" t="s">
        <v>5732</v>
      </c>
      <c r="B12168" s="0" t="str">
        <f aca="false">HYPERLINK("https://lindat.mff.cuni.cz/services/teitok/pdtc10/index.php?action=vallex&amp;frame=v-w11368f1", "kout (v-w11368f1)")</f>
        <v>kout (v-w11368f1)</v>
      </c>
    </row>
    <row r="12169" customFormat="false" ht="12.8" hidden="false" customHeight="false" outlineLevel="0" collapsed="false">
      <c r="B12169" s="0" t="s">
        <v>1</v>
      </c>
    </row>
    <row r="12170" customFormat="false" ht="12.8" hidden="false" customHeight="false" outlineLevel="0" collapsed="false">
      <c r="B12170" s="0" t="s">
        <v>5733</v>
      </c>
    </row>
    <row r="12172" customFormat="false" ht="12.8" hidden="false" customHeight="false" outlineLevel="0" collapsed="false">
      <c r="A12172" s="0" t="s">
        <v>5734</v>
      </c>
      <c r="B12172" s="0" t="str">
        <f aca="false">HYPERLINK("https://lindat.mff.cuni.cz/services/teitok/pdtc10/index.php?action=vallex&amp;frame=v-whsa_574hsa_575", "kouzlit (v-whsa_574hsa_575)")</f>
        <v>kouzlit (v-whsa_574hsa_575)</v>
      </c>
    </row>
    <row r="12173" customFormat="false" ht="12.8" hidden="false" customHeight="false" outlineLevel="0" collapsed="false">
      <c r="B12173" s="0" t="s">
        <v>1</v>
      </c>
    </row>
    <row r="12175" customFormat="false" ht="12.8" hidden="false" customHeight="false" outlineLevel="0" collapsed="false">
      <c r="A12175" s="0" t="s">
        <v>5735</v>
      </c>
      <c r="B12175" s="0" t="str">
        <f aca="false">HYPERLINK("https://lindat.mff.cuni.cz/services/teitok/pdtc10/index.php?action=vallex&amp;frame=v-w1580f1", "kouřit (v-w1580f1)")</f>
        <v>kouřit (v-w1580f1)</v>
      </c>
      <c r="E12175" s="0" t="str">
        <f aca="false">HYPERLINK("https://lindat.mff.cuni.cz/services/SynSemClass40/SynSemClass40.html?veclass=vec00830#vec00830-ces-cm00001", "vec00830")</f>
        <v>vec00830</v>
      </c>
      <c r="F12175" s="0" t="s">
        <v>5736</v>
      </c>
    </row>
    <row r="12176" customFormat="false" ht="12.8" hidden="false" customHeight="false" outlineLevel="0" collapsed="false">
      <c r="B12176" s="0" t="s">
        <v>1</v>
      </c>
      <c r="C12176" s="0" t="s">
        <v>447</v>
      </c>
      <c r="E12176" s="0" t="s">
        <v>658</v>
      </c>
      <c r="F12176" s="0" t="s">
        <v>5737</v>
      </c>
    </row>
    <row r="12177" customFormat="false" ht="12.8" hidden="false" customHeight="false" outlineLevel="0" collapsed="false">
      <c r="B12177" s="0" t="s">
        <v>8</v>
      </c>
      <c r="C12177" s="0" t="s">
        <v>462</v>
      </c>
      <c r="E12177" s="0" t="s">
        <v>661</v>
      </c>
      <c r="F12177" s="0" t="s">
        <v>5738</v>
      </c>
    </row>
    <row r="12179" customFormat="false" ht="12.8" hidden="false" customHeight="false" outlineLevel="0" collapsed="false">
      <c r="A12179" s="0" t="s">
        <v>5739</v>
      </c>
      <c r="B12179" s="0" t="str">
        <f aca="false">HYPERLINK("https://lindat.mff.cuni.cz/services/teitok/pdtc10/index.php?action=vallex&amp;frame=v-w1580hsa_1245", "kouřit (v-w1580hsa_1245)")</f>
        <v>kouřit (v-w1580hsa_1245)</v>
      </c>
    </row>
    <row r="12180" customFormat="false" ht="12.8" hidden="false" customHeight="false" outlineLevel="0" collapsed="false">
      <c r="B12180" s="0" t="s">
        <v>1</v>
      </c>
    </row>
    <row r="12181" customFormat="false" ht="12.8" hidden="false" customHeight="false" outlineLevel="0" collapsed="false">
      <c r="B12181" s="0" t="s">
        <v>8</v>
      </c>
    </row>
    <row r="12183" customFormat="false" ht="12.8" hidden="false" customHeight="false" outlineLevel="0" collapsed="false">
      <c r="A12183" s="0" t="s">
        <v>5740</v>
      </c>
      <c r="B12183" s="0" t="str">
        <f aca="false">HYPERLINK("https://lindat.mff.cuni.cz/services/teitok/pdtc10/index.php?action=vallex&amp;frame=v-w1411f1", "kočkovat se (v-w1411f1)")</f>
        <v>kočkovat se (v-w1411f1)</v>
      </c>
    </row>
    <row r="12184" customFormat="false" ht="12.8" hidden="false" customHeight="false" outlineLevel="0" collapsed="false">
      <c r="B12184" s="0" t="s">
        <v>1</v>
      </c>
    </row>
    <row r="12185" customFormat="false" ht="12.8" hidden="false" customHeight="false" outlineLevel="0" collapsed="false">
      <c r="B12185" s="0" t="s">
        <v>276</v>
      </c>
    </row>
    <row r="12186" customFormat="false" ht="12.8" hidden="false" customHeight="false" outlineLevel="0" collapsed="false">
      <c r="B12186" s="0" t="s">
        <v>4253</v>
      </c>
    </row>
    <row r="12188" customFormat="false" ht="12.8" hidden="false" customHeight="false" outlineLevel="0" collapsed="false">
      <c r="A12188" s="0" t="s">
        <v>5741</v>
      </c>
      <c r="B12188" s="0" t="str">
        <f aca="false">HYPERLINK("https://lindat.mff.cuni.cz/services/teitok/pdtc10/index.php?action=vallex&amp;frame=v-w1412f1", "kočovat (v-w1412f1)")</f>
        <v>kočovat (v-w1412f1)</v>
      </c>
    </row>
    <row r="12189" customFormat="false" ht="12.8" hidden="false" customHeight="false" outlineLevel="0" collapsed="false">
      <c r="B12189" s="0" t="s">
        <v>1</v>
      </c>
    </row>
    <row r="12191" customFormat="false" ht="12.8" hidden="false" customHeight="false" outlineLevel="0" collapsed="false">
      <c r="A12191" s="0" t="s">
        <v>5742</v>
      </c>
      <c r="B12191" s="0" t="str">
        <f aca="false">HYPERLINK("https://lindat.mff.cuni.cz/services/teitok/pdtc10/index.php?action=vallex&amp;frame=v-w1566f1", "kořenit (v-w1566f1)")</f>
        <v>kořenit (v-w1566f1)</v>
      </c>
    </row>
    <row r="12192" customFormat="false" ht="12.8" hidden="false" customHeight="false" outlineLevel="0" collapsed="false">
      <c r="B12192" s="0" t="s">
        <v>1</v>
      </c>
    </row>
    <row r="12193" customFormat="false" ht="12.8" hidden="false" customHeight="false" outlineLevel="0" collapsed="false">
      <c r="B12193" s="0" t="s">
        <v>8</v>
      </c>
    </row>
    <row r="12195" customFormat="false" ht="12.8" hidden="false" customHeight="false" outlineLevel="0" collapsed="false">
      <c r="A12195" s="0" t="s">
        <v>5743</v>
      </c>
      <c r="B12195" s="0" t="str">
        <f aca="false">HYPERLINK("https://lindat.mff.cuni.cz/services/teitok/pdtc10/index.php?action=vallex&amp;frame=v-w1590f1", "krachovat (v-w1590f1)")</f>
        <v>krachovat (v-w1590f1)</v>
      </c>
    </row>
    <row r="12196" customFormat="false" ht="12.8" hidden="false" customHeight="false" outlineLevel="0" collapsed="false">
      <c r="B12196" s="0" t="s">
        <v>1</v>
      </c>
    </row>
    <row r="12198" customFormat="false" ht="12.8" hidden="false" customHeight="false" outlineLevel="0" collapsed="false">
      <c r="A12198" s="0" t="s">
        <v>5744</v>
      </c>
      <c r="B12198" s="0" t="str">
        <f aca="false">HYPERLINK("https://lindat.mff.cuni.cz/services/teitok/pdtc10/index.php?action=vallex&amp;frame=v-w1599f2_ZU", "kreslit (v-w1599f2_ZU)")</f>
        <v>kreslit (v-w1599f2_ZU)</v>
      </c>
    </row>
    <row r="12199" customFormat="false" ht="12.8" hidden="false" customHeight="false" outlineLevel="0" collapsed="false">
      <c r="B12199" s="0" t="s">
        <v>1</v>
      </c>
    </row>
    <row r="12200" customFormat="false" ht="12.8" hidden="false" customHeight="false" outlineLevel="0" collapsed="false">
      <c r="B12200" s="0" t="s">
        <v>305</v>
      </c>
    </row>
    <row r="12202" customFormat="false" ht="12.8" hidden="false" customHeight="false" outlineLevel="0" collapsed="false">
      <c r="A12202" s="0" t="s">
        <v>5744</v>
      </c>
      <c r="B12202" s="0" t="str">
        <f aca="false">HYPERLINK("https://lindat.mff.cuni.cz/services/teitok/pdtc10/index.php?action=vallex&amp;frame=v-w1599f1", "kreslit (v-w1599f1) - substituted with v-w1599f2_ZU")</f>
        <v>kreslit (v-w1599f1) - substituted with v-w1599f2_ZU</v>
      </c>
      <c r="E12202" s="0" t="str">
        <f aca="false">HYPERLINK("https://lindat.mff.cuni.cz/services/SynSemClass40/SynSemClass40.html?veclass=vec00638#vec00638-ces-cm00008", "vec00638")</f>
        <v>vec00638</v>
      </c>
      <c r="F12202" s="0" t="s">
        <v>5745</v>
      </c>
    </row>
    <row r="12203" customFormat="false" ht="12.8" hidden="false" customHeight="false" outlineLevel="0" collapsed="false">
      <c r="B12203" s="0" t="s">
        <v>1</v>
      </c>
      <c r="C12203" s="0" t="s">
        <v>447</v>
      </c>
      <c r="E12203" s="0" t="s">
        <v>768</v>
      </c>
      <c r="F12203" s="0" t="s">
        <v>5637</v>
      </c>
    </row>
    <row r="12204" customFormat="false" ht="12.8" hidden="false" customHeight="false" outlineLevel="0" collapsed="false">
      <c r="B12204" s="0" t="s">
        <v>305</v>
      </c>
      <c r="C12204" s="0" t="s">
        <v>1575</v>
      </c>
      <c r="E12204" s="0" t="s">
        <v>771</v>
      </c>
      <c r="F12204" s="0" t="s">
        <v>5746</v>
      </c>
    </row>
    <row r="12206" customFormat="false" ht="12.8" hidden="false" customHeight="false" outlineLevel="0" collapsed="false">
      <c r="A12206" s="0" t="s">
        <v>5747</v>
      </c>
      <c r="B12206" s="0" t="str">
        <f aca="false">HYPERLINK("https://lindat.mff.cuni.cz/services/teitok/pdtc10/index.php?action=vallex&amp;frame=v-w11181f2", "kriminalizovat (v-w11181f2)")</f>
        <v>kriminalizovat (v-w11181f2)</v>
      </c>
      <c r="E12206" s="0" t="str">
        <f aca="false">HYPERLINK("https://lindat.mff.cuni.cz/services/SynSemClass40/SynSemClass40.html?veclass=vec01119#vec01119-ces-cm00002", "vec01119")</f>
        <v>vec01119</v>
      </c>
      <c r="F12206" s="0" t="s">
        <v>5748</v>
      </c>
    </row>
    <row r="12207" customFormat="false" ht="12.8" hidden="false" customHeight="false" outlineLevel="0" collapsed="false">
      <c r="B12207" s="0" t="s">
        <v>1</v>
      </c>
      <c r="C12207" s="0" t="s">
        <v>447</v>
      </c>
      <c r="E12207" s="0" t="s">
        <v>206</v>
      </c>
      <c r="F12207" s="0" t="s">
        <v>2075</v>
      </c>
    </row>
    <row r="12208" customFormat="false" ht="12.8" hidden="false" customHeight="false" outlineLevel="0" collapsed="false">
      <c r="B12208" s="0" t="s">
        <v>8</v>
      </c>
      <c r="C12208" s="0" t="s">
        <v>4473</v>
      </c>
      <c r="E12208" s="0" t="s">
        <v>5749</v>
      </c>
      <c r="F12208" s="0" t="s">
        <v>5750</v>
      </c>
    </row>
    <row r="12210" customFormat="false" ht="12.8" hidden="false" customHeight="false" outlineLevel="0" collapsed="false">
      <c r="A12210" s="0" t="s">
        <v>5751</v>
      </c>
      <c r="B12210" s="0" t="str">
        <f aca="false">HYPERLINK("https://lindat.mff.cuni.cz/services/teitok/pdtc10/index.php?action=vallex&amp;frame=v-w1606f1", "kritizovat (v-w1606f1)")</f>
        <v>kritizovat (v-w1606f1)</v>
      </c>
      <c r="E12210" s="0" t="str">
        <f aca="false">HYPERLINK("https://lindat.mff.cuni.cz/services/SynSemClass40/SynSemClass40.html?veclass=vec00230#vec00230-ces-cm00001", "vec00230")</f>
        <v>vec00230</v>
      </c>
      <c r="F12210" s="0" t="s">
        <v>4255</v>
      </c>
    </row>
    <row r="12211" customFormat="false" ht="12.8" hidden="false" customHeight="false" outlineLevel="0" collapsed="false">
      <c r="B12211" s="0" t="s">
        <v>1</v>
      </c>
      <c r="C12211" s="0" t="s">
        <v>5752</v>
      </c>
      <c r="E12211" s="0" t="s">
        <v>3750</v>
      </c>
      <c r="F12211" s="0" t="s">
        <v>4257</v>
      </c>
    </row>
    <row r="12212" customFormat="false" ht="12.8" hidden="false" customHeight="false" outlineLevel="0" collapsed="false">
      <c r="B12212" s="0" t="s">
        <v>228</v>
      </c>
      <c r="C12212" s="0" t="s">
        <v>5753</v>
      </c>
      <c r="E12212" s="0" t="s">
        <v>4259</v>
      </c>
      <c r="F12212" s="0" t="s">
        <v>4260</v>
      </c>
    </row>
    <row r="12214" customFormat="false" ht="12.8" hidden="false" customHeight="false" outlineLevel="0" collapsed="false">
      <c r="A12214" s="0" t="s">
        <v>5754</v>
      </c>
      <c r="B12214" s="0" t="str">
        <f aca="false">HYPERLINK("https://lindat.mff.cuni.cz/services/teitok/pdtc10/index.php?action=vallex&amp;frame=v-w1610f1", "krmit (v-w1610f1)")</f>
        <v>krmit (v-w1610f1)</v>
      </c>
      <c r="E12214" s="0" t="str">
        <f aca="false">HYPERLINK("https://lindat.mff.cuni.cz/services/SynSemClass40/SynSemClass40.html?veclass=vec00624#vec00624-ces-cm00001", "vec00624")</f>
        <v>vec00624</v>
      </c>
      <c r="F12214" s="0" t="s">
        <v>5755</v>
      </c>
    </row>
    <row r="12215" customFormat="false" ht="12.8" hidden="false" customHeight="false" outlineLevel="0" collapsed="false">
      <c r="B12215" s="0" t="s">
        <v>1</v>
      </c>
      <c r="C12215" s="0" t="s">
        <v>3000</v>
      </c>
      <c r="E12215" s="0" t="s">
        <v>1784</v>
      </c>
      <c r="F12215" s="0" t="s">
        <v>5756</v>
      </c>
    </row>
    <row r="12216" customFormat="false" ht="12.8" hidden="false" customHeight="false" outlineLevel="0" collapsed="false">
      <c r="B12216" s="0" t="s">
        <v>8</v>
      </c>
      <c r="C12216" s="0" t="s">
        <v>5757</v>
      </c>
      <c r="E12216" s="0" t="s">
        <v>5758</v>
      </c>
      <c r="F12216" s="0" t="s">
        <v>5759</v>
      </c>
    </row>
    <row r="12218" customFormat="false" ht="12.8" hidden="false" customHeight="false" outlineLevel="0" collapsed="false">
      <c r="A12218" s="0" t="s">
        <v>5760</v>
      </c>
      <c r="B12218" s="0" t="str">
        <f aca="false">HYPERLINK("https://lindat.mff.cuni.cz/services/teitok/pdtc10/index.php?action=vallex&amp;frame=v-whsa_1372hsa_1373", "kropit (v-whsa_1372hsa_1373)")</f>
        <v>kropit (v-whsa_1372hsa_1373)</v>
      </c>
    </row>
    <row r="12219" customFormat="false" ht="12.8" hidden="false" customHeight="false" outlineLevel="0" collapsed="false">
      <c r="B12219" s="0" t="s">
        <v>1</v>
      </c>
    </row>
    <row r="12220" customFormat="false" ht="12.8" hidden="false" customHeight="false" outlineLevel="0" collapsed="false">
      <c r="B12220" s="0" t="s">
        <v>8</v>
      </c>
    </row>
    <row r="12222" customFormat="false" ht="12.8" hidden="false" customHeight="false" outlineLevel="0" collapsed="false">
      <c r="A12222" s="0" t="s">
        <v>5761</v>
      </c>
      <c r="B12222" s="0" t="str">
        <f aca="false">HYPERLINK("https://lindat.mff.cuni.cz/services/teitok/pdtc10/index.php?action=vallex&amp;frame=v-w10571f2", "krotit (v-w10571f2)")</f>
        <v>krotit (v-w10571f2)</v>
      </c>
      <c r="E12222" s="0" t="str">
        <f aca="false">HYPERLINK("https://lindat.mff.cuni.cz/services/SynSemClass40/SynSemClass40.html?veclass=vec00783#vec00783-ces-cm00002", "vec00783")</f>
        <v>vec00783</v>
      </c>
      <c r="F12222" s="0" t="s">
        <v>5762</v>
      </c>
    </row>
    <row r="12223" customFormat="false" ht="12.8" hidden="false" customHeight="false" outlineLevel="0" collapsed="false">
      <c r="B12223" s="0" t="s">
        <v>1</v>
      </c>
      <c r="C12223" s="0" t="s">
        <v>459</v>
      </c>
      <c r="E12223" s="0" t="s">
        <v>31</v>
      </c>
      <c r="F12223" s="0" t="s">
        <v>2437</v>
      </c>
    </row>
    <row r="12224" customFormat="false" ht="12.8" hidden="false" customHeight="false" outlineLevel="0" collapsed="false">
      <c r="B12224" s="0" t="s">
        <v>8</v>
      </c>
      <c r="C12224" s="0" t="s">
        <v>800</v>
      </c>
      <c r="E12224" s="0" t="s">
        <v>79</v>
      </c>
      <c r="F12224" s="0" t="s">
        <v>5763</v>
      </c>
    </row>
    <row r="12226" customFormat="false" ht="12.8" hidden="false" customHeight="false" outlineLevel="0" collapsed="false">
      <c r="A12226" s="0" t="s">
        <v>5764</v>
      </c>
      <c r="B12226" s="0" t="str">
        <f aca="false">HYPERLINK("https://lindat.mff.cuni.cz/services/teitok/pdtc10/index.php?action=vallex&amp;frame=v-w10571f3_ZU", "krotit (v-w10571f3_ZU)")</f>
        <v>krotit (v-w10571f3_ZU)</v>
      </c>
    </row>
    <row r="12227" customFormat="false" ht="12.8" hidden="false" customHeight="false" outlineLevel="0" collapsed="false">
      <c r="B12227" s="0" t="s">
        <v>1</v>
      </c>
    </row>
    <row r="12228" customFormat="false" ht="12.8" hidden="false" customHeight="false" outlineLevel="0" collapsed="false">
      <c r="B12228" s="0" t="s">
        <v>98</v>
      </c>
    </row>
    <row r="12229" customFormat="false" ht="12.8" hidden="false" customHeight="false" outlineLevel="0" collapsed="false">
      <c r="B12229" s="0" t="s">
        <v>883</v>
      </c>
    </row>
    <row r="12231" customFormat="false" ht="12.8" hidden="false" customHeight="false" outlineLevel="0" collapsed="false">
      <c r="A12231" s="0" t="s">
        <v>5765</v>
      </c>
      <c r="B12231" s="0" t="str">
        <f aca="false">HYPERLINK("https://lindat.mff.cuni.cz/services/teitok/pdtc10/index.php?action=vallex&amp;frame=v-w11689_ZUf1_ZU", "krouhat (v-w11689_ZUf1_ZU)")</f>
        <v>krouhat (v-w11689_ZUf1_ZU)</v>
      </c>
    </row>
    <row r="12232" customFormat="false" ht="12.8" hidden="false" customHeight="false" outlineLevel="0" collapsed="false">
      <c r="B12232" s="0" t="s">
        <v>1</v>
      </c>
    </row>
    <row r="12233" customFormat="false" ht="12.8" hidden="false" customHeight="false" outlineLevel="0" collapsed="false">
      <c r="B12233" s="0" t="s">
        <v>8</v>
      </c>
    </row>
    <row r="12234" customFormat="false" ht="12.8" hidden="false" customHeight="false" outlineLevel="0" collapsed="false">
      <c r="B12234" s="0" t="s">
        <v>101</v>
      </c>
    </row>
    <row r="12236" customFormat="false" ht="12.8" hidden="false" customHeight="false" outlineLevel="0" collapsed="false">
      <c r="A12236" s="0" t="s">
        <v>5766</v>
      </c>
      <c r="B12236" s="0" t="str">
        <f aca="false">HYPERLINK("https://lindat.mff.cuni.cz/services/teitok/pdtc10/index.php?action=vallex&amp;frame=v-w1613f1", "kroutit (v-w1613f1)")</f>
        <v>kroutit (v-w1613f1)</v>
      </c>
      <c r="E12236" s="0" t="str">
        <f aca="false">HYPERLINK("https://lindat.mff.cuni.cz/services/SynSemClass40/SynSemClass40.html?veclass=vec00991#vec00991-ces-cm00002", "vec00991")</f>
        <v>vec00991</v>
      </c>
      <c r="F12236" s="0" t="s">
        <v>5767</v>
      </c>
    </row>
    <row r="12237" customFormat="false" ht="12.8" hidden="false" customHeight="false" outlineLevel="0" collapsed="false">
      <c r="B12237" s="0" t="s">
        <v>1</v>
      </c>
      <c r="C12237" s="0" t="s">
        <v>4695</v>
      </c>
      <c r="E12237" s="0" t="s">
        <v>334</v>
      </c>
      <c r="F12237" s="0" t="s">
        <v>5245</v>
      </c>
    </row>
    <row r="12238" customFormat="false" ht="12.8" hidden="false" customHeight="false" outlineLevel="0" collapsed="false">
      <c r="B12238" s="0" t="s">
        <v>4277</v>
      </c>
      <c r="C12238" s="0" t="s">
        <v>462</v>
      </c>
      <c r="E12238" s="0" t="s">
        <v>2648</v>
      </c>
      <c r="F12238" s="0" t="s">
        <v>5246</v>
      </c>
    </row>
    <row r="12240" customFormat="false" ht="12.8" hidden="false" customHeight="false" outlineLevel="0" collapsed="false">
      <c r="A12240" s="0" t="s">
        <v>5768</v>
      </c>
      <c r="B12240" s="0" t="str">
        <f aca="false">HYPERLINK("https://lindat.mff.cuni.cz/services/teitok/pdtc10/index.php?action=vallex&amp;frame=v-whsa_1190hsa_1191", "kroutit se (v-whsa_1190hsa_1191)")</f>
        <v>kroutit se (v-whsa_1190hsa_1191)</v>
      </c>
    </row>
    <row r="12241" customFormat="false" ht="12.8" hidden="false" customHeight="false" outlineLevel="0" collapsed="false">
      <c r="B12241" s="0" t="s">
        <v>1</v>
      </c>
    </row>
    <row r="12243" customFormat="false" ht="12.8" hidden="false" customHeight="false" outlineLevel="0" collapsed="false">
      <c r="A12243" s="0" t="s">
        <v>5769</v>
      </c>
      <c r="B12243" s="0" t="str">
        <f aca="false">HYPERLINK("https://lindat.mff.cuni.cz/services/teitok/pdtc10/index.php?action=vallex&amp;frame=v-w1614f1", "kroužit (v-w1614f1)")</f>
        <v>kroužit (v-w1614f1)</v>
      </c>
      <c r="E12243" s="0" t="str">
        <f aca="false">HYPERLINK("https://lindat.mff.cuni.cz/services/SynSemClass40/SynSemClass40.html?veclass=vec00831#vec00831-ces-cm00001", "vec00831")</f>
        <v>vec00831</v>
      </c>
      <c r="F12243" s="0" t="s">
        <v>5770</v>
      </c>
    </row>
    <row r="12244" customFormat="false" ht="12.8" hidden="false" customHeight="false" outlineLevel="0" collapsed="false">
      <c r="B12244" s="0" t="s">
        <v>1</v>
      </c>
      <c r="C12244" s="0" t="s">
        <v>322</v>
      </c>
      <c r="E12244" s="0" t="s">
        <v>334</v>
      </c>
      <c r="F12244" s="0" t="s">
        <v>5771</v>
      </c>
    </row>
    <row r="12246" customFormat="false" ht="12.8" hidden="false" customHeight="false" outlineLevel="0" collapsed="false">
      <c r="A12246" s="0" t="s">
        <v>5772</v>
      </c>
      <c r="B12246" s="0" t="str">
        <f aca="false">HYPERLINK("https://lindat.mff.cuni.cz/services/teitok/pdtc10/index.php?action=vallex&amp;frame=v-w1615f2", "kručet (v-w1615f2)")</f>
        <v>kručet (v-w1615f2)</v>
      </c>
    </row>
    <row r="12247" customFormat="false" ht="12.8" hidden="false" customHeight="false" outlineLevel="0" collapsed="false">
      <c r="B12247" s="0" t="s">
        <v>804</v>
      </c>
    </row>
    <row r="12248" customFormat="false" ht="12.8" hidden="false" customHeight="false" outlineLevel="0" collapsed="false">
      <c r="B12248" s="0" t="s">
        <v>439</v>
      </c>
    </row>
    <row r="12250" customFormat="false" ht="12.8" hidden="false" customHeight="false" outlineLevel="0" collapsed="false">
      <c r="A12250" s="0" t="s">
        <v>5773</v>
      </c>
      <c r="B12250" s="0" t="str">
        <f aca="false">HYPERLINK("https://lindat.mff.cuni.cz/services/teitok/pdtc10/index.php?action=vallex&amp;frame=v-w1615f1", "kručet (v-w1615f1)")</f>
        <v>kručet (v-w1615f1)</v>
      </c>
    </row>
    <row r="12251" customFormat="false" ht="12.8" hidden="false" customHeight="false" outlineLevel="0" collapsed="false">
      <c r="B12251" s="0" t="s">
        <v>804</v>
      </c>
    </row>
    <row r="12252" customFormat="false" ht="12.8" hidden="false" customHeight="false" outlineLevel="0" collapsed="false">
      <c r="B12252" s="0" t="s">
        <v>5</v>
      </c>
    </row>
    <row r="12254" customFormat="false" ht="12.8" hidden="false" customHeight="false" outlineLevel="0" collapsed="false">
      <c r="A12254" s="0" t="s">
        <v>5774</v>
      </c>
      <c r="B12254" s="0" t="str">
        <f aca="false">HYPERLINK("https://lindat.mff.cuni.cz/services/teitok/pdtc10/index.php?action=vallex&amp;frame=v-w10727f2", "krvácet (v-w10727f2)")</f>
        <v>krvácet (v-w10727f2)</v>
      </c>
    </row>
    <row r="12255" customFormat="false" ht="12.8" hidden="false" customHeight="false" outlineLevel="0" collapsed="false">
      <c r="B12255" s="0" t="s">
        <v>1</v>
      </c>
    </row>
    <row r="12257" customFormat="false" ht="12.8" hidden="false" customHeight="false" outlineLevel="0" collapsed="false">
      <c r="A12257" s="0" t="s">
        <v>5775</v>
      </c>
      <c r="B12257" s="0" t="str">
        <f aca="false">HYPERLINK("https://lindat.mff.cuni.cz/services/teitok/pdtc10/index.php?action=vallex&amp;frame=v-w10727f3", "krvácet (v-w10727f3)")</f>
        <v>krvácet (v-w10727f3)</v>
      </c>
      <c r="E12257" s="0" t="str">
        <f aca="false">HYPERLINK("https://lindat.mff.cuni.cz/services/SynSemClass40/SynSemClass40.html?veclass=vec00625#vec00625-ces-cm00001", "vec00625")</f>
        <v>vec00625</v>
      </c>
      <c r="F12257" s="0" t="s">
        <v>5776</v>
      </c>
    </row>
    <row r="12258" customFormat="false" ht="12.8" hidden="false" customHeight="false" outlineLevel="0" collapsed="false">
      <c r="B12258" s="0" t="s">
        <v>1</v>
      </c>
      <c r="C12258" s="0" t="s">
        <v>512</v>
      </c>
      <c r="E12258" s="0" t="s">
        <v>2565</v>
      </c>
      <c r="F12258" s="0" t="s">
        <v>5777</v>
      </c>
    </row>
    <row r="12260" customFormat="false" ht="12.8" hidden="false" customHeight="false" outlineLevel="0" collapsed="false">
      <c r="A12260" s="0" t="s">
        <v>5778</v>
      </c>
      <c r="B12260" s="0" t="str">
        <f aca="false">HYPERLINK("https://lindat.mff.cuni.cz/services/teitok/pdtc10/index.php?action=vallex&amp;frame=v-w1591f1", "krájet (v-w1591f1)")</f>
        <v>krájet (v-w1591f1)</v>
      </c>
      <c r="E12260" s="0" t="str">
        <f aca="false">HYPERLINK("https://lindat.mff.cuni.cz/services/SynSemClass40/SynSemClass40.html?veclass=vec01449#vec01449-ces-cm00003", "vec01449")</f>
        <v>vec01449</v>
      </c>
      <c r="F12260" s="0" t="s">
        <v>5718</v>
      </c>
    </row>
    <row r="12261" customFormat="false" ht="12.8" hidden="false" customHeight="false" outlineLevel="0" collapsed="false">
      <c r="B12261" s="0" t="s">
        <v>1</v>
      </c>
      <c r="C12261" s="0" t="s">
        <v>5719</v>
      </c>
      <c r="E12261" s="0" t="s">
        <v>11</v>
      </c>
      <c r="F12261" s="0" t="s">
        <v>5720</v>
      </c>
    </row>
    <row r="12262" customFormat="false" ht="12.8" hidden="false" customHeight="false" outlineLevel="0" collapsed="false">
      <c r="B12262" s="0" t="s">
        <v>8</v>
      </c>
      <c r="C12262" s="0" t="s">
        <v>5721</v>
      </c>
      <c r="E12262" s="0" t="s">
        <v>5279</v>
      </c>
      <c r="F12262" s="0" t="s">
        <v>5722</v>
      </c>
    </row>
    <row r="12263" customFormat="false" ht="12.8" hidden="false" customHeight="false" outlineLevel="0" collapsed="false">
      <c r="B12263" s="0" t="s">
        <v>5779</v>
      </c>
      <c r="C12263" s="0" t="s">
        <v>5723</v>
      </c>
      <c r="E12263" s="0" t="s">
        <v>2584</v>
      </c>
      <c r="F12263" s="0" t="s">
        <v>5724</v>
      </c>
    </row>
    <row r="12265" customFormat="false" ht="12.8" hidden="false" customHeight="false" outlineLevel="0" collapsed="false">
      <c r="A12265" s="0" t="s">
        <v>5780</v>
      </c>
      <c r="B12265" s="0" t="str">
        <f aca="false">HYPERLINK("https://lindat.mff.cuni.cz/services/teitok/pdtc10/index.php?action=vallex&amp;frame=v-w1593f2", "krást (v-w1593f2)")</f>
        <v>krást (v-w1593f2)</v>
      </c>
      <c r="E12265" s="0" t="str">
        <f aca="false">HYPERLINK("https://lindat.mff.cuni.cz/services/SynSemClass40/SynSemClass40.html?veclass=vec00704#vec00704-ces-cm00060", "vec00704")</f>
        <v>vec00704</v>
      </c>
      <c r="F12265" s="0" t="s">
        <v>588</v>
      </c>
      <c r="H12265" s="0" t="str">
        <f aca="false">HYPERLINK("https://lindat.mff.cuni.cz/services/SynSemClass40/SynSemClass40.html?veclass=vec01425#vec01425-ces-cm00002", "vec01425")</f>
        <v>vec01425</v>
      </c>
      <c r="I12265" s="0" t="s">
        <v>589</v>
      </c>
    </row>
    <row r="12266" customFormat="false" ht="12.8" hidden="false" customHeight="false" outlineLevel="0" collapsed="false">
      <c r="B12266" s="0" t="s">
        <v>1</v>
      </c>
      <c r="C12266" s="0" t="s">
        <v>590</v>
      </c>
      <c r="E12266" s="0" t="s">
        <v>31</v>
      </c>
      <c r="F12266" s="0" t="s">
        <v>591</v>
      </c>
      <c r="H12266" s="0" t="s">
        <v>31</v>
      </c>
      <c r="I12266" s="0" t="s">
        <v>592</v>
      </c>
    </row>
    <row r="12267" customFormat="false" ht="12.8" hidden="false" customHeight="false" outlineLevel="0" collapsed="false">
      <c r="B12267" s="0" t="s">
        <v>8</v>
      </c>
      <c r="C12267" s="0" t="s">
        <v>593</v>
      </c>
      <c r="E12267" s="0" t="s">
        <v>594</v>
      </c>
      <c r="F12267" s="0" t="s">
        <v>595</v>
      </c>
      <c r="H12267" s="0" t="s">
        <v>594</v>
      </c>
      <c r="I12267" s="0" t="s">
        <v>596</v>
      </c>
    </row>
    <row r="12268" customFormat="false" ht="12.8" hidden="false" customHeight="false" outlineLevel="0" collapsed="false">
      <c r="B12268" s="0" t="s">
        <v>52</v>
      </c>
      <c r="C12268" s="0" t="s">
        <v>597</v>
      </c>
      <c r="E12268" s="0" t="s">
        <v>598</v>
      </c>
      <c r="F12268" s="0" t="s">
        <v>599</v>
      </c>
      <c r="H12268" s="0" t="s">
        <v>598</v>
      </c>
      <c r="I12268" s="0" t="s">
        <v>600</v>
      </c>
    </row>
    <row r="12270" customFormat="false" ht="12.8" hidden="false" customHeight="false" outlineLevel="0" collapsed="false">
      <c r="A12270" s="0" t="s">
        <v>5781</v>
      </c>
      <c r="B12270" s="0" t="str">
        <f aca="false">HYPERLINK("https://lindat.mff.cuni.cz/services/teitok/pdtc10/index.php?action=vallex&amp;frame=v-w1593f1", "krást (v-w1593f1)")</f>
        <v>krást (v-w1593f1)</v>
      </c>
      <c r="E12270" s="0" t="str">
        <f aca="false">HYPERLINK("https://lindat.mff.cuni.cz/services/SynSemClass40/SynSemClass40.html?veclass=vec00704#vec00704-ces-cm00059", "vec00704")</f>
        <v>vec00704</v>
      </c>
      <c r="F12270" s="0" t="s">
        <v>588</v>
      </c>
    </row>
    <row r="12271" customFormat="false" ht="12.8" hidden="false" customHeight="false" outlineLevel="0" collapsed="false">
      <c r="B12271" s="0" t="s">
        <v>1</v>
      </c>
      <c r="C12271" s="0" t="s">
        <v>5782</v>
      </c>
      <c r="E12271" s="0" t="s">
        <v>31</v>
      </c>
      <c r="F12271" s="0" t="s">
        <v>591</v>
      </c>
    </row>
    <row r="12273" customFormat="false" ht="12.8" hidden="false" customHeight="false" outlineLevel="0" collapsed="false">
      <c r="A12273" s="0" t="s">
        <v>5783</v>
      </c>
      <c r="B12273" s="0" t="str">
        <f aca="false">HYPERLINK("https://lindat.mff.cuni.cz/services/teitok/pdtc10/index.php?action=vallex&amp;frame=v-w1594f1", "krátit (v-w1594f1)")</f>
        <v>krátit (v-w1594f1)</v>
      </c>
      <c r="E12273" s="0" t="str">
        <f aca="false">HYPERLINK("https://lindat.mff.cuni.cz/services/SynSemClass40/SynSemClass40.html?veclass=vec00118#vec00118-ces-cm00065", "vec00118")</f>
        <v>vec00118</v>
      </c>
      <c r="F12273" s="0" t="s">
        <v>5784</v>
      </c>
      <c r="H12273" s="0" t="str">
        <f aca="false">HYPERLINK("https://lindat.mff.cuni.cz/services/SynSemClass40/SynSemClass40.html?veclass=vec00588#vec00588-ces-cm00021", "vec00588")</f>
        <v>vec00588</v>
      </c>
      <c r="I12273" s="0" t="s">
        <v>5785</v>
      </c>
    </row>
    <row r="12274" customFormat="false" ht="12.8" hidden="false" customHeight="false" outlineLevel="0" collapsed="false">
      <c r="B12274" s="0" t="s">
        <v>1</v>
      </c>
      <c r="C12274" s="0" t="s">
        <v>5786</v>
      </c>
      <c r="E12274" s="0" t="s">
        <v>31</v>
      </c>
      <c r="F12274" s="0" t="s">
        <v>5787</v>
      </c>
      <c r="H12274" s="0" t="s">
        <v>31</v>
      </c>
      <c r="I12274" s="0" t="s">
        <v>5788</v>
      </c>
    </row>
    <row r="12275" customFormat="false" ht="12.8" hidden="false" customHeight="false" outlineLevel="0" collapsed="false">
      <c r="B12275" s="0" t="s">
        <v>8</v>
      </c>
      <c r="C12275" s="0" t="s">
        <v>5789</v>
      </c>
      <c r="E12275" s="0" t="s">
        <v>1569</v>
      </c>
      <c r="F12275" s="0" t="s">
        <v>5790</v>
      </c>
      <c r="H12275" s="0" t="s">
        <v>1569</v>
      </c>
      <c r="I12275" s="0" t="s">
        <v>5791</v>
      </c>
    </row>
    <row r="12276" customFormat="false" ht="12.8" hidden="false" customHeight="false" outlineLevel="0" collapsed="false">
      <c r="B12276" s="0" t="s">
        <v>36</v>
      </c>
      <c r="C12276" s="0" t="s">
        <v>5792</v>
      </c>
      <c r="E12276" s="0" t="s">
        <v>5152</v>
      </c>
      <c r="F12276" s="0" t="s">
        <v>5793</v>
      </c>
      <c r="H12276" s="0" t="s">
        <v>5152</v>
      </c>
      <c r="I12276" s="0" t="s">
        <v>5794</v>
      </c>
    </row>
    <row r="12277" customFormat="false" ht="12.8" hidden="false" customHeight="false" outlineLevel="0" collapsed="false">
      <c r="B12277" s="0" t="s">
        <v>101</v>
      </c>
      <c r="C12277" s="0" t="s">
        <v>5795</v>
      </c>
      <c r="E12277" s="0" t="s">
        <v>5796</v>
      </c>
      <c r="F12277" s="0" t="s">
        <v>5797</v>
      </c>
      <c r="H12277" s="0" t="s">
        <v>5796</v>
      </c>
      <c r="I12277" s="0" t="s">
        <v>5798</v>
      </c>
    </row>
    <row r="12279" customFormat="false" ht="12.8" hidden="false" customHeight="false" outlineLevel="0" collapsed="false">
      <c r="A12279" s="0" t="s">
        <v>5799</v>
      </c>
      <c r="B12279" s="0" t="str">
        <f aca="false">HYPERLINK("https://lindat.mff.cuni.cz/services/teitok/pdtc10/index.php?action=vallex&amp;frame=v-w12080_ZUf1_ZU", "krátit se (v-w12080_ZUf1_ZU)")</f>
        <v>krátit se (v-w12080_ZUf1_ZU)</v>
      </c>
    </row>
    <row r="12280" customFormat="false" ht="12.8" hidden="false" customHeight="false" outlineLevel="0" collapsed="false">
      <c r="B12280" s="0" t="s">
        <v>1</v>
      </c>
    </row>
    <row r="12282" customFormat="false" ht="12.8" hidden="false" customHeight="false" outlineLevel="0" collapsed="false">
      <c r="A12282" s="0" t="s">
        <v>5800</v>
      </c>
      <c r="B12282" s="0" t="str">
        <f aca="false">HYPERLINK("https://lindat.mff.cuni.cz/services/teitok/pdtc10/index.php?action=vallex&amp;frame=v-w1587f1", "kráčet (v-w1587f1)")</f>
        <v>kráčet (v-w1587f1)</v>
      </c>
      <c r="E12282" s="0" t="str">
        <f aca="false">HYPERLINK("https://lindat.mff.cuni.cz/services/SynSemClass40/SynSemClass40.html?veclass=vec01025#vec01025-ces-cm00006", "vec01025")</f>
        <v>vec01025</v>
      </c>
      <c r="F12282" s="0" t="s">
        <v>332</v>
      </c>
    </row>
    <row r="12283" customFormat="false" ht="12.8" hidden="false" customHeight="false" outlineLevel="0" collapsed="false">
      <c r="B12283" s="0" t="s">
        <v>1</v>
      </c>
      <c r="C12283" s="0" t="s">
        <v>333</v>
      </c>
      <c r="E12283" s="0" t="s">
        <v>334</v>
      </c>
      <c r="F12283" s="0" t="s">
        <v>335</v>
      </c>
    </row>
    <row r="12284" customFormat="false" ht="12.8" hidden="false" customHeight="false" outlineLevel="0" collapsed="false">
      <c r="B12284" s="0" t="s">
        <v>336</v>
      </c>
      <c r="C12284" s="0" t="s">
        <v>337</v>
      </c>
      <c r="E12284" s="0" t="s">
        <v>338</v>
      </c>
      <c r="F12284" s="0" t="s">
        <v>339</v>
      </c>
    </row>
    <row r="12286" customFormat="false" ht="12.8" hidden="false" customHeight="false" outlineLevel="0" collapsed="false">
      <c r="A12286" s="0" t="s">
        <v>5801</v>
      </c>
      <c r="B12286" s="0" t="str">
        <f aca="false">HYPERLINK("https://lindat.mff.cuni.cz/services/teitok/pdtc10/index.php?action=vallex&amp;frame=v-w1587f2", "kráčet (v-w1587f2)")</f>
        <v>kráčet (v-w1587f2)</v>
      </c>
      <c r="E12286" s="0" t="str">
        <f aca="false">HYPERLINK("https://lindat.mff.cuni.cz/services/SynSemClass40/SynSemClass40.html?veclass=vec00227#vec00227-ces-cm00082", "vec00227")</f>
        <v>vec00227</v>
      </c>
      <c r="F12286" s="0" t="s">
        <v>1313</v>
      </c>
    </row>
    <row r="12287" customFormat="false" ht="12.8" hidden="false" customHeight="false" outlineLevel="0" collapsed="false">
      <c r="B12287" s="0" t="s">
        <v>1</v>
      </c>
      <c r="C12287" s="0" t="s">
        <v>83</v>
      </c>
      <c r="E12287" s="0" t="s">
        <v>334</v>
      </c>
      <c r="F12287" s="0" t="s">
        <v>1314</v>
      </c>
    </row>
    <row r="12288" customFormat="false" ht="12.8" hidden="false" customHeight="false" outlineLevel="0" collapsed="false">
      <c r="B12288" s="0" t="s">
        <v>164</v>
      </c>
      <c r="E12288" s="0" t="s">
        <v>1315</v>
      </c>
      <c r="F12288" s="0" t="s">
        <v>1316</v>
      </c>
    </row>
    <row r="12290" customFormat="false" ht="12.8" hidden="false" customHeight="false" outlineLevel="0" collapsed="false">
      <c r="A12290" s="0" t="s">
        <v>5802</v>
      </c>
      <c r="B12290" s="0" t="str">
        <f aca="false">HYPERLINK("https://lindat.mff.cuni.cz/services/teitok/pdtc10/index.php?action=vallex&amp;frame=v-w1587f3", "kráčet (v-w1587f3)")</f>
        <v>kráčet (v-w1587f3)</v>
      </c>
    </row>
    <row r="12291" customFormat="false" ht="12.8" hidden="false" customHeight="false" outlineLevel="0" collapsed="false">
      <c r="B12291" s="0" t="s">
        <v>1</v>
      </c>
    </row>
    <row r="12292" customFormat="false" ht="12.8" hidden="false" customHeight="false" outlineLevel="0" collapsed="false">
      <c r="B12292" s="0" t="s">
        <v>5803</v>
      </c>
    </row>
    <row r="12294" customFormat="false" ht="12.8" hidden="false" customHeight="false" outlineLevel="0" collapsed="false">
      <c r="A12294" s="0" t="s">
        <v>5804</v>
      </c>
      <c r="B12294" s="0" t="str">
        <f aca="false">HYPERLINK("https://lindat.mff.cuni.cz/services/teitok/pdtc10/index.php?action=vallex&amp;frame=v-w1587f4_ZU", "kráčet (v-w1587f4_ZU)")</f>
        <v>kráčet (v-w1587f4_ZU)</v>
      </c>
    </row>
    <row r="12295" customFormat="false" ht="12.8" hidden="false" customHeight="false" outlineLevel="0" collapsed="false">
      <c r="B12295" s="0" t="s">
        <v>1</v>
      </c>
    </row>
    <row r="12296" customFormat="false" ht="12.8" hidden="false" customHeight="false" outlineLevel="0" collapsed="false">
      <c r="B12296" s="0" t="s">
        <v>5805</v>
      </c>
    </row>
    <row r="12298" customFormat="false" ht="12.8" hidden="false" customHeight="false" outlineLevel="0" collapsed="false">
      <c r="A12298" s="0" t="s">
        <v>5806</v>
      </c>
      <c r="B12298" s="0" t="str">
        <f aca="false">HYPERLINK("https://lindat.mff.cuni.cz/services/teitok/pdtc10/index.php?action=vallex&amp;frame=v-w11933_ZUf1_ZU", "kráčet si (v-w11933_ZUf1_ZU)")</f>
        <v>kráčet si (v-w11933_ZUf1_ZU)</v>
      </c>
    </row>
    <row r="12299" customFormat="false" ht="12.8" hidden="false" customHeight="false" outlineLevel="0" collapsed="false">
      <c r="B12299" s="0" t="s">
        <v>1</v>
      </c>
    </row>
    <row r="12301" customFormat="false" ht="12.8" hidden="false" customHeight="false" outlineLevel="0" collapsed="false">
      <c r="A12301" s="0" t="s">
        <v>5807</v>
      </c>
      <c r="B12301" s="0" t="str">
        <f aca="false">HYPERLINK("https://lindat.mff.cuni.cz/services/teitok/pdtc10/index.php?action=vallex&amp;frame=v-w1621f4", "krýt (v-w1621f4)")</f>
        <v>krýt (v-w1621f4)</v>
      </c>
      <c r="E12301" s="0" t="str">
        <f aca="false">HYPERLINK("https://lindat.mff.cuni.cz/services/SynSemClass40/SynSemClass40.html?veclass=vec00514#vec00514-ces-cm00033", "vec00514")</f>
        <v>vec00514</v>
      </c>
      <c r="F12301" s="0" t="s">
        <v>5808</v>
      </c>
    </row>
    <row r="12302" customFormat="false" ht="12.8" hidden="false" customHeight="false" outlineLevel="0" collapsed="false">
      <c r="B12302" s="0" t="s">
        <v>1</v>
      </c>
      <c r="C12302" s="0" t="s">
        <v>5809</v>
      </c>
      <c r="E12302" s="0" t="s">
        <v>4243</v>
      </c>
      <c r="F12302" s="0" t="s">
        <v>5810</v>
      </c>
    </row>
    <row r="12303" customFormat="false" ht="12.8" hidden="false" customHeight="false" outlineLevel="0" collapsed="false">
      <c r="B12303" s="0" t="s">
        <v>4245</v>
      </c>
      <c r="C12303" s="0" t="s">
        <v>5811</v>
      </c>
      <c r="E12303" s="0" t="s">
        <v>4246</v>
      </c>
      <c r="F12303" s="0" t="s">
        <v>5812</v>
      </c>
    </row>
    <row r="12304" customFormat="false" ht="12.8" hidden="false" customHeight="false" outlineLevel="0" collapsed="false">
      <c r="B12304" s="0" t="s">
        <v>4248</v>
      </c>
      <c r="C12304" s="0" t="s">
        <v>5813</v>
      </c>
      <c r="E12304" s="0" t="s">
        <v>5814</v>
      </c>
      <c r="F12304" s="0" t="s">
        <v>5815</v>
      </c>
    </row>
    <row r="12306" customFormat="false" ht="12.8" hidden="false" customHeight="false" outlineLevel="0" collapsed="false">
      <c r="A12306" s="0" t="s">
        <v>5816</v>
      </c>
      <c r="B12306" s="0" t="str">
        <f aca="false">HYPERLINK("https://lindat.mff.cuni.cz/services/teitok/pdtc10/index.php?action=vallex&amp;frame=v-w1621f1", "krýt (v-w1621f1)")</f>
        <v>krýt (v-w1621f1)</v>
      </c>
    </row>
    <row r="12307" customFormat="false" ht="12.8" hidden="false" customHeight="false" outlineLevel="0" collapsed="false">
      <c r="B12307" s="0" t="s">
        <v>1</v>
      </c>
    </row>
    <row r="12308" customFormat="false" ht="12.8" hidden="false" customHeight="false" outlineLevel="0" collapsed="false">
      <c r="B12308" s="0" t="s">
        <v>8</v>
      </c>
    </row>
    <row r="12310" customFormat="false" ht="12.8" hidden="false" customHeight="false" outlineLevel="0" collapsed="false">
      <c r="A12310" s="0" t="s">
        <v>5817</v>
      </c>
      <c r="B12310" s="0" t="str">
        <f aca="false">HYPERLINK("https://lindat.mff.cuni.cz/services/teitok/pdtc10/index.php?action=vallex&amp;frame=v-w1621f2", "krýt (v-w1621f2)")</f>
        <v>krýt (v-w1621f2)</v>
      </c>
      <c r="E12310" s="0" t="str">
        <f aca="false">HYPERLINK("https://lindat.mff.cuni.cz/services/SynSemClass40/SynSemClass40.html?veclass=vec00260#vec00260-ces-cm00007", "vec00260")</f>
        <v>vec00260</v>
      </c>
      <c r="F12310" s="0" t="s">
        <v>4985</v>
      </c>
    </row>
    <row r="12311" customFormat="false" ht="12.8" hidden="false" customHeight="false" outlineLevel="0" collapsed="false">
      <c r="B12311" s="0" t="s">
        <v>1</v>
      </c>
      <c r="C12311" s="0" t="s">
        <v>4986</v>
      </c>
      <c r="E12311" s="0" t="s">
        <v>4987</v>
      </c>
      <c r="F12311" s="0" t="s">
        <v>4988</v>
      </c>
    </row>
    <row r="12312" customFormat="false" ht="12.8" hidden="false" customHeight="false" outlineLevel="0" collapsed="false">
      <c r="B12312" s="0" t="s">
        <v>8</v>
      </c>
      <c r="C12312" s="0" t="s">
        <v>4017</v>
      </c>
      <c r="E12312" s="0" t="s">
        <v>594</v>
      </c>
      <c r="F12312" s="0" t="s">
        <v>4989</v>
      </c>
    </row>
    <row r="12314" customFormat="false" ht="12.8" hidden="false" customHeight="false" outlineLevel="0" collapsed="false">
      <c r="A12314" s="0" t="s">
        <v>5818</v>
      </c>
      <c r="B12314" s="0" t="str">
        <f aca="false">HYPERLINK("https://lindat.mff.cuni.cz/services/teitok/pdtc10/index.php?action=vallex&amp;frame=v-w1621f3", "krýt (v-w1621f3)")</f>
        <v>krýt (v-w1621f3)</v>
      </c>
      <c r="E12314" s="0" t="str">
        <f aca="false">HYPERLINK("https://lindat.mff.cuni.cz/services/SynSemClass40/SynSemClass40.html?veclass=vec00125#vec00125-ces-cm00108", "vec00125")</f>
        <v>vec00125</v>
      </c>
      <c r="F12314" s="0" t="s">
        <v>2552</v>
      </c>
    </row>
    <row r="12315" customFormat="false" ht="12.8" hidden="false" customHeight="false" outlineLevel="0" collapsed="false">
      <c r="B12315" s="0" t="s">
        <v>1</v>
      </c>
      <c r="C12315" s="0" t="s">
        <v>2553</v>
      </c>
      <c r="E12315" s="0" t="s">
        <v>2554</v>
      </c>
      <c r="F12315" s="0" t="s">
        <v>2555</v>
      </c>
    </row>
    <row r="12316" customFormat="false" ht="12.8" hidden="false" customHeight="false" outlineLevel="0" collapsed="false">
      <c r="B12316" s="0" t="s">
        <v>8</v>
      </c>
      <c r="C12316" s="0" t="s">
        <v>2556</v>
      </c>
      <c r="E12316" s="0" t="s">
        <v>2557</v>
      </c>
      <c r="F12316" s="0" t="s">
        <v>2558</v>
      </c>
    </row>
    <row r="12318" customFormat="false" ht="12.8" hidden="false" customHeight="false" outlineLevel="0" collapsed="false">
      <c r="A12318" s="0" t="s">
        <v>5819</v>
      </c>
      <c r="B12318" s="0" t="str">
        <f aca="false">HYPERLINK("https://lindat.mff.cuni.cz/services/teitok/pdtc10/index.php?action=vallex&amp;frame=v-w1623f1", "krýt se (v-w1623f1)")</f>
        <v>krýt se (v-w1623f1)</v>
      </c>
      <c r="E12318" s="0" t="str">
        <f aca="false">HYPERLINK("https://lindat.mff.cuni.cz/services/SynSemClass40/SynSemClass40.html?veclass=vec00892#vec00892-ces-cm00002", "vec00892")</f>
        <v>vec00892</v>
      </c>
      <c r="F12318" s="0" t="s">
        <v>5820</v>
      </c>
    </row>
    <row r="12319" customFormat="false" ht="12.8" hidden="false" customHeight="false" outlineLevel="0" collapsed="false">
      <c r="B12319" s="0" t="s">
        <v>1</v>
      </c>
      <c r="C12319" s="0" t="s">
        <v>5821</v>
      </c>
      <c r="E12319" s="0" t="s">
        <v>5822</v>
      </c>
      <c r="F12319" s="0" t="s">
        <v>5823</v>
      </c>
    </row>
    <row r="12320" customFormat="false" ht="12.8" hidden="false" customHeight="false" outlineLevel="0" collapsed="false">
      <c r="B12320" s="0" t="s">
        <v>721</v>
      </c>
      <c r="C12320" s="0" t="s">
        <v>800</v>
      </c>
      <c r="E12320" s="0" t="s">
        <v>5824</v>
      </c>
      <c r="F12320" s="0" t="s">
        <v>5825</v>
      </c>
    </row>
    <row r="12322" customFormat="false" ht="12.8" hidden="false" customHeight="false" outlineLevel="0" collapsed="false">
      <c r="A12322" s="0" t="s">
        <v>5826</v>
      </c>
      <c r="B12322" s="0" t="str">
        <f aca="false">HYPERLINK("https://lindat.mff.cuni.cz/services/teitok/pdtc10/index.php?action=vallex&amp;frame=v-whsa_800hsa_801", "krčit (v-whsa_800hsa_801)")</f>
        <v>krčit (v-whsa_800hsa_801)</v>
      </c>
      <c r="E12322" s="0" t="str">
        <f aca="false">HYPERLINK("https://lindat.mff.cuni.cz/services/SynSemClass40/SynSemClass40.html?veclass=vec00991#vec00991-ces-cm00004", "vec00991")</f>
        <v>vec00991</v>
      </c>
      <c r="F12322" s="0" t="s">
        <v>5767</v>
      </c>
    </row>
    <row r="12323" customFormat="false" ht="12.8" hidden="false" customHeight="false" outlineLevel="0" collapsed="false">
      <c r="B12323" s="0" t="s">
        <v>1</v>
      </c>
      <c r="C12323" s="0" t="s">
        <v>4695</v>
      </c>
      <c r="E12323" s="0" t="s">
        <v>334</v>
      </c>
      <c r="F12323" s="0" t="s">
        <v>5245</v>
      </c>
    </row>
    <row r="12324" customFormat="false" ht="12.8" hidden="false" customHeight="false" outlineLevel="0" collapsed="false">
      <c r="B12324" s="0" t="s">
        <v>286</v>
      </c>
      <c r="C12324" s="0" t="s">
        <v>462</v>
      </c>
      <c r="E12324" s="0" t="s">
        <v>2648</v>
      </c>
      <c r="F12324" s="0" t="s">
        <v>5246</v>
      </c>
    </row>
    <row r="12326" customFormat="false" ht="12.8" hidden="false" customHeight="false" outlineLevel="0" collapsed="false">
      <c r="A12326" s="0" t="s">
        <v>5827</v>
      </c>
      <c r="B12326" s="0" t="str">
        <f aca="false">HYPERLINK("https://lindat.mff.cuni.cz/services/teitok/pdtc10/index.php?action=vallex&amp;frame=v-w1596f2", "krčit se (v-w1596f2)")</f>
        <v>krčit se (v-w1596f2)</v>
      </c>
    </row>
    <row r="12327" customFormat="false" ht="12.8" hidden="false" customHeight="false" outlineLevel="0" collapsed="false">
      <c r="B12327" s="0" t="s">
        <v>1</v>
      </c>
    </row>
    <row r="12328" customFormat="false" ht="12.8" hidden="false" customHeight="false" outlineLevel="0" collapsed="false">
      <c r="B12328" s="0" t="s">
        <v>1689</v>
      </c>
    </row>
    <row r="12330" customFormat="false" ht="12.8" hidden="false" customHeight="false" outlineLevel="0" collapsed="false">
      <c r="A12330" s="0" t="s">
        <v>5828</v>
      </c>
      <c r="B12330" s="0" t="str">
        <f aca="false">HYPERLINK("https://lindat.mff.cuni.cz/services/teitok/pdtc10/index.php?action=vallex&amp;frame=v-w1596f1", "krčit se (v-w1596f1)")</f>
        <v>krčit se (v-w1596f1)</v>
      </c>
      <c r="E12330" s="0" t="str">
        <f aca="false">HYPERLINK("https://lindat.mff.cuni.cz/services/SynSemClass40/SynSemClass40.html?veclass=vec00948#vec00948-ces-cm00008", "vec00948")</f>
        <v>vec00948</v>
      </c>
      <c r="F12330" s="0" t="s">
        <v>5829</v>
      </c>
    </row>
    <row r="12331" customFormat="false" ht="12.8" hidden="false" customHeight="false" outlineLevel="0" collapsed="false">
      <c r="B12331" s="0" t="s">
        <v>1</v>
      </c>
      <c r="E12331" s="0" t="s">
        <v>5830</v>
      </c>
      <c r="F12331" s="0" t="s">
        <v>5831</v>
      </c>
    </row>
    <row r="12333" customFormat="false" ht="12.8" hidden="false" customHeight="false" outlineLevel="0" collapsed="false">
      <c r="A12333" s="0" t="s">
        <v>5832</v>
      </c>
      <c r="B12333" s="0" t="str">
        <f aca="false">HYPERLINK("https://lindat.mff.cuni.cz/services/teitok/pdtc10/index.php?action=vallex&amp;frame=v-w12096_ZUf1_ZU", "kuchat (v-w12096_ZUf1_ZU)")</f>
        <v>kuchat (v-w12096_ZUf1_ZU)</v>
      </c>
    </row>
    <row r="12334" customFormat="false" ht="12.8" hidden="false" customHeight="false" outlineLevel="0" collapsed="false">
      <c r="B12334" s="0" t="s">
        <v>1</v>
      </c>
    </row>
    <row r="12335" customFormat="false" ht="12.8" hidden="false" customHeight="false" outlineLevel="0" collapsed="false">
      <c r="B12335" s="0" t="s">
        <v>8</v>
      </c>
    </row>
    <row r="12337" customFormat="false" ht="12.8" hidden="false" customHeight="false" outlineLevel="0" collapsed="false">
      <c r="A12337" s="0" t="s">
        <v>5833</v>
      </c>
      <c r="B12337" s="0" t="str">
        <f aca="false">HYPERLINK("https://lindat.mff.cuni.cz/services/teitok/pdtc10/index.php?action=vallex&amp;frame=v-w1633f1", "kulminovat (v-w1633f1)")</f>
        <v>kulminovat (v-w1633f1)</v>
      </c>
    </row>
    <row r="12338" customFormat="false" ht="12.8" hidden="false" customHeight="false" outlineLevel="0" collapsed="false">
      <c r="B12338" s="0" t="s">
        <v>1</v>
      </c>
    </row>
    <row r="12340" customFormat="false" ht="12.8" hidden="false" customHeight="false" outlineLevel="0" collapsed="false">
      <c r="A12340" s="0" t="s">
        <v>5834</v>
      </c>
      <c r="B12340" s="0" t="str">
        <f aca="false">HYPERLINK("https://lindat.mff.cuni.cz/services/teitok/pdtc10/index.php?action=vallex&amp;frame=v-w1635f1", "kultivovat (v-w1635f1)")</f>
        <v>kultivovat (v-w1635f1)</v>
      </c>
      <c r="E12340" s="0" t="str">
        <f aca="false">HYPERLINK("https://lindat.mff.cuni.cz/services/SynSemClass40/SynSemClass40.html?veclass=vec00386#vec00386-ces-cm00051", "vec00386")</f>
        <v>vec00386</v>
      </c>
      <c r="F12340" s="0" t="s">
        <v>5835</v>
      </c>
    </row>
    <row r="12341" customFormat="false" ht="12.8" hidden="false" customHeight="false" outlineLevel="0" collapsed="false">
      <c r="B12341" s="0" t="s">
        <v>1</v>
      </c>
      <c r="C12341" s="0" t="s">
        <v>5836</v>
      </c>
      <c r="E12341" s="0" t="s">
        <v>76</v>
      </c>
      <c r="F12341" s="0" t="s">
        <v>5837</v>
      </c>
    </row>
    <row r="12342" customFormat="false" ht="12.8" hidden="false" customHeight="false" outlineLevel="0" collapsed="false">
      <c r="B12342" s="0" t="s">
        <v>8</v>
      </c>
      <c r="C12342" s="0" t="s">
        <v>5838</v>
      </c>
      <c r="E12342" s="0" t="s">
        <v>4782</v>
      </c>
      <c r="F12342" s="0" t="s">
        <v>5839</v>
      </c>
    </row>
    <row r="12344" customFormat="false" ht="12.8" hidden="false" customHeight="false" outlineLevel="0" collapsed="false">
      <c r="A12344" s="0" t="s">
        <v>5840</v>
      </c>
      <c r="B12344" s="0" t="str">
        <f aca="false">HYPERLINK("https://lindat.mff.cuni.cz/services/teitok/pdtc10/index.php?action=vallex&amp;frame=v-w1637f1", "kumulovat se (v-w1637f1)")</f>
        <v>kumulovat se (v-w1637f1)</v>
      </c>
    </row>
    <row r="12345" customFormat="false" ht="12.8" hidden="false" customHeight="false" outlineLevel="0" collapsed="false">
      <c r="B12345" s="0" t="s">
        <v>1</v>
      </c>
    </row>
    <row r="12347" customFormat="false" ht="12.8" hidden="false" customHeight="false" outlineLevel="0" collapsed="false">
      <c r="A12347" s="0" t="s">
        <v>5841</v>
      </c>
      <c r="B12347" s="0" t="str">
        <f aca="false">HYPERLINK("https://lindat.mff.cuni.cz/services/teitok/pdtc10/index.php?action=vallex&amp;frame=v-w11437f1", "kupit se (v-w11437f1)")</f>
        <v>kupit se (v-w11437f1)</v>
      </c>
    </row>
    <row r="12348" customFormat="false" ht="12.8" hidden="false" customHeight="false" outlineLevel="0" collapsed="false">
      <c r="B12348" s="0" t="s">
        <v>1</v>
      </c>
    </row>
    <row r="12350" customFormat="false" ht="12.8" hidden="false" customHeight="false" outlineLevel="0" collapsed="false">
      <c r="A12350" s="0" t="s">
        <v>5842</v>
      </c>
      <c r="B12350" s="0" t="str">
        <f aca="false">HYPERLINK("https://lindat.mff.cuni.cz/services/teitok/pdtc10/index.php?action=vallex&amp;frame=v-w1639f1", "kupovat (v-w1639f1)")</f>
        <v>kupovat (v-w1639f1)</v>
      </c>
      <c r="E12350" s="0" t="str">
        <f aca="false">HYPERLINK("https://lindat.mff.cuni.cz/services/SynSemClass40/SynSemClass40.html?veclass=vec00035#vec00035-ces-cm00003", "vec00035")</f>
        <v>vec00035</v>
      </c>
      <c r="F12350" s="0" t="s">
        <v>5701</v>
      </c>
    </row>
    <row r="12351" customFormat="false" ht="12.8" hidden="false" customHeight="false" outlineLevel="0" collapsed="false">
      <c r="B12351" s="0" t="s">
        <v>1</v>
      </c>
      <c r="C12351" s="0" t="s">
        <v>5702</v>
      </c>
      <c r="E12351" s="0" t="s">
        <v>5703</v>
      </c>
      <c r="F12351" s="0" t="s">
        <v>5704</v>
      </c>
    </row>
    <row r="12352" customFormat="false" ht="12.8" hidden="false" customHeight="false" outlineLevel="0" collapsed="false">
      <c r="B12352" s="0" t="s">
        <v>8</v>
      </c>
      <c r="C12352" s="0" t="s">
        <v>5705</v>
      </c>
      <c r="E12352" s="0" t="s">
        <v>3201</v>
      </c>
      <c r="F12352" s="0" t="s">
        <v>5706</v>
      </c>
    </row>
    <row r="12353" customFormat="false" ht="12.8" hidden="false" customHeight="false" outlineLevel="0" collapsed="false">
      <c r="B12353" s="0" t="s">
        <v>2410</v>
      </c>
      <c r="C12353" s="0" t="s">
        <v>5707</v>
      </c>
      <c r="E12353" s="0" t="s">
        <v>4235</v>
      </c>
      <c r="F12353" s="0" t="s">
        <v>5708</v>
      </c>
    </row>
    <row r="12354" customFormat="false" ht="12.8" hidden="false" customHeight="false" outlineLevel="0" collapsed="false">
      <c r="B12354" s="0" t="s">
        <v>602</v>
      </c>
      <c r="C12354" s="0" t="s">
        <v>5709</v>
      </c>
      <c r="E12354" s="0" t="s">
        <v>5710</v>
      </c>
      <c r="F12354" s="0" t="s">
        <v>5711</v>
      </c>
    </row>
    <row r="12356" customFormat="false" ht="12.8" hidden="false" customHeight="false" outlineLevel="0" collapsed="false">
      <c r="A12356" s="0" t="s">
        <v>5843</v>
      </c>
      <c r="B12356" s="0" t="str">
        <f aca="false">HYPERLINK("https://lindat.mff.cuni.cz/services/teitok/pdtc10/index.php?action=vallex&amp;frame=v-w1642f1", "kutálet se (v-w1642f1)")</f>
        <v>kutálet se (v-w1642f1)</v>
      </c>
    </row>
    <row r="12357" customFormat="false" ht="12.8" hidden="false" customHeight="false" outlineLevel="0" collapsed="false">
      <c r="B12357" s="0" t="s">
        <v>1</v>
      </c>
    </row>
    <row r="12359" customFormat="false" ht="12.8" hidden="false" customHeight="false" outlineLevel="0" collapsed="false">
      <c r="A12359" s="0" t="s">
        <v>5844</v>
      </c>
      <c r="B12359" s="0" t="str">
        <f aca="false">HYPERLINK("https://lindat.mff.cuni.cz/services/teitok/pdtc10/index.php?action=vallex&amp;frame=v-w1645f1", "kvalifikovat (v-w1645f1)")</f>
        <v>kvalifikovat (v-w1645f1)</v>
      </c>
      <c r="E12359" s="0" t="str">
        <f aca="false">HYPERLINK("https://lindat.mff.cuni.cz/services/SynSemClass40/SynSemClass40.html?veclass=vec01221#vec01221-ces-cm00001", "vec01221")</f>
        <v>vec01221</v>
      </c>
      <c r="F12359" s="0" t="s">
        <v>5845</v>
      </c>
    </row>
    <row r="12360" customFormat="false" ht="12.8" hidden="false" customHeight="false" outlineLevel="0" collapsed="false">
      <c r="B12360" s="0" t="s">
        <v>1</v>
      </c>
      <c r="C12360" s="0" t="s">
        <v>5846</v>
      </c>
      <c r="E12360" s="0" t="s">
        <v>206</v>
      </c>
      <c r="F12360" s="0" t="s">
        <v>5847</v>
      </c>
    </row>
    <row r="12361" customFormat="false" ht="12.8" hidden="false" customHeight="false" outlineLevel="0" collapsed="false">
      <c r="B12361" s="0" t="s">
        <v>5848</v>
      </c>
      <c r="C12361" s="0" t="s">
        <v>5849</v>
      </c>
      <c r="E12361" s="0" t="s">
        <v>5055</v>
      </c>
      <c r="F12361" s="0" t="s">
        <v>5850</v>
      </c>
    </row>
    <row r="12362" customFormat="false" ht="12.8" hidden="false" customHeight="false" outlineLevel="0" collapsed="false">
      <c r="B12362" s="0" t="s">
        <v>98</v>
      </c>
      <c r="C12362" s="0" t="s">
        <v>5851</v>
      </c>
      <c r="E12362" s="0" t="s">
        <v>5852</v>
      </c>
      <c r="F12362" s="0" t="s">
        <v>5853</v>
      </c>
    </row>
    <row r="12364" customFormat="false" ht="12.8" hidden="false" customHeight="false" outlineLevel="0" collapsed="false">
      <c r="A12364" s="0" t="s">
        <v>5854</v>
      </c>
      <c r="B12364" s="0" t="str">
        <f aca="false">HYPERLINK("https://lindat.mff.cuni.cz/services/teitok/pdtc10/index.php?action=vallex&amp;frame=v-w1645f2", "kvalifikovat (v-w1645f2)")</f>
        <v>kvalifikovat (v-w1645f2)</v>
      </c>
    </row>
    <row r="12365" customFormat="false" ht="12.8" hidden="false" customHeight="false" outlineLevel="0" collapsed="false">
      <c r="B12365" s="0" t="s">
        <v>1</v>
      </c>
    </row>
    <row r="12366" customFormat="false" ht="12.8" hidden="false" customHeight="false" outlineLevel="0" collapsed="false">
      <c r="B12366" s="0" t="s">
        <v>8</v>
      </c>
    </row>
    <row r="12367" customFormat="false" ht="12.8" hidden="false" customHeight="false" outlineLevel="0" collapsed="false">
      <c r="B12367" s="0" t="s">
        <v>1640</v>
      </c>
    </row>
    <row r="12369" customFormat="false" ht="12.8" hidden="false" customHeight="false" outlineLevel="0" collapsed="false">
      <c r="A12369" s="0" t="s">
        <v>5855</v>
      </c>
      <c r="B12369" s="0" t="str">
        <f aca="false">HYPERLINK("https://lindat.mff.cuni.cz/services/teitok/pdtc10/index.php?action=vallex&amp;frame=v-w1646f3_ZU", "kvalifikovat se (v-w1646f3_ZU)")</f>
        <v>kvalifikovat se (v-w1646f3_ZU)</v>
      </c>
      <c r="E12369" s="0" t="str">
        <f aca="false">HYPERLINK("https://lindat.mff.cuni.cz/services/SynSemClass40/SynSemClass40.html?veclass=vec01221#vec01221-ces-cm00003", "vec01221")</f>
        <v>vec01221</v>
      </c>
      <c r="F12369" s="0" t="s">
        <v>5845</v>
      </c>
    </row>
    <row r="12370" customFormat="false" ht="12.8" hidden="false" customHeight="false" outlineLevel="0" collapsed="false">
      <c r="B12370" s="0" t="s">
        <v>1</v>
      </c>
      <c r="C12370" s="0" t="s">
        <v>5856</v>
      </c>
      <c r="E12370" s="0" t="s">
        <v>5857</v>
      </c>
      <c r="F12370" s="0" t="s">
        <v>5858</v>
      </c>
    </row>
    <row r="12371" customFormat="false" ht="12.8" hidden="false" customHeight="false" outlineLevel="0" collapsed="false">
      <c r="B12371" s="0" t="s">
        <v>5859</v>
      </c>
      <c r="C12371" s="0" t="s">
        <v>5849</v>
      </c>
      <c r="E12371" s="0" t="s">
        <v>5055</v>
      </c>
      <c r="F12371" s="0" t="s">
        <v>5850</v>
      </c>
    </row>
    <row r="12373" customFormat="false" ht="12.8" hidden="false" customHeight="false" outlineLevel="0" collapsed="false">
      <c r="A12373" s="0" t="s">
        <v>5860</v>
      </c>
      <c r="B12373" s="0" t="str">
        <f aca="false">HYPERLINK("https://lindat.mff.cuni.cz/services/teitok/pdtc10/index.php?action=vallex&amp;frame=v-w1646f1", "kvalifikovat se (v-w1646f1)")</f>
        <v>kvalifikovat se (v-w1646f1)</v>
      </c>
    </row>
    <row r="12374" customFormat="false" ht="12.8" hidden="false" customHeight="false" outlineLevel="0" collapsed="false">
      <c r="B12374" s="0" t="s">
        <v>1</v>
      </c>
    </row>
    <row r="12375" customFormat="false" ht="12.8" hidden="false" customHeight="false" outlineLevel="0" collapsed="false">
      <c r="B12375" s="0" t="s">
        <v>164</v>
      </c>
    </row>
    <row r="12377" customFormat="false" ht="12.8" hidden="false" customHeight="false" outlineLevel="0" collapsed="false">
      <c r="A12377" s="0" t="s">
        <v>5861</v>
      </c>
      <c r="B12377" s="0" t="str">
        <f aca="false">HYPERLINK("https://lindat.mff.cuni.cz/services/teitok/pdtc10/index.php?action=vallex&amp;frame=v-w1646f2", "kvalifikovat se (v-w1646f2)")</f>
        <v>kvalifikovat se (v-w1646f2)</v>
      </c>
      <c r="E12377" s="0" t="str">
        <f aca="false">HYPERLINK("https://lindat.mff.cuni.cz/services/SynSemClass40/SynSemClass40.html?veclass=vec01221#vec01221-ces-cm00002", "vec01221")</f>
        <v>vec01221</v>
      </c>
      <c r="F12377" s="0" t="s">
        <v>5845</v>
      </c>
    </row>
    <row r="12378" customFormat="false" ht="12.8" hidden="false" customHeight="false" outlineLevel="0" collapsed="false">
      <c r="B12378" s="0" t="s">
        <v>1</v>
      </c>
      <c r="C12378" s="0" t="s">
        <v>5856</v>
      </c>
      <c r="E12378" s="0" t="s">
        <v>5857</v>
      </c>
      <c r="F12378" s="0" t="s">
        <v>5858</v>
      </c>
    </row>
    <row r="12379" customFormat="false" ht="12.8" hidden="false" customHeight="false" outlineLevel="0" collapsed="false">
      <c r="B12379" s="0" t="s">
        <v>164</v>
      </c>
      <c r="C12379" s="0" t="s">
        <v>5862</v>
      </c>
      <c r="E12379" s="0" t="s">
        <v>5090</v>
      </c>
      <c r="F12379" s="0" t="s">
        <v>5863</v>
      </c>
    </row>
    <row r="12381" customFormat="false" ht="12.8" hidden="false" customHeight="false" outlineLevel="0" collapsed="false">
      <c r="A12381" s="0" t="s">
        <v>5864</v>
      </c>
      <c r="B12381" s="0" t="str">
        <f aca="false">HYPERLINK("https://lindat.mff.cuni.cz/services/teitok/pdtc10/index.php?action=vallex&amp;frame=v-whsa_1622hsa_1623", "kvaltovat (v-whsa_1622hsa_1623)")</f>
        <v>kvaltovat (v-whsa_1622hsa_1623)</v>
      </c>
    </row>
    <row r="12382" customFormat="false" ht="12.8" hidden="false" customHeight="false" outlineLevel="0" collapsed="false">
      <c r="B12382" s="0" t="s">
        <v>1</v>
      </c>
    </row>
    <row r="12384" customFormat="false" ht="12.8" hidden="false" customHeight="false" outlineLevel="0" collapsed="false">
      <c r="A12384" s="0" t="s">
        <v>5865</v>
      </c>
      <c r="B12384" s="0" t="str">
        <f aca="false">HYPERLINK("https://lindat.mff.cuni.cz/services/teitok/pdtc10/index.php?action=vallex&amp;frame=v-w1648f1", "kvantifikovat (v-w1648f1)")</f>
        <v>kvantifikovat (v-w1648f1)</v>
      </c>
    </row>
    <row r="12385" customFormat="false" ht="12.8" hidden="false" customHeight="false" outlineLevel="0" collapsed="false">
      <c r="B12385" s="0" t="s">
        <v>1</v>
      </c>
    </row>
    <row r="12386" customFormat="false" ht="12.8" hidden="false" customHeight="false" outlineLevel="0" collapsed="false">
      <c r="B12386" s="0" t="s">
        <v>305</v>
      </c>
    </row>
    <row r="12388" customFormat="false" ht="12.8" hidden="false" customHeight="false" outlineLevel="0" collapsed="false">
      <c r="A12388" s="0" t="s">
        <v>5866</v>
      </c>
      <c r="B12388" s="0" t="str">
        <f aca="false">HYPERLINK("https://lindat.mff.cuni.cz/services/teitok/pdtc10/index.php?action=vallex&amp;frame=v-w1651f1", "kvitovat (v-w1651f1)")</f>
        <v>kvitovat (v-w1651f1)</v>
      </c>
    </row>
    <row r="12389" customFormat="false" ht="12.8" hidden="false" customHeight="false" outlineLevel="0" collapsed="false">
      <c r="B12389" s="0" t="s">
        <v>1</v>
      </c>
    </row>
    <row r="12390" customFormat="false" ht="12.8" hidden="false" customHeight="false" outlineLevel="0" collapsed="false">
      <c r="B12390" s="0" t="s">
        <v>2128</v>
      </c>
    </row>
    <row r="12392" customFormat="false" ht="12.8" hidden="false" customHeight="false" outlineLevel="0" collapsed="false">
      <c r="A12392" s="0" t="s">
        <v>5867</v>
      </c>
      <c r="B12392" s="0" t="str">
        <f aca="false">HYPERLINK("https://lindat.mff.cuni.cz/services/teitok/pdtc10/index.php?action=vallex&amp;frame=v-w10158f2", "kvákat (v-w10158f2)")</f>
        <v>kvákat (v-w10158f2)</v>
      </c>
    </row>
    <row r="12393" customFormat="false" ht="12.8" hidden="false" customHeight="false" outlineLevel="0" collapsed="false">
      <c r="B12393" s="0" t="s">
        <v>1</v>
      </c>
    </row>
    <row r="12395" customFormat="false" ht="12.8" hidden="false" customHeight="false" outlineLevel="0" collapsed="false">
      <c r="A12395" s="0" t="s">
        <v>5868</v>
      </c>
      <c r="B12395" s="0" t="str">
        <f aca="false">HYPERLINK("https://lindat.mff.cuni.cz/services/teitok/pdtc10/index.php?action=vallex&amp;frame=v-whsb_224hsa_225", "kváknout (v-whsb_224hsa_225)")</f>
        <v>kváknout (v-whsb_224hsa_225)</v>
      </c>
    </row>
    <row r="12396" customFormat="false" ht="12.8" hidden="false" customHeight="false" outlineLevel="0" collapsed="false">
      <c r="B12396" s="0" t="s">
        <v>1</v>
      </c>
    </row>
    <row r="12398" customFormat="false" ht="12.8" hidden="false" customHeight="false" outlineLevel="0" collapsed="false">
      <c r="A12398" s="0" t="s">
        <v>5869</v>
      </c>
      <c r="B12398" s="0" t="str">
        <f aca="false">HYPERLINK("https://lindat.mff.cuni.cz/services/teitok/pdtc10/index.php?action=vallex&amp;frame=v-w1649f1", "kvést (v-w1649f1)")</f>
        <v>kvést (v-w1649f1)</v>
      </c>
    </row>
    <row r="12399" customFormat="false" ht="12.8" hidden="false" customHeight="false" outlineLevel="0" collapsed="false">
      <c r="B12399" s="0" t="s">
        <v>1</v>
      </c>
    </row>
    <row r="12401" customFormat="false" ht="12.8" hidden="false" customHeight="false" outlineLevel="0" collapsed="false">
      <c r="A12401" s="0" t="s">
        <v>5870</v>
      </c>
      <c r="B12401" s="0" t="str">
        <f aca="false">HYPERLINK("https://lindat.mff.cuni.cz/services/teitok/pdtc10/index.php?action=vallex&amp;frame=v-w1649f2_ZU", "kvést (v-w1649f2_ZU)")</f>
        <v>kvést (v-w1649f2_ZU)</v>
      </c>
      <c r="E12401" s="0" t="str">
        <f aca="false">HYPERLINK("https://lindat.mff.cuni.cz/services/SynSemClass40/SynSemClass40.html?veclass=vec00510#vec00510-ces-cm00005", "vec00510")</f>
        <v>vec00510</v>
      </c>
      <c r="F12401" s="0" t="s">
        <v>4074</v>
      </c>
    </row>
    <row r="12402" customFormat="false" ht="12.8" hidden="false" customHeight="false" outlineLevel="0" collapsed="false">
      <c r="B12402" s="0" t="s">
        <v>1</v>
      </c>
      <c r="C12402" s="0" t="s">
        <v>5871</v>
      </c>
      <c r="E12402" s="0" t="s">
        <v>84</v>
      </c>
      <c r="F12402" s="0" t="s">
        <v>4077</v>
      </c>
    </row>
    <row r="12404" customFormat="false" ht="12.8" hidden="false" customHeight="false" outlineLevel="0" collapsed="false">
      <c r="A12404" s="0" t="s">
        <v>5872</v>
      </c>
      <c r="B12404" s="0" t="str">
        <f aca="false">HYPERLINK("https://lindat.mff.cuni.cz/services/teitok/pdtc10/index.php?action=vallex&amp;frame=v-w11657_ZUf1_ZU", "kvílet (v-w11657_ZUf1_ZU)")</f>
        <v>kvílet (v-w11657_ZUf1_ZU)</v>
      </c>
      <c r="E12404" s="0" t="str">
        <f aca="false">HYPERLINK("https://lindat.mff.cuni.cz/services/SynSemClass40/SynSemClass40.html?veclass=vec01222#vec01222-ces-cm00004", "vec01222")</f>
        <v>vec01222</v>
      </c>
      <c r="F12404" s="0" t="s">
        <v>5873</v>
      </c>
    </row>
    <row r="12405" customFormat="false" ht="12.8" hidden="false" customHeight="false" outlineLevel="0" collapsed="false">
      <c r="B12405" s="0" t="s">
        <v>1</v>
      </c>
      <c r="E12405" s="0" t="s">
        <v>147</v>
      </c>
      <c r="F12405" s="0" t="s">
        <v>5874</v>
      </c>
    </row>
    <row r="12407" customFormat="false" ht="12.8" hidden="false" customHeight="false" outlineLevel="0" collapsed="false">
      <c r="A12407" s="0" t="s">
        <v>5875</v>
      </c>
      <c r="B12407" s="0" t="str">
        <f aca="false">HYPERLINK("https://lindat.mff.cuni.cz/services/teitok/pdtc10/index.php?action=vallex&amp;frame=v-w11657_ZUf2_ZU", "kvílet (v-w11657_ZUf2_ZU)")</f>
        <v>kvílet (v-w11657_ZUf2_ZU)</v>
      </c>
    </row>
    <row r="12408" customFormat="false" ht="12.8" hidden="false" customHeight="false" outlineLevel="0" collapsed="false">
      <c r="B12408" s="0" t="s">
        <v>1</v>
      </c>
    </row>
    <row r="12410" customFormat="false" ht="12.8" hidden="false" customHeight="false" outlineLevel="0" collapsed="false">
      <c r="A12410" s="0" t="s">
        <v>5876</v>
      </c>
      <c r="B12410" s="0" t="str">
        <f aca="false">HYPERLINK("https://lindat.mff.cuni.cz/services/teitok/pdtc10/index.php?action=vallex&amp;frame=v-w11515_ZUf1_ZU", "kydat (v-w11515_ZUf1_ZU)")</f>
        <v>kydat (v-w11515_ZUf1_ZU)</v>
      </c>
    </row>
    <row r="12411" customFormat="false" ht="12.8" hidden="false" customHeight="false" outlineLevel="0" collapsed="false">
      <c r="B12411" s="0" t="s">
        <v>1</v>
      </c>
    </row>
    <row r="12412" customFormat="false" ht="12.8" hidden="false" customHeight="false" outlineLevel="0" collapsed="false">
      <c r="B12412" s="0" t="s">
        <v>5877</v>
      </c>
    </row>
    <row r="12413" customFormat="false" ht="12.8" hidden="false" customHeight="false" outlineLevel="0" collapsed="false">
      <c r="B12413" s="0" t="s">
        <v>45</v>
      </c>
    </row>
    <row r="12415" customFormat="false" ht="12.8" hidden="false" customHeight="false" outlineLevel="0" collapsed="false">
      <c r="A12415" s="0" t="s">
        <v>5878</v>
      </c>
      <c r="B12415" s="0" t="str">
        <f aca="false">HYPERLINK("https://lindat.mff.cuni.cz/services/teitok/pdtc10/index.php?action=vallex&amp;frame=v-w11515_ZUf2_ZU", "kydat (v-w11515_ZUf2_ZU)")</f>
        <v>kydat (v-w11515_ZUf2_ZU)</v>
      </c>
    </row>
    <row r="12416" customFormat="false" ht="12.8" hidden="false" customHeight="false" outlineLevel="0" collapsed="false">
      <c r="B12416" s="0" t="s">
        <v>1</v>
      </c>
    </row>
    <row r="12417" customFormat="false" ht="12.8" hidden="false" customHeight="false" outlineLevel="0" collapsed="false">
      <c r="B12417" s="0" t="s">
        <v>8</v>
      </c>
    </row>
    <row r="12419" customFormat="false" ht="12.8" hidden="false" customHeight="false" outlineLevel="0" collapsed="false">
      <c r="A12419" s="0" t="s">
        <v>5879</v>
      </c>
      <c r="B12419" s="0" t="str">
        <f aca="false">HYPERLINK("https://lindat.mff.cuni.cz/services/teitok/pdtc10/index.php?action=vallex&amp;frame=v-w11363f1", "kymácet se (v-w11363f1)")</f>
        <v>kymácet se (v-w11363f1)</v>
      </c>
      <c r="E12419" s="0" t="str">
        <f aca="false">HYPERLINK("https://lindat.mff.cuni.cz/services/SynSemClass40/SynSemClass40.html?veclass=vec00626#vec00626-ces-cm00001", "vec00626")</f>
        <v>vec00626</v>
      </c>
      <c r="F12419" s="0" t="s">
        <v>4514</v>
      </c>
    </row>
    <row r="12420" customFormat="false" ht="12.8" hidden="false" customHeight="false" outlineLevel="0" collapsed="false">
      <c r="B12420" s="0" t="s">
        <v>1</v>
      </c>
      <c r="C12420" s="0" t="s">
        <v>4515</v>
      </c>
      <c r="E12420" s="0" t="s">
        <v>334</v>
      </c>
      <c r="F12420" s="0" t="s">
        <v>4516</v>
      </c>
    </row>
    <row r="12422" customFormat="false" ht="12.8" hidden="false" customHeight="false" outlineLevel="0" collapsed="false">
      <c r="A12422" s="0" t="s">
        <v>5880</v>
      </c>
      <c r="B12422" s="0" t="str">
        <f aca="false">HYPERLINK("https://lindat.mff.cuni.cz/services/teitok/pdtc10/index.php?action=vallex&amp;frame=v-w1653f1", "kypět (v-w1653f1)")</f>
        <v>kypět (v-w1653f1)</v>
      </c>
    </row>
    <row r="12423" customFormat="false" ht="12.8" hidden="false" customHeight="false" outlineLevel="0" collapsed="false">
      <c r="B12423" s="0" t="s">
        <v>1</v>
      </c>
    </row>
    <row r="12425" customFormat="false" ht="12.8" hidden="false" customHeight="false" outlineLevel="0" collapsed="false">
      <c r="A12425" s="0" t="s">
        <v>5881</v>
      </c>
      <c r="B12425" s="0" t="str">
        <f aca="false">HYPERLINK("https://lindat.mff.cuni.cz/services/teitok/pdtc10/index.php?action=vallex&amp;frame=v-w12377_MMf1_MM", "kácet (v-w12377_MMf1_MM)")</f>
        <v>kácet (v-w12377_MMf1_MM)</v>
      </c>
    </row>
    <row r="12426" customFormat="false" ht="12.8" hidden="false" customHeight="false" outlineLevel="0" collapsed="false">
      <c r="B12426" s="0" t="s">
        <v>1</v>
      </c>
    </row>
    <row r="12427" customFormat="false" ht="12.8" hidden="false" customHeight="false" outlineLevel="0" collapsed="false">
      <c r="B12427" s="0" t="s">
        <v>8</v>
      </c>
    </row>
    <row r="12429" customFormat="false" ht="12.8" hidden="false" customHeight="false" outlineLevel="0" collapsed="false">
      <c r="A12429" s="0" t="s">
        <v>5882</v>
      </c>
      <c r="B12429" s="0" t="str">
        <f aca="false">HYPERLINK("https://lindat.mff.cuni.cz/services/teitok/pdtc10/index.php?action=vallex&amp;frame=v-w1364f1", "kárat (v-w1364f1)")</f>
        <v>kárat (v-w1364f1)</v>
      </c>
      <c r="E12429" s="0" t="str">
        <f aca="false">HYPERLINK("https://lindat.mff.cuni.cz/services/SynSemClass40/SynSemClass40.html?veclass=vec00230#vec00230-ces-cm00037", "vec00230")</f>
        <v>vec00230</v>
      </c>
      <c r="F12429" s="0" t="s">
        <v>4255</v>
      </c>
      <c r="H12429" s="0" t="str">
        <f aca="false">HYPERLINK("https://lindat.mff.cuni.cz/services/SynSemClass40/SynSemClass40.html?veclass=vec00620#vec00620-ces-cm00001", "vec00620")</f>
        <v>vec00620</v>
      </c>
      <c r="I12429" s="0" t="s">
        <v>4262</v>
      </c>
    </row>
    <row r="12430" customFormat="false" ht="12.8" hidden="false" customHeight="false" outlineLevel="0" collapsed="false">
      <c r="B12430" s="0" t="s">
        <v>1</v>
      </c>
      <c r="C12430" s="0" t="s">
        <v>5883</v>
      </c>
      <c r="E12430" s="0" t="s">
        <v>3750</v>
      </c>
      <c r="F12430" s="0" t="s">
        <v>4257</v>
      </c>
      <c r="H12430" s="0" t="s">
        <v>31</v>
      </c>
      <c r="I12430" s="0" t="s">
        <v>4265</v>
      </c>
    </row>
    <row r="12431" customFormat="false" ht="12.8" hidden="false" customHeight="false" outlineLevel="0" collapsed="false">
      <c r="B12431" s="0" t="s">
        <v>8</v>
      </c>
      <c r="C12431" s="0" t="s">
        <v>5884</v>
      </c>
      <c r="E12431" s="0" t="s">
        <v>4259</v>
      </c>
      <c r="F12431" s="0" t="s">
        <v>4260</v>
      </c>
      <c r="H12431" s="0" t="s">
        <v>142</v>
      </c>
      <c r="I12431" s="0" t="s">
        <v>4268</v>
      </c>
    </row>
    <row r="12433" customFormat="false" ht="12.8" hidden="false" customHeight="false" outlineLevel="0" collapsed="false">
      <c r="A12433" s="0" t="s">
        <v>5885</v>
      </c>
      <c r="B12433" s="0" t="str">
        <f aca="false">HYPERLINK("https://lindat.mff.cuni.cz/services/teitok/pdtc10/index.php?action=vallex&amp;frame=v-w1371f1", "kát se (v-w1371f1)")</f>
        <v>kát se (v-w1371f1)</v>
      </c>
    </row>
    <row r="12434" customFormat="false" ht="12.8" hidden="false" customHeight="false" outlineLevel="0" collapsed="false">
      <c r="B12434" s="0" t="s">
        <v>1</v>
      </c>
    </row>
    <row r="12436" customFormat="false" ht="12.8" hidden="false" customHeight="false" outlineLevel="0" collapsed="false">
      <c r="A12436" s="0" t="s">
        <v>5886</v>
      </c>
      <c r="B12436" s="0" t="str">
        <f aca="false">HYPERLINK("https://lindat.mff.cuni.cz/services/teitok/pdtc10/index.php?action=vallex&amp;frame=v-w1374f1", "kázat (v-w1374f1)")</f>
        <v>kázat (v-w1374f1)</v>
      </c>
      <c r="E12436" s="0" t="str">
        <f aca="false">HYPERLINK("https://lindat.mff.cuni.cz/services/SynSemClass40/SynSemClass40.html?veclass=vec00621#vec00621-ces-cm00001", "vec00621")</f>
        <v>vec00621</v>
      </c>
      <c r="F12436" s="0" t="s">
        <v>5887</v>
      </c>
    </row>
    <row r="12437" customFormat="false" ht="12.8" hidden="false" customHeight="false" outlineLevel="0" collapsed="false">
      <c r="B12437" s="0" t="s">
        <v>1</v>
      </c>
      <c r="C12437" s="0" t="s">
        <v>459</v>
      </c>
      <c r="E12437" s="0" t="s">
        <v>147</v>
      </c>
      <c r="F12437" s="0" t="s">
        <v>5888</v>
      </c>
    </row>
    <row r="12438" customFormat="false" ht="12.8" hidden="false" customHeight="false" outlineLevel="0" collapsed="false">
      <c r="B12438" s="0" t="s">
        <v>495</v>
      </c>
      <c r="C12438" s="0" t="s">
        <v>5889</v>
      </c>
      <c r="E12438" s="0" t="s">
        <v>2217</v>
      </c>
      <c r="F12438" s="0" t="s">
        <v>5890</v>
      </c>
    </row>
    <row r="12439" customFormat="false" ht="12.8" hidden="false" customHeight="false" outlineLevel="0" collapsed="false">
      <c r="B12439" s="0" t="s">
        <v>496</v>
      </c>
      <c r="C12439" s="0" t="s">
        <v>531</v>
      </c>
      <c r="E12439" s="0" t="s">
        <v>218</v>
      </c>
      <c r="F12439" s="0" t="s">
        <v>5891</v>
      </c>
    </row>
    <row r="12440" customFormat="false" ht="12.8" hidden="false" customHeight="false" outlineLevel="0" collapsed="false">
      <c r="B12440" s="0" t="s">
        <v>132</v>
      </c>
      <c r="E12440" s="0" t="s">
        <v>221</v>
      </c>
      <c r="F12440" s="0" t="s">
        <v>4699</v>
      </c>
    </row>
    <row r="12442" customFormat="false" ht="12.8" hidden="false" customHeight="false" outlineLevel="0" collapsed="false">
      <c r="A12442" s="0" t="s">
        <v>5892</v>
      </c>
      <c r="B12442" s="0" t="str">
        <f aca="false">HYPERLINK("https://lindat.mff.cuni.cz/services/teitok/pdtc10/index.php?action=vallex&amp;frame=v-w1567f5_ZU", "kótovat (v-w1567f5_ZU)")</f>
        <v>kótovat (v-w1567f5_ZU)</v>
      </c>
      <c r="E12442" s="0" t="str">
        <f aca="false">HYPERLINK("https://lindat.mff.cuni.cz/services/SynSemClass40/SynSemClass40.html?veclass=vec00322#vec00322-ces-cm00124", "vec00322")</f>
        <v>vec00322</v>
      </c>
      <c r="F12442" s="0" t="s">
        <v>1343</v>
      </c>
    </row>
    <row r="12443" customFormat="false" ht="12.8" hidden="false" customHeight="false" outlineLevel="0" collapsed="false">
      <c r="B12443" s="0" t="s">
        <v>1</v>
      </c>
      <c r="C12443" s="0" t="s">
        <v>1344</v>
      </c>
      <c r="E12443" s="0" t="s">
        <v>206</v>
      </c>
      <c r="F12443" s="0" t="s">
        <v>1345</v>
      </c>
    </row>
    <row r="12444" customFormat="false" ht="12.8" hidden="false" customHeight="false" outlineLevel="0" collapsed="false">
      <c r="B12444" s="0" t="s">
        <v>8</v>
      </c>
      <c r="C12444" s="0" t="s">
        <v>1346</v>
      </c>
      <c r="E12444" s="0" t="s">
        <v>1347</v>
      </c>
      <c r="F12444" s="0" t="s">
        <v>1348</v>
      </c>
    </row>
    <row r="12445" customFormat="false" ht="12.8" hidden="false" customHeight="false" outlineLevel="0" collapsed="false">
      <c r="B12445" s="0" t="s">
        <v>5893</v>
      </c>
      <c r="C12445" s="0" t="s">
        <v>1349</v>
      </c>
      <c r="E12445" s="0" t="s">
        <v>1350</v>
      </c>
      <c r="F12445" s="0" t="s">
        <v>1351</v>
      </c>
    </row>
    <row r="12447" customFormat="false" ht="12.8" hidden="false" customHeight="false" outlineLevel="0" collapsed="false">
      <c r="A12447" s="0" t="s">
        <v>5892</v>
      </c>
      <c r="B12447" s="0" t="str">
        <f aca="false">HYPERLINK("https://lindat.mff.cuni.cz/services/teitok/pdtc10/index.php?action=vallex&amp;frame=v-w1567f2_ZU", "kótovat (v-w1567f2_ZU) - substituted with v-w1567f5_ZU")</f>
        <v>kótovat (v-w1567f2_ZU) - substituted with v-w1567f5_ZU</v>
      </c>
    </row>
    <row r="12448" customFormat="false" ht="12.8" hidden="false" customHeight="false" outlineLevel="0" collapsed="false">
      <c r="B12448" s="0" t="s">
        <v>1</v>
      </c>
    </row>
    <row r="12449" customFormat="false" ht="12.8" hidden="false" customHeight="false" outlineLevel="0" collapsed="false">
      <c r="B12449" s="0" t="s">
        <v>8</v>
      </c>
    </row>
    <row r="12450" customFormat="false" ht="12.8" hidden="false" customHeight="false" outlineLevel="0" collapsed="false">
      <c r="B12450" s="0" t="s">
        <v>5893</v>
      </c>
    </row>
    <row r="12452" customFormat="false" ht="12.8" hidden="false" customHeight="false" outlineLevel="0" collapsed="false">
      <c r="A12452" s="0" t="s">
        <v>5892</v>
      </c>
      <c r="B12452" s="0" t="str">
        <f aca="false">HYPERLINK("https://lindat.mff.cuni.cz/services/teitok/pdtc10/index.php?action=vallex&amp;frame=v-w1567f3_ZU", "kótovat (v-w1567f3_ZU) - substituted with v-w1567f5_ZU")</f>
        <v>kótovat (v-w1567f3_ZU) - substituted with v-w1567f5_ZU</v>
      </c>
    </row>
    <row r="12453" customFormat="false" ht="12.8" hidden="false" customHeight="false" outlineLevel="0" collapsed="false">
      <c r="B12453" s="0" t="s">
        <v>1</v>
      </c>
    </row>
    <row r="12454" customFormat="false" ht="12.8" hidden="false" customHeight="false" outlineLevel="0" collapsed="false">
      <c r="B12454" s="0" t="s">
        <v>8</v>
      </c>
    </row>
    <row r="12455" customFormat="false" ht="12.8" hidden="false" customHeight="false" outlineLevel="0" collapsed="false">
      <c r="B12455" s="0" t="s">
        <v>5893</v>
      </c>
    </row>
    <row r="12457" customFormat="false" ht="12.8" hidden="false" customHeight="false" outlineLevel="0" collapsed="false">
      <c r="A12457" s="0" t="s">
        <v>5892</v>
      </c>
      <c r="B12457" s="0" t="str">
        <f aca="false">HYPERLINK("https://lindat.mff.cuni.cz/services/teitok/pdtc10/index.php?action=vallex&amp;frame=v-w1567f4_ZU", "kótovat (v-w1567f4_ZU) - substituted with v-w1567f5_ZU")</f>
        <v>kótovat (v-w1567f4_ZU) - substituted with v-w1567f5_ZU</v>
      </c>
    </row>
    <row r="12458" customFormat="false" ht="12.8" hidden="false" customHeight="false" outlineLevel="0" collapsed="false">
      <c r="B12458" s="0" t="s">
        <v>1</v>
      </c>
    </row>
    <row r="12459" customFormat="false" ht="12.8" hidden="false" customHeight="false" outlineLevel="0" collapsed="false">
      <c r="B12459" s="0" t="s">
        <v>8</v>
      </c>
    </row>
    <row r="12460" customFormat="false" ht="12.8" hidden="false" customHeight="false" outlineLevel="0" collapsed="false">
      <c r="B12460" s="0" t="s">
        <v>5893</v>
      </c>
    </row>
    <row r="12462" customFormat="false" ht="12.8" hidden="false" customHeight="false" outlineLevel="0" collapsed="false">
      <c r="A12462" s="0" t="s">
        <v>5892</v>
      </c>
      <c r="B12462" s="0" t="str">
        <f aca="false">HYPERLINK("https://lindat.mff.cuni.cz/services/teitok/pdtc10/index.php?action=vallex&amp;frame=v-w1567hsa_861", "kótovat (v-w1567hsa_861) - substituted with v-w1567f5_ZU")</f>
        <v>kótovat (v-w1567hsa_861) - substituted with v-w1567f5_ZU</v>
      </c>
    </row>
    <row r="12463" customFormat="false" ht="12.8" hidden="false" customHeight="false" outlineLevel="0" collapsed="false">
      <c r="B12463" s="0" t="s">
        <v>1</v>
      </c>
    </row>
    <row r="12464" customFormat="false" ht="12.8" hidden="false" customHeight="false" outlineLevel="0" collapsed="false">
      <c r="B12464" s="0" t="s">
        <v>8</v>
      </c>
    </row>
    <row r="12465" customFormat="false" ht="12.8" hidden="false" customHeight="false" outlineLevel="0" collapsed="false">
      <c r="B12465" s="0" t="s">
        <v>5893</v>
      </c>
    </row>
    <row r="12467" customFormat="false" ht="12.8" hidden="false" customHeight="false" outlineLevel="0" collapsed="false">
      <c r="A12467" s="0" t="s">
        <v>5894</v>
      </c>
      <c r="B12467" s="0" t="str">
        <f aca="false">HYPERLINK("https://lindat.mff.cuni.cz/services/teitok/pdtc10/index.php?action=vallex&amp;frame=v-w1567f1", "kótovat (v-w1567f1)")</f>
        <v>kótovat (v-w1567f1)</v>
      </c>
    </row>
    <row r="12468" customFormat="false" ht="12.8" hidden="false" customHeight="false" outlineLevel="0" collapsed="false">
      <c r="B12468" s="0" t="s">
        <v>1</v>
      </c>
    </row>
    <row r="12469" customFormat="false" ht="12.8" hidden="false" customHeight="false" outlineLevel="0" collapsed="false">
      <c r="B12469" s="0" t="s">
        <v>5</v>
      </c>
    </row>
    <row r="12471" customFormat="false" ht="12.8" hidden="false" customHeight="false" outlineLevel="0" collapsed="false">
      <c r="A12471" s="0" t="s">
        <v>5895</v>
      </c>
      <c r="B12471" s="0" t="str">
        <f aca="false">HYPERLINK("https://lindat.mff.cuni.cz/services/teitok/pdtc10/index.php?action=vallex&amp;frame=v-w11728_ZUf1_ZU", "kýchat (v-w11728_ZUf1_ZU)")</f>
        <v>kýchat (v-w11728_ZUf1_ZU)</v>
      </c>
    </row>
    <row r="12472" customFormat="false" ht="12.8" hidden="false" customHeight="false" outlineLevel="0" collapsed="false">
      <c r="B12472" s="0" t="s">
        <v>1</v>
      </c>
    </row>
    <row r="12474" customFormat="false" ht="12.8" hidden="false" customHeight="false" outlineLevel="0" collapsed="false">
      <c r="A12474" s="0" t="s">
        <v>5896</v>
      </c>
      <c r="B12474" s="0" t="str">
        <f aca="false">HYPERLINK("https://lindat.mff.cuni.cz/services/teitok/pdtc10/index.php?action=vallex&amp;frame=v-w11839_ZUf1_ZU", "kývat (v-w11839_ZUf1_ZU)")</f>
        <v>kývat (v-w11839_ZUf1_ZU)</v>
      </c>
    </row>
    <row r="12475" customFormat="false" ht="12.8" hidden="false" customHeight="false" outlineLevel="0" collapsed="false">
      <c r="B12475" s="0" t="s">
        <v>1</v>
      </c>
    </row>
    <row r="12476" customFormat="false" ht="12.8" hidden="false" customHeight="false" outlineLevel="0" collapsed="false">
      <c r="B12476" s="0" t="s">
        <v>286</v>
      </c>
    </row>
    <row r="12478" customFormat="false" ht="12.8" hidden="false" customHeight="false" outlineLevel="0" collapsed="false">
      <c r="A12478" s="0" t="s">
        <v>5897</v>
      </c>
      <c r="B12478" s="0" t="str">
        <f aca="false">HYPERLINK("https://lindat.mff.cuni.cz/services/teitok/pdtc10/index.php?action=vallex&amp;frame=v-w11449f1", "kývat se (v-w11449f1)")</f>
        <v>kývat se (v-w11449f1)</v>
      </c>
    </row>
    <row r="12479" customFormat="false" ht="12.8" hidden="false" customHeight="false" outlineLevel="0" collapsed="false">
      <c r="B12479" s="0" t="s">
        <v>1</v>
      </c>
    </row>
    <row r="12481" customFormat="false" ht="12.8" hidden="false" customHeight="false" outlineLevel="0" collapsed="false">
      <c r="A12481" s="0" t="s">
        <v>5898</v>
      </c>
      <c r="B12481" s="0" t="str">
        <f aca="false">HYPERLINK("https://lindat.mff.cuni.cz/services/teitok/pdtc10/index.php?action=vallex&amp;frame=v-whsa_1747hsa_1748", "kývnout (v-whsa_1747hsa_1748)")</f>
        <v>kývnout (v-whsa_1747hsa_1748)</v>
      </c>
    </row>
    <row r="12482" customFormat="false" ht="12.8" hidden="false" customHeight="false" outlineLevel="0" collapsed="false">
      <c r="B12482" s="0" t="s">
        <v>1</v>
      </c>
    </row>
    <row r="12483" customFormat="false" ht="12.8" hidden="false" customHeight="false" outlineLevel="0" collapsed="false">
      <c r="B12483" s="0" t="s">
        <v>2683</v>
      </c>
    </row>
    <row r="12484" customFormat="false" ht="12.8" hidden="false" customHeight="false" outlineLevel="0" collapsed="false">
      <c r="B12484" s="0" t="s">
        <v>132</v>
      </c>
    </row>
    <row r="12486" customFormat="false" ht="12.8" hidden="false" customHeight="false" outlineLevel="0" collapsed="false">
      <c r="A12486" s="0" t="s">
        <v>5899</v>
      </c>
      <c r="B12486" s="0" t="str">
        <f aca="false">HYPERLINK("https://lindat.mff.cuni.cz/services/teitok/pdtc10/index.php?action=vallex&amp;frame=v-w11979_ZUf1_ZU", "kňučet (v-w11979_ZUf1_ZU)")</f>
        <v>kňučet (v-w11979_ZUf1_ZU)</v>
      </c>
    </row>
    <row r="12487" customFormat="false" ht="12.8" hidden="false" customHeight="false" outlineLevel="0" collapsed="false">
      <c r="B12487" s="0" t="s">
        <v>1</v>
      </c>
    </row>
    <row r="12489" customFormat="false" ht="12.8" hidden="false" customHeight="false" outlineLevel="0" collapsed="false">
      <c r="A12489" s="0" t="s">
        <v>5900</v>
      </c>
      <c r="B12489" s="0" t="str">
        <f aca="false">HYPERLINK("https://lindat.mff.cuni.cz/services/teitok/pdtc10/index.php?action=vallex&amp;frame=v-w1625f1", "křepčit (v-w1625f1)")</f>
        <v>křepčit (v-w1625f1)</v>
      </c>
    </row>
    <row r="12490" customFormat="false" ht="12.8" hidden="false" customHeight="false" outlineLevel="0" collapsed="false">
      <c r="B12490" s="0" t="s">
        <v>1</v>
      </c>
    </row>
    <row r="12492" customFormat="false" ht="12.8" hidden="false" customHeight="false" outlineLevel="0" collapsed="false">
      <c r="A12492" s="0" t="s">
        <v>5901</v>
      </c>
      <c r="B12492" s="0" t="str">
        <f aca="false">HYPERLINK("https://lindat.mff.cuni.cz/services/teitok/pdtc10/index.php?action=vallex&amp;frame=v-w11195f2", "křečkovat (v-w11195f2)")</f>
        <v>křečkovat (v-w11195f2)</v>
      </c>
      <c r="E12492" s="0" t="str">
        <f aca="false">HYPERLINK("https://lindat.mff.cuni.cz/services/SynSemClass40/SynSemClass40.html?veclass=vec00443#vec00443-ces-cm00013", "vec00443")</f>
        <v>vec00443</v>
      </c>
      <c r="F12492" s="0" t="s">
        <v>90</v>
      </c>
    </row>
    <row r="12493" customFormat="false" ht="12.8" hidden="false" customHeight="false" outlineLevel="0" collapsed="false">
      <c r="B12493" s="0" t="s">
        <v>1</v>
      </c>
      <c r="C12493" s="0" t="s">
        <v>91</v>
      </c>
      <c r="E12493" s="0" t="s">
        <v>92</v>
      </c>
      <c r="F12493" s="0" t="s">
        <v>93</v>
      </c>
    </row>
    <row r="12494" customFormat="false" ht="12.8" hidden="false" customHeight="false" outlineLevel="0" collapsed="false">
      <c r="B12494" s="0" t="s">
        <v>8</v>
      </c>
      <c r="C12494" s="0" t="s">
        <v>94</v>
      </c>
      <c r="E12494" s="0" t="s">
        <v>95</v>
      </c>
      <c r="F12494" s="0" t="s">
        <v>96</v>
      </c>
    </row>
    <row r="12496" customFormat="false" ht="12.8" hidden="false" customHeight="false" outlineLevel="0" collapsed="false">
      <c r="A12496" s="0" t="s">
        <v>5902</v>
      </c>
      <c r="B12496" s="0" t="str">
        <f aca="false">HYPERLINK("https://lindat.mff.cuni.cz/services/teitok/pdtc10/index.php?action=vallex&amp;frame=v-w10347f3", "křivit (v-w10347f3)")</f>
        <v>křivit (v-w10347f3)</v>
      </c>
    </row>
    <row r="12497" customFormat="false" ht="12.8" hidden="false" customHeight="false" outlineLevel="0" collapsed="false">
      <c r="B12497" s="0" t="s">
        <v>1</v>
      </c>
    </row>
    <row r="12498" customFormat="false" ht="12.8" hidden="false" customHeight="false" outlineLevel="0" collapsed="false">
      <c r="B12498" s="0" t="s">
        <v>8</v>
      </c>
    </row>
    <row r="12500" customFormat="false" ht="12.8" hidden="false" customHeight="false" outlineLevel="0" collapsed="false">
      <c r="A12500" s="0" t="s">
        <v>5903</v>
      </c>
      <c r="B12500" s="0" t="str">
        <f aca="false">HYPERLINK("https://lindat.mff.cuni.cz/services/teitok/pdtc10/index.php?action=vallex&amp;frame=v-w1627f1", "křičet (v-w1627f1)")</f>
        <v>křičet (v-w1627f1)</v>
      </c>
      <c r="E12500" s="0" t="str">
        <f aca="false">HYPERLINK("https://lindat.mff.cuni.cz/services/SynSemClass40/SynSemClass40.html?veclass=vec00426#vec00426-ces-cm00001", "vec00426")</f>
        <v>vec00426</v>
      </c>
      <c r="F12500" s="0" t="s">
        <v>4756</v>
      </c>
    </row>
    <row r="12501" customFormat="false" ht="12.8" hidden="false" customHeight="false" outlineLevel="0" collapsed="false">
      <c r="B12501" s="0" t="s">
        <v>1</v>
      </c>
      <c r="C12501" s="0" t="s">
        <v>4725</v>
      </c>
      <c r="E12501" s="0" t="s">
        <v>147</v>
      </c>
      <c r="F12501" s="0" t="s">
        <v>4757</v>
      </c>
    </row>
    <row r="12502" customFormat="false" ht="12.8" hidden="false" customHeight="false" outlineLevel="0" collapsed="false">
      <c r="B12502" s="0" t="s">
        <v>4977</v>
      </c>
      <c r="C12502" s="0" t="s">
        <v>4627</v>
      </c>
      <c r="E12502" s="0" t="s">
        <v>218</v>
      </c>
      <c r="F12502" s="0" t="s">
        <v>4978</v>
      </c>
    </row>
    <row r="12503" customFormat="false" ht="12.8" hidden="false" customHeight="false" outlineLevel="0" collapsed="false">
      <c r="B12503" s="0" t="s">
        <v>4688</v>
      </c>
      <c r="C12503" s="0" t="s">
        <v>4761</v>
      </c>
      <c r="E12503" s="0" t="s">
        <v>564</v>
      </c>
      <c r="F12503" s="0" t="s">
        <v>4762</v>
      </c>
    </row>
    <row r="12505" customFormat="false" ht="12.8" hidden="false" customHeight="false" outlineLevel="0" collapsed="false">
      <c r="A12505" s="0" t="s">
        <v>5904</v>
      </c>
      <c r="B12505" s="0" t="str">
        <f aca="false">HYPERLINK("https://lindat.mff.cuni.cz/services/teitok/pdtc10/index.php?action=vallex&amp;frame=v-w1627f2_ZU", "křičet (v-w1627f2_ZU)")</f>
        <v>křičet (v-w1627f2_ZU)</v>
      </c>
    </row>
    <row r="12506" customFormat="false" ht="12.8" hidden="false" customHeight="false" outlineLevel="0" collapsed="false">
      <c r="B12506" s="0" t="s">
        <v>1</v>
      </c>
    </row>
    <row r="12508" customFormat="false" ht="12.8" hidden="false" customHeight="false" outlineLevel="0" collapsed="false">
      <c r="A12508" s="0" t="s">
        <v>5905</v>
      </c>
      <c r="B12508" s="0" t="str">
        <f aca="false">HYPERLINK("https://lindat.mff.cuni.cz/services/teitok/pdtc10/index.php?action=vallex&amp;frame=v-whsa_576hsa_577", "křižovat (v-whsa_576hsa_577)")</f>
        <v>křižovat (v-whsa_576hsa_577)</v>
      </c>
    </row>
    <row r="12509" customFormat="false" ht="12.8" hidden="false" customHeight="false" outlineLevel="0" collapsed="false">
      <c r="B12509" s="0" t="s">
        <v>1</v>
      </c>
    </row>
    <row r="12510" customFormat="false" ht="12.8" hidden="false" customHeight="false" outlineLevel="0" collapsed="false">
      <c r="B12510" s="0" t="s">
        <v>8</v>
      </c>
    </row>
    <row r="12512" customFormat="false" ht="12.8" hidden="false" customHeight="false" outlineLevel="0" collapsed="false">
      <c r="A12512" s="0" t="s">
        <v>5906</v>
      </c>
      <c r="B12512" s="0" t="str">
        <f aca="false">HYPERLINK("https://lindat.mff.cuni.cz/services/teitok/pdtc10/index.php?action=vallex&amp;frame=v-whsa_438hsa_439", "křtít (v-whsa_438hsa_439)")</f>
        <v>křtít (v-whsa_438hsa_439)</v>
      </c>
    </row>
    <row r="12513" customFormat="false" ht="12.8" hidden="false" customHeight="false" outlineLevel="0" collapsed="false">
      <c r="B12513" s="0" t="s">
        <v>1</v>
      </c>
    </row>
    <row r="12514" customFormat="false" ht="12.8" hidden="false" customHeight="false" outlineLevel="0" collapsed="false">
      <c r="B12514" s="0" t="s">
        <v>8</v>
      </c>
    </row>
    <row r="12516" customFormat="false" ht="12.8" hidden="false" customHeight="false" outlineLevel="0" collapsed="false">
      <c r="A12516" s="0" t="s">
        <v>5907</v>
      </c>
      <c r="B12516" s="0" t="str">
        <f aca="false">HYPERLINK("https://lindat.mff.cuni.cz/services/teitok/pdtc10/index.php?action=vallex&amp;frame=v-w12288_MMf1_MM", "křísit (v-w12288_MMf1_MM)")</f>
        <v>křísit (v-w12288_MMf1_MM)</v>
      </c>
    </row>
    <row r="12517" customFormat="false" ht="12.8" hidden="false" customHeight="false" outlineLevel="0" collapsed="false">
      <c r="B12517" s="0" t="s">
        <v>1</v>
      </c>
    </row>
    <row r="12518" customFormat="false" ht="12.8" hidden="false" customHeight="false" outlineLevel="0" collapsed="false">
      <c r="B12518" s="0" t="s">
        <v>8</v>
      </c>
    </row>
    <row r="12520" customFormat="false" ht="12.8" hidden="false" customHeight="false" outlineLevel="0" collapsed="false">
      <c r="A12520" s="0" t="s">
        <v>5908</v>
      </c>
      <c r="B12520" s="0" t="str">
        <f aca="false">HYPERLINK("https://lindat.mff.cuni.cz/services/teitok/pdtc10/index.php?action=vallex&amp;frame=v-w1629f1", "křížit (v-w1629f1)")</f>
        <v>křížit (v-w1629f1)</v>
      </c>
    </row>
    <row r="12521" customFormat="false" ht="12.8" hidden="false" customHeight="false" outlineLevel="0" collapsed="false">
      <c r="B12521" s="0" t="s">
        <v>1</v>
      </c>
    </row>
    <row r="12522" customFormat="false" ht="12.8" hidden="false" customHeight="false" outlineLevel="0" collapsed="false">
      <c r="B12522" s="0" t="s">
        <v>8</v>
      </c>
    </row>
    <row r="12523" customFormat="false" ht="12.8" hidden="false" customHeight="false" outlineLevel="0" collapsed="false">
      <c r="B12523" s="0" t="s">
        <v>3537</v>
      </c>
    </row>
    <row r="12525" customFormat="false" ht="12.8" hidden="false" customHeight="false" outlineLevel="0" collapsed="false">
      <c r="A12525" s="0" t="s">
        <v>5909</v>
      </c>
      <c r="B12525" s="0" t="str">
        <f aca="false">HYPERLINK("https://lindat.mff.cuni.cz/services/teitok/pdtc10/index.php?action=vallex&amp;frame=v-w1629hsa_1875", "křížit (v-w1629hsa_1875)")</f>
        <v>křížit (v-w1629hsa_1875)</v>
      </c>
    </row>
    <row r="12526" customFormat="false" ht="12.8" hidden="false" customHeight="false" outlineLevel="0" collapsed="false">
      <c r="B12526" s="0" t="s">
        <v>1</v>
      </c>
    </row>
    <row r="12527" customFormat="false" ht="12.8" hidden="false" customHeight="false" outlineLevel="0" collapsed="false">
      <c r="B12527" s="0" t="s">
        <v>8</v>
      </c>
    </row>
    <row r="12528" customFormat="false" ht="12.8" hidden="false" customHeight="false" outlineLevel="0" collapsed="false">
      <c r="B12528" s="0" t="s">
        <v>3537</v>
      </c>
    </row>
    <row r="12530" customFormat="false" ht="12.8" hidden="false" customHeight="false" outlineLevel="0" collapsed="false">
      <c r="A12530" s="0" t="s">
        <v>5910</v>
      </c>
      <c r="B12530" s="0" t="str">
        <f aca="false">HYPERLINK("https://lindat.mff.cuni.cz/services/teitok/pdtc10/index.php?action=vallex&amp;frame=v-w12127_ZUf1_ZU", "kšeftovat (v-w12127_ZUf1_ZU)")</f>
        <v>kšeftovat (v-w12127_ZUf1_ZU)</v>
      </c>
    </row>
    <row r="12531" customFormat="false" ht="12.8" hidden="false" customHeight="false" outlineLevel="0" collapsed="false">
      <c r="B12531" s="0" t="s">
        <v>1</v>
      </c>
    </row>
    <row r="12532" customFormat="false" ht="12.8" hidden="false" customHeight="false" outlineLevel="0" collapsed="false">
      <c r="B12532" s="0" t="s">
        <v>103</v>
      </c>
    </row>
    <row r="12533" customFormat="false" ht="12.8" hidden="false" customHeight="false" outlineLevel="0" collapsed="false">
      <c r="B12533" s="0" t="s">
        <v>276</v>
      </c>
    </row>
    <row r="12535" customFormat="false" ht="12.8" hidden="false" customHeight="false" outlineLevel="0" collapsed="false">
      <c r="A12535" s="0" t="s">
        <v>5911</v>
      </c>
      <c r="B12535" s="0" t="str">
        <f aca="false">HYPERLINK("https://lindat.mff.cuni.cz/services/teitok/pdtc10/index.php?action=vallex&amp;frame=v-w1654f1", "laborovat (v-w1654f1)")</f>
        <v>laborovat (v-w1654f1)</v>
      </c>
    </row>
    <row r="12536" customFormat="false" ht="12.8" hidden="false" customHeight="false" outlineLevel="0" collapsed="false">
      <c r="B12536" s="0" t="s">
        <v>1</v>
      </c>
    </row>
    <row r="12537" customFormat="false" ht="12.8" hidden="false" customHeight="false" outlineLevel="0" collapsed="false">
      <c r="B12537" s="0" t="s">
        <v>721</v>
      </c>
    </row>
    <row r="12539" customFormat="false" ht="12.8" hidden="false" customHeight="false" outlineLevel="0" collapsed="false">
      <c r="A12539" s="0" t="s">
        <v>5912</v>
      </c>
      <c r="B12539" s="0" t="str">
        <f aca="false">HYPERLINK("https://lindat.mff.cuni.cz/services/teitok/pdtc10/index.php?action=vallex&amp;frame=v-w1657f2", "ladit (v-w1657f2)")</f>
        <v>ladit (v-w1657f2)</v>
      </c>
    </row>
    <row r="12540" customFormat="false" ht="12.8" hidden="false" customHeight="false" outlineLevel="0" collapsed="false">
      <c r="B12540" s="0" t="s">
        <v>1</v>
      </c>
    </row>
    <row r="12541" customFormat="false" ht="12.8" hidden="false" customHeight="false" outlineLevel="0" collapsed="false">
      <c r="B12541" s="0" t="s">
        <v>8</v>
      </c>
    </row>
    <row r="12543" customFormat="false" ht="12.8" hidden="false" customHeight="false" outlineLevel="0" collapsed="false">
      <c r="A12543" s="0" t="s">
        <v>5913</v>
      </c>
      <c r="B12543" s="0" t="str">
        <f aca="false">HYPERLINK("https://lindat.mff.cuni.cz/services/teitok/pdtc10/index.php?action=vallex&amp;frame=v-w1657f4", "ladit (v-w1657f4)")</f>
        <v>ladit (v-w1657f4)</v>
      </c>
    </row>
    <row r="12544" customFormat="false" ht="12.8" hidden="false" customHeight="false" outlineLevel="0" collapsed="false">
      <c r="B12544" s="0" t="s">
        <v>1</v>
      </c>
    </row>
    <row r="12545" customFormat="false" ht="12.8" hidden="false" customHeight="false" outlineLevel="0" collapsed="false">
      <c r="B12545" s="0" t="s">
        <v>8</v>
      </c>
    </row>
    <row r="12547" customFormat="false" ht="12.8" hidden="false" customHeight="false" outlineLevel="0" collapsed="false">
      <c r="A12547" s="0" t="s">
        <v>5914</v>
      </c>
      <c r="B12547" s="0" t="str">
        <f aca="false">HYPERLINK("https://lindat.mff.cuni.cz/services/teitok/pdtc10/index.php?action=vallex&amp;frame=v-w1657f3", "ladit (v-w1657f3)")</f>
        <v>ladit (v-w1657f3)</v>
      </c>
    </row>
    <row r="12548" customFormat="false" ht="12.8" hidden="false" customHeight="false" outlineLevel="0" collapsed="false">
      <c r="B12548" s="0" t="s">
        <v>1</v>
      </c>
    </row>
    <row r="12549" customFormat="false" ht="12.8" hidden="false" customHeight="false" outlineLevel="0" collapsed="false">
      <c r="B12549" s="0" t="s">
        <v>5915</v>
      </c>
    </row>
    <row r="12551" customFormat="false" ht="12.8" hidden="false" customHeight="false" outlineLevel="0" collapsed="false">
      <c r="A12551" s="0" t="s">
        <v>5914</v>
      </c>
      <c r="B12551" s="0" t="str">
        <f aca="false">HYPERLINK("https://lindat.mff.cuni.cz/services/teitok/pdtc10/index.php?action=vallex&amp;frame=v-w1657f1", "ladit (v-w1657f1) - substituted with v-w1657f3")</f>
        <v>ladit (v-w1657f1) - substituted with v-w1657f3</v>
      </c>
    </row>
    <row r="12552" customFormat="false" ht="12.8" hidden="false" customHeight="false" outlineLevel="0" collapsed="false">
      <c r="B12552" s="0" t="s">
        <v>1</v>
      </c>
    </row>
    <row r="12553" customFormat="false" ht="12.8" hidden="false" customHeight="false" outlineLevel="0" collapsed="false">
      <c r="B12553" s="0" t="s">
        <v>5915</v>
      </c>
    </row>
    <row r="12555" customFormat="false" ht="12.8" hidden="false" customHeight="false" outlineLevel="0" collapsed="false">
      <c r="A12555" s="0" t="s">
        <v>5916</v>
      </c>
      <c r="B12555" s="0" t="str">
        <f aca="false">HYPERLINK("https://lindat.mff.cuni.cz/services/teitok/pdtc10/index.php?action=vallex&amp;frame=v-w11230f2", "lahodit (v-w11230f2)")</f>
        <v>lahodit (v-w11230f2)</v>
      </c>
      <c r="E12555" s="0" t="str">
        <f aca="false">HYPERLINK("https://lindat.mff.cuni.cz/services/SynSemClass40/SynSemClass40.html?veclass=vec00231#vec00231-ces-cm00053", "vec00231")</f>
        <v>vec00231</v>
      </c>
      <c r="F12555" s="0" t="s">
        <v>262</v>
      </c>
    </row>
    <row r="12556" customFormat="false" ht="12.8" hidden="false" customHeight="false" outlineLevel="0" collapsed="false">
      <c r="B12556" s="0" t="s">
        <v>804</v>
      </c>
      <c r="C12556" s="0" t="s">
        <v>5917</v>
      </c>
      <c r="E12556" s="0" t="s">
        <v>266</v>
      </c>
      <c r="F12556" s="0" t="s">
        <v>267</v>
      </c>
    </row>
    <row r="12557" customFormat="false" ht="12.8" hidden="false" customHeight="false" outlineLevel="0" collapsed="false">
      <c r="B12557" s="0" t="s">
        <v>5918</v>
      </c>
      <c r="C12557" s="0" t="s">
        <v>5919</v>
      </c>
      <c r="E12557" s="0" t="s">
        <v>271</v>
      </c>
      <c r="F12557" s="0" t="s">
        <v>272</v>
      </c>
    </row>
    <row r="12559" customFormat="false" ht="12.8" hidden="false" customHeight="false" outlineLevel="0" collapsed="false">
      <c r="A12559" s="0" t="s">
        <v>5920</v>
      </c>
      <c r="B12559" s="0" t="str">
        <f aca="false">HYPERLINK("https://lindat.mff.cuni.cz/services/teitok/pdtc10/index.php?action=vallex&amp;frame=v-whsa_1954hsa_1955", "lajdačit (v-whsa_1954hsa_1955)")</f>
        <v>lajdačit (v-whsa_1954hsa_1955)</v>
      </c>
    </row>
    <row r="12560" customFormat="false" ht="12.8" hidden="false" customHeight="false" outlineLevel="0" collapsed="false">
      <c r="B12560" s="0" t="s">
        <v>1</v>
      </c>
    </row>
    <row r="12562" customFormat="false" ht="12.8" hidden="false" customHeight="false" outlineLevel="0" collapsed="false">
      <c r="A12562" s="0" t="s">
        <v>5921</v>
      </c>
      <c r="B12562" s="0" t="str">
        <f aca="false">HYPERLINK("https://lindat.mff.cuni.cz/services/teitok/pdtc10/index.php?action=vallex&amp;frame=v-w1664f2_ZU", "lamentovat (v-w1664f2_ZU)")</f>
        <v>lamentovat (v-w1664f2_ZU)</v>
      </c>
    </row>
    <row r="12563" customFormat="false" ht="12.8" hidden="false" customHeight="false" outlineLevel="0" collapsed="false">
      <c r="B12563" s="0" t="s">
        <v>1</v>
      </c>
    </row>
    <row r="12564" customFormat="false" ht="12.8" hidden="false" customHeight="false" outlineLevel="0" collapsed="false">
      <c r="B12564" s="0" t="s">
        <v>530</v>
      </c>
    </row>
    <row r="12566" customFormat="false" ht="12.8" hidden="false" customHeight="false" outlineLevel="0" collapsed="false">
      <c r="A12566" s="0" t="s">
        <v>5921</v>
      </c>
      <c r="B12566" s="0" t="str">
        <f aca="false">HYPERLINK("https://lindat.mff.cuni.cz/services/teitok/pdtc10/index.php?action=vallex&amp;frame=v-w1664f1", "lamentovat (v-w1664f1) - substituted with v-w1664f2_ZU")</f>
        <v>lamentovat (v-w1664f1) - substituted with v-w1664f2_ZU</v>
      </c>
    </row>
    <row r="12567" customFormat="false" ht="12.8" hidden="false" customHeight="false" outlineLevel="0" collapsed="false">
      <c r="B12567" s="0" t="s">
        <v>1</v>
      </c>
    </row>
    <row r="12568" customFormat="false" ht="12.8" hidden="false" customHeight="false" outlineLevel="0" collapsed="false">
      <c r="B12568" s="0" t="s">
        <v>530</v>
      </c>
    </row>
    <row r="12570" customFormat="false" ht="12.8" hidden="false" customHeight="false" outlineLevel="0" collapsed="false">
      <c r="A12570" s="0" t="s">
        <v>5922</v>
      </c>
      <c r="B12570" s="0" t="str">
        <f aca="false">HYPERLINK("https://lindat.mff.cuni.cz/services/teitok/pdtc10/index.php?action=vallex&amp;frame=v-w1666f1", "lapat (v-w1666f1)")</f>
        <v>lapat (v-w1666f1)</v>
      </c>
      <c r="E12570" s="0" t="str">
        <f aca="false">HYPERLINK("https://lindat.mff.cuni.cz/services/SynSemClass40/SynSemClass40.html?veclass=vec01371#vec01371-ces-cm00001", "vec01371")</f>
        <v>vec01371</v>
      </c>
      <c r="F12570" s="0" t="s">
        <v>5923</v>
      </c>
    </row>
    <row r="12571" customFormat="false" ht="12.8" hidden="false" customHeight="false" outlineLevel="0" collapsed="false">
      <c r="B12571" s="0" t="s">
        <v>1</v>
      </c>
      <c r="C12571" s="0" t="s">
        <v>4695</v>
      </c>
      <c r="E12571" s="0" t="s">
        <v>658</v>
      </c>
      <c r="F12571" s="0" t="s">
        <v>5924</v>
      </c>
    </row>
    <row r="12572" customFormat="false" ht="12.8" hidden="false" customHeight="false" outlineLevel="0" collapsed="false">
      <c r="B12572" s="0" t="s">
        <v>5925</v>
      </c>
      <c r="C12572" s="0" t="s">
        <v>5926</v>
      </c>
      <c r="E12572" s="0" t="s">
        <v>5927</v>
      </c>
      <c r="F12572" s="0" t="s">
        <v>5928</v>
      </c>
    </row>
    <row r="12574" customFormat="false" ht="12.8" hidden="false" customHeight="false" outlineLevel="0" collapsed="false">
      <c r="A12574" s="0" t="s">
        <v>5929</v>
      </c>
      <c r="B12574" s="0" t="str">
        <f aca="false">HYPERLINK("https://lindat.mff.cuni.cz/services/teitok/pdtc10/index.php?action=vallex&amp;frame=v-w1666hsa_1329", "lapat (v-w1666hsa_1329)")</f>
        <v>lapat (v-w1666hsa_1329)</v>
      </c>
    </row>
    <row r="12575" customFormat="false" ht="12.8" hidden="false" customHeight="false" outlineLevel="0" collapsed="false">
      <c r="B12575" s="0" t="s">
        <v>1</v>
      </c>
    </row>
    <row r="12576" customFormat="false" ht="12.8" hidden="false" customHeight="false" outlineLevel="0" collapsed="false">
      <c r="B12576" s="0" t="s">
        <v>8</v>
      </c>
    </row>
    <row r="12578" customFormat="false" ht="12.8" hidden="false" customHeight="false" outlineLevel="0" collapsed="false">
      <c r="A12578" s="0" t="s">
        <v>5930</v>
      </c>
      <c r="B12578" s="0" t="str">
        <f aca="false">HYPERLINK("https://lindat.mff.cuni.cz/services/teitok/pdtc10/index.php?action=vallex&amp;frame=v-w10350f2", "lapit (v-w10350f2)")</f>
        <v>lapit (v-w10350f2)</v>
      </c>
      <c r="E12578" s="0" t="str">
        <f aca="false">HYPERLINK("https://lindat.mff.cuni.cz/services/SynSemClass40/SynSemClass40.html?veclass=vec00126#vec00126-ces-cm00011", "vec00126")</f>
        <v>vec00126</v>
      </c>
      <c r="F12578" s="0" t="s">
        <v>1572</v>
      </c>
      <c r="H12578" s="0" t="str">
        <f aca="false">HYPERLINK("https://lindat.mff.cuni.cz/services/SynSemClass40/SynSemClass40.html?veclass=vec00185#vec00185-ces-cm00024", "vec00185")</f>
        <v>vec00185</v>
      </c>
      <c r="I12578" s="0" t="s">
        <v>5931</v>
      </c>
    </row>
    <row r="12579" customFormat="false" ht="12.8" hidden="false" customHeight="false" outlineLevel="0" collapsed="false">
      <c r="B12579" s="0" t="s">
        <v>1</v>
      </c>
      <c r="C12579" s="0" t="s">
        <v>4001</v>
      </c>
      <c r="E12579" s="0" t="s">
        <v>1573</v>
      </c>
      <c r="F12579" s="0" t="s">
        <v>1574</v>
      </c>
      <c r="H12579" s="0" t="s">
        <v>206</v>
      </c>
      <c r="I12579" s="0" t="s">
        <v>5932</v>
      </c>
    </row>
    <row r="12580" customFormat="false" ht="12.8" hidden="false" customHeight="false" outlineLevel="0" collapsed="false">
      <c r="B12580" s="0" t="s">
        <v>8</v>
      </c>
      <c r="C12580" s="0" t="s">
        <v>5933</v>
      </c>
      <c r="E12580" s="0" t="s">
        <v>142</v>
      </c>
      <c r="F12580" s="0" t="s">
        <v>1576</v>
      </c>
      <c r="H12580" s="0" t="s">
        <v>5934</v>
      </c>
      <c r="I12580" s="0" t="s">
        <v>5935</v>
      </c>
    </row>
    <row r="12582" customFormat="false" ht="12.8" hidden="false" customHeight="false" outlineLevel="0" collapsed="false">
      <c r="A12582" s="0" t="s">
        <v>5936</v>
      </c>
      <c r="B12582" s="0" t="str">
        <f aca="false">HYPERLINK("https://lindat.mff.cuni.cz/services/teitok/pdtc10/index.php?action=vallex&amp;frame=v-w10336f2", "laškovat (v-w10336f2)")</f>
        <v>laškovat (v-w10336f2)</v>
      </c>
    </row>
    <row r="12583" customFormat="false" ht="12.8" hidden="false" customHeight="false" outlineLevel="0" collapsed="false">
      <c r="B12583" s="0" t="s">
        <v>1</v>
      </c>
    </row>
    <row r="12584" customFormat="false" ht="12.8" hidden="false" customHeight="false" outlineLevel="0" collapsed="false">
      <c r="B12584" s="0" t="s">
        <v>4153</v>
      </c>
    </row>
    <row r="12585" customFormat="false" ht="12.8" hidden="false" customHeight="false" outlineLevel="0" collapsed="false">
      <c r="B12585" s="0" t="s">
        <v>3205</v>
      </c>
    </row>
    <row r="12587" customFormat="false" ht="12.8" hidden="false" customHeight="false" outlineLevel="0" collapsed="false">
      <c r="A12587" s="0" t="s">
        <v>5937</v>
      </c>
      <c r="B12587" s="0" t="str">
        <f aca="false">HYPERLINK("https://lindat.mff.cuni.cz/services/teitok/pdtc10/index.php?action=vallex&amp;frame=v-whsa_1424hsa_1425", "lebedit si (v-whsa_1424hsa_1425)")</f>
        <v>lebedit si (v-whsa_1424hsa_1425)</v>
      </c>
    </row>
    <row r="12588" customFormat="false" ht="12.8" hidden="false" customHeight="false" outlineLevel="0" collapsed="false">
      <c r="B12588" s="0" t="s">
        <v>1</v>
      </c>
    </row>
    <row r="12590" customFormat="false" ht="12.8" hidden="false" customHeight="false" outlineLevel="0" collapsed="false">
      <c r="A12590" s="0" t="s">
        <v>5938</v>
      </c>
      <c r="B12590" s="0" t="str">
        <f aca="false">HYPERLINK("https://lindat.mff.cuni.cz/services/teitok/pdtc10/index.php?action=vallex&amp;frame=v-w1673f1", "legalizovat (v-w1673f1)")</f>
        <v>legalizovat (v-w1673f1)</v>
      </c>
      <c r="E12590" s="0" t="str">
        <f aca="false">HYPERLINK("https://lindat.mff.cuni.cz/services/SynSemClass40/SynSemClass40.html?veclass=vec00012#vec00012-ces-cm00072", "vec00012")</f>
        <v>vec00012</v>
      </c>
      <c r="F12590" s="0" t="s">
        <v>3078</v>
      </c>
      <c r="H12590" s="0" t="str">
        <f aca="false">HYPERLINK("https://lindat.mff.cuni.cz/services/SynSemClass40/SynSemClass40.html?veclass=vec00546#vec00546-ces-cm00048", "vec00546")</f>
        <v>vec00546</v>
      </c>
      <c r="I12590" s="0" t="s">
        <v>5397</v>
      </c>
    </row>
    <row r="12591" customFormat="false" ht="12.8" hidden="false" customHeight="false" outlineLevel="0" collapsed="false">
      <c r="B12591" s="0" t="s">
        <v>1</v>
      </c>
      <c r="C12591" s="0" t="s">
        <v>5939</v>
      </c>
      <c r="E12591" s="0" t="s">
        <v>206</v>
      </c>
      <c r="F12591" s="0" t="s">
        <v>3080</v>
      </c>
      <c r="H12591" s="0" t="s">
        <v>206</v>
      </c>
      <c r="I12591" s="0" t="s">
        <v>5400</v>
      </c>
    </row>
    <row r="12592" customFormat="false" ht="12.8" hidden="false" customHeight="false" outlineLevel="0" collapsed="false">
      <c r="B12592" s="0" t="s">
        <v>8</v>
      </c>
      <c r="C12592" s="0" t="s">
        <v>5940</v>
      </c>
      <c r="E12592" s="0" t="s">
        <v>3083</v>
      </c>
      <c r="F12592" s="0" t="s">
        <v>3084</v>
      </c>
      <c r="H12592" s="0" t="s">
        <v>1823</v>
      </c>
      <c r="I12592" s="0" t="s">
        <v>5404</v>
      </c>
    </row>
    <row r="12594" customFormat="false" ht="12.8" hidden="false" customHeight="false" outlineLevel="0" collapsed="false">
      <c r="A12594" s="0" t="s">
        <v>5941</v>
      </c>
      <c r="B12594" s="0" t="str">
        <f aca="false">HYPERLINK("https://lindat.mff.cuni.cz/services/teitok/pdtc10/index.php?action=vallex&amp;frame=v-w1676f1", "legitimizovat (v-w1676f1)")</f>
        <v>legitimizovat (v-w1676f1)</v>
      </c>
    </row>
    <row r="12595" customFormat="false" ht="12.8" hidden="false" customHeight="false" outlineLevel="0" collapsed="false">
      <c r="B12595" s="0" t="s">
        <v>1</v>
      </c>
    </row>
    <row r="12596" customFormat="false" ht="12.8" hidden="false" customHeight="false" outlineLevel="0" collapsed="false">
      <c r="B12596" s="0" t="s">
        <v>228</v>
      </c>
    </row>
    <row r="12598" customFormat="false" ht="12.8" hidden="false" customHeight="false" outlineLevel="0" collapsed="false">
      <c r="A12598" s="0" t="s">
        <v>5942</v>
      </c>
      <c r="B12598" s="0" t="str">
        <f aca="false">HYPERLINK("https://lindat.mff.cuni.cz/services/teitok/pdtc10/index.php?action=vallex&amp;frame=v-whsa_1214hsa_1215", "legitimovat (v-whsa_1214hsa_1215)")</f>
        <v>legitimovat (v-whsa_1214hsa_1215)</v>
      </c>
      <c r="E12598" s="0" t="str">
        <f aca="false">HYPERLINK("https://lindat.mff.cuni.cz/services/SynSemClass40/SynSemClass40.html?veclass=vec00078#vec00078-ces-cm00117", "vec00078")</f>
        <v>vec00078</v>
      </c>
      <c r="F12598" s="0" t="s">
        <v>204</v>
      </c>
    </row>
    <row r="12599" customFormat="false" ht="12.8" hidden="false" customHeight="false" outlineLevel="0" collapsed="false">
      <c r="B12599" s="0" t="s">
        <v>1</v>
      </c>
      <c r="C12599" s="0" t="s">
        <v>205</v>
      </c>
      <c r="E12599" s="0" t="s">
        <v>206</v>
      </c>
      <c r="F12599" s="0" t="s">
        <v>207</v>
      </c>
    </row>
    <row r="12600" customFormat="false" ht="12.8" hidden="false" customHeight="false" outlineLevel="0" collapsed="false">
      <c r="B12600" s="0" t="s">
        <v>8</v>
      </c>
      <c r="C12600" s="0" t="s">
        <v>208</v>
      </c>
      <c r="E12600" s="0" t="s">
        <v>209</v>
      </c>
      <c r="F12600" s="0" t="s">
        <v>210</v>
      </c>
    </row>
    <row r="12602" customFormat="false" ht="12.8" hidden="false" customHeight="false" outlineLevel="0" collapsed="false">
      <c r="A12602" s="0" t="s">
        <v>5943</v>
      </c>
      <c r="B12602" s="0" t="str">
        <f aca="false">HYPERLINK("https://lindat.mff.cuni.cz/services/teitok/pdtc10/index.php?action=vallex&amp;frame=v-whsa_26hsa_27", "legitimovat se (v-whsa_26hsa_27)")</f>
        <v>legitimovat se (v-whsa_26hsa_27)</v>
      </c>
    </row>
    <row r="12603" customFormat="false" ht="12.8" hidden="false" customHeight="false" outlineLevel="0" collapsed="false">
      <c r="B12603" s="0" t="s">
        <v>1</v>
      </c>
    </row>
    <row r="12605" customFormat="false" ht="12.8" hidden="false" customHeight="false" outlineLevel="0" collapsed="false">
      <c r="A12605" s="0" t="s">
        <v>5944</v>
      </c>
      <c r="B12605" s="0" t="str">
        <f aca="false">HYPERLINK("https://lindat.mff.cuni.cz/services/teitok/pdtc10/index.php?action=vallex&amp;frame=v-w1678f1", "lehat si (v-w1678f1)")</f>
        <v>lehat si (v-w1678f1)</v>
      </c>
    </row>
    <row r="12606" customFormat="false" ht="12.8" hidden="false" customHeight="false" outlineLevel="0" collapsed="false">
      <c r="B12606" s="0" t="s">
        <v>1</v>
      </c>
    </row>
    <row r="12607" customFormat="false" ht="12.8" hidden="false" customHeight="false" outlineLevel="0" collapsed="false">
      <c r="B12607" s="0" t="s">
        <v>164</v>
      </c>
    </row>
    <row r="12609" customFormat="false" ht="12.8" hidden="false" customHeight="false" outlineLevel="0" collapsed="false">
      <c r="A12609" s="0" t="s">
        <v>5945</v>
      </c>
      <c r="B12609" s="0" t="str">
        <f aca="false">HYPERLINK("https://lindat.mff.cuni.cz/services/teitok/pdtc10/index.php?action=vallex&amp;frame=v-w1680f1", "lehnout (v-w1680f1)")</f>
        <v>lehnout (v-w1680f1)</v>
      </c>
    </row>
    <row r="12610" customFormat="false" ht="12.8" hidden="false" customHeight="false" outlineLevel="0" collapsed="false">
      <c r="B12610" s="0" t="s">
        <v>1</v>
      </c>
    </row>
    <row r="12611" customFormat="false" ht="12.8" hidden="false" customHeight="false" outlineLevel="0" collapsed="false">
      <c r="B12611" s="0" t="s">
        <v>5946</v>
      </c>
    </row>
    <row r="12613" customFormat="false" ht="12.8" hidden="false" customHeight="false" outlineLevel="0" collapsed="false">
      <c r="A12613" s="0" t="s">
        <v>5947</v>
      </c>
      <c r="B12613" s="0" t="str">
        <f aca="false">HYPERLINK("https://lindat.mff.cuni.cz/services/teitok/pdtc10/index.php?action=vallex&amp;frame=v-w1680f2_ZU", "lehnout (v-w1680f2_ZU)")</f>
        <v>lehnout (v-w1680f2_ZU)</v>
      </c>
    </row>
    <row r="12614" customFormat="false" ht="12.8" hidden="false" customHeight="false" outlineLevel="0" collapsed="false">
      <c r="B12614" s="0" t="s">
        <v>1</v>
      </c>
    </row>
    <row r="12615" customFormat="false" ht="12.8" hidden="false" customHeight="false" outlineLevel="0" collapsed="false">
      <c r="B12615" s="0" t="s">
        <v>454</v>
      </c>
    </row>
    <row r="12617" customFormat="false" ht="12.8" hidden="false" customHeight="false" outlineLevel="0" collapsed="false">
      <c r="A12617" s="0" t="s">
        <v>5948</v>
      </c>
      <c r="B12617" s="0" t="str">
        <f aca="false">HYPERLINK("https://lindat.mff.cuni.cz/services/teitok/pdtc10/index.php?action=vallex&amp;frame=v-w1681f1", "lehnout si (v-w1681f1)")</f>
        <v>lehnout si (v-w1681f1)</v>
      </c>
      <c r="E12617" s="0" t="str">
        <f aca="false">HYPERLINK("https://lindat.mff.cuni.cz/services/SynSemClass40/SynSemClass40.html?veclass=vec00629#vec00629-ces-cm00001", "vec00629")</f>
        <v>vec00629</v>
      </c>
      <c r="F12617" s="0" t="s">
        <v>5949</v>
      </c>
    </row>
    <row r="12618" customFormat="false" ht="12.8" hidden="false" customHeight="false" outlineLevel="0" collapsed="false">
      <c r="B12618" s="0" t="s">
        <v>1</v>
      </c>
      <c r="C12618" s="0" t="s">
        <v>4695</v>
      </c>
      <c r="E12618" s="0" t="s">
        <v>11</v>
      </c>
      <c r="F12618" s="0" t="s">
        <v>5950</v>
      </c>
    </row>
    <row r="12619" customFormat="false" ht="12.8" hidden="false" customHeight="false" outlineLevel="0" collapsed="false">
      <c r="B12619" s="0" t="s">
        <v>164</v>
      </c>
      <c r="E12619" s="0" t="s">
        <v>370</v>
      </c>
      <c r="F12619" s="0" t="s">
        <v>3041</v>
      </c>
    </row>
    <row r="12621" customFormat="false" ht="12.8" hidden="false" customHeight="false" outlineLevel="0" collapsed="false">
      <c r="A12621" s="0" t="s">
        <v>5951</v>
      </c>
      <c r="B12621" s="0" t="str">
        <f aca="false">HYPERLINK("https://lindat.mff.cuni.cz/services/teitok/pdtc10/index.php?action=vallex&amp;frame=v-w11903_ZUf1_ZU", "lehávat (v-w11903_ZUf1_ZU)")</f>
        <v>lehávat (v-w11903_ZUf1_ZU)</v>
      </c>
    </row>
    <row r="12622" customFormat="false" ht="12.8" hidden="false" customHeight="false" outlineLevel="0" collapsed="false">
      <c r="B12622" s="0" t="s">
        <v>1</v>
      </c>
    </row>
    <row r="12623" customFormat="false" ht="12.8" hidden="false" customHeight="false" outlineLevel="0" collapsed="false">
      <c r="B12623" s="0" t="s">
        <v>5</v>
      </c>
    </row>
    <row r="12625" customFormat="false" ht="12.8" hidden="false" customHeight="false" outlineLevel="0" collapsed="false">
      <c r="A12625" s="0" t="s">
        <v>5952</v>
      </c>
      <c r="B12625" s="0" t="str">
        <f aca="false">HYPERLINK("https://lindat.mff.cuni.cz/services/teitok/pdtc10/index.php?action=vallex&amp;frame=v-w10236f2", "lekat (v-w10236f2)")</f>
        <v>lekat (v-w10236f2)</v>
      </c>
    </row>
    <row r="12626" customFormat="false" ht="12.8" hidden="false" customHeight="false" outlineLevel="0" collapsed="false">
      <c r="B12626" s="0" t="s">
        <v>1</v>
      </c>
    </row>
    <row r="12627" customFormat="false" ht="12.8" hidden="false" customHeight="false" outlineLevel="0" collapsed="false">
      <c r="B12627" s="0" t="s">
        <v>8</v>
      </c>
    </row>
    <row r="12629" customFormat="false" ht="12.8" hidden="false" customHeight="false" outlineLevel="0" collapsed="false">
      <c r="A12629" s="0" t="s">
        <v>5953</v>
      </c>
      <c r="B12629" s="0" t="str">
        <f aca="false">HYPERLINK("https://lindat.mff.cuni.cz/services/teitok/pdtc10/index.php?action=vallex&amp;frame=v-whsa_559hsa_560", "leknout se (v-whsa_559hsa_560)")</f>
        <v>leknout se (v-whsa_559hsa_560)</v>
      </c>
    </row>
    <row r="12630" customFormat="false" ht="12.8" hidden="false" customHeight="false" outlineLevel="0" collapsed="false">
      <c r="B12630" s="0" t="s">
        <v>1</v>
      </c>
    </row>
    <row r="12631" customFormat="false" ht="12.8" hidden="false" customHeight="false" outlineLevel="0" collapsed="false">
      <c r="B12631" s="0" t="s">
        <v>5954</v>
      </c>
    </row>
    <row r="12633" customFormat="false" ht="12.8" hidden="false" customHeight="false" outlineLevel="0" collapsed="false">
      <c r="A12633" s="0" t="s">
        <v>5955</v>
      </c>
      <c r="B12633" s="0" t="str">
        <f aca="false">HYPERLINK("https://lindat.mff.cuni.cz/services/teitok/pdtc10/index.php?action=vallex&amp;frame=v-w1685f1", "lemovat (v-w1685f1)")</f>
        <v>lemovat (v-w1685f1)</v>
      </c>
      <c r="E12633" s="0" t="str">
        <f aca="false">HYPERLINK("https://lindat.mff.cuni.cz/services/SynSemClass40/SynSemClass40.html?veclass=vec00053#vec00053-ces-cm00005", "vec00053")</f>
        <v>vec00053</v>
      </c>
      <c r="F12633" s="0" t="s">
        <v>5956</v>
      </c>
      <c r="H12633" s="0" t="str">
        <f aca="false">HYPERLINK("https://lindat.mff.cuni.cz/services/SynSemClass40/SynSemClass40.html?veclass=vec00643#vec00643-ces-cm00006", "vec00643")</f>
        <v>vec00643</v>
      </c>
      <c r="I12633" s="0" t="s">
        <v>5957</v>
      </c>
    </row>
    <row r="12634" customFormat="false" ht="12.8" hidden="false" customHeight="false" outlineLevel="0" collapsed="false">
      <c r="B12634" s="0" t="s">
        <v>1</v>
      </c>
      <c r="C12634" s="0" t="s">
        <v>5958</v>
      </c>
      <c r="E12634" s="0" t="s">
        <v>5959</v>
      </c>
      <c r="F12634" s="0" t="s">
        <v>5960</v>
      </c>
      <c r="H12634" s="0" t="s">
        <v>5961</v>
      </c>
      <c r="I12634" s="0" t="s">
        <v>5962</v>
      </c>
    </row>
    <row r="12635" customFormat="false" ht="12.8" hidden="false" customHeight="false" outlineLevel="0" collapsed="false">
      <c r="B12635" s="0" t="s">
        <v>8</v>
      </c>
      <c r="C12635" s="0" t="s">
        <v>5963</v>
      </c>
      <c r="E12635" s="0" t="s">
        <v>5964</v>
      </c>
      <c r="F12635" s="0" t="s">
        <v>5965</v>
      </c>
      <c r="H12635" s="0" t="s">
        <v>5966</v>
      </c>
      <c r="I12635" s="0" t="s">
        <v>5967</v>
      </c>
    </row>
    <row r="12637" customFormat="false" ht="12.8" hidden="false" customHeight="false" outlineLevel="0" collapsed="false">
      <c r="A12637" s="0" t="s">
        <v>5968</v>
      </c>
      <c r="B12637" s="0" t="str">
        <f aca="false">HYPERLINK("https://lindat.mff.cuni.cz/services/teitok/pdtc10/index.php?action=vallex&amp;frame=v-w1685f2", "lemovat (v-w1685f2)")</f>
        <v>lemovat (v-w1685f2)</v>
      </c>
    </row>
    <row r="12638" customFormat="false" ht="12.8" hidden="false" customHeight="false" outlineLevel="0" collapsed="false">
      <c r="B12638" s="0" t="s">
        <v>1</v>
      </c>
    </row>
    <row r="12639" customFormat="false" ht="12.8" hidden="false" customHeight="false" outlineLevel="0" collapsed="false">
      <c r="B12639" s="0" t="s">
        <v>8</v>
      </c>
    </row>
    <row r="12641" customFormat="false" ht="12.8" hidden="false" customHeight="false" outlineLevel="0" collapsed="false">
      <c r="A12641" s="0" t="s">
        <v>5969</v>
      </c>
      <c r="B12641" s="0" t="str">
        <f aca="false">HYPERLINK("https://lindat.mff.cuni.cz/services/teitok/pdtc10/index.php?action=vallex&amp;frame=v-w1685hsa_1194", "lemovat (v-w1685hsa_1194)")</f>
        <v>lemovat (v-w1685hsa_1194)</v>
      </c>
    </row>
    <row r="12642" customFormat="false" ht="12.8" hidden="false" customHeight="false" outlineLevel="0" collapsed="false">
      <c r="B12642" s="0" t="s">
        <v>1</v>
      </c>
    </row>
    <row r="12643" customFormat="false" ht="12.8" hidden="false" customHeight="false" outlineLevel="0" collapsed="false">
      <c r="B12643" s="0" t="s">
        <v>8</v>
      </c>
    </row>
    <row r="12645" customFormat="false" ht="12.8" hidden="false" customHeight="false" outlineLevel="0" collapsed="false">
      <c r="A12645" s="0" t="s">
        <v>5970</v>
      </c>
      <c r="B12645" s="0" t="str">
        <f aca="false">HYPERLINK("https://lindat.mff.cuni.cz/services/teitok/pdtc10/index.php?action=vallex&amp;frame=v-w1687f1", "lenit (v-w1687f1)")</f>
        <v>lenit (v-w1687f1)</v>
      </c>
    </row>
    <row r="12646" customFormat="false" ht="12.8" hidden="false" customHeight="false" outlineLevel="0" collapsed="false">
      <c r="B12646" s="0" t="s">
        <v>1</v>
      </c>
    </row>
    <row r="12648" customFormat="false" ht="12.8" hidden="false" customHeight="false" outlineLevel="0" collapsed="false">
      <c r="A12648" s="0" t="s">
        <v>5971</v>
      </c>
      <c r="B12648" s="0" t="str">
        <f aca="false">HYPERLINK("https://lindat.mff.cuni.cz/services/teitok/pdtc10/index.php?action=vallex&amp;frame=v-w12166_ZUf1_ZU", "lenošit (v-w12166_ZUf1_ZU)")</f>
        <v>lenošit (v-w12166_ZUf1_ZU)</v>
      </c>
    </row>
    <row r="12649" customFormat="false" ht="12.8" hidden="false" customHeight="false" outlineLevel="0" collapsed="false">
      <c r="B12649" s="0" t="s">
        <v>1</v>
      </c>
    </row>
    <row r="12651" customFormat="false" ht="12.8" hidden="false" customHeight="false" outlineLevel="0" collapsed="false">
      <c r="A12651" s="0" t="s">
        <v>5972</v>
      </c>
      <c r="B12651" s="0" t="str">
        <f aca="false">HYPERLINK("https://lindat.mff.cuni.cz/services/teitok/pdtc10/index.php?action=vallex&amp;frame=v-w1688f1", "lepit (v-w1688f1)")</f>
        <v>lepit (v-w1688f1)</v>
      </c>
      <c r="E12651" s="0" t="str">
        <f aca="false">HYPERLINK("https://lindat.mff.cuni.cz/services/SynSemClass40/SynSemClass40.html?veclass=vec01479#vec01479-ces-cm00001", "vec01479")</f>
        <v>vec01479</v>
      </c>
      <c r="F12651" s="0" t="s">
        <v>5973</v>
      </c>
    </row>
    <row r="12652" customFormat="false" ht="12.8" hidden="false" customHeight="false" outlineLevel="0" collapsed="false">
      <c r="B12652" s="0" t="s">
        <v>1</v>
      </c>
      <c r="C12652" s="0" t="s">
        <v>4695</v>
      </c>
      <c r="E12652" s="0" t="s">
        <v>4850</v>
      </c>
      <c r="F12652" s="0" t="s">
        <v>5974</v>
      </c>
    </row>
    <row r="12653" customFormat="false" ht="12.8" hidden="false" customHeight="false" outlineLevel="0" collapsed="false">
      <c r="B12653" s="0" t="s">
        <v>8</v>
      </c>
      <c r="C12653" s="0" t="s">
        <v>800</v>
      </c>
      <c r="E12653" s="0" t="s">
        <v>110</v>
      </c>
      <c r="F12653" s="0" t="s">
        <v>5975</v>
      </c>
    </row>
    <row r="12655" customFormat="false" ht="12.8" hidden="false" customHeight="false" outlineLevel="0" collapsed="false">
      <c r="A12655" s="0" t="s">
        <v>5976</v>
      </c>
      <c r="B12655" s="0" t="str">
        <f aca="false">HYPERLINK("https://lindat.mff.cuni.cz/services/teitok/pdtc10/index.php?action=vallex&amp;frame=v-w11748_ZUf1_ZU", "lepit se (v-w11748_ZUf1_ZU)")</f>
        <v>lepit se (v-w11748_ZUf1_ZU)</v>
      </c>
    </row>
    <row r="12656" customFormat="false" ht="12.8" hidden="false" customHeight="false" outlineLevel="0" collapsed="false">
      <c r="B12656" s="0" t="s">
        <v>1</v>
      </c>
    </row>
    <row r="12658" customFormat="false" ht="12.8" hidden="false" customHeight="false" outlineLevel="0" collapsed="false">
      <c r="A12658" s="0" t="s">
        <v>5977</v>
      </c>
      <c r="B12658" s="0" t="str">
        <f aca="false">HYPERLINK("https://lindat.mff.cuni.cz/services/teitok/pdtc10/index.php?action=vallex&amp;frame=v-w1689f1", "lepšit se (v-w1689f1)")</f>
        <v>lepšit se (v-w1689f1)</v>
      </c>
    </row>
    <row r="12659" customFormat="false" ht="12.8" hidden="false" customHeight="false" outlineLevel="0" collapsed="false">
      <c r="B12659" s="0" t="s">
        <v>1</v>
      </c>
    </row>
    <row r="12660" customFormat="false" ht="12.8" hidden="false" customHeight="false" outlineLevel="0" collapsed="false">
      <c r="B12660" s="0" t="s">
        <v>69</v>
      </c>
    </row>
    <row r="12661" customFormat="false" ht="12.8" hidden="false" customHeight="false" outlineLevel="0" collapsed="false">
      <c r="B12661" s="0" t="s">
        <v>36</v>
      </c>
    </row>
    <row r="12663" customFormat="false" ht="12.8" hidden="false" customHeight="false" outlineLevel="0" collapsed="false">
      <c r="A12663" s="0" t="s">
        <v>5978</v>
      </c>
      <c r="B12663" s="0" t="str">
        <f aca="false">HYPERLINK("https://lindat.mff.cuni.cz/services/teitok/pdtc10/index.php?action=vallex&amp;frame=v-w11480f1", "lesknout se (v-w11480f1)")</f>
        <v>lesknout se (v-w11480f1)</v>
      </c>
    </row>
    <row r="12664" customFormat="false" ht="12.8" hidden="false" customHeight="false" outlineLevel="0" collapsed="false">
      <c r="B12664" s="0" t="s">
        <v>1</v>
      </c>
    </row>
    <row r="12666" customFormat="false" ht="12.8" hidden="false" customHeight="false" outlineLevel="0" collapsed="false">
      <c r="A12666" s="0" t="s">
        <v>5979</v>
      </c>
      <c r="B12666" s="0" t="str">
        <f aca="false">HYPERLINK("https://lindat.mff.cuni.cz/services/teitok/pdtc10/index.php?action=vallex&amp;frame=v-whsa_215hsa_216", "letovat (v-whsa_215hsa_216)")</f>
        <v>letovat (v-whsa_215hsa_216)</v>
      </c>
    </row>
    <row r="12667" customFormat="false" ht="12.8" hidden="false" customHeight="false" outlineLevel="0" collapsed="false">
      <c r="B12667" s="0" t="s">
        <v>1</v>
      </c>
    </row>
    <row r="12668" customFormat="false" ht="12.8" hidden="false" customHeight="false" outlineLevel="0" collapsed="false">
      <c r="B12668" s="0" t="s">
        <v>8</v>
      </c>
    </row>
    <row r="12670" customFormat="false" ht="12.8" hidden="false" customHeight="false" outlineLevel="0" collapsed="false">
      <c r="A12670" s="0" t="s">
        <v>5980</v>
      </c>
      <c r="B12670" s="0" t="str">
        <f aca="false">HYPERLINK("https://lindat.mff.cuni.cz/services/teitok/pdtc10/index.php?action=vallex&amp;frame=v-w1694f1", "letět (v-w1694f1)")</f>
        <v>letět (v-w1694f1)</v>
      </c>
      <c r="E12670" s="0" t="str">
        <f aca="false">HYPERLINK("https://lindat.mff.cuni.cz/services/SynSemClass40/SynSemClass40.html?veclass=vec00427#vec00427-ces-cm00005", "vec00427")</f>
        <v>vec00427</v>
      </c>
      <c r="F12670" s="0" t="s">
        <v>2444</v>
      </c>
    </row>
    <row r="12671" customFormat="false" ht="12.8" hidden="false" customHeight="false" outlineLevel="0" collapsed="false">
      <c r="B12671" s="0" t="s">
        <v>1</v>
      </c>
      <c r="C12671" s="0" t="s">
        <v>5981</v>
      </c>
      <c r="E12671" s="0" t="s">
        <v>334</v>
      </c>
      <c r="F12671" s="0" t="s">
        <v>2447</v>
      </c>
    </row>
    <row r="12673" customFormat="false" ht="12.8" hidden="false" customHeight="false" outlineLevel="0" collapsed="false">
      <c r="A12673" s="0" t="s">
        <v>5982</v>
      </c>
      <c r="B12673" s="0" t="str">
        <f aca="false">HYPERLINK("https://lindat.mff.cuni.cz/services/teitok/pdtc10/index.php?action=vallex&amp;frame=v-w1694f2", "letět (v-w1694f2)")</f>
        <v>letět (v-w1694f2)</v>
      </c>
    </row>
    <row r="12674" customFormat="false" ht="12.8" hidden="false" customHeight="false" outlineLevel="0" collapsed="false">
      <c r="B12674" s="0" t="s">
        <v>1</v>
      </c>
    </row>
    <row r="12676" customFormat="false" ht="12.8" hidden="false" customHeight="false" outlineLevel="0" collapsed="false">
      <c r="A12676" s="0" t="s">
        <v>5983</v>
      </c>
      <c r="B12676" s="0" t="str">
        <f aca="false">HYPERLINK("https://lindat.mff.cuni.cz/services/teitok/pdtc10/index.php?action=vallex&amp;frame=v-w1694f3", "letět (v-w1694f3)")</f>
        <v>letět (v-w1694f3)</v>
      </c>
    </row>
    <row r="12677" customFormat="false" ht="12.8" hidden="false" customHeight="false" outlineLevel="0" collapsed="false">
      <c r="B12677" s="0" t="s">
        <v>1</v>
      </c>
    </row>
    <row r="12679" customFormat="false" ht="12.8" hidden="false" customHeight="false" outlineLevel="0" collapsed="false">
      <c r="A12679" s="0" t="s">
        <v>5984</v>
      </c>
      <c r="B12679" s="0" t="str">
        <f aca="false">HYPERLINK("https://lindat.mff.cuni.cz/services/teitok/pdtc10/index.php?action=vallex&amp;frame=v-w1694hsa_811", "letět (v-w1694hsa_811)")</f>
        <v>letět (v-w1694hsa_811)</v>
      </c>
    </row>
    <row r="12680" customFormat="false" ht="12.8" hidden="false" customHeight="false" outlineLevel="0" collapsed="false">
      <c r="B12680" s="0" t="s">
        <v>1</v>
      </c>
    </row>
    <row r="12681" customFormat="false" ht="12.8" hidden="false" customHeight="false" outlineLevel="0" collapsed="false">
      <c r="B12681" s="0" t="s">
        <v>164</v>
      </c>
    </row>
    <row r="12683" customFormat="false" ht="12.8" hidden="false" customHeight="false" outlineLevel="0" collapsed="false">
      <c r="A12683" s="0" t="s">
        <v>5985</v>
      </c>
      <c r="B12683" s="0" t="str">
        <f aca="false">HYPERLINK("https://lindat.mff.cuni.cz/services/teitok/pdtc10/index.php?action=vallex&amp;frame=v-w1694f4_ZU", "letět (v-w1694f4_ZU)")</f>
        <v>letět (v-w1694f4_ZU)</v>
      </c>
    </row>
    <row r="12684" customFormat="false" ht="12.8" hidden="false" customHeight="false" outlineLevel="0" collapsed="false">
      <c r="B12684" s="0" t="s">
        <v>1</v>
      </c>
    </row>
    <row r="12685" customFormat="false" ht="12.8" hidden="false" customHeight="false" outlineLevel="0" collapsed="false">
      <c r="B12685" s="0" t="s">
        <v>5986</v>
      </c>
    </row>
    <row r="12687" customFormat="false" ht="12.8" hidden="false" customHeight="false" outlineLevel="0" collapsed="false">
      <c r="A12687" s="0" t="s">
        <v>5987</v>
      </c>
      <c r="B12687" s="0" t="str">
        <f aca="false">HYPERLINK("https://lindat.mff.cuni.cz/services/teitok/pdtc10/index.php?action=vallex&amp;frame=v-w1694hsa_1755", "letět (v-w1694hsa_1755)")</f>
        <v>letět (v-w1694hsa_1755)</v>
      </c>
    </row>
    <row r="12688" customFormat="false" ht="12.8" hidden="false" customHeight="false" outlineLevel="0" collapsed="false">
      <c r="B12688" s="0" t="s">
        <v>1</v>
      </c>
    </row>
    <row r="12690" customFormat="false" ht="12.8" hidden="false" customHeight="false" outlineLevel="0" collapsed="false">
      <c r="A12690" s="0" t="s">
        <v>5988</v>
      </c>
      <c r="B12690" s="0" t="str">
        <f aca="false">HYPERLINK("https://lindat.mff.cuni.cz/services/teitok/pdtc10/index.php?action=vallex&amp;frame=v-w1694hsa_1756", "letět (v-w1694hsa_1756)")</f>
        <v>letět (v-w1694hsa_1756)</v>
      </c>
    </row>
    <row r="12691" customFormat="false" ht="12.8" hidden="false" customHeight="false" outlineLevel="0" collapsed="false">
      <c r="B12691" s="0" t="s">
        <v>1</v>
      </c>
    </row>
    <row r="12693" customFormat="false" ht="12.8" hidden="false" customHeight="false" outlineLevel="0" collapsed="false">
      <c r="A12693" s="0" t="s">
        <v>5989</v>
      </c>
      <c r="B12693" s="0" t="str">
        <f aca="false">HYPERLINK("https://lindat.mff.cuni.cz/services/teitok/pdtc10/index.php?action=vallex&amp;frame=v-w1694hsa_1757", "letět (v-w1694hsa_1757)")</f>
        <v>letět (v-w1694hsa_1757)</v>
      </c>
    </row>
    <row r="12694" customFormat="false" ht="12.8" hidden="false" customHeight="false" outlineLevel="0" collapsed="false">
      <c r="B12694" s="0" t="s">
        <v>1</v>
      </c>
    </row>
    <row r="12695" customFormat="false" ht="12.8" hidden="false" customHeight="false" outlineLevel="0" collapsed="false">
      <c r="B12695" s="0" t="s">
        <v>721</v>
      </c>
    </row>
    <row r="12697" customFormat="false" ht="12.8" hidden="false" customHeight="false" outlineLevel="0" collapsed="false">
      <c r="A12697" s="0" t="s">
        <v>5990</v>
      </c>
      <c r="B12697" s="0" t="str">
        <f aca="false">HYPERLINK("https://lindat.mff.cuni.cz/services/teitok/pdtc10/index.php?action=vallex&amp;frame=v-w10599f3", "leštit (v-w10599f3)")</f>
        <v>leštit (v-w10599f3)</v>
      </c>
    </row>
    <row r="12698" customFormat="false" ht="12.8" hidden="false" customHeight="false" outlineLevel="0" collapsed="false">
      <c r="B12698" s="0" t="s">
        <v>1</v>
      </c>
    </row>
    <row r="12699" customFormat="false" ht="12.8" hidden="false" customHeight="false" outlineLevel="0" collapsed="false">
      <c r="B12699" s="0" t="s">
        <v>8</v>
      </c>
    </row>
    <row r="12701" customFormat="false" ht="12.8" hidden="false" customHeight="false" outlineLevel="0" collapsed="false">
      <c r="A12701" s="0" t="s">
        <v>5991</v>
      </c>
      <c r="B12701" s="0" t="str">
        <f aca="false">HYPERLINK("https://lindat.mff.cuni.cz/services/teitok/pdtc10/index.php?action=vallex&amp;frame=v-w10599f2", "leštit (v-w10599f2)")</f>
        <v>leštit (v-w10599f2)</v>
      </c>
      <c r="E12701" s="0" t="str">
        <f aca="false">HYPERLINK("https://lindat.mff.cuni.cz/services/SynSemClass40/SynSemClass40.html?veclass=vec00552#vec00552-ces-cm00016", "vec00552")</f>
        <v>vec00552</v>
      </c>
      <c r="F12701" s="0" t="s">
        <v>5992</v>
      </c>
    </row>
    <row r="12702" customFormat="false" ht="12.8" hidden="false" customHeight="false" outlineLevel="0" collapsed="false">
      <c r="B12702" s="0" t="s">
        <v>1</v>
      </c>
      <c r="C12702" s="0" t="s">
        <v>239</v>
      </c>
      <c r="E12702" s="0" t="s">
        <v>31</v>
      </c>
      <c r="F12702" s="0" t="s">
        <v>5993</v>
      </c>
    </row>
    <row r="12703" customFormat="false" ht="12.8" hidden="false" customHeight="false" outlineLevel="0" collapsed="false">
      <c r="B12703" s="0" t="s">
        <v>8</v>
      </c>
      <c r="C12703" s="0" t="s">
        <v>5994</v>
      </c>
      <c r="E12703" s="0" t="s">
        <v>34</v>
      </c>
      <c r="F12703" s="0" t="s">
        <v>5995</v>
      </c>
    </row>
    <row r="12705" customFormat="false" ht="12.8" hidden="false" customHeight="false" outlineLevel="0" collapsed="false">
      <c r="A12705" s="0" t="s">
        <v>5996</v>
      </c>
      <c r="B12705" s="0" t="str">
        <f aca="false">HYPERLINK("https://lindat.mff.cuni.cz/services/teitok/pdtc10/index.php?action=vallex&amp;frame=v-w1699f4", "ležet (v-w1699f4)")</f>
        <v>ležet (v-w1699f4)</v>
      </c>
    </row>
    <row r="12706" customFormat="false" ht="12.8" hidden="false" customHeight="false" outlineLevel="0" collapsed="false">
      <c r="B12706" s="0" t="s">
        <v>1</v>
      </c>
    </row>
    <row r="12707" customFormat="false" ht="12.8" hidden="false" customHeight="false" outlineLevel="0" collapsed="false">
      <c r="B12707" s="0" t="s">
        <v>291</v>
      </c>
    </row>
    <row r="12709" customFormat="false" ht="12.8" hidden="false" customHeight="false" outlineLevel="0" collapsed="false">
      <c r="A12709" s="0" t="s">
        <v>5997</v>
      </c>
      <c r="B12709" s="0" t="str">
        <f aca="false">HYPERLINK("https://lindat.mff.cuni.cz/services/teitok/pdtc10/index.php?action=vallex&amp;frame=v-w1699f5", "ležet (v-w1699f5)")</f>
        <v>ležet (v-w1699f5)</v>
      </c>
      <c r="E12709" s="0" t="str">
        <f aca="false">HYPERLINK("https://lindat.mff.cuni.cz/services/SynSemClass40/SynSemClass40.html?veclass=vec00317#vec00317-ces-cm00005", "vec00317")</f>
        <v>vec00317</v>
      </c>
      <c r="F12709" s="0" t="s">
        <v>5998</v>
      </c>
    </row>
    <row r="12710" customFormat="false" ht="12.8" hidden="false" customHeight="false" outlineLevel="0" collapsed="false">
      <c r="B12710" s="0" t="s">
        <v>1</v>
      </c>
      <c r="C12710" s="0" t="s">
        <v>2157</v>
      </c>
      <c r="E12710" s="0" t="s">
        <v>4943</v>
      </c>
      <c r="F12710" s="0" t="s">
        <v>5999</v>
      </c>
    </row>
    <row r="12711" customFormat="false" ht="12.8" hidden="false" customHeight="false" outlineLevel="0" collapsed="false">
      <c r="B12711" s="0" t="s">
        <v>536</v>
      </c>
      <c r="C12711" s="0" t="s">
        <v>6000</v>
      </c>
      <c r="E12711" s="0" t="s">
        <v>6001</v>
      </c>
      <c r="F12711" s="0" t="s">
        <v>6002</v>
      </c>
    </row>
    <row r="12713" customFormat="false" ht="12.8" hidden="false" customHeight="false" outlineLevel="0" collapsed="false">
      <c r="A12713" s="0" t="s">
        <v>6003</v>
      </c>
      <c r="B12713" s="0" t="str">
        <f aca="false">HYPERLINK("https://lindat.mff.cuni.cz/services/teitok/pdtc10/index.php?action=vallex&amp;frame=v-w1699f6", "ležet (v-w1699f6)")</f>
        <v>ležet (v-w1699f6)</v>
      </c>
    </row>
    <row r="12714" customFormat="false" ht="12.8" hidden="false" customHeight="false" outlineLevel="0" collapsed="false">
      <c r="B12714" s="0" t="s">
        <v>1</v>
      </c>
    </row>
    <row r="12715" customFormat="false" ht="12.8" hidden="false" customHeight="false" outlineLevel="0" collapsed="false">
      <c r="B12715" s="0" t="s">
        <v>3245</v>
      </c>
    </row>
    <row r="12717" customFormat="false" ht="12.8" hidden="false" customHeight="false" outlineLevel="0" collapsed="false">
      <c r="A12717" s="0" t="s">
        <v>6004</v>
      </c>
      <c r="B12717" s="0" t="str">
        <f aca="false">HYPERLINK("https://lindat.mff.cuni.cz/services/teitok/pdtc10/index.php?action=vallex&amp;frame=v-w1699f11_ZU", "ležet (v-w1699f11_ZU)")</f>
        <v>ležet (v-w1699f11_ZU)</v>
      </c>
    </row>
    <row r="12718" customFormat="false" ht="12.8" hidden="false" customHeight="false" outlineLevel="0" collapsed="false">
      <c r="B12718" s="0" t="s">
        <v>1</v>
      </c>
    </row>
    <row r="12719" customFormat="false" ht="12.8" hidden="false" customHeight="false" outlineLevel="0" collapsed="false">
      <c r="B12719" s="0" t="s">
        <v>5</v>
      </c>
    </row>
    <row r="12721" customFormat="false" ht="12.8" hidden="false" customHeight="false" outlineLevel="0" collapsed="false">
      <c r="A12721" s="0" t="s">
        <v>6004</v>
      </c>
      <c r="B12721" s="0" t="str">
        <f aca="false">HYPERLINK("https://lindat.mff.cuni.cz/services/teitok/pdtc10/index.php?action=vallex&amp;frame=v-w1699f1", "ležet (v-w1699f1) - substituted with v-w1699f11_ZU")</f>
        <v>ležet (v-w1699f1) - substituted with v-w1699f11_ZU</v>
      </c>
      <c r="E12721" s="0" t="str">
        <f aca="false">HYPERLINK("https://lindat.mff.cuni.cz/services/SynSemClass40/SynSemClass40.html?veclass=vec00308#vec00308-ces-cm00003", "vec00308")</f>
        <v>vec00308</v>
      </c>
      <c r="F12721" s="0" t="s">
        <v>6005</v>
      </c>
    </row>
    <row r="12722" customFormat="false" ht="12.8" hidden="false" customHeight="false" outlineLevel="0" collapsed="false">
      <c r="B12722" s="0" t="s">
        <v>1</v>
      </c>
      <c r="C12722" s="0" t="s">
        <v>6006</v>
      </c>
      <c r="E12722" s="0" t="s">
        <v>6007</v>
      </c>
      <c r="F12722" s="0" t="s">
        <v>6008</v>
      </c>
    </row>
    <row r="12723" customFormat="false" ht="12.8" hidden="false" customHeight="false" outlineLevel="0" collapsed="false">
      <c r="B12723" s="0" t="s">
        <v>5</v>
      </c>
      <c r="C12723" s="0" t="s">
        <v>6009</v>
      </c>
      <c r="E12723" s="0" t="s">
        <v>3254</v>
      </c>
      <c r="F12723" s="0" t="s">
        <v>6010</v>
      </c>
    </row>
    <row r="12725" customFormat="false" ht="12.8" hidden="false" customHeight="false" outlineLevel="0" collapsed="false">
      <c r="A12725" s="0" t="s">
        <v>6004</v>
      </c>
      <c r="B12725" s="0" t="str">
        <f aca="false">HYPERLINK("https://lindat.mff.cuni.cz/services/teitok/pdtc10/index.php?action=vallex&amp;frame=v-w1699f10_ZU", "ležet (v-w1699f10_ZU) - substituted with v-w1699f11_ZU")</f>
        <v>ležet (v-w1699f10_ZU) - substituted with v-w1699f11_ZU</v>
      </c>
    </row>
    <row r="12726" customFormat="false" ht="12.8" hidden="false" customHeight="false" outlineLevel="0" collapsed="false">
      <c r="B12726" s="0" t="s">
        <v>1</v>
      </c>
    </row>
    <row r="12727" customFormat="false" ht="12.8" hidden="false" customHeight="false" outlineLevel="0" collapsed="false">
      <c r="B12727" s="0" t="s">
        <v>5</v>
      </c>
    </row>
    <row r="12729" customFormat="false" ht="12.8" hidden="false" customHeight="false" outlineLevel="0" collapsed="false">
      <c r="A12729" s="0" t="s">
        <v>6011</v>
      </c>
      <c r="B12729" s="0" t="str">
        <f aca="false">HYPERLINK("https://lindat.mff.cuni.cz/services/teitok/pdtc10/index.php?action=vallex&amp;frame=v-w1699f7", "ležet (v-w1699f7)")</f>
        <v>ležet (v-w1699f7)</v>
      </c>
    </row>
    <row r="12730" customFormat="false" ht="12.8" hidden="false" customHeight="false" outlineLevel="0" collapsed="false">
      <c r="B12730" s="0" t="s">
        <v>1</v>
      </c>
    </row>
    <row r="12731" customFormat="false" ht="12.8" hidden="false" customHeight="false" outlineLevel="0" collapsed="false">
      <c r="B12731" s="0" t="s">
        <v>2814</v>
      </c>
    </row>
    <row r="12732" customFormat="false" ht="12.8" hidden="false" customHeight="false" outlineLevel="0" collapsed="false">
      <c r="B12732" s="0" t="s">
        <v>361</v>
      </c>
    </row>
    <row r="12734" customFormat="false" ht="12.8" hidden="false" customHeight="false" outlineLevel="0" collapsed="false">
      <c r="A12734" s="0" t="s">
        <v>6012</v>
      </c>
      <c r="B12734" s="0" t="str">
        <f aca="false">HYPERLINK("https://lindat.mff.cuni.cz/services/teitok/pdtc10/index.php?action=vallex&amp;frame=v-w1699f2", "ležet (v-w1699f2)")</f>
        <v>ležet (v-w1699f2)</v>
      </c>
    </row>
    <row r="12735" customFormat="false" ht="12.8" hidden="false" customHeight="false" outlineLevel="0" collapsed="false">
      <c r="B12735" s="0" t="s">
        <v>1</v>
      </c>
    </row>
    <row r="12737" customFormat="false" ht="12.8" hidden="false" customHeight="false" outlineLevel="0" collapsed="false">
      <c r="A12737" s="0" t="s">
        <v>6013</v>
      </c>
      <c r="B12737" s="0" t="str">
        <f aca="false">HYPERLINK("https://lindat.mff.cuni.cz/services/teitok/pdtc10/index.php?action=vallex&amp;frame=v-w1699f3", "ležet (v-w1699f3)")</f>
        <v>ležet (v-w1699f3)</v>
      </c>
    </row>
    <row r="12738" customFormat="false" ht="12.8" hidden="false" customHeight="false" outlineLevel="0" collapsed="false">
      <c r="B12738" s="0" t="s">
        <v>1</v>
      </c>
    </row>
    <row r="12739" customFormat="false" ht="12.8" hidden="false" customHeight="false" outlineLevel="0" collapsed="false">
      <c r="B12739" s="0" t="s">
        <v>6014</v>
      </c>
    </row>
    <row r="12741" customFormat="false" ht="12.8" hidden="false" customHeight="false" outlineLevel="0" collapsed="false">
      <c r="A12741" s="0" t="s">
        <v>6015</v>
      </c>
      <c r="B12741" s="0" t="str">
        <f aca="false">HYPERLINK("https://lindat.mff.cuni.cz/services/teitok/pdtc10/index.php?action=vallex&amp;frame=v-w1699f8_ZU", "ležet (v-w1699f8_ZU)")</f>
        <v>ležet (v-w1699f8_ZU)</v>
      </c>
    </row>
    <row r="12742" customFormat="false" ht="12.8" hidden="false" customHeight="false" outlineLevel="0" collapsed="false">
      <c r="B12742" s="0" t="s">
        <v>1</v>
      </c>
    </row>
    <row r="12743" customFormat="false" ht="12.8" hidden="false" customHeight="false" outlineLevel="0" collapsed="false">
      <c r="B12743" s="0" t="s">
        <v>6016</v>
      </c>
    </row>
    <row r="12745" customFormat="false" ht="12.8" hidden="false" customHeight="false" outlineLevel="0" collapsed="false">
      <c r="A12745" s="0" t="s">
        <v>6017</v>
      </c>
      <c r="B12745" s="0" t="str">
        <f aca="false">HYPERLINK("https://lindat.mff.cuni.cz/services/teitok/pdtc10/index.php?action=vallex&amp;frame=v-w1699f9_ZU", "ležet (v-w1699f9_ZU)")</f>
        <v>ležet (v-w1699f9_ZU)</v>
      </c>
    </row>
    <row r="12746" customFormat="false" ht="12.8" hidden="false" customHeight="false" outlineLevel="0" collapsed="false">
      <c r="B12746" s="0" t="s">
        <v>1</v>
      </c>
    </row>
    <row r="12747" customFormat="false" ht="12.8" hidden="false" customHeight="false" outlineLevel="0" collapsed="false">
      <c r="B12747" s="0" t="s">
        <v>6018</v>
      </c>
    </row>
    <row r="12749" customFormat="false" ht="12.8" hidden="false" customHeight="false" outlineLevel="0" collapsed="false">
      <c r="A12749" s="0" t="s">
        <v>6017</v>
      </c>
      <c r="B12749" s="0" t="str">
        <f aca="false">HYPERLINK("https://lindat.mff.cuni.cz/services/teitok/pdtc10/index.php?action=vallex&amp;frame=v-w1699hsa_1082", "ležet (v-w1699hsa_1082) - substituted with v-w1699f9_ZU")</f>
        <v>ležet (v-w1699hsa_1082) - substituted with v-w1699f9_ZU</v>
      </c>
    </row>
    <row r="12750" customFormat="false" ht="12.8" hidden="false" customHeight="false" outlineLevel="0" collapsed="false">
      <c r="B12750" s="0" t="s">
        <v>1</v>
      </c>
    </row>
    <row r="12751" customFormat="false" ht="12.8" hidden="false" customHeight="false" outlineLevel="0" collapsed="false">
      <c r="B12751" s="0" t="s">
        <v>6018</v>
      </c>
    </row>
    <row r="12753" customFormat="false" ht="12.8" hidden="false" customHeight="false" outlineLevel="0" collapsed="false">
      <c r="A12753" s="0" t="s">
        <v>6019</v>
      </c>
      <c r="B12753" s="0" t="str">
        <f aca="false">HYPERLINK("https://lindat.mff.cuni.cz/services/teitok/pdtc10/index.php?action=vallex&amp;frame=v-w1699f12_MM", "ležet (v-w1699f12_MM)")</f>
        <v>ležet (v-w1699f12_MM)</v>
      </c>
    </row>
    <row r="12754" customFormat="false" ht="12.8" hidden="false" customHeight="false" outlineLevel="0" collapsed="false">
      <c r="B12754" s="0" t="s">
        <v>1</v>
      </c>
    </row>
    <row r="12755" customFormat="false" ht="12.8" hidden="false" customHeight="false" outlineLevel="0" collapsed="false">
      <c r="B12755" s="0" t="s">
        <v>186</v>
      </c>
    </row>
    <row r="12756" customFormat="false" ht="12.8" hidden="false" customHeight="false" outlineLevel="0" collapsed="false">
      <c r="B12756" s="0" t="s">
        <v>6020</v>
      </c>
    </row>
    <row r="12758" customFormat="false" ht="12.8" hidden="false" customHeight="false" outlineLevel="0" collapsed="false">
      <c r="A12758" s="0" t="s">
        <v>6021</v>
      </c>
      <c r="B12758" s="0" t="str">
        <f aca="false">HYPERLINK("https://lindat.mff.cuni.cz/services/teitok/pdtc10/index.php?action=vallex&amp;frame=v-w1701f3", "lhát (v-w1701f3)")</f>
        <v>lhát (v-w1701f3)</v>
      </c>
      <c r="E12758" s="0" t="str">
        <f aca="false">HYPERLINK("https://lindat.mff.cuni.cz/services/SynSemClass40/SynSemClass40.html?veclass=vec00832#vec00832-ces-cm00001", "vec00832")</f>
        <v>vec00832</v>
      </c>
      <c r="F12758" s="0" t="s">
        <v>6022</v>
      </c>
    </row>
    <row r="12759" customFormat="false" ht="12.8" hidden="false" customHeight="false" outlineLevel="0" collapsed="false">
      <c r="B12759" s="0" t="s">
        <v>1</v>
      </c>
      <c r="C12759" s="0" t="s">
        <v>459</v>
      </c>
      <c r="E12759" s="0" t="s">
        <v>63</v>
      </c>
      <c r="F12759" s="0" t="s">
        <v>6023</v>
      </c>
    </row>
    <row r="12760" customFormat="false" ht="12.8" hidden="false" customHeight="false" outlineLevel="0" collapsed="false">
      <c r="B12760" s="0" t="s">
        <v>6024</v>
      </c>
      <c r="C12760" s="0" t="s">
        <v>744</v>
      </c>
      <c r="E12760" s="0" t="s">
        <v>6025</v>
      </c>
      <c r="F12760" s="0" t="s">
        <v>6026</v>
      </c>
    </row>
    <row r="12761" customFormat="false" ht="12.8" hidden="false" customHeight="false" outlineLevel="0" collapsed="false">
      <c r="B12761" s="0" t="s">
        <v>132</v>
      </c>
      <c r="E12761" s="0" t="s">
        <v>221</v>
      </c>
      <c r="F12761" s="0" t="s">
        <v>4699</v>
      </c>
    </row>
    <row r="12763" customFormat="false" ht="12.8" hidden="false" customHeight="false" outlineLevel="0" collapsed="false">
      <c r="A12763" s="0" t="s">
        <v>6021</v>
      </c>
      <c r="B12763" s="0" t="str">
        <f aca="false">HYPERLINK("https://lindat.mff.cuni.cz/services/teitok/pdtc10/index.php?action=vallex&amp;frame=v-w1701f1", "lhát (v-w1701f1) - substituted with v-w1701f3")</f>
        <v>lhát (v-w1701f1) - substituted with v-w1701f3</v>
      </c>
    </row>
    <row r="12764" customFormat="false" ht="12.8" hidden="false" customHeight="false" outlineLevel="0" collapsed="false">
      <c r="B12764" s="0" t="s">
        <v>1</v>
      </c>
    </row>
    <row r="12765" customFormat="false" ht="12.8" hidden="false" customHeight="false" outlineLevel="0" collapsed="false">
      <c r="B12765" s="0" t="s">
        <v>6024</v>
      </c>
    </row>
    <row r="12766" customFormat="false" ht="12.8" hidden="false" customHeight="false" outlineLevel="0" collapsed="false">
      <c r="B12766" s="0" t="s">
        <v>132</v>
      </c>
    </row>
    <row r="12768" customFormat="false" ht="12.8" hidden="false" customHeight="false" outlineLevel="0" collapsed="false">
      <c r="A12768" s="0" t="s">
        <v>6027</v>
      </c>
      <c r="B12768" s="0" t="str">
        <f aca="false">HYPERLINK("https://lindat.mff.cuni.cz/services/teitok/pdtc10/index.php?action=vallex&amp;frame=v-w1701f2", "lhát (v-w1701f2)")</f>
        <v>lhát (v-w1701f2)</v>
      </c>
    </row>
    <row r="12769" customFormat="false" ht="12.8" hidden="false" customHeight="false" outlineLevel="0" collapsed="false">
      <c r="B12769" s="0" t="s">
        <v>1</v>
      </c>
    </row>
    <row r="12770" customFormat="false" ht="12.8" hidden="false" customHeight="false" outlineLevel="0" collapsed="false">
      <c r="B12770" s="0" t="s">
        <v>6028</v>
      </c>
    </row>
    <row r="12772" customFormat="false" ht="12.8" hidden="false" customHeight="false" outlineLevel="0" collapsed="false">
      <c r="A12772" s="0" t="s">
        <v>6029</v>
      </c>
      <c r="B12772" s="0" t="str">
        <f aca="false">HYPERLINK("https://lindat.mff.cuni.cz/services/teitok/pdtc10/index.php?action=vallex&amp;frame=v-w1706f1", "liberalizovat (v-w1706f1)")</f>
        <v>liberalizovat (v-w1706f1)</v>
      </c>
      <c r="E12772" s="0" t="str">
        <f aca="false">HYPERLINK("https://lindat.mff.cuni.cz/services/SynSemClass40/SynSemClass40.html?veclass=vec00545#vec00545-ces-cm00024", "vec00545")</f>
        <v>vec00545</v>
      </c>
      <c r="F12772" s="0" t="s">
        <v>6030</v>
      </c>
    </row>
    <row r="12773" customFormat="false" ht="12.8" hidden="false" customHeight="false" outlineLevel="0" collapsed="false">
      <c r="B12773" s="0" t="s">
        <v>1</v>
      </c>
      <c r="C12773" s="0" t="s">
        <v>3000</v>
      </c>
      <c r="E12773" s="0" t="s">
        <v>206</v>
      </c>
      <c r="F12773" s="0" t="s">
        <v>5400</v>
      </c>
    </row>
    <row r="12774" customFormat="false" ht="12.8" hidden="false" customHeight="false" outlineLevel="0" collapsed="false">
      <c r="B12774" s="0" t="s">
        <v>8</v>
      </c>
      <c r="C12774" s="0" t="s">
        <v>109</v>
      </c>
      <c r="E12774" s="0" t="s">
        <v>180</v>
      </c>
      <c r="F12774" s="0" t="s">
        <v>6031</v>
      </c>
    </row>
    <row r="12776" customFormat="false" ht="12.8" hidden="false" customHeight="false" outlineLevel="0" collapsed="false">
      <c r="A12776" s="0" t="s">
        <v>6032</v>
      </c>
      <c r="B12776" s="0" t="str">
        <f aca="false">HYPERLINK("https://lindat.mff.cuni.cz/services/teitok/pdtc10/index.php?action=vallex&amp;frame=v-w1708hsa_1451", "libovat si (v-w1708hsa_1451)")</f>
        <v>libovat si (v-w1708hsa_1451)</v>
      </c>
    </row>
    <row r="12777" customFormat="false" ht="12.8" hidden="false" customHeight="false" outlineLevel="0" collapsed="false">
      <c r="B12777" s="0" t="s">
        <v>1</v>
      </c>
    </row>
    <row r="12778" customFormat="false" ht="12.8" hidden="false" customHeight="false" outlineLevel="0" collapsed="false">
      <c r="B12778" s="0" t="s">
        <v>6033</v>
      </c>
    </row>
    <row r="12780" customFormat="false" ht="12.8" hidden="false" customHeight="false" outlineLevel="0" collapsed="false">
      <c r="A12780" s="0" t="s">
        <v>6032</v>
      </c>
      <c r="B12780" s="0" t="str">
        <f aca="false">HYPERLINK("https://lindat.mff.cuni.cz/services/teitok/pdtc10/index.php?action=vallex&amp;frame=v-w1708f1", "libovat si (v-w1708f1) - substituted with v-w1708hsa_1451")</f>
        <v>libovat si (v-w1708f1) - substituted with v-w1708hsa_1451</v>
      </c>
      <c r="E12780" s="0" t="str">
        <f aca="false">HYPERLINK("https://lindat.mff.cuni.cz/services/SynSemClass40/SynSemClass40.html?veclass=vec00742#vec00742-ces-cm00024", "vec00742")</f>
        <v>vec00742</v>
      </c>
      <c r="F12780" s="0" t="s">
        <v>2689</v>
      </c>
    </row>
    <row r="12781" customFormat="false" ht="12.8" hidden="false" customHeight="false" outlineLevel="0" collapsed="false">
      <c r="B12781" s="0" t="s">
        <v>1</v>
      </c>
      <c r="C12781" s="0" t="s">
        <v>2690</v>
      </c>
      <c r="E12781" s="0" t="s">
        <v>266</v>
      </c>
      <c r="F12781" s="0" t="s">
        <v>2691</v>
      </c>
    </row>
    <row r="12782" customFormat="false" ht="12.8" hidden="false" customHeight="false" outlineLevel="0" collapsed="false">
      <c r="B12782" s="0" t="s">
        <v>6033</v>
      </c>
      <c r="C12782" s="0" t="s">
        <v>2692</v>
      </c>
      <c r="E12782" s="0" t="s">
        <v>271</v>
      </c>
      <c r="F12782" s="0" t="s">
        <v>2693</v>
      </c>
    </row>
    <row r="12784" customFormat="false" ht="12.8" hidden="false" customHeight="false" outlineLevel="0" collapsed="false">
      <c r="A12784" s="0" t="s">
        <v>6034</v>
      </c>
      <c r="B12784" s="0" t="str">
        <f aca="false">HYPERLINK("https://lindat.mff.cuni.cz/services/teitok/pdtc10/index.php?action=vallex&amp;frame=v-w10717f2", "licencovat (v-w10717f2)")</f>
        <v>licencovat (v-w10717f2)</v>
      </c>
      <c r="E12784" s="0" t="str">
        <f aca="false">HYPERLINK("https://lindat.mff.cuni.cz/services/SynSemClass40/SynSemClass40.html?veclass=vec01117#vec01117-ces-cm00003", "vec01117")</f>
        <v>vec01117</v>
      </c>
      <c r="F12784" s="0" t="s">
        <v>5398</v>
      </c>
    </row>
    <row r="12785" customFormat="false" ht="12.8" hidden="false" customHeight="false" outlineLevel="0" collapsed="false">
      <c r="B12785" s="0" t="s">
        <v>1</v>
      </c>
      <c r="C12785" s="0" t="s">
        <v>6035</v>
      </c>
      <c r="E12785" s="0" t="s">
        <v>5401</v>
      </c>
      <c r="F12785" s="0" t="s">
        <v>5402</v>
      </c>
    </row>
    <row r="12786" customFormat="false" ht="12.8" hidden="false" customHeight="false" outlineLevel="0" collapsed="false">
      <c r="B12786" s="0" t="s">
        <v>8</v>
      </c>
      <c r="C12786" s="0" t="s">
        <v>827</v>
      </c>
      <c r="E12786" s="0" t="s">
        <v>5405</v>
      </c>
      <c r="F12786" s="0" t="s">
        <v>5406</v>
      </c>
    </row>
    <row r="12788" customFormat="false" ht="12.8" hidden="false" customHeight="false" outlineLevel="0" collapsed="false">
      <c r="A12788" s="0" t="s">
        <v>6036</v>
      </c>
      <c r="B12788" s="0" t="str">
        <f aca="false">HYPERLINK("https://lindat.mff.cuni.cz/services/teitok/pdtc10/index.php?action=vallex&amp;frame=v-w1713f1", "lichotit (v-w1713f1)")</f>
        <v>lichotit (v-w1713f1)</v>
      </c>
    </row>
    <row r="12789" customFormat="false" ht="12.8" hidden="false" customHeight="false" outlineLevel="0" collapsed="false">
      <c r="B12789" s="0" t="s">
        <v>1</v>
      </c>
    </row>
    <row r="12790" customFormat="false" ht="12.8" hidden="false" customHeight="false" outlineLevel="0" collapsed="false">
      <c r="B12790" s="0" t="s">
        <v>186</v>
      </c>
    </row>
    <row r="12792" customFormat="false" ht="12.8" hidden="false" customHeight="false" outlineLevel="0" collapsed="false">
      <c r="A12792" s="0" t="s">
        <v>6037</v>
      </c>
      <c r="B12792" s="0" t="str">
        <f aca="false">HYPERLINK("https://lindat.mff.cuni.cz/services/teitok/pdtc10/index.php?action=vallex&amp;frame=v-w10535f2", "licitovat (v-w10535f2)")</f>
        <v>licitovat (v-w10535f2)</v>
      </c>
    </row>
    <row r="12793" customFormat="false" ht="12.8" hidden="false" customHeight="false" outlineLevel="0" collapsed="false">
      <c r="B12793" s="0" t="s">
        <v>1</v>
      </c>
    </row>
    <row r="12794" customFormat="false" ht="12.8" hidden="false" customHeight="false" outlineLevel="0" collapsed="false">
      <c r="B12794" s="0" t="s">
        <v>2253</v>
      </c>
    </row>
    <row r="12795" customFormat="false" ht="12.8" hidden="false" customHeight="false" outlineLevel="0" collapsed="false">
      <c r="B12795" s="0" t="s">
        <v>276</v>
      </c>
    </row>
    <row r="12797" customFormat="false" ht="12.8" hidden="false" customHeight="false" outlineLevel="0" collapsed="false">
      <c r="A12797" s="0" t="s">
        <v>6038</v>
      </c>
      <c r="B12797" s="0" t="str">
        <f aca="false">HYPERLINK("https://lindat.mff.cuni.cz/services/teitok/pdtc10/index.php?action=vallex&amp;frame=v-w10535f3", "licitovat (v-w10535f3)")</f>
        <v>licitovat (v-w10535f3)</v>
      </c>
    </row>
    <row r="12798" customFormat="false" ht="12.8" hidden="false" customHeight="false" outlineLevel="0" collapsed="false">
      <c r="B12798" s="0" t="s">
        <v>1</v>
      </c>
    </row>
    <row r="12799" customFormat="false" ht="12.8" hidden="false" customHeight="false" outlineLevel="0" collapsed="false">
      <c r="B12799" s="0" t="s">
        <v>8</v>
      </c>
    </row>
    <row r="12801" customFormat="false" ht="12.8" hidden="false" customHeight="false" outlineLevel="0" collapsed="false">
      <c r="A12801" s="0" t="s">
        <v>6039</v>
      </c>
      <c r="B12801" s="0" t="str">
        <f aca="false">HYPERLINK("https://lindat.mff.cuni.cz/services/teitok/pdtc10/index.php?action=vallex&amp;frame=v-w1716f1", "likvidovat (v-w1716f1)")</f>
        <v>likvidovat (v-w1716f1)</v>
      </c>
      <c r="E12801" s="0" t="str">
        <f aca="false">HYPERLINK("https://lindat.mff.cuni.cz/services/SynSemClass40/SynSemClass40.html?veclass=vec00389#vec00389-ces-cm00005", "vec00389")</f>
        <v>vec00389</v>
      </c>
      <c r="F12801" s="0" t="s">
        <v>1888</v>
      </c>
    </row>
    <row r="12802" customFormat="false" ht="12.8" hidden="false" customHeight="false" outlineLevel="0" collapsed="false">
      <c r="B12802" s="0" t="s">
        <v>1</v>
      </c>
      <c r="C12802" s="0" t="s">
        <v>1889</v>
      </c>
      <c r="E12802" s="0" t="s">
        <v>1890</v>
      </c>
      <c r="F12802" s="0" t="s">
        <v>1891</v>
      </c>
    </row>
    <row r="12803" customFormat="false" ht="12.8" hidden="false" customHeight="false" outlineLevel="0" collapsed="false">
      <c r="B12803" s="0" t="s">
        <v>8</v>
      </c>
      <c r="C12803" s="0" t="s">
        <v>1892</v>
      </c>
      <c r="E12803" s="0" t="s">
        <v>1893</v>
      </c>
      <c r="F12803" s="0" t="s">
        <v>1894</v>
      </c>
    </row>
    <row r="12805" customFormat="false" ht="12.8" hidden="false" customHeight="false" outlineLevel="0" collapsed="false">
      <c r="A12805" s="0" t="s">
        <v>6040</v>
      </c>
      <c r="B12805" s="0" t="str">
        <f aca="false">HYPERLINK("https://lindat.mff.cuni.cz/services/teitok/pdtc10/index.php?action=vallex&amp;frame=v-w1717f1", "limitovat (v-w1717f1)")</f>
        <v>limitovat (v-w1717f1)</v>
      </c>
      <c r="E12805" s="0" t="str">
        <f aca="false">HYPERLINK("https://lindat.mff.cuni.cz/services/SynSemClass40/SynSemClass40.html?veclass=vec01247#vec01247-ces-cm00001", "vec01247")</f>
        <v>vec01247</v>
      </c>
      <c r="F12805" s="0" t="s">
        <v>6041</v>
      </c>
    </row>
    <row r="12806" customFormat="false" ht="12.8" hidden="false" customHeight="false" outlineLevel="0" collapsed="false">
      <c r="B12806" s="0" t="s">
        <v>1</v>
      </c>
      <c r="C12806" s="0" t="s">
        <v>5782</v>
      </c>
      <c r="E12806" s="0" t="s">
        <v>206</v>
      </c>
      <c r="F12806" s="0" t="s">
        <v>6042</v>
      </c>
    </row>
    <row r="12807" customFormat="false" ht="12.8" hidden="false" customHeight="false" outlineLevel="0" collapsed="false">
      <c r="B12807" s="0" t="s">
        <v>8</v>
      </c>
      <c r="C12807" s="0" t="s">
        <v>6043</v>
      </c>
      <c r="E12807" s="0" t="s">
        <v>142</v>
      </c>
      <c r="F12807" s="0" t="s">
        <v>6044</v>
      </c>
    </row>
    <row r="12808" customFormat="false" ht="12.8" hidden="false" customHeight="false" outlineLevel="0" collapsed="false">
      <c r="B12808" s="0" t="s">
        <v>101</v>
      </c>
      <c r="C12808" s="0" t="s">
        <v>6045</v>
      </c>
      <c r="E12808" s="0" t="s">
        <v>6046</v>
      </c>
      <c r="F12808" s="0" t="s">
        <v>6047</v>
      </c>
    </row>
    <row r="12810" customFormat="false" ht="12.8" hidden="false" customHeight="false" outlineLevel="0" collapsed="false">
      <c r="A12810" s="0" t="s">
        <v>6048</v>
      </c>
      <c r="B12810" s="0" t="str">
        <f aca="false">HYPERLINK("https://lindat.mff.cuni.cz/services/teitok/pdtc10/index.php?action=vallex&amp;frame=v-w1719f1", "linout se (v-w1719f1)")</f>
        <v>linout se (v-w1719f1)</v>
      </c>
    </row>
    <row r="12811" customFormat="false" ht="12.8" hidden="false" customHeight="false" outlineLevel="0" collapsed="false">
      <c r="B12811" s="0" t="s">
        <v>1</v>
      </c>
    </row>
    <row r="12813" customFormat="false" ht="12.8" hidden="false" customHeight="false" outlineLevel="0" collapsed="false">
      <c r="A12813" s="0" t="s">
        <v>6049</v>
      </c>
      <c r="B12813" s="0" t="str">
        <f aca="false">HYPERLINK("https://lindat.mff.cuni.cz/services/teitok/pdtc10/index.php?action=vallex&amp;frame=v-whsb_134hsa_135", "lisovat (v-whsb_134hsa_135)")</f>
        <v>lisovat (v-whsb_134hsa_135)</v>
      </c>
    </row>
    <row r="12814" customFormat="false" ht="12.8" hidden="false" customHeight="false" outlineLevel="0" collapsed="false">
      <c r="B12814" s="0" t="s">
        <v>1</v>
      </c>
    </row>
    <row r="12815" customFormat="false" ht="12.8" hidden="false" customHeight="false" outlineLevel="0" collapsed="false">
      <c r="B12815" s="0" t="s">
        <v>8</v>
      </c>
    </row>
    <row r="12817" customFormat="false" ht="12.8" hidden="false" customHeight="false" outlineLevel="0" collapsed="false">
      <c r="A12817" s="0" t="s">
        <v>6050</v>
      </c>
      <c r="B12817" s="0" t="str">
        <f aca="false">HYPERLINK("https://lindat.mff.cuni.cz/services/teitok/pdtc10/index.php?action=vallex&amp;frame=v-w1725f1", "listovat (v-w1725f1)")</f>
        <v>listovat (v-w1725f1)</v>
      </c>
      <c r="E12817" s="0" t="str">
        <f aca="false">HYPERLINK("https://lindat.mff.cuni.cz/services/SynSemClass40/SynSemClass40.html?veclass=vec01224#vec01224-ces-cm00001", "vec01224")</f>
        <v>vec01224</v>
      </c>
      <c r="F12817" s="0" t="s">
        <v>6051</v>
      </c>
    </row>
    <row r="12818" customFormat="false" ht="12.8" hidden="false" customHeight="false" outlineLevel="0" collapsed="false">
      <c r="B12818" s="0" t="s">
        <v>1</v>
      </c>
      <c r="E12818" s="0" t="s">
        <v>621</v>
      </c>
      <c r="F12818" s="0" t="s">
        <v>4213</v>
      </c>
    </row>
    <row r="12819" customFormat="false" ht="12.8" hidden="false" customHeight="false" outlineLevel="0" collapsed="false">
      <c r="B12819" s="0" t="s">
        <v>286</v>
      </c>
      <c r="E12819" s="0" t="s">
        <v>1732</v>
      </c>
      <c r="F12819" s="0" t="s">
        <v>6052</v>
      </c>
    </row>
    <row r="12821" customFormat="false" ht="12.8" hidden="false" customHeight="false" outlineLevel="0" collapsed="false">
      <c r="A12821" s="0" t="s">
        <v>6053</v>
      </c>
      <c r="B12821" s="0" t="str">
        <f aca="false">HYPERLINK("https://lindat.mff.cuni.cz/services/teitok/pdtc10/index.php?action=vallex&amp;frame=v-w1732f1", "litovat (v-w1732f1)")</f>
        <v>litovat (v-w1732f1)</v>
      </c>
      <c r="E12821" s="0" t="str">
        <f aca="false">HYPERLINK("https://lindat.mff.cuni.cz/services/SynSemClass40/SynSemClass40.html?veclass=vec00428#vec00428-ces-cm00001", "vec00428")</f>
        <v>vec00428</v>
      </c>
      <c r="F12821" s="0" t="s">
        <v>1293</v>
      </c>
    </row>
    <row r="12822" customFormat="false" ht="12.8" hidden="false" customHeight="false" outlineLevel="0" collapsed="false">
      <c r="B12822" s="0" t="s">
        <v>1</v>
      </c>
      <c r="C12822" s="0" t="s">
        <v>154</v>
      </c>
      <c r="E12822" s="0" t="s">
        <v>155</v>
      </c>
      <c r="F12822" s="0" t="s">
        <v>156</v>
      </c>
    </row>
    <row r="12823" customFormat="false" ht="12.8" hidden="false" customHeight="false" outlineLevel="0" collapsed="false">
      <c r="B12823" s="0" t="s">
        <v>3106</v>
      </c>
      <c r="C12823" s="0" t="s">
        <v>639</v>
      </c>
      <c r="E12823" s="0" t="s">
        <v>34</v>
      </c>
      <c r="F12823" s="0" t="s">
        <v>1299</v>
      </c>
    </row>
    <row r="12825" customFormat="false" ht="12.8" hidden="false" customHeight="false" outlineLevel="0" collapsed="false">
      <c r="A12825" s="0" t="s">
        <v>6054</v>
      </c>
      <c r="B12825" s="0" t="str">
        <f aca="false">HYPERLINK("https://lindat.mff.cuni.cz/services/teitok/pdtc10/index.php?action=vallex&amp;frame=v-w1732f2", "litovat (v-w1732f2)")</f>
        <v>litovat (v-w1732f2)</v>
      </c>
    </row>
    <row r="12826" customFormat="false" ht="12.8" hidden="false" customHeight="false" outlineLevel="0" collapsed="false">
      <c r="B12826" s="0" t="s">
        <v>1</v>
      </c>
    </row>
    <row r="12827" customFormat="false" ht="12.8" hidden="false" customHeight="false" outlineLevel="0" collapsed="false">
      <c r="B12827" s="0" t="s">
        <v>8</v>
      </c>
    </row>
    <row r="12829" customFormat="false" ht="12.8" hidden="false" customHeight="false" outlineLevel="0" collapsed="false">
      <c r="A12829" s="0" t="s">
        <v>6055</v>
      </c>
      <c r="B12829" s="0" t="str">
        <f aca="false">HYPERLINK("https://lindat.mff.cuni.cz/services/teitok/pdtc10/index.php?action=vallex&amp;frame=v-w1728f1", "lišit (v-w1728f1)")</f>
        <v>lišit (v-w1728f1)</v>
      </c>
    </row>
    <row r="12830" customFormat="false" ht="12.8" hidden="false" customHeight="false" outlineLevel="0" collapsed="false">
      <c r="B12830" s="0" t="s">
        <v>1</v>
      </c>
    </row>
    <row r="12831" customFormat="false" ht="12.8" hidden="false" customHeight="false" outlineLevel="0" collapsed="false">
      <c r="B12831" s="0" t="s">
        <v>8</v>
      </c>
    </row>
    <row r="12832" customFormat="false" ht="12.8" hidden="false" customHeight="false" outlineLevel="0" collapsed="false">
      <c r="B12832" s="0" t="s">
        <v>1965</v>
      </c>
    </row>
    <row r="12834" customFormat="false" ht="12.8" hidden="false" customHeight="false" outlineLevel="0" collapsed="false">
      <c r="A12834" s="0" t="s">
        <v>6056</v>
      </c>
      <c r="B12834" s="0" t="str">
        <f aca="false">HYPERLINK("https://lindat.mff.cuni.cz/services/teitok/pdtc10/index.php?action=vallex&amp;frame=v-w1729hsa_623", "lišit se (v-w1729hsa_623)")</f>
        <v>lišit se (v-w1729hsa_623)</v>
      </c>
      <c r="E12834" s="0" t="str">
        <f aca="false">HYPERLINK("https://lindat.mff.cuni.cz/services/SynSemClass40/SynSemClass40.html?veclass=vec00829#vec00829-ces-cm00002", "vec00829")</f>
        <v>vec00829</v>
      </c>
      <c r="F12834" s="0" t="s">
        <v>1968</v>
      </c>
    </row>
    <row r="12835" customFormat="false" ht="12.8" hidden="false" customHeight="false" outlineLevel="0" collapsed="false">
      <c r="B12835" s="0" t="s">
        <v>1</v>
      </c>
      <c r="C12835" s="0" t="s">
        <v>5565</v>
      </c>
      <c r="E12835" s="0" t="s">
        <v>1971</v>
      </c>
      <c r="F12835" s="0" t="s">
        <v>1972</v>
      </c>
    </row>
    <row r="12836" customFormat="false" ht="12.8" hidden="false" customHeight="false" outlineLevel="0" collapsed="false">
      <c r="B12836" s="0" t="s">
        <v>6057</v>
      </c>
      <c r="C12836" s="0" t="s">
        <v>5566</v>
      </c>
      <c r="E12836" s="0" t="s">
        <v>1976</v>
      </c>
      <c r="F12836" s="0" t="s">
        <v>1977</v>
      </c>
    </row>
    <row r="12838" customFormat="false" ht="12.8" hidden="false" customHeight="false" outlineLevel="0" collapsed="false">
      <c r="A12838" s="0" t="s">
        <v>6056</v>
      </c>
      <c r="B12838" s="0" t="str">
        <f aca="false">HYPERLINK("https://lindat.mff.cuni.cz/services/teitok/pdtc10/index.php?action=vallex&amp;frame=v-w1729f1", "lišit se (v-w1729f1) - substituted with v-w1729hsa_623")</f>
        <v>lišit se (v-w1729f1) - substituted with v-w1729hsa_623</v>
      </c>
    </row>
    <row r="12839" customFormat="false" ht="12.8" hidden="false" customHeight="false" outlineLevel="0" collapsed="false">
      <c r="B12839" s="0" t="s">
        <v>1</v>
      </c>
    </row>
    <row r="12840" customFormat="false" ht="12.8" hidden="false" customHeight="false" outlineLevel="0" collapsed="false">
      <c r="B12840" s="0" t="s">
        <v>6057</v>
      </c>
    </row>
    <row r="12842" customFormat="false" ht="12.8" hidden="false" customHeight="false" outlineLevel="0" collapsed="false">
      <c r="A12842" s="0" t="s">
        <v>6058</v>
      </c>
      <c r="B12842" s="0" t="str">
        <f aca="false">HYPERLINK("https://lindat.mff.cuni.cz/services/teitok/pdtc10/index.php?action=vallex&amp;frame=v-w10156f2", "lkát (v-w10156f2)")</f>
        <v>lkát (v-w10156f2)</v>
      </c>
    </row>
    <row r="12843" customFormat="false" ht="12.8" hidden="false" customHeight="false" outlineLevel="0" collapsed="false">
      <c r="B12843" s="0" t="s">
        <v>1</v>
      </c>
    </row>
    <row r="12844" customFormat="false" ht="12.8" hidden="false" customHeight="false" outlineLevel="0" collapsed="false">
      <c r="B12844" s="0" t="s">
        <v>6059</v>
      </c>
    </row>
    <row r="12846" customFormat="false" ht="12.8" hidden="false" customHeight="false" outlineLevel="0" collapsed="false">
      <c r="A12846" s="0" t="s">
        <v>6060</v>
      </c>
      <c r="B12846" s="0" t="str">
        <f aca="false">HYPERLINK("https://lindat.mff.cuni.cz/services/teitok/pdtc10/index.php?action=vallex&amp;frame=v-w10156f3", "lkát (v-w10156f3)")</f>
        <v>lkát (v-w10156f3)</v>
      </c>
    </row>
    <row r="12847" customFormat="false" ht="12.8" hidden="false" customHeight="false" outlineLevel="0" collapsed="false">
      <c r="B12847" s="0" t="s">
        <v>1</v>
      </c>
    </row>
    <row r="12849" customFormat="false" ht="12.8" hidden="false" customHeight="false" outlineLevel="0" collapsed="false">
      <c r="A12849" s="0" t="s">
        <v>6061</v>
      </c>
      <c r="B12849" s="0" t="str">
        <f aca="false">HYPERLINK("https://lindat.mff.cuni.cz/services/teitok/pdtc10/index.php?action=vallex&amp;frame=v-w1734f2", "lnout (v-w1734f2)")</f>
        <v>lnout (v-w1734f2)</v>
      </c>
    </row>
    <row r="12850" customFormat="false" ht="12.8" hidden="false" customHeight="false" outlineLevel="0" collapsed="false">
      <c r="B12850" s="0" t="s">
        <v>1</v>
      </c>
    </row>
    <row r="12851" customFormat="false" ht="12.8" hidden="false" customHeight="false" outlineLevel="0" collapsed="false">
      <c r="B12851" s="0" t="s">
        <v>311</v>
      </c>
    </row>
    <row r="12853" customFormat="false" ht="12.8" hidden="false" customHeight="false" outlineLevel="0" collapsed="false">
      <c r="A12853" s="0" t="s">
        <v>6062</v>
      </c>
      <c r="B12853" s="0" t="str">
        <f aca="false">HYPERLINK("https://lindat.mff.cuni.cz/services/teitok/pdtc10/index.php?action=vallex&amp;frame=v-w1734f1", "lnout (v-w1734f1)")</f>
        <v>lnout (v-w1734f1)</v>
      </c>
    </row>
    <row r="12854" customFormat="false" ht="12.8" hidden="false" customHeight="false" outlineLevel="0" collapsed="false">
      <c r="B12854" s="0" t="s">
        <v>1</v>
      </c>
    </row>
    <row r="12855" customFormat="false" ht="12.8" hidden="false" customHeight="false" outlineLevel="0" collapsed="false">
      <c r="B12855" s="0" t="s">
        <v>164</v>
      </c>
    </row>
    <row r="12857" customFormat="false" ht="12.8" hidden="false" customHeight="false" outlineLevel="0" collapsed="false">
      <c r="A12857" s="0" t="s">
        <v>6063</v>
      </c>
      <c r="B12857" s="0" t="str">
        <f aca="false">HYPERLINK("https://lindat.mff.cuni.cz/services/teitok/pdtc10/index.php?action=vallex&amp;frame=v-w1736f2", "lobbovat (v-w1736f2)")</f>
        <v>lobbovat (v-w1736f2)</v>
      </c>
      <c r="E12857" s="0" t="str">
        <f aca="false">HYPERLINK("https://lindat.mff.cuni.cz/services/SynSemClass40/SynSemClass40.html?veclass=vec00272#vec00272-ces-cm00125", "vec00272")</f>
        <v>vec00272</v>
      </c>
      <c r="F12857" s="0" t="s">
        <v>1490</v>
      </c>
    </row>
    <row r="12858" customFormat="false" ht="12.8" hidden="false" customHeight="false" outlineLevel="0" collapsed="false">
      <c r="B12858" s="0" t="s">
        <v>1</v>
      </c>
      <c r="C12858" s="0" t="s">
        <v>1491</v>
      </c>
      <c r="E12858" s="0" t="s">
        <v>1492</v>
      </c>
      <c r="F12858" s="0" t="s">
        <v>1493</v>
      </c>
    </row>
    <row r="12860" customFormat="false" ht="12.8" hidden="false" customHeight="false" outlineLevel="0" collapsed="false">
      <c r="A12860" s="0" t="s">
        <v>6063</v>
      </c>
      <c r="B12860" s="0" t="str">
        <f aca="false">HYPERLINK("https://lindat.mff.cuni.cz/services/teitok/pdtc10/index.php?action=vallex&amp;frame=v-w1736f1", "lobbovat (v-w1736f1) - substituted with v-w1736f2")</f>
        <v>lobbovat (v-w1736f1) - substituted with v-w1736f2</v>
      </c>
    </row>
    <row r="12861" customFormat="false" ht="12.8" hidden="false" customHeight="false" outlineLevel="0" collapsed="false">
      <c r="B12861" s="0" t="s">
        <v>1</v>
      </c>
    </row>
    <row r="12863" customFormat="false" ht="12.8" hidden="false" customHeight="false" outlineLevel="0" collapsed="false">
      <c r="A12863" s="0" t="s">
        <v>6064</v>
      </c>
      <c r="B12863" s="0" t="str">
        <f aca="false">HYPERLINK("https://lindat.mff.cuni.cz/services/teitok/pdtc10/index.php?action=vallex&amp;frame=v-w1736hsa_227", "lobbovat (v-w1736hsa_227)")</f>
        <v>lobbovat (v-w1736hsa_227)</v>
      </c>
      <c r="E12863" s="0" t="str">
        <f aca="false">HYPERLINK("https://lindat.mff.cuni.cz/services/SynSemClass40/SynSemClass40.html?veclass=vec00272#vec00272-ces-cm00126", "vec00272")</f>
        <v>vec00272</v>
      </c>
      <c r="F12863" s="0" t="s">
        <v>1490</v>
      </c>
    </row>
    <row r="12864" customFormat="false" ht="12.8" hidden="false" customHeight="false" outlineLevel="0" collapsed="false">
      <c r="B12864" s="0" t="s">
        <v>1</v>
      </c>
      <c r="C12864" s="0" t="s">
        <v>1491</v>
      </c>
      <c r="E12864" s="0" t="s">
        <v>1492</v>
      </c>
      <c r="F12864" s="0" t="s">
        <v>1493</v>
      </c>
    </row>
    <row r="12865" customFormat="false" ht="12.8" hidden="false" customHeight="false" outlineLevel="0" collapsed="false">
      <c r="B12865" s="0" t="s">
        <v>6065</v>
      </c>
      <c r="C12865" s="0" t="s">
        <v>1494</v>
      </c>
      <c r="E12865" s="0" t="s">
        <v>1495</v>
      </c>
      <c r="F12865" s="0" t="s">
        <v>1496</v>
      </c>
    </row>
    <row r="12867" customFormat="false" ht="12.8" hidden="false" customHeight="false" outlineLevel="0" collapsed="false">
      <c r="A12867" s="0" t="s">
        <v>6066</v>
      </c>
      <c r="B12867" s="0" t="str">
        <f aca="false">HYPERLINK("https://lindat.mff.cuni.cz/services/teitok/pdtc10/index.php?action=vallex&amp;frame=v-w10859f4", "lobovat (v-w10859f4)")</f>
        <v>lobovat (v-w10859f4)</v>
      </c>
      <c r="E12867" s="0" t="str">
        <f aca="false">HYPERLINK("https://lindat.mff.cuni.cz/services/SynSemClass40/SynSemClass40.html?veclass=vec00272#vec00272-ces-cm00127", "vec00272")</f>
        <v>vec00272</v>
      </c>
      <c r="F12867" s="0" t="s">
        <v>1490</v>
      </c>
    </row>
    <row r="12868" customFormat="false" ht="12.8" hidden="false" customHeight="false" outlineLevel="0" collapsed="false">
      <c r="B12868" s="0" t="s">
        <v>1</v>
      </c>
      <c r="C12868" s="0" t="s">
        <v>1491</v>
      </c>
      <c r="E12868" s="0" t="s">
        <v>1492</v>
      </c>
      <c r="F12868" s="0" t="s">
        <v>1493</v>
      </c>
    </row>
    <row r="12869" customFormat="false" ht="12.8" hidden="false" customHeight="false" outlineLevel="0" collapsed="false">
      <c r="B12869" s="0" t="s">
        <v>2069</v>
      </c>
      <c r="C12869" s="0" t="s">
        <v>1494</v>
      </c>
      <c r="E12869" s="0" t="s">
        <v>1495</v>
      </c>
      <c r="F12869" s="0" t="s">
        <v>1496</v>
      </c>
    </row>
    <row r="12871" customFormat="false" ht="12.8" hidden="false" customHeight="false" outlineLevel="0" collapsed="false">
      <c r="A12871" s="0" t="s">
        <v>6067</v>
      </c>
      <c r="B12871" s="0" t="str">
        <f aca="false">HYPERLINK("https://lindat.mff.cuni.cz/services/teitok/pdtc10/index.php?action=vallex&amp;frame=v-w1737f3", "lokalizovat (v-w1737f3)")</f>
        <v>lokalizovat (v-w1737f3)</v>
      </c>
      <c r="E12871" s="0" t="str">
        <f aca="false">HYPERLINK("https://lindat.mff.cuni.cz/services/SynSemClass40/SynSemClass40.html?veclass=vec00735#vec00735-ces-cm00014", "vec00735")</f>
        <v>vec00735</v>
      </c>
      <c r="F12871" s="0" t="s">
        <v>2719</v>
      </c>
    </row>
    <row r="12872" customFormat="false" ht="12.8" hidden="false" customHeight="false" outlineLevel="0" collapsed="false">
      <c r="B12872" s="0" t="s">
        <v>1</v>
      </c>
      <c r="C12872" s="0" t="s">
        <v>2720</v>
      </c>
      <c r="E12872" s="0" t="s">
        <v>334</v>
      </c>
      <c r="F12872" s="0" t="s">
        <v>2721</v>
      </c>
    </row>
    <row r="12873" customFormat="false" ht="12.8" hidden="false" customHeight="false" outlineLevel="0" collapsed="false">
      <c r="B12873" s="0" t="s">
        <v>8</v>
      </c>
      <c r="C12873" s="0" t="s">
        <v>2722</v>
      </c>
      <c r="E12873" s="0" t="s">
        <v>2648</v>
      </c>
      <c r="F12873" s="0" t="s">
        <v>2723</v>
      </c>
    </row>
    <row r="12874" customFormat="false" ht="12.8" hidden="false" customHeight="false" outlineLevel="0" collapsed="false">
      <c r="B12874" s="0" t="s">
        <v>5</v>
      </c>
      <c r="C12874" s="0" t="s">
        <v>6068</v>
      </c>
      <c r="E12874" s="0" t="s">
        <v>3254</v>
      </c>
      <c r="F12874" s="0" t="s">
        <v>6069</v>
      </c>
    </row>
    <row r="12876" customFormat="false" ht="12.8" hidden="false" customHeight="false" outlineLevel="0" collapsed="false">
      <c r="A12876" s="0" t="s">
        <v>6070</v>
      </c>
      <c r="B12876" s="0" t="str">
        <f aca="false">HYPERLINK("https://lindat.mff.cuni.cz/services/teitok/pdtc10/index.php?action=vallex&amp;frame=v-w1737f1", "lokalizovat (v-w1737f1)")</f>
        <v>lokalizovat (v-w1737f1)</v>
      </c>
    </row>
    <row r="12877" customFormat="false" ht="12.8" hidden="false" customHeight="false" outlineLevel="0" collapsed="false">
      <c r="B12877" s="0" t="s">
        <v>1</v>
      </c>
    </row>
    <row r="12878" customFormat="false" ht="12.8" hidden="false" customHeight="false" outlineLevel="0" collapsed="false">
      <c r="B12878" s="0" t="s">
        <v>8</v>
      </c>
    </row>
    <row r="12879" customFormat="false" ht="12.8" hidden="false" customHeight="false" outlineLevel="0" collapsed="false">
      <c r="B12879" s="0" t="s">
        <v>164</v>
      </c>
    </row>
    <row r="12881" customFormat="false" ht="12.8" hidden="false" customHeight="false" outlineLevel="0" collapsed="false">
      <c r="A12881" s="0" t="s">
        <v>6071</v>
      </c>
      <c r="B12881" s="0" t="str">
        <f aca="false">HYPERLINK("https://lindat.mff.cuni.cz/services/teitok/pdtc10/index.php?action=vallex&amp;frame=v-w1737f4", "lokalizovat (v-w1737f4)")</f>
        <v>lokalizovat (v-w1737f4)</v>
      </c>
    </row>
    <row r="12882" customFormat="false" ht="12.8" hidden="false" customHeight="false" outlineLevel="0" collapsed="false">
      <c r="B12882" s="0" t="s">
        <v>1</v>
      </c>
    </row>
    <row r="12883" customFormat="false" ht="12.8" hidden="false" customHeight="false" outlineLevel="0" collapsed="false">
      <c r="B12883" s="0" t="s">
        <v>305</v>
      </c>
    </row>
    <row r="12885" customFormat="false" ht="12.8" hidden="false" customHeight="false" outlineLevel="0" collapsed="false">
      <c r="A12885" s="0" t="s">
        <v>6072</v>
      </c>
      <c r="B12885" s="0" t="str">
        <f aca="false">HYPERLINK("https://lindat.mff.cuni.cz/services/teitok/pdtc10/index.php?action=vallex&amp;frame=v-w1737f2", "lokalizovat (v-w1737f2)")</f>
        <v>lokalizovat (v-w1737f2)</v>
      </c>
    </row>
    <row r="12886" customFormat="false" ht="12.8" hidden="false" customHeight="false" outlineLevel="0" collapsed="false">
      <c r="B12886" s="0" t="s">
        <v>1</v>
      </c>
    </row>
    <row r="12887" customFormat="false" ht="12.8" hidden="false" customHeight="false" outlineLevel="0" collapsed="false">
      <c r="B12887" s="0" t="s">
        <v>8</v>
      </c>
    </row>
    <row r="12889" customFormat="false" ht="12.8" hidden="false" customHeight="false" outlineLevel="0" collapsed="false">
      <c r="A12889" s="0" t="s">
        <v>6073</v>
      </c>
      <c r="B12889" s="0" t="str">
        <f aca="false">HYPERLINK("https://lindat.mff.cuni.cz/services/teitok/pdtc10/index.php?action=vallex&amp;frame=v-w12190_ZUf1_ZU", "loknout si (v-w12190_ZUf1_ZU)")</f>
        <v>loknout si (v-w12190_ZUf1_ZU)</v>
      </c>
    </row>
    <row r="12890" customFormat="false" ht="12.8" hidden="false" customHeight="false" outlineLevel="0" collapsed="false">
      <c r="B12890" s="0" t="s">
        <v>1</v>
      </c>
    </row>
    <row r="12891" customFormat="false" ht="12.8" hidden="false" customHeight="false" outlineLevel="0" collapsed="false">
      <c r="B12891" s="0" t="s">
        <v>1289</v>
      </c>
    </row>
    <row r="12893" customFormat="false" ht="12.8" hidden="false" customHeight="false" outlineLevel="0" collapsed="false">
      <c r="A12893" s="0" t="s">
        <v>6074</v>
      </c>
      <c r="B12893" s="0" t="str">
        <f aca="false">HYPERLINK("https://lindat.mff.cuni.cz/services/teitok/pdtc10/index.php?action=vallex&amp;frame=v-w1738f1", "lomcovat (v-w1738f1)")</f>
        <v>lomcovat (v-w1738f1)</v>
      </c>
    </row>
    <row r="12894" customFormat="false" ht="12.8" hidden="false" customHeight="false" outlineLevel="0" collapsed="false">
      <c r="B12894" s="0" t="s">
        <v>1</v>
      </c>
    </row>
    <row r="12895" customFormat="false" ht="12.8" hidden="false" customHeight="false" outlineLevel="0" collapsed="false">
      <c r="B12895" s="0" t="s">
        <v>4277</v>
      </c>
    </row>
    <row r="12897" customFormat="false" ht="12.8" hidden="false" customHeight="false" outlineLevel="0" collapsed="false">
      <c r="A12897" s="0" t="s">
        <v>6075</v>
      </c>
      <c r="B12897" s="0" t="str">
        <f aca="false">HYPERLINK("https://lindat.mff.cuni.cz/services/teitok/pdtc10/index.php?action=vallex&amp;frame=v-w11095f4_ZU", "lomit (v-w11095f4_ZU)")</f>
        <v>lomit (v-w11095f4_ZU)</v>
      </c>
    </row>
    <row r="12898" customFormat="false" ht="12.8" hidden="false" customHeight="false" outlineLevel="0" collapsed="false">
      <c r="B12898" s="0" t="s">
        <v>1</v>
      </c>
    </row>
    <row r="12899" customFormat="false" ht="12.8" hidden="false" customHeight="false" outlineLevel="0" collapsed="false">
      <c r="B12899" s="0" t="s">
        <v>6076</v>
      </c>
    </row>
    <row r="12900" customFormat="false" ht="12.8" hidden="false" customHeight="false" outlineLevel="0" collapsed="false">
      <c r="B12900" s="0" t="s">
        <v>4070</v>
      </c>
    </row>
    <row r="12902" customFormat="false" ht="12.8" hidden="false" customHeight="false" outlineLevel="0" collapsed="false">
      <c r="A12902" s="0" t="s">
        <v>6075</v>
      </c>
      <c r="B12902" s="0" t="str">
        <f aca="false">HYPERLINK("https://lindat.mff.cuni.cz/services/teitok/pdtc10/index.php?action=vallex&amp;frame=v-w11095f3", "lomit (v-w11095f3) - substituted with v-w11095f4_ZU")</f>
        <v>lomit (v-w11095f3) - substituted with v-w11095f4_ZU</v>
      </c>
    </row>
    <row r="12903" customFormat="false" ht="12.8" hidden="false" customHeight="false" outlineLevel="0" collapsed="false">
      <c r="B12903" s="0" t="s">
        <v>1</v>
      </c>
    </row>
    <row r="12904" customFormat="false" ht="12.8" hidden="false" customHeight="false" outlineLevel="0" collapsed="false">
      <c r="B12904" s="0" t="s">
        <v>6076</v>
      </c>
    </row>
    <row r="12905" customFormat="false" ht="12.8" hidden="false" customHeight="false" outlineLevel="0" collapsed="false">
      <c r="B12905" s="0" t="s">
        <v>4070</v>
      </c>
    </row>
    <row r="12907" customFormat="false" ht="12.8" hidden="false" customHeight="false" outlineLevel="0" collapsed="false">
      <c r="A12907" s="0" t="s">
        <v>6075</v>
      </c>
      <c r="B12907" s="0" t="str">
        <f aca="false">HYPERLINK("https://lindat.mff.cuni.cz/services/teitok/pdtc10/index.php?action=vallex&amp;frame=v-w11095hsa_1002", "lomit (v-w11095hsa_1002) - substituted with v-w11095f4_ZU")</f>
        <v>lomit (v-w11095hsa_1002) - substituted with v-w11095f4_ZU</v>
      </c>
    </row>
    <row r="12908" customFormat="false" ht="12.8" hidden="false" customHeight="false" outlineLevel="0" collapsed="false">
      <c r="B12908" s="0" t="s">
        <v>1</v>
      </c>
    </row>
    <row r="12909" customFormat="false" ht="12.8" hidden="false" customHeight="false" outlineLevel="0" collapsed="false">
      <c r="B12909" s="0" t="s">
        <v>6076</v>
      </c>
    </row>
    <row r="12910" customFormat="false" ht="12.8" hidden="false" customHeight="false" outlineLevel="0" collapsed="false">
      <c r="B12910" s="0" t="s">
        <v>4070</v>
      </c>
    </row>
    <row r="12912" customFormat="false" ht="12.8" hidden="false" customHeight="false" outlineLevel="0" collapsed="false">
      <c r="A12912" s="0" t="s">
        <v>6077</v>
      </c>
      <c r="B12912" s="0" t="str">
        <f aca="false">HYPERLINK("https://lindat.mff.cuni.cz/services/teitok/pdtc10/index.php?action=vallex&amp;frame=v-w1740f1", "losovat (v-w1740f1)")</f>
        <v>losovat (v-w1740f1)</v>
      </c>
    </row>
    <row r="12913" customFormat="false" ht="12.8" hidden="false" customHeight="false" outlineLevel="0" collapsed="false">
      <c r="B12913" s="0" t="s">
        <v>1</v>
      </c>
    </row>
    <row r="12914" customFormat="false" ht="12.8" hidden="false" customHeight="false" outlineLevel="0" collapsed="false">
      <c r="B12914" s="0" t="s">
        <v>8</v>
      </c>
    </row>
    <row r="12916" customFormat="false" ht="12.8" hidden="false" customHeight="false" outlineLevel="0" collapsed="false">
      <c r="A12916" s="0" t="s">
        <v>6078</v>
      </c>
      <c r="B12916" s="0" t="str">
        <f aca="false">HYPERLINK("https://lindat.mff.cuni.cz/services/teitok/pdtc10/index.php?action=vallex&amp;frame=v-w11707_ZUf1_ZU", "loupat (v-w11707_ZUf1_ZU)")</f>
        <v>loupat (v-w11707_ZUf1_ZU)</v>
      </c>
    </row>
    <row r="12917" customFormat="false" ht="12.8" hidden="false" customHeight="false" outlineLevel="0" collapsed="false">
      <c r="B12917" s="0" t="s">
        <v>1</v>
      </c>
    </row>
    <row r="12918" customFormat="false" ht="12.8" hidden="false" customHeight="false" outlineLevel="0" collapsed="false">
      <c r="B12918" s="0" t="s">
        <v>8</v>
      </c>
    </row>
    <row r="12920" customFormat="false" ht="12.8" hidden="false" customHeight="false" outlineLevel="0" collapsed="false">
      <c r="A12920" s="0" t="s">
        <v>6079</v>
      </c>
      <c r="B12920" s="0" t="str">
        <f aca="false">HYPERLINK("https://lindat.mff.cuni.cz/services/teitok/pdtc10/index.php?action=vallex&amp;frame=v-w1743f2", "loupit (v-w1743f2)")</f>
        <v>loupit (v-w1743f2)</v>
      </c>
    </row>
    <row r="12921" customFormat="false" ht="12.8" hidden="false" customHeight="false" outlineLevel="0" collapsed="false">
      <c r="B12921" s="0" t="s">
        <v>1</v>
      </c>
    </row>
    <row r="12922" customFormat="false" ht="12.8" hidden="false" customHeight="false" outlineLevel="0" collapsed="false">
      <c r="B12922" s="0" t="s">
        <v>8</v>
      </c>
    </row>
    <row r="12924" customFormat="false" ht="12.8" hidden="false" customHeight="false" outlineLevel="0" collapsed="false">
      <c r="A12924" s="0" t="s">
        <v>6080</v>
      </c>
      <c r="B12924" s="0" t="str">
        <f aca="false">HYPERLINK("https://lindat.mff.cuni.cz/services/teitok/pdtc10/index.php?action=vallex&amp;frame=v-w1743f1", "loupit (v-w1743f1)")</f>
        <v>loupit (v-w1743f1)</v>
      </c>
      <c r="E12924" s="0" t="str">
        <f aca="false">HYPERLINK("https://lindat.mff.cuni.cz/services/SynSemClass40/SynSemClass40.html?veclass=vec01303#vec01303-ces-cm00002", "vec01303")</f>
        <v>vec01303</v>
      </c>
      <c r="F12924" s="0" t="s">
        <v>3188</v>
      </c>
    </row>
    <row r="12925" customFormat="false" ht="12.8" hidden="false" customHeight="false" outlineLevel="0" collapsed="false">
      <c r="B12925" s="0" t="s">
        <v>1</v>
      </c>
      <c r="E12925" s="0" t="s">
        <v>1573</v>
      </c>
      <c r="F12925" s="0" t="s">
        <v>3191</v>
      </c>
    </row>
    <row r="12927" customFormat="false" ht="12.8" hidden="false" customHeight="false" outlineLevel="0" collapsed="false">
      <c r="A12927" s="0" t="s">
        <v>6081</v>
      </c>
      <c r="B12927" s="0" t="str">
        <f aca="false">HYPERLINK("https://lindat.mff.cuni.cz/services/teitok/pdtc10/index.php?action=vallex&amp;frame=v-w1744f1", "loutkařit (v-w1744f1)")</f>
        <v>loutkařit (v-w1744f1)</v>
      </c>
    </row>
    <row r="12928" customFormat="false" ht="12.8" hidden="false" customHeight="false" outlineLevel="0" collapsed="false">
      <c r="B12928" s="0" t="s">
        <v>1</v>
      </c>
    </row>
    <row r="12930" customFormat="false" ht="12.8" hidden="false" customHeight="false" outlineLevel="0" collapsed="false">
      <c r="A12930" s="0" t="s">
        <v>6082</v>
      </c>
      <c r="B12930" s="0" t="str">
        <f aca="false">HYPERLINK("https://lindat.mff.cuni.cz/services/teitok/pdtc10/index.php?action=vallex&amp;frame=v-w1741f1", "loučit se (v-w1741f1)")</f>
        <v>loučit se (v-w1741f1)</v>
      </c>
    </row>
    <row r="12931" customFormat="false" ht="12.8" hidden="false" customHeight="false" outlineLevel="0" collapsed="false">
      <c r="B12931" s="0" t="s">
        <v>1</v>
      </c>
    </row>
    <row r="12932" customFormat="false" ht="12.8" hidden="false" customHeight="false" outlineLevel="0" collapsed="false">
      <c r="B12932" s="0" t="s">
        <v>721</v>
      </c>
    </row>
    <row r="12934" customFormat="false" ht="12.8" hidden="false" customHeight="false" outlineLevel="0" collapsed="false">
      <c r="A12934" s="0" t="s">
        <v>6083</v>
      </c>
      <c r="B12934" s="0" t="str">
        <f aca="false">HYPERLINK("https://lindat.mff.cuni.cz/services/teitok/pdtc10/index.php?action=vallex&amp;frame=v-w1746f1", "lovit (v-w1746f1)")</f>
        <v>lovit (v-w1746f1)</v>
      </c>
    </row>
    <row r="12935" customFormat="false" ht="12.8" hidden="false" customHeight="false" outlineLevel="0" collapsed="false">
      <c r="B12935" s="0" t="s">
        <v>1</v>
      </c>
    </row>
    <row r="12936" customFormat="false" ht="12.8" hidden="false" customHeight="false" outlineLevel="0" collapsed="false">
      <c r="B12936" s="0" t="s">
        <v>8</v>
      </c>
    </row>
    <row r="12938" customFormat="false" ht="12.8" hidden="false" customHeight="false" outlineLevel="0" collapsed="false">
      <c r="A12938" s="0" t="s">
        <v>6084</v>
      </c>
      <c r="B12938" s="0" t="str">
        <f aca="false">HYPERLINK("https://lindat.mff.cuni.cz/services/teitok/pdtc10/index.php?action=vallex&amp;frame=v-w1746f3_ZU", "lovit (v-w1746f3_ZU)")</f>
        <v>lovit (v-w1746f3_ZU)</v>
      </c>
    </row>
    <row r="12939" customFormat="false" ht="12.8" hidden="false" customHeight="false" outlineLevel="0" collapsed="false">
      <c r="B12939" s="0" t="s">
        <v>1</v>
      </c>
    </row>
    <row r="12940" customFormat="false" ht="12.8" hidden="false" customHeight="false" outlineLevel="0" collapsed="false">
      <c r="B12940" s="0" t="s">
        <v>8</v>
      </c>
    </row>
    <row r="12942" customFormat="false" ht="12.8" hidden="false" customHeight="false" outlineLevel="0" collapsed="false">
      <c r="A12942" s="0" t="s">
        <v>6084</v>
      </c>
      <c r="B12942" s="0" t="str">
        <f aca="false">HYPERLINK("https://lindat.mff.cuni.cz/services/teitok/pdtc10/index.php?action=vallex&amp;frame=v-w1746f2_ZU", "lovit (v-w1746f2_ZU) - substituted with v-w1746f3_ZU")</f>
        <v>lovit (v-w1746f2_ZU) - substituted with v-w1746f3_ZU</v>
      </c>
    </row>
    <row r="12943" customFormat="false" ht="12.8" hidden="false" customHeight="false" outlineLevel="0" collapsed="false">
      <c r="B12943" s="0" t="s">
        <v>1</v>
      </c>
    </row>
    <row r="12944" customFormat="false" ht="12.8" hidden="false" customHeight="false" outlineLevel="0" collapsed="false">
      <c r="B12944" s="0" t="s">
        <v>8</v>
      </c>
    </row>
    <row r="12946" customFormat="false" ht="12.8" hidden="false" customHeight="false" outlineLevel="0" collapsed="false">
      <c r="A12946" s="0" t="s">
        <v>6084</v>
      </c>
      <c r="B12946" s="0" t="str">
        <f aca="false">HYPERLINK("https://lindat.mff.cuni.cz/services/teitok/pdtc10/index.php?action=vallex&amp;frame=v-w1746hsa_462", "lovit (v-w1746hsa_462) - substituted with v-w1746f3_ZU")</f>
        <v>lovit (v-w1746hsa_462) - substituted with v-w1746f3_ZU</v>
      </c>
    </row>
    <row r="12947" customFormat="false" ht="12.8" hidden="false" customHeight="false" outlineLevel="0" collapsed="false">
      <c r="B12947" s="0" t="s">
        <v>1</v>
      </c>
    </row>
    <row r="12948" customFormat="false" ht="12.8" hidden="false" customHeight="false" outlineLevel="0" collapsed="false">
      <c r="B12948" s="0" t="s">
        <v>8</v>
      </c>
    </row>
    <row r="12950" customFormat="false" ht="12.8" hidden="false" customHeight="false" outlineLevel="0" collapsed="false">
      <c r="A12950" s="0" t="s">
        <v>6085</v>
      </c>
      <c r="B12950" s="0" t="str">
        <f aca="false">HYPERLINK("https://lindat.mff.cuni.cz/services/teitok/pdtc10/index.php?action=vallex&amp;frame=v-w1746f4_ZU", "lovit (v-w1746f4_ZU)")</f>
        <v>lovit (v-w1746f4_ZU)</v>
      </c>
    </row>
    <row r="12951" customFormat="false" ht="12.8" hidden="false" customHeight="false" outlineLevel="0" collapsed="false">
      <c r="B12951" s="0" t="s">
        <v>1</v>
      </c>
    </row>
    <row r="12952" customFormat="false" ht="12.8" hidden="false" customHeight="false" outlineLevel="0" collapsed="false">
      <c r="B12952" s="0" t="s">
        <v>8</v>
      </c>
    </row>
    <row r="12954" customFormat="false" ht="12.8" hidden="false" customHeight="false" outlineLevel="0" collapsed="false">
      <c r="A12954" s="0" t="s">
        <v>6086</v>
      </c>
      <c r="B12954" s="0" t="str">
        <f aca="false">HYPERLINK("https://lindat.mff.cuni.cz/services/teitok/pdtc10/index.php?action=vallex&amp;frame=v-w1748f1", "lpět (v-w1748f1)")</f>
        <v>lpět (v-w1748f1)</v>
      </c>
      <c r="E12954" s="0" t="str">
        <f aca="false">HYPERLINK("https://lindat.mff.cuni.cz/services/SynSemClass40/SynSemClass40.html?veclass=vec01040#vec01040-ces-cm00001", "vec01040")</f>
        <v>vec01040</v>
      </c>
      <c r="F12954" s="0" t="s">
        <v>6087</v>
      </c>
      <c r="H12954" s="0" t="str">
        <f aca="false">HYPERLINK("https://lindat.mff.cuni.cz/services/SynSemClass40/SynSemClass40.html?veclass=vec01534#vec01534-ces-cm00001", "vec01534")</f>
        <v>vec01534</v>
      </c>
      <c r="I12954" s="0" t="s">
        <v>6088</v>
      </c>
    </row>
    <row r="12955" customFormat="false" ht="12.8" hidden="false" customHeight="false" outlineLevel="0" collapsed="false">
      <c r="B12955" s="0" t="s">
        <v>1</v>
      </c>
      <c r="C12955" s="0" t="s">
        <v>6089</v>
      </c>
      <c r="E12955" s="0" t="s">
        <v>11</v>
      </c>
      <c r="F12955" s="0" t="s">
        <v>5950</v>
      </c>
      <c r="H12955" s="0" t="s">
        <v>155</v>
      </c>
      <c r="I12955" s="0" t="s">
        <v>6090</v>
      </c>
    </row>
    <row r="12956" customFormat="false" ht="12.8" hidden="false" customHeight="false" outlineLevel="0" collapsed="false">
      <c r="B12956" s="0" t="s">
        <v>291</v>
      </c>
      <c r="C12956" s="0" t="s">
        <v>5460</v>
      </c>
      <c r="E12956" s="0" t="s">
        <v>6091</v>
      </c>
      <c r="F12956" s="0" t="s">
        <v>6092</v>
      </c>
      <c r="H12956" s="0" t="s">
        <v>1823</v>
      </c>
      <c r="I12956" s="0" t="s">
        <v>6093</v>
      </c>
    </row>
    <row r="12958" customFormat="false" ht="12.8" hidden="false" customHeight="false" outlineLevel="0" collapsed="false">
      <c r="A12958" s="0" t="s">
        <v>6094</v>
      </c>
      <c r="B12958" s="0" t="str">
        <f aca="false">HYPERLINK("https://lindat.mff.cuni.cz/services/teitok/pdtc10/index.php?action=vallex&amp;frame=v-w1748f2", "lpět (v-w1748f2)")</f>
        <v>lpět (v-w1748f2)</v>
      </c>
    </row>
    <row r="12959" customFormat="false" ht="12.8" hidden="false" customHeight="false" outlineLevel="0" collapsed="false">
      <c r="B12959" s="0" t="s">
        <v>1</v>
      </c>
    </row>
    <row r="12960" customFormat="false" ht="12.8" hidden="false" customHeight="false" outlineLevel="0" collapsed="false">
      <c r="B12960" s="0" t="s">
        <v>5</v>
      </c>
    </row>
    <row r="12962" customFormat="false" ht="12.8" hidden="false" customHeight="false" outlineLevel="0" collapsed="false">
      <c r="A12962" s="0" t="s">
        <v>6095</v>
      </c>
      <c r="B12962" s="0" t="str">
        <f aca="false">HYPERLINK("https://lindat.mff.cuni.cz/services/teitok/pdtc10/index.php?action=vallex&amp;frame=v-w1751f1", "lustrovat (v-w1751f1)")</f>
        <v>lustrovat (v-w1751f1)</v>
      </c>
    </row>
    <row r="12963" customFormat="false" ht="12.8" hidden="false" customHeight="false" outlineLevel="0" collapsed="false">
      <c r="B12963" s="0" t="s">
        <v>1</v>
      </c>
    </row>
    <row r="12964" customFormat="false" ht="12.8" hidden="false" customHeight="false" outlineLevel="0" collapsed="false">
      <c r="B12964" s="0" t="s">
        <v>8</v>
      </c>
    </row>
    <row r="12966" customFormat="false" ht="12.8" hidden="false" customHeight="false" outlineLevel="0" collapsed="false">
      <c r="A12966" s="0" t="s">
        <v>6096</v>
      </c>
      <c r="B12966" s="0" t="str">
        <f aca="false">HYPERLINK("https://lindat.mff.cuni.cz/services/teitok/pdtc10/index.php?action=vallex&amp;frame=v-w1753f1", "luxovat (v-w1753f1)")</f>
        <v>luxovat (v-w1753f1)</v>
      </c>
    </row>
    <row r="12967" customFormat="false" ht="12.8" hidden="false" customHeight="false" outlineLevel="0" collapsed="false">
      <c r="B12967" s="0" t="s">
        <v>1</v>
      </c>
    </row>
    <row r="12968" customFormat="false" ht="12.8" hidden="false" customHeight="false" outlineLevel="0" collapsed="false">
      <c r="B12968" s="0" t="s">
        <v>8</v>
      </c>
    </row>
    <row r="12969" customFormat="false" ht="12.8" hidden="false" customHeight="false" outlineLevel="0" collapsed="false">
      <c r="B12969" s="0" t="s">
        <v>602</v>
      </c>
    </row>
    <row r="12971" customFormat="false" ht="12.8" hidden="false" customHeight="false" outlineLevel="0" collapsed="false">
      <c r="A12971" s="0" t="s">
        <v>6097</v>
      </c>
      <c r="B12971" s="0" t="str">
        <f aca="false">HYPERLINK("https://lindat.mff.cuni.cz/services/teitok/pdtc10/index.php?action=vallex&amp;frame=v-w12388_MMf1_MM", "luštit (v-w12388_MMf1_MM)")</f>
        <v>luštit (v-w12388_MMf1_MM)</v>
      </c>
    </row>
    <row r="12972" customFormat="false" ht="12.8" hidden="false" customHeight="false" outlineLevel="0" collapsed="false">
      <c r="B12972" s="0" t="s">
        <v>1</v>
      </c>
    </row>
    <row r="12973" customFormat="false" ht="12.8" hidden="false" customHeight="false" outlineLevel="0" collapsed="false">
      <c r="B12973" s="0" t="s">
        <v>8</v>
      </c>
    </row>
    <row r="12975" customFormat="false" ht="12.8" hidden="false" customHeight="false" outlineLevel="0" collapsed="false">
      <c r="A12975" s="0" t="s">
        <v>6098</v>
      </c>
      <c r="B12975" s="0" t="str">
        <f aca="false">HYPERLINK("https://lindat.mff.cuni.cz/services/teitok/pdtc10/index.php?action=vallex&amp;frame=v-w1756f1", "lyžovat (v-w1756f1)")</f>
        <v>lyžovat (v-w1756f1)</v>
      </c>
      <c r="E12975" s="0" t="str">
        <f aca="false">HYPERLINK("https://lindat.mff.cuni.cz/services/SynSemClass40/SynSemClass40.html?veclass=vec01041#vec01041-ces-cm00001", "vec01041")</f>
        <v>vec01041</v>
      </c>
      <c r="F12975" s="0" t="s">
        <v>6099</v>
      </c>
    </row>
    <row r="12976" customFormat="false" ht="12.8" hidden="false" customHeight="false" outlineLevel="0" collapsed="false">
      <c r="B12976" s="0" t="s">
        <v>1</v>
      </c>
      <c r="C12976" s="0" t="s">
        <v>4695</v>
      </c>
      <c r="E12976" s="0" t="s">
        <v>11</v>
      </c>
      <c r="F12976" s="0" t="s">
        <v>5950</v>
      </c>
    </row>
    <row r="12978" customFormat="false" ht="12.8" hidden="false" customHeight="false" outlineLevel="0" collapsed="false">
      <c r="A12978" s="0" t="s">
        <v>6100</v>
      </c>
      <c r="B12978" s="0" t="str">
        <f aca="false">HYPERLINK("https://lindat.mff.cuni.cz/services/teitok/pdtc10/index.php?action=vallex&amp;frame=v-w1757f2_ZU", "lze (v-w1757f2_ZU)")</f>
        <v>lze (v-w1757f2_ZU)</v>
      </c>
    </row>
    <row r="12979" customFormat="false" ht="12.8" hidden="false" customHeight="false" outlineLevel="0" collapsed="false">
      <c r="B12979" s="0" t="s">
        <v>6101</v>
      </c>
    </row>
    <row r="12981" customFormat="false" ht="12.8" hidden="false" customHeight="false" outlineLevel="0" collapsed="false">
      <c r="A12981" s="0" t="s">
        <v>6100</v>
      </c>
      <c r="B12981" s="0" t="str">
        <f aca="false">HYPERLINK("https://lindat.mff.cuni.cz/services/teitok/pdtc10/index.php?action=vallex&amp;frame=v-w1757f1", "lze (v-w1757f1) - substituted with v-w1757f2_ZU")</f>
        <v>lze (v-w1757f1) - substituted with v-w1757f2_ZU</v>
      </c>
    </row>
    <row r="12982" customFormat="false" ht="12.8" hidden="false" customHeight="false" outlineLevel="0" collapsed="false">
      <c r="B12982" s="0" t="s">
        <v>6101</v>
      </c>
    </row>
    <row r="12984" customFormat="false" ht="12.8" hidden="false" customHeight="false" outlineLevel="0" collapsed="false">
      <c r="A12984" s="0" t="s">
        <v>6102</v>
      </c>
      <c r="B12984" s="0" t="str">
        <f aca="false">HYPERLINK("https://lindat.mff.cuni.cz/services/teitok/pdtc10/index.php?action=vallex&amp;frame=v-w1658f1", "ládovat (v-w1658f1)")</f>
        <v>ládovat (v-w1658f1)</v>
      </c>
    </row>
    <row r="12985" customFormat="false" ht="12.8" hidden="false" customHeight="false" outlineLevel="0" collapsed="false">
      <c r="B12985" s="0" t="s">
        <v>1</v>
      </c>
    </row>
    <row r="12986" customFormat="false" ht="12.8" hidden="false" customHeight="false" outlineLevel="0" collapsed="false">
      <c r="B12986" s="0" t="s">
        <v>8</v>
      </c>
    </row>
    <row r="12988" customFormat="false" ht="12.8" hidden="false" customHeight="false" outlineLevel="0" collapsed="false">
      <c r="A12988" s="0" t="s">
        <v>6103</v>
      </c>
      <c r="B12988" s="0" t="str">
        <f aca="false">HYPERLINK("https://lindat.mff.cuni.cz/services/teitok/pdtc10/index.php?action=vallex&amp;frame=v-w1660f1", "lákat (v-w1660f1)")</f>
        <v>lákat (v-w1660f1)</v>
      </c>
    </row>
    <row r="12989" customFormat="false" ht="12.8" hidden="false" customHeight="false" outlineLevel="0" collapsed="false">
      <c r="B12989" s="0" t="s">
        <v>345</v>
      </c>
    </row>
    <row r="12990" customFormat="false" ht="12.8" hidden="false" customHeight="false" outlineLevel="0" collapsed="false">
      <c r="B12990" s="0" t="s">
        <v>8</v>
      </c>
    </row>
    <row r="12992" customFormat="false" ht="12.8" hidden="false" customHeight="false" outlineLevel="0" collapsed="false">
      <c r="A12992" s="0" t="s">
        <v>6104</v>
      </c>
      <c r="B12992" s="0" t="str">
        <f aca="false">HYPERLINK("https://lindat.mff.cuni.cz/services/teitok/pdtc10/index.php?action=vallex&amp;frame=v-w1660hsa_881", "lákat (v-w1660hsa_881)")</f>
        <v>lákat (v-w1660hsa_881)</v>
      </c>
    </row>
    <row r="12993" customFormat="false" ht="12.8" hidden="false" customHeight="false" outlineLevel="0" collapsed="false">
      <c r="B12993" s="0" t="s">
        <v>1</v>
      </c>
    </row>
    <row r="12994" customFormat="false" ht="12.8" hidden="false" customHeight="false" outlineLevel="0" collapsed="false">
      <c r="B12994" s="0" t="s">
        <v>98</v>
      </c>
    </row>
    <row r="12995" customFormat="false" ht="12.8" hidden="false" customHeight="false" outlineLevel="0" collapsed="false">
      <c r="B12995" s="0" t="s">
        <v>6105</v>
      </c>
    </row>
    <row r="12997" customFormat="false" ht="12.8" hidden="false" customHeight="false" outlineLevel="0" collapsed="false">
      <c r="A12997" s="0" t="s">
        <v>6104</v>
      </c>
      <c r="B12997" s="0" t="str">
        <f aca="false">HYPERLINK("https://lindat.mff.cuni.cz/services/teitok/pdtc10/index.php?action=vallex&amp;frame=v-w1660f2", "lákat (v-w1660f2) - substituted with v-w1660hsa_881")</f>
        <v>lákat (v-w1660f2) - substituted with v-w1660hsa_881</v>
      </c>
      <c r="E12997" s="0" t="str">
        <f aca="false">HYPERLINK("https://lindat.mff.cuni.cz/services/SynSemClass40/SynSemClass40.html?veclass=vec00286#vec00286-ces-cm00027", "vec00286")</f>
        <v>vec00286</v>
      </c>
      <c r="F12997" s="0" t="s">
        <v>6106</v>
      </c>
    </row>
    <row r="12998" customFormat="false" ht="12.8" hidden="false" customHeight="false" outlineLevel="0" collapsed="false">
      <c r="B12998" s="0" t="s">
        <v>1</v>
      </c>
      <c r="C12998" s="0" t="s">
        <v>6107</v>
      </c>
      <c r="E12998" s="0" t="s">
        <v>6108</v>
      </c>
      <c r="F12998" s="0" t="s">
        <v>6109</v>
      </c>
    </row>
    <row r="12999" customFormat="false" ht="12.8" hidden="false" customHeight="false" outlineLevel="0" collapsed="false">
      <c r="B12999" s="0" t="s">
        <v>98</v>
      </c>
      <c r="C12999" s="0" t="s">
        <v>6110</v>
      </c>
      <c r="E12999" s="0" t="s">
        <v>6111</v>
      </c>
      <c r="F12999" s="0" t="s">
        <v>6112</v>
      </c>
    </row>
    <row r="13000" customFormat="false" ht="12.8" hidden="false" customHeight="false" outlineLevel="0" collapsed="false">
      <c r="B13000" s="0" t="s">
        <v>6105</v>
      </c>
      <c r="C13000" s="0" t="s">
        <v>6113</v>
      </c>
      <c r="E13000" s="0" t="s">
        <v>523</v>
      </c>
      <c r="F13000" s="0" t="s">
        <v>6114</v>
      </c>
    </row>
    <row r="13002" customFormat="false" ht="12.8" hidden="false" customHeight="false" outlineLevel="0" collapsed="false">
      <c r="A13002" s="0" t="s">
        <v>6115</v>
      </c>
      <c r="B13002" s="0" t="str">
        <f aca="false">HYPERLINK("https://lindat.mff.cuni.cz/services/teitok/pdtc10/index.php?action=vallex&amp;frame=v-w1661f1", "lámat (v-w1661f1)")</f>
        <v>lámat (v-w1661f1)</v>
      </c>
    </row>
    <row r="13003" customFormat="false" ht="12.8" hidden="false" customHeight="false" outlineLevel="0" collapsed="false">
      <c r="B13003" s="0" t="s">
        <v>1</v>
      </c>
    </row>
    <row r="13004" customFormat="false" ht="12.8" hidden="false" customHeight="false" outlineLevel="0" collapsed="false">
      <c r="B13004" s="0" t="s">
        <v>8</v>
      </c>
    </row>
    <row r="13005" customFormat="false" ht="12.8" hidden="false" customHeight="false" outlineLevel="0" collapsed="false">
      <c r="B13005" s="0" t="s">
        <v>3211</v>
      </c>
    </row>
    <row r="13007" customFormat="false" ht="12.8" hidden="false" customHeight="false" outlineLevel="0" collapsed="false">
      <c r="A13007" s="0" t="s">
        <v>6116</v>
      </c>
      <c r="B13007" s="0" t="str">
        <f aca="false">HYPERLINK("https://lindat.mff.cuni.cz/services/teitok/pdtc10/index.php?action=vallex&amp;frame=v-w1661f2", "lámat (v-w1661f2)")</f>
        <v>lámat (v-w1661f2)</v>
      </c>
    </row>
    <row r="13008" customFormat="false" ht="12.8" hidden="false" customHeight="false" outlineLevel="0" collapsed="false">
      <c r="B13008" s="0" t="s">
        <v>1</v>
      </c>
    </row>
    <row r="13009" customFormat="false" ht="12.8" hidden="false" customHeight="false" outlineLevel="0" collapsed="false">
      <c r="B13009" s="0" t="s">
        <v>6117</v>
      </c>
    </row>
    <row r="13010" customFormat="false" ht="12.8" hidden="false" customHeight="false" outlineLevel="0" collapsed="false">
      <c r="B13010" s="0" t="s">
        <v>294</v>
      </c>
    </row>
    <row r="13012" customFormat="false" ht="12.8" hidden="false" customHeight="false" outlineLevel="0" collapsed="false">
      <c r="A13012" s="0" t="s">
        <v>6118</v>
      </c>
      <c r="B13012" s="0" t="str">
        <f aca="false">HYPERLINK("https://lindat.mff.cuni.cz/services/teitok/pdtc10/index.php?action=vallex&amp;frame=v-w1661f3", "lámat (v-w1661f3)")</f>
        <v>lámat (v-w1661f3)</v>
      </c>
    </row>
    <row r="13013" customFormat="false" ht="12.8" hidden="false" customHeight="false" outlineLevel="0" collapsed="false">
      <c r="B13013" s="0" t="s">
        <v>1</v>
      </c>
    </row>
    <row r="13014" customFormat="false" ht="12.8" hidden="false" customHeight="false" outlineLevel="0" collapsed="false">
      <c r="B13014" s="0" t="s">
        <v>6119</v>
      </c>
    </row>
    <row r="13015" customFormat="false" ht="12.8" hidden="false" customHeight="false" outlineLevel="0" collapsed="false">
      <c r="B13015" s="0" t="s">
        <v>8</v>
      </c>
    </row>
    <row r="13017" customFormat="false" ht="12.8" hidden="false" customHeight="false" outlineLevel="0" collapsed="false">
      <c r="A13017" s="0" t="s">
        <v>6120</v>
      </c>
      <c r="B13017" s="0" t="str">
        <f aca="false">HYPERLINK("https://lindat.mff.cuni.cz/services/teitok/pdtc10/index.php?action=vallex&amp;frame=v-w1661f4_ZU", "lámat (v-w1661f4_ZU)")</f>
        <v>lámat (v-w1661f4_ZU)</v>
      </c>
      <c r="E13017" s="0" t="str">
        <f aca="false">HYPERLINK("https://lindat.mff.cuni.cz/services/SynSemClass40/SynSemClass40.html?veclass=vec00029#vec00029-ces-cm00001", "vec00029")</f>
        <v>vec00029</v>
      </c>
      <c r="F13017" s="0" t="s">
        <v>6121</v>
      </c>
    </row>
    <row r="13018" customFormat="false" ht="12.8" hidden="false" customHeight="false" outlineLevel="0" collapsed="false">
      <c r="B13018" s="0" t="s">
        <v>1</v>
      </c>
      <c r="C13018" s="0" t="s">
        <v>3241</v>
      </c>
      <c r="E13018" s="0" t="s">
        <v>11</v>
      </c>
      <c r="F13018" s="0" t="s">
        <v>6122</v>
      </c>
    </row>
    <row r="13019" customFormat="false" ht="12.8" hidden="false" customHeight="false" outlineLevel="0" collapsed="false">
      <c r="B13019" s="0" t="s">
        <v>6123</v>
      </c>
    </row>
    <row r="13021" customFormat="false" ht="12.8" hidden="false" customHeight="false" outlineLevel="0" collapsed="false">
      <c r="A13021" s="0" t="s">
        <v>6124</v>
      </c>
      <c r="B13021" s="0" t="str">
        <f aca="false">HYPERLINK("https://lindat.mff.cuni.cz/services/teitok/pdtc10/index.php?action=vallex&amp;frame=v-w1661f5_ZU", "lámat (v-w1661f5_ZU)")</f>
        <v>lámat (v-w1661f5_ZU)</v>
      </c>
    </row>
    <row r="13022" customFormat="false" ht="12.8" hidden="false" customHeight="false" outlineLevel="0" collapsed="false">
      <c r="B13022" s="0" t="s">
        <v>1</v>
      </c>
    </row>
    <row r="13023" customFormat="false" ht="12.8" hidden="false" customHeight="false" outlineLevel="0" collapsed="false">
      <c r="B13023" s="0" t="s">
        <v>8</v>
      </c>
    </row>
    <row r="13025" customFormat="false" ht="12.8" hidden="false" customHeight="false" outlineLevel="0" collapsed="false">
      <c r="A13025" s="0" t="s">
        <v>6125</v>
      </c>
      <c r="B13025" s="0" t="str">
        <f aca="false">HYPERLINK("https://lindat.mff.cuni.cz/services/teitok/pdtc10/index.php?action=vallex&amp;frame=v-w1661hsa_212", "lámat (v-w1661hsa_212)")</f>
        <v>lámat (v-w1661hsa_212)</v>
      </c>
    </row>
    <row r="13026" customFormat="false" ht="12.8" hidden="false" customHeight="false" outlineLevel="0" collapsed="false">
      <c r="B13026" s="0" t="s">
        <v>1</v>
      </c>
    </row>
    <row r="13027" customFormat="false" ht="12.8" hidden="false" customHeight="false" outlineLevel="0" collapsed="false">
      <c r="B13027" s="0" t="s">
        <v>8</v>
      </c>
    </row>
    <row r="13029" customFormat="false" ht="12.8" hidden="false" customHeight="false" outlineLevel="0" collapsed="false">
      <c r="A13029" s="0" t="s">
        <v>6126</v>
      </c>
      <c r="B13029" s="0" t="str">
        <f aca="false">HYPERLINK("https://lindat.mff.cuni.cz/services/teitok/pdtc10/index.php?action=vallex&amp;frame=v-w1662f1", "lámat se (v-w1662f1)")</f>
        <v>lámat se (v-w1662f1)</v>
      </c>
    </row>
    <row r="13030" customFormat="false" ht="12.8" hidden="false" customHeight="false" outlineLevel="0" collapsed="false">
      <c r="B13030" s="0" t="s">
        <v>1</v>
      </c>
    </row>
    <row r="13031" customFormat="false" ht="12.8" hidden="false" customHeight="false" outlineLevel="0" collapsed="false">
      <c r="B13031" s="0" t="s">
        <v>6127</v>
      </c>
    </row>
    <row r="13032" customFormat="false" ht="12.8" hidden="false" customHeight="false" outlineLevel="0" collapsed="false">
      <c r="B13032" s="0" t="s">
        <v>36</v>
      </c>
    </row>
    <row r="13034" customFormat="false" ht="12.8" hidden="false" customHeight="false" outlineLevel="0" collapsed="false">
      <c r="A13034" s="0" t="s">
        <v>6128</v>
      </c>
      <c r="B13034" s="0" t="str">
        <f aca="false">HYPERLINK("https://lindat.mff.cuni.cz/services/teitok/pdtc10/index.php?action=vallex&amp;frame=v-w1663hsa_958", "lámat si (v-w1663hsa_958)")</f>
        <v>lámat si (v-w1663hsa_958)</v>
      </c>
      <c r="E13034" s="0" t="str">
        <f aca="false">HYPERLINK("https://lindat.mff.cuni.cz/services/SynSemClass40/SynSemClass40.html?veclass=vec00149#vec00149-ces-cm00108", "vec00149")</f>
        <v>vec00149</v>
      </c>
      <c r="F13034" s="0" t="s">
        <v>686</v>
      </c>
    </row>
    <row r="13035" customFormat="false" ht="12.8" hidden="false" customHeight="false" outlineLevel="0" collapsed="false">
      <c r="B13035" s="0" t="s">
        <v>1</v>
      </c>
      <c r="C13035" s="0" t="s">
        <v>687</v>
      </c>
      <c r="E13035" s="0" t="s">
        <v>621</v>
      </c>
      <c r="F13035" s="0" t="s">
        <v>688</v>
      </c>
    </row>
    <row r="13036" customFormat="false" ht="12.8" hidden="false" customHeight="false" outlineLevel="0" collapsed="false">
      <c r="B13036" s="0" t="s">
        <v>6129</v>
      </c>
    </row>
    <row r="13037" customFormat="false" ht="12.8" hidden="false" customHeight="false" outlineLevel="0" collapsed="false">
      <c r="B13037" s="0" t="s">
        <v>6130</v>
      </c>
      <c r="C13037" s="0" t="s">
        <v>690</v>
      </c>
      <c r="E13037" s="0" t="s">
        <v>209</v>
      </c>
      <c r="F13037" s="0" t="s">
        <v>691</v>
      </c>
    </row>
    <row r="13039" customFormat="false" ht="12.8" hidden="false" customHeight="false" outlineLevel="0" collapsed="false">
      <c r="A13039" s="0" t="s">
        <v>6128</v>
      </c>
      <c r="B13039" s="0" t="str">
        <f aca="false">HYPERLINK("https://lindat.mff.cuni.cz/services/teitok/pdtc10/index.php?action=vallex&amp;frame=v-w1663f1", "lámat si (v-w1663f1) - substituted with v-w1663hsa_958")</f>
        <v>lámat si (v-w1663f1) - substituted with v-w1663hsa_958</v>
      </c>
    </row>
    <row r="13040" customFormat="false" ht="12.8" hidden="false" customHeight="false" outlineLevel="0" collapsed="false">
      <c r="B13040" s="0" t="s">
        <v>1</v>
      </c>
    </row>
    <row r="13041" customFormat="false" ht="12.8" hidden="false" customHeight="false" outlineLevel="0" collapsed="false">
      <c r="B13041" s="0" t="s">
        <v>6129</v>
      </c>
    </row>
    <row r="13042" customFormat="false" ht="12.8" hidden="false" customHeight="false" outlineLevel="0" collapsed="false">
      <c r="B13042" s="0" t="s">
        <v>6130</v>
      </c>
    </row>
    <row r="13044" customFormat="false" ht="12.8" hidden="false" customHeight="false" outlineLevel="0" collapsed="false">
      <c r="A13044" s="0" t="s">
        <v>6131</v>
      </c>
      <c r="B13044" s="0" t="str">
        <f aca="false">HYPERLINK("https://lindat.mff.cuni.cz/services/teitok/pdtc10/index.php?action=vallex&amp;frame=v-w1693f1", "létat (v-w1693f1)")</f>
        <v>létat (v-w1693f1)</v>
      </c>
    </row>
    <row r="13045" customFormat="false" ht="12.8" hidden="false" customHeight="false" outlineLevel="0" collapsed="false">
      <c r="B13045" s="0" t="s">
        <v>1</v>
      </c>
    </row>
    <row r="13047" customFormat="false" ht="12.8" hidden="false" customHeight="false" outlineLevel="0" collapsed="false">
      <c r="A13047" s="0" t="s">
        <v>6132</v>
      </c>
      <c r="B13047" s="0" t="str">
        <f aca="false">HYPERLINK("https://lindat.mff.cuni.cz/services/teitok/pdtc10/index.php?action=vallex&amp;frame=v-w1693f2", "létat (v-w1693f2)")</f>
        <v>létat (v-w1693f2)</v>
      </c>
      <c r="E13047" s="0" t="str">
        <f aca="false">HYPERLINK("https://lindat.mff.cuni.cz/services/SynSemClass40/SynSemClass40.html?veclass=vec00427#vec00427-ces-cm00001", "vec00427")</f>
        <v>vec00427</v>
      </c>
      <c r="F13047" s="0" t="s">
        <v>2444</v>
      </c>
    </row>
    <row r="13048" customFormat="false" ht="12.8" hidden="false" customHeight="false" outlineLevel="0" collapsed="false">
      <c r="B13048" s="0" t="s">
        <v>1</v>
      </c>
      <c r="C13048" s="0" t="s">
        <v>5981</v>
      </c>
      <c r="E13048" s="0" t="s">
        <v>334</v>
      </c>
      <c r="F13048" s="0" t="s">
        <v>2447</v>
      </c>
    </row>
    <row r="13050" customFormat="false" ht="12.8" hidden="false" customHeight="false" outlineLevel="0" collapsed="false">
      <c r="A13050" s="0" t="s">
        <v>6133</v>
      </c>
      <c r="B13050" s="0" t="str">
        <f aca="false">HYPERLINK("https://lindat.mff.cuni.cz/services/teitok/pdtc10/index.php?action=vallex&amp;frame=v-w1693f3_ZU", "létat (v-w1693f3_ZU)")</f>
        <v>létat (v-w1693f3_ZU)</v>
      </c>
    </row>
    <row r="13051" customFormat="false" ht="12.8" hidden="false" customHeight="false" outlineLevel="0" collapsed="false">
      <c r="B13051" s="0" t="s">
        <v>1</v>
      </c>
    </row>
    <row r="13053" customFormat="false" ht="12.8" hidden="false" customHeight="false" outlineLevel="0" collapsed="false">
      <c r="A13053" s="0" t="s">
        <v>6134</v>
      </c>
      <c r="B13053" s="0" t="str">
        <f aca="false">HYPERLINK("https://lindat.mff.cuni.cz/services/teitok/pdtc10/index.php?action=vallex&amp;frame=v-w1693hsa_1025", "létat (v-w1693hsa_1025)")</f>
        <v>létat (v-w1693hsa_1025)</v>
      </c>
    </row>
    <row r="13054" customFormat="false" ht="12.8" hidden="false" customHeight="false" outlineLevel="0" collapsed="false">
      <c r="B13054" s="0" t="s">
        <v>1</v>
      </c>
    </row>
    <row r="13055" customFormat="false" ht="12.8" hidden="false" customHeight="false" outlineLevel="0" collapsed="false">
      <c r="B13055" s="0" t="s">
        <v>8</v>
      </c>
    </row>
    <row r="13057" customFormat="false" ht="12.8" hidden="false" customHeight="false" outlineLevel="0" collapsed="false">
      <c r="A13057" s="0" t="s">
        <v>6135</v>
      </c>
      <c r="B13057" s="0" t="str">
        <f aca="false">HYPERLINK("https://lindat.mff.cuni.cz/services/teitok/pdtc10/index.php?action=vallex&amp;frame=v-w1693hsa_1883", "létat (v-w1693hsa_1883)")</f>
        <v>létat (v-w1693hsa_1883)</v>
      </c>
    </row>
    <row r="13058" customFormat="false" ht="12.8" hidden="false" customHeight="false" outlineLevel="0" collapsed="false">
      <c r="B13058" s="0" t="s">
        <v>1</v>
      </c>
    </row>
    <row r="13060" customFormat="false" ht="12.8" hidden="false" customHeight="false" outlineLevel="0" collapsed="false">
      <c r="A13060" s="0" t="s">
        <v>6136</v>
      </c>
      <c r="B13060" s="0" t="str">
        <f aca="false">HYPERLINK("https://lindat.mff.cuni.cz/services/teitok/pdtc10/index.php?action=vallex&amp;frame=v-w1693hsa_1884", "létat (v-w1693hsa_1884)")</f>
        <v>létat (v-w1693hsa_1884)</v>
      </c>
    </row>
    <row r="13061" customFormat="false" ht="12.8" hidden="false" customHeight="false" outlineLevel="0" collapsed="false">
      <c r="B13061" s="0" t="s">
        <v>1</v>
      </c>
    </row>
    <row r="13062" customFormat="false" ht="12.8" hidden="false" customHeight="false" outlineLevel="0" collapsed="false">
      <c r="B13062" s="0" t="s">
        <v>721</v>
      </c>
    </row>
    <row r="13064" customFormat="false" ht="12.8" hidden="false" customHeight="false" outlineLevel="0" collapsed="false">
      <c r="A13064" s="0" t="s">
        <v>6137</v>
      </c>
      <c r="B13064" s="0" t="str">
        <f aca="false">HYPERLINK("https://lindat.mff.cuni.cz/services/teitok/pdtc10/index.php?action=vallex&amp;frame=v-w1697f1", "lézt (v-w1697f1)")</f>
        <v>lézt (v-w1697f1)</v>
      </c>
    </row>
    <row r="13065" customFormat="false" ht="12.8" hidden="false" customHeight="false" outlineLevel="0" collapsed="false">
      <c r="B13065" s="0" t="s">
        <v>1</v>
      </c>
    </row>
    <row r="13066" customFormat="false" ht="12.8" hidden="false" customHeight="false" outlineLevel="0" collapsed="false">
      <c r="B13066" s="0" t="s">
        <v>164</v>
      </c>
    </row>
    <row r="13068" customFormat="false" ht="12.8" hidden="false" customHeight="false" outlineLevel="0" collapsed="false">
      <c r="A13068" s="0" t="s">
        <v>6138</v>
      </c>
      <c r="B13068" s="0" t="str">
        <f aca="false">HYPERLINK("https://lindat.mff.cuni.cz/services/teitok/pdtc10/index.php?action=vallex&amp;frame=v-w1697f4", "lézt (v-w1697f4)")</f>
        <v>lézt (v-w1697f4)</v>
      </c>
    </row>
    <row r="13069" customFormat="false" ht="12.8" hidden="false" customHeight="false" outlineLevel="0" collapsed="false">
      <c r="B13069" s="0" t="s">
        <v>1</v>
      </c>
    </row>
    <row r="13071" customFormat="false" ht="12.8" hidden="false" customHeight="false" outlineLevel="0" collapsed="false">
      <c r="A13071" s="0" t="s">
        <v>6139</v>
      </c>
      <c r="B13071" s="0" t="str">
        <f aca="false">HYPERLINK("https://lindat.mff.cuni.cz/services/teitok/pdtc10/index.php?action=vallex&amp;frame=v-w1697f2", "lézt (v-w1697f2)")</f>
        <v>lézt (v-w1697f2)</v>
      </c>
    </row>
    <row r="13072" customFormat="false" ht="12.8" hidden="false" customHeight="false" outlineLevel="0" collapsed="false">
      <c r="B13072" s="0" t="s">
        <v>1</v>
      </c>
    </row>
    <row r="13073" customFormat="false" ht="12.8" hidden="false" customHeight="false" outlineLevel="0" collapsed="false">
      <c r="B13073" s="0" t="s">
        <v>6140</v>
      </c>
    </row>
    <row r="13074" customFormat="false" ht="12.8" hidden="false" customHeight="false" outlineLevel="0" collapsed="false">
      <c r="B13074" s="0" t="s">
        <v>186</v>
      </c>
    </row>
    <row r="13076" customFormat="false" ht="12.8" hidden="false" customHeight="false" outlineLevel="0" collapsed="false">
      <c r="A13076" s="0" t="s">
        <v>6141</v>
      </c>
      <c r="B13076" s="0" t="str">
        <f aca="false">HYPERLINK("https://lindat.mff.cuni.cz/services/teitok/pdtc10/index.php?action=vallex&amp;frame=v-w1697f3", "lézt (v-w1697f3)")</f>
        <v>lézt (v-w1697f3)</v>
      </c>
    </row>
    <row r="13077" customFormat="false" ht="12.8" hidden="false" customHeight="false" outlineLevel="0" collapsed="false">
      <c r="B13077" s="0" t="s">
        <v>1</v>
      </c>
    </row>
    <row r="13078" customFormat="false" ht="12.8" hidden="false" customHeight="false" outlineLevel="0" collapsed="false">
      <c r="B13078" s="0" t="s">
        <v>1244</v>
      </c>
    </row>
    <row r="13079" customFormat="false" ht="12.8" hidden="false" customHeight="false" outlineLevel="0" collapsed="false">
      <c r="B13079" s="0" t="s">
        <v>186</v>
      </c>
    </row>
    <row r="13081" customFormat="false" ht="12.8" hidden="false" customHeight="false" outlineLevel="0" collapsed="false">
      <c r="A13081" s="0" t="s">
        <v>6142</v>
      </c>
      <c r="B13081" s="0" t="str">
        <f aca="false">HYPERLINK("https://lindat.mff.cuni.cz/services/teitok/pdtc10/index.php?action=vallex&amp;frame=v-w1697hsa_963", "lézt (v-w1697hsa_963)")</f>
        <v>lézt (v-w1697hsa_963)</v>
      </c>
    </row>
    <row r="13082" customFormat="false" ht="12.8" hidden="false" customHeight="false" outlineLevel="0" collapsed="false">
      <c r="B13082" s="0" t="s">
        <v>1</v>
      </c>
    </row>
    <row r="13084" customFormat="false" ht="12.8" hidden="false" customHeight="false" outlineLevel="0" collapsed="false">
      <c r="A13084" s="0" t="s">
        <v>6143</v>
      </c>
      <c r="B13084" s="0" t="str">
        <f aca="false">HYPERLINK("https://lindat.mff.cuni.cz/services/teitok/pdtc10/index.php?action=vallex&amp;frame=v-w1671f1", "léčit (v-w1671f1)")</f>
        <v>léčit (v-w1671f1)</v>
      </c>
      <c r="E13084" s="0" t="str">
        <f aca="false">HYPERLINK("https://lindat.mff.cuni.cz/services/SynSemClass40/SynSemClass40.html?veclass=vec00628#vec00628-ces-cm00001", "vec00628")</f>
        <v>vec00628</v>
      </c>
      <c r="F13084" s="0" t="s">
        <v>6144</v>
      </c>
    </row>
    <row r="13085" customFormat="false" ht="12.8" hidden="false" customHeight="false" outlineLevel="0" collapsed="false">
      <c r="B13085" s="0" t="s">
        <v>1</v>
      </c>
      <c r="C13085" s="0" t="s">
        <v>6145</v>
      </c>
      <c r="E13085" s="0" t="s">
        <v>6146</v>
      </c>
      <c r="F13085" s="0" t="s">
        <v>6147</v>
      </c>
    </row>
    <row r="13086" customFormat="false" ht="12.8" hidden="false" customHeight="false" outlineLevel="0" collapsed="false">
      <c r="B13086" s="0" t="s">
        <v>8</v>
      </c>
      <c r="C13086" s="0" t="s">
        <v>6148</v>
      </c>
      <c r="E13086" s="0" t="s">
        <v>532</v>
      </c>
      <c r="F13086" s="0" t="s">
        <v>6149</v>
      </c>
    </row>
    <row r="13088" customFormat="false" ht="12.8" hidden="false" customHeight="false" outlineLevel="0" collapsed="false">
      <c r="A13088" s="0" t="s">
        <v>6150</v>
      </c>
      <c r="B13088" s="0" t="str">
        <f aca="false">HYPERLINK("https://lindat.mff.cuni.cz/services/teitok/pdtc10/index.php?action=vallex&amp;frame=v-w1671f2", "léčit (v-w1671f2)")</f>
        <v>léčit (v-w1671f2)</v>
      </c>
      <c r="E13088" s="0" t="str">
        <f aca="false">HYPERLINK("https://lindat.mff.cuni.cz/services/SynSemClass40/SynSemClass40.html?veclass=vec00664#vec00664-ces-cm00003", "vec00664")</f>
        <v>vec00664</v>
      </c>
      <c r="F13088" s="0" t="s">
        <v>6151</v>
      </c>
    </row>
    <row r="13089" customFormat="false" ht="12.8" hidden="false" customHeight="false" outlineLevel="0" collapsed="false">
      <c r="B13089" s="0" t="s">
        <v>1</v>
      </c>
      <c r="C13089" s="0" t="s">
        <v>459</v>
      </c>
      <c r="E13089" s="0" t="s">
        <v>3021</v>
      </c>
      <c r="F13089" s="0" t="s">
        <v>6152</v>
      </c>
    </row>
    <row r="13090" customFormat="false" ht="12.8" hidden="false" customHeight="false" outlineLevel="0" collapsed="false">
      <c r="B13090" s="0" t="s">
        <v>98</v>
      </c>
      <c r="C13090" s="0" t="s">
        <v>6153</v>
      </c>
      <c r="E13090" s="0" t="s">
        <v>4235</v>
      </c>
      <c r="F13090" s="0" t="s">
        <v>6154</v>
      </c>
    </row>
    <row r="13091" customFormat="false" ht="12.8" hidden="false" customHeight="false" outlineLevel="0" collapsed="false">
      <c r="B13091" s="0" t="s">
        <v>763</v>
      </c>
      <c r="C13091" s="0" t="s">
        <v>5643</v>
      </c>
      <c r="E13091" s="0" t="s">
        <v>532</v>
      </c>
      <c r="F13091" s="0" t="s">
        <v>6155</v>
      </c>
    </row>
    <row r="13093" customFormat="false" ht="12.8" hidden="false" customHeight="false" outlineLevel="0" collapsed="false">
      <c r="A13093" s="0" t="s">
        <v>6156</v>
      </c>
      <c r="B13093" s="0" t="str">
        <f aca="false">HYPERLINK("https://lindat.mff.cuni.cz/services/teitok/pdtc10/index.php?action=vallex&amp;frame=v-whsa_1045hsa_1046", "léčit se (v-whsa_1045hsa_1046)")</f>
        <v>léčit se (v-whsa_1045hsa_1046)</v>
      </c>
    </row>
    <row r="13094" customFormat="false" ht="12.8" hidden="false" customHeight="false" outlineLevel="0" collapsed="false">
      <c r="B13094" s="0" t="s">
        <v>1</v>
      </c>
    </row>
    <row r="13095" customFormat="false" ht="12.8" hidden="false" customHeight="false" outlineLevel="0" collapsed="false">
      <c r="B13095" s="0" t="s">
        <v>6157</v>
      </c>
    </row>
    <row r="13097" customFormat="false" ht="12.8" hidden="false" customHeight="false" outlineLevel="0" collapsed="false">
      <c r="A13097" s="0" t="s">
        <v>6158</v>
      </c>
      <c r="B13097" s="0" t="str">
        <f aca="false">HYPERLINK("https://lindat.mff.cuni.cz/services/teitok/pdtc10/index.php?action=vallex&amp;frame=v-w1704f2", "líbat (v-w1704f2)")</f>
        <v>líbat (v-w1704f2)</v>
      </c>
    </row>
    <row r="13098" customFormat="false" ht="12.8" hidden="false" customHeight="false" outlineLevel="0" collapsed="false">
      <c r="B13098" s="0" t="s">
        <v>1</v>
      </c>
    </row>
    <row r="13099" customFormat="false" ht="12.8" hidden="false" customHeight="false" outlineLevel="0" collapsed="false">
      <c r="B13099" s="0" t="s">
        <v>721</v>
      </c>
    </row>
    <row r="13100" customFormat="false" ht="12.8" hidden="false" customHeight="false" outlineLevel="0" collapsed="false">
      <c r="B13100" s="0" t="s">
        <v>1502</v>
      </c>
    </row>
    <row r="13102" customFormat="false" ht="12.8" hidden="false" customHeight="false" outlineLevel="0" collapsed="false">
      <c r="A13102" s="0" t="s">
        <v>6159</v>
      </c>
      <c r="B13102" s="0" t="str">
        <f aca="false">HYPERLINK("https://lindat.mff.cuni.cz/services/teitok/pdtc10/index.php?action=vallex&amp;frame=v-w1704f1", "líbat (v-w1704f1)")</f>
        <v>líbat (v-w1704f1)</v>
      </c>
    </row>
    <row r="13103" customFormat="false" ht="12.8" hidden="false" customHeight="false" outlineLevel="0" collapsed="false">
      <c r="B13103" s="0" t="s">
        <v>1</v>
      </c>
    </row>
    <row r="13104" customFormat="false" ht="12.8" hidden="false" customHeight="false" outlineLevel="0" collapsed="false">
      <c r="B13104" s="0" t="s">
        <v>8</v>
      </c>
    </row>
    <row r="13106" customFormat="false" ht="12.8" hidden="false" customHeight="false" outlineLevel="0" collapsed="false">
      <c r="A13106" s="0" t="s">
        <v>6160</v>
      </c>
      <c r="B13106" s="0" t="str">
        <f aca="false">HYPERLINK("https://lindat.mff.cuni.cz/services/teitok/pdtc10/index.php?action=vallex&amp;frame=v-w1707f2_ZU", "líbit se (v-w1707f2_ZU)")</f>
        <v>líbit se (v-w1707f2_ZU)</v>
      </c>
    </row>
    <row r="13107" customFormat="false" ht="12.8" hidden="false" customHeight="false" outlineLevel="0" collapsed="false">
      <c r="B13107" s="0" t="s">
        <v>804</v>
      </c>
    </row>
    <row r="13108" customFormat="false" ht="12.8" hidden="false" customHeight="false" outlineLevel="0" collapsed="false">
      <c r="B13108" s="0" t="s">
        <v>6161</v>
      </c>
    </row>
    <row r="13110" customFormat="false" ht="12.8" hidden="false" customHeight="false" outlineLevel="0" collapsed="false">
      <c r="A13110" s="0" t="s">
        <v>6160</v>
      </c>
      <c r="B13110" s="0" t="str">
        <f aca="false">HYPERLINK("https://lindat.mff.cuni.cz/services/teitok/pdtc10/index.php?action=vallex&amp;frame=v-w1707f1", "líbit se (v-w1707f1) - substituted with v-w1707f2_ZU")</f>
        <v>líbit se (v-w1707f1) - substituted with v-w1707f2_ZU</v>
      </c>
      <c r="E13110" s="0" t="str">
        <f aca="false">HYPERLINK("https://lindat.mff.cuni.cz/services/SynSemClass40/SynSemClass40.html?veclass=vec00231#vec00231-ces-cm00001", "vec00231")</f>
        <v>vec00231</v>
      </c>
      <c r="F13110" s="0" t="s">
        <v>262</v>
      </c>
    </row>
    <row r="13111" customFormat="false" ht="12.8" hidden="false" customHeight="false" outlineLevel="0" collapsed="false">
      <c r="B13111" s="0" t="s">
        <v>804</v>
      </c>
      <c r="C13111" s="0" t="s">
        <v>5917</v>
      </c>
      <c r="E13111" s="0" t="s">
        <v>266</v>
      </c>
      <c r="F13111" s="0" t="s">
        <v>267</v>
      </c>
    </row>
    <row r="13112" customFormat="false" ht="12.8" hidden="false" customHeight="false" outlineLevel="0" collapsed="false">
      <c r="B13112" s="0" t="s">
        <v>6161</v>
      </c>
      <c r="C13112" s="0" t="s">
        <v>5919</v>
      </c>
      <c r="E13112" s="0" t="s">
        <v>271</v>
      </c>
      <c r="F13112" s="0" t="s">
        <v>272</v>
      </c>
    </row>
    <row r="13114" customFormat="false" ht="12.8" hidden="false" customHeight="false" outlineLevel="0" collapsed="false">
      <c r="A13114" s="0" t="s">
        <v>6162</v>
      </c>
      <c r="B13114" s="0" t="str">
        <f aca="false">HYPERLINK("https://lindat.mff.cuni.cz/services/teitok/pdtc10/index.php?action=vallex&amp;frame=v-w12105_ZUf1_ZU", "líhnout se (v-w12105_ZUf1_ZU)")</f>
        <v>líhnout se (v-w12105_ZUf1_ZU)</v>
      </c>
    </row>
    <row r="13115" customFormat="false" ht="12.8" hidden="false" customHeight="false" outlineLevel="0" collapsed="false">
      <c r="B13115" s="0" t="s">
        <v>1</v>
      </c>
    </row>
    <row r="13116" customFormat="false" ht="12.8" hidden="false" customHeight="false" outlineLevel="0" collapsed="false">
      <c r="B13116" s="0" t="s">
        <v>763</v>
      </c>
    </row>
    <row r="13118" customFormat="false" ht="12.8" hidden="false" customHeight="false" outlineLevel="0" collapsed="false">
      <c r="A13118" s="0" t="s">
        <v>6163</v>
      </c>
      <c r="B13118" s="0" t="str">
        <f aca="false">HYPERLINK("https://lindat.mff.cuni.cz/services/teitok/pdtc10/index.php?action=vallex&amp;frame=v-w11855_ZUf1_ZU", "lísknout (v-w11855_ZUf1_ZU)")</f>
        <v>lísknout (v-w11855_ZUf1_ZU)</v>
      </c>
    </row>
    <row r="13119" customFormat="false" ht="12.8" hidden="false" customHeight="false" outlineLevel="0" collapsed="false">
      <c r="B13119" s="0" t="s">
        <v>1</v>
      </c>
    </row>
    <row r="13120" customFormat="false" ht="12.8" hidden="false" customHeight="false" outlineLevel="0" collapsed="false">
      <c r="B13120" s="0" t="s">
        <v>8</v>
      </c>
    </row>
    <row r="13122" customFormat="false" ht="12.8" hidden="false" customHeight="false" outlineLevel="0" collapsed="false">
      <c r="A13122" s="0" t="s">
        <v>6164</v>
      </c>
      <c r="B13122" s="0" t="str">
        <f aca="false">HYPERLINK("https://lindat.mff.cuni.cz/services/teitok/pdtc10/index.php?action=vallex&amp;frame=v-w1730f2", "lít (v-w1730f2)")</f>
        <v>lít (v-w1730f2)</v>
      </c>
    </row>
    <row r="13123" customFormat="false" ht="12.8" hidden="false" customHeight="false" outlineLevel="0" collapsed="false">
      <c r="B13123" s="0" t="s">
        <v>1</v>
      </c>
    </row>
    <row r="13124" customFormat="false" ht="12.8" hidden="false" customHeight="false" outlineLevel="0" collapsed="false">
      <c r="B13124" s="0" t="s">
        <v>8</v>
      </c>
    </row>
    <row r="13125" customFormat="false" ht="12.8" hidden="false" customHeight="false" outlineLevel="0" collapsed="false">
      <c r="B13125" s="0" t="s">
        <v>164</v>
      </c>
    </row>
    <row r="13127" customFormat="false" ht="12.8" hidden="false" customHeight="false" outlineLevel="0" collapsed="false">
      <c r="A13127" s="0" t="s">
        <v>6165</v>
      </c>
      <c r="B13127" s="0" t="str">
        <f aca="false">HYPERLINK("https://lindat.mff.cuni.cz/services/teitok/pdtc10/index.php?action=vallex&amp;frame=v-w1730f3", "lít (v-w1730f3)")</f>
        <v>lít (v-w1730f3)</v>
      </c>
      <c r="E13127" s="0" t="str">
        <f aca="false">HYPERLINK("https://lindat.mff.cuni.cz/services/SynSemClass40/SynSemClass40.html?veclass=vec00147#vec00147-ces-cm00051", "vec00147")</f>
        <v>vec00147</v>
      </c>
      <c r="F13127" s="0" t="s">
        <v>1698</v>
      </c>
    </row>
    <row r="13128" customFormat="false" ht="12.8" hidden="false" customHeight="false" outlineLevel="0" collapsed="false">
      <c r="B13128" s="0" t="s">
        <v>1</v>
      </c>
      <c r="C13128" s="0" t="s">
        <v>1699</v>
      </c>
      <c r="E13128" s="0" t="s">
        <v>11</v>
      </c>
      <c r="F13128" s="0" t="s">
        <v>1700</v>
      </c>
    </row>
    <row r="13129" customFormat="false" ht="12.8" hidden="false" customHeight="false" outlineLevel="0" collapsed="false">
      <c r="B13129" s="0" t="s">
        <v>8</v>
      </c>
      <c r="C13129" s="0" t="s">
        <v>1701</v>
      </c>
      <c r="E13129" s="0" t="s">
        <v>1702</v>
      </c>
      <c r="F13129" s="0" t="s">
        <v>1703</v>
      </c>
    </row>
    <row r="13130" customFormat="false" ht="12.8" hidden="false" customHeight="false" outlineLevel="0" collapsed="false">
      <c r="B13130" s="0" t="s">
        <v>164</v>
      </c>
      <c r="C13130" s="0" t="s">
        <v>1704</v>
      </c>
      <c r="E13130" s="0" t="s">
        <v>1705</v>
      </c>
      <c r="F13130" s="0" t="s">
        <v>1706</v>
      </c>
    </row>
    <row r="13132" customFormat="false" ht="12.8" hidden="false" customHeight="false" outlineLevel="0" collapsed="false">
      <c r="A13132" s="0" t="s">
        <v>6166</v>
      </c>
      <c r="B13132" s="0" t="str">
        <f aca="false">HYPERLINK("https://lindat.mff.cuni.cz/services/teitok/pdtc10/index.php?action=vallex&amp;frame=v-w1730f1", "lít (v-w1730f1)")</f>
        <v>lít (v-w1730f1)</v>
      </c>
    </row>
    <row r="13134" customFormat="false" ht="12.8" hidden="false" customHeight="false" outlineLevel="0" collapsed="false">
      <c r="A13134" s="0" t="s">
        <v>6167</v>
      </c>
      <c r="B13134" s="0" t="str">
        <f aca="false">HYPERLINK("https://lindat.mff.cuni.cz/services/teitok/pdtc10/index.php?action=vallex&amp;frame=v-w1730f4_ZU", "lít (v-w1730f4_ZU)")</f>
        <v>lít (v-w1730f4_ZU)</v>
      </c>
    </row>
    <row r="13135" customFormat="false" ht="12.8" hidden="false" customHeight="false" outlineLevel="0" collapsed="false">
      <c r="B13135" s="0" t="s">
        <v>1</v>
      </c>
    </row>
    <row r="13136" customFormat="false" ht="12.8" hidden="false" customHeight="false" outlineLevel="0" collapsed="false">
      <c r="B13136" s="0" t="s">
        <v>6168</v>
      </c>
    </row>
    <row r="13138" customFormat="false" ht="12.8" hidden="false" customHeight="false" outlineLevel="0" collapsed="false">
      <c r="A13138" s="0" t="s">
        <v>6169</v>
      </c>
      <c r="B13138" s="0" t="str">
        <f aca="false">HYPERLINK("https://lindat.mff.cuni.cz/services/teitok/pdtc10/index.php?action=vallex&amp;frame=v-w1730hsa_295", "lít (v-w1730hsa_295)")</f>
        <v>lít (v-w1730hsa_295)</v>
      </c>
    </row>
    <row r="13139" customFormat="false" ht="12.8" hidden="false" customHeight="false" outlineLevel="0" collapsed="false">
      <c r="B13139" s="0" t="s">
        <v>1</v>
      </c>
    </row>
    <row r="13140" customFormat="false" ht="12.8" hidden="false" customHeight="false" outlineLevel="0" collapsed="false">
      <c r="B13140" s="0" t="s">
        <v>8</v>
      </c>
    </row>
    <row r="13142" customFormat="false" ht="12.8" hidden="false" customHeight="false" outlineLevel="0" collapsed="false">
      <c r="A13142" s="0" t="s">
        <v>6170</v>
      </c>
      <c r="B13142" s="0" t="str">
        <f aca="false">HYPERLINK("https://lindat.mff.cuni.cz/services/teitok/pdtc10/index.php?action=vallex&amp;frame=v-w11516_ZUf4_ZU", "lítat (v-w11516_ZUf4_ZU)")</f>
        <v>lítat (v-w11516_ZUf4_ZU)</v>
      </c>
    </row>
    <row r="13143" customFormat="false" ht="12.8" hidden="false" customHeight="false" outlineLevel="0" collapsed="false">
      <c r="B13143" s="0" t="s">
        <v>1</v>
      </c>
    </row>
    <row r="13145" customFormat="false" ht="12.8" hidden="false" customHeight="false" outlineLevel="0" collapsed="false">
      <c r="A13145" s="0" t="s">
        <v>6170</v>
      </c>
      <c r="B13145" s="0" t="str">
        <f aca="false">HYPERLINK("https://lindat.mff.cuni.cz/services/teitok/pdtc10/index.php?action=vallex&amp;frame=v-w11516_ZUf1_ZU", "lítat (v-w11516_ZUf1_ZU) - substituted with v-w11516_ZUf4_ZU")</f>
        <v>lítat (v-w11516_ZUf1_ZU) - substituted with v-w11516_ZUf4_ZU</v>
      </c>
    </row>
    <row r="13146" customFormat="false" ht="12.8" hidden="false" customHeight="false" outlineLevel="0" collapsed="false">
      <c r="B13146" s="0" t="s">
        <v>1</v>
      </c>
    </row>
    <row r="13148" customFormat="false" ht="12.8" hidden="false" customHeight="false" outlineLevel="0" collapsed="false">
      <c r="A13148" s="0" t="s">
        <v>6170</v>
      </c>
      <c r="B13148" s="0" t="str">
        <f aca="false">HYPERLINK("https://lindat.mff.cuni.cz/services/teitok/pdtc10/index.php?action=vallex&amp;frame=v-w11516_ZUf2_ZU", "lítat (v-w11516_ZUf2_ZU) - substituted with v-w11516_ZUf4_ZU")</f>
        <v>lítat (v-w11516_ZUf2_ZU) - substituted with v-w11516_ZUf4_ZU</v>
      </c>
    </row>
    <row r="13149" customFormat="false" ht="12.8" hidden="false" customHeight="false" outlineLevel="0" collapsed="false">
      <c r="B13149" s="0" t="s">
        <v>1</v>
      </c>
    </row>
    <row r="13151" customFormat="false" ht="12.8" hidden="false" customHeight="false" outlineLevel="0" collapsed="false">
      <c r="A13151" s="0" t="s">
        <v>6170</v>
      </c>
      <c r="B13151" s="0" t="str">
        <f aca="false">HYPERLINK("https://lindat.mff.cuni.cz/services/teitok/pdtc10/index.php?action=vallex&amp;frame=v-w11516_ZUf3_ZU", "lítat (v-w11516_ZUf3_ZU) - substituted with v-w11516_ZUf4_ZU")</f>
        <v>lítat (v-w11516_ZUf3_ZU) - substituted with v-w11516_ZUf4_ZU</v>
      </c>
    </row>
    <row r="13152" customFormat="false" ht="12.8" hidden="false" customHeight="false" outlineLevel="0" collapsed="false">
      <c r="B13152" s="0" t="s">
        <v>1</v>
      </c>
    </row>
    <row r="13154" customFormat="false" ht="12.8" hidden="false" customHeight="false" outlineLevel="0" collapsed="false">
      <c r="A13154" s="0" t="s">
        <v>6171</v>
      </c>
      <c r="B13154" s="0" t="str">
        <f aca="false">HYPERLINK("https://lindat.mff.cuni.cz/services/teitok/pdtc10/index.php?action=vallex&amp;frame=v-w11516_ZUf5_ZU", "lítat (v-w11516_ZUf5_ZU)")</f>
        <v>lítat (v-w11516_ZUf5_ZU)</v>
      </c>
    </row>
    <row r="13155" customFormat="false" ht="12.8" hidden="false" customHeight="false" outlineLevel="0" collapsed="false">
      <c r="B13155" s="0" t="s">
        <v>1</v>
      </c>
    </row>
    <row r="13157" customFormat="false" ht="12.8" hidden="false" customHeight="false" outlineLevel="0" collapsed="false">
      <c r="A13157" s="0" t="s">
        <v>6172</v>
      </c>
      <c r="B13157" s="0" t="str">
        <f aca="false">HYPERLINK("https://lindat.mff.cuni.cz/services/teitok/pdtc10/index.php?action=vallex&amp;frame=v-w11516_ZUhsa_696", "lítat (v-w11516_ZUhsa_696)")</f>
        <v>lítat (v-w11516_ZUhsa_696)</v>
      </c>
    </row>
    <row r="13158" customFormat="false" ht="12.8" hidden="false" customHeight="false" outlineLevel="0" collapsed="false">
      <c r="B13158" s="0" t="s">
        <v>1</v>
      </c>
    </row>
    <row r="13160" customFormat="false" ht="12.8" hidden="false" customHeight="false" outlineLevel="0" collapsed="false">
      <c r="A13160" s="0" t="s">
        <v>6173</v>
      </c>
      <c r="B13160" s="0" t="str">
        <f aca="false">HYPERLINK("https://lindat.mff.cuni.cz/services/teitok/pdtc10/index.php?action=vallex&amp;frame=v-w11516_ZUhsa_697", "lítat (v-w11516_ZUhsa_697)")</f>
        <v>lítat (v-w11516_ZUhsa_697)</v>
      </c>
    </row>
    <row r="13161" customFormat="false" ht="12.8" hidden="false" customHeight="false" outlineLevel="0" collapsed="false">
      <c r="B13161" s="0" t="s">
        <v>1</v>
      </c>
    </row>
    <row r="13163" customFormat="false" ht="12.8" hidden="false" customHeight="false" outlineLevel="0" collapsed="false">
      <c r="A13163" s="0" t="s">
        <v>6174</v>
      </c>
      <c r="B13163" s="0" t="str">
        <f aca="false">HYPERLINK("https://lindat.mff.cuni.cz/services/teitok/pdtc10/index.php?action=vallex&amp;frame=v-w11516_ZUhsa_698", "lítat (v-w11516_ZUhsa_698)")</f>
        <v>lítat (v-w11516_ZUhsa_698)</v>
      </c>
    </row>
    <row r="13164" customFormat="false" ht="12.8" hidden="false" customHeight="false" outlineLevel="0" collapsed="false">
      <c r="B13164" s="0" t="s">
        <v>1</v>
      </c>
    </row>
    <row r="13165" customFormat="false" ht="12.8" hidden="false" customHeight="false" outlineLevel="0" collapsed="false">
      <c r="B13165" s="0" t="s">
        <v>8</v>
      </c>
    </row>
    <row r="13167" customFormat="false" ht="12.8" hidden="false" customHeight="false" outlineLevel="0" collapsed="false">
      <c r="A13167" s="0" t="s">
        <v>6175</v>
      </c>
      <c r="B13167" s="0" t="str">
        <f aca="false">HYPERLINK("https://lindat.mff.cuni.cz/services/teitok/pdtc10/index.php?action=vallex&amp;frame=v-w11516_ZUhsa_699", "lítat (v-w11516_ZUhsa_699)")</f>
        <v>lítat (v-w11516_ZUhsa_699)</v>
      </c>
    </row>
    <row r="13168" customFormat="false" ht="12.8" hidden="false" customHeight="false" outlineLevel="0" collapsed="false">
      <c r="B13168" s="0" t="s">
        <v>1</v>
      </c>
    </row>
    <row r="13169" customFormat="false" ht="12.8" hidden="false" customHeight="false" outlineLevel="0" collapsed="false">
      <c r="B13169" s="0" t="s">
        <v>721</v>
      </c>
    </row>
    <row r="13171" customFormat="false" ht="12.8" hidden="false" customHeight="false" outlineLevel="0" collapsed="false">
      <c r="A13171" s="0" t="s">
        <v>6176</v>
      </c>
      <c r="B13171" s="0" t="str">
        <f aca="false">HYPERLINK("https://lindat.mff.cuni.cz/services/teitok/pdtc10/index.php?action=vallex&amp;frame=v-w10352f2", "lízat (v-w10352f2)")</f>
        <v>lízat (v-w10352f2)</v>
      </c>
    </row>
    <row r="13172" customFormat="false" ht="12.8" hidden="false" customHeight="false" outlineLevel="0" collapsed="false">
      <c r="B13172" s="0" t="s">
        <v>1</v>
      </c>
    </row>
    <row r="13173" customFormat="false" ht="12.8" hidden="false" customHeight="false" outlineLevel="0" collapsed="false">
      <c r="B13173" s="0" t="s">
        <v>8</v>
      </c>
    </row>
    <row r="13175" customFormat="false" ht="12.8" hidden="false" customHeight="false" outlineLevel="0" collapsed="false">
      <c r="A13175" s="0" t="s">
        <v>6177</v>
      </c>
      <c r="B13175" s="0" t="str">
        <f aca="false">HYPERLINK("https://lindat.mff.cuni.cz/services/teitok/pdtc10/index.php?action=vallex&amp;frame=v-w10352f3_ZU", "lízat (v-w10352f3_ZU)")</f>
        <v>lízat (v-w10352f3_ZU)</v>
      </c>
    </row>
    <row r="13176" customFormat="false" ht="12.8" hidden="false" customHeight="false" outlineLevel="0" collapsed="false">
      <c r="B13176" s="0" t="s">
        <v>1</v>
      </c>
    </row>
    <row r="13177" customFormat="false" ht="12.8" hidden="false" customHeight="false" outlineLevel="0" collapsed="false">
      <c r="B13177" s="0" t="s">
        <v>8</v>
      </c>
    </row>
    <row r="13179" customFormat="false" ht="12.8" hidden="false" customHeight="false" outlineLevel="0" collapsed="false">
      <c r="A13179" s="0" t="s">
        <v>6178</v>
      </c>
      <c r="B13179" s="0" t="str">
        <f aca="false">HYPERLINK("https://lindat.mff.cuni.cz/services/teitok/pdtc10/index.php?action=vallex&amp;frame=v-w10352hsa_247", "lízat (v-w10352hsa_247)")</f>
        <v>lízat (v-w10352hsa_247)</v>
      </c>
    </row>
    <row r="13180" customFormat="false" ht="12.8" hidden="false" customHeight="false" outlineLevel="0" collapsed="false">
      <c r="B13180" s="0" t="s">
        <v>1</v>
      </c>
    </row>
    <row r="13181" customFormat="false" ht="12.8" hidden="false" customHeight="false" outlineLevel="0" collapsed="false">
      <c r="B13181" s="0" t="s">
        <v>8</v>
      </c>
    </row>
    <row r="13183" customFormat="false" ht="12.8" hidden="false" customHeight="false" outlineLevel="0" collapsed="false">
      <c r="A13183" s="0" t="s">
        <v>6179</v>
      </c>
      <c r="B13183" s="0" t="str">
        <f aca="false">HYPERLINK("https://lindat.mff.cuni.cz/services/teitok/pdtc10/index.php?action=vallex&amp;frame=v-w12328_MMf1_MM", "líznout (v-w12328_MMf1_MM)")</f>
        <v>líznout (v-w12328_MMf1_MM)</v>
      </c>
    </row>
    <row r="13184" customFormat="false" ht="12.8" hidden="false" customHeight="false" outlineLevel="0" collapsed="false">
      <c r="B13184" s="0" t="s">
        <v>1</v>
      </c>
    </row>
    <row r="13185" customFormat="false" ht="12.8" hidden="false" customHeight="false" outlineLevel="0" collapsed="false">
      <c r="B13185" s="0" t="s">
        <v>8</v>
      </c>
    </row>
    <row r="13187" customFormat="false" ht="12.8" hidden="false" customHeight="false" outlineLevel="0" collapsed="false">
      <c r="A13187" s="0" t="s">
        <v>6180</v>
      </c>
      <c r="B13187" s="0" t="str">
        <f aca="false">HYPERLINK("https://lindat.mff.cuni.cz/services/teitok/pdtc10/index.php?action=vallex&amp;frame=v-w1712f3_ZU", "líčit (v-w1712f3_ZU)")</f>
        <v>líčit (v-w1712f3_ZU)</v>
      </c>
    </row>
    <row r="13188" customFormat="false" ht="12.8" hidden="false" customHeight="false" outlineLevel="0" collapsed="false">
      <c r="B13188" s="0" t="s">
        <v>1</v>
      </c>
    </row>
    <row r="13189" customFormat="false" ht="12.8" hidden="false" customHeight="false" outlineLevel="0" collapsed="false">
      <c r="B13189" s="0" t="s">
        <v>6181</v>
      </c>
    </row>
    <row r="13190" customFormat="false" ht="12.8" hidden="false" customHeight="false" outlineLevel="0" collapsed="false">
      <c r="B13190" s="0" t="s">
        <v>132</v>
      </c>
    </row>
    <row r="13192" customFormat="false" ht="12.8" hidden="false" customHeight="false" outlineLevel="0" collapsed="false">
      <c r="A13192" s="0" t="s">
        <v>6180</v>
      </c>
      <c r="B13192" s="0" t="str">
        <f aca="false">HYPERLINK("https://lindat.mff.cuni.cz/services/teitok/pdtc10/index.php?action=vallex&amp;frame=v-w1712f1", "líčit (v-w1712f1) - substituted with v-w1712f3_ZU")</f>
        <v>líčit (v-w1712f1) - substituted with v-w1712f3_ZU</v>
      </c>
      <c r="E13192" s="0" t="str">
        <f aca="false">HYPERLINK("https://lindat.mff.cuni.cz/services/SynSemClass40/SynSemClass40.html?veclass=vec00417#vec00417-ces-cm00002", "vec00417")</f>
        <v>vec00417</v>
      </c>
      <c r="F13192" s="0" t="s">
        <v>1372</v>
      </c>
      <c r="H13192" s="0" t="str">
        <f aca="false">HYPERLINK("https://lindat.mff.cuni.cz/services/SynSemClass40/SynSemClass40.html?veclass=vec01353#vec01353-ces-cm00020", "vec01353")</f>
        <v>vec01353</v>
      </c>
      <c r="I13192" s="0" t="s">
        <v>6182</v>
      </c>
    </row>
    <row r="13193" customFormat="false" ht="12.8" hidden="false" customHeight="false" outlineLevel="0" collapsed="false">
      <c r="B13193" s="0" t="s">
        <v>1</v>
      </c>
      <c r="C13193" s="0" t="s">
        <v>6183</v>
      </c>
      <c r="E13193" s="0" t="s">
        <v>63</v>
      </c>
      <c r="F13193" s="0" t="s">
        <v>1374</v>
      </c>
      <c r="H13193" s="0" t="s">
        <v>147</v>
      </c>
      <c r="I13193" s="0" t="s">
        <v>6184</v>
      </c>
    </row>
    <row r="13194" customFormat="false" ht="12.8" hidden="false" customHeight="false" outlineLevel="0" collapsed="false">
      <c r="B13194" s="0" t="s">
        <v>6181</v>
      </c>
      <c r="C13194" s="0" t="s">
        <v>6185</v>
      </c>
      <c r="E13194" s="0" t="s">
        <v>1376</v>
      </c>
      <c r="F13194" s="0" t="s">
        <v>1377</v>
      </c>
      <c r="H13194" s="0" t="s">
        <v>218</v>
      </c>
      <c r="I13194" s="0" t="s">
        <v>6186</v>
      </c>
    </row>
    <row r="13195" customFormat="false" ht="12.8" hidden="false" customHeight="false" outlineLevel="0" collapsed="false">
      <c r="B13195" s="0" t="s">
        <v>132</v>
      </c>
      <c r="C13195" s="0" t="s">
        <v>6187</v>
      </c>
      <c r="E13195" s="0" t="s">
        <v>221</v>
      </c>
      <c r="F13195" s="0" t="s">
        <v>4699</v>
      </c>
      <c r="H13195" s="0" t="s">
        <v>221</v>
      </c>
      <c r="I13195" s="0" t="s">
        <v>6188</v>
      </c>
    </row>
    <row r="13197" customFormat="false" ht="12.8" hidden="false" customHeight="false" outlineLevel="0" collapsed="false">
      <c r="A13197" s="0" t="s">
        <v>6189</v>
      </c>
      <c r="B13197" s="0" t="str">
        <f aca="false">HYPERLINK("https://lindat.mff.cuni.cz/services/teitok/pdtc10/index.php?action=vallex&amp;frame=v-w1712f2", "líčit (v-w1712f2)")</f>
        <v>líčit (v-w1712f2)</v>
      </c>
    </row>
    <row r="13198" customFormat="false" ht="12.8" hidden="false" customHeight="false" outlineLevel="0" collapsed="false">
      <c r="B13198" s="0" t="s">
        <v>1</v>
      </c>
    </row>
    <row r="13199" customFormat="false" ht="12.8" hidden="false" customHeight="false" outlineLevel="0" collapsed="false">
      <c r="B13199" s="0" t="s">
        <v>8</v>
      </c>
    </row>
    <row r="13201" customFormat="false" ht="12.8" hidden="false" customHeight="false" outlineLevel="0" collapsed="false">
      <c r="A13201" s="0" t="s">
        <v>6190</v>
      </c>
      <c r="B13201" s="0" t="str">
        <f aca="false">HYPERLINK("https://lindat.mff.cuni.cz/services/teitok/pdtc10/index.php?action=vallex&amp;frame=v-w1765f1", "makat (v-w1765f1)")</f>
        <v>makat (v-w1765f1)</v>
      </c>
    </row>
    <row r="13202" customFormat="false" ht="12.8" hidden="false" customHeight="false" outlineLevel="0" collapsed="false">
      <c r="B13202" s="0" t="s">
        <v>1</v>
      </c>
    </row>
    <row r="13204" customFormat="false" ht="12.8" hidden="false" customHeight="false" outlineLevel="0" collapsed="false">
      <c r="A13204" s="0" t="s">
        <v>6191</v>
      </c>
      <c r="B13204" s="0" t="str">
        <f aca="false">HYPERLINK("https://lindat.mff.cuni.cz/services/teitok/pdtc10/index.php?action=vallex&amp;frame=v-w1771f4_ZU", "malovat (v-w1771f4_ZU)")</f>
        <v>malovat (v-w1771f4_ZU)</v>
      </c>
    </row>
    <row r="13205" customFormat="false" ht="12.8" hidden="false" customHeight="false" outlineLevel="0" collapsed="false">
      <c r="B13205" s="0" t="s">
        <v>1</v>
      </c>
    </row>
    <row r="13206" customFormat="false" ht="12.8" hidden="false" customHeight="false" outlineLevel="0" collapsed="false">
      <c r="B13206" s="0" t="s">
        <v>8</v>
      </c>
    </row>
    <row r="13208" customFormat="false" ht="12.8" hidden="false" customHeight="false" outlineLevel="0" collapsed="false">
      <c r="A13208" s="0" t="s">
        <v>6191</v>
      </c>
      <c r="B13208" s="0" t="str">
        <f aca="false">HYPERLINK("https://lindat.mff.cuni.cz/services/teitok/pdtc10/index.php?action=vallex&amp;frame=v-w1771f1", "malovat (v-w1771f1) - substituted with v-w1771f4_ZU")</f>
        <v>malovat (v-w1771f1) - substituted with v-w1771f4_ZU</v>
      </c>
      <c r="E13208" s="0" t="str">
        <f aca="false">HYPERLINK("https://lindat.mff.cuni.cz/services/SynSemClass40/SynSemClass40.html?veclass=vec00638#vec00638-ces-cm00007", "vec00638")</f>
        <v>vec00638</v>
      </c>
      <c r="F13208" s="0" t="s">
        <v>5745</v>
      </c>
    </row>
    <row r="13209" customFormat="false" ht="12.8" hidden="false" customHeight="false" outlineLevel="0" collapsed="false">
      <c r="B13209" s="0" t="s">
        <v>1</v>
      </c>
      <c r="C13209" s="0" t="s">
        <v>447</v>
      </c>
      <c r="E13209" s="0" t="s">
        <v>768</v>
      </c>
      <c r="F13209" s="0" t="s">
        <v>5637</v>
      </c>
    </row>
    <row r="13210" customFormat="false" ht="12.8" hidden="false" customHeight="false" outlineLevel="0" collapsed="false">
      <c r="B13210" s="0" t="s">
        <v>8</v>
      </c>
      <c r="C13210" s="0" t="s">
        <v>1575</v>
      </c>
      <c r="E13210" s="0" t="s">
        <v>771</v>
      </c>
      <c r="F13210" s="0" t="s">
        <v>5746</v>
      </c>
    </row>
    <row r="13212" customFormat="false" ht="12.8" hidden="false" customHeight="false" outlineLevel="0" collapsed="false">
      <c r="A13212" s="0" t="s">
        <v>6192</v>
      </c>
      <c r="B13212" s="0" t="str">
        <f aca="false">HYPERLINK("https://lindat.mff.cuni.cz/services/teitok/pdtc10/index.php?action=vallex&amp;frame=v-w1771hsa_512", "malovat (v-w1771hsa_512)")</f>
        <v>malovat (v-w1771hsa_512)</v>
      </c>
      <c r="E13212" s="0" t="str">
        <f aca="false">HYPERLINK("https://lindat.mff.cuni.cz/services/SynSemClass40/SynSemClass40.html?veclass=vec00402#vec00402-ces-cm00150", "vec00402")</f>
        <v>vec00402</v>
      </c>
      <c r="F13212" s="0" t="s">
        <v>619</v>
      </c>
    </row>
    <row r="13213" customFormat="false" ht="12.8" hidden="false" customHeight="false" outlineLevel="0" collapsed="false">
      <c r="B13213" s="0" t="s">
        <v>1</v>
      </c>
      <c r="C13213" s="0" t="s">
        <v>620</v>
      </c>
      <c r="E13213" s="0" t="s">
        <v>621</v>
      </c>
      <c r="F13213" s="0" t="s">
        <v>622</v>
      </c>
    </row>
    <row r="13214" customFormat="false" ht="12.8" hidden="false" customHeight="false" outlineLevel="0" collapsed="false">
      <c r="B13214" s="0" t="s">
        <v>8</v>
      </c>
      <c r="C13214" s="0" t="s">
        <v>6193</v>
      </c>
      <c r="E13214" s="0" t="s">
        <v>6194</v>
      </c>
      <c r="F13214" s="0" t="s">
        <v>6195</v>
      </c>
    </row>
    <row r="13216" customFormat="false" ht="12.8" hidden="false" customHeight="false" outlineLevel="0" collapsed="false">
      <c r="A13216" s="0" t="s">
        <v>6196</v>
      </c>
      <c r="B13216" s="0" t="str">
        <f aca="false">HYPERLINK("https://lindat.mff.cuni.cz/services/teitok/pdtc10/index.php?action=vallex&amp;frame=v-w1771f2_ZU", "malovat (v-w1771f2_ZU)")</f>
        <v>malovat (v-w1771f2_ZU)</v>
      </c>
    </row>
    <row r="13217" customFormat="false" ht="12.8" hidden="false" customHeight="false" outlineLevel="0" collapsed="false">
      <c r="B13217" s="0" t="s">
        <v>1</v>
      </c>
    </row>
    <row r="13218" customFormat="false" ht="12.8" hidden="false" customHeight="false" outlineLevel="0" collapsed="false">
      <c r="B13218" s="0" t="s">
        <v>8</v>
      </c>
    </row>
    <row r="13220" customFormat="false" ht="12.8" hidden="false" customHeight="false" outlineLevel="0" collapsed="false">
      <c r="A13220" s="0" t="s">
        <v>6197</v>
      </c>
      <c r="B13220" s="0" t="str">
        <f aca="false">HYPERLINK("https://lindat.mff.cuni.cz/services/teitok/pdtc10/index.php?action=vallex&amp;frame=v-w1771f3_ZU", "malovat (v-w1771f3_ZU)")</f>
        <v>malovat (v-w1771f3_ZU)</v>
      </c>
    </row>
    <row r="13221" customFormat="false" ht="12.8" hidden="false" customHeight="false" outlineLevel="0" collapsed="false">
      <c r="B13221" s="0" t="s">
        <v>1</v>
      </c>
    </row>
    <row r="13222" customFormat="false" ht="12.8" hidden="false" customHeight="false" outlineLevel="0" collapsed="false">
      <c r="B13222" s="0" t="s">
        <v>8</v>
      </c>
    </row>
    <row r="13224" customFormat="false" ht="12.8" hidden="false" customHeight="false" outlineLevel="0" collapsed="false">
      <c r="A13224" s="0" t="s">
        <v>6198</v>
      </c>
      <c r="B13224" s="0" t="str">
        <f aca="false">HYPERLINK("https://lindat.mff.cuni.cz/services/teitok/pdtc10/index.php?action=vallex&amp;frame=v-w1778f3_ZU", "manipulovat (v-w1778f3_ZU)")</f>
        <v>manipulovat (v-w1778f3_ZU)</v>
      </c>
      <c r="E13224" s="0" t="str">
        <f aca="false">HYPERLINK("https://lindat.mff.cuni.cz/services/SynSemClass40/SynSemClass40.html?veclass=vec00254#vec00254-ces-cm00026", "vec00254")</f>
        <v>vec00254</v>
      </c>
      <c r="F13224" s="0" t="s">
        <v>3007</v>
      </c>
    </row>
    <row r="13225" customFormat="false" ht="12.8" hidden="false" customHeight="false" outlineLevel="0" collapsed="false">
      <c r="B13225" s="0" t="s">
        <v>1</v>
      </c>
      <c r="C13225" s="0" t="s">
        <v>6199</v>
      </c>
      <c r="E13225" s="0" t="s">
        <v>3010</v>
      </c>
      <c r="F13225" s="0" t="s">
        <v>3011</v>
      </c>
    </row>
    <row r="13226" customFormat="false" ht="12.8" hidden="false" customHeight="false" outlineLevel="0" collapsed="false">
      <c r="B13226" s="0" t="s">
        <v>2024</v>
      </c>
      <c r="C13226" s="0" t="s">
        <v>6200</v>
      </c>
      <c r="E13226" s="0" t="s">
        <v>142</v>
      </c>
      <c r="F13226" s="0" t="s">
        <v>3014</v>
      </c>
    </row>
    <row r="13228" customFormat="false" ht="12.8" hidden="false" customHeight="false" outlineLevel="0" collapsed="false">
      <c r="A13228" s="0" t="s">
        <v>6198</v>
      </c>
      <c r="B13228" s="0" t="str">
        <f aca="false">HYPERLINK("https://lindat.mff.cuni.cz/services/teitok/pdtc10/index.php?action=vallex&amp;frame=v-w1778f1", "manipulovat (v-w1778f1) - substituted with v-w1778f3_ZU")</f>
        <v>manipulovat (v-w1778f1) - substituted with v-w1778f3_ZU</v>
      </c>
    </row>
    <row r="13229" customFormat="false" ht="12.8" hidden="false" customHeight="false" outlineLevel="0" collapsed="false">
      <c r="B13229" s="0" t="s">
        <v>1</v>
      </c>
    </row>
    <row r="13230" customFormat="false" ht="12.8" hidden="false" customHeight="false" outlineLevel="0" collapsed="false">
      <c r="B13230" s="0" t="s">
        <v>2024</v>
      </c>
    </row>
    <row r="13232" customFormat="false" ht="12.8" hidden="false" customHeight="false" outlineLevel="0" collapsed="false">
      <c r="A13232" s="0" t="s">
        <v>6198</v>
      </c>
      <c r="B13232" s="0" t="str">
        <f aca="false">HYPERLINK("https://lindat.mff.cuni.cz/services/teitok/pdtc10/index.php?action=vallex&amp;frame=v-w1778hsa_1044", "manipulovat (v-w1778hsa_1044) - substituted with v-w1778f3_ZU")</f>
        <v>manipulovat (v-w1778hsa_1044) - substituted with v-w1778f3_ZU</v>
      </c>
    </row>
    <row r="13233" customFormat="false" ht="12.8" hidden="false" customHeight="false" outlineLevel="0" collapsed="false">
      <c r="B13233" s="0" t="s">
        <v>1</v>
      </c>
    </row>
    <row r="13234" customFormat="false" ht="12.8" hidden="false" customHeight="false" outlineLevel="0" collapsed="false">
      <c r="B13234" s="0" t="s">
        <v>2024</v>
      </c>
    </row>
    <row r="13236" customFormat="false" ht="12.8" hidden="false" customHeight="false" outlineLevel="0" collapsed="false">
      <c r="A13236" s="0" t="s">
        <v>6201</v>
      </c>
      <c r="B13236" s="0" t="str">
        <f aca="false">HYPERLINK("https://lindat.mff.cuni.cz/services/teitok/pdtc10/index.php?action=vallex&amp;frame=v-w1778f5_ZU", "manipulovat (v-w1778f5_ZU)")</f>
        <v>manipulovat (v-w1778f5_ZU)</v>
      </c>
      <c r="E13236" s="0" t="str">
        <f aca="false">HYPERLINK("https://lindat.mff.cuni.cz/services/SynSemClass40/SynSemClass40.html?veclass=vec00254#vec00254-ces-cm00027", "vec00254")</f>
        <v>vec00254</v>
      </c>
      <c r="F13236" s="0" t="s">
        <v>3007</v>
      </c>
    </row>
    <row r="13237" customFormat="false" ht="12.8" hidden="false" customHeight="false" outlineLevel="0" collapsed="false">
      <c r="B13237" s="0" t="s">
        <v>1</v>
      </c>
      <c r="C13237" s="0" t="s">
        <v>6199</v>
      </c>
      <c r="E13237" s="0" t="s">
        <v>3010</v>
      </c>
      <c r="F13237" s="0" t="s">
        <v>3011</v>
      </c>
    </row>
    <row r="13238" customFormat="false" ht="12.8" hidden="false" customHeight="false" outlineLevel="0" collapsed="false">
      <c r="B13238" s="0" t="s">
        <v>2024</v>
      </c>
      <c r="C13238" s="0" t="s">
        <v>6200</v>
      </c>
      <c r="E13238" s="0" t="s">
        <v>142</v>
      </c>
      <c r="F13238" s="0" t="s">
        <v>3014</v>
      </c>
    </row>
    <row r="13240" customFormat="false" ht="12.8" hidden="false" customHeight="false" outlineLevel="0" collapsed="false">
      <c r="A13240" s="0" t="s">
        <v>6201</v>
      </c>
      <c r="B13240" s="0" t="str">
        <f aca="false">HYPERLINK("https://lindat.mff.cuni.cz/services/teitok/pdtc10/index.php?action=vallex&amp;frame=v-w1778f2", "manipulovat (v-w1778f2) - substituted with v-w1778f5_ZU")</f>
        <v>manipulovat (v-w1778f2) - substituted with v-w1778f5_ZU</v>
      </c>
    </row>
    <row r="13241" customFormat="false" ht="12.8" hidden="false" customHeight="false" outlineLevel="0" collapsed="false">
      <c r="B13241" s="0" t="s">
        <v>1</v>
      </c>
    </row>
    <row r="13242" customFormat="false" ht="12.8" hidden="false" customHeight="false" outlineLevel="0" collapsed="false">
      <c r="B13242" s="0" t="s">
        <v>2024</v>
      </c>
    </row>
    <row r="13244" customFormat="false" ht="12.8" hidden="false" customHeight="false" outlineLevel="0" collapsed="false">
      <c r="A13244" s="0" t="s">
        <v>6201</v>
      </c>
      <c r="B13244" s="0" t="str">
        <f aca="false">HYPERLINK("https://lindat.mff.cuni.cz/services/teitok/pdtc10/index.php?action=vallex&amp;frame=v-w1778f4_ZU", "manipulovat (v-w1778f4_ZU) - substituted with v-w1778f5_ZU")</f>
        <v>manipulovat (v-w1778f4_ZU) - substituted with v-w1778f5_ZU</v>
      </c>
    </row>
    <row r="13245" customFormat="false" ht="12.8" hidden="false" customHeight="false" outlineLevel="0" collapsed="false">
      <c r="B13245" s="0" t="s">
        <v>1</v>
      </c>
    </row>
    <row r="13246" customFormat="false" ht="12.8" hidden="false" customHeight="false" outlineLevel="0" collapsed="false">
      <c r="B13246" s="0" t="s">
        <v>2024</v>
      </c>
    </row>
    <row r="13248" customFormat="false" ht="12.8" hidden="false" customHeight="false" outlineLevel="0" collapsed="false">
      <c r="A13248" s="0" t="s">
        <v>6201</v>
      </c>
      <c r="B13248" s="0" t="str">
        <f aca="false">HYPERLINK("https://lindat.mff.cuni.cz/services/teitok/pdtc10/index.php?action=vallex&amp;frame=v-w1778hsa_1045", "manipulovat (v-w1778hsa_1045) - substituted with v-w1778f5_ZU")</f>
        <v>manipulovat (v-w1778hsa_1045) - substituted with v-w1778f5_ZU</v>
      </c>
    </row>
    <row r="13249" customFormat="false" ht="12.8" hidden="false" customHeight="false" outlineLevel="0" collapsed="false">
      <c r="B13249" s="0" t="s">
        <v>1</v>
      </c>
    </row>
    <row r="13250" customFormat="false" ht="12.8" hidden="false" customHeight="false" outlineLevel="0" collapsed="false">
      <c r="B13250" s="0" t="s">
        <v>2024</v>
      </c>
    </row>
    <row r="13252" customFormat="false" ht="12.8" hidden="false" customHeight="false" outlineLevel="0" collapsed="false">
      <c r="A13252" s="0" t="s">
        <v>6202</v>
      </c>
      <c r="B13252" s="0" t="str">
        <f aca="false">HYPERLINK("https://lindat.mff.cuni.cz/services/teitok/pdtc10/index.php?action=vallex&amp;frame=v-w10868f2", "manévrovat (v-w10868f2)")</f>
        <v>manévrovat (v-w10868f2)</v>
      </c>
      <c r="E13252" s="0" t="str">
        <f aca="false">HYPERLINK("https://lindat.mff.cuni.cz/services/SynSemClass40/SynSemClass40.html?veclass=vec00054#vec00054-ces-cm00031", "vec00054")</f>
        <v>vec00054</v>
      </c>
      <c r="F13252" s="0" t="s">
        <v>6203</v>
      </c>
    </row>
    <row r="13253" customFormat="false" ht="12.8" hidden="false" customHeight="false" outlineLevel="0" collapsed="false">
      <c r="B13253" s="0" t="s">
        <v>1</v>
      </c>
      <c r="C13253" s="0" t="s">
        <v>6204</v>
      </c>
      <c r="E13253" s="0" t="s">
        <v>11</v>
      </c>
      <c r="F13253" s="0" t="s">
        <v>6205</v>
      </c>
    </row>
    <row r="13254" customFormat="false" ht="12.8" hidden="false" customHeight="false" outlineLevel="0" collapsed="false">
      <c r="B13254" s="0" t="s">
        <v>5</v>
      </c>
      <c r="C13254" s="0" t="s">
        <v>6206</v>
      </c>
      <c r="E13254" s="0" t="s">
        <v>3254</v>
      </c>
      <c r="F13254" s="0" t="s">
        <v>6207</v>
      </c>
    </row>
    <row r="13256" customFormat="false" ht="12.8" hidden="false" customHeight="false" outlineLevel="0" collapsed="false">
      <c r="A13256" s="0" t="s">
        <v>6208</v>
      </c>
      <c r="B13256" s="0" t="str">
        <f aca="false">HYPERLINK("https://lindat.mff.cuni.cz/services/teitok/pdtc10/index.php?action=vallex&amp;frame=v-w1784f1", "mapovat (v-w1784f1)")</f>
        <v>mapovat (v-w1784f1)</v>
      </c>
      <c r="E13256" s="0" t="str">
        <f aca="false">HYPERLINK("https://lindat.mff.cuni.cz/services/SynSemClass40/SynSemClass40.html?veclass=vec00115#vec00115-ces-cm00237", "vec00115")</f>
        <v>vec00115</v>
      </c>
      <c r="F13256" s="0" t="s">
        <v>5568</v>
      </c>
      <c r="H13256" s="0" t="str">
        <f aca="false">HYPERLINK("https://lindat.mff.cuni.cz/services/SynSemClass40/SynSemClass40.html?veclass=vec01169#vec01169-ces-cm00022", "vec01169")</f>
        <v>vec01169</v>
      </c>
      <c r="I13256" s="0" t="s">
        <v>1955</v>
      </c>
    </row>
    <row r="13257" customFormat="false" ht="12.8" hidden="false" customHeight="false" outlineLevel="0" collapsed="false">
      <c r="B13257" s="0" t="s">
        <v>1</v>
      </c>
      <c r="C13257" s="0" t="s">
        <v>6209</v>
      </c>
      <c r="E13257" s="0" t="s">
        <v>5570</v>
      </c>
      <c r="F13257" s="0" t="s">
        <v>5571</v>
      </c>
      <c r="H13257" s="0" t="s">
        <v>1958</v>
      </c>
      <c r="I13257" s="0" t="s">
        <v>1959</v>
      </c>
    </row>
    <row r="13258" customFormat="false" ht="12.8" hidden="false" customHeight="false" outlineLevel="0" collapsed="false">
      <c r="B13258" s="0" t="s">
        <v>8</v>
      </c>
      <c r="C13258" s="0" t="s">
        <v>6210</v>
      </c>
      <c r="E13258" s="0" t="s">
        <v>180</v>
      </c>
      <c r="F13258" s="0" t="s">
        <v>5573</v>
      </c>
      <c r="H13258" s="0" t="s">
        <v>180</v>
      </c>
      <c r="I13258" s="0" t="s">
        <v>1962</v>
      </c>
    </row>
    <row r="13260" customFormat="false" ht="12.8" hidden="false" customHeight="false" outlineLevel="0" collapsed="false">
      <c r="A13260" s="0" t="s">
        <v>6211</v>
      </c>
      <c r="B13260" s="0" t="str">
        <f aca="false">HYPERLINK("https://lindat.mff.cuni.cz/services/teitok/pdtc10/index.php?action=vallex&amp;frame=v-whsa_1917hsa_1918", "marodit (v-whsa_1917hsa_1918)")</f>
        <v>marodit (v-whsa_1917hsa_1918)</v>
      </c>
    </row>
    <row r="13261" customFormat="false" ht="12.8" hidden="false" customHeight="false" outlineLevel="0" collapsed="false">
      <c r="B13261" s="0" t="s">
        <v>1</v>
      </c>
    </row>
    <row r="13262" customFormat="false" ht="12.8" hidden="false" customHeight="false" outlineLevel="0" collapsed="false">
      <c r="B13262" s="0" t="s">
        <v>3321</v>
      </c>
    </row>
    <row r="13264" customFormat="false" ht="12.8" hidden="false" customHeight="false" outlineLevel="0" collapsed="false">
      <c r="A13264" s="0" t="s">
        <v>6212</v>
      </c>
      <c r="B13264" s="0" t="str">
        <f aca="false">HYPERLINK("https://lindat.mff.cuni.cz/services/teitok/pdtc10/index.php?action=vallex&amp;frame=v-w1790f1", "maskovat (v-w1790f1)")</f>
        <v>maskovat (v-w1790f1)</v>
      </c>
      <c r="E13264" s="0" t="str">
        <f aca="false">HYPERLINK("https://lindat.mff.cuni.cz/services/SynSemClass40/SynSemClass40.html?veclass=vec00514#vec00514-ces-cm00002", "vec00514")</f>
        <v>vec00514</v>
      </c>
      <c r="F13264" s="0" t="s">
        <v>5808</v>
      </c>
    </row>
    <row r="13265" customFormat="false" ht="12.8" hidden="false" customHeight="false" outlineLevel="0" collapsed="false">
      <c r="B13265" s="0" t="s">
        <v>1</v>
      </c>
      <c r="C13265" s="0" t="s">
        <v>5809</v>
      </c>
      <c r="E13265" s="0" t="s">
        <v>4243</v>
      </c>
      <c r="F13265" s="0" t="s">
        <v>5810</v>
      </c>
    </row>
    <row r="13266" customFormat="false" ht="12.8" hidden="false" customHeight="false" outlineLevel="0" collapsed="false">
      <c r="B13266" s="0" t="s">
        <v>4245</v>
      </c>
      <c r="C13266" s="0" t="s">
        <v>5811</v>
      </c>
      <c r="E13266" s="0" t="s">
        <v>4246</v>
      </c>
      <c r="F13266" s="0" t="s">
        <v>5812</v>
      </c>
    </row>
    <row r="13267" customFormat="false" ht="12.8" hidden="false" customHeight="false" outlineLevel="0" collapsed="false">
      <c r="B13267" s="0" t="s">
        <v>4248</v>
      </c>
      <c r="C13267" s="0" t="s">
        <v>5813</v>
      </c>
      <c r="E13267" s="0" t="s">
        <v>5814</v>
      </c>
      <c r="F13267" s="0" t="s">
        <v>5815</v>
      </c>
    </row>
    <row r="13269" customFormat="false" ht="12.8" hidden="false" customHeight="false" outlineLevel="0" collapsed="false">
      <c r="A13269" s="0" t="s">
        <v>6213</v>
      </c>
      <c r="B13269" s="0" t="str">
        <f aca="false">HYPERLINK("https://lindat.mff.cuni.cz/services/teitok/pdtc10/index.php?action=vallex&amp;frame=v-w10044f3_ZU", "masírovat (v-w10044f3_ZU)")</f>
        <v>masírovat (v-w10044f3_ZU)</v>
      </c>
    </row>
    <row r="13270" customFormat="false" ht="12.8" hidden="false" customHeight="false" outlineLevel="0" collapsed="false">
      <c r="B13270" s="0" t="s">
        <v>1</v>
      </c>
    </row>
    <row r="13271" customFormat="false" ht="12.8" hidden="false" customHeight="false" outlineLevel="0" collapsed="false">
      <c r="B13271" s="0" t="s">
        <v>8</v>
      </c>
    </row>
    <row r="13273" customFormat="false" ht="12.8" hidden="false" customHeight="false" outlineLevel="0" collapsed="false">
      <c r="A13273" s="0" t="s">
        <v>6213</v>
      </c>
      <c r="B13273" s="0" t="str">
        <f aca="false">HYPERLINK("https://lindat.mff.cuni.cz/services/teitok/pdtc10/index.php?action=vallex&amp;frame=v-w10044f2", "masírovat (v-w10044f2) - substituted with v-w10044f3_ZU")</f>
        <v>masírovat (v-w10044f2) - substituted with v-w10044f3_ZU</v>
      </c>
    </row>
    <row r="13274" customFormat="false" ht="12.8" hidden="false" customHeight="false" outlineLevel="0" collapsed="false">
      <c r="B13274" s="0" t="s">
        <v>1</v>
      </c>
    </row>
    <row r="13275" customFormat="false" ht="12.8" hidden="false" customHeight="false" outlineLevel="0" collapsed="false">
      <c r="B13275" s="0" t="s">
        <v>8</v>
      </c>
    </row>
    <row r="13277" customFormat="false" ht="12.8" hidden="false" customHeight="false" outlineLevel="0" collapsed="false">
      <c r="A13277" s="0" t="s">
        <v>6214</v>
      </c>
      <c r="B13277" s="0" t="str">
        <f aca="false">HYPERLINK("https://lindat.mff.cuni.cz/services/teitok/pdtc10/index.php?action=vallex&amp;frame=v-w1795f1", "maturovat (v-w1795f1)")</f>
        <v>maturovat (v-w1795f1)</v>
      </c>
      <c r="E13277" s="0" t="str">
        <f aca="false">HYPERLINK("https://lindat.mff.cuni.cz/services/SynSemClass40/SynSemClass40.html?veclass=vec00601#vec00601-ces-cm00002", "vec00601")</f>
        <v>vec00601</v>
      </c>
      <c r="F13277" s="0" t="s">
        <v>9</v>
      </c>
    </row>
    <row r="13278" customFormat="false" ht="12.8" hidden="false" customHeight="false" outlineLevel="0" collapsed="false">
      <c r="B13278" s="0" t="s">
        <v>1</v>
      </c>
      <c r="C13278" s="0" t="s">
        <v>10</v>
      </c>
      <c r="E13278" s="0" t="s">
        <v>11</v>
      </c>
      <c r="F13278" s="0" t="s">
        <v>12</v>
      </c>
    </row>
    <row r="13279" customFormat="false" ht="12.8" hidden="false" customHeight="false" outlineLevel="0" collapsed="false">
      <c r="B13279" s="0" t="s">
        <v>763</v>
      </c>
      <c r="C13279" s="0" t="s">
        <v>13</v>
      </c>
      <c r="E13279" s="0" t="s">
        <v>14</v>
      </c>
      <c r="F13279" s="0" t="s">
        <v>15</v>
      </c>
    </row>
    <row r="13281" customFormat="false" ht="12.8" hidden="false" customHeight="false" outlineLevel="0" collapsed="false">
      <c r="A13281" s="0" t="s">
        <v>6215</v>
      </c>
      <c r="B13281" s="0" t="str">
        <f aca="false">HYPERLINK("https://lindat.mff.cuni.cz/services/teitok/pdtc10/index.php?action=vallex&amp;frame=v-w1800f1", "maximalizovat (v-w1800f1)")</f>
        <v>maximalizovat (v-w1800f1)</v>
      </c>
      <c r="E13281" s="0" t="str">
        <f aca="false">HYPERLINK("https://lindat.mff.cuni.cz/services/SynSemClass40/SynSemClass40.html?veclass=vec00834#vec00834-ces-cm00001", "vec00834")</f>
        <v>vec00834</v>
      </c>
      <c r="F13281" s="0" t="s">
        <v>6216</v>
      </c>
    </row>
    <row r="13282" customFormat="false" ht="12.8" hidden="false" customHeight="false" outlineLevel="0" collapsed="false">
      <c r="B13282" s="0" t="s">
        <v>1</v>
      </c>
      <c r="E13282" s="0" t="s">
        <v>31</v>
      </c>
      <c r="F13282" s="0" t="s">
        <v>49</v>
      </c>
    </row>
    <row r="13283" customFormat="false" ht="12.8" hidden="false" customHeight="false" outlineLevel="0" collapsed="false">
      <c r="B13283" s="0" t="s">
        <v>8</v>
      </c>
      <c r="C13283" s="0" t="s">
        <v>3252</v>
      </c>
      <c r="E13283" s="0" t="s">
        <v>34</v>
      </c>
      <c r="F13283" s="0" t="s">
        <v>6217</v>
      </c>
    </row>
    <row r="13285" customFormat="false" ht="12.8" hidden="false" customHeight="false" outlineLevel="0" collapsed="false">
      <c r="A13285" s="0" t="s">
        <v>6218</v>
      </c>
      <c r="B13285" s="0" t="str">
        <f aca="false">HYPERLINK("https://lindat.mff.cuni.cz/services/teitok/pdtc10/index.php?action=vallex&amp;frame=v-w1803f1", "mazat (v-w1803f1)")</f>
        <v>mazat (v-w1803f1)</v>
      </c>
    </row>
    <row r="13286" customFormat="false" ht="12.8" hidden="false" customHeight="false" outlineLevel="0" collapsed="false">
      <c r="B13286" s="0" t="s">
        <v>1</v>
      </c>
    </row>
    <row r="13287" customFormat="false" ht="12.8" hidden="false" customHeight="false" outlineLevel="0" collapsed="false">
      <c r="B13287" s="0" t="s">
        <v>8</v>
      </c>
    </row>
    <row r="13289" customFormat="false" ht="12.8" hidden="false" customHeight="false" outlineLevel="0" collapsed="false">
      <c r="A13289" s="0" t="s">
        <v>6219</v>
      </c>
      <c r="B13289" s="0" t="str">
        <f aca="false">HYPERLINK("https://lindat.mff.cuni.cz/services/teitok/pdtc10/index.php?action=vallex&amp;frame=v-w1803hsa_1056", "mazat (v-w1803hsa_1056)")</f>
        <v>mazat (v-w1803hsa_1056)</v>
      </c>
    </row>
    <row r="13290" customFormat="false" ht="12.8" hidden="false" customHeight="false" outlineLevel="0" collapsed="false">
      <c r="B13290" s="0" t="s">
        <v>1</v>
      </c>
    </row>
    <row r="13291" customFormat="false" ht="12.8" hidden="false" customHeight="false" outlineLevel="0" collapsed="false">
      <c r="B13291" s="0" t="s">
        <v>8</v>
      </c>
    </row>
    <row r="13293" customFormat="false" ht="12.8" hidden="false" customHeight="false" outlineLevel="0" collapsed="false">
      <c r="A13293" s="0" t="s">
        <v>6220</v>
      </c>
      <c r="B13293" s="0" t="str">
        <f aca="false">HYPERLINK("https://lindat.mff.cuni.cz/services/teitok/pdtc10/index.php?action=vallex&amp;frame=v-w1804f1", "mazlit se (v-w1804f1)")</f>
        <v>mazlit se (v-w1804f1)</v>
      </c>
    </row>
    <row r="13294" customFormat="false" ht="12.8" hidden="false" customHeight="false" outlineLevel="0" collapsed="false">
      <c r="B13294" s="0" t="s">
        <v>1</v>
      </c>
    </row>
    <row r="13295" customFormat="false" ht="12.8" hidden="false" customHeight="false" outlineLevel="0" collapsed="false">
      <c r="B13295" s="0" t="s">
        <v>721</v>
      </c>
    </row>
    <row r="13297" customFormat="false" ht="12.8" hidden="false" customHeight="false" outlineLevel="0" collapsed="false">
      <c r="A13297" s="0" t="s">
        <v>6221</v>
      </c>
      <c r="B13297" s="0" t="str">
        <f aca="false">HYPERLINK("https://lindat.mff.cuni.cz/services/teitok/pdtc10/index.php?action=vallex&amp;frame=v-w1758f1", "mačkat (v-w1758f1)")</f>
        <v>mačkat (v-w1758f1)</v>
      </c>
    </row>
    <row r="13298" customFormat="false" ht="12.8" hidden="false" customHeight="false" outlineLevel="0" collapsed="false">
      <c r="B13298" s="0" t="s">
        <v>1</v>
      </c>
    </row>
    <row r="13299" customFormat="false" ht="12.8" hidden="false" customHeight="false" outlineLevel="0" collapsed="false">
      <c r="B13299" s="0" t="s">
        <v>8</v>
      </c>
    </row>
    <row r="13301" customFormat="false" ht="12.8" hidden="false" customHeight="false" outlineLevel="0" collapsed="false">
      <c r="A13301" s="0" t="s">
        <v>6222</v>
      </c>
      <c r="B13301" s="0" t="str">
        <f aca="false">HYPERLINK("https://lindat.mff.cuni.cz/services/teitok/pdtc10/index.php?action=vallex&amp;frame=v-w11267f1", "mačkat se (v-w11267f1)")</f>
        <v>mačkat se (v-w11267f1)</v>
      </c>
      <c r="E13301" s="0" t="str">
        <f aca="false">HYPERLINK("https://lindat.mff.cuni.cz/services/SynSemClass40/SynSemClass40.html?veclass=vec00833#vec00833-ces-cm00001", "vec00833")</f>
        <v>vec00833</v>
      </c>
      <c r="F13301" s="0" t="s">
        <v>6223</v>
      </c>
    </row>
    <row r="13302" customFormat="false" ht="12.8" hidden="false" customHeight="false" outlineLevel="0" collapsed="false">
      <c r="B13302" s="0" t="s">
        <v>1</v>
      </c>
      <c r="C13302" s="0" t="s">
        <v>6224</v>
      </c>
      <c r="E13302" s="0" t="s">
        <v>11</v>
      </c>
      <c r="F13302" s="0" t="s">
        <v>6225</v>
      </c>
    </row>
    <row r="13303" customFormat="false" ht="12.8" hidden="false" customHeight="false" outlineLevel="0" collapsed="false">
      <c r="B13303" s="0" t="s">
        <v>5</v>
      </c>
      <c r="C13303" s="0" t="s">
        <v>6226</v>
      </c>
      <c r="E13303" s="0" t="s">
        <v>3254</v>
      </c>
      <c r="F13303" s="0" t="s">
        <v>6227</v>
      </c>
    </row>
    <row r="13305" customFormat="false" ht="12.8" hidden="false" customHeight="false" outlineLevel="0" collapsed="false">
      <c r="A13305" s="0" t="s">
        <v>6228</v>
      </c>
      <c r="B13305" s="0" t="str">
        <f aca="false">HYPERLINK("https://lindat.mff.cuni.cz/services/teitok/pdtc10/index.php?action=vallex&amp;frame=v-w11267hsa_799", "mačkat se (v-w11267hsa_799)")</f>
        <v>mačkat se (v-w11267hsa_799)</v>
      </c>
    </row>
    <row r="13306" customFormat="false" ht="12.8" hidden="false" customHeight="false" outlineLevel="0" collapsed="false">
      <c r="B13306" s="0" t="s">
        <v>1</v>
      </c>
    </row>
    <row r="13307" customFormat="false" ht="12.8" hidden="false" customHeight="false" outlineLevel="0" collapsed="false">
      <c r="B13307" s="0" t="s">
        <v>164</v>
      </c>
    </row>
    <row r="13309" customFormat="false" ht="12.8" hidden="false" customHeight="false" outlineLevel="0" collapsed="false">
      <c r="A13309" s="0" t="s">
        <v>6229</v>
      </c>
      <c r="B13309" s="0" t="str">
        <f aca="false">HYPERLINK("https://lindat.mff.cuni.cz/services/teitok/pdtc10/index.php?action=vallex&amp;frame=v-w1788f1", "mařit (v-w1788f1)")</f>
        <v>mařit (v-w1788f1)</v>
      </c>
      <c r="E13309" s="0" t="str">
        <f aca="false">HYPERLINK("https://lindat.mff.cuni.cz/services/SynSemClass40/SynSemClass40.html?veclass=vec00174#vec00174-ces-cm00037", "vec00174")</f>
        <v>vec00174</v>
      </c>
      <c r="F13309" s="0" t="s">
        <v>325</v>
      </c>
    </row>
    <row r="13310" customFormat="false" ht="12.8" hidden="false" customHeight="false" outlineLevel="0" collapsed="false">
      <c r="B13310" s="0" t="s">
        <v>1</v>
      </c>
      <c r="C13310" s="0" t="s">
        <v>326</v>
      </c>
      <c r="E13310" s="0" t="s">
        <v>76</v>
      </c>
      <c r="F13310" s="0" t="s">
        <v>327</v>
      </c>
    </row>
    <row r="13311" customFormat="false" ht="12.8" hidden="false" customHeight="false" outlineLevel="0" collapsed="false">
      <c r="B13311" s="0" t="s">
        <v>8</v>
      </c>
      <c r="C13311" s="0" t="s">
        <v>328</v>
      </c>
      <c r="E13311" s="0" t="s">
        <v>188</v>
      </c>
      <c r="F13311" s="0" t="s">
        <v>329</v>
      </c>
    </row>
    <row r="13313" customFormat="false" ht="12.8" hidden="false" customHeight="false" outlineLevel="0" collapsed="false">
      <c r="A13313" s="0" t="s">
        <v>6230</v>
      </c>
      <c r="B13313" s="0" t="str">
        <f aca="false">HYPERLINK("https://lindat.mff.cuni.cz/services/teitok/pdtc10/index.php?action=vallex&amp;frame=v-whsa_1830hsa_1831", "mašinovat (v-whsa_1830hsa_1831)")</f>
        <v>mašinovat (v-whsa_1830hsa_1831)</v>
      </c>
    </row>
    <row r="13314" customFormat="false" ht="12.8" hidden="false" customHeight="false" outlineLevel="0" collapsed="false">
      <c r="B13314" s="0" t="s">
        <v>1</v>
      </c>
    </row>
    <row r="13315" customFormat="false" ht="12.8" hidden="false" customHeight="false" outlineLevel="0" collapsed="false">
      <c r="B13315" s="0" t="s">
        <v>8</v>
      </c>
    </row>
    <row r="13317" customFormat="false" ht="12.8" hidden="false" customHeight="false" outlineLevel="0" collapsed="false">
      <c r="A13317" s="0" t="s">
        <v>6231</v>
      </c>
      <c r="B13317" s="0" t="str">
        <f aca="false">HYPERLINK("https://lindat.mff.cuni.cz/services/teitok/pdtc10/index.php?action=vallex&amp;frame=v-w1807f1", "meditovat (v-w1807f1)")</f>
        <v>meditovat (v-w1807f1)</v>
      </c>
    </row>
    <row r="13318" customFormat="false" ht="12.8" hidden="false" customHeight="false" outlineLevel="0" collapsed="false">
      <c r="B13318" s="0" t="s">
        <v>1</v>
      </c>
    </row>
    <row r="13319" customFormat="false" ht="12.8" hidden="false" customHeight="false" outlineLevel="0" collapsed="false">
      <c r="B13319" s="0" t="s">
        <v>6232</v>
      </c>
    </row>
    <row r="13321" customFormat="false" ht="12.8" hidden="false" customHeight="false" outlineLevel="0" collapsed="false">
      <c r="A13321" s="0" t="s">
        <v>6233</v>
      </c>
      <c r="B13321" s="0" t="str">
        <f aca="false">HYPERLINK("https://lindat.mff.cuni.cz/services/teitok/pdtc10/index.php?action=vallex&amp;frame=v-w10494f2", "metabolizovat (v-w10494f2)")</f>
        <v>metabolizovat (v-w10494f2)</v>
      </c>
      <c r="E13321" s="0" t="str">
        <f aca="false">HYPERLINK("https://lindat.mff.cuni.cz/services/SynSemClass40/SynSemClass40.html?veclass=vec00360#vec00360-ces-cm00040", "vec00360")</f>
        <v>vec00360</v>
      </c>
      <c r="F13321" s="0" t="s">
        <v>5330</v>
      </c>
    </row>
    <row r="13322" customFormat="false" ht="12.8" hidden="false" customHeight="false" outlineLevel="0" collapsed="false">
      <c r="B13322" s="0" t="s">
        <v>1</v>
      </c>
      <c r="C13322" s="0" t="s">
        <v>5331</v>
      </c>
      <c r="E13322" s="0" t="s">
        <v>768</v>
      </c>
      <c r="F13322" s="0" t="s">
        <v>5332</v>
      </c>
    </row>
    <row r="13323" customFormat="false" ht="12.8" hidden="false" customHeight="false" outlineLevel="0" collapsed="false">
      <c r="B13323" s="0" t="s">
        <v>8</v>
      </c>
      <c r="C13323" s="0" t="s">
        <v>5333</v>
      </c>
      <c r="E13323" s="0" t="s">
        <v>771</v>
      </c>
      <c r="F13323" s="0" t="s">
        <v>5334</v>
      </c>
    </row>
    <row r="13324" customFormat="false" ht="12.8" hidden="false" customHeight="false" outlineLevel="0" collapsed="false">
      <c r="B13324" s="0" t="s">
        <v>36</v>
      </c>
      <c r="C13324" s="0" t="s">
        <v>5335</v>
      </c>
      <c r="E13324" s="0" t="s">
        <v>787</v>
      </c>
      <c r="F13324" s="0" t="s">
        <v>5336</v>
      </c>
    </row>
    <row r="13326" customFormat="false" ht="12.8" hidden="false" customHeight="false" outlineLevel="0" collapsed="false">
      <c r="A13326" s="0" t="s">
        <v>6234</v>
      </c>
      <c r="B13326" s="0" t="str">
        <f aca="false">HYPERLINK("https://lindat.mff.cuni.cz/services/teitok/pdtc10/index.php?action=vallex&amp;frame=v-whsa_322f1_ZU", "metat (v-whsa_322f1_ZU)")</f>
        <v>metat (v-whsa_322f1_ZU)</v>
      </c>
    </row>
    <row r="13327" customFormat="false" ht="12.8" hidden="false" customHeight="false" outlineLevel="0" collapsed="false">
      <c r="B13327" s="0" t="s">
        <v>1</v>
      </c>
    </row>
    <row r="13328" customFormat="false" ht="12.8" hidden="false" customHeight="false" outlineLevel="0" collapsed="false">
      <c r="B13328" s="0" t="s">
        <v>6235</v>
      </c>
    </row>
    <row r="13330" customFormat="false" ht="12.8" hidden="false" customHeight="false" outlineLevel="0" collapsed="false">
      <c r="A13330" s="0" t="s">
        <v>6234</v>
      </c>
      <c r="B13330" s="0" t="str">
        <f aca="false">HYPERLINK("https://lindat.mff.cuni.cz/services/teitok/pdtc10/index.php?action=vallex&amp;frame=v-whsa_322hsa_323", "metat (v-whsa_322hsa_323) - substituted with v-whsa_322f1_ZU")</f>
        <v>metat (v-whsa_322hsa_323) - substituted with v-whsa_322f1_ZU</v>
      </c>
    </row>
    <row r="13331" customFormat="false" ht="12.8" hidden="false" customHeight="false" outlineLevel="0" collapsed="false">
      <c r="B13331" s="0" t="s">
        <v>1</v>
      </c>
    </row>
    <row r="13332" customFormat="false" ht="12.8" hidden="false" customHeight="false" outlineLevel="0" collapsed="false">
      <c r="B13332" s="0" t="s">
        <v>6235</v>
      </c>
    </row>
    <row r="13334" customFormat="false" ht="12.8" hidden="false" customHeight="false" outlineLevel="0" collapsed="false">
      <c r="A13334" s="0" t="s">
        <v>6236</v>
      </c>
      <c r="B13334" s="0" t="str">
        <f aca="false">HYPERLINK("https://lindat.mff.cuni.cz/services/teitok/pdtc10/index.php?action=vallex&amp;frame=v-whsa_959hsa_960", "mhouřit (v-whsa_959hsa_960)")</f>
        <v>mhouřit (v-whsa_959hsa_960)</v>
      </c>
    </row>
    <row r="13335" customFormat="false" ht="12.8" hidden="false" customHeight="false" outlineLevel="0" collapsed="false">
      <c r="B13335" s="0" t="s">
        <v>1</v>
      </c>
    </row>
    <row r="13336" customFormat="false" ht="12.8" hidden="false" customHeight="false" outlineLevel="0" collapsed="false">
      <c r="B13336" s="0" t="s">
        <v>8</v>
      </c>
    </row>
    <row r="13338" customFormat="false" ht="12.8" hidden="false" customHeight="false" outlineLevel="0" collapsed="false">
      <c r="A13338" s="0" t="s">
        <v>6237</v>
      </c>
      <c r="B13338" s="0" t="str">
        <f aca="false">HYPERLINK("https://lindat.mff.cuni.cz/services/teitok/pdtc10/index.php?action=vallex&amp;frame=v-w10395f3_ZU", "migrovat (v-w10395f3_ZU)")</f>
        <v>migrovat (v-w10395f3_ZU)</v>
      </c>
      <c r="E13338" s="0" t="str">
        <f aca="false">HYPERLINK("https://lindat.mff.cuni.cz/services/SynSemClass40/SynSemClass40.html?veclass=vec00434#vec00434-ces-cm00013", "vec00434")</f>
        <v>vec00434</v>
      </c>
      <c r="F13338" s="0" t="s">
        <v>6238</v>
      </c>
    </row>
    <row r="13339" customFormat="false" ht="12.8" hidden="false" customHeight="false" outlineLevel="0" collapsed="false">
      <c r="B13339" s="0" t="s">
        <v>1</v>
      </c>
      <c r="C13339" s="0" t="s">
        <v>6239</v>
      </c>
      <c r="E13339" s="0" t="s">
        <v>11</v>
      </c>
      <c r="F13339" s="0" t="s">
        <v>6240</v>
      </c>
    </row>
    <row r="13340" customFormat="false" ht="12.8" hidden="false" customHeight="false" outlineLevel="0" collapsed="false">
      <c r="B13340" s="0" t="s">
        <v>4446</v>
      </c>
      <c r="C13340" s="0" t="s">
        <v>1511</v>
      </c>
      <c r="E13340" s="0" t="s">
        <v>6241</v>
      </c>
      <c r="F13340" s="0" t="s">
        <v>6242</v>
      </c>
    </row>
    <row r="13341" customFormat="false" ht="12.8" hidden="false" customHeight="false" outlineLevel="0" collapsed="false">
      <c r="B13341" s="0" t="s">
        <v>2840</v>
      </c>
    </row>
    <row r="13343" customFormat="false" ht="12.8" hidden="false" customHeight="false" outlineLevel="0" collapsed="false">
      <c r="A13343" s="0" t="s">
        <v>6243</v>
      </c>
      <c r="B13343" s="0" t="str">
        <f aca="false">HYPERLINK("https://lindat.mff.cuni.cz/services/teitok/pdtc10/index.php?action=vallex&amp;frame=v-w10395f2", "migrovat (v-w10395f2)")</f>
        <v>migrovat (v-w10395f2)</v>
      </c>
    </row>
    <row r="13344" customFormat="false" ht="12.8" hidden="false" customHeight="false" outlineLevel="0" collapsed="false">
      <c r="B13344" s="0" t="s">
        <v>1</v>
      </c>
    </row>
    <row r="13345" customFormat="false" ht="12.8" hidden="false" customHeight="false" outlineLevel="0" collapsed="false">
      <c r="B13345" s="0" t="s">
        <v>164</v>
      </c>
    </row>
    <row r="13347" customFormat="false" ht="12.8" hidden="false" customHeight="false" outlineLevel="0" collapsed="false">
      <c r="A13347" s="0" t="s">
        <v>6244</v>
      </c>
      <c r="B13347" s="0" t="str">
        <f aca="false">HYPERLINK("https://lindat.mff.cuni.cz/services/teitok/pdtc10/index.php?action=vallex&amp;frame=v-w1826f1", "mihnout se (v-w1826f1)")</f>
        <v>mihnout se (v-w1826f1)</v>
      </c>
      <c r="E13347" s="0" t="str">
        <f aca="false">HYPERLINK("https://lindat.mff.cuni.cz/services/SynSemClass40/SynSemClass40.html?veclass=vec00245#vec00245-ces-cm00064", "vec00245")</f>
        <v>vec00245</v>
      </c>
      <c r="F13347" s="0" t="s">
        <v>6245</v>
      </c>
      <c r="H13347" s="0" t="str">
        <f aca="false">HYPERLINK("https://lindat.mff.cuni.cz/services/SynSemClass40/SynSemClass40.html?veclass=vec00703#vec00703-ces-cm00102", "vec00703")</f>
        <v>vec00703</v>
      </c>
      <c r="I13347" s="0" t="s">
        <v>6246</v>
      </c>
    </row>
    <row r="13348" customFormat="false" ht="12.8" hidden="false" customHeight="false" outlineLevel="0" collapsed="false">
      <c r="B13348" s="0" t="s">
        <v>1</v>
      </c>
      <c r="C13348" s="0" t="s">
        <v>6247</v>
      </c>
      <c r="E13348" s="0" t="s">
        <v>2923</v>
      </c>
      <c r="F13348" s="0" t="s">
        <v>6248</v>
      </c>
      <c r="H13348" s="0" t="s">
        <v>2923</v>
      </c>
      <c r="I13348" s="0" t="s">
        <v>6249</v>
      </c>
    </row>
    <row r="13350" customFormat="false" ht="12.8" hidden="false" customHeight="false" outlineLevel="0" collapsed="false">
      <c r="A13350" s="0" t="s">
        <v>6250</v>
      </c>
      <c r="B13350" s="0" t="str">
        <f aca="false">HYPERLINK("https://lindat.mff.cuni.cz/services/teitok/pdtc10/index.php?action=vallex&amp;frame=v-w1835f1", "milovat (v-w1835f1)")</f>
        <v>milovat (v-w1835f1)</v>
      </c>
      <c r="E13350" s="0" t="str">
        <f aca="false">HYPERLINK("https://lindat.mff.cuni.cz/services/SynSemClass40/SynSemClass40.html?veclass=vec00432#vec00432-ces-cm00001", "vec00432")</f>
        <v>vec00432</v>
      </c>
      <c r="F13350" s="0" t="s">
        <v>6251</v>
      </c>
    </row>
    <row r="13351" customFormat="false" ht="12.8" hidden="false" customHeight="false" outlineLevel="0" collapsed="false">
      <c r="B13351" s="0" t="s">
        <v>1</v>
      </c>
      <c r="C13351" s="0" t="s">
        <v>6252</v>
      </c>
      <c r="E13351" s="0" t="s">
        <v>155</v>
      </c>
      <c r="F13351" s="0" t="s">
        <v>6253</v>
      </c>
    </row>
    <row r="13352" customFormat="false" ht="12.8" hidden="false" customHeight="false" outlineLevel="0" collapsed="false">
      <c r="B13352" s="0" t="s">
        <v>59</v>
      </c>
      <c r="C13352" s="0" t="s">
        <v>5583</v>
      </c>
      <c r="E13352" s="0" t="s">
        <v>142</v>
      </c>
      <c r="F13352" s="0" t="s">
        <v>6254</v>
      </c>
    </row>
    <row r="13354" customFormat="false" ht="12.8" hidden="false" customHeight="false" outlineLevel="0" collapsed="false">
      <c r="A13354" s="0" t="s">
        <v>6255</v>
      </c>
      <c r="B13354" s="0" t="str">
        <f aca="false">HYPERLINK("https://lindat.mff.cuni.cz/services/teitok/pdtc10/index.php?action=vallex&amp;frame=v-w1840f1", "minimalizovat (v-w1840f1)")</f>
        <v>minimalizovat (v-w1840f1)</v>
      </c>
      <c r="E13354" s="0" t="str">
        <f aca="false">HYPERLINK("https://lindat.mff.cuni.cz/services/SynSemClass40/SynSemClass40.html?veclass=vec00433#vec00433-ces-cm00001", "vec00433")</f>
        <v>vec00433</v>
      </c>
      <c r="F13354" s="0" t="s">
        <v>6256</v>
      </c>
    </row>
    <row r="13355" customFormat="false" ht="12.8" hidden="false" customHeight="false" outlineLevel="0" collapsed="false">
      <c r="B13355" s="0" t="s">
        <v>1</v>
      </c>
      <c r="C13355" s="0" t="s">
        <v>4695</v>
      </c>
      <c r="E13355" s="0" t="s">
        <v>31</v>
      </c>
      <c r="F13355" s="0" t="s">
        <v>460</v>
      </c>
    </row>
    <row r="13356" customFormat="false" ht="12.8" hidden="false" customHeight="false" outlineLevel="0" collapsed="false">
      <c r="B13356" s="0" t="s">
        <v>8</v>
      </c>
      <c r="C13356" s="0" t="s">
        <v>5391</v>
      </c>
      <c r="E13356" s="0" t="s">
        <v>1569</v>
      </c>
      <c r="F13356" s="0" t="s">
        <v>6257</v>
      </c>
    </row>
    <row r="13357" customFormat="false" ht="12.8" hidden="false" customHeight="false" outlineLevel="0" collapsed="false">
      <c r="B13357" s="0" t="s">
        <v>36</v>
      </c>
    </row>
    <row r="13358" customFormat="false" ht="12.8" hidden="false" customHeight="false" outlineLevel="0" collapsed="false">
      <c r="B13358" s="0" t="s">
        <v>101</v>
      </c>
    </row>
    <row r="13360" customFormat="false" ht="12.8" hidden="false" customHeight="false" outlineLevel="0" collapsed="false">
      <c r="A13360" s="0" t="s">
        <v>6258</v>
      </c>
      <c r="B13360" s="0" t="str">
        <f aca="false">HYPERLINK("https://lindat.mff.cuni.cz/services/teitok/pdtc10/index.php?action=vallex&amp;frame=v-w12028_ZUf1_ZU", "ministrovat (v-w12028_ZUf1_ZU)")</f>
        <v>ministrovat (v-w12028_ZUf1_ZU)</v>
      </c>
    </row>
    <row r="13361" customFormat="false" ht="12.8" hidden="false" customHeight="false" outlineLevel="0" collapsed="false">
      <c r="B13361" s="0" t="s">
        <v>1</v>
      </c>
    </row>
    <row r="13363" customFormat="false" ht="12.8" hidden="false" customHeight="false" outlineLevel="0" collapsed="false">
      <c r="A13363" s="0" t="s">
        <v>6259</v>
      </c>
      <c r="B13363" s="0" t="str">
        <f aca="false">HYPERLINK("https://lindat.mff.cuni.cz/services/teitok/pdtc10/index.php?action=vallex&amp;frame=v-w1844f1", "minout (v-w1844f1)")</f>
        <v>minout (v-w1844f1)</v>
      </c>
      <c r="E13363" s="0" t="str">
        <f aca="false">HYPERLINK("https://lindat.mff.cuni.cz/services/SynSemClass40/SynSemClass40.html?veclass=vec01227#vec01227-ces-cm00001", "vec01227")</f>
        <v>vec01227</v>
      </c>
      <c r="F13363" s="0" t="s">
        <v>6260</v>
      </c>
    </row>
    <row r="13364" customFormat="false" ht="12.8" hidden="false" customHeight="false" outlineLevel="0" collapsed="false">
      <c r="B13364" s="0" t="s">
        <v>1</v>
      </c>
      <c r="C13364" s="0" t="s">
        <v>3000</v>
      </c>
      <c r="E13364" s="0" t="s">
        <v>4581</v>
      </c>
      <c r="F13364" s="0" t="s">
        <v>6261</v>
      </c>
    </row>
    <row r="13365" customFormat="false" ht="12.8" hidden="false" customHeight="false" outlineLevel="0" collapsed="false">
      <c r="B13365" s="0" t="s">
        <v>8</v>
      </c>
      <c r="C13365" s="0" t="s">
        <v>3252</v>
      </c>
      <c r="E13365" s="0" t="s">
        <v>384</v>
      </c>
      <c r="F13365" s="0" t="s">
        <v>6262</v>
      </c>
    </row>
    <row r="13367" customFormat="false" ht="12.8" hidden="false" customHeight="false" outlineLevel="0" collapsed="false">
      <c r="A13367" s="0" t="s">
        <v>6263</v>
      </c>
      <c r="B13367" s="0" t="str">
        <f aca="false">HYPERLINK("https://lindat.mff.cuni.cz/services/teitok/pdtc10/index.php?action=vallex&amp;frame=v-w1844f2", "minout (v-w1844f2)")</f>
        <v>minout (v-w1844f2)</v>
      </c>
    </row>
    <row r="13368" customFormat="false" ht="12.8" hidden="false" customHeight="false" outlineLevel="0" collapsed="false">
      <c r="B13368" s="0" t="s">
        <v>1</v>
      </c>
    </row>
    <row r="13370" customFormat="false" ht="12.8" hidden="false" customHeight="false" outlineLevel="0" collapsed="false">
      <c r="A13370" s="0" t="s">
        <v>6264</v>
      </c>
      <c r="B13370" s="0" t="str">
        <f aca="false">HYPERLINK("https://lindat.mff.cuni.cz/services/teitok/pdtc10/index.php?action=vallex&amp;frame=v-w1844f4_ZU", "minout (v-w1844f4_ZU)")</f>
        <v>minout (v-w1844f4_ZU)</v>
      </c>
    </row>
    <row r="13371" customFormat="false" ht="12.8" hidden="false" customHeight="false" outlineLevel="0" collapsed="false">
      <c r="B13371" s="0" t="s">
        <v>1</v>
      </c>
    </row>
    <row r="13372" customFormat="false" ht="12.8" hidden="false" customHeight="false" outlineLevel="0" collapsed="false">
      <c r="B13372" s="0" t="s">
        <v>8</v>
      </c>
    </row>
    <row r="13374" customFormat="false" ht="12.8" hidden="false" customHeight="false" outlineLevel="0" collapsed="false">
      <c r="A13374" s="0" t="s">
        <v>6264</v>
      </c>
      <c r="B13374" s="0" t="str">
        <f aca="false">HYPERLINK("https://lindat.mff.cuni.cz/services/teitok/pdtc10/index.php?action=vallex&amp;frame=v-w1844f3_ZU", "minout (v-w1844f3_ZU) - substituted with v-w1844f4_ZU")</f>
        <v>minout (v-w1844f3_ZU) - substituted with v-w1844f4_ZU</v>
      </c>
    </row>
    <row r="13375" customFormat="false" ht="12.8" hidden="false" customHeight="false" outlineLevel="0" collapsed="false">
      <c r="B13375" s="0" t="s">
        <v>1</v>
      </c>
    </row>
    <row r="13376" customFormat="false" ht="12.8" hidden="false" customHeight="false" outlineLevel="0" collapsed="false">
      <c r="B13376" s="0" t="s">
        <v>8</v>
      </c>
    </row>
    <row r="13378" customFormat="false" ht="12.8" hidden="false" customHeight="false" outlineLevel="0" collapsed="false">
      <c r="A13378" s="0" t="s">
        <v>6265</v>
      </c>
      <c r="B13378" s="0" t="str">
        <f aca="false">HYPERLINK("https://lindat.mff.cuni.cz/services/teitok/pdtc10/index.php?action=vallex&amp;frame=v-whsa_1308hsa_1309", "minout se (v-whsa_1308hsa_1309)")</f>
        <v>minout se (v-whsa_1308hsa_1309)</v>
      </c>
    </row>
    <row r="13379" customFormat="false" ht="12.8" hidden="false" customHeight="false" outlineLevel="0" collapsed="false">
      <c r="B13379" s="0" t="s">
        <v>1</v>
      </c>
    </row>
    <row r="13380" customFormat="false" ht="12.8" hidden="false" customHeight="false" outlineLevel="0" collapsed="false">
      <c r="B13380" s="0" t="s">
        <v>286</v>
      </c>
    </row>
    <row r="13382" customFormat="false" ht="12.8" hidden="false" customHeight="false" outlineLevel="0" collapsed="false">
      <c r="A13382" s="0" t="s">
        <v>6266</v>
      </c>
      <c r="B13382" s="0" t="str">
        <f aca="false">HYPERLINK("https://lindat.mff.cuni.cz/services/teitok/pdtc10/index.php?action=vallex&amp;frame=v-w11838_ZUf1_ZU", "mistrovat (v-w11838_ZUf1_ZU)")</f>
        <v>mistrovat (v-w11838_ZUf1_ZU)</v>
      </c>
    </row>
    <row r="13383" customFormat="false" ht="12.8" hidden="false" customHeight="false" outlineLevel="0" collapsed="false">
      <c r="B13383" s="0" t="s">
        <v>1</v>
      </c>
    </row>
    <row r="13385" customFormat="false" ht="12.8" hidden="false" customHeight="false" outlineLevel="0" collapsed="false">
      <c r="A13385" s="0" t="s">
        <v>6267</v>
      </c>
      <c r="B13385" s="0" t="str">
        <f aca="false">HYPERLINK("https://lindat.mff.cuni.cz/services/teitok/pdtc10/index.php?action=vallex&amp;frame=v-w1859f1", "mizet (v-w1859f1)")</f>
        <v>mizet (v-w1859f1)</v>
      </c>
      <c r="E13385" s="0" t="str">
        <f aca="false">HYPERLINK("https://lindat.mff.cuni.cz/services/SynSemClass40/SynSemClass40.html?veclass=vec00755#vec00755-ces-cm00002", "vec00755")</f>
        <v>vec00755</v>
      </c>
      <c r="F13385" s="0" t="s">
        <v>6268</v>
      </c>
    </row>
    <row r="13386" customFormat="false" ht="12.8" hidden="false" customHeight="false" outlineLevel="0" collapsed="false">
      <c r="B13386" s="0" t="s">
        <v>1</v>
      </c>
      <c r="C13386" s="0" t="s">
        <v>6269</v>
      </c>
      <c r="E13386" s="0" t="s">
        <v>6270</v>
      </c>
      <c r="F13386" s="0" t="s">
        <v>6271</v>
      </c>
    </row>
    <row r="13388" customFormat="false" ht="12.8" hidden="false" customHeight="false" outlineLevel="0" collapsed="false">
      <c r="A13388" s="0" t="s">
        <v>6272</v>
      </c>
      <c r="B13388" s="0" t="str">
        <f aca="false">HYPERLINK("https://lindat.mff.cuni.cz/services/teitok/pdtc10/index.php?action=vallex&amp;frame=v-w1859f2_ZU", "mizet (v-w1859f2_ZU)")</f>
        <v>mizet (v-w1859f2_ZU)</v>
      </c>
    </row>
    <row r="13389" customFormat="false" ht="12.8" hidden="false" customHeight="false" outlineLevel="0" collapsed="false">
      <c r="B13389" s="0" t="s">
        <v>1</v>
      </c>
    </row>
    <row r="13390" customFormat="false" ht="12.8" hidden="false" customHeight="false" outlineLevel="0" collapsed="false">
      <c r="B13390" s="0" t="s">
        <v>6273</v>
      </c>
    </row>
    <row r="13392" customFormat="false" ht="12.8" hidden="false" customHeight="false" outlineLevel="0" collapsed="false">
      <c r="A13392" s="0" t="s">
        <v>6274</v>
      </c>
      <c r="B13392" s="0" t="str">
        <f aca="false">HYPERLINK("https://lindat.mff.cuni.cz/services/teitok/pdtc10/index.php?action=vallex&amp;frame=v-w1868f6", "mluvit (v-w1868f6)")</f>
        <v>mluvit (v-w1868f6)</v>
      </c>
    </row>
    <row r="13393" customFormat="false" ht="12.8" hidden="false" customHeight="false" outlineLevel="0" collapsed="false">
      <c r="B13393" s="0" t="s">
        <v>1</v>
      </c>
    </row>
    <row r="13394" customFormat="false" ht="12.8" hidden="false" customHeight="false" outlineLevel="0" collapsed="false">
      <c r="B13394" s="0" t="s">
        <v>1187</v>
      </c>
    </row>
    <row r="13395" customFormat="false" ht="12.8" hidden="false" customHeight="false" outlineLevel="0" collapsed="false">
      <c r="B13395" s="0" t="s">
        <v>132</v>
      </c>
    </row>
    <row r="13397" customFormat="false" ht="12.8" hidden="false" customHeight="false" outlineLevel="0" collapsed="false">
      <c r="A13397" s="0" t="s">
        <v>6275</v>
      </c>
      <c r="B13397" s="0" t="str">
        <f aca="false">HYPERLINK("https://lindat.mff.cuni.cz/services/teitok/pdtc10/index.php?action=vallex&amp;frame=v-w1868f1", "mluvit (v-w1868f1)")</f>
        <v>mluvit (v-w1868f1)</v>
      </c>
      <c r="E13397" s="0" t="str">
        <f aca="false">HYPERLINK("https://lindat.mff.cuni.cz/services/SynSemClass40/SynSemClass40.html?veclass=vec00031#vec00031-ces-cm00001", "vec00031")</f>
        <v>vec00031</v>
      </c>
      <c r="F13397" s="0" t="s">
        <v>277</v>
      </c>
    </row>
    <row r="13398" customFormat="false" ht="12.8" hidden="false" customHeight="false" outlineLevel="0" collapsed="false">
      <c r="B13398" s="0" t="s">
        <v>1</v>
      </c>
      <c r="C13398" s="0" t="s">
        <v>278</v>
      </c>
      <c r="E13398" s="0" t="s">
        <v>147</v>
      </c>
      <c r="F13398" s="0" t="s">
        <v>279</v>
      </c>
    </row>
    <row r="13399" customFormat="false" ht="12.8" hidden="false" customHeight="false" outlineLevel="0" collapsed="false">
      <c r="B13399" s="0" t="s">
        <v>6276</v>
      </c>
      <c r="C13399" s="0" t="s">
        <v>280</v>
      </c>
      <c r="E13399" s="0" t="s">
        <v>218</v>
      </c>
      <c r="F13399" s="0" t="s">
        <v>281</v>
      </c>
    </row>
    <row r="13400" customFormat="false" ht="12.8" hidden="false" customHeight="false" outlineLevel="0" collapsed="false">
      <c r="B13400" s="0" t="s">
        <v>3205</v>
      </c>
      <c r="C13400" s="0" t="s">
        <v>282</v>
      </c>
      <c r="E13400" s="0" t="s">
        <v>221</v>
      </c>
      <c r="F13400" s="0" t="s">
        <v>283</v>
      </c>
    </row>
    <row r="13402" customFormat="false" ht="12.8" hidden="false" customHeight="false" outlineLevel="0" collapsed="false">
      <c r="A13402" s="0" t="s">
        <v>6277</v>
      </c>
      <c r="B13402" s="0" t="str">
        <f aca="false">HYPERLINK("https://lindat.mff.cuni.cz/services/teitok/pdtc10/index.php?action=vallex&amp;frame=v-w1868f5", "mluvit (v-w1868f5)")</f>
        <v>mluvit (v-w1868f5)</v>
      </c>
      <c r="E13402" s="0" t="str">
        <f aca="false">HYPERLINK("https://lindat.mff.cuni.cz/services/SynSemClass40/SynSemClass40.html?veclass=vec00031#vec00031-ces-cm00022", "vec00031")</f>
        <v>vec00031</v>
      </c>
      <c r="F13402" s="0" t="s">
        <v>277</v>
      </c>
    </row>
    <row r="13403" customFormat="false" ht="12.8" hidden="false" customHeight="false" outlineLevel="0" collapsed="false">
      <c r="B13403" s="0" t="s">
        <v>1</v>
      </c>
      <c r="C13403" s="0" t="s">
        <v>278</v>
      </c>
      <c r="E13403" s="0" t="s">
        <v>147</v>
      </c>
      <c r="F13403" s="0" t="s">
        <v>279</v>
      </c>
    </row>
    <row r="13404" customFormat="false" ht="12.8" hidden="false" customHeight="false" outlineLevel="0" collapsed="false">
      <c r="B13404" s="0" t="s">
        <v>6278</v>
      </c>
      <c r="C13404" s="0" t="s">
        <v>280</v>
      </c>
      <c r="E13404" s="0" t="s">
        <v>218</v>
      </c>
      <c r="F13404" s="0" t="s">
        <v>281</v>
      </c>
    </row>
    <row r="13405" customFormat="false" ht="12.8" hidden="false" customHeight="false" outlineLevel="0" collapsed="false">
      <c r="B13405" s="0" t="s">
        <v>1333</v>
      </c>
      <c r="C13405" s="0" t="s">
        <v>282</v>
      </c>
      <c r="E13405" s="0" t="s">
        <v>221</v>
      </c>
      <c r="F13405" s="0" t="s">
        <v>283</v>
      </c>
    </row>
    <row r="13407" customFormat="false" ht="12.8" hidden="false" customHeight="false" outlineLevel="0" collapsed="false">
      <c r="A13407" s="0" t="s">
        <v>6279</v>
      </c>
      <c r="B13407" s="0" t="str">
        <f aca="false">HYPERLINK("https://lindat.mff.cuni.cz/services/teitok/pdtc10/index.php?action=vallex&amp;frame=v-w1868f3", "mluvit (v-w1868f3)")</f>
        <v>mluvit (v-w1868f3)</v>
      </c>
    </row>
    <row r="13408" customFormat="false" ht="12.8" hidden="false" customHeight="false" outlineLevel="0" collapsed="false">
      <c r="B13408" s="0" t="s">
        <v>1</v>
      </c>
    </row>
    <row r="13409" customFormat="false" ht="12.8" hidden="false" customHeight="false" outlineLevel="0" collapsed="false">
      <c r="B13409" s="0" t="s">
        <v>8</v>
      </c>
    </row>
    <row r="13411" customFormat="false" ht="12.8" hidden="false" customHeight="false" outlineLevel="0" collapsed="false">
      <c r="A13411" s="0" t="s">
        <v>6280</v>
      </c>
      <c r="B13411" s="0" t="str">
        <f aca="false">HYPERLINK("https://lindat.mff.cuni.cz/services/teitok/pdtc10/index.php?action=vallex&amp;frame=v-w1868f10", "mluvit (v-w1868f10)")</f>
        <v>mluvit (v-w1868f10)</v>
      </c>
    </row>
    <row r="13412" customFormat="false" ht="12.8" hidden="false" customHeight="false" outlineLevel="0" collapsed="false">
      <c r="B13412" s="0" t="s">
        <v>1</v>
      </c>
    </row>
    <row r="13413" customFormat="false" ht="12.8" hidden="false" customHeight="false" outlineLevel="0" collapsed="false">
      <c r="B13413" s="0" t="s">
        <v>8</v>
      </c>
    </row>
    <row r="13415" customFormat="false" ht="12.8" hidden="false" customHeight="false" outlineLevel="0" collapsed="false">
      <c r="A13415" s="0" t="s">
        <v>6281</v>
      </c>
      <c r="B13415" s="0" t="str">
        <f aca="false">HYPERLINK("https://lindat.mff.cuni.cz/services/teitok/pdtc10/index.php?action=vallex&amp;frame=v-w1868f9", "mluvit (v-w1868f9)")</f>
        <v>mluvit (v-w1868f9)</v>
      </c>
    </row>
    <row r="13416" customFormat="false" ht="12.8" hidden="false" customHeight="false" outlineLevel="0" collapsed="false">
      <c r="B13416" s="0" t="s">
        <v>1</v>
      </c>
    </row>
    <row r="13417" customFormat="false" ht="12.8" hidden="false" customHeight="false" outlineLevel="0" collapsed="false">
      <c r="B13417" s="0" t="s">
        <v>318</v>
      </c>
    </row>
    <row r="13419" customFormat="false" ht="12.8" hidden="false" customHeight="false" outlineLevel="0" collapsed="false">
      <c r="A13419" s="0" t="s">
        <v>6282</v>
      </c>
      <c r="B13419" s="0" t="str">
        <f aca="false">HYPERLINK("https://lindat.mff.cuni.cz/services/teitok/pdtc10/index.php?action=vallex&amp;frame=v-w1868f4", "mluvit (v-w1868f4)")</f>
        <v>mluvit (v-w1868f4)</v>
      </c>
    </row>
    <row r="13420" customFormat="false" ht="12.8" hidden="false" customHeight="false" outlineLevel="0" collapsed="false">
      <c r="B13420" s="0" t="s">
        <v>1</v>
      </c>
    </row>
    <row r="13421" customFormat="false" ht="12.8" hidden="false" customHeight="false" outlineLevel="0" collapsed="false">
      <c r="B13421" s="0" t="s">
        <v>6283</v>
      </c>
    </row>
    <row r="13423" customFormat="false" ht="12.8" hidden="false" customHeight="false" outlineLevel="0" collapsed="false">
      <c r="A13423" s="0" t="s">
        <v>6284</v>
      </c>
      <c r="B13423" s="0" t="str">
        <f aca="false">HYPERLINK("https://lindat.mff.cuni.cz/services/teitok/pdtc10/index.php?action=vallex&amp;frame=v-w1868f8", "mluvit (v-w1868f8)")</f>
        <v>mluvit (v-w1868f8)</v>
      </c>
    </row>
    <row r="13424" customFormat="false" ht="12.8" hidden="false" customHeight="false" outlineLevel="0" collapsed="false">
      <c r="B13424" s="0" t="s">
        <v>1</v>
      </c>
    </row>
    <row r="13425" customFormat="false" ht="12.8" hidden="false" customHeight="false" outlineLevel="0" collapsed="false">
      <c r="B13425" s="0" t="s">
        <v>6285</v>
      </c>
    </row>
    <row r="13427" customFormat="false" ht="12.8" hidden="false" customHeight="false" outlineLevel="0" collapsed="false">
      <c r="A13427" s="0" t="s">
        <v>6286</v>
      </c>
      <c r="B13427" s="0" t="str">
        <f aca="false">HYPERLINK("https://lindat.mff.cuni.cz/services/teitok/pdtc10/index.php?action=vallex&amp;frame=v-w1868f2", "mluvit (v-w1868f2)")</f>
        <v>mluvit (v-w1868f2)</v>
      </c>
      <c r="E13427" s="0" t="str">
        <f aca="false">HYPERLINK("https://lindat.mff.cuni.cz/services/SynSemClass40/SynSemClass40.html?veclass=vec00435#vec00435-ces-cm00001", "vec00435")</f>
        <v>vec00435</v>
      </c>
      <c r="F13427" s="0" t="s">
        <v>731</v>
      </c>
    </row>
    <row r="13428" customFormat="false" ht="12.8" hidden="false" customHeight="false" outlineLevel="0" collapsed="false">
      <c r="B13428" s="0" t="s">
        <v>1</v>
      </c>
      <c r="C13428" s="0" t="s">
        <v>732</v>
      </c>
      <c r="E13428" s="0" t="s">
        <v>147</v>
      </c>
      <c r="F13428" s="0" t="s">
        <v>733</v>
      </c>
    </row>
    <row r="13430" customFormat="false" ht="12.8" hidden="false" customHeight="false" outlineLevel="0" collapsed="false">
      <c r="A13430" s="0" t="s">
        <v>6287</v>
      </c>
      <c r="B13430" s="0" t="str">
        <f aca="false">HYPERLINK("https://lindat.mff.cuni.cz/services/teitok/pdtc10/index.php?action=vallex&amp;frame=v-w1868f11", "mluvit (v-w1868f11)")</f>
        <v>mluvit (v-w1868f11)</v>
      </c>
    </row>
    <row r="13431" customFormat="false" ht="12.8" hidden="false" customHeight="false" outlineLevel="0" collapsed="false">
      <c r="B13431" s="0" t="s">
        <v>1</v>
      </c>
    </row>
    <row r="13432" customFormat="false" ht="12.8" hidden="false" customHeight="false" outlineLevel="0" collapsed="false">
      <c r="B13432" s="0" t="s">
        <v>6288</v>
      </c>
    </row>
    <row r="13433" customFormat="false" ht="12.8" hidden="false" customHeight="false" outlineLevel="0" collapsed="false">
      <c r="B13433" s="0" t="s">
        <v>186</v>
      </c>
    </row>
    <row r="13435" customFormat="false" ht="12.8" hidden="false" customHeight="false" outlineLevel="0" collapsed="false">
      <c r="A13435" s="0" t="s">
        <v>6289</v>
      </c>
      <c r="B13435" s="0" t="str">
        <f aca="false">HYPERLINK("https://lindat.mff.cuni.cz/services/teitok/pdtc10/index.php?action=vallex&amp;frame=v-w1868f7", "mluvit (v-w1868f7)")</f>
        <v>mluvit (v-w1868f7)</v>
      </c>
    </row>
    <row r="13436" customFormat="false" ht="12.8" hidden="false" customHeight="false" outlineLevel="0" collapsed="false">
      <c r="B13436" s="0" t="s">
        <v>1</v>
      </c>
    </row>
    <row r="13437" customFormat="false" ht="12.8" hidden="false" customHeight="false" outlineLevel="0" collapsed="false">
      <c r="B13437" s="0" t="s">
        <v>4543</v>
      </c>
    </row>
    <row r="13439" customFormat="false" ht="12.8" hidden="false" customHeight="false" outlineLevel="0" collapsed="false">
      <c r="A13439" s="0" t="s">
        <v>6290</v>
      </c>
      <c r="B13439" s="0" t="str">
        <f aca="false">HYPERLINK("https://lindat.mff.cuni.cz/services/teitok/pdtc10/index.php?action=vallex&amp;frame=v-w1868f12_ZU", "mluvit (v-w1868f12_ZU)")</f>
        <v>mluvit (v-w1868f12_ZU)</v>
      </c>
    </row>
    <row r="13440" customFormat="false" ht="12.8" hidden="false" customHeight="false" outlineLevel="0" collapsed="false">
      <c r="B13440" s="0" t="s">
        <v>1</v>
      </c>
    </row>
    <row r="13441" customFormat="false" ht="12.8" hidden="false" customHeight="false" outlineLevel="0" collapsed="false">
      <c r="B13441" s="0" t="s">
        <v>1427</v>
      </c>
    </row>
    <row r="13443" customFormat="false" ht="12.8" hidden="false" customHeight="false" outlineLevel="0" collapsed="false">
      <c r="A13443" s="0" t="s">
        <v>6291</v>
      </c>
      <c r="B13443" s="0" t="str">
        <f aca="false">HYPERLINK("https://lindat.mff.cuni.cz/services/teitok/pdtc10/index.php?action=vallex&amp;frame=v-w1868hsa_1783", "mluvit (v-w1868hsa_1783)")</f>
        <v>mluvit (v-w1868hsa_1783)</v>
      </c>
    </row>
    <row r="13444" customFormat="false" ht="12.8" hidden="false" customHeight="false" outlineLevel="0" collapsed="false">
      <c r="B13444" s="0" t="s">
        <v>1</v>
      </c>
    </row>
    <row r="13445" customFormat="false" ht="12.8" hidden="false" customHeight="false" outlineLevel="0" collapsed="false">
      <c r="B13445" s="0" t="s">
        <v>318</v>
      </c>
    </row>
    <row r="13446" customFormat="false" ht="12.8" hidden="false" customHeight="false" outlineLevel="0" collapsed="false">
      <c r="B13446" s="0" t="s">
        <v>3205</v>
      </c>
    </row>
    <row r="13447" customFormat="false" ht="12.8" hidden="false" customHeight="false" outlineLevel="0" collapsed="false">
      <c r="B13447" s="0" t="s">
        <v>3982</v>
      </c>
    </row>
    <row r="13449" customFormat="false" ht="12.8" hidden="false" customHeight="false" outlineLevel="0" collapsed="false">
      <c r="A13449" s="0" t="s">
        <v>6292</v>
      </c>
      <c r="B13449" s="0" t="str">
        <f aca="false">HYPERLINK("https://lindat.mff.cuni.cz/services/teitok/pdtc10/index.php?action=vallex&amp;frame=v-w1860f2", "mlátit (v-w1860f2)")</f>
        <v>mlátit (v-w1860f2)</v>
      </c>
      <c r="E13449" s="0" t="str">
        <f aca="false">HYPERLINK("https://lindat.mff.cuni.cz/services/SynSemClass40/SynSemClass40.html?veclass=vec01488#vec01488-ces-cm00010", "vec01488")</f>
        <v>vec01488</v>
      </c>
      <c r="F13449" s="0" t="s">
        <v>481</v>
      </c>
    </row>
    <row r="13450" customFormat="false" ht="12.8" hidden="false" customHeight="false" outlineLevel="0" collapsed="false">
      <c r="B13450" s="0" t="s">
        <v>1</v>
      </c>
      <c r="C13450" s="0" t="s">
        <v>459</v>
      </c>
      <c r="E13450" s="0" t="s">
        <v>416</v>
      </c>
      <c r="F13450" s="0" t="s">
        <v>482</v>
      </c>
    </row>
    <row r="13451" customFormat="false" ht="12.8" hidden="false" customHeight="false" outlineLevel="0" collapsed="false">
      <c r="B13451" s="0" t="s">
        <v>8</v>
      </c>
      <c r="C13451" s="0" t="s">
        <v>800</v>
      </c>
      <c r="E13451" s="0" t="s">
        <v>801</v>
      </c>
      <c r="F13451" s="0" t="s">
        <v>802</v>
      </c>
    </row>
    <row r="13453" customFormat="false" ht="12.8" hidden="false" customHeight="false" outlineLevel="0" collapsed="false">
      <c r="A13453" s="0" t="s">
        <v>6293</v>
      </c>
      <c r="B13453" s="0" t="str">
        <f aca="false">HYPERLINK("https://lindat.mff.cuni.cz/services/teitok/pdtc10/index.php?action=vallex&amp;frame=v-w1860f1", "mlátit (v-w1860f1)")</f>
        <v>mlátit (v-w1860f1)</v>
      </c>
      <c r="E13453" s="0" t="str">
        <f aca="false">HYPERLINK("https://lindat.mff.cuni.cz/services/SynSemClass40/SynSemClass40.html?veclass=vec01532#vec01532-ces-cm00008", "vec01532")</f>
        <v>vec01532</v>
      </c>
      <c r="F13453" s="0" t="s">
        <v>458</v>
      </c>
    </row>
    <row r="13454" customFormat="false" ht="12.8" hidden="false" customHeight="false" outlineLevel="0" collapsed="false">
      <c r="B13454" s="0" t="s">
        <v>1</v>
      </c>
      <c r="C13454" s="0" t="s">
        <v>4695</v>
      </c>
      <c r="E13454" s="0" t="s">
        <v>196</v>
      </c>
      <c r="F13454" s="0" t="s">
        <v>461</v>
      </c>
    </row>
    <row r="13455" customFormat="false" ht="12.8" hidden="false" customHeight="false" outlineLevel="0" collapsed="false">
      <c r="B13455" s="0" t="s">
        <v>286</v>
      </c>
      <c r="C13455" s="0" t="s">
        <v>462</v>
      </c>
      <c r="E13455" s="0" t="s">
        <v>450</v>
      </c>
      <c r="F13455" s="0" t="s">
        <v>463</v>
      </c>
    </row>
    <row r="13457" customFormat="false" ht="12.8" hidden="false" customHeight="false" outlineLevel="0" collapsed="false">
      <c r="A13457" s="0" t="s">
        <v>6294</v>
      </c>
      <c r="B13457" s="0" t="str">
        <f aca="false">HYPERLINK("https://lindat.mff.cuni.cz/services/teitok/pdtc10/index.php?action=vallex&amp;frame=v-w1860f4", "mlátit (v-w1860f4)")</f>
        <v>mlátit (v-w1860f4)</v>
      </c>
    </row>
    <row r="13458" customFormat="false" ht="12.8" hidden="false" customHeight="false" outlineLevel="0" collapsed="false">
      <c r="B13458" s="0" t="s">
        <v>1</v>
      </c>
    </row>
    <row r="13459" customFormat="false" ht="12.8" hidden="false" customHeight="false" outlineLevel="0" collapsed="false">
      <c r="B13459" s="0" t="s">
        <v>164</v>
      </c>
    </row>
    <row r="13461" customFormat="false" ht="12.8" hidden="false" customHeight="false" outlineLevel="0" collapsed="false">
      <c r="A13461" s="0" t="s">
        <v>6295</v>
      </c>
      <c r="B13461" s="0" t="str">
        <f aca="false">HYPERLINK("https://lindat.mff.cuni.cz/services/teitok/pdtc10/index.php?action=vallex&amp;frame=v-w1860f3", "mlátit (v-w1860f3)")</f>
        <v>mlátit (v-w1860f3)</v>
      </c>
    </row>
    <row r="13462" customFormat="false" ht="12.8" hidden="false" customHeight="false" outlineLevel="0" collapsed="false">
      <c r="B13462" s="0" t="s">
        <v>1</v>
      </c>
    </row>
    <row r="13463" customFormat="false" ht="12.8" hidden="false" customHeight="false" outlineLevel="0" collapsed="false">
      <c r="B13463" s="0" t="s">
        <v>6296</v>
      </c>
    </row>
    <row r="13465" customFormat="false" ht="12.8" hidden="false" customHeight="false" outlineLevel="0" collapsed="false">
      <c r="A13465" s="0" t="s">
        <v>6297</v>
      </c>
      <c r="B13465" s="0" t="str">
        <f aca="false">HYPERLINK("https://lindat.mff.cuni.cz/services/teitok/pdtc10/index.php?action=vallex&amp;frame=v-w1860hsa_1685", "mlátit (v-w1860hsa_1685)")</f>
        <v>mlátit (v-w1860hsa_1685)</v>
      </c>
    </row>
    <row r="13466" customFormat="false" ht="12.8" hidden="false" customHeight="false" outlineLevel="0" collapsed="false">
      <c r="B13466" s="0" t="s">
        <v>1</v>
      </c>
    </row>
    <row r="13467" customFormat="false" ht="12.8" hidden="false" customHeight="false" outlineLevel="0" collapsed="false">
      <c r="B13467" s="0" t="s">
        <v>8</v>
      </c>
    </row>
    <row r="13469" customFormat="false" ht="12.8" hidden="false" customHeight="false" outlineLevel="0" collapsed="false">
      <c r="A13469" s="0" t="s">
        <v>6298</v>
      </c>
      <c r="B13469" s="0" t="str">
        <f aca="false">HYPERLINK("https://lindat.mff.cuni.cz/services/teitok/pdtc10/index.php?action=vallex&amp;frame=v-w1864f1", "mlít (v-w1864f1)")</f>
        <v>mlít (v-w1864f1)</v>
      </c>
    </row>
    <row r="13470" customFormat="false" ht="12.8" hidden="false" customHeight="false" outlineLevel="0" collapsed="false">
      <c r="B13470" s="0" t="s">
        <v>1</v>
      </c>
    </row>
    <row r="13471" customFormat="false" ht="12.8" hidden="false" customHeight="false" outlineLevel="0" collapsed="false">
      <c r="B13471" s="0" t="s">
        <v>8</v>
      </c>
    </row>
    <row r="13472" customFormat="false" ht="12.8" hidden="false" customHeight="false" outlineLevel="0" collapsed="false">
      <c r="B13472" s="0" t="s">
        <v>36</v>
      </c>
    </row>
    <row r="13473" customFormat="false" ht="12.8" hidden="false" customHeight="false" outlineLevel="0" collapsed="false">
      <c r="B13473" s="0" t="s">
        <v>101</v>
      </c>
    </row>
    <row r="13475" customFormat="false" ht="12.8" hidden="false" customHeight="false" outlineLevel="0" collapsed="false">
      <c r="A13475" s="0" t="s">
        <v>6299</v>
      </c>
      <c r="B13475" s="0" t="str">
        <f aca="false">HYPERLINK("https://lindat.mff.cuni.cz/services/teitok/pdtc10/index.php?action=vallex&amp;frame=v-w1864f2_ZU", "mlít (v-w1864f2_ZU)")</f>
        <v>mlít (v-w1864f2_ZU)</v>
      </c>
    </row>
    <row r="13476" customFormat="false" ht="12.8" hidden="false" customHeight="false" outlineLevel="0" collapsed="false">
      <c r="B13476" s="0" t="s">
        <v>1</v>
      </c>
    </row>
    <row r="13477" customFormat="false" ht="12.8" hidden="false" customHeight="false" outlineLevel="0" collapsed="false">
      <c r="B13477" s="0" t="s">
        <v>6296</v>
      </c>
    </row>
    <row r="13479" customFormat="false" ht="12.8" hidden="false" customHeight="false" outlineLevel="0" collapsed="false">
      <c r="A13479" s="0" t="s">
        <v>6299</v>
      </c>
      <c r="B13479" s="0" t="str">
        <f aca="false">HYPERLINK("https://lindat.mff.cuni.cz/services/teitok/pdtc10/index.php?action=vallex&amp;frame=v-w1864hsa_1264", "mlít (v-w1864hsa_1264) - substituted with v-w1864f2_ZU")</f>
        <v>mlít (v-w1864hsa_1264) - substituted with v-w1864f2_ZU</v>
      </c>
    </row>
    <row r="13480" customFormat="false" ht="12.8" hidden="false" customHeight="false" outlineLevel="0" collapsed="false">
      <c r="B13480" s="0" t="s">
        <v>1</v>
      </c>
    </row>
    <row r="13481" customFormat="false" ht="12.8" hidden="false" customHeight="false" outlineLevel="0" collapsed="false">
      <c r="B13481" s="0" t="s">
        <v>6296</v>
      </c>
    </row>
    <row r="13483" customFormat="false" ht="12.8" hidden="false" customHeight="false" outlineLevel="0" collapsed="false">
      <c r="A13483" s="0" t="s">
        <v>6300</v>
      </c>
      <c r="B13483" s="0" t="str">
        <f aca="false">HYPERLINK("https://lindat.mff.cuni.cz/services/teitok/pdtc10/index.php?action=vallex&amp;frame=v-w1862f1", "mlčet (v-w1862f1)")</f>
        <v>mlčet (v-w1862f1)</v>
      </c>
      <c r="E13483" s="0" t="str">
        <f aca="false">HYPERLINK("https://lindat.mff.cuni.cz/services/SynSemClass40/SynSemClass40.html?veclass=vec00514#vec00514-ces-cm00139", "vec00514")</f>
        <v>vec00514</v>
      </c>
      <c r="F13483" s="0" t="s">
        <v>5808</v>
      </c>
    </row>
    <row r="13484" customFormat="false" ht="12.8" hidden="false" customHeight="false" outlineLevel="0" collapsed="false">
      <c r="B13484" s="0" t="s">
        <v>1</v>
      </c>
      <c r="C13484" s="0" t="s">
        <v>5809</v>
      </c>
      <c r="E13484" s="0" t="s">
        <v>4243</v>
      </c>
      <c r="F13484" s="0" t="s">
        <v>5810</v>
      </c>
    </row>
    <row r="13485" customFormat="false" ht="12.8" hidden="false" customHeight="false" outlineLevel="0" collapsed="false">
      <c r="B13485" s="0" t="s">
        <v>496</v>
      </c>
      <c r="C13485" s="0" t="s">
        <v>5811</v>
      </c>
      <c r="E13485" s="0" t="s">
        <v>4246</v>
      </c>
      <c r="F13485" s="0" t="s">
        <v>5812</v>
      </c>
    </row>
    <row r="13487" customFormat="false" ht="12.8" hidden="false" customHeight="false" outlineLevel="0" collapsed="false">
      <c r="A13487" s="0" t="s">
        <v>6301</v>
      </c>
      <c r="B13487" s="0" t="str">
        <f aca="false">HYPERLINK("https://lindat.mff.cuni.cz/services/teitok/pdtc10/index.php?action=vallex&amp;frame=v-w10869f3", "mlžit (v-w10869f3)")</f>
        <v>mlžit (v-w10869f3)</v>
      </c>
      <c r="E13487" s="0" t="str">
        <f aca="false">HYPERLINK("https://lindat.mff.cuni.cz/services/SynSemClass40/SynSemClass40.html?veclass=vec00514#vec00514-ces-cm00140", "vec00514")</f>
        <v>vec00514</v>
      </c>
      <c r="F13487" s="0" t="s">
        <v>5808</v>
      </c>
      <c r="H13487" s="0" t="str">
        <f aca="false">HYPERLINK("https://lindat.mff.cuni.cz/services/SynSemClass40/SynSemClass40.html?veclass=vec00832#vec00832-ces-cm00002", "vec00832")</f>
        <v>vec00832</v>
      </c>
      <c r="I13487" s="0" t="s">
        <v>6022</v>
      </c>
    </row>
    <row r="13488" customFormat="false" ht="12.8" hidden="false" customHeight="false" outlineLevel="0" collapsed="false">
      <c r="B13488" s="0" t="s">
        <v>1</v>
      </c>
      <c r="C13488" s="0" t="s">
        <v>6302</v>
      </c>
      <c r="E13488" s="0" t="s">
        <v>4243</v>
      </c>
      <c r="F13488" s="0" t="s">
        <v>5810</v>
      </c>
      <c r="H13488" s="0" t="s">
        <v>63</v>
      </c>
      <c r="I13488" s="0" t="s">
        <v>6023</v>
      </c>
    </row>
    <row r="13489" customFormat="false" ht="12.8" hidden="false" customHeight="false" outlineLevel="0" collapsed="false">
      <c r="B13489" s="0" t="s">
        <v>496</v>
      </c>
      <c r="C13489" s="0" t="s">
        <v>6303</v>
      </c>
      <c r="E13489" s="0" t="s">
        <v>4246</v>
      </c>
      <c r="F13489" s="0" t="s">
        <v>5812</v>
      </c>
      <c r="H13489" s="0" t="s">
        <v>6025</v>
      </c>
      <c r="I13489" s="0" t="s">
        <v>6026</v>
      </c>
    </row>
    <row r="13491" customFormat="false" ht="12.8" hidden="false" customHeight="false" outlineLevel="0" collapsed="false">
      <c r="A13491" s="0" t="s">
        <v>6304</v>
      </c>
      <c r="B13491" s="0" t="str">
        <f aca="false">HYPERLINK("https://lindat.mff.cuni.cz/services/teitok/pdtc10/index.php?action=vallex&amp;frame=v-w1869f1", "mnout (v-w1869f1)")</f>
        <v>mnout (v-w1869f1)</v>
      </c>
    </row>
    <row r="13492" customFormat="false" ht="12.8" hidden="false" customHeight="false" outlineLevel="0" collapsed="false">
      <c r="B13492" s="0" t="s">
        <v>1</v>
      </c>
    </row>
    <row r="13493" customFormat="false" ht="12.8" hidden="false" customHeight="false" outlineLevel="0" collapsed="false">
      <c r="B13493" s="0" t="s">
        <v>8</v>
      </c>
    </row>
    <row r="13495" customFormat="false" ht="12.8" hidden="false" customHeight="false" outlineLevel="0" collapsed="false">
      <c r="A13495" s="0" t="s">
        <v>6305</v>
      </c>
      <c r="B13495" s="0" t="str">
        <f aca="false">HYPERLINK("https://lindat.mff.cuni.cz/services/teitok/pdtc10/index.php?action=vallex&amp;frame=v-w11755_ZUf1_ZU", "množit (v-w11755_ZUf1_ZU)")</f>
        <v>množit (v-w11755_ZUf1_ZU)</v>
      </c>
    </row>
    <row r="13496" customFormat="false" ht="12.8" hidden="false" customHeight="false" outlineLevel="0" collapsed="false">
      <c r="B13496" s="0" t="s">
        <v>1</v>
      </c>
    </row>
    <row r="13498" customFormat="false" ht="12.8" hidden="false" customHeight="false" outlineLevel="0" collapsed="false">
      <c r="A13498" s="0" t="s">
        <v>6306</v>
      </c>
      <c r="B13498" s="0" t="str">
        <f aca="false">HYPERLINK("https://lindat.mff.cuni.cz/services/teitok/pdtc10/index.php?action=vallex&amp;frame=v-w1871f1", "množit se (v-w1871f1)")</f>
        <v>množit se (v-w1871f1)</v>
      </c>
      <c r="E13498" s="0" t="str">
        <f aca="false">HYPERLINK("https://lindat.mff.cuni.cz/services/SynSemClass40/SynSemClass40.html?veclass=vec00836#vec00836-ces-cm00001", "vec00836")</f>
        <v>vec00836</v>
      </c>
      <c r="F13498" s="0" t="s">
        <v>4588</v>
      </c>
    </row>
    <row r="13499" customFormat="false" ht="12.8" hidden="false" customHeight="false" outlineLevel="0" collapsed="false">
      <c r="B13499" s="0" t="s">
        <v>1</v>
      </c>
      <c r="C13499" s="0" t="s">
        <v>4589</v>
      </c>
      <c r="E13499" s="0" t="s">
        <v>4590</v>
      </c>
      <c r="F13499" s="0" t="s">
        <v>4591</v>
      </c>
    </row>
    <row r="13501" customFormat="false" ht="12.8" hidden="false" customHeight="false" outlineLevel="0" collapsed="false">
      <c r="A13501" s="0" t="s">
        <v>6307</v>
      </c>
      <c r="B13501" s="0" t="str">
        <f aca="false">HYPERLINK("https://lindat.mff.cuni.cz/services/teitok/pdtc10/index.php?action=vallex&amp;frame=v-w1872f2", "mobilizovat (v-w1872f2)")</f>
        <v>mobilizovat (v-w1872f2)</v>
      </c>
    </row>
    <row r="13502" customFormat="false" ht="12.8" hidden="false" customHeight="false" outlineLevel="0" collapsed="false">
      <c r="B13502" s="0" t="s">
        <v>1</v>
      </c>
    </row>
    <row r="13503" customFormat="false" ht="12.8" hidden="false" customHeight="false" outlineLevel="0" collapsed="false">
      <c r="B13503" s="0" t="s">
        <v>5061</v>
      </c>
    </row>
    <row r="13504" customFormat="false" ht="12.8" hidden="false" customHeight="false" outlineLevel="0" collapsed="false">
      <c r="B13504" s="0" t="s">
        <v>98</v>
      </c>
    </row>
    <row r="13506" customFormat="false" ht="12.8" hidden="false" customHeight="false" outlineLevel="0" collapsed="false">
      <c r="A13506" s="0" t="s">
        <v>6308</v>
      </c>
      <c r="B13506" s="0" t="str">
        <f aca="false">HYPERLINK("https://lindat.mff.cuni.cz/services/teitok/pdtc10/index.php?action=vallex&amp;frame=v-w1872f1", "mobilizovat (v-w1872f1)")</f>
        <v>mobilizovat (v-w1872f1)</v>
      </c>
      <c r="E13506" s="0" t="str">
        <f aca="false">HYPERLINK("https://lindat.mff.cuni.cz/services/SynSemClass40/SynSemClass40.html?veclass=vec00485#vec00485-ces-cm00002", "vec00485")</f>
        <v>vec00485</v>
      </c>
      <c r="F13506" s="0" t="s">
        <v>6309</v>
      </c>
    </row>
    <row r="13507" customFormat="false" ht="12.8" hidden="false" customHeight="false" outlineLevel="0" collapsed="false">
      <c r="B13507" s="0" t="s">
        <v>1</v>
      </c>
      <c r="C13507" s="0" t="s">
        <v>6310</v>
      </c>
      <c r="E13507" s="0" t="s">
        <v>206</v>
      </c>
      <c r="F13507" s="0" t="s">
        <v>6311</v>
      </c>
    </row>
    <row r="13508" customFormat="false" ht="12.8" hidden="false" customHeight="false" outlineLevel="0" collapsed="false">
      <c r="B13508" s="0" t="s">
        <v>8</v>
      </c>
      <c r="C13508" s="0" t="s">
        <v>6312</v>
      </c>
      <c r="E13508" s="0" t="s">
        <v>3832</v>
      </c>
      <c r="F13508" s="0" t="s">
        <v>6313</v>
      </c>
    </row>
    <row r="13510" customFormat="false" ht="12.8" hidden="false" customHeight="false" outlineLevel="0" collapsed="false">
      <c r="A13510" s="0" t="s">
        <v>6314</v>
      </c>
      <c r="B13510" s="0" t="str">
        <f aca="false">HYPERLINK("https://lindat.mff.cuni.cz/services/teitok/pdtc10/index.php?action=vallex&amp;frame=v-w1875f2", "moci (v-w1875f2)")</f>
        <v>moci (v-w1875f2)</v>
      </c>
    </row>
    <row r="13511" customFormat="false" ht="12.8" hidden="false" customHeight="false" outlineLevel="0" collapsed="false">
      <c r="B13511" s="0" t="s">
        <v>1</v>
      </c>
    </row>
    <row r="13512" customFormat="false" ht="12.8" hidden="false" customHeight="false" outlineLevel="0" collapsed="false">
      <c r="B13512" s="0" t="s">
        <v>3458</v>
      </c>
    </row>
    <row r="13514" customFormat="false" ht="12.8" hidden="false" customHeight="false" outlineLevel="0" collapsed="false">
      <c r="A13514" s="0" t="s">
        <v>6315</v>
      </c>
      <c r="B13514" s="0" t="str">
        <f aca="false">HYPERLINK("https://lindat.mff.cuni.cz/services/teitok/pdtc10/index.php?action=vallex&amp;frame=v-w1875f1", "moci (v-w1875f1)")</f>
        <v>moci (v-w1875f1)</v>
      </c>
      <c r="E13514" s="0" t="str">
        <f aca="false">HYPERLINK("https://lindat.mff.cuni.cz/services/SynSemClass40/SynSemClass40.html?veclass=vec01231#vec01231-ces-cm00001", "vec01231")</f>
        <v>vec01231</v>
      </c>
      <c r="F13514" s="0" t="s">
        <v>6316</v>
      </c>
    </row>
    <row r="13515" customFormat="false" ht="12.8" hidden="false" customHeight="false" outlineLevel="0" collapsed="false">
      <c r="B13515" s="0" t="s">
        <v>1</v>
      </c>
      <c r="C13515" s="0" t="s">
        <v>6317</v>
      </c>
      <c r="E13515" s="0" t="s">
        <v>31</v>
      </c>
      <c r="F13515" s="0" t="s">
        <v>6318</v>
      </c>
    </row>
    <row r="13516" customFormat="false" ht="12.8" hidden="false" customHeight="false" outlineLevel="0" collapsed="false">
      <c r="B13516" s="0" t="s">
        <v>665</v>
      </c>
      <c r="C13516" s="0" t="s">
        <v>6319</v>
      </c>
      <c r="E13516" s="0" t="s">
        <v>79</v>
      </c>
      <c r="F13516" s="0" t="s">
        <v>6320</v>
      </c>
    </row>
    <row r="13518" customFormat="false" ht="12.8" hidden="false" customHeight="false" outlineLevel="0" collapsed="false">
      <c r="A13518" s="0" t="s">
        <v>6321</v>
      </c>
      <c r="B13518" s="0" t="str">
        <f aca="false">HYPERLINK("https://lindat.mff.cuni.cz/services/teitok/pdtc10/index.php?action=vallex&amp;frame=v-w1875f3_ZU", "moci (v-w1875f3_ZU)")</f>
        <v>moci (v-w1875f3_ZU)</v>
      </c>
    </row>
    <row r="13519" customFormat="false" ht="12.8" hidden="false" customHeight="false" outlineLevel="0" collapsed="false">
      <c r="B13519" s="0" t="s">
        <v>1</v>
      </c>
    </row>
    <row r="13520" customFormat="false" ht="12.8" hidden="false" customHeight="false" outlineLevel="0" collapsed="false">
      <c r="B13520" s="0" t="s">
        <v>8</v>
      </c>
    </row>
    <row r="13522" customFormat="false" ht="12.8" hidden="false" customHeight="false" outlineLevel="0" collapsed="false">
      <c r="A13522" s="0" t="s">
        <v>6322</v>
      </c>
      <c r="B13522" s="0" t="str">
        <f aca="false">HYPERLINK("https://lindat.mff.cuni.cz/services/teitok/pdtc10/index.php?action=vallex&amp;frame=v-w1875hsa_1564", "moci (v-w1875hsa_1564)")</f>
        <v>moci (v-w1875hsa_1564)</v>
      </c>
    </row>
    <row r="13523" customFormat="false" ht="12.8" hidden="false" customHeight="false" outlineLevel="0" collapsed="false">
      <c r="B13523" s="0" t="s">
        <v>1</v>
      </c>
    </row>
    <row r="13524" customFormat="false" ht="12.8" hidden="false" customHeight="false" outlineLevel="0" collapsed="false">
      <c r="B13524" s="0" t="s">
        <v>8</v>
      </c>
    </row>
    <row r="13526" customFormat="false" ht="12.8" hidden="false" customHeight="false" outlineLevel="0" collapsed="false">
      <c r="A13526" s="0" t="s">
        <v>6323</v>
      </c>
      <c r="B13526" s="0" t="str">
        <f aca="false">HYPERLINK("https://lindat.mff.cuni.cz/services/teitok/pdtc10/index.php?action=vallex&amp;frame=v-w1876f1", "moci si (v-w1876f1)")</f>
        <v>moci si (v-w1876f1)</v>
      </c>
      <c r="E13526" s="0" t="str">
        <f aca="false">HYPERLINK("https://lindat.mff.cuni.cz/services/SynSemClass40/SynSemClass40.html?veclass=vec01231#vec01231-ces-cm00002", "vec01231")</f>
        <v>vec01231</v>
      </c>
      <c r="F13526" s="0" t="s">
        <v>6316</v>
      </c>
    </row>
    <row r="13527" customFormat="false" ht="12.8" hidden="false" customHeight="false" outlineLevel="0" collapsed="false">
      <c r="B13527" s="0" t="s">
        <v>1</v>
      </c>
      <c r="C13527" s="0" t="s">
        <v>6317</v>
      </c>
      <c r="E13527" s="0" t="s">
        <v>31</v>
      </c>
      <c r="F13527" s="0" t="s">
        <v>6318</v>
      </c>
    </row>
    <row r="13528" customFormat="false" ht="12.8" hidden="false" customHeight="false" outlineLevel="0" collapsed="false">
      <c r="B13528" s="0" t="s">
        <v>665</v>
      </c>
      <c r="C13528" s="0" t="s">
        <v>6319</v>
      </c>
      <c r="E13528" s="0" t="s">
        <v>79</v>
      </c>
      <c r="F13528" s="0" t="s">
        <v>6320</v>
      </c>
    </row>
    <row r="13530" customFormat="false" ht="12.8" hidden="false" customHeight="false" outlineLevel="0" collapsed="false">
      <c r="A13530" s="0" t="s">
        <v>6324</v>
      </c>
      <c r="B13530" s="0" t="str">
        <f aca="false">HYPERLINK("https://lindat.mff.cuni.cz/services/teitok/pdtc10/index.php?action=vallex&amp;frame=v-w11137f2", "modelovat (v-w11137f2)")</f>
        <v>modelovat (v-w11137f2)</v>
      </c>
      <c r="E13530" s="0" t="str">
        <f aca="false">HYPERLINK("https://lindat.mff.cuni.cz/services/SynSemClass40/SynSemClass40.html?veclass=vec00084#vec00084-ces-cm00151", "vec00084")</f>
        <v>vec00084</v>
      </c>
      <c r="F13530" s="0" t="s">
        <v>778</v>
      </c>
      <c r="H13530" s="0" t="str">
        <f aca="false">HYPERLINK("https://lindat.mff.cuni.cz/services/SynSemClass40/SynSemClass40.html?veclass=vec00360#vec00360-ces-cm00042", "vec00360")</f>
        <v>vec00360</v>
      </c>
      <c r="I13530" s="0" t="s">
        <v>5330</v>
      </c>
      <c r="K13530" s="0" t="str">
        <f aca="false">HYPERLINK("https://lindat.mff.cuni.cz/services/SynSemClass40/SynSemClass40.html?veclass=vec00944#vec00944-ces-cm00007", "vec00944")</f>
        <v>vec00944</v>
      </c>
      <c r="L13530" s="0" t="s">
        <v>4164</v>
      </c>
    </row>
    <row r="13531" customFormat="false" ht="12.8" hidden="false" customHeight="false" outlineLevel="0" collapsed="false">
      <c r="B13531" s="0" t="s">
        <v>1</v>
      </c>
      <c r="C13531" s="0" t="s">
        <v>6325</v>
      </c>
      <c r="E13531" s="0" t="s">
        <v>31</v>
      </c>
      <c r="F13531" s="0" t="s">
        <v>781</v>
      </c>
      <c r="H13531" s="0" t="s">
        <v>768</v>
      </c>
      <c r="I13531" s="0" t="s">
        <v>5332</v>
      </c>
      <c r="K13531" s="0" t="s">
        <v>768</v>
      </c>
      <c r="L13531" s="0" t="s">
        <v>4165</v>
      </c>
    </row>
    <row r="13532" customFormat="false" ht="12.8" hidden="false" customHeight="false" outlineLevel="0" collapsed="false">
      <c r="B13532" s="0" t="s">
        <v>8</v>
      </c>
      <c r="C13532" s="0" t="s">
        <v>6326</v>
      </c>
      <c r="E13532" s="0" t="s">
        <v>771</v>
      </c>
      <c r="F13532" s="0" t="s">
        <v>784</v>
      </c>
      <c r="H13532" s="0" t="s">
        <v>771</v>
      </c>
      <c r="I13532" s="0" t="s">
        <v>5334</v>
      </c>
      <c r="K13532" s="0" t="s">
        <v>771</v>
      </c>
      <c r="L13532" s="0" t="s">
        <v>6327</v>
      </c>
    </row>
    <row r="13533" customFormat="false" ht="12.8" hidden="false" customHeight="false" outlineLevel="0" collapsed="false">
      <c r="B13533" s="0" t="s">
        <v>36</v>
      </c>
      <c r="C13533" s="0" t="s">
        <v>6328</v>
      </c>
      <c r="E13533" s="0" t="s">
        <v>787</v>
      </c>
      <c r="F13533" s="0" t="s">
        <v>788</v>
      </c>
      <c r="H13533" s="0" t="s">
        <v>787</v>
      </c>
      <c r="I13533" s="0" t="s">
        <v>5336</v>
      </c>
      <c r="K13533" s="0" t="s">
        <v>6329</v>
      </c>
      <c r="L13533" s="0" t="s">
        <v>6330</v>
      </c>
    </row>
    <row r="13535" customFormat="false" ht="12.8" hidden="false" customHeight="false" outlineLevel="0" collapsed="false">
      <c r="A13535" s="0" t="s">
        <v>6331</v>
      </c>
      <c r="B13535" s="0" t="str">
        <f aca="false">HYPERLINK("https://lindat.mff.cuni.cz/services/teitok/pdtc10/index.php?action=vallex&amp;frame=v-w1881f1", "modernizovat (v-w1881f1)")</f>
        <v>modernizovat (v-w1881f1)</v>
      </c>
      <c r="E13535" s="0" t="str">
        <f aca="false">HYPERLINK("https://lindat.mff.cuni.cz/services/SynSemClass40/SynSemClass40.html?veclass=vec00436#vec00436-ces-cm00001", "vec00436")</f>
        <v>vec00436</v>
      </c>
      <c r="F13535" s="0" t="s">
        <v>82</v>
      </c>
    </row>
    <row r="13536" customFormat="false" ht="12.8" hidden="false" customHeight="false" outlineLevel="0" collapsed="false">
      <c r="B13536" s="0" t="s">
        <v>1</v>
      </c>
      <c r="C13536" s="0" t="s">
        <v>83</v>
      </c>
      <c r="E13536" s="0" t="s">
        <v>84</v>
      </c>
      <c r="F13536" s="0" t="s">
        <v>85</v>
      </c>
    </row>
    <row r="13537" customFormat="false" ht="12.8" hidden="false" customHeight="false" outlineLevel="0" collapsed="false">
      <c r="B13537" s="0" t="s">
        <v>8</v>
      </c>
      <c r="C13537" s="0" t="s">
        <v>86</v>
      </c>
      <c r="E13537" s="0" t="s">
        <v>87</v>
      </c>
      <c r="F13537" s="0" t="s">
        <v>88</v>
      </c>
    </row>
    <row r="13539" customFormat="false" ht="12.8" hidden="false" customHeight="false" outlineLevel="0" collapsed="false">
      <c r="A13539" s="0" t="s">
        <v>6332</v>
      </c>
      <c r="B13539" s="0" t="str">
        <f aca="false">HYPERLINK("https://lindat.mff.cuni.cz/services/teitok/pdtc10/index.php?action=vallex&amp;frame=v-w11108f2", "moderovat (v-w11108f2)")</f>
        <v>moderovat (v-w11108f2)</v>
      </c>
      <c r="E13539" s="0" t="str">
        <f aca="false">HYPERLINK("https://lindat.mff.cuni.cz/services/SynSemClass40/SynSemClass40.html?veclass=vec00302#vec00302-ces-cm00113", "vec00302")</f>
        <v>vec00302</v>
      </c>
      <c r="F13539" s="0" t="s">
        <v>1991</v>
      </c>
    </row>
    <row r="13540" customFormat="false" ht="12.8" hidden="false" customHeight="false" outlineLevel="0" collapsed="false">
      <c r="B13540" s="0" t="s">
        <v>1</v>
      </c>
      <c r="C13540" s="0" t="s">
        <v>1992</v>
      </c>
      <c r="E13540" s="0" t="s">
        <v>206</v>
      </c>
      <c r="F13540" s="0" t="s">
        <v>1993</v>
      </c>
    </row>
    <row r="13541" customFormat="false" ht="12.8" hidden="false" customHeight="false" outlineLevel="0" collapsed="false">
      <c r="B13541" s="0" t="s">
        <v>8</v>
      </c>
      <c r="C13541" s="0" t="s">
        <v>1994</v>
      </c>
      <c r="E13541" s="0" t="s">
        <v>1995</v>
      </c>
      <c r="F13541" s="0" t="s">
        <v>1996</v>
      </c>
    </row>
    <row r="13543" customFormat="false" ht="12.8" hidden="false" customHeight="false" outlineLevel="0" collapsed="false">
      <c r="A13543" s="0" t="s">
        <v>6333</v>
      </c>
      <c r="B13543" s="0" t="str">
        <f aca="false">HYPERLINK("https://lindat.mff.cuni.cz/services/teitok/pdtc10/index.php?action=vallex&amp;frame=v-w1883f1", "modifikovat (v-w1883f1)")</f>
        <v>modifikovat (v-w1883f1)</v>
      </c>
      <c r="E13543" s="0" t="str">
        <f aca="false">HYPERLINK("https://lindat.mff.cuni.cz/services/SynSemClass40/SynSemClass40.html?veclass=vec00095#vec00095-ces-cm00045", "vec00095")</f>
        <v>vec00095</v>
      </c>
      <c r="F13543" s="0" t="s">
        <v>29</v>
      </c>
    </row>
    <row r="13544" customFormat="false" ht="12.8" hidden="false" customHeight="false" outlineLevel="0" collapsed="false">
      <c r="B13544" s="0" t="s">
        <v>1</v>
      </c>
      <c r="C13544" s="0" t="s">
        <v>30</v>
      </c>
      <c r="E13544" s="0" t="s">
        <v>31</v>
      </c>
      <c r="F13544" s="0" t="s">
        <v>32</v>
      </c>
    </row>
    <row r="13545" customFormat="false" ht="12.8" hidden="false" customHeight="false" outlineLevel="0" collapsed="false">
      <c r="B13545" s="0" t="s">
        <v>8</v>
      </c>
      <c r="C13545" s="0" t="s">
        <v>33</v>
      </c>
      <c r="E13545" s="0" t="s">
        <v>34</v>
      </c>
      <c r="F13545" s="0" t="s">
        <v>35</v>
      </c>
    </row>
    <row r="13547" customFormat="false" ht="12.8" hidden="false" customHeight="false" outlineLevel="0" collapsed="false">
      <c r="A13547" s="0" t="s">
        <v>6334</v>
      </c>
      <c r="B13547" s="0" t="str">
        <f aca="false">HYPERLINK("https://lindat.mff.cuni.cz/services/teitok/pdtc10/index.php?action=vallex&amp;frame=v-w1885f2_ZU", "modlit se (v-w1885f2_ZU)")</f>
        <v>modlit se (v-w1885f2_ZU)</v>
      </c>
      <c r="E13547" s="0" t="str">
        <f aca="false">HYPERLINK("https://lindat.mff.cuni.cz/services/SynSemClass40/SynSemClass40.html?veclass=vec01495#vec01495-ces-cm00001", "vec01495")</f>
        <v>vec01495</v>
      </c>
      <c r="F13547" s="0" t="s">
        <v>6335</v>
      </c>
    </row>
    <row r="13548" customFormat="false" ht="12.8" hidden="false" customHeight="false" outlineLevel="0" collapsed="false">
      <c r="B13548" s="0" t="s">
        <v>1</v>
      </c>
      <c r="C13548" s="0" t="s">
        <v>6336</v>
      </c>
      <c r="E13548" s="0" t="s">
        <v>147</v>
      </c>
      <c r="F13548" s="0" t="s">
        <v>6337</v>
      </c>
    </row>
    <row r="13549" customFormat="false" ht="12.8" hidden="false" customHeight="false" outlineLevel="0" collapsed="false">
      <c r="B13549" s="0" t="s">
        <v>390</v>
      </c>
      <c r="C13549" s="0" t="s">
        <v>6338</v>
      </c>
      <c r="E13549" s="0" t="s">
        <v>50</v>
      </c>
      <c r="F13549" s="0" t="s">
        <v>6339</v>
      </c>
    </row>
    <row r="13550" customFormat="false" ht="12.8" hidden="false" customHeight="false" outlineLevel="0" collapsed="false">
      <c r="B13550" s="0" t="s">
        <v>723</v>
      </c>
      <c r="E13550" s="0" t="s">
        <v>6340</v>
      </c>
      <c r="F13550" s="0" t="s">
        <v>6341</v>
      </c>
    </row>
    <row r="13552" customFormat="false" ht="12.8" hidden="false" customHeight="false" outlineLevel="0" collapsed="false">
      <c r="A13552" s="0" t="s">
        <v>6334</v>
      </c>
      <c r="B13552" s="0" t="str">
        <f aca="false">HYPERLINK("https://lindat.mff.cuni.cz/services/teitok/pdtc10/index.php?action=vallex&amp;frame=v-w1885f1", "modlit se (v-w1885f1) - substituted with v-w1885f2_ZU")</f>
        <v>modlit se (v-w1885f1) - substituted with v-w1885f2_ZU</v>
      </c>
    </row>
    <row r="13553" customFormat="false" ht="12.8" hidden="false" customHeight="false" outlineLevel="0" collapsed="false">
      <c r="B13553" s="0" t="s">
        <v>1</v>
      </c>
    </row>
    <row r="13554" customFormat="false" ht="12.8" hidden="false" customHeight="false" outlineLevel="0" collapsed="false">
      <c r="B13554" s="0" t="s">
        <v>390</v>
      </c>
    </row>
    <row r="13555" customFormat="false" ht="12.8" hidden="false" customHeight="false" outlineLevel="0" collapsed="false">
      <c r="B13555" s="0" t="s">
        <v>723</v>
      </c>
    </row>
    <row r="13557" customFormat="false" ht="12.8" hidden="false" customHeight="false" outlineLevel="0" collapsed="false">
      <c r="A13557" s="0" t="s">
        <v>6334</v>
      </c>
      <c r="B13557" s="0" t="str">
        <f aca="false">HYPERLINK("https://lindat.mff.cuni.cz/services/teitok/pdtc10/index.php?action=vallex&amp;frame=v-w1885hsa_488", "modlit se (v-w1885hsa_488) - substituted with v-w1885f2_ZU")</f>
        <v>modlit se (v-w1885hsa_488) - substituted with v-w1885f2_ZU</v>
      </c>
    </row>
    <row r="13558" customFormat="false" ht="12.8" hidden="false" customHeight="false" outlineLevel="0" collapsed="false">
      <c r="B13558" s="0" t="s">
        <v>1</v>
      </c>
    </row>
    <row r="13559" customFormat="false" ht="12.8" hidden="false" customHeight="false" outlineLevel="0" collapsed="false">
      <c r="B13559" s="0" t="s">
        <v>390</v>
      </c>
    </row>
    <row r="13560" customFormat="false" ht="12.8" hidden="false" customHeight="false" outlineLevel="0" collapsed="false">
      <c r="B13560" s="0" t="s">
        <v>723</v>
      </c>
    </row>
    <row r="13562" customFormat="false" ht="12.8" hidden="false" customHeight="false" outlineLevel="0" collapsed="false">
      <c r="A13562" s="0" t="s">
        <v>6342</v>
      </c>
      <c r="B13562" s="0" t="str">
        <f aca="false">HYPERLINK("https://lindat.mff.cuni.cz/services/teitok/pdtc10/index.php?action=vallex&amp;frame=v-w11005f2", "modulovat (v-w11005f2)")</f>
        <v>modulovat (v-w11005f2)</v>
      </c>
    </row>
    <row r="13563" customFormat="false" ht="12.8" hidden="false" customHeight="false" outlineLevel="0" collapsed="false">
      <c r="B13563" s="0" t="s">
        <v>1</v>
      </c>
    </row>
    <row r="13564" customFormat="false" ht="12.8" hidden="false" customHeight="false" outlineLevel="0" collapsed="false">
      <c r="B13564" s="0" t="s">
        <v>8</v>
      </c>
    </row>
    <row r="13566" customFormat="false" ht="12.8" hidden="false" customHeight="false" outlineLevel="0" collapsed="false">
      <c r="A13566" s="0" t="s">
        <v>6343</v>
      </c>
      <c r="B13566" s="0" t="str">
        <f aca="false">HYPERLINK("https://lindat.mff.cuni.cz/services/teitok/pdtc10/index.php?action=vallex&amp;frame=v-w1887f3", "monitorovat (v-w1887f3)")</f>
        <v>monitorovat (v-w1887f3)</v>
      </c>
      <c r="E13566" s="0" t="str">
        <f aca="false">HYPERLINK("https://lindat.mff.cuni.cz/services/SynSemClass40/SynSemClass40.html?veclass=vec00115#vec00115-ces-cm00031", "vec00115")</f>
        <v>vec00115</v>
      </c>
      <c r="F13566" s="0" t="s">
        <v>5568</v>
      </c>
    </row>
    <row r="13567" customFormat="false" ht="12.8" hidden="false" customHeight="false" outlineLevel="0" collapsed="false">
      <c r="B13567" s="0" t="s">
        <v>1</v>
      </c>
      <c r="C13567" s="0" t="s">
        <v>6344</v>
      </c>
      <c r="E13567" s="0" t="s">
        <v>5570</v>
      </c>
      <c r="F13567" s="0" t="s">
        <v>5571</v>
      </c>
    </row>
    <row r="13568" customFormat="false" ht="12.8" hidden="false" customHeight="false" outlineLevel="0" collapsed="false">
      <c r="B13568" s="0" t="s">
        <v>8</v>
      </c>
      <c r="C13568" s="0" t="s">
        <v>6345</v>
      </c>
      <c r="E13568" s="0" t="s">
        <v>180</v>
      </c>
      <c r="F13568" s="0" t="s">
        <v>5573</v>
      </c>
    </row>
    <row r="13570" customFormat="false" ht="12.8" hidden="false" customHeight="false" outlineLevel="0" collapsed="false">
      <c r="A13570" s="0" t="s">
        <v>6343</v>
      </c>
      <c r="B13570" s="0" t="str">
        <f aca="false">HYPERLINK("https://lindat.mff.cuni.cz/services/teitok/pdtc10/index.php?action=vallex&amp;frame=v-w1887f1", "monitorovat (v-w1887f1) - substituted with v-w1887f3")</f>
        <v>monitorovat (v-w1887f1) - substituted with v-w1887f3</v>
      </c>
    </row>
    <row r="13571" customFormat="false" ht="12.8" hidden="false" customHeight="false" outlineLevel="0" collapsed="false">
      <c r="B13571" s="0" t="s">
        <v>1</v>
      </c>
    </row>
    <row r="13572" customFormat="false" ht="12.8" hidden="false" customHeight="false" outlineLevel="0" collapsed="false">
      <c r="B13572" s="0" t="s">
        <v>8</v>
      </c>
    </row>
    <row r="13574" customFormat="false" ht="12.8" hidden="false" customHeight="false" outlineLevel="0" collapsed="false">
      <c r="A13574" s="0" t="s">
        <v>6346</v>
      </c>
      <c r="B13574" s="0" t="str">
        <f aca="false">HYPERLINK("https://lindat.mff.cuni.cz/services/teitok/pdtc10/index.php?action=vallex&amp;frame=v-w1891f1", "monopolizovat (v-w1891f1)")</f>
        <v>monopolizovat (v-w1891f1)</v>
      </c>
      <c r="E13574" s="0" t="str">
        <f aca="false">HYPERLINK("https://lindat.mff.cuni.cz/services/SynSemClass40/SynSemClass40.html?veclass=vec01042#vec01042-ces-cm00001", "vec01042")</f>
        <v>vec01042</v>
      </c>
      <c r="F13574" s="0" t="s">
        <v>6347</v>
      </c>
    </row>
    <row r="13575" customFormat="false" ht="12.8" hidden="false" customHeight="false" outlineLevel="0" collapsed="false">
      <c r="B13575" s="0" t="s">
        <v>1</v>
      </c>
      <c r="E13575" s="0" t="s">
        <v>206</v>
      </c>
      <c r="F13575" s="0" t="s">
        <v>1359</v>
      </c>
    </row>
    <row r="13576" customFormat="false" ht="12.8" hidden="false" customHeight="false" outlineLevel="0" collapsed="false">
      <c r="B13576" s="0" t="s">
        <v>8</v>
      </c>
      <c r="E13576" s="0" t="s">
        <v>142</v>
      </c>
      <c r="F13576" s="0" t="s">
        <v>6348</v>
      </c>
    </row>
    <row r="13578" customFormat="false" ht="12.8" hidden="false" customHeight="false" outlineLevel="0" collapsed="false">
      <c r="A13578" s="0" t="s">
        <v>6349</v>
      </c>
      <c r="B13578" s="0" t="str">
        <f aca="false">HYPERLINK("https://lindat.mff.cuni.cz/services/teitok/pdtc10/index.php?action=vallex&amp;frame=v-w1893f1", "montovat (v-w1893f1)")</f>
        <v>montovat (v-w1893f1)</v>
      </c>
      <c r="E13578" s="0" t="str">
        <f aca="false">HYPERLINK("https://lindat.mff.cuni.cz/services/SynSemClass40/SynSemClass40.html?veclass=vec00084#vec00084-ces-cm00013", "vec00084")</f>
        <v>vec00084</v>
      </c>
      <c r="F13578" s="0" t="s">
        <v>778</v>
      </c>
    </row>
    <row r="13579" customFormat="false" ht="12.8" hidden="false" customHeight="false" outlineLevel="0" collapsed="false">
      <c r="B13579" s="0" t="s">
        <v>1</v>
      </c>
      <c r="C13579" s="0" t="s">
        <v>5557</v>
      </c>
      <c r="E13579" s="0" t="s">
        <v>31</v>
      </c>
      <c r="F13579" s="0" t="s">
        <v>781</v>
      </c>
    </row>
    <row r="13580" customFormat="false" ht="12.8" hidden="false" customHeight="false" outlineLevel="0" collapsed="false">
      <c r="B13580" s="0" t="s">
        <v>8</v>
      </c>
      <c r="C13580" s="0" t="s">
        <v>5558</v>
      </c>
      <c r="E13580" s="0" t="s">
        <v>771</v>
      </c>
      <c r="F13580" s="0" t="s">
        <v>784</v>
      </c>
    </row>
    <row r="13581" customFormat="false" ht="12.8" hidden="false" customHeight="false" outlineLevel="0" collapsed="false">
      <c r="B13581" s="0" t="s">
        <v>36</v>
      </c>
      <c r="C13581" s="0" t="s">
        <v>6350</v>
      </c>
      <c r="E13581" s="0" t="s">
        <v>787</v>
      </c>
      <c r="F13581" s="0" t="s">
        <v>788</v>
      </c>
    </row>
    <row r="13583" customFormat="false" ht="12.8" hidden="false" customHeight="false" outlineLevel="0" collapsed="false">
      <c r="A13583" s="0" t="s">
        <v>6351</v>
      </c>
      <c r="B13583" s="0" t="str">
        <f aca="false">HYPERLINK("https://lindat.mff.cuni.cz/services/teitok/pdtc10/index.php?action=vallex&amp;frame=v-w1896f1", "monumentalizovat (v-w1896f1)")</f>
        <v>monumentalizovat (v-w1896f1)</v>
      </c>
    </row>
    <row r="13584" customFormat="false" ht="12.8" hidden="false" customHeight="false" outlineLevel="0" collapsed="false">
      <c r="B13584" s="0" t="s">
        <v>1</v>
      </c>
    </row>
    <row r="13585" customFormat="false" ht="12.8" hidden="false" customHeight="false" outlineLevel="0" collapsed="false">
      <c r="B13585" s="0" t="s">
        <v>8</v>
      </c>
    </row>
    <row r="13587" customFormat="false" ht="12.8" hidden="false" customHeight="false" outlineLevel="0" collapsed="false">
      <c r="A13587" s="0" t="s">
        <v>6352</v>
      </c>
      <c r="B13587" s="0" t="str">
        <f aca="false">HYPERLINK("https://lindat.mff.cuni.cz/services/teitok/pdtc10/index.php?action=vallex&amp;frame=v-whsb_804hsa_805", "mordovat (v-whsb_804hsa_805)")</f>
        <v>mordovat (v-whsb_804hsa_805)</v>
      </c>
    </row>
    <row r="13588" customFormat="false" ht="12.8" hidden="false" customHeight="false" outlineLevel="0" collapsed="false">
      <c r="B13588" s="0" t="s">
        <v>1</v>
      </c>
    </row>
    <row r="13589" customFormat="false" ht="12.8" hidden="false" customHeight="false" outlineLevel="0" collapsed="false">
      <c r="B13589" s="0" t="s">
        <v>8</v>
      </c>
    </row>
    <row r="13591" customFormat="false" ht="12.8" hidden="false" customHeight="false" outlineLevel="0" collapsed="false">
      <c r="A13591" s="0" t="s">
        <v>6353</v>
      </c>
      <c r="B13591" s="0" t="str">
        <f aca="false">HYPERLINK("https://lindat.mff.cuni.cz/services/teitok/pdtc10/index.php?action=vallex&amp;frame=v-w1897f1", "motat se (v-w1897f1)")</f>
        <v>motat se (v-w1897f1)</v>
      </c>
    </row>
    <row r="13592" customFormat="false" ht="12.8" hidden="false" customHeight="false" outlineLevel="0" collapsed="false">
      <c r="B13592" s="0" t="s">
        <v>1</v>
      </c>
    </row>
    <row r="13593" customFormat="false" ht="12.8" hidden="false" customHeight="false" outlineLevel="0" collapsed="false">
      <c r="B13593" s="0" t="s">
        <v>5</v>
      </c>
    </row>
    <row r="13595" customFormat="false" ht="12.8" hidden="false" customHeight="false" outlineLevel="0" collapsed="false">
      <c r="A13595" s="0" t="s">
        <v>6354</v>
      </c>
      <c r="B13595" s="0" t="str">
        <f aca="false">HYPERLINK("https://lindat.mff.cuni.cz/services/teitok/pdtc10/index.php?action=vallex&amp;frame=v-w1897f2", "motat se (v-w1897f2)")</f>
        <v>motat se (v-w1897f2)</v>
      </c>
    </row>
    <row r="13596" customFormat="false" ht="12.8" hidden="false" customHeight="false" outlineLevel="0" collapsed="false">
      <c r="B13596" s="0" t="s">
        <v>1</v>
      </c>
    </row>
    <row r="13598" customFormat="false" ht="12.8" hidden="false" customHeight="false" outlineLevel="0" collapsed="false">
      <c r="A13598" s="0" t="s">
        <v>6355</v>
      </c>
      <c r="B13598" s="0" t="str">
        <f aca="false">HYPERLINK("https://lindat.mff.cuni.cz/services/teitok/pdtc10/index.php?action=vallex&amp;frame=v-w1897f3_ZU", "motat se (v-w1897f3_ZU)")</f>
        <v>motat se (v-w1897f3_ZU)</v>
      </c>
    </row>
    <row r="13599" customFormat="false" ht="12.8" hidden="false" customHeight="false" outlineLevel="0" collapsed="false">
      <c r="B13599" s="0" t="s">
        <v>1</v>
      </c>
    </row>
    <row r="13600" customFormat="false" ht="12.8" hidden="false" customHeight="false" outlineLevel="0" collapsed="false">
      <c r="B13600" s="0" t="s">
        <v>157</v>
      </c>
    </row>
    <row r="13602" customFormat="false" ht="12.8" hidden="false" customHeight="false" outlineLevel="0" collapsed="false">
      <c r="A13602" s="0" t="s">
        <v>6355</v>
      </c>
      <c r="B13602" s="0" t="str">
        <f aca="false">HYPERLINK("https://lindat.mff.cuni.cz/services/teitok/pdtc10/index.php?action=vallex&amp;frame=v-w1897hsa_1503", "motat se (v-w1897hsa_1503) - substituted with v-w1897f3_ZU")</f>
        <v>motat se (v-w1897hsa_1503) - substituted with v-w1897f3_ZU</v>
      </c>
    </row>
    <row r="13603" customFormat="false" ht="12.8" hidden="false" customHeight="false" outlineLevel="0" collapsed="false">
      <c r="B13603" s="0" t="s">
        <v>1</v>
      </c>
    </row>
    <row r="13604" customFormat="false" ht="12.8" hidden="false" customHeight="false" outlineLevel="0" collapsed="false">
      <c r="B13604" s="0" t="s">
        <v>157</v>
      </c>
    </row>
    <row r="13606" customFormat="false" ht="12.8" hidden="false" customHeight="false" outlineLevel="0" collapsed="false">
      <c r="A13606" s="0" t="s">
        <v>6356</v>
      </c>
      <c r="B13606" s="0" t="str">
        <f aca="false">HYPERLINK("https://lindat.mff.cuni.cz/services/teitok/pdtc10/index.php?action=vallex&amp;frame=v-w1899f2", "motivovat (v-w1899f2)")</f>
        <v>motivovat (v-w1899f2)</v>
      </c>
      <c r="E13606" s="0" t="str">
        <f aca="false">HYPERLINK("https://lindat.mff.cuni.cz/services/SynSemClass40/SynSemClass40.html?veclass=vec00837#vec00837-ces-cm00001", "vec00837")</f>
        <v>vec00837</v>
      </c>
      <c r="F13606" s="0" t="s">
        <v>6357</v>
      </c>
    </row>
    <row r="13607" customFormat="false" ht="12.8" hidden="false" customHeight="false" outlineLevel="0" collapsed="false">
      <c r="B13607" s="0" t="s">
        <v>1</v>
      </c>
      <c r="E13607" s="0" t="s">
        <v>1103</v>
      </c>
      <c r="F13607" s="0" t="s">
        <v>1104</v>
      </c>
    </row>
    <row r="13608" customFormat="false" ht="12.8" hidden="false" customHeight="false" outlineLevel="0" collapsed="false">
      <c r="B13608" s="0" t="s">
        <v>8</v>
      </c>
      <c r="E13608" s="0" t="s">
        <v>6358</v>
      </c>
      <c r="F13608" s="0" t="s">
        <v>6359</v>
      </c>
    </row>
    <row r="13610" customFormat="false" ht="12.8" hidden="false" customHeight="false" outlineLevel="0" collapsed="false">
      <c r="A13610" s="0" t="s">
        <v>6360</v>
      </c>
      <c r="B13610" s="0" t="str">
        <f aca="false">HYPERLINK("https://lindat.mff.cuni.cz/services/teitok/pdtc10/index.php?action=vallex&amp;frame=v-w1899f1", "motivovat (v-w1899f1)")</f>
        <v>motivovat (v-w1899f1)</v>
      </c>
      <c r="E13610" s="0" t="str">
        <f aca="false">HYPERLINK("https://lindat.mff.cuni.cz/services/SynSemClass40/SynSemClass40.html?veclass=vec00098#vec00098-ces-cm00023", "vec00098")</f>
        <v>vec00098</v>
      </c>
      <c r="F13610" s="0" t="s">
        <v>2500</v>
      </c>
    </row>
    <row r="13611" customFormat="false" ht="12.8" hidden="false" customHeight="false" outlineLevel="0" collapsed="false">
      <c r="B13611" s="0" t="s">
        <v>843</v>
      </c>
      <c r="C13611" s="0" t="s">
        <v>2501</v>
      </c>
      <c r="E13611" s="0" t="s">
        <v>1665</v>
      </c>
      <c r="F13611" s="0" t="s">
        <v>2502</v>
      </c>
    </row>
    <row r="13612" customFormat="false" ht="12.8" hidden="false" customHeight="false" outlineLevel="0" collapsed="false">
      <c r="B13612" s="0" t="s">
        <v>98</v>
      </c>
      <c r="C13612" s="0" t="s">
        <v>2505</v>
      </c>
      <c r="E13612" s="0" t="s">
        <v>2287</v>
      </c>
      <c r="F13612" s="0" t="s">
        <v>2506</v>
      </c>
    </row>
    <row r="13613" customFormat="false" ht="12.8" hidden="false" customHeight="false" outlineLevel="0" collapsed="false">
      <c r="B13613" s="0" t="s">
        <v>6361</v>
      </c>
      <c r="C13613" s="0" t="s">
        <v>2503</v>
      </c>
      <c r="E13613" s="0" t="s">
        <v>79</v>
      </c>
      <c r="F13613" s="0" t="s">
        <v>2504</v>
      </c>
    </row>
    <row r="13615" customFormat="false" ht="12.8" hidden="false" customHeight="false" outlineLevel="0" collapsed="false">
      <c r="A13615" s="0" t="s">
        <v>6362</v>
      </c>
      <c r="B13615" s="0" t="str">
        <f aca="false">HYPERLINK("https://lindat.mff.cuni.cz/services/teitok/pdtc10/index.php?action=vallex&amp;frame=v-w11826_ZUf1_ZU", "močit (v-w11826_ZUf1_ZU)")</f>
        <v>močit (v-w11826_ZUf1_ZU)</v>
      </c>
    </row>
    <row r="13616" customFormat="false" ht="12.8" hidden="false" customHeight="false" outlineLevel="0" collapsed="false">
      <c r="B13616" s="0" t="s">
        <v>1</v>
      </c>
    </row>
    <row r="13617" customFormat="false" ht="12.8" hidden="false" customHeight="false" outlineLevel="0" collapsed="false">
      <c r="B13617" s="0" t="s">
        <v>390</v>
      </c>
    </row>
    <row r="13619" customFormat="false" ht="12.8" hidden="false" customHeight="false" outlineLevel="0" collapsed="false">
      <c r="A13619" s="0" t="s">
        <v>6363</v>
      </c>
      <c r="B13619" s="0" t="str">
        <f aca="false">HYPERLINK("https://lindat.mff.cuni.cz/services/teitok/pdtc10/index.php?action=vallex&amp;frame=v-w12078_ZUf2_ZU", "mrazit (v-w12078_ZUf2_ZU)")</f>
        <v>mrazit (v-w12078_ZUf2_ZU)</v>
      </c>
    </row>
    <row r="13620" customFormat="false" ht="12.8" hidden="false" customHeight="false" outlineLevel="0" collapsed="false">
      <c r="B13620" s="0" t="s">
        <v>1</v>
      </c>
    </row>
    <row r="13621" customFormat="false" ht="12.8" hidden="false" customHeight="false" outlineLevel="0" collapsed="false">
      <c r="B13621" s="0" t="s">
        <v>8</v>
      </c>
    </row>
    <row r="13623" customFormat="false" ht="12.8" hidden="false" customHeight="false" outlineLevel="0" collapsed="false">
      <c r="A13623" s="0" t="s">
        <v>6363</v>
      </c>
      <c r="B13623" s="0" t="str">
        <f aca="false">HYPERLINK("https://lindat.mff.cuni.cz/services/teitok/pdtc10/index.php?action=vallex&amp;frame=v-w12078_ZUf1_ZU", "mrazit (v-w12078_ZUf1_ZU) - substituted with v-w12078_ZUf2_ZU")</f>
        <v>mrazit (v-w12078_ZUf1_ZU) - substituted with v-w12078_ZUf2_ZU</v>
      </c>
    </row>
    <row r="13624" customFormat="false" ht="12.8" hidden="false" customHeight="false" outlineLevel="0" collapsed="false">
      <c r="B13624" s="0" t="s">
        <v>1</v>
      </c>
    </row>
    <row r="13625" customFormat="false" ht="12.8" hidden="false" customHeight="false" outlineLevel="0" collapsed="false">
      <c r="B13625" s="0" t="s">
        <v>8</v>
      </c>
    </row>
    <row r="13627" customFormat="false" ht="12.8" hidden="false" customHeight="false" outlineLevel="0" collapsed="false">
      <c r="A13627" s="0" t="s">
        <v>6364</v>
      </c>
      <c r="B13627" s="0" t="str">
        <f aca="false">HYPERLINK("https://lindat.mff.cuni.cz/services/teitok/pdtc10/index.php?action=vallex&amp;frame=v-w1904f2", "mračit se (v-w1904f2)")</f>
        <v>mračit se (v-w1904f2)</v>
      </c>
      <c r="E13627" s="0" t="str">
        <f aca="false">HYPERLINK("https://lindat.mff.cuni.cz/services/SynSemClass40/SynSemClass40.html?veclass=vec01043#vec01043-ces-cm00001", "vec01043")</f>
        <v>vec01043</v>
      </c>
      <c r="F13627" s="0" t="s">
        <v>6365</v>
      </c>
    </row>
    <row r="13628" customFormat="false" ht="12.8" hidden="false" customHeight="false" outlineLevel="0" collapsed="false">
      <c r="B13628" s="0" t="s">
        <v>1</v>
      </c>
      <c r="C13628" s="0" t="s">
        <v>459</v>
      </c>
      <c r="E13628" s="0" t="s">
        <v>155</v>
      </c>
      <c r="F13628" s="0" t="s">
        <v>4232</v>
      </c>
    </row>
    <row r="13630" customFormat="false" ht="12.8" hidden="false" customHeight="false" outlineLevel="0" collapsed="false">
      <c r="A13630" s="0" t="s">
        <v>6366</v>
      </c>
      <c r="B13630" s="0" t="str">
        <f aca="false">HYPERLINK("https://lindat.mff.cuni.cz/services/teitok/pdtc10/index.php?action=vallex&amp;frame=v-w1904f1", "mračit se (v-w1904f1)")</f>
        <v>mračit se (v-w1904f1)</v>
      </c>
    </row>
    <row r="13632" customFormat="false" ht="12.8" hidden="false" customHeight="false" outlineLevel="0" collapsed="false">
      <c r="A13632" s="0" t="s">
        <v>6367</v>
      </c>
      <c r="B13632" s="0" t="str">
        <f aca="false">HYPERLINK("https://lindat.mff.cuni.cz/services/teitok/pdtc10/index.php?action=vallex&amp;frame=v-w11917_ZUf1_ZU", "mrkat (v-w11917_ZUf1_ZU)")</f>
        <v>mrkat (v-w11917_ZUf1_ZU)</v>
      </c>
    </row>
    <row r="13633" customFormat="false" ht="12.8" hidden="false" customHeight="false" outlineLevel="0" collapsed="false">
      <c r="B13633" s="0" t="s">
        <v>1</v>
      </c>
    </row>
    <row r="13635" customFormat="false" ht="12.8" hidden="false" customHeight="false" outlineLevel="0" collapsed="false">
      <c r="A13635" s="0" t="s">
        <v>6368</v>
      </c>
      <c r="B13635" s="0" t="str">
        <f aca="false">HYPERLINK("https://lindat.mff.cuni.cz/services/teitok/pdtc10/index.php?action=vallex&amp;frame=v-whsa_809f2_ZU", "mrknout (v-whsa_809f2_ZU)")</f>
        <v>mrknout (v-whsa_809f2_ZU)</v>
      </c>
    </row>
    <row r="13636" customFormat="false" ht="12.8" hidden="false" customHeight="false" outlineLevel="0" collapsed="false">
      <c r="B13636" s="0" t="s">
        <v>1</v>
      </c>
    </row>
    <row r="13637" customFormat="false" ht="12.8" hidden="false" customHeight="false" outlineLevel="0" collapsed="false">
      <c r="B13637" s="0" t="s">
        <v>69</v>
      </c>
    </row>
    <row r="13639" customFormat="false" ht="12.8" hidden="false" customHeight="false" outlineLevel="0" collapsed="false">
      <c r="A13639" s="0" t="s">
        <v>6368</v>
      </c>
      <c r="B13639" s="0" t="str">
        <f aca="false">HYPERLINK("https://lindat.mff.cuni.cz/services/teitok/pdtc10/index.php?action=vallex&amp;frame=v-whsa_809f1_ZU", "mrknout (v-whsa_809f1_ZU) - substituted with v-whsa_809f2_ZU")</f>
        <v>mrknout (v-whsa_809f1_ZU) - substituted with v-whsa_809f2_ZU</v>
      </c>
      <c r="E13639" s="0" t="str">
        <f aca="false">HYPERLINK("https://lindat.mff.cuni.cz/services/SynSemClass40/SynSemClass40.html?veclass=vec00838#vec00838-ces-cm00001", "vec00838")</f>
        <v>vec00838</v>
      </c>
      <c r="F13639" s="0" t="s">
        <v>4223</v>
      </c>
    </row>
    <row r="13640" customFormat="false" ht="12.8" hidden="false" customHeight="false" outlineLevel="0" collapsed="false">
      <c r="B13640" s="0" t="s">
        <v>1</v>
      </c>
      <c r="C13640" s="0" t="s">
        <v>1752</v>
      </c>
      <c r="E13640" s="0" t="s">
        <v>155</v>
      </c>
      <c r="F13640" s="0" t="s">
        <v>4224</v>
      </c>
    </row>
    <row r="13641" customFormat="false" ht="12.8" hidden="false" customHeight="false" outlineLevel="0" collapsed="false">
      <c r="B13641" s="0" t="s">
        <v>69</v>
      </c>
    </row>
    <row r="13643" customFormat="false" ht="12.8" hidden="false" customHeight="false" outlineLevel="0" collapsed="false">
      <c r="A13643" s="0" t="s">
        <v>6368</v>
      </c>
      <c r="B13643" s="0" t="str">
        <f aca="false">HYPERLINK("https://lindat.mff.cuni.cz/services/teitok/pdtc10/index.php?action=vallex&amp;frame=v-whsa_809hsa_810", "mrknout (v-whsa_809hsa_810) - substituted with v-whsa_809f2_ZU")</f>
        <v>mrknout (v-whsa_809hsa_810) - substituted with v-whsa_809f2_ZU</v>
      </c>
    </row>
    <row r="13644" customFormat="false" ht="12.8" hidden="false" customHeight="false" outlineLevel="0" collapsed="false">
      <c r="B13644" s="0" t="s">
        <v>1</v>
      </c>
    </row>
    <row r="13645" customFormat="false" ht="12.8" hidden="false" customHeight="false" outlineLevel="0" collapsed="false">
      <c r="B13645" s="0" t="s">
        <v>69</v>
      </c>
    </row>
    <row r="13647" customFormat="false" ht="12.8" hidden="false" customHeight="false" outlineLevel="0" collapsed="false">
      <c r="A13647" s="0" t="s">
        <v>6369</v>
      </c>
      <c r="B13647" s="0" t="str">
        <f aca="false">HYPERLINK("https://lindat.mff.cuni.cz/services/teitok/pdtc10/index.php?action=vallex&amp;frame=v-whsa_807hsa_808", "mrknout (v-whsa_807hsa_808)")</f>
        <v>mrknout (v-whsa_807hsa_808)</v>
      </c>
    </row>
    <row r="13648" customFormat="false" ht="12.8" hidden="false" customHeight="false" outlineLevel="0" collapsed="false">
      <c r="B13648" s="0" t="s">
        <v>1</v>
      </c>
    </row>
    <row r="13650" customFormat="false" ht="12.8" hidden="false" customHeight="false" outlineLevel="0" collapsed="false">
      <c r="A13650" s="0" t="s">
        <v>6370</v>
      </c>
      <c r="B13650" s="0" t="str">
        <f aca="false">HYPERLINK("https://lindat.mff.cuni.cz/services/teitok/pdtc10/index.php?action=vallex&amp;frame=v-w12106_ZUf1_ZU", "mrskat se (v-w12106_ZUf1_ZU)")</f>
        <v>mrskat se (v-w12106_ZUf1_ZU)</v>
      </c>
    </row>
    <row r="13651" customFormat="false" ht="12.8" hidden="false" customHeight="false" outlineLevel="0" collapsed="false">
      <c r="B13651" s="0" t="s">
        <v>1</v>
      </c>
    </row>
    <row r="13653" customFormat="false" ht="12.8" hidden="false" customHeight="false" outlineLevel="0" collapsed="false">
      <c r="A13653" s="0" t="s">
        <v>6371</v>
      </c>
      <c r="B13653" s="0" t="str">
        <f aca="false">HYPERLINK("https://lindat.mff.cuni.cz/services/teitok/pdtc10/index.php?action=vallex&amp;frame=v-w1907f1", "mrzet (v-w1907f1)")</f>
        <v>mrzet (v-w1907f1)</v>
      </c>
      <c r="E13653" s="0" t="str">
        <f aca="false">HYPERLINK("https://lindat.mff.cuni.cz/services/SynSemClass40/SynSemClass40.html?veclass=vec00428#vec00428-ces-cm00002", "vec00428")</f>
        <v>vec00428</v>
      </c>
      <c r="F13653" s="0" t="s">
        <v>1293</v>
      </c>
    </row>
    <row r="13654" customFormat="false" ht="12.8" hidden="false" customHeight="false" outlineLevel="0" collapsed="false">
      <c r="B13654" s="0" t="s">
        <v>264</v>
      </c>
      <c r="C13654" s="0" t="s">
        <v>154</v>
      </c>
      <c r="E13654" s="0" t="s">
        <v>155</v>
      </c>
      <c r="F13654" s="0" t="s">
        <v>156</v>
      </c>
    </row>
    <row r="13655" customFormat="false" ht="12.8" hidden="false" customHeight="false" outlineLevel="0" collapsed="false">
      <c r="B13655" s="0" t="s">
        <v>4945</v>
      </c>
      <c r="C13655" s="0" t="s">
        <v>639</v>
      </c>
      <c r="E13655" s="0" t="s">
        <v>34</v>
      </c>
      <c r="F13655" s="0" t="s">
        <v>1299</v>
      </c>
    </row>
    <row r="13657" customFormat="false" ht="12.8" hidden="false" customHeight="false" outlineLevel="0" collapsed="false">
      <c r="A13657" s="0" t="s">
        <v>6372</v>
      </c>
      <c r="B13657" s="0" t="str">
        <f aca="false">HYPERLINK("https://lindat.mff.cuni.cz/services/teitok/pdtc10/index.php?action=vallex&amp;frame=v-w1908f2", "mrznout (v-w1908f2)")</f>
        <v>mrznout (v-w1908f2)</v>
      </c>
    </row>
    <row r="13658" customFormat="false" ht="12.8" hidden="false" customHeight="false" outlineLevel="0" collapsed="false">
      <c r="B13658" s="0" t="s">
        <v>1</v>
      </c>
    </row>
    <row r="13660" customFormat="false" ht="12.8" hidden="false" customHeight="false" outlineLevel="0" collapsed="false">
      <c r="A13660" s="0" t="s">
        <v>6373</v>
      </c>
      <c r="B13660" s="0" t="str">
        <f aca="false">HYPERLINK("https://lindat.mff.cuni.cz/services/teitok/pdtc10/index.php?action=vallex&amp;frame=v-w1908f1", "mrznout (v-w1908f1)")</f>
        <v>mrznout (v-w1908f1)</v>
      </c>
    </row>
    <row r="13662" customFormat="false" ht="12.8" hidden="false" customHeight="false" outlineLevel="0" collapsed="false">
      <c r="A13662" s="0" t="s">
        <v>6374</v>
      </c>
      <c r="B13662" s="0" t="str">
        <f aca="false">HYPERLINK("https://lindat.mff.cuni.cz/services/teitok/pdtc10/index.php?action=vallex&amp;frame=v-w1906f1", "mrštit (v-w1906f1)")</f>
        <v>mrštit (v-w1906f1)</v>
      </c>
      <c r="E13662" s="0" t="str">
        <f aca="false">HYPERLINK("https://lindat.mff.cuni.cz/services/SynSemClass40/SynSemClass40.html?veclass=vec00819#vec00819-ces-cm00004", "vec00819")</f>
        <v>vec00819</v>
      </c>
      <c r="F13662" s="0" t="s">
        <v>4399</v>
      </c>
    </row>
    <row r="13663" customFormat="false" ht="12.8" hidden="false" customHeight="false" outlineLevel="0" collapsed="false">
      <c r="B13663" s="0" t="s">
        <v>1</v>
      </c>
      <c r="C13663" s="0" t="s">
        <v>255</v>
      </c>
      <c r="E13663" s="0" t="s">
        <v>2196</v>
      </c>
      <c r="F13663" s="0" t="s">
        <v>4400</v>
      </c>
    </row>
    <row r="13664" customFormat="false" ht="12.8" hidden="false" customHeight="false" outlineLevel="0" collapsed="false">
      <c r="B13664" s="0" t="s">
        <v>2299</v>
      </c>
      <c r="C13664" s="0" t="s">
        <v>4401</v>
      </c>
      <c r="E13664" s="0" t="s">
        <v>2200</v>
      </c>
      <c r="F13664" s="0" t="s">
        <v>4402</v>
      </c>
    </row>
    <row r="13666" customFormat="false" ht="12.8" hidden="false" customHeight="false" outlineLevel="0" collapsed="false">
      <c r="A13666" s="0" t="s">
        <v>6375</v>
      </c>
      <c r="B13666" s="0" t="str">
        <f aca="false">HYPERLINK("https://lindat.mff.cuni.cz/services/teitok/pdtc10/index.php?action=vallex&amp;frame=v-w1910f2_ZU", "mstít se (v-w1910f2_ZU)")</f>
        <v>mstít se (v-w1910f2_ZU)</v>
      </c>
    </row>
    <row r="13667" customFormat="false" ht="12.8" hidden="false" customHeight="false" outlineLevel="0" collapsed="false">
      <c r="B13667" s="0" t="s">
        <v>1</v>
      </c>
    </row>
    <row r="13668" customFormat="false" ht="12.8" hidden="false" customHeight="false" outlineLevel="0" collapsed="false">
      <c r="B13668" s="0" t="s">
        <v>6376</v>
      </c>
    </row>
    <row r="13670" customFormat="false" ht="12.8" hidden="false" customHeight="false" outlineLevel="0" collapsed="false">
      <c r="A13670" s="0" t="s">
        <v>6375</v>
      </c>
      <c r="B13670" s="0" t="str">
        <f aca="false">HYPERLINK("https://lindat.mff.cuni.cz/services/teitok/pdtc10/index.php?action=vallex&amp;frame=v-w1910f1", "mstít se (v-w1910f1) - substituted with v-w1910f2_ZU")</f>
        <v>mstít se (v-w1910f1) - substituted with v-w1910f2_ZU</v>
      </c>
    </row>
    <row r="13671" customFormat="false" ht="12.8" hidden="false" customHeight="false" outlineLevel="0" collapsed="false">
      <c r="B13671" s="0" t="s">
        <v>1</v>
      </c>
    </row>
    <row r="13672" customFormat="false" ht="12.8" hidden="false" customHeight="false" outlineLevel="0" collapsed="false">
      <c r="B13672" s="0" t="s">
        <v>6376</v>
      </c>
    </row>
    <row r="13674" customFormat="false" ht="12.8" hidden="false" customHeight="false" outlineLevel="0" collapsed="false">
      <c r="A13674" s="0" t="s">
        <v>6377</v>
      </c>
      <c r="B13674" s="0" t="str">
        <f aca="false">HYPERLINK("https://lindat.mff.cuni.cz/services/teitok/pdtc10/index.php?action=vallex&amp;frame=v-whsb_126f1_ZU", "muknout (v-whsb_126f1_ZU)")</f>
        <v>muknout (v-whsb_126f1_ZU)</v>
      </c>
    </row>
    <row r="13675" customFormat="false" ht="12.8" hidden="false" customHeight="false" outlineLevel="0" collapsed="false">
      <c r="B13675" s="0" t="s">
        <v>1</v>
      </c>
    </row>
    <row r="13677" customFormat="false" ht="12.8" hidden="false" customHeight="false" outlineLevel="0" collapsed="false">
      <c r="A13677" s="0" t="s">
        <v>6378</v>
      </c>
      <c r="B13677" s="0" t="str">
        <f aca="false">HYPERLINK("https://lindat.mff.cuni.cz/services/teitok/pdtc10/index.php?action=vallex&amp;frame=v-whsb_126hsa_127", "muknout (v-whsb_126hsa_127)")</f>
        <v>muknout (v-whsb_126hsa_127)</v>
      </c>
    </row>
    <row r="13678" customFormat="false" ht="12.8" hidden="false" customHeight="false" outlineLevel="0" collapsed="false">
      <c r="B13678" s="0" t="s">
        <v>1</v>
      </c>
    </row>
    <row r="13680" customFormat="false" ht="12.8" hidden="false" customHeight="false" outlineLevel="0" collapsed="false">
      <c r="A13680" s="0" t="s">
        <v>6379</v>
      </c>
      <c r="B13680" s="0" t="str">
        <f aca="false">HYPERLINK("https://lindat.mff.cuni.cz/services/teitok/pdtc10/index.php?action=vallex&amp;frame=v-w11268f2", "mumlat si (v-w11268f2)")</f>
        <v>mumlat si (v-w11268f2)</v>
      </c>
      <c r="E13680" s="0" t="str">
        <f aca="false">HYPERLINK("https://lindat.mff.cuni.cz/services/SynSemClass40/SynSemClass40.html?veclass=vec00633#vec00633-ces-cm00008", "vec00633")</f>
        <v>vec00633</v>
      </c>
      <c r="F13680" s="0" t="s">
        <v>528</v>
      </c>
    </row>
    <row r="13681" customFormat="false" ht="12.8" hidden="false" customHeight="false" outlineLevel="0" collapsed="false">
      <c r="B13681" s="0" t="s">
        <v>1</v>
      </c>
      <c r="C13681" s="0" t="s">
        <v>512</v>
      </c>
      <c r="E13681" s="0" t="s">
        <v>147</v>
      </c>
      <c r="F13681" s="0" t="s">
        <v>529</v>
      </c>
    </row>
    <row r="13682" customFormat="false" ht="12.8" hidden="false" customHeight="false" outlineLevel="0" collapsed="false">
      <c r="B13682" s="0" t="s">
        <v>2481</v>
      </c>
      <c r="C13682" s="0" t="s">
        <v>798</v>
      </c>
      <c r="E13682" s="0" t="s">
        <v>532</v>
      </c>
      <c r="F13682" s="0" t="s">
        <v>533</v>
      </c>
    </row>
    <row r="13684" customFormat="false" ht="12.8" hidden="false" customHeight="false" outlineLevel="0" collapsed="false">
      <c r="A13684" s="0" t="s">
        <v>6380</v>
      </c>
      <c r="B13684" s="0" t="str">
        <f aca="false">HYPERLINK("https://lindat.mff.cuni.cz/services/teitok/pdtc10/index.php?action=vallex&amp;frame=v-whsa_483f1_ZU", "muset (v-whsa_483f1_ZU)")</f>
        <v>muset (v-whsa_483f1_ZU)</v>
      </c>
    </row>
    <row r="13685" customFormat="false" ht="12.8" hidden="false" customHeight="false" outlineLevel="0" collapsed="false">
      <c r="B13685" s="0" t="s">
        <v>1</v>
      </c>
    </row>
    <row r="13686" customFormat="false" ht="12.8" hidden="false" customHeight="false" outlineLevel="0" collapsed="false">
      <c r="B13686" s="0" t="s">
        <v>8</v>
      </c>
    </row>
    <row r="13687" customFormat="false" ht="12.8" hidden="false" customHeight="false" outlineLevel="0" collapsed="false">
      <c r="B13687" s="0" t="s">
        <v>855</v>
      </c>
    </row>
    <row r="13689" customFormat="false" ht="12.8" hidden="false" customHeight="false" outlineLevel="0" collapsed="false">
      <c r="A13689" s="0" t="s">
        <v>6380</v>
      </c>
      <c r="B13689" s="0" t="str">
        <f aca="false">HYPERLINK("https://lindat.mff.cuni.cz/services/teitok/pdtc10/index.php?action=vallex&amp;frame=v-whsa_483hsa_484", "muset (v-whsa_483hsa_484) - substituted with v-whsa_483f1_ZU")</f>
        <v>muset (v-whsa_483hsa_484) - substituted with v-whsa_483f1_ZU</v>
      </c>
    </row>
    <row r="13690" customFormat="false" ht="12.8" hidden="false" customHeight="false" outlineLevel="0" collapsed="false">
      <c r="B13690" s="0" t="s">
        <v>1</v>
      </c>
    </row>
    <row r="13691" customFormat="false" ht="12.8" hidden="false" customHeight="false" outlineLevel="0" collapsed="false">
      <c r="B13691" s="0" t="s">
        <v>8</v>
      </c>
    </row>
    <row r="13692" customFormat="false" ht="12.8" hidden="false" customHeight="false" outlineLevel="0" collapsed="false">
      <c r="B13692" s="0" t="s">
        <v>855</v>
      </c>
    </row>
    <row r="13694" customFormat="false" ht="12.8" hidden="false" customHeight="false" outlineLevel="0" collapsed="false">
      <c r="A13694" s="0" t="s">
        <v>6381</v>
      </c>
      <c r="B13694" s="0" t="str">
        <f aca="false">HYPERLINK("https://lindat.mff.cuni.cz/services/teitok/pdtc10/index.php?action=vallex&amp;frame=v-whsa_483f2_MM", "muset (v-whsa_483f2_MM)")</f>
        <v>muset (v-whsa_483f2_MM)</v>
      </c>
    </row>
    <row r="13695" customFormat="false" ht="12.8" hidden="false" customHeight="false" outlineLevel="0" collapsed="false">
      <c r="B13695" s="0" t="s">
        <v>1</v>
      </c>
    </row>
    <row r="13696" customFormat="false" ht="12.8" hidden="false" customHeight="false" outlineLevel="0" collapsed="false">
      <c r="B13696" s="0" t="s">
        <v>886</v>
      </c>
    </row>
    <row r="13698" customFormat="false" ht="12.8" hidden="false" customHeight="false" outlineLevel="0" collapsed="false">
      <c r="A13698" s="0" t="s">
        <v>6382</v>
      </c>
      <c r="B13698" s="0" t="str">
        <f aca="false">HYPERLINK("https://lindat.mff.cuni.cz/services/teitok/pdtc10/index.php?action=vallex&amp;frame=v-w1912f1", "mučit (v-w1912f1)")</f>
        <v>mučit (v-w1912f1)</v>
      </c>
      <c r="E13698" s="0" t="str">
        <f aca="false">HYPERLINK("https://lindat.mff.cuni.cz/services/SynSemClass40/SynSemClass40.html?veclass=vec00158#vec00158-ces-cm00003", "vec00158")</f>
        <v>vec00158</v>
      </c>
      <c r="F13698" s="0" t="s">
        <v>6383</v>
      </c>
      <c r="H13698" s="0" t="str">
        <f aca="false">HYPERLINK("https://lindat.mff.cuni.cz/services/SynSemClass40/SynSemClass40.html?veclass=vec00992#vec00992-ces-cm00004", "vec00992")</f>
        <v>vec00992</v>
      </c>
      <c r="I13698" s="0" t="s">
        <v>824</v>
      </c>
    </row>
    <row r="13699" customFormat="false" ht="12.8" hidden="false" customHeight="false" outlineLevel="0" collapsed="false">
      <c r="B13699" s="0" t="s">
        <v>1</v>
      </c>
      <c r="C13699" s="0" t="s">
        <v>106</v>
      </c>
      <c r="E13699" s="0" t="s">
        <v>1573</v>
      </c>
      <c r="F13699" s="0" t="s">
        <v>6384</v>
      </c>
      <c r="H13699" s="0" t="s">
        <v>196</v>
      </c>
      <c r="I13699" s="0" t="s">
        <v>826</v>
      </c>
    </row>
    <row r="13700" customFormat="false" ht="12.8" hidden="false" customHeight="false" outlineLevel="0" collapsed="false">
      <c r="B13700" s="0" t="s">
        <v>8</v>
      </c>
      <c r="C13700" s="0" t="s">
        <v>6385</v>
      </c>
      <c r="E13700" s="0" t="s">
        <v>199</v>
      </c>
      <c r="F13700" s="0" t="s">
        <v>6386</v>
      </c>
      <c r="H13700" s="0" t="s">
        <v>199</v>
      </c>
      <c r="I13700" s="0" t="s">
        <v>828</v>
      </c>
    </row>
    <row r="13702" customFormat="false" ht="12.8" hidden="false" customHeight="false" outlineLevel="0" collapsed="false">
      <c r="A13702" s="0" t="s">
        <v>6387</v>
      </c>
      <c r="B13702" s="0" t="str">
        <f aca="false">HYPERLINK("https://lindat.mff.cuni.cz/services/teitok/pdtc10/index.php?action=vallex&amp;frame=v-whsa_283f1_MM", "mydlit (v-whsa_283f1_MM)")</f>
        <v>mydlit (v-whsa_283f1_MM)</v>
      </c>
    </row>
    <row r="13703" customFormat="false" ht="12.8" hidden="false" customHeight="false" outlineLevel="0" collapsed="false">
      <c r="B13703" s="0" t="s">
        <v>1</v>
      </c>
    </row>
    <row r="13704" customFormat="false" ht="12.8" hidden="false" customHeight="false" outlineLevel="0" collapsed="false">
      <c r="B13704" s="0" t="s">
        <v>8</v>
      </c>
    </row>
    <row r="13706" customFormat="false" ht="12.8" hidden="false" customHeight="false" outlineLevel="0" collapsed="false">
      <c r="A13706" s="0" t="s">
        <v>6388</v>
      </c>
      <c r="B13706" s="0" t="str">
        <f aca="false">HYPERLINK("https://lindat.mff.cuni.cz/services/teitok/pdtc10/index.php?action=vallex&amp;frame=v-whsa_283hsa_284", "mydlit (v-whsa_283hsa_284)")</f>
        <v>mydlit (v-whsa_283hsa_284)</v>
      </c>
    </row>
    <row r="13707" customFormat="false" ht="12.8" hidden="false" customHeight="false" outlineLevel="0" collapsed="false">
      <c r="B13707" s="0" t="s">
        <v>1</v>
      </c>
    </row>
    <row r="13708" customFormat="false" ht="12.8" hidden="false" customHeight="false" outlineLevel="0" collapsed="false">
      <c r="B13708" s="0" t="s">
        <v>164</v>
      </c>
    </row>
    <row r="13710" customFormat="false" ht="12.8" hidden="false" customHeight="false" outlineLevel="0" collapsed="false">
      <c r="A13710" s="0" t="s">
        <v>6389</v>
      </c>
      <c r="B13710" s="0" t="str">
        <f aca="false">HYPERLINK("https://lindat.mff.cuni.cz/services/teitok/pdtc10/index.php?action=vallex&amp;frame=v-w1917f4", "myslet (v-w1917f4)")</f>
        <v>myslet (v-w1917f4)</v>
      </c>
    </row>
    <row r="13711" customFormat="false" ht="12.8" hidden="false" customHeight="false" outlineLevel="0" collapsed="false">
      <c r="B13711" s="0" t="s">
        <v>1</v>
      </c>
    </row>
    <row r="13712" customFormat="false" ht="12.8" hidden="false" customHeight="false" outlineLevel="0" collapsed="false">
      <c r="B13712" s="0" t="s">
        <v>8</v>
      </c>
    </row>
    <row r="13713" customFormat="false" ht="12.8" hidden="false" customHeight="false" outlineLevel="0" collapsed="false">
      <c r="B13713" s="0" t="s">
        <v>642</v>
      </c>
    </row>
    <row r="13714" customFormat="false" ht="12.8" hidden="false" customHeight="false" outlineLevel="0" collapsed="false">
      <c r="B13714" s="0" t="s">
        <v>648</v>
      </c>
    </row>
    <row r="13715" customFormat="false" ht="12.8" hidden="false" customHeight="false" outlineLevel="0" collapsed="false">
      <c r="B13715" s="0" t="s">
        <v>650</v>
      </c>
    </row>
    <row r="13716" customFormat="false" ht="12.8" hidden="false" customHeight="false" outlineLevel="0" collapsed="false">
      <c r="B13716" s="0" t="s">
        <v>652</v>
      </c>
    </row>
    <row r="13718" customFormat="false" ht="12.8" hidden="false" customHeight="false" outlineLevel="0" collapsed="false">
      <c r="A13718" s="0" t="s">
        <v>6390</v>
      </c>
      <c r="B13718" s="0" t="str">
        <f aca="false">HYPERLINK("https://lindat.mff.cuni.cz/services/teitok/pdtc10/index.php?action=vallex&amp;frame=v-w1917f1", "myslet (v-w1917f1)")</f>
        <v>myslet (v-w1917f1)</v>
      </c>
    </row>
    <row r="13719" customFormat="false" ht="12.8" hidden="false" customHeight="false" outlineLevel="0" collapsed="false">
      <c r="B13719" s="0" t="s">
        <v>1</v>
      </c>
    </row>
    <row r="13720" customFormat="false" ht="12.8" hidden="false" customHeight="false" outlineLevel="0" collapsed="false">
      <c r="B13720" s="0" t="s">
        <v>45</v>
      </c>
    </row>
    <row r="13722" customFormat="false" ht="12.8" hidden="false" customHeight="false" outlineLevel="0" collapsed="false">
      <c r="A13722" s="0" t="s">
        <v>6391</v>
      </c>
      <c r="B13722" s="0" t="str">
        <f aca="false">HYPERLINK("https://lindat.mff.cuni.cz/services/teitok/pdtc10/index.php?action=vallex&amp;frame=v-w1917f6_ZU", "myslet (v-w1917f6_ZU)")</f>
        <v>myslet (v-w1917f6_ZU)</v>
      </c>
    </row>
    <row r="13723" customFormat="false" ht="12.8" hidden="false" customHeight="false" outlineLevel="0" collapsed="false">
      <c r="B13723" s="0" t="s">
        <v>1</v>
      </c>
    </row>
    <row r="13724" customFormat="false" ht="12.8" hidden="false" customHeight="false" outlineLevel="0" collapsed="false">
      <c r="B13724" s="0" t="s">
        <v>6392</v>
      </c>
    </row>
    <row r="13725" customFormat="false" ht="12.8" hidden="false" customHeight="false" outlineLevel="0" collapsed="false">
      <c r="B13725" s="0" t="s">
        <v>496</v>
      </c>
    </row>
    <row r="13727" customFormat="false" ht="12.8" hidden="false" customHeight="false" outlineLevel="0" collapsed="false">
      <c r="A13727" s="0" t="s">
        <v>6391</v>
      </c>
      <c r="B13727" s="0" t="str">
        <f aca="false">HYPERLINK("https://lindat.mff.cuni.cz/services/teitok/pdtc10/index.php?action=vallex&amp;frame=v-w1917f3", "myslet (v-w1917f3) - substituted with v-w1917f6_ZU")</f>
        <v>myslet (v-w1917f3) - substituted with v-w1917f6_ZU</v>
      </c>
      <c r="E13727" s="0" t="str">
        <f aca="false">HYPERLINK("https://lindat.mff.cuni.cz/services/SynSemClass40/SynSemClass40.html?veclass=vec00032#vec00032-ces-cm00024", "vec00032")</f>
        <v>vec00032</v>
      </c>
      <c r="F13727" s="0" t="s">
        <v>911</v>
      </c>
    </row>
    <row r="13728" customFormat="false" ht="12.8" hidden="false" customHeight="false" outlineLevel="0" collapsed="false">
      <c r="B13728" s="0" t="s">
        <v>1</v>
      </c>
      <c r="C13728" s="0" t="s">
        <v>2485</v>
      </c>
      <c r="E13728" s="0" t="s">
        <v>914</v>
      </c>
      <c r="F13728" s="0" t="s">
        <v>915</v>
      </c>
    </row>
    <row r="13729" customFormat="false" ht="12.8" hidden="false" customHeight="false" outlineLevel="0" collapsed="false">
      <c r="B13729" s="0" t="s">
        <v>6392</v>
      </c>
      <c r="C13729" s="0" t="s">
        <v>2487</v>
      </c>
      <c r="E13729" s="0" t="s">
        <v>626</v>
      </c>
      <c r="F13729" s="0" t="s">
        <v>2488</v>
      </c>
    </row>
    <row r="13730" customFormat="false" ht="12.8" hidden="false" customHeight="false" outlineLevel="0" collapsed="false">
      <c r="B13730" s="0" t="s">
        <v>496</v>
      </c>
      <c r="C13730" s="0" t="s">
        <v>2489</v>
      </c>
      <c r="E13730" s="0" t="s">
        <v>180</v>
      </c>
      <c r="F13730" s="0" t="s">
        <v>2490</v>
      </c>
    </row>
    <row r="13732" customFormat="false" ht="12.8" hidden="false" customHeight="false" outlineLevel="0" collapsed="false">
      <c r="A13732" s="0" t="s">
        <v>6393</v>
      </c>
      <c r="B13732" s="0" t="str">
        <f aca="false">HYPERLINK("https://lindat.mff.cuni.cz/services/teitok/pdtc10/index.php?action=vallex&amp;frame=v-w1917f10_ZU", "myslet (v-w1917f10_ZU)")</f>
        <v>myslet (v-w1917f10_ZU)</v>
      </c>
    </row>
    <row r="13733" customFormat="false" ht="12.8" hidden="false" customHeight="false" outlineLevel="0" collapsed="false">
      <c r="B13733" s="0" t="s">
        <v>1</v>
      </c>
    </row>
    <row r="13734" customFormat="false" ht="12.8" hidden="false" customHeight="false" outlineLevel="0" collapsed="false">
      <c r="B13734" s="0" t="s">
        <v>6394</v>
      </c>
    </row>
    <row r="13735" customFormat="false" ht="12.8" hidden="false" customHeight="false" outlineLevel="0" collapsed="false">
      <c r="B13735" s="0" t="s">
        <v>6395</v>
      </c>
    </row>
    <row r="13737" customFormat="false" ht="12.8" hidden="false" customHeight="false" outlineLevel="0" collapsed="false">
      <c r="A13737" s="0" t="s">
        <v>6393</v>
      </c>
      <c r="B13737" s="0" t="str">
        <f aca="false">HYPERLINK("https://lindat.mff.cuni.cz/services/teitok/pdtc10/index.php?action=vallex&amp;frame=v-w1917f5", "myslet (v-w1917f5) - substituted with v-w1917f10_ZU")</f>
        <v>myslet (v-w1917f5) - substituted with v-w1917f10_ZU</v>
      </c>
    </row>
    <row r="13738" customFormat="false" ht="12.8" hidden="false" customHeight="false" outlineLevel="0" collapsed="false">
      <c r="B13738" s="0" t="s">
        <v>1</v>
      </c>
    </row>
    <row r="13739" customFormat="false" ht="12.8" hidden="false" customHeight="false" outlineLevel="0" collapsed="false">
      <c r="B13739" s="0" t="s">
        <v>6394</v>
      </c>
    </row>
    <row r="13740" customFormat="false" ht="12.8" hidden="false" customHeight="false" outlineLevel="0" collapsed="false">
      <c r="B13740" s="0" t="s">
        <v>6395</v>
      </c>
    </row>
    <row r="13742" customFormat="false" ht="12.8" hidden="false" customHeight="false" outlineLevel="0" collapsed="false">
      <c r="A13742" s="0" t="s">
        <v>6393</v>
      </c>
      <c r="B13742" s="0" t="str">
        <f aca="false">HYPERLINK("https://lindat.mff.cuni.cz/services/teitok/pdtc10/index.php?action=vallex&amp;frame=v-w1917f7_ZU", "myslet (v-w1917f7_ZU) - substituted with v-w1917f10_ZU")</f>
        <v>myslet (v-w1917f7_ZU) - substituted with v-w1917f10_ZU</v>
      </c>
    </row>
    <row r="13743" customFormat="false" ht="12.8" hidden="false" customHeight="false" outlineLevel="0" collapsed="false">
      <c r="B13743" s="0" t="s">
        <v>1</v>
      </c>
    </row>
    <row r="13744" customFormat="false" ht="12.8" hidden="false" customHeight="false" outlineLevel="0" collapsed="false">
      <c r="B13744" s="0" t="s">
        <v>6394</v>
      </c>
    </row>
    <row r="13745" customFormat="false" ht="12.8" hidden="false" customHeight="false" outlineLevel="0" collapsed="false">
      <c r="B13745" s="0" t="s">
        <v>6395</v>
      </c>
    </row>
    <row r="13747" customFormat="false" ht="12.8" hidden="false" customHeight="false" outlineLevel="0" collapsed="false">
      <c r="A13747" s="0" t="s">
        <v>6393</v>
      </c>
      <c r="B13747" s="0" t="str">
        <f aca="false">HYPERLINK("https://lindat.mff.cuni.cz/services/teitok/pdtc10/index.php?action=vallex&amp;frame=v-w1917f9_ZU", "myslet (v-w1917f9_ZU) - substituted with v-w1917f10_ZU")</f>
        <v>myslet (v-w1917f9_ZU) - substituted with v-w1917f10_ZU</v>
      </c>
    </row>
    <row r="13748" customFormat="false" ht="12.8" hidden="false" customHeight="false" outlineLevel="0" collapsed="false">
      <c r="B13748" s="0" t="s">
        <v>1</v>
      </c>
    </row>
    <row r="13749" customFormat="false" ht="12.8" hidden="false" customHeight="false" outlineLevel="0" collapsed="false">
      <c r="B13749" s="0" t="s">
        <v>6394</v>
      </c>
    </row>
    <row r="13750" customFormat="false" ht="12.8" hidden="false" customHeight="false" outlineLevel="0" collapsed="false">
      <c r="B13750" s="0" t="s">
        <v>6395</v>
      </c>
    </row>
    <row r="13752" customFormat="false" ht="12.8" hidden="false" customHeight="false" outlineLevel="0" collapsed="false">
      <c r="A13752" s="0" t="s">
        <v>6396</v>
      </c>
      <c r="B13752" s="0" t="str">
        <f aca="false">HYPERLINK("https://lindat.mff.cuni.cz/services/teitok/pdtc10/index.php?action=vallex&amp;frame=v-w1917f2", "myslet (v-w1917f2)")</f>
        <v>myslet (v-w1917f2)</v>
      </c>
      <c r="E13752" s="0" t="str">
        <f aca="false">HYPERLINK("https://lindat.mff.cuni.cz/services/SynSemClass40/SynSemClass40.html?veclass=vec01044#vec01044-ces-cm00001", "vec01044")</f>
        <v>vec01044</v>
      </c>
      <c r="F13752" s="0" t="s">
        <v>6397</v>
      </c>
    </row>
    <row r="13753" customFormat="false" ht="12.8" hidden="false" customHeight="false" outlineLevel="0" collapsed="false">
      <c r="B13753" s="0" t="s">
        <v>1</v>
      </c>
      <c r="C13753" s="0" t="s">
        <v>825</v>
      </c>
      <c r="E13753" s="0" t="s">
        <v>914</v>
      </c>
      <c r="F13753" s="0" t="s">
        <v>6398</v>
      </c>
    </row>
    <row r="13755" customFormat="false" ht="12.8" hidden="false" customHeight="false" outlineLevel="0" collapsed="false">
      <c r="A13755" s="0" t="s">
        <v>6399</v>
      </c>
      <c r="B13755" s="0" t="str">
        <f aca="false">HYPERLINK("https://lindat.mff.cuni.cz/services/teitok/pdtc10/index.php?action=vallex&amp;frame=v-w1917f8_ZU", "myslet (v-w1917f8_ZU)")</f>
        <v>myslet (v-w1917f8_ZU)</v>
      </c>
    </row>
    <row r="13756" customFormat="false" ht="12.8" hidden="false" customHeight="false" outlineLevel="0" collapsed="false">
      <c r="B13756" s="0" t="s">
        <v>804</v>
      </c>
    </row>
    <row r="13757" customFormat="false" ht="12.8" hidden="false" customHeight="false" outlineLevel="0" collapsed="false">
      <c r="B13757" s="0" t="s">
        <v>1427</v>
      </c>
    </row>
    <row r="13759" customFormat="false" ht="12.8" hidden="false" customHeight="false" outlineLevel="0" collapsed="false">
      <c r="A13759" s="0" t="s">
        <v>6399</v>
      </c>
      <c r="B13759" s="0" t="str">
        <f aca="false">HYPERLINK("https://lindat.mff.cuni.cz/services/teitok/pdtc10/index.php?action=vallex&amp;frame=v-w1917hsa_917", "myslet (v-w1917hsa_917) - substituted with v-w1917f8_ZU")</f>
        <v>myslet (v-w1917hsa_917) - substituted with v-w1917f8_ZU</v>
      </c>
    </row>
    <row r="13760" customFormat="false" ht="12.8" hidden="false" customHeight="false" outlineLevel="0" collapsed="false">
      <c r="B13760" s="0" t="s">
        <v>804</v>
      </c>
    </row>
    <row r="13761" customFormat="false" ht="12.8" hidden="false" customHeight="false" outlineLevel="0" collapsed="false">
      <c r="B13761" s="0" t="s">
        <v>1427</v>
      </c>
    </row>
    <row r="13763" customFormat="false" ht="12.8" hidden="false" customHeight="false" outlineLevel="0" collapsed="false">
      <c r="A13763" s="0" t="s">
        <v>6400</v>
      </c>
      <c r="B13763" s="0" t="str">
        <f aca="false">HYPERLINK("https://lindat.mff.cuni.cz/services/teitok/pdtc10/index.php?action=vallex&amp;frame=v-w1918f2", "myslet si (v-w1918f2)")</f>
        <v>myslet si (v-w1918f2)</v>
      </c>
      <c r="E13763" s="0" t="str">
        <f aca="false">HYPERLINK("https://lindat.mff.cuni.cz/services/SynSemClass40/SynSemClass40.html?veclass=vec01228#vec01228-ces-cm00005", "vec01228")</f>
        <v>vec01228</v>
      </c>
      <c r="F13763" s="0" t="s">
        <v>6401</v>
      </c>
    </row>
    <row r="13764" customFormat="false" ht="12.8" hidden="false" customHeight="false" outlineLevel="0" collapsed="false">
      <c r="B13764" s="0" t="s">
        <v>1</v>
      </c>
      <c r="C13764" s="0" t="s">
        <v>6402</v>
      </c>
      <c r="E13764" s="0" t="s">
        <v>914</v>
      </c>
      <c r="F13764" s="0" t="s">
        <v>6403</v>
      </c>
    </row>
    <row r="13765" customFormat="false" ht="12.8" hidden="false" customHeight="false" outlineLevel="0" collapsed="false">
      <c r="B13765" s="0" t="s">
        <v>8</v>
      </c>
      <c r="C13765" s="0" t="s">
        <v>6404</v>
      </c>
      <c r="E13765" s="0" t="s">
        <v>180</v>
      </c>
      <c r="F13765" s="0" t="s">
        <v>6405</v>
      </c>
    </row>
    <row r="13767" customFormat="false" ht="12.8" hidden="false" customHeight="false" outlineLevel="0" collapsed="false">
      <c r="A13767" s="0" t="s">
        <v>6406</v>
      </c>
      <c r="B13767" s="0" t="str">
        <f aca="false">HYPERLINK("https://lindat.mff.cuni.cz/services/teitok/pdtc10/index.php?action=vallex&amp;frame=v-w1918f1", "myslet si (v-w1918f1)")</f>
        <v>myslet si (v-w1918f1)</v>
      </c>
      <c r="E13767" s="0" t="str">
        <f aca="false">HYPERLINK("https://lindat.mff.cuni.cz/services/SynSemClass40/SynSemClass40.html?veclass=vec00032#vec00032-ces-cm00001", "vec00032")</f>
        <v>vec00032</v>
      </c>
      <c r="F13767" s="0" t="s">
        <v>911</v>
      </c>
    </row>
    <row r="13768" customFormat="false" ht="12.8" hidden="false" customHeight="false" outlineLevel="0" collapsed="false">
      <c r="B13768" s="0" t="s">
        <v>1</v>
      </c>
      <c r="C13768" s="0" t="s">
        <v>2485</v>
      </c>
      <c r="E13768" s="0" t="s">
        <v>914</v>
      </c>
      <c r="F13768" s="0" t="s">
        <v>915</v>
      </c>
    </row>
    <row r="13769" customFormat="false" ht="12.8" hidden="false" customHeight="false" outlineLevel="0" collapsed="false">
      <c r="B13769" s="0" t="s">
        <v>6407</v>
      </c>
      <c r="C13769" s="0" t="s">
        <v>2487</v>
      </c>
      <c r="E13769" s="0" t="s">
        <v>626</v>
      </c>
      <c r="F13769" s="0" t="s">
        <v>2488</v>
      </c>
    </row>
    <row r="13770" customFormat="false" ht="12.8" hidden="false" customHeight="false" outlineLevel="0" collapsed="false">
      <c r="B13770" s="0" t="s">
        <v>496</v>
      </c>
      <c r="C13770" s="0" t="s">
        <v>2489</v>
      </c>
      <c r="E13770" s="0" t="s">
        <v>180</v>
      </c>
      <c r="F13770" s="0" t="s">
        <v>2490</v>
      </c>
    </row>
    <row r="13772" customFormat="false" ht="12.8" hidden="false" customHeight="false" outlineLevel="0" collapsed="false">
      <c r="A13772" s="0" t="s">
        <v>6408</v>
      </c>
      <c r="B13772" s="0" t="str">
        <f aca="false">HYPERLINK("https://lindat.mff.cuni.cz/services/teitok/pdtc10/index.php?action=vallex&amp;frame=v-w1918f3_ZU", "myslet si (v-w1918f3_ZU)")</f>
        <v>myslet si (v-w1918f3_ZU)</v>
      </c>
    </row>
    <row r="13773" customFormat="false" ht="12.8" hidden="false" customHeight="false" outlineLevel="0" collapsed="false">
      <c r="B13773" s="0" t="s">
        <v>1</v>
      </c>
    </row>
    <row r="13774" customFormat="false" ht="12.8" hidden="false" customHeight="false" outlineLevel="0" collapsed="false">
      <c r="B13774" s="0" t="s">
        <v>45</v>
      </c>
    </row>
    <row r="13776" customFormat="false" ht="12.8" hidden="false" customHeight="false" outlineLevel="0" collapsed="false">
      <c r="A13776" s="0" t="s">
        <v>6409</v>
      </c>
      <c r="B13776" s="0" t="str">
        <f aca="false">HYPERLINK("https://lindat.mff.cuni.cz/services/teitok/pdtc10/index.php?action=vallex&amp;frame=v-w1919f3", "myslit (v-w1919f3)")</f>
        <v>myslit (v-w1919f3)</v>
      </c>
    </row>
    <row r="13777" customFormat="false" ht="12.8" hidden="false" customHeight="false" outlineLevel="0" collapsed="false">
      <c r="B13777" s="0" t="s">
        <v>1</v>
      </c>
    </row>
    <row r="13778" customFormat="false" ht="12.8" hidden="false" customHeight="false" outlineLevel="0" collapsed="false">
      <c r="B13778" s="0" t="s">
        <v>8</v>
      </c>
    </row>
    <row r="13779" customFormat="false" ht="12.8" hidden="false" customHeight="false" outlineLevel="0" collapsed="false">
      <c r="B13779" s="0" t="s">
        <v>725</v>
      </c>
    </row>
    <row r="13780" customFormat="false" ht="12.8" hidden="false" customHeight="false" outlineLevel="0" collapsed="false">
      <c r="B13780" s="0" t="s">
        <v>642</v>
      </c>
    </row>
    <row r="13781" customFormat="false" ht="12.8" hidden="false" customHeight="false" outlineLevel="0" collapsed="false">
      <c r="B13781" s="0" t="s">
        <v>646</v>
      </c>
    </row>
    <row r="13782" customFormat="false" ht="12.8" hidden="false" customHeight="false" outlineLevel="0" collapsed="false">
      <c r="B13782" s="0" t="s">
        <v>648</v>
      </c>
    </row>
    <row r="13783" customFormat="false" ht="12.8" hidden="false" customHeight="false" outlineLevel="0" collapsed="false">
      <c r="B13783" s="0" t="s">
        <v>650</v>
      </c>
    </row>
    <row r="13784" customFormat="false" ht="12.8" hidden="false" customHeight="false" outlineLevel="0" collapsed="false">
      <c r="B13784" s="0" t="s">
        <v>652</v>
      </c>
    </row>
    <row r="13786" customFormat="false" ht="12.8" hidden="false" customHeight="false" outlineLevel="0" collapsed="false">
      <c r="A13786" s="0" t="s">
        <v>6410</v>
      </c>
      <c r="B13786" s="0" t="str">
        <f aca="false">HYPERLINK("https://lindat.mff.cuni.cz/services/teitok/pdtc10/index.php?action=vallex&amp;frame=v-w1919f2", "myslit (v-w1919f2)")</f>
        <v>myslit (v-w1919f2)</v>
      </c>
    </row>
    <row r="13787" customFormat="false" ht="12.8" hidden="false" customHeight="false" outlineLevel="0" collapsed="false">
      <c r="B13787" s="0" t="s">
        <v>1</v>
      </c>
    </row>
    <row r="13788" customFormat="false" ht="12.8" hidden="false" customHeight="false" outlineLevel="0" collapsed="false">
      <c r="B13788" s="0" t="s">
        <v>45</v>
      </c>
    </row>
    <row r="13790" customFormat="false" ht="12.8" hidden="false" customHeight="false" outlineLevel="0" collapsed="false">
      <c r="A13790" s="0" t="s">
        <v>6411</v>
      </c>
      <c r="B13790" s="0" t="str">
        <f aca="false">HYPERLINK("https://lindat.mff.cuni.cz/services/teitok/pdtc10/index.php?action=vallex&amp;frame=v-w1919f1", "myslit (v-w1919f1)")</f>
        <v>myslit (v-w1919f1)</v>
      </c>
    </row>
    <row r="13791" customFormat="false" ht="12.8" hidden="false" customHeight="false" outlineLevel="0" collapsed="false">
      <c r="B13791" s="0" t="s">
        <v>1</v>
      </c>
    </row>
    <row r="13792" customFormat="false" ht="12.8" hidden="false" customHeight="false" outlineLevel="0" collapsed="false">
      <c r="B13792" s="0" t="s">
        <v>6412</v>
      </c>
    </row>
    <row r="13793" customFormat="false" ht="12.8" hidden="false" customHeight="false" outlineLevel="0" collapsed="false">
      <c r="B13793" s="0" t="s">
        <v>496</v>
      </c>
    </row>
    <row r="13795" customFormat="false" ht="12.8" hidden="false" customHeight="false" outlineLevel="0" collapsed="false">
      <c r="A13795" s="0" t="s">
        <v>6413</v>
      </c>
      <c r="B13795" s="0" t="str">
        <f aca="false">HYPERLINK("https://lindat.mff.cuni.cz/services/teitok/pdtc10/index.php?action=vallex&amp;frame=v-w1919f6_ZU", "myslit (v-w1919f6_ZU)")</f>
        <v>myslit (v-w1919f6_ZU)</v>
      </c>
    </row>
    <row r="13796" customFormat="false" ht="12.8" hidden="false" customHeight="false" outlineLevel="0" collapsed="false">
      <c r="B13796" s="0" t="s">
        <v>1</v>
      </c>
    </row>
    <row r="13797" customFormat="false" ht="12.8" hidden="false" customHeight="false" outlineLevel="0" collapsed="false">
      <c r="B13797" s="0" t="s">
        <v>6414</v>
      </c>
    </row>
    <row r="13798" customFormat="false" ht="12.8" hidden="false" customHeight="false" outlineLevel="0" collapsed="false">
      <c r="B13798" s="0" t="s">
        <v>6395</v>
      </c>
    </row>
    <row r="13800" customFormat="false" ht="12.8" hidden="false" customHeight="false" outlineLevel="0" collapsed="false">
      <c r="A13800" s="0" t="s">
        <v>6413</v>
      </c>
      <c r="B13800" s="0" t="str">
        <f aca="false">HYPERLINK("https://lindat.mff.cuni.cz/services/teitok/pdtc10/index.php?action=vallex&amp;frame=v-w1919f4", "myslit (v-w1919f4) - substituted with v-w1919f6_ZU")</f>
        <v>myslit (v-w1919f4) - substituted with v-w1919f6_ZU</v>
      </c>
    </row>
    <row r="13801" customFormat="false" ht="12.8" hidden="false" customHeight="false" outlineLevel="0" collapsed="false">
      <c r="B13801" s="0" t="s">
        <v>1</v>
      </c>
    </row>
    <row r="13802" customFormat="false" ht="12.8" hidden="false" customHeight="false" outlineLevel="0" collapsed="false">
      <c r="B13802" s="0" t="s">
        <v>6414</v>
      </c>
    </row>
    <row r="13803" customFormat="false" ht="12.8" hidden="false" customHeight="false" outlineLevel="0" collapsed="false">
      <c r="B13803" s="0" t="s">
        <v>6395</v>
      </c>
    </row>
    <row r="13805" customFormat="false" ht="12.8" hidden="false" customHeight="false" outlineLevel="0" collapsed="false">
      <c r="A13805" s="0" t="s">
        <v>6415</v>
      </c>
      <c r="B13805" s="0" t="str">
        <f aca="false">HYPERLINK("https://lindat.mff.cuni.cz/services/teitok/pdtc10/index.php?action=vallex&amp;frame=v-w1919f5", "myslit (v-w1919f5)")</f>
        <v>myslit (v-w1919f5)</v>
      </c>
    </row>
    <row r="13806" customFormat="false" ht="12.8" hidden="false" customHeight="false" outlineLevel="0" collapsed="false">
      <c r="B13806" s="0" t="s">
        <v>1</v>
      </c>
    </row>
    <row r="13808" customFormat="false" ht="12.8" hidden="false" customHeight="false" outlineLevel="0" collapsed="false">
      <c r="A13808" s="0" t="s">
        <v>6416</v>
      </c>
      <c r="B13808" s="0" t="str">
        <f aca="false">HYPERLINK("https://lindat.mff.cuni.cz/services/teitok/pdtc10/index.php?action=vallex&amp;frame=v-w1919f7_MM", "myslit (v-w1919f7_MM)")</f>
        <v>myslit (v-w1919f7_MM)</v>
      </c>
    </row>
    <row r="13809" customFormat="false" ht="12.8" hidden="false" customHeight="false" outlineLevel="0" collapsed="false">
      <c r="B13809" s="0" t="s">
        <v>804</v>
      </c>
    </row>
    <row r="13810" customFormat="false" ht="12.8" hidden="false" customHeight="false" outlineLevel="0" collapsed="false">
      <c r="B13810" s="0" t="s">
        <v>1427</v>
      </c>
    </row>
    <row r="13812" customFormat="false" ht="12.8" hidden="false" customHeight="false" outlineLevel="0" collapsed="false">
      <c r="A13812" s="0" t="s">
        <v>6417</v>
      </c>
      <c r="B13812" s="0" t="str">
        <f aca="false">HYPERLINK("https://lindat.mff.cuni.cz/services/teitok/pdtc10/index.php?action=vallex&amp;frame=v-w1920f3", "myslit si (v-w1920f3)")</f>
        <v>myslit si (v-w1920f3)</v>
      </c>
    </row>
    <row r="13813" customFormat="false" ht="12.8" hidden="false" customHeight="false" outlineLevel="0" collapsed="false">
      <c r="B13813" s="0" t="s">
        <v>1</v>
      </c>
    </row>
    <row r="13814" customFormat="false" ht="12.8" hidden="false" customHeight="false" outlineLevel="0" collapsed="false">
      <c r="B13814" s="0" t="s">
        <v>8</v>
      </c>
    </row>
    <row r="13816" customFormat="false" ht="12.8" hidden="false" customHeight="false" outlineLevel="0" collapsed="false">
      <c r="A13816" s="0" t="s">
        <v>6418</v>
      </c>
      <c r="B13816" s="0" t="str">
        <f aca="false">HYPERLINK("https://lindat.mff.cuni.cz/services/teitok/pdtc10/index.php?action=vallex&amp;frame=v-w1920f2", "myslit si (v-w1920f2)")</f>
        <v>myslit si (v-w1920f2)</v>
      </c>
    </row>
    <row r="13817" customFormat="false" ht="12.8" hidden="false" customHeight="false" outlineLevel="0" collapsed="false">
      <c r="B13817" s="0" t="s">
        <v>1</v>
      </c>
    </row>
    <row r="13818" customFormat="false" ht="12.8" hidden="false" customHeight="false" outlineLevel="0" collapsed="false">
      <c r="B13818" s="0" t="s">
        <v>45</v>
      </c>
    </row>
    <row r="13820" customFormat="false" ht="12.8" hidden="false" customHeight="false" outlineLevel="0" collapsed="false">
      <c r="A13820" s="0" t="s">
        <v>6419</v>
      </c>
      <c r="B13820" s="0" t="str">
        <f aca="false">HYPERLINK("https://lindat.mff.cuni.cz/services/teitok/pdtc10/index.php?action=vallex&amp;frame=v-w1920f1", "myslit si (v-w1920f1)")</f>
        <v>myslit si (v-w1920f1)</v>
      </c>
    </row>
    <row r="13821" customFormat="false" ht="12.8" hidden="false" customHeight="false" outlineLevel="0" collapsed="false">
      <c r="B13821" s="0" t="s">
        <v>1</v>
      </c>
    </row>
    <row r="13822" customFormat="false" ht="12.8" hidden="false" customHeight="false" outlineLevel="0" collapsed="false">
      <c r="B13822" s="0" t="s">
        <v>6412</v>
      </c>
    </row>
    <row r="13823" customFormat="false" ht="12.8" hidden="false" customHeight="false" outlineLevel="0" collapsed="false">
      <c r="B13823" s="0" t="s">
        <v>496</v>
      </c>
    </row>
    <row r="13825" customFormat="false" ht="12.8" hidden="false" customHeight="false" outlineLevel="0" collapsed="false">
      <c r="A13825" s="0" t="s">
        <v>6420</v>
      </c>
      <c r="B13825" s="0" t="str">
        <f aca="false">HYPERLINK("https://lindat.mff.cuni.cz/services/teitok/pdtc10/index.php?action=vallex&amp;frame=v-w1759f1", "máchat (v-w1759f1)")</f>
        <v>máchat (v-w1759f1)</v>
      </c>
      <c r="E13825" s="0" t="str">
        <f aca="false">HYPERLINK("https://lindat.mff.cuni.cz/services/SynSemClass40/SynSemClass40.html?veclass=vec00631#vec00631-ces-cm00002", "vec00631")</f>
        <v>vec00631</v>
      </c>
      <c r="F13825" s="0" t="s">
        <v>6421</v>
      </c>
      <c r="H13825" s="0" t="str">
        <f aca="false">HYPERLINK("https://lindat.mff.cuni.cz/services/SynSemClass40/SynSemClass40.html?veclass=vec01226#vec01226-ces-cm00006", "vec01226")</f>
        <v>vec01226</v>
      </c>
      <c r="I13825" s="0" t="s">
        <v>6422</v>
      </c>
    </row>
    <row r="13826" customFormat="false" ht="12.8" hidden="false" customHeight="false" outlineLevel="0" collapsed="false">
      <c r="B13826" s="0" t="s">
        <v>1</v>
      </c>
      <c r="C13826" s="0" t="s">
        <v>6310</v>
      </c>
      <c r="E13826" s="0" t="s">
        <v>155</v>
      </c>
      <c r="F13826" s="0" t="s">
        <v>6423</v>
      </c>
      <c r="H13826" s="0" t="s">
        <v>31</v>
      </c>
      <c r="I13826" s="0" t="s">
        <v>4507</v>
      </c>
    </row>
    <row r="13827" customFormat="false" ht="12.8" hidden="false" customHeight="false" outlineLevel="0" collapsed="false">
      <c r="B13827" s="0" t="s">
        <v>4287</v>
      </c>
      <c r="C13827" s="0" t="s">
        <v>6424</v>
      </c>
      <c r="E13827" s="0" t="s">
        <v>170</v>
      </c>
      <c r="F13827" s="0" t="s">
        <v>6425</v>
      </c>
      <c r="H13827" s="0" t="s">
        <v>170</v>
      </c>
      <c r="I13827" s="0" t="s">
        <v>6426</v>
      </c>
    </row>
    <row r="13828" customFormat="false" ht="12.8" hidden="false" customHeight="false" outlineLevel="0" collapsed="false">
      <c r="B13828" s="0" t="s">
        <v>4688</v>
      </c>
      <c r="C13828" s="0" t="s">
        <v>6427</v>
      </c>
      <c r="E13828" s="0" t="s">
        <v>4235</v>
      </c>
      <c r="F13828" s="0" t="s">
        <v>6428</v>
      </c>
    </row>
    <row r="13830" customFormat="false" ht="12.8" hidden="false" customHeight="false" outlineLevel="0" collapsed="false">
      <c r="A13830" s="0" t="s">
        <v>6429</v>
      </c>
      <c r="B13830" s="0" t="str">
        <f aca="false">HYPERLINK("https://lindat.mff.cuni.cz/services/teitok/pdtc10/index.php?action=vallex&amp;frame=v-w1759f2", "máchat (v-w1759f2)")</f>
        <v>máchat (v-w1759f2)</v>
      </c>
    </row>
    <row r="13831" customFormat="false" ht="12.8" hidden="false" customHeight="false" outlineLevel="0" collapsed="false">
      <c r="B13831" s="0" t="s">
        <v>1</v>
      </c>
    </row>
    <row r="13832" customFormat="false" ht="12.8" hidden="false" customHeight="false" outlineLevel="0" collapsed="false">
      <c r="B13832" s="0" t="s">
        <v>8</v>
      </c>
    </row>
    <row r="13834" customFormat="false" ht="12.8" hidden="false" customHeight="false" outlineLevel="0" collapsed="false">
      <c r="A13834" s="0" t="s">
        <v>6430</v>
      </c>
      <c r="B13834" s="0" t="str">
        <f aca="false">HYPERLINK("https://lindat.mff.cuni.cz/services/teitok/pdtc10/index.php?action=vallex&amp;frame=v-w12214_ZUf1_ZU", "máchat se (v-w12214_ZUf1_ZU)")</f>
        <v>máchat se (v-w12214_ZUf1_ZU)</v>
      </c>
    </row>
    <row r="13835" customFormat="false" ht="12.8" hidden="false" customHeight="false" outlineLevel="0" collapsed="false">
      <c r="B13835" s="0" t="s">
        <v>1</v>
      </c>
    </row>
    <row r="13837" customFormat="false" ht="12.8" hidden="false" customHeight="false" outlineLevel="0" collapsed="false">
      <c r="A13837" s="0" t="s">
        <v>6431</v>
      </c>
      <c r="B13837" s="0" t="str">
        <f aca="false">HYPERLINK("https://lindat.mff.cuni.cz/services/teitok/pdtc10/index.php?action=vallex&amp;frame=v-whsa_948hsa_949", "máchnout (v-whsa_948hsa_949)")</f>
        <v>máchnout (v-whsa_948hsa_949)</v>
      </c>
      <c r="E13837" s="0" t="str">
        <f aca="false">HYPERLINK("https://lindat.mff.cuni.cz/services/SynSemClass40/SynSemClass40.html?veclass=vec01226#vec01226-ces-cm00001", "vec01226")</f>
        <v>vec01226</v>
      </c>
      <c r="F13837" s="0" t="s">
        <v>6422</v>
      </c>
    </row>
    <row r="13838" customFormat="false" ht="12.8" hidden="false" customHeight="false" outlineLevel="0" collapsed="false">
      <c r="B13838" s="0" t="s">
        <v>1</v>
      </c>
      <c r="C13838" s="0" t="s">
        <v>4114</v>
      </c>
      <c r="E13838" s="0" t="s">
        <v>31</v>
      </c>
      <c r="F13838" s="0" t="s">
        <v>4507</v>
      </c>
    </row>
    <row r="13839" customFormat="false" ht="12.8" hidden="false" customHeight="false" outlineLevel="0" collapsed="false">
      <c r="B13839" s="0" t="s">
        <v>286</v>
      </c>
      <c r="C13839" s="0" t="s">
        <v>1575</v>
      </c>
      <c r="E13839" s="0" t="s">
        <v>170</v>
      </c>
      <c r="F13839" s="0" t="s">
        <v>6426</v>
      </c>
    </row>
    <row r="13841" customFormat="false" ht="12.8" hidden="false" customHeight="false" outlineLevel="0" collapsed="false">
      <c r="A13841" s="0" t="s">
        <v>6432</v>
      </c>
      <c r="B13841" s="0" t="str">
        <f aca="false">HYPERLINK("https://lindat.mff.cuni.cz/services/teitok/pdtc10/index.php?action=vallex&amp;frame=v-w10223hsa_33", "mást (v-w10223hsa_33)")</f>
        <v>mást (v-w10223hsa_33)</v>
      </c>
    </row>
    <row r="13842" customFormat="false" ht="12.8" hidden="false" customHeight="false" outlineLevel="0" collapsed="false">
      <c r="B13842" s="0" t="s">
        <v>843</v>
      </c>
    </row>
    <row r="13843" customFormat="false" ht="12.8" hidden="false" customHeight="false" outlineLevel="0" collapsed="false">
      <c r="B13843" s="0" t="s">
        <v>8</v>
      </c>
    </row>
    <row r="13845" customFormat="false" ht="12.8" hidden="false" customHeight="false" outlineLevel="0" collapsed="false">
      <c r="A13845" s="0" t="s">
        <v>6432</v>
      </c>
      <c r="B13845" s="0" t="str">
        <f aca="false">HYPERLINK("https://lindat.mff.cuni.cz/services/teitok/pdtc10/index.php?action=vallex&amp;frame=v-w10223f2", "mást (v-w10223f2) - substituted with v-w10223hsa_33")</f>
        <v>mást (v-w10223f2) - substituted with v-w10223hsa_33</v>
      </c>
      <c r="E13845" s="0" t="str">
        <f aca="false">HYPERLINK("https://lindat.mff.cuni.cz/services/SynSemClass40/SynSemClass40.html?veclass=vec00589#vec00589-ces-cm00003", "vec00589")</f>
        <v>vec00589</v>
      </c>
      <c r="F13845" s="0" t="s">
        <v>5257</v>
      </c>
    </row>
    <row r="13846" customFormat="false" ht="12.8" hidden="false" customHeight="false" outlineLevel="0" collapsed="false">
      <c r="B13846" s="0" t="s">
        <v>843</v>
      </c>
      <c r="C13846" s="0" t="s">
        <v>5258</v>
      </c>
      <c r="E13846" s="0" t="s">
        <v>1103</v>
      </c>
      <c r="F13846" s="0" t="s">
        <v>5259</v>
      </c>
    </row>
    <row r="13847" customFormat="false" ht="12.8" hidden="false" customHeight="false" outlineLevel="0" collapsed="false">
      <c r="B13847" s="0" t="s">
        <v>8</v>
      </c>
      <c r="C13847" s="0" t="s">
        <v>5260</v>
      </c>
      <c r="E13847" s="0" t="s">
        <v>1399</v>
      </c>
      <c r="F13847" s="0" t="s">
        <v>5261</v>
      </c>
    </row>
    <row r="13849" customFormat="false" ht="12.8" hidden="false" customHeight="false" outlineLevel="0" collapsed="false">
      <c r="A13849" s="0" t="s">
        <v>6433</v>
      </c>
      <c r="B13849" s="0" t="str">
        <f aca="false">HYPERLINK("https://lindat.mff.cuni.cz/services/teitok/pdtc10/index.php?action=vallex&amp;frame=v-w1796f1", "mávat (v-w1796f1)")</f>
        <v>mávat (v-w1796f1)</v>
      </c>
      <c r="E13849" s="0" t="str">
        <f aca="false">HYPERLINK("https://lindat.mff.cuni.cz/services/SynSemClass40/SynSemClass40.html?veclass=vec00631#vec00631-ces-cm00001", "vec00631")</f>
        <v>vec00631</v>
      </c>
      <c r="F13849" s="0" t="s">
        <v>6421</v>
      </c>
    </row>
    <row r="13850" customFormat="false" ht="12.8" hidden="false" customHeight="false" outlineLevel="0" collapsed="false">
      <c r="B13850" s="0" t="s">
        <v>1</v>
      </c>
      <c r="C13850" s="0" t="s">
        <v>3288</v>
      </c>
      <c r="E13850" s="0" t="s">
        <v>155</v>
      </c>
      <c r="F13850" s="0" t="s">
        <v>6423</v>
      </c>
    </row>
    <row r="13851" customFormat="false" ht="12.8" hidden="false" customHeight="false" outlineLevel="0" collapsed="false">
      <c r="B13851" s="0" t="s">
        <v>4287</v>
      </c>
      <c r="C13851" s="0" t="s">
        <v>2627</v>
      </c>
      <c r="E13851" s="0" t="s">
        <v>170</v>
      </c>
      <c r="F13851" s="0" t="s">
        <v>6425</v>
      </c>
    </row>
    <row r="13852" customFormat="false" ht="12.8" hidden="false" customHeight="false" outlineLevel="0" collapsed="false">
      <c r="B13852" s="0" t="s">
        <v>6434</v>
      </c>
      <c r="C13852" s="0" t="s">
        <v>6427</v>
      </c>
      <c r="E13852" s="0" t="s">
        <v>4235</v>
      </c>
      <c r="F13852" s="0" t="s">
        <v>6428</v>
      </c>
    </row>
    <row r="13854" customFormat="false" ht="12.8" hidden="false" customHeight="false" outlineLevel="0" collapsed="false">
      <c r="A13854" s="0" t="s">
        <v>6435</v>
      </c>
      <c r="B13854" s="0" t="str">
        <f aca="false">HYPERLINK("https://lindat.mff.cuni.cz/services/teitok/pdtc10/index.php?action=vallex&amp;frame=v-w1796f2_ZU", "mávat (v-w1796f2_ZU)")</f>
        <v>mávat (v-w1796f2_ZU)</v>
      </c>
      <c r="E13854" s="0" t="str">
        <f aca="false">HYPERLINK("https://lindat.mff.cuni.cz/services/SynSemClass40/SynSemClass40.html?veclass=vec01226#vec01226-ces-cm00003", "vec01226")</f>
        <v>vec01226</v>
      </c>
      <c r="F13854" s="0" t="s">
        <v>6422</v>
      </c>
    </row>
    <row r="13855" customFormat="false" ht="12.8" hidden="false" customHeight="false" outlineLevel="0" collapsed="false">
      <c r="B13855" s="0" t="s">
        <v>1</v>
      </c>
      <c r="C13855" s="0" t="s">
        <v>4114</v>
      </c>
      <c r="E13855" s="0" t="s">
        <v>31</v>
      </c>
      <c r="F13855" s="0" t="s">
        <v>4507</v>
      </c>
    </row>
    <row r="13856" customFormat="false" ht="12.8" hidden="false" customHeight="false" outlineLevel="0" collapsed="false">
      <c r="B13856" s="0" t="s">
        <v>286</v>
      </c>
      <c r="C13856" s="0" t="s">
        <v>1575</v>
      </c>
      <c r="E13856" s="0" t="s">
        <v>170</v>
      </c>
      <c r="F13856" s="0" t="s">
        <v>6426</v>
      </c>
    </row>
    <row r="13858" customFormat="false" ht="12.8" hidden="false" customHeight="false" outlineLevel="0" collapsed="false">
      <c r="A13858" s="0" t="s">
        <v>6436</v>
      </c>
      <c r="B13858" s="0" t="str">
        <f aca="false">HYPERLINK("https://lindat.mff.cuni.cz/services/teitok/pdtc10/index.php?action=vallex&amp;frame=v-w1797f1", "mávnout (v-w1797f1)")</f>
        <v>mávnout (v-w1797f1)</v>
      </c>
      <c r="E13858" s="0" t="str">
        <f aca="false">HYPERLINK("https://lindat.mff.cuni.cz/services/SynSemClass40/SynSemClass40.html?veclass=vec00631#vec00631-ces-cm00004", "vec00631")</f>
        <v>vec00631</v>
      </c>
      <c r="F13858" s="0" t="s">
        <v>6421</v>
      </c>
    </row>
    <row r="13859" customFormat="false" ht="12.8" hidden="false" customHeight="false" outlineLevel="0" collapsed="false">
      <c r="B13859" s="0" t="s">
        <v>1</v>
      </c>
      <c r="C13859" s="0" t="s">
        <v>3288</v>
      </c>
      <c r="E13859" s="0" t="s">
        <v>155</v>
      </c>
      <c r="F13859" s="0" t="s">
        <v>6423</v>
      </c>
    </row>
    <row r="13860" customFormat="false" ht="12.8" hidden="false" customHeight="false" outlineLevel="0" collapsed="false">
      <c r="B13860" s="0" t="s">
        <v>4287</v>
      </c>
      <c r="C13860" s="0" t="s">
        <v>2627</v>
      </c>
      <c r="E13860" s="0" t="s">
        <v>170</v>
      </c>
      <c r="F13860" s="0" t="s">
        <v>6425</v>
      </c>
    </row>
    <row r="13861" customFormat="false" ht="12.8" hidden="false" customHeight="false" outlineLevel="0" collapsed="false">
      <c r="B13861" s="0" t="s">
        <v>6437</v>
      </c>
      <c r="C13861" s="0" t="s">
        <v>6427</v>
      </c>
      <c r="E13861" s="0" t="s">
        <v>4235</v>
      </c>
      <c r="F13861" s="0" t="s">
        <v>6428</v>
      </c>
    </row>
    <row r="13863" customFormat="false" ht="12.8" hidden="false" customHeight="false" outlineLevel="0" collapsed="false">
      <c r="A13863" s="0" t="s">
        <v>6438</v>
      </c>
      <c r="B13863" s="0" t="str">
        <f aca="false">HYPERLINK("https://lindat.mff.cuni.cz/services/teitok/pdtc10/index.php?action=vallex&amp;frame=v-w11682_ZUf1_ZU", "máčet (v-w11682_ZUf1_ZU)")</f>
        <v>máčet (v-w11682_ZUf1_ZU)</v>
      </c>
    </row>
    <row r="13864" customFormat="false" ht="12.8" hidden="false" customHeight="false" outlineLevel="0" collapsed="false">
      <c r="B13864" s="0" t="s">
        <v>1</v>
      </c>
    </row>
    <row r="13865" customFormat="false" ht="12.8" hidden="false" customHeight="false" outlineLevel="0" collapsed="false">
      <c r="B13865" s="0" t="s">
        <v>8</v>
      </c>
    </row>
    <row r="13867" customFormat="false" ht="12.8" hidden="false" customHeight="false" outlineLevel="0" collapsed="false">
      <c r="A13867" s="0" t="s">
        <v>6439</v>
      </c>
      <c r="B13867" s="0" t="str">
        <f aca="false">HYPERLINK("https://lindat.mff.cuni.cz/services/teitok/pdtc10/index.php?action=vallex&amp;frame=v-w12231_ZUf1_ZU", "mést (v-w12231_ZUf1_ZU)")</f>
        <v>mést (v-w12231_ZUf1_ZU)</v>
      </c>
    </row>
    <row r="13868" customFormat="false" ht="12.8" hidden="false" customHeight="false" outlineLevel="0" collapsed="false">
      <c r="B13868" s="0" t="s">
        <v>1</v>
      </c>
    </row>
    <row r="13869" customFormat="false" ht="12.8" hidden="false" customHeight="false" outlineLevel="0" collapsed="false">
      <c r="B13869" s="0" t="s">
        <v>8</v>
      </c>
    </row>
    <row r="13871" customFormat="false" ht="12.8" hidden="false" customHeight="false" outlineLevel="0" collapsed="false">
      <c r="A13871" s="0" t="s">
        <v>6440</v>
      </c>
      <c r="B13871" s="0" t="str">
        <f aca="false">HYPERLINK("https://lindat.mff.cuni.cz/services/teitok/pdtc10/index.php?action=vallex&amp;frame=v-w1828f1", "míchat (v-w1828f1)")</f>
        <v>míchat (v-w1828f1)</v>
      </c>
      <c r="E13871" s="0" t="str">
        <f aca="false">HYPERLINK("https://lindat.mff.cuni.cz/services/SynSemClass40/SynSemClass40.html?veclass=vec01519#vec01519-ces-cm00001", "vec01519")</f>
        <v>vec01519</v>
      </c>
      <c r="F13871" s="0" t="s">
        <v>6441</v>
      </c>
    </row>
    <row r="13872" customFormat="false" ht="12.8" hidden="false" customHeight="false" outlineLevel="0" collapsed="false">
      <c r="B13872" s="0" t="s">
        <v>1</v>
      </c>
      <c r="C13872" s="0" t="s">
        <v>6442</v>
      </c>
      <c r="E13872" s="0" t="s">
        <v>768</v>
      </c>
      <c r="F13872" s="0" t="s">
        <v>6443</v>
      </c>
    </row>
    <row r="13873" customFormat="false" ht="12.8" hidden="false" customHeight="false" outlineLevel="0" collapsed="false">
      <c r="B13873" s="0" t="s">
        <v>8</v>
      </c>
      <c r="C13873" s="0" t="s">
        <v>6444</v>
      </c>
      <c r="E13873" s="0" t="s">
        <v>771</v>
      </c>
      <c r="F13873" s="0" t="s">
        <v>6445</v>
      </c>
    </row>
    <row r="13874" customFormat="false" ht="12.8" hidden="false" customHeight="false" outlineLevel="0" collapsed="false">
      <c r="B13874" s="0" t="s">
        <v>36</v>
      </c>
      <c r="C13874" s="0" t="s">
        <v>6446</v>
      </c>
      <c r="E13874" s="0" t="s">
        <v>6329</v>
      </c>
      <c r="F13874" s="0" t="s">
        <v>6447</v>
      </c>
    </row>
    <row r="13876" customFormat="false" ht="12.8" hidden="false" customHeight="false" outlineLevel="0" collapsed="false">
      <c r="A13876" s="0" t="s">
        <v>6448</v>
      </c>
      <c r="B13876" s="0" t="str">
        <f aca="false">HYPERLINK("https://lindat.mff.cuni.cz/services/teitok/pdtc10/index.php?action=vallex&amp;frame=v-w1828f9_ZU", "míchat (v-w1828f9_ZU)")</f>
        <v>míchat (v-w1828f9_ZU)</v>
      </c>
    </row>
    <row r="13877" customFormat="false" ht="12.8" hidden="false" customHeight="false" outlineLevel="0" collapsed="false">
      <c r="B13877" s="0" t="s">
        <v>1</v>
      </c>
    </row>
    <row r="13878" customFormat="false" ht="12.8" hidden="false" customHeight="false" outlineLevel="0" collapsed="false">
      <c r="B13878" s="0" t="s">
        <v>8</v>
      </c>
    </row>
    <row r="13879" customFormat="false" ht="12.8" hidden="false" customHeight="false" outlineLevel="0" collapsed="false">
      <c r="B13879" s="0" t="s">
        <v>3537</v>
      </c>
    </row>
    <row r="13881" customFormat="false" ht="12.8" hidden="false" customHeight="false" outlineLevel="0" collapsed="false">
      <c r="A13881" s="0" t="s">
        <v>6448</v>
      </c>
      <c r="B13881" s="0" t="str">
        <f aca="false">HYPERLINK("https://lindat.mff.cuni.cz/services/teitok/pdtc10/index.php?action=vallex&amp;frame=v-w1828f5", "míchat (v-w1828f5) - substituted with v-w1828f9_ZU")</f>
        <v>míchat (v-w1828f5) - substituted with v-w1828f9_ZU</v>
      </c>
    </row>
    <row r="13882" customFormat="false" ht="12.8" hidden="false" customHeight="false" outlineLevel="0" collapsed="false">
      <c r="B13882" s="0" t="s">
        <v>1</v>
      </c>
    </row>
    <row r="13883" customFormat="false" ht="12.8" hidden="false" customHeight="false" outlineLevel="0" collapsed="false">
      <c r="B13883" s="0" t="s">
        <v>8</v>
      </c>
    </row>
    <row r="13884" customFormat="false" ht="12.8" hidden="false" customHeight="false" outlineLevel="0" collapsed="false">
      <c r="B13884" s="0" t="s">
        <v>3537</v>
      </c>
    </row>
    <row r="13886" customFormat="false" ht="12.8" hidden="false" customHeight="false" outlineLevel="0" collapsed="false">
      <c r="A13886" s="0" t="s">
        <v>6449</v>
      </c>
      <c r="B13886" s="0" t="str">
        <f aca="false">HYPERLINK("https://lindat.mff.cuni.cz/services/teitok/pdtc10/index.php?action=vallex&amp;frame=v-w1828f8_ZU", "míchat (v-w1828f8_ZU)")</f>
        <v>míchat (v-w1828f8_ZU)</v>
      </c>
      <c r="E13886" s="0" t="str">
        <f aca="false">HYPERLINK("https://lindat.mff.cuni.cz/services/SynSemClass40/SynSemClass40.html?veclass=vec00623#vec00623-ces-cm00002", "vec00623")</f>
        <v>vec00623</v>
      </c>
      <c r="F13886" s="0" t="s">
        <v>5439</v>
      </c>
    </row>
    <row r="13887" customFormat="false" ht="12.8" hidden="false" customHeight="false" outlineLevel="0" collapsed="false">
      <c r="B13887" s="0" t="s">
        <v>1</v>
      </c>
      <c r="C13887" s="0" t="s">
        <v>5440</v>
      </c>
      <c r="E13887" s="0" t="s">
        <v>31</v>
      </c>
      <c r="F13887" s="0" t="s">
        <v>5441</v>
      </c>
    </row>
    <row r="13888" customFormat="false" ht="12.8" hidden="false" customHeight="false" outlineLevel="0" collapsed="false">
      <c r="B13888" s="0" t="s">
        <v>8</v>
      </c>
      <c r="C13888" s="0" t="s">
        <v>5442</v>
      </c>
      <c r="E13888" s="0" t="s">
        <v>4852</v>
      </c>
      <c r="F13888" s="0" t="s">
        <v>5443</v>
      </c>
    </row>
    <row r="13889" customFormat="false" ht="12.8" hidden="false" customHeight="false" outlineLevel="0" collapsed="false">
      <c r="B13889" s="0" t="s">
        <v>3537</v>
      </c>
      <c r="C13889" s="0" t="s">
        <v>5444</v>
      </c>
      <c r="E13889" s="0" t="s">
        <v>5445</v>
      </c>
      <c r="F13889" s="0" t="s">
        <v>5446</v>
      </c>
    </row>
    <row r="13891" customFormat="false" ht="12.8" hidden="false" customHeight="false" outlineLevel="0" collapsed="false">
      <c r="A13891" s="0" t="s">
        <v>6449</v>
      </c>
      <c r="B13891" s="0" t="str">
        <f aca="false">HYPERLINK("https://lindat.mff.cuni.cz/services/teitok/pdtc10/index.php?action=vallex&amp;frame=v-w1828f4", "míchat (v-w1828f4) - substituted with v-w1828f8_ZU")</f>
        <v>míchat (v-w1828f4) - substituted with v-w1828f8_ZU</v>
      </c>
    </row>
    <row r="13892" customFormat="false" ht="12.8" hidden="false" customHeight="false" outlineLevel="0" collapsed="false">
      <c r="B13892" s="0" t="s">
        <v>1</v>
      </c>
    </row>
    <row r="13893" customFormat="false" ht="12.8" hidden="false" customHeight="false" outlineLevel="0" collapsed="false">
      <c r="B13893" s="0" t="s">
        <v>8</v>
      </c>
    </row>
    <row r="13894" customFormat="false" ht="12.8" hidden="false" customHeight="false" outlineLevel="0" collapsed="false">
      <c r="B13894" s="0" t="s">
        <v>3537</v>
      </c>
    </row>
    <row r="13896" customFormat="false" ht="12.8" hidden="false" customHeight="false" outlineLevel="0" collapsed="false">
      <c r="A13896" s="0" t="s">
        <v>6450</v>
      </c>
      <c r="B13896" s="0" t="str">
        <f aca="false">HYPERLINK("https://lindat.mff.cuni.cz/services/teitok/pdtc10/index.php?action=vallex&amp;frame=v-w1828f2", "míchat (v-w1828f2)")</f>
        <v>míchat (v-w1828f2)</v>
      </c>
    </row>
    <row r="13897" customFormat="false" ht="12.8" hidden="false" customHeight="false" outlineLevel="0" collapsed="false">
      <c r="B13897" s="0" t="s">
        <v>1</v>
      </c>
    </row>
    <row r="13898" customFormat="false" ht="12.8" hidden="false" customHeight="false" outlineLevel="0" collapsed="false">
      <c r="B13898" s="0" t="s">
        <v>8</v>
      </c>
    </row>
    <row r="13899" customFormat="false" ht="12.8" hidden="false" customHeight="false" outlineLevel="0" collapsed="false">
      <c r="B13899" s="0" t="s">
        <v>164</v>
      </c>
    </row>
    <row r="13901" customFormat="false" ht="12.8" hidden="false" customHeight="false" outlineLevel="0" collapsed="false">
      <c r="A13901" s="0" t="s">
        <v>6451</v>
      </c>
      <c r="B13901" s="0" t="str">
        <f aca="false">HYPERLINK("https://lindat.mff.cuni.cz/services/teitok/pdtc10/index.php?action=vallex&amp;frame=v-w1828f7", "míchat (v-w1828f7)")</f>
        <v>míchat (v-w1828f7)</v>
      </c>
    </row>
    <row r="13902" customFormat="false" ht="12.8" hidden="false" customHeight="false" outlineLevel="0" collapsed="false">
      <c r="B13902" s="0" t="s">
        <v>1</v>
      </c>
    </row>
    <row r="13903" customFormat="false" ht="12.8" hidden="false" customHeight="false" outlineLevel="0" collapsed="false">
      <c r="B13903" s="0" t="s">
        <v>6452</v>
      </c>
    </row>
    <row r="13905" customFormat="false" ht="12.8" hidden="false" customHeight="false" outlineLevel="0" collapsed="false">
      <c r="A13905" s="0" t="s">
        <v>6453</v>
      </c>
      <c r="B13905" s="0" t="str">
        <f aca="false">HYPERLINK("https://lindat.mff.cuni.cz/services/teitok/pdtc10/index.php?action=vallex&amp;frame=v-w1828f6", "míchat (v-w1828f6)")</f>
        <v>míchat (v-w1828f6)</v>
      </c>
    </row>
    <row r="13906" customFormat="false" ht="12.8" hidden="false" customHeight="false" outlineLevel="0" collapsed="false">
      <c r="B13906" s="0" t="s">
        <v>1</v>
      </c>
    </row>
    <row r="13907" customFormat="false" ht="12.8" hidden="false" customHeight="false" outlineLevel="0" collapsed="false">
      <c r="B13907" s="0" t="s">
        <v>8</v>
      </c>
    </row>
    <row r="13909" customFormat="false" ht="12.8" hidden="false" customHeight="false" outlineLevel="0" collapsed="false">
      <c r="A13909" s="0" t="s">
        <v>6454</v>
      </c>
      <c r="B13909" s="0" t="str">
        <f aca="false">HYPERLINK("https://lindat.mff.cuni.cz/services/teitok/pdtc10/index.php?action=vallex&amp;frame=v-w1828f3", "míchat (v-w1828f3)")</f>
        <v>míchat (v-w1828f3)</v>
      </c>
    </row>
    <row r="13910" customFormat="false" ht="12.8" hidden="false" customHeight="false" outlineLevel="0" collapsed="false">
      <c r="B13910" s="0" t="s">
        <v>1</v>
      </c>
    </row>
    <row r="13911" customFormat="false" ht="12.8" hidden="false" customHeight="false" outlineLevel="0" collapsed="false">
      <c r="B13911" s="0" t="s">
        <v>6455</v>
      </c>
    </row>
    <row r="13913" customFormat="false" ht="12.8" hidden="false" customHeight="false" outlineLevel="0" collapsed="false">
      <c r="A13913" s="0" t="s">
        <v>6456</v>
      </c>
      <c r="B13913" s="0" t="str">
        <f aca="false">HYPERLINK("https://lindat.mff.cuni.cz/services/teitok/pdtc10/index.php?action=vallex&amp;frame=v-whsa_578hsa_579", "míchat se (v-whsa_578hsa_579)")</f>
        <v>míchat se (v-whsa_578hsa_579)</v>
      </c>
      <c r="E13913" s="0" t="str">
        <f aca="false">HYPERLINK("https://lindat.mff.cuni.cz/services/SynSemClass40/SynSemClass40.html?veclass=vec00775#vec00775-ces-cm00054", "vec00775")</f>
        <v>vec00775</v>
      </c>
      <c r="F13913" s="0" t="s">
        <v>6457</v>
      </c>
      <c r="H13913" s="0" t="str">
        <f aca="false">HYPERLINK("https://lindat.mff.cuni.cz/services/SynSemClass40/SynSemClass40.html?veclass=vec00818#vec00818-ces-cm00005", "vec00818")</f>
        <v>vec00818</v>
      </c>
      <c r="I13913" s="0" t="s">
        <v>4200</v>
      </c>
    </row>
    <row r="13914" customFormat="false" ht="12.8" hidden="false" customHeight="false" outlineLevel="0" collapsed="false">
      <c r="B13914" s="0" t="s">
        <v>1</v>
      </c>
      <c r="C13914" s="0" t="s">
        <v>6458</v>
      </c>
      <c r="E13914" s="0" t="s">
        <v>3010</v>
      </c>
      <c r="F13914" s="0" t="s">
        <v>6459</v>
      </c>
      <c r="H13914" s="0" t="s">
        <v>3010</v>
      </c>
      <c r="I13914" s="0" t="s">
        <v>4201</v>
      </c>
    </row>
    <row r="13915" customFormat="false" ht="12.8" hidden="false" customHeight="false" outlineLevel="0" collapsed="false">
      <c r="B13915" s="0" t="s">
        <v>1187</v>
      </c>
      <c r="C13915" s="0" t="s">
        <v>6460</v>
      </c>
      <c r="E13915" s="0" t="s">
        <v>4202</v>
      </c>
      <c r="F13915" s="0" t="s">
        <v>6461</v>
      </c>
      <c r="H13915" s="0" t="s">
        <v>4202</v>
      </c>
      <c r="I13915" s="0" t="s">
        <v>4203</v>
      </c>
    </row>
    <row r="13917" customFormat="false" ht="12.8" hidden="false" customHeight="false" outlineLevel="0" collapsed="false">
      <c r="A13917" s="0" t="s">
        <v>6462</v>
      </c>
      <c r="B13917" s="0" t="str">
        <f aca="false">HYPERLINK("https://lindat.mff.cuni.cz/services/teitok/pdtc10/index.php?action=vallex&amp;frame=v-whsa_578f1_MM", "míchat se (v-whsa_578f1_MM)")</f>
        <v>míchat se (v-whsa_578f1_MM)</v>
      </c>
    </row>
    <row r="13918" customFormat="false" ht="12.8" hidden="false" customHeight="false" outlineLevel="0" collapsed="false">
      <c r="B13918" s="0" t="s">
        <v>1</v>
      </c>
    </row>
    <row r="13919" customFormat="false" ht="12.8" hidden="false" customHeight="false" outlineLevel="0" collapsed="false">
      <c r="B13919" s="0" t="s">
        <v>157</v>
      </c>
    </row>
    <row r="13921" customFormat="false" ht="12.8" hidden="false" customHeight="false" outlineLevel="0" collapsed="false">
      <c r="A13921" s="0" t="s">
        <v>6463</v>
      </c>
      <c r="B13921" s="0" t="str">
        <f aca="false">HYPERLINK("https://lindat.mff.cuni.cz/services/teitok/pdtc10/index.php?action=vallex&amp;frame=v-w1825f1", "míhat se (v-w1825f1)")</f>
        <v>míhat se (v-w1825f1)</v>
      </c>
    </row>
    <row r="13922" customFormat="false" ht="12.8" hidden="false" customHeight="false" outlineLevel="0" collapsed="false">
      <c r="B13922" s="0" t="s">
        <v>1</v>
      </c>
    </row>
    <row r="13924" customFormat="false" ht="12.8" hidden="false" customHeight="false" outlineLevel="0" collapsed="false">
      <c r="A13924" s="0" t="s">
        <v>6464</v>
      </c>
      <c r="B13924" s="0" t="str">
        <f aca="false">HYPERLINK("https://lindat.mff.cuni.cz/services/teitok/pdtc10/index.php?action=vallex&amp;frame=v-w1829f1", "míjet (v-w1829f1)")</f>
        <v>míjet (v-w1829f1)</v>
      </c>
    </row>
    <row r="13925" customFormat="false" ht="12.8" hidden="false" customHeight="false" outlineLevel="0" collapsed="false">
      <c r="B13925" s="0" t="s">
        <v>1</v>
      </c>
    </row>
    <row r="13926" customFormat="false" ht="12.8" hidden="false" customHeight="false" outlineLevel="0" collapsed="false">
      <c r="B13926" s="0" t="s">
        <v>8</v>
      </c>
    </row>
    <row r="13928" customFormat="false" ht="12.8" hidden="false" customHeight="false" outlineLevel="0" collapsed="false">
      <c r="A13928" s="0" t="s">
        <v>6465</v>
      </c>
      <c r="B13928" s="0" t="str">
        <f aca="false">HYPERLINK("https://lindat.mff.cuni.cz/services/teitok/pdtc10/index.php?action=vallex&amp;frame=v-w1829f3", "míjet (v-w1829f3)")</f>
        <v>míjet (v-w1829f3)</v>
      </c>
    </row>
    <row r="13929" customFormat="false" ht="12.8" hidden="false" customHeight="false" outlineLevel="0" collapsed="false">
      <c r="B13929" s="0" t="s">
        <v>1</v>
      </c>
    </row>
    <row r="13930" customFormat="false" ht="12.8" hidden="false" customHeight="false" outlineLevel="0" collapsed="false">
      <c r="B13930" s="0" t="s">
        <v>8</v>
      </c>
    </row>
    <row r="13932" customFormat="false" ht="12.8" hidden="false" customHeight="false" outlineLevel="0" collapsed="false">
      <c r="A13932" s="0" t="s">
        <v>6466</v>
      </c>
      <c r="B13932" s="0" t="str">
        <f aca="false">HYPERLINK("https://lindat.mff.cuni.cz/services/teitok/pdtc10/index.php?action=vallex&amp;frame=v-w1829f2", "míjet (v-w1829f2)")</f>
        <v>míjet (v-w1829f2)</v>
      </c>
    </row>
    <row r="13933" customFormat="false" ht="12.8" hidden="false" customHeight="false" outlineLevel="0" collapsed="false">
      <c r="B13933" s="0" t="s">
        <v>1</v>
      </c>
    </row>
    <row r="13935" customFormat="false" ht="12.8" hidden="false" customHeight="false" outlineLevel="0" collapsed="false">
      <c r="A13935" s="0" t="s">
        <v>6467</v>
      </c>
      <c r="B13935" s="0" t="str">
        <f aca="false">HYPERLINK("https://lindat.mff.cuni.cz/services/teitok/pdtc10/index.php?action=vallex&amp;frame=v-w1830f1", "míjet se (v-w1830f1)")</f>
        <v>míjet se (v-w1830f1)</v>
      </c>
    </row>
    <row r="13936" customFormat="false" ht="12.8" hidden="false" customHeight="false" outlineLevel="0" collapsed="false">
      <c r="B13936" s="0" t="s">
        <v>1</v>
      </c>
    </row>
    <row r="13937" customFormat="false" ht="12.8" hidden="false" customHeight="false" outlineLevel="0" collapsed="false">
      <c r="B13937" s="0" t="s">
        <v>4277</v>
      </c>
    </row>
    <row r="13939" customFormat="false" ht="12.8" hidden="false" customHeight="false" outlineLevel="0" collapsed="false">
      <c r="A13939" s="0" t="s">
        <v>6468</v>
      </c>
      <c r="B13939" s="0" t="str">
        <f aca="false">HYPERLINK("https://lindat.mff.cuni.cz/services/teitok/pdtc10/index.php?action=vallex&amp;frame=v-w1830hsa_1366", "míjet se (v-w1830hsa_1366)")</f>
        <v>míjet se (v-w1830hsa_1366)</v>
      </c>
    </row>
    <row r="13940" customFormat="false" ht="12.8" hidden="false" customHeight="false" outlineLevel="0" collapsed="false">
      <c r="B13940" s="0" t="s">
        <v>1</v>
      </c>
    </row>
    <row r="13941" customFormat="false" ht="12.8" hidden="false" customHeight="false" outlineLevel="0" collapsed="false">
      <c r="B13941" s="0" t="s">
        <v>721</v>
      </c>
    </row>
    <row r="13943" customFormat="false" ht="12.8" hidden="false" customHeight="false" outlineLevel="0" collapsed="false">
      <c r="A13943" s="0" t="s">
        <v>6469</v>
      </c>
      <c r="B13943" s="0" t="str">
        <f aca="false">HYPERLINK("https://lindat.mff.cuni.cz/services/teitok/pdtc10/index.php?action=vallex&amp;frame=v-w1843f5", "mínit (v-w1843f5)")</f>
        <v>mínit (v-w1843f5)</v>
      </c>
      <c r="E13943" s="0" t="str">
        <f aca="false">HYPERLINK("https://lindat.mff.cuni.cz/services/SynSemClass40/SynSemClass40.html?veclass=vec00771#vec00771-ces-cm00004", "vec00771")</f>
        <v>vec00771</v>
      </c>
      <c r="F13943" s="0" t="s">
        <v>6470</v>
      </c>
    </row>
    <row r="13944" customFormat="false" ht="12.8" hidden="false" customHeight="false" outlineLevel="0" collapsed="false">
      <c r="B13944" s="0" t="s">
        <v>1</v>
      </c>
      <c r="C13944" s="0" t="s">
        <v>6471</v>
      </c>
      <c r="E13944" s="0" t="s">
        <v>206</v>
      </c>
      <c r="F13944" s="0" t="s">
        <v>6472</v>
      </c>
    </row>
    <row r="13945" customFormat="false" ht="12.8" hidden="false" customHeight="false" outlineLevel="0" collapsed="false">
      <c r="B13945" s="0" t="s">
        <v>8</v>
      </c>
      <c r="C13945" s="0" t="s">
        <v>6473</v>
      </c>
      <c r="E13945" s="0" t="s">
        <v>1556</v>
      </c>
      <c r="F13945" s="0" t="s">
        <v>6474</v>
      </c>
    </row>
    <row r="13946" customFormat="false" ht="12.8" hidden="false" customHeight="false" outlineLevel="0" collapsed="false">
      <c r="B13946" s="0" t="s">
        <v>6475</v>
      </c>
      <c r="E13946" s="0" t="s">
        <v>6476</v>
      </c>
      <c r="F13946" s="0" t="s">
        <v>6477</v>
      </c>
    </row>
    <row r="13948" customFormat="false" ht="12.8" hidden="false" customHeight="false" outlineLevel="0" collapsed="false">
      <c r="A13948" s="0" t="s">
        <v>6478</v>
      </c>
      <c r="B13948" s="0" t="str">
        <f aca="false">HYPERLINK("https://lindat.mff.cuni.cz/services/teitok/pdtc10/index.php?action=vallex&amp;frame=v-w1843f3", "mínit (v-w1843f3)")</f>
        <v>mínit (v-w1843f3)</v>
      </c>
      <c r="E13948" s="0" t="str">
        <f aca="false">HYPERLINK("https://lindat.mff.cuni.cz/services/SynSemClass40/SynSemClass40.html?veclass=vec00771#vec00771-ces-cm00003", "vec00771")</f>
        <v>vec00771</v>
      </c>
      <c r="F13948" s="0" t="s">
        <v>6470</v>
      </c>
    </row>
    <row r="13949" customFormat="false" ht="12.8" hidden="false" customHeight="false" outlineLevel="0" collapsed="false">
      <c r="B13949" s="0" t="s">
        <v>1</v>
      </c>
      <c r="C13949" s="0" t="s">
        <v>6471</v>
      </c>
      <c r="E13949" s="0" t="s">
        <v>206</v>
      </c>
      <c r="F13949" s="0" t="s">
        <v>6472</v>
      </c>
    </row>
    <row r="13950" customFormat="false" ht="12.8" hidden="false" customHeight="false" outlineLevel="0" collapsed="false">
      <c r="B13950" s="0" t="s">
        <v>8</v>
      </c>
      <c r="C13950" s="0" t="s">
        <v>6473</v>
      </c>
      <c r="E13950" s="0" t="s">
        <v>1556</v>
      </c>
      <c r="F13950" s="0" t="s">
        <v>6474</v>
      </c>
    </row>
    <row r="13951" customFormat="false" ht="12.8" hidden="false" customHeight="false" outlineLevel="0" collapsed="false">
      <c r="B13951" s="0" t="s">
        <v>642</v>
      </c>
      <c r="E13951" s="0" t="s">
        <v>6479</v>
      </c>
      <c r="F13951" s="0" t="s">
        <v>6480</v>
      </c>
    </row>
    <row r="13952" customFormat="false" ht="12.8" hidden="false" customHeight="false" outlineLevel="0" collapsed="false">
      <c r="B13952" s="0" t="s">
        <v>648</v>
      </c>
      <c r="E13952" s="0" t="s">
        <v>6479</v>
      </c>
      <c r="F13952" s="0" t="s">
        <v>6480</v>
      </c>
    </row>
    <row r="13953" customFormat="false" ht="12.8" hidden="false" customHeight="false" outlineLevel="0" collapsed="false">
      <c r="B13953" s="0" t="s">
        <v>650</v>
      </c>
      <c r="E13953" s="0" t="s">
        <v>6479</v>
      </c>
      <c r="F13953" s="0" t="s">
        <v>6480</v>
      </c>
    </row>
    <row r="13954" customFormat="false" ht="12.8" hidden="false" customHeight="false" outlineLevel="0" collapsed="false">
      <c r="B13954" s="0" t="s">
        <v>652</v>
      </c>
      <c r="E13954" s="0" t="s">
        <v>6479</v>
      </c>
      <c r="F13954" s="0" t="s">
        <v>6480</v>
      </c>
    </row>
    <row r="13956" customFormat="false" ht="12.8" hidden="false" customHeight="false" outlineLevel="0" collapsed="false">
      <c r="A13956" s="0" t="s">
        <v>6481</v>
      </c>
      <c r="B13956" s="0" t="str">
        <f aca="false">HYPERLINK("https://lindat.mff.cuni.cz/services/teitok/pdtc10/index.php?action=vallex&amp;frame=v-w1843f1", "mínit (v-w1843f1)")</f>
        <v>mínit (v-w1843f1)</v>
      </c>
      <c r="E13956" s="0" t="str">
        <f aca="false">HYPERLINK("https://lindat.mff.cuni.cz/services/SynSemClass40/SynSemClass40.html?veclass=vec00256#vec00256-ces-cm00006", "vec00256")</f>
        <v>vec00256</v>
      </c>
      <c r="F13956" s="0" t="s">
        <v>993</v>
      </c>
    </row>
    <row r="13957" customFormat="false" ht="12.8" hidden="false" customHeight="false" outlineLevel="0" collapsed="false">
      <c r="B13957" s="0" t="s">
        <v>1</v>
      </c>
      <c r="C13957" s="0" t="s">
        <v>6482</v>
      </c>
      <c r="E13957" s="0" t="s">
        <v>31</v>
      </c>
      <c r="F13957" s="0" t="s">
        <v>6483</v>
      </c>
    </row>
    <row r="13958" customFormat="false" ht="12.8" hidden="false" customHeight="false" outlineLevel="0" collapsed="false">
      <c r="B13958" s="0" t="s">
        <v>886</v>
      </c>
      <c r="C13958" s="0" t="s">
        <v>6484</v>
      </c>
      <c r="E13958" s="0" t="s">
        <v>1556</v>
      </c>
      <c r="F13958" s="0" t="s">
        <v>6485</v>
      </c>
    </row>
    <row r="13960" customFormat="false" ht="12.8" hidden="false" customHeight="false" outlineLevel="0" collapsed="false">
      <c r="A13960" s="0" t="s">
        <v>6486</v>
      </c>
      <c r="B13960" s="0" t="str">
        <f aca="false">HYPERLINK("https://lindat.mff.cuni.cz/services/teitok/pdtc10/index.php?action=vallex&amp;frame=v-w1843f2", "mínit (v-w1843f2)")</f>
        <v>mínit (v-w1843f2)</v>
      </c>
      <c r="E13960" s="0" t="str">
        <f aca="false">HYPERLINK("https://lindat.mff.cuni.cz/services/SynSemClass40/SynSemClass40.html?veclass=vec00032#vec00032-ces-cm00021", "vec00032")</f>
        <v>vec00032</v>
      </c>
      <c r="F13960" s="0" t="s">
        <v>911</v>
      </c>
    </row>
    <row r="13961" customFormat="false" ht="12.8" hidden="false" customHeight="false" outlineLevel="0" collapsed="false">
      <c r="B13961" s="0" t="s">
        <v>1</v>
      </c>
      <c r="C13961" s="0" t="s">
        <v>2485</v>
      </c>
      <c r="E13961" s="0" t="s">
        <v>914</v>
      </c>
      <c r="F13961" s="0" t="s">
        <v>915</v>
      </c>
    </row>
    <row r="13962" customFormat="false" ht="12.8" hidden="false" customHeight="false" outlineLevel="0" collapsed="false">
      <c r="B13962" s="0" t="s">
        <v>2486</v>
      </c>
      <c r="C13962" s="0" t="s">
        <v>2487</v>
      </c>
      <c r="E13962" s="0" t="s">
        <v>626</v>
      </c>
      <c r="F13962" s="0" t="s">
        <v>2488</v>
      </c>
    </row>
    <row r="13963" customFormat="false" ht="12.8" hidden="false" customHeight="false" outlineLevel="0" collapsed="false">
      <c r="B13963" s="0" t="s">
        <v>496</v>
      </c>
      <c r="C13963" s="0" t="s">
        <v>2489</v>
      </c>
      <c r="E13963" s="0" t="s">
        <v>180</v>
      </c>
      <c r="F13963" s="0" t="s">
        <v>2490</v>
      </c>
    </row>
    <row r="13965" customFormat="false" ht="12.8" hidden="false" customHeight="false" outlineLevel="0" collapsed="false">
      <c r="A13965" s="0" t="s">
        <v>6487</v>
      </c>
      <c r="B13965" s="0" t="str">
        <f aca="false">HYPERLINK("https://lindat.mff.cuni.cz/services/teitok/pdtc10/index.php?action=vallex&amp;frame=v-w1843f4", "mínit (v-w1843f4)")</f>
        <v>mínit (v-w1843f4)</v>
      </c>
    </row>
    <row r="13966" customFormat="false" ht="12.8" hidden="false" customHeight="false" outlineLevel="0" collapsed="false">
      <c r="B13966" s="0" t="s">
        <v>1</v>
      </c>
    </row>
    <row r="13967" customFormat="false" ht="12.8" hidden="false" customHeight="false" outlineLevel="0" collapsed="false">
      <c r="B13967" s="0" t="s">
        <v>2382</v>
      </c>
    </row>
    <row r="13968" customFormat="false" ht="12.8" hidden="false" customHeight="false" outlineLevel="0" collapsed="false">
      <c r="B13968" s="0" t="s">
        <v>6395</v>
      </c>
    </row>
    <row r="13970" customFormat="false" ht="12.8" hidden="false" customHeight="false" outlineLevel="0" collapsed="false">
      <c r="A13970" s="0" t="s">
        <v>6488</v>
      </c>
      <c r="B13970" s="0" t="str">
        <f aca="false">HYPERLINK("https://lindat.mff.cuni.cz/services/teitok/pdtc10/index.php?action=vallex&amp;frame=v-w1843hsa_907", "mínit (v-w1843hsa_907)")</f>
        <v>mínit (v-w1843hsa_907)</v>
      </c>
    </row>
    <row r="13971" customFormat="false" ht="12.8" hidden="false" customHeight="false" outlineLevel="0" collapsed="false">
      <c r="B13971" s="0" t="s">
        <v>1</v>
      </c>
    </row>
    <row r="13972" customFormat="false" ht="12.8" hidden="false" customHeight="false" outlineLevel="0" collapsed="false">
      <c r="B13972" s="0" t="s">
        <v>8</v>
      </c>
    </row>
    <row r="13973" customFormat="false" ht="12.8" hidden="false" customHeight="false" outlineLevel="0" collapsed="false">
      <c r="B13973" s="0" t="s">
        <v>6489</v>
      </c>
    </row>
    <row r="13975" customFormat="false" ht="12.8" hidden="false" customHeight="false" outlineLevel="0" collapsed="false">
      <c r="A13975" s="0" t="s">
        <v>6490</v>
      </c>
      <c r="B13975" s="0" t="str">
        <f aca="false">HYPERLINK("https://lindat.mff.cuni.cz/services/teitok/pdtc10/index.php?action=vallex&amp;frame=v-w10977f2", "mírnit (v-w10977f2)")</f>
        <v>mírnit (v-w10977f2)</v>
      </c>
      <c r="E13975" s="0" t="str">
        <f aca="false">HYPERLINK("https://lindat.mff.cuni.cz/services/SynSemClass40/SynSemClass40.html?veclass=vec00545#vec00545-ces-cm00002", "vec00545")</f>
        <v>vec00545</v>
      </c>
      <c r="F13975" s="0" t="s">
        <v>6030</v>
      </c>
      <c r="H13975" s="0" t="str">
        <f aca="false">HYPERLINK("https://lindat.mff.cuni.cz/services/SynSemClass40/SynSemClass40.html?veclass=vec01301#vec01301-ces-cm00001", "vec01301")</f>
        <v>vec01301</v>
      </c>
      <c r="I13975" s="0" t="s">
        <v>6491</v>
      </c>
    </row>
    <row r="13976" customFormat="false" ht="12.8" hidden="false" customHeight="false" outlineLevel="0" collapsed="false">
      <c r="B13976" s="0" t="s">
        <v>1</v>
      </c>
      <c r="C13976" s="0" t="s">
        <v>2026</v>
      </c>
      <c r="E13976" s="0" t="s">
        <v>206</v>
      </c>
      <c r="F13976" s="0" t="s">
        <v>5400</v>
      </c>
      <c r="H13976" s="0" t="s">
        <v>31</v>
      </c>
      <c r="I13976" s="0" t="s">
        <v>6492</v>
      </c>
    </row>
    <row r="13977" customFormat="false" ht="12.8" hidden="false" customHeight="false" outlineLevel="0" collapsed="false">
      <c r="B13977" s="0" t="s">
        <v>8</v>
      </c>
      <c r="C13977" s="0" t="s">
        <v>6493</v>
      </c>
      <c r="E13977" s="0" t="s">
        <v>180</v>
      </c>
      <c r="F13977" s="0" t="s">
        <v>6031</v>
      </c>
      <c r="H13977" s="0" t="s">
        <v>6494</v>
      </c>
      <c r="I13977" s="0" t="s">
        <v>6495</v>
      </c>
    </row>
    <row r="13979" customFormat="false" ht="12.8" hidden="false" customHeight="false" outlineLevel="0" collapsed="false">
      <c r="A13979" s="0" t="s">
        <v>6496</v>
      </c>
      <c r="B13979" s="0" t="str">
        <f aca="false">HYPERLINK("https://lindat.mff.cuni.cz/services/teitok/pdtc10/index.php?action=vallex&amp;frame=v-w11432f1", "mírnit se (v-w11432f1)")</f>
        <v>mírnit se (v-w11432f1)</v>
      </c>
    </row>
    <row r="13980" customFormat="false" ht="12.8" hidden="false" customHeight="false" outlineLevel="0" collapsed="false">
      <c r="B13980" s="0" t="s">
        <v>1</v>
      </c>
    </row>
    <row r="13982" customFormat="false" ht="12.8" hidden="false" customHeight="false" outlineLevel="0" collapsed="false">
      <c r="A13982" s="0" t="s">
        <v>6497</v>
      </c>
      <c r="B13982" s="0" t="str">
        <f aca="false">HYPERLINK("https://lindat.mff.cuni.cz/services/teitok/pdtc10/index.php?action=vallex&amp;frame=v-w11432f2_ZU", "mírnit se (v-w11432f2_ZU)")</f>
        <v>mírnit se (v-w11432f2_ZU)</v>
      </c>
    </row>
    <row r="13983" customFormat="false" ht="12.8" hidden="false" customHeight="false" outlineLevel="0" collapsed="false">
      <c r="B13983" s="0" t="s">
        <v>1</v>
      </c>
    </row>
    <row r="13985" customFormat="false" ht="12.8" hidden="false" customHeight="false" outlineLevel="0" collapsed="false">
      <c r="A13985" s="0" t="s">
        <v>6498</v>
      </c>
      <c r="B13985" s="0" t="str">
        <f aca="false">HYPERLINK("https://lindat.mff.cuni.cz/services/teitok/pdtc10/index.php?action=vallex&amp;frame=v-w1848f1", "mísit (v-w1848f1)")</f>
        <v>mísit (v-w1848f1)</v>
      </c>
    </row>
    <row r="13986" customFormat="false" ht="12.8" hidden="false" customHeight="false" outlineLevel="0" collapsed="false">
      <c r="B13986" s="0" t="s">
        <v>1</v>
      </c>
    </row>
    <row r="13987" customFormat="false" ht="12.8" hidden="false" customHeight="false" outlineLevel="0" collapsed="false">
      <c r="B13987" s="0" t="s">
        <v>8</v>
      </c>
    </row>
    <row r="13988" customFormat="false" ht="12.8" hidden="false" customHeight="false" outlineLevel="0" collapsed="false">
      <c r="B13988" s="0" t="s">
        <v>3537</v>
      </c>
    </row>
    <row r="13990" customFormat="false" ht="12.8" hidden="false" customHeight="false" outlineLevel="0" collapsed="false">
      <c r="A13990" s="0" t="s">
        <v>6499</v>
      </c>
      <c r="B13990" s="0" t="str">
        <f aca="false">HYPERLINK("https://lindat.mff.cuni.cz/services/teitok/pdtc10/index.php?action=vallex&amp;frame=v-w1848f2", "mísit (v-w1848f2)")</f>
        <v>mísit (v-w1848f2)</v>
      </c>
    </row>
    <row r="13991" customFormat="false" ht="12.8" hidden="false" customHeight="false" outlineLevel="0" collapsed="false">
      <c r="B13991" s="0" t="s">
        <v>1</v>
      </c>
    </row>
    <row r="13992" customFormat="false" ht="12.8" hidden="false" customHeight="false" outlineLevel="0" collapsed="false">
      <c r="B13992" s="0" t="s">
        <v>8</v>
      </c>
    </row>
    <row r="13994" customFormat="false" ht="12.8" hidden="false" customHeight="false" outlineLevel="0" collapsed="false">
      <c r="A13994" s="0" t="s">
        <v>6500</v>
      </c>
      <c r="B13994" s="0" t="str">
        <f aca="false">HYPERLINK("https://lindat.mff.cuni.cz/services/teitok/pdtc10/index.php?action=vallex&amp;frame=v-w1849f2", "mísit se (v-w1849f2)")</f>
        <v>mísit se (v-w1849f2)</v>
      </c>
    </row>
    <row r="13995" customFormat="false" ht="12.8" hidden="false" customHeight="false" outlineLevel="0" collapsed="false">
      <c r="B13995" s="0" t="s">
        <v>1</v>
      </c>
    </row>
    <row r="13996" customFormat="false" ht="12.8" hidden="false" customHeight="false" outlineLevel="0" collapsed="false">
      <c r="B13996" s="0" t="s">
        <v>1187</v>
      </c>
    </row>
    <row r="13998" customFormat="false" ht="12.8" hidden="false" customHeight="false" outlineLevel="0" collapsed="false">
      <c r="A13998" s="0" t="s">
        <v>6501</v>
      </c>
      <c r="B13998" s="0" t="str">
        <f aca="false">HYPERLINK("https://lindat.mff.cuni.cz/services/teitok/pdtc10/index.php?action=vallex&amp;frame=v-w1849f1", "mísit se (v-w1849f1)")</f>
        <v>mísit se (v-w1849f1)</v>
      </c>
      <c r="E13998" s="0" t="str">
        <f aca="false">HYPERLINK("https://lindat.mff.cuni.cz/services/SynSemClass40/SynSemClass40.html?veclass=vec00892#vec00892-ces-cm00003", "vec00892")</f>
        <v>vec00892</v>
      </c>
      <c r="F13998" s="0" t="s">
        <v>5820</v>
      </c>
    </row>
    <row r="13999" customFormat="false" ht="12.8" hidden="false" customHeight="false" outlineLevel="0" collapsed="false">
      <c r="B13999" s="0" t="s">
        <v>1</v>
      </c>
      <c r="C13999" s="0" t="s">
        <v>5821</v>
      </c>
      <c r="E13999" s="0" t="s">
        <v>5822</v>
      </c>
      <c r="F13999" s="0" t="s">
        <v>5823</v>
      </c>
    </row>
    <row r="14000" customFormat="false" ht="12.8" hidden="false" customHeight="false" outlineLevel="0" collapsed="false">
      <c r="B14000" s="0" t="s">
        <v>721</v>
      </c>
      <c r="C14000" s="0" t="s">
        <v>800</v>
      </c>
      <c r="E14000" s="0" t="s">
        <v>5824</v>
      </c>
      <c r="F14000" s="0" t="s">
        <v>5825</v>
      </c>
    </row>
    <row r="14002" customFormat="false" ht="12.8" hidden="false" customHeight="false" outlineLevel="0" collapsed="false">
      <c r="A14002" s="0" t="s">
        <v>6502</v>
      </c>
      <c r="B14002" s="0" t="str">
        <f aca="false">HYPERLINK("https://lindat.mff.cuni.cz/services/teitok/pdtc10/index.php?action=vallex&amp;frame=v-w1855f300_ZU", "mít (v-w1855f300_ZU)")</f>
        <v>mít (v-w1855f300_ZU)</v>
      </c>
    </row>
    <row r="14003" customFormat="false" ht="12.8" hidden="false" customHeight="false" outlineLevel="0" collapsed="false">
      <c r="B14003" s="0" t="s">
        <v>1</v>
      </c>
    </row>
    <row r="14004" customFormat="false" ht="12.8" hidden="false" customHeight="false" outlineLevel="0" collapsed="false">
      <c r="B14004" s="0" t="s">
        <v>311</v>
      </c>
    </row>
    <row r="14005" customFormat="false" ht="12.8" hidden="false" customHeight="false" outlineLevel="0" collapsed="false">
      <c r="B14005" s="0" t="s">
        <v>98</v>
      </c>
    </row>
    <row r="14007" customFormat="false" ht="12.8" hidden="false" customHeight="false" outlineLevel="0" collapsed="false">
      <c r="A14007" s="0" t="s">
        <v>6502</v>
      </c>
      <c r="B14007" s="0" t="str">
        <f aca="false">HYPERLINK("https://lindat.mff.cuni.cz/services/teitok/pdtc10/index.php?action=vallex&amp;frame=v-w1855f299_ZU", "mít (v-w1855f299_ZU) - substituted with v-w1855f300_ZU")</f>
        <v>mít (v-w1855f299_ZU) - substituted with v-w1855f300_ZU</v>
      </c>
    </row>
    <row r="14008" customFormat="false" ht="12.8" hidden="false" customHeight="false" outlineLevel="0" collapsed="false">
      <c r="B14008" s="0" t="s">
        <v>1</v>
      </c>
    </row>
    <row r="14009" customFormat="false" ht="12.8" hidden="false" customHeight="false" outlineLevel="0" collapsed="false">
      <c r="B14009" s="0" t="s">
        <v>311</v>
      </c>
    </row>
    <row r="14010" customFormat="false" ht="12.8" hidden="false" customHeight="false" outlineLevel="0" collapsed="false">
      <c r="B14010" s="0" t="s">
        <v>98</v>
      </c>
    </row>
    <row r="14012" customFormat="false" ht="12.8" hidden="false" customHeight="false" outlineLevel="0" collapsed="false">
      <c r="A14012" s="0" t="s">
        <v>6502</v>
      </c>
      <c r="B14012" s="0" t="str">
        <f aca="false">HYPERLINK("https://lindat.mff.cuni.cz/services/teitok/pdtc10/index.php?action=vallex&amp;frame=v-w1855f72", "mít (v-w1855f72) - substituted with v-w1855f300_ZU")</f>
        <v>mít (v-w1855f72) - substituted with v-w1855f300_ZU</v>
      </c>
    </row>
    <row r="14013" customFormat="false" ht="12.8" hidden="false" customHeight="false" outlineLevel="0" collapsed="false">
      <c r="B14013" s="0" t="s">
        <v>1</v>
      </c>
    </row>
    <row r="14014" customFormat="false" ht="12.8" hidden="false" customHeight="false" outlineLevel="0" collapsed="false">
      <c r="B14014" s="0" t="s">
        <v>311</v>
      </c>
    </row>
    <row r="14015" customFormat="false" ht="12.8" hidden="false" customHeight="false" outlineLevel="0" collapsed="false">
      <c r="B14015" s="0" t="s">
        <v>98</v>
      </c>
    </row>
    <row r="14017" customFormat="false" ht="12.8" hidden="false" customHeight="false" outlineLevel="0" collapsed="false">
      <c r="A14017" s="0" t="s">
        <v>6503</v>
      </c>
      <c r="B14017" s="0" t="str">
        <f aca="false">HYPERLINK("https://lindat.mff.cuni.cz/services/teitok/pdtc10/index.php?action=vallex&amp;frame=v-w1855f322_ZU", "mít (v-w1855f322_ZU)")</f>
        <v>mít (v-w1855f322_ZU)</v>
      </c>
    </row>
    <row r="14018" customFormat="false" ht="12.8" hidden="false" customHeight="false" outlineLevel="0" collapsed="false">
      <c r="B14018" s="0" t="s">
        <v>1</v>
      </c>
    </row>
    <row r="14019" customFormat="false" ht="12.8" hidden="false" customHeight="false" outlineLevel="0" collapsed="false">
      <c r="B14019" s="0" t="s">
        <v>8</v>
      </c>
    </row>
    <row r="14020" customFormat="false" ht="12.8" hidden="false" customHeight="false" outlineLevel="0" collapsed="false">
      <c r="B14020" s="0" t="s">
        <v>1633</v>
      </c>
    </row>
    <row r="14022" customFormat="false" ht="12.8" hidden="false" customHeight="false" outlineLevel="0" collapsed="false">
      <c r="A14022" s="0" t="s">
        <v>6503</v>
      </c>
      <c r="B14022" s="0" t="str">
        <f aca="false">HYPERLINK("https://lindat.mff.cuni.cz/services/teitok/pdtc10/index.php?action=vallex&amp;frame=v-w1855f272_ZU", "mít (v-w1855f272_ZU) - substituted with v-w1855f322_ZU")</f>
        <v>mít (v-w1855f272_ZU) - substituted with v-w1855f322_ZU</v>
      </c>
    </row>
    <row r="14023" customFormat="false" ht="12.8" hidden="false" customHeight="false" outlineLevel="0" collapsed="false">
      <c r="B14023" s="0" t="s">
        <v>1</v>
      </c>
    </row>
    <row r="14024" customFormat="false" ht="12.8" hidden="false" customHeight="false" outlineLevel="0" collapsed="false">
      <c r="B14024" s="0" t="s">
        <v>8</v>
      </c>
    </row>
    <row r="14025" customFormat="false" ht="12.8" hidden="false" customHeight="false" outlineLevel="0" collapsed="false">
      <c r="B14025" s="0" t="s">
        <v>1633</v>
      </c>
    </row>
    <row r="14027" customFormat="false" ht="12.8" hidden="false" customHeight="false" outlineLevel="0" collapsed="false">
      <c r="A14027" s="0" t="s">
        <v>6503</v>
      </c>
      <c r="B14027" s="0" t="str">
        <f aca="false">HYPERLINK("https://lindat.mff.cuni.cz/services/teitok/pdtc10/index.php?action=vallex&amp;frame=v-w1855f273_ZU", "mít (v-w1855f273_ZU) - substituted with v-w1855f322_ZU")</f>
        <v>mít (v-w1855f273_ZU) - substituted with v-w1855f322_ZU</v>
      </c>
    </row>
    <row r="14028" customFormat="false" ht="12.8" hidden="false" customHeight="false" outlineLevel="0" collapsed="false">
      <c r="B14028" s="0" t="s">
        <v>1</v>
      </c>
    </row>
    <row r="14029" customFormat="false" ht="12.8" hidden="false" customHeight="false" outlineLevel="0" collapsed="false">
      <c r="B14029" s="0" t="s">
        <v>8</v>
      </c>
    </row>
    <row r="14030" customFormat="false" ht="12.8" hidden="false" customHeight="false" outlineLevel="0" collapsed="false">
      <c r="B14030" s="0" t="s">
        <v>1633</v>
      </c>
    </row>
    <row r="14032" customFormat="false" ht="12.8" hidden="false" customHeight="false" outlineLevel="0" collapsed="false">
      <c r="A14032" s="0" t="s">
        <v>6503</v>
      </c>
      <c r="B14032" s="0" t="str">
        <f aca="false">HYPERLINK("https://lindat.mff.cuni.cz/services/teitok/pdtc10/index.php?action=vallex&amp;frame=v-w1855f275_ZU", "mít (v-w1855f275_ZU) - substituted with v-w1855f322_ZU")</f>
        <v>mít (v-w1855f275_ZU) - substituted with v-w1855f322_ZU</v>
      </c>
    </row>
    <row r="14033" customFormat="false" ht="12.8" hidden="false" customHeight="false" outlineLevel="0" collapsed="false">
      <c r="B14033" s="0" t="s">
        <v>1</v>
      </c>
    </row>
    <row r="14034" customFormat="false" ht="12.8" hidden="false" customHeight="false" outlineLevel="0" collapsed="false">
      <c r="B14034" s="0" t="s">
        <v>8</v>
      </c>
    </row>
    <row r="14035" customFormat="false" ht="12.8" hidden="false" customHeight="false" outlineLevel="0" collapsed="false">
      <c r="B14035" s="0" t="s">
        <v>1633</v>
      </c>
    </row>
    <row r="14037" customFormat="false" ht="12.8" hidden="false" customHeight="false" outlineLevel="0" collapsed="false">
      <c r="A14037" s="0" t="s">
        <v>6503</v>
      </c>
      <c r="B14037" s="0" t="str">
        <f aca="false">HYPERLINK("https://lindat.mff.cuni.cz/services/teitok/pdtc10/index.php?action=vallex&amp;frame=v-w1855f3", "mít (v-w1855f3) - substituted with v-w1855f322_ZU")</f>
        <v>mít (v-w1855f3) - substituted with v-w1855f322_ZU</v>
      </c>
    </row>
    <row r="14038" customFormat="false" ht="12.8" hidden="false" customHeight="false" outlineLevel="0" collapsed="false">
      <c r="B14038" s="0" t="s">
        <v>1</v>
      </c>
    </row>
    <row r="14039" customFormat="false" ht="12.8" hidden="false" customHeight="false" outlineLevel="0" collapsed="false">
      <c r="B14039" s="0" t="s">
        <v>8</v>
      </c>
    </row>
    <row r="14040" customFormat="false" ht="12.8" hidden="false" customHeight="false" outlineLevel="0" collapsed="false">
      <c r="B14040" s="0" t="s">
        <v>1633</v>
      </c>
    </row>
    <row r="14042" customFormat="false" ht="12.8" hidden="false" customHeight="false" outlineLevel="0" collapsed="false">
      <c r="A14042" s="0" t="s">
        <v>6503</v>
      </c>
      <c r="B14042" s="0" t="str">
        <f aca="false">HYPERLINK("https://lindat.mff.cuni.cz/services/teitok/pdtc10/index.php?action=vallex&amp;frame=v-w1855f308_ZU", "mít (v-w1855f308_ZU) - substituted with v-w1855f322_ZU")</f>
        <v>mít (v-w1855f308_ZU) - substituted with v-w1855f322_ZU</v>
      </c>
    </row>
    <row r="14043" customFormat="false" ht="12.8" hidden="false" customHeight="false" outlineLevel="0" collapsed="false">
      <c r="B14043" s="0" t="s">
        <v>1</v>
      </c>
    </row>
    <row r="14044" customFormat="false" ht="12.8" hidden="false" customHeight="false" outlineLevel="0" collapsed="false">
      <c r="B14044" s="0" t="s">
        <v>8</v>
      </c>
    </row>
    <row r="14045" customFormat="false" ht="12.8" hidden="false" customHeight="false" outlineLevel="0" collapsed="false">
      <c r="B14045" s="0" t="s">
        <v>1633</v>
      </c>
    </row>
    <row r="14047" customFormat="false" ht="12.8" hidden="false" customHeight="false" outlineLevel="0" collapsed="false">
      <c r="A14047" s="0" t="s">
        <v>6503</v>
      </c>
      <c r="B14047" s="0" t="str">
        <f aca="false">HYPERLINK("https://lindat.mff.cuni.cz/services/teitok/pdtc10/index.php?action=vallex&amp;frame=v-w1855f313_ZU", "mít (v-w1855f313_ZU) - substituted with v-w1855f322_ZU")</f>
        <v>mít (v-w1855f313_ZU) - substituted with v-w1855f322_ZU</v>
      </c>
    </row>
    <row r="14048" customFormat="false" ht="12.8" hidden="false" customHeight="false" outlineLevel="0" collapsed="false">
      <c r="B14048" s="0" t="s">
        <v>1</v>
      </c>
    </row>
    <row r="14049" customFormat="false" ht="12.8" hidden="false" customHeight="false" outlineLevel="0" collapsed="false">
      <c r="B14049" s="0" t="s">
        <v>8</v>
      </c>
    </row>
    <row r="14050" customFormat="false" ht="12.8" hidden="false" customHeight="false" outlineLevel="0" collapsed="false">
      <c r="B14050" s="0" t="s">
        <v>1633</v>
      </c>
    </row>
    <row r="14052" customFormat="false" ht="12.8" hidden="false" customHeight="false" outlineLevel="0" collapsed="false">
      <c r="A14052" s="0" t="s">
        <v>6503</v>
      </c>
      <c r="B14052" s="0" t="str">
        <f aca="false">HYPERLINK("https://lindat.mff.cuni.cz/services/teitok/pdtc10/index.php?action=vallex&amp;frame=v-w1855f319_ZU", "mít (v-w1855f319_ZU) - substituted with v-w1855f322_ZU")</f>
        <v>mít (v-w1855f319_ZU) - substituted with v-w1855f322_ZU</v>
      </c>
    </row>
    <row r="14053" customFormat="false" ht="12.8" hidden="false" customHeight="false" outlineLevel="0" collapsed="false">
      <c r="B14053" s="0" t="s">
        <v>1</v>
      </c>
    </row>
    <row r="14054" customFormat="false" ht="12.8" hidden="false" customHeight="false" outlineLevel="0" collapsed="false">
      <c r="B14054" s="0" t="s">
        <v>8</v>
      </c>
    </row>
    <row r="14055" customFormat="false" ht="12.8" hidden="false" customHeight="false" outlineLevel="0" collapsed="false">
      <c r="B14055" s="0" t="s">
        <v>1633</v>
      </c>
    </row>
    <row r="14057" customFormat="false" ht="12.8" hidden="false" customHeight="false" outlineLevel="0" collapsed="false">
      <c r="A14057" s="0" t="s">
        <v>6503</v>
      </c>
      <c r="B14057" s="0" t="str">
        <f aca="false">HYPERLINK("https://lindat.mff.cuni.cz/services/teitok/pdtc10/index.php?action=vallex&amp;frame=v-w1855f321_ZU", "mít (v-w1855f321_ZU) - substituted with v-w1855f322_ZU")</f>
        <v>mít (v-w1855f321_ZU) - substituted with v-w1855f322_ZU</v>
      </c>
    </row>
    <row r="14058" customFormat="false" ht="12.8" hidden="false" customHeight="false" outlineLevel="0" collapsed="false">
      <c r="B14058" s="0" t="s">
        <v>1</v>
      </c>
    </row>
    <row r="14059" customFormat="false" ht="12.8" hidden="false" customHeight="false" outlineLevel="0" collapsed="false">
      <c r="B14059" s="0" t="s">
        <v>8</v>
      </c>
    </row>
    <row r="14060" customFormat="false" ht="12.8" hidden="false" customHeight="false" outlineLevel="0" collapsed="false">
      <c r="B14060" s="0" t="s">
        <v>1633</v>
      </c>
    </row>
    <row r="14062" customFormat="false" ht="12.8" hidden="false" customHeight="false" outlineLevel="0" collapsed="false">
      <c r="A14062" s="0" t="s">
        <v>6504</v>
      </c>
      <c r="B14062" s="0" t="str">
        <f aca="false">HYPERLINK("https://lindat.mff.cuni.cz/services/teitok/pdtc10/index.php?action=vallex&amp;frame=v-w1855f81", "mít (v-w1855f81)")</f>
        <v>mít (v-w1855f81)</v>
      </c>
    </row>
    <row r="14063" customFormat="false" ht="12.8" hidden="false" customHeight="false" outlineLevel="0" collapsed="false">
      <c r="B14063" s="0" t="s">
        <v>1</v>
      </c>
    </row>
    <row r="14064" customFormat="false" ht="12.8" hidden="false" customHeight="false" outlineLevel="0" collapsed="false">
      <c r="B14064" s="0" t="s">
        <v>2811</v>
      </c>
    </row>
    <row r="14065" customFormat="false" ht="12.8" hidden="false" customHeight="false" outlineLevel="0" collapsed="false">
      <c r="B14065" s="0" t="s">
        <v>2812</v>
      </c>
    </row>
    <row r="14066" customFormat="false" ht="12.8" hidden="false" customHeight="false" outlineLevel="0" collapsed="false">
      <c r="B14066" s="0" t="s">
        <v>602</v>
      </c>
    </row>
    <row r="14068" customFormat="false" ht="12.8" hidden="false" customHeight="false" outlineLevel="0" collapsed="false">
      <c r="A14068" s="0" t="s">
        <v>6505</v>
      </c>
      <c r="B14068" s="0" t="str">
        <f aca="false">HYPERLINK("https://lindat.mff.cuni.cz/services/teitok/pdtc10/index.php?action=vallex&amp;frame=v-w1855f307_ZU", "mít (v-w1855f307_ZU)")</f>
        <v>mít (v-w1855f307_ZU)</v>
      </c>
    </row>
    <row r="14069" customFormat="false" ht="12.8" hidden="false" customHeight="false" outlineLevel="0" collapsed="false">
      <c r="B14069" s="0" t="s">
        <v>1</v>
      </c>
    </row>
    <row r="14070" customFormat="false" ht="12.8" hidden="false" customHeight="false" outlineLevel="0" collapsed="false">
      <c r="B14070" s="0" t="s">
        <v>402</v>
      </c>
    </row>
    <row r="14071" customFormat="false" ht="12.8" hidden="false" customHeight="false" outlineLevel="0" collapsed="false">
      <c r="B14071" s="0" t="s">
        <v>6506</v>
      </c>
    </row>
    <row r="14073" customFormat="false" ht="12.8" hidden="false" customHeight="false" outlineLevel="0" collapsed="false">
      <c r="A14073" s="0" t="s">
        <v>6505</v>
      </c>
      <c r="B14073" s="0" t="str">
        <f aca="false">HYPERLINK("https://lindat.mff.cuni.cz/services/teitok/pdtc10/index.php?action=vallex&amp;frame=v-w1855f208_ZU", "mít (v-w1855f208_ZU) - substituted with v-w1855f307_ZU")</f>
        <v>mít (v-w1855f208_ZU) - substituted with v-w1855f307_ZU</v>
      </c>
    </row>
    <row r="14074" customFormat="false" ht="12.8" hidden="false" customHeight="false" outlineLevel="0" collapsed="false">
      <c r="B14074" s="0" t="s">
        <v>1</v>
      </c>
    </row>
    <row r="14075" customFormat="false" ht="12.8" hidden="false" customHeight="false" outlineLevel="0" collapsed="false">
      <c r="B14075" s="0" t="s">
        <v>402</v>
      </c>
    </row>
    <row r="14076" customFormat="false" ht="12.8" hidden="false" customHeight="false" outlineLevel="0" collapsed="false">
      <c r="B14076" s="0" t="s">
        <v>6506</v>
      </c>
    </row>
    <row r="14078" customFormat="false" ht="12.8" hidden="false" customHeight="false" outlineLevel="0" collapsed="false">
      <c r="A14078" s="0" t="s">
        <v>6505</v>
      </c>
      <c r="B14078" s="0" t="str">
        <f aca="false">HYPERLINK("https://lindat.mff.cuni.cz/services/teitok/pdtc10/index.php?action=vallex&amp;frame=v-w1855f30", "mít (v-w1855f30) - substituted with v-w1855f307_ZU")</f>
        <v>mít (v-w1855f30) - substituted with v-w1855f307_ZU</v>
      </c>
    </row>
    <row r="14079" customFormat="false" ht="12.8" hidden="false" customHeight="false" outlineLevel="0" collapsed="false">
      <c r="B14079" s="0" t="s">
        <v>1</v>
      </c>
    </row>
    <row r="14080" customFormat="false" ht="12.8" hidden="false" customHeight="false" outlineLevel="0" collapsed="false">
      <c r="B14080" s="0" t="s">
        <v>402</v>
      </c>
    </row>
    <row r="14081" customFormat="false" ht="12.8" hidden="false" customHeight="false" outlineLevel="0" collapsed="false">
      <c r="B14081" s="0" t="s">
        <v>6506</v>
      </c>
    </row>
    <row r="14083" customFormat="false" ht="12.8" hidden="false" customHeight="false" outlineLevel="0" collapsed="false">
      <c r="A14083" s="0" t="s">
        <v>6505</v>
      </c>
      <c r="B14083" s="0" t="str">
        <f aca="false">HYPERLINK("https://lindat.mff.cuni.cz/services/teitok/pdtc10/index.php?action=vallex&amp;frame=v-w1855hsa_1108", "mít (v-w1855hsa_1108) - substituted with v-w1855f307_ZU")</f>
        <v>mít (v-w1855hsa_1108) - substituted with v-w1855f307_ZU</v>
      </c>
    </row>
    <row r="14084" customFormat="false" ht="12.8" hidden="false" customHeight="false" outlineLevel="0" collapsed="false">
      <c r="B14084" s="0" t="s">
        <v>1</v>
      </c>
    </row>
    <row r="14085" customFormat="false" ht="12.8" hidden="false" customHeight="false" outlineLevel="0" collapsed="false">
      <c r="B14085" s="0" t="s">
        <v>402</v>
      </c>
    </row>
    <row r="14086" customFormat="false" ht="12.8" hidden="false" customHeight="false" outlineLevel="0" collapsed="false">
      <c r="B14086" s="0" t="s">
        <v>6506</v>
      </c>
    </row>
    <row r="14088" customFormat="false" ht="12.8" hidden="false" customHeight="false" outlineLevel="0" collapsed="false">
      <c r="A14088" s="0" t="s">
        <v>6507</v>
      </c>
      <c r="B14088" s="0" t="str">
        <f aca="false">HYPERLINK("https://lindat.mff.cuni.cz/services/teitok/pdtc10/index.php?action=vallex&amp;frame=v-w1855f345_MM", "mít (v-w1855f345_MM)")</f>
        <v>mít (v-w1855f345_MM)</v>
      </c>
    </row>
    <row r="14089" customFormat="false" ht="12.8" hidden="false" customHeight="false" outlineLevel="0" collapsed="false">
      <c r="B14089" s="0" t="s">
        <v>1</v>
      </c>
    </row>
    <row r="14090" customFormat="false" ht="12.8" hidden="false" customHeight="false" outlineLevel="0" collapsed="false">
      <c r="B14090" s="0" t="s">
        <v>228</v>
      </c>
    </row>
    <row r="14091" customFormat="false" ht="12.8" hidden="false" customHeight="false" outlineLevel="0" collapsed="false">
      <c r="B14091" s="0" t="s">
        <v>6508</v>
      </c>
    </row>
    <row r="14093" customFormat="false" ht="12.8" hidden="false" customHeight="false" outlineLevel="0" collapsed="false">
      <c r="A14093" s="0" t="s">
        <v>6507</v>
      </c>
      <c r="B14093" s="0" t="str">
        <f aca="false">HYPERLINK("https://lindat.mff.cuni.cz/services/teitok/pdtc10/index.php?action=vallex&amp;frame=v-w1855f241_ZU", "mít (v-w1855f241_ZU) - substituted with v-w1855f345_MM")</f>
        <v>mít (v-w1855f241_ZU) - substituted with v-w1855f345_MM</v>
      </c>
    </row>
    <row r="14094" customFormat="false" ht="12.8" hidden="false" customHeight="false" outlineLevel="0" collapsed="false">
      <c r="B14094" s="0" t="s">
        <v>1</v>
      </c>
    </row>
    <row r="14095" customFormat="false" ht="12.8" hidden="false" customHeight="false" outlineLevel="0" collapsed="false">
      <c r="B14095" s="0" t="s">
        <v>228</v>
      </c>
    </row>
    <row r="14096" customFormat="false" ht="12.8" hidden="false" customHeight="false" outlineLevel="0" collapsed="false">
      <c r="B14096" s="0" t="s">
        <v>6508</v>
      </c>
    </row>
    <row r="14098" customFormat="false" ht="12.8" hidden="false" customHeight="false" outlineLevel="0" collapsed="false">
      <c r="A14098" s="0" t="s">
        <v>6507</v>
      </c>
      <c r="B14098" s="0" t="str">
        <f aca="false">HYPERLINK("https://lindat.mff.cuni.cz/services/teitok/pdtc10/index.php?action=vallex&amp;frame=v-w1855f282_ZU", "mít (v-w1855f282_ZU) - substituted with v-w1855f345_MM")</f>
        <v>mít (v-w1855f282_ZU) - substituted with v-w1855f345_MM</v>
      </c>
    </row>
    <row r="14099" customFormat="false" ht="12.8" hidden="false" customHeight="false" outlineLevel="0" collapsed="false">
      <c r="B14099" s="0" t="s">
        <v>1</v>
      </c>
    </row>
    <row r="14100" customFormat="false" ht="12.8" hidden="false" customHeight="false" outlineLevel="0" collapsed="false">
      <c r="B14100" s="0" t="s">
        <v>228</v>
      </c>
    </row>
    <row r="14101" customFormat="false" ht="12.8" hidden="false" customHeight="false" outlineLevel="0" collapsed="false">
      <c r="B14101" s="0" t="s">
        <v>6508</v>
      </c>
    </row>
    <row r="14103" customFormat="false" ht="12.8" hidden="false" customHeight="false" outlineLevel="0" collapsed="false">
      <c r="A14103" s="0" t="s">
        <v>6507</v>
      </c>
      <c r="B14103" s="0" t="str">
        <f aca="false">HYPERLINK("https://lindat.mff.cuni.cz/services/teitok/pdtc10/index.php?action=vallex&amp;frame=v-w1855f318_ZU", "mít (v-w1855f318_ZU) - substituted with v-w1855f345_MM")</f>
        <v>mít (v-w1855f318_ZU) - substituted with v-w1855f345_MM</v>
      </c>
    </row>
    <row r="14104" customFormat="false" ht="12.8" hidden="false" customHeight="false" outlineLevel="0" collapsed="false">
      <c r="B14104" s="0" t="s">
        <v>1</v>
      </c>
    </row>
    <row r="14105" customFormat="false" ht="12.8" hidden="false" customHeight="false" outlineLevel="0" collapsed="false">
      <c r="B14105" s="0" t="s">
        <v>228</v>
      </c>
    </row>
    <row r="14106" customFormat="false" ht="12.8" hidden="false" customHeight="false" outlineLevel="0" collapsed="false">
      <c r="B14106" s="0" t="s">
        <v>6508</v>
      </c>
    </row>
    <row r="14108" customFormat="false" ht="12.8" hidden="false" customHeight="false" outlineLevel="0" collapsed="false">
      <c r="A14108" s="0" t="s">
        <v>6507</v>
      </c>
      <c r="B14108" s="0" t="str">
        <f aca="false">HYPERLINK("https://lindat.mff.cuni.cz/services/teitok/pdtc10/index.php?action=vallex&amp;frame=v-w1855f337_ZU", "mít (v-w1855f337_ZU) - substituted with v-w1855f345_MM")</f>
        <v>mít (v-w1855f337_ZU) - substituted with v-w1855f345_MM</v>
      </c>
    </row>
    <row r="14109" customFormat="false" ht="12.8" hidden="false" customHeight="false" outlineLevel="0" collapsed="false">
      <c r="B14109" s="0" t="s">
        <v>1</v>
      </c>
    </row>
    <row r="14110" customFormat="false" ht="12.8" hidden="false" customHeight="false" outlineLevel="0" collapsed="false">
      <c r="B14110" s="0" t="s">
        <v>228</v>
      </c>
    </row>
    <row r="14111" customFormat="false" ht="12.8" hidden="false" customHeight="false" outlineLevel="0" collapsed="false">
      <c r="B14111" s="0" t="s">
        <v>6508</v>
      </c>
    </row>
    <row r="14113" customFormat="false" ht="12.8" hidden="false" customHeight="false" outlineLevel="0" collapsed="false">
      <c r="A14113" s="0" t="s">
        <v>6507</v>
      </c>
      <c r="B14113" s="0" t="str">
        <f aca="false">HYPERLINK("https://lindat.mff.cuni.cz/services/teitok/pdtc10/index.php?action=vallex&amp;frame=v-w1855f338_ZU", "mít (v-w1855f338_ZU) - substituted with v-w1855f345_MM")</f>
        <v>mít (v-w1855f338_ZU) - substituted with v-w1855f345_MM</v>
      </c>
    </row>
    <row r="14114" customFormat="false" ht="12.8" hidden="false" customHeight="false" outlineLevel="0" collapsed="false">
      <c r="B14114" s="0" t="s">
        <v>1</v>
      </c>
    </row>
    <row r="14115" customFormat="false" ht="12.8" hidden="false" customHeight="false" outlineLevel="0" collapsed="false">
      <c r="B14115" s="0" t="s">
        <v>228</v>
      </c>
    </row>
    <row r="14116" customFormat="false" ht="12.8" hidden="false" customHeight="false" outlineLevel="0" collapsed="false">
      <c r="B14116" s="0" t="s">
        <v>6508</v>
      </c>
    </row>
    <row r="14118" customFormat="false" ht="12.8" hidden="false" customHeight="false" outlineLevel="0" collapsed="false">
      <c r="A14118" s="0" t="s">
        <v>6507</v>
      </c>
      <c r="B14118" s="0" t="str">
        <f aca="false">HYPERLINK("https://lindat.mff.cuni.cz/services/teitok/pdtc10/index.php?action=vallex&amp;frame=v-w1855f5", "mít (v-w1855f5) - substituted with v-w1855f345_MM")</f>
        <v>mít (v-w1855f5) - substituted with v-w1855f345_MM</v>
      </c>
    </row>
    <row r="14119" customFormat="false" ht="12.8" hidden="false" customHeight="false" outlineLevel="0" collapsed="false">
      <c r="B14119" s="0" t="s">
        <v>1</v>
      </c>
    </row>
    <row r="14120" customFormat="false" ht="12.8" hidden="false" customHeight="false" outlineLevel="0" collapsed="false">
      <c r="B14120" s="0" t="s">
        <v>228</v>
      </c>
    </row>
    <row r="14121" customFormat="false" ht="12.8" hidden="false" customHeight="false" outlineLevel="0" collapsed="false">
      <c r="B14121" s="0" t="s">
        <v>6508</v>
      </c>
    </row>
    <row r="14123" customFormat="false" ht="12.8" hidden="false" customHeight="false" outlineLevel="0" collapsed="false">
      <c r="A14123" s="0" t="s">
        <v>6509</v>
      </c>
      <c r="B14123" s="0" t="str">
        <f aca="false">HYPERLINK("https://lindat.mff.cuni.cz/services/teitok/pdtc10/index.php?action=vallex&amp;frame=v-w1855f286_ZU", "mít (v-w1855f286_ZU)")</f>
        <v>mít (v-w1855f286_ZU)</v>
      </c>
    </row>
    <row r="14124" customFormat="false" ht="12.8" hidden="false" customHeight="false" outlineLevel="0" collapsed="false">
      <c r="B14124" s="0" t="s">
        <v>1</v>
      </c>
    </row>
    <row r="14125" customFormat="false" ht="12.8" hidden="false" customHeight="false" outlineLevel="0" collapsed="false">
      <c r="B14125" s="0" t="s">
        <v>8</v>
      </c>
    </row>
    <row r="14126" customFormat="false" ht="12.8" hidden="false" customHeight="false" outlineLevel="0" collapsed="false">
      <c r="B14126" s="0" t="s">
        <v>6510</v>
      </c>
    </row>
    <row r="14127" customFormat="false" ht="12.8" hidden="false" customHeight="false" outlineLevel="0" collapsed="false">
      <c r="B14127" s="0" t="s">
        <v>648</v>
      </c>
    </row>
    <row r="14128" customFormat="false" ht="12.8" hidden="false" customHeight="false" outlineLevel="0" collapsed="false">
      <c r="B14128" s="0" t="s">
        <v>646</v>
      </c>
    </row>
    <row r="14129" customFormat="false" ht="12.8" hidden="false" customHeight="false" outlineLevel="0" collapsed="false">
      <c r="B14129" s="0" t="s">
        <v>642</v>
      </c>
    </row>
    <row r="14131" customFormat="false" ht="12.8" hidden="false" customHeight="false" outlineLevel="0" collapsed="false">
      <c r="A14131" s="0" t="s">
        <v>6509</v>
      </c>
      <c r="B14131" s="0" t="str">
        <f aca="false">HYPERLINK("https://lindat.mff.cuni.cz/services/teitok/pdtc10/index.php?action=vallex&amp;frame=v-w1855f24", "mít (v-w1855f24) - substituted with v-w1855f286_ZU")</f>
        <v>mít (v-w1855f24) - substituted with v-w1855f286_ZU</v>
      </c>
    </row>
    <row r="14132" customFormat="false" ht="12.8" hidden="false" customHeight="false" outlineLevel="0" collapsed="false">
      <c r="B14132" s="0" t="s">
        <v>1</v>
      </c>
    </row>
    <row r="14133" customFormat="false" ht="12.8" hidden="false" customHeight="false" outlineLevel="0" collapsed="false">
      <c r="B14133" s="0" t="s">
        <v>8</v>
      </c>
    </row>
    <row r="14134" customFormat="false" ht="12.8" hidden="false" customHeight="false" outlineLevel="0" collapsed="false">
      <c r="B14134" s="0" t="s">
        <v>6510</v>
      </c>
    </row>
    <row r="14135" customFormat="false" ht="12.8" hidden="false" customHeight="false" outlineLevel="0" collapsed="false">
      <c r="B14135" s="0" t="s">
        <v>648</v>
      </c>
    </row>
    <row r="14136" customFormat="false" ht="12.8" hidden="false" customHeight="false" outlineLevel="0" collapsed="false">
      <c r="B14136" s="0" t="s">
        <v>646</v>
      </c>
    </row>
    <row r="14137" customFormat="false" ht="12.8" hidden="false" customHeight="false" outlineLevel="0" collapsed="false">
      <c r="B14137" s="0" t="s">
        <v>642</v>
      </c>
    </row>
    <row r="14139" customFormat="false" ht="12.8" hidden="false" customHeight="false" outlineLevel="0" collapsed="false">
      <c r="A14139" s="0" t="s">
        <v>6509</v>
      </c>
      <c r="B14139" s="0" t="str">
        <f aca="false">HYPERLINK("https://lindat.mff.cuni.cz/services/teitok/pdtc10/index.php?action=vallex&amp;frame=v-w1855f240_ZU", "mít (v-w1855f240_ZU) - substituted with v-w1855f286_ZU")</f>
        <v>mít (v-w1855f240_ZU) - substituted with v-w1855f286_ZU</v>
      </c>
    </row>
    <row r="14140" customFormat="false" ht="12.8" hidden="false" customHeight="false" outlineLevel="0" collapsed="false">
      <c r="B14140" s="0" t="s">
        <v>1</v>
      </c>
    </row>
    <row r="14141" customFormat="false" ht="12.8" hidden="false" customHeight="false" outlineLevel="0" collapsed="false">
      <c r="B14141" s="0" t="s">
        <v>8</v>
      </c>
    </row>
    <row r="14142" customFormat="false" ht="12.8" hidden="false" customHeight="false" outlineLevel="0" collapsed="false">
      <c r="B14142" s="0" t="s">
        <v>6510</v>
      </c>
    </row>
    <row r="14143" customFormat="false" ht="12.8" hidden="false" customHeight="false" outlineLevel="0" collapsed="false">
      <c r="B14143" s="0" t="s">
        <v>648</v>
      </c>
    </row>
    <row r="14144" customFormat="false" ht="12.8" hidden="false" customHeight="false" outlineLevel="0" collapsed="false">
      <c r="B14144" s="0" t="s">
        <v>646</v>
      </c>
    </row>
    <row r="14145" customFormat="false" ht="12.8" hidden="false" customHeight="false" outlineLevel="0" collapsed="false">
      <c r="B14145" s="0" t="s">
        <v>642</v>
      </c>
    </row>
    <row r="14147" customFormat="false" ht="12.8" hidden="false" customHeight="false" outlineLevel="0" collapsed="false">
      <c r="A14147" s="0" t="s">
        <v>6509</v>
      </c>
      <c r="B14147" s="0" t="str">
        <f aca="false">HYPERLINK("https://lindat.mff.cuni.cz/services/teitok/pdtc10/index.php?action=vallex&amp;frame=v-w1855f260_ZU", "mít (v-w1855f260_ZU) - substituted with v-w1855f286_ZU")</f>
        <v>mít (v-w1855f260_ZU) - substituted with v-w1855f286_ZU</v>
      </c>
    </row>
    <row r="14148" customFormat="false" ht="12.8" hidden="false" customHeight="false" outlineLevel="0" collapsed="false">
      <c r="B14148" s="0" t="s">
        <v>1</v>
      </c>
    </row>
    <row r="14149" customFormat="false" ht="12.8" hidden="false" customHeight="false" outlineLevel="0" collapsed="false">
      <c r="B14149" s="0" t="s">
        <v>8</v>
      </c>
    </row>
    <row r="14150" customFormat="false" ht="12.8" hidden="false" customHeight="false" outlineLevel="0" collapsed="false">
      <c r="B14150" s="0" t="s">
        <v>6510</v>
      </c>
    </row>
    <row r="14151" customFormat="false" ht="12.8" hidden="false" customHeight="false" outlineLevel="0" collapsed="false">
      <c r="B14151" s="0" t="s">
        <v>648</v>
      </c>
    </row>
    <row r="14152" customFormat="false" ht="12.8" hidden="false" customHeight="false" outlineLevel="0" collapsed="false">
      <c r="B14152" s="0" t="s">
        <v>646</v>
      </c>
    </row>
    <row r="14153" customFormat="false" ht="12.8" hidden="false" customHeight="false" outlineLevel="0" collapsed="false">
      <c r="B14153" s="0" t="s">
        <v>642</v>
      </c>
    </row>
    <row r="14155" customFormat="false" ht="12.8" hidden="false" customHeight="false" outlineLevel="0" collapsed="false">
      <c r="A14155" s="0" t="s">
        <v>6511</v>
      </c>
      <c r="B14155" s="0" t="str">
        <f aca="false">HYPERLINK("https://lindat.mff.cuni.cz/services/teitok/pdtc10/index.php?action=vallex&amp;frame=v-w1855f9", "mít (v-w1855f9)")</f>
        <v>mít (v-w1855f9)</v>
      </c>
    </row>
    <row r="14156" customFormat="false" ht="12.8" hidden="false" customHeight="false" outlineLevel="0" collapsed="false">
      <c r="B14156" s="0" t="s">
        <v>1</v>
      </c>
    </row>
    <row r="14157" customFormat="false" ht="12.8" hidden="false" customHeight="false" outlineLevel="0" collapsed="false">
      <c r="B14157" s="0" t="s">
        <v>8</v>
      </c>
    </row>
    <row r="14158" customFormat="false" ht="12.8" hidden="false" customHeight="false" outlineLevel="0" collapsed="false">
      <c r="B14158" s="0" t="s">
        <v>5</v>
      </c>
    </row>
    <row r="14160" customFormat="false" ht="12.8" hidden="false" customHeight="false" outlineLevel="0" collapsed="false">
      <c r="A14160" s="0" t="s">
        <v>6512</v>
      </c>
      <c r="B14160" s="0" t="str">
        <f aca="false">HYPERLINK("https://lindat.mff.cuni.cz/services/teitok/pdtc10/index.php?action=vallex&amp;frame=v-w1855f311_ZU", "mít (v-w1855f311_ZU)")</f>
        <v>mít (v-w1855f311_ZU)</v>
      </c>
    </row>
    <row r="14161" customFormat="false" ht="12.8" hidden="false" customHeight="false" outlineLevel="0" collapsed="false">
      <c r="B14161" s="0" t="s">
        <v>1</v>
      </c>
    </row>
    <row r="14162" customFormat="false" ht="12.8" hidden="false" customHeight="false" outlineLevel="0" collapsed="false">
      <c r="B14162" s="0" t="s">
        <v>5032</v>
      </c>
    </row>
    <row r="14164" customFormat="false" ht="12.8" hidden="false" customHeight="false" outlineLevel="0" collapsed="false">
      <c r="A14164" s="0" t="s">
        <v>6512</v>
      </c>
      <c r="B14164" s="0" t="str">
        <f aca="false">HYPERLINK("https://lindat.mff.cuni.cz/services/teitok/pdtc10/index.php?action=vallex&amp;frame=v-w1855f1", "mít (v-w1855f1) - substituted with v-w1855f311_ZU")</f>
        <v>mít (v-w1855f1) - substituted with v-w1855f311_ZU</v>
      </c>
    </row>
    <row r="14165" customFormat="false" ht="12.8" hidden="false" customHeight="false" outlineLevel="0" collapsed="false">
      <c r="B14165" s="0" t="s">
        <v>1</v>
      </c>
    </row>
    <row r="14166" customFormat="false" ht="12.8" hidden="false" customHeight="false" outlineLevel="0" collapsed="false">
      <c r="B14166" s="0" t="s">
        <v>5032</v>
      </c>
    </row>
    <row r="14168" customFormat="false" ht="12.8" hidden="false" customHeight="false" outlineLevel="0" collapsed="false">
      <c r="A14168" s="0" t="s">
        <v>6512</v>
      </c>
      <c r="B14168" s="0" t="str">
        <f aca="false">HYPERLINK("https://lindat.mff.cuni.cz/services/teitok/pdtc10/index.php?action=vallex&amp;frame=v-w1855f166_ZU", "mít (v-w1855f166_ZU) - substituted with v-w1855f311_ZU")</f>
        <v>mít (v-w1855f166_ZU) - substituted with v-w1855f311_ZU</v>
      </c>
    </row>
    <row r="14169" customFormat="false" ht="12.8" hidden="false" customHeight="false" outlineLevel="0" collapsed="false">
      <c r="B14169" s="0" t="s">
        <v>1</v>
      </c>
    </row>
    <row r="14170" customFormat="false" ht="12.8" hidden="false" customHeight="false" outlineLevel="0" collapsed="false">
      <c r="B14170" s="0" t="s">
        <v>5032</v>
      </c>
    </row>
    <row r="14172" customFormat="false" ht="12.8" hidden="false" customHeight="false" outlineLevel="0" collapsed="false">
      <c r="A14172" s="0" t="s">
        <v>6512</v>
      </c>
      <c r="B14172" s="0" t="str">
        <f aca="false">HYPERLINK("https://lindat.mff.cuni.cz/services/teitok/pdtc10/index.php?action=vallex&amp;frame=v-w1855f170_ZU", "mít (v-w1855f170_ZU) - substituted with v-w1855f311_ZU")</f>
        <v>mít (v-w1855f170_ZU) - substituted with v-w1855f311_ZU</v>
      </c>
    </row>
    <row r="14173" customFormat="false" ht="12.8" hidden="false" customHeight="false" outlineLevel="0" collapsed="false">
      <c r="B14173" s="0" t="s">
        <v>1</v>
      </c>
    </row>
    <row r="14174" customFormat="false" ht="12.8" hidden="false" customHeight="false" outlineLevel="0" collapsed="false">
      <c r="B14174" s="0" t="s">
        <v>5032</v>
      </c>
    </row>
    <row r="14176" customFormat="false" ht="12.8" hidden="false" customHeight="false" outlineLevel="0" collapsed="false">
      <c r="A14176" s="0" t="s">
        <v>6512</v>
      </c>
      <c r="B14176" s="0" t="str">
        <f aca="false">HYPERLINK("https://lindat.mff.cuni.cz/services/teitok/pdtc10/index.php?action=vallex&amp;frame=v-w1855f190_ZU", "mít (v-w1855f190_ZU) - substituted with v-w1855f311_ZU")</f>
        <v>mít (v-w1855f190_ZU) - substituted with v-w1855f311_ZU</v>
      </c>
    </row>
    <row r="14177" customFormat="false" ht="12.8" hidden="false" customHeight="false" outlineLevel="0" collapsed="false">
      <c r="B14177" s="0" t="s">
        <v>1</v>
      </c>
    </row>
    <row r="14178" customFormat="false" ht="12.8" hidden="false" customHeight="false" outlineLevel="0" collapsed="false">
      <c r="B14178" s="0" t="s">
        <v>5032</v>
      </c>
    </row>
    <row r="14180" customFormat="false" ht="12.8" hidden="false" customHeight="false" outlineLevel="0" collapsed="false">
      <c r="A14180" s="0" t="s">
        <v>6512</v>
      </c>
      <c r="B14180" s="0" t="str">
        <f aca="false">HYPERLINK("https://lindat.mff.cuni.cz/services/teitok/pdtc10/index.php?action=vallex&amp;frame=v-w1855f251_ZU", "mít (v-w1855f251_ZU) - substituted with v-w1855f311_ZU")</f>
        <v>mít (v-w1855f251_ZU) - substituted with v-w1855f311_ZU</v>
      </c>
    </row>
    <row r="14181" customFormat="false" ht="12.8" hidden="false" customHeight="false" outlineLevel="0" collapsed="false">
      <c r="B14181" s="0" t="s">
        <v>1</v>
      </c>
    </row>
    <row r="14182" customFormat="false" ht="12.8" hidden="false" customHeight="false" outlineLevel="0" collapsed="false">
      <c r="B14182" s="0" t="s">
        <v>5032</v>
      </c>
    </row>
    <row r="14184" customFormat="false" ht="12.8" hidden="false" customHeight="false" outlineLevel="0" collapsed="false">
      <c r="A14184" s="0" t="s">
        <v>6512</v>
      </c>
      <c r="B14184" s="0" t="str">
        <f aca="false">HYPERLINK("https://lindat.mff.cuni.cz/services/teitok/pdtc10/index.php?action=vallex&amp;frame=v-w1855f263_ZU", "mít (v-w1855f263_ZU) - substituted with v-w1855f311_ZU")</f>
        <v>mít (v-w1855f263_ZU) - substituted with v-w1855f311_ZU</v>
      </c>
    </row>
    <row r="14185" customFormat="false" ht="12.8" hidden="false" customHeight="false" outlineLevel="0" collapsed="false">
      <c r="B14185" s="0" t="s">
        <v>1</v>
      </c>
    </row>
    <row r="14186" customFormat="false" ht="12.8" hidden="false" customHeight="false" outlineLevel="0" collapsed="false">
      <c r="B14186" s="0" t="s">
        <v>5032</v>
      </c>
    </row>
    <row r="14188" customFormat="false" ht="12.8" hidden="false" customHeight="false" outlineLevel="0" collapsed="false">
      <c r="A14188" s="0" t="s">
        <v>6512</v>
      </c>
      <c r="B14188" s="0" t="str">
        <f aca="false">HYPERLINK("https://lindat.mff.cuni.cz/services/teitok/pdtc10/index.php?action=vallex&amp;frame=v-w1855f268_ZU", "mít (v-w1855f268_ZU) - substituted with v-w1855f311_ZU")</f>
        <v>mít (v-w1855f268_ZU) - substituted with v-w1855f311_ZU</v>
      </c>
    </row>
    <row r="14189" customFormat="false" ht="12.8" hidden="false" customHeight="false" outlineLevel="0" collapsed="false">
      <c r="B14189" s="0" t="s">
        <v>1</v>
      </c>
    </row>
    <row r="14190" customFormat="false" ht="12.8" hidden="false" customHeight="false" outlineLevel="0" collapsed="false">
      <c r="B14190" s="0" t="s">
        <v>5032</v>
      </c>
    </row>
    <row r="14192" customFormat="false" ht="12.8" hidden="false" customHeight="false" outlineLevel="0" collapsed="false">
      <c r="A14192" s="0" t="s">
        <v>6512</v>
      </c>
      <c r="B14192" s="0" t="str">
        <f aca="false">HYPERLINK("https://lindat.mff.cuni.cz/services/teitok/pdtc10/index.php?action=vallex&amp;frame=v-w1855f279_ZU", "mít (v-w1855f279_ZU) - substituted with v-w1855f311_ZU")</f>
        <v>mít (v-w1855f279_ZU) - substituted with v-w1855f311_ZU</v>
      </c>
    </row>
    <row r="14193" customFormat="false" ht="12.8" hidden="false" customHeight="false" outlineLevel="0" collapsed="false">
      <c r="B14193" s="0" t="s">
        <v>1</v>
      </c>
    </row>
    <row r="14194" customFormat="false" ht="12.8" hidden="false" customHeight="false" outlineLevel="0" collapsed="false">
      <c r="B14194" s="0" t="s">
        <v>5032</v>
      </c>
    </row>
    <row r="14196" customFormat="false" ht="12.8" hidden="false" customHeight="false" outlineLevel="0" collapsed="false">
      <c r="A14196" s="0" t="s">
        <v>6512</v>
      </c>
      <c r="B14196" s="0" t="str">
        <f aca="false">HYPERLINK("https://lindat.mff.cuni.cz/services/teitok/pdtc10/index.php?action=vallex&amp;frame=v-w1855f280_ZU", "mít (v-w1855f280_ZU) - substituted with v-w1855f311_ZU")</f>
        <v>mít (v-w1855f280_ZU) - substituted with v-w1855f311_ZU</v>
      </c>
    </row>
    <row r="14197" customFormat="false" ht="12.8" hidden="false" customHeight="false" outlineLevel="0" collapsed="false">
      <c r="B14197" s="0" t="s">
        <v>1</v>
      </c>
    </row>
    <row r="14198" customFormat="false" ht="12.8" hidden="false" customHeight="false" outlineLevel="0" collapsed="false">
      <c r="B14198" s="0" t="s">
        <v>5032</v>
      </c>
    </row>
    <row r="14200" customFormat="false" ht="12.8" hidden="false" customHeight="false" outlineLevel="0" collapsed="false">
      <c r="A14200" s="0" t="s">
        <v>6513</v>
      </c>
      <c r="B14200" s="0" t="str">
        <f aca="false">HYPERLINK("https://lindat.mff.cuni.cz/services/teitok/pdtc10/index.php?action=vallex&amp;frame=v-w1855f329_ZU", "mít (v-w1855f329_ZU)")</f>
        <v>mít (v-w1855f329_ZU)</v>
      </c>
    </row>
    <row r="14201" customFormat="false" ht="12.8" hidden="false" customHeight="false" outlineLevel="0" collapsed="false">
      <c r="B14201" s="0" t="s">
        <v>1</v>
      </c>
    </row>
    <row r="14202" customFormat="false" ht="12.8" hidden="false" customHeight="false" outlineLevel="0" collapsed="false">
      <c r="B14202" s="0" t="s">
        <v>8</v>
      </c>
    </row>
    <row r="14204" customFormat="false" ht="12.8" hidden="false" customHeight="false" outlineLevel="0" collapsed="false">
      <c r="A14204" s="0" t="s">
        <v>6513</v>
      </c>
      <c r="B14204" s="0" t="str">
        <f aca="false">HYPERLINK("https://lindat.mff.cuni.cz/services/teitok/pdtc10/index.php?action=vallex&amp;frame=v-w1855f167_ZU", "mít (v-w1855f167_ZU) - substituted with v-w1855f329_ZU")</f>
        <v>mít (v-w1855f167_ZU) - substituted with v-w1855f329_ZU</v>
      </c>
    </row>
    <row r="14205" customFormat="false" ht="12.8" hidden="false" customHeight="false" outlineLevel="0" collapsed="false">
      <c r="B14205" s="0" t="s">
        <v>1</v>
      </c>
    </row>
    <row r="14206" customFormat="false" ht="12.8" hidden="false" customHeight="false" outlineLevel="0" collapsed="false">
      <c r="B14206" s="0" t="s">
        <v>8</v>
      </c>
    </row>
    <row r="14208" customFormat="false" ht="12.8" hidden="false" customHeight="false" outlineLevel="0" collapsed="false">
      <c r="A14208" s="0" t="s">
        <v>6513</v>
      </c>
      <c r="B14208" s="0" t="str">
        <f aca="false">HYPERLINK("https://lindat.mff.cuni.cz/services/teitok/pdtc10/index.php?action=vallex&amp;frame=v-w1855f168_ZU", "mít (v-w1855f168_ZU) - substituted with v-w1855f329_ZU")</f>
        <v>mít (v-w1855f168_ZU) - substituted with v-w1855f329_ZU</v>
      </c>
    </row>
    <row r="14209" customFormat="false" ht="12.8" hidden="false" customHeight="false" outlineLevel="0" collapsed="false">
      <c r="B14209" s="0" t="s">
        <v>1</v>
      </c>
    </row>
    <row r="14210" customFormat="false" ht="12.8" hidden="false" customHeight="false" outlineLevel="0" collapsed="false">
      <c r="B14210" s="0" t="s">
        <v>8</v>
      </c>
    </row>
    <row r="14212" customFormat="false" ht="12.8" hidden="false" customHeight="false" outlineLevel="0" collapsed="false">
      <c r="A14212" s="0" t="s">
        <v>6513</v>
      </c>
      <c r="B14212" s="0" t="str">
        <f aca="false">HYPERLINK("https://lindat.mff.cuni.cz/services/teitok/pdtc10/index.php?action=vallex&amp;frame=v-w1855f172_ZU", "mít (v-w1855f172_ZU) - substituted with v-w1855f329_ZU")</f>
        <v>mít (v-w1855f172_ZU) - substituted with v-w1855f329_ZU</v>
      </c>
    </row>
    <row r="14213" customFormat="false" ht="12.8" hidden="false" customHeight="false" outlineLevel="0" collapsed="false">
      <c r="B14213" s="0" t="s">
        <v>1</v>
      </c>
    </row>
    <row r="14214" customFormat="false" ht="12.8" hidden="false" customHeight="false" outlineLevel="0" collapsed="false">
      <c r="B14214" s="0" t="s">
        <v>8</v>
      </c>
    </row>
    <row r="14216" customFormat="false" ht="12.8" hidden="false" customHeight="false" outlineLevel="0" collapsed="false">
      <c r="A14216" s="0" t="s">
        <v>6513</v>
      </c>
      <c r="B14216" s="0" t="str">
        <f aca="false">HYPERLINK("https://lindat.mff.cuni.cz/services/teitok/pdtc10/index.php?action=vallex&amp;frame=v-w1855f195_ZU", "mít (v-w1855f195_ZU) - substituted with v-w1855f329_ZU")</f>
        <v>mít (v-w1855f195_ZU) - substituted with v-w1855f329_ZU</v>
      </c>
    </row>
    <row r="14217" customFormat="false" ht="12.8" hidden="false" customHeight="false" outlineLevel="0" collapsed="false">
      <c r="B14217" s="0" t="s">
        <v>1</v>
      </c>
    </row>
    <row r="14218" customFormat="false" ht="12.8" hidden="false" customHeight="false" outlineLevel="0" collapsed="false">
      <c r="B14218" s="0" t="s">
        <v>8</v>
      </c>
    </row>
    <row r="14220" customFormat="false" ht="12.8" hidden="false" customHeight="false" outlineLevel="0" collapsed="false">
      <c r="A14220" s="0" t="s">
        <v>6513</v>
      </c>
      <c r="B14220" s="0" t="str">
        <f aca="false">HYPERLINK("https://lindat.mff.cuni.cz/services/teitok/pdtc10/index.php?action=vallex&amp;frame=v-w1855f2", "mít (v-w1855f2) - substituted with v-w1855f329_ZU")</f>
        <v>mít (v-w1855f2) - substituted with v-w1855f329_ZU</v>
      </c>
    </row>
    <row r="14221" customFormat="false" ht="12.8" hidden="false" customHeight="false" outlineLevel="0" collapsed="false">
      <c r="B14221" s="0" t="s">
        <v>1</v>
      </c>
    </row>
    <row r="14222" customFormat="false" ht="12.8" hidden="false" customHeight="false" outlineLevel="0" collapsed="false">
      <c r="B14222" s="0" t="s">
        <v>8</v>
      </c>
    </row>
    <row r="14224" customFormat="false" ht="12.8" hidden="false" customHeight="false" outlineLevel="0" collapsed="false">
      <c r="A14224" s="0" t="s">
        <v>6513</v>
      </c>
      <c r="B14224" s="0" t="str">
        <f aca="false">HYPERLINK("https://lindat.mff.cuni.cz/services/teitok/pdtc10/index.php?action=vallex&amp;frame=v-w1855f264_ZU", "mít (v-w1855f264_ZU) - substituted with v-w1855f329_ZU")</f>
        <v>mít (v-w1855f264_ZU) - substituted with v-w1855f329_ZU</v>
      </c>
    </row>
    <row r="14225" customFormat="false" ht="12.8" hidden="false" customHeight="false" outlineLevel="0" collapsed="false">
      <c r="B14225" s="0" t="s">
        <v>1</v>
      </c>
    </row>
    <row r="14226" customFormat="false" ht="12.8" hidden="false" customHeight="false" outlineLevel="0" collapsed="false">
      <c r="B14226" s="0" t="s">
        <v>8</v>
      </c>
    </row>
    <row r="14228" customFormat="false" ht="12.8" hidden="false" customHeight="false" outlineLevel="0" collapsed="false">
      <c r="A14228" s="0" t="s">
        <v>6513</v>
      </c>
      <c r="B14228" s="0" t="str">
        <f aca="false">HYPERLINK("https://lindat.mff.cuni.cz/services/teitok/pdtc10/index.php?action=vallex&amp;frame=v-w1855f266_ZU", "mít (v-w1855f266_ZU) - substituted with v-w1855f329_ZU")</f>
        <v>mít (v-w1855f266_ZU) - substituted with v-w1855f329_ZU</v>
      </c>
    </row>
    <row r="14229" customFormat="false" ht="12.8" hidden="false" customHeight="false" outlineLevel="0" collapsed="false">
      <c r="B14229" s="0" t="s">
        <v>1</v>
      </c>
    </row>
    <row r="14230" customFormat="false" ht="12.8" hidden="false" customHeight="false" outlineLevel="0" collapsed="false">
      <c r="B14230" s="0" t="s">
        <v>8</v>
      </c>
    </row>
    <row r="14232" customFormat="false" ht="12.8" hidden="false" customHeight="false" outlineLevel="0" collapsed="false">
      <c r="A14232" s="0" t="s">
        <v>6513</v>
      </c>
      <c r="B14232" s="0" t="str">
        <f aca="false">HYPERLINK("https://lindat.mff.cuni.cz/services/teitok/pdtc10/index.php?action=vallex&amp;frame=v-w1855f276_ZU", "mít (v-w1855f276_ZU) - substituted with v-w1855f329_ZU")</f>
        <v>mít (v-w1855f276_ZU) - substituted with v-w1855f329_ZU</v>
      </c>
    </row>
    <row r="14233" customFormat="false" ht="12.8" hidden="false" customHeight="false" outlineLevel="0" collapsed="false">
      <c r="B14233" s="0" t="s">
        <v>1</v>
      </c>
    </row>
    <row r="14234" customFormat="false" ht="12.8" hidden="false" customHeight="false" outlineLevel="0" collapsed="false">
      <c r="B14234" s="0" t="s">
        <v>8</v>
      </c>
    </row>
    <row r="14236" customFormat="false" ht="12.8" hidden="false" customHeight="false" outlineLevel="0" collapsed="false">
      <c r="A14236" s="0" t="s">
        <v>6513</v>
      </c>
      <c r="B14236" s="0" t="str">
        <f aca="false">HYPERLINK("https://lindat.mff.cuni.cz/services/teitok/pdtc10/index.php?action=vallex&amp;frame=v-w1855f314_ZU", "mít (v-w1855f314_ZU) - substituted with v-w1855f329_ZU")</f>
        <v>mít (v-w1855f314_ZU) - substituted with v-w1855f329_ZU</v>
      </c>
    </row>
    <row r="14237" customFormat="false" ht="12.8" hidden="false" customHeight="false" outlineLevel="0" collapsed="false">
      <c r="B14237" s="0" t="s">
        <v>1</v>
      </c>
    </row>
    <row r="14238" customFormat="false" ht="12.8" hidden="false" customHeight="false" outlineLevel="0" collapsed="false">
      <c r="B14238" s="0" t="s">
        <v>8</v>
      </c>
    </row>
    <row r="14240" customFormat="false" ht="12.8" hidden="false" customHeight="false" outlineLevel="0" collapsed="false">
      <c r="A14240" s="0" t="s">
        <v>6514</v>
      </c>
      <c r="B14240" s="0" t="str">
        <f aca="false">HYPERLINK("https://lindat.mff.cuni.cz/services/teitok/pdtc10/index.php?action=vallex&amp;frame=v-w1855f27", "mít (v-w1855f27)")</f>
        <v>mít (v-w1855f27)</v>
      </c>
    </row>
    <row r="14241" customFormat="false" ht="12.8" hidden="false" customHeight="false" outlineLevel="0" collapsed="false">
      <c r="B14241" s="0" t="s">
        <v>1</v>
      </c>
    </row>
    <row r="14242" customFormat="false" ht="12.8" hidden="false" customHeight="false" outlineLevel="0" collapsed="false">
      <c r="B14242" s="0" t="s">
        <v>6515</v>
      </c>
    </row>
    <row r="14244" customFormat="false" ht="12.8" hidden="false" customHeight="false" outlineLevel="0" collapsed="false">
      <c r="A14244" s="0" t="s">
        <v>6516</v>
      </c>
      <c r="B14244" s="0" t="str">
        <f aca="false">HYPERLINK("https://lindat.mff.cuni.cz/services/teitok/pdtc10/index.php?action=vallex&amp;frame=v-w1855f19", "mít (v-w1855f19)")</f>
        <v>mít (v-w1855f19)</v>
      </c>
    </row>
    <row r="14245" customFormat="false" ht="12.8" hidden="false" customHeight="false" outlineLevel="0" collapsed="false">
      <c r="B14245" s="0" t="s">
        <v>1</v>
      </c>
    </row>
    <row r="14246" customFormat="false" ht="12.8" hidden="false" customHeight="false" outlineLevel="0" collapsed="false">
      <c r="B14246" s="0" t="s">
        <v>45</v>
      </c>
    </row>
    <row r="14248" customFormat="false" ht="12.8" hidden="false" customHeight="false" outlineLevel="0" collapsed="false">
      <c r="A14248" s="0" t="s">
        <v>6517</v>
      </c>
      <c r="B14248" s="0" t="str">
        <f aca="false">HYPERLINK("https://lindat.mff.cuni.cz/services/teitok/pdtc10/index.php?action=vallex&amp;frame=v-w1855f39", "mít (v-w1855f39)")</f>
        <v>mít (v-w1855f39)</v>
      </c>
    </row>
    <row r="14249" customFormat="false" ht="12.8" hidden="false" customHeight="false" outlineLevel="0" collapsed="false">
      <c r="B14249" s="0" t="s">
        <v>1</v>
      </c>
    </row>
    <row r="14250" customFormat="false" ht="12.8" hidden="false" customHeight="false" outlineLevel="0" collapsed="false">
      <c r="B14250" s="0" t="s">
        <v>45</v>
      </c>
    </row>
    <row r="14252" customFormat="false" ht="12.8" hidden="false" customHeight="false" outlineLevel="0" collapsed="false">
      <c r="A14252" s="0" t="s">
        <v>6518</v>
      </c>
      <c r="B14252" s="0" t="str">
        <f aca="false">HYPERLINK("https://lindat.mff.cuni.cz/services/teitok/pdtc10/index.php?action=vallex&amp;frame=v-w1855f305_ZU", "mít (v-w1855f305_ZU)")</f>
        <v>mít (v-w1855f305_ZU)</v>
      </c>
    </row>
    <row r="14253" customFormat="false" ht="12.8" hidden="false" customHeight="false" outlineLevel="0" collapsed="false">
      <c r="B14253" s="0" t="s">
        <v>1</v>
      </c>
    </row>
    <row r="14254" customFormat="false" ht="12.8" hidden="false" customHeight="false" outlineLevel="0" collapsed="false">
      <c r="B14254" s="0" t="s">
        <v>6519</v>
      </c>
    </row>
    <row r="14256" customFormat="false" ht="12.8" hidden="false" customHeight="false" outlineLevel="0" collapsed="false">
      <c r="A14256" s="0" t="s">
        <v>6518</v>
      </c>
      <c r="B14256" s="0" t="str">
        <f aca="false">HYPERLINK("https://lindat.mff.cuni.cz/services/teitok/pdtc10/index.php?action=vallex&amp;frame=v-w1855f261_ZU", "mít (v-w1855f261_ZU) - substituted with v-w1855f305_ZU")</f>
        <v>mít (v-w1855f261_ZU) - substituted with v-w1855f305_ZU</v>
      </c>
    </row>
    <row r="14257" customFormat="false" ht="12.8" hidden="false" customHeight="false" outlineLevel="0" collapsed="false">
      <c r="B14257" s="0" t="s">
        <v>1</v>
      </c>
    </row>
    <row r="14258" customFormat="false" ht="12.8" hidden="false" customHeight="false" outlineLevel="0" collapsed="false">
      <c r="B14258" s="0" t="s">
        <v>6519</v>
      </c>
    </row>
    <row r="14260" customFormat="false" ht="12.8" hidden="false" customHeight="false" outlineLevel="0" collapsed="false">
      <c r="A14260" s="0" t="s">
        <v>6518</v>
      </c>
      <c r="B14260" s="0" t="str">
        <f aca="false">HYPERLINK("https://lindat.mff.cuni.cz/services/teitok/pdtc10/index.php?action=vallex&amp;frame=v-w1855f75", "mít (v-w1855f75) - substituted with v-w1855f305_ZU")</f>
        <v>mít (v-w1855f75) - substituted with v-w1855f305_ZU</v>
      </c>
    </row>
    <row r="14261" customFormat="false" ht="12.8" hidden="false" customHeight="false" outlineLevel="0" collapsed="false">
      <c r="B14261" s="0" t="s">
        <v>1</v>
      </c>
    </row>
    <row r="14262" customFormat="false" ht="12.8" hidden="false" customHeight="false" outlineLevel="0" collapsed="false">
      <c r="B14262" s="0" t="s">
        <v>6519</v>
      </c>
    </row>
    <row r="14264" customFormat="false" ht="12.8" hidden="false" customHeight="false" outlineLevel="0" collapsed="false">
      <c r="A14264" s="0" t="s">
        <v>6520</v>
      </c>
      <c r="B14264" s="0" t="str">
        <f aca="false">HYPERLINK("https://lindat.mff.cuni.cz/services/teitok/pdtc10/index.php?action=vallex&amp;frame=v-w1855f315_ZU", "mít (v-w1855f315_ZU)")</f>
        <v>mít (v-w1855f315_ZU)</v>
      </c>
    </row>
    <row r="14265" customFormat="false" ht="12.8" hidden="false" customHeight="false" outlineLevel="0" collapsed="false">
      <c r="B14265" s="0" t="s">
        <v>1</v>
      </c>
    </row>
    <row r="14266" customFormat="false" ht="12.8" hidden="false" customHeight="false" outlineLevel="0" collapsed="false">
      <c r="B14266" s="0" t="s">
        <v>390</v>
      </c>
    </row>
    <row r="14267" customFormat="false" ht="12.8" hidden="false" customHeight="false" outlineLevel="0" collapsed="false">
      <c r="B14267" s="0" t="s">
        <v>164</v>
      </c>
    </row>
    <row r="14268" customFormat="false" ht="12.8" hidden="false" customHeight="false" outlineLevel="0" collapsed="false">
      <c r="B14268" s="0" t="s">
        <v>865</v>
      </c>
    </row>
    <row r="14270" customFormat="false" ht="12.8" hidden="false" customHeight="false" outlineLevel="0" collapsed="false">
      <c r="A14270" s="0" t="s">
        <v>6520</v>
      </c>
      <c r="B14270" s="0" t="str">
        <f aca="false">HYPERLINK("https://lindat.mff.cuni.cz/services/teitok/pdtc10/index.php?action=vallex&amp;frame=v-w1855f25", "mít (v-w1855f25) - substituted with v-w1855f315_ZU")</f>
        <v>mít (v-w1855f25) - substituted with v-w1855f315_ZU</v>
      </c>
    </row>
    <row r="14271" customFormat="false" ht="12.8" hidden="false" customHeight="false" outlineLevel="0" collapsed="false">
      <c r="B14271" s="0" t="s">
        <v>1</v>
      </c>
    </row>
    <row r="14272" customFormat="false" ht="12.8" hidden="false" customHeight="false" outlineLevel="0" collapsed="false">
      <c r="B14272" s="0" t="s">
        <v>390</v>
      </c>
    </row>
    <row r="14273" customFormat="false" ht="12.8" hidden="false" customHeight="false" outlineLevel="0" collapsed="false">
      <c r="B14273" s="0" t="s">
        <v>164</v>
      </c>
    </row>
    <row r="14274" customFormat="false" ht="12.8" hidden="false" customHeight="false" outlineLevel="0" collapsed="false">
      <c r="B14274" s="0" t="s">
        <v>865</v>
      </c>
    </row>
    <row r="14276" customFormat="false" ht="12.8" hidden="false" customHeight="false" outlineLevel="0" collapsed="false">
      <c r="A14276" s="0" t="s">
        <v>6520</v>
      </c>
      <c r="B14276" s="0" t="str">
        <f aca="false">HYPERLINK("https://lindat.mff.cuni.cz/services/teitok/pdtc10/index.php?action=vallex&amp;frame=v-w1855f285_ZU", "mít (v-w1855f285_ZU) - substituted with v-w1855f315_ZU")</f>
        <v>mít (v-w1855f285_ZU) - substituted with v-w1855f315_ZU</v>
      </c>
    </row>
    <row r="14277" customFormat="false" ht="12.8" hidden="false" customHeight="false" outlineLevel="0" collapsed="false">
      <c r="B14277" s="0" t="s">
        <v>1</v>
      </c>
    </row>
    <row r="14278" customFormat="false" ht="12.8" hidden="false" customHeight="false" outlineLevel="0" collapsed="false">
      <c r="B14278" s="0" t="s">
        <v>390</v>
      </c>
    </row>
    <row r="14279" customFormat="false" ht="12.8" hidden="false" customHeight="false" outlineLevel="0" collapsed="false">
      <c r="B14279" s="0" t="s">
        <v>164</v>
      </c>
    </row>
    <row r="14280" customFormat="false" ht="12.8" hidden="false" customHeight="false" outlineLevel="0" collapsed="false">
      <c r="B14280" s="0" t="s">
        <v>865</v>
      </c>
    </row>
    <row r="14282" customFormat="false" ht="12.8" hidden="false" customHeight="false" outlineLevel="0" collapsed="false">
      <c r="A14282" s="0" t="s">
        <v>6520</v>
      </c>
      <c r="B14282" s="0" t="str">
        <f aca="false">HYPERLINK("https://lindat.mff.cuni.cz/services/teitok/pdtc10/index.php?action=vallex&amp;frame=v-w1855f287_ZU", "mít (v-w1855f287_ZU) - substituted with v-w1855f315_ZU")</f>
        <v>mít (v-w1855f287_ZU) - substituted with v-w1855f315_ZU</v>
      </c>
    </row>
    <row r="14283" customFormat="false" ht="12.8" hidden="false" customHeight="false" outlineLevel="0" collapsed="false">
      <c r="B14283" s="0" t="s">
        <v>1</v>
      </c>
    </row>
    <row r="14284" customFormat="false" ht="12.8" hidden="false" customHeight="false" outlineLevel="0" collapsed="false">
      <c r="B14284" s="0" t="s">
        <v>390</v>
      </c>
    </row>
    <row r="14285" customFormat="false" ht="12.8" hidden="false" customHeight="false" outlineLevel="0" collapsed="false">
      <c r="B14285" s="0" t="s">
        <v>164</v>
      </c>
    </row>
    <row r="14286" customFormat="false" ht="12.8" hidden="false" customHeight="false" outlineLevel="0" collapsed="false">
      <c r="B14286" s="0" t="s">
        <v>865</v>
      </c>
    </row>
    <row r="14288" customFormat="false" ht="12.8" hidden="false" customHeight="false" outlineLevel="0" collapsed="false">
      <c r="A14288" s="0" t="s">
        <v>6521</v>
      </c>
      <c r="B14288" s="0" t="str">
        <f aca="false">HYPERLINK("https://lindat.mff.cuni.cz/services/teitok/pdtc10/index.php?action=vallex&amp;frame=v-w1855f53", "mít (v-w1855f53)")</f>
        <v>mít (v-w1855f53)</v>
      </c>
    </row>
    <row r="14289" customFormat="false" ht="12.8" hidden="false" customHeight="false" outlineLevel="0" collapsed="false">
      <c r="B14289" s="0" t="s">
        <v>1</v>
      </c>
    </row>
    <row r="14290" customFormat="false" ht="12.8" hidden="false" customHeight="false" outlineLevel="0" collapsed="false">
      <c r="B14290" s="0" t="s">
        <v>865</v>
      </c>
    </row>
    <row r="14292" customFormat="false" ht="12.8" hidden="false" customHeight="false" outlineLevel="0" collapsed="false">
      <c r="A14292" s="0" t="s">
        <v>6522</v>
      </c>
      <c r="B14292" s="0" t="str">
        <f aca="false">HYPERLINK("https://lindat.mff.cuni.cz/services/teitok/pdtc10/index.php?action=vallex&amp;frame=v-w1855f163_ZU", "mít (v-w1855f163_ZU)")</f>
        <v>mít (v-w1855f163_ZU)</v>
      </c>
    </row>
    <row r="14293" customFormat="false" ht="12.8" hidden="false" customHeight="false" outlineLevel="0" collapsed="false">
      <c r="B14293" s="0" t="s">
        <v>1</v>
      </c>
    </row>
    <row r="14294" customFormat="false" ht="12.8" hidden="false" customHeight="false" outlineLevel="0" collapsed="false">
      <c r="B14294" s="0" t="s">
        <v>6523</v>
      </c>
    </row>
    <row r="14295" customFormat="false" ht="12.8" hidden="false" customHeight="false" outlineLevel="0" collapsed="false">
      <c r="B14295" s="0" t="s">
        <v>602</v>
      </c>
    </row>
    <row r="14297" customFormat="false" ht="12.8" hidden="false" customHeight="false" outlineLevel="0" collapsed="false">
      <c r="A14297" s="0" t="s">
        <v>6522</v>
      </c>
      <c r="B14297" s="0" t="str">
        <f aca="false">HYPERLINK("https://lindat.mff.cuni.cz/services/teitok/pdtc10/index.php?action=vallex&amp;frame=v-w1855f117_ZU", "mít (v-w1855f117_ZU) - substituted with v-w1855f163_ZU")</f>
        <v>mít (v-w1855f117_ZU) - substituted with v-w1855f163_ZU</v>
      </c>
    </row>
    <row r="14298" customFormat="false" ht="12.8" hidden="false" customHeight="false" outlineLevel="0" collapsed="false">
      <c r="B14298" s="0" t="s">
        <v>1</v>
      </c>
    </row>
    <row r="14299" customFormat="false" ht="12.8" hidden="false" customHeight="false" outlineLevel="0" collapsed="false">
      <c r="B14299" s="0" t="s">
        <v>6523</v>
      </c>
    </row>
    <row r="14300" customFormat="false" ht="12.8" hidden="false" customHeight="false" outlineLevel="0" collapsed="false">
      <c r="B14300" s="0" t="s">
        <v>602</v>
      </c>
    </row>
    <row r="14302" customFormat="false" ht="12.8" hidden="false" customHeight="false" outlineLevel="0" collapsed="false">
      <c r="A14302" s="0" t="s">
        <v>6522</v>
      </c>
      <c r="B14302" s="0" t="str">
        <f aca="false">HYPERLINK("https://lindat.mff.cuni.cz/services/teitok/pdtc10/index.php?action=vallex&amp;frame=v-w1855f118_ZU", "mít (v-w1855f118_ZU) - substituted with v-w1855f163_ZU")</f>
        <v>mít (v-w1855f118_ZU) - substituted with v-w1855f163_ZU</v>
      </c>
    </row>
    <row r="14303" customFormat="false" ht="12.8" hidden="false" customHeight="false" outlineLevel="0" collapsed="false">
      <c r="B14303" s="0" t="s">
        <v>1</v>
      </c>
    </row>
    <row r="14304" customFormat="false" ht="12.8" hidden="false" customHeight="false" outlineLevel="0" collapsed="false">
      <c r="B14304" s="0" t="s">
        <v>6523</v>
      </c>
    </row>
    <row r="14305" customFormat="false" ht="12.8" hidden="false" customHeight="false" outlineLevel="0" collapsed="false">
      <c r="B14305" s="0" t="s">
        <v>602</v>
      </c>
    </row>
    <row r="14307" customFormat="false" ht="12.8" hidden="false" customHeight="false" outlineLevel="0" collapsed="false">
      <c r="A14307" s="0" t="s">
        <v>6524</v>
      </c>
      <c r="B14307" s="0" t="str">
        <f aca="false">HYPERLINK("https://lindat.mff.cuni.cz/services/teitok/pdtc10/index.php?action=vallex&amp;frame=v-w1855f296_ZU", "mít (v-w1855f296_ZU)")</f>
        <v>mít (v-w1855f296_ZU)</v>
      </c>
    </row>
    <row r="14308" customFormat="false" ht="12.8" hidden="false" customHeight="false" outlineLevel="0" collapsed="false">
      <c r="B14308" s="0" t="s">
        <v>1</v>
      </c>
    </row>
    <row r="14309" customFormat="false" ht="12.8" hidden="false" customHeight="false" outlineLevel="0" collapsed="false">
      <c r="B14309" s="0" t="s">
        <v>6525</v>
      </c>
    </row>
    <row r="14310" customFormat="false" ht="12.8" hidden="false" customHeight="false" outlineLevel="0" collapsed="false">
      <c r="B14310" s="0" t="s">
        <v>5</v>
      </c>
    </row>
    <row r="14312" customFormat="false" ht="12.8" hidden="false" customHeight="false" outlineLevel="0" collapsed="false">
      <c r="A14312" s="0" t="s">
        <v>6524</v>
      </c>
      <c r="B14312" s="0" t="str">
        <f aca="false">HYPERLINK("https://lindat.mff.cuni.cz/services/teitok/pdtc10/index.php?action=vallex&amp;frame=v-w1855f238_ZU", "mít (v-w1855f238_ZU) - substituted with v-w1855f296_ZU")</f>
        <v>mít (v-w1855f238_ZU) - substituted with v-w1855f296_ZU</v>
      </c>
    </row>
    <row r="14313" customFormat="false" ht="12.8" hidden="false" customHeight="false" outlineLevel="0" collapsed="false">
      <c r="B14313" s="0" t="s">
        <v>1</v>
      </c>
    </row>
    <row r="14314" customFormat="false" ht="12.8" hidden="false" customHeight="false" outlineLevel="0" collapsed="false">
      <c r="B14314" s="0" t="s">
        <v>6525</v>
      </c>
    </row>
    <row r="14315" customFormat="false" ht="12.8" hidden="false" customHeight="false" outlineLevel="0" collapsed="false">
      <c r="B14315" s="0" t="s">
        <v>5</v>
      </c>
    </row>
    <row r="14317" customFormat="false" ht="12.8" hidden="false" customHeight="false" outlineLevel="0" collapsed="false">
      <c r="A14317" s="0" t="s">
        <v>6524</v>
      </c>
      <c r="B14317" s="0" t="str">
        <f aca="false">HYPERLINK("https://lindat.mff.cuni.cz/services/teitok/pdtc10/index.php?action=vallex&amp;frame=v-w1855f40", "mít (v-w1855f40) - substituted with v-w1855f296_ZU")</f>
        <v>mít (v-w1855f40) - substituted with v-w1855f296_ZU</v>
      </c>
    </row>
    <row r="14318" customFormat="false" ht="12.8" hidden="false" customHeight="false" outlineLevel="0" collapsed="false">
      <c r="B14318" s="0" t="s">
        <v>1</v>
      </c>
    </row>
    <row r="14319" customFormat="false" ht="12.8" hidden="false" customHeight="false" outlineLevel="0" collapsed="false">
      <c r="B14319" s="0" t="s">
        <v>6525</v>
      </c>
    </row>
    <row r="14320" customFormat="false" ht="12.8" hidden="false" customHeight="false" outlineLevel="0" collapsed="false">
      <c r="B14320" s="0" t="s">
        <v>5</v>
      </c>
    </row>
    <row r="14322" customFormat="false" ht="12.8" hidden="false" customHeight="false" outlineLevel="0" collapsed="false">
      <c r="A14322" s="0" t="s">
        <v>6526</v>
      </c>
      <c r="B14322" s="0" t="str">
        <f aca="false">HYPERLINK("https://lindat.mff.cuni.cz/services/teitok/pdtc10/index.php?action=vallex&amp;frame=v-w1855f14", "mít (v-w1855f14)")</f>
        <v>mít (v-w1855f14)</v>
      </c>
    </row>
    <row r="14323" customFormat="false" ht="12.8" hidden="false" customHeight="false" outlineLevel="0" collapsed="false">
      <c r="B14323" s="0" t="s">
        <v>6527</v>
      </c>
    </row>
    <row r="14324" customFormat="false" ht="12.8" hidden="false" customHeight="false" outlineLevel="0" collapsed="false">
      <c r="B14324" s="0" t="s">
        <v>6528</v>
      </c>
    </row>
    <row r="14326" customFormat="false" ht="12.8" hidden="false" customHeight="false" outlineLevel="0" collapsed="false">
      <c r="A14326" s="0" t="s">
        <v>6529</v>
      </c>
      <c r="B14326" s="0" t="str">
        <f aca="false">HYPERLINK("https://lindat.mff.cuni.cz/services/teitok/pdtc10/index.php?action=vallex&amp;frame=v-w1855f26", "mít (v-w1855f26)")</f>
        <v>mít (v-w1855f26)</v>
      </c>
    </row>
    <row r="14327" customFormat="false" ht="12.8" hidden="false" customHeight="false" outlineLevel="0" collapsed="false">
      <c r="B14327" s="0" t="s">
        <v>345</v>
      </c>
    </row>
    <row r="14328" customFormat="false" ht="12.8" hidden="false" customHeight="false" outlineLevel="0" collapsed="false">
      <c r="B14328" s="0" t="s">
        <v>6530</v>
      </c>
    </row>
    <row r="14330" customFormat="false" ht="12.8" hidden="false" customHeight="false" outlineLevel="0" collapsed="false">
      <c r="A14330" s="0" t="s">
        <v>6531</v>
      </c>
      <c r="B14330" s="0" t="str">
        <f aca="false">HYPERLINK("https://lindat.mff.cuni.cz/services/teitok/pdtc10/index.php?action=vallex&amp;frame=v-w1855f54", "mít (v-w1855f54)")</f>
        <v>mít (v-w1855f54)</v>
      </c>
    </row>
    <row r="14331" customFormat="false" ht="12.8" hidden="false" customHeight="false" outlineLevel="0" collapsed="false">
      <c r="B14331" s="0" t="s">
        <v>1</v>
      </c>
    </row>
    <row r="14332" customFormat="false" ht="12.8" hidden="false" customHeight="false" outlineLevel="0" collapsed="false">
      <c r="B14332" s="0" t="s">
        <v>6532</v>
      </c>
    </row>
    <row r="14334" customFormat="false" ht="12.8" hidden="false" customHeight="false" outlineLevel="0" collapsed="false">
      <c r="A14334" s="0" t="s">
        <v>6533</v>
      </c>
      <c r="B14334" s="0" t="str">
        <f aca="false">HYPERLINK("https://lindat.mff.cuni.cz/services/teitok/pdtc10/index.php?action=vallex&amp;frame=v-w1855f262_ZU", "mít (v-w1855f262_ZU)")</f>
        <v>mít (v-w1855f262_ZU)</v>
      </c>
    </row>
    <row r="14335" customFormat="false" ht="12.8" hidden="false" customHeight="false" outlineLevel="0" collapsed="false">
      <c r="B14335" s="0" t="s">
        <v>1</v>
      </c>
    </row>
    <row r="14336" customFormat="false" ht="12.8" hidden="false" customHeight="false" outlineLevel="0" collapsed="false">
      <c r="B14336" s="0" t="s">
        <v>6534</v>
      </c>
    </row>
    <row r="14338" customFormat="false" ht="12.8" hidden="false" customHeight="false" outlineLevel="0" collapsed="false">
      <c r="A14338" s="0" t="s">
        <v>6533</v>
      </c>
      <c r="B14338" s="0" t="str">
        <f aca="false">HYPERLINK("https://lindat.mff.cuni.cz/services/teitok/pdtc10/index.php?action=vallex&amp;frame=v-w1855f13", "mít (v-w1855f13) - substituted with v-w1855f262_ZU")</f>
        <v>mít (v-w1855f13) - substituted with v-w1855f262_ZU</v>
      </c>
    </row>
    <row r="14339" customFormat="false" ht="12.8" hidden="false" customHeight="false" outlineLevel="0" collapsed="false">
      <c r="B14339" s="0" t="s">
        <v>1</v>
      </c>
    </row>
    <row r="14340" customFormat="false" ht="12.8" hidden="false" customHeight="false" outlineLevel="0" collapsed="false">
      <c r="B14340" s="0" t="s">
        <v>6534</v>
      </c>
    </row>
    <row r="14342" customFormat="false" ht="12.8" hidden="false" customHeight="false" outlineLevel="0" collapsed="false">
      <c r="A14342" s="0" t="s">
        <v>6533</v>
      </c>
      <c r="B14342" s="0" t="str">
        <f aca="false">HYPERLINK("https://lindat.mff.cuni.cz/services/teitok/pdtc10/index.php?action=vallex&amp;frame=v-w1855f191_ZU", "mít (v-w1855f191_ZU) - substituted with v-w1855f262_ZU")</f>
        <v>mít (v-w1855f191_ZU) - substituted with v-w1855f262_ZU</v>
      </c>
    </row>
    <row r="14343" customFormat="false" ht="12.8" hidden="false" customHeight="false" outlineLevel="0" collapsed="false">
      <c r="B14343" s="0" t="s">
        <v>1</v>
      </c>
    </row>
    <row r="14344" customFormat="false" ht="12.8" hidden="false" customHeight="false" outlineLevel="0" collapsed="false">
      <c r="B14344" s="0" t="s">
        <v>6534</v>
      </c>
    </row>
    <row r="14346" customFormat="false" ht="12.8" hidden="false" customHeight="false" outlineLevel="0" collapsed="false">
      <c r="A14346" s="0" t="s">
        <v>6533</v>
      </c>
      <c r="B14346" s="0" t="str">
        <f aca="false">HYPERLINK("https://lindat.mff.cuni.cz/services/teitok/pdtc10/index.php?action=vallex&amp;frame=v-w1855hsa_1118", "mít (v-w1855hsa_1118) - substituted with v-w1855f262_ZU")</f>
        <v>mít (v-w1855hsa_1118) - substituted with v-w1855f262_ZU</v>
      </c>
    </row>
    <row r="14347" customFormat="false" ht="12.8" hidden="false" customHeight="false" outlineLevel="0" collapsed="false">
      <c r="B14347" s="0" t="s">
        <v>1</v>
      </c>
    </row>
    <row r="14348" customFormat="false" ht="12.8" hidden="false" customHeight="false" outlineLevel="0" collapsed="false">
      <c r="B14348" s="0" t="s">
        <v>6534</v>
      </c>
    </row>
    <row r="14350" customFormat="false" ht="12.8" hidden="false" customHeight="false" outlineLevel="0" collapsed="false">
      <c r="A14350" s="0" t="s">
        <v>6535</v>
      </c>
      <c r="B14350" s="0" t="str">
        <f aca="false">HYPERLINK("https://lindat.mff.cuni.cz/services/teitok/pdtc10/index.php?action=vallex&amp;frame=v-w1855f214_ZU", "mít (v-w1855f214_ZU)")</f>
        <v>mít (v-w1855f214_ZU)</v>
      </c>
    </row>
    <row r="14351" customFormat="false" ht="12.8" hidden="false" customHeight="false" outlineLevel="0" collapsed="false">
      <c r="B14351" s="0" t="s">
        <v>1</v>
      </c>
    </row>
    <row r="14352" customFormat="false" ht="12.8" hidden="false" customHeight="false" outlineLevel="0" collapsed="false">
      <c r="B14352" s="0" t="s">
        <v>6536</v>
      </c>
    </row>
    <row r="14354" customFormat="false" ht="12.8" hidden="false" customHeight="false" outlineLevel="0" collapsed="false">
      <c r="A14354" s="0" t="s">
        <v>6535</v>
      </c>
      <c r="B14354" s="0" t="str">
        <f aca="false">HYPERLINK("https://lindat.mff.cuni.cz/services/teitok/pdtc10/index.php?action=vallex&amp;frame=v-w1855f20", "mít (v-w1855f20) - substituted with v-w1855f214_ZU")</f>
        <v>mít (v-w1855f20) - substituted with v-w1855f214_ZU</v>
      </c>
    </row>
    <row r="14355" customFormat="false" ht="12.8" hidden="false" customHeight="false" outlineLevel="0" collapsed="false">
      <c r="B14355" s="0" t="s">
        <v>1</v>
      </c>
    </row>
    <row r="14356" customFormat="false" ht="12.8" hidden="false" customHeight="false" outlineLevel="0" collapsed="false">
      <c r="B14356" s="0" t="s">
        <v>6536</v>
      </c>
    </row>
    <row r="14358" customFormat="false" ht="12.8" hidden="false" customHeight="false" outlineLevel="0" collapsed="false">
      <c r="A14358" s="0" t="s">
        <v>6535</v>
      </c>
      <c r="B14358" s="0" t="str">
        <f aca="false">HYPERLINK("https://lindat.mff.cuni.cz/services/teitok/pdtc10/index.php?action=vallex&amp;frame=v-w1855f205_ZU", "mít (v-w1855f205_ZU) - substituted with v-w1855f214_ZU")</f>
        <v>mít (v-w1855f205_ZU) - substituted with v-w1855f214_ZU</v>
      </c>
    </row>
    <row r="14359" customFormat="false" ht="12.8" hidden="false" customHeight="false" outlineLevel="0" collapsed="false">
      <c r="B14359" s="0" t="s">
        <v>1</v>
      </c>
    </row>
    <row r="14360" customFormat="false" ht="12.8" hidden="false" customHeight="false" outlineLevel="0" collapsed="false">
      <c r="B14360" s="0" t="s">
        <v>6536</v>
      </c>
    </row>
    <row r="14362" customFormat="false" ht="12.8" hidden="false" customHeight="false" outlineLevel="0" collapsed="false">
      <c r="A14362" s="0" t="s">
        <v>6535</v>
      </c>
      <c r="B14362" s="0" t="str">
        <f aca="false">HYPERLINK("https://lindat.mff.cuni.cz/services/teitok/pdtc10/index.php?action=vallex&amp;frame=v-w1855hsa_1114", "mít (v-w1855hsa_1114) - substituted with v-w1855f214_ZU")</f>
        <v>mít (v-w1855hsa_1114) - substituted with v-w1855f214_ZU</v>
      </c>
    </row>
    <row r="14363" customFormat="false" ht="12.8" hidden="false" customHeight="false" outlineLevel="0" collapsed="false">
      <c r="B14363" s="0" t="s">
        <v>1</v>
      </c>
    </row>
    <row r="14364" customFormat="false" ht="12.8" hidden="false" customHeight="false" outlineLevel="0" collapsed="false">
      <c r="B14364" s="0" t="s">
        <v>6536</v>
      </c>
    </row>
    <row r="14366" customFormat="false" ht="12.8" hidden="false" customHeight="false" outlineLevel="0" collapsed="false">
      <c r="A14366" s="0" t="s">
        <v>6535</v>
      </c>
      <c r="B14366" s="0" t="str">
        <f aca="false">HYPERLINK("https://lindat.mff.cuni.cz/services/teitok/pdtc10/index.php?action=vallex&amp;frame=v-w1855hsa_1124", "mít (v-w1855hsa_1124) - substituted with v-w1855f214_ZU")</f>
        <v>mít (v-w1855hsa_1124) - substituted with v-w1855f214_ZU</v>
      </c>
    </row>
    <row r="14367" customFormat="false" ht="12.8" hidden="false" customHeight="false" outlineLevel="0" collapsed="false">
      <c r="B14367" s="0" t="s">
        <v>1</v>
      </c>
    </row>
    <row r="14368" customFormat="false" ht="12.8" hidden="false" customHeight="false" outlineLevel="0" collapsed="false">
      <c r="B14368" s="0" t="s">
        <v>6536</v>
      </c>
    </row>
    <row r="14370" customFormat="false" ht="12.8" hidden="false" customHeight="false" outlineLevel="0" collapsed="false">
      <c r="A14370" s="0" t="s">
        <v>6537</v>
      </c>
      <c r="B14370" s="0" t="str">
        <f aca="false">HYPERLINK("https://lindat.mff.cuni.cz/services/teitok/pdtc10/index.php?action=vallex&amp;frame=v-w1855f35", "mít (v-w1855f35)")</f>
        <v>mít (v-w1855f35)</v>
      </c>
    </row>
    <row r="14371" customFormat="false" ht="12.8" hidden="false" customHeight="false" outlineLevel="0" collapsed="false">
      <c r="B14371" s="0" t="s">
        <v>1</v>
      </c>
    </row>
    <row r="14372" customFormat="false" ht="12.8" hidden="false" customHeight="false" outlineLevel="0" collapsed="false">
      <c r="B14372" s="0" t="s">
        <v>6538</v>
      </c>
    </row>
    <row r="14374" customFormat="false" ht="12.8" hidden="false" customHeight="false" outlineLevel="0" collapsed="false">
      <c r="A14374" s="0" t="s">
        <v>6539</v>
      </c>
      <c r="B14374" s="0" t="str">
        <f aca="false">HYPERLINK("https://lindat.mff.cuni.cz/services/teitok/pdtc10/index.php?action=vallex&amp;frame=v-w1855f349_MM", "mít (v-w1855f349_MM)")</f>
        <v>mít (v-w1855f349_MM)</v>
      </c>
    </row>
    <row r="14375" customFormat="false" ht="12.8" hidden="false" customHeight="false" outlineLevel="0" collapsed="false">
      <c r="B14375" s="0" t="s">
        <v>1</v>
      </c>
    </row>
    <row r="14376" customFormat="false" ht="12.8" hidden="false" customHeight="false" outlineLevel="0" collapsed="false">
      <c r="B14376" s="0" t="s">
        <v>6540</v>
      </c>
    </row>
    <row r="14378" customFormat="false" ht="12.8" hidden="false" customHeight="false" outlineLevel="0" collapsed="false">
      <c r="A14378" s="0" t="s">
        <v>6539</v>
      </c>
      <c r="B14378" s="0" t="str">
        <f aca="false">HYPERLINK("https://lindat.mff.cuni.cz/services/teitok/pdtc10/index.php?action=vallex&amp;frame=v-w1855f336_ZU", "mít (v-w1855f336_ZU) - substituted with v-w1855f349_MM")</f>
        <v>mít (v-w1855f336_ZU) - substituted with v-w1855f349_MM</v>
      </c>
    </row>
    <row r="14379" customFormat="false" ht="12.8" hidden="false" customHeight="false" outlineLevel="0" collapsed="false">
      <c r="B14379" s="0" t="s">
        <v>1</v>
      </c>
    </row>
    <row r="14380" customFormat="false" ht="12.8" hidden="false" customHeight="false" outlineLevel="0" collapsed="false">
      <c r="B14380" s="0" t="s">
        <v>6540</v>
      </c>
    </row>
    <row r="14382" customFormat="false" ht="12.8" hidden="false" customHeight="false" outlineLevel="0" collapsed="false">
      <c r="A14382" s="0" t="s">
        <v>6539</v>
      </c>
      <c r="B14382" s="0" t="str">
        <f aca="false">HYPERLINK("https://lindat.mff.cuni.cz/services/teitok/pdtc10/index.php?action=vallex&amp;frame=v-w1855f34", "mít (v-w1855f34) - substituted with v-w1855f349_MM")</f>
        <v>mít (v-w1855f34) - substituted with v-w1855f349_MM</v>
      </c>
    </row>
    <row r="14383" customFormat="false" ht="12.8" hidden="false" customHeight="false" outlineLevel="0" collapsed="false">
      <c r="B14383" s="0" t="s">
        <v>1</v>
      </c>
    </row>
    <row r="14384" customFormat="false" ht="12.8" hidden="false" customHeight="false" outlineLevel="0" collapsed="false">
      <c r="B14384" s="0" t="s">
        <v>6540</v>
      </c>
    </row>
    <row r="14386" customFormat="false" ht="12.8" hidden="false" customHeight="false" outlineLevel="0" collapsed="false">
      <c r="A14386" s="0" t="s">
        <v>6539</v>
      </c>
      <c r="B14386" s="0" t="str">
        <f aca="false">HYPERLINK("https://lindat.mff.cuni.cz/services/teitok/pdtc10/index.php?action=vallex&amp;frame=v-w1855hsa_1127", "mít (v-w1855hsa_1127) - substituted with v-w1855f349_MM")</f>
        <v>mít (v-w1855hsa_1127) - substituted with v-w1855f349_MM</v>
      </c>
    </row>
    <row r="14387" customFormat="false" ht="12.8" hidden="false" customHeight="false" outlineLevel="0" collapsed="false">
      <c r="B14387" s="0" t="s">
        <v>1</v>
      </c>
    </row>
    <row r="14388" customFormat="false" ht="12.8" hidden="false" customHeight="false" outlineLevel="0" collapsed="false">
      <c r="B14388" s="0" t="s">
        <v>6540</v>
      </c>
    </row>
    <row r="14390" customFormat="false" ht="12.8" hidden="false" customHeight="false" outlineLevel="0" collapsed="false">
      <c r="A14390" s="0" t="s">
        <v>6539</v>
      </c>
      <c r="B14390" s="0" t="str">
        <f aca="false">HYPERLINK("https://lindat.mff.cuni.cz/services/teitok/pdtc10/index.php?action=vallex&amp;frame=v-w1855hsa_979", "mít (v-w1855hsa_979) - substituted with v-w1855f349_MM")</f>
        <v>mít (v-w1855hsa_979) - substituted with v-w1855f349_MM</v>
      </c>
    </row>
    <row r="14391" customFormat="false" ht="12.8" hidden="false" customHeight="false" outlineLevel="0" collapsed="false">
      <c r="B14391" s="0" t="s">
        <v>1</v>
      </c>
    </row>
    <row r="14392" customFormat="false" ht="12.8" hidden="false" customHeight="false" outlineLevel="0" collapsed="false">
      <c r="B14392" s="0" t="s">
        <v>6540</v>
      </c>
    </row>
    <row r="14394" customFormat="false" ht="12.8" hidden="false" customHeight="false" outlineLevel="0" collapsed="false">
      <c r="A14394" s="0" t="s">
        <v>6541</v>
      </c>
      <c r="B14394" s="0" t="str">
        <f aca="false">HYPERLINK("https://lindat.mff.cuni.cz/services/teitok/pdtc10/index.php?action=vallex&amp;frame=v-w1855hsa_980", "mít (v-w1855hsa_980)")</f>
        <v>mít (v-w1855hsa_980)</v>
      </c>
    </row>
    <row r="14395" customFormat="false" ht="12.8" hidden="false" customHeight="false" outlineLevel="0" collapsed="false">
      <c r="B14395" s="0" t="s">
        <v>1</v>
      </c>
    </row>
    <row r="14396" customFormat="false" ht="12.8" hidden="false" customHeight="false" outlineLevel="0" collapsed="false">
      <c r="B14396" s="0" t="s">
        <v>6542</v>
      </c>
    </row>
    <row r="14398" customFormat="false" ht="12.8" hidden="false" customHeight="false" outlineLevel="0" collapsed="false">
      <c r="A14398" s="0" t="s">
        <v>6541</v>
      </c>
      <c r="B14398" s="0" t="str">
        <f aca="false">HYPERLINK("https://lindat.mff.cuni.cz/services/teitok/pdtc10/index.php?action=vallex&amp;frame=v-w1855f6", "mít (v-w1855f6) - substituted with v-w1855hsa_980")</f>
        <v>mít (v-w1855f6) - substituted with v-w1855hsa_980</v>
      </c>
    </row>
    <row r="14399" customFormat="false" ht="12.8" hidden="false" customHeight="false" outlineLevel="0" collapsed="false">
      <c r="B14399" s="0" t="s">
        <v>1</v>
      </c>
    </row>
    <row r="14400" customFormat="false" ht="12.8" hidden="false" customHeight="false" outlineLevel="0" collapsed="false">
      <c r="B14400" s="0" t="s">
        <v>6542</v>
      </c>
    </row>
    <row r="14402" customFormat="false" ht="12.8" hidden="false" customHeight="false" outlineLevel="0" collapsed="false">
      <c r="A14402" s="0" t="s">
        <v>6543</v>
      </c>
      <c r="B14402" s="0" t="str">
        <f aca="false">HYPERLINK("https://lindat.mff.cuni.cz/services/teitok/pdtc10/index.php?action=vallex&amp;frame=v-w1855f173_ZU", "mít (v-w1855f173_ZU)")</f>
        <v>mít (v-w1855f173_ZU)</v>
      </c>
    </row>
    <row r="14403" customFormat="false" ht="12.8" hidden="false" customHeight="false" outlineLevel="0" collapsed="false">
      <c r="B14403" s="0" t="s">
        <v>1</v>
      </c>
    </row>
    <row r="14404" customFormat="false" ht="12.8" hidden="false" customHeight="false" outlineLevel="0" collapsed="false">
      <c r="B14404" s="0" t="s">
        <v>6544</v>
      </c>
    </row>
    <row r="14406" customFormat="false" ht="12.8" hidden="false" customHeight="false" outlineLevel="0" collapsed="false">
      <c r="A14406" s="0" t="s">
        <v>6543</v>
      </c>
      <c r="B14406" s="0" t="str">
        <f aca="false">HYPERLINK("https://lindat.mff.cuni.cz/services/teitok/pdtc10/index.php?action=vallex&amp;frame=v-w1855f45", "mít (v-w1855f45) - substituted with v-w1855f173_ZU")</f>
        <v>mít (v-w1855f45) - substituted with v-w1855f173_ZU</v>
      </c>
    </row>
    <row r="14407" customFormat="false" ht="12.8" hidden="false" customHeight="false" outlineLevel="0" collapsed="false">
      <c r="B14407" s="0" t="s">
        <v>1</v>
      </c>
    </row>
    <row r="14408" customFormat="false" ht="12.8" hidden="false" customHeight="false" outlineLevel="0" collapsed="false">
      <c r="B14408" s="0" t="s">
        <v>6544</v>
      </c>
    </row>
    <row r="14410" customFormat="false" ht="12.8" hidden="false" customHeight="false" outlineLevel="0" collapsed="false">
      <c r="A14410" s="0" t="s">
        <v>6543</v>
      </c>
      <c r="B14410" s="0" t="str">
        <f aca="false">HYPERLINK("https://lindat.mff.cuni.cz/services/teitok/pdtc10/index.php?action=vallex&amp;frame=v-w1855hsa_1113", "mít (v-w1855hsa_1113) - substituted with v-w1855f173_ZU")</f>
        <v>mít (v-w1855hsa_1113) - substituted with v-w1855f173_ZU</v>
      </c>
    </row>
    <row r="14411" customFormat="false" ht="12.8" hidden="false" customHeight="false" outlineLevel="0" collapsed="false">
      <c r="B14411" s="0" t="s">
        <v>1</v>
      </c>
    </row>
    <row r="14412" customFormat="false" ht="12.8" hidden="false" customHeight="false" outlineLevel="0" collapsed="false">
      <c r="B14412" s="0" t="s">
        <v>6544</v>
      </c>
    </row>
    <row r="14414" customFormat="false" ht="12.8" hidden="false" customHeight="false" outlineLevel="0" collapsed="false">
      <c r="A14414" s="0" t="s">
        <v>6545</v>
      </c>
      <c r="B14414" s="0" t="str">
        <f aca="false">HYPERLINK("https://lindat.mff.cuni.cz/services/teitok/pdtc10/index.php?action=vallex&amp;frame=v-w1855f161_ZU", "mít (v-w1855f161_ZU)")</f>
        <v>mít (v-w1855f161_ZU)</v>
      </c>
    </row>
    <row r="14415" customFormat="false" ht="12.8" hidden="false" customHeight="false" outlineLevel="0" collapsed="false">
      <c r="B14415" s="0" t="s">
        <v>1</v>
      </c>
    </row>
    <row r="14416" customFormat="false" ht="12.8" hidden="false" customHeight="false" outlineLevel="0" collapsed="false">
      <c r="B14416" s="0" t="s">
        <v>6546</v>
      </c>
    </row>
    <row r="14418" customFormat="false" ht="12.8" hidden="false" customHeight="false" outlineLevel="0" collapsed="false">
      <c r="A14418" s="0" t="s">
        <v>6545</v>
      </c>
      <c r="B14418" s="0" t="str">
        <f aca="false">HYPERLINK("https://lindat.mff.cuni.cz/services/teitok/pdtc10/index.php?action=vallex&amp;frame=v-w1855f107_ZU", "mít (v-w1855f107_ZU) - substituted with v-w1855f161_ZU")</f>
        <v>mít (v-w1855f107_ZU) - substituted with v-w1855f161_ZU</v>
      </c>
    </row>
    <row r="14419" customFormat="false" ht="12.8" hidden="false" customHeight="false" outlineLevel="0" collapsed="false">
      <c r="B14419" s="0" t="s">
        <v>1</v>
      </c>
    </row>
    <row r="14420" customFormat="false" ht="12.8" hidden="false" customHeight="false" outlineLevel="0" collapsed="false">
      <c r="B14420" s="0" t="s">
        <v>6546</v>
      </c>
    </row>
    <row r="14422" customFormat="false" ht="12.8" hidden="false" customHeight="false" outlineLevel="0" collapsed="false">
      <c r="A14422" s="0" t="s">
        <v>6545</v>
      </c>
      <c r="B14422" s="0" t="str">
        <f aca="false">HYPERLINK("https://lindat.mff.cuni.cz/services/teitok/pdtc10/index.php?action=vallex&amp;frame=v-w1855f108_ZU", "mít (v-w1855f108_ZU) - substituted with v-w1855f161_ZU")</f>
        <v>mít (v-w1855f108_ZU) - substituted with v-w1855f161_ZU</v>
      </c>
    </row>
    <row r="14423" customFormat="false" ht="12.8" hidden="false" customHeight="false" outlineLevel="0" collapsed="false">
      <c r="B14423" s="0" t="s">
        <v>1</v>
      </c>
    </row>
    <row r="14424" customFormat="false" ht="12.8" hidden="false" customHeight="false" outlineLevel="0" collapsed="false">
      <c r="B14424" s="0" t="s">
        <v>6546</v>
      </c>
    </row>
    <row r="14426" customFormat="false" ht="12.8" hidden="false" customHeight="false" outlineLevel="0" collapsed="false">
      <c r="A14426" s="0" t="s">
        <v>6545</v>
      </c>
      <c r="B14426" s="0" t="str">
        <f aca="false">HYPERLINK("https://lindat.mff.cuni.cz/services/teitok/pdtc10/index.php?action=vallex&amp;frame=v-w1855f111_ZU", "mít (v-w1855f111_ZU) - substituted with v-w1855f161_ZU")</f>
        <v>mít (v-w1855f111_ZU) - substituted with v-w1855f161_ZU</v>
      </c>
    </row>
    <row r="14427" customFormat="false" ht="12.8" hidden="false" customHeight="false" outlineLevel="0" collapsed="false">
      <c r="B14427" s="0" t="s">
        <v>1</v>
      </c>
    </row>
    <row r="14428" customFormat="false" ht="12.8" hidden="false" customHeight="false" outlineLevel="0" collapsed="false">
      <c r="B14428" s="0" t="s">
        <v>6546</v>
      </c>
    </row>
    <row r="14430" customFormat="false" ht="12.8" hidden="false" customHeight="false" outlineLevel="0" collapsed="false">
      <c r="A14430" s="0" t="s">
        <v>6547</v>
      </c>
      <c r="B14430" s="0" t="str">
        <f aca="false">HYPERLINK("https://lindat.mff.cuni.cz/services/teitok/pdtc10/index.php?action=vallex&amp;frame=v-w1855f346_MM", "mít (v-w1855f346_MM)")</f>
        <v>mít (v-w1855f346_MM)</v>
      </c>
    </row>
    <row r="14431" customFormat="false" ht="12.8" hidden="false" customHeight="false" outlineLevel="0" collapsed="false">
      <c r="B14431" s="0" t="s">
        <v>1</v>
      </c>
    </row>
    <row r="14432" customFormat="false" ht="12.8" hidden="false" customHeight="false" outlineLevel="0" collapsed="false">
      <c r="B14432" s="0" t="s">
        <v>6548</v>
      </c>
    </row>
    <row r="14434" customFormat="false" ht="12.8" hidden="false" customHeight="false" outlineLevel="0" collapsed="false">
      <c r="A14434" s="0" t="s">
        <v>6547</v>
      </c>
      <c r="B14434" s="0" t="str">
        <f aca="false">HYPERLINK("https://lindat.mff.cuni.cz/services/teitok/pdtc10/index.php?action=vallex&amp;frame=v-w1855f115_ZU", "mít (v-w1855f115_ZU) - substituted with v-w1855f346_MM")</f>
        <v>mít (v-w1855f115_ZU) - substituted with v-w1855f346_MM</v>
      </c>
    </row>
    <row r="14435" customFormat="false" ht="12.8" hidden="false" customHeight="false" outlineLevel="0" collapsed="false">
      <c r="B14435" s="0" t="s">
        <v>1</v>
      </c>
    </row>
    <row r="14436" customFormat="false" ht="12.8" hidden="false" customHeight="false" outlineLevel="0" collapsed="false">
      <c r="B14436" s="0" t="s">
        <v>6548</v>
      </c>
    </row>
    <row r="14438" customFormat="false" ht="12.8" hidden="false" customHeight="false" outlineLevel="0" collapsed="false">
      <c r="A14438" s="0" t="s">
        <v>6547</v>
      </c>
      <c r="B14438" s="0" t="str">
        <f aca="false">HYPERLINK("https://lindat.mff.cuni.cz/services/teitok/pdtc10/index.php?action=vallex&amp;frame=v-w1855f128_ZU", "mít (v-w1855f128_ZU) - substituted with v-w1855f346_MM")</f>
        <v>mít (v-w1855f128_ZU) - substituted with v-w1855f346_MM</v>
      </c>
    </row>
    <row r="14439" customFormat="false" ht="12.8" hidden="false" customHeight="false" outlineLevel="0" collapsed="false">
      <c r="B14439" s="0" t="s">
        <v>1</v>
      </c>
    </row>
    <row r="14440" customFormat="false" ht="12.8" hidden="false" customHeight="false" outlineLevel="0" collapsed="false">
      <c r="B14440" s="0" t="s">
        <v>6548</v>
      </c>
    </row>
    <row r="14442" customFormat="false" ht="12.8" hidden="false" customHeight="false" outlineLevel="0" collapsed="false">
      <c r="A14442" s="0" t="s">
        <v>6547</v>
      </c>
      <c r="B14442" s="0" t="str">
        <f aca="false">HYPERLINK("https://lindat.mff.cuni.cz/services/teitok/pdtc10/index.php?action=vallex&amp;frame=v-w1855f156_ZU", "mít (v-w1855f156_ZU) - substituted with v-w1855f346_MM")</f>
        <v>mít (v-w1855f156_ZU) - substituted with v-w1855f346_MM</v>
      </c>
    </row>
    <row r="14443" customFormat="false" ht="12.8" hidden="false" customHeight="false" outlineLevel="0" collapsed="false">
      <c r="B14443" s="0" t="s">
        <v>1</v>
      </c>
    </row>
    <row r="14444" customFormat="false" ht="12.8" hidden="false" customHeight="false" outlineLevel="0" collapsed="false">
      <c r="B14444" s="0" t="s">
        <v>6548</v>
      </c>
    </row>
    <row r="14446" customFormat="false" ht="12.8" hidden="false" customHeight="false" outlineLevel="0" collapsed="false">
      <c r="A14446" s="0" t="s">
        <v>6547</v>
      </c>
      <c r="B14446" s="0" t="str">
        <f aca="false">HYPERLINK("https://lindat.mff.cuni.cz/services/teitok/pdtc10/index.php?action=vallex&amp;frame=v-w1855f160_ZU", "mít (v-w1855f160_ZU) - substituted with v-w1855f346_MM")</f>
        <v>mít (v-w1855f160_ZU) - substituted with v-w1855f346_MM</v>
      </c>
    </row>
    <row r="14447" customFormat="false" ht="12.8" hidden="false" customHeight="false" outlineLevel="0" collapsed="false">
      <c r="B14447" s="0" t="s">
        <v>1</v>
      </c>
    </row>
    <row r="14448" customFormat="false" ht="12.8" hidden="false" customHeight="false" outlineLevel="0" collapsed="false">
      <c r="B14448" s="0" t="s">
        <v>6548</v>
      </c>
    </row>
    <row r="14450" customFormat="false" ht="12.8" hidden="false" customHeight="false" outlineLevel="0" collapsed="false">
      <c r="A14450" s="0" t="s">
        <v>6547</v>
      </c>
      <c r="B14450" s="0" t="str">
        <f aca="false">HYPERLINK("https://lindat.mff.cuni.cz/services/teitok/pdtc10/index.php?action=vallex&amp;frame=v-w1855f164_ZU", "mít (v-w1855f164_ZU) - substituted with v-w1855f346_MM")</f>
        <v>mít (v-w1855f164_ZU) - substituted with v-w1855f346_MM</v>
      </c>
    </row>
    <row r="14451" customFormat="false" ht="12.8" hidden="false" customHeight="false" outlineLevel="0" collapsed="false">
      <c r="B14451" s="0" t="s">
        <v>1</v>
      </c>
    </row>
    <row r="14452" customFormat="false" ht="12.8" hidden="false" customHeight="false" outlineLevel="0" collapsed="false">
      <c r="B14452" s="0" t="s">
        <v>6548</v>
      </c>
    </row>
    <row r="14454" customFormat="false" ht="12.8" hidden="false" customHeight="false" outlineLevel="0" collapsed="false">
      <c r="A14454" s="0" t="s">
        <v>6547</v>
      </c>
      <c r="B14454" s="0" t="str">
        <f aca="false">HYPERLINK("https://lindat.mff.cuni.cz/services/teitok/pdtc10/index.php?action=vallex&amp;frame=v-w1855f165_ZU", "mít (v-w1855f165_ZU) - substituted with v-w1855f346_MM")</f>
        <v>mít (v-w1855f165_ZU) - substituted with v-w1855f346_MM</v>
      </c>
    </row>
    <row r="14455" customFormat="false" ht="12.8" hidden="false" customHeight="false" outlineLevel="0" collapsed="false">
      <c r="B14455" s="0" t="s">
        <v>1</v>
      </c>
    </row>
    <row r="14456" customFormat="false" ht="12.8" hidden="false" customHeight="false" outlineLevel="0" collapsed="false">
      <c r="B14456" s="0" t="s">
        <v>6548</v>
      </c>
    </row>
    <row r="14458" customFormat="false" ht="12.8" hidden="false" customHeight="false" outlineLevel="0" collapsed="false">
      <c r="A14458" s="0" t="s">
        <v>6547</v>
      </c>
      <c r="B14458" s="0" t="str">
        <f aca="false">HYPERLINK("https://lindat.mff.cuni.cz/services/teitok/pdtc10/index.php?action=vallex&amp;frame=v-w1855f169_ZU", "mít (v-w1855f169_ZU) - substituted with v-w1855f346_MM")</f>
        <v>mít (v-w1855f169_ZU) - substituted with v-w1855f346_MM</v>
      </c>
    </row>
    <row r="14459" customFormat="false" ht="12.8" hidden="false" customHeight="false" outlineLevel="0" collapsed="false">
      <c r="B14459" s="0" t="s">
        <v>1</v>
      </c>
    </row>
    <row r="14460" customFormat="false" ht="12.8" hidden="false" customHeight="false" outlineLevel="0" collapsed="false">
      <c r="B14460" s="0" t="s">
        <v>6548</v>
      </c>
    </row>
    <row r="14462" customFormat="false" ht="12.8" hidden="false" customHeight="false" outlineLevel="0" collapsed="false">
      <c r="A14462" s="0" t="s">
        <v>6547</v>
      </c>
      <c r="B14462" s="0" t="str">
        <f aca="false">HYPERLINK("https://lindat.mff.cuni.cz/services/teitok/pdtc10/index.php?action=vallex&amp;frame=v-w1855f171_ZU", "mít (v-w1855f171_ZU) - substituted with v-w1855f346_MM")</f>
        <v>mít (v-w1855f171_ZU) - substituted with v-w1855f346_MM</v>
      </c>
    </row>
    <row r="14463" customFormat="false" ht="12.8" hidden="false" customHeight="false" outlineLevel="0" collapsed="false">
      <c r="B14463" s="0" t="s">
        <v>1</v>
      </c>
    </row>
    <row r="14464" customFormat="false" ht="12.8" hidden="false" customHeight="false" outlineLevel="0" collapsed="false">
      <c r="B14464" s="0" t="s">
        <v>6548</v>
      </c>
    </row>
    <row r="14466" customFormat="false" ht="12.8" hidden="false" customHeight="false" outlineLevel="0" collapsed="false">
      <c r="A14466" s="0" t="s">
        <v>6547</v>
      </c>
      <c r="B14466" s="0" t="str">
        <f aca="false">HYPERLINK("https://lindat.mff.cuni.cz/services/teitok/pdtc10/index.php?action=vallex&amp;frame=v-w1855f204_ZU", "mít (v-w1855f204_ZU) - substituted with v-w1855f346_MM")</f>
        <v>mít (v-w1855f204_ZU) - substituted with v-w1855f346_MM</v>
      </c>
    </row>
    <row r="14467" customFormat="false" ht="12.8" hidden="false" customHeight="false" outlineLevel="0" collapsed="false">
      <c r="B14467" s="0" t="s">
        <v>1</v>
      </c>
    </row>
    <row r="14468" customFormat="false" ht="12.8" hidden="false" customHeight="false" outlineLevel="0" collapsed="false">
      <c r="B14468" s="0" t="s">
        <v>6548</v>
      </c>
    </row>
    <row r="14470" customFormat="false" ht="12.8" hidden="false" customHeight="false" outlineLevel="0" collapsed="false">
      <c r="A14470" s="0" t="s">
        <v>6547</v>
      </c>
      <c r="B14470" s="0" t="str">
        <f aca="false">HYPERLINK("https://lindat.mff.cuni.cz/services/teitok/pdtc10/index.php?action=vallex&amp;frame=v-w1855f209_ZU", "mít (v-w1855f209_ZU) - substituted with v-w1855f346_MM")</f>
        <v>mít (v-w1855f209_ZU) - substituted with v-w1855f346_MM</v>
      </c>
    </row>
    <row r="14471" customFormat="false" ht="12.8" hidden="false" customHeight="false" outlineLevel="0" collapsed="false">
      <c r="B14471" s="0" t="s">
        <v>1</v>
      </c>
    </row>
    <row r="14472" customFormat="false" ht="12.8" hidden="false" customHeight="false" outlineLevel="0" collapsed="false">
      <c r="B14472" s="0" t="s">
        <v>6548</v>
      </c>
    </row>
    <row r="14474" customFormat="false" ht="12.8" hidden="false" customHeight="false" outlineLevel="0" collapsed="false">
      <c r="A14474" s="0" t="s">
        <v>6547</v>
      </c>
      <c r="B14474" s="0" t="str">
        <f aca="false">HYPERLINK("https://lindat.mff.cuni.cz/services/teitok/pdtc10/index.php?action=vallex&amp;frame=v-w1855f289_ZU", "mít (v-w1855f289_ZU) - substituted with v-w1855f346_MM")</f>
        <v>mít (v-w1855f289_ZU) - substituted with v-w1855f346_MM</v>
      </c>
    </row>
    <row r="14475" customFormat="false" ht="12.8" hidden="false" customHeight="false" outlineLevel="0" collapsed="false">
      <c r="B14475" s="0" t="s">
        <v>1</v>
      </c>
    </row>
    <row r="14476" customFormat="false" ht="12.8" hidden="false" customHeight="false" outlineLevel="0" collapsed="false">
      <c r="B14476" s="0" t="s">
        <v>6548</v>
      </c>
    </row>
    <row r="14478" customFormat="false" ht="12.8" hidden="false" customHeight="false" outlineLevel="0" collapsed="false">
      <c r="A14478" s="0" t="s">
        <v>6547</v>
      </c>
      <c r="B14478" s="0" t="str">
        <f aca="false">HYPERLINK("https://lindat.mff.cuni.cz/services/teitok/pdtc10/index.php?action=vallex&amp;frame=v-w1855f304_ZU", "mít (v-w1855f304_ZU) - substituted with v-w1855f346_MM")</f>
        <v>mít (v-w1855f304_ZU) - substituted with v-w1855f346_MM</v>
      </c>
    </row>
    <row r="14479" customFormat="false" ht="12.8" hidden="false" customHeight="false" outlineLevel="0" collapsed="false">
      <c r="B14479" s="0" t="s">
        <v>1</v>
      </c>
    </row>
    <row r="14480" customFormat="false" ht="12.8" hidden="false" customHeight="false" outlineLevel="0" collapsed="false">
      <c r="B14480" s="0" t="s">
        <v>6548</v>
      </c>
    </row>
    <row r="14482" customFormat="false" ht="12.8" hidden="false" customHeight="false" outlineLevel="0" collapsed="false">
      <c r="A14482" s="0" t="s">
        <v>6547</v>
      </c>
      <c r="B14482" s="0" t="str">
        <f aca="false">HYPERLINK("https://lindat.mff.cuni.cz/services/teitok/pdtc10/index.php?action=vallex&amp;frame=v-w1855f316_ZU", "mít (v-w1855f316_ZU) - substituted with v-w1855f346_MM")</f>
        <v>mít (v-w1855f316_ZU) - substituted with v-w1855f346_MM</v>
      </c>
    </row>
    <row r="14483" customFormat="false" ht="12.8" hidden="false" customHeight="false" outlineLevel="0" collapsed="false">
      <c r="B14483" s="0" t="s">
        <v>1</v>
      </c>
    </row>
    <row r="14484" customFormat="false" ht="12.8" hidden="false" customHeight="false" outlineLevel="0" collapsed="false">
      <c r="B14484" s="0" t="s">
        <v>6548</v>
      </c>
    </row>
    <row r="14486" customFormat="false" ht="12.8" hidden="false" customHeight="false" outlineLevel="0" collapsed="false">
      <c r="A14486" s="0" t="s">
        <v>6547</v>
      </c>
      <c r="B14486" s="0" t="str">
        <f aca="false">HYPERLINK("https://lindat.mff.cuni.cz/services/teitok/pdtc10/index.php?action=vallex&amp;frame=v-w1855f317_ZU", "mít (v-w1855f317_ZU) - substituted with v-w1855f346_MM")</f>
        <v>mít (v-w1855f317_ZU) - substituted with v-w1855f346_MM</v>
      </c>
    </row>
    <row r="14487" customFormat="false" ht="12.8" hidden="false" customHeight="false" outlineLevel="0" collapsed="false">
      <c r="B14487" s="0" t="s">
        <v>1</v>
      </c>
    </row>
    <row r="14488" customFormat="false" ht="12.8" hidden="false" customHeight="false" outlineLevel="0" collapsed="false">
      <c r="B14488" s="0" t="s">
        <v>6548</v>
      </c>
    </row>
    <row r="14490" customFormat="false" ht="12.8" hidden="false" customHeight="false" outlineLevel="0" collapsed="false">
      <c r="A14490" s="0" t="s">
        <v>6547</v>
      </c>
      <c r="B14490" s="0" t="str">
        <f aca="false">HYPERLINK("https://lindat.mff.cuni.cz/services/teitok/pdtc10/index.php?action=vallex&amp;frame=v-w1855f330_ZU", "mít (v-w1855f330_ZU) - substituted with v-w1855f346_MM")</f>
        <v>mít (v-w1855f330_ZU) - substituted with v-w1855f346_MM</v>
      </c>
    </row>
    <row r="14491" customFormat="false" ht="12.8" hidden="false" customHeight="false" outlineLevel="0" collapsed="false">
      <c r="B14491" s="0" t="s">
        <v>1</v>
      </c>
    </row>
    <row r="14492" customFormat="false" ht="12.8" hidden="false" customHeight="false" outlineLevel="0" collapsed="false">
      <c r="B14492" s="0" t="s">
        <v>6548</v>
      </c>
    </row>
    <row r="14494" customFormat="false" ht="12.8" hidden="false" customHeight="false" outlineLevel="0" collapsed="false">
      <c r="A14494" s="0" t="s">
        <v>6547</v>
      </c>
      <c r="B14494" s="0" t="str">
        <f aca="false">HYPERLINK("https://lindat.mff.cuni.cz/services/teitok/pdtc10/index.php?action=vallex&amp;frame=v-w1855f4", "mít (v-w1855f4) - substituted with v-w1855f346_MM")</f>
        <v>mít (v-w1855f4) - substituted with v-w1855f346_MM</v>
      </c>
    </row>
    <row r="14495" customFormat="false" ht="12.8" hidden="false" customHeight="false" outlineLevel="0" collapsed="false">
      <c r="B14495" s="0" t="s">
        <v>1</v>
      </c>
    </row>
    <row r="14496" customFormat="false" ht="12.8" hidden="false" customHeight="false" outlineLevel="0" collapsed="false">
      <c r="B14496" s="0" t="s">
        <v>6548</v>
      </c>
    </row>
    <row r="14498" customFormat="false" ht="12.8" hidden="false" customHeight="false" outlineLevel="0" collapsed="false">
      <c r="A14498" s="0" t="s">
        <v>6547</v>
      </c>
      <c r="B14498" s="0" t="str">
        <f aca="false">HYPERLINK("https://lindat.mff.cuni.cz/services/teitok/pdtc10/index.php?action=vallex&amp;frame=v-w1855f91_ZU", "mít (v-w1855f91_ZU) - substituted with v-w1855f346_MM")</f>
        <v>mít (v-w1855f91_ZU) - substituted with v-w1855f346_MM</v>
      </c>
    </row>
    <row r="14499" customFormat="false" ht="12.8" hidden="false" customHeight="false" outlineLevel="0" collapsed="false">
      <c r="B14499" s="0" t="s">
        <v>1</v>
      </c>
    </row>
    <row r="14500" customFormat="false" ht="12.8" hidden="false" customHeight="false" outlineLevel="0" collapsed="false">
      <c r="B14500" s="0" t="s">
        <v>6548</v>
      </c>
    </row>
    <row r="14502" customFormat="false" ht="12.8" hidden="false" customHeight="false" outlineLevel="0" collapsed="false">
      <c r="A14502" s="0" t="s">
        <v>6547</v>
      </c>
      <c r="B14502" s="0" t="str">
        <f aca="false">HYPERLINK("https://lindat.mff.cuni.cz/services/teitok/pdtc10/index.php?action=vallex&amp;frame=v-w1855hsa_1109", "mít (v-w1855hsa_1109) - substituted with v-w1855f346_MM")</f>
        <v>mít (v-w1855hsa_1109) - substituted with v-w1855f346_MM</v>
      </c>
    </row>
    <row r="14503" customFormat="false" ht="12.8" hidden="false" customHeight="false" outlineLevel="0" collapsed="false">
      <c r="B14503" s="0" t="s">
        <v>1</v>
      </c>
    </row>
    <row r="14504" customFormat="false" ht="12.8" hidden="false" customHeight="false" outlineLevel="0" collapsed="false">
      <c r="B14504" s="0" t="s">
        <v>6548</v>
      </c>
    </row>
    <row r="14506" customFormat="false" ht="12.8" hidden="false" customHeight="false" outlineLevel="0" collapsed="false">
      <c r="A14506" s="0" t="s">
        <v>6549</v>
      </c>
      <c r="B14506" s="0" t="str">
        <f aca="false">HYPERLINK("https://lindat.mff.cuni.cz/services/teitok/pdtc10/index.php?action=vallex&amp;frame=v-w1855f328_ZU", "mít (v-w1855f328_ZU)")</f>
        <v>mít (v-w1855f328_ZU)</v>
      </c>
    </row>
    <row r="14507" customFormat="false" ht="12.8" hidden="false" customHeight="false" outlineLevel="0" collapsed="false">
      <c r="B14507" s="0" t="s">
        <v>1</v>
      </c>
    </row>
    <row r="14508" customFormat="false" ht="12.8" hidden="false" customHeight="false" outlineLevel="0" collapsed="false">
      <c r="B14508" s="0" t="s">
        <v>6550</v>
      </c>
    </row>
    <row r="14510" customFormat="false" ht="12.8" hidden="false" customHeight="false" outlineLevel="0" collapsed="false">
      <c r="A14510" s="0" t="s">
        <v>6549</v>
      </c>
      <c r="B14510" s="0" t="str">
        <f aca="false">HYPERLINK("https://lindat.mff.cuni.cz/services/teitok/pdtc10/index.php?action=vallex&amp;frame=v-w1855f132_ZU", "mít (v-w1855f132_ZU) - substituted with v-w1855f328_ZU")</f>
        <v>mít (v-w1855f132_ZU) - substituted with v-w1855f328_ZU</v>
      </c>
    </row>
    <row r="14511" customFormat="false" ht="12.8" hidden="false" customHeight="false" outlineLevel="0" collapsed="false">
      <c r="B14511" s="0" t="s">
        <v>1</v>
      </c>
    </row>
    <row r="14512" customFormat="false" ht="12.8" hidden="false" customHeight="false" outlineLevel="0" collapsed="false">
      <c r="B14512" s="0" t="s">
        <v>6550</v>
      </c>
    </row>
    <row r="14514" customFormat="false" ht="12.8" hidden="false" customHeight="false" outlineLevel="0" collapsed="false">
      <c r="A14514" s="0" t="s">
        <v>6549</v>
      </c>
      <c r="B14514" s="0" t="str">
        <f aca="false">HYPERLINK("https://lindat.mff.cuni.cz/services/teitok/pdtc10/index.php?action=vallex&amp;frame=v-w1855f149_ZU", "mít (v-w1855f149_ZU) - substituted with v-w1855f328_ZU")</f>
        <v>mít (v-w1855f149_ZU) - substituted with v-w1855f328_ZU</v>
      </c>
    </row>
    <row r="14515" customFormat="false" ht="12.8" hidden="false" customHeight="false" outlineLevel="0" collapsed="false">
      <c r="B14515" s="0" t="s">
        <v>1</v>
      </c>
    </row>
    <row r="14516" customFormat="false" ht="12.8" hidden="false" customHeight="false" outlineLevel="0" collapsed="false">
      <c r="B14516" s="0" t="s">
        <v>6550</v>
      </c>
    </row>
    <row r="14518" customFormat="false" ht="12.8" hidden="false" customHeight="false" outlineLevel="0" collapsed="false">
      <c r="A14518" s="0" t="s">
        <v>6549</v>
      </c>
      <c r="B14518" s="0" t="str">
        <f aca="false">HYPERLINK("https://lindat.mff.cuni.cz/services/teitok/pdtc10/index.php?action=vallex&amp;frame=v-w1855f152_ZU", "mít (v-w1855f152_ZU) - substituted with v-w1855f328_ZU")</f>
        <v>mít (v-w1855f152_ZU) - substituted with v-w1855f328_ZU</v>
      </c>
    </row>
    <row r="14519" customFormat="false" ht="12.8" hidden="false" customHeight="false" outlineLevel="0" collapsed="false">
      <c r="B14519" s="0" t="s">
        <v>1</v>
      </c>
    </row>
    <row r="14520" customFormat="false" ht="12.8" hidden="false" customHeight="false" outlineLevel="0" collapsed="false">
      <c r="B14520" s="0" t="s">
        <v>6550</v>
      </c>
    </row>
    <row r="14522" customFormat="false" ht="12.8" hidden="false" customHeight="false" outlineLevel="0" collapsed="false">
      <c r="A14522" s="0" t="s">
        <v>6549</v>
      </c>
      <c r="B14522" s="0" t="str">
        <f aca="false">HYPERLINK("https://lindat.mff.cuni.cz/services/teitok/pdtc10/index.php?action=vallex&amp;frame=v-w1855f153_ZU", "mít (v-w1855f153_ZU) - substituted with v-w1855f328_ZU")</f>
        <v>mít (v-w1855f153_ZU) - substituted with v-w1855f328_ZU</v>
      </c>
    </row>
    <row r="14523" customFormat="false" ht="12.8" hidden="false" customHeight="false" outlineLevel="0" collapsed="false">
      <c r="B14523" s="0" t="s">
        <v>1</v>
      </c>
    </row>
    <row r="14524" customFormat="false" ht="12.8" hidden="false" customHeight="false" outlineLevel="0" collapsed="false">
      <c r="B14524" s="0" t="s">
        <v>6550</v>
      </c>
    </row>
    <row r="14526" customFormat="false" ht="12.8" hidden="false" customHeight="false" outlineLevel="0" collapsed="false">
      <c r="A14526" s="0" t="s">
        <v>6549</v>
      </c>
      <c r="B14526" s="0" t="str">
        <f aca="false">HYPERLINK("https://lindat.mff.cuni.cz/services/teitok/pdtc10/index.php?action=vallex&amp;frame=v-w1855f159_ZU", "mít (v-w1855f159_ZU) - substituted with v-w1855f328_ZU")</f>
        <v>mít (v-w1855f159_ZU) - substituted with v-w1855f328_ZU</v>
      </c>
    </row>
    <row r="14527" customFormat="false" ht="12.8" hidden="false" customHeight="false" outlineLevel="0" collapsed="false">
      <c r="B14527" s="0" t="s">
        <v>1</v>
      </c>
    </row>
    <row r="14528" customFormat="false" ht="12.8" hidden="false" customHeight="false" outlineLevel="0" collapsed="false">
      <c r="B14528" s="0" t="s">
        <v>6550</v>
      </c>
    </row>
    <row r="14530" customFormat="false" ht="12.8" hidden="false" customHeight="false" outlineLevel="0" collapsed="false">
      <c r="A14530" s="0" t="s">
        <v>6549</v>
      </c>
      <c r="B14530" s="0" t="str">
        <f aca="false">HYPERLINK("https://lindat.mff.cuni.cz/services/teitok/pdtc10/index.php?action=vallex&amp;frame=v-w1855f192_ZU", "mít (v-w1855f192_ZU) - substituted with v-w1855f328_ZU")</f>
        <v>mít (v-w1855f192_ZU) - substituted with v-w1855f328_ZU</v>
      </c>
    </row>
    <row r="14531" customFormat="false" ht="12.8" hidden="false" customHeight="false" outlineLevel="0" collapsed="false">
      <c r="B14531" s="0" t="s">
        <v>1</v>
      </c>
    </row>
    <row r="14532" customFormat="false" ht="12.8" hidden="false" customHeight="false" outlineLevel="0" collapsed="false">
      <c r="B14532" s="0" t="s">
        <v>6550</v>
      </c>
    </row>
    <row r="14534" customFormat="false" ht="12.8" hidden="false" customHeight="false" outlineLevel="0" collapsed="false">
      <c r="A14534" s="0" t="s">
        <v>6549</v>
      </c>
      <c r="B14534" s="0" t="str">
        <f aca="false">HYPERLINK("https://lindat.mff.cuni.cz/services/teitok/pdtc10/index.php?action=vallex&amp;frame=v-w1855f193_ZU", "mít (v-w1855f193_ZU) - substituted with v-w1855f328_ZU")</f>
        <v>mít (v-w1855f193_ZU) - substituted with v-w1855f328_ZU</v>
      </c>
    </row>
    <row r="14535" customFormat="false" ht="12.8" hidden="false" customHeight="false" outlineLevel="0" collapsed="false">
      <c r="B14535" s="0" t="s">
        <v>1</v>
      </c>
    </row>
    <row r="14536" customFormat="false" ht="12.8" hidden="false" customHeight="false" outlineLevel="0" collapsed="false">
      <c r="B14536" s="0" t="s">
        <v>6550</v>
      </c>
    </row>
    <row r="14538" customFormat="false" ht="12.8" hidden="false" customHeight="false" outlineLevel="0" collapsed="false">
      <c r="A14538" s="0" t="s">
        <v>6549</v>
      </c>
      <c r="B14538" s="0" t="str">
        <f aca="false">HYPERLINK("https://lindat.mff.cuni.cz/services/teitok/pdtc10/index.php?action=vallex&amp;frame=v-w1855f194_ZU", "mít (v-w1855f194_ZU) - substituted with v-w1855f328_ZU")</f>
        <v>mít (v-w1855f194_ZU) - substituted with v-w1855f328_ZU</v>
      </c>
    </row>
    <row r="14539" customFormat="false" ht="12.8" hidden="false" customHeight="false" outlineLevel="0" collapsed="false">
      <c r="B14539" s="0" t="s">
        <v>1</v>
      </c>
    </row>
    <row r="14540" customFormat="false" ht="12.8" hidden="false" customHeight="false" outlineLevel="0" collapsed="false">
      <c r="B14540" s="0" t="s">
        <v>6550</v>
      </c>
    </row>
    <row r="14542" customFormat="false" ht="12.8" hidden="false" customHeight="false" outlineLevel="0" collapsed="false">
      <c r="A14542" s="0" t="s">
        <v>6549</v>
      </c>
      <c r="B14542" s="0" t="str">
        <f aca="false">HYPERLINK("https://lindat.mff.cuni.cz/services/teitok/pdtc10/index.php?action=vallex&amp;frame=v-w1855f196_ZU", "mít (v-w1855f196_ZU) - substituted with v-w1855f328_ZU")</f>
        <v>mít (v-w1855f196_ZU) - substituted with v-w1855f328_ZU</v>
      </c>
    </row>
    <row r="14543" customFormat="false" ht="12.8" hidden="false" customHeight="false" outlineLevel="0" collapsed="false">
      <c r="B14543" s="0" t="s">
        <v>1</v>
      </c>
    </row>
    <row r="14544" customFormat="false" ht="12.8" hidden="false" customHeight="false" outlineLevel="0" collapsed="false">
      <c r="B14544" s="0" t="s">
        <v>6550</v>
      </c>
    </row>
    <row r="14546" customFormat="false" ht="12.8" hidden="false" customHeight="false" outlineLevel="0" collapsed="false">
      <c r="A14546" s="0" t="s">
        <v>6549</v>
      </c>
      <c r="B14546" s="0" t="str">
        <f aca="false">HYPERLINK("https://lindat.mff.cuni.cz/services/teitok/pdtc10/index.php?action=vallex&amp;frame=v-w1855f197_ZU", "mít (v-w1855f197_ZU) - substituted with v-w1855f328_ZU")</f>
        <v>mít (v-w1855f197_ZU) - substituted with v-w1855f328_ZU</v>
      </c>
    </row>
    <row r="14547" customFormat="false" ht="12.8" hidden="false" customHeight="false" outlineLevel="0" collapsed="false">
      <c r="B14547" s="0" t="s">
        <v>1</v>
      </c>
    </row>
    <row r="14548" customFormat="false" ht="12.8" hidden="false" customHeight="false" outlineLevel="0" collapsed="false">
      <c r="B14548" s="0" t="s">
        <v>6550</v>
      </c>
    </row>
    <row r="14550" customFormat="false" ht="12.8" hidden="false" customHeight="false" outlineLevel="0" collapsed="false">
      <c r="A14550" s="0" t="s">
        <v>6549</v>
      </c>
      <c r="B14550" s="0" t="str">
        <f aca="false">HYPERLINK("https://lindat.mff.cuni.cz/services/teitok/pdtc10/index.php?action=vallex&amp;frame=v-w1855f198_ZU", "mít (v-w1855f198_ZU) - substituted with v-w1855f328_ZU")</f>
        <v>mít (v-w1855f198_ZU) - substituted with v-w1855f328_ZU</v>
      </c>
    </row>
    <row r="14551" customFormat="false" ht="12.8" hidden="false" customHeight="false" outlineLevel="0" collapsed="false">
      <c r="B14551" s="0" t="s">
        <v>1</v>
      </c>
    </row>
    <row r="14552" customFormat="false" ht="12.8" hidden="false" customHeight="false" outlineLevel="0" collapsed="false">
      <c r="B14552" s="0" t="s">
        <v>6550</v>
      </c>
    </row>
    <row r="14554" customFormat="false" ht="12.8" hidden="false" customHeight="false" outlineLevel="0" collapsed="false">
      <c r="A14554" s="0" t="s">
        <v>6549</v>
      </c>
      <c r="B14554" s="0" t="str">
        <f aca="false">HYPERLINK("https://lindat.mff.cuni.cz/services/teitok/pdtc10/index.php?action=vallex&amp;frame=v-w1855f199_ZU", "mít (v-w1855f199_ZU) - substituted with v-w1855f328_ZU")</f>
        <v>mít (v-w1855f199_ZU) - substituted with v-w1855f328_ZU</v>
      </c>
    </row>
    <row r="14555" customFormat="false" ht="12.8" hidden="false" customHeight="false" outlineLevel="0" collapsed="false">
      <c r="B14555" s="0" t="s">
        <v>1</v>
      </c>
    </row>
    <row r="14556" customFormat="false" ht="12.8" hidden="false" customHeight="false" outlineLevel="0" collapsed="false">
      <c r="B14556" s="0" t="s">
        <v>6550</v>
      </c>
    </row>
    <row r="14558" customFormat="false" ht="12.8" hidden="false" customHeight="false" outlineLevel="0" collapsed="false">
      <c r="A14558" s="0" t="s">
        <v>6549</v>
      </c>
      <c r="B14558" s="0" t="str">
        <f aca="false">HYPERLINK("https://lindat.mff.cuni.cz/services/teitok/pdtc10/index.php?action=vallex&amp;frame=v-w1855f200_ZU", "mít (v-w1855f200_ZU) - substituted with v-w1855f328_ZU")</f>
        <v>mít (v-w1855f200_ZU) - substituted with v-w1855f328_ZU</v>
      </c>
    </row>
    <row r="14559" customFormat="false" ht="12.8" hidden="false" customHeight="false" outlineLevel="0" collapsed="false">
      <c r="B14559" s="0" t="s">
        <v>1</v>
      </c>
    </row>
    <row r="14560" customFormat="false" ht="12.8" hidden="false" customHeight="false" outlineLevel="0" collapsed="false">
      <c r="B14560" s="0" t="s">
        <v>6550</v>
      </c>
    </row>
    <row r="14562" customFormat="false" ht="12.8" hidden="false" customHeight="false" outlineLevel="0" collapsed="false">
      <c r="A14562" s="0" t="s">
        <v>6549</v>
      </c>
      <c r="B14562" s="0" t="str">
        <f aca="false">HYPERLINK("https://lindat.mff.cuni.cz/services/teitok/pdtc10/index.php?action=vallex&amp;frame=v-w1855f201_ZU", "mít (v-w1855f201_ZU) - substituted with v-w1855f328_ZU")</f>
        <v>mít (v-w1855f201_ZU) - substituted with v-w1855f328_ZU</v>
      </c>
    </row>
    <row r="14563" customFormat="false" ht="12.8" hidden="false" customHeight="false" outlineLevel="0" collapsed="false">
      <c r="B14563" s="0" t="s">
        <v>1</v>
      </c>
    </row>
    <row r="14564" customFormat="false" ht="12.8" hidden="false" customHeight="false" outlineLevel="0" collapsed="false">
      <c r="B14564" s="0" t="s">
        <v>6550</v>
      </c>
    </row>
    <row r="14566" customFormat="false" ht="12.8" hidden="false" customHeight="false" outlineLevel="0" collapsed="false">
      <c r="A14566" s="0" t="s">
        <v>6549</v>
      </c>
      <c r="B14566" s="0" t="str">
        <f aca="false">HYPERLINK("https://lindat.mff.cuni.cz/services/teitok/pdtc10/index.php?action=vallex&amp;frame=v-w1855f202_ZU", "mít (v-w1855f202_ZU) - substituted with v-w1855f328_ZU")</f>
        <v>mít (v-w1855f202_ZU) - substituted with v-w1855f328_ZU</v>
      </c>
    </row>
    <row r="14567" customFormat="false" ht="12.8" hidden="false" customHeight="false" outlineLevel="0" collapsed="false">
      <c r="B14567" s="0" t="s">
        <v>1</v>
      </c>
    </row>
    <row r="14568" customFormat="false" ht="12.8" hidden="false" customHeight="false" outlineLevel="0" collapsed="false">
      <c r="B14568" s="0" t="s">
        <v>6550</v>
      </c>
    </row>
    <row r="14570" customFormat="false" ht="12.8" hidden="false" customHeight="false" outlineLevel="0" collapsed="false">
      <c r="A14570" s="0" t="s">
        <v>6551</v>
      </c>
      <c r="B14570" s="0" t="str">
        <f aca="false">HYPERLINK("https://lindat.mff.cuni.cz/services/teitok/pdtc10/index.php?action=vallex&amp;frame=v-w1855f290_ZU", "mít (v-w1855f290_ZU)")</f>
        <v>mít (v-w1855f290_ZU)</v>
      </c>
    </row>
    <row r="14571" customFormat="false" ht="12.8" hidden="false" customHeight="false" outlineLevel="0" collapsed="false">
      <c r="B14571" s="0" t="s">
        <v>1</v>
      </c>
    </row>
    <row r="14572" customFormat="false" ht="12.8" hidden="false" customHeight="false" outlineLevel="0" collapsed="false">
      <c r="B14572" s="0" t="s">
        <v>6552</v>
      </c>
    </row>
    <row r="14574" customFormat="false" ht="12.8" hidden="false" customHeight="false" outlineLevel="0" collapsed="false">
      <c r="A14574" s="0" t="s">
        <v>6551</v>
      </c>
      <c r="B14574" s="0" t="str">
        <f aca="false">HYPERLINK("https://lindat.mff.cuni.cz/services/teitok/pdtc10/index.php?action=vallex&amp;frame=v-w1855f210_ZU", "mít (v-w1855f210_ZU) - substituted with v-w1855f290_ZU")</f>
        <v>mít (v-w1855f210_ZU) - substituted with v-w1855f290_ZU</v>
      </c>
    </row>
    <row r="14575" customFormat="false" ht="12.8" hidden="false" customHeight="false" outlineLevel="0" collapsed="false">
      <c r="B14575" s="0" t="s">
        <v>1</v>
      </c>
    </row>
    <row r="14576" customFormat="false" ht="12.8" hidden="false" customHeight="false" outlineLevel="0" collapsed="false">
      <c r="B14576" s="0" t="s">
        <v>6552</v>
      </c>
    </row>
    <row r="14578" customFormat="false" ht="12.8" hidden="false" customHeight="false" outlineLevel="0" collapsed="false">
      <c r="A14578" s="0" t="s">
        <v>6551</v>
      </c>
      <c r="B14578" s="0" t="str">
        <f aca="false">HYPERLINK("https://lindat.mff.cuni.cz/services/teitok/pdtc10/index.php?action=vallex&amp;frame=v-w1855f216_ZU", "mít (v-w1855f216_ZU) - substituted with v-w1855f290_ZU")</f>
        <v>mít (v-w1855f216_ZU) - substituted with v-w1855f290_ZU</v>
      </c>
    </row>
    <row r="14579" customFormat="false" ht="12.8" hidden="false" customHeight="false" outlineLevel="0" collapsed="false">
      <c r="B14579" s="0" t="s">
        <v>1</v>
      </c>
    </row>
    <row r="14580" customFormat="false" ht="12.8" hidden="false" customHeight="false" outlineLevel="0" collapsed="false">
      <c r="B14580" s="0" t="s">
        <v>6552</v>
      </c>
    </row>
    <row r="14582" customFormat="false" ht="12.8" hidden="false" customHeight="false" outlineLevel="0" collapsed="false">
      <c r="A14582" s="0" t="s">
        <v>6551</v>
      </c>
      <c r="B14582" s="0" t="str">
        <f aca="false">HYPERLINK("https://lindat.mff.cuni.cz/services/teitok/pdtc10/index.php?action=vallex&amp;frame=v-w1855f253_ZU", "mít (v-w1855f253_ZU) - substituted with v-w1855f290_ZU")</f>
        <v>mít (v-w1855f253_ZU) - substituted with v-w1855f290_ZU</v>
      </c>
    </row>
    <row r="14583" customFormat="false" ht="12.8" hidden="false" customHeight="false" outlineLevel="0" collapsed="false">
      <c r="B14583" s="0" t="s">
        <v>1</v>
      </c>
    </row>
    <row r="14584" customFormat="false" ht="12.8" hidden="false" customHeight="false" outlineLevel="0" collapsed="false">
      <c r="B14584" s="0" t="s">
        <v>6552</v>
      </c>
    </row>
    <row r="14586" customFormat="false" ht="12.8" hidden="false" customHeight="false" outlineLevel="0" collapsed="false">
      <c r="A14586" s="0" t="s">
        <v>6551</v>
      </c>
      <c r="B14586" s="0" t="str">
        <f aca="false">HYPERLINK("https://lindat.mff.cuni.cz/services/teitok/pdtc10/index.php?action=vallex&amp;frame=v-w1855f255_ZU", "mít (v-w1855f255_ZU) - substituted with v-w1855f290_ZU")</f>
        <v>mít (v-w1855f255_ZU) - substituted with v-w1855f290_ZU</v>
      </c>
    </row>
    <row r="14587" customFormat="false" ht="12.8" hidden="false" customHeight="false" outlineLevel="0" collapsed="false">
      <c r="B14587" s="0" t="s">
        <v>1</v>
      </c>
    </row>
    <row r="14588" customFormat="false" ht="12.8" hidden="false" customHeight="false" outlineLevel="0" collapsed="false">
      <c r="B14588" s="0" t="s">
        <v>6552</v>
      </c>
    </row>
    <row r="14590" customFormat="false" ht="12.8" hidden="false" customHeight="false" outlineLevel="0" collapsed="false">
      <c r="A14590" s="0" t="s">
        <v>6551</v>
      </c>
      <c r="B14590" s="0" t="str">
        <f aca="false">HYPERLINK("https://lindat.mff.cuni.cz/services/teitok/pdtc10/index.php?action=vallex&amp;frame=v-w1855f258_ZU", "mít (v-w1855f258_ZU) - substituted with v-w1855f290_ZU")</f>
        <v>mít (v-w1855f258_ZU) - substituted with v-w1855f290_ZU</v>
      </c>
    </row>
    <row r="14591" customFormat="false" ht="12.8" hidden="false" customHeight="false" outlineLevel="0" collapsed="false">
      <c r="B14591" s="0" t="s">
        <v>1</v>
      </c>
    </row>
    <row r="14592" customFormat="false" ht="12.8" hidden="false" customHeight="false" outlineLevel="0" collapsed="false">
      <c r="B14592" s="0" t="s">
        <v>6552</v>
      </c>
    </row>
    <row r="14594" customFormat="false" ht="12.8" hidden="false" customHeight="false" outlineLevel="0" collapsed="false">
      <c r="A14594" s="0" t="s">
        <v>6551</v>
      </c>
      <c r="B14594" s="0" t="str">
        <f aca="false">HYPERLINK("https://lindat.mff.cuni.cz/services/teitok/pdtc10/index.php?action=vallex&amp;frame=v-w1855f49", "mít (v-w1855f49) - substituted with v-w1855f290_ZU")</f>
        <v>mít (v-w1855f49) - substituted with v-w1855f290_ZU</v>
      </c>
    </row>
    <row r="14595" customFormat="false" ht="12.8" hidden="false" customHeight="false" outlineLevel="0" collapsed="false">
      <c r="B14595" s="0" t="s">
        <v>1</v>
      </c>
    </row>
    <row r="14596" customFormat="false" ht="12.8" hidden="false" customHeight="false" outlineLevel="0" collapsed="false">
      <c r="B14596" s="0" t="s">
        <v>6552</v>
      </c>
    </row>
    <row r="14598" customFormat="false" ht="12.8" hidden="false" customHeight="false" outlineLevel="0" collapsed="false">
      <c r="A14598" s="0" t="s">
        <v>6551</v>
      </c>
      <c r="B14598" s="0" t="str">
        <f aca="false">HYPERLINK("https://lindat.mff.cuni.cz/services/teitok/pdtc10/index.php?action=vallex&amp;frame=v-w1855f93_ZU", "mít (v-w1855f93_ZU) - substituted with v-w1855f290_ZU")</f>
        <v>mít (v-w1855f93_ZU) - substituted with v-w1855f290_ZU</v>
      </c>
    </row>
    <row r="14599" customFormat="false" ht="12.8" hidden="false" customHeight="false" outlineLevel="0" collapsed="false">
      <c r="B14599" s="0" t="s">
        <v>1</v>
      </c>
    </row>
    <row r="14600" customFormat="false" ht="12.8" hidden="false" customHeight="false" outlineLevel="0" collapsed="false">
      <c r="B14600" s="0" t="s">
        <v>6552</v>
      </c>
    </row>
    <row r="14602" customFormat="false" ht="12.8" hidden="false" customHeight="false" outlineLevel="0" collapsed="false">
      <c r="A14602" s="0" t="s">
        <v>6551</v>
      </c>
      <c r="B14602" s="0" t="str">
        <f aca="false">HYPERLINK("https://lindat.mff.cuni.cz/services/teitok/pdtc10/index.php?action=vallex&amp;frame=v-w1855hsa_1110", "mít (v-w1855hsa_1110) - substituted with v-w1855f290_ZU")</f>
        <v>mít (v-w1855hsa_1110) - substituted with v-w1855f290_ZU</v>
      </c>
    </row>
    <row r="14603" customFormat="false" ht="12.8" hidden="false" customHeight="false" outlineLevel="0" collapsed="false">
      <c r="B14603" s="0" t="s">
        <v>1</v>
      </c>
    </row>
    <row r="14604" customFormat="false" ht="12.8" hidden="false" customHeight="false" outlineLevel="0" collapsed="false">
      <c r="B14604" s="0" t="s">
        <v>6552</v>
      </c>
    </row>
    <row r="14606" customFormat="false" ht="12.8" hidden="false" customHeight="false" outlineLevel="0" collapsed="false">
      <c r="A14606" s="0" t="s">
        <v>6551</v>
      </c>
      <c r="B14606" s="0" t="str">
        <f aca="false">HYPERLINK("https://lindat.mff.cuni.cz/services/teitok/pdtc10/index.php?action=vallex&amp;frame=v-w1855hsa_969", "mít (v-w1855hsa_969) - substituted with v-w1855f290_ZU")</f>
        <v>mít (v-w1855hsa_969) - substituted with v-w1855f290_ZU</v>
      </c>
    </row>
    <row r="14607" customFormat="false" ht="12.8" hidden="false" customHeight="false" outlineLevel="0" collapsed="false">
      <c r="B14607" s="0" t="s">
        <v>1</v>
      </c>
    </row>
    <row r="14608" customFormat="false" ht="12.8" hidden="false" customHeight="false" outlineLevel="0" collapsed="false">
      <c r="B14608" s="0" t="s">
        <v>6552</v>
      </c>
    </row>
    <row r="14610" customFormat="false" ht="12.8" hidden="false" customHeight="false" outlineLevel="0" collapsed="false">
      <c r="A14610" s="0" t="s">
        <v>6553</v>
      </c>
      <c r="B14610" s="0" t="str">
        <f aca="false">HYPERLINK("https://lindat.mff.cuni.cz/services/teitok/pdtc10/index.php?action=vallex&amp;frame=v-w1855f343_MM", "mít (v-w1855f343_MM)")</f>
        <v>mít (v-w1855f343_MM)</v>
      </c>
    </row>
    <row r="14611" customFormat="false" ht="12.8" hidden="false" customHeight="false" outlineLevel="0" collapsed="false">
      <c r="B14611" s="0" t="s">
        <v>1</v>
      </c>
    </row>
    <row r="14612" customFormat="false" ht="12.8" hidden="false" customHeight="false" outlineLevel="0" collapsed="false">
      <c r="B14612" s="0" t="s">
        <v>6554</v>
      </c>
    </row>
    <row r="14614" customFormat="false" ht="12.8" hidden="false" customHeight="false" outlineLevel="0" collapsed="false">
      <c r="A14614" s="0" t="s">
        <v>6553</v>
      </c>
      <c r="B14614" s="0" t="str">
        <f aca="false">HYPERLINK("https://lindat.mff.cuni.cz/services/teitok/pdtc10/index.php?action=vallex&amp;frame=v-w1855f10", "mít (v-w1855f10) - substituted with v-w1855f343_MM")</f>
        <v>mít (v-w1855f10) - substituted with v-w1855f343_MM</v>
      </c>
    </row>
    <row r="14615" customFormat="false" ht="12.8" hidden="false" customHeight="false" outlineLevel="0" collapsed="false">
      <c r="B14615" s="0" t="s">
        <v>1</v>
      </c>
    </row>
    <row r="14616" customFormat="false" ht="12.8" hidden="false" customHeight="false" outlineLevel="0" collapsed="false">
      <c r="B14616" s="0" t="s">
        <v>6554</v>
      </c>
    </row>
    <row r="14618" customFormat="false" ht="12.8" hidden="false" customHeight="false" outlineLevel="0" collapsed="false">
      <c r="A14618" s="0" t="s">
        <v>6553</v>
      </c>
      <c r="B14618" s="0" t="str">
        <f aca="false">HYPERLINK("https://lindat.mff.cuni.cz/services/teitok/pdtc10/index.php?action=vallex&amp;frame=v-w1855f157_ZU", "mít (v-w1855f157_ZU) - substituted with v-w1855f343_MM")</f>
        <v>mít (v-w1855f157_ZU) - substituted with v-w1855f343_MM</v>
      </c>
    </row>
    <row r="14619" customFormat="false" ht="12.8" hidden="false" customHeight="false" outlineLevel="0" collapsed="false">
      <c r="B14619" s="0" t="s">
        <v>1</v>
      </c>
    </row>
    <row r="14620" customFormat="false" ht="12.8" hidden="false" customHeight="false" outlineLevel="0" collapsed="false">
      <c r="B14620" s="0" t="s">
        <v>6554</v>
      </c>
    </row>
    <row r="14622" customFormat="false" ht="12.8" hidden="false" customHeight="false" outlineLevel="0" collapsed="false">
      <c r="A14622" s="0" t="s">
        <v>6553</v>
      </c>
      <c r="B14622" s="0" t="str">
        <f aca="false">HYPERLINK("https://lindat.mff.cuni.cz/services/teitok/pdtc10/index.php?action=vallex&amp;frame=v-w1855f211_ZU", "mít (v-w1855f211_ZU) - substituted with v-w1855f343_MM")</f>
        <v>mít (v-w1855f211_ZU) - substituted with v-w1855f343_MM</v>
      </c>
    </row>
    <row r="14623" customFormat="false" ht="12.8" hidden="false" customHeight="false" outlineLevel="0" collapsed="false">
      <c r="B14623" s="0" t="s">
        <v>1</v>
      </c>
    </row>
    <row r="14624" customFormat="false" ht="12.8" hidden="false" customHeight="false" outlineLevel="0" collapsed="false">
      <c r="B14624" s="0" t="s">
        <v>6554</v>
      </c>
    </row>
    <row r="14626" customFormat="false" ht="12.8" hidden="false" customHeight="false" outlineLevel="0" collapsed="false">
      <c r="A14626" s="0" t="s">
        <v>6553</v>
      </c>
      <c r="B14626" s="0" t="str">
        <f aca="false">HYPERLINK("https://lindat.mff.cuni.cz/services/teitok/pdtc10/index.php?action=vallex&amp;frame=v-w1855f292_ZU", "mít (v-w1855f292_ZU) - substituted with v-w1855f343_MM")</f>
        <v>mít (v-w1855f292_ZU) - substituted with v-w1855f343_MM</v>
      </c>
    </row>
    <row r="14627" customFormat="false" ht="12.8" hidden="false" customHeight="false" outlineLevel="0" collapsed="false">
      <c r="B14627" s="0" t="s">
        <v>1</v>
      </c>
    </row>
    <row r="14628" customFormat="false" ht="12.8" hidden="false" customHeight="false" outlineLevel="0" collapsed="false">
      <c r="B14628" s="0" t="s">
        <v>6554</v>
      </c>
    </row>
    <row r="14630" customFormat="false" ht="12.8" hidden="false" customHeight="false" outlineLevel="0" collapsed="false">
      <c r="A14630" s="0" t="s">
        <v>6553</v>
      </c>
      <c r="B14630" s="0" t="str">
        <f aca="false">HYPERLINK("https://lindat.mff.cuni.cz/services/teitok/pdtc10/index.php?action=vallex&amp;frame=v-w1855f340_MM", "mít (v-w1855f340_MM) - substituted with v-w1855f343_MM")</f>
        <v>mít (v-w1855f340_MM) - substituted with v-w1855f343_MM</v>
      </c>
    </row>
    <row r="14631" customFormat="false" ht="12.8" hidden="false" customHeight="false" outlineLevel="0" collapsed="false">
      <c r="B14631" s="0" t="s">
        <v>1</v>
      </c>
    </row>
    <row r="14632" customFormat="false" ht="12.8" hidden="false" customHeight="false" outlineLevel="0" collapsed="false">
      <c r="B14632" s="0" t="s">
        <v>6554</v>
      </c>
    </row>
    <row r="14634" customFormat="false" ht="12.8" hidden="false" customHeight="false" outlineLevel="0" collapsed="false">
      <c r="A14634" s="0" t="s">
        <v>6553</v>
      </c>
      <c r="B14634" s="0" t="str">
        <f aca="false">HYPERLINK("https://lindat.mff.cuni.cz/services/teitok/pdtc10/index.php?action=vallex&amp;frame=v-w1855f341_MM", "mít (v-w1855f341_MM) - substituted with v-w1855f343_MM")</f>
        <v>mít (v-w1855f341_MM) - substituted with v-w1855f343_MM</v>
      </c>
    </row>
    <row r="14635" customFormat="false" ht="12.8" hidden="false" customHeight="false" outlineLevel="0" collapsed="false">
      <c r="B14635" s="0" t="s">
        <v>1</v>
      </c>
    </row>
    <row r="14636" customFormat="false" ht="12.8" hidden="false" customHeight="false" outlineLevel="0" collapsed="false">
      <c r="B14636" s="0" t="s">
        <v>6554</v>
      </c>
    </row>
    <row r="14638" customFormat="false" ht="12.8" hidden="false" customHeight="false" outlineLevel="0" collapsed="false">
      <c r="A14638" s="0" t="s">
        <v>6553</v>
      </c>
      <c r="B14638" s="0" t="str">
        <f aca="false">HYPERLINK("https://lindat.mff.cuni.cz/services/teitok/pdtc10/index.php?action=vallex&amp;frame=v-w1855f342_MM", "mít (v-w1855f342_MM) - substituted with v-w1855f343_MM")</f>
        <v>mít (v-w1855f342_MM) - substituted with v-w1855f343_MM</v>
      </c>
    </row>
    <row r="14639" customFormat="false" ht="12.8" hidden="false" customHeight="false" outlineLevel="0" collapsed="false">
      <c r="B14639" s="0" t="s">
        <v>1</v>
      </c>
    </row>
    <row r="14640" customFormat="false" ht="12.8" hidden="false" customHeight="false" outlineLevel="0" collapsed="false">
      <c r="B14640" s="0" t="s">
        <v>6554</v>
      </c>
    </row>
    <row r="14642" customFormat="false" ht="12.8" hidden="false" customHeight="false" outlineLevel="0" collapsed="false">
      <c r="A14642" s="0" t="s">
        <v>6553</v>
      </c>
      <c r="B14642" s="0" t="str">
        <f aca="false">HYPERLINK("https://lindat.mff.cuni.cz/services/teitok/pdtc10/index.php?action=vallex&amp;frame=v-w1855hsa_1117", "mít (v-w1855hsa_1117) - substituted with v-w1855f343_MM")</f>
        <v>mít (v-w1855hsa_1117) - substituted with v-w1855f343_MM</v>
      </c>
    </row>
    <row r="14643" customFormat="false" ht="12.8" hidden="false" customHeight="false" outlineLevel="0" collapsed="false">
      <c r="B14643" s="0" t="s">
        <v>1</v>
      </c>
    </row>
    <row r="14644" customFormat="false" ht="12.8" hidden="false" customHeight="false" outlineLevel="0" collapsed="false">
      <c r="B14644" s="0" t="s">
        <v>6554</v>
      </c>
    </row>
    <row r="14646" customFormat="false" ht="12.8" hidden="false" customHeight="false" outlineLevel="0" collapsed="false">
      <c r="A14646" s="0" t="s">
        <v>6553</v>
      </c>
      <c r="B14646" s="0" t="str">
        <f aca="false">HYPERLINK("https://lindat.mff.cuni.cz/services/teitok/pdtc10/index.php?action=vallex&amp;frame=v-w1855hsa_970", "mít (v-w1855hsa_970) - substituted with v-w1855f343_MM")</f>
        <v>mít (v-w1855hsa_970) - substituted with v-w1855f343_MM</v>
      </c>
    </row>
    <row r="14647" customFormat="false" ht="12.8" hidden="false" customHeight="false" outlineLevel="0" collapsed="false">
      <c r="B14647" s="0" t="s">
        <v>1</v>
      </c>
    </row>
    <row r="14648" customFormat="false" ht="12.8" hidden="false" customHeight="false" outlineLevel="0" collapsed="false">
      <c r="B14648" s="0" t="s">
        <v>6554</v>
      </c>
    </row>
    <row r="14650" customFormat="false" ht="12.8" hidden="false" customHeight="false" outlineLevel="0" collapsed="false">
      <c r="A14650" s="0" t="s">
        <v>6555</v>
      </c>
      <c r="B14650" s="0" t="str">
        <f aca="false">HYPERLINK("https://lindat.mff.cuni.cz/services/teitok/pdtc10/index.php?action=vallex&amp;frame=v-w1855f221_ZU", "mít (v-w1855f221_ZU)")</f>
        <v>mít (v-w1855f221_ZU)</v>
      </c>
    </row>
    <row r="14651" customFormat="false" ht="12.8" hidden="false" customHeight="false" outlineLevel="0" collapsed="false">
      <c r="B14651" s="0" t="s">
        <v>1</v>
      </c>
    </row>
    <row r="14652" customFormat="false" ht="12.8" hidden="false" customHeight="false" outlineLevel="0" collapsed="false">
      <c r="B14652" s="0" t="s">
        <v>6556</v>
      </c>
    </row>
    <row r="14654" customFormat="false" ht="12.8" hidden="false" customHeight="false" outlineLevel="0" collapsed="false">
      <c r="A14654" s="0" t="s">
        <v>6555</v>
      </c>
      <c r="B14654" s="0" t="str">
        <f aca="false">HYPERLINK("https://lindat.mff.cuni.cz/services/teitok/pdtc10/index.php?action=vallex&amp;frame=v-w1855f212_ZU", "mít (v-w1855f212_ZU) - substituted with v-w1855f221_ZU")</f>
        <v>mít (v-w1855f212_ZU) - substituted with v-w1855f221_ZU</v>
      </c>
    </row>
    <row r="14655" customFormat="false" ht="12.8" hidden="false" customHeight="false" outlineLevel="0" collapsed="false">
      <c r="B14655" s="0" t="s">
        <v>1</v>
      </c>
    </row>
    <row r="14656" customFormat="false" ht="12.8" hidden="false" customHeight="false" outlineLevel="0" collapsed="false">
      <c r="B14656" s="0" t="s">
        <v>6556</v>
      </c>
    </row>
    <row r="14658" customFormat="false" ht="12.8" hidden="false" customHeight="false" outlineLevel="0" collapsed="false">
      <c r="A14658" s="0" t="s">
        <v>6555</v>
      </c>
      <c r="B14658" s="0" t="str">
        <f aca="false">HYPERLINK("https://lindat.mff.cuni.cz/services/teitok/pdtc10/index.php?action=vallex&amp;frame=v-w1855f219_ZU", "mít (v-w1855f219_ZU) - substituted with v-w1855f221_ZU")</f>
        <v>mít (v-w1855f219_ZU) - substituted with v-w1855f221_ZU</v>
      </c>
    </row>
    <row r="14659" customFormat="false" ht="12.8" hidden="false" customHeight="false" outlineLevel="0" collapsed="false">
      <c r="B14659" s="0" t="s">
        <v>1</v>
      </c>
    </row>
    <row r="14660" customFormat="false" ht="12.8" hidden="false" customHeight="false" outlineLevel="0" collapsed="false">
      <c r="B14660" s="0" t="s">
        <v>6556</v>
      </c>
    </row>
    <row r="14662" customFormat="false" ht="12.8" hidden="false" customHeight="false" outlineLevel="0" collapsed="false">
      <c r="A14662" s="0" t="s">
        <v>6555</v>
      </c>
      <c r="B14662" s="0" t="str">
        <f aca="false">HYPERLINK("https://lindat.mff.cuni.cz/services/teitok/pdtc10/index.php?action=vallex&amp;frame=v-w1855f8", "mít (v-w1855f8) - substituted with v-w1855f221_ZU")</f>
        <v>mít (v-w1855f8) - substituted with v-w1855f221_ZU</v>
      </c>
    </row>
    <row r="14663" customFormat="false" ht="12.8" hidden="false" customHeight="false" outlineLevel="0" collapsed="false">
      <c r="B14663" s="0" t="s">
        <v>1</v>
      </c>
    </row>
    <row r="14664" customFormat="false" ht="12.8" hidden="false" customHeight="false" outlineLevel="0" collapsed="false">
      <c r="B14664" s="0" t="s">
        <v>6556</v>
      </c>
    </row>
    <row r="14666" customFormat="false" ht="12.8" hidden="false" customHeight="false" outlineLevel="0" collapsed="false">
      <c r="A14666" s="0" t="s">
        <v>6555</v>
      </c>
      <c r="B14666" s="0" t="str">
        <f aca="false">HYPERLINK("https://lindat.mff.cuni.cz/services/teitok/pdtc10/index.php?action=vallex&amp;frame=v-w1855f99_ZU", "mít (v-w1855f99_ZU) - substituted with v-w1855f221_ZU")</f>
        <v>mít (v-w1855f99_ZU) - substituted with v-w1855f221_ZU</v>
      </c>
    </row>
    <row r="14667" customFormat="false" ht="12.8" hidden="false" customHeight="false" outlineLevel="0" collapsed="false">
      <c r="B14667" s="0" t="s">
        <v>1</v>
      </c>
    </row>
    <row r="14668" customFormat="false" ht="12.8" hidden="false" customHeight="false" outlineLevel="0" collapsed="false">
      <c r="B14668" s="0" t="s">
        <v>6556</v>
      </c>
    </row>
    <row r="14670" customFormat="false" ht="12.8" hidden="false" customHeight="false" outlineLevel="0" collapsed="false">
      <c r="A14670" s="0" t="s">
        <v>6555</v>
      </c>
      <c r="B14670" s="0" t="str">
        <f aca="false">HYPERLINK("https://lindat.mff.cuni.cz/services/teitok/pdtc10/index.php?action=vallex&amp;frame=v-w1855hsa_1123", "mít (v-w1855hsa_1123) - substituted with v-w1855f221_ZU")</f>
        <v>mít (v-w1855hsa_1123) - substituted with v-w1855f221_ZU</v>
      </c>
    </row>
    <row r="14671" customFormat="false" ht="12.8" hidden="false" customHeight="false" outlineLevel="0" collapsed="false">
      <c r="B14671" s="0" t="s">
        <v>1</v>
      </c>
    </row>
    <row r="14672" customFormat="false" ht="12.8" hidden="false" customHeight="false" outlineLevel="0" collapsed="false">
      <c r="B14672" s="0" t="s">
        <v>6556</v>
      </c>
    </row>
    <row r="14674" customFormat="false" ht="12.8" hidden="false" customHeight="false" outlineLevel="0" collapsed="false">
      <c r="A14674" s="0" t="s">
        <v>6557</v>
      </c>
      <c r="B14674" s="0" t="str">
        <f aca="false">HYPERLINK("https://lindat.mff.cuni.cz/services/teitok/pdtc10/index.php?action=vallex&amp;frame=v-w1855f206_ZU", "mít (v-w1855f206_ZU)")</f>
        <v>mít (v-w1855f206_ZU)</v>
      </c>
    </row>
    <row r="14675" customFormat="false" ht="12.8" hidden="false" customHeight="false" outlineLevel="0" collapsed="false">
      <c r="B14675" s="0" t="s">
        <v>1</v>
      </c>
    </row>
    <row r="14676" customFormat="false" ht="12.8" hidden="false" customHeight="false" outlineLevel="0" collapsed="false">
      <c r="B14676" s="0" t="s">
        <v>6558</v>
      </c>
    </row>
    <row r="14678" customFormat="false" ht="12.8" hidden="false" customHeight="false" outlineLevel="0" collapsed="false">
      <c r="A14678" s="0" t="s">
        <v>6557</v>
      </c>
      <c r="B14678" s="0" t="str">
        <f aca="false">HYPERLINK("https://lindat.mff.cuni.cz/services/teitok/pdtc10/index.php?action=vallex&amp;frame=v-w1855f102_ZU", "mít (v-w1855f102_ZU) - substituted with v-w1855f206_ZU")</f>
        <v>mít (v-w1855f102_ZU) - substituted with v-w1855f206_ZU</v>
      </c>
    </row>
    <row r="14679" customFormat="false" ht="12.8" hidden="false" customHeight="false" outlineLevel="0" collapsed="false">
      <c r="B14679" s="0" t="s">
        <v>1</v>
      </c>
    </row>
    <row r="14680" customFormat="false" ht="12.8" hidden="false" customHeight="false" outlineLevel="0" collapsed="false">
      <c r="B14680" s="0" t="s">
        <v>6558</v>
      </c>
    </row>
    <row r="14682" customFormat="false" ht="12.8" hidden="false" customHeight="false" outlineLevel="0" collapsed="false">
      <c r="A14682" s="0" t="s">
        <v>6557</v>
      </c>
      <c r="B14682" s="0" t="str">
        <f aca="false">HYPERLINK("https://lindat.mff.cuni.cz/services/teitok/pdtc10/index.php?action=vallex&amp;frame=v-w1855f21", "mít (v-w1855f21) - substituted with v-w1855f206_ZU")</f>
        <v>mít (v-w1855f21) - substituted with v-w1855f206_ZU</v>
      </c>
    </row>
    <row r="14683" customFormat="false" ht="12.8" hidden="false" customHeight="false" outlineLevel="0" collapsed="false">
      <c r="B14683" s="0" t="s">
        <v>1</v>
      </c>
    </row>
    <row r="14684" customFormat="false" ht="12.8" hidden="false" customHeight="false" outlineLevel="0" collapsed="false">
      <c r="B14684" s="0" t="s">
        <v>6558</v>
      </c>
    </row>
    <row r="14686" customFormat="false" ht="12.8" hidden="false" customHeight="false" outlineLevel="0" collapsed="false">
      <c r="A14686" s="0" t="s">
        <v>6559</v>
      </c>
      <c r="B14686" s="0" t="str">
        <f aca="false">HYPERLINK("https://lindat.mff.cuni.cz/services/teitok/pdtc10/index.php?action=vallex&amp;frame=v-w1855hsa_971", "mít (v-w1855hsa_971)")</f>
        <v>mít (v-w1855hsa_971)</v>
      </c>
    </row>
    <row r="14687" customFormat="false" ht="12.8" hidden="false" customHeight="false" outlineLevel="0" collapsed="false">
      <c r="B14687" s="0" t="s">
        <v>1</v>
      </c>
    </row>
    <row r="14688" customFormat="false" ht="12.8" hidden="false" customHeight="false" outlineLevel="0" collapsed="false">
      <c r="B14688" s="0" t="s">
        <v>6560</v>
      </c>
    </row>
    <row r="14690" customFormat="false" ht="12.8" hidden="false" customHeight="false" outlineLevel="0" collapsed="false">
      <c r="A14690" s="0" t="s">
        <v>6559</v>
      </c>
      <c r="B14690" s="0" t="str">
        <f aca="false">HYPERLINK("https://lindat.mff.cuni.cz/services/teitok/pdtc10/index.php?action=vallex&amp;frame=v-w1855f139_ZU", "mít (v-w1855f139_ZU) - substituted with v-w1855hsa_971")</f>
        <v>mít (v-w1855f139_ZU) - substituted with v-w1855hsa_971</v>
      </c>
    </row>
    <row r="14691" customFormat="false" ht="12.8" hidden="false" customHeight="false" outlineLevel="0" collapsed="false">
      <c r="B14691" s="0" t="s">
        <v>1</v>
      </c>
    </row>
    <row r="14692" customFormat="false" ht="12.8" hidden="false" customHeight="false" outlineLevel="0" collapsed="false">
      <c r="B14692" s="0" t="s">
        <v>6560</v>
      </c>
    </row>
    <row r="14694" customFormat="false" ht="12.8" hidden="false" customHeight="false" outlineLevel="0" collapsed="false">
      <c r="A14694" s="0" t="s">
        <v>6559</v>
      </c>
      <c r="B14694" s="0" t="str">
        <f aca="false">HYPERLINK("https://lindat.mff.cuni.cz/services/teitok/pdtc10/index.php?action=vallex&amp;frame=v-w1855f140_ZU", "mít (v-w1855f140_ZU) - substituted with v-w1855hsa_971")</f>
        <v>mít (v-w1855f140_ZU) - substituted with v-w1855hsa_971</v>
      </c>
    </row>
    <row r="14695" customFormat="false" ht="12.8" hidden="false" customHeight="false" outlineLevel="0" collapsed="false">
      <c r="B14695" s="0" t="s">
        <v>1</v>
      </c>
    </row>
    <row r="14696" customFormat="false" ht="12.8" hidden="false" customHeight="false" outlineLevel="0" collapsed="false">
      <c r="B14696" s="0" t="s">
        <v>6560</v>
      </c>
    </row>
    <row r="14698" customFormat="false" ht="12.8" hidden="false" customHeight="false" outlineLevel="0" collapsed="false">
      <c r="A14698" s="0" t="s">
        <v>6559</v>
      </c>
      <c r="B14698" s="0" t="str">
        <f aca="false">HYPERLINK("https://lindat.mff.cuni.cz/services/teitok/pdtc10/index.php?action=vallex&amp;frame=v-w1855f141_ZU", "mít (v-w1855f141_ZU) - substituted with v-w1855hsa_971")</f>
        <v>mít (v-w1855f141_ZU) - substituted with v-w1855hsa_971</v>
      </c>
    </row>
    <row r="14699" customFormat="false" ht="12.8" hidden="false" customHeight="false" outlineLevel="0" collapsed="false">
      <c r="B14699" s="0" t="s">
        <v>1</v>
      </c>
    </row>
    <row r="14700" customFormat="false" ht="12.8" hidden="false" customHeight="false" outlineLevel="0" collapsed="false">
      <c r="B14700" s="0" t="s">
        <v>6560</v>
      </c>
    </row>
    <row r="14702" customFormat="false" ht="12.8" hidden="false" customHeight="false" outlineLevel="0" collapsed="false">
      <c r="A14702" s="0" t="s">
        <v>6559</v>
      </c>
      <c r="B14702" s="0" t="str">
        <f aca="false">HYPERLINK("https://lindat.mff.cuni.cz/services/teitok/pdtc10/index.php?action=vallex&amp;frame=v-w1855f148_ZU", "mít (v-w1855f148_ZU) - substituted with v-w1855hsa_971")</f>
        <v>mít (v-w1855f148_ZU) - substituted with v-w1855hsa_971</v>
      </c>
    </row>
    <row r="14703" customFormat="false" ht="12.8" hidden="false" customHeight="false" outlineLevel="0" collapsed="false">
      <c r="B14703" s="0" t="s">
        <v>1</v>
      </c>
    </row>
    <row r="14704" customFormat="false" ht="12.8" hidden="false" customHeight="false" outlineLevel="0" collapsed="false">
      <c r="B14704" s="0" t="s">
        <v>6560</v>
      </c>
    </row>
    <row r="14706" customFormat="false" ht="12.8" hidden="false" customHeight="false" outlineLevel="0" collapsed="false">
      <c r="A14706" s="0" t="s">
        <v>6561</v>
      </c>
      <c r="B14706" s="0" t="str">
        <f aca="false">HYPERLINK("https://lindat.mff.cuni.cz/services/teitok/pdtc10/index.php?action=vallex&amp;frame=v-w1855f134_ZU", "mít (v-w1855f134_ZU)")</f>
        <v>mít (v-w1855f134_ZU)</v>
      </c>
    </row>
    <row r="14707" customFormat="false" ht="12.8" hidden="false" customHeight="false" outlineLevel="0" collapsed="false">
      <c r="B14707" s="0" t="s">
        <v>1</v>
      </c>
    </row>
    <row r="14708" customFormat="false" ht="12.8" hidden="false" customHeight="false" outlineLevel="0" collapsed="false">
      <c r="B14708" s="0" t="s">
        <v>6562</v>
      </c>
    </row>
    <row r="14710" customFormat="false" ht="12.8" hidden="false" customHeight="false" outlineLevel="0" collapsed="false">
      <c r="A14710" s="0" t="s">
        <v>6563</v>
      </c>
      <c r="B14710" s="0" t="str">
        <f aca="false">HYPERLINK("https://lindat.mff.cuni.cz/services/teitok/pdtc10/index.php?action=vallex&amp;frame=v-w1855hsa_973", "mít (v-w1855hsa_973)")</f>
        <v>mít (v-w1855hsa_973)</v>
      </c>
    </row>
    <row r="14711" customFormat="false" ht="12.8" hidden="false" customHeight="false" outlineLevel="0" collapsed="false">
      <c r="B14711" s="0" t="s">
        <v>1</v>
      </c>
    </row>
    <row r="14712" customFormat="false" ht="12.8" hidden="false" customHeight="false" outlineLevel="0" collapsed="false">
      <c r="B14712" s="0" t="s">
        <v>6564</v>
      </c>
    </row>
    <row r="14714" customFormat="false" ht="12.8" hidden="false" customHeight="false" outlineLevel="0" collapsed="false">
      <c r="A14714" s="0" t="s">
        <v>6563</v>
      </c>
      <c r="B14714" s="0" t="str">
        <f aca="false">HYPERLINK("https://lindat.mff.cuni.cz/services/teitok/pdtc10/index.php?action=vallex&amp;frame=v-w1855f224_ZU", "mít (v-w1855f224_ZU) - substituted with v-w1855hsa_973")</f>
        <v>mít (v-w1855f224_ZU) - substituted with v-w1855hsa_973</v>
      </c>
    </row>
    <row r="14715" customFormat="false" ht="12.8" hidden="false" customHeight="false" outlineLevel="0" collapsed="false">
      <c r="B14715" s="0" t="s">
        <v>1</v>
      </c>
    </row>
    <row r="14716" customFormat="false" ht="12.8" hidden="false" customHeight="false" outlineLevel="0" collapsed="false">
      <c r="B14716" s="0" t="s">
        <v>6564</v>
      </c>
    </row>
    <row r="14718" customFormat="false" ht="12.8" hidden="false" customHeight="false" outlineLevel="0" collapsed="false">
      <c r="A14718" s="0" t="s">
        <v>6563</v>
      </c>
      <c r="B14718" s="0" t="str">
        <f aca="false">HYPERLINK("https://lindat.mff.cuni.cz/services/teitok/pdtc10/index.php?action=vallex&amp;frame=v-w1855f90_ZU", "mít (v-w1855f90_ZU) - substituted with v-w1855hsa_973")</f>
        <v>mít (v-w1855f90_ZU) - substituted with v-w1855hsa_973</v>
      </c>
    </row>
    <row r="14719" customFormat="false" ht="12.8" hidden="false" customHeight="false" outlineLevel="0" collapsed="false">
      <c r="B14719" s="0" t="s">
        <v>1</v>
      </c>
    </row>
    <row r="14720" customFormat="false" ht="12.8" hidden="false" customHeight="false" outlineLevel="0" collapsed="false">
      <c r="B14720" s="0" t="s">
        <v>6564</v>
      </c>
    </row>
    <row r="14722" customFormat="false" ht="12.8" hidden="false" customHeight="false" outlineLevel="0" collapsed="false">
      <c r="A14722" s="0" t="s">
        <v>6563</v>
      </c>
      <c r="B14722" s="0" t="str">
        <f aca="false">HYPERLINK("https://lindat.mff.cuni.cz/services/teitok/pdtc10/index.php?action=vallex&amp;frame=v-w1855f95_ZU", "mít (v-w1855f95_ZU) - substituted with v-w1855hsa_973")</f>
        <v>mít (v-w1855f95_ZU) - substituted with v-w1855hsa_973</v>
      </c>
    </row>
    <row r="14723" customFormat="false" ht="12.8" hidden="false" customHeight="false" outlineLevel="0" collapsed="false">
      <c r="B14723" s="0" t="s">
        <v>1</v>
      </c>
    </row>
    <row r="14724" customFormat="false" ht="12.8" hidden="false" customHeight="false" outlineLevel="0" collapsed="false">
      <c r="B14724" s="0" t="s">
        <v>6564</v>
      </c>
    </row>
    <row r="14726" customFormat="false" ht="12.8" hidden="false" customHeight="false" outlineLevel="0" collapsed="false">
      <c r="A14726" s="0" t="s">
        <v>6563</v>
      </c>
      <c r="B14726" s="0" t="str">
        <f aca="false">HYPERLINK("https://lindat.mff.cuni.cz/services/teitok/pdtc10/index.php?action=vallex&amp;frame=v-w1855f96_ZU", "mít (v-w1855f96_ZU) - substituted with v-w1855hsa_973")</f>
        <v>mít (v-w1855f96_ZU) - substituted with v-w1855hsa_973</v>
      </c>
    </row>
    <row r="14727" customFormat="false" ht="12.8" hidden="false" customHeight="false" outlineLevel="0" collapsed="false">
      <c r="B14727" s="0" t="s">
        <v>1</v>
      </c>
    </row>
    <row r="14728" customFormat="false" ht="12.8" hidden="false" customHeight="false" outlineLevel="0" collapsed="false">
      <c r="B14728" s="0" t="s">
        <v>6564</v>
      </c>
    </row>
    <row r="14730" customFormat="false" ht="12.8" hidden="false" customHeight="false" outlineLevel="0" collapsed="false">
      <c r="A14730" s="0" t="s">
        <v>6563</v>
      </c>
      <c r="B14730" s="0" t="str">
        <f aca="false">HYPERLINK("https://lindat.mff.cuni.cz/services/teitok/pdtc10/index.php?action=vallex&amp;frame=v-w1855hsa_1115", "mít (v-w1855hsa_1115) - substituted with v-w1855hsa_973")</f>
        <v>mít (v-w1855hsa_1115) - substituted with v-w1855hsa_973</v>
      </c>
    </row>
    <row r="14731" customFormat="false" ht="12.8" hidden="false" customHeight="false" outlineLevel="0" collapsed="false">
      <c r="B14731" s="0" t="s">
        <v>1</v>
      </c>
    </row>
    <row r="14732" customFormat="false" ht="12.8" hidden="false" customHeight="false" outlineLevel="0" collapsed="false">
      <c r="B14732" s="0" t="s">
        <v>6564</v>
      </c>
    </row>
    <row r="14734" customFormat="false" ht="12.8" hidden="false" customHeight="false" outlineLevel="0" collapsed="false">
      <c r="A14734" s="0" t="s">
        <v>6565</v>
      </c>
      <c r="B14734" s="0" t="str">
        <f aca="false">HYPERLINK("https://lindat.mff.cuni.cz/services/teitok/pdtc10/index.php?action=vallex&amp;frame=v-w1855f125_ZU", "mít (v-w1855f125_ZU)")</f>
        <v>mít (v-w1855f125_ZU)</v>
      </c>
    </row>
    <row r="14735" customFormat="false" ht="12.8" hidden="false" customHeight="false" outlineLevel="0" collapsed="false">
      <c r="B14735" s="0" t="s">
        <v>1</v>
      </c>
    </row>
    <row r="14736" customFormat="false" ht="12.8" hidden="false" customHeight="false" outlineLevel="0" collapsed="false">
      <c r="B14736" s="0" t="s">
        <v>6566</v>
      </c>
    </row>
    <row r="14738" customFormat="false" ht="12.8" hidden="false" customHeight="false" outlineLevel="0" collapsed="false">
      <c r="A14738" s="0" t="s">
        <v>6567</v>
      </c>
      <c r="B14738" s="0" t="str">
        <f aca="false">HYPERLINK("https://lindat.mff.cuni.cz/services/teitok/pdtc10/index.php?action=vallex&amp;frame=v-w1855f301_ZU", "mít (v-w1855f301_ZU)")</f>
        <v>mít (v-w1855f301_ZU)</v>
      </c>
    </row>
    <row r="14739" customFormat="false" ht="12.8" hidden="false" customHeight="false" outlineLevel="0" collapsed="false">
      <c r="B14739" s="0" t="s">
        <v>1</v>
      </c>
    </row>
    <row r="14740" customFormat="false" ht="12.8" hidden="false" customHeight="false" outlineLevel="0" collapsed="false">
      <c r="B14740" s="0" t="s">
        <v>6568</v>
      </c>
    </row>
    <row r="14742" customFormat="false" ht="12.8" hidden="false" customHeight="false" outlineLevel="0" collapsed="false">
      <c r="A14742" s="0" t="s">
        <v>6567</v>
      </c>
      <c r="B14742" s="0" t="str">
        <f aca="false">HYPERLINK("https://lindat.mff.cuni.cz/services/teitok/pdtc10/index.php?action=vallex&amp;frame=v-w1855f100_ZU", "mít (v-w1855f100_ZU) - substituted with v-w1855f301_ZU")</f>
        <v>mít (v-w1855f100_ZU) - substituted with v-w1855f301_ZU</v>
      </c>
    </row>
    <row r="14743" customFormat="false" ht="12.8" hidden="false" customHeight="false" outlineLevel="0" collapsed="false">
      <c r="B14743" s="0" t="s">
        <v>1</v>
      </c>
    </row>
    <row r="14744" customFormat="false" ht="12.8" hidden="false" customHeight="false" outlineLevel="0" collapsed="false">
      <c r="B14744" s="0" t="s">
        <v>6568</v>
      </c>
    </row>
    <row r="14746" customFormat="false" ht="12.8" hidden="false" customHeight="false" outlineLevel="0" collapsed="false">
      <c r="A14746" s="0" t="s">
        <v>6567</v>
      </c>
      <c r="B14746" s="0" t="str">
        <f aca="false">HYPERLINK("https://lindat.mff.cuni.cz/services/teitok/pdtc10/index.php?action=vallex&amp;frame=v-w1855f105_ZU", "mít (v-w1855f105_ZU) - substituted with v-w1855f301_ZU")</f>
        <v>mít (v-w1855f105_ZU) - substituted with v-w1855f301_ZU</v>
      </c>
    </row>
    <row r="14747" customFormat="false" ht="12.8" hidden="false" customHeight="false" outlineLevel="0" collapsed="false">
      <c r="B14747" s="0" t="s">
        <v>1</v>
      </c>
    </row>
    <row r="14748" customFormat="false" ht="12.8" hidden="false" customHeight="false" outlineLevel="0" collapsed="false">
      <c r="B14748" s="0" t="s">
        <v>6568</v>
      </c>
    </row>
    <row r="14750" customFormat="false" ht="12.8" hidden="false" customHeight="false" outlineLevel="0" collapsed="false">
      <c r="A14750" s="0" t="s">
        <v>6567</v>
      </c>
      <c r="B14750" s="0" t="str">
        <f aca="false">HYPERLINK("https://lindat.mff.cuni.cz/services/teitok/pdtc10/index.php?action=vallex&amp;frame=v-w1855f217_ZU", "mít (v-w1855f217_ZU) - substituted with v-w1855f301_ZU")</f>
        <v>mít (v-w1855f217_ZU) - substituted with v-w1855f301_ZU</v>
      </c>
    </row>
    <row r="14751" customFormat="false" ht="12.8" hidden="false" customHeight="false" outlineLevel="0" collapsed="false">
      <c r="B14751" s="0" t="s">
        <v>1</v>
      </c>
    </row>
    <row r="14752" customFormat="false" ht="12.8" hidden="false" customHeight="false" outlineLevel="0" collapsed="false">
      <c r="B14752" s="0" t="s">
        <v>6568</v>
      </c>
    </row>
    <row r="14754" customFormat="false" ht="12.8" hidden="false" customHeight="false" outlineLevel="0" collapsed="false">
      <c r="A14754" s="0" t="s">
        <v>6567</v>
      </c>
      <c r="B14754" s="0" t="str">
        <f aca="false">HYPERLINK("https://lindat.mff.cuni.cz/services/teitok/pdtc10/index.php?action=vallex&amp;frame=v-w1855f269_ZU", "mít (v-w1855f269_ZU) - substituted with v-w1855f301_ZU")</f>
        <v>mít (v-w1855f269_ZU) - substituted with v-w1855f301_ZU</v>
      </c>
    </row>
    <row r="14755" customFormat="false" ht="12.8" hidden="false" customHeight="false" outlineLevel="0" collapsed="false">
      <c r="B14755" s="0" t="s">
        <v>1</v>
      </c>
    </row>
    <row r="14756" customFormat="false" ht="12.8" hidden="false" customHeight="false" outlineLevel="0" collapsed="false">
      <c r="B14756" s="0" t="s">
        <v>6568</v>
      </c>
    </row>
    <row r="14758" customFormat="false" ht="12.8" hidden="false" customHeight="false" outlineLevel="0" collapsed="false">
      <c r="A14758" s="0" t="s">
        <v>6567</v>
      </c>
      <c r="B14758" s="0" t="str">
        <f aca="false">HYPERLINK("https://lindat.mff.cuni.cz/services/teitok/pdtc10/index.php?action=vallex&amp;frame=v-w1855f283_ZU", "mít (v-w1855f283_ZU) - substituted with v-w1855f301_ZU")</f>
        <v>mít (v-w1855f283_ZU) - substituted with v-w1855f301_ZU</v>
      </c>
    </row>
    <row r="14759" customFormat="false" ht="12.8" hidden="false" customHeight="false" outlineLevel="0" collapsed="false">
      <c r="B14759" s="0" t="s">
        <v>1</v>
      </c>
    </row>
    <row r="14760" customFormat="false" ht="12.8" hidden="false" customHeight="false" outlineLevel="0" collapsed="false">
      <c r="B14760" s="0" t="s">
        <v>6568</v>
      </c>
    </row>
    <row r="14762" customFormat="false" ht="12.8" hidden="false" customHeight="false" outlineLevel="0" collapsed="false">
      <c r="A14762" s="0" t="s">
        <v>6567</v>
      </c>
      <c r="B14762" s="0" t="str">
        <f aca="false">HYPERLINK("https://lindat.mff.cuni.cz/services/teitok/pdtc10/index.php?action=vallex&amp;frame=v-w1855f295_ZU", "mít (v-w1855f295_ZU) - substituted with v-w1855f301_ZU")</f>
        <v>mít (v-w1855f295_ZU) - substituted with v-w1855f301_ZU</v>
      </c>
    </row>
    <row r="14763" customFormat="false" ht="12.8" hidden="false" customHeight="false" outlineLevel="0" collapsed="false">
      <c r="B14763" s="0" t="s">
        <v>1</v>
      </c>
    </row>
    <row r="14764" customFormat="false" ht="12.8" hidden="false" customHeight="false" outlineLevel="0" collapsed="false">
      <c r="B14764" s="0" t="s">
        <v>6568</v>
      </c>
    </row>
    <row r="14766" customFormat="false" ht="12.8" hidden="false" customHeight="false" outlineLevel="0" collapsed="false">
      <c r="A14766" s="0" t="s">
        <v>6567</v>
      </c>
      <c r="B14766" s="0" t="str">
        <f aca="false">HYPERLINK("https://lindat.mff.cuni.cz/services/teitok/pdtc10/index.php?action=vallex&amp;frame=v-w1855f7", "mít (v-w1855f7) - substituted with v-w1855f301_ZU")</f>
        <v>mít (v-w1855f7) - substituted with v-w1855f301_ZU</v>
      </c>
    </row>
    <row r="14767" customFormat="false" ht="12.8" hidden="false" customHeight="false" outlineLevel="0" collapsed="false">
      <c r="B14767" s="0" t="s">
        <v>1</v>
      </c>
    </row>
    <row r="14768" customFormat="false" ht="12.8" hidden="false" customHeight="false" outlineLevel="0" collapsed="false">
      <c r="B14768" s="0" t="s">
        <v>6568</v>
      </c>
    </row>
    <row r="14770" customFormat="false" ht="12.8" hidden="false" customHeight="false" outlineLevel="0" collapsed="false">
      <c r="A14770" s="0" t="s">
        <v>6567</v>
      </c>
      <c r="B14770" s="0" t="str">
        <f aca="false">HYPERLINK("https://lindat.mff.cuni.cz/services/teitok/pdtc10/index.php?action=vallex&amp;frame=v-w1855hsa_1121", "mít (v-w1855hsa_1121) - substituted with v-w1855f301_ZU")</f>
        <v>mít (v-w1855hsa_1121) - substituted with v-w1855f301_ZU</v>
      </c>
    </row>
    <row r="14771" customFormat="false" ht="12.8" hidden="false" customHeight="false" outlineLevel="0" collapsed="false">
      <c r="B14771" s="0" t="s">
        <v>1</v>
      </c>
    </row>
    <row r="14772" customFormat="false" ht="12.8" hidden="false" customHeight="false" outlineLevel="0" collapsed="false">
      <c r="B14772" s="0" t="s">
        <v>6568</v>
      </c>
    </row>
    <row r="14774" customFormat="false" ht="12.8" hidden="false" customHeight="false" outlineLevel="0" collapsed="false">
      <c r="A14774" s="0" t="s">
        <v>6567</v>
      </c>
      <c r="B14774" s="0" t="str">
        <f aca="false">HYPERLINK("https://lindat.mff.cuni.cz/services/teitok/pdtc10/index.php?action=vallex&amp;frame=v-w1855hsa_974", "mít (v-w1855hsa_974) - substituted with v-w1855f301_ZU")</f>
        <v>mít (v-w1855hsa_974) - substituted with v-w1855f301_ZU</v>
      </c>
    </row>
    <row r="14775" customFormat="false" ht="12.8" hidden="false" customHeight="false" outlineLevel="0" collapsed="false">
      <c r="B14775" s="0" t="s">
        <v>1</v>
      </c>
    </row>
    <row r="14776" customFormat="false" ht="12.8" hidden="false" customHeight="false" outlineLevel="0" collapsed="false">
      <c r="B14776" s="0" t="s">
        <v>6568</v>
      </c>
    </row>
    <row r="14778" customFormat="false" ht="12.8" hidden="false" customHeight="false" outlineLevel="0" collapsed="false">
      <c r="A14778" s="0" t="s">
        <v>6569</v>
      </c>
      <c r="B14778" s="0" t="str">
        <f aca="false">HYPERLINK("https://lindat.mff.cuni.cz/services/teitok/pdtc10/index.php?action=vallex&amp;frame=v-w1855f207_ZU", "mít (v-w1855f207_ZU)")</f>
        <v>mít (v-w1855f207_ZU)</v>
      </c>
    </row>
    <row r="14779" customFormat="false" ht="12.8" hidden="false" customHeight="false" outlineLevel="0" collapsed="false">
      <c r="B14779" s="0" t="s">
        <v>1</v>
      </c>
    </row>
    <row r="14780" customFormat="false" ht="12.8" hidden="false" customHeight="false" outlineLevel="0" collapsed="false">
      <c r="B14780" s="0" t="s">
        <v>6570</v>
      </c>
    </row>
    <row r="14782" customFormat="false" ht="12.8" hidden="false" customHeight="false" outlineLevel="0" collapsed="false">
      <c r="A14782" s="0" t="s">
        <v>6569</v>
      </c>
      <c r="B14782" s="0" t="str">
        <f aca="false">HYPERLINK("https://lindat.mff.cuni.cz/services/teitok/pdtc10/index.php?action=vallex&amp;frame=v-w1855f129_ZU", "mít (v-w1855f129_ZU) - substituted with v-w1855f207_ZU")</f>
        <v>mít (v-w1855f129_ZU) - substituted with v-w1855f207_ZU</v>
      </c>
    </row>
    <row r="14783" customFormat="false" ht="12.8" hidden="false" customHeight="false" outlineLevel="0" collapsed="false">
      <c r="B14783" s="0" t="s">
        <v>1</v>
      </c>
    </row>
    <row r="14784" customFormat="false" ht="12.8" hidden="false" customHeight="false" outlineLevel="0" collapsed="false">
      <c r="B14784" s="0" t="s">
        <v>6570</v>
      </c>
    </row>
    <row r="14786" customFormat="false" ht="12.8" hidden="false" customHeight="false" outlineLevel="0" collapsed="false">
      <c r="A14786" s="0" t="s">
        <v>6569</v>
      </c>
      <c r="B14786" s="0" t="str">
        <f aca="false">HYPERLINK("https://lindat.mff.cuni.cz/services/teitok/pdtc10/index.php?action=vallex&amp;frame=v-w1855f22", "mít (v-w1855f22) - substituted with v-w1855f207_ZU")</f>
        <v>mít (v-w1855f22) - substituted with v-w1855f207_ZU</v>
      </c>
    </row>
    <row r="14787" customFormat="false" ht="12.8" hidden="false" customHeight="false" outlineLevel="0" collapsed="false">
      <c r="B14787" s="0" t="s">
        <v>1</v>
      </c>
    </row>
    <row r="14788" customFormat="false" ht="12.8" hidden="false" customHeight="false" outlineLevel="0" collapsed="false">
      <c r="B14788" s="0" t="s">
        <v>6570</v>
      </c>
    </row>
    <row r="14790" customFormat="false" ht="12.8" hidden="false" customHeight="false" outlineLevel="0" collapsed="false">
      <c r="A14790" s="0" t="s">
        <v>6569</v>
      </c>
      <c r="B14790" s="0" t="str">
        <f aca="false">HYPERLINK("https://lindat.mff.cuni.cz/services/teitok/pdtc10/index.php?action=vallex&amp;frame=v-w1855hsa_1120", "mít (v-w1855hsa_1120) - substituted with v-w1855f207_ZU")</f>
        <v>mít (v-w1855hsa_1120) - substituted with v-w1855f207_ZU</v>
      </c>
    </row>
    <row r="14791" customFormat="false" ht="12.8" hidden="false" customHeight="false" outlineLevel="0" collapsed="false">
      <c r="B14791" s="0" t="s">
        <v>1</v>
      </c>
    </row>
    <row r="14792" customFormat="false" ht="12.8" hidden="false" customHeight="false" outlineLevel="0" collapsed="false">
      <c r="B14792" s="0" t="s">
        <v>6570</v>
      </c>
    </row>
    <row r="14794" customFormat="false" ht="12.8" hidden="false" customHeight="false" outlineLevel="0" collapsed="false">
      <c r="A14794" s="0" t="s">
        <v>6571</v>
      </c>
      <c r="B14794" s="0" t="str">
        <f aca="false">HYPERLINK("https://lindat.mff.cuni.cz/services/teitok/pdtc10/index.php?action=vallex&amp;frame=v-w1855f335_ZU", "mít (v-w1855f335_ZU)")</f>
        <v>mít (v-w1855f335_ZU)</v>
      </c>
    </row>
    <row r="14795" customFormat="false" ht="12.8" hidden="false" customHeight="false" outlineLevel="0" collapsed="false">
      <c r="B14795" s="0" t="s">
        <v>1</v>
      </c>
    </row>
    <row r="14796" customFormat="false" ht="12.8" hidden="false" customHeight="false" outlineLevel="0" collapsed="false">
      <c r="B14796" s="0" t="s">
        <v>6572</v>
      </c>
    </row>
    <row r="14798" customFormat="false" ht="12.8" hidden="false" customHeight="false" outlineLevel="0" collapsed="false">
      <c r="A14798" s="0" t="s">
        <v>6571</v>
      </c>
      <c r="B14798" s="0" t="str">
        <f aca="false">HYPERLINK("https://lindat.mff.cuni.cz/services/teitok/pdtc10/index.php?action=vallex&amp;frame=v-w1855f106_ZU", "mít (v-w1855f106_ZU) - substituted with v-w1855f335_ZU")</f>
        <v>mít (v-w1855f106_ZU) - substituted with v-w1855f335_ZU</v>
      </c>
    </row>
    <row r="14799" customFormat="false" ht="12.8" hidden="false" customHeight="false" outlineLevel="0" collapsed="false">
      <c r="B14799" s="0" t="s">
        <v>1</v>
      </c>
    </row>
    <row r="14800" customFormat="false" ht="12.8" hidden="false" customHeight="false" outlineLevel="0" collapsed="false">
      <c r="B14800" s="0" t="s">
        <v>6572</v>
      </c>
    </row>
    <row r="14802" customFormat="false" ht="12.8" hidden="false" customHeight="false" outlineLevel="0" collapsed="false">
      <c r="A14802" s="0" t="s">
        <v>6571</v>
      </c>
      <c r="B14802" s="0" t="str">
        <f aca="false">HYPERLINK("https://lindat.mff.cuni.cz/services/teitok/pdtc10/index.php?action=vallex&amp;frame=v-w1855f119_ZU", "mít (v-w1855f119_ZU) - substituted with v-w1855f335_ZU")</f>
        <v>mít (v-w1855f119_ZU) - substituted with v-w1855f335_ZU</v>
      </c>
    </row>
    <row r="14803" customFormat="false" ht="12.8" hidden="false" customHeight="false" outlineLevel="0" collapsed="false">
      <c r="B14803" s="0" t="s">
        <v>1</v>
      </c>
    </row>
    <row r="14804" customFormat="false" ht="12.8" hidden="false" customHeight="false" outlineLevel="0" collapsed="false">
      <c r="B14804" s="0" t="s">
        <v>6572</v>
      </c>
    </row>
    <row r="14806" customFormat="false" ht="12.8" hidden="false" customHeight="false" outlineLevel="0" collapsed="false">
      <c r="A14806" s="0" t="s">
        <v>6571</v>
      </c>
      <c r="B14806" s="0" t="str">
        <f aca="false">HYPERLINK("https://lindat.mff.cuni.cz/services/teitok/pdtc10/index.php?action=vallex&amp;frame=v-w1855f120_ZU", "mít (v-w1855f120_ZU) - substituted with v-w1855f335_ZU")</f>
        <v>mít (v-w1855f120_ZU) - substituted with v-w1855f335_ZU</v>
      </c>
    </row>
    <row r="14807" customFormat="false" ht="12.8" hidden="false" customHeight="false" outlineLevel="0" collapsed="false">
      <c r="B14807" s="0" t="s">
        <v>1</v>
      </c>
    </row>
    <row r="14808" customFormat="false" ht="12.8" hidden="false" customHeight="false" outlineLevel="0" collapsed="false">
      <c r="B14808" s="0" t="s">
        <v>6572</v>
      </c>
    </row>
    <row r="14810" customFormat="false" ht="12.8" hidden="false" customHeight="false" outlineLevel="0" collapsed="false">
      <c r="A14810" s="0" t="s">
        <v>6571</v>
      </c>
      <c r="B14810" s="0" t="str">
        <f aca="false">HYPERLINK("https://lindat.mff.cuni.cz/services/teitok/pdtc10/index.php?action=vallex&amp;frame=v-w1855f281_ZU", "mít (v-w1855f281_ZU) - substituted with v-w1855f335_ZU")</f>
        <v>mít (v-w1855f281_ZU) - substituted with v-w1855f335_ZU</v>
      </c>
    </row>
    <row r="14811" customFormat="false" ht="12.8" hidden="false" customHeight="false" outlineLevel="0" collapsed="false">
      <c r="B14811" s="0" t="s">
        <v>1</v>
      </c>
    </row>
    <row r="14812" customFormat="false" ht="12.8" hidden="false" customHeight="false" outlineLevel="0" collapsed="false">
      <c r="B14812" s="0" t="s">
        <v>6572</v>
      </c>
    </row>
    <row r="14814" customFormat="false" ht="12.8" hidden="false" customHeight="false" outlineLevel="0" collapsed="false">
      <c r="A14814" s="0" t="s">
        <v>6571</v>
      </c>
      <c r="B14814" s="0" t="str">
        <f aca="false">HYPERLINK("https://lindat.mff.cuni.cz/services/teitok/pdtc10/index.php?action=vallex&amp;frame=v-w1855f291_ZU", "mít (v-w1855f291_ZU) - substituted with v-w1855f335_ZU")</f>
        <v>mít (v-w1855f291_ZU) - substituted with v-w1855f335_ZU</v>
      </c>
    </row>
    <row r="14815" customFormat="false" ht="12.8" hidden="false" customHeight="false" outlineLevel="0" collapsed="false">
      <c r="B14815" s="0" t="s">
        <v>1</v>
      </c>
    </row>
    <row r="14816" customFormat="false" ht="12.8" hidden="false" customHeight="false" outlineLevel="0" collapsed="false">
      <c r="B14816" s="0" t="s">
        <v>6572</v>
      </c>
    </row>
    <row r="14818" customFormat="false" ht="12.8" hidden="false" customHeight="false" outlineLevel="0" collapsed="false">
      <c r="A14818" s="0" t="s">
        <v>6571</v>
      </c>
      <c r="B14818" s="0" t="str">
        <f aca="false">HYPERLINK("https://lindat.mff.cuni.cz/services/teitok/pdtc10/index.php?action=vallex&amp;frame=v-w1855hsa_1112", "mít (v-w1855hsa_1112) - substituted with v-w1855f335_ZU")</f>
        <v>mít (v-w1855hsa_1112) - substituted with v-w1855f335_ZU</v>
      </c>
    </row>
    <row r="14819" customFormat="false" ht="12.8" hidden="false" customHeight="false" outlineLevel="0" collapsed="false">
      <c r="B14819" s="0" t="s">
        <v>1</v>
      </c>
    </row>
    <row r="14820" customFormat="false" ht="12.8" hidden="false" customHeight="false" outlineLevel="0" collapsed="false">
      <c r="B14820" s="0" t="s">
        <v>6572</v>
      </c>
    </row>
    <row r="14822" customFormat="false" ht="12.8" hidden="false" customHeight="false" outlineLevel="0" collapsed="false">
      <c r="A14822" s="0" t="s">
        <v>6571</v>
      </c>
      <c r="B14822" s="0" t="str">
        <f aca="false">HYPERLINK("https://lindat.mff.cuni.cz/services/teitok/pdtc10/index.php?action=vallex&amp;frame=v-w1855hsa_975", "mít (v-w1855hsa_975) - substituted with v-w1855f335_ZU")</f>
        <v>mít (v-w1855hsa_975) - substituted with v-w1855f335_ZU</v>
      </c>
    </row>
    <row r="14823" customFormat="false" ht="12.8" hidden="false" customHeight="false" outlineLevel="0" collapsed="false">
      <c r="B14823" s="0" t="s">
        <v>1</v>
      </c>
    </row>
    <row r="14824" customFormat="false" ht="12.8" hidden="false" customHeight="false" outlineLevel="0" collapsed="false">
      <c r="B14824" s="0" t="s">
        <v>6572</v>
      </c>
    </row>
    <row r="14826" customFormat="false" ht="12.8" hidden="false" customHeight="false" outlineLevel="0" collapsed="false">
      <c r="A14826" s="0" t="s">
        <v>6573</v>
      </c>
      <c r="B14826" s="0" t="str">
        <f aca="false">HYPERLINK("https://lindat.mff.cuni.cz/services/teitok/pdtc10/index.php?action=vallex&amp;frame=v-w1855f347_MM", "mít (v-w1855f347_MM)")</f>
        <v>mít (v-w1855f347_MM)</v>
      </c>
    </row>
    <row r="14827" customFormat="false" ht="12.8" hidden="false" customHeight="false" outlineLevel="0" collapsed="false">
      <c r="B14827" s="0" t="s">
        <v>1</v>
      </c>
    </row>
    <row r="14828" customFormat="false" ht="12.8" hidden="false" customHeight="false" outlineLevel="0" collapsed="false">
      <c r="B14828" s="0" t="s">
        <v>6574</v>
      </c>
    </row>
    <row r="14830" customFormat="false" ht="12.8" hidden="false" customHeight="false" outlineLevel="0" collapsed="false">
      <c r="A14830" s="0" t="s">
        <v>6573</v>
      </c>
      <c r="B14830" s="0" t="str">
        <f aca="false">HYPERLINK("https://lindat.mff.cuni.cz/services/teitok/pdtc10/index.php?action=vallex&amp;frame=v-w1855f122_ZU", "mít (v-w1855f122_ZU) - substituted with v-w1855f347_MM")</f>
        <v>mít (v-w1855f122_ZU) - substituted with v-w1855f347_MM</v>
      </c>
    </row>
    <row r="14831" customFormat="false" ht="12.8" hidden="false" customHeight="false" outlineLevel="0" collapsed="false">
      <c r="B14831" s="0" t="s">
        <v>1</v>
      </c>
    </row>
    <row r="14832" customFormat="false" ht="12.8" hidden="false" customHeight="false" outlineLevel="0" collapsed="false">
      <c r="B14832" s="0" t="s">
        <v>6574</v>
      </c>
    </row>
    <row r="14834" customFormat="false" ht="12.8" hidden="false" customHeight="false" outlineLevel="0" collapsed="false">
      <c r="A14834" s="0" t="s">
        <v>6573</v>
      </c>
      <c r="B14834" s="0" t="str">
        <f aca="false">HYPERLINK("https://lindat.mff.cuni.cz/services/teitok/pdtc10/index.php?action=vallex&amp;frame=v-w1855f215_ZU", "mít (v-w1855f215_ZU) - substituted with v-w1855f347_MM")</f>
        <v>mít (v-w1855f215_ZU) - substituted with v-w1855f347_MM</v>
      </c>
    </row>
    <row r="14835" customFormat="false" ht="12.8" hidden="false" customHeight="false" outlineLevel="0" collapsed="false">
      <c r="B14835" s="0" t="s">
        <v>1</v>
      </c>
    </row>
    <row r="14836" customFormat="false" ht="12.8" hidden="false" customHeight="false" outlineLevel="0" collapsed="false">
      <c r="B14836" s="0" t="s">
        <v>6574</v>
      </c>
    </row>
    <row r="14838" customFormat="false" ht="12.8" hidden="false" customHeight="false" outlineLevel="0" collapsed="false">
      <c r="A14838" s="0" t="s">
        <v>6573</v>
      </c>
      <c r="B14838" s="0" t="str">
        <f aca="false">HYPERLINK("https://lindat.mff.cuni.cz/services/teitok/pdtc10/index.php?action=vallex&amp;frame=v-w1855f41", "mít (v-w1855f41) - substituted with v-w1855f347_MM")</f>
        <v>mít (v-w1855f41) - substituted with v-w1855f347_MM</v>
      </c>
    </row>
    <row r="14839" customFormat="false" ht="12.8" hidden="false" customHeight="false" outlineLevel="0" collapsed="false">
      <c r="B14839" s="0" t="s">
        <v>1</v>
      </c>
    </row>
    <row r="14840" customFormat="false" ht="12.8" hidden="false" customHeight="false" outlineLevel="0" collapsed="false">
      <c r="B14840" s="0" t="s">
        <v>6574</v>
      </c>
    </row>
    <row r="14842" customFormat="false" ht="12.8" hidden="false" customHeight="false" outlineLevel="0" collapsed="false">
      <c r="A14842" s="0" t="s">
        <v>6573</v>
      </c>
      <c r="B14842" s="0" t="str">
        <f aca="false">HYPERLINK("https://lindat.mff.cuni.cz/services/teitok/pdtc10/index.php?action=vallex&amp;frame=v-w1855hsa_1116", "mít (v-w1855hsa_1116) - substituted with v-w1855f347_MM")</f>
        <v>mít (v-w1855hsa_1116) - substituted with v-w1855f347_MM</v>
      </c>
    </row>
    <row r="14843" customFormat="false" ht="12.8" hidden="false" customHeight="false" outlineLevel="0" collapsed="false">
      <c r="B14843" s="0" t="s">
        <v>1</v>
      </c>
    </row>
    <row r="14844" customFormat="false" ht="12.8" hidden="false" customHeight="false" outlineLevel="0" collapsed="false">
      <c r="B14844" s="0" t="s">
        <v>6574</v>
      </c>
    </row>
    <row r="14846" customFormat="false" ht="12.8" hidden="false" customHeight="false" outlineLevel="0" collapsed="false">
      <c r="A14846" s="0" t="s">
        <v>6573</v>
      </c>
      <c r="B14846" s="0" t="str">
        <f aca="false">HYPERLINK("https://lindat.mff.cuni.cz/services/teitok/pdtc10/index.php?action=vallex&amp;frame=v-w1855hsa_976", "mít (v-w1855hsa_976) - substituted with v-w1855f347_MM")</f>
        <v>mít (v-w1855hsa_976) - substituted with v-w1855f347_MM</v>
      </c>
    </row>
    <row r="14847" customFormat="false" ht="12.8" hidden="false" customHeight="false" outlineLevel="0" collapsed="false">
      <c r="B14847" s="0" t="s">
        <v>1</v>
      </c>
    </row>
    <row r="14848" customFormat="false" ht="12.8" hidden="false" customHeight="false" outlineLevel="0" collapsed="false">
      <c r="B14848" s="0" t="s">
        <v>6574</v>
      </c>
    </row>
    <row r="14850" customFormat="false" ht="12.8" hidden="false" customHeight="false" outlineLevel="0" collapsed="false">
      <c r="A14850" s="0" t="s">
        <v>6575</v>
      </c>
      <c r="B14850" s="0" t="str">
        <f aca="false">HYPERLINK("https://lindat.mff.cuni.cz/services/teitok/pdtc10/index.php?action=vallex&amp;frame=v-w1855f344_MM", "mít (v-w1855f344_MM)")</f>
        <v>mít (v-w1855f344_MM)</v>
      </c>
    </row>
    <row r="14851" customFormat="false" ht="12.8" hidden="false" customHeight="false" outlineLevel="0" collapsed="false">
      <c r="B14851" s="0" t="s">
        <v>1</v>
      </c>
    </row>
    <row r="14852" customFormat="false" ht="12.8" hidden="false" customHeight="false" outlineLevel="0" collapsed="false">
      <c r="B14852" s="0" t="s">
        <v>6576</v>
      </c>
    </row>
    <row r="14854" customFormat="false" ht="12.8" hidden="false" customHeight="false" outlineLevel="0" collapsed="false">
      <c r="A14854" s="0" t="s">
        <v>6575</v>
      </c>
      <c r="B14854" s="0" t="str">
        <f aca="false">HYPERLINK("https://lindat.mff.cuni.cz/services/teitok/pdtc10/index.php?action=vallex&amp;frame=v-w1855f130_ZU", "mít (v-w1855f130_ZU) - substituted with v-w1855f344_MM")</f>
        <v>mít (v-w1855f130_ZU) - substituted with v-w1855f344_MM</v>
      </c>
    </row>
    <row r="14855" customFormat="false" ht="12.8" hidden="false" customHeight="false" outlineLevel="0" collapsed="false">
      <c r="B14855" s="0" t="s">
        <v>1</v>
      </c>
    </row>
    <row r="14856" customFormat="false" ht="12.8" hidden="false" customHeight="false" outlineLevel="0" collapsed="false">
      <c r="B14856" s="0" t="s">
        <v>6576</v>
      </c>
    </row>
    <row r="14858" customFormat="false" ht="12.8" hidden="false" customHeight="false" outlineLevel="0" collapsed="false">
      <c r="A14858" s="0" t="s">
        <v>6575</v>
      </c>
      <c r="B14858" s="0" t="str">
        <f aca="false">HYPERLINK("https://lindat.mff.cuni.cz/services/teitok/pdtc10/index.php?action=vallex&amp;frame=v-w1855f303_ZU", "mít (v-w1855f303_ZU) - substituted with v-w1855f344_MM")</f>
        <v>mít (v-w1855f303_ZU) - substituted with v-w1855f344_MM</v>
      </c>
    </row>
    <row r="14859" customFormat="false" ht="12.8" hidden="false" customHeight="false" outlineLevel="0" collapsed="false">
      <c r="B14859" s="0" t="s">
        <v>1</v>
      </c>
    </row>
    <row r="14860" customFormat="false" ht="12.8" hidden="false" customHeight="false" outlineLevel="0" collapsed="false">
      <c r="B14860" s="0" t="s">
        <v>6576</v>
      </c>
    </row>
    <row r="14862" customFormat="false" ht="12.8" hidden="false" customHeight="false" outlineLevel="0" collapsed="false">
      <c r="A14862" s="0" t="s">
        <v>6575</v>
      </c>
      <c r="B14862" s="0" t="str">
        <f aca="false">HYPERLINK("https://lindat.mff.cuni.cz/services/teitok/pdtc10/index.php?action=vallex&amp;frame=v-w1855f92_ZU", "mít (v-w1855f92_ZU) - substituted with v-w1855f344_MM")</f>
        <v>mít (v-w1855f92_ZU) - substituted with v-w1855f344_MM</v>
      </c>
    </row>
    <row r="14863" customFormat="false" ht="12.8" hidden="false" customHeight="false" outlineLevel="0" collapsed="false">
      <c r="B14863" s="0" t="s">
        <v>1</v>
      </c>
    </row>
    <row r="14864" customFormat="false" ht="12.8" hidden="false" customHeight="false" outlineLevel="0" collapsed="false">
      <c r="B14864" s="0" t="s">
        <v>6576</v>
      </c>
    </row>
    <row r="14866" customFormat="false" ht="12.8" hidden="false" customHeight="false" outlineLevel="0" collapsed="false">
      <c r="A14866" s="0" t="s">
        <v>6575</v>
      </c>
      <c r="B14866" s="0" t="str">
        <f aca="false">HYPERLINK("https://lindat.mff.cuni.cz/services/teitok/pdtc10/index.php?action=vallex&amp;frame=v-w1855hsa_978", "mít (v-w1855hsa_978) - substituted with v-w1855f344_MM")</f>
        <v>mít (v-w1855hsa_978) - substituted with v-w1855f344_MM</v>
      </c>
    </row>
    <row r="14867" customFormat="false" ht="12.8" hidden="false" customHeight="false" outlineLevel="0" collapsed="false">
      <c r="B14867" s="0" t="s">
        <v>1</v>
      </c>
    </row>
    <row r="14868" customFormat="false" ht="12.8" hidden="false" customHeight="false" outlineLevel="0" collapsed="false">
      <c r="B14868" s="0" t="s">
        <v>6576</v>
      </c>
    </row>
    <row r="14870" customFormat="false" ht="12.8" hidden="false" customHeight="false" outlineLevel="0" collapsed="false">
      <c r="A14870" s="0" t="s">
        <v>6577</v>
      </c>
      <c r="B14870" s="0" t="str">
        <f aca="false">HYPERLINK("https://lindat.mff.cuni.cz/services/teitok/pdtc10/index.php?action=vallex&amp;frame=v-w1855hsa_1125", "mít (v-w1855hsa_1125)")</f>
        <v>mít (v-w1855hsa_1125)</v>
      </c>
    </row>
    <row r="14871" customFormat="false" ht="12.8" hidden="false" customHeight="false" outlineLevel="0" collapsed="false">
      <c r="B14871" s="0" t="s">
        <v>1</v>
      </c>
    </row>
    <row r="14872" customFormat="false" ht="12.8" hidden="false" customHeight="false" outlineLevel="0" collapsed="false">
      <c r="B14872" s="0" t="s">
        <v>6578</v>
      </c>
    </row>
    <row r="14874" customFormat="false" ht="12.8" hidden="false" customHeight="false" outlineLevel="0" collapsed="false">
      <c r="A14874" s="0" t="s">
        <v>6577</v>
      </c>
      <c r="B14874" s="0" t="str">
        <f aca="false">HYPERLINK("https://lindat.mff.cuni.cz/services/teitok/pdtc10/index.php?action=vallex&amp;frame=v-w1855f103_ZU", "mít (v-w1855f103_ZU) - substituted with v-w1855hsa_1125")</f>
        <v>mít (v-w1855f103_ZU) - substituted with v-w1855hsa_1125</v>
      </c>
    </row>
    <row r="14875" customFormat="false" ht="12.8" hidden="false" customHeight="false" outlineLevel="0" collapsed="false">
      <c r="B14875" s="0" t="s">
        <v>1</v>
      </c>
    </row>
    <row r="14876" customFormat="false" ht="12.8" hidden="false" customHeight="false" outlineLevel="0" collapsed="false">
      <c r="B14876" s="0" t="s">
        <v>6578</v>
      </c>
    </row>
    <row r="14878" customFormat="false" ht="12.8" hidden="false" customHeight="false" outlineLevel="0" collapsed="false">
      <c r="A14878" s="0" t="s">
        <v>6577</v>
      </c>
      <c r="B14878" s="0" t="str">
        <f aca="false">HYPERLINK("https://lindat.mff.cuni.cz/services/teitok/pdtc10/index.php?action=vallex&amp;frame=v-w1855f12", "mít (v-w1855f12) - substituted with v-w1855hsa_1125")</f>
        <v>mít (v-w1855f12) - substituted with v-w1855hsa_1125</v>
      </c>
    </row>
    <row r="14879" customFormat="false" ht="12.8" hidden="false" customHeight="false" outlineLevel="0" collapsed="false">
      <c r="B14879" s="0" t="s">
        <v>1</v>
      </c>
    </row>
    <row r="14880" customFormat="false" ht="12.8" hidden="false" customHeight="false" outlineLevel="0" collapsed="false">
      <c r="B14880" s="0" t="s">
        <v>6578</v>
      </c>
    </row>
    <row r="14882" customFormat="false" ht="12.8" hidden="false" customHeight="false" outlineLevel="0" collapsed="false">
      <c r="A14882" s="0" t="s">
        <v>6579</v>
      </c>
      <c r="B14882" s="0" t="str">
        <f aca="false">HYPERLINK("https://lindat.mff.cuni.cz/services/teitok/pdtc10/index.php?action=vallex&amp;frame=v-w1855f327_ZU", "mít (v-w1855f327_ZU)")</f>
        <v>mít (v-w1855f327_ZU)</v>
      </c>
    </row>
    <row r="14883" customFormat="false" ht="12.8" hidden="false" customHeight="false" outlineLevel="0" collapsed="false">
      <c r="B14883" s="0" t="s">
        <v>1</v>
      </c>
    </row>
    <row r="14884" customFormat="false" ht="12.8" hidden="false" customHeight="false" outlineLevel="0" collapsed="false">
      <c r="B14884" s="0" t="s">
        <v>6580</v>
      </c>
    </row>
    <row r="14886" customFormat="false" ht="12.8" hidden="false" customHeight="false" outlineLevel="0" collapsed="false">
      <c r="A14886" s="0" t="s">
        <v>6579</v>
      </c>
      <c r="B14886" s="0" t="str">
        <f aca="false">HYPERLINK("https://lindat.mff.cuni.cz/services/teitok/pdtc10/index.php?action=vallex&amp;frame=v-w1855f123_ZU", "mít (v-w1855f123_ZU) - substituted with v-w1855f327_ZU")</f>
        <v>mít (v-w1855f123_ZU) - substituted with v-w1855f327_ZU</v>
      </c>
    </row>
    <row r="14887" customFormat="false" ht="12.8" hidden="false" customHeight="false" outlineLevel="0" collapsed="false">
      <c r="B14887" s="0" t="s">
        <v>1</v>
      </c>
    </row>
    <row r="14888" customFormat="false" ht="12.8" hidden="false" customHeight="false" outlineLevel="0" collapsed="false">
      <c r="B14888" s="0" t="s">
        <v>6580</v>
      </c>
    </row>
    <row r="14890" customFormat="false" ht="12.8" hidden="false" customHeight="false" outlineLevel="0" collapsed="false">
      <c r="A14890" s="0" t="s">
        <v>6579</v>
      </c>
      <c r="B14890" s="0" t="str">
        <f aca="false">HYPERLINK("https://lindat.mff.cuni.cz/services/teitok/pdtc10/index.php?action=vallex&amp;frame=v-w1855hsa_1111", "mít (v-w1855hsa_1111) - substituted with v-w1855f327_ZU")</f>
        <v>mít (v-w1855hsa_1111) - substituted with v-w1855f327_ZU</v>
      </c>
    </row>
    <row r="14891" customFormat="false" ht="12.8" hidden="false" customHeight="false" outlineLevel="0" collapsed="false">
      <c r="B14891" s="0" t="s">
        <v>1</v>
      </c>
    </row>
    <row r="14892" customFormat="false" ht="12.8" hidden="false" customHeight="false" outlineLevel="0" collapsed="false">
      <c r="B14892" s="0" t="s">
        <v>6580</v>
      </c>
    </row>
    <row r="14894" customFormat="false" ht="12.8" hidden="false" customHeight="false" outlineLevel="0" collapsed="false">
      <c r="A14894" s="0" t="s">
        <v>6579</v>
      </c>
      <c r="B14894" s="0" t="str">
        <f aca="false">HYPERLINK("https://lindat.mff.cuni.cz/services/teitok/pdtc10/index.php?action=vallex&amp;frame=v-w1855hsa_977", "mít (v-w1855hsa_977) - substituted with v-w1855f327_ZU")</f>
        <v>mít (v-w1855hsa_977) - substituted with v-w1855f327_ZU</v>
      </c>
    </row>
    <row r="14895" customFormat="false" ht="12.8" hidden="false" customHeight="false" outlineLevel="0" collapsed="false">
      <c r="B14895" s="0" t="s">
        <v>1</v>
      </c>
    </row>
    <row r="14896" customFormat="false" ht="12.8" hidden="false" customHeight="false" outlineLevel="0" collapsed="false">
      <c r="B14896" s="0" t="s">
        <v>6580</v>
      </c>
    </row>
    <row r="14898" customFormat="false" ht="12.8" hidden="false" customHeight="false" outlineLevel="0" collapsed="false">
      <c r="A14898" s="0" t="s">
        <v>6581</v>
      </c>
      <c r="B14898" s="0" t="str">
        <f aca="false">HYPERLINK("https://lindat.mff.cuni.cz/services/teitok/pdtc10/index.php?action=vallex&amp;frame=v-w1855f121_ZU", "mít (v-w1855f121_ZU)")</f>
        <v>mít (v-w1855f121_ZU)</v>
      </c>
    </row>
    <row r="14899" customFormat="false" ht="12.8" hidden="false" customHeight="false" outlineLevel="0" collapsed="false">
      <c r="B14899" s="0" t="s">
        <v>1</v>
      </c>
    </row>
    <row r="14900" customFormat="false" ht="12.8" hidden="false" customHeight="false" outlineLevel="0" collapsed="false">
      <c r="B14900" s="0" t="s">
        <v>6582</v>
      </c>
    </row>
    <row r="14902" customFormat="false" ht="12.8" hidden="false" customHeight="false" outlineLevel="0" collapsed="false">
      <c r="A14902" s="0" t="s">
        <v>6583</v>
      </c>
      <c r="B14902" s="0" t="str">
        <f aca="false">HYPERLINK("https://lindat.mff.cuni.cz/services/teitok/pdtc10/index.php?action=vallex&amp;frame=v-w1855f239_ZU", "mít (v-w1855f239_ZU)")</f>
        <v>mít (v-w1855f239_ZU)</v>
      </c>
    </row>
    <row r="14903" customFormat="false" ht="12.8" hidden="false" customHeight="false" outlineLevel="0" collapsed="false">
      <c r="B14903" s="0" t="s">
        <v>1</v>
      </c>
    </row>
    <row r="14904" customFormat="false" ht="12.8" hidden="false" customHeight="false" outlineLevel="0" collapsed="false">
      <c r="B14904" s="0" t="s">
        <v>6584</v>
      </c>
    </row>
    <row r="14906" customFormat="false" ht="12.8" hidden="false" customHeight="false" outlineLevel="0" collapsed="false">
      <c r="A14906" s="0" t="s">
        <v>6583</v>
      </c>
      <c r="B14906" s="0" t="str">
        <f aca="false">HYPERLINK("https://lindat.mff.cuni.cz/services/teitok/pdtc10/index.php?action=vallex&amp;frame=v-w1855f162_ZU", "mít (v-w1855f162_ZU) - substituted with v-w1855f239_ZU")</f>
        <v>mít (v-w1855f162_ZU) - substituted with v-w1855f239_ZU</v>
      </c>
    </row>
    <row r="14907" customFormat="false" ht="12.8" hidden="false" customHeight="false" outlineLevel="0" collapsed="false">
      <c r="B14907" s="0" t="s">
        <v>1</v>
      </c>
    </row>
    <row r="14908" customFormat="false" ht="12.8" hidden="false" customHeight="false" outlineLevel="0" collapsed="false">
      <c r="B14908" s="0" t="s">
        <v>6584</v>
      </c>
    </row>
    <row r="14910" customFormat="false" ht="12.8" hidden="false" customHeight="false" outlineLevel="0" collapsed="false">
      <c r="A14910" s="0" t="s">
        <v>6583</v>
      </c>
      <c r="B14910" s="0" t="str">
        <f aca="false">HYPERLINK("https://lindat.mff.cuni.cz/services/teitok/pdtc10/index.php?action=vallex&amp;frame=v-w1855f17", "mít (v-w1855f17) - substituted with v-w1855f239_ZU")</f>
        <v>mít (v-w1855f17) - substituted with v-w1855f239_ZU</v>
      </c>
    </row>
    <row r="14911" customFormat="false" ht="12.8" hidden="false" customHeight="false" outlineLevel="0" collapsed="false">
      <c r="B14911" s="0" t="s">
        <v>1</v>
      </c>
    </row>
    <row r="14912" customFormat="false" ht="12.8" hidden="false" customHeight="false" outlineLevel="0" collapsed="false">
      <c r="B14912" s="0" t="s">
        <v>6584</v>
      </c>
    </row>
    <row r="14914" customFormat="false" ht="12.8" hidden="false" customHeight="false" outlineLevel="0" collapsed="false">
      <c r="A14914" s="0" t="s">
        <v>6583</v>
      </c>
      <c r="B14914" s="0" t="str">
        <f aca="false">HYPERLINK("https://lindat.mff.cuni.cz/services/teitok/pdtc10/index.php?action=vallex&amp;frame=v-w1855f203_ZU", "mít (v-w1855f203_ZU) - substituted with v-w1855f239_ZU")</f>
        <v>mít (v-w1855f203_ZU) - substituted with v-w1855f239_ZU</v>
      </c>
    </row>
    <row r="14915" customFormat="false" ht="12.8" hidden="false" customHeight="false" outlineLevel="0" collapsed="false">
      <c r="B14915" s="0" t="s">
        <v>1</v>
      </c>
    </row>
    <row r="14916" customFormat="false" ht="12.8" hidden="false" customHeight="false" outlineLevel="0" collapsed="false">
      <c r="B14916" s="0" t="s">
        <v>6584</v>
      </c>
    </row>
    <row r="14918" customFormat="false" ht="12.8" hidden="false" customHeight="false" outlineLevel="0" collapsed="false">
      <c r="A14918" s="0" t="s">
        <v>6583</v>
      </c>
      <c r="B14918" s="0" t="str">
        <f aca="false">HYPERLINK("https://lindat.mff.cuni.cz/services/teitok/pdtc10/index.php?action=vallex&amp;frame=v-w1855hsa_968", "mít (v-w1855hsa_968) - substituted with v-w1855f239_ZU")</f>
        <v>mít (v-w1855hsa_968) - substituted with v-w1855f239_ZU</v>
      </c>
    </row>
    <row r="14919" customFormat="false" ht="12.8" hidden="false" customHeight="false" outlineLevel="0" collapsed="false">
      <c r="B14919" s="0" t="s">
        <v>1</v>
      </c>
    </row>
    <row r="14920" customFormat="false" ht="12.8" hidden="false" customHeight="false" outlineLevel="0" collapsed="false">
      <c r="B14920" s="0" t="s">
        <v>6584</v>
      </c>
    </row>
    <row r="14922" customFormat="false" ht="12.8" hidden="false" customHeight="false" outlineLevel="0" collapsed="false">
      <c r="A14922" s="0" t="s">
        <v>6585</v>
      </c>
      <c r="B14922" s="0" t="str">
        <f aca="false">HYPERLINK("https://lindat.mff.cuni.cz/services/teitok/pdtc10/index.php?action=vallex&amp;frame=v-w1855f126_ZU", "mít (v-w1855f126_ZU)")</f>
        <v>mít (v-w1855f126_ZU)</v>
      </c>
    </row>
    <row r="14923" customFormat="false" ht="12.8" hidden="false" customHeight="false" outlineLevel="0" collapsed="false">
      <c r="B14923" s="0" t="s">
        <v>1</v>
      </c>
    </row>
    <row r="14924" customFormat="false" ht="12.8" hidden="false" customHeight="false" outlineLevel="0" collapsed="false">
      <c r="B14924" s="0" t="s">
        <v>6586</v>
      </c>
    </row>
    <row r="14926" customFormat="false" ht="12.8" hidden="false" customHeight="false" outlineLevel="0" collapsed="false">
      <c r="A14926" s="0" t="s">
        <v>6587</v>
      </c>
      <c r="B14926" s="0" t="str">
        <f aca="false">HYPERLINK("https://lindat.mff.cuni.cz/services/teitok/pdtc10/index.php?action=vallex&amp;frame=v-w1855f127_ZU", "mít (v-w1855f127_ZU)")</f>
        <v>mít (v-w1855f127_ZU)</v>
      </c>
    </row>
    <row r="14927" customFormat="false" ht="12.8" hidden="false" customHeight="false" outlineLevel="0" collapsed="false">
      <c r="B14927" s="0" t="s">
        <v>1</v>
      </c>
    </row>
    <row r="14928" customFormat="false" ht="12.8" hidden="false" customHeight="false" outlineLevel="0" collapsed="false">
      <c r="B14928" s="0" t="s">
        <v>6588</v>
      </c>
    </row>
    <row r="14930" customFormat="false" ht="12.8" hidden="false" customHeight="false" outlineLevel="0" collapsed="false">
      <c r="A14930" s="0" t="s">
        <v>6589</v>
      </c>
      <c r="B14930" s="0" t="str">
        <f aca="false">HYPERLINK("https://lindat.mff.cuni.cz/services/teitok/pdtc10/index.php?action=vallex&amp;frame=v-w1855f110_ZU", "mít (v-w1855f110_ZU)")</f>
        <v>mít (v-w1855f110_ZU)</v>
      </c>
    </row>
    <row r="14931" customFormat="false" ht="12.8" hidden="false" customHeight="false" outlineLevel="0" collapsed="false">
      <c r="B14931" s="0" t="s">
        <v>1</v>
      </c>
    </row>
    <row r="14932" customFormat="false" ht="12.8" hidden="false" customHeight="false" outlineLevel="0" collapsed="false">
      <c r="B14932" s="0" t="s">
        <v>6590</v>
      </c>
    </row>
    <row r="14934" customFormat="false" ht="12.8" hidden="false" customHeight="false" outlineLevel="0" collapsed="false">
      <c r="A14934" s="0" t="s">
        <v>6591</v>
      </c>
      <c r="B14934" s="0" t="str">
        <f aca="false">HYPERLINK("https://lindat.mff.cuni.cz/services/teitok/pdtc10/index.php?action=vallex&amp;frame=v-w1855f94_ZU", "mít (v-w1855f94_ZU)")</f>
        <v>mít (v-w1855f94_ZU)</v>
      </c>
    </row>
    <row r="14935" customFormat="false" ht="12.8" hidden="false" customHeight="false" outlineLevel="0" collapsed="false">
      <c r="B14935" s="0" t="s">
        <v>1</v>
      </c>
    </row>
    <row r="14936" customFormat="false" ht="12.8" hidden="false" customHeight="false" outlineLevel="0" collapsed="false">
      <c r="B14936" s="0" t="s">
        <v>6592</v>
      </c>
    </row>
    <row r="14938" customFormat="false" ht="12.8" hidden="false" customHeight="false" outlineLevel="0" collapsed="false">
      <c r="A14938" s="0" t="s">
        <v>6593</v>
      </c>
      <c r="B14938" s="0" t="str">
        <f aca="false">HYPERLINK("https://lindat.mff.cuni.cz/services/teitok/pdtc10/index.php?action=vallex&amp;frame=v-w1855f104_ZU", "mít (v-w1855f104_ZU)")</f>
        <v>mít (v-w1855f104_ZU)</v>
      </c>
    </row>
    <row r="14939" customFormat="false" ht="12.8" hidden="false" customHeight="false" outlineLevel="0" collapsed="false">
      <c r="B14939" s="0" t="s">
        <v>1</v>
      </c>
    </row>
    <row r="14940" customFormat="false" ht="12.8" hidden="false" customHeight="false" outlineLevel="0" collapsed="false">
      <c r="B14940" s="0" t="s">
        <v>6594</v>
      </c>
    </row>
    <row r="14942" customFormat="false" ht="12.8" hidden="false" customHeight="false" outlineLevel="0" collapsed="false">
      <c r="A14942" s="0" t="s">
        <v>6595</v>
      </c>
      <c r="B14942" s="0" t="str">
        <f aca="false">HYPERLINK("https://lindat.mff.cuni.cz/services/teitok/pdtc10/index.php?action=vallex&amp;frame=v-w1855hsa_1122", "mít (v-w1855hsa_1122)")</f>
        <v>mít (v-w1855hsa_1122)</v>
      </c>
    </row>
    <row r="14943" customFormat="false" ht="12.8" hidden="false" customHeight="false" outlineLevel="0" collapsed="false">
      <c r="B14943" s="0" t="s">
        <v>1</v>
      </c>
    </row>
    <row r="14944" customFormat="false" ht="12.8" hidden="false" customHeight="false" outlineLevel="0" collapsed="false">
      <c r="B14944" s="0" t="s">
        <v>6596</v>
      </c>
    </row>
    <row r="14946" customFormat="false" ht="12.8" hidden="false" customHeight="false" outlineLevel="0" collapsed="false">
      <c r="A14946" s="0" t="s">
        <v>6595</v>
      </c>
      <c r="B14946" s="0" t="str">
        <f aca="false">HYPERLINK("https://lindat.mff.cuni.cz/services/teitok/pdtc10/index.php?action=vallex&amp;frame=v-w1855f116_ZU", "mít (v-w1855f116_ZU) - substituted with v-w1855hsa_1122")</f>
        <v>mít (v-w1855f116_ZU) - substituted with v-w1855hsa_1122</v>
      </c>
    </row>
    <row r="14947" customFormat="false" ht="12.8" hidden="false" customHeight="false" outlineLevel="0" collapsed="false">
      <c r="B14947" s="0" t="s">
        <v>1</v>
      </c>
    </row>
    <row r="14948" customFormat="false" ht="12.8" hidden="false" customHeight="false" outlineLevel="0" collapsed="false">
      <c r="B14948" s="0" t="s">
        <v>6596</v>
      </c>
    </row>
    <row r="14950" customFormat="false" ht="12.8" hidden="false" customHeight="false" outlineLevel="0" collapsed="false">
      <c r="A14950" s="0" t="s">
        <v>6597</v>
      </c>
      <c r="B14950" s="0" t="str">
        <f aca="false">HYPERLINK("https://lindat.mff.cuni.cz/services/teitok/pdtc10/index.php?action=vallex&amp;frame=v-w1855f222_ZU", "mít (v-w1855f222_ZU)")</f>
        <v>mít (v-w1855f222_ZU)</v>
      </c>
    </row>
    <row r="14951" customFormat="false" ht="12.8" hidden="false" customHeight="false" outlineLevel="0" collapsed="false">
      <c r="B14951" s="0" t="s">
        <v>1</v>
      </c>
    </row>
    <row r="14952" customFormat="false" ht="12.8" hidden="false" customHeight="false" outlineLevel="0" collapsed="false">
      <c r="B14952" s="0" t="s">
        <v>6598</v>
      </c>
    </row>
    <row r="14954" customFormat="false" ht="12.8" hidden="false" customHeight="false" outlineLevel="0" collapsed="false">
      <c r="A14954" s="0" t="s">
        <v>6597</v>
      </c>
      <c r="B14954" s="0" t="str">
        <f aca="false">HYPERLINK("https://lindat.mff.cuni.cz/services/teitok/pdtc10/index.php?action=vallex&amp;frame=v-w1855f150_ZU", "mít (v-w1855f150_ZU) - substituted with v-w1855f222_ZU")</f>
        <v>mít (v-w1855f150_ZU) - substituted with v-w1855f222_ZU</v>
      </c>
    </row>
    <row r="14955" customFormat="false" ht="12.8" hidden="false" customHeight="false" outlineLevel="0" collapsed="false">
      <c r="B14955" s="0" t="s">
        <v>1</v>
      </c>
    </row>
    <row r="14956" customFormat="false" ht="12.8" hidden="false" customHeight="false" outlineLevel="0" collapsed="false">
      <c r="B14956" s="0" t="s">
        <v>6598</v>
      </c>
    </row>
    <row r="14958" customFormat="false" ht="12.8" hidden="false" customHeight="false" outlineLevel="0" collapsed="false">
      <c r="A14958" s="0" t="s">
        <v>6597</v>
      </c>
      <c r="B14958" s="0" t="str">
        <f aca="false">HYPERLINK("https://lindat.mff.cuni.cz/services/teitok/pdtc10/index.php?action=vallex&amp;frame=v-w1855f218_ZU", "mít (v-w1855f218_ZU) - substituted with v-w1855f222_ZU")</f>
        <v>mít (v-w1855f218_ZU) - substituted with v-w1855f222_ZU</v>
      </c>
    </row>
    <row r="14959" customFormat="false" ht="12.8" hidden="false" customHeight="false" outlineLevel="0" collapsed="false">
      <c r="B14959" s="0" t="s">
        <v>1</v>
      </c>
    </row>
    <row r="14960" customFormat="false" ht="12.8" hidden="false" customHeight="false" outlineLevel="0" collapsed="false">
      <c r="B14960" s="0" t="s">
        <v>6598</v>
      </c>
    </row>
    <row r="14962" customFormat="false" ht="12.8" hidden="false" customHeight="false" outlineLevel="0" collapsed="false">
      <c r="A14962" s="0" t="s">
        <v>6597</v>
      </c>
      <c r="B14962" s="0" t="str">
        <f aca="false">HYPERLINK("https://lindat.mff.cuni.cz/services/teitok/pdtc10/index.php?action=vallex&amp;frame=v-w1855f220_ZU", "mít (v-w1855f220_ZU) - substituted with v-w1855f222_ZU")</f>
        <v>mít (v-w1855f220_ZU) - substituted with v-w1855f222_ZU</v>
      </c>
    </row>
    <row r="14963" customFormat="false" ht="12.8" hidden="false" customHeight="false" outlineLevel="0" collapsed="false">
      <c r="B14963" s="0" t="s">
        <v>1</v>
      </c>
    </row>
    <row r="14964" customFormat="false" ht="12.8" hidden="false" customHeight="false" outlineLevel="0" collapsed="false">
      <c r="B14964" s="0" t="s">
        <v>6598</v>
      </c>
    </row>
    <row r="14966" customFormat="false" ht="12.8" hidden="false" customHeight="false" outlineLevel="0" collapsed="false">
      <c r="A14966" s="0" t="s">
        <v>6599</v>
      </c>
      <c r="B14966" s="0" t="str">
        <f aca="false">HYPERLINK("https://lindat.mff.cuni.cz/services/teitok/pdtc10/index.php?action=vallex&amp;frame=v-w1855f223_ZU", "mít (v-w1855f223_ZU)")</f>
        <v>mít (v-w1855f223_ZU)</v>
      </c>
    </row>
    <row r="14967" customFormat="false" ht="12.8" hidden="false" customHeight="false" outlineLevel="0" collapsed="false">
      <c r="B14967" s="0" t="s">
        <v>1</v>
      </c>
    </row>
    <row r="14968" customFormat="false" ht="12.8" hidden="false" customHeight="false" outlineLevel="0" collapsed="false">
      <c r="B14968" s="0" t="s">
        <v>6600</v>
      </c>
    </row>
    <row r="14970" customFormat="false" ht="12.8" hidden="false" customHeight="false" outlineLevel="0" collapsed="false">
      <c r="A14970" s="0" t="s">
        <v>6599</v>
      </c>
      <c r="B14970" s="0" t="str">
        <f aca="false">HYPERLINK("https://lindat.mff.cuni.cz/services/teitok/pdtc10/index.php?action=vallex&amp;frame=v-w1855f101_ZU", "mít (v-w1855f101_ZU) - substituted with v-w1855f223_ZU")</f>
        <v>mít (v-w1855f101_ZU) - substituted with v-w1855f223_ZU</v>
      </c>
    </row>
    <row r="14971" customFormat="false" ht="12.8" hidden="false" customHeight="false" outlineLevel="0" collapsed="false">
      <c r="B14971" s="0" t="s">
        <v>1</v>
      </c>
    </row>
    <row r="14972" customFormat="false" ht="12.8" hidden="false" customHeight="false" outlineLevel="0" collapsed="false">
      <c r="B14972" s="0" t="s">
        <v>6600</v>
      </c>
    </row>
    <row r="14974" customFormat="false" ht="12.8" hidden="false" customHeight="false" outlineLevel="0" collapsed="false">
      <c r="A14974" s="0" t="s">
        <v>6601</v>
      </c>
      <c r="B14974" s="0" t="str">
        <f aca="false">HYPERLINK("https://lindat.mff.cuni.cz/services/teitok/pdtc10/index.php?action=vallex&amp;frame=v-w1855f98_ZU", "mít (v-w1855f98_ZU)")</f>
        <v>mít (v-w1855f98_ZU)</v>
      </c>
    </row>
    <row r="14975" customFormat="false" ht="12.8" hidden="false" customHeight="false" outlineLevel="0" collapsed="false">
      <c r="B14975" s="0" t="s">
        <v>1</v>
      </c>
    </row>
    <row r="14976" customFormat="false" ht="12.8" hidden="false" customHeight="false" outlineLevel="0" collapsed="false">
      <c r="B14976" s="0" t="s">
        <v>6602</v>
      </c>
    </row>
    <row r="14978" customFormat="false" ht="12.8" hidden="false" customHeight="false" outlineLevel="0" collapsed="false">
      <c r="A14978" s="0" t="s">
        <v>6601</v>
      </c>
      <c r="B14978" s="0" t="str">
        <f aca="false">HYPERLINK("https://lindat.mff.cuni.cz/services/teitok/pdtc10/index.php?action=vallex&amp;frame=v-w1855f97_ZU", "mít (v-w1855f97_ZU) - substituted with v-w1855f98_ZU")</f>
        <v>mít (v-w1855f97_ZU) - substituted with v-w1855f98_ZU</v>
      </c>
    </row>
    <row r="14979" customFormat="false" ht="12.8" hidden="false" customHeight="false" outlineLevel="0" collapsed="false">
      <c r="B14979" s="0" t="s">
        <v>1</v>
      </c>
    </row>
    <row r="14980" customFormat="false" ht="12.8" hidden="false" customHeight="false" outlineLevel="0" collapsed="false">
      <c r="B14980" s="0" t="s">
        <v>6602</v>
      </c>
    </row>
    <row r="14982" customFormat="false" ht="12.8" hidden="false" customHeight="false" outlineLevel="0" collapsed="false">
      <c r="A14982" s="0" t="s">
        <v>6603</v>
      </c>
      <c r="B14982" s="0" t="str">
        <f aca="false">HYPERLINK("https://lindat.mff.cuni.cz/services/teitok/pdtc10/index.php?action=vallex&amp;frame=v-w1855f323_ZU", "mít (v-w1855f323_ZU)")</f>
        <v>mít (v-w1855f323_ZU)</v>
      </c>
    </row>
    <row r="14983" customFormat="false" ht="12.8" hidden="false" customHeight="false" outlineLevel="0" collapsed="false">
      <c r="B14983" s="0" t="s">
        <v>1</v>
      </c>
    </row>
    <row r="14984" customFormat="false" ht="12.8" hidden="false" customHeight="false" outlineLevel="0" collapsed="false">
      <c r="B14984" s="0" t="s">
        <v>6604</v>
      </c>
    </row>
    <row r="14986" customFormat="false" ht="12.8" hidden="false" customHeight="false" outlineLevel="0" collapsed="false">
      <c r="A14986" s="0" t="s">
        <v>6603</v>
      </c>
      <c r="B14986" s="0" t="str">
        <f aca="false">HYPERLINK("https://lindat.mff.cuni.cz/services/teitok/pdtc10/index.php?action=vallex&amp;frame=v-w1855f142_ZU", "mít (v-w1855f142_ZU) - substituted with v-w1855f323_ZU")</f>
        <v>mít (v-w1855f142_ZU) - substituted with v-w1855f323_ZU</v>
      </c>
    </row>
    <row r="14987" customFormat="false" ht="12.8" hidden="false" customHeight="false" outlineLevel="0" collapsed="false">
      <c r="B14987" s="0" t="s">
        <v>1</v>
      </c>
    </row>
    <row r="14988" customFormat="false" ht="12.8" hidden="false" customHeight="false" outlineLevel="0" collapsed="false">
      <c r="B14988" s="0" t="s">
        <v>6604</v>
      </c>
    </row>
    <row r="14990" customFormat="false" ht="12.8" hidden="false" customHeight="false" outlineLevel="0" collapsed="false">
      <c r="A14990" s="0" t="s">
        <v>6603</v>
      </c>
      <c r="B14990" s="0" t="str">
        <f aca="false">HYPERLINK("https://lindat.mff.cuni.cz/services/teitok/pdtc10/index.php?action=vallex&amp;frame=v-w1855f252_ZU", "mít (v-w1855f252_ZU) - substituted with v-w1855f323_ZU")</f>
        <v>mít (v-w1855f252_ZU) - substituted with v-w1855f323_ZU</v>
      </c>
    </row>
    <row r="14991" customFormat="false" ht="12.8" hidden="false" customHeight="false" outlineLevel="0" collapsed="false">
      <c r="B14991" s="0" t="s">
        <v>1</v>
      </c>
    </row>
    <row r="14992" customFormat="false" ht="12.8" hidden="false" customHeight="false" outlineLevel="0" collapsed="false">
      <c r="B14992" s="0" t="s">
        <v>6604</v>
      </c>
    </row>
    <row r="14994" customFormat="false" ht="12.8" hidden="false" customHeight="false" outlineLevel="0" collapsed="false">
      <c r="A14994" s="0" t="s">
        <v>6605</v>
      </c>
      <c r="B14994" s="0" t="str">
        <f aca="false">HYPERLINK("https://lindat.mff.cuni.cz/services/teitok/pdtc10/index.php?action=vallex&amp;frame=v-w1855f135_ZU", "mít (v-w1855f135_ZU)")</f>
        <v>mít (v-w1855f135_ZU)</v>
      </c>
    </row>
    <row r="14995" customFormat="false" ht="12.8" hidden="false" customHeight="false" outlineLevel="0" collapsed="false">
      <c r="B14995" s="0" t="s">
        <v>1</v>
      </c>
    </row>
    <row r="14996" customFormat="false" ht="12.8" hidden="false" customHeight="false" outlineLevel="0" collapsed="false">
      <c r="B14996" s="0" t="s">
        <v>6606</v>
      </c>
    </row>
    <row r="14998" customFormat="false" ht="12.8" hidden="false" customHeight="false" outlineLevel="0" collapsed="false">
      <c r="A14998" s="0" t="s">
        <v>6605</v>
      </c>
      <c r="B14998" s="0" t="str">
        <f aca="false">HYPERLINK("https://lindat.mff.cuni.cz/services/teitok/pdtc10/index.php?action=vallex&amp;frame=v-w1855f16", "mít (v-w1855f16) - substituted with v-w1855f135_ZU")</f>
        <v>mít (v-w1855f16) - substituted with v-w1855f135_ZU</v>
      </c>
    </row>
    <row r="14999" customFormat="false" ht="12.8" hidden="false" customHeight="false" outlineLevel="0" collapsed="false">
      <c r="B14999" s="0" t="s">
        <v>1</v>
      </c>
    </row>
    <row r="15000" customFormat="false" ht="12.8" hidden="false" customHeight="false" outlineLevel="0" collapsed="false">
      <c r="B15000" s="0" t="s">
        <v>6606</v>
      </c>
    </row>
    <row r="15002" customFormat="false" ht="12.8" hidden="false" customHeight="false" outlineLevel="0" collapsed="false">
      <c r="A15002" s="0" t="s">
        <v>6607</v>
      </c>
      <c r="B15002" s="0" t="str">
        <f aca="false">HYPERLINK("https://lindat.mff.cuni.cz/services/teitok/pdtc10/index.php?action=vallex&amp;frame=v-w1855f109_ZU", "mít (v-w1855f109_ZU)")</f>
        <v>mít (v-w1855f109_ZU)</v>
      </c>
      <c r="E15002" s="0" t="str">
        <f aca="false">HYPERLINK("https://lindat.mff.cuni.cz/services/SynSemClass40/SynSemClass40.html?veclass=vec01230#vec01230-ces-cm00001", "vec01230")</f>
        <v>vec01230</v>
      </c>
      <c r="F15002" s="0" t="s">
        <v>6608</v>
      </c>
    </row>
    <row r="15003" customFormat="false" ht="12.8" hidden="false" customHeight="false" outlineLevel="0" collapsed="false">
      <c r="B15003" s="0" t="s">
        <v>6609</v>
      </c>
      <c r="E15003" s="0" t="s">
        <v>11</v>
      </c>
      <c r="F15003" s="0" t="s">
        <v>959</v>
      </c>
    </row>
    <row r="15004" customFormat="false" ht="12.8" hidden="false" customHeight="false" outlineLevel="0" collapsed="false">
      <c r="B15004" s="0" t="s">
        <v>6609</v>
      </c>
      <c r="E15004" s="0" t="s">
        <v>11</v>
      </c>
      <c r="F15004" s="0" t="s">
        <v>959</v>
      </c>
    </row>
    <row r="15005" customFormat="false" ht="12.8" hidden="false" customHeight="false" outlineLevel="0" collapsed="false">
      <c r="B15005" s="0" t="s">
        <v>1121</v>
      </c>
    </row>
    <row r="15006" customFormat="false" ht="12.8" hidden="false" customHeight="false" outlineLevel="0" collapsed="false">
      <c r="B15006" s="0" t="s">
        <v>305</v>
      </c>
      <c r="E15006" s="0" t="s">
        <v>6610</v>
      </c>
      <c r="F15006" s="0" t="s">
        <v>6611</v>
      </c>
    </row>
    <row r="15008" customFormat="false" ht="12.8" hidden="false" customHeight="false" outlineLevel="0" collapsed="false">
      <c r="A15008" s="0" t="s">
        <v>6612</v>
      </c>
      <c r="B15008" s="0" t="str">
        <f aca="false">HYPERLINK("https://lindat.mff.cuni.cz/services/teitok/pdtc10/index.php?action=vallex&amp;frame=v-w1855f50", "mít (v-w1855f50)")</f>
        <v>mít (v-w1855f50)</v>
      </c>
    </row>
    <row r="15009" customFormat="false" ht="12.8" hidden="false" customHeight="false" outlineLevel="0" collapsed="false">
      <c r="B15009" s="0" t="s">
        <v>1</v>
      </c>
    </row>
    <row r="15010" customFormat="false" ht="12.8" hidden="false" customHeight="false" outlineLevel="0" collapsed="false">
      <c r="B15010" s="0" t="s">
        <v>6613</v>
      </c>
    </row>
    <row r="15011" customFormat="false" ht="12.8" hidden="false" customHeight="false" outlineLevel="0" collapsed="false">
      <c r="B15011" s="0" t="s">
        <v>2128</v>
      </c>
    </row>
    <row r="15012" customFormat="false" ht="12.8" hidden="false" customHeight="false" outlineLevel="0" collapsed="false">
      <c r="B15012" s="0" t="s">
        <v>52</v>
      </c>
    </row>
    <row r="15014" customFormat="false" ht="12.8" hidden="false" customHeight="false" outlineLevel="0" collapsed="false">
      <c r="A15014" s="0" t="s">
        <v>6614</v>
      </c>
      <c r="B15014" s="0" t="str">
        <f aca="false">HYPERLINK("https://lindat.mff.cuni.cz/services/teitok/pdtc10/index.php?action=vallex&amp;frame=v-w1855f146_ZU", "mít (v-w1855f146_ZU)")</f>
        <v>mít (v-w1855f146_ZU)</v>
      </c>
    </row>
    <row r="15015" customFormat="false" ht="12.8" hidden="false" customHeight="false" outlineLevel="0" collapsed="false">
      <c r="B15015" s="0" t="s">
        <v>1</v>
      </c>
    </row>
    <row r="15016" customFormat="false" ht="12.8" hidden="false" customHeight="false" outlineLevel="0" collapsed="false">
      <c r="B15016" s="0" t="s">
        <v>6615</v>
      </c>
    </row>
    <row r="15017" customFormat="false" ht="12.8" hidden="false" customHeight="false" outlineLevel="0" collapsed="false">
      <c r="B15017" s="0" t="s">
        <v>721</v>
      </c>
    </row>
    <row r="15018" customFormat="false" ht="12.8" hidden="false" customHeight="false" outlineLevel="0" collapsed="false">
      <c r="B15018" s="0" t="s">
        <v>855</v>
      </c>
    </row>
    <row r="15020" customFormat="false" ht="12.8" hidden="false" customHeight="false" outlineLevel="0" collapsed="false">
      <c r="A15020" s="0" t="s">
        <v>6614</v>
      </c>
      <c r="B15020" s="0" t="str">
        <f aca="false">HYPERLINK("https://lindat.mff.cuni.cz/services/teitok/pdtc10/index.php?action=vallex&amp;frame=v-w1855f145_ZU", "mít (v-w1855f145_ZU) - substituted with v-w1855f146_ZU")</f>
        <v>mít (v-w1855f145_ZU) - substituted with v-w1855f146_ZU</v>
      </c>
    </row>
    <row r="15021" customFormat="false" ht="12.8" hidden="false" customHeight="false" outlineLevel="0" collapsed="false">
      <c r="B15021" s="0" t="s">
        <v>1</v>
      </c>
    </row>
    <row r="15022" customFormat="false" ht="12.8" hidden="false" customHeight="false" outlineLevel="0" collapsed="false">
      <c r="B15022" s="0" t="s">
        <v>6615</v>
      </c>
    </row>
    <row r="15023" customFormat="false" ht="12.8" hidden="false" customHeight="false" outlineLevel="0" collapsed="false">
      <c r="B15023" s="0" t="s">
        <v>721</v>
      </c>
    </row>
    <row r="15024" customFormat="false" ht="12.8" hidden="false" customHeight="false" outlineLevel="0" collapsed="false">
      <c r="B15024" s="0" t="s">
        <v>855</v>
      </c>
    </row>
    <row r="15026" customFormat="false" ht="12.8" hidden="false" customHeight="false" outlineLevel="0" collapsed="false">
      <c r="A15026" s="0" t="s">
        <v>6616</v>
      </c>
      <c r="B15026" s="0" t="str">
        <f aca="false">HYPERLINK("https://lindat.mff.cuni.cz/services/teitok/pdtc10/index.php?action=vallex&amp;frame=v-w1855f84", "mít (v-w1855f84)")</f>
        <v>mít (v-w1855f84)</v>
      </c>
    </row>
    <row r="15027" customFormat="false" ht="12.8" hidden="false" customHeight="false" outlineLevel="0" collapsed="false">
      <c r="B15027" s="0" t="s">
        <v>1</v>
      </c>
    </row>
    <row r="15028" customFormat="false" ht="12.8" hidden="false" customHeight="false" outlineLevel="0" collapsed="false">
      <c r="B15028" s="0" t="s">
        <v>6617</v>
      </c>
    </row>
    <row r="15029" customFormat="false" ht="12.8" hidden="false" customHeight="false" outlineLevel="0" collapsed="false">
      <c r="B15029" s="0" t="s">
        <v>721</v>
      </c>
    </row>
    <row r="15031" customFormat="false" ht="12.8" hidden="false" customHeight="false" outlineLevel="0" collapsed="false">
      <c r="A15031" s="0" t="s">
        <v>6618</v>
      </c>
      <c r="B15031" s="0" t="str">
        <f aca="false">HYPERLINK("https://lindat.mff.cuni.cz/services/teitok/pdtc10/index.php?action=vallex&amp;frame=v-w1855f85", "mít (v-w1855f85)")</f>
        <v>mít (v-w1855f85)</v>
      </c>
      <c r="E15031" s="0" t="str">
        <f aca="false">HYPERLINK("https://lindat.mff.cuni.cz/services/SynSemClass40/SynSemClass40.html?veclass=vec00775#vec00775-ces-cm00055", "vec00775")</f>
        <v>vec00775</v>
      </c>
      <c r="F15031" s="0" t="s">
        <v>6457</v>
      </c>
    </row>
    <row r="15032" customFormat="false" ht="12.8" hidden="false" customHeight="false" outlineLevel="0" collapsed="false">
      <c r="B15032" s="0" t="s">
        <v>1</v>
      </c>
      <c r="C15032" s="0" t="s">
        <v>6619</v>
      </c>
      <c r="E15032" s="0" t="s">
        <v>3010</v>
      </c>
      <c r="F15032" s="0" t="s">
        <v>6459</v>
      </c>
    </row>
    <row r="15033" customFormat="false" ht="12.8" hidden="false" customHeight="false" outlineLevel="0" collapsed="false">
      <c r="B15033" s="0" t="s">
        <v>6620</v>
      </c>
    </row>
    <row r="15034" customFormat="false" ht="12.8" hidden="false" customHeight="false" outlineLevel="0" collapsed="false">
      <c r="B15034" s="0" t="s">
        <v>721</v>
      </c>
      <c r="C15034" s="0" t="s">
        <v>6621</v>
      </c>
      <c r="E15034" s="0" t="s">
        <v>4202</v>
      </c>
      <c r="F15034" s="0" t="s">
        <v>6461</v>
      </c>
    </row>
    <row r="15036" customFormat="false" ht="12.8" hidden="false" customHeight="false" outlineLevel="0" collapsed="false">
      <c r="A15036" s="0" t="s">
        <v>6622</v>
      </c>
      <c r="B15036" s="0" t="str">
        <f aca="false">HYPERLINK("https://lindat.mff.cuni.cz/services/teitok/pdtc10/index.php?action=vallex&amp;frame=v-w1855f66", "mít (v-w1855f66)")</f>
        <v>mít (v-w1855f66)</v>
      </c>
    </row>
    <row r="15037" customFormat="false" ht="12.8" hidden="false" customHeight="false" outlineLevel="0" collapsed="false">
      <c r="B15037" s="0" t="s">
        <v>1</v>
      </c>
    </row>
    <row r="15038" customFormat="false" ht="12.8" hidden="false" customHeight="false" outlineLevel="0" collapsed="false">
      <c r="B15038" s="0" t="s">
        <v>6623</v>
      </c>
    </row>
    <row r="15039" customFormat="false" ht="12.8" hidden="false" customHeight="false" outlineLevel="0" collapsed="false">
      <c r="B15039" s="0" t="s">
        <v>1289</v>
      </c>
    </row>
    <row r="15041" customFormat="false" ht="12.8" hidden="false" customHeight="false" outlineLevel="0" collapsed="false">
      <c r="A15041" s="0" t="s">
        <v>6624</v>
      </c>
      <c r="B15041" s="0" t="str">
        <f aca="false">HYPERLINK("https://lindat.mff.cuni.cz/services/teitok/pdtc10/index.php?action=vallex&amp;frame=v-w1855f11", "mít (v-w1855f11)")</f>
        <v>mít (v-w1855f11)</v>
      </c>
      <c r="E15041" s="0" t="str">
        <f aca="false">HYPERLINK("https://lindat.mff.cuni.cz/services/SynSemClass40/SynSemClass40.html?veclass=vec00189#vec00189-ces-cm00073", "vec00189")</f>
        <v>vec00189</v>
      </c>
      <c r="F15041" s="0" t="s">
        <v>2169</v>
      </c>
      <c r="H15041" s="0" t="str">
        <f aca="false">HYPERLINK("https://lindat.mff.cuni.cz/services/SynSemClass40/SynSemClass40.html?veclass=vec01229#vec01229-ces-cm00004", "vec01229")</f>
        <v>vec01229</v>
      </c>
      <c r="I15041" s="0" t="s">
        <v>955</v>
      </c>
    </row>
    <row r="15042" customFormat="false" ht="12.8" hidden="false" customHeight="false" outlineLevel="0" collapsed="false">
      <c r="B15042" s="0" t="s">
        <v>1</v>
      </c>
      <c r="C15042" s="0" t="s">
        <v>2170</v>
      </c>
      <c r="E15042" s="0" t="s">
        <v>1567</v>
      </c>
      <c r="F15042" s="0" t="s">
        <v>2171</v>
      </c>
      <c r="H15042" s="0" t="s">
        <v>11</v>
      </c>
      <c r="I15042" s="0" t="s">
        <v>959</v>
      </c>
    </row>
    <row r="15043" customFormat="false" ht="12.8" hidden="false" customHeight="false" outlineLevel="0" collapsed="false">
      <c r="B15043" s="0" t="s">
        <v>960</v>
      </c>
    </row>
    <row r="15044" customFormat="false" ht="12.8" hidden="false" customHeight="false" outlineLevel="0" collapsed="false">
      <c r="B15044" s="0" t="s">
        <v>8</v>
      </c>
      <c r="C15044" s="0" t="s">
        <v>2173</v>
      </c>
      <c r="E15044" s="0" t="s">
        <v>2111</v>
      </c>
      <c r="F15044" s="0" t="s">
        <v>2174</v>
      </c>
      <c r="H15044" s="0" t="s">
        <v>34</v>
      </c>
      <c r="I15044" s="0" t="s">
        <v>2022</v>
      </c>
    </row>
    <row r="15046" customFormat="false" ht="12.8" hidden="false" customHeight="false" outlineLevel="0" collapsed="false">
      <c r="A15046" s="0" t="s">
        <v>6625</v>
      </c>
      <c r="B15046" s="0" t="str">
        <f aca="false">HYPERLINK("https://lindat.mff.cuni.cz/services/teitok/pdtc10/index.php?action=vallex&amp;frame=v-w1855f23", "mít (v-w1855f23)")</f>
        <v>mít (v-w1855f23)</v>
      </c>
      <c r="E15046" s="0" t="str">
        <f aca="false">HYPERLINK("https://lindat.mff.cuni.cz/services/SynSemClass40/SynSemClass40.html?veclass=vec01228#vec01228-ces-cm00002", "vec01228")</f>
        <v>vec01228</v>
      </c>
      <c r="F15046" s="0" t="s">
        <v>6401</v>
      </c>
    </row>
    <row r="15047" customFormat="false" ht="12.8" hidden="false" customHeight="false" outlineLevel="0" collapsed="false">
      <c r="B15047" s="0" t="s">
        <v>1</v>
      </c>
      <c r="C15047" s="0" t="s">
        <v>6402</v>
      </c>
      <c r="E15047" s="0" t="s">
        <v>914</v>
      </c>
      <c r="F15047" s="0" t="s">
        <v>6403</v>
      </c>
    </row>
    <row r="15048" customFormat="false" ht="12.8" hidden="false" customHeight="false" outlineLevel="0" collapsed="false">
      <c r="B15048" s="0" t="s">
        <v>6626</v>
      </c>
    </row>
    <row r="15049" customFormat="false" ht="12.8" hidden="false" customHeight="false" outlineLevel="0" collapsed="false">
      <c r="B15049" s="0" t="s">
        <v>228</v>
      </c>
      <c r="C15049" s="0" t="s">
        <v>6404</v>
      </c>
      <c r="E15049" s="0" t="s">
        <v>180</v>
      </c>
      <c r="F15049" s="0" t="s">
        <v>6405</v>
      </c>
    </row>
    <row r="15051" customFormat="false" ht="12.8" hidden="false" customHeight="false" outlineLevel="0" collapsed="false">
      <c r="A15051" s="0" t="s">
        <v>6627</v>
      </c>
      <c r="B15051" s="0" t="str">
        <f aca="false">HYPERLINK("https://lindat.mff.cuni.cz/services/teitok/pdtc10/index.php?action=vallex&amp;frame=v-w1855f47", "mít (v-w1855f47)")</f>
        <v>mít (v-w1855f47)</v>
      </c>
    </row>
    <row r="15052" customFormat="false" ht="12.8" hidden="false" customHeight="false" outlineLevel="0" collapsed="false">
      <c r="B15052" s="0" t="s">
        <v>1</v>
      </c>
    </row>
    <row r="15053" customFormat="false" ht="12.8" hidden="false" customHeight="false" outlineLevel="0" collapsed="false">
      <c r="B15053" s="0" t="s">
        <v>6628</v>
      </c>
    </row>
    <row r="15054" customFormat="false" ht="12.8" hidden="false" customHeight="false" outlineLevel="0" collapsed="false">
      <c r="B15054" s="0" t="s">
        <v>228</v>
      </c>
    </row>
    <row r="15056" customFormat="false" ht="12.8" hidden="false" customHeight="false" outlineLevel="0" collapsed="false">
      <c r="A15056" s="0" t="s">
        <v>6629</v>
      </c>
      <c r="B15056" s="0" t="str">
        <f aca="false">HYPERLINK("https://lindat.mff.cuni.cz/services/teitok/pdtc10/index.php?action=vallex&amp;frame=v-w1855f70", "mít (v-w1855f70)")</f>
        <v>mít (v-w1855f70)</v>
      </c>
    </row>
    <row r="15057" customFormat="false" ht="12.8" hidden="false" customHeight="false" outlineLevel="0" collapsed="false">
      <c r="B15057" s="0" t="s">
        <v>1</v>
      </c>
    </row>
    <row r="15058" customFormat="false" ht="12.8" hidden="false" customHeight="false" outlineLevel="0" collapsed="false">
      <c r="B15058" s="0" t="s">
        <v>6630</v>
      </c>
    </row>
    <row r="15059" customFormat="false" ht="12.8" hidden="false" customHeight="false" outlineLevel="0" collapsed="false">
      <c r="B15059" s="0" t="s">
        <v>6631</v>
      </c>
    </row>
    <row r="15061" customFormat="false" ht="12.8" hidden="false" customHeight="false" outlineLevel="0" collapsed="false">
      <c r="A15061" s="0" t="s">
        <v>6632</v>
      </c>
      <c r="B15061" s="0" t="str">
        <f aca="false">HYPERLINK("https://lindat.mff.cuni.cz/services/teitok/pdtc10/index.php?action=vallex&amp;frame=v-w1855f62", "mít (v-w1855f62)")</f>
        <v>mít (v-w1855f62)</v>
      </c>
    </row>
    <row r="15062" customFormat="false" ht="12.8" hidden="false" customHeight="false" outlineLevel="0" collapsed="false">
      <c r="B15062" s="0" t="s">
        <v>1</v>
      </c>
    </row>
    <row r="15063" customFormat="false" ht="12.8" hidden="false" customHeight="false" outlineLevel="0" collapsed="false">
      <c r="B15063" s="0" t="s">
        <v>6633</v>
      </c>
    </row>
    <row r="15064" customFormat="false" ht="12.8" hidden="false" customHeight="false" outlineLevel="0" collapsed="false">
      <c r="B15064" s="0" t="s">
        <v>8</v>
      </c>
    </row>
    <row r="15066" customFormat="false" ht="12.8" hidden="false" customHeight="false" outlineLevel="0" collapsed="false">
      <c r="A15066" s="0" t="s">
        <v>6634</v>
      </c>
      <c r="B15066" s="0" t="str">
        <f aca="false">HYPERLINK("https://lindat.mff.cuni.cz/services/teitok/pdtc10/index.php?action=vallex&amp;frame=v-w1855f298_ZU", "mít (v-w1855f298_ZU)")</f>
        <v>mít (v-w1855f298_ZU)</v>
      </c>
    </row>
    <row r="15067" customFormat="false" ht="12.8" hidden="false" customHeight="false" outlineLevel="0" collapsed="false">
      <c r="B15067" s="0" t="s">
        <v>1</v>
      </c>
    </row>
    <row r="15068" customFormat="false" ht="12.8" hidden="false" customHeight="false" outlineLevel="0" collapsed="false">
      <c r="B15068" s="0" t="s">
        <v>6635</v>
      </c>
    </row>
    <row r="15069" customFormat="false" ht="12.8" hidden="false" customHeight="false" outlineLevel="0" collapsed="false">
      <c r="B15069" s="0" t="s">
        <v>6636</v>
      </c>
    </row>
    <row r="15071" customFormat="false" ht="12.8" hidden="false" customHeight="false" outlineLevel="0" collapsed="false">
      <c r="A15071" s="0" t="s">
        <v>6634</v>
      </c>
      <c r="B15071" s="0" t="str">
        <f aca="false">HYPERLINK("https://lindat.mff.cuni.cz/services/teitok/pdtc10/index.php?action=vallex&amp;frame=v-w1855f28", "mít (v-w1855f28) - substituted with v-w1855f298_ZU")</f>
        <v>mít (v-w1855f28) - substituted with v-w1855f298_ZU</v>
      </c>
      <c r="E15071" s="0" t="str">
        <f aca="false">HYPERLINK("https://lindat.mff.cuni.cz/services/SynSemClass40/SynSemClass40.html?veclass=vec00211#vec00211-ces-cm00037", "vec00211")</f>
        <v>vec00211</v>
      </c>
      <c r="F15071" s="0" t="s">
        <v>2270</v>
      </c>
      <c r="H15071" s="0" t="str">
        <f aca="false">HYPERLINK("https://lindat.mff.cuni.cz/services/SynSemClass40/SynSemClass40.html?veclass=vec00373#vec00373-ces-cm00127", "vec00373")</f>
        <v>vec00373</v>
      </c>
      <c r="I15071" s="0" t="s">
        <v>6637</v>
      </c>
    </row>
    <row r="15072" customFormat="false" ht="12.8" hidden="false" customHeight="false" outlineLevel="0" collapsed="false">
      <c r="B15072" s="0" t="s">
        <v>1</v>
      </c>
      <c r="C15072" s="0" t="s">
        <v>6638</v>
      </c>
      <c r="E15072" s="0" t="s">
        <v>206</v>
      </c>
      <c r="F15072" s="0" t="s">
        <v>2272</v>
      </c>
      <c r="H15072" s="0" t="s">
        <v>11</v>
      </c>
      <c r="I15072" s="0" t="s">
        <v>6639</v>
      </c>
    </row>
    <row r="15073" customFormat="false" ht="12.8" hidden="false" customHeight="false" outlineLevel="0" collapsed="false">
      <c r="B15073" s="0" t="s">
        <v>6635</v>
      </c>
    </row>
    <row r="15074" customFormat="false" ht="12.8" hidden="false" customHeight="false" outlineLevel="0" collapsed="false">
      <c r="B15074" s="0" t="s">
        <v>6636</v>
      </c>
      <c r="C15074" s="0" t="s">
        <v>2274</v>
      </c>
      <c r="E15074" s="0" t="s">
        <v>1995</v>
      </c>
      <c r="F15074" s="0" t="s">
        <v>2275</v>
      </c>
      <c r="H15074" s="0" t="s">
        <v>5221</v>
      </c>
      <c r="I15074" s="0" t="s">
        <v>6640</v>
      </c>
    </row>
    <row r="15076" customFormat="false" ht="12.8" hidden="false" customHeight="false" outlineLevel="0" collapsed="false">
      <c r="A15076" s="0" t="s">
        <v>6641</v>
      </c>
      <c r="B15076" s="0" t="str">
        <f aca="false">HYPERLINK("https://lindat.mff.cuni.cz/services/teitok/pdtc10/index.php?action=vallex&amp;frame=v-w1855f31", "mít (v-w1855f31)")</f>
        <v>mít (v-w1855f31)</v>
      </c>
      <c r="E15076" s="0" t="str">
        <f aca="false">HYPERLINK("https://lindat.mff.cuni.cz/services/SynSemClass40/SynSemClass40.html?veclass=vec00196#vec00196-ces-cm00315", "vec00196")</f>
        <v>vec00196</v>
      </c>
      <c r="F15076" s="0" t="s">
        <v>749</v>
      </c>
      <c r="H15076" s="0" t="str">
        <f aca="false">HYPERLINK("https://lindat.mff.cuni.cz/services/SynSemClass40/SynSemClass40.html?veclass=vec01231#vec01231-ces-cm00009", "vec01231")</f>
        <v>vec01231</v>
      </c>
      <c r="I15076" s="0" t="s">
        <v>6316</v>
      </c>
    </row>
    <row r="15077" customFormat="false" ht="12.8" hidden="false" customHeight="false" outlineLevel="0" collapsed="false">
      <c r="B15077" s="0" t="s">
        <v>1</v>
      </c>
      <c r="C15077" s="0" t="s">
        <v>6642</v>
      </c>
      <c r="E15077" s="0" t="s">
        <v>76</v>
      </c>
      <c r="F15077" s="0" t="s">
        <v>751</v>
      </c>
      <c r="H15077" s="0" t="s">
        <v>31</v>
      </c>
      <c r="I15077" s="0" t="s">
        <v>6318</v>
      </c>
    </row>
    <row r="15078" customFormat="false" ht="12.8" hidden="false" customHeight="false" outlineLevel="0" collapsed="false">
      <c r="B15078" s="0" t="s">
        <v>6643</v>
      </c>
    </row>
    <row r="15079" customFormat="false" ht="12.8" hidden="false" customHeight="false" outlineLevel="0" collapsed="false">
      <c r="B15079" s="0" t="s">
        <v>59</v>
      </c>
      <c r="C15079" s="0" t="s">
        <v>6644</v>
      </c>
      <c r="E15079" s="0" t="s">
        <v>6358</v>
      </c>
      <c r="F15079" s="0" t="s">
        <v>6645</v>
      </c>
      <c r="H15079" s="0" t="s">
        <v>79</v>
      </c>
      <c r="I15079" s="0" t="s">
        <v>6320</v>
      </c>
    </row>
    <row r="15081" customFormat="false" ht="12.8" hidden="false" customHeight="false" outlineLevel="0" collapsed="false">
      <c r="A15081" s="0" t="s">
        <v>6646</v>
      </c>
      <c r="B15081" s="0" t="str">
        <f aca="false">HYPERLINK("https://lindat.mff.cuni.cz/services/teitok/pdtc10/index.php?action=vallex&amp;frame=v-w1855f58", "mít (v-w1855f58)")</f>
        <v>mít (v-w1855f58)</v>
      </c>
    </row>
    <row r="15082" customFormat="false" ht="12.8" hidden="false" customHeight="false" outlineLevel="0" collapsed="false">
      <c r="B15082" s="0" t="s">
        <v>1</v>
      </c>
    </row>
    <row r="15083" customFormat="false" ht="12.8" hidden="false" customHeight="false" outlineLevel="0" collapsed="false">
      <c r="B15083" s="0" t="s">
        <v>6647</v>
      </c>
    </row>
    <row r="15084" customFormat="false" ht="12.8" hidden="false" customHeight="false" outlineLevel="0" collapsed="false">
      <c r="B15084" s="0" t="s">
        <v>228</v>
      </c>
    </row>
    <row r="15086" customFormat="false" ht="12.8" hidden="false" customHeight="false" outlineLevel="0" collapsed="false">
      <c r="A15086" s="0" t="s">
        <v>6648</v>
      </c>
      <c r="B15086" s="0" t="str">
        <f aca="false">HYPERLINK("https://lindat.mff.cuni.cz/services/teitok/pdtc10/index.php?action=vallex&amp;frame=v-w1855f88", "mít (v-w1855f88)")</f>
        <v>mít (v-w1855f88)</v>
      </c>
    </row>
    <row r="15087" customFormat="false" ht="12.8" hidden="false" customHeight="false" outlineLevel="0" collapsed="false">
      <c r="B15087" s="0" t="s">
        <v>1</v>
      </c>
    </row>
    <row r="15088" customFormat="false" ht="12.8" hidden="false" customHeight="false" outlineLevel="0" collapsed="false">
      <c r="B15088" s="0" t="s">
        <v>6649</v>
      </c>
    </row>
    <row r="15089" customFormat="false" ht="12.8" hidden="false" customHeight="false" outlineLevel="0" collapsed="false">
      <c r="B15089" s="0" t="s">
        <v>1289</v>
      </c>
    </row>
    <row r="15091" customFormat="false" ht="12.8" hidden="false" customHeight="false" outlineLevel="0" collapsed="false">
      <c r="A15091" s="0" t="s">
        <v>6650</v>
      </c>
      <c r="B15091" s="0" t="str">
        <f aca="false">HYPERLINK("https://lindat.mff.cuni.cz/services/teitok/pdtc10/index.php?action=vallex&amp;frame=v-w1855f57", "mít (v-w1855f57)")</f>
        <v>mít (v-w1855f57)</v>
      </c>
    </row>
    <row r="15092" customFormat="false" ht="12.8" hidden="false" customHeight="false" outlineLevel="0" collapsed="false">
      <c r="B15092" s="0" t="s">
        <v>1</v>
      </c>
    </row>
    <row r="15093" customFormat="false" ht="12.8" hidden="false" customHeight="false" outlineLevel="0" collapsed="false">
      <c r="B15093" s="0" t="s">
        <v>6651</v>
      </c>
    </row>
    <row r="15094" customFormat="false" ht="12.8" hidden="false" customHeight="false" outlineLevel="0" collapsed="false">
      <c r="B15094" s="0" t="s">
        <v>8</v>
      </c>
    </row>
    <row r="15096" customFormat="false" ht="12.8" hidden="false" customHeight="false" outlineLevel="0" collapsed="false">
      <c r="A15096" s="0" t="s">
        <v>6652</v>
      </c>
      <c r="B15096" s="0" t="str">
        <f aca="false">HYPERLINK("https://lindat.mff.cuni.cz/services/teitok/pdtc10/index.php?action=vallex&amp;frame=v-w1855f48", "mít (v-w1855f48)")</f>
        <v>mít (v-w1855f48)</v>
      </c>
      <c r="E15096" s="0" t="str">
        <f aca="false">HYPERLINK("https://lindat.mff.cuni.cz/services/SynSemClass40/SynSemClass40.html?veclass=vec01229#vec01229-ces-cm00005", "vec01229")</f>
        <v>vec01229</v>
      </c>
      <c r="F15096" s="0" t="s">
        <v>955</v>
      </c>
    </row>
    <row r="15097" customFormat="false" ht="12.8" hidden="false" customHeight="false" outlineLevel="0" collapsed="false">
      <c r="B15097" s="0" t="s">
        <v>1</v>
      </c>
      <c r="E15097" s="0" t="s">
        <v>11</v>
      </c>
      <c r="F15097" s="0" t="s">
        <v>959</v>
      </c>
    </row>
    <row r="15098" customFormat="false" ht="12.8" hidden="false" customHeight="false" outlineLevel="0" collapsed="false">
      <c r="B15098" s="0" t="s">
        <v>982</v>
      </c>
    </row>
    <row r="15099" customFormat="false" ht="12.8" hidden="false" customHeight="false" outlineLevel="0" collapsed="false">
      <c r="B15099" s="0" t="s">
        <v>5032</v>
      </c>
      <c r="E15099" s="0" t="s">
        <v>34</v>
      </c>
      <c r="F15099" s="0" t="s">
        <v>2022</v>
      </c>
    </row>
    <row r="15101" customFormat="false" ht="12.8" hidden="false" customHeight="false" outlineLevel="0" collapsed="false">
      <c r="A15101" s="0" t="s">
        <v>6653</v>
      </c>
      <c r="B15101" s="0" t="str">
        <f aca="false">HYPERLINK("https://lindat.mff.cuni.cz/services/teitok/pdtc10/index.php?action=vallex&amp;frame=v-w1855f334_ZU", "mít (v-w1855f334_ZU)")</f>
        <v>mít (v-w1855f334_ZU)</v>
      </c>
    </row>
    <row r="15102" customFormat="false" ht="12.8" hidden="false" customHeight="false" outlineLevel="0" collapsed="false">
      <c r="B15102" s="0" t="s">
        <v>1</v>
      </c>
    </row>
    <row r="15103" customFormat="false" ht="12.8" hidden="false" customHeight="false" outlineLevel="0" collapsed="false">
      <c r="B15103" s="0" t="s">
        <v>6654</v>
      </c>
    </row>
    <row r="15104" customFormat="false" ht="12.8" hidden="false" customHeight="false" outlineLevel="0" collapsed="false">
      <c r="B15104" s="0" t="s">
        <v>6655</v>
      </c>
    </row>
    <row r="15106" customFormat="false" ht="12.8" hidden="false" customHeight="false" outlineLevel="0" collapsed="false">
      <c r="A15106" s="0" t="s">
        <v>6653</v>
      </c>
      <c r="B15106" s="0" t="str">
        <f aca="false">HYPERLINK("https://lindat.mff.cuni.cz/services/teitok/pdtc10/index.php?action=vallex&amp;frame=v-w1855f15", "mít (v-w1855f15) - substituted with v-w1855f334_ZU")</f>
        <v>mít (v-w1855f15) - substituted with v-w1855f334_ZU</v>
      </c>
      <c r="E15106" s="0" t="str">
        <f aca="false">HYPERLINK("https://lindat.mff.cuni.cz/services/SynSemClass40/SynSemClass40.html?veclass=vec00432#vec00432-ces-cm00003", "vec00432")</f>
        <v>vec00432</v>
      </c>
      <c r="F15106" s="0" t="s">
        <v>6251</v>
      </c>
    </row>
    <row r="15107" customFormat="false" ht="12.8" hidden="false" customHeight="false" outlineLevel="0" collapsed="false">
      <c r="B15107" s="0" t="s">
        <v>1</v>
      </c>
      <c r="C15107" s="0" t="s">
        <v>6252</v>
      </c>
      <c r="E15107" s="0" t="s">
        <v>155</v>
      </c>
      <c r="F15107" s="0" t="s">
        <v>6253</v>
      </c>
    </row>
    <row r="15108" customFormat="false" ht="12.8" hidden="false" customHeight="false" outlineLevel="0" collapsed="false">
      <c r="B15108" s="0" t="s">
        <v>6654</v>
      </c>
    </row>
    <row r="15109" customFormat="false" ht="12.8" hidden="false" customHeight="false" outlineLevel="0" collapsed="false">
      <c r="B15109" s="0" t="s">
        <v>6655</v>
      </c>
      <c r="C15109" s="0" t="s">
        <v>5583</v>
      </c>
      <c r="E15109" s="0" t="s">
        <v>142</v>
      </c>
      <c r="F15109" s="0" t="s">
        <v>6254</v>
      </c>
    </row>
    <row r="15111" customFormat="false" ht="12.8" hidden="false" customHeight="false" outlineLevel="0" collapsed="false">
      <c r="A15111" s="0" t="s">
        <v>6653</v>
      </c>
      <c r="B15111" s="0" t="str">
        <f aca="false">HYPERLINK("https://lindat.mff.cuni.cz/services/teitok/pdtc10/index.php?action=vallex&amp;frame=v-w1855f242_ZU", "mít (v-w1855f242_ZU) - substituted with v-w1855f334_ZU")</f>
        <v>mít (v-w1855f242_ZU) - substituted with v-w1855f334_ZU</v>
      </c>
    </row>
    <row r="15112" customFormat="false" ht="12.8" hidden="false" customHeight="false" outlineLevel="0" collapsed="false">
      <c r="B15112" s="0" t="s">
        <v>1</v>
      </c>
    </row>
    <row r="15113" customFormat="false" ht="12.8" hidden="false" customHeight="false" outlineLevel="0" collapsed="false">
      <c r="B15113" s="0" t="s">
        <v>6654</v>
      </c>
    </row>
    <row r="15114" customFormat="false" ht="12.8" hidden="false" customHeight="false" outlineLevel="0" collapsed="false">
      <c r="B15114" s="0" t="s">
        <v>6655</v>
      </c>
    </row>
    <row r="15116" customFormat="false" ht="12.8" hidden="false" customHeight="false" outlineLevel="0" collapsed="false">
      <c r="A15116" s="0" t="s">
        <v>6653</v>
      </c>
      <c r="B15116" s="0" t="str">
        <f aca="false">HYPERLINK("https://lindat.mff.cuni.cz/services/teitok/pdtc10/index.php?action=vallex&amp;frame=v-w1855f254_ZU", "mít (v-w1855f254_ZU) - substituted with v-w1855f334_ZU")</f>
        <v>mít (v-w1855f254_ZU) - substituted with v-w1855f334_ZU</v>
      </c>
    </row>
    <row r="15117" customFormat="false" ht="12.8" hidden="false" customHeight="false" outlineLevel="0" collapsed="false">
      <c r="B15117" s="0" t="s">
        <v>1</v>
      </c>
    </row>
    <row r="15118" customFormat="false" ht="12.8" hidden="false" customHeight="false" outlineLevel="0" collapsed="false">
      <c r="B15118" s="0" t="s">
        <v>6654</v>
      </c>
    </row>
    <row r="15119" customFormat="false" ht="12.8" hidden="false" customHeight="false" outlineLevel="0" collapsed="false">
      <c r="B15119" s="0" t="s">
        <v>6655</v>
      </c>
    </row>
    <row r="15121" customFormat="false" ht="12.8" hidden="false" customHeight="false" outlineLevel="0" collapsed="false">
      <c r="A15121" s="0" t="s">
        <v>6653</v>
      </c>
      <c r="B15121" s="0" t="str">
        <f aca="false">HYPERLINK("https://lindat.mff.cuni.cz/services/teitok/pdtc10/index.php?action=vallex&amp;frame=v-w1855f294_ZU", "mít (v-w1855f294_ZU) - substituted with v-w1855f334_ZU")</f>
        <v>mít (v-w1855f294_ZU) - substituted with v-w1855f334_ZU</v>
      </c>
    </row>
    <row r="15122" customFormat="false" ht="12.8" hidden="false" customHeight="false" outlineLevel="0" collapsed="false">
      <c r="B15122" s="0" t="s">
        <v>1</v>
      </c>
    </row>
    <row r="15123" customFormat="false" ht="12.8" hidden="false" customHeight="false" outlineLevel="0" collapsed="false">
      <c r="B15123" s="0" t="s">
        <v>6654</v>
      </c>
    </row>
    <row r="15124" customFormat="false" ht="12.8" hidden="false" customHeight="false" outlineLevel="0" collapsed="false">
      <c r="B15124" s="0" t="s">
        <v>6655</v>
      </c>
    </row>
    <row r="15126" customFormat="false" ht="12.8" hidden="false" customHeight="false" outlineLevel="0" collapsed="false">
      <c r="A15126" s="0" t="s">
        <v>6653</v>
      </c>
      <c r="B15126" s="0" t="str">
        <f aca="false">HYPERLINK("https://lindat.mff.cuni.cz/services/teitok/pdtc10/index.php?action=vallex&amp;frame=v-w1855f320_ZU", "mít (v-w1855f320_ZU) - substituted with v-w1855f334_ZU")</f>
        <v>mít (v-w1855f320_ZU) - substituted with v-w1855f334_ZU</v>
      </c>
    </row>
    <row r="15127" customFormat="false" ht="12.8" hidden="false" customHeight="false" outlineLevel="0" collapsed="false">
      <c r="B15127" s="0" t="s">
        <v>1</v>
      </c>
    </row>
    <row r="15128" customFormat="false" ht="12.8" hidden="false" customHeight="false" outlineLevel="0" collapsed="false">
      <c r="B15128" s="0" t="s">
        <v>6654</v>
      </c>
    </row>
    <row r="15129" customFormat="false" ht="12.8" hidden="false" customHeight="false" outlineLevel="0" collapsed="false">
      <c r="B15129" s="0" t="s">
        <v>6655</v>
      </c>
    </row>
    <row r="15131" customFormat="false" ht="12.8" hidden="false" customHeight="false" outlineLevel="0" collapsed="false">
      <c r="A15131" s="0" t="s">
        <v>6653</v>
      </c>
      <c r="B15131" s="0" t="str">
        <f aca="false">HYPERLINK("https://lindat.mff.cuni.cz/services/teitok/pdtc10/index.php?action=vallex&amp;frame=v-w1855f331_ZU", "mít (v-w1855f331_ZU) - substituted with v-w1855f334_ZU")</f>
        <v>mít (v-w1855f331_ZU) - substituted with v-w1855f334_ZU</v>
      </c>
    </row>
    <row r="15132" customFormat="false" ht="12.8" hidden="false" customHeight="false" outlineLevel="0" collapsed="false">
      <c r="B15132" s="0" t="s">
        <v>1</v>
      </c>
    </row>
    <row r="15133" customFormat="false" ht="12.8" hidden="false" customHeight="false" outlineLevel="0" collapsed="false">
      <c r="B15133" s="0" t="s">
        <v>6654</v>
      </c>
    </row>
    <row r="15134" customFormat="false" ht="12.8" hidden="false" customHeight="false" outlineLevel="0" collapsed="false">
      <c r="B15134" s="0" t="s">
        <v>6655</v>
      </c>
    </row>
    <row r="15136" customFormat="false" ht="12.8" hidden="false" customHeight="false" outlineLevel="0" collapsed="false">
      <c r="A15136" s="0" t="s">
        <v>6656</v>
      </c>
      <c r="B15136" s="0" t="str">
        <f aca="false">HYPERLINK("https://lindat.mff.cuni.cz/services/teitok/pdtc10/index.php?action=vallex&amp;frame=v-w1855f60", "mít (v-w1855f60)")</f>
        <v>mít (v-w1855f60)</v>
      </c>
    </row>
    <row r="15137" customFormat="false" ht="12.8" hidden="false" customHeight="false" outlineLevel="0" collapsed="false">
      <c r="B15137" s="0" t="s">
        <v>1</v>
      </c>
    </row>
    <row r="15138" customFormat="false" ht="12.8" hidden="false" customHeight="false" outlineLevel="0" collapsed="false">
      <c r="B15138" s="0" t="s">
        <v>6657</v>
      </c>
    </row>
    <row r="15139" customFormat="false" ht="12.8" hidden="false" customHeight="false" outlineLevel="0" collapsed="false">
      <c r="B15139" s="0" t="s">
        <v>45</v>
      </c>
    </row>
    <row r="15141" customFormat="false" ht="12.8" hidden="false" customHeight="false" outlineLevel="0" collapsed="false">
      <c r="A15141" s="0" t="s">
        <v>6658</v>
      </c>
      <c r="B15141" s="0" t="str">
        <f aca="false">HYPERLINK("https://lindat.mff.cuni.cz/services/teitok/pdtc10/index.php?action=vallex&amp;frame=v-w1855f71", "mít (v-w1855f71)")</f>
        <v>mít (v-w1855f71)</v>
      </c>
    </row>
    <row r="15142" customFormat="false" ht="12.8" hidden="false" customHeight="false" outlineLevel="0" collapsed="false">
      <c r="B15142" s="0" t="s">
        <v>1</v>
      </c>
    </row>
    <row r="15143" customFormat="false" ht="12.8" hidden="false" customHeight="false" outlineLevel="0" collapsed="false">
      <c r="B15143" s="0" t="s">
        <v>989</v>
      </c>
    </row>
    <row r="15144" customFormat="false" ht="12.8" hidden="false" customHeight="false" outlineLevel="0" collapsed="false">
      <c r="B15144" s="0" t="s">
        <v>8</v>
      </c>
    </row>
    <row r="15146" customFormat="false" ht="12.8" hidden="false" customHeight="false" outlineLevel="0" collapsed="false">
      <c r="A15146" s="0" t="s">
        <v>6659</v>
      </c>
      <c r="B15146" s="0" t="str">
        <f aca="false">HYPERLINK("https://lindat.mff.cuni.cz/services/teitok/pdtc10/index.php?action=vallex&amp;frame=v-w1855f67", "mít (v-w1855f67)")</f>
        <v>mít (v-w1855f67)</v>
      </c>
    </row>
    <row r="15147" customFormat="false" ht="12.8" hidden="false" customHeight="false" outlineLevel="0" collapsed="false">
      <c r="B15147" s="0" t="s">
        <v>1</v>
      </c>
    </row>
    <row r="15148" customFormat="false" ht="12.8" hidden="false" customHeight="false" outlineLevel="0" collapsed="false">
      <c r="B15148" s="0" t="s">
        <v>6660</v>
      </c>
    </row>
    <row r="15149" customFormat="false" ht="12.8" hidden="false" customHeight="false" outlineLevel="0" collapsed="false">
      <c r="B15149" s="0" t="s">
        <v>8</v>
      </c>
    </row>
    <row r="15151" customFormat="false" ht="12.8" hidden="false" customHeight="false" outlineLevel="0" collapsed="false">
      <c r="A15151" s="0" t="s">
        <v>6661</v>
      </c>
      <c r="B15151" s="0" t="str">
        <f aca="false">HYPERLINK("https://lindat.mff.cuni.cz/services/teitok/pdtc10/index.php?action=vallex&amp;frame=v-w1855f64", "mít (v-w1855f64)")</f>
        <v>mít (v-w1855f64)</v>
      </c>
    </row>
    <row r="15152" customFormat="false" ht="12.8" hidden="false" customHeight="false" outlineLevel="0" collapsed="false">
      <c r="B15152" s="0" t="s">
        <v>1</v>
      </c>
    </row>
    <row r="15153" customFormat="false" ht="12.8" hidden="false" customHeight="false" outlineLevel="0" collapsed="false">
      <c r="B15153" s="0" t="s">
        <v>6662</v>
      </c>
    </row>
    <row r="15154" customFormat="false" ht="12.8" hidden="false" customHeight="false" outlineLevel="0" collapsed="false">
      <c r="B15154" s="0" t="s">
        <v>8</v>
      </c>
    </row>
    <row r="15156" customFormat="false" ht="12.8" hidden="false" customHeight="false" outlineLevel="0" collapsed="false">
      <c r="A15156" s="0" t="s">
        <v>6663</v>
      </c>
      <c r="B15156" s="0" t="str">
        <f aca="false">HYPERLINK("https://lindat.mff.cuni.cz/services/teitok/pdtc10/index.php?action=vallex&amp;frame=v-w1855f43", "mít (v-w1855f43)")</f>
        <v>mít (v-w1855f43)</v>
      </c>
      <c r="E15156" s="0" t="str">
        <f aca="false">HYPERLINK("https://lindat.mff.cuni.cz/services/SynSemClass40/SynSemClass40.html?veclass=vec00256#vec00256-ces-cm00009", "vec00256")</f>
        <v>vec00256</v>
      </c>
      <c r="F15156" s="0" t="s">
        <v>993</v>
      </c>
    </row>
    <row r="15157" customFormat="false" ht="12.8" hidden="false" customHeight="false" outlineLevel="0" collapsed="false">
      <c r="B15157" s="0" t="s">
        <v>1</v>
      </c>
      <c r="C15157" s="0" t="s">
        <v>6482</v>
      </c>
      <c r="E15157" s="0" t="s">
        <v>31</v>
      </c>
      <c r="F15157" s="0" t="s">
        <v>6483</v>
      </c>
    </row>
    <row r="15158" customFormat="false" ht="12.8" hidden="false" customHeight="false" outlineLevel="0" collapsed="false">
      <c r="B15158" s="0" t="s">
        <v>6664</v>
      </c>
    </row>
    <row r="15159" customFormat="false" ht="12.8" hidden="false" customHeight="false" outlineLevel="0" collapsed="false">
      <c r="B15159" s="0" t="s">
        <v>6631</v>
      </c>
      <c r="C15159" s="0" t="s">
        <v>6484</v>
      </c>
      <c r="E15159" s="0" t="s">
        <v>1556</v>
      </c>
      <c r="F15159" s="0" t="s">
        <v>6485</v>
      </c>
    </row>
    <row r="15161" customFormat="false" ht="12.8" hidden="false" customHeight="false" outlineLevel="0" collapsed="false">
      <c r="A15161" s="0" t="s">
        <v>6665</v>
      </c>
      <c r="B15161" s="0" t="str">
        <f aca="false">HYPERLINK("https://lindat.mff.cuni.cz/services/teitok/pdtc10/index.php?action=vallex&amp;frame=v-w1855f86", "mít (v-w1855f86)")</f>
        <v>mít (v-w1855f86)</v>
      </c>
    </row>
    <row r="15162" customFormat="false" ht="12.8" hidden="false" customHeight="false" outlineLevel="0" collapsed="false">
      <c r="B15162" s="0" t="s">
        <v>1</v>
      </c>
    </row>
    <row r="15163" customFormat="false" ht="12.8" hidden="false" customHeight="false" outlineLevel="0" collapsed="false">
      <c r="B15163" s="0" t="s">
        <v>6666</v>
      </c>
    </row>
    <row r="15164" customFormat="false" ht="12.8" hidden="false" customHeight="false" outlineLevel="0" collapsed="false">
      <c r="B15164" s="0" t="s">
        <v>8</v>
      </c>
    </row>
    <row r="15166" customFormat="false" ht="12.8" hidden="false" customHeight="false" outlineLevel="0" collapsed="false">
      <c r="A15166" s="0" t="s">
        <v>6667</v>
      </c>
      <c r="B15166" s="0" t="str">
        <f aca="false">HYPERLINK("https://lindat.mff.cuni.cz/services/teitok/pdtc10/index.php?action=vallex&amp;frame=v-w1855f59", "mít (v-w1855f59)")</f>
        <v>mít (v-w1855f59)</v>
      </c>
    </row>
    <row r="15167" customFormat="false" ht="12.8" hidden="false" customHeight="false" outlineLevel="0" collapsed="false">
      <c r="B15167" s="0" t="s">
        <v>1</v>
      </c>
    </row>
    <row r="15168" customFormat="false" ht="12.8" hidden="false" customHeight="false" outlineLevel="0" collapsed="false">
      <c r="B15168" s="0" t="s">
        <v>6668</v>
      </c>
    </row>
    <row r="15169" customFormat="false" ht="12.8" hidden="false" customHeight="false" outlineLevel="0" collapsed="false">
      <c r="B15169" s="0" t="s">
        <v>402</v>
      </c>
    </row>
    <row r="15171" customFormat="false" ht="12.8" hidden="false" customHeight="false" outlineLevel="0" collapsed="false">
      <c r="A15171" s="0" t="s">
        <v>6669</v>
      </c>
      <c r="B15171" s="0" t="str">
        <f aca="false">HYPERLINK("https://lindat.mff.cuni.cz/services/teitok/pdtc10/index.php?action=vallex&amp;frame=v-w1855f63", "mít (v-w1855f63)")</f>
        <v>mít (v-w1855f63)</v>
      </c>
    </row>
    <row r="15172" customFormat="false" ht="12.8" hidden="false" customHeight="false" outlineLevel="0" collapsed="false">
      <c r="B15172" s="0" t="s">
        <v>1</v>
      </c>
    </row>
    <row r="15173" customFormat="false" ht="12.8" hidden="false" customHeight="false" outlineLevel="0" collapsed="false">
      <c r="B15173" s="0" t="s">
        <v>1055</v>
      </c>
    </row>
    <row r="15174" customFormat="false" ht="12.8" hidden="false" customHeight="false" outlineLevel="0" collapsed="false">
      <c r="B15174" s="0" t="s">
        <v>8</v>
      </c>
    </row>
    <row r="15176" customFormat="false" ht="12.8" hidden="false" customHeight="false" outlineLevel="0" collapsed="false">
      <c r="A15176" s="0" t="s">
        <v>6670</v>
      </c>
      <c r="B15176" s="0" t="str">
        <f aca="false">HYPERLINK("https://lindat.mff.cuni.cz/services/teitok/pdtc10/index.php?action=vallex&amp;frame=v-w1855f61", "mít (v-w1855f61)")</f>
        <v>mít (v-w1855f61)</v>
      </c>
    </row>
    <row r="15177" customFormat="false" ht="12.8" hidden="false" customHeight="false" outlineLevel="0" collapsed="false">
      <c r="B15177" s="0" t="s">
        <v>1</v>
      </c>
    </row>
    <row r="15178" customFormat="false" ht="12.8" hidden="false" customHeight="false" outlineLevel="0" collapsed="false">
      <c r="B15178" s="0" t="s">
        <v>6671</v>
      </c>
    </row>
    <row r="15179" customFormat="false" ht="12.8" hidden="false" customHeight="false" outlineLevel="0" collapsed="false">
      <c r="B15179" s="0" t="s">
        <v>8</v>
      </c>
    </row>
    <row r="15181" customFormat="false" ht="12.8" hidden="false" customHeight="false" outlineLevel="0" collapsed="false">
      <c r="A15181" s="0" t="s">
        <v>6672</v>
      </c>
      <c r="B15181" s="0" t="str">
        <f aca="false">HYPERLINK("https://lindat.mff.cuni.cz/services/teitok/pdtc10/index.php?action=vallex&amp;frame=v-w1855f38", "mít (v-w1855f38)")</f>
        <v>mít (v-w1855f38)</v>
      </c>
    </row>
    <row r="15182" customFormat="false" ht="12.8" hidden="false" customHeight="false" outlineLevel="0" collapsed="false">
      <c r="B15182" s="0" t="s">
        <v>1</v>
      </c>
    </row>
    <row r="15183" customFormat="false" ht="12.8" hidden="false" customHeight="false" outlineLevel="0" collapsed="false">
      <c r="B15183" s="0" t="s">
        <v>6673</v>
      </c>
    </row>
    <row r="15184" customFormat="false" ht="12.8" hidden="false" customHeight="false" outlineLevel="0" collapsed="false">
      <c r="B15184" s="0" t="s">
        <v>8</v>
      </c>
    </row>
    <row r="15186" customFormat="false" ht="12.8" hidden="false" customHeight="false" outlineLevel="0" collapsed="false">
      <c r="A15186" s="0" t="s">
        <v>6674</v>
      </c>
      <c r="B15186" s="0" t="str">
        <f aca="false">HYPERLINK("https://lindat.mff.cuni.cz/services/teitok/pdtc10/index.php?action=vallex&amp;frame=v-w1855f89", "mít (v-w1855f89)")</f>
        <v>mít (v-w1855f89)</v>
      </c>
    </row>
    <row r="15187" customFormat="false" ht="12.8" hidden="false" customHeight="false" outlineLevel="0" collapsed="false">
      <c r="B15187" s="0" t="s">
        <v>1</v>
      </c>
    </row>
    <row r="15188" customFormat="false" ht="12.8" hidden="false" customHeight="false" outlineLevel="0" collapsed="false">
      <c r="B15188" s="0" t="s">
        <v>6675</v>
      </c>
    </row>
    <row r="15189" customFormat="false" ht="12.8" hidden="false" customHeight="false" outlineLevel="0" collapsed="false">
      <c r="B15189" s="0" t="s">
        <v>8</v>
      </c>
    </row>
    <row r="15191" customFormat="false" ht="12.8" hidden="false" customHeight="false" outlineLevel="0" collapsed="false">
      <c r="A15191" s="0" t="s">
        <v>6676</v>
      </c>
      <c r="B15191" s="0" t="str">
        <f aca="false">HYPERLINK("https://lindat.mff.cuni.cz/services/teitok/pdtc10/index.php?action=vallex&amp;frame=v-w1855f18", "mít (v-w1855f18)")</f>
        <v>mít (v-w1855f18)</v>
      </c>
      <c r="E15191" s="0" t="str">
        <f aca="false">HYPERLINK("https://lindat.mff.cuni.cz/services/SynSemClass40/SynSemClass40.html?veclass=vec00256#vec00256-ces-cm00053", "vec00256")</f>
        <v>vec00256</v>
      </c>
      <c r="F15191" s="0" t="s">
        <v>993</v>
      </c>
    </row>
    <row r="15192" customFormat="false" ht="12.8" hidden="false" customHeight="false" outlineLevel="0" collapsed="false">
      <c r="B15192" s="0" t="s">
        <v>1</v>
      </c>
      <c r="C15192" s="0" t="s">
        <v>6482</v>
      </c>
      <c r="E15192" s="0" t="s">
        <v>31</v>
      </c>
      <c r="F15192" s="0" t="s">
        <v>6483</v>
      </c>
    </row>
    <row r="15193" customFormat="false" ht="12.8" hidden="false" customHeight="false" outlineLevel="0" collapsed="false">
      <c r="B15193" s="0" t="s">
        <v>6677</v>
      </c>
    </row>
    <row r="15194" customFormat="false" ht="12.8" hidden="false" customHeight="false" outlineLevel="0" collapsed="false">
      <c r="B15194" s="0" t="s">
        <v>6631</v>
      </c>
      <c r="C15194" s="0" t="s">
        <v>6484</v>
      </c>
      <c r="E15194" s="0" t="s">
        <v>1556</v>
      </c>
      <c r="F15194" s="0" t="s">
        <v>6485</v>
      </c>
    </row>
    <row r="15196" customFormat="false" ht="12.8" hidden="false" customHeight="false" outlineLevel="0" collapsed="false">
      <c r="A15196" s="0" t="s">
        <v>6678</v>
      </c>
      <c r="B15196" s="0" t="str">
        <f aca="false">HYPERLINK("https://lindat.mff.cuni.cz/services/teitok/pdtc10/index.php?action=vallex&amp;frame=v-w1855f87", "mít (v-w1855f87)")</f>
        <v>mít (v-w1855f87)</v>
      </c>
    </row>
    <row r="15197" customFormat="false" ht="12.8" hidden="false" customHeight="false" outlineLevel="0" collapsed="false">
      <c r="B15197" s="0" t="s">
        <v>1</v>
      </c>
    </row>
    <row r="15198" customFormat="false" ht="12.8" hidden="false" customHeight="false" outlineLevel="0" collapsed="false">
      <c r="B15198" s="0" t="s">
        <v>6679</v>
      </c>
    </row>
    <row r="15199" customFormat="false" ht="12.8" hidden="false" customHeight="false" outlineLevel="0" collapsed="false">
      <c r="B15199" s="0" t="s">
        <v>8</v>
      </c>
    </row>
    <row r="15201" customFormat="false" ht="12.8" hidden="false" customHeight="false" outlineLevel="0" collapsed="false">
      <c r="A15201" s="0" t="s">
        <v>6680</v>
      </c>
      <c r="B15201" s="0" t="str">
        <f aca="false">HYPERLINK("https://lindat.mff.cuni.cz/services/teitok/pdtc10/index.php?action=vallex&amp;frame=v-w1855f78", "mít (v-w1855f78)")</f>
        <v>mít (v-w1855f78)</v>
      </c>
    </row>
    <row r="15202" customFormat="false" ht="12.8" hidden="false" customHeight="false" outlineLevel="0" collapsed="false">
      <c r="B15202" s="0" t="s">
        <v>1</v>
      </c>
    </row>
    <row r="15203" customFormat="false" ht="12.8" hidden="false" customHeight="false" outlineLevel="0" collapsed="false">
      <c r="B15203" s="0" t="s">
        <v>6681</v>
      </c>
    </row>
    <row r="15204" customFormat="false" ht="12.8" hidden="false" customHeight="false" outlineLevel="0" collapsed="false">
      <c r="B15204" s="0" t="s">
        <v>8</v>
      </c>
    </row>
    <row r="15206" customFormat="false" ht="12.8" hidden="false" customHeight="false" outlineLevel="0" collapsed="false">
      <c r="A15206" s="0" t="s">
        <v>6682</v>
      </c>
      <c r="B15206" s="0" t="str">
        <f aca="false">HYPERLINK("https://lindat.mff.cuni.cz/services/teitok/pdtc10/index.php?action=vallex&amp;frame=v-w1855f42", "mít (v-w1855f42)")</f>
        <v>mít (v-w1855f42)</v>
      </c>
      <c r="E15206" s="0" t="str">
        <f aca="false">HYPERLINK("https://lindat.mff.cuni.cz/services/SynSemClass40/SynSemClass40.html?veclass=vec00256#vec00256-ces-cm00066", "vec00256")</f>
        <v>vec00256</v>
      </c>
      <c r="F15206" s="0" t="s">
        <v>993</v>
      </c>
    </row>
    <row r="15207" customFormat="false" ht="12.8" hidden="false" customHeight="false" outlineLevel="0" collapsed="false">
      <c r="B15207" s="0" t="s">
        <v>1</v>
      </c>
      <c r="C15207" s="0" t="s">
        <v>6482</v>
      </c>
      <c r="E15207" s="0" t="s">
        <v>31</v>
      </c>
      <c r="F15207" s="0" t="s">
        <v>6483</v>
      </c>
    </row>
    <row r="15208" customFormat="false" ht="12.8" hidden="false" customHeight="false" outlineLevel="0" collapsed="false">
      <c r="B15208" s="0" t="s">
        <v>6683</v>
      </c>
    </row>
    <row r="15209" customFormat="false" ht="12.8" hidden="false" customHeight="false" outlineLevel="0" collapsed="false">
      <c r="B15209" s="0" t="s">
        <v>402</v>
      </c>
      <c r="C15209" s="0" t="s">
        <v>6484</v>
      </c>
      <c r="E15209" s="0" t="s">
        <v>1556</v>
      </c>
      <c r="F15209" s="0" t="s">
        <v>6485</v>
      </c>
    </row>
    <row r="15211" customFormat="false" ht="12.8" hidden="false" customHeight="false" outlineLevel="0" collapsed="false">
      <c r="A15211" s="0" t="s">
        <v>6684</v>
      </c>
      <c r="B15211" s="0" t="str">
        <f aca="false">HYPERLINK("https://lindat.mff.cuni.cz/services/teitok/pdtc10/index.php?action=vallex&amp;frame=v-w1855f69", "mít (v-w1855f69)")</f>
        <v>mít (v-w1855f69)</v>
      </c>
      <c r="E15211" s="0" t="str">
        <f aca="false">HYPERLINK("https://lindat.mff.cuni.cz/services/SynSemClass40/SynSemClass40.html?veclass=vec00196#vec00196-ces-cm00331", "vec00196")</f>
        <v>vec00196</v>
      </c>
      <c r="F15211" s="0" t="s">
        <v>749</v>
      </c>
    </row>
    <row r="15212" customFormat="false" ht="12.8" hidden="false" customHeight="false" outlineLevel="0" collapsed="false">
      <c r="B15212" s="0" t="s">
        <v>1</v>
      </c>
      <c r="C15212" s="0" t="s">
        <v>750</v>
      </c>
      <c r="E15212" s="0" t="s">
        <v>76</v>
      </c>
      <c r="F15212" s="0" t="s">
        <v>751</v>
      </c>
    </row>
    <row r="15213" customFormat="false" ht="12.8" hidden="false" customHeight="false" outlineLevel="0" collapsed="false">
      <c r="B15213" s="0" t="s">
        <v>6685</v>
      </c>
    </row>
    <row r="15214" customFormat="false" ht="12.8" hidden="false" customHeight="false" outlineLevel="0" collapsed="false">
      <c r="B15214" s="0" t="s">
        <v>59</v>
      </c>
      <c r="C15214" s="0" t="s">
        <v>6686</v>
      </c>
      <c r="E15214" s="0" t="s">
        <v>6358</v>
      </c>
      <c r="F15214" s="0" t="s">
        <v>6645</v>
      </c>
    </row>
    <row r="15216" customFormat="false" ht="12.8" hidden="false" customHeight="false" outlineLevel="0" collapsed="false">
      <c r="A15216" s="0" t="s">
        <v>6687</v>
      </c>
      <c r="B15216" s="0" t="str">
        <f aca="false">HYPERLINK("https://lindat.mff.cuni.cz/services/teitok/pdtc10/index.php?action=vallex&amp;frame=v-w1855f83", "mít (v-w1855f83)")</f>
        <v>mít (v-w1855f83)</v>
      </c>
      <c r="E15216" s="0" t="str">
        <f aca="false">HYPERLINK("https://lindat.mff.cuni.cz/services/SynSemClass40/SynSemClass40.html?veclass=vec00196#vec00196-ces-cm00332", "vec00196")</f>
        <v>vec00196</v>
      </c>
      <c r="F15216" s="0" t="s">
        <v>749</v>
      </c>
    </row>
    <row r="15217" customFormat="false" ht="12.8" hidden="false" customHeight="false" outlineLevel="0" collapsed="false">
      <c r="B15217" s="0" t="s">
        <v>1</v>
      </c>
      <c r="C15217" s="0" t="s">
        <v>750</v>
      </c>
      <c r="E15217" s="0" t="s">
        <v>76</v>
      </c>
      <c r="F15217" s="0" t="s">
        <v>751</v>
      </c>
    </row>
    <row r="15218" customFormat="false" ht="12.8" hidden="false" customHeight="false" outlineLevel="0" collapsed="false">
      <c r="B15218" s="0" t="s">
        <v>6688</v>
      </c>
    </row>
    <row r="15219" customFormat="false" ht="12.8" hidden="false" customHeight="false" outlineLevel="0" collapsed="false">
      <c r="B15219" s="0" t="s">
        <v>59</v>
      </c>
      <c r="C15219" s="0" t="s">
        <v>6686</v>
      </c>
      <c r="E15219" s="0" t="s">
        <v>6358</v>
      </c>
      <c r="F15219" s="0" t="s">
        <v>6645</v>
      </c>
    </row>
    <row r="15221" customFormat="false" ht="12.8" hidden="false" customHeight="false" outlineLevel="0" collapsed="false">
      <c r="A15221" s="0" t="s">
        <v>6689</v>
      </c>
      <c r="B15221" s="0" t="str">
        <f aca="false">HYPERLINK("https://lindat.mff.cuni.cz/services/teitok/pdtc10/index.php?action=vallex&amp;frame=v-w1855f32", "mít (v-w1855f32)")</f>
        <v>mít (v-w1855f32)</v>
      </c>
      <c r="E15221" s="0" t="str">
        <f aca="false">HYPERLINK("https://lindat.mff.cuni.cz/services/SynSemClass40/SynSemClass40.html?veclass=vec00196#vec00196-ces-cm00032", "vec00196")</f>
        <v>vec00196</v>
      </c>
      <c r="F15221" s="0" t="s">
        <v>749</v>
      </c>
    </row>
    <row r="15222" customFormat="false" ht="12.8" hidden="false" customHeight="false" outlineLevel="0" collapsed="false">
      <c r="B15222" s="0" t="s">
        <v>1</v>
      </c>
      <c r="C15222" s="0" t="s">
        <v>750</v>
      </c>
      <c r="E15222" s="0" t="s">
        <v>76</v>
      </c>
      <c r="F15222" s="0" t="s">
        <v>751</v>
      </c>
    </row>
    <row r="15223" customFormat="false" ht="12.8" hidden="false" customHeight="false" outlineLevel="0" collapsed="false">
      <c r="B15223" s="0" t="s">
        <v>6690</v>
      </c>
    </row>
    <row r="15224" customFormat="false" ht="12.8" hidden="false" customHeight="false" outlineLevel="0" collapsed="false">
      <c r="B15224" s="0" t="s">
        <v>59</v>
      </c>
      <c r="C15224" s="0" t="s">
        <v>6686</v>
      </c>
      <c r="E15224" s="0" t="s">
        <v>6358</v>
      </c>
      <c r="F15224" s="0" t="s">
        <v>6645</v>
      </c>
    </row>
    <row r="15226" customFormat="false" ht="12.8" hidden="false" customHeight="false" outlineLevel="0" collapsed="false">
      <c r="A15226" s="0" t="s">
        <v>6691</v>
      </c>
      <c r="B15226" s="0" t="str">
        <f aca="false">HYPERLINK("https://lindat.mff.cuni.cz/services/teitok/pdtc10/index.php?action=vallex&amp;frame=v-w1855f33", "mít (v-w1855f33)")</f>
        <v>mít (v-w1855f33)</v>
      </c>
      <c r="E15226" s="0" t="str">
        <f aca="false">HYPERLINK("https://lindat.mff.cuni.cz/services/SynSemClass40/SynSemClass40.html?veclass=vec00032#vec00032-ces-cm00160", "vec00032")</f>
        <v>vec00032</v>
      </c>
      <c r="F15226" s="0" t="s">
        <v>911</v>
      </c>
      <c r="H15226" s="0" t="str">
        <f aca="false">HYPERLINK("https://lindat.mff.cuni.cz/services/SynSemClass40/SynSemClass40.html?veclass=vec00381#vec00381-ces-cm00022", "vec00381")</f>
        <v>vec00381</v>
      </c>
      <c r="I15226" s="0" t="s">
        <v>6692</v>
      </c>
    </row>
    <row r="15227" customFormat="false" ht="12.8" hidden="false" customHeight="false" outlineLevel="0" collapsed="false">
      <c r="B15227" s="0" t="s">
        <v>1</v>
      </c>
      <c r="C15227" s="0" t="s">
        <v>6693</v>
      </c>
      <c r="E15227" s="0" t="s">
        <v>914</v>
      </c>
      <c r="F15227" s="0" t="s">
        <v>915</v>
      </c>
      <c r="H15227" s="0" t="s">
        <v>621</v>
      </c>
      <c r="I15227" s="0" t="s">
        <v>6694</v>
      </c>
    </row>
    <row r="15228" customFormat="false" ht="12.8" hidden="false" customHeight="false" outlineLevel="0" collapsed="false">
      <c r="B15228" s="0" t="s">
        <v>6695</v>
      </c>
    </row>
    <row r="15229" customFormat="false" ht="12.8" hidden="false" customHeight="false" outlineLevel="0" collapsed="false">
      <c r="B15229" s="0" t="s">
        <v>59</v>
      </c>
      <c r="C15229" s="0" t="s">
        <v>6696</v>
      </c>
      <c r="E15229" s="0" t="s">
        <v>920</v>
      </c>
      <c r="F15229" s="0" t="s">
        <v>921</v>
      </c>
      <c r="H15229" s="0" t="s">
        <v>180</v>
      </c>
      <c r="I15229" s="0" t="s">
        <v>6697</v>
      </c>
    </row>
    <row r="15231" customFormat="false" ht="12.8" hidden="false" customHeight="false" outlineLevel="0" collapsed="false">
      <c r="A15231" s="0" t="s">
        <v>6698</v>
      </c>
      <c r="B15231" s="0" t="str">
        <f aca="false">HYPERLINK("https://lindat.mff.cuni.cz/services/teitok/pdtc10/index.php?action=vallex&amp;frame=v-w1855f56", "mít (v-w1855f56)")</f>
        <v>mít (v-w1855f56)</v>
      </c>
    </row>
    <row r="15232" customFormat="false" ht="12.8" hidden="false" customHeight="false" outlineLevel="0" collapsed="false">
      <c r="B15232" s="0" t="s">
        <v>1</v>
      </c>
    </row>
    <row r="15233" customFormat="false" ht="12.8" hidden="false" customHeight="false" outlineLevel="0" collapsed="false">
      <c r="B15233" s="0" t="s">
        <v>6699</v>
      </c>
    </row>
    <row r="15234" customFormat="false" ht="12.8" hidden="false" customHeight="false" outlineLevel="0" collapsed="false">
      <c r="B15234" s="0" t="s">
        <v>1289</v>
      </c>
    </row>
    <row r="15236" customFormat="false" ht="12.8" hidden="false" customHeight="false" outlineLevel="0" collapsed="false">
      <c r="A15236" s="0" t="s">
        <v>6700</v>
      </c>
      <c r="B15236" s="0" t="str">
        <f aca="false">HYPERLINK("https://lindat.mff.cuni.cz/services/teitok/pdtc10/index.php?action=vallex&amp;frame=v-w1855f158_ZU", "mít (v-w1855f158_ZU)")</f>
        <v>mít (v-w1855f158_ZU)</v>
      </c>
    </row>
    <row r="15237" customFormat="false" ht="12.8" hidden="false" customHeight="false" outlineLevel="0" collapsed="false">
      <c r="B15237" s="0" t="s">
        <v>1</v>
      </c>
    </row>
    <row r="15238" customFormat="false" ht="12.8" hidden="false" customHeight="false" outlineLevel="0" collapsed="false">
      <c r="B15238" s="0" t="s">
        <v>6701</v>
      </c>
    </row>
    <row r="15239" customFormat="false" ht="12.8" hidden="false" customHeight="false" outlineLevel="0" collapsed="false">
      <c r="B15239" s="0" t="s">
        <v>311</v>
      </c>
    </row>
    <row r="15241" customFormat="false" ht="12.8" hidden="false" customHeight="false" outlineLevel="0" collapsed="false">
      <c r="A15241" s="0" t="s">
        <v>6702</v>
      </c>
      <c r="B15241" s="0" t="str">
        <f aca="false">HYPERLINK("https://lindat.mff.cuni.cz/services/teitok/pdtc10/index.php?action=vallex&amp;frame=v-w1855f151_ZU", "mít (v-w1855f151_ZU)")</f>
        <v>mít (v-w1855f151_ZU)</v>
      </c>
    </row>
    <row r="15242" customFormat="false" ht="12.8" hidden="false" customHeight="false" outlineLevel="0" collapsed="false">
      <c r="B15242" s="0" t="s">
        <v>1</v>
      </c>
    </row>
    <row r="15243" customFormat="false" ht="12.8" hidden="false" customHeight="false" outlineLevel="0" collapsed="false">
      <c r="B15243" s="0" t="s">
        <v>6703</v>
      </c>
    </row>
    <row r="15244" customFormat="false" ht="12.8" hidden="false" customHeight="false" outlineLevel="0" collapsed="false">
      <c r="B15244" s="0" t="s">
        <v>8</v>
      </c>
    </row>
    <row r="15246" customFormat="false" ht="12.8" hidden="false" customHeight="false" outlineLevel="0" collapsed="false">
      <c r="A15246" s="0" t="s">
        <v>6704</v>
      </c>
      <c r="B15246" s="0" t="str">
        <f aca="false">HYPERLINK("https://lindat.mff.cuni.cz/services/teitok/pdtc10/index.php?action=vallex&amp;frame=v-w1855f144_ZU", "mít (v-w1855f144_ZU)")</f>
        <v>mít (v-w1855f144_ZU)</v>
      </c>
    </row>
    <row r="15247" customFormat="false" ht="12.8" hidden="false" customHeight="false" outlineLevel="0" collapsed="false">
      <c r="B15247" s="0" t="s">
        <v>1</v>
      </c>
    </row>
    <row r="15248" customFormat="false" ht="12.8" hidden="false" customHeight="false" outlineLevel="0" collapsed="false">
      <c r="B15248" s="0" t="s">
        <v>6705</v>
      </c>
    </row>
    <row r="15249" customFormat="false" ht="12.8" hidden="false" customHeight="false" outlineLevel="0" collapsed="false">
      <c r="B15249" s="0" t="s">
        <v>8</v>
      </c>
    </row>
    <row r="15251" customFormat="false" ht="12.8" hidden="false" customHeight="false" outlineLevel="0" collapsed="false">
      <c r="A15251" s="0" t="s">
        <v>6706</v>
      </c>
      <c r="B15251" s="0" t="str">
        <f aca="false">HYPERLINK("https://lindat.mff.cuni.cz/services/teitok/pdtc10/index.php?action=vallex&amp;frame=v-w1855f114_ZU", "mít (v-w1855f114_ZU)")</f>
        <v>mít (v-w1855f114_ZU)</v>
      </c>
    </row>
    <row r="15252" customFormat="false" ht="12.8" hidden="false" customHeight="false" outlineLevel="0" collapsed="false">
      <c r="B15252" s="0" t="s">
        <v>1</v>
      </c>
    </row>
    <row r="15253" customFormat="false" ht="12.8" hidden="false" customHeight="false" outlineLevel="0" collapsed="false">
      <c r="B15253" s="0" t="s">
        <v>6707</v>
      </c>
    </row>
    <row r="15254" customFormat="false" ht="12.8" hidden="false" customHeight="false" outlineLevel="0" collapsed="false">
      <c r="B15254" s="0" t="s">
        <v>8</v>
      </c>
    </row>
    <row r="15256" customFormat="false" ht="12.8" hidden="false" customHeight="false" outlineLevel="0" collapsed="false">
      <c r="A15256" s="0" t="s">
        <v>6708</v>
      </c>
      <c r="B15256" s="0" t="str">
        <f aca="false">HYPERLINK("https://lindat.mff.cuni.cz/services/teitok/pdtc10/index.php?action=vallex&amp;frame=v-w1855f147_ZU", "mít (v-w1855f147_ZU)")</f>
        <v>mít (v-w1855f147_ZU)</v>
      </c>
    </row>
    <row r="15257" customFormat="false" ht="12.8" hidden="false" customHeight="false" outlineLevel="0" collapsed="false">
      <c r="B15257" s="0" t="s">
        <v>1</v>
      </c>
    </row>
    <row r="15258" customFormat="false" ht="12.8" hidden="false" customHeight="false" outlineLevel="0" collapsed="false">
      <c r="B15258" s="0" t="s">
        <v>6709</v>
      </c>
    </row>
    <row r="15259" customFormat="false" ht="12.8" hidden="false" customHeight="false" outlineLevel="0" collapsed="false">
      <c r="B15259" s="0" t="s">
        <v>8</v>
      </c>
    </row>
    <row r="15261" customFormat="false" ht="12.8" hidden="false" customHeight="false" outlineLevel="0" collapsed="false">
      <c r="A15261" s="0" t="s">
        <v>6710</v>
      </c>
      <c r="B15261" s="0" t="str">
        <f aca="false">HYPERLINK("https://lindat.mff.cuni.cz/services/teitok/pdtc10/index.php?action=vallex&amp;frame=v-w1855f133_ZU", "mít (v-w1855f133_ZU)")</f>
        <v>mít (v-w1855f133_ZU)</v>
      </c>
      <c r="E15261" s="0" t="str">
        <f aca="false">HYPERLINK("https://lindat.mff.cuni.cz/services/SynSemClass40/SynSemClass40.html?veclass=vec00196#vec00196-ces-cm00333", "vec00196")</f>
        <v>vec00196</v>
      </c>
      <c r="F15261" s="0" t="s">
        <v>749</v>
      </c>
    </row>
    <row r="15262" customFormat="false" ht="12.8" hidden="false" customHeight="false" outlineLevel="0" collapsed="false">
      <c r="B15262" s="0" t="s">
        <v>1</v>
      </c>
      <c r="C15262" s="0" t="s">
        <v>750</v>
      </c>
      <c r="E15262" s="0" t="s">
        <v>76</v>
      </c>
      <c r="F15262" s="0" t="s">
        <v>751</v>
      </c>
    </row>
    <row r="15263" customFormat="false" ht="12.8" hidden="false" customHeight="false" outlineLevel="0" collapsed="false">
      <c r="B15263" s="0" t="s">
        <v>6711</v>
      </c>
    </row>
    <row r="15264" customFormat="false" ht="12.8" hidden="false" customHeight="false" outlineLevel="0" collapsed="false">
      <c r="B15264" s="0" t="s">
        <v>59</v>
      </c>
      <c r="C15264" s="0" t="s">
        <v>6686</v>
      </c>
      <c r="E15264" s="0" t="s">
        <v>6358</v>
      </c>
      <c r="F15264" s="0" t="s">
        <v>6645</v>
      </c>
    </row>
    <row r="15266" customFormat="false" ht="12.8" hidden="false" customHeight="false" outlineLevel="0" collapsed="false">
      <c r="A15266" s="0" t="s">
        <v>6712</v>
      </c>
      <c r="B15266" s="0" t="str">
        <f aca="false">HYPERLINK("https://lindat.mff.cuni.cz/services/teitok/pdtc10/index.php?action=vallex&amp;frame=v-w1855f73", "mít (v-w1855f73)")</f>
        <v>mít (v-w1855f73)</v>
      </c>
    </row>
    <row r="15267" customFormat="false" ht="12.8" hidden="false" customHeight="false" outlineLevel="0" collapsed="false">
      <c r="B15267" s="0" t="s">
        <v>1</v>
      </c>
    </row>
    <row r="15268" customFormat="false" ht="12.8" hidden="false" customHeight="false" outlineLevel="0" collapsed="false">
      <c r="B15268" s="0" t="s">
        <v>6713</v>
      </c>
    </row>
    <row r="15269" customFormat="false" ht="12.8" hidden="false" customHeight="false" outlineLevel="0" collapsed="false">
      <c r="B15269" s="0" t="s">
        <v>5</v>
      </c>
    </row>
    <row r="15271" customFormat="false" ht="12.8" hidden="false" customHeight="false" outlineLevel="0" collapsed="false">
      <c r="A15271" s="0" t="s">
        <v>6714</v>
      </c>
      <c r="B15271" s="0" t="str">
        <f aca="false">HYPERLINK("https://lindat.mff.cuni.cz/services/teitok/pdtc10/index.php?action=vallex&amp;frame=v-w1855f131_ZU", "mít (v-w1855f131_ZU)")</f>
        <v>mít (v-w1855f131_ZU)</v>
      </c>
      <c r="E15271" s="0" t="str">
        <f aca="false">HYPERLINK("https://lindat.mff.cuni.cz/services/SynSemClass40/SynSemClass40.html?veclass=vec01230#vec01230-ces-cm00002", "vec01230")</f>
        <v>vec01230</v>
      </c>
      <c r="F15271" s="0" t="s">
        <v>6608</v>
      </c>
    </row>
    <row r="15272" customFormat="false" ht="12.8" hidden="false" customHeight="false" outlineLevel="0" collapsed="false">
      <c r="B15272" s="0" t="s">
        <v>1</v>
      </c>
      <c r="E15272" s="0" t="s">
        <v>11</v>
      </c>
      <c r="F15272" s="0" t="s">
        <v>959</v>
      </c>
    </row>
    <row r="15273" customFormat="false" ht="12.8" hidden="false" customHeight="false" outlineLevel="0" collapsed="false">
      <c r="B15273" s="0" t="s">
        <v>1121</v>
      </c>
    </row>
    <row r="15274" customFormat="false" ht="12.8" hidden="false" customHeight="false" outlineLevel="0" collapsed="false">
      <c r="B15274" s="0" t="s">
        <v>855</v>
      </c>
    </row>
    <row r="15276" customFormat="false" ht="12.8" hidden="false" customHeight="false" outlineLevel="0" collapsed="false">
      <c r="A15276" s="0" t="s">
        <v>6715</v>
      </c>
      <c r="B15276" s="0" t="str">
        <f aca="false">HYPERLINK("https://lindat.mff.cuni.cz/services/teitok/pdtc10/index.php?action=vallex&amp;frame=v-w1855f79", "mít (v-w1855f79)")</f>
        <v>mít (v-w1855f79)</v>
      </c>
    </row>
    <row r="15277" customFormat="false" ht="12.8" hidden="false" customHeight="false" outlineLevel="0" collapsed="false">
      <c r="B15277" s="0" t="s">
        <v>1</v>
      </c>
    </row>
    <row r="15278" customFormat="false" ht="12.8" hidden="false" customHeight="false" outlineLevel="0" collapsed="false">
      <c r="B15278" s="0" t="s">
        <v>6716</v>
      </c>
    </row>
    <row r="15280" customFormat="false" ht="12.8" hidden="false" customHeight="false" outlineLevel="0" collapsed="false">
      <c r="A15280" s="0" t="s">
        <v>6717</v>
      </c>
      <c r="B15280" s="0" t="str">
        <f aca="false">HYPERLINK("https://lindat.mff.cuni.cz/services/teitok/pdtc10/index.php?action=vallex&amp;frame=v-w1855f68", "mít (v-w1855f68)")</f>
        <v>mít (v-w1855f68)</v>
      </c>
    </row>
    <row r="15281" customFormat="false" ht="12.8" hidden="false" customHeight="false" outlineLevel="0" collapsed="false">
      <c r="B15281" s="0" t="s">
        <v>1</v>
      </c>
    </row>
    <row r="15282" customFormat="false" ht="12.8" hidden="false" customHeight="false" outlineLevel="0" collapsed="false">
      <c r="B15282" s="0" t="s">
        <v>6718</v>
      </c>
    </row>
    <row r="15284" customFormat="false" ht="12.8" hidden="false" customHeight="false" outlineLevel="0" collapsed="false">
      <c r="A15284" s="0" t="s">
        <v>6719</v>
      </c>
      <c r="B15284" s="0" t="str">
        <f aca="false">HYPERLINK("https://lindat.mff.cuni.cz/services/teitok/pdtc10/index.php?action=vallex&amp;frame=v-w1855f46", "mít (v-w1855f46)")</f>
        <v>mít (v-w1855f46)</v>
      </c>
    </row>
    <row r="15285" customFormat="false" ht="12.8" hidden="false" customHeight="false" outlineLevel="0" collapsed="false">
      <c r="B15285" s="0" t="s">
        <v>1</v>
      </c>
    </row>
    <row r="15286" customFormat="false" ht="12.8" hidden="false" customHeight="false" outlineLevel="0" collapsed="false">
      <c r="B15286" s="0" t="s">
        <v>6720</v>
      </c>
    </row>
    <row r="15288" customFormat="false" ht="12.8" hidden="false" customHeight="false" outlineLevel="0" collapsed="false">
      <c r="A15288" s="0" t="s">
        <v>6721</v>
      </c>
      <c r="B15288" s="0" t="str">
        <f aca="false">HYPERLINK("https://lindat.mff.cuni.cz/services/teitok/pdtc10/index.php?action=vallex&amp;frame=v-w1855f44", "mít (v-w1855f44)")</f>
        <v>mít (v-w1855f44)</v>
      </c>
    </row>
    <row r="15289" customFormat="false" ht="12.8" hidden="false" customHeight="false" outlineLevel="0" collapsed="false">
      <c r="B15289" s="0" t="s">
        <v>1</v>
      </c>
    </row>
    <row r="15290" customFormat="false" ht="12.8" hidden="false" customHeight="false" outlineLevel="0" collapsed="false">
      <c r="B15290" s="0" t="s">
        <v>6722</v>
      </c>
    </row>
    <row r="15292" customFormat="false" ht="12.8" hidden="false" customHeight="false" outlineLevel="0" collapsed="false">
      <c r="A15292" s="0" t="s">
        <v>6723</v>
      </c>
      <c r="B15292" s="0" t="str">
        <f aca="false">HYPERLINK("https://lindat.mff.cuni.cz/services/teitok/pdtc10/index.php?action=vallex&amp;frame=v-w1855f80", "mít (v-w1855f80)")</f>
        <v>mít (v-w1855f80)</v>
      </c>
    </row>
    <row r="15293" customFormat="false" ht="12.8" hidden="false" customHeight="false" outlineLevel="0" collapsed="false">
      <c r="B15293" s="0" t="s">
        <v>1</v>
      </c>
    </row>
    <row r="15294" customFormat="false" ht="12.8" hidden="false" customHeight="false" outlineLevel="0" collapsed="false">
      <c r="B15294" s="0" t="s">
        <v>6724</v>
      </c>
    </row>
    <row r="15296" customFormat="false" ht="12.8" hidden="false" customHeight="false" outlineLevel="0" collapsed="false">
      <c r="A15296" s="0" t="s">
        <v>6725</v>
      </c>
      <c r="B15296" s="0" t="str">
        <f aca="false">HYPERLINK("https://lindat.mff.cuni.cz/services/teitok/pdtc10/index.php?action=vallex&amp;frame=v-w1855f74", "mít (v-w1855f74)")</f>
        <v>mít (v-w1855f74)</v>
      </c>
    </row>
    <row r="15297" customFormat="false" ht="12.8" hidden="false" customHeight="false" outlineLevel="0" collapsed="false">
      <c r="B15297" s="0" t="s">
        <v>1</v>
      </c>
    </row>
    <row r="15298" customFormat="false" ht="12.8" hidden="false" customHeight="false" outlineLevel="0" collapsed="false">
      <c r="B15298" s="0" t="s">
        <v>6726</v>
      </c>
    </row>
    <row r="15300" customFormat="false" ht="12.8" hidden="false" customHeight="false" outlineLevel="0" collapsed="false">
      <c r="A15300" s="0" t="s">
        <v>6727</v>
      </c>
      <c r="B15300" s="0" t="str">
        <f aca="false">HYPERLINK("https://lindat.mff.cuni.cz/services/teitok/pdtc10/index.php?action=vallex&amp;frame=v-w1855f65", "mít (v-w1855f65)")</f>
        <v>mít (v-w1855f65)</v>
      </c>
    </row>
    <row r="15301" customFormat="false" ht="12.8" hidden="false" customHeight="false" outlineLevel="0" collapsed="false">
      <c r="B15301" s="0" t="s">
        <v>1</v>
      </c>
    </row>
    <row r="15302" customFormat="false" ht="12.8" hidden="false" customHeight="false" outlineLevel="0" collapsed="false">
      <c r="B15302" s="0" t="s">
        <v>6728</v>
      </c>
    </row>
    <row r="15304" customFormat="false" ht="12.8" hidden="false" customHeight="false" outlineLevel="0" collapsed="false">
      <c r="A15304" s="0" t="s">
        <v>6729</v>
      </c>
      <c r="B15304" s="0" t="str">
        <f aca="false">HYPERLINK("https://lindat.mff.cuni.cz/services/teitok/pdtc10/index.php?action=vallex&amp;frame=v-w1855f55", "mít (v-w1855f55)")</f>
        <v>mít (v-w1855f55)</v>
      </c>
    </row>
    <row r="15305" customFormat="false" ht="12.8" hidden="false" customHeight="false" outlineLevel="0" collapsed="false">
      <c r="B15305" s="0" t="s">
        <v>1</v>
      </c>
    </row>
    <row r="15306" customFormat="false" ht="12.8" hidden="false" customHeight="false" outlineLevel="0" collapsed="false">
      <c r="B15306" s="0" t="s">
        <v>6730</v>
      </c>
    </row>
    <row r="15308" customFormat="false" ht="12.8" hidden="false" customHeight="false" outlineLevel="0" collapsed="false">
      <c r="A15308" s="0" t="s">
        <v>6731</v>
      </c>
      <c r="B15308" s="0" t="str">
        <f aca="false">HYPERLINK("https://lindat.mff.cuni.cz/services/teitok/pdtc10/index.php?action=vallex&amp;frame=v-w1855f51", "mít (v-w1855f51)")</f>
        <v>mít (v-w1855f51)</v>
      </c>
    </row>
    <row r="15309" customFormat="false" ht="12.8" hidden="false" customHeight="false" outlineLevel="0" collapsed="false">
      <c r="B15309" s="0" t="s">
        <v>1</v>
      </c>
    </row>
    <row r="15310" customFormat="false" ht="12.8" hidden="false" customHeight="false" outlineLevel="0" collapsed="false">
      <c r="B15310" s="0" t="s">
        <v>6732</v>
      </c>
    </row>
    <row r="15312" customFormat="false" ht="12.8" hidden="false" customHeight="false" outlineLevel="0" collapsed="false">
      <c r="A15312" s="0" t="s">
        <v>6733</v>
      </c>
      <c r="B15312" s="0" t="str">
        <f aca="false">HYPERLINK("https://lindat.mff.cuni.cz/services/teitok/pdtc10/index.php?action=vallex&amp;frame=v-w1855f76", "mít (v-w1855f76)")</f>
        <v>mít (v-w1855f76)</v>
      </c>
    </row>
    <row r="15313" customFormat="false" ht="12.8" hidden="false" customHeight="false" outlineLevel="0" collapsed="false">
      <c r="B15313" s="0" t="s">
        <v>1</v>
      </c>
    </row>
    <row r="15314" customFormat="false" ht="12.8" hidden="false" customHeight="false" outlineLevel="0" collapsed="false">
      <c r="B15314" s="0" t="s">
        <v>6734</v>
      </c>
    </row>
    <row r="15316" customFormat="false" ht="12.8" hidden="false" customHeight="false" outlineLevel="0" collapsed="false">
      <c r="A15316" s="0" t="s">
        <v>6735</v>
      </c>
      <c r="B15316" s="0" t="str">
        <f aca="false">HYPERLINK("https://lindat.mff.cuni.cz/services/teitok/pdtc10/index.php?action=vallex&amp;frame=v-w1855f82", "mít (v-w1855f82)")</f>
        <v>mít (v-w1855f82)</v>
      </c>
    </row>
    <row r="15317" customFormat="false" ht="12.8" hidden="false" customHeight="false" outlineLevel="0" collapsed="false">
      <c r="B15317" s="0" t="s">
        <v>1</v>
      </c>
    </row>
    <row r="15318" customFormat="false" ht="12.8" hidden="false" customHeight="false" outlineLevel="0" collapsed="false">
      <c r="B15318" s="0" t="s">
        <v>6736</v>
      </c>
    </row>
    <row r="15320" customFormat="false" ht="12.8" hidden="false" customHeight="false" outlineLevel="0" collapsed="false">
      <c r="A15320" s="0" t="s">
        <v>6737</v>
      </c>
      <c r="B15320" s="0" t="str">
        <f aca="false">HYPERLINK("https://lindat.mff.cuni.cz/services/teitok/pdtc10/index.php?action=vallex&amp;frame=v-w1855f29", "mít (v-w1855f29)")</f>
        <v>mít (v-w1855f29)</v>
      </c>
    </row>
    <row r="15321" customFormat="false" ht="12.8" hidden="false" customHeight="false" outlineLevel="0" collapsed="false">
      <c r="B15321" s="0" t="s">
        <v>1</v>
      </c>
    </row>
    <row r="15322" customFormat="false" ht="12.8" hidden="false" customHeight="false" outlineLevel="0" collapsed="false">
      <c r="B15322" s="0" t="s">
        <v>6738</v>
      </c>
    </row>
    <row r="15324" customFormat="false" ht="12.8" hidden="false" customHeight="false" outlineLevel="0" collapsed="false">
      <c r="A15324" s="0" t="s">
        <v>6739</v>
      </c>
      <c r="B15324" s="0" t="str">
        <f aca="false">HYPERLINK("https://lindat.mff.cuni.cz/services/teitok/pdtc10/index.php?action=vallex&amp;frame=v-w1855f77", "mít (v-w1855f77)")</f>
        <v>mít (v-w1855f77)</v>
      </c>
    </row>
    <row r="15325" customFormat="false" ht="12.8" hidden="false" customHeight="false" outlineLevel="0" collapsed="false">
      <c r="B15325" s="0" t="s">
        <v>1</v>
      </c>
    </row>
    <row r="15326" customFormat="false" ht="12.8" hidden="false" customHeight="false" outlineLevel="0" collapsed="false">
      <c r="B15326" s="0" t="s">
        <v>6740</v>
      </c>
    </row>
    <row r="15328" customFormat="false" ht="12.8" hidden="false" customHeight="false" outlineLevel="0" collapsed="false">
      <c r="A15328" s="0" t="s">
        <v>6741</v>
      </c>
      <c r="B15328" s="0" t="str">
        <f aca="false">HYPERLINK("https://lindat.mff.cuni.cz/services/teitok/pdtc10/index.php?action=vallex&amp;frame=v-w1855f37", "mít (v-w1855f37)")</f>
        <v>mít (v-w1855f37)</v>
      </c>
    </row>
    <row r="15329" customFormat="false" ht="12.8" hidden="false" customHeight="false" outlineLevel="0" collapsed="false">
      <c r="B15329" s="0" t="s">
        <v>1</v>
      </c>
    </row>
    <row r="15330" customFormat="false" ht="12.8" hidden="false" customHeight="false" outlineLevel="0" collapsed="false">
      <c r="B15330" s="0" t="s">
        <v>6742</v>
      </c>
    </row>
    <row r="15332" customFormat="false" ht="12.8" hidden="false" customHeight="false" outlineLevel="0" collapsed="false">
      <c r="A15332" s="0" t="s">
        <v>6743</v>
      </c>
      <c r="B15332" s="0" t="str">
        <f aca="false">HYPERLINK("https://lindat.mff.cuni.cz/services/teitok/pdtc10/index.php?action=vallex&amp;frame=v-w1855f52", "mít (v-w1855f52)")</f>
        <v>mít (v-w1855f52)</v>
      </c>
    </row>
    <row r="15333" customFormat="false" ht="12.8" hidden="false" customHeight="false" outlineLevel="0" collapsed="false">
      <c r="B15333" s="0" t="s">
        <v>1</v>
      </c>
    </row>
    <row r="15334" customFormat="false" ht="12.8" hidden="false" customHeight="false" outlineLevel="0" collapsed="false">
      <c r="B15334" s="0" t="s">
        <v>2868</v>
      </c>
    </row>
    <row r="15336" customFormat="false" ht="12.8" hidden="false" customHeight="false" outlineLevel="0" collapsed="false">
      <c r="A15336" s="0" t="s">
        <v>6744</v>
      </c>
      <c r="B15336" s="0" t="str">
        <f aca="false">HYPERLINK("https://lindat.mff.cuni.cz/services/teitok/pdtc10/index.php?action=vallex&amp;frame=v-w1855f138_ZU", "mít (v-w1855f138_ZU)")</f>
        <v>mít (v-w1855f138_ZU)</v>
      </c>
    </row>
    <row r="15337" customFormat="false" ht="12.8" hidden="false" customHeight="false" outlineLevel="0" collapsed="false">
      <c r="B15337" s="0" t="s">
        <v>1</v>
      </c>
    </row>
    <row r="15338" customFormat="false" ht="12.8" hidden="false" customHeight="false" outlineLevel="0" collapsed="false">
      <c r="B15338" s="0" t="s">
        <v>6745</v>
      </c>
    </row>
    <row r="15340" customFormat="false" ht="12.8" hidden="false" customHeight="false" outlineLevel="0" collapsed="false">
      <c r="A15340" s="0" t="s">
        <v>6744</v>
      </c>
      <c r="B15340" s="0" t="str">
        <f aca="false">HYPERLINK("https://lindat.mff.cuni.cz/services/teitok/pdtc10/index.php?action=vallex&amp;frame=v-w1855f136_ZU", "mít (v-w1855f136_ZU) - substituted with v-w1855f138_ZU")</f>
        <v>mít (v-w1855f136_ZU) - substituted with v-w1855f138_ZU</v>
      </c>
    </row>
    <row r="15341" customFormat="false" ht="12.8" hidden="false" customHeight="false" outlineLevel="0" collapsed="false">
      <c r="B15341" s="0" t="s">
        <v>1</v>
      </c>
    </row>
    <row r="15342" customFormat="false" ht="12.8" hidden="false" customHeight="false" outlineLevel="0" collapsed="false">
      <c r="B15342" s="0" t="s">
        <v>6745</v>
      </c>
    </row>
    <row r="15344" customFormat="false" ht="12.8" hidden="false" customHeight="false" outlineLevel="0" collapsed="false">
      <c r="A15344" s="0" t="s">
        <v>6744</v>
      </c>
      <c r="B15344" s="0" t="str">
        <f aca="false">HYPERLINK("https://lindat.mff.cuni.cz/services/teitok/pdtc10/index.php?action=vallex&amp;frame=v-w1855f137_ZU", "mít (v-w1855f137_ZU) - substituted with v-w1855f138_ZU")</f>
        <v>mít (v-w1855f137_ZU) - substituted with v-w1855f138_ZU</v>
      </c>
    </row>
    <row r="15345" customFormat="false" ht="12.8" hidden="false" customHeight="false" outlineLevel="0" collapsed="false">
      <c r="B15345" s="0" t="s">
        <v>1</v>
      </c>
    </row>
    <row r="15346" customFormat="false" ht="12.8" hidden="false" customHeight="false" outlineLevel="0" collapsed="false">
      <c r="B15346" s="0" t="s">
        <v>6745</v>
      </c>
    </row>
    <row r="15348" customFormat="false" ht="12.8" hidden="false" customHeight="false" outlineLevel="0" collapsed="false">
      <c r="A15348" s="0" t="s">
        <v>6746</v>
      </c>
      <c r="B15348" s="0" t="str">
        <f aca="false">HYPERLINK("https://lindat.mff.cuni.cz/services/teitok/pdtc10/index.php?action=vallex&amp;frame=v-w1855hsa_1126", "mít (v-w1855hsa_1126)")</f>
        <v>mít (v-w1855hsa_1126)</v>
      </c>
    </row>
    <row r="15349" customFormat="false" ht="12.8" hidden="false" customHeight="false" outlineLevel="0" collapsed="false">
      <c r="B15349" s="0" t="s">
        <v>1</v>
      </c>
    </row>
    <row r="15350" customFormat="false" ht="12.8" hidden="false" customHeight="false" outlineLevel="0" collapsed="false">
      <c r="B15350" s="0" t="s">
        <v>6747</v>
      </c>
    </row>
    <row r="15352" customFormat="false" ht="12.8" hidden="false" customHeight="false" outlineLevel="0" collapsed="false">
      <c r="A15352" s="0" t="s">
        <v>6748</v>
      </c>
      <c r="B15352" s="0" t="str">
        <f aca="false">HYPERLINK("https://lindat.mff.cuni.cz/services/teitok/pdtc10/index.php?action=vallex&amp;frame=v-w1855f225_ZU", "mít (v-w1855f225_ZU)")</f>
        <v>mít (v-w1855f225_ZU)</v>
      </c>
    </row>
    <row r="15353" customFormat="false" ht="12.8" hidden="false" customHeight="false" outlineLevel="0" collapsed="false">
      <c r="B15353" s="0" t="s">
        <v>1</v>
      </c>
    </row>
    <row r="15354" customFormat="false" ht="12.8" hidden="false" customHeight="false" outlineLevel="0" collapsed="false">
      <c r="B15354" s="0" t="s">
        <v>6749</v>
      </c>
    </row>
    <row r="15355" customFormat="false" ht="12.8" hidden="false" customHeight="false" outlineLevel="0" collapsed="false">
      <c r="B15355" s="0" t="s">
        <v>721</v>
      </c>
    </row>
    <row r="15357" customFormat="false" ht="12.8" hidden="false" customHeight="false" outlineLevel="0" collapsed="false">
      <c r="A15357" s="0" t="s">
        <v>6748</v>
      </c>
      <c r="B15357" s="0" t="str">
        <f aca="false">HYPERLINK("https://lindat.mff.cuni.cz/services/teitok/pdtc10/index.php?action=vallex&amp;frame=v-w1855hsa_1128", "mít (v-w1855hsa_1128) - substituted with v-w1855f225_ZU")</f>
        <v>mít (v-w1855hsa_1128) - substituted with v-w1855f225_ZU</v>
      </c>
    </row>
    <row r="15358" customFormat="false" ht="12.8" hidden="false" customHeight="false" outlineLevel="0" collapsed="false">
      <c r="B15358" s="0" t="s">
        <v>1</v>
      </c>
    </row>
    <row r="15359" customFormat="false" ht="12.8" hidden="false" customHeight="false" outlineLevel="0" collapsed="false">
      <c r="B15359" s="0" t="s">
        <v>6749</v>
      </c>
    </row>
    <row r="15360" customFormat="false" ht="12.8" hidden="false" customHeight="false" outlineLevel="0" collapsed="false">
      <c r="B15360" s="0" t="s">
        <v>721</v>
      </c>
    </row>
    <row r="15362" customFormat="false" ht="12.8" hidden="false" customHeight="false" outlineLevel="0" collapsed="false">
      <c r="A15362" s="0" t="s">
        <v>6750</v>
      </c>
      <c r="B15362" s="0" t="str">
        <f aca="false">HYPERLINK("https://lindat.mff.cuni.cz/services/teitok/pdtc10/index.php?action=vallex&amp;frame=v-w1855f189_ZU", "mít (v-w1855f189_ZU)")</f>
        <v>mít (v-w1855f189_ZU)</v>
      </c>
    </row>
    <row r="15363" customFormat="false" ht="12.8" hidden="false" customHeight="false" outlineLevel="0" collapsed="false">
      <c r="B15363" s="0" t="s">
        <v>1</v>
      </c>
    </row>
    <row r="15364" customFormat="false" ht="12.8" hidden="false" customHeight="false" outlineLevel="0" collapsed="false">
      <c r="B15364" s="0" t="s">
        <v>6751</v>
      </c>
    </row>
    <row r="15366" customFormat="false" ht="12.8" hidden="false" customHeight="false" outlineLevel="0" collapsed="false">
      <c r="A15366" s="0" t="s">
        <v>6750</v>
      </c>
      <c r="B15366" s="0" t="str">
        <f aca="false">HYPERLINK("https://lindat.mff.cuni.cz/services/teitok/pdtc10/index.php?action=vallex&amp;frame=v-w1855hsa_1129", "mít (v-w1855hsa_1129) - substituted with v-w1855f189_ZU")</f>
        <v>mít (v-w1855hsa_1129) - substituted with v-w1855f189_ZU</v>
      </c>
    </row>
    <row r="15367" customFormat="false" ht="12.8" hidden="false" customHeight="false" outlineLevel="0" collapsed="false">
      <c r="B15367" s="0" t="s">
        <v>1</v>
      </c>
    </row>
    <row r="15368" customFormat="false" ht="12.8" hidden="false" customHeight="false" outlineLevel="0" collapsed="false">
      <c r="B15368" s="0" t="s">
        <v>6751</v>
      </c>
    </row>
    <row r="15370" customFormat="false" ht="12.8" hidden="false" customHeight="false" outlineLevel="0" collapsed="false">
      <c r="A15370" s="0" t="s">
        <v>6752</v>
      </c>
      <c r="B15370" s="0" t="str">
        <f aca="false">HYPERLINK("https://lindat.mff.cuni.cz/services/teitok/pdtc10/index.php?action=vallex&amp;frame=v-w1855f174_ZU", "mít (v-w1855f174_ZU)")</f>
        <v>mít (v-w1855f174_ZU)</v>
      </c>
    </row>
    <row r="15371" customFormat="false" ht="12.8" hidden="false" customHeight="false" outlineLevel="0" collapsed="false">
      <c r="B15371" s="0" t="s">
        <v>1</v>
      </c>
    </row>
    <row r="15372" customFormat="false" ht="12.8" hidden="false" customHeight="false" outlineLevel="0" collapsed="false">
      <c r="B15372" s="0" t="s">
        <v>6753</v>
      </c>
    </row>
    <row r="15374" customFormat="false" ht="12.8" hidden="false" customHeight="false" outlineLevel="0" collapsed="false">
      <c r="A15374" s="0" t="s">
        <v>6752</v>
      </c>
      <c r="B15374" s="0" t="str">
        <f aca="false">HYPERLINK("https://lindat.mff.cuni.cz/services/teitok/pdtc10/index.php?action=vallex&amp;frame=v-w1855hsa_1130", "mít (v-w1855hsa_1130) - substituted with v-w1855f174_ZU")</f>
        <v>mít (v-w1855hsa_1130) - substituted with v-w1855f174_ZU</v>
      </c>
    </row>
    <row r="15375" customFormat="false" ht="12.8" hidden="false" customHeight="false" outlineLevel="0" collapsed="false">
      <c r="B15375" s="0" t="s">
        <v>1</v>
      </c>
    </row>
    <row r="15376" customFormat="false" ht="12.8" hidden="false" customHeight="false" outlineLevel="0" collapsed="false">
      <c r="B15376" s="0" t="s">
        <v>6753</v>
      </c>
    </row>
    <row r="15378" customFormat="false" ht="12.8" hidden="false" customHeight="false" outlineLevel="0" collapsed="false">
      <c r="A15378" s="0" t="s">
        <v>6754</v>
      </c>
      <c r="B15378" s="0" t="str">
        <f aca="false">HYPERLINK("https://lindat.mff.cuni.cz/services/teitok/pdtc10/index.php?action=vallex&amp;frame=v-w1855f175_ZU", "mít (v-w1855f175_ZU)")</f>
        <v>mít (v-w1855f175_ZU)</v>
      </c>
    </row>
    <row r="15379" customFormat="false" ht="12.8" hidden="false" customHeight="false" outlineLevel="0" collapsed="false">
      <c r="B15379" s="0" t="s">
        <v>1</v>
      </c>
    </row>
    <row r="15380" customFormat="false" ht="12.8" hidden="false" customHeight="false" outlineLevel="0" collapsed="false">
      <c r="B15380" s="0" t="s">
        <v>6755</v>
      </c>
    </row>
    <row r="15382" customFormat="false" ht="12.8" hidden="false" customHeight="false" outlineLevel="0" collapsed="false">
      <c r="A15382" s="0" t="s">
        <v>6754</v>
      </c>
      <c r="B15382" s="0" t="str">
        <f aca="false">HYPERLINK("https://lindat.mff.cuni.cz/services/teitok/pdtc10/index.php?action=vallex&amp;frame=v-w1855hsa_1131", "mít (v-w1855hsa_1131) - substituted with v-w1855f175_ZU")</f>
        <v>mít (v-w1855hsa_1131) - substituted with v-w1855f175_ZU</v>
      </c>
    </row>
    <row r="15383" customFormat="false" ht="12.8" hidden="false" customHeight="false" outlineLevel="0" collapsed="false">
      <c r="B15383" s="0" t="s">
        <v>1</v>
      </c>
    </row>
    <row r="15384" customFormat="false" ht="12.8" hidden="false" customHeight="false" outlineLevel="0" collapsed="false">
      <c r="B15384" s="0" t="s">
        <v>6755</v>
      </c>
    </row>
    <row r="15386" customFormat="false" ht="12.8" hidden="false" customHeight="false" outlineLevel="0" collapsed="false">
      <c r="A15386" s="0" t="s">
        <v>6756</v>
      </c>
      <c r="B15386" s="0" t="str">
        <f aca="false">HYPERLINK("https://lindat.mff.cuni.cz/services/teitok/pdtc10/index.php?action=vallex&amp;frame=v-w1855f178_ZU", "mít (v-w1855f178_ZU)")</f>
        <v>mít (v-w1855f178_ZU)</v>
      </c>
    </row>
    <row r="15387" customFormat="false" ht="12.8" hidden="false" customHeight="false" outlineLevel="0" collapsed="false">
      <c r="B15387" s="0" t="s">
        <v>1</v>
      </c>
    </row>
    <row r="15388" customFormat="false" ht="12.8" hidden="false" customHeight="false" outlineLevel="0" collapsed="false">
      <c r="B15388" s="0" t="s">
        <v>6757</v>
      </c>
    </row>
    <row r="15390" customFormat="false" ht="12.8" hidden="false" customHeight="false" outlineLevel="0" collapsed="false">
      <c r="A15390" s="0" t="s">
        <v>6756</v>
      </c>
      <c r="B15390" s="0" t="str">
        <f aca="false">HYPERLINK("https://lindat.mff.cuni.cz/services/teitok/pdtc10/index.php?action=vallex&amp;frame=v-w1855f177_ZU", "mít (v-w1855f177_ZU) - substituted with v-w1855f178_ZU")</f>
        <v>mít (v-w1855f177_ZU) - substituted with v-w1855f178_ZU</v>
      </c>
    </row>
    <row r="15391" customFormat="false" ht="12.8" hidden="false" customHeight="false" outlineLevel="0" collapsed="false">
      <c r="B15391" s="0" t="s">
        <v>1</v>
      </c>
    </row>
    <row r="15392" customFormat="false" ht="12.8" hidden="false" customHeight="false" outlineLevel="0" collapsed="false">
      <c r="B15392" s="0" t="s">
        <v>6757</v>
      </c>
    </row>
    <row r="15394" customFormat="false" ht="12.8" hidden="false" customHeight="false" outlineLevel="0" collapsed="false">
      <c r="A15394" s="0" t="s">
        <v>6756</v>
      </c>
      <c r="B15394" s="0" t="str">
        <f aca="false">HYPERLINK("https://lindat.mff.cuni.cz/services/teitok/pdtc10/index.php?action=vallex&amp;frame=v-w1855hsa_1133", "mít (v-w1855hsa_1133) - substituted with v-w1855f178_ZU")</f>
        <v>mít (v-w1855hsa_1133) - substituted with v-w1855f178_ZU</v>
      </c>
    </row>
    <row r="15395" customFormat="false" ht="12.8" hidden="false" customHeight="false" outlineLevel="0" collapsed="false">
      <c r="B15395" s="0" t="s">
        <v>1</v>
      </c>
    </row>
    <row r="15396" customFormat="false" ht="12.8" hidden="false" customHeight="false" outlineLevel="0" collapsed="false">
      <c r="B15396" s="0" t="s">
        <v>6757</v>
      </c>
    </row>
    <row r="15398" customFormat="false" ht="12.8" hidden="false" customHeight="false" outlineLevel="0" collapsed="false">
      <c r="A15398" s="0" t="s">
        <v>6758</v>
      </c>
      <c r="B15398" s="0" t="str">
        <f aca="false">HYPERLINK("https://lindat.mff.cuni.cz/services/teitok/pdtc10/index.php?action=vallex&amp;frame=v-w1855f181_ZU", "mít (v-w1855f181_ZU)")</f>
        <v>mít (v-w1855f181_ZU)</v>
      </c>
    </row>
    <row r="15399" customFormat="false" ht="12.8" hidden="false" customHeight="false" outlineLevel="0" collapsed="false">
      <c r="B15399" s="0" t="s">
        <v>1</v>
      </c>
    </row>
    <row r="15400" customFormat="false" ht="12.8" hidden="false" customHeight="false" outlineLevel="0" collapsed="false">
      <c r="B15400" s="0" t="s">
        <v>6759</v>
      </c>
    </row>
    <row r="15401" customFormat="false" ht="12.8" hidden="false" customHeight="false" outlineLevel="0" collapsed="false">
      <c r="B15401" s="0" t="s">
        <v>8</v>
      </c>
    </row>
    <row r="15403" customFormat="false" ht="12.8" hidden="false" customHeight="false" outlineLevel="0" collapsed="false">
      <c r="A15403" s="0" t="s">
        <v>6758</v>
      </c>
      <c r="B15403" s="0" t="str">
        <f aca="false">HYPERLINK("https://lindat.mff.cuni.cz/services/teitok/pdtc10/index.php?action=vallex&amp;frame=v-w1855hsa_1135", "mít (v-w1855hsa_1135) - substituted with v-w1855f181_ZU")</f>
        <v>mít (v-w1855hsa_1135) - substituted with v-w1855f181_ZU</v>
      </c>
    </row>
    <row r="15404" customFormat="false" ht="12.8" hidden="false" customHeight="false" outlineLevel="0" collapsed="false">
      <c r="B15404" s="0" t="s">
        <v>1</v>
      </c>
    </row>
    <row r="15405" customFormat="false" ht="12.8" hidden="false" customHeight="false" outlineLevel="0" collapsed="false">
      <c r="B15405" s="0" t="s">
        <v>6759</v>
      </c>
    </row>
    <row r="15406" customFormat="false" ht="12.8" hidden="false" customHeight="false" outlineLevel="0" collapsed="false">
      <c r="B15406" s="0" t="s">
        <v>8</v>
      </c>
    </row>
    <row r="15408" customFormat="false" ht="12.8" hidden="false" customHeight="false" outlineLevel="0" collapsed="false">
      <c r="A15408" s="0" t="s">
        <v>6760</v>
      </c>
      <c r="B15408" s="0" t="str">
        <f aca="false">HYPERLINK("https://lindat.mff.cuni.cz/services/teitok/pdtc10/index.php?action=vallex&amp;frame=v-w1855f183_ZU", "mít (v-w1855f183_ZU)")</f>
        <v>mít (v-w1855f183_ZU)</v>
      </c>
    </row>
    <row r="15409" customFormat="false" ht="12.8" hidden="false" customHeight="false" outlineLevel="0" collapsed="false">
      <c r="B15409" s="0" t="s">
        <v>1</v>
      </c>
    </row>
    <row r="15410" customFormat="false" ht="12.8" hidden="false" customHeight="false" outlineLevel="0" collapsed="false">
      <c r="B15410" s="0" t="s">
        <v>6761</v>
      </c>
    </row>
    <row r="15412" customFormat="false" ht="12.8" hidden="false" customHeight="false" outlineLevel="0" collapsed="false">
      <c r="A15412" s="0" t="s">
        <v>6760</v>
      </c>
      <c r="B15412" s="0" t="str">
        <f aca="false">HYPERLINK("https://lindat.mff.cuni.cz/services/teitok/pdtc10/index.php?action=vallex&amp;frame=v-w1855f182_ZU", "mít (v-w1855f182_ZU) - substituted with v-w1855f183_ZU")</f>
        <v>mít (v-w1855f182_ZU) - substituted with v-w1855f183_ZU</v>
      </c>
    </row>
    <row r="15413" customFormat="false" ht="12.8" hidden="false" customHeight="false" outlineLevel="0" collapsed="false">
      <c r="B15413" s="0" t="s">
        <v>1</v>
      </c>
    </row>
    <row r="15414" customFormat="false" ht="12.8" hidden="false" customHeight="false" outlineLevel="0" collapsed="false">
      <c r="B15414" s="0" t="s">
        <v>6761</v>
      </c>
    </row>
    <row r="15416" customFormat="false" ht="12.8" hidden="false" customHeight="false" outlineLevel="0" collapsed="false">
      <c r="A15416" s="0" t="s">
        <v>6760</v>
      </c>
      <c r="B15416" s="0" t="str">
        <f aca="false">HYPERLINK("https://lindat.mff.cuni.cz/services/teitok/pdtc10/index.php?action=vallex&amp;frame=v-w1855hsa_1136", "mít (v-w1855hsa_1136) - substituted with v-w1855f183_ZU")</f>
        <v>mít (v-w1855hsa_1136) - substituted with v-w1855f183_ZU</v>
      </c>
    </row>
    <row r="15417" customFormat="false" ht="12.8" hidden="false" customHeight="false" outlineLevel="0" collapsed="false">
      <c r="B15417" s="0" t="s">
        <v>1</v>
      </c>
    </row>
    <row r="15418" customFormat="false" ht="12.8" hidden="false" customHeight="false" outlineLevel="0" collapsed="false">
      <c r="B15418" s="0" t="s">
        <v>6761</v>
      </c>
    </row>
    <row r="15420" customFormat="false" ht="12.8" hidden="false" customHeight="false" outlineLevel="0" collapsed="false">
      <c r="A15420" s="0" t="s">
        <v>6762</v>
      </c>
      <c r="B15420" s="0" t="str">
        <f aca="false">HYPERLINK("https://lindat.mff.cuni.cz/services/teitok/pdtc10/index.php?action=vallex&amp;frame=v-w1855f184_ZU", "mít (v-w1855f184_ZU)")</f>
        <v>mít (v-w1855f184_ZU)</v>
      </c>
    </row>
    <row r="15421" customFormat="false" ht="12.8" hidden="false" customHeight="false" outlineLevel="0" collapsed="false">
      <c r="B15421" s="0" t="s">
        <v>1</v>
      </c>
    </row>
    <row r="15422" customFormat="false" ht="12.8" hidden="false" customHeight="false" outlineLevel="0" collapsed="false">
      <c r="B15422" s="0" t="s">
        <v>6763</v>
      </c>
    </row>
    <row r="15423" customFormat="false" ht="12.8" hidden="false" customHeight="false" outlineLevel="0" collapsed="false">
      <c r="B15423" s="0" t="s">
        <v>6764</v>
      </c>
    </row>
    <row r="15425" customFormat="false" ht="12.8" hidden="false" customHeight="false" outlineLevel="0" collapsed="false">
      <c r="A15425" s="0" t="s">
        <v>6762</v>
      </c>
      <c r="B15425" s="0" t="str">
        <f aca="false">HYPERLINK("https://lindat.mff.cuni.cz/services/teitok/pdtc10/index.php?action=vallex&amp;frame=v-w1855hsa_1137", "mít (v-w1855hsa_1137) - substituted with v-w1855f184_ZU")</f>
        <v>mít (v-w1855hsa_1137) - substituted with v-w1855f184_ZU</v>
      </c>
    </row>
    <row r="15426" customFormat="false" ht="12.8" hidden="false" customHeight="false" outlineLevel="0" collapsed="false">
      <c r="B15426" s="0" t="s">
        <v>1</v>
      </c>
    </row>
    <row r="15427" customFormat="false" ht="12.8" hidden="false" customHeight="false" outlineLevel="0" collapsed="false">
      <c r="B15427" s="0" t="s">
        <v>6763</v>
      </c>
    </row>
    <row r="15428" customFormat="false" ht="12.8" hidden="false" customHeight="false" outlineLevel="0" collapsed="false">
      <c r="B15428" s="0" t="s">
        <v>6764</v>
      </c>
    </row>
    <row r="15430" customFormat="false" ht="12.8" hidden="false" customHeight="false" outlineLevel="0" collapsed="false">
      <c r="A15430" s="0" t="s">
        <v>6765</v>
      </c>
      <c r="B15430" s="0" t="str">
        <f aca="false">HYPERLINK("https://lindat.mff.cuni.cz/services/teitok/pdtc10/index.php?action=vallex&amp;frame=v-w1855f188_ZU", "mít (v-w1855f188_ZU)")</f>
        <v>mít (v-w1855f188_ZU)</v>
      </c>
    </row>
    <row r="15431" customFormat="false" ht="12.8" hidden="false" customHeight="false" outlineLevel="0" collapsed="false">
      <c r="B15431" s="0" t="s">
        <v>1</v>
      </c>
    </row>
    <row r="15432" customFormat="false" ht="12.8" hidden="false" customHeight="false" outlineLevel="0" collapsed="false">
      <c r="B15432" s="0" t="s">
        <v>6766</v>
      </c>
    </row>
    <row r="15433" customFormat="false" ht="12.8" hidden="false" customHeight="false" outlineLevel="0" collapsed="false">
      <c r="B15433" s="0" t="s">
        <v>8</v>
      </c>
    </row>
    <row r="15435" customFormat="false" ht="12.8" hidden="false" customHeight="false" outlineLevel="0" collapsed="false">
      <c r="A15435" s="0" t="s">
        <v>6765</v>
      </c>
      <c r="B15435" s="0" t="str">
        <f aca="false">HYPERLINK("https://lindat.mff.cuni.cz/services/teitok/pdtc10/index.php?action=vallex&amp;frame=v-w1855hsa_1138", "mít (v-w1855hsa_1138) - substituted with v-w1855f188_ZU")</f>
        <v>mít (v-w1855hsa_1138) - substituted with v-w1855f188_ZU</v>
      </c>
    </row>
    <row r="15436" customFormat="false" ht="12.8" hidden="false" customHeight="false" outlineLevel="0" collapsed="false">
      <c r="B15436" s="0" t="s">
        <v>1</v>
      </c>
    </row>
    <row r="15437" customFormat="false" ht="12.8" hidden="false" customHeight="false" outlineLevel="0" collapsed="false">
      <c r="B15437" s="0" t="s">
        <v>6766</v>
      </c>
    </row>
    <row r="15438" customFormat="false" ht="12.8" hidden="false" customHeight="false" outlineLevel="0" collapsed="false">
      <c r="B15438" s="0" t="s">
        <v>8</v>
      </c>
    </row>
    <row r="15440" customFormat="false" ht="12.8" hidden="false" customHeight="false" outlineLevel="0" collapsed="false">
      <c r="A15440" s="0" t="s">
        <v>6767</v>
      </c>
      <c r="B15440" s="0" t="str">
        <f aca="false">HYPERLINK("https://lindat.mff.cuni.cz/services/teitok/pdtc10/index.php?action=vallex&amp;frame=v-w1855f187_ZU", "mít (v-w1855f187_ZU)")</f>
        <v>mít (v-w1855f187_ZU)</v>
      </c>
    </row>
    <row r="15441" customFormat="false" ht="12.8" hidden="false" customHeight="false" outlineLevel="0" collapsed="false">
      <c r="B15441" s="0" t="s">
        <v>1</v>
      </c>
    </row>
    <row r="15442" customFormat="false" ht="12.8" hidden="false" customHeight="false" outlineLevel="0" collapsed="false">
      <c r="B15442" s="0" t="s">
        <v>6768</v>
      </c>
    </row>
    <row r="15443" customFormat="false" ht="12.8" hidden="false" customHeight="false" outlineLevel="0" collapsed="false">
      <c r="B15443" s="0" t="s">
        <v>45</v>
      </c>
    </row>
    <row r="15445" customFormat="false" ht="12.8" hidden="false" customHeight="false" outlineLevel="0" collapsed="false">
      <c r="A15445" s="0" t="s">
        <v>6767</v>
      </c>
      <c r="B15445" s="0" t="str">
        <f aca="false">HYPERLINK("https://lindat.mff.cuni.cz/services/teitok/pdtc10/index.php?action=vallex&amp;frame=v-w1855hsa_1139", "mít (v-w1855hsa_1139) - substituted with v-w1855f187_ZU")</f>
        <v>mít (v-w1855hsa_1139) - substituted with v-w1855f187_ZU</v>
      </c>
    </row>
    <row r="15446" customFormat="false" ht="12.8" hidden="false" customHeight="false" outlineLevel="0" collapsed="false">
      <c r="B15446" s="0" t="s">
        <v>1</v>
      </c>
    </row>
    <row r="15447" customFormat="false" ht="12.8" hidden="false" customHeight="false" outlineLevel="0" collapsed="false">
      <c r="B15447" s="0" t="s">
        <v>6768</v>
      </c>
    </row>
    <row r="15448" customFormat="false" ht="12.8" hidden="false" customHeight="false" outlineLevel="0" collapsed="false">
      <c r="B15448" s="0" t="s">
        <v>45</v>
      </c>
    </row>
    <row r="15450" customFormat="false" ht="12.8" hidden="false" customHeight="false" outlineLevel="0" collapsed="false">
      <c r="A15450" s="0" t="s">
        <v>6769</v>
      </c>
      <c r="B15450" s="0" t="str">
        <f aca="false">HYPERLINK("https://lindat.mff.cuni.cz/services/teitok/pdtc10/index.php?action=vallex&amp;frame=v-w1855f277_ZU", "mít (v-w1855f277_ZU)")</f>
        <v>mít (v-w1855f277_ZU)</v>
      </c>
    </row>
    <row r="15451" customFormat="false" ht="12.8" hidden="false" customHeight="false" outlineLevel="0" collapsed="false">
      <c r="B15451" s="0" t="s">
        <v>1</v>
      </c>
    </row>
    <row r="15452" customFormat="false" ht="12.8" hidden="false" customHeight="false" outlineLevel="0" collapsed="false">
      <c r="B15452" s="0" t="s">
        <v>6770</v>
      </c>
    </row>
    <row r="15453" customFormat="false" ht="12.8" hidden="false" customHeight="false" outlineLevel="0" collapsed="false">
      <c r="B15453" s="0" t="s">
        <v>886</v>
      </c>
    </row>
    <row r="15455" customFormat="false" ht="12.8" hidden="false" customHeight="false" outlineLevel="0" collapsed="false">
      <c r="A15455" s="0" t="s">
        <v>6769</v>
      </c>
      <c r="B15455" s="0" t="str">
        <f aca="false">HYPERLINK("https://lindat.mff.cuni.cz/services/teitok/pdtc10/index.php?action=vallex&amp;frame=v-w1855f180_ZU", "mít (v-w1855f180_ZU) - substituted with v-w1855f277_ZU")</f>
        <v>mít (v-w1855f180_ZU) - substituted with v-w1855f277_ZU</v>
      </c>
    </row>
    <row r="15456" customFormat="false" ht="12.8" hidden="false" customHeight="false" outlineLevel="0" collapsed="false">
      <c r="B15456" s="0" t="s">
        <v>1</v>
      </c>
    </row>
    <row r="15457" customFormat="false" ht="12.8" hidden="false" customHeight="false" outlineLevel="0" collapsed="false">
      <c r="B15457" s="0" t="s">
        <v>6770</v>
      </c>
    </row>
    <row r="15458" customFormat="false" ht="12.8" hidden="false" customHeight="false" outlineLevel="0" collapsed="false">
      <c r="B15458" s="0" t="s">
        <v>886</v>
      </c>
    </row>
    <row r="15460" customFormat="false" ht="12.8" hidden="false" customHeight="false" outlineLevel="0" collapsed="false">
      <c r="A15460" s="0" t="s">
        <v>6769</v>
      </c>
      <c r="B15460" s="0" t="str">
        <f aca="false">HYPERLINK("https://lindat.mff.cuni.cz/services/teitok/pdtc10/index.php?action=vallex&amp;frame=v-w1855hsa_1140", "mít (v-w1855hsa_1140) - substituted with v-w1855f277_ZU")</f>
        <v>mít (v-w1855hsa_1140) - substituted with v-w1855f277_ZU</v>
      </c>
    </row>
    <row r="15461" customFormat="false" ht="12.8" hidden="false" customHeight="false" outlineLevel="0" collapsed="false">
      <c r="B15461" s="0" t="s">
        <v>1</v>
      </c>
    </row>
    <row r="15462" customFormat="false" ht="12.8" hidden="false" customHeight="false" outlineLevel="0" collapsed="false">
      <c r="B15462" s="0" t="s">
        <v>6770</v>
      </c>
    </row>
    <row r="15463" customFormat="false" ht="12.8" hidden="false" customHeight="false" outlineLevel="0" collapsed="false">
      <c r="B15463" s="0" t="s">
        <v>886</v>
      </c>
    </row>
    <row r="15465" customFormat="false" ht="12.8" hidden="false" customHeight="false" outlineLevel="0" collapsed="false">
      <c r="A15465" s="0" t="s">
        <v>6771</v>
      </c>
      <c r="B15465" s="0" t="str">
        <f aca="false">HYPERLINK("https://lindat.mff.cuni.cz/services/teitok/pdtc10/index.php?action=vallex&amp;frame=v-w1855f186_ZU", "mít (v-w1855f186_ZU)")</f>
        <v>mít (v-w1855f186_ZU)</v>
      </c>
    </row>
    <row r="15466" customFormat="false" ht="12.8" hidden="false" customHeight="false" outlineLevel="0" collapsed="false">
      <c r="B15466" s="0" t="s">
        <v>1</v>
      </c>
    </row>
    <row r="15467" customFormat="false" ht="12.8" hidden="false" customHeight="false" outlineLevel="0" collapsed="false">
      <c r="B15467" s="0" t="s">
        <v>6772</v>
      </c>
    </row>
    <row r="15469" customFormat="false" ht="12.8" hidden="false" customHeight="false" outlineLevel="0" collapsed="false">
      <c r="A15469" s="0" t="s">
        <v>6771</v>
      </c>
      <c r="B15469" s="0" t="str">
        <f aca="false">HYPERLINK("https://lindat.mff.cuni.cz/services/teitok/pdtc10/index.php?action=vallex&amp;frame=v-w1855f185_ZU", "mít (v-w1855f185_ZU) - substituted with v-w1855f186_ZU")</f>
        <v>mít (v-w1855f185_ZU) - substituted with v-w1855f186_ZU</v>
      </c>
    </row>
    <row r="15470" customFormat="false" ht="12.8" hidden="false" customHeight="false" outlineLevel="0" collapsed="false">
      <c r="B15470" s="0" t="s">
        <v>1</v>
      </c>
    </row>
    <row r="15471" customFormat="false" ht="12.8" hidden="false" customHeight="false" outlineLevel="0" collapsed="false">
      <c r="B15471" s="0" t="s">
        <v>6772</v>
      </c>
    </row>
    <row r="15473" customFormat="false" ht="12.8" hidden="false" customHeight="false" outlineLevel="0" collapsed="false">
      <c r="A15473" s="0" t="s">
        <v>6771</v>
      </c>
      <c r="B15473" s="0" t="str">
        <f aca="false">HYPERLINK("https://lindat.mff.cuni.cz/services/teitok/pdtc10/index.php?action=vallex&amp;frame=v-w1855hsa_1141", "mít (v-w1855hsa_1141) - substituted with v-w1855f186_ZU")</f>
        <v>mít (v-w1855hsa_1141) - substituted with v-w1855f186_ZU</v>
      </c>
    </row>
    <row r="15474" customFormat="false" ht="12.8" hidden="false" customHeight="false" outlineLevel="0" collapsed="false">
      <c r="B15474" s="0" t="s">
        <v>1</v>
      </c>
    </row>
    <row r="15475" customFormat="false" ht="12.8" hidden="false" customHeight="false" outlineLevel="0" collapsed="false">
      <c r="B15475" s="0" t="s">
        <v>6772</v>
      </c>
    </row>
    <row r="15477" customFormat="false" ht="12.8" hidden="false" customHeight="false" outlineLevel="0" collapsed="false">
      <c r="A15477" s="0" t="s">
        <v>6773</v>
      </c>
      <c r="B15477" s="0" t="str">
        <f aca="false">HYPERLINK("https://lindat.mff.cuni.cz/services/teitok/pdtc10/index.php?action=vallex&amp;frame=v-w1855f176_ZU", "mít (v-w1855f176_ZU)")</f>
        <v>mít (v-w1855f176_ZU)</v>
      </c>
      <c r="E15477" s="0" t="str">
        <f aca="false">HYPERLINK("https://lindat.mff.cuni.cz/services/SynSemClass40/SynSemClass40.html?veclass=vec01230#vec01230-ces-cm00003", "vec01230")</f>
        <v>vec01230</v>
      </c>
      <c r="F15477" s="0" t="s">
        <v>6608</v>
      </c>
    </row>
    <row r="15478" customFormat="false" ht="12.8" hidden="false" customHeight="false" outlineLevel="0" collapsed="false">
      <c r="B15478" s="0" t="s">
        <v>1</v>
      </c>
      <c r="E15478" s="0" t="s">
        <v>11</v>
      </c>
      <c r="F15478" s="0" t="s">
        <v>959</v>
      </c>
    </row>
    <row r="15479" customFormat="false" ht="12.8" hidden="false" customHeight="false" outlineLevel="0" collapsed="false">
      <c r="B15479" s="0" t="s">
        <v>1121</v>
      </c>
    </row>
    <row r="15481" customFormat="false" ht="12.8" hidden="false" customHeight="false" outlineLevel="0" collapsed="false">
      <c r="A15481" s="0" t="s">
        <v>6774</v>
      </c>
      <c r="B15481" s="0" t="str">
        <f aca="false">HYPERLINK("https://lindat.mff.cuni.cz/services/teitok/pdtc10/index.php?action=vallex&amp;frame=v-w1855f179_ZU", "mít (v-w1855f179_ZU)")</f>
        <v>mít (v-w1855f179_ZU)</v>
      </c>
    </row>
    <row r="15482" customFormat="false" ht="12.8" hidden="false" customHeight="false" outlineLevel="0" collapsed="false">
      <c r="B15482" s="0" t="s">
        <v>1</v>
      </c>
    </row>
    <row r="15483" customFormat="false" ht="12.8" hidden="false" customHeight="false" outlineLevel="0" collapsed="false">
      <c r="B15483" s="0" t="s">
        <v>6775</v>
      </c>
    </row>
    <row r="15484" customFormat="false" ht="12.8" hidden="false" customHeight="false" outlineLevel="0" collapsed="false">
      <c r="B15484" s="0" t="s">
        <v>886</v>
      </c>
    </row>
    <row r="15486" customFormat="false" ht="12.8" hidden="false" customHeight="false" outlineLevel="0" collapsed="false">
      <c r="A15486" s="0" t="s">
        <v>6776</v>
      </c>
      <c r="B15486" s="0" t="str">
        <f aca="false">HYPERLINK("https://lindat.mff.cuni.cz/services/teitok/pdtc10/index.php?action=vallex&amp;frame=v-w1855f213_ZU", "mít (v-w1855f213_ZU)")</f>
        <v>mít (v-w1855f213_ZU)</v>
      </c>
    </row>
    <row r="15487" customFormat="false" ht="12.8" hidden="false" customHeight="false" outlineLevel="0" collapsed="false">
      <c r="B15487" s="0" t="s">
        <v>1</v>
      </c>
    </row>
    <row r="15488" customFormat="false" ht="12.8" hidden="false" customHeight="false" outlineLevel="0" collapsed="false">
      <c r="B15488" s="0" t="s">
        <v>6777</v>
      </c>
    </row>
    <row r="15490" customFormat="false" ht="12.8" hidden="false" customHeight="false" outlineLevel="0" collapsed="false">
      <c r="A15490" s="0" t="s">
        <v>6778</v>
      </c>
      <c r="B15490" s="0" t="str">
        <f aca="false">HYPERLINK("https://lindat.mff.cuni.cz/services/teitok/pdtc10/index.php?action=vallex&amp;frame=v-w1855f113_ZU", "mít (v-w1855f113_ZU)")</f>
        <v>mít (v-w1855f113_ZU)</v>
      </c>
    </row>
    <row r="15491" customFormat="false" ht="12.8" hidden="false" customHeight="false" outlineLevel="0" collapsed="false">
      <c r="B15491" s="0" t="s">
        <v>1</v>
      </c>
    </row>
    <row r="15492" customFormat="false" ht="12.8" hidden="false" customHeight="false" outlineLevel="0" collapsed="false">
      <c r="B15492" s="0" t="s">
        <v>6779</v>
      </c>
    </row>
    <row r="15494" customFormat="false" ht="12.8" hidden="false" customHeight="false" outlineLevel="0" collapsed="false">
      <c r="A15494" s="0" t="s">
        <v>6778</v>
      </c>
      <c r="B15494" s="0" t="str">
        <f aca="false">HYPERLINK("https://lindat.mff.cuni.cz/services/teitok/pdtc10/index.php?action=vallex&amp;frame=v-w1855f112_ZU", "mít (v-w1855f112_ZU) - substituted with v-w1855f113_ZU")</f>
        <v>mít (v-w1855f112_ZU) - substituted with v-w1855f113_ZU</v>
      </c>
    </row>
    <row r="15495" customFormat="false" ht="12.8" hidden="false" customHeight="false" outlineLevel="0" collapsed="false">
      <c r="B15495" s="0" t="s">
        <v>1</v>
      </c>
    </row>
    <row r="15496" customFormat="false" ht="12.8" hidden="false" customHeight="false" outlineLevel="0" collapsed="false">
      <c r="B15496" s="0" t="s">
        <v>6779</v>
      </c>
    </row>
    <row r="15498" customFormat="false" ht="12.8" hidden="false" customHeight="false" outlineLevel="0" collapsed="false">
      <c r="A15498" s="0" t="s">
        <v>6780</v>
      </c>
      <c r="B15498" s="0" t="str">
        <f aca="false">HYPERLINK("https://lindat.mff.cuni.cz/services/teitok/pdtc10/index.php?action=vallex&amp;frame=v-w1855f124_ZU", "mít (v-w1855f124_ZU)")</f>
        <v>mít (v-w1855f124_ZU)</v>
      </c>
    </row>
    <row r="15499" customFormat="false" ht="12.8" hidden="false" customHeight="false" outlineLevel="0" collapsed="false">
      <c r="B15499" s="0" t="s">
        <v>1</v>
      </c>
    </row>
    <row r="15500" customFormat="false" ht="12.8" hidden="false" customHeight="false" outlineLevel="0" collapsed="false">
      <c r="B15500" s="0" t="s">
        <v>6781</v>
      </c>
    </row>
    <row r="15502" customFormat="false" ht="12.8" hidden="false" customHeight="false" outlineLevel="0" collapsed="false">
      <c r="A15502" s="0" t="s">
        <v>6782</v>
      </c>
      <c r="B15502" s="0" t="str">
        <f aca="false">HYPERLINK("https://lindat.mff.cuni.cz/services/teitok/pdtc10/index.php?action=vallex&amp;frame=v-w1855f143_ZU", "mít (v-w1855f143_ZU)")</f>
        <v>mít (v-w1855f143_ZU)</v>
      </c>
    </row>
    <row r="15503" customFormat="false" ht="12.8" hidden="false" customHeight="false" outlineLevel="0" collapsed="false">
      <c r="B15503" s="0" t="s">
        <v>1</v>
      </c>
    </row>
    <row r="15504" customFormat="false" ht="12.8" hidden="false" customHeight="false" outlineLevel="0" collapsed="false">
      <c r="B15504" s="0" t="s">
        <v>6783</v>
      </c>
    </row>
    <row r="15506" customFormat="false" ht="12.8" hidden="false" customHeight="false" outlineLevel="0" collapsed="false">
      <c r="A15506" s="0" t="s">
        <v>6784</v>
      </c>
      <c r="B15506" s="0" t="str">
        <f aca="false">HYPERLINK("https://lindat.mff.cuni.cz/services/teitok/pdtc10/index.php?action=vallex&amp;frame=v-w1855f154_ZU", "mít (v-w1855f154_ZU)")</f>
        <v>mít (v-w1855f154_ZU)</v>
      </c>
    </row>
    <row r="15507" customFormat="false" ht="12.8" hidden="false" customHeight="false" outlineLevel="0" collapsed="false">
      <c r="B15507" s="0" t="s">
        <v>1</v>
      </c>
    </row>
    <row r="15508" customFormat="false" ht="12.8" hidden="false" customHeight="false" outlineLevel="0" collapsed="false">
      <c r="B15508" s="0" t="s">
        <v>6785</v>
      </c>
    </row>
    <row r="15510" customFormat="false" ht="12.8" hidden="false" customHeight="false" outlineLevel="0" collapsed="false">
      <c r="A15510" s="0" t="s">
        <v>6786</v>
      </c>
      <c r="B15510" s="0" t="str">
        <f aca="false">HYPERLINK("https://lindat.mff.cuni.cz/services/teitok/pdtc10/index.php?action=vallex&amp;frame=v-w1855f155_ZU", "mít (v-w1855f155_ZU)")</f>
        <v>mít (v-w1855f155_ZU)</v>
      </c>
    </row>
    <row r="15511" customFormat="false" ht="12.8" hidden="false" customHeight="false" outlineLevel="0" collapsed="false">
      <c r="B15511" s="0" t="s">
        <v>1</v>
      </c>
    </row>
    <row r="15512" customFormat="false" ht="12.8" hidden="false" customHeight="false" outlineLevel="0" collapsed="false">
      <c r="B15512" s="0" t="s">
        <v>6787</v>
      </c>
    </row>
    <row r="15514" customFormat="false" ht="12.8" hidden="false" customHeight="false" outlineLevel="0" collapsed="false">
      <c r="A15514" s="0" t="s">
        <v>6788</v>
      </c>
      <c r="B15514" s="0" t="str">
        <f aca="false">HYPERLINK("https://lindat.mff.cuni.cz/services/teitok/pdtc10/index.php?action=vallex&amp;frame=v-w1855f226_ZU", "mít (v-w1855f226_ZU)")</f>
        <v>mít (v-w1855f226_ZU)</v>
      </c>
    </row>
    <row r="15515" customFormat="false" ht="12.8" hidden="false" customHeight="false" outlineLevel="0" collapsed="false">
      <c r="B15515" s="0" t="s">
        <v>1</v>
      </c>
    </row>
    <row r="15516" customFormat="false" ht="12.8" hidden="false" customHeight="false" outlineLevel="0" collapsed="false">
      <c r="B15516" s="0" t="s">
        <v>1127</v>
      </c>
    </row>
    <row r="15517" customFormat="false" ht="12.8" hidden="false" customHeight="false" outlineLevel="0" collapsed="false">
      <c r="B15517" s="0" t="s">
        <v>8</v>
      </c>
    </row>
    <row r="15519" customFormat="false" ht="12.8" hidden="false" customHeight="false" outlineLevel="0" collapsed="false">
      <c r="A15519" s="0" t="s">
        <v>6788</v>
      </c>
      <c r="B15519" s="0" t="str">
        <f aca="false">HYPERLINK("https://lindat.mff.cuni.cz/services/teitok/pdtc10/index.php?action=vallex&amp;frame=v-w1855hsa_1132", "mít (v-w1855hsa_1132) - substituted with v-w1855f226_ZU")</f>
        <v>mít (v-w1855hsa_1132) - substituted with v-w1855f226_ZU</v>
      </c>
    </row>
    <row r="15520" customFormat="false" ht="12.8" hidden="false" customHeight="false" outlineLevel="0" collapsed="false">
      <c r="B15520" s="0" t="s">
        <v>1</v>
      </c>
    </row>
    <row r="15521" customFormat="false" ht="12.8" hidden="false" customHeight="false" outlineLevel="0" collapsed="false">
      <c r="B15521" s="0" t="s">
        <v>1127</v>
      </c>
    </row>
    <row r="15522" customFormat="false" ht="12.8" hidden="false" customHeight="false" outlineLevel="0" collapsed="false">
      <c r="B15522" s="0" t="s">
        <v>8</v>
      </c>
    </row>
    <row r="15524" customFormat="false" ht="12.8" hidden="false" customHeight="false" outlineLevel="0" collapsed="false">
      <c r="A15524" s="0" t="s">
        <v>6789</v>
      </c>
      <c r="B15524" s="0" t="str">
        <f aca="false">HYPERLINK("https://lindat.mff.cuni.cz/services/teitok/pdtc10/index.php?action=vallex&amp;frame=v-w1855f227_ZU", "mít (v-w1855f227_ZU)")</f>
        <v>mít (v-w1855f227_ZU)</v>
      </c>
    </row>
    <row r="15525" customFormat="false" ht="12.8" hidden="false" customHeight="false" outlineLevel="0" collapsed="false">
      <c r="B15525" s="0" t="s">
        <v>1</v>
      </c>
    </row>
    <row r="15526" customFormat="false" ht="12.8" hidden="false" customHeight="false" outlineLevel="0" collapsed="false">
      <c r="B15526" s="0" t="s">
        <v>6790</v>
      </c>
    </row>
    <row r="15528" customFormat="false" ht="12.8" hidden="false" customHeight="false" outlineLevel="0" collapsed="false">
      <c r="A15528" s="0" t="s">
        <v>6789</v>
      </c>
      <c r="B15528" s="0" t="str">
        <f aca="false">HYPERLINK("https://lindat.mff.cuni.cz/services/teitok/pdtc10/index.php?action=vallex&amp;frame=v-w1855hsa_1134", "mít (v-w1855hsa_1134) - substituted with v-w1855f227_ZU")</f>
        <v>mít (v-w1855hsa_1134) - substituted with v-w1855f227_ZU</v>
      </c>
    </row>
    <row r="15529" customFormat="false" ht="12.8" hidden="false" customHeight="false" outlineLevel="0" collapsed="false">
      <c r="B15529" s="0" t="s">
        <v>1</v>
      </c>
    </row>
    <row r="15530" customFormat="false" ht="12.8" hidden="false" customHeight="false" outlineLevel="0" collapsed="false">
      <c r="B15530" s="0" t="s">
        <v>6790</v>
      </c>
    </row>
    <row r="15532" customFormat="false" ht="12.8" hidden="false" customHeight="false" outlineLevel="0" collapsed="false">
      <c r="A15532" s="0" t="s">
        <v>6791</v>
      </c>
      <c r="B15532" s="0" t="str">
        <f aca="false">HYPERLINK("https://lindat.mff.cuni.cz/services/teitok/pdtc10/index.php?action=vallex&amp;frame=v-w1855f228_ZU", "mít (v-w1855f228_ZU)")</f>
        <v>mít (v-w1855f228_ZU)</v>
      </c>
    </row>
    <row r="15533" customFormat="false" ht="12.8" hidden="false" customHeight="false" outlineLevel="0" collapsed="false">
      <c r="B15533" s="0" t="s">
        <v>1</v>
      </c>
    </row>
    <row r="15534" customFormat="false" ht="12.8" hidden="false" customHeight="false" outlineLevel="0" collapsed="false">
      <c r="B15534" s="0" t="s">
        <v>6792</v>
      </c>
    </row>
    <row r="15535" customFormat="false" ht="12.8" hidden="false" customHeight="false" outlineLevel="0" collapsed="false">
      <c r="B15535" s="0" t="s">
        <v>602</v>
      </c>
    </row>
    <row r="15537" customFormat="false" ht="12.8" hidden="false" customHeight="false" outlineLevel="0" collapsed="false">
      <c r="A15537" s="0" t="s">
        <v>6791</v>
      </c>
      <c r="B15537" s="0" t="str">
        <f aca="false">HYPERLINK("https://lindat.mff.cuni.cz/services/teitok/pdtc10/index.php?action=vallex&amp;frame=v-w1855f36", "mít (v-w1855f36) - substituted with v-w1855f228_ZU")</f>
        <v>mít (v-w1855f36) - substituted with v-w1855f228_ZU</v>
      </c>
    </row>
    <row r="15538" customFormat="false" ht="12.8" hidden="false" customHeight="false" outlineLevel="0" collapsed="false">
      <c r="B15538" s="0" t="s">
        <v>1</v>
      </c>
    </row>
    <row r="15539" customFormat="false" ht="12.8" hidden="false" customHeight="false" outlineLevel="0" collapsed="false">
      <c r="B15539" s="0" t="s">
        <v>6792</v>
      </c>
    </row>
    <row r="15540" customFormat="false" ht="12.8" hidden="false" customHeight="false" outlineLevel="0" collapsed="false">
      <c r="B15540" s="0" t="s">
        <v>602</v>
      </c>
    </row>
    <row r="15542" customFormat="false" ht="12.8" hidden="false" customHeight="false" outlineLevel="0" collapsed="false">
      <c r="A15542" s="0" t="s">
        <v>6791</v>
      </c>
      <c r="B15542" s="0" t="str">
        <f aca="false">HYPERLINK("https://lindat.mff.cuni.cz/services/teitok/pdtc10/index.php?action=vallex&amp;frame=v-w1855hsa_1119", "mít (v-w1855hsa_1119) - substituted with v-w1855f228_ZU")</f>
        <v>mít (v-w1855hsa_1119) - substituted with v-w1855f228_ZU</v>
      </c>
    </row>
    <row r="15543" customFormat="false" ht="12.8" hidden="false" customHeight="false" outlineLevel="0" collapsed="false">
      <c r="B15543" s="0" t="s">
        <v>1</v>
      </c>
    </row>
    <row r="15544" customFormat="false" ht="12.8" hidden="false" customHeight="false" outlineLevel="0" collapsed="false">
      <c r="B15544" s="0" t="s">
        <v>6792</v>
      </c>
    </row>
    <row r="15545" customFormat="false" ht="12.8" hidden="false" customHeight="false" outlineLevel="0" collapsed="false">
      <c r="B15545" s="0" t="s">
        <v>602</v>
      </c>
    </row>
    <row r="15547" customFormat="false" ht="12.8" hidden="false" customHeight="false" outlineLevel="0" collapsed="false">
      <c r="A15547" s="0" t="s">
        <v>6793</v>
      </c>
      <c r="B15547" s="0" t="str">
        <f aca="false">HYPERLINK("https://lindat.mff.cuni.cz/services/teitok/pdtc10/index.php?action=vallex&amp;frame=v-w1855f229_ZU", "mít (v-w1855f229_ZU)")</f>
        <v>mít (v-w1855f229_ZU)</v>
      </c>
    </row>
    <row r="15548" customFormat="false" ht="12.8" hidden="false" customHeight="false" outlineLevel="0" collapsed="false">
      <c r="B15548" s="0" t="s">
        <v>1</v>
      </c>
    </row>
    <row r="15549" customFormat="false" ht="12.8" hidden="false" customHeight="false" outlineLevel="0" collapsed="false">
      <c r="B15549" s="0" t="s">
        <v>6794</v>
      </c>
    </row>
    <row r="15551" customFormat="false" ht="12.8" hidden="false" customHeight="false" outlineLevel="0" collapsed="false">
      <c r="A15551" s="0" t="s">
        <v>6793</v>
      </c>
      <c r="B15551" s="0" t="str">
        <f aca="false">HYPERLINK("https://lindat.mff.cuni.cz/services/teitok/pdtc10/index.php?action=vallex&amp;frame=v-w1855hsa_981", "mít (v-w1855hsa_981) - substituted with v-w1855f229_ZU")</f>
        <v>mít (v-w1855hsa_981) - substituted with v-w1855f229_ZU</v>
      </c>
    </row>
    <row r="15552" customFormat="false" ht="12.8" hidden="false" customHeight="false" outlineLevel="0" collapsed="false">
      <c r="B15552" s="0" t="s">
        <v>1</v>
      </c>
    </row>
    <row r="15553" customFormat="false" ht="12.8" hidden="false" customHeight="false" outlineLevel="0" collapsed="false">
      <c r="B15553" s="0" t="s">
        <v>6794</v>
      </c>
    </row>
    <row r="15555" customFormat="false" ht="12.8" hidden="false" customHeight="false" outlineLevel="0" collapsed="false">
      <c r="A15555" s="0" t="s">
        <v>6795</v>
      </c>
      <c r="B15555" s="0" t="str">
        <f aca="false">HYPERLINK("https://lindat.mff.cuni.cz/services/teitok/pdtc10/index.php?action=vallex&amp;frame=v-w1855f230_ZU", "mít (v-w1855f230_ZU)")</f>
        <v>mít (v-w1855f230_ZU)</v>
      </c>
    </row>
    <row r="15556" customFormat="false" ht="12.8" hidden="false" customHeight="false" outlineLevel="0" collapsed="false">
      <c r="B15556" s="0" t="s">
        <v>1</v>
      </c>
    </row>
    <row r="15557" customFormat="false" ht="12.8" hidden="false" customHeight="false" outlineLevel="0" collapsed="false">
      <c r="B15557" s="0" t="s">
        <v>6796</v>
      </c>
    </row>
    <row r="15559" customFormat="false" ht="12.8" hidden="false" customHeight="false" outlineLevel="0" collapsed="false">
      <c r="A15559" s="0" t="s">
        <v>6795</v>
      </c>
      <c r="B15559" s="0" t="str">
        <f aca="false">HYPERLINK("https://lindat.mff.cuni.cz/services/teitok/pdtc10/index.php?action=vallex&amp;frame=v-w1855hsa_982", "mít (v-w1855hsa_982) - substituted with v-w1855f230_ZU")</f>
        <v>mít (v-w1855hsa_982) - substituted with v-w1855f230_ZU</v>
      </c>
    </row>
    <row r="15560" customFormat="false" ht="12.8" hidden="false" customHeight="false" outlineLevel="0" collapsed="false">
      <c r="B15560" s="0" t="s">
        <v>1</v>
      </c>
    </row>
    <row r="15561" customFormat="false" ht="12.8" hidden="false" customHeight="false" outlineLevel="0" collapsed="false">
      <c r="B15561" s="0" t="s">
        <v>6796</v>
      </c>
    </row>
    <row r="15563" customFormat="false" ht="12.8" hidden="false" customHeight="false" outlineLevel="0" collapsed="false">
      <c r="A15563" s="0" t="s">
        <v>6797</v>
      </c>
      <c r="B15563" s="0" t="str">
        <f aca="false">HYPERLINK("https://lindat.mff.cuni.cz/services/teitok/pdtc10/index.php?action=vallex&amp;frame=v-w1855f232_ZU", "mít (v-w1855f232_ZU)")</f>
        <v>mít (v-w1855f232_ZU)</v>
      </c>
    </row>
    <row r="15564" customFormat="false" ht="12.8" hidden="false" customHeight="false" outlineLevel="0" collapsed="false">
      <c r="B15564" s="0" t="s">
        <v>1</v>
      </c>
    </row>
    <row r="15565" customFormat="false" ht="12.8" hidden="false" customHeight="false" outlineLevel="0" collapsed="false">
      <c r="B15565" s="0" t="s">
        <v>1095</v>
      </c>
    </row>
    <row r="15566" customFormat="false" ht="12.8" hidden="false" customHeight="false" outlineLevel="0" collapsed="false">
      <c r="B15566" s="0" t="s">
        <v>8</v>
      </c>
    </row>
    <row r="15568" customFormat="false" ht="12.8" hidden="false" customHeight="false" outlineLevel="0" collapsed="false">
      <c r="A15568" s="0" t="s">
        <v>6797</v>
      </c>
      <c r="B15568" s="0" t="str">
        <f aca="false">HYPERLINK("https://lindat.mff.cuni.cz/services/teitok/pdtc10/index.php?action=vallex&amp;frame=v-w1855hsa_985", "mít (v-w1855hsa_985) - substituted with v-w1855f232_ZU")</f>
        <v>mít (v-w1855hsa_985) - substituted with v-w1855f232_ZU</v>
      </c>
    </row>
    <row r="15569" customFormat="false" ht="12.8" hidden="false" customHeight="false" outlineLevel="0" collapsed="false">
      <c r="B15569" s="0" t="s">
        <v>1</v>
      </c>
    </row>
    <row r="15570" customFormat="false" ht="12.8" hidden="false" customHeight="false" outlineLevel="0" collapsed="false">
      <c r="B15570" s="0" t="s">
        <v>1095</v>
      </c>
    </row>
    <row r="15571" customFormat="false" ht="12.8" hidden="false" customHeight="false" outlineLevel="0" collapsed="false">
      <c r="B15571" s="0" t="s">
        <v>8</v>
      </c>
    </row>
    <row r="15573" customFormat="false" ht="12.8" hidden="false" customHeight="false" outlineLevel="0" collapsed="false">
      <c r="A15573" s="0" t="s">
        <v>6798</v>
      </c>
      <c r="B15573" s="0" t="str">
        <f aca="false">HYPERLINK("https://lindat.mff.cuni.cz/services/teitok/pdtc10/index.php?action=vallex&amp;frame=v-w1855f233_ZU", "mít (v-w1855f233_ZU)")</f>
        <v>mít (v-w1855f233_ZU)</v>
      </c>
    </row>
    <row r="15574" customFormat="false" ht="12.8" hidden="false" customHeight="false" outlineLevel="0" collapsed="false">
      <c r="B15574" s="0" t="s">
        <v>1</v>
      </c>
    </row>
    <row r="15575" customFormat="false" ht="12.8" hidden="false" customHeight="false" outlineLevel="0" collapsed="false">
      <c r="B15575" s="0" t="s">
        <v>701</v>
      </c>
    </row>
    <row r="15576" customFormat="false" ht="12.8" hidden="false" customHeight="false" outlineLevel="0" collapsed="false">
      <c r="B15576" s="0" t="s">
        <v>298</v>
      </c>
    </row>
    <row r="15578" customFormat="false" ht="12.8" hidden="false" customHeight="false" outlineLevel="0" collapsed="false">
      <c r="A15578" s="0" t="s">
        <v>6798</v>
      </c>
      <c r="B15578" s="0" t="str">
        <f aca="false">HYPERLINK("https://lindat.mff.cuni.cz/services/teitok/pdtc10/index.php?action=vallex&amp;frame=v-w1855hsa_988", "mít (v-w1855hsa_988) - substituted with v-w1855f233_ZU")</f>
        <v>mít (v-w1855hsa_988) - substituted with v-w1855f233_ZU</v>
      </c>
    </row>
    <row r="15579" customFormat="false" ht="12.8" hidden="false" customHeight="false" outlineLevel="0" collapsed="false">
      <c r="B15579" s="0" t="s">
        <v>1</v>
      </c>
    </row>
    <row r="15580" customFormat="false" ht="12.8" hidden="false" customHeight="false" outlineLevel="0" collapsed="false">
      <c r="B15580" s="0" t="s">
        <v>701</v>
      </c>
    </row>
    <row r="15581" customFormat="false" ht="12.8" hidden="false" customHeight="false" outlineLevel="0" collapsed="false">
      <c r="B15581" s="0" t="s">
        <v>298</v>
      </c>
    </row>
    <row r="15583" customFormat="false" ht="12.8" hidden="false" customHeight="false" outlineLevel="0" collapsed="false">
      <c r="A15583" s="0" t="s">
        <v>6799</v>
      </c>
      <c r="B15583" s="0" t="str">
        <f aca="false">HYPERLINK("https://lindat.mff.cuni.cz/services/teitok/pdtc10/index.php?action=vallex&amp;frame=v-w1855f234_ZU", "mít (v-w1855f234_ZU)")</f>
        <v>mít (v-w1855f234_ZU)</v>
      </c>
    </row>
    <row r="15584" customFormat="false" ht="12.8" hidden="false" customHeight="false" outlineLevel="0" collapsed="false">
      <c r="B15584" s="0" t="s">
        <v>1</v>
      </c>
    </row>
    <row r="15585" customFormat="false" ht="12.8" hidden="false" customHeight="false" outlineLevel="0" collapsed="false">
      <c r="B15585" s="0" t="s">
        <v>6800</v>
      </c>
    </row>
    <row r="15586" customFormat="false" ht="12.8" hidden="false" customHeight="false" outlineLevel="0" collapsed="false">
      <c r="B15586" s="0" t="s">
        <v>855</v>
      </c>
    </row>
    <row r="15588" customFormat="false" ht="12.8" hidden="false" customHeight="false" outlineLevel="0" collapsed="false">
      <c r="A15588" s="0" t="s">
        <v>6799</v>
      </c>
      <c r="B15588" s="0" t="str">
        <f aca="false">HYPERLINK("https://lindat.mff.cuni.cz/services/teitok/pdtc10/index.php?action=vallex&amp;frame=v-w1855f231_ZU", "mít (v-w1855f231_ZU) - substituted with v-w1855f234_ZU")</f>
        <v>mít (v-w1855f231_ZU) - substituted with v-w1855f234_ZU</v>
      </c>
    </row>
    <row r="15589" customFormat="false" ht="12.8" hidden="false" customHeight="false" outlineLevel="0" collapsed="false">
      <c r="B15589" s="0" t="s">
        <v>1</v>
      </c>
    </row>
    <row r="15590" customFormat="false" ht="12.8" hidden="false" customHeight="false" outlineLevel="0" collapsed="false">
      <c r="B15590" s="0" t="s">
        <v>6800</v>
      </c>
    </row>
    <row r="15591" customFormat="false" ht="12.8" hidden="false" customHeight="false" outlineLevel="0" collapsed="false">
      <c r="B15591" s="0" t="s">
        <v>855</v>
      </c>
    </row>
    <row r="15593" customFormat="false" ht="12.8" hidden="false" customHeight="false" outlineLevel="0" collapsed="false">
      <c r="A15593" s="0" t="s">
        <v>6799</v>
      </c>
      <c r="B15593" s="0" t="str">
        <f aca="false">HYPERLINK("https://lindat.mff.cuni.cz/services/teitok/pdtc10/index.php?action=vallex&amp;frame=v-w1855hsa_983", "mít (v-w1855hsa_983) - substituted with v-w1855f234_ZU")</f>
        <v>mít (v-w1855hsa_983) - substituted with v-w1855f234_ZU</v>
      </c>
    </row>
    <row r="15594" customFormat="false" ht="12.8" hidden="false" customHeight="false" outlineLevel="0" collapsed="false">
      <c r="B15594" s="0" t="s">
        <v>1</v>
      </c>
    </row>
    <row r="15595" customFormat="false" ht="12.8" hidden="false" customHeight="false" outlineLevel="0" collapsed="false">
      <c r="B15595" s="0" t="s">
        <v>6800</v>
      </c>
    </row>
    <row r="15596" customFormat="false" ht="12.8" hidden="false" customHeight="false" outlineLevel="0" collapsed="false">
      <c r="B15596" s="0" t="s">
        <v>855</v>
      </c>
    </row>
    <row r="15598" customFormat="false" ht="12.8" hidden="false" customHeight="false" outlineLevel="0" collapsed="false">
      <c r="A15598" s="0" t="s">
        <v>6801</v>
      </c>
      <c r="B15598" s="0" t="str">
        <f aca="false">HYPERLINK("https://lindat.mff.cuni.cz/services/teitok/pdtc10/index.php?action=vallex&amp;frame=v-w1855f235_ZU", "mít (v-w1855f235_ZU)")</f>
        <v>mít (v-w1855f235_ZU)</v>
      </c>
    </row>
    <row r="15599" customFormat="false" ht="12.8" hidden="false" customHeight="false" outlineLevel="0" collapsed="false">
      <c r="B15599" s="0" t="s">
        <v>1</v>
      </c>
    </row>
    <row r="15600" customFormat="false" ht="12.8" hidden="false" customHeight="false" outlineLevel="0" collapsed="false">
      <c r="B15600" s="0" t="s">
        <v>6802</v>
      </c>
    </row>
    <row r="15601" customFormat="false" ht="12.8" hidden="false" customHeight="false" outlineLevel="0" collapsed="false">
      <c r="B15601" s="0" t="s">
        <v>855</v>
      </c>
    </row>
    <row r="15603" customFormat="false" ht="12.8" hidden="false" customHeight="false" outlineLevel="0" collapsed="false">
      <c r="A15603" s="0" t="s">
        <v>6801</v>
      </c>
      <c r="B15603" s="0" t="str">
        <f aca="false">HYPERLINK("https://lindat.mff.cuni.cz/services/teitok/pdtc10/index.php?action=vallex&amp;frame=v-w1855hsa_989", "mít (v-w1855hsa_989) - substituted with v-w1855f235_ZU")</f>
        <v>mít (v-w1855hsa_989) - substituted with v-w1855f235_ZU</v>
      </c>
    </row>
    <row r="15604" customFormat="false" ht="12.8" hidden="false" customHeight="false" outlineLevel="0" collapsed="false">
      <c r="B15604" s="0" t="s">
        <v>1</v>
      </c>
    </row>
    <row r="15605" customFormat="false" ht="12.8" hidden="false" customHeight="false" outlineLevel="0" collapsed="false">
      <c r="B15605" s="0" t="s">
        <v>6802</v>
      </c>
    </row>
    <row r="15606" customFormat="false" ht="12.8" hidden="false" customHeight="false" outlineLevel="0" collapsed="false">
      <c r="B15606" s="0" t="s">
        <v>855</v>
      </c>
    </row>
    <row r="15608" customFormat="false" ht="12.8" hidden="false" customHeight="false" outlineLevel="0" collapsed="false">
      <c r="A15608" s="0" t="s">
        <v>6803</v>
      </c>
      <c r="B15608" s="0" t="str">
        <f aca="false">HYPERLINK("https://lindat.mff.cuni.cz/services/teitok/pdtc10/index.php?action=vallex&amp;frame=v-w1855f236_ZU", "mít (v-w1855f236_ZU)")</f>
        <v>mít (v-w1855f236_ZU)</v>
      </c>
    </row>
    <row r="15609" customFormat="false" ht="12.8" hidden="false" customHeight="false" outlineLevel="0" collapsed="false">
      <c r="B15609" s="0" t="s">
        <v>1</v>
      </c>
    </row>
    <row r="15610" customFormat="false" ht="12.8" hidden="false" customHeight="false" outlineLevel="0" collapsed="false">
      <c r="B15610" s="0" t="s">
        <v>6804</v>
      </c>
    </row>
    <row r="15611" customFormat="false" ht="12.8" hidden="false" customHeight="false" outlineLevel="0" collapsed="false">
      <c r="B15611" s="0" t="s">
        <v>8</v>
      </c>
    </row>
    <row r="15613" customFormat="false" ht="12.8" hidden="false" customHeight="false" outlineLevel="0" collapsed="false">
      <c r="A15613" s="0" t="s">
        <v>6803</v>
      </c>
      <c r="B15613" s="0" t="str">
        <f aca="false">HYPERLINK("https://lindat.mff.cuni.cz/services/teitok/pdtc10/index.php?action=vallex&amp;frame=v-w1855hsa_992", "mít (v-w1855hsa_992) - substituted with v-w1855f236_ZU")</f>
        <v>mít (v-w1855hsa_992) - substituted with v-w1855f236_ZU</v>
      </c>
    </row>
    <row r="15614" customFormat="false" ht="12.8" hidden="false" customHeight="false" outlineLevel="0" collapsed="false">
      <c r="B15614" s="0" t="s">
        <v>1</v>
      </c>
    </row>
    <row r="15615" customFormat="false" ht="12.8" hidden="false" customHeight="false" outlineLevel="0" collapsed="false">
      <c r="B15615" s="0" t="s">
        <v>6804</v>
      </c>
    </row>
    <row r="15616" customFormat="false" ht="12.8" hidden="false" customHeight="false" outlineLevel="0" collapsed="false">
      <c r="B15616" s="0" t="s">
        <v>8</v>
      </c>
    </row>
    <row r="15618" customFormat="false" ht="12.8" hidden="false" customHeight="false" outlineLevel="0" collapsed="false">
      <c r="A15618" s="0" t="s">
        <v>6805</v>
      </c>
      <c r="B15618" s="0" t="str">
        <f aca="false">HYPERLINK("https://lindat.mff.cuni.cz/services/teitok/pdtc10/index.php?action=vallex&amp;frame=v-w1855f237_ZU", "mít (v-w1855f237_ZU)")</f>
        <v>mít (v-w1855f237_ZU)</v>
      </c>
    </row>
    <row r="15619" customFormat="false" ht="12.8" hidden="false" customHeight="false" outlineLevel="0" collapsed="false">
      <c r="B15619" s="0" t="s">
        <v>1</v>
      </c>
    </row>
    <row r="15620" customFormat="false" ht="12.8" hidden="false" customHeight="false" outlineLevel="0" collapsed="false">
      <c r="B15620" s="0" t="s">
        <v>6806</v>
      </c>
    </row>
    <row r="15621" customFormat="false" ht="12.8" hidden="false" customHeight="false" outlineLevel="0" collapsed="false">
      <c r="B15621" s="0" t="s">
        <v>8</v>
      </c>
    </row>
    <row r="15623" customFormat="false" ht="12.8" hidden="false" customHeight="false" outlineLevel="0" collapsed="false">
      <c r="A15623" s="0" t="s">
        <v>6805</v>
      </c>
      <c r="B15623" s="0" t="str">
        <f aca="false">HYPERLINK("https://lindat.mff.cuni.cz/services/teitok/pdtc10/index.php?action=vallex&amp;frame=v-w1855hsa_994", "mít (v-w1855hsa_994) - substituted with v-w1855f237_ZU")</f>
        <v>mít (v-w1855hsa_994) - substituted with v-w1855f237_ZU</v>
      </c>
    </row>
    <row r="15624" customFormat="false" ht="12.8" hidden="false" customHeight="false" outlineLevel="0" collapsed="false">
      <c r="B15624" s="0" t="s">
        <v>1</v>
      </c>
    </row>
    <row r="15625" customFormat="false" ht="12.8" hidden="false" customHeight="false" outlineLevel="0" collapsed="false">
      <c r="B15625" s="0" t="s">
        <v>6806</v>
      </c>
    </row>
    <row r="15626" customFormat="false" ht="12.8" hidden="false" customHeight="false" outlineLevel="0" collapsed="false">
      <c r="B15626" s="0" t="s">
        <v>8</v>
      </c>
    </row>
    <row r="15628" customFormat="false" ht="12.8" hidden="false" customHeight="false" outlineLevel="0" collapsed="false">
      <c r="A15628" s="0" t="s">
        <v>6807</v>
      </c>
      <c r="B15628" s="0" t="str">
        <f aca="false">HYPERLINK("https://lindat.mff.cuni.cz/services/teitok/pdtc10/index.php?action=vallex&amp;frame=v-w1855f243_ZU", "mít (v-w1855f243_ZU)")</f>
        <v>mít (v-w1855f243_ZU)</v>
      </c>
    </row>
    <row r="15629" customFormat="false" ht="12.8" hidden="false" customHeight="false" outlineLevel="0" collapsed="false">
      <c r="B15629" s="0" t="s">
        <v>1</v>
      </c>
    </row>
    <row r="15630" customFormat="false" ht="12.8" hidden="false" customHeight="false" outlineLevel="0" collapsed="false">
      <c r="B15630" s="0" t="s">
        <v>6808</v>
      </c>
    </row>
    <row r="15632" customFormat="false" ht="12.8" hidden="false" customHeight="false" outlineLevel="0" collapsed="false">
      <c r="A15632" s="0" t="s">
        <v>6807</v>
      </c>
      <c r="B15632" s="0" t="str">
        <f aca="false">HYPERLINK("https://lindat.mff.cuni.cz/services/teitok/pdtc10/index.php?action=vallex&amp;frame=v-w1855hsa_990", "mít (v-w1855hsa_990) - substituted with v-w1855f243_ZU")</f>
        <v>mít (v-w1855hsa_990) - substituted with v-w1855f243_ZU</v>
      </c>
    </row>
    <row r="15633" customFormat="false" ht="12.8" hidden="false" customHeight="false" outlineLevel="0" collapsed="false">
      <c r="B15633" s="0" t="s">
        <v>1</v>
      </c>
    </row>
    <row r="15634" customFormat="false" ht="12.8" hidden="false" customHeight="false" outlineLevel="0" collapsed="false">
      <c r="B15634" s="0" t="s">
        <v>6808</v>
      </c>
    </row>
    <row r="15636" customFormat="false" ht="12.8" hidden="false" customHeight="false" outlineLevel="0" collapsed="false">
      <c r="A15636" s="0" t="s">
        <v>6809</v>
      </c>
      <c r="B15636" s="0" t="str">
        <f aca="false">HYPERLINK("https://lindat.mff.cuni.cz/services/teitok/pdtc10/index.php?action=vallex&amp;frame=v-w1855f244_ZU", "mít (v-w1855f244_ZU)")</f>
        <v>mít (v-w1855f244_ZU)</v>
      </c>
    </row>
    <row r="15637" customFormat="false" ht="12.8" hidden="false" customHeight="false" outlineLevel="0" collapsed="false">
      <c r="B15637" s="0" t="s">
        <v>1</v>
      </c>
    </row>
    <row r="15638" customFormat="false" ht="12.8" hidden="false" customHeight="false" outlineLevel="0" collapsed="false">
      <c r="B15638" s="0" t="s">
        <v>6810</v>
      </c>
    </row>
    <row r="15639" customFormat="false" ht="12.8" hidden="false" customHeight="false" outlineLevel="0" collapsed="false">
      <c r="B15639" s="0" t="s">
        <v>3321</v>
      </c>
    </row>
    <row r="15641" customFormat="false" ht="12.8" hidden="false" customHeight="false" outlineLevel="0" collapsed="false">
      <c r="A15641" s="0" t="s">
        <v>6809</v>
      </c>
      <c r="B15641" s="0" t="str">
        <f aca="false">HYPERLINK("https://lindat.mff.cuni.cz/services/teitok/pdtc10/index.php?action=vallex&amp;frame=v-w1855hsa_991", "mít (v-w1855hsa_991) - substituted with v-w1855f244_ZU")</f>
        <v>mít (v-w1855hsa_991) - substituted with v-w1855f244_ZU</v>
      </c>
    </row>
    <row r="15642" customFormat="false" ht="12.8" hidden="false" customHeight="false" outlineLevel="0" collapsed="false">
      <c r="B15642" s="0" t="s">
        <v>1</v>
      </c>
    </row>
    <row r="15643" customFormat="false" ht="12.8" hidden="false" customHeight="false" outlineLevel="0" collapsed="false">
      <c r="B15643" s="0" t="s">
        <v>6810</v>
      </c>
    </row>
    <row r="15644" customFormat="false" ht="12.8" hidden="false" customHeight="false" outlineLevel="0" collapsed="false">
      <c r="B15644" s="0" t="s">
        <v>3321</v>
      </c>
    </row>
    <row r="15646" customFormat="false" ht="12.8" hidden="false" customHeight="false" outlineLevel="0" collapsed="false">
      <c r="A15646" s="0" t="s">
        <v>6811</v>
      </c>
      <c r="B15646" s="0" t="str">
        <f aca="false">HYPERLINK("https://lindat.mff.cuni.cz/services/teitok/pdtc10/index.php?action=vallex&amp;frame=v-w1855f245_ZU", "mít (v-w1855f245_ZU)")</f>
        <v>mít (v-w1855f245_ZU)</v>
      </c>
    </row>
    <row r="15647" customFormat="false" ht="12.8" hidden="false" customHeight="false" outlineLevel="0" collapsed="false">
      <c r="B15647" s="0" t="s">
        <v>1</v>
      </c>
    </row>
    <row r="15648" customFormat="false" ht="12.8" hidden="false" customHeight="false" outlineLevel="0" collapsed="false">
      <c r="B15648" s="0" t="s">
        <v>6812</v>
      </c>
    </row>
    <row r="15650" customFormat="false" ht="12.8" hidden="false" customHeight="false" outlineLevel="0" collapsed="false">
      <c r="A15650" s="0" t="s">
        <v>6811</v>
      </c>
      <c r="B15650" s="0" t="str">
        <f aca="false">HYPERLINK("https://lindat.mff.cuni.cz/services/teitok/pdtc10/index.php?action=vallex&amp;frame=v-w1855hsa_993", "mít (v-w1855hsa_993) - substituted with v-w1855f245_ZU")</f>
        <v>mít (v-w1855hsa_993) - substituted with v-w1855f245_ZU</v>
      </c>
    </row>
    <row r="15651" customFormat="false" ht="12.8" hidden="false" customHeight="false" outlineLevel="0" collapsed="false">
      <c r="B15651" s="0" t="s">
        <v>1</v>
      </c>
    </row>
    <row r="15652" customFormat="false" ht="12.8" hidden="false" customHeight="false" outlineLevel="0" collapsed="false">
      <c r="B15652" s="0" t="s">
        <v>6812</v>
      </c>
    </row>
    <row r="15654" customFormat="false" ht="12.8" hidden="false" customHeight="false" outlineLevel="0" collapsed="false">
      <c r="A15654" s="0" t="s">
        <v>6813</v>
      </c>
      <c r="B15654" s="0" t="str">
        <f aca="false">HYPERLINK("https://lindat.mff.cuni.cz/services/teitok/pdtc10/index.php?action=vallex&amp;frame=v-w1855f246_ZU", "mít (v-w1855f246_ZU)")</f>
        <v>mít (v-w1855f246_ZU)</v>
      </c>
    </row>
    <row r="15655" customFormat="false" ht="12.8" hidden="false" customHeight="false" outlineLevel="0" collapsed="false">
      <c r="B15655" s="0" t="s">
        <v>1</v>
      </c>
    </row>
    <row r="15656" customFormat="false" ht="12.8" hidden="false" customHeight="false" outlineLevel="0" collapsed="false">
      <c r="B15656" s="0" t="s">
        <v>6814</v>
      </c>
    </row>
    <row r="15657" customFormat="false" ht="12.8" hidden="false" customHeight="false" outlineLevel="0" collapsed="false">
      <c r="B15657" s="0" t="s">
        <v>1289</v>
      </c>
    </row>
    <row r="15659" customFormat="false" ht="12.8" hidden="false" customHeight="false" outlineLevel="0" collapsed="false">
      <c r="A15659" s="0" t="s">
        <v>6813</v>
      </c>
      <c r="B15659" s="0" t="str">
        <f aca="false">HYPERLINK("https://lindat.mff.cuni.cz/services/teitok/pdtc10/index.php?action=vallex&amp;frame=v-w1855hsa_987", "mít (v-w1855hsa_987) - substituted with v-w1855f246_ZU")</f>
        <v>mít (v-w1855hsa_987) - substituted with v-w1855f246_ZU</v>
      </c>
    </row>
    <row r="15660" customFormat="false" ht="12.8" hidden="false" customHeight="false" outlineLevel="0" collapsed="false">
      <c r="B15660" s="0" t="s">
        <v>1</v>
      </c>
    </row>
    <row r="15661" customFormat="false" ht="12.8" hidden="false" customHeight="false" outlineLevel="0" collapsed="false">
      <c r="B15661" s="0" t="s">
        <v>6814</v>
      </c>
    </row>
    <row r="15662" customFormat="false" ht="12.8" hidden="false" customHeight="false" outlineLevel="0" collapsed="false">
      <c r="B15662" s="0" t="s">
        <v>1289</v>
      </c>
    </row>
    <row r="15664" customFormat="false" ht="12.8" hidden="false" customHeight="false" outlineLevel="0" collapsed="false">
      <c r="A15664" s="0" t="s">
        <v>6815</v>
      </c>
      <c r="B15664" s="0" t="str">
        <f aca="false">HYPERLINK("https://lindat.mff.cuni.cz/services/teitok/pdtc10/index.php?action=vallex&amp;frame=v-w1855f247_ZU", "mít (v-w1855f247_ZU)")</f>
        <v>mít (v-w1855f247_ZU)</v>
      </c>
    </row>
    <row r="15665" customFormat="false" ht="12.8" hidden="false" customHeight="false" outlineLevel="0" collapsed="false">
      <c r="B15665" s="0" t="s">
        <v>1</v>
      </c>
    </row>
    <row r="15666" customFormat="false" ht="12.8" hidden="false" customHeight="false" outlineLevel="0" collapsed="false">
      <c r="B15666" s="0" t="s">
        <v>6816</v>
      </c>
    </row>
    <row r="15667" customFormat="false" ht="12.8" hidden="false" customHeight="false" outlineLevel="0" collapsed="false">
      <c r="B15667" s="0" t="s">
        <v>8</v>
      </c>
    </row>
    <row r="15669" customFormat="false" ht="12.8" hidden="false" customHeight="false" outlineLevel="0" collapsed="false">
      <c r="A15669" s="0" t="s">
        <v>6815</v>
      </c>
      <c r="B15669" s="0" t="str">
        <f aca="false">HYPERLINK("https://lindat.mff.cuni.cz/services/teitok/pdtc10/index.php?action=vallex&amp;frame=v-w1855hsa_995", "mít (v-w1855hsa_995) - substituted with v-w1855f247_ZU")</f>
        <v>mít (v-w1855hsa_995) - substituted with v-w1855f247_ZU</v>
      </c>
    </row>
    <row r="15670" customFormat="false" ht="12.8" hidden="false" customHeight="false" outlineLevel="0" collapsed="false">
      <c r="B15670" s="0" t="s">
        <v>1</v>
      </c>
    </row>
    <row r="15671" customFormat="false" ht="12.8" hidden="false" customHeight="false" outlineLevel="0" collapsed="false">
      <c r="B15671" s="0" t="s">
        <v>6816</v>
      </c>
    </row>
    <row r="15672" customFormat="false" ht="12.8" hidden="false" customHeight="false" outlineLevel="0" collapsed="false">
      <c r="B15672" s="0" t="s">
        <v>8</v>
      </c>
    </row>
    <row r="15674" customFormat="false" ht="12.8" hidden="false" customHeight="false" outlineLevel="0" collapsed="false">
      <c r="A15674" s="0" t="s">
        <v>6817</v>
      </c>
      <c r="B15674" s="0" t="str">
        <f aca="false">HYPERLINK("https://lindat.mff.cuni.cz/services/teitok/pdtc10/index.php?action=vallex&amp;frame=v-w1855f248_ZU", "mít (v-w1855f248_ZU)")</f>
        <v>mít (v-w1855f248_ZU)</v>
      </c>
    </row>
    <row r="15675" customFormat="false" ht="12.8" hidden="false" customHeight="false" outlineLevel="0" collapsed="false">
      <c r="B15675" s="0" t="s">
        <v>1</v>
      </c>
    </row>
    <row r="15676" customFormat="false" ht="12.8" hidden="false" customHeight="false" outlineLevel="0" collapsed="false">
      <c r="B15676" s="0" t="s">
        <v>6818</v>
      </c>
    </row>
    <row r="15677" customFormat="false" ht="12.8" hidden="false" customHeight="false" outlineLevel="0" collapsed="false">
      <c r="B15677" s="0" t="s">
        <v>8</v>
      </c>
    </row>
    <row r="15679" customFormat="false" ht="12.8" hidden="false" customHeight="false" outlineLevel="0" collapsed="false">
      <c r="A15679" s="0" t="s">
        <v>6817</v>
      </c>
      <c r="B15679" s="0" t="str">
        <f aca="false">HYPERLINK("https://lindat.mff.cuni.cz/services/teitok/pdtc10/index.php?action=vallex&amp;frame=v-w1855hsa_984", "mít (v-w1855hsa_984) - substituted with v-w1855f248_ZU")</f>
        <v>mít (v-w1855hsa_984) - substituted with v-w1855f248_ZU</v>
      </c>
    </row>
    <row r="15680" customFormat="false" ht="12.8" hidden="false" customHeight="false" outlineLevel="0" collapsed="false">
      <c r="B15680" s="0" t="s">
        <v>1</v>
      </c>
    </row>
    <row r="15681" customFormat="false" ht="12.8" hidden="false" customHeight="false" outlineLevel="0" collapsed="false">
      <c r="B15681" s="0" t="s">
        <v>6818</v>
      </c>
    </row>
    <row r="15682" customFormat="false" ht="12.8" hidden="false" customHeight="false" outlineLevel="0" collapsed="false">
      <c r="B15682" s="0" t="s">
        <v>8</v>
      </c>
    </row>
    <row r="15684" customFormat="false" ht="12.8" hidden="false" customHeight="false" outlineLevel="0" collapsed="false">
      <c r="A15684" s="0" t="s">
        <v>6819</v>
      </c>
      <c r="B15684" s="0" t="str">
        <f aca="false">HYPERLINK("https://lindat.mff.cuni.cz/services/teitok/pdtc10/index.php?action=vallex&amp;frame=v-w1855f249_ZU", "mít (v-w1855f249_ZU)")</f>
        <v>mít (v-w1855f249_ZU)</v>
      </c>
    </row>
    <row r="15685" customFormat="false" ht="12.8" hidden="false" customHeight="false" outlineLevel="0" collapsed="false">
      <c r="B15685" s="0" t="s">
        <v>1</v>
      </c>
    </row>
    <row r="15686" customFormat="false" ht="12.8" hidden="false" customHeight="false" outlineLevel="0" collapsed="false">
      <c r="B15686" s="0" t="s">
        <v>6820</v>
      </c>
    </row>
    <row r="15688" customFormat="false" ht="12.8" hidden="false" customHeight="false" outlineLevel="0" collapsed="false">
      <c r="A15688" s="0" t="s">
        <v>6819</v>
      </c>
      <c r="B15688" s="0" t="str">
        <f aca="false">HYPERLINK("https://lindat.mff.cuni.cz/services/teitok/pdtc10/index.php?action=vallex&amp;frame=v-w1855hsa_986", "mít (v-w1855hsa_986) - substituted with v-w1855f249_ZU")</f>
        <v>mít (v-w1855hsa_986) - substituted with v-w1855f249_ZU</v>
      </c>
    </row>
    <row r="15689" customFormat="false" ht="12.8" hidden="false" customHeight="false" outlineLevel="0" collapsed="false">
      <c r="B15689" s="0" t="s">
        <v>1</v>
      </c>
    </row>
    <row r="15690" customFormat="false" ht="12.8" hidden="false" customHeight="false" outlineLevel="0" collapsed="false">
      <c r="B15690" s="0" t="s">
        <v>6820</v>
      </c>
    </row>
    <row r="15692" customFormat="false" ht="12.8" hidden="false" customHeight="false" outlineLevel="0" collapsed="false">
      <c r="A15692" s="0" t="s">
        <v>6821</v>
      </c>
      <c r="B15692" s="0" t="str">
        <f aca="false">HYPERLINK("https://lindat.mff.cuni.cz/services/teitok/pdtc10/index.php?action=vallex&amp;frame=v-w1855f250_ZU", "mít (v-w1855f250_ZU)")</f>
        <v>mít (v-w1855f250_ZU)</v>
      </c>
    </row>
    <row r="15693" customFormat="false" ht="12.8" hidden="false" customHeight="false" outlineLevel="0" collapsed="false">
      <c r="B15693" s="0" t="s">
        <v>1</v>
      </c>
    </row>
    <row r="15694" customFormat="false" ht="12.8" hidden="false" customHeight="false" outlineLevel="0" collapsed="false">
      <c r="B15694" s="0" t="s">
        <v>6822</v>
      </c>
    </row>
    <row r="15696" customFormat="false" ht="12.8" hidden="false" customHeight="false" outlineLevel="0" collapsed="false">
      <c r="A15696" s="0" t="s">
        <v>6823</v>
      </c>
      <c r="B15696" s="0" t="str">
        <f aca="false">HYPERLINK("https://lindat.mff.cuni.cz/services/teitok/pdtc10/index.php?action=vallex&amp;frame=v-w1855f256_ZU", "mít (v-w1855f256_ZU)")</f>
        <v>mít (v-w1855f256_ZU)</v>
      </c>
    </row>
    <row r="15697" customFormat="false" ht="12.8" hidden="false" customHeight="false" outlineLevel="0" collapsed="false">
      <c r="B15697" s="0" t="s">
        <v>1</v>
      </c>
    </row>
    <row r="15698" customFormat="false" ht="12.8" hidden="false" customHeight="false" outlineLevel="0" collapsed="false">
      <c r="B15698" s="0" t="s">
        <v>6824</v>
      </c>
    </row>
    <row r="15700" customFormat="false" ht="12.8" hidden="false" customHeight="false" outlineLevel="0" collapsed="false">
      <c r="A15700" s="0" t="s">
        <v>6825</v>
      </c>
      <c r="B15700" s="0" t="str">
        <f aca="false">HYPERLINK("https://lindat.mff.cuni.cz/services/teitok/pdtc10/index.php?action=vallex&amp;frame=v-w1855f257_ZU", "mít (v-w1855f257_ZU)")</f>
        <v>mít (v-w1855f257_ZU)</v>
      </c>
    </row>
    <row r="15701" customFormat="false" ht="12.8" hidden="false" customHeight="false" outlineLevel="0" collapsed="false">
      <c r="B15701" s="0" t="s">
        <v>1</v>
      </c>
    </row>
    <row r="15702" customFormat="false" ht="12.8" hidden="false" customHeight="false" outlineLevel="0" collapsed="false">
      <c r="B15702" s="0" t="s">
        <v>6826</v>
      </c>
    </row>
    <row r="15703" customFormat="false" ht="12.8" hidden="false" customHeight="false" outlineLevel="0" collapsed="false">
      <c r="B15703" s="0" t="s">
        <v>8</v>
      </c>
    </row>
    <row r="15704" customFormat="false" ht="12.8" hidden="false" customHeight="false" outlineLevel="0" collapsed="false">
      <c r="B15704" s="0" t="s">
        <v>855</v>
      </c>
    </row>
    <row r="15706" customFormat="false" ht="12.8" hidden="false" customHeight="false" outlineLevel="0" collapsed="false">
      <c r="A15706" s="0" t="s">
        <v>6827</v>
      </c>
      <c r="B15706" s="0" t="str">
        <f aca="false">HYPERLINK("https://lindat.mff.cuni.cz/services/teitok/pdtc10/index.php?action=vallex&amp;frame=v-w1855f259_ZU", "mít (v-w1855f259_ZU)")</f>
        <v>mít (v-w1855f259_ZU)</v>
      </c>
    </row>
    <row r="15707" customFormat="false" ht="12.8" hidden="false" customHeight="false" outlineLevel="0" collapsed="false">
      <c r="B15707" s="0" t="s">
        <v>1</v>
      </c>
    </row>
    <row r="15708" customFormat="false" ht="12.8" hidden="false" customHeight="false" outlineLevel="0" collapsed="false">
      <c r="B15708" s="0" t="s">
        <v>5032</v>
      </c>
    </row>
    <row r="15710" customFormat="false" ht="12.8" hidden="false" customHeight="false" outlineLevel="0" collapsed="false">
      <c r="A15710" s="0" t="s">
        <v>6828</v>
      </c>
      <c r="B15710" s="0" t="str">
        <f aca="false">HYPERLINK("https://lindat.mff.cuni.cz/services/teitok/pdtc10/index.php?action=vallex&amp;frame=v-w1855f265_ZU", "mít (v-w1855f265_ZU)")</f>
        <v>mít (v-w1855f265_ZU)</v>
      </c>
    </row>
    <row r="15711" customFormat="false" ht="12.8" hidden="false" customHeight="false" outlineLevel="0" collapsed="false">
      <c r="B15711" s="0" t="s">
        <v>1</v>
      </c>
    </row>
    <row r="15712" customFormat="false" ht="12.8" hidden="false" customHeight="false" outlineLevel="0" collapsed="false">
      <c r="B15712" s="0" t="s">
        <v>6829</v>
      </c>
    </row>
    <row r="15713" customFormat="false" ht="12.8" hidden="false" customHeight="false" outlineLevel="0" collapsed="false">
      <c r="B15713" s="0" t="s">
        <v>8</v>
      </c>
    </row>
    <row r="15715" customFormat="false" ht="12.8" hidden="false" customHeight="false" outlineLevel="0" collapsed="false">
      <c r="A15715" s="0" t="s">
        <v>6830</v>
      </c>
      <c r="B15715" s="0" t="str">
        <f aca="false">HYPERLINK("https://lindat.mff.cuni.cz/services/teitok/pdtc10/index.php?action=vallex&amp;frame=v-w1855f267_ZU", "mít (v-w1855f267_ZU)")</f>
        <v>mít (v-w1855f267_ZU)</v>
      </c>
    </row>
    <row r="15716" customFormat="false" ht="12.8" hidden="false" customHeight="false" outlineLevel="0" collapsed="false">
      <c r="B15716" s="0" t="s">
        <v>1</v>
      </c>
    </row>
    <row r="15717" customFormat="false" ht="12.8" hidden="false" customHeight="false" outlineLevel="0" collapsed="false">
      <c r="B15717" s="0" t="s">
        <v>5032</v>
      </c>
    </row>
    <row r="15719" customFormat="false" ht="12.8" hidden="false" customHeight="false" outlineLevel="0" collapsed="false">
      <c r="A15719" s="0" t="s">
        <v>6831</v>
      </c>
      <c r="B15719" s="0" t="str">
        <f aca="false">HYPERLINK("https://lindat.mff.cuni.cz/services/teitok/pdtc10/index.php?action=vallex&amp;frame=v-w1855f270_ZU", "mít (v-w1855f270_ZU)")</f>
        <v>mít (v-w1855f270_ZU)</v>
      </c>
    </row>
    <row r="15720" customFormat="false" ht="12.8" hidden="false" customHeight="false" outlineLevel="0" collapsed="false">
      <c r="B15720" s="0" t="s">
        <v>1</v>
      </c>
    </row>
    <row r="15721" customFormat="false" ht="12.8" hidden="false" customHeight="false" outlineLevel="0" collapsed="false">
      <c r="B15721" s="0" t="s">
        <v>6832</v>
      </c>
    </row>
    <row r="15723" customFormat="false" ht="12.8" hidden="false" customHeight="false" outlineLevel="0" collapsed="false">
      <c r="A15723" s="0" t="s">
        <v>6833</v>
      </c>
      <c r="B15723" s="0" t="str">
        <f aca="false">HYPERLINK("https://lindat.mff.cuni.cz/services/teitok/pdtc10/index.php?action=vallex&amp;frame=v-w1855f271_ZU", "mít (v-w1855f271_ZU)")</f>
        <v>mít (v-w1855f271_ZU)</v>
      </c>
    </row>
    <row r="15724" customFormat="false" ht="12.8" hidden="false" customHeight="false" outlineLevel="0" collapsed="false">
      <c r="B15724" s="0" t="s">
        <v>1</v>
      </c>
    </row>
    <row r="15725" customFormat="false" ht="12.8" hidden="false" customHeight="false" outlineLevel="0" collapsed="false">
      <c r="B15725" s="0" t="s">
        <v>6834</v>
      </c>
    </row>
    <row r="15727" customFormat="false" ht="12.8" hidden="false" customHeight="false" outlineLevel="0" collapsed="false">
      <c r="A15727" s="0" t="s">
        <v>6835</v>
      </c>
      <c r="B15727" s="0" t="str">
        <f aca="false">HYPERLINK("https://lindat.mff.cuni.cz/services/teitok/pdtc10/index.php?action=vallex&amp;frame=v-w1855f274_ZU", "mít (v-w1855f274_ZU)")</f>
        <v>mít (v-w1855f274_ZU)</v>
      </c>
    </row>
    <row r="15728" customFormat="false" ht="12.8" hidden="false" customHeight="false" outlineLevel="0" collapsed="false">
      <c r="B15728" s="0" t="s">
        <v>1</v>
      </c>
    </row>
    <row r="15729" customFormat="false" ht="12.8" hidden="false" customHeight="false" outlineLevel="0" collapsed="false">
      <c r="B15729" s="0" t="s">
        <v>8</v>
      </c>
    </row>
    <row r="15731" customFormat="false" ht="12.8" hidden="false" customHeight="false" outlineLevel="0" collapsed="false">
      <c r="A15731" s="0" t="s">
        <v>6836</v>
      </c>
      <c r="B15731" s="0" t="str">
        <f aca="false">HYPERLINK("https://lindat.mff.cuni.cz/services/teitok/pdtc10/index.php?action=vallex&amp;frame=v-w1855f278_ZU", "mít (v-w1855f278_ZU)")</f>
        <v>mít (v-w1855f278_ZU)</v>
      </c>
    </row>
    <row r="15732" customFormat="false" ht="12.8" hidden="false" customHeight="false" outlineLevel="0" collapsed="false">
      <c r="B15732" s="0" t="s">
        <v>1</v>
      </c>
    </row>
    <row r="15733" customFormat="false" ht="12.8" hidden="false" customHeight="false" outlineLevel="0" collapsed="false">
      <c r="B15733" s="0" t="s">
        <v>6837</v>
      </c>
    </row>
    <row r="15734" customFormat="false" ht="12.8" hidden="false" customHeight="false" outlineLevel="0" collapsed="false">
      <c r="B15734" s="0" t="s">
        <v>298</v>
      </c>
    </row>
    <row r="15736" customFormat="false" ht="12.8" hidden="false" customHeight="false" outlineLevel="0" collapsed="false">
      <c r="A15736" s="0" t="s">
        <v>6838</v>
      </c>
      <c r="B15736" s="0" t="str">
        <f aca="false">HYPERLINK("https://lindat.mff.cuni.cz/services/teitok/pdtc10/index.php?action=vallex&amp;frame=v-w1855f284_ZU", "mít (v-w1855f284_ZU)")</f>
        <v>mít (v-w1855f284_ZU)</v>
      </c>
    </row>
    <row r="15737" customFormat="false" ht="12.8" hidden="false" customHeight="false" outlineLevel="0" collapsed="false">
      <c r="B15737" s="0" t="s">
        <v>1</v>
      </c>
    </row>
    <row r="15738" customFormat="false" ht="12.8" hidden="false" customHeight="false" outlineLevel="0" collapsed="false">
      <c r="B15738" s="0" t="s">
        <v>6839</v>
      </c>
    </row>
    <row r="15740" customFormat="false" ht="12.8" hidden="false" customHeight="false" outlineLevel="0" collapsed="false">
      <c r="A15740" s="0" t="s">
        <v>6840</v>
      </c>
      <c r="B15740" s="0" t="str">
        <f aca="false">HYPERLINK("https://lindat.mff.cuni.cz/services/teitok/pdtc10/index.php?action=vallex&amp;frame=v-w1855f288_ZU", "mít (v-w1855f288_ZU)")</f>
        <v>mít (v-w1855f288_ZU)</v>
      </c>
    </row>
    <row r="15741" customFormat="false" ht="12.8" hidden="false" customHeight="false" outlineLevel="0" collapsed="false">
      <c r="B15741" s="0" t="s">
        <v>1</v>
      </c>
    </row>
    <row r="15742" customFormat="false" ht="12.8" hidden="false" customHeight="false" outlineLevel="0" collapsed="false">
      <c r="B15742" s="0" t="s">
        <v>6841</v>
      </c>
    </row>
    <row r="15743" customFormat="false" ht="12.8" hidden="false" customHeight="false" outlineLevel="0" collapsed="false">
      <c r="B15743" s="0" t="s">
        <v>8</v>
      </c>
    </row>
    <row r="15745" customFormat="false" ht="12.8" hidden="false" customHeight="false" outlineLevel="0" collapsed="false">
      <c r="A15745" s="0" t="s">
        <v>6842</v>
      </c>
      <c r="B15745" s="0" t="str">
        <f aca="false">HYPERLINK("https://lindat.mff.cuni.cz/services/teitok/pdtc10/index.php?action=vallex&amp;frame=v-w1855f293_ZU", "mít (v-w1855f293_ZU)")</f>
        <v>mít (v-w1855f293_ZU)</v>
      </c>
    </row>
    <row r="15746" customFormat="false" ht="12.8" hidden="false" customHeight="false" outlineLevel="0" collapsed="false">
      <c r="B15746" s="0" t="s">
        <v>1</v>
      </c>
    </row>
    <row r="15747" customFormat="false" ht="12.8" hidden="false" customHeight="false" outlineLevel="0" collapsed="false">
      <c r="B15747" s="0" t="s">
        <v>6843</v>
      </c>
    </row>
    <row r="15748" customFormat="false" ht="12.8" hidden="false" customHeight="false" outlineLevel="0" collapsed="false">
      <c r="B15748" s="0" t="s">
        <v>8</v>
      </c>
    </row>
    <row r="15750" customFormat="false" ht="12.8" hidden="false" customHeight="false" outlineLevel="0" collapsed="false">
      <c r="A15750" s="0" t="s">
        <v>6844</v>
      </c>
      <c r="B15750" s="0" t="str">
        <f aca="false">HYPERLINK("https://lindat.mff.cuni.cz/services/teitok/pdtc10/index.php?action=vallex&amp;frame=v-w1855f297_ZU", "mít (v-w1855f297_ZU)")</f>
        <v>mít (v-w1855f297_ZU)</v>
      </c>
    </row>
    <row r="15751" customFormat="false" ht="12.8" hidden="false" customHeight="false" outlineLevel="0" collapsed="false">
      <c r="B15751" s="0" t="s">
        <v>1</v>
      </c>
    </row>
    <row r="15752" customFormat="false" ht="12.8" hidden="false" customHeight="false" outlineLevel="0" collapsed="false">
      <c r="B15752" s="0" t="s">
        <v>6845</v>
      </c>
    </row>
    <row r="15753" customFormat="false" ht="12.8" hidden="false" customHeight="false" outlineLevel="0" collapsed="false">
      <c r="B15753" s="0" t="s">
        <v>8</v>
      </c>
    </row>
    <row r="15755" customFormat="false" ht="12.8" hidden="false" customHeight="false" outlineLevel="0" collapsed="false">
      <c r="A15755" s="0" t="s">
        <v>6846</v>
      </c>
      <c r="B15755" s="0" t="str">
        <f aca="false">HYPERLINK("https://lindat.mff.cuni.cz/services/teitok/pdtc10/index.php?action=vallex&amp;frame=v-w1855f302_ZU", "mít (v-w1855f302_ZU)")</f>
        <v>mít (v-w1855f302_ZU)</v>
      </c>
    </row>
    <row r="15756" customFormat="false" ht="12.8" hidden="false" customHeight="false" outlineLevel="0" collapsed="false">
      <c r="B15756" s="0" t="s">
        <v>1</v>
      </c>
    </row>
    <row r="15757" customFormat="false" ht="12.8" hidden="false" customHeight="false" outlineLevel="0" collapsed="false">
      <c r="B15757" s="0" t="s">
        <v>6724</v>
      </c>
    </row>
    <row r="15759" customFormat="false" ht="12.8" hidden="false" customHeight="false" outlineLevel="0" collapsed="false">
      <c r="A15759" s="0" t="s">
        <v>6847</v>
      </c>
      <c r="B15759" s="0" t="str">
        <f aca="false">HYPERLINK("https://lindat.mff.cuni.cz/services/teitok/pdtc10/index.php?action=vallex&amp;frame=v-w1855f306_ZU", "mít (v-w1855f306_ZU)")</f>
        <v>mít (v-w1855f306_ZU)</v>
      </c>
    </row>
    <row r="15760" customFormat="false" ht="12.8" hidden="false" customHeight="false" outlineLevel="0" collapsed="false">
      <c r="B15760" s="0" t="s">
        <v>1</v>
      </c>
    </row>
    <row r="15761" customFormat="false" ht="12.8" hidden="false" customHeight="false" outlineLevel="0" collapsed="false">
      <c r="B15761" s="0" t="s">
        <v>6848</v>
      </c>
    </row>
    <row r="15763" customFormat="false" ht="12.8" hidden="false" customHeight="false" outlineLevel="0" collapsed="false">
      <c r="A15763" s="0" t="s">
        <v>6849</v>
      </c>
      <c r="B15763" s="0" t="str">
        <f aca="false">HYPERLINK("https://lindat.mff.cuni.cz/services/teitok/pdtc10/index.php?action=vallex&amp;frame=v-w1855f309_ZU", "mít (v-w1855f309_ZU)")</f>
        <v>mít (v-w1855f309_ZU)</v>
      </c>
    </row>
    <row r="15764" customFormat="false" ht="12.8" hidden="false" customHeight="false" outlineLevel="0" collapsed="false">
      <c r="B15764" s="0" t="s">
        <v>1</v>
      </c>
    </row>
    <row r="15765" customFormat="false" ht="12.8" hidden="false" customHeight="false" outlineLevel="0" collapsed="false">
      <c r="B15765" s="0" t="s">
        <v>6850</v>
      </c>
    </row>
    <row r="15766" customFormat="false" ht="12.8" hidden="false" customHeight="false" outlineLevel="0" collapsed="false">
      <c r="B15766" s="0" t="s">
        <v>8</v>
      </c>
    </row>
    <row r="15768" customFormat="false" ht="12.8" hidden="false" customHeight="false" outlineLevel="0" collapsed="false">
      <c r="A15768" s="0" t="s">
        <v>6851</v>
      </c>
      <c r="B15768" s="0" t="str">
        <f aca="false">HYPERLINK("https://lindat.mff.cuni.cz/services/teitok/pdtc10/index.php?action=vallex&amp;frame=v-w1855f310_ZU", "mít (v-w1855f310_ZU)")</f>
        <v>mít (v-w1855f310_ZU)</v>
      </c>
    </row>
    <row r="15769" customFormat="false" ht="12.8" hidden="false" customHeight="false" outlineLevel="0" collapsed="false">
      <c r="B15769" s="0" t="s">
        <v>1</v>
      </c>
    </row>
    <row r="15770" customFormat="false" ht="12.8" hidden="false" customHeight="false" outlineLevel="0" collapsed="false">
      <c r="B15770" s="0" t="s">
        <v>8</v>
      </c>
    </row>
    <row r="15771" customFormat="false" ht="12.8" hidden="false" customHeight="false" outlineLevel="0" collapsed="false">
      <c r="B15771" s="0" t="s">
        <v>3889</v>
      </c>
    </row>
    <row r="15773" customFormat="false" ht="12.8" hidden="false" customHeight="false" outlineLevel="0" collapsed="false">
      <c r="A15773" s="0" t="s">
        <v>6852</v>
      </c>
      <c r="B15773" s="0" t="str">
        <f aca="false">HYPERLINK("https://lindat.mff.cuni.cz/services/teitok/pdtc10/index.php?action=vallex&amp;frame=v-w1855f312_ZU", "mít (v-w1855f312_ZU)")</f>
        <v>mít (v-w1855f312_ZU)</v>
      </c>
    </row>
    <row r="15774" customFormat="false" ht="12.8" hidden="false" customHeight="false" outlineLevel="0" collapsed="false">
      <c r="B15774" s="0" t="s">
        <v>1</v>
      </c>
    </row>
    <row r="15775" customFormat="false" ht="12.8" hidden="false" customHeight="false" outlineLevel="0" collapsed="false">
      <c r="B15775" s="0" t="s">
        <v>6853</v>
      </c>
    </row>
    <row r="15776" customFormat="false" ht="12.8" hidden="false" customHeight="false" outlineLevel="0" collapsed="false">
      <c r="B15776" s="0" t="s">
        <v>8</v>
      </c>
    </row>
    <row r="15778" customFormat="false" ht="12.8" hidden="false" customHeight="false" outlineLevel="0" collapsed="false">
      <c r="A15778" s="0" t="s">
        <v>6854</v>
      </c>
      <c r="B15778" s="0" t="str">
        <f aca="false">HYPERLINK("https://lindat.mff.cuni.cz/services/teitok/pdtc10/index.php?action=vallex&amp;frame=v-w1855f324_ZU", "mít (v-w1855f324_ZU)")</f>
        <v>mít (v-w1855f324_ZU)</v>
      </c>
    </row>
    <row r="15779" customFormat="false" ht="12.8" hidden="false" customHeight="false" outlineLevel="0" collapsed="false">
      <c r="B15779" s="0" t="s">
        <v>1</v>
      </c>
    </row>
    <row r="15780" customFormat="false" ht="12.8" hidden="false" customHeight="false" outlineLevel="0" collapsed="false">
      <c r="B15780" s="0" t="s">
        <v>8</v>
      </c>
    </row>
    <row r="15781" customFormat="false" ht="12.8" hidden="false" customHeight="false" outlineLevel="0" collapsed="false">
      <c r="B15781" s="0" t="s">
        <v>6855</v>
      </c>
    </row>
    <row r="15783" customFormat="false" ht="12.8" hidden="false" customHeight="false" outlineLevel="0" collapsed="false">
      <c r="A15783" s="0" t="s">
        <v>6856</v>
      </c>
      <c r="B15783" s="0" t="str">
        <f aca="false">HYPERLINK("https://lindat.mff.cuni.cz/services/teitok/pdtc10/index.php?action=vallex&amp;frame=v-w1855f325_ZU", "mít (v-w1855f325_ZU)")</f>
        <v>mít (v-w1855f325_ZU)</v>
      </c>
    </row>
    <row r="15784" customFormat="false" ht="12.8" hidden="false" customHeight="false" outlineLevel="0" collapsed="false">
      <c r="B15784" s="0" t="s">
        <v>1</v>
      </c>
    </row>
    <row r="15785" customFormat="false" ht="12.8" hidden="false" customHeight="false" outlineLevel="0" collapsed="false">
      <c r="B15785" s="0" t="s">
        <v>98</v>
      </c>
    </row>
    <row r="15786" customFormat="false" ht="12.8" hidden="false" customHeight="false" outlineLevel="0" collapsed="false">
      <c r="B15786" s="0" t="s">
        <v>69</v>
      </c>
    </row>
    <row r="15788" customFormat="false" ht="12.8" hidden="false" customHeight="false" outlineLevel="0" collapsed="false">
      <c r="A15788" s="0" t="s">
        <v>6857</v>
      </c>
      <c r="B15788" s="0" t="str">
        <f aca="false">HYPERLINK("https://lindat.mff.cuni.cz/services/teitok/pdtc10/index.php?action=vallex&amp;frame=v-w1855f326_ZU", "mít (v-w1855f326_ZU)")</f>
        <v>mít (v-w1855f326_ZU)</v>
      </c>
    </row>
    <row r="15789" customFormat="false" ht="12.8" hidden="false" customHeight="false" outlineLevel="0" collapsed="false">
      <c r="B15789" s="0" t="s">
        <v>1</v>
      </c>
    </row>
    <row r="15790" customFormat="false" ht="12.8" hidden="false" customHeight="false" outlineLevel="0" collapsed="false">
      <c r="B15790" s="0" t="s">
        <v>6858</v>
      </c>
    </row>
    <row r="15791" customFormat="false" ht="12.8" hidden="false" customHeight="false" outlineLevel="0" collapsed="false">
      <c r="B15791" s="0" t="s">
        <v>318</v>
      </c>
    </row>
    <row r="15793" customFormat="false" ht="12.8" hidden="false" customHeight="false" outlineLevel="0" collapsed="false">
      <c r="A15793" s="0" t="s">
        <v>6859</v>
      </c>
      <c r="B15793" s="0" t="str">
        <f aca="false">HYPERLINK("https://lindat.mff.cuni.cz/services/teitok/pdtc10/index.php?action=vallex&amp;frame=v-w1855f332_ZU", "mít (v-w1855f332_ZU)")</f>
        <v>mít (v-w1855f332_ZU)</v>
      </c>
    </row>
    <row r="15794" customFormat="false" ht="12.8" hidden="false" customHeight="false" outlineLevel="0" collapsed="false">
      <c r="B15794" s="0" t="s">
        <v>1</v>
      </c>
    </row>
    <row r="15795" customFormat="false" ht="12.8" hidden="false" customHeight="false" outlineLevel="0" collapsed="false">
      <c r="B15795" s="0" t="s">
        <v>6860</v>
      </c>
    </row>
    <row r="15797" customFormat="false" ht="12.8" hidden="false" customHeight="false" outlineLevel="0" collapsed="false">
      <c r="A15797" s="0" t="s">
        <v>6861</v>
      </c>
      <c r="B15797" s="0" t="str">
        <f aca="false">HYPERLINK("https://lindat.mff.cuni.cz/services/teitok/pdtc10/index.php?action=vallex&amp;frame=v-w1855f333_ZU", "mít (v-w1855f333_ZU)")</f>
        <v>mít (v-w1855f333_ZU)</v>
      </c>
    </row>
    <row r="15798" customFormat="false" ht="12.8" hidden="false" customHeight="false" outlineLevel="0" collapsed="false">
      <c r="B15798" s="0" t="s">
        <v>1</v>
      </c>
    </row>
    <row r="15799" customFormat="false" ht="12.8" hidden="false" customHeight="false" outlineLevel="0" collapsed="false">
      <c r="B15799" s="0" t="s">
        <v>6862</v>
      </c>
    </row>
    <row r="15800" customFormat="false" ht="12.8" hidden="false" customHeight="false" outlineLevel="0" collapsed="false">
      <c r="B15800" s="0" t="s">
        <v>8</v>
      </c>
    </row>
    <row r="15802" customFormat="false" ht="12.8" hidden="false" customHeight="false" outlineLevel="0" collapsed="false">
      <c r="A15802" s="0" t="s">
        <v>6863</v>
      </c>
      <c r="B15802" s="0" t="str">
        <f aca="false">HYPERLINK("https://lindat.mff.cuni.cz/services/teitok/pdtc10/index.php?action=vallex&amp;frame=v-w1855f339_MM", "mít (v-w1855f339_MM)")</f>
        <v>mít (v-w1855f339_MM)</v>
      </c>
    </row>
    <row r="15803" customFormat="false" ht="12.8" hidden="false" customHeight="false" outlineLevel="0" collapsed="false">
      <c r="B15803" s="0" t="s">
        <v>1</v>
      </c>
    </row>
    <row r="15804" customFormat="false" ht="12.8" hidden="false" customHeight="false" outlineLevel="0" collapsed="false">
      <c r="B15804" s="0" t="s">
        <v>6864</v>
      </c>
    </row>
    <row r="15805" customFormat="false" ht="12.8" hidden="false" customHeight="false" outlineLevel="0" collapsed="false">
      <c r="B15805" s="0" t="s">
        <v>4320</v>
      </c>
    </row>
    <row r="15807" customFormat="false" ht="12.8" hidden="false" customHeight="false" outlineLevel="0" collapsed="false">
      <c r="A15807" s="0" t="s">
        <v>6865</v>
      </c>
      <c r="B15807" s="0" t="str">
        <f aca="false">HYPERLINK("https://lindat.mff.cuni.cz/services/teitok/pdtc10/index.php?action=vallex&amp;frame=v-w1855f348_MM", "mít (v-w1855f348_MM)")</f>
        <v>mít (v-w1855f348_MM)</v>
      </c>
    </row>
    <row r="15808" customFormat="false" ht="12.8" hidden="false" customHeight="false" outlineLevel="0" collapsed="false">
      <c r="B15808" s="0" t="s">
        <v>1</v>
      </c>
    </row>
    <row r="15809" customFormat="false" ht="12.8" hidden="false" customHeight="false" outlineLevel="0" collapsed="false">
      <c r="B15809" s="0" t="s">
        <v>6866</v>
      </c>
    </row>
    <row r="15810" customFormat="false" ht="12.8" hidden="false" customHeight="false" outlineLevel="0" collapsed="false">
      <c r="B15810" s="0" t="s">
        <v>3779</v>
      </c>
    </row>
    <row r="15812" customFormat="false" ht="12.8" hidden="false" customHeight="false" outlineLevel="0" collapsed="false">
      <c r="A15812" s="0" t="s">
        <v>6867</v>
      </c>
      <c r="B15812" s="0" t="str">
        <f aca="false">HYPERLINK("https://lindat.mff.cuni.cz/services/teitok/pdtc10/index.php?action=vallex&amp;frame=v-w1855hsa_964", "mít (v-w1855hsa_964)")</f>
        <v>mít (v-w1855hsa_964)</v>
      </c>
    </row>
    <row r="15813" customFormat="false" ht="12.8" hidden="false" customHeight="false" outlineLevel="0" collapsed="false">
      <c r="B15813" s="0" t="s">
        <v>1</v>
      </c>
    </row>
    <row r="15814" customFormat="false" ht="12.8" hidden="false" customHeight="false" outlineLevel="0" collapsed="false">
      <c r="B15814" s="0" t="s">
        <v>8</v>
      </c>
    </row>
    <row r="15816" customFormat="false" ht="12.8" hidden="false" customHeight="false" outlineLevel="0" collapsed="false">
      <c r="A15816" s="0" t="s">
        <v>6868</v>
      </c>
      <c r="B15816" s="0" t="str">
        <f aca="false">HYPERLINK("https://lindat.mff.cuni.cz/services/teitok/pdtc10/index.php?action=vallex&amp;frame=v-w1855hsa_965", "mít (v-w1855hsa_965)")</f>
        <v>mít (v-w1855hsa_965)</v>
      </c>
    </row>
    <row r="15817" customFormat="false" ht="12.8" hidden="false" customHeight="false" outlineLevel="0" collapsed="false">
      <c r="B15817" s="0" t="s">
        <v>1</v>
      </c>
    </row>
    <row r="15818" customFormat="false" ht="12.8" hidden="false" customHeight="false" outlineLevel="0" collapsed="false">
      <c r="B15818" s="0" t="s">
        <v>8</v>
      </c>
    </row>
    <row r="15819" customFormat="false" ht="12.8" hidden="false" customHeight="false" outlineLevel="0" collapsed="false">
      <c r="B15819" s="0" t="s">
        <v>839</v>
      </c>
    </row>
    <row r="15821" customFormat="false" ht="12.8" hidden="false" customHeight="false" outlineLevel="0" collapsed="false">
      <c r="A15821" s="0" t="s">
        <v>6869</v>
      </c>
      <c r="B15821" s="0" t="str">
        <f aca="false">HYPERLINK("https://lindat.mff.cuni.cz/services/teitok/pdtc10/index.php?action=vallex&amp;frame=v-w1855hsa_966", "mít (v-w1855hsa_966)")</f>
        <v>mít (v-w1855hsa_966)</v>
      </c>
    </row>
    <row r="15822" customFormat="false" ht="12.8" hidden="false" customHeight="false" outlineLevel="0" collapsed="false">
      <c r="B15822" s="0" t="s">
        <v>1</v>
      </c>
    </row>
    <row r="15823" customFormat="false" ht="12.8" hidden="false" customHeight="false" outlineLevel="0" collapsed="false">
      <c r="B15823" s="0" t="s">
        <v>8</v>
      </c>
    </row>
    <row r="15824" customFormat="false" ht="12.8" hidden="false" customHeight="false" outlineLevel="0" collapsed="false">
      <c r="B15824" s="0" t="s">
        <v>276</v>
      </c>
    </row>
    <row r="15826" customFormat="false" ht="12.8" hidden="false" customHeight="false" outlineLevel="0" collapsed="false">
      <c r="A15826" s="0" t="s">
        <v>6870</v>
      </c>
      <c r="B15826" s="0" t="str">
        <f aca="false">HYPERLINK("https://lindat.mff.cuni.cz/services/teitok/pdtc10/index.php?action=vallex&amp;frame=v-w1855hsa_967", "mít (v-w1855hsa_967)")</f>
        <v>mít (v-w1855hsa_967)</v>
      </c>
    </row>
    <row r="15827" customFormat="false" ht="12.8" hidden="false" customHeight="false" outlineLevel="0" collapsed="false">
      <c r="B15827" s="0" t="s">
        <v>1</v>
      </c>
    </row>
    <row r="15828" customFormat="false" ht="12.8" hidden="false" customHeight="false" outlineLevel="0" collapsed="false">
      <c r="B15828" s="0" t="s">
        <v>852</v>
      </c>
    </row>
    <row r="15830" customFormat="false" ht="12.8" hidden="false" customHeight="false" outlineLevel="0" collapsed="false">
      <c r="A15830" s="0" t="s">
        <v>6871</v>
      </c>
      <c r="B15830" s="0" t="str">
        <f aca="false">HYPERLINK("https://lindat.mff.cuni.cz/services/teitok/pdtc10/index.php?action=vallex&amp;frame=v-w1855hsa_972", "mít (v-w1855hsa_972)")</f>
        <v>mít (v-w1855hsa_972)</v>
      </c>
    </row>
    <row r="15831" customFormat="false" ht="12.8" hidden="false" customHeight="false" outlineLevel="0" collapsed="false">
      <c r="B15831" s="0" t="s">
        <v>1</v>
      </c>
    </row>
    <row r="15832" customFormat="false" ht="12.8" hidden="false" customHeight="false" outlineLevel="0" collapsed="false">
      <c r="B15832" s="0" t="s">
        <v>6872</v>
      </c>
    </row>
    <row r="15834" customFormat="false" ht="12.8" hidden="false" customHeight="false" outlineLevel="0" collapsed="false">
      <c r="A15834" s="0" t="s">
        <v>6873</v>
      </c>
      <c r="B15834" s="0" t="str">
        <f aca="false">HYPERLINK("https://lindat.mff.cuni.cz/services/teitok/pdtc10/index.php?action=vallex&amp;frame=v-w1856f2", "mít se (v-w1856f2)")</f>
        <v>mít se (v-w1856f2)</v>
      </c>
    </row>
    <row r="15835" customFormat="false" ht="12.8" hidden="false" customHeight="false" outlineLevel="0" collapsed="false">
      <c r="B15835" s="0" t="s">
        <v>1</v>
      </c>
    </row>
    <row r="15836" customFormat="false" ht="12.8" hidden="false" customHeight="false" outlineLevel="0" collapsed="false">
      <c r="B15836" s="0" t="s">
        <v>311</v>
      </c>
    </row>
    <row r="15838" customFormat="false" ht="12.8" hidden="false" customHeight="false" outlineLevel="0" collapsed="false">
      <c r="A15838" s="0" t="s">
        <v>6874</v>
      </c>
      <c r="B15838" s="0" t="str">
        <f aca="false">HYPERLINK("https://lindat.mff.cuni.cz/services/teitok/pdtc10/index.php?action=vallex&amp;frame=v-w1856f1", "mít se (v-w1856f1)")</f>
        <v>mít se (v-w1856f1)</v>
      </c>
      <c r="E15838" s="0" t="str">
        <f aca="false">HYPERLINK("https://lindat.mff.cuni.cz/services/SynSemClass40/SynSemClass40.html?veclass=vec00153#vec00153-ces-cm00013", "vec00153")</f>
        <v>vec00153</v>
      </c>
      <c r="F15838" s="0" t="s">
        <v>925</v>
      </c>
    </row>
    <row r="15839" customFormat="false" ht="12.8" hidden="false" customHeight="false" outlineLevel="0" collapsed="false">
      <c r="B15839" s="0" t="s">
        <v>1</v>
      </c>
      <c r="C15839" s="0" t="s">
        <v>926</v>
      </c>
      <c r="E15839" s="0" t="s">
        <v>11</v>
      </c>
      <c r="F15839" s="0" t="s">
        <v>927</v>
      </c>
    </row>
    <row r="15841" customFormat="false" ht="12.8" hidden="false" customHeight="false" outlineLevel="0" collapsed="false">
      <c r="A15841" s="0" t="s">
        <v>6875</v>
      </c>
      <c r="B15841" s="0" t="str">
        <f aca="false">HYPERLINK("https://lindat.mff.cuni.cz/services/teitok/pdtc10/index.php?action=vallex&amp;frame=v-w1856f4_ZU", "mít se (v-w1856f4_ZU)")</f>
        <v>mít se (v-w1856f4_ZU)</v>
      </c>
      <c r="E15841" s="0" t="str">
        <f aca="false">HYPERLINK("https://lindat.mff.cuni.cz/services/SynSemClass40/SynSemClass40.html?veclass=vec01207#vec01207-ces-cm00007", "vec01207")</f>
        <v>vec01207</v>
      </c>
      <c r="F15841" s="0" t="s">
        <v>3541</v>
      </c>
    </row>
    <row r="15842" customFormat="false" ht="12.8" hidden="false" customHeight="false" outlineLevel="0" collapsed="false">
      <c r="B15842" s="0" t="s">
        <v>1</v>
      </c>
      <c r="C15842" s="0" t="s">
        <v>239</v>
      </c>
      <c r="E15842" s="0" t="s">
        <v>621</v>
      </c>
      <c r="F15842" s="0" t="s">
        <v>3542</v>
      </c>
    </row>
    <row r="15843" customFormat="false" ht="12.8" hidden="false" customHeight="false" outlineLevel="0" collapsed="false">
      <c r="B15843" s="0" t="s">
        <v>6876</v>
      </c>
    </row>
    <row r="15844" customFormat="false" ht="12.8" hidden="false" customHeight="false" outlineLevel="0" collapsed="false">
      <c r="B15844" s="0" t="s">
        <v>6877</v>
      </c>
      <c r="C15844" s="0" t="s">
        <v>3545</v>
      </c>
      <c r="E15844" s="0" t="s">
        <v>532</v>
      </c>
      <c r="F15844" s="0" t="s">
        <v>3546</v>
      </c>
    </row>
    <row r="15846" customFormat="false" ht="12.8" hidden="false" customHeight="false" outlineLevel="0" collapsed="false">
      <c r="A15846" s="0" t="s">
        <v>6878</v>
      </c>
      <c r="B15846" s="0" t="str">
        <f aca="false">HYPERLINK("https://lindat.mff.cuni.cz/services/teitok/pdtc10/index.php?action=vallex&amp;frame=v-w1856f3", "mít se (v-w1856f3)")</f>
        <v>mít se (v-w1856f3)</v>
      </c>
    </row>
    <row r="15847" customFormat="false" ht="12.8" hidden="false" customHeight="false" outlineLevel="0" collapsed="false">
      <c r="B15847" s="0" t="s">
        <v>1</v>
      </c>
    </row>
    <row r="15848" customFormat="false" ht="12.8" hidden="false" customHeight="false" outlineLevel="0" collapsed="false">
      <c r="B15848" s="0" t="s">
        <v>6879</v>
      </c>
    </row>
    <row r="15850" customFormat="false" ht="12.8" hidden="false" customHeight="false" outlineLevel="0" collapsed="false">
      <c r="A15850" s="0" t="s">
        <v>6880</v>
      </c>
      <c r="B15850" s="0" t="str">
        <f aca="false">HYPERLINK("https://lindat.mff.cuni.cz/services/teitok/pdtc10/index.php?action=vallex&amp;frame=v-w1856f5_ZU", "mít se (v-w1856f5_ZU)")</f>
        <v>mít se (v-w1856f5_ZU)</v>
      </c>
    </row>
    <row r="15851" customFormat="false" ht="12.8" hidden="false" customHeight="false" outlineLevel="0" collapsed="false">
      <c r="B15851" s="0" t="s">
        <v>6881</v>
      </c>
    </row>
    <row r="15852" customFormat="false" ht="12.8" hidden="false" customHeight="false" outlineLevel="0" collapsed="false">
      <c r="B15852" s="0" t="s">
        <v>1427</v>
      </c>
    </row>
    <row r="15854" customFormat="false" ht="12.8" hidden="false" customHeight="false" outlineLevel="0" collapsed="false">
      <c r="A15854" s="0" t="s">
        <v>6882</v>
      </c>
      <c r="B15854" s="0" t="str">
        <f aca="false">HYPERLINK("https://lindat.mff.cuni.cz/services/teitok/pdtc10/index.php?action=vallex&amp;frame=v-w1856hsa_792", "mít se (v-w1856hsa_792)")</f>
        <v>mít se (v-w1856hsa_792)</v>
      </c>
    </row>
    <row r="15855" customFormat="false" ht="12.8" hidden="false" customHeight="false" outlineLevel="0" collapsed="false">
      <c r="B15855" s="0" t="s">
        <v>1</v>
      </c>
    </row>
    <row r="15856" customFormat="false" ht="12.8" hidden="false" customHeight="false" outlineLevel="0" collapsed="false">
      <c r="B15856" s="0" t="s">
        <v>721</v>
      </c>
    </row>
    <row r="15858" customFormat="false" ht="12.8" hidden="false" customHeight="false" outlineLevel="0" collapsed="false">
      <c r="A15858" s="0" t="s">
        <v>6883</v>
      </c>
      <c r="B15858" s="0" t="str">
        <f aca="false">HYPERLINK("https://lindat.mff.cuni.cz/services/teitok/pdtc10/index.php?action=vallex&amp;frame=v-w1856hsa_793", "mít se (v-w1856hsa_793)")</f>
        <v>mít se (v-w1856hsa_793)</v>
      </c>
    </row>
    <row r="15859" customFormat="false" ht="12.8" hidden="false" customHeight="false" outlineLevel="0" collapsed="false">
      <c r="B15859" s="0" t="s">
        <v>1</v>
      </c>
    </row>
    <row r="15860" customFormat="false" ht="12.8" hidden="false" customHeight="false" outlineLevel="0" collapsed="false">
      <c r="B15860" s="0" t="s">
        <v>6884</v>
      </c>
    </row>
    <row r="15861" customFormat="false" ht="12.8" hidden="false" customHeight="false" outlineLevel="0" collapsed="false">
      <c r="B15861" s="0" t="s">
        <v>721</v>
      </c>
    </row>
    <row r="15863" customFormat="false" ht="12.8" hidden="false" customHeight="false" outlineLevel="0" collapsed="false">
      <c r="A15863" s="0" t="s">
        <v>6885</v>
      </c>
      <c r="B15863" s="0" t="str">
        <f aca="false">HYPERLINK("https://lindat.mff.cuni.cz/services/teitok/pdtc10/index.php?action=vallex&amp;frame=v-w1857f2", "mívat (v-w1857f2)")</f>
        <v>mívat (v-w1857f2)</v>
      </c>
    </row>
    <row r="15864" customFormat="false" ht="12.8" hidden="false" customHeight="false" outlineLevel="0" collapsed="false">
      <c r="B15864" s="0" t="s">
        <v>1</v>
      </c>
    </row>
    <row r="15865" customFormat="false" ht="12.8" hidden="false" customHeight="false" outlineLevel="0" collapsed="false">
      <c r="B15865" s="0" t="s">
        <v>8</v>
      </c>
    </row>
    <row r="15867" customFormat="false" ht="12.8" hidden="false" customHeight="false" outlineLevel="0" collapsed="false">
      <c r="A15867" s="0" t="s">
        <v>6886</v>
      </c>
      <c r="B15867" s="0" t="str">
        <f aca="false">HYPERLINK("https://lindat.mff.cuni.cz/services/teitok/pdtc10/index.php?action=vallex&amp;frame=v-w1857f24_ZU", "mívat (v-w1857f24_ZU)")</f>
        <v>mívat (v-w1857f24_ZU)</v>
      </c>
    </row>
    <row r="15868" customFormat="false" ht="12.8" hidden="false" customHeight="false" outlineLevel="0" collapsed="false">
      <c r="B15868" s="0" t="s">
        <v>1</v>
      </c>
    </row>
    <row r="15869" customFormat="false" ht="12.8" hidden="false" customHeight="false" outlineLevel="0" collapsed="false">
      <c r="B15869" s="0" t="s">
        <v>8</v>
      </c>
    </row>
    <row r="15871" customFormat="false" ht="12.8" hidden="false" customHeight="false" outlineLevel="0" collapsed="false">
      <c r="A15871" s="0" t="s">
        <v>6886</v>
      </c>
      <c r="B15871" s="0" t="str">
        <f aca="false">HYPERLINK("https://lindat.mff.cuni.cz/services/teitok/pdtc10/index.php?action=vallex&amp;frame=v-w1857f3", "mívat (v-w1857f3) - substituted with v-w1857f24_ZU")</f>
        <v>mívat (v-w1857f3) - substituted with v-w1857f24_ZU</v>
      </c>
    </row>
    <row r="15872" customFormat="false" ht="12.8" hidden="false" customHeight="false" outlineLevel="0" collapsed="false">
      <c r="B15872" s="0" t="s">
        <v>1</v>
      </c>
    </row>
    <row r="15873" customFormat="false" ht="12.8" hidden="false" customHeight="false" outlineLevel="0" collapsed="false">
      <c r="B15873" s="0" t="s">
        <v>8</v>
      </c>
    </row>
    <row r="15875" customFormat="false" ht="12.8" hidden="false" customHeight="false" outlineLevel="0" collapsed="false">
      <c r="A15875" s="0" t="s">
        <v>6887</v>
      </c>
      <c r="B15875" s="0" t="str">
        <f aca="false">HYPERLINK("https://lindat.mff.cuni.cz/services/teitok/pdtc10/index.php?action=vallex&amp;frame=v-w1857f9", "mívat (v-w1857f9)")</f>
        <v>mívat (v-w1857f9)</v>
      </c>
    </row>
    <row r="15876" customFormat="false" ht="12.8" hidden="false" customHeight="false" outlineLevel="0" collapsed="false">
      <c r="B15876" s="0" t="s">
        <v>6527</v>
      </c>
    </row>
    <row r="15877" customFormat="false" ht="12.8" hidden="false" customHeight="false" outlineLevel="0" collapsed="false">
      <c r="B15877" s="0" t="s">
        <v>6528</v>
      </c>
    </row>
    <row r="15879" customFormat="false" ht="12.8" hidden="false" customHeight="false" outlineLevel="0" collapsed="false">
      <c r="A15879" s="0" t="s">
        <v>6888</v>
      </c>
      <c r="B15879" s="0" t="str">
        <f aca="false">HYPERLINK("https://lindat.mff.cuni.cz/services/teitok/pdtc10/index.php?action=vallex&amp;frame=v-w1857f19_ZU", "mívat (v-w1857f19_ZU)")</f>
        <v>mívat (v-w1857f19_ZU)</v>
      </c>
    </row>
    <row r="15880" customFormat="false" ht="12.8" hidden="false" customHeight="false" outlineLevel="0" collapsed="false">
      <c r="B15880" s="0" t="s">
        <v>1</v>
      </c>
    </row>
    <row r="15881" customFormat="false" ht="12.8" hidden="false" customHeight="false" outlineLevel="0" collapsed="false">
      <c r="B15881" s="0" t="s">
        <v>6889</v>
      </c>
    </row>
    <row r="15883" customFormat="false" ht="12.8" hidden="false" customHeight="false" outlineLevel="0" collapsed="false">
      <c r="A15883" s="0" t="s">
        <v>6888</v>
      </c>
      <c r="B15883" s="0" t="str">
        <f aca="false">HYPERLINK("https://lindat.mff.cuni.cz/services/teitok/pdtc10/index.php?action=vallex&amp;frame=v-w1857f8", "mívat (v-w1857f8) - substituted with v-w1857f19_ZU")</f>
        <v>mívat (v-w1857f8) - substituted with v-w1857f19_ZU</v>
      </c>
    </row>
    <row r="15884" customFormat="false" ht="12.8" hidden="false" customHeight="false" outlineLevel="0" collapsed="false">
      <c r="B15884" s="0" t="s">
        <v>1</v>
      </c>
    </row>
    <row r="15885" customFormat="false" ht="12.8" hidden="false" customHeight="false" outlineLevel="0" collapsed="false">
      <c r="B15885" s="0" t="s">
        <v>6889</v>
      </c>
    </row>
    <row r="15887" customFormat="false" ht="12.8" hidden="false" customHeight="false" outlineLevel="0" collapsed="false">
      <c r="A15887" s="0" t="s">
        <v>6888</v>
      </c>
      <c r="B15887" s="0" t="str">
        <f aca="false">HYPERLINK("https://lindat.mff.cuni.cz/services/teitok/pdtc10/index.php?action=vallex&amp;frame=v-w1857hsa_498", "mívat (v-w1857hsa_498) - substituted with v-w1857f19_ZU")</f>
        <v>mívat (v-w1857hsa_498) - substituted with v-w1857f19_ZU</v>
      </c>
    </row>
    <row r="15888" customFormat="false" ht="12.8" hidden="false" customHeight="false" outlineLevel="0" collapsed="false">
      <c r="B15888" s="0" t="s">
        <v>1</v>
      </c>
    </row>
    <row r="15889" customFormat="false" ht="12.8" hidden="false" customHeight="false" outlineLevel="0" collapsed="false">
      <c r="B15889" s="0" t="s">
        <v>6889</v>
      </c>
    </row>
    <row r="15891" customFormat="false" ht="12.8" hidden="false" customHeight="false" outlineLevel="0" collapsed="false">
      <c r="A15891" s="0" t="s">
        <v>6890</v>
      </c>
      <c r="B15891" s="0" t="str">
        <f aca="false">HYPERLINK("https://lindat.mff.cuni.cz/services/teitok/pdtc10/index.php?action=vallex&amp;frame=v-w1857f6", "mívat (v-w1857f6)")</f>
        <v>mívat (v-w1857f6)</v>
      </c>
    </row>
    <row r="15892" customFormat="false" ht="12.8" hidden="false" customHeight="false" outlineLevel="0" collapsed="false">
      <c r="B15892" s="0" t="s">
        <v>1</v>
      </c>
    </row>
    <row r="15893" customFormat="false" ht="12.8" hidden="false" customHeight="false" outlineLevel="0" collapsed="false">
      <c r="B15893" s="0" t="s">
        <v>6891</v>
      </c>
    </row>
    <row r="15895" customFormat="false" ht="12.8" hidden="false" customHeight="false" outlineLevel="0" collapsed="false">
      <c r="A15895" s="0" t="s">
        <v>6892</v>
      </c>
      <c r="B15895" s="0" t="str">
        <f aca="false">HYPERLINK("https://lindat.mff.cuni.cz/services/teitok/pdtc10/index.php?action=vallex&amp;frame=v-w1857f15", "mívat (v-w1857f15)")</f>
        <v>mívat (v-w1857f15)</v>
      </c>
    </row>
    <row r="15896" customFormat="false" ht="12.8" hidden="false" customHeight="false" outlineLevel="0" collapsed="false">
      <c r="B15896" s="0" t="s">
        <v>1</v>
      </c>
    </row>
    <row r="15897" customFormat="false" ht="12.8" hidden="false" customHeight="false" outlineLevel="0" collapsed="false">
      <c r="B15897" s="0" t="s">
        <v>6893</v>
      </c>
    </row>
    <row r="15899" customFormat="false" ht="12.8" hidden="false" customHeight="false" outlineLevel="0" collapsed="false">
      <c r="A15899" s="0" t="s">
        <v>6894</v>
      </c>
      <c r="B15899" s="0" t="str">
        <f aca="false">HYPERLINK("https://lindat.mff.cuni.cz/services/teitok/pdtc10/index.php?action=vallex&amp;frame=v-w1857f13", "mívat (v-w1857f13)")</f>
        <v>mívat (v-w1857f13)</v>
      </c>
    </row>
    <row r="15900" customFormat="false" ht="12.8" hidden="false" customHeight="false" outlineLevel="0" collapsed="false">
      <c r="B15900" s="0" t="s">
        <v>1</v>
      </c>
    </row>
    <row r="15901" customFormat="false" ht="12.8" hidden="false" customHeight="false" outlineLevel="0" collapsed="false">
      <c r="B15901" s="0" t="s">
        <v>6895</v>
      </c>
    </row>
    <row r="15903" customFormat="false" ht="12.8" hidden="false" customHeight="false" outlineLevel="0" collapsed="false">
      <c r="A15903" s="0" t="s">
        <v>6896</v>
      </c>
      <c r="B15903" s="0" t="str">
        <f aca="false">HYPERLINK("https://lindat.mff.cuni.cz/services/teitok/pdtc10/index.php?action=vallex&amp;frame=v-w1857f7", "mívat (v-w1857f7)")</f>
        <v>mívat (v-w1857f7)</v>
      </c>
    </row>
    <row r="15904" customFormat="false" ht="12.8" hidden="false" customHeight="false" outlineLevel="0" collapsed="false">
      <c r="B15904" s="0" t="s">
        <v>1</v>
      </c>
    </row>
    <row r="15905" customFormat="false" ht="12.8" hidden="false" customHeight="false" outlineLevel="0" collapsed="false">
      <c r="B15905" s="0" t="s">
        <v>6897</v>
      </c>
    </row>
    <row r="15907" customFormat="false" ht="12.8" hidden="false" customHeight="false" outlineLevel="0" collapsed="false">
      <c r="A15907" s="0" t="s">
        <v>6898</v>
      </c>
      <c r="B15907" s="0" t="str">
        <f aca="false">HYPERLINK("https://lindat.mff.cuni.cz/services/teitok/pdtc10/index.php?action=vallex&amp;frame=v-w1857f11", "mívat (v-w1857f11)")</f>
        <v>mívat (v-w1857f11)</v>
      </c>
    </row>
    <row r="15908" customFormat="false" ht="12.8" hidden="false" customHeight="false" outlineLevel="0" collapsed="false">
      <c r="B15908" s="0" t="s">
        <v>1</v>
      </c>
    </row>
    <row r="15909" customFormat="false" ht="12.8" hidden="false" customHeight="false" outlineLevel="0" collapsed="false">
      <c r="B15909" s="0" t="s">
        <v>6899</v>
      </c>
    </row>
    <row r="15911" customFormat="false" ht="12.8" hidden="false" customHeight="false" outlineLevel="0" collapsed="false">
      <c r="A15911" s="0" t="s">
        <v>6900</v>
      </c>
      <c r="B15911" s="0" t="str">
        <f aca="false">HYPERLINK("https://lindat.mff.cuni.cz/services/teitok/pdtc10/index.php?action=vallex&amp;frame=v-w1857f1", "mívat (v-w1857f1)")</f>
        <v>mívat (v-w1857f1)</v>
      </c>
    </row>
    <row r="15912" customFormat="false" ht="12.8" hidden="false" customHeight="false" outlineLevel="0" collapsed="false">
      <c r="B15912" s="0" t="s">
        <v>1</v>
      </c>
    </row>
    <row r="15913" customFormat="false" ht="12.8" hidden="false" customHeight="false" outlineLevel="0" collapsed="false">
      <c r="B15913" s="0" t="s">
        <v>6901</v>
      </c>
    </row>
    <row r="15915" customFormat="false" ht="12.8" hidden="false" customHeight="false" outlineLevel="0" collapsed="false">
      <c r="A15915" s="0" t="s">
        <v>6902</v>
      </c>
      <c r="B15915" s="0" t="str">
        <f aca="false">HYPERLINK("https://lindat.mff.cuni.cz/services/teitok/pdtc10/index.php?action=vallex&amp;frame=v-w1857f4", "mívat (v-w1857f4)")</f>
        <v>mívat (v-w1857f4)</v>
      </c>
    </row>
    <row r="15916" customFormat="false" ht="12.8" hidden="false" customHeight="false" outlineLevel="0" collapsed="false">
      <c r="B15916" s="0" t="s">
        <v>1</v>
      </c>
    </row>
    <row r="15917" customFormat="false" ht="12.8" hidden="false" customHeight="false" outlineLevel="0" collapsed="false">
      <c r="B15917" s="0" t="s">
        <v>6903</v>
      </c>
    </row>
    <row r="15919" customFormat="false" ht="12.8" hidden="false" customHeight="false" outlineLevel="0" collapsed="false">
      <c r="A15919" s="0" t="s">
        <v>6904</v>
      </c>
      <c r="B15919" s="0" t="str">
        <f aca="false">HYPERLINK("https://lindat.mff.cuni.cz/services/teitok/pdtc10/index.php?action=vallex&amp;frame=v-w1857f12", "mívat (v-w1857f12)")</f>
        <v>mívat (v-w1857f12)</v>
      </c>
    </row>
    <row r="15920" customFormat="false" ht="12.8" hidden="false" customHeight="false" outlineLevel="0" collapsed="false">
      <c r="B15920" s="0" t="s">
        <v>1</v>
      </c>
    </row>
    <row r="15921" customFormat="false" ht="12.8" hidden="false" customHeight="false" outlineLevel="0" collapsed="false">
      <c r="B15921" s="0" t="s">
        <v>6905</v>
      </c>
    </row>
    <row r="15923" customFormat="false" ht="12.8" hidden="false" customHeight="false" outlineLevel="0" collapsed="false">
      <c r="A15923" s="0" t="s">
        <v>6906</v>
      </c>
      <c r="B15923" s="0" t="str">
        <f aca="false">HYPERLINK("https://lindat.mff.cuni.cz/services/teitok/pdtc10/index.php?action=vallex&amp;frame=v-w1857f5", "mívat (v-w1857f5)")</f>
        <v>mívat (v-w1857f5)</v>
      </c>
    </row>
    <row r="15924" customFormat="false" ht="12.8" hidden="false" customHeight="false" outlineLevel="0" collapsed="false">
      <c r="B15924" s="0" t="s">
        <v>1</v>
      </c>
    </row>
    <row r="15925" customFormat="false" ht="12.8" hidden="false" customHeight="false" outlineLevel="0" collapsed="false">
      <c r="B15925" s="0" t="s">
        <v>6907</v>
      </c>
    </row>
    <row r="15927" customFormat="false" ht="12.8" hidden="false" customHeight="false" outlineLevel="0" collapsed="false">
      <c r="A15927" s="0" t="s">
        <v>6908</v>
      </c>
      <c r="B15927" s="0" t="str">
        <f aca="false">HYPERLINK("https://lindat.mff.cuni.cz/services/teitok/pdtc10/index.php?action=vallex&amp;frame=v-w1857f10", "mívat (v-w1857f10)")</f>
        <v>mívat (v-w1857f10)</v>
      </c>
    </row>
    <row r="15928" customFormat="false" ht="12.8" hidden="false" customHeight="false" outlineLevel="0" collapsed="false">
      <c r="B15928" s="0" t="s">
        <v>1</v>
      </c>
    </row>
    <row r="15929" customFormat="false" ht="12.8" hidden="false" customHeight="false" outlineLevel="0" collapsed="false">
      <c r="B15929" s="0" t="s">
        <v>6909</v>
      </c>
    </row>
    <row r="15931" customFormat="false" ht="12.8" hidden="false" customHeight="false" outlineLevel="0" collapsed="false">
      <c r="A15931" s="0" t="s">
        <v>6910</v>
      </c>
      <c r="B15931" s="0" t="str">
        <f aca="false">HYPERLINK("https://lindat.mff.cuni.cz/services/teitok/pdtc10/index.php?action=vallex&amp;frame=v-w1857f14", "mívat (v-w1857f14)")</f>
        <v>mívat (v-w1857f14)</v>
      </c>
    </row>
    <row r="15932" customFormat="false" ht="12.8" hidden="false" customHeight="false" outlineLevel="0" collapsed="false">
      <c r="B15932" s="0" t="s">
        <v>1</v>
      </c>
    </row>
    <row r="15933" customFormat="false" ht="12.8" hidden="false" customHeight="false" outlineLevel="0" collapsed="false">
      <c r="B15933" s="0" t="s">
        <v>6911</v>
      </c>
    </row>
    <row r="15935" customFormat="false" ht="12.8" hidden="false" customHeight="false" outlineLevel="0" collapsed="false">
      <c r="A15935" s="0" t="s">
        <v>6912</v>
      </c>
      <c r="B15935" s="0" t="str">
        <f aca="false">HYPERLINK("https://lindat.mff.cuni.cz/services/teitok/pdtc10/index.php?action=vallex&amp;frame=v-w1857f16", "mívat (v-w1857f16)")</f>
        <v>mívat (v-w1857f16)</v>
      </c>
    </row>
    <row r="15936" customFormat="false" ht="12.8" hidden="false" customHeight="false" outlineLevel="0" collapsed="false">
      <c r="B15936" s="0" t="s">
        <v>1</v>
      </c>
    </row>
    <row r="15937" customFormat="false" ht="12.8" hidden="false" customHeight="false" outlineLevel="0" collapsed="false">
      <c r="B15937" s="0" t="s">
        <v>960</v>
      </c>
    </row>
    <row r="15938" customFormat="false" ht="12.8" hidden="false" customHeight="false" outlineLevel="0" collapsed="false">
      <c r="B15938" s="0" t="s">
        <v>8</v>
      </c>
    </row>
    <row r="15940" customFormat="false" ht="12.8" hidden="false" customHeight="false" outlineLevel="0" collapsed="false">
      <c r="A15940" s="0" t="s">
        <v>6913</v>
      </c>
      <c r="B15940" s="0" t="str">
        <f aca="false">HYPERLINK("https://lindat.mff.cuni.cz/services/teitok/pdtc10/index.php?action=vallex&amp;frame=v-w1857f17", "mívat (v-w1857f17)")</f>
        <v>mívat (v-w1857f17)</v>
      </c>
      <c r="E15940" s="0" t="str">
        <f aca="false">HYPERLINK("https://lindat.mff.cuni.cz/services/SynSemClass40/SynSemClass40.html?veclass=vec00432#vec00432-ces-cm00011", "vec00432")</f>
        <v>vec00432</v>
      </c>
      <c r="F15940" s="0" t="s">
        <v>6251</v>
      </c>
    </row>
    <row r="15941" customFormat="false" ht="12.8" hidden="false" customHeight="false" outlineLevel="0" collapsed="false">
      <c r="B15941" s="0" t="s">
        <v>1</v>
      </c>
      <c r="C15941" s="0" t="s">
        <v>6252</v>
      </c>
      <c r="E15941" s="0" t="s">
        <v>155</v>
      </c>
      <c r="F15941" s="0" t="s">
        <v>6253</v>
      </c>
    </row>
    <row r="15942" customFormat="false" ht="12.8" hidden="false" customHeight="false" outlineLevel="0" collapsed="false">
      <c r="B15942" s="0" t="s">
        <v>6884</v>
      </c>
    </row>
    <row r="15943" customFormat="false" ht="12.8" hidden="false" customHeight="false" outlineLevel="0" collapsed="false">
      <c r="B15943" s="0" t="s">
        <v>6914</v>
      </c>
      <c r="C15943" s="0" t="s">
        <v>5583</v>
      </c>
      <c r="E15943" s="0" t="s">
        <v>142</v>
      </c>
      <c r="F15943" s="0" t="s">
        <v>6254</v>
      </c>
    </row>
    <row r="15945" customFormat="false" ht="12.8" hidden="false" customHeight="false" outlineLevel="0" collapsed="false">
      <c r="A15945" s="0" t="s">
        <v>6915</v>
      </c>
      <c r="B15945" s="0" t="str">
        <f aca="false">HYPERLINK("https://lindat.mff.cuni.cz/services/teitok/pdtc10/index.php?action=vallex&amp;frame=v-w1857f18", "mívat (v-w1857f18)")</f>
        <v>mívat (v-w1857f18)</v>
      </c>
      <c r="E15945" s="0" t="str">
        <f aca="false">HYPERLINK("https://lindat.mff.cuni.cz/services/SynSemClass40/SynSemClass40.html?veclass=vec00196#vec00196-ces-cm00334", "vec00196")</f>
        <v>vec00196</v>
      </c>
      <c r="F15945" s="0" t="s">
        <v>749</v>
      </c>
    </row>
    <row r="15946" customFormat="false" ht="12.8" hidden="false" customHeight="false" outlineLevel="0" collapsed="false">
      <c r="B15946" s="0" t="s">
        <v>1</v>
      </c>
      <c r="C15946" s="0" t="s">
        <v>750</v>
      </c>
      <c r="E15946" s="0" t="s">
        <v>76</v>
      </c>
      <c r="F15946" s="0" t="s">
        <v>751</v>
      </c>
    </row>
    <row r="15947" customFormat="false" ht="12.8" hidden="false" customHeight="false" outlineLevel="0" collapsed="false">
      <c r="B15947" s="0" t="s">
        <v>6690</v>
      </c>
    </row>
    <row r="15948" customFormat="false" ht="12.8" hidden="false" customHeight="false" outlineLevel="0" collapsed="false">
      <c r="B15948" s="0" t="s">
        <v>59</v>
      </c>
      <c r="C15948" s="0" t="s">
        <v>6686</v>
      </c>
      <c r="E15948" s="0" t="s">
        <v>6358</v>
      </c>
      <c r="F15948" s="0" t="s">
        <v>6645</v>
      </c>
    </row>
    <row r="15950" customFormat="false" ht="12.8" hidden="false" customHeight="false" outlineLevel="0" collapsed="false">
      <c r="A15950" s="0" t="s">
        <v>6916</v>
      </c>
      <c r="B15950" s="0" t="str">
        <f aca="false">HYPERLINK("https://lindat.mff.cuni.cz/services/teitok/pdtc10/index.php?action=vallex&amp;frame=v-w1857f20_ZU", "mívat (v-w1857f20_ZU)")</f>
        <v>mívat (v-w1857f20_ZU)</v>
      </c>
    </row>
    <row r="15951" customFormat="false" ht="12.8" hidden="false" customHeight="false" outlineLevel="0" collapsed="false">
      <c r="B15951" s="0" t="s">
        <v>1</v>
      </c>
    </row>
    <row r="15952" customFormat="false" ht="12.8" hidden="false" customHeight="false" outlineLevel="0" collapsed="false">
      <c r="B15952" s="0" t="s">
        <v>8</v>
      </c>
    </row>
    <row r="15954" customFormat="false" ht="12.8" hidden="false" customHeight="false" outlineLevel="0" collapsed="false">
      <c r="A15954" s="0" t="s">
        <v>6917</v>
      </c>
      <c r="B15954" s="0" t="str">
        <f aca="false">HYPERLINK("https://lindat.mff.cuni.cz/services/teitok/pdtc10/index.php?action=vallex&amp;frame=v-w1857f22_ZU", "mívat (v-w1857f22_ZU)")</f>
        <v>mívat (v-w1857f22_ZU)</v>
      </c>
    </row>
    <row r="15955" customFormat="false" ht="12.8" hidden="false" customHeight="false" outlineLevel="0" collapsed="false">
      <c r="B15955" s="0" t="s">
        <v>6609</v>
      </c>
    </row>
    <row r="15956" customFormat="false" ht="12.8" hidden="false" customHeight="false" outlineLevel="0" collapsed="false">
      <c r="B15956" s="0" t="s">
        <v>6609</v>
      </c>
    </row>
    <row r="15957" customFormat="false" ht="12.8" hidden="false" customHeight="false" outlineLevel="0" collapsed="false">
      <c r="B15957" s="0" t="s">
        <v>8</v>
      </c>
    </row>
    <row r="15958" customFormat="false" ht="12.8" hidden="false" customHeight="false" outlineLevel="0" collapsed="false">
      <c r="B15958" s="0" t="s">
        <v>6918</v>
      </c>
    </row>
    <row r="15960" customFormat="false" ht="12.8" hidden="false" customHeight="false" outlineLevel="0" collapsed="false">
      <c r="A15960" s="0" t="s">
        <v>6917</v>
      </c>
      <c r="B15960" s="0" t="str">
        <f aca="false">HYPERLINK("https://lindat.mff.cuni.cz/services/teitok/pdtc10/index.php?action=vallex&amp;frame=v-w1857f21_ZU", "mívat (v-w1857f21_ZU) - substituted with v-w1857f22_ZU")</f>
        <v>mívat (v-w1857f21_ZU) - substituted with v-w1857f22_ZU</v>
      </c>
    </row>
    <row r="15961" customFormat="false" ht="12.8" hidden="false" customHeight="false" outlineLevel="0" collapsed="false">
      <c r="B15961" s="0" t="s">
        <v>6609</v>
      </c>
    </row>
    <row r="15962" customFormat="false" ht="12.8" hidden="false" customHeight="false" outlineLevel="0" collapsed="false">
      <c r="B15962" s="0" t="s">
        <v>6609</v>
      </c>
    </row>
    <row r="15963" customFormat="false" ht="12.8" hidden="false" customHeight="false" outlineLevel="0" collapsed="false">
      <c r="B15963" s="0" t="s">
        <v>8</v>
      </c>
    </row>
    <row r="15964" customFormat="false" ht="12.8" hidden="false" customHeight="false" outlineLevel="0" collapsed="false">
      <c r="B15964" s="0" t="s">
        <v>6918</v>
      </c>
    </row>
    <row r="15966" customFormat="false" ht="12.8" hidden="false" customHeight="false" outlineLevel="0" collapsed="false">
      <c r="A15966" s="0" t="s">
        <v>6919</v>
      </c>
      <c r="B15966" s="0" t="str">
        <f aca="false">HYPERLINK("https://lindat.mff.cuni.cz/services/teitok/pdtc10/index.php?action=vallex&amp;frame=v-w1857f23_ZU", "mívat (v-w1857f23_ZU)")</f>
        <v>mívat (v-w1857f23_ZU)</v>
      </c>
    </row>
    <row r="15967" customFormat="false" ht="12.8" hidden="false" customHeight="false" outlineLevel="0" collapsed="false">
      <c r="B15967" s="0" t="s">
        <v>1</v>
      </c>
    </row>
    <row r="15968" customFormat="false" ht="12.8" hidden="false" customHeight="false" outlineLevel="0" collapsed="false">
      <c r="B15968" s="0" t="s">
        <v>6920</v>
      </c>
    </row>
    <row r="15970" customFormat="false" ht="12.8" hidden="false" customHeight="false" outlineLevel="0" collapsed="false">
      <c r="A15970" s="0" t="s">
        <v>6921</v>
      </c>
      <c r="B15970" s="0" t="str">
        <f aca="false">HYPERLINK("https://lindat.mff.cuni.cz/services/teitok/pdtc10/index.php?action=vallex&amp;frame=v-w1857f25_ZU", "mívat (v-w1857f25_ZU)")</f>
        <v>mívat (v-w1857f25_ZU)</v>
      </c>
    </row>
    <row r="15971" customFormat="false" ht="12.8" hidden="false" customHeight="false" outlineLevel="0" collapsed="false">
      <c r="B15971" s="0" t="s">
        <v>1</v>
      </c>
    </row>
    <row r="15972" customFormat="false" ht="12.8" hidden="false" customHeight="false" outlineLevel="0" collapsed="false">
      <c r="B15972" s="0" t="s">
        <v>8</v>
      </c>
    </row>
    <row r="15973" customFormat="false" ht="12.8" hidden="false" customHeight="false" outlineLevel="0" collapsed="false">
      <c r="B15973" s="0" t="s">
        <v>1633</v>
      </c>
    </row>
    <row r="15975" customFormat="false" ht="12.8" hidden="false" customHeight="false" outlineLevel="0" collapsed="false">
      <c r="A15975" s="0" t="s">
        <v>6921</v>
      </c>
      <c r="B15975" s="0" t="str">
        <f aca="false">HYPERLINK("https://lindat.mff.cuni.cz/services/teitok/pdtc10/index.php?action=vallex&amp;frame=v-w1857hsa_429", "mívat (v-w1857hsa_429) - substituted with v-w1857f25_ZU")</f>
        <v>mívat (v-w1857hsa_429) - substituted with v-w1857f25_ZU</v>
      </c>
    </row>
    <row r="15976" customFormat="false" ht="12.8" hidden="false" customHeight="false" outlineLevel="0" collapsed="false">
      <c r="B15976" s="0" t="s">
        <v>1</v>
      </c>
    </row>
    <row r="15977" customFormat="false" ht="12.8" hidden="false" customHeight="false" outlineLevel="0" collapsed="false">
      <c r="B15977" s="0" t="s">
        <v>8</v>
      </c>
    </row>
    <row r="15978" customFormat="false" ht="12.8" hidden="false" customHeight="false" outlineLevel="0" collapsed="false">
      <c r="B15978" s="0" t="s">
        <v>1633</v>
      </c>
    </row>
    <row r="15980" customFormat="false" ht="12.8" hidden="false" customHeight="false" outlineLevel="0" collapsed="false">
      <c r="A15980" s="0" t="s">
        <v>6922</v>
      </c>
      <c r="B15980" s="0" t="str">
        <f aca="false">HYPERLINK("https://lindat.mff.cuni.cz/services/teitok/pdtc10/index.php?action=vallex&amp;frame=v-w1847f4", "mířit (v-w1847f4)")</f>
        <v>mířit (v-w1847f4)</v>
      </c>
    </row>
    <row r="15981" customFormat="false" ht="12.8" hidden="false" customHeight="false" outlineLevel="0" collapsed="false">
      <c r="B15981" s="0" t="s">
        <v>1</v>
      </c>
    </row>
    <row r="15982" customFormat="false" ht="12.8" hidden="false" customHeight="false" outlineLevel="0" collapsed="false">
      <c r="B15982" s="0" t="s">
        <v>8</v>
      </c>
    </row>
    <row r="15983" customFormat="false" ht="12.8" hidden="false" customHeight="false" outlineLevel="0" collapsed="false">
      <c r="B15983" s="0" t="s">
        <v>164</v>
      </c>
    </row>
    <row r="15985" customFormat="false" ht="12.8" hidden="false" customHeight="false" outlineLevel="0" collapsed="false">
      <c r="A15985" s="0" t="s">
        <v>6923</v>
      </c>
      <c r="B15985" s="0" t="str">
        <f aca="false">HYPERLINK("https://lindat.mff.cuni.cz/services/teitok/pdtc10/index.php?action=vallex&amp;frame=v-w1847f3", "mířit (v-w1847f3)")</f>
        <v>mířit (v-w1847f3)</v>
      </c>
      <c r="E15985" s="0" t="str">
        <f aca="false">HYPERLINK("https://lindat.mff.cuni.cz/services/SynSemClass40/SynSemClass40.html?veclass=vec00516#vec00516-ces-cm00010", "vec00516")</f>
        <v>vec00516</v>
      </c>
      <c r="F15985" s="0" t="s">
        <v>4818</v>
      </c>
    </row>
    <row r="15986" customFormat="false" ht="12.8" hidden="false" customHeight="false" outlineLevel="0" collapsed="false">
      <c r="B15986" s="0" t="s">
        <v>1</v>
      </c>
      <c r="C15986" s="0" t="s">
        <v>4819</v>
      </c>
      <c r="E15986" s="0" t="s">
        <v>11</v>
      </c>
      <c r="F15986" s="0" t="s">
        <v>4820</v>
      </c>
    </row>
    <row r="15987" customFormat="false" ht="12.8" hidden="false" customHeight="false" outlineLevel="0" collapsed="false">
      <c r="B15987" s="0" t="s">
        <v>311</v>
      </c>
      <c r="C15987" s="0" t="s">
        <v>4821</v>
      </c>
      <c r="E15987" s="0" t="s">
        <v>523</v>
      </c>
      <c r="F15987" s="0" t="s">
        <v>4822</v>
      </c>
    </row>
    <row r="15989" customFormat="false" ht="12.8" hidden="false" customHeight="false" outlineLevel="0" collapsed="false">
      <c r="A15989" s="0" t="s">
        <v>6924</v>
      </c>
      <c r="B15989" s="0" t="str">
        <f aca="false">HYPERLINK("https://lindat.mff.cuni.cz/services/teitok/pdtc10/index.php?action=vallex&amp;frame=v-w1847f1", "mířit (v-w1847f1)")</f>
        <v>mířit (v-w1847f1)</v>
      </c>
      <c r="E15989" s="0" t="str">
        <f aca="false">HYPERLINK("https://lindat.mff.cuni.cz/services/SynSemClass40/SynSemClass40.html?veclass=vec00434#vec00434-ces-cm00001", "vec00434")</f>
        <v>vec00434</v>
      </c>
      <c r="F15989" s="0" t="s">
        <v>6238</v>
      </c>
      <c r="H15989" s="0" t="str">
        <f aca="false">HYPERLINK("https://lindat.mff.cuni.cz/services/SynSemClass40/SynSemClass40.html?veclass=vec01319#vec01319-ces-cm00003", "vec01319")</f>
        <v>vec01319</v>
      </c>
      <c r="I15989" s="0" t="s">
        <v>6925</v>
      </c>
    </row>
    <row r="15990" customFormat="false" ht="12.8" hidden="false" customHeight="false" outlineLevel="0" collapsed="false">
      <c r="B15990" s="0" t="s">
        <v>1</v>
      </c>
      <c r="C15990" s="0" t="s">
        <v>6926</v>
      </c>
      <c r="E15990" s="0" t="s">
        <v>11</v>
      </c>
      <c r="F15990" s="0" t="s">
        <v>6240</v>
      </c>
      <c r="H15990" s="0" t="s">
        <v>957</v>
      </c>
      <c r="I15990" s="0" t="s">
        <v>6927</v>
      </c>
    </row>
    <row r="15991" customFormat="false" ht="12.8" hidden="false" customHeight="false" outlineLevel="0" collapsed="false">
      <c r="B15991" s="0" t="s">
        <v>164</v>
      </c>
      <c r="C15991" s="0" t="s">
        <v>2724</v>
      </c>
      <c r="E15991" s="0" t="s">
        <v>370</v>
      </c>
      <c r="F15991" s="0" t="s">
        <v>2725</v>
      </c>
      <c r="H15991" s="0" t="s">
        <v>388</v>
      </c>
      <c r="I15991" s="0" t="s">
        <v>389</v>
      </c>
    </row>
    <row r="15993" customFormat="false" ht="12.8" hidden="false" customHeight="false" outlineLevel="0" collapsed="false">
      <c r="A15993" s="0" t="s">
        <v>6928</v>
      </c>
      <c r="B15993" s="0" t="str">
        <f aca="false">HYPERLINK("https://lindat.mff.cuni.cz/services/teitok/pdtc10/index.php?action=vallex&amp;frame=v-w1847f2", "mířit (v-w1847f2)")</f>
        <v>mířit (v-w1847f2)</v>
      </c>
      <c r="E15993" s="0" t="str">
        <f aca="false">HYPERLINK("https://lindat.mff.cuni.cz/services/SynSemClass40/SynSemClass40.html?veclass=vec00835#vec00835-ces-cm00001", "vec00835")</f>
        <v>vec00835</v>
      </c>
      <c r="F15993" s="0" t="s">
        <v>6929</v>
      </c>
    </row>
    <row r="15994" customFormat="false" ht="12.8" hidden="false" customHeight="false" outlineLevel="0" collapsed="false">
      <c r="B15994" s="0" t="s">
        <v>1</v>
      </c>
      <c r="C15994" s="0" t="s">
        <v>459</v>
      </c>
      <c r="E15994" s="0" t="s">
        <v>31</v>
      </c>
      <c r="F15994" s="0" t="s">
        <v>2437</v>
      </c>
    </row>
    <row r="15995" customFormat="false" ht="12.8" hidden="false" customHeight="false" outlineLevel="0" collapsed="false">
      <c r="B15995" s="0" t="s">
        <v>164</v>
      </c>
      <c r="E15995" s="0" t="s">
        <v>6930</v>
      </c>
      <c r="F15995" s="0" t="s">
        <v>6931</v>
      </c>
    </row>
    <row r="15997" customFormat="false" ht="12.8" hidden="false" customHeight="false" outlineLevel="0" collapsed="false">
      <c r="A15997" s="0" t="s">
        <v>6932</v>
      </c>
      <c r="B15997" s="0" t="str">
        <f aca="false">HYPERLINK("https://lindat.mff.cuni.cz/services/teitok/pdtc10/index.php?action=vallex&amp;frame=v-w1847f5_ZU", "mířit (v-w1847f5_ZU)")</f>
        <v>mířit (v-w1847f5_ZU)</v>
      </c>
      <c r="E15997" s="0" t="str">
        <f aca="false">HYPERLINK("https://lindat.mff.cuni.cz/services/SynSemClass40/SynSemClass40.html?veclass=vec01319#vec01319-ces-cm00013", "vec01319")</f>
        <v>vec01319</v>
      </c>
      <c r="F15997" s="0" t="s">
        <v>6925</v>
      </c>
    </row>
    <row r="15998" customFormat="false" ht="12.8" hidden="false" customHeight="false" outlineLevel="0" collapsed="false">
      <c r="B15998" s="0" t="s">
        <v>1</v>
      </c>
      <c r="C15998" s="0" t="s">
        <v>6933</v>
      </c>
      <c r="E15998" s="0" t="s">
        <v>957</v>
      </c>
      <c r="F15998" s="0" t="s">
        <v>6927</v>
      </c>
    </row>
    <row r="15999" customFormat="false" ht="12.8" hidden="false" customHeight="false" outlineLevel="0" collapsed="false">
      <c r="B15999" s="0" t="s">
        <v>361</v>
      </c>
      <c r="E15999" s="0" t="s">
        <v>388</v>
      </c>
      <c r="F15999" s="0" t="s">
        <v>389</v>
      </c>
    </row>
    <row r="16001" customFormat="false" ht="12.8" hidden="false" customHeight="false" outlineLevel="0" collapsed="false">
      <c r="A16001" s="0" t="s">
        <v>6934</v>
      </c>
      <c r="B16001" s="0" t="str">
        <f aca="false">HYPERLINK("https://lindat.mff.cuni.cz/services/teitok/pdtc10/index.php?action=vallex&amp;frame=v-w1915f1", "mýlit (v-w1915f1)")</f>
        <v>mýlit (v-w1915f1)</v>
      </c>
    </row>
    <row r="16002" customFormat="false" ht="12.8" hidden="false" customHeight="false" outlineLevel="0" collapsed="false">
      <c r="B16002" s="0" t="s">
        <v>1</v>
      </c>
    </row>
    <row r="16003" customFormat="false" ht="12.8" hidden="false" customHeight="false" outlineLevel="0" collapsed="false">
      <c r="B16003" s="0" t="s">
        <v>8</v>
      </c>
    </row>
    <row r="16005" customFormat="false" ht="12.8" hidden="false" customHeight="false" outlineLevel="0" collapsed="false">
      <c r="A16005" s="0" t="s">
        <v>6935</v>
      </c>
      <c r="B16005" s="0" t="str">
        <f aca="false">HYPERLINK("https://lindat.mff.cuni.cz/services/teitok/pdtc10/index.php?action=vallex&amp;frame=v-w1916f1", "mýlit se (v-w1916f1)")</f>
        <v>mýlit se (v-w1916f1)</v>
      </c>
      <c r="E16005" s="0" t="str">
        <f aca="false">HYPERLINK("https://lindat.mff.cuni.cz/services/SynSemClass40/SynSemClass40.html?veclass=vec00839#vec00839-ces-cm00001", "vec00839")</f>
        <v>vec00839</v>
      </c>
      <c r="F16005" s="0" t="s">
        <v>1526</v>
      </c>
    </row>
    <row r="16006" customFormat="false" ht="12.8" hidden="false" customHeight="false" outlineLevel="0" collapsed="false">
      <c r="B16006" s="0" t="s">
        <v>1</v>
      </c>
      <c r="C16006" s="0" t="s">
        <v>447</v>
      </c>
      <c r="E16006" s="0" t="s">
        <v>1527</v>
      </c>
      <c r="F16006" s="0" t="s">
        <v>1528</v>
      </c>
    </row>
    <row r="16008" customFormat="false" ht="12.8" hidden="false" customHeight="false" outlineLevel="0" collapsed="false">
      <c r="A16008" s="0" t="s">
        <v>6936</v>
      </c>
      <c r="B16008" s="0" t="str">
        <f aca="false">HYPERLINK("https://lindat.mff.cuni.cz/services/teitok/pdtc10/index.php?action=vallex&amp;frame=v-w1923f1", "mýt (v-w1923f1)")</f>
        <v>mýt (v-w1923f1)</v>
      </c>
      <c r="E16008" s="0" t="str">
        <f aca="false">HYPERLINK("https://lindat.mff.cuni.cz/services/SynSemClass40/SynSemClass40.html?veclass=vec00840#vec00840-ces-cm00001", "vec00840")</f>
        <v>vec00840</v>
      </c>
      <c r="F16008" s="0" t="s">
        <v>6937</v>
      </c>
      <c r="H16008" s="0" t="str">
        <f aca="false">HYPERLINK("https://lindat.mff.cuni.cz/services/SynSemClass40/SynSemClass40.html?veclass=vec01525#vec01525-ces-cm00005", "vec01525")</f>
        <v>vec01525</v>
      </c>
      <c r="I16008" s="0" t="s">
        <v>5689</v>
      </c>
    </row>
    <row r="16009" customFormat="false" ht="12.8" hidden="false" customHeight="false" outlineLevel="0" collapsed="false">
      <c r="B16009" s="0" t="s">
        <v>1</v>
      </c>
      <c r="C16009" s="0" t="s">
        <v>239</v>
      </c>
      <c r="E16009" s="0" t="s">
        <v>5690</v>
      </c>
      <c r="F16009" s="0" t="s">
        <v>6938</v>
      </c>
      <c r="H16009" s="0" t="s">
        <v>5690</v>
      </c>
      <c r="I16009" s="0" t="s">
        <v>5691</v>
      </c>
    </row>
    <row r="16010" customFormat="false" ht="12.8" hidden="false" customHeight="false" outlineLevel="0" collapsed="false">
      <c r="B16010" s="0" t="s">
        <v>8</v>
      </c>
      <c r="C16010" s="0" t="s">
        <v>6939</v>
      </c>
      <c r="E16010" s="0" t="s">
        <v>5693</v>
      </c>
      <c r="F16010" s="0" t="s">
        <v>6940</v>
      </c>
      <c r="H16010" s="0" t="s">
        <v>5693</v>
      </c>
      <c r="I16010" s="0" t="s">
        <v>5694</v>
      </c>
    </row>
    <row r="16012" customFormat="false" ht="12.8" hidden="false" customHeight="false" outlineLevel="0" collapsed="false">
      <c r="A16012" s="0" t="s">
        <v>6941</v>
      </c>
      <c r="B16012" s="0" t="str">
        <f aca="false">HYPERLINK("https://lindat.mff.cuni.cz/services/teitok/pdtc10/index.php?action=vallex&amp;frame=v-w1814f3", "měnit (v-w1814f3)")</f>
        <v>měnit (v-w1814f3)</v>
      </c>
      <c r="E16012" s="0" t="str">
        <f aca="false">HYPERLINK("https://lindat.mff.cuni.cz/services/SynSemClass40/SynSemClass40.html?veclass=vec00030#vec00030-ces-cm00001", "vec00030")</f>
        <v>vec00030</v>
      </c>
      <c r="F16012" s="0" t="s">
        <v>6942</v>
      </c>
    </row>
    <row r="16013" customFormat="false" ht="12.8" hidden="false" customHeight="false" outlineLevel="0" collapsed="false">
      <c r="B16013" s="0" t="s">
        <v>1</v>
      </c>
      <c r="C16013" s="0" t="s">
        <v>6943</v>
      </c>
      <c r="E16013" s="0" t="s">
        <v>6944</v>
      </c>
      <c r="F16013" s="0" t="s">
        <v>6945</v>
      </c>
    </row>
    <row r="16014" customFormat="false" ht="12.8" hidden="false" customHeight="false" outlineLevel="0" collapsed="false">
      <c r="B16014" s="0" t="s">
        <v>8</v>
      </c>
      <c r="C16014" s="0" t="s">
        <v>6946</v>
      </c>
      <c r="E16014" s="0" t="s">
        <v>4852</v>
      </c>
      <c r="F16014" s="0" t="s">
        <v>6947</v>
      </c>
    </row>
    <row r="16015" customFormat="false" ht="12.8" hidden="false" customHeight="false" outlineLevel="0" collapsed="false">
      <c r="B16015" s="0" t="s">
        <v>3205</v>
      </c>
      <c r="C16015" s="0" t="s">
        <v>6948</v>
      </c>
      <c r="E16015" s="0" t="s">
        <v>6949</v>
      </c>
      <c r="F16015" s="0" t="s">
        <v>6950</v>
      </c>
    </row>
    <row r="16016" customFormat="false" ht="12.8" hidden="false" customHeight="false" outlineLevel="0" collapsed="false">
      <c r="B16016" s="0" t="s">
        <v>723</v>
      </c>
      <c r="C16016" s="0" t="s">
        <v>6951</v>
      </c>
      <c r="E16016" s="0" t="s">
        <v>5445</v>
      </c>
      <c r="F16016" s="0" t="s">
        <v>6952</v>
      </c>
    </row>
    <row r="16018" customFormat="false" ht="12.8" hidden="false" customHeight="false" outlineLevel="0" collapsed="false">
      <c r="A16018" s="0" t="s">
        <v>6953</v>
      </c>
      <c r="B16018" s="0" t="str">
        <f aca="false">HYPERLINK("https://lindat.mff.cuni.cz/services/teitok/pdtc10/index.php?action=vallex&amp;frame=v-w1814f1", "měnit (v-w1814f1)")</f>
        <v>měnit (v-w1814f1)</v>
      </c>
      <c r="E16018" s="0" t="str">
        <f aca="false">HYPERLINK("https://lindat.mff.cuni.cz/services/SynSemClass40/SynSemClass40.html?veclass=vec00095#vec00095-ces-cm00004", "vec00095")</f>
        <v>vec00095</v>
      </c>
      <c r="F16018" s="0" t="s">
        <v>29</v>
      </c>
    </row>
    <row r="16019" customFormat="false" ht="12.8" hidden="false" customHeight="false" outlineLevel="0" collapsed="false">
      <c r="B16019" s="0" t="s">
        <v>1</v>
      </c>
      <c r="C16019" s="0" t="s">
        <v>30</v>
      </c>
      <c r="E16019" s="0" t="s">
        <v>31</v>
      </c>
      <c r="F16019" s="0" t="s">
        <v>32</v>
      </c>
    </row>
    <row r="16020" customFormat="false" ht="12.8" hidden="false" customHeight="false" outlineLevel="0" collapsed="false">
      <c r="B16020" s="0" t="s">
        <v>8</v>
      </c>
      <c r="C16020" s="0" t="s">
        <v>33</v>
      </c>
      <c r="E16020" s="0" t="s">
        <v>34</v>
      </c>
      <c r="F16020" s="0" t="s">
        <v>35</v>
      </c>
    </row>
    <row r="16021" customFormat="false" ht="12.8" hidden="false" customHeight="false" outlineLevel="0" collapsed="false">
      <c r="B16021" s="0" t="s">
        <v>36</v>
      </c>
      <c r="C16021" s="0" t="s">
        <v>37</v>
      </c>
      <c r="E16021" s="0" t="s">
        <v>38</v>
      </c>
      <c r="F16021" s="0" t="s">
        <v>39</v>
      </c>
    </row>
    <row r="16022" customFormat="false" ht="12.8" hidden="false" customHeight="false" outlineLevel="0" collapsed="false">
      <c r="B16022" s="0" t="s">
        <v>6954</v>
      </c>
      <c r="C16022" s="0" t="s">
        <v>41</v>
      </c>
      <c r="E16022" s="0" t="s">
        <v>42</v>
      </c>
      <c r="F16022" s="0" t="s">
        <v>43</v>
      </c>
    </row>
    <row r="16024" customFormat="false" ht="12.8" hidden="false" customHeight="false" outlineLevel="0" collapsed="false">
      <c r="A16024" s="0" t="s">
        <v>6955</v>
      </c>
      <c r="B16024" s="0" t="str">
        <f aca="false">HYPERLINK("https://lindat.mff.cuni.cz/services/teitok/pdtc10/index.php?action=vallex&amp;frame=v-w1814f2", "měnit (v-w1814f2)")</f>
        <v>měnit (v-w1814f2)</v>
      </c>
    </row>
    <row r="16025" customFormat="false" ht="12.8" hidden="false" customHeight="false" outlineLevel="0" collapsed="false">
      <c r="B16025" s="0" t="s">
        <v>843</v>
      </c>
    </row>
    <row r="16026" customFormat="false" ht="12.8" hidden="false" customHeight="false" outlineLevel="0" collapsed="false">
      <c r="B16026" s="0" t="s">
        <v>8</v>
      </c>
    </row>
    <row r="16027" customFormat="false" ht="12.8" hidden="false" customHeight="false" outlineLevel="0" collapsed="false">
      <c r="B16027" s="0" t="s">
        <v>773</v>
      </c>
    </row>
    <row r="16029" customFormat="false" ht="12.8" hidden="false" customHeight="false" outlineLevel="0" collapsed="false">
      <c r="A16029" s="0" t="s">
        <v>6956</v>
      </c>
      <c r="B16029" s="0" t="str">
        <f aca="false">HYPERLINK("https://lindat.mff.cuni.cz/services/teitok/pdtc10/index.php?action=vallex&amp;frame=v-w1814f4", "měnit (v-w1814f4)")</f>
        <v>měnit (v-w1814f4)</v>
      </c>
      <c r="E16029" s="0" t="str">
        <f aca="false">HYPERLINK("https://lindat.mff.cuni.cz/services/SynSemClass40/SynSemClass40.html?veclass=vec00429#vec00429-ces-cm00001", "vec00429")</f>
        <v>vec00429</v>
      </c>
      <c r="F16029" s="0" t="s">
        <v>6957</v>
      </c>
    </row>
    <row r="16030" customFormat="false" ht="12.8" hidden="false" customHeight="false" outlineLevel="0" collapsed="false">
      <c r="B16030" s="0" t="s">
        <v>1</v>
      </c>
      <c r="C16030" s="0" t="s">
        <v>6958</v>
      </c>
      <c r="E16030" s="0" t="s">
        <v>31</v>
      </c>
      <c r="F16030" s="0" t="s">
        <v>6959</v>
      </c>
    </row>
    <row r="16031" customFormat="false" ht="12.8" hidden="false" customHeight="false" outlineLevel="0" collapsed="false">
      <c r="B16031" s="0" t="s">
        <v>8</v>
      </c>
      <c r="C16031" s="0" t="s">
        <v>6960</v>
      </c>
      <c r="E16031" s="0" t="s">
        <v>6961</v>
      </c>
      <c r="F16031" s="0" t="s">
        <v>6962</v>
      </c>
    </row>
    <row r="16032" customFormat="false" ht="12.8" hidden="false" customHeight="false" outlineLevel="0" collapsed="false">
      <c r="B16032" s="0" t="s">
        <v>723</v>
      </c>
      <c r="C16032" s="0" t="s">
        <v>6963</v>
      </c>
      <c r="E16032" s="0" t="s">
        <v>6964</v>
      </c>
      <c r="F16032" s="0" t="s">
        <v>6965</v>
      </c>
    </row>
    <row r="16034" customFormat="false" ht="12.8" hidden="false" customHeight="false" outlineLevel="0" collapsed="false">
      <c r="A16034" s="0" t="s">
        <v>6966</v>
      </c>
      <c r="B16034" s="0" t="str">
        <f aca="false">HYPERLINK("https://lindat.mff.cuni.cz/services/teitok/pdtc10/index.php?action=vallex&amp;frame=v-w1815f2", "měnit se (v-w1815f2)")</f>
        <v>měnit se (v-w1815f2)</v>
      </c>
      <c r="E16034" s="0" t="str">
        <f aca="false">HYPERLINK("https://lindat.mff.cuni.cz/services/SynSemClass40/SynSemClass40.html?veclass=vec01132#vec01132-ces-cm00014", "vec01132")</f>
        <v>vec01132</v>
      </c>
      <c r="F16034" s="0" t="s">
        <v>6967</v>
      </c>
    </row>
    <row r="16035" customFormat="false" ht="12.8" hidden="false" customHeight="false" outlineLevel="0" collapsed="false">
      <c r="B16035" s="0" t="s">
        <v>1</v>
      </c>
      <c r="C16035" s="0" t="s">
        <v>6968</v>
      </c>
      <c r="E16035" s="0" t="s">
        <v>84</v>
      </c>
      <c r="F16035" s="0" t="s">
        <v>6969</v>
      </c>
    </row>
    <row r="16036" customFormat="false" ht="12.8" hidden="false" customHeight="false" outlineLevel="0" collapsed="false">
      <c r="B16036" s="0" t="s">
        <v>6970</v>
      </c>
      <c r="C16036" s="0" t="s">
        <v>6971</v>
      </c>
      <c r="E16036" s="0" t="s">
        <v>1592</v>
      </c>
      <c r="F16036" s="0" t="s">
        <v>6972</v>
      </c>
    </row>
    <row r="16037" customFormat="false" ht="12.8" hidden="false" customHeight="false" outlineLevel="0" collapsed="false">
      <c r="B16037" s="0" t="s">
        <v>36</v>
      </c>
      <c r="C16037" s="0" t="s">
        <v>6973</v>
      </c>
      <c r="E16037" s="0" t="s">
        <v>38</v>
      </c>
      <c r="F16037" s="0" t="s">
        <v>6974</v>
      </c>
    </row>
    <row r="16039" customFormat="false" ht="12.8" hidden="false" customHeight="false" outlineLevel="0" collapsed="false">
      <c r="A16039" s="0" t="s">
        <v>6975</v>
      </c>
      <c r="B16039" s="0" t="str">
        <f aca="false">HYPERLINK("https://lindat.mff.cuni.cz/services/teitok/pdtc10/index.php?action=vallex&amp;frame=v-w1815f3", "měnit se (v-w1815f3)")</f>
        <v>měnit se (v-w1815f3)</v>
      </c>
    </row>
    <row r="16040" customFormat="false" ht="12.8" hidden="false" customHeight="false" outlineLevel="0" collapsed="false">
      <c r="B16040" s="0" t="s">
        <v>1</v>
      </c>
    </row>
    <row r="16041" customFormat="false" ht="12.8" hidden="false" customHeight="false" outlineLevel="0" collapsed="false">
      <c r="B16041" s="0" t="s">
        <v>721</v>
      </c>
    </row>
    <row r="16043" customFormat="false" ht="12.8" hidden="false" customHeight="false" outlineLevel="0" collapsed="false">
      <c r="A16043" s="0" t="s">
        <v>6976</v>
      </c>
      <c r="B16043" s="0" t="str">
        <f aca="false">HYPERLINK("https://lindat.mff.cuni.cz/services/teitok/pdtc10/index.php?action=vallex&amp;frame=v-w1815f1", "měnit se (v-w1815f1)")</f>
        <v>měnit se (v-w1815f1)</v>
      </c>
      <c r="E16043" s="0" t="str">
        <f aca="false">HYPERLINK("https://lindat.mff.cuni.cz/services/SynSemClass40/SynSemClass40.html?veclass=vec00430#vec00430-ces-cm00001", "vec00430")</f>
        <v>vec00430</v>
      </c>
      <c r="F16043" s="0" t="s">
        <v>6977</v>
      </c>
    </row>
    <row r="16044" customFormat="false" ht="12.8" hidden="false" customHeight="false" outlineLevel="0" collapsed="false">
      <c r="B16044" s="0" t="s">
        <v>1</v>
      </c>
      <c r="C16044" s="0" t="s">
        <v>6978</v>
      </c>
      <c r="E16044" s="0" t="s">
        <v>84</v>
      </c>
      <c r="F16044" s="0" t="s">
        <v>6979</v>
      </c>
    </row>
    <row r="16046" customFormat="false" ht="12.8" hidden="false" customHeight="false" outlineLevel="0" collapsed="false">
      <c r="A16046" s="0" t="s">
        <v>6980</v>
      </c>
      <c r="B16046" s="0" t="str">
        <f aca="false">HYPERLINK("https://lindat.mff.cuni.cz/services/teitok/pdtc10/index.php?action=vallex&amp;frame=v-w1821f3", "měřit (v-w1821f3)")</f>
        <v>měřit (v-w1821f3)</v>
      </c>
    </row>
    <row r="16047" customFormat="false" ht="12.8" hidden="false" customHeight="false" outlineLevel="0" collapsed="false">
      <c r="B16047" s="0" t="s">
        <v>1</v>
      </c>
    </row>
    <row r="16048" customFormat="false" ht="12.8" hidden="false" customHeight="false" outlineLevel="0" collapsed="false">
      <c r="B16048" s="0" t="s">
        <v>8</v>
      </c>
    </row>
    <row r="16049" customFormat="false" ht="12.8" hidden="false" customHeight="false" outlineLevel="0" collapsed="false">
      <c r="B16049" s="0" t="s">
        <v>3537</v>
      </c>
    </row>
    <row r="16051" customFormat="false" ht="12.8" hidden="false" customHeight="false" outlineLevel="0" collapsed="false">
      <c r="A16051" s="0" t="s">
        <v>6981</v>
      </c>
      <c r="B16051" s="0" t="str">
        <f aca="false">HYPERLINK("https://lindat.mff.cuni.cz/services/teitok/pdtc10/index.php?action=vallex&amp;frame=v-w1821f1", "měřit (v-w1821f1)")</f>
        <v>měřit (v-w1821f1)</v>
      </c>
      <c r="E16051" s="0" t="str">
        <f aca="false">HYPERLINK("https://lindat.mff.cuni.cz/services/SynSemClass40/SynSemClass40.html?veclass=vec00431#vec00431-ces-cm00001", "vec00431")</f>
        <v>vec00431</v>
      </c>
      <c r="F16051" s="0" t="s">
        <v>6982</v>
      </c>
    </row>
    <row r="16052" customFormat="false" ht="12.8" hidden="false" customHeight="false" outlineLevel="0" collapsed="false">
      <c r="B16052" s="0" t="s">
        <v>1</v>
      </c>
      <c r="C16052" s="0" t="s">
        <v>6983</v>
      </c>
      <c r="E16052" s="0" t="s">
        <v>621</v>
      </c>
      <c r="F16052" s="0" t="s">
        <v>6984</v>
      </c>
    </row>
    <row r="16053" customFormat="false" ht="12.8" hidden="false" customHeight="false" outlineLevel="0" collapsed="false">
      <c r="B16053" s="0" t="s">
        <v>8</v>
      </c>
      <c r="C16053" s="0" t="s">
        <v>6985</v>
      </c>
      <c r="E16053" s="0" t="s">
        <v>34</v>
      </c>
      <c r="F16053" s="0" t="s">
        <v>6986</v>
      </c>
    </row>
    <row r="16055" customFormat="false" ht="12.8" hidden="false" customHeight="false" outlineLevel="0" collapsed="false">
      <c r="A16055" s="0" t="s">
        <v>6987</v>
      </c>
      <c r="B16055" s="0" t="str">
        <f aca="false">HYPERLINK("https://lindat.mff.cuni.cz/services/teitok/pdtc10/index.php?action=vallex&amp;frame=v-w1821f2", "měřit (v-w1821f2)")</f>
        <v>měřit (v-w1821f2)</v>
      </c>
      <c r="E16055" s="0" t="str">
        <f aca="false">HYPERLINK("https://lindat.mff.cuni.cz/services/SynSemClass40/SynSemClass40.html?veclass=vec00206#vec00206-ces-cm00075", "vec00206")</f>
        <v>vec00206</v>
      </c>
      <c r="F16055" s="0" t="s">
        <v>2728</v>
      </c>
      <c r="H16055" s="0" t="str">
        <f aca="false">HYPERLINK("https://lindat.mff.cuni.cz/services/SynSemClass40/SynSemClass40.html?veclass=vec00548#vec00548-ces-cm00002", "vec00548")</f>
        <v>vec00548</v>
      </c>
      <c r="I16055" s="0" t="s">
        <v>6988</v>
      </c>
    </row>
    <row r="16056" customFormat="false" ht="12.8" hidden="false" customHeight="false" outlineLevel="0" collapsed="false">
      <c r="B16056" s="0" t="s">
        <v>1</v>
      </c>
      <c r="C16056" s="0" t="s">
        <v>6989</v>
      </c>
      <c r="E16056" s="0" t="s">
        <v>235</v>
      </c>
      <c r="F16056" s="0" t="s">
        <v>2730</v>
      </c>
      <c r="H16056" s="0" t="s">
        <v>11</v>
      </c>
      <c r="I16056" s="0" t="s">
        <v>6990</v>
      </c>
    </row>
    <row r="16057" customFormat="false" ht="12.8" hidden="false" customHeight="false" outlineLevel="0" collapsed="false">
      <c r="B16057" s="0" t="s">
        <v>865</v>
      </c>
      <c r="C16057" s="0" t="s">
        <v>6991</v>
      </c>
      <c r="E16057" s="0" t="s">
        <v>6992</v>
      </c>
      <c r="F16057" s="0" t="s">
        <v>6993</v>
      </c>
      <c r="H16057" s="0" t="s">
        <v>6992</v>
      </c>
      <c r="I16057" s="0" t="s">
        <v>6994</v>
      </c>
    </row>
    <row r="16059" customFormat="false" ht="12.8" hidden="false" customHeight="false" outlineLevel="0" collapsed="false">
      <c r="A16059" s="0" t="s">
        <v>6995</v>
      </c>
      <c r="B16059" s="0" t="str">
        <f aca="false">HYPERLINK("https://lindat.mff.cuni.cz/services/teitok/pdtc10/index.php?action=vallex&amp;frame=v-w1821hsa_603", "měřit (v-w1821hsa_603)")</f>
        <v>měřit (v-w1821hsa_603)</v>
      </c>
    </row>
    <row r="16060" customFormat="false" ht="12.8" hidden="false" customHeight="false" outlineLevel="0" collapsed="false">
      <c r="B16060" s="0" t="s">
        <v>1</v>
      </c>
    </row>
    <row r="16061" customFormat="false" ht="12.8" hidden="false" customHeight="false" outlineLevel="0" collapsed="false">
      <c r="B16061" s="0" t="s">
        <v>8</v>
      </c>
    </row>
    <row r="16063" customFormat="false" ht="12.8" hidden="false" customHeight="false" outlineLevel="0" collapsed="false">
      <c r="A16063" s="0" t="s">
        <v>6996</v>
      </c>
      <c r="B16063" s="0" t="str">
        <f aca="false">HYPERLINK("https://lindat.mff.cuni.cz/services/teitok/pdtc10/index.php?action=vallex&amp;frame=v-w1928f1", "mžourat (v-w1928f1)")</f>
        <v>mžourat (v-w1928f1)</v>
      </c>
      <c r="E16063" s="0" t="str">
        <f aca="false">HYPERLINK("https://lindat.mff.cuni.cz/services/SynSemClass40/SynSemClass40.html?veclass=vec00869#vec00869-ces-cm00041", "vec00869")</f>
        <v>vec00869</v>
      </c>
      <c r="F16063" s="0" t="s">
        <v>3855</v>
      </c>
    </row>
    <row r="16064" customFormat="false" ht="12.8" hidden="false" customHeight="false" outlineLevel="0" collapsed="false">
      <c r="B16064" s="0" t="s">
        <v>1</v>
      </c>
      <c r="C16064" s="0" t="s">
        <v>3727</v>
      </c>
      <c r="E16064" s="0" t="s">
        <v>3856</v>
      </c>
      <c r="F16064" s="0" t="s">
        <v>3857</v>
      </c>
    </row>
    <row r="16065" customFormat="false" ht="12.8" hidden="false" customHeight="false" outlineLevel="0" collapsed="false">
      <c r="B16065" s="0" t="s">
        <v>164</v>
      </c>
      <c r="C16065" s="0" t="s">
        <v>3858</v>
      </c>
      <c r="E16065" s="0" t="s">
        <v>388</v>
      </c>
      <c r="F16065" s="0" t="s">
        <v>3859</v>
      </c>
    </row>
    <row r="16067" customFormat="false" ht="12.8" hidden="false" customHeight="false" outlineLevel="0" collapsed="false">
      <c r="A16067" s="0" t="s">
        <v>6997</v>
      </c>
      <c r="B16067" s="0" t="str">
        <f aca="false">HYPERLINK("https://lindat.mff.cuni.cz/services/teitok/pdtc10/index.php?action=vallex&amp;frame=v-w1927f2", "mžít (v-w1927f2)")</f>
        <v>mžít (v-w1927f2)</v>
      </c>
    </row>
    <row r="16068" customFormat="false" ht="12.8" hidden="false" customHeight="false" outlineLevel="0" collapsed="false">
      <c r="B16068" s="0" t="s">
        <v>1</v>
      </c>
    </row>
    <row r="16070" customFormat="false" ht="12.8" hidden="false" customHeight="false" outlineLevel="0" collapsed="false">
      <c r="A16070" s="0" t="s">
        <v>6998</v>
      </c>
      <c r="B16070" s="0" t="str">
        <f aca="false">HYPERLINK("https://lindat.mff.cuni.cz/services/teitok/pdtc10/index.php?action=vallex&amp;frame=v-w1927f1", "mžít (v-w1927f1)")</f>
        <v>mžít (v-w1927f1)</v>
      </c>
    </row>
    <row r="16072" customFormat="false" ht="12.8" hidden="false" customHeight="false" outlineLevel="0" collapsed="false">
      <c r="A16072" s="0" t="s">
        <v>6999</v>
      </c>
      <c r="B16072" s="0" t="str">
        <f aca="false">HYPERLINK("https://lindat.mff.cuni.cz/services/teitok/pdtc10/index.php?action=vallex&amp;frame=v-w1929f1", "naakumulovat (v-w1929f1)")</f>
        <v>naakumulovat (v-w1929f1)</v>
      </c>
    </row>
    <row r="16073" customFormat="false" ht="12.8" hidden="false" customHeight="false" outlineLevel="0" collapsed="false">
      <c r="B16073" s="0" t="s">
        <v>1</v>
      </c>
    </row>
    <row r="16074" customFormat="false" ht="12.8" hidden="false" customHeight="false" outlineLevel="0" collapsed="false">
      <c r="B16074" s="0" t="s">
        <v>8</v>
      </c>
    </row>
    <row r="16076" customFormat="false" ht="12.8" hidden="false" customHeight="false" outlineLevel="0" collapsed="false">
      <c r="A16076" s="0" t="s">
        <v>7000</v>
      </c>
      <c r="B16076" s="0" t="str">
        <f aca="false">HYPERLINK("https://lindat.mff.cuni.cz/services/teitok/pdtc10/index.php?action=vallex&amp;frame=v-w1930f1", "naaranžovat (v-w1930f1)")</f>
        <v>naaranžovat (v-w1930f1)</v>
      </c>
      <c r="E16076" s="0" t="str">
        <f aca="false">HYPERLINK("https://lindat.mff.cuni.cz/services/SynSemClass40/SynSemClass40.html?veclass=vec01444#vec01444-ces-cm00001", "vec01444")</f>
        <v>vec01444</v>
      </c>
      <c r="F16076" s="0" t="s">
        <v>7001</v>
      </c>
    </row>
    <row r="16077" customFormat="false" ht="12.8" hidden="false" customHeight="false" outlineLevel="0" collapsed="false">
      <c r="B16077" s="0" t="s">
        <v>1</v>
      </c>
      <c r="C16077" s="0" t="s">
        <v>4695</v>
      </c>
      <c r="E16077" s="0" t="s">
        <v>768</v>
      </c>
      <c r="F16077" s="0" t="s">
        <v>4781</v>
      </c>
    </row>
    <row r="16078" customFormat="false" ht="12.8" hidden="false" customHeight="false" outlineLevel="0" collapsed="false">
      <c r="B16078" s="0" t="s">
        <v>8</v>
      </c>
      <c r="C16078" s="0" t="s">
        <v>462</v>
      </c>
      <c r="E16078" s="0" t="s">
        <v>110</v>
      </c>
      <c r="F16078" s="0" t="s">
        <v>7002</v>
      </c>
    </row>
    <row r="16079" customFormat="false" ht="12.8" hidden="false" customHeight="false" outlineLevel="0" collapsed="false">
      <c r="B16079" s="0" t="s">
        <v>36</v>
      </c>
    </row>
    <row r="16080" customFormat="false" ht="12.8" hidden="false" customHeight="false" outlineLevel="0" collapsed="false">
      <c r="B16080" s="0" t="s">
        <v>5653</v>
      </c>
      <c r="E16080" s="0" t="s">
        <v>4858</v>
      </c>
      <c r="F16080" s="0" t="s">
        <v>7003</v>
      </c>
    </row>
    <row r="16082" customFormat="false" ht="12.8" hidden="false" customHeight="false" outlineLevel="0" collapsed="false">
      <c r="A16082" s="0" t="s">
        <v>7004</v>
      </c>
      <c r="B16082" s="0" t="str">
        <f aca="false">HYPERLINK("https://lindat.mff.cuni.cz/services/teitok/pdtc10/index.php?action=vallex&amp;frame=v-w12256_ZUf1_ZU", "nabalit (v-w12256_ZUf1_ZU)")</f>
        <v>nabalit (v-w12256_ZUf1_ZU)</v>
      </c>
    </row>
    <row r="16083" customFormat="false" ht="12.8" hidden="false" customHeight="false" outlineLevel="0" collapsed="false">
      <c r="B16083" s="0" t="s">
        <v>1</v>
      </c>
    </row>
    <row r="16084" customFormat="false" ht="12.8" hidden="false" customHeight="false" outlineLevel="0" collapsed="false">
      <c r="B16084" s="0" t="s">
        <v>8</v>
      </c>
    </row>
    <row r="16086" customFormat="false" ht="12.8" hidden="false" customHeight="false" outlineLevel="0" collapsed="false">
      <c r="A16086" s="0" t="s">
        <v>7005</v>
      </c>
      <c r="B16086" s="0" t="str">
        <f aca="false">HYPERLINK("https://lindat.mff.cuni.cz/services/teitok/pdtc10/index.php?action=vallex&amp;frame=v-w1934f1", "nabalovat (v-w1934f1)")</f>
        <v>nabalovat (v-w1934f1)</v>
      </c>
    </row>
    <row r="16087" customFormat="false" ht="12.8" hidden="false" customHeight="false" outlineLevel="0" collapsed="false">
      <c r="B16087" s="0" t="s">
        <v>1</v>
      </c>
    </row>
    <row r="16088" customFormat="false" ht="12.8" hidden="false" customHeight="false" outlineLevel="0" collapsed="false">
      <c r="B16088" s="0" t="s">
        <v>7006</v>
      </c>
    </row>
    <row r="16089" customFormat="false" ht="12.8" hidden="false" customHeight="false" outlineLevel="0" collapsed="false">
      <c r="B16089" s="0" t="s">
        <v>8</v>
      </c>
    </row>
    <row r="16091" customFormat="false" ht="12.8" hidden="false" customHeight="false" outlineLevel="0" collapsed="false">
      <c r="A16091" s="0" t="s">
        <v>7007</v>
      </c>
      <c r="B16091" s="0" t="str">
        <f aca="false">HYPERLINK("https://lindat.mff.cuni.cz/services/teitok/pdtc10/index.php?action=vallex&amp;frame=v-w1935f1", "nabalovat se (v-w1935f1)")</f>
        <v>nabalovat se (v-w1935f1)</v>
      </c>
    </row>
    <row r="16092" customFormat="false" ht="12.8" hidden="false" customHeight="false" outlineLevel="0" collapsed="false">
      <c r="B16092" s="0" t="s">
        <v>1</v>
      </c>
    </row>
    <row r="16093" customFormat="false" ht="12.8" hidden="false" customHeight="false" outlineLevel="0" collapsed="false">
      <c r="B16093" s="0" t="s">
        <v>45</v>
      </c>
    </row>
    <row r="16095" customFormat="false" ht="12.8" hidden="false" customHeight="false" outlineLevel="0" collapsed="false">
      <c r="A16095" s="0" t="s">
        <v>7008</v>
      </c>
      <c r="B16095" s="0" t="str">
        <f aca="false">HYPERLINK("https://lindat.mff.cuni.cz/services/teitok/pdtc10/index.php?action=vallex&amp;frame=v-w1935f2", "nabalovat se (v-w1935f2)")</f>
        <v>nabalovat se (v-w1935f2)</v>
      </c>
    </row>
    <row r="16096" customFormat="false" ht="12.8" hidden="false" customHeight="false" outlineLevel="0" collapsed="false">
      <c r="B16096" s="0" t="s">
        <v>1</v>
      </c>
    </row>
    <row r="16097" customFormat="false" ht="12.8" hidden="false" customHeight="false" outlineLevel="0" collapsed="false">
      <c r="B16097" s="0" t="s">
        <v>164</v>
      </c>
    </row>
    <row r="16099" customFormat="false" ht="12.8" hidden="false" customHeight="false" outlineLevel="0" collapsed="false">
      <c r="A16099" s="0" t="s">
        <v>7009</v>
      </c>
      <c r="B16099" s="0" t="str">
        <f aca="false">HYPERLINK("https://lindat.mff.cuni.cz/services/teitok/pdtc10/index.php?action=vallex&amp;frame=v-w12367_MMf1_MM", "nabančit (v-w12367_MMf1_MM)")</f>
        <v>nabančit (v-w12367_MMf1_MM)</v>
      </c>
    </row>
    <row r="16100" customFormat="false" ht="12.8" hidden="false" customHeight="false" outlineLevel="0" collapsed="false">
      <c r="B16100" s="0" t="s">
        <v>1</v>
      </c>
    </row>
    <row r="16101" customFormat="false" ht="12.8" hidden="false" customHeight="false" outlineLevel="0" collapsed="false">
      <c r="B16101" s="0" t="s">
        <v>186</v>
      </c>
    </row>
    <row r="16103" customFormat="false" ht="12.8" hidden="false" customHeight="false" outlineLevel="0" collapsed="false">
      <c r="A16103" s="0" t="s">
        <v>7010</v>
      </c>
      <c r="B16103" s="0" t="str">
        <f aca="false">HYPERLINK("https://lindat.mff.cuni.cz/services/teitok/pdtc10/index.php?action=vallex&amp;frame=v-w10760f2", "nabarvit (v-w10760f2)")</f>
        <v>nabarvit (v-w10760f2)</v>
      </c>
      <c r="E16103" s="0" t="str">
        <f aca="false">HYPERLINK("https://lindat.mff.cuni.cz/services/SynSemClass40/SynSemClass40.html?veclass=vec01363#vec01363-ces-cm00010", "vec01363")</f>
        <v>vec01363</v>
      </c>
      <c r="F16103" s="0" t="s">
        <v>7011</v>
      </c>
      <c r="H16103" s="0" t="str">
        <f aca="false">HYPERLINK("https://lindat.mff.cuni.cz/services/SynSemClass40/SynSemClass40.html?veclass=vec01481#vec01481-ces-cm00002", "vec01481")</f>
        <v>vec01481</v>
      </c>
      <c r="I16103" s="0" t="s">
        <v>254</v>
      </c>
    </row>
    <row r="16104" customFormat="false" ht="12.8" hidden="false" customHeight="false" outlineLevel="0" collapsed="false">
      <c r="B16104" s="0" t="s">
        <v>1</v>
      </c>
      <c r="C16104" s="0" t="s">
        <v>4134</v>
      </c>
      <c r="E16104" s="0" t="s">
        <v>31</v>
      </c>
      <c r="F16104" s="0" t="s">
        <v>3001</v>
      </c>
      <c r="H16104" s="0" t="s">
        <v>84</v>
      </c>
      <c r="I16104" s="0" t="s">
        <v>256</v>
      </c>
    </row>
    <row r="16105" customFormat="false" ht="12.8" hidden="false" customHeight="false" outlineLevel="0" collapsed="false">
      <c r="B16105" s="0" t="s">
        <v>8</v>
      </c>
      <c r="C16105" s="0" t="s">
        <v>1543</v>
      </c>
      <c r="E16105" s="0" t="s">
        <v>4782</v>
      </c>
      <c r="F16105" s="0" t="s">
        <v>7012</v>
      </c>
      <c r="H16105" s="0" t="s">
        <v>87</v>
      </c>
      <c r="I16105" s="0" t="s">
        <v>258</v>
      </c>
    </row>
    <row r="16107" customFormat="false" ht="12.8" hidden="false" customHeight="false" outlineLevel="0" collapsed="false">
      <c r="A16107" s="0" t="s">
        <v>7013</v>
      </c>
      <c r="B16107" s="0" t="str">
        <f aca="false">HYPERLINK("https://lindat.mff.cuni.cz/services/teitok/pdtc10/index.php?action=vallex&amp;frame=v-whsa_1310hsa_1311", "nabažit se (v-whsa_1310hsa_1311)")</f>
        <v>nabažit se (v-whsa_1310hsa_1311)</v>
      </c>
    </row>
    <row r="16108" customFormat="false" ht="12.8" hidden="false" customHeight="false" outlineLevel="0" collapsed="false">
      <c r="B16108" s="0" t="s">
        <v>1</v>
      </c>
    </row>
    <row r="16109" customFormat="false" ht="12.8" hidden="false" customHeight="false" outlineLevel="0" collapsed="false">
      <c r="B16109" s="0" t="s">
        <v>1289</v>
      </c>
    </row>
    <row r="16111" customFormat="false" ht="12.8" hidden="false" customHeight="false" outlineLevel="0" collapsed="false">
      <c r="A16111" s="0" t="s">
        <v>7014</v>
      </c>
      <c r="B16111" s="0" t="str">
        <f aca="false">HYPERLINK("https://lindat.mff.cuni.cz/services/teitok/pdtc10/index.php?action=vallex&amp;frame=v-whsa_1576hsa_1577", "nablbnout se (v-whsa_1576hsa_1577)")</f>
        <v>nablbnout se (v-whsa_1576hsa_1577)</v>
      </c>
    </row>
    <row r="16112" customFormat="false" ht="12.8" hidden="false" customHeight="false" outlineLevel="0" collapsed="false">
      <c r="B16112" s="0" t="s">
        <v>1</v>
      </c>
    </row>
    <row r="16114" customFormat="false" ht="12.8" hidden="false" customHeight="false" outlineLevel="0" collapsed="false">
      <c r="A16114" s="0" t="s">
        <v>7015</v>
      </c>
      <c r="B16114" s="0" t="str">
        <f aca="false">HYPERLINK("https://lindat.mff.cuni.cz/services/teitok/pdtc10/index.php?action=vallex&amp;frame=v-w1951f1", "nablít (v-w1951f1)")</f>
        <v>nablít (v-w1951f1)</v>
      </c>
    </row>
    <row r="16115" customFormat="false" ht="12.8" hidden="false" customHeight="false" outlineLevel="0" collapsed="false">
      <c r="B16115" s="0" t="s">
        <v>1</v>
      </c>
    </row>
    <row r="16116" customFormat="false" ht="12.8" hidden="false" customHeight="false" outlineLevel="0" collapsed="false">
      <c r="B16116" s="0" t="s">
        <v>8</v>
      </c>
    </row>
    <row r="16118" customFormat="false" ht="12.8" hidden="false" customHeight="false" outlineLevel="0" collapsed="false">
      <c r="A16118" s="0" t="s">
        <v>7016</v>
      </c>
      <c r="B16118" s="0" t="str">
        <f aca="false">HYPERLINK("https://lindat.mff.cuni.cz/services/teitok/pdtc10/index.php?action=vallex&amp;frame=v-w10928f2", "nabobtnat (v-w10928f2)")</f>
        <v>nabobtnat (v-w10928f2)</v>
      </c>
      <c r="E16118" s="0" t="str">
        <f aca="false">HYPERLINK("https://lindat.mff.cuni.cz/services/SynSemClass40/SynSemClass40.html?veclass=vec00109#vec00109-ces-cm00086", "vec00109")</f>
        <v>vec00109</v>
      </c>
      <c r="F16118" s="0" t="s">
        <v>5143</v>
      </c>
    </row>
    <row r="16119" customFormat="false" ht="12.8" hidden="false" customHeight="false" outlineLevel="0" collapsed="false">
      <c r="B16119" s="0" t="s">
        <v>1</v>
      </c>
      <c r="C16119" s="0" t="s">
        <v>7017</v>
      </c>
      <c r="E16119" s="0" t="s">
        <v>235</v>
      </c>
      <c r="F16119" s="0" t="s">
        <v>5146</v>
      </c>
    </row>
    <row r="16120" customFormat="false" ht="12.8" hidden="false" customHeight="false" outlineLevel="0" collapsed="false">
      <c r="B16120" s="0" t="s">
        <v>69</v>
      </c>
      <c r="C16120" s="0" t="s">
        <v>5148</v>
      </c>
      <c r="E16120" s="0" t="s">
        <v>5149</v>
      </c>
      <c r="F16120" s="0" t="s">
        <v>5150</v>
      </c>
    </row>
    <row r="16121" customFormat="false" ht="12.8" hidden="false" customHeight="false" outlineLevel="0" collapsed="false">
      <c r="B16121" s="0" t="s">
        <v>36</v>
      </c>
      <c r="C16121" s="0" t="s">
        <v>5151</v>
      </c>
      <c r="E16121" s="0" t="s">
        <v>5152</v>
      </c>
      <c r="F16121" s="0" t="s">
        <v>5153</v>
      </c>
    </row>
    <row r="16123" customFormat="false" ht="12.8" hidden="false" customHeight="false" outlineLevel="0" collapsed="false">
      <c r="A16123" s="0" t="s">
        <v>7018</v>
      </c>
      <c r="B16123" s="0" t="str">
        <f aca="false">HYPERLINK("https://lindat.mff.cuni.cz/services/teitok/pdtc10/index.php?action=vallex&amp;frame=v-w1953f1", "nabourat (v-w1953f1)")</f>
        <v>nabourat (v-w1953f1)</v>
      </c>
    </row>
    <row r="16124" customFormat="false" ht="12.8" hidden="false" customHeight="false" outlineLevel="0" collapsed="false">
      <c r="B16124" s="0" t="s">
        <v>1</v>
      </c>
    </row>
    <row r="16125" customFormat="false" ht="12.8" hidden="false" customHeight="false" outlineLevel="0" collapsed="false">
      <c r="B16125" s="0" t="s">
        <v>8</v>
      </c>
    </row>
    <row r="16127" customFormat="false" ht="12.8" hidden="false" customHeight="false" outlineLevel="0" collapsed="false">
      <c r="A16127" s="0" t="s">
        <v>7019</v>
      </c>
      <c r="B16127" s="0" t="str">
        <f aca="false">HYPERLINK("https://lindat.mff.cuni.cz/services/teitok/pdtc10/index.php?action=vallex&amp;frame=v-w1953f2", "nabourat (v-w1953f2)")</f>
        <v>nabourat (v-w1953f2)</v>
      </c>
    </row>
    <row r="16128" customFormat="false" ht="12.8" hidden="false" customHeight="false" outlineLevel="0" collapsed="false">
      <c r="B16128" s="0" t="s">
        <v>1</v>
      </c>
    </row>
    <row r="16129" customFormat="false" ht="12.8" hidden="false" customHeight="false" outlineLevel="0" collapsed="false">
      <c r="B16129" s="0" t="s">
        <v>8</v>
      </c>
    </row>
    <row r="16131" customFormat="false" ht="12.8" hidden="false" customHeight="false" outlineLevel="0" collapsed="false">
      <c r="A16131" s="0" t="s">
        <v>7020</v>
      </c>
      <c r="B16131" s="0" t="str">
        <f aca="false">HYPERLINK("https://lindat.mff.cuni.cz/services/teitok/pdtc10/index.php?action=vallex&amp;frame=v-w1954f1", "nabourat se (v-w1954f1)")</f>
        <v>nabourat se (v-w1954f1)</v>
      </c>
    </row>
    <row r="16132" customFormat="false" ht="12.8" hidden="false" customHeight="false" outlineLevel="0" collapsed="false">
      <c r="B16132" s="0" t="s">
        <v>1</v>
      </c>
    </row>
    <row r="16134" customFormat="false" ht="12.8" hidden="false" customHeight="false" outlineLevel="0" collapsed="false">
      <c r="A16134" s="0" t="s">
        <v>7021</v>
      </c>
      <c r="B16134" s="0" t="str">
        <f aca="false">HYPERLINK("https://lindat.mff.cuni.cz/services/teitok/pdtc10/index.php?action=vallex&amp;frame=v-w1954hsa_339", "nabourat se (v-w1954hsa_339)")</f>
        <v>nabourat se (v-w1954hsa_339)</v>
      </c>
    </row>
    <row r="16135" customFormat="false" ht="12.8" hidden="false" customHeight="false" outlineLevel="0" collapsed="false">
      <c r="B16135" s="0" t="s">
        <v>1</v>
      </c>
    </row>
    <row r="16136" customFormat="false" ht="12.8" hidden="false" customHeight="false" outlineLevel="0" collapsed="false">
      <c r="B16136" s="0" t="s">
        <v>1187</v>
      </c>
    </row>
    <row r="16138" customFormat="false" ht="12.8" hidden="false" customHeight="false" outlineLevel="0" collapsed="false">
      <c r="A16138" s="0" t="s">
        <v>7022</v>
      </c>
      <c r="B16138" s="0" t="str">
        <f aca="false">HYPERLINK("https://lindat.mff.cuni.cz/services/teitok/pdtc10/index.php?action=vallex&amp;frame=v-w1955f1", "nabourávat (v-w1955f1)")</f>
        <v>nabourávat (v-w1955f1)</v>
      </c>
    </row>
    <row r="16139" customFormat="false" ht="12.8" hidden="false" customHeight="false" outlineLevel="0" collapsed="false">
      <c r="B16139" s="0" t="s">
        <v>1</v>
      </c>
    </row>
    <row r="16140" customFormat="false" ht="12.8" hidden="false" customHeight="false" outlineLevel="0" collapsed="false">
      <c r="B16140" s="0" t="s">
        <v>8</v>
      </c>
    </row>
    <row r="16142" customFormat="false" ht="12.8" hidden="false" customHeight="false" outlineLevel="0" collapsed="false">
      <c r="A16142" s="0" t="s">
        <v>7023</v>
      </c>
      <c r="B16142" s="0" t="str">
        <f aca="false">HYPERLINK("https://lindat.mff.cuni.cz/services/teitok/pdtc10/index.php?action=vallex&amp;frame=v-w12289_MMf1_MM", "nabořit (v-w12289_MMf1_MM)")</f>
        <v>nabořit (v-w12289_MMf1_MM)</v>
      </c>
    </row>
    <row r="16143" customFormat="false" ht="12.8" hidden="false" customHeight="false" outlineLevel="0" collapsed="false">
      <c r="B16143" s="0" t="s">
        <v>1</v>
      </c>
    </row>
    <row r="16144" customFormat="false" ht="12.8" hidden="false" customHeight="false" outlineLevel="0" collapsed="false">
      <c r="B16144" s="0" t="s">
        <v>8</v>
      </c>
    </row>
    <row r="16145" customFormat="false" ht="12.8" hidden="false" customHeight="false" outlineLevel="0" collapsed="false">
      <c r="B16145" s="0" t="s">
        <v>52</v>
      </c>
    </row>
    <row r="16147" customFormat="false" ht="12.8" hidden="false" customHeight="false" outlineLevel="0" collapsed="false">
      <c r="A16147" s="0" t="s">
        <v>7024</v>
      </c>
      <c r="B16147" s="0" t="str">
        <f aca="false">HYPERLINK("https://lindat.mff.cuni.cz/services/teitok/pdtc10/index.php?action=vallex&amp;frame=v-w1956f1", "nabrat (v-w1956f1)")</f>
        <v>nabrat (v-w1956f1)</v>
      </c>
      <c r="E16147" s="0" t="str">
        <f aca="false">HYPERLINK("https://lindat.mff.cuni.cz/services/SynSemClass40/SynSemClass40.html?veclass=vec00586#vec00586-ces-cm00250", "vec00586")</f>
        <v>vec00586</v>
      </c>
      <c r="F16147" s="0" t="s">
        <v>2831</v>
      </c>
    </row>
    <row r="16148" customFormat="false" ht="12.8" hidden="false" customHeight="false" outlineLevel="0" collapsed="false">
      <c r="B16148" s="0" t="s">
        <v>1</v>
      </c>
      <c r="C16148" s="0" t="s">
        <v>2832</v>
      </c>
      <c r="E16148" s="0" t="s">
        <v>1567</v>
      </c>
      <c r="F16148" s="0" t="s">
        <v>2833</v>
      </c>
    </row>
    <row r="16149" customFormat="false" ht="12.8" hidden="false" customHeight="false" outlineLevel="0" collapsed="false">
      <c r="B16149" s="0" t="s">
        <v>5032</v>
      </c>
      <c r="C16149" s="0" t="s">
        <v>2834</v>
      </c>
      <c r="E16149" s="0" t="s">
        <v>2111</v>
      </c>
      <c r="F16149" s="0" t="s">
        <v>2835</v>
      </c>
    </row>
    <row r="16151" customFormat="false" ht="12.8" hidden="false" customHeight="false" outlineLevel="0" collapsed="false">
      <c r="A16151" s="0" t="s">
        <v>7025</v>
      </c>
      <c r="B16151" s="0" t="str">
        <f aca="false">HYPERLINK("https://lindat.mff.cuni.cz/services/teitok/pdtc10/index.php?action=vallex&amp;frame=v-w1956f2", "nabrat (v-w1956f2)")</f>
        <v>nabrat (v-w1956f2)</v>
      </c>
    </row>
    <row r="16152" customFormat="false" ht="12.8" hidden="false" customHeight="false" outlineLevel="0" collapsed="false">
      <c r="B16152" s="0" t="s">
        <v>1</v>
      </c>
    </row>
    <row r="16153" customFormat="false" ht="12.8" hidden="false" customHeight="false" outlineLevel="0" collapsed="false">
      <c r="B16153" s="0" t="s">
        <v>5032</v>
      </c>
    </row>
    <row r="16155" customFormat="false" ht="12.8" hidden="false" customHeight="false" outlineLevel="0" collapsed="false">
      <c r="A16155" s="0" t="s">
        <v>7026</v>
      </c>
      <c r="B16155" s="0" t="str">
        <f aca="false">HYPERLINK("https://lindat.mff.cuni.cz/services/teitok/pdtc10/index.php?action=vallex&amp;frame=v-w1956f3_ZU", "nabrat (v-w1956f3_ZU)")</f>
        <v>nabrat (v-w1956f3_ZU)</v>
      </c>
    </row>
    <row r="16156" customFormat="false" ht="12.8" hidden="false" customHeight="false" outlineLevel="0" collapsed="false">
      <c r="B16156" s="0" t="s">
        <v>1</v>
      </c>
    </row>
    <row r="16157" customFormat="false" ht="12.8" hidden="false" customHeight="false" outlineLevel="0" collapsed="false">
      <c r="B16157" s="0" t="s">
        <v>8</v>
      </c>
    </row>
    <row r="16159" customFormat="false" ht="12.8" hidden="false" customHeight="false" outlineLevel="0" collapsed="false">
      <c r="A16159" s="0" t="s">
        <v>7027</v>
      </c>
      <c r="B16159" s="0" t="str">
        <f aca="false">HYPERLINK("https://lindat.mff.cuni.cz/services/teitok/pdtc10/index.php?action=vallex&amp;frame=v-w1956f5_ZU", "nabrat (v-w1956f5_ZU)")</f>
        <v>nabrat (v-w1956f5_ZU)</v>
      </c>
    </row>
    <row r="16160" customFormat="false" ht="12.8" hidden="false" customHeight="false" outlineLevel="0" collapsed="false">
      <c r="B16160" s="0" t="s">
        <v>1</v>
      </c>
    </row>
    <row r="16161" customFormat="false" ht="12.8" hidden="false" customHeight="false" outlineLevel="0" collapsed="false">
      <c r="B16161" s="0" t="s">
        <v>7028</v>
      </c>
    </row>
    <row r="16162" customFormat="false" ht="12.8" hidden="false" customHeight="false" outlineLevel="0" collapsed="false">
      <c r="B16162" s="0" t="s">
        <v>8</v>
      </c>
    </row>
    <row r="16164" customFormat="false" ht="12.8" hidden="false" customHeight="false" outlineLevel="0" collapsed="false">
      <c r="A16164" s="0" t="s">
        <v>7027</v>
      </c>
      <c r="B16164" s="0" t="str">
        <f aca="false">HYPERLINK("https://lindat.mff.cuni.cz/services/teitok/pdtc10/index.php?action=vallex&amp;frame=v-w1956f4_ZU", "nabrat (v-w1956f4_ZU) - substituted with v-w1956f5_ZU")</f>
        <v>nabrat (v-w1956f4_ZU) - substituted with v-w1956f5_ZU</v>
      </c>
    </row>
    <row r="16165" customFormat="false" ht="12.8" hidden="false" customHeight="false" outlineLevel="0" collapsed="false">
      <c r="B16165" s="0" t="s">
        <v>1</v>
      </c>
    </row>
    <row r="16166" customFormat="false" ht="12.8" hidden="false" customHeight="false" outlineLevel="0" collapsed="false">
      <c r="B16166" s="0" t="s">
        <v>7028</v>
      </c>
    </row>
    <row r="16167" customFormat="false" ht="12.8" hidden="false" customHeight="false" outlineLevel="0" collapsed="false">
      <c r="B16167" s="0" t="s">
        <v>8</v>
      </c>
    </row>
    <row r="16169" customFormat="false" ht="12.8" hidden="false" customHeight="false" outlineLevel="0" collapsed="false">
      <c r="A16169" s="0" t="s">
        <v>7029</v>
      </c>
      <c r="B16169" s="0" t="str">
        <f aca="false">HYPERLINK("https://lindat.mff.cuni.cz/services/teitok/pdtc10/index.php?action=vallex&amp;frame=v-w1956hsa_243", "nabrat (v-w1956hsa_243)")</f>
        <v>nabrat (v-w1956hsa_243)</v>
      </c>
    </row>
    <row r="16170" customFormat="false" ht="12.8" hidden="false" customHeight="false" outlineLevel="0" collapsed="false">
      <c r="B16170" s="0" t="s">
        <v>1</v>
      </c>
    </row>
    <row r="16171" customFormat="false" ht="12.8" hidden="false" customHeight="false" outlineLevel="0" collapsed="false">
      <c r="B16171" s="0" t="s">
        <v>8</v>
      </c>
    </row>
    <row r="16173" customFormat="false" ht="12.8" hidden="false" customHeight="false" outlineLevel="0" collapsed="false">
      <c r="A16173" s="0" t="s">
        <v>7030</v>
      </c>
      <c r="B16173" s="0" t="str">
        <f aca="false">HYPERLINK("https://lindat.mff.cuni.cz/services/teitok/pdtc10/index.php?action=vallex&amp;frame=v-w12155_ZUf1_ZU", "nabrousit (v-w12155_ZUf1_ZU)")</f>
        <v>nabrousit (v-w12155_ZUf1_ZU)</v>
      </c>
    </row>
    <row r="16174" customFormat="false" ht="12.8" hidden="false" customHeight="false" outlineLevel="0" collapsed="false">
      <c r="B16174" s="0" t="s">
        <v>1</v>
      </c>
    </row>
    <row r="16175" customFormat="false" ht="12.8" hidden="false" customHeight="false" outlineLevel="0" collapsed="false">
      <c r="B16175" s="0" t="s">
        <v>8</v>
      </c>
    </row>
    <row r="16177" customFormat="false" ht="12.8" hidden="false" customHeight="false" outlineLevel="0" collapsed="false">
      <c r="A16177" s="0" t="s">
        <v>7031</v>
      </c>
      <c r="B16177" s="0" t="str">
        <f aca="false">HYPERLINK("https://lindat.mff.cuni.cz/services/teitok/pdtc10/index.php?action=vallex&amp;frame=v-w1933hsa_1230", "nabádat (v-w1933hsa_1230)")</f>
        <v>nabádat (v-w1933hsa_1230)</v>
      </c>
    </row>
    <row r="16178" customFormat="false" ht="12.8" hidden="false" customHeight="false" outlineLevel="0" collapsed="false">
      <c r="B16178" s="0" t="s">
        <v>1</v>
      </c>
    </row>
    <row r="16179" customFormat="false" ht="12.8" hidden="false" customHeight="false" outlineLevel="0" collapsed="false">
      <c r="B16179" s="0" t="s">
        <v>98</v>
      </c>
    </row>
    <row r="16180" customFormat="false" ht="12.8" hidden="false" customHeight="false" outlineLevel="0" collapsed="false">
      <c r="B16180" s="0" t="s">
        <v>7032</v>
      </c>
    </row>
    <row r="16182" customFormat="false" ht="12.8" hidden="false" customHeight="false" outlineLevel="0" collapsed="false">
      <c r="A16182" s="0" t="s">
        <v>7031</v>
      </c>
      <c r="B16182" s="0" t="str">
        <f aca="false">HYPERLINK("https://lindat.mff.cuni.cz/services/teitok/pdtc10/index.php?action=vallex&amp;frame=v-w1933f1", "nabádat (v-w1933f1) - substituted with v-w1933hsa_1230")</f>
        <v>nabádat (v-w1933f1) - substituted with v-w1933hsa_1230</v>
      </c>
    </row>
    <row r="16183" customFormat="false" ht="12.8" hidden="false" customHeight="false" outlineLevel="0" collapsed="false">
      <c r="B16183" s="0" t="s">
        <v>1</v>
      </c>
    </row>
    <row r="16184" customFormat="false" ht="12.8" hidden="false" customHeight="false" outlineLevel="0" collapsed="false">
      <c r="B16184" s="0" t="s">
        <v>98</v>
      </c>
    </row>
    <row r="16185" customFormat="false" ht="12.8" hidden="false" customHeight="false" outlineLevel="0" collapsed="false">
      <c r="B16185" s="0" t="s">
        <v>7032</v>
      </c>
    </row>
    <row r="16187" customFormat="false" ht="12.8" hidden="false" customHeight="false" outlineLevel="0" collapsed="false">
      <c r="A16187" s="0" t="s">
        <v>7033</v>
      </c>
      <c r="B16187" s="0" t="str">
        <f aca="false">HYPERLINK("https://lindat.mff.cuni.cz/services/teitok/pdtc10/index.php?action=vallex&amp;frame=v-w1940f2_ZU", "nabídnout (v-w1940f2_ZU)")</f>
        <v>nabídnout (v-w1940f2_ZU)</v>
      </c>
    </row>
    <row r="16188" customFormat="false" ht="12.8" hidden="false" customHeight="false" outlineLevel="0" collapsed="false">
      <c r="B16188" s="0" t="s">
        <v>1</v>
      </c>
    </row>
    <row r="16189" customFormat="false" ht="12.8" hidden="false" customHeight="false" outlineLevel="0" collapsed="false">
      <c r="B16189" s="0" t="s">
        <v>7034</v>
      </c>
    </row>
    <row r="16190" customFormat="false" ht="12.8" hidden="false" customHeight="false" outlineLevel="0" collapsed="false">
      <c r="B16190" s="0" t="s">
        <v>52</v>
      </c>
    </row>
    <row r="16191" customFormat="false" ht="12.8" hidden="false" customHeight="false" outlineLevel="0" collapsed="false">
      <c r="B16191" s="0" t="s">
        <v>723</v>
      </c>
    </row>
    <row r="16193" customFormat="false" ht="12.8" hidden="false" customHeight="false" outlineLevel="0" collapsed="false">
      <c r="A16193" s="0" t="s">
        <v>7033</v>
      </c>
      <c r="B16193" s="0" t="str">
        <f aca="false">HYPERLINK("https://lindat.mff.cuni.cz/services/teitok/pdtc10/index.php?action=vallex&amp;frame=v-w1940f1", "nabídnout (v-w1940f1) - substituted with v-w1940f2_ZU")</f>
        <v>nabídnout (v-w1940f1) - substituted with v-w1940f2_ZU</v>
      </c>
      <c r="E16193" s="0" t="str">
        <f aca="false">HYPERLINK("https://lindat.mff.cuni.cz/services/SynSemClass40/SynSemClass40.html?veclass=vec00033#vec00033-ces-cm00001", "vec00033")</f>
        <v>vec00033</v>
      </c>
      <c r="F16193" s="0" t="s">
        <v>3408</v>
      </c>
    </row>
    <row r="16194" customFormat="false" ht="12.8" hidden="false" customHeight="false" outlineLevel="0" collapsed="false">
      <c r="B16194" s="0" t="s">
        <v>1</v>
      </c>
      <c r="C16194" s="0" t="s">
        <v>3468</v>
      </c>
      <c r="E16194" s="0" t="s">
        <v>3410</v>
      </c>
      <c r="F16194" s="0" t="s">
        <v>3411</v>
      </c>
    </row>
    <row r="16195" customFormat="false" ht="12.8" hidden="false" customHeight="false" outlineLevel="0" collapsed="false">
      <c r="B16195" s="0" t="s">
        <v>7034</v>
      </c>
      <c r="C16195" s="0" t="s">
        <v>3525</v>
      </c>
      <c r="E16195" s="0" t="s">
        <v>3413</v>
      </c>
      <c r="F16195" s="0" t="s">
        <v>3414</v>
      </c>
    </row>
    <row r="16196" customFormat="false" ht="12.8" hidden="false" customHeight="false" outlineLevel="0" collapsed="false">
      <c r="B16196" s="0" t="s">
        <v>52</v>
      </c>
      <c r="C16196" s="0" t="s">
        <v>3415</v>
      </c>
      <c r="E16196" s="0" t="s">
        <v>53</v>
      </c>
      <c r="F16196" s="0" t="s">
        <v>3416</v>
      </c>
    </row>
    <row r="16197" customFormat="false" ht="12.8" hidden="false" customHeight="false" outlineLevel="0" collapsed="false">
      <c r="B16197" s="0" t="s">
        <v>723</v>
      </c>
    </row>
    <row r="16199" customFormat="false" ht="12.8" hidden="false" customHeight="false" outlineLevel="0" collapsed="false">
      <c r="A16199" s="0" t="s">
        <v>7035</v>
      </c>
      <c r="B16199" s="0" t="str">
        <f aca="false">HYPERLINK("https://lindat.mff.cuni.cz/services/teitok/pdtc10/index.php?action=vallex&amp;frame=v-w11517_ZUf1_ZU", "nabídnout se (v-w11517_ZUf1_ZU)")</f>
        <v>nabídnout se (v-w11517_ZUf1_ZU)</v>
      </c>
      <c r="E16199" s="0" t="str">
        <f aca="false">HYPERLINK("https://lindat.mff.cuni.cz/services/SynSemClass40/SynSemClass40.html?veclass=vec00033#vec00033-ces-cm00031", "vec00033")</f>
        <v>vec00033</v>
      </c>
      <c r="F16199" s="0" t="s">
        <v>3408</v>
      </c>
    </row>
    <row r="16200" customFormat="false" ht="12.8" hidden="false" customHeight="false" outlineLevel="0" collapsed="false">
      <c r="B16200" s="0" t="s">
        <v>1</v>
      </c>
      <c r="C16200" s="0" t="s">
        <v>3468</v>
      </c>
      <c r="E16200" s="0" t="s">
        <v>3410</v>
      </c>
      <c r="F16200" s="0" t="s">
        <v>3411</v>
      </c>
    </row>
    <row r="16201" customFormat="false" ht="12.8" hidden="false" customHeight="false" outlineLevel="0" collapsed="false">
      <c r="B16201" s="0" t="s">
        <v>7036</v>
      </c>
      <c r="C16201" s="0" t="s">
        <v>3525</v>
      </c>
      <c r="E16201" s="0" t="s">
        <v>3413</v>
      </c>
      <c r="F16201" s="0" t="s">
        <v>3414</v>
      </c>
    </row>
    <row r="16202" customFormat="false" ht="12.8" hidden="false" customHeight="false" outlineLevel="0" collapsed="false">
      <c r="B16202" s="0" t="s">
        <v>52</v>
      </c>
      <c r="C16202" s="0" t="s">
        <v>3415</v>
      </c>
      <c r="E16202" s="0" t="s">
        <v>53</v>
      </c>
      <c r="F16202" s="0" t="s">
        <v>3416</v>
      </c>
    </row>
    <row r="16204" customFormat="false" ht="12.8" hidden="false" customHeight="false" outlineLevel="0" collapsed="false">
      <c r="A16204" s="0" t="s">
        <v>7037</v>
      </c>
      <c r="B16204" s="0" t="str">
        <f aca="false">HYPERLINK("https://lindat.mff.cuni.cz/services/teitok/pdtc10/index.php?action=vallex&amp;frame=v-w1942f2", "nabíhat (v-w1942f2)")</f>
        <v>nabíhat (v-w1942f2)</v>
      </c>
    </row>
    <row r="16205" customFormat="false" ht="12.8" hidden="false" customHeight="false" outlineLevel="0" collapsed="false">
      <c r="B16205" s="0" t="s">
        <v>1</v>
      </c>
    </row>
    <row r="16206" customFormat="false" ht="12.8" hidden="false" customHeight="false" outlineLevel="0" collapsed="false">
      <c r="B16206" s="0" t="s">
        <v>1187</v>
      </c>
    </row>
    <row r="16208" customFormat="false" ht="12.8" hidden="false" customHeight="false" outlineLevel="0" collapsed="false">
      <c r="A16208" s="0" t="s">
        <v>7038</v>
      </c>
      <c r="B16208" s="0" t="str">
        <f aca="false">HYPERLINK("https://lindat.mff.cuni.cz/services/teitok/pdtc10/index.php?action=vallex&amp;frame=v-w1942f1", "nabíhat (v-w1942f1)")</f>
        <v>nabíhat (v-w1942f1)</v>
      </c>
    </row>
    <row r="16209" customFormat="false" ht="12.8" hidden="false" customHeight="false" outlineLevel="0" collapsed="false">
      <c r="B16209" s="0" t="s">
        <v>1</v>
      </c>
    </row>
    <row r="16211" customFormat="false" ht="12.8" hidden="false" customHeight="false" outlineLevel="0" collapsed="false">
      <c r="A16211" s="0" t="s">
        <v>7039</v>
      </c>
      <c r="B16211" s="0" t="str">
        <f aca="false">HYPERLINK("https://lindat.mff.cuni.cz/services/teitok/pdtc10/index.php?action=vallex&amp;frame=v-w1943f2", "nabírat (v-w1943f2)")</f>
        <v>nabírat (v-w1943f2)</v>
      </c>
    </row>
    <row r="16212" customFormat="false" ht="12.8" hidden="false" customHeight="false" outlineLevel="0" collapsed="false">
      <c r="B16212" s="0" t="s">
        <v>1</v>
      </c>
    </row>
    <row r="16213" customFormat="false" ht="12.8" hidden="false" customHeight="false" outlineLevel="0" collapsed="false">
      <c r="B16213" s="0" t="s">
        <v>8</v>
      </c>
    </row>
    <row r="16215" customFormat="false" ht="12.8" hidden="false" customHeight="false" outlineLevel="0" collapsed="false">
      <c r="A16215" s="0" t="s">
        <v>7040</v>
      </c>
      <c r="B16215" s="0" t="str">
        <f aca="false">HYPERLINK("https://lindat.mff.cuni.cz/services/teitok/pdtc10/index.php?action=vallex&amp;frame=v-w1943f3_ZU", "nabírat (v-w1943f3_ZU)")</f>
        <v>nabírat (v-w1943f3_ZU)</v>
      </c>
    </row>
    <row r="16216" customFormat="false" ht="12.8" hidden="false" customHeight="false" outlineLevel="0" collapsed="false">
      <c r="B16216" s="0" t="s">
        <v>1</v>
      </c>
    </row>
    <row r="16217" customFormat="false" ht="12.8" hidden="false" customHeight="false" outlineLevel="0" collapsed="false">
      <c r="B16217" s="0" t="s">
        <v>7041</v>
      </c>
    </row>
    <row r="16219" customFormat="false" ht="12.8" hidden="false" customHeight="false" outlineLevel="0" collapsed="false">
      <c r="A16219" s="0" t="s">
        <v>7040</v>
      </c>
      <c r="B16219" s="0" t="str">
        <f aca="false">HYPERLINK("https://lindat.mff.cuni.cz/services/teitok/pdtc10/index.php?action=vallex&amp;frame=v-w1943f1", "nabírat (v-w1943f1) - substituted with v-w1943f3_ZU")</f>
        <v>nabírat (v-w1943f1) - substituted with v-w1943f3_ZU</v>
      </c>
    </row>
    <row r="16220" customFormat="false" ht="12.8" hidden="false" customHeight="false" outlineLevel="0" collapsed="false">
      <c r="B16220" s="0" t="s">
        <v>1</v>
      </c>
    </row>
    <row r="16221" customFormat="false" ht="12.8" hidden="false" customHeight="false" outlineLevel="0" collapsed="false">
      <c r="B16221" s="0" t="s">
        <v>7041</v>
      </c>
    </row>
    <row r="16223" customFormat="false" ht="12.8" hidden="false" customHeight="false" outlineLevel="0" collapsed="false">
      <c r="A16223" s="0" t="s">
        <v>7042</v>
      </c>
      <c r="B16223" s="0" t="str">
        <f aca="false">HYPERLINK("https://lindat.mff.cuni.cz/services/teitok/pdtc10/index.php?action=vallex&amp;frame=v-w1943hsa_471", "nabírat (v-w1943hsa_471)")</f>
        <v>nabírat (v-w1943hsa_471)</v>
      </c>
    </row>
    <row r="16224" customFormat="false" ht="12.8" hidden="false" customHeight="false" outlineLevel="0" collapsed="false">
      <c r="B16224" s="0" t="s">
        <v>1</v>
      </c>
    </row>
    <row r="16225" customFormat="false" ht="12.8" hidden="false" customHeight="false" outlineLevel="0" collapsed="false">
      <c r="B16225" s="0" t="s">
        <v>8</v>
      </c>
    </row>
    <row r="16227" customFormat="false" ht="12.8" hidden="false" customHeight="false" outlineLevel="0" collapsed="false">
      <c r="A16227" s="0" t="s">
        <v>7043</v>
      </c>
      <c r="B16227" s="0" t="str">
        <f aca="false">HYPERLINK("https://lindat.mff.cuni.cz/services/teitok/pdtc10/index.php?action=vallex&amp;frame=v-w1943hsa_1482", "nabírat (v-w1943hsa_1482)")</f>
        <v>nabírat (v-w1943hsa_1482)</v>
      </c>
    </row>
    <row r="16228" customFormat="false" ht="12.8" hidden="false" customHeight="false" outlineLevel="0" collapsed="false">
      <c r="B16228" s="0" t="s">
        <v>1</v>
      </c>
    </row>
    <row r="16229" customFormat="false" ht="12.8" hidden="false" customHeight="false" outlineLevel="0" collapsed="false">
      <c r="B16229" s="0" t="s">
        <v>8</v>
      </c>
    </row>
    <row r="16231" customFormat="false" ht="12.8" hidden="false" customHeight="false" outlineLevel="0" collapsed="false">
      <c r="A16231" s="0" t="s">
        <v>7044</v>
      </c>
      <c r="B16231" s="0" t="str">
        <f aca="false">HYPERLINK("https://lindat.mff.cuni.cz/services/teitok/pdtc10/index.php?action=vallex&amp;frame=v-w10239f3", "nabít (v-w10239f3)")</f>
        <v>nabít (v-w10239f3)</v>
      </c>
    </row>
    <row r="16232" customFormat="false" ht="12.8" hidden="false" customHeight="false" outlineLevel="0" collapsed="false">
      <c r="B16232" s="0" t="s">
        <v>1</v>
      </c>
    </row>
    <row r="16233" customFormat="false" ht="12.8" hidden="false" customHeight="false" outlineLevel="0" collapsed="false">
      <c r="B16233" s="0" t="s">
        <v>8</v>
      </c>
    </row>
    <row r="16234" customFormat="false" ht="12.8" hidden="false" customHeight="false" outlineLevel="0" collapsed="false">
      <c r="B16234" s="0" t="s">
        <v>7045</v>
      </c>
    </row>
    <row r="16236" customFormat="false" ht="12.8" hidden="false" customHeight="false" outlineLevel="0" collapsed="false">
      <c r="A16236" s="0" t="s">
        <v>7046</v>
      </c>
      <c r="B16236" s="0" t="str">
        <f aca="false">HYPERLINK("https://lindat.mff.cuni.cz/services/teitok/pdtc10/index.php?action=vallex&amp;frame=v-w10239f4_ZU", "nabít (v-w10239f4_ZU)")</f>
        <v>nabít (v-w10239f4_ZU)</v>
      </c>
    </row>
    <row r="16237" customFormat="false" ht="12.8" hidden="false" customHeight="false" outlineLevel="0" collapsed="false">
      <c r="B16237" s="0" t="s">
        <v>1</v>
      </c>
    </row>
    <row r="16238" customFormat="false" ht="12.8" hidden="false" customHeight="false" outlineLevel="0" collapsed="false">
      <c r="B16238" s="0" t="s">
        <v>8</v>
      </c>
    </row>
    <row r="16239" customFormat="false" ht="12.8" hidden="false" customHeight="false" outlineLevel="0" collapsed="false">
      <c r="B16239" s="0" t="s">
        <v>454</v>
      </c>
    </row>
    <row r="16241" customFormat="false" ht="12.8" hidden="false" customHeight="false" outlineLevel="0" collapsed="false">
      <c r="A16241" s="0" t="s">
        <v>7047</v>
      </c>
      <c r="B16241" s="0" t="str">
        <f aca="false">HYPERLINK("https://lindat.mff.cuni.cz/services/teitok/pdtc10/index.php?action=vallex&amp;frame=v-w1949f2_ZU", "nabízet (v-w1949f2_ZU)")</f>
        <v>nabízet (v-w1949f2_ZU)</v>
      </c>
    </row>
    <row r="16242" customFormat="false" ht="12.8" hidden="false" customHeight="false" outlineLevel="0" collapsed="false">
      <c r="B16242" s="0" t="s">
        <v>1</v>
      </c>
    </row>
    <row r="16243" customFormat="false" ht="12.8" hidden="false" customHeight="false" outlineLevel="0" collapsed="false">
      <c r="B16243" s="0" t="s">
        <v>6636</v>
      </c>
    </row>
    <row r="16244" customFormat="false" ht="12.8" hidden="false" customHeight="false" outlineLevel="0" collapsed="false">
      <c r="B16244" s="0" t="s">
        <v>52</v>
      </c>
    </row>
    <row r="16245" customFormat="false" ht="12.8" hidden="false" customHeight="false" outlineLevel="0" collapsed="false">
      <c r="B16245" s="0" t="s">
        <v>723</v>
      </c>
    </row>
    <row r="16247" customFormat="false" ht="12.8" hidden="false" customHeight="false" outlineLevel="0" collapsed="false">
      <c r="A16247" s="0" t="s">
        <v>7047</v>
      </c>
      <c r="B16247" s="0" t="str">
        <f aca="false">HYPERLINK("https://lindat.mff.cuni.cz/services/teitok/pdtc10/index.php?action=vallex&amp;frame=v-w1949f1", "nabízet (v-w1949f1) - substituted with v-w1949f2_ZU")</f>
        <v>nabízet (v-w1949f1) - substituted with v-w1949f2_ZU</v>
      </c>
      <c r="E16247" s="0" t="str">
        <f aca="false">HYPERLINK("https://lindat.mff.cuni.cz/services/SynSemClass40/SynSemClass40.html?veclass=vec00033#vec00033-ces-cm00032", "vec00033")</f>
        <v>vec00033</v>
      </c>
      <c r="F16247" s="0" t="s">
        <v>3408</v>
      </c>
    </row>
    <row r="16248" customFormat="false" ht="12.8" hidden="false" customHeight="false" outlineLevel="0" collapsed="false">
      <c r="B16248" s="0" t="s">
        <v>1</v>
      </c>
      <c r="C16248" s="0" t="s">
        <v>3468</v>
      </c>
      <c r="E16248" s="0" t="s">
        <v>3410</v>
      </c>
      <c r="F16248" s="0" t="s">
        <v>3411</v>
      </c>
    </row>
    <row r="16249" customFormat="false" ht="12.8" hidden="false" customHeight="false" outlineLevel="0" collapsed="false">
      <c r="B16249" s="0" t="s">
        <v>6636</v>
      </c>
      <c r="C16249" s="0" t="s">
        <v>3525</v>
      </c>
      <c r="E16249" s="0" t="s">
        <v>3413</v>
      </c>
      <c r="F16249" s="0" t="s">
        <v>3414</v>
      </c>
    </row>
    <row r="16250" customFormat="false" ht="12.8" hidden="false" customHeight="false" outlineLevel="0" collapsed="false">
      <c r="B16250" s="0" t="s">
        <v>52</v>
      </c>
      <c r="C16250" s="0" t="s">
        <v>3415</v>
      </c>
      <c r="E16250" s="0" t="s">
        <v>53</v>
      </c>
      <c r="F16250" s="0" t="s">
        <v>3416</v>
      </c>
    </row>
    <row r="16251" customFormat="false" ht="12.8" hidden="false" customHeight="false" outlineLevel="0" collapsed="false">
      <c r="B16251" s="0" t="s">
        <v>723</v>
      </c>
    </row>
    <row r="16253" customFormat="false" ht="12.8" hidden="false" customHeight="false" outlineLevel="0" collapsed="false">
      <c r="A16253" s="0" t="s">
        <v>7048</v>
      </c>
      <c r="B16253" s="0" t="str">
        <f aca="false">HYPERLINK("https://lindat.mff.cuni.cz/services/teitok/pdtc10/index.php?action=vallex&amp;frame=v-w1950f2", "nabízet se (v-w1950f2)")</f>
        <v>nabízet se (v-w1950f2)</v>
      </c>
    </row>
    <row r="16254" customFormat="false" ht="12.8" hidden="false" customHeight="false" outlineLevel="0" collapsed="false">
      <c r="B16254" s="0" t="s">
        <v>7049</v>
      </c>
    </row>
    <row r="16255" customFormat="false" ht="12.8" hidden="false" customHeight="false" outlineLevel="0" collapsed="false">
      <c r="B16255" s="0" t="s">
        <v>186</v>
      </c>
    </row>
    <row r="16257" customFormat="false" ht="12.8" hidden="false" customHeight="false" outlineLevel="0" collapsed="false">
      <c r="A16257" s="0" t="s">
        <v>7050</v>
      </c>
      <c r="B16257" s="0" t="str">
        <f aca="false">HYPERLINK("https://lindat.mff.cuni.cz/services/teitok/pdtc10/index.php?action=vallex&amp;frame=v-w1950f1", "nabízet se (v-w1950f1)")</f>
        <v>nabízet se (v-w1950f1)</v>
      </c>
    </row>
    <row r="16258" customFormat="false" ht="12.8" hidden="false" customHeight="false" outlineLevel="0" collapsed="false">
      <c r="B16258" s="0" t="s">
        <v>7051</v>
      </c>
    </row>
    <row r="16259" customFormat="false" ht="12.8" hidden="false" customHeight="false" outlineLevel="0" collapsed="false">
      <c r="B16259" s="0" t="s">
        <v>7052</v>
      </c>
    </row>
    <row r="16261" customFormat="false" ht="12.8" hidden="false" customHeight="false" outlineLevel="0" collapsed="false">
      <c r="A16261" s="0" t="s">
        <v>7053</v>
      </c>
      <c r="B16261" s="0" t="str">
        <f aca="false">HYPERLINK("https://lindat.mff.cuni.cz/services/teitok/pdtc10/index.php?action=vallex&amp;frame=v-w1957f1", "nabýt (v-w1957f1)")</f>
        <v>nabýt (v-w1957f1)</v>
      </c>
      <c r="E16261" s="0" t="str">
        <f aca="false">HYPERLINK("https://lindat.mff.cuni.cz/services/SynSemClass40/SynSemClass40.html?veclass=vec00586#vec00586-ces-cm00108", "vec00586")</f>
        <v>vec00586</v>
      </c>
      <c r="F16261" s="0" t="s">
        <v>2831</v>
      </c>
    </row>
    <row r="16262" customFormat="false" ht="12.8" hidden="false" customHeight="false" outlineLevel="0" collapsed="false">
      <c r="B16262" s="0" t="s">
        <v>1</v>
      </c>
      <c r="C16262" s="0" t="s">
        <v>2832</v>
      </c>
      <c r="E16262" s="0" t="s">
        <v>1567</v>
      </c>
      <c r="F16262" s="0" t="s">
        <v>2833</v>
      </c>
    </row>
    <row r="16263" customFormat="false" ht="12.8" hidden="false" customHeight="false" outlineLevel="0" collapsed="false">
      <c r="B16263" s="0" t="s">
        <v>5032</v>
      </c>
      <c r="C16263" s="0" t="s">
        <v>2834</v>
      </c>
      <c r="E16263" s="0" t="s">
        <v>2111</v>
      </c>
      <c r="F16263" s="0" t="s">
        <v>2835</v>
      </c>
    </row>
    <row r="16265" customFormat="false" ht="12.8" hidden="false" customHeight="false" outlineLevel="0" collapsed="false">
      <c r="A16265" s="0" t="s">
        <v>7054</v>
      </c>
      <c r="B16265" s="0" t="str">
        <f aca="false">HYPERLINK("https://lindat.mff.cuni.cz/services/teitok/pdtc10/index.php?action=vallex&amp;frame=v-w1957f3", "nabýt (v-w1957f3)")</f>
        <v>nabýt (v-w1957f3)</v>
      </c>
      <c r="E16265" s="0" t="str">
        <f aca="false">HYPERLINK("https://lindat.mff.cuni.cz/services/SynSemClass40/SynSemClass40.html?veclass=vec00586#vec00586-ces-cm00110", "vec00586")</f>
        <v>vec00586</v>
      </c>
      <c r="F16265" s="0" t="s">
        <v>2831</v>
      </c>
    </row>
    <row r="16266" customFormat="false" ht="12.8" hidden="false" customHeight="false" outlineLevel="0" collapsed="false">
      <c r="B16266" s="0" t="s">
        <v>1</v>
      </c>
      <c r="C16266" s="0" t="s">
        <v>2832</v>
      </c>
      <c r="E16266" s="0" t="s">
        <v>1567</v>
      </c>
      <c r="F16266" s="0" t="s">
        <v>2833</v>
      </c>
    </row>
    <row r="16267" customFormat="false" ht="12.8" hidden="false" customHeight="false" outlineLevel="0" collapsed="false">
      <c r="B16267" s="0" t="s">
        <v>291</v>
      </c>
      <c r="C16267" s="0" t="s">
        <v>2834</v>
      </c>
      <c r="E16267" s="0" t="s">
        <v>2111</v>
      </c>
      <c r="F16267" s="0" t="s">
        <v>2835</v>
      </c>
    </row>
    <row r="16269" customFormat="false" ht="12.8" hidden="false" customHeight="false" outlineLevel="0" collapsed="false">
      <c r="A16269" s="0" t="s">
        <v>7055</v>
      </c>
      <c r="B16269" s="0" t="str">
        <f aca="false">HYPERLINK("https://lindat.mff.cuni.cz/services/teitok/pdtc10/index.php?action=vallex&amp;frame=v-w1957f2", "nabýt (v-w1957f2)")</f>
        <v>nabýt (v-w1957f2)</v>
      </c>
    </row>
    <row r="16270" customFormat="false" ht="12.8" hidden="false" customHeight="false" outlineLevel="0" collapsed="false">
      <c r="B16270" s="0" t="s">
        <v>1</v>
      </c>
    </row>
    <row r="16271" customFormat="false" ht="12.8" hidden="false" customHeight="false" outlineLevel="0" collapsed="false">
      <c r="B16271" s="0" t="s">
        <v>7056</v>
      </c>
    </row>
    <row r="16272" customFormat="false" ht="12.8" hidden="false" customHeight="false" outlineLevel="0" collapsed="false">
      <c r="B16272" s="0" t="s">
        <v>3889</v>
      </c>
    </row>
    <row r="16274" customFormat="false" ht="12.8" hidden="false" customHeight="false" outlineLevel="0" collapsed="false">
      <c r="A16274" s="0" t="s">
        <v>7057</v>
      </c>
      <c r="B16274" s="0" t="str">
        <f aca="false">HYPERLINK("https://lindat.mff.cuni.cz/services/teitok/pdtc10/index.php?action=vallex&amp;frame=v-w1961f1", "nabývat (v-w1961f1)")</f>
        <v>nabývat (v-w1961f1)</v>
      </c>
      <c r="E16274" s="0" t="str">
        <f aca="false">HYPERLINK("https://lindat.mff.cuni.cz/services/SynSemClass40/SynSemClass40.html?veclass=vec00586#vec00586-ces-cm00111", "vec00586")</f>
        <v>vec00586</v>
      </c>
      <c r="F16274" s="0" t="s">
        <v>2831</v>
      </c>
    </row>
    <row r="16275" customFormat="false" ht="12.8" hidden="false" customHeight="false" outlineLevel="0" collapsed="false">
      <c r="B16275" s="0" t="s">
        <v>1</v>
      </c>
      <c r="C16275" s="0" t="s">
        <v>2832</v>
      </c>
      <c r="E16275" s="0" t="s">
        <v>1567</v>
      </c>
      <c r="F16275" s="0" t="s">
        <v>2833</v>
      </c>
    </row>
    <row r="16276" customFormat="false" ht="12.8" hidden="false" customHeight="false" outlineLevel="0" collapsed="false">
      <c r="B16276" s="0" t="s">
        <v>1356</v>
      </c>
      <c r="C16276" s="0" t="s">
        <v>2834</v>
      </c>
      <c r="E16276" s="0" t="s">
        <v>2111</v>
      </c>
      <c r="F16276" s="0" t="s">
        <v>2835</v>
      </c>
    </row>
    <row r="16278" customFormat="false" ht="12.8" hidden="false" customHeight="false" outlineLevel="0" collapsed="false">
      <c r="A16278" s="0" t="s">
        <v>7058</v>
      </c>
      <c r="B16278" s="0" t="str">
        <f aca="false">HYPERLINK("https://lindat.mff.cuni.cz/services/teitok/pdtc10/index.php?action=vallex&amp;frame=v-w1961f2", "nabývat (v-w1961f2)")</f>
        <v>nabývat (v-w1961f2)</v>
      </c>
      <c r="E16278" s="0" t="str">
        <f aca="false">HYPERLINK("https://lindat.mff.cuni.cz/services/SynSemClass40/SynSemClass40.html?veclass=vec00586#vec00586-ces-cm00112", "vec00586")</f>
        <v>vec00586</v>
      </c>
      <c r="F16278" s="0" t="s">
        <v>2831</v>
      </c>
    </row>
    <row r="16279" customFormat="false" ht="12.8" hidden="false" customHeight="false" outlineLevel="0" collapsed="false">
      <c r="B16279" s="0" t="s">
        <v>1</v>
      </c>
      <c r="C16279" s="0" t="s">
        <v>2832</v>
      </c>
      <c r="E16279" s="0" t="s">
        <v>1567</v>
      </c>
      <c r="F16279" s="0" t="s">
        <v>2833</v>
      </c>
    </row>
    <row r="16280" customFormat="false" ht="12.8" hidden="false" customHeight="false" outlineLevel="0" collapsed="false">
      <c r="B16280" s="0" t="s">
        <v>291</v>
      </c>
      <c r="C16280" s="0" t="s">
        <v>2834</v>
      </c>
      <c r="E16280" s="0" t="s">
        <v>2111</v>
      </c>
      <c r="F16280" s="0" t="s">
        <v>2835</v>
      </c>
    </row>
    <row r="16282" customFormat="false" ht="12.8" hidden="false" customHeight="false" outlineLevel="0" collapsed="false">
      <c r="A16282" s="0" t="s">
        <v>7059</v>
      </c>
      <c r="B16282" s="0" t="str">
        <f aca="false">HYPERLINK("https://lindat.mff.cuni.cz/services/teitok/pdtc10/index.php?action=vallex&amp;frame=v-w1937f1", "naběhat (v-w1937f1)")</f>
        <v>naběhat (v-w1937f1)</v>
      </c>
    </row>
    <row r="16283" customFormat="false" ht="12.8" hidden="false" customHeight="false" outlineLevel="0" collapsed="false">
      <c r="B16283" s="0" t="s">
        <v>1</v>
      </c>
    </row>
    <row r="16284" customFormat="false" ht="12.8" hidden="false" customHeight="false" outlineLevel="0" collapsed="false">
      <c r="B16284" s="0" t="s">
        <v>8</v>
      </c>
    </row>
    <row r="16286" customFormat="false" ht="12.8" hidden="false" customHeight="false" outlineLevel="0" collapsed="false">
      <c r="A16286" s="0" t="s">
        <v>7060</v>
      </c>
      <c r="B16286" s="0" t="str">
        <f aca="false">HYPERLINK("https://lindat.mff.cuni.cz/services/teitok/pdtc10/index.php?action=vallex&amp;frame=v-whsa_751hsa_752", "naběhat se (v-whsa_751hsa_752)")</f>
        <v>naběhat se (v-whsa_751hsa_752)</v>
      </c>
    </row>
    <row r="16287" customFormat="false" ht="12.8" hidden="false" customHeight="false" outlineLevel="0" collapsed="false">
      <c r="B16287" s="0" t="s">
        <v>1</v>
      </c>
    </row>
    <row r="16289" customFormat="false" ht="12.8" hidden="false" customHeight="false" outlineLevel="0" collapsed="false">
      <c r="A16289" s="0" t="s">
        <v>7061</v>
      </c>
      <c r="B16289" s="0" t="str">
        <f aca="false">HYPERLINK("https://lindat.mff.cuni.cz/services/teitok/pdtc10/index.php?action=vallex&amp;frame=v-w1938f1", "naběhnout (v-w1938f1)")</f>
        <v>naběhnout (v-w1938f1)</v>
      </c>
    </row>
    <row r="16290" customFormat="false" ht="12.8" hidden="false" customHeight="false" outlineLevel="0" collapsed="false">
      <c r="B16290" s="0" t="s">
        <v>1</v>
      </c>
    </row>
    <row r="16291" customFormat="false" ht="12.8" hidden="false" customHeight="false" outlineLevel="0" collapsed="false">
      <c r="B16291" s="0" t="s">
        <v>45</v>
      </c>
    </row>
    <row r="16293" customFormat="false" ht="12.8" hidden="false" customHeight="false" outlineLevel="0" collapsed="false">
      <c r="A16293" s="0" t="s">
        <v>7062</v>
      </c>
      <c r="B16293" s="0" t="str">
        <f aca="false">HYPERLINK("https://lindat.mff.cuni.cz/services/teitok/pdtc10/index.php?action=vallex&amp;frame=v-whsa_275hsa_276", "nacestovat se (v-whsa_275hsa_276)")</f>
        <v>nacestovat se (v-whsa_275hsa_276)</v>
      </c>
    </row>
    <row r="16294" customFormat="false" ht="12.8" hidden="false" customHeight="false" outlineLevel="0" collapsed="false">
      <c r="B16294" s="0" t="s">
        <v>1</v>
      </c>
    </row>
    <row r="16296" customFormat="false" ht="12.8" hidden="false" customHeight="false" outlineLevel="0" collapsed="false">
      <c r="A16296" s="0" t="s">
        <v>7063</v>
      </c>
      <c r="B16296" s="0" t="str">
        <f aca="false">HYPERLINK("https://lindat.mff.cuni.cz/services/teitok/pdtc10/index.php?action=vallex&amp;frame=v-w12269_ZUf1_ZU", "nachladit se (v-w12269_ZUf1_ZU)")</f>
        <v>nachladit se (v-w12269_ZUf1_ZU)</v>
      </c>
    </row>
    <row r="16297" customFormat="false" ht="12.8" hidden="false" customHeight="false" outlineLevel="0" collapsed="false">
      <c r="B16297" s="0" t="s">
        <v>1</v>
      </c>
    </row>
    <row r="16299" customFormat="false" ht="12.8" hidden="false" customHeight="false" outlineLevel="0" collapsed="false">
      <c r="A16299" s="0" t="s">
        <v>7064</v>
      </c>
      <c r="B16299" s="0" t="str">
        <f aca="false">HYPERLINK("https://lindat.mff.cuni.cz/services/teitok/pdtc10/index.php?action=vallex&amp;frame=v-w2025f1", "nachmelit se (v-w2025f1)")</f>
        <v>nachmelit se (v-w2025f1)</v>
      </c>
    </row>
    <row r="16300" customFormat="false" ht="12.8" hidden="false" customHeight="false" outlineLevel="0" collapsed="false">
      <c r="B16300" s="0" t="s">
        <v>1</v>
      </c>
    </row>
    <row r="16302" customFormat="false" ht="12.8" hidden="false" customHeight="false" outlineLevel="0" collapsed="false">
      <c r="A16302" s="0" t="s">
        <v>7065</v>
      </c>
      <c r="B16302" s="0" t="str">
        <f aca="false">HYPERLINK("https://lindat.mff.cuni.cz/services/teitok/pdtc10/index.php?action=vallex&amp;frame=v-w11898_ZUf1_ZU", "nachodit (v-w11898_ZUf1_ZU)")</f>
        <v>nachodit (v-w11898_ZUf1_ZU)</v>
      </c>
    </row>
    <row r="16303" customFormat="false" ht="12.8" hidden="false" customHeight="false" outlineLevel="0" collapsed="false">
      <c r="B16303" s="0" t="s">
        <v>1</v>
      </c>
    </row>
    <row r="16304" customFormat="false" ht="12.8" hidden="false" customHeight="false" outlineLevel="0" collapsed="false">
      <c r="B16304" s="0" t="s">
        <v>8</v>
      </c>
    </row>
    <row r="16306" customFormat="false" ht="12.8" hidden="false" customHeight="false" outlineLevel="0" collapsed="false">
      <c r="A16306" s="0" t="s">
        <v>7066</v>
      </c>
      <c r="B16306" s="0" t="str">
        <f aca="false">HYPERLINK("https://lindat.mff.cuni.cz/services/teitok/pdtc10/index.php?action=vallex&amp;frame=v-w12022_ZUf1_ZU", "nachromovat (v-w12022_ZUf1_ZU)")</f>
        <v>nachromovat (v-w12022_ZUf1_ZU)</v>
      </c>
    </row>
    <row r="16307" customFormat="false" ht="12.8" hidden="false" customHeight="false" outlineLevel="0" collapsed="false">
      <c r="B16307" s="0" t="s">
        <v>1</v>
      </c>
    </row>
    <row r="16308" customFormat="false" ht="12.8" hidden="false" customHeight="false" outlineLevel="0" collapsed="false">
      <c r="B16308" s="0" t="s">
        <v>8</v>
      </c>
    </row>
    <row r="16310" customFormat="false" ht="12.8" hidden="false" customHeight="false" outlineLevel="0" collapsed="false">
      <c r="A16310" s="0" t="s">
        <v>7067</v>
      </c>
      <c r="B16310" s="0" t="str">
        <f aca="false">HYPERLINK("https://lindat.mff.cuni.cz/services/teitok/pdtc10/index.php?action=vallex&amp;frame=v-w2029f1", "nachystat (v-w2029f1)")</f>
        <v>nachystat (v-w2029f1)</v>
      </c>
      <c r="E16310" s="0" t="str">
        <f aca="false">HYPERLINK("https://lindat.mff.cuni.cz/services/SynSemClass40/SynSemClass40.html?veclass=vec00256#vec00256-ces-cm00068", "vec00256")</f>
        <v>vec00256</v>
      </c>
      <c r="F16310" s="0" t="s">
        <v>993</v>
      </c>
      <c r="H16310" s="0" t="str">
        <f aca="false">HYPERLINK("https://lindat.mff.cuni.cz/services/SynSemClass40/SynSemClass40.html?veclass=vec00502#vec00502-ces-cm00042", "vec00502")</f>
        <v>vec00502</v>
      </c>
      <c r="I16310" s="0" t="s">
        <v>1552</v>
      </c>
    </row>
    <row r="16311" customFormat="false" ht="12.8" hidden="false" customHeight="false" outlineLevel="0" collapsed="false">
      <c r="B16311" s="0" t="s">
        <v>1</v>
      </c>
      <c r="C16311" s="0" t="s">
        <v>7068</v>
      </c>
      <c r="E16311" s="0" t="s">
        <v>31</v>
      </c>
      <c r="F16311" s="0" t="s">
        <v>6483</v>
      </c>
      <c r="H16311" s="0" t="s">
        <v>31</v>
      </c>
      <c r="I16311" s="0" t="s">
        <v>1554</v>
      </c>
    </row>
    <row r="16312" customFormat="false" ht="12.8" hidden="false" customHeight="false" outlineLevel="0" collapsed="false">
      <c r="B16312" s="0" t="s">
        <v>8</v>
      </c>
      <c r="C16312" s="0" t="s">
        <v>7069</v>
      </c>
      <c r="E16312" s="0" t="s">
        <v>1556</v>
      </c>
      <c r="F16312" s="0" t="s">
        <v>6485</v>
      </c>
      <c r="H16312" s="0" t="s">
        <v>1556</v>
      </c>
      <c r="I16312" s="0" t="s">
        <v>1557</v>
      </c>
    </row>
    <row r="16313" customFormat="false" ht="12.8" hidden="false" customHeight="false" outlineLevel="0" collapsed="false">
      <c r="B16313" s="0" t="s">
        <v>36</v>
      </c>
    </row>
    <row r="16315" customFormat="false" ht="12.8" hidden="false" customHeight="false" outlineLevel="0" collapsed="false">
      <c r="A16315" s="0" t="s">
        <v>7070</v>
      </c>
      <c r="B16315" s="0" t="str">
        <f aca="false">HYPERLINK("https://lindat.mff.cuni.cz/services/teitok/pdtc10/index.php?action=vallex&amp;frame=v-w2029f2", "nachystat (v-w2029f2)")</f>
        <v>nachystat (v-w2029f2)</v>
      </c>
    </row>
    <row r="16316" customFormat="false" ht="12.8" hidden="false" customHeight="false" outlineLevel="0" collapsed="false">
      <c r="B16316" s="0" t="s">
        <v>1</v>
      </c>
    </row>
    <row r="16317" customFormat="false" ht="12.8" hidden="false" customHeight="false" outlineLevel="0" collapsed="false">
      <c r="B16317" s="0" t="s">
        <v>8</v>
      </c>
    </row>
    <row r="16319" customFormat="false" ht="12.8" hidden="false" customHeight="false" outlineLevel="0" collapsed="false">
      <c r="A16319" s="0" t="s">
        <v>7071</v>
      </c>
      <c r="B16319" s="0" t="str">
        <f aca="false">HYPERLINK("https://lindat.mff.cuni.cz/services/teitok/pdtc10/index.php?action=vallex&amp;frame=v-w2030f1", "nachytat (v-w2030f1)")</f>
        <v>nachytat (v-w2030f1)</v>
      </c>
    </row>
    <row r="16320" customFormat="false" ht="12.8" hidden="false" customHeight="false" outlineLevel="0" collapsed="false">
      <c r="B16320" s="0" t="s">
        <v>1</v>
      </c>
    </row>
    <row r="16321" customFormat="false" ht="12.8" hidden="false" customHeight="false" outlineLevel="0" collapsed="false">
      <c r="B16321" s="0" t="s">
        <v>98</v>
      </c>
    </row>
    <row r="16322" customFormat="false" ht="12.8" hidden="false" customHeight="false" outlineLevel="0" collapsed="false">
      <c r="B16322" s="0" t="s">
        <v>7072</v>
      </c>
    </row>
    <row r="16324" customFormat="false" ht="12.8" hidden="false" customHeight="false" outlineLevel="0" collapsed="false">
      <c r="A16324" s="0" t="s">
        <v>7073</v>
      </c>
      <c r="B16324" s="0" t="str">
        <f aca="false">HYPERLINK("https://lindat.mff.cuni.cz/services/teitok/pdtc10/index.php?action=vallex&amp;frame=v-w2030f2_ZU", "nachytat (v-w2030f2_ZU)")</f>
        <v>nachytat (v-w2030f2_ZU)</v>
      </c>
    </row>
    <row r="16325" customFormat="false" ht="12.8" hidden="false" customHeight="false" outlineLevel="0" collapsed="false">
      <c r="B16325" s="0" t="s">
        <v>1</v>
      </c>
    </row>
    <row r="16326" customFormat="false" ht="12.8" hidden="false" customHeight="false" outlineLevel="0" collapsed="false">
      <c r="B16326" s="0" t="s">
        <v>8</v>
      </c>
    </row>
    <row r="16328" customFormat="false" ht="12.8" hidden="false" customHeight="false" outlineLevel="0" collapsed="false">
      <c r="A16328" s="0" t="s">
        <v>7074</v>
      </c>
      <c r="B16328" s="0" t="str">
        <f aca="false">HYPERLINK("https://lindat.mff.cuni.cz/services/teitok/pdtc10/index.php?action=vallex&amp;frame=v-w12112_ZUf1_ZU", "nachytat se (v-w12112_ZUf1_ZU)")</f>
        <v>nachytat se (v-w12112_ZUf1_ZU)</v>
      </c>
    </row>
    <row r="16329" customFormat="false" ht="12.8" hidden="false" customHeight="false" outlineLevel="0" collapsed="false">
      <c r="B16329" s="0" t="s">
        <v>1</v>
      </c>
    </row>
    <row r="16330" customFormat="false" ht="12.8" hidden="false" customHeight="false" outlineLevel="0" collapsed="false">
      <c r="B16330" s="0" t="s">
        <v>69</v>
      </c>
    </row>
    <row r="16332" customFormat="false" ht="12.8" hidden="false" customHeight="false" outlineLevel="0" collapsed="false">
      <c r="A16332" s="0" t="s">
        <v>7075</v>
      </c>
      <c r="B16332" s="0" t="str">
        <f aca="false">HYPERLINK("https://lindat.mff.cuni.cz/services/teitok/pdtc10/index.php?action=vallex&amp;frame=v-w12112_ZUf2_ZU", "nachytat se (v-w12112_ZUf2_ZU)")</f>
        <v>nachytat se (v-w12112_ZUf2_ZU)</v>
      </c>
    </row>
    <row r="16333" customFormat="false" ht="12.8" hidden="false" customHeight="false" outlineLevel="0" collapsed="false">
      <c r="B16333" s="0" t="s">
        <v>1</v>
      </c>
    </row>
    <row r="16334" customFormat="false" ht="12.8" hidden="false" customHeight="false" outlineLevel="0" collapsed="false">
      <c r="B16334" s="0" t="s">
        <v>1262</v>
      </c>
    </row>
    <row r="16336" customFormat="false" ht="12.8" hidden="false" customHeight="false" outlineLevel="0" collapsed="false">
      <c r="A16336" s="0" t="s">
        <v>7076</v>
      </c>
      <c r="B16336" s="0" t="str">
        <f aca="false">HYPERLINK("https://lindat.mff.cuni.cz/services/teitok/pdtc10/index.php?action=vallex&amp;frame=v-w2023f1", "nacházet (v-w2023f1)")</f>
        <v>nacházet (v-w2023f1)</v>
      </c>
      <c r="E16336" s="0" t="str">
        <f aca="false">HYPERLINK("https://lindat.mff.cuni.cz/services/SynSemClass40/SynSemClass40.html?veclass=vec00233#vec00233-ces-cm00009", "vec00233")</f>
        <v>vec00233</v>
      </c>
      <c r="F16336" s="0" t="s">
        <v>1065</v>
      </c>
    </row>
    <row r="16337" customFormat="false" ht="12.8" hidden="false" customHeight="false" outlineLevel="0" collapsed="false">
      <c r="B16337" s="0" t="s">
        <v>1</v>
      </c>
      <c r="C16337" s="0" t="s">
        <v>7077</v>
      </c>
      <c r="E16337" s="0" t="s">
        <v>2263</v>
      </c>
      <c r="F16337" s="0" t="s">
        <v>7078</v>
      </c>
    </row>
    <row r="16338" customFormat="false" ht="12.8" hidden="false" customHeight="false" outlineLevel="0" collapsed="false">
      <c r="B16338" s="0" t="s">
        <v>228</v>
      </c>
      <c r="C16338" s="0" t="s">
        <v>7079</v>
      </c>
      <c r="E16338" s="0" t="s">
        <v>7080</v>
      </c>
      <c r="F16338" s="0" t="s">
        <v>7081</v>
      </c>
    </row>
    <row r="16340" customFormat="false" ht="12.8" hidden="false" customHeight="false" outlineLevel="0" collapsed="false">
      <c r="A16340" s="0" t="s">
        <v>7082</v>
      </c>
      <c r="B16340" s="0" t="str">
        <f aca="false">HYPERLINK("https://lindat.mff.cuni.cz/services/teitok/pdtc10/index.php?action=vallex&amp;frame=v-w2023f3_ZU", "nacházet (v-w2023f3_ZU)")</f>
        <v>nacházet (v-w2023f3_ZU)</v>
      </c>
    </row>
    <row r="16341" customFormat="false" ht="12.8" hidden="false" customHeight="false" outlineLevel="0" collapsed="false">
      <c r="B16341" s="0" t="s">
        <v>1</v>
      </c>
    </row>
    <row r="16342" customFormat="false" ht="12.8" hidden="false" customHeight="false" outlineLevel="0" collapsed="false">
      <c r="B16342" s="0" t="s">
        <v>7083</v>
      </c>
    </row>
    <row r="16344" customFormat="false" ht="12.8" hidden="false" customHeight="false" outlineLevel="0" collapsed="false">
      <c r="A16344" s="0" t="s">
        <v>7082</v>
      </c>
      <c r="B16344" s="0" t="str">
        <f aca="false">HYPERLINK("https://lindat.mff.cuni.cz/services/teitok/pdtc10/index.php?action=vallex&amp;frame=v-w2023f2", "nacházet (v-w2023f2) - substituted with v-w2023f3_ZU")</f>
        <v>nacházet (v-w2023f2) - substituted with v-w2023f3_ZU</v>
      </c>
    </row>
    <row r="16345" customFormat="false" ht="12.8" hidden="false" customHeight="false" outlineLevel="0" collapsed="false">
      <c r="B16345" s="0" t="s">
        <v>1</v>
      </c>
    </row>
    <row r="16346" customFormat="false" ht="12.8" hidden="false" customHeight="false" outlineLevel="0" collapsed="false">
      <c r="B16346" s="0" t="s">
        <v>7083</v>
      </c>
    </row>
    <row r="16348" customFormat="false" ht="12.8" hidden="false" customHeight="false" outlineLevel="0" collapsed="false">
      <c r="A16348" s="0" t="s">
        <v>7082</v>
      </c>
      <c r="B16348" s="0" t="str">
        <f aca="false">HYPERLINK("https://lindat.mff.cuni.cz/services/teitok/pdtc10/index.php?action=vallex&amp;frame=v-w2023hsa_933", "nacházet (v-w2023hsa_933) - substituted with v-w2023f3_ZU")</f>
        <v>nacházet (v-w2023hsa_933) - substituted with v-w2023f3_ZU</v>
      </c>
    </row>
    <row r="16349" customFormat="false" ht="12.8" hidden="false" customHeight="false" outlineLevel="0" collapsed="false">
      <c r="B16349" s="0" t="s">
        <v>1</v>
      </c>
    </row>
    <row r="16350" customFormat="false" ht="12.8" hidden="false" customHeight="false" outlineLevel="0" collapsed="false">
      <c r="B16350" s="0" t="s">
        <v>7083</v>
      </c>
    </row>
    <row r="16352" customFormat="false" ht="12.8" hidden="false" customHeight="false" outlineLevel="0" collapsed="false">
      <c r="A16352" s="0" t="s">
        <v>7084</v>
      </c>
      <c r="B16352" s="0" t="str">
        <f aca="false">HYPERLINK("https://lindat.mff.cuni.cz/services/teitok/pdtc10/index.php?action=vallex&amp;frame=v-w2024f2", "nacházet se (v-w2024f2)")</f>
        <v>nacházet se (v-w2024f2)</v>
      </c>
      <c r="E16352" s="0" t="str">
        <f aca="false">HYPERLINK("https://lindat.mff.cuni.cz/services/SynSemClass40/SynSemClass40.html?veclass=vec00439#vec00439-ces-cm00001", "vec00439")</f>
        <v>vec00439</v>
      </c>
      <c r="F16352" s="0" t="s">
        <v>7085</v>
      </c>
    </row>
    <row r="16353" customFormat="false" ht="12.8" hidden="false" customHeight="false" outlineLevel="0" collapsed="false">
      <c r="B16353" s="0" t="s">
        <v>1</v>
      </c>
      <c r="C16353" s="0" t="s">
        <v>7086</v>
      </c>
      <c r="E16353" s="0" t="s">
        <v>957</v>
      </c>
      <c r="F16353" s="0" t="s">
        <v>7087</v>
      </c>
    </row>
    <row r="16354" customFormat="false" ht="12.8" hidden="false" customHeight="false" outlineLevel="0" collapsed="false">
      <c r="B16354" s="0" t="s">
        <v>3245</v>
      </c>
      <c r="C16354" s="0" t="s">
        <v>7088</v>
      </c>
      <c r="E16354" s="0" t="s">
        <v>7089</v>
      </c>
      <c r="F16354" s="0" t="s">
        <v>7090</v>
      </c>
    </row>
    <row r="16356" customFormat="false" ht="12.8" hidden="false" customHeight="false" outlineLevel="0" collapsed="false">
      <c r="A16356" s="0" t="s">
        <v>7091</v>
      </c>
      <c r="B16356" s="0" t="str">
        <f aca="false">HYPERLINK("https://lindat.mff.cuni.cz/services/teitok/pdtc10/index.php?action=vallex&amp;frame=v-w2024f1", "nacházet se (v-w2024f1)")</f>
        <v>nacházet se (v-w2024f1)</v>
      </c>
      <c r="E16356" s="0" t="str">
        <f aca="false">HYPERLINK("https://lindat.mff.cuni.cz/services/SynSemClass40/SynSemClass40.html?veclass=vec00308#vec00308-ces-cm00005", "vec00308")</f>
        <v>vec00308</v>
      </c>
      <c r="F16356" s="0" t="s">
        <v>6005</v>
      </c>
    </row>
    <row r="16357" customFormat="false" ht="12.8" hidden="false" customHeight="false" outlineLevel="0" collapsed="false">
      <c r="B16357" s="0" t="s">
        <v>1</v>
      </c>
      <c r="C16357" s="0" t="s">
        <v>6006</v>
      </c>
      <c r="E16357" s="0" t="s">
        <v>6007</v>
      </c>
      <c r="F16357" s="0" t="s">
        <v>6008</v>
      </c>
    </row>
    <row r="16358" customFormat="false" ht="12.8" hidden="false" customHeight="false" outlineLevel="0" collapsed="false">
      <c r="B16358" s="0" t="s">
        <v>5</v>
      </c>
      <c r="C16358" s="0" t="s">
        <v>6009</v>
      </c>
      <c r="E16358" s="0" t="s">
        <v>3254</v>
      </c>
      <c r="F16358" s="0" t="s">
        <v>6010</v>
      </c>
    </row>
    <row r="16360" customFormat="false" ht="12.8" hidden="false" customHeight="false" outlineLevel="0" collapsed="false">
      <c r="A16360" s="0" t="s">
        <v>7092</v>
      </c>
      <c r="B16360" s="0" t="str">
        <f aca="false">HYPERLINK("https://lindat.mff.cuni.cz/services/teitok/pdtc10/index.php?action=vallex&amp;frame=v-whsa_901hsa_902", "nachýlit (v-whsa_901hsa_902)")</f>
        <v>nachýlit (v-whsa_901hsa_902)</v>
      </c>
      <c r="E16360" s="0" t="str">
        <f aca="false">HYPERLINK("https://lindat.mff.cuni.cz/services/SynSemClass40/SynSemClass40.html?veclass=vec00812#vec00812-ces-cm00388", "vec00812")</f>
        <v>vec00812</v>
      </c>
      <c r="F16360" s="0" t="s">
        <v>2822</v>
      </c>
    </row>
    <row r="16361" customFormat="false" ht="12.8" hidden="false" customHeight="false" outlineLevel="0" collapsed="false">
      <c r="B16361" s="0" t="s">
        <v>1</v>
      </c>
      <c r="C16361" s="0" t="s">
        <v>2823</v>
      </c>
      <c r="E16361" s="0" t="s">
        <v>1103</v>
      </c>
      <c r="F16361" s="0" t="s">
        <v>2824</v>
      </c>
    </row>
    <row r="16362" customFormat="false" ht="12.8" hidden="false" customHeight="false" outlineLevel="0" collapsed="false">
      <c r="B16362" s="0" t="s">
        <v>8</v>
      </c>
      <c r="C16362" s="0" t="s">
        <v>2372</v>
      </c>
      <c r="E16362" s="0" t="s">
        <v>142</v>
      </c>
      <c r="F16362" s="0" t="s">
        <v>2825</v>
      </c>
    </row>
    <row r="16363" customFormat="false" ht="12.8" hidden="false" customHeight="false" outlineLevel="0" collapsed="false">
      <c r="B16363" s="0" t="s">
        <v>164</v>
      </c>
      <c r="C16363" s="0" t="s">
        <v>2826</v>
      </c>
      <c r="E16363" s="0" t="s">
        <v>3114</v>
      </c>
      <c r="F16363" s="0" t="s">
        <v>3115</v>
      </c>
    </row>
    <row r="16365" customFormat="false" ht="12.8" hidden="false" customHeight="false" outlineLevel="0" collapsed="false">
      <c r="A16365" s="0" t="s">
        <v>7093</v>
      </c>
      <c r="B16365" s="0" t="str">
        <f aca="false">HYPERLINK("https://lindat.mff.cuni.cz/services/teitok/pdtc10/index.php?action=vallex&amp;frame=v-w12238_ZUf1_ZU", "nacouvat (v-w12238_ZUf1_ZU)")</f>
        <v>nacouvat (v-w12238_ZUf1_ZU)</v>
      </c>
    </row>
    <row r="16366" customFormat="false" ht="12.8" hidden="false" customHeight="false" outlineLevel="0" collapsed="false">
      <c r="B16366" s="0" t="s">
        <v>1</v>
      </c>
    </row>
    <row r="16367" customFormat="false" ht="12.8" hidden="false" customHeight="false" outlineLevel="0" collapsed="false">
      <c r="B16367" s="0" t="s">
        <v>454</v>
      </c>
    </row>
    <row r="16369" customFormat="false" ht="12.8" hidden="false" customHeight="false" outlineLevel="0" collapsed="false">
      <c r="A16369" s="0" t="s">
        <v>7094</v>
      </c>
      <c r="B16369" s="0" t="str">
        <f aca="false">HYPERLINK("https://lindat.mff.cuni.cz/services/teitok/pdtc10/index.php?action=vallex&amp;frame=v-w11201f3", "nacpat (v-w11201f3)")</f>
        <v>nacpat (v-w11201f3)</v>
      </c>
      <c r="E16369" s="0" t="str">
        <f aca="false">HYPERLINK("https://lindat.mff.cuni.cz/services/SynSemClass40/SynSemClass40.html?veclass=vec00841#vec00841-ces-cm00002", "vec00841")</f>
        <v>vec00841</v>
      </c>
      <c r="F16369" s="0" t="s">
        <v>7095</v>
      </c>
    </row>
    <row r="16370" customFormat="false" ht="12.8" hidden="false" customHeight="false" outlineLevel="0" collapsed="false">
      <c r="B16370" s="0" t="s">
        <v>1</v>
      </c>
      <c r="C16370" s="0" t="s">
        <v>7096</v>
      </c>
      <c r="E16370" s="0" t="s">
        <v>11</v>
      </c>
      <c r="F16370" s="0" t="s">
        <v>7097</v>
      </c>
    </row>
    <row r="16371" customFormat="false" ht="12.8" hidden="false" customHeight="false" outlineLevel="0" collapsed="false">
      <c r="B16371" s="0" t="s">
        <v>8</v>
      </c>
      <c r="C16371" s="0" t="s">
        <v>800</v>
      </c>
      <c r="E16371" s="0" t="s">
        <v>7098</v>
      </c>
      <c r="F16371" s="0" t="s">
        <v>7099</v>
      </c>
    </row>
    <row r="16372" customFormat="false" ht="12.8" hidden="false" customHeight="false" outlineLevel="0" collapsed="false">
      <c r="B16372" s="0" t="s">
        <v>7045</v>
      </c>
      <c r="C16372" s="0" t="s">
        <v>7100</v>
      </c>
      <c r="E16372" s="0" t="s">
        <v>7101</v>
      </c>
      <c r="F16372" s="0" t="s">
        <v>7102</v>
      </c>
    </row>
    <row r="16374" customFormat="false" ht="12.8" hidden="false" customHeight="false" outlineLevel="0" collapsed="false">
      <c r="A16374" s="0" t="s">
        <v>7103</v>
      </c>
      <c r="B16374" s="0" t="str">
        <f aca="false">HYPERLINK("https://lindat.mff.cuni.cz/services/teitok/pdtc10/index.php?action=vallex&amp;frame=v-w11201f2", "nacpat (v-w11201f2)")</f>
        <v>nacpat (v-w11201f2)</v>
      </c>
      <c r="E16374" s="0" t="str">
        <f aca="false">HYPERLINK("https://lindat.mff.cuni.cz/services/SynSemClass40/SynSemClass40.html?veclass=vec00841#vec00841-ces-cm00001", "vec00841")</f>
        <v>vec00841</v>
      </c>
      <c r="F16374" s="0" t="s">
        <v>7095</v>
      </c>
    </row>
    <row r="16375" customFormat="false" ht="12.8" hidden="false" customHeight="false" outlineLevel="0" collapsed="false">
      <c r="B16375" s="0" t="s">
        <v>1</v>
      </c>
      <c r="C16375" s="0" t="s">
        <v>7096</v>
      </c>
      <c r="E16375" s="0" t="s">
        <v>11</v>
      </c>
      <c r="F16375" s="0" t="s">
        <v>7097</v>
      </c>
    </row>
    <row r="16376" customFormat="false" ht="12.8" hidden="false" customHeight="false" outlineLevel="0" collapsed="false">
      <c r="B16376" s="0" t="s">
        <v>8</v>
      </c>
      <c r="C16376" s="0" t="s">
        <v>7104</v>
      </c>
      <c r="E16376" s="0" t="s">
        <v>7105</v>
      </c>
      <c r="F16376" s="0" t="s">
        <v>7106</v>
      </c>
    </row>
    <row r="16377" customFormat="false" ht="12.8" hidden="false" customHeight="false" outlineLevel="0" collapsed="false">
      <c r="B16377" s="0" t="s">
        <v>164</v>
      </c>
      <c r="C16377" s="0" t="s">
        <v>7107</v>
      </c>
      <c r="E16377" s="0" t="s">
        <v>4408</v>
      </c>
      <c r="F16377" s="0" t="s">
        <v>7108</v>
      </c>
    </row>
    <row r="16379" customFormat="false" ht="12.8" hidden="false" customHeight="false" outlineLevel="0" collapsed="false">
      <c r="A16379" s="0" t="s">
        <v>7109</v>
      </c>
      <c r="B16379" s="0" t="str">
        <f aca="false">HYPERLINK("https://lindat.mff.cuni.cz/services/teitok/pdtc10/index.php?action=vallex&amp;frame=v-whsa_1009hsa_1010", "nacvičit (v-whsa_1009hsa_1010)")</f>
        <v>nacvičit (v-whsa_1009hsa_1010)</v>
      </c>
      <c r="E16379" s="0" t="str">
        <f aca="false">HYPERLINK("https://lindat.mff.cuni.cz/services/SynSemClass40/SynSemClass40.html?veclass=vec00502#vec00502-ces-cm00041", "vec00502")</f>
        <v>vec00502</v>
      </c>
      <c r="F16379" s="0" t="s">
        <v>1552</v>
      </c>
      <c r="H16379" s="0" t="str">
        <f aca="false">HYPERLINK("https://lindat.mff.cuni.cz/services/SynSemClass40/SynSemClass40.html?veclass=vec00606#vec00606-ces-cm00039", "vec00606")</f>
        <v>vec00606</v>
      </c>
      <c r="I16379" s="0" t="s">
        <v>1723</v>
      </c>
    </row>
    <row r="16380" customFormat="false" ht="12.8" hidden="false" customHeight="false" outlineLevel="0" collapsed="false">
      <c r="B16380" s="0" t="s">
        <v>1</v>
      </c>
      <c r="C16380" s="0" t="s">
        <v>7110</v>
      </c>
      <c r="E16380" s="0" t="s">
        <v>31</v>
      </c>
      <c r="F16380" s="0" t="s">
        <v>1554</v>
      </c>
      <c r="H16380" s="0" t="s">
        <v>11</v>
      </c>
      <c r="I16380" s="0" t="s">
        <v>1724</v>
      </c>
    </row>
    <row r="16381" customFormat="false" ht="12.8" hidden="false" customHeight="false" outlineLevel="0" collapsed="false">
      <c r="B16381" s="0" t="s">
        <v>8</v>
      </c>
      <c r="C16381" s="0" t="s">
        <v>7111</v>
      </c>
      <c r="E16381" s="0" t="s">
        <v>1556</v>
      </c>
      <c r="F16381" s="0" t="s">
        <v>1557</v>
      </c>
      <c r="H16381" s="0" t="s">
        <v>14</v>
      </c>
      <c r="I16381" s="0" t="s">
        <v>1725</v>
      </c>
    </row>
    <row r="16383" customFormat="false" ht="12.8" hidden="false" customHeight="false" outlineLevel="0" collapsed="false">
      <c r="A16383" s="0" t="s">
        <v>7112</v>
      </c>
      <c r="B16383" s="0" t="str">
        <f aca="false">HYPERLINK("https://lindat.mff.cuni.cz/services/teitok/pdtc10/index.php?action=vallex&amp;frame=v-w1962f1", "nacvičovat (v-w1962f1)")</f>
        <v>nacvičovat (v-w1962f1)</v>
      </c>
    </row>
    <row r="16384" customFormat="false" ht="12.8" hidden="false" customHeight="false" outlineLevel="0" collapsed="false">
      <c r="B16384" s="0" t="s">
        <v>1</v>
      </c>
    </row>
    <row r="16385" customFormat="false" ht="12.8" hidden="false" customHeight="false" outlineLevel="0" collapsed="false">
      <c r="B16385" s="0" t="s">
        <v>8</v>
      </c>
    </row>
    <row r="16387" customFormat="false" ht="12.8" hidden="false" customHeight="false" outlineLevel="0" collapsed="false">
      <c r="A16387" s="0" t="s">
        <v>7113</v>
      </c>
      <c r="B16387" s="0" t="str">
        <f aca="false">HYPERLINK("https://lindat.mff.cuni.cz/services/teitok/pdtc10/index.php?action=vallex&amp;frame=v-w1971f1", "nadat (v-w1971f1)")</f>
        <v>nadat (v-w1971f1)</v>
      </c>
    </row>
    <row r="16388" customFormat="false" ht="12.8" hidden="false" customHeight="false" outlineLevel="0" collapsed="false">
      <c r="B16388" s="0" t="s">
        <v>1</v>
      </c>
    </row>
    <row r="16389" customFormat="false" ht="12.8" hidden="false" customHeight="false" outlineLevel="0" collapsed="false">
      <c r="B16389" s="0" t="s">
        <v>286</v>
      </c>
    </row>
    <row r="16390" customFormat="false" ht="12.8" hidden="false" customHeight="false" outlineLevel="0" collapsed="false">
      <c r="B16390" s="0" t="s">
        <v>98</v>
      </c>
    </row>
    <row r="16392" customFormat="false" ht="12.8" hidden="false" customHeight="false" outlineLevel="0" collapsed="false">
      <c r="A16392" s="0" t="s">
        <v>7114</v>
      </c>
      <c r="B16392" s="0" t="str">
        <f aca="false">HYPERLINK("https://lindat.mff.cuni.cz/services/teitok/pdtc10/index.php?action=vallex&amp;frame=v-w1971f2_ZU", "nadat (v-w1971f2_ZU)")</f>
        <v>nadat (v-w1971f2_ZU)</v>
      </c>
    </row>
    <row r="16393" customFormat="false" ht="12.8" hidden="false" customHeight="false" outlineLevel="0" collapsed="false">
      <c r="B16393" s="0" t="s">
        <v>1</v>
      </c>
    </row>
    <row r="16394" customFormat="false" ht="12.8" hidden="false" customHeight="false" outlineLevel="0" collapsed="false">
      <c r="B16394" s="0" t="s">
        <v>52</v>
      </c>
    </row>
    <row r="16395" customFormat="false" ht="12.8" hidden="false" customHeight="false" outlineLevel="0" collapsed="false">
      <c r="B16395" s="0" t="s">
        <v>4250</v>
      </c>
    </row>
    <row r="16397" customFormat="false" ht="12.8" hidden="false" customHeight="false" outlineLevel="0" collapsed="false">
      <c r="A16397" s="0" t="s">
        <v>7115</v>
      </c>
      <c r="B16397" s="0" t="str">
        <f aca="false">HYPERLINK("https://lindat.mff.cuni.cz/services/teitok/pdtc10/index.php?action=vallex&amp;frame=v-w11016f2", "nadbíhat (v-w11016f2)")</f>
        <v>nadbíhat (v-w11016f2)</v>
      </c>
      <c r="E16397" s="0" t="str">
        <f aca="false">HYPERLINK("https://lindat.mff.cuni.cz/services/SynSemClass40/SynSemClass40.html?veclass=vec00668#vec00668-ces-cm00004", "vec00668")</f>
        <v>vec00668</v>
      </c>
      <c r="F16397" s="0" t="s">
        <v>7116</v>
      </c>
      <c r="H16397" s="0" t="str">
        <f aca="false">HYPERLINK("https://lindat.mff.cuni.cz/services/SynSemClass40/SynSemClass40.html?veclass=vec01213#vec01213-ces-cm00005", "vec01213")</f>
        <v>vec01213</v>
      </c>
      <c r="I16397" s="0" t="s">
        <v>3384</v>
      </c>
    </row>
    <row r="16398" customFormat="false" ht="12.8" hidden="false" customHeight="false" outlineLevel="0" collapsed="false">
      <c r="B16398" s="0" t="s">
        <v>1</v>
      </c>
      <c r="C16398" s="0" t="s">
        <v>7117</v>
      </c>
      <c r="E16398" s="0" t="s">
        <v>11</v>
      </c>
      <c r="F16398" s="0" t="s">
        <v>7118</v>
      </c>
      <c r="H16398" s="0" t="s">
        <v>11</v>
      </c>
      <c r="I16398" s="0" t="s">
        <v>3386</v>
      </c>
    </row>
    <row r="16399" customFormat="false" ht="12.8" hidden="false" customHeight="false" outlineLevel="0" collapsed="false">
      <c r="B16399" s="0" t="s">
        <v>186</v>
      </c>
      <c r="C16399" s="0" t="s">
        <v>7119</v>
      </c>
      <c r="E16399" s="0" t="s">
        <v>7120</v>
      </c>
      <c r="F16399" s="0" t="s">
        <v>7121</v>
      </c>
      <c r="H16399" s="0" t="s">
        <v>3388</v>
      </c>
      <c r="I16399" s="0" t="s">
        <v>3389</v>
      </c>
    </row>
    <row r="16401" customFormat="false" ht="12.8" hidden="false" customHeight="false" outlineLevel="0" collapsed="false">
      <c r="A16401" s="0" t="s">
        <v>7122</v>
      </c>
      <c r="B16401" s="0" t="str">
        <f aca="false">HYPERLINK("https://lindat.mff.cuni.cz/services/teitok/pdtc10/index.php?action=vallex&amp;frame=v-w11518_ZUf1_ZU", "nadbízet (v-w11518_ZUf1_ZU)")</f>
        <v>nadbízet (v-w11518_ZUf1_ZU)</v>
      </c>
      <c r="E16401" s="0" t="str">
        <f aca="false">HYPERLINK("https://lindat.mff.cuni.cz/services/SynSemClass40/SynSemClass40.html?veclass=vec00634#vec00634-ces-cm00014", "vec00634")</f>
        <v>vec00634</v>
      </c>
      <c r="F16401" s="0" t="s">
        <v>7123</v>
      </c>
    </row>
    <row r="16402" customFormat="false" ht="12.8" hidden="false" customHeight="false" outlineLevel="0" collapsed="false">
      <c r="B16402" s="0" t="s">
        <v>1</v>
      </c>
      <c r="C16402" s="0" t="s">
        <v>239</v>
      </c>
      <c r="E16402" s="0" t="s">
        <v>31</v>
      </c>
      <c r="F16402" s="0" t="s">
        <v>5993</v>
      </c>
    </row>
    <row r="16403" customFormat="false" ht="12.8" hidden="false" customHeight="false" outlineLevel="0" collapsed="false">
      <c r="B16403" s="0" t="s">
        <v>8</v>
      </c>
      <c r="C16403" s="0" t="s">
        <v>7124</v>
      </c>
      <c r="E16403" s="0" t="s">
        <v>180</v>
      </c>
      <c r="F16403" s="0" t="s">
        <v>7125</v>
      </c>
    </row>
    <row r="16405" customFormat="false" ht="12.8" hidden="false" customHeight="false" outlineLevel="0" collapsed="false">
      <c r="A16405" s="0" t="s">
        <v>7126</v>
      </c>
      <c r="B16405" s="0" t="str">
        <f aca="false">HYPERLINK("https://lindat.mff.cuni.cz/services/teitok/pdtc10/index.php?action=vallex&amp;frame=v-w11231f2", "nadcenit (v-w11231f2)")</f>
        <v>nadcenit (v-w11231f2)</v>
      </c>
      <c r="E16405" s="0" t="str">
        <f aca="false">HYPERLINK("https://lindat.mff.cuni.cz/services/SynSemClass40/SynSemClass40.html?veclass=vec00634#vec00634-ces-cm00002", "vec00634")</f>
        <v>vec00634</v>
      </c>
      <c r="F16405" s="0" t="s">
        <v>7123</v>
      </c>
    </row>
    <row r="16406" customFormat="false" ht="12.8" hidden="false" customHeight="false" outlineLevel="0" collapsed="false">
      <c r="B16406" s="0" t="s">
        <v>1</v>
      </c>
      <c r="C16406" s="0" t="s">
        <v>239</v>
      </c>
      <c r="E16406" s="0" t="s">
        <v>31</v>
      </c>
      <c r="F16406" s="0" t="s">
        <v>5993</v>
      </c>
    </row>
    <row r="16407" customFormat="false" ht="12.8" hidden="false" customHeight="false" outlineLevel="0" collapsed="false">
      <c r="B16407" s="0" t="s">
        <v>8</v>
      </c>
      <c r="C16407" s="0" t="s">
        <v>7124</v>
      </c>
      <c r="E16407" s="0" t="s">
        <v>180</v>
      </c>
      <c r="F16407" s="0" t="s">
        <v>7125</v>
      </c>
    </row>
    <row r="16409" customFormat="false" ht="12.8" hidden="false" customHeight="false" outlineLevel="0" collapsed="false">
      <c r="A16409" s="0" t="s">
        <v>7127</v>
      </c>
      <c r="B16409" s="0" t="str">
        <f aca="false">HYPERLINK("https://lindat.mff.cuni.cz/services/teitok/pdtc10/index.php?action=vallex&amp;frame=v-w1983f1", "nadchnout (v-w1983f1)")</f>
        <v>nadchnout (v-w1983f1)</v>
      </c>
      <c r="E16409" s="0" t="str">
        <f aca="false">HYPERLINK("https://lindat.mff.cuni.cz/services/SynSemClass40/SynSemClass40.html?veclass=vec00188#vec00188-ces-cm00088", "vec00188")</f>
        <v>vec00188</v>
      </c>
      <c r="F16409" s="0" t="s">
        <v>7128</v>
      </c>
      <c r="H16409" s="0" t="str">
        <f aca="false">HYPERLINK("https://lindat.mff.cuni.cz/services/SynSemClass40/SynSemClass40.html?veclass=vec00609#vec00609-ces-cm00004", "vec00609")</f>
        <v>vec00609</v>
      </c>
      <c r="I16409" s="0" t="s">
        <v>263</v>
      </c>
    </row>
    <row r="16410" customFormat="false" ht="12.8" hidden="false" customHeight="false" outlineLevel="0" collapsed="false">
      <c r="B16410" s="0" t="s">
        <v>944</v>
      </c>
      <c r="C16410" s="0" t="s">
        <v>7129</v>
      </c>
      <c r="E16410" s="0" t="s">
        <v>1567</v>
      </c>
      <c r="F16410" s="0" t="s">
        <v>7130</v>
      </c>
      <c r="H16410" s="0" t="s">
        <v>1103</v>
      </c>
      <c r="I16410" s="0" t="s">
        <v>4115</v>
      </c>
    </row>
    <row r="16411" customFormat="false" ht="12.8" hidden="false" customHeight="false" outlineLevel="0" collapsed="false">
      <c r="B16411" s="0" t="s">
        <v>8</v>
      </c>
      <c r="C16411" s="0" t="s">
        <v>7131</v>
      </c>
      <c r="E16411" s="0" t="s">
        <v>3388</v>
      </c>
      <c r="F16411" s="0" t="s">
        <v>7132</v>
      </c>
      <c r="H16411" s="0" t="s">
        <v>1930</v>
      </c>
      <c r="I16411" s="0" t="s">
        <v>4116</v>
      </c>
    </row>
    <row r="16413" customFormat="false" ht="12.8" hidden="false" customHeight="false" outlineLevel="0" collapsed="false">
      <c r="A16413" s="0" t="s">
        <v>7133</v>
      </c>
      <c r="B16413" s="0" t="str">
        <f aca="false">HYPERLINK("https://lindat.mff.cuni.cz/services/teitok/pdtc10/index.php?action=vallex&amp;frame=v-w1984f1", "nadchnout se (v-w1984f1)")</f>
        <v>nadchnout se (v-w1984f1)</v>
      </c>
    </row>
    <row r="16414" customFormat="false" ht="12.8" hidden="false" customHeight="false" outlineLevel="0" collapsed="false">
      <c r="B16414" s="0" t="s">
        <v>1</v>
      </c>
    </row>
    <row r="16415" customFormat="false" ht="12.8" hidden="false" customHeight="false" outlineLevel="0" collapsed="false">
      <c r="B16415" s="0" t="s">
        <v>2119</v>
      </c>
    </row>
    <row r="16417" customFormat="false" ht="12.8" hidden="false" customHeight="false" outlineLevel="0" collapsed="false">
      <c r="A16417" s="0" t="s">
        <v>7134</v>
      </c>
      <c r="B16417" s="0" t="str">
        <f aca="false">HYPERLINK("https://lindat.mff.cuni.cz/services/teitok/pdtc10/index.php?action=vallex&amp;frame=v-w1982f1", "nadcházet (v-w1982f1)")</f>
        <v>nadcházet (v-w1982f1)</v>
      </c>
    </row>
    <row r="16418" customFormat="false" ht="12.8" hidden="false" customHeight="false" outlineLevel="0" collapsed="false">
      <c r="B16418" s="0" t="s">
        <v>1</v>
      </c>
    </row>
    <row r="16420" customFormat="false" ht="12.8" hidden="false" customHeight="false" outlineLevel="0" collapsed="false">
      <c r="A16420" s="0" t="s">
        <v>7135</v>
      </c>
      <c r="B16420" s="0" t="str">
        <f aca="false">HYPERLINK("https://lindat.mff.cuni.cz/services/teitok/pdtc10/index.php?action=vallex&amp;frame=v-w11308f1", "nadechnout se (v-w11308f1)")</f>
        <v>nadechnout se (v-w11308f1)</v>
      </c>
      <c r="E16420" s="0" t="str">
        <f aca="false">HYPERLINK("https://lindat.mff.cuni.cz/services/SynSemClass40/SynSemClass40.html?veclass=vec01371#vec01371-ces-cm00002", "vec01371")</f>
        <v>vec01371</v>
      </c>
      <c r="F16420" s="0" t="s">
        <v>5923</v>
      </c>
    </row>
    <row r="16421" customFormat="false" ht="12.8" hidden="false" customHeight="false" outlineLevel="0" collapsed="false">
      <c r="B16421" s="0" t="s">
        <v>1</v>
      </c>
      <c r="C16421" s="0" t="s">
        <v>4695</v>
      </c>
      <c r="E16421" s="0" t="s">
        <v>658</v>
      </c>
      <c r="F16421" s="0" t="s">
        <v>5924</v>
      </c>
    </row>
    <row r="16422" customFormat="false" ht="12.8" hidden="false" customHeight="false" outlineLevel="0" collapsed="false">
      <c r="B16422" s="0" t="s">
        <v>909</v>
      </c>
      <c r="C16422" s="0" t="s">
        <v>462</v>
      </c>
      <c r="E16422" s="0" t="s">
        <v>661</v>
      </c>
      <c r="F16422" s="0" t="s">
        <v>5738</v>
      </c>
    </row>
    <row r="16424" customFormat="false" ht="12.8" hidden="false" customHeight="false" outlineLevel="0" collapsed="false">
      <c r="A16424" s="0" t="s">
        <v>7136</v>
      </c>
      <c r="B16424" s="0" t="str">
        <f aca="false">HYPERLINK("https://lindat.mff.cuni.cz/services/teitok/pdtc10/index.php?action=vallex&amp;frame=v-w10157f2", "nadejít (v-w10157f2)")</f>
        <v>nadejít (v-w10157f2)</v>
      </c>
      <c r="E16424" s="0" t="str">
        <f aca="false">HYPERLINK("https://lindat.mff.cuni.cz/services/SynSemClass40/SynSemClass40.html?veclass=vec00097#vec00097-ces-cm00102", "vec00097")</f>
        <v>vec00097</v>
      </c>
      <c r="F16424" s="0" t="s">
        <v>373</v>
      </c>
      <c r="H16424" s="0" t="str">
        <f aca="false">HYPERLINK("https://lindat.mff.cuni.cz/services/SynSemClass40/SynSemClass40.html?veclass=vec01518#vec01518-ces-cm00005", "vec01518")</f>
        <v>vec01518</v>
      </c>
      <c r="I16424" s="0" t="s">
        <v>2921</v>
      </c>
    </row>
    <row r="16425" customFormat="false" ht="12.8" hidden="false" customHeight="false" outlineLevel="0" collapsed="false">
      <c r="B16425" s="0" t="s">
        <v>1</v>
      </c>
      <c r="C16425" s="0" t="s">
        <v>2922</v>
      </c>
      <c r="E16425" s="0" t="s">
        <v>375</v>
      </c>
      <c r="F16425" s="0" t="s">
        <v>376</v>
      </c>
      <c r="H16425" s="0" t="s">
        <v>2923</v>
      </c>
      <c r="I16425" s="0" t="s">
        <v>2924</v>
      </c>
    </row>
    <row r="16427" customFormat="false" ht="12.8" hidden="false" customHeight="false" outlineLevel="0" collapsed="false">
      <c r="A16427" s="0" t="s">
        <v>7137</v>
      </c>
      <c r="B16427" s="0" t="str">
        <f aca="false">HYPERLINK("https://lindat.mff.cuni.cz/services/teitok/pdtc10/index.php?action=vallex&amp;frame=v-whsa_804f1_ZU", "nadhazovat (v-whsa_804f1_ZU)")</f>
        <v>nadhazovat (v-whsa_804f1_ZU)</v>
      </c>
      <c r="E16427" s="0" t="str">
        <f aca="false">HYPERLINK("https://lindat.mff.cuni.cz/services/SynSemClass40/SynSemClass40.html?veclass=vec00819#vec00819-ces-cm00018", "vec00819")</f>
        <v>vec00819</v>
      </c>
      <c r="F16427" s="0" t="s">
        <v>4399</v>
      </c>
    </row>
    <row r="16428" customFormat="false" ht="12.8" hidden="false" customHeight="false" outlineLevel="0" collapsed="false">
      <c r="B16428" s="0" t="s">
        <v>1</v>
      </c>
      <c r="C16428" s="0" t="s">
        <v>255</v>
      </c>
      <c r="E16428" s="0" t="s">
        <v>2196</v>
      </c>
      <c r="F16428" s="0" t="s">
        <v>4400</v>
      </c>
    </row>
    <row r="16429" customFormat="false" ht="12.8" hidden="false" customHeight="false" outlineLevel="0" collapsed="false">
      <c r="B16429" s="0" t="s">
        <v>390</v>
      </c>
      <c r="C16429" s="0" t="s">
        <v>4401</v>
      </c>
      <c r="E16429" s="0" t="s">
        <v>2200</v>
      </c>
      <c r="F16429" s="0" t="s">
        <v>4402</v>
      </c>
    </row>
    <row r="16430" customFormat="false" ht="12.8" hidden="false" customHeight="false" outlineLevel="0" collapsed="false">
      <c r="B16430" s="0" t="s">
        <v>132</v>
      </c>
      <c r="C16430" s="0" t="s">
        <v>1391</v>
      </c>
      <c r="E16430" s="0" t="s">
        <v>53</v>
      </c>
      <c r="F16430" s="0" t="s">
        <v>4403</v>
      </c>
    </row>
    <row r="16432" customFormat="false" ht="12.8" hidden="false" customHeight="false" outlineLevel="0" collapsed="false">
      <c r="A16432" s="0" t="s">
        <v>7137</v>
      </c>
      <c r="B16432" s="0" t="str">
        <f aca="false">HYPERLINK("https://lindat.mff.cuni.cz/services/teitok/pdtc10/index.php?action=vallex&amp;frame=v-whsa_804hsa_805", "nadhazovat (v-whsa_804hsa_805) - substituted with v-whsa_804f1_ZU")</f>
        <v>nadhazovat (v-whsa_804hsa_805) - substituted with v-whsa_804f1_ZU</v>
      </c>
    </row>
    <row r="16433" customFormat="false" ht="12.8" hidden="false" customHeight="false" outlineLevel="0" collapsed="false">
      <c r="B16433" s="0" t="s">
        <v>1</v>
      </c>
    </row>
    <row r="16434" customFormat="false" ht="12.8" hidden="false" customHeight="false" outlineLevel="0" collapsed="false">
      <c r="B16434" s="0" t="s">
        <v>390</v>
      </c>
    </row>
    <row r="16435" customFormat="false" ht="12.8" hidden="false" customHeight="false" outlineLevel="0" collapsed="false">
      <c r="B16435" s="0" t="s">
        <v>132</v>
      </c>
    </row>
    <row r="16437" customFormat="false" ht="12.8" hidden="false" customHeight="false" outlineLevel="0" collapsed="false">
      <c r="A16437" s="0" t="s">
        <v>7138</v>
      </c>
      <c r="B16437" s="0" t="str">
        <f aca="false">HYPERLINK("https://lindat.mff.cuni.cz/services/teitok/pdtc10/index.php?action=vallex&amp;frame=v-w1979f1", "nadhodit (v-w1979f1)")</f>
        <v>nadhodit (v-w1979f1)</v>
      </c>
    </row>
    <row r="16438" customFormat="false" ht="12.8" hidden="false" customHeight="false" outlineLevel="0" collapsed="false">
      <c r="B16438" s="0" t="s">
        <v>1</v>
      </c>
    </row>
    <row r="16439" customFormat="false" ht="12.8" hidden="false" customHeight="false" outlineLevel="0" collapsed="false">
      <c r="B16439" s="0" t="s">
        <v>7139</v>
      </c>
    </row>
    <row r="16441" customFormat="false" ht="12.8" hidden="false" customHeight="false" outlineLevel="0" collapsed="false">
      <c r="A16441" s="0" t="s">
        <v>7140</v>
      </c>
      <c r="B16441" s="0" t="str">
        <f aca="false">HYPERLINK("https://lindat.mff.cuni.cz/services/teitok/pdtc10/index.php?action=vallex&amp;frame=v-w1979f2", "nadhodit (v-w1979f2)")</f>
        <v>nadhodit (v-w1979f2)</v>
      </c>
    </row>
    <row r="16442" customFormat="false" ht="12.8" hidden="false" customHeight="false" outlineLevel="0" collapsed="false">
      <c r="B16442" s="0" t="s">
        <v>1</v>
      </c>
    </row>
    <row r="16443" customFormat="false" ht="12.8" hidden="false" customHeight="false" outlineLevel="0" collapsed="false">
      <c r="B16443" s="0" t="s">
        <v>8</v>
      </c>
    </row>
    <row r="16445" customFormat="false" ht="12.8" hidden="false" customHeight="false" outlineLevel="0" collapsed="false">
      <c r="A16445" s="0" t="s">
        <v>7141</v>
      </c>
      <c r="B16445" s="0" t="str">
        <f aca="false">HYPERLINK("https://lindat.mff.cuni.cz/services/teitok/pdtc10/index.php?action=vallex&amp;frame=v-w12210_ZUf1_ZU", "nadhodnocovat (v-w12210_ZUf1_ZU)")</f>
        <v>nadhodnocovat (v-w12210_ZUf1_ZU)</v>
      </c>
    </row>
    <row r="16446" customFormat="false" ht="12.8" hidden="false" customHeight="false" outlineLevel="0" collapsed="false">
      <c r="B16446" s="0" t="s">
        <v>1</v>
      </c>
    </row>
    <row r="16447" customFormat="false" ht="12.8" hidden="false" customHeight="false" outlineLevel="0" collapsed="false">
      <c r="B16447" s="0" t="s">
        <v>8</v>
      </c>
    </row>
    <row r="16449" customFormat="false" ht="12.8" hidden="false" customHeight="false" outlineLevel="0" collapsed="false">
      <c r="A16449" s="0" t="s">
        <v>7142</v>
      </c>
      <c r="B16449" s="0" t="str">
        <f aca="false">HYPERLINK("https://lindat.mff.cuni.cz/services/teitok/pdtc10/index.php?action=vallex&amp;frame=v-w1981f1", "nadhodnotit (v-w1981f1)")</f>
        <v>nadhodnotit (v-w1981f1)</v>
      </c>
      <c r="E16449" s="0" t="str">
        <f aca="false">HYPERLINK("https://lindat.mff.cuni.cz/services/SynSemClass40/SynSemClass40.html?veclass=vec00634#vec00634-ces-cm00015", "vec00634")</f>
        <v>vec00634</v>
      </c>
      <c r="F16449" s="0" t="s">
        <v>7123</v>
      </c>
    </row>
    <row r="16450" customFormat="false" ht="12.8" hidden="false" customHeight="false" outlineLevel="0" collapsed="false">
      <c r="B16450" s="0" t="s">
        <v>1</v>
      </c>
      <c r="C16450" s="0" t="s">
        <v>239</v>
      </c>
      <c r="E16450" s="0" t="s">
        <v>31</v>
      </c>
      <c r="F16450" s="0" t="s">
        <v>5993</v>
      </c>
    </row>
    <row r="16451" customFormat="false" ht="12.8" hidden="false" customHeight="false" outlineLevel="0" collapsed="false">
      <c r="B16451" s="0" t="s">
        <v>8</v>
      </c>
      <c r="C16451" s="0" t="s">
        <v>7124</v>
      </c>
      <c r="E16451" s="0" t="s">
        <v>180</v>
      </c>
      <c r="F16451" s="0" t="s">
        <v>7125</v>
      </c>
    </row>
    <row r="16453" customFormat="false" ht="12.8" hidden="false" customHeight="false" outlineLevel="0" collapsed="false">
      <c r="A16453" s="0" t="s">
        <v>7143</v>
      </c>
      <c r="B16453" s="0" t="str">
        <f aca="false">HYPERLINK("https://lindat.mff.cuni.cz/services/teitok/pdtc10/index.php?action=vallex&amp;frame=v-w1985f1", "nadiktovat (v-w1985f1)")</f>
        <v>nadiktovat (v-w1985f1)</v>
      </c>
    </row>
    <row r="16454" customFormat="false" ht="12.8" hidden="false" customHeight="false" outlineLevel="0" collapsed="false">
      <c r="B16454" s="0" t="s">
        <v>1</v>
      </c>
    </row>
    <row r="16455" customFormat="false" ht="12.8" hidden="false" customHeight="false" outlineLevel="0" collapsed="false">
      <c r="B16455" s="0" t="s">
        <v>500</v>
      </c>
    </row>
    <row r="16456" customFormat="false" ht="12.8" hidden="false" customHeight="false" outlineLevel="0" collapsed="false">
      <c r="B16456" s="0" t="s">
        <v>52</v>
      </c>
    </row>
    <row r="16458" customFormat="false" ht="12.8" hidden="false" customHeight="false" outlineLevel="0" collapsed="false">
      <c r="A16458" s="0" t="s">
        <v>7144</v>
      </c>
      <c r="B16458" s="0" t="str">
        <f aca="false">HYPERLINK("https://lindat.mff.cuni.cz/services/teitok/pdtc10/index.php?action=vallex&amp;frame=v-w1987f1", "nadlehčit (v-w1987f1)")</f>
        <v>nadlehčit (v-w1987f1)</v>
      </c>
      <c r="E16458" s="0" t="str">
        <f aca="false">HYPERLINK("https://lindat.mff.cuni.cz/services/SynSemClass40/SynSemClass40.html?veclass=vec00801#vec00801-ces-cm00011", "vec00801")</f>
        <v>vec00801</v>
      </c>
      <c r="F16458" s="0" t="s">
        <v>225</v>
      </c>
    </row>
    <row r="16459" customFormat="false" ht="12.8" hidden="false" customHeight="false" outlineLevel="0" collapsed="false">
      <c r="B16459" s="0" t="s">
        <v>1</v>
      </c>
      <c r="C16459" s="0" t="s">
        <v>226</v>
      </c>
      <c r="E16459" s="0" t="s">
        <v>31</v>
      </c>
      <c r="F16459" s="0" t="s">
        <v>227</v>
      </c>
    </row>
    <row r="16460" customFormat="false" ht="12.8" hidden="false" customHeight="false" outlineLevel="0" collapsed="false">
      <c r="B16460" s="0" t="s">
        <v>228</v>
      </c>
      <c r="C16460" s="0" t="s">
        <v>229</v>
      </c>
      <c r="E16460" s="0" t="s">
        <v>230</v>
      </c>
      <c r="F16460" s="0" t="s">
        <v>231</v>
      </c>
    </row>
    <row r="16462" customFormat="false" ht="12.8" hidden="false" customHeight="false" outlineLevel="0" collapsed="false">
      <c r="A16462" s="0" t="s">
        <v>7145</v>
      </c>
      <c r="B16462" s="0" t="str">
        <f aca="false">HYPERLINK("https://lindat.mff.cuni.cz/services/teitok/pdtc10/index.php?action=vallex&amp;frame=v-w11803_ZUf1_ZU", "nadlábnout se (v-w11803_ZUf1_ZU)")</f>
        <v>nadlábnout se (v-w11803_ZUf1_ZU)</v>
      </c>
    </row>
    <row r="16463" customFormat="false" ht="12.8" hidden="false" customHeight="false" outlineLevel="0" collapsed="false">
      <c r="B16463" s="0" t="s">
        <v>1</v>
      </c>
    </row>
    <row r="16464" customFormat="false" ht="12.8" hidden="false" customHeight="false" outlineLevel="0" collapsed="false">
      <c r="B16464" s="0" t="s">
        <v>909</v>
      </c>
    </row>
    <row r="16466" customFormat="false" ht="12.8" hidden="false" customHeight="false" outlineLevel="0" collapsed="false">
      <c r="A16466" s="0" t="s">
        <v>7146</v>
      </c>
      <c r="B16466" s="0" t="str">
        <f aca="false">HYPERLINK("https://lindat.mff.cuni.cz/services/teitok/pdtc10/index.php?action=vallex&amp;frame=v-w10425f3", "nadnášet (v-w10425f3)")</f>
        <v>nadnášet (v-w10425f3)</v>
      </c>
    </row>
    <row r="16467" customFormat="false" ht="12.8" hidden="false" customHeight="false" outlineLevel="0" collapsed="false">
      <c r="B16467" s="0" t="s">
        <v>1</v>
      </c>
    </row>
    <row r="16468" customFormat="false" ht="12.8" hidden="false" customHeight="false" outlineLevel="0" collapsed="false">
      <c r="B16468" s="0" t="s">
        <v>228</v>
      </c>
    </row>
    <row r="16470" customFormat="false" ht="12.8" hidden="false" customHeight="false" outlineLevel="0" collapsed="false">
      <c r="A16470" s="0" t="s">
        <v>7147</v>
      </c>
      <c r="B16470" s="0" t="str">
        <f aca="false">HYPERLINK("https://lindat.mff.cuni.cz/services/teitok/pdtc10/index.php?action=vallex&amp;frame=v-w10425f2", "nadnášet (v-w10425f2)")</f>
        <v>nadnášet (v-w10425f2)</v>
      </c>
    </row>
    <row r="16471" customFormat="false" ht="12.8" hidden="false" customHeight="false" outlineLevel="0" collapsed="false">
      <c r="B16471" s="0" t="s">
        <v>1</v>
      </c>
    </row>
    <row r="16472" customFormat="false" ht="12.8" hidden="false" customHeight="false" outlineLevel="0" collapsed="false">
      <c r="B16472" s="0" t="s">
        <v>8</v>
      </c>
    </row>
    <row r="16474" customFormat="false" ht="12.8" hidden="false" customHeight="false" outlineLevel="0" collapsed="false">
      <c r="A16474" s="0" t="s">
        <v>7148</v>
      </c>
      <c r="B16474" s="0" t="str">
        <f aca="false">HYPERLINK("https://lindat.mff.cuni.cz/services/teitok/pdtc10/index.php?action=vallex&amp;frame=v-w10425f4_MM", "nadnášet (v-w10425f4_MM)")</f>
        <v>nadnášet (v-w10425f4_MM)</v>
      </c>
    </row>
    <row r="16475" customFormat="false" ht="12.8" hidden="false" customHeight="false" outlineLevel="0" collapsed="false">
      <c r="B16475" s="0" t="s">
        <v>1</v>
      </c>
    </row>
    <row r="16476" customFormat="false" ht="12.8" hidden="false" customHeight="false" outlineLevel="0" collapsed="false">
      <c r="B16476" s="0" t="s">
        <v>8</v>
      </c>
    </row>
    <row r="16478" customFormat="false" ht="12.8" hidden="false" customHeight="false" outlineLevel="0" collapsed="false">
      <c r="A16478" s="0" t="s">
        <v>7149</v>
      </c>
      <c r="B16478" s="0" t="str">
        <f aca="false">HYPERLINK("https://lindat.mff.cuni.cz/services/teitok/pdtc10/index.php?action=vallex&amp;frame=v-w11519_ZUf1_ZU", "nadnést (v-w11519_ZUf1_ZU)")</f>
        <v>nadnést (v-w11519_ZUf1_ZU)</v>
      </c>
    </row>
    <row r="16479" customFormat="false" ht="12.8" hidden="false" customHeight="false" outlineLevel="0" collapsed="false">
      <c r="B16479" s="0" t="s">
        <v>1</v>
      </c>
    </row>
    <row r="16480" customFormat="false" ht="12.8" hidden="false" customHeight="false" outlineLevel="0" collapsed="false">
      <c r="B16480" s="0" t="s">
        <v>8</v>
      </c>
    </row>
    <row r="16482" customFormat="false" ht="12.8" hidden="false" customHeight="false" outlineLevel="0" collapsed="false">
      <c r="A16482" s="0" t="s">
        <v>7150</v>
      </c>
      <c r="B16482" s="0" t="str">
        <f aca="false">HYPERLINK("https://lindat.mff.cuni.cz/services/teitok/pdtc10/index.php?action=vallex&amp;frame=v-w11519_ZUhsa_1042", "nadnést (v-w11519_ZUhsa_1042)")</f>
        <v>nadnést (v-w11519_ZUhsa_1042)</v>
      </c>
    </row>
    <row r="16483" customFormat="false" ht="12.8" hidden="false" customHeight="false" outlineLevel="0" collapsed="false">
      <c r="B16483" s="0" t="s">
        <v>1</v>
      </c>
    </row>
    <row r="16484" customFormat="false" ht="12.8" hidden="false" customHeight="false" outlineLevel="0" collapsed="false">
      <c r="B16484" s="0" t="s">
        <v>8</v>
      </c>
    </row>
    <row r="16486" customFormat="false" ht="12.8" hidden="false" customHeight="false" outlineLevel="0" collapsed="false">
      <c r="A16486" s="0" t="s">
        <v>7151</v>
      </c>
      <c r="B16486" s="0" t="str">
        <f aca="false">HYPERLINK("https://lindat.mff.cuni.cz/services/teitok/pdtc10/index.php?action=vallex&amp;frame=v-w11885_ZUf1_ZU", "nadrobit (v-w11885_ZUf1_ZU)")</f>
        <v>nadrobit (v-w11885_ZUf1_ZU)</v>
      </c>
    </row>
    <row r="16487" customFormat="false" ht="12.8" hidden="false" customHeight="false" outlineLevel="0" collapsed="false">
      <c r="B16487" s="0" t="s">
        <v>1</v>
      </c>
    </row>
    <row r="16488" customFormat="false" ht="12.8" hidden="false" customHeight="false" outlineLevel="0" collapsed="false">
      <c r="B16488" s="0" t="s">
        <v>8</v>
      </c>
    </row>
    <row r="16490" customFormat="false" ht="12.8" hidden="false" customHeight="false" outlineLevel="0" collapsed="false">
      <c r="A16490" s="0" t="s">
        <v>7152</v>
      </c>
      <c r="B16490" s="0" t="str">
        <f aca="false">HYPERLINK("https://lindat.mff.cuni.cz/services/teitok/pdtc10/index.php?action=vallex&amp;frame=v-whsa_326hsa_327", "nadržovat (v-whsa_326hsa_327)")</f>
        <v>nadržovat (v-whsa_326hsa_327)</v>
      </c>
    </row>
    <row r="16491" customFormat="false" ht="12.8" hidden="false" customHeight="false" outlineLevel="0" collapsed="false">
      <c r="B16491" s="0" t="s">
        <v>1</v>
      </c>
    </row>
    <row r="16492" customFormat="false" ht="12.8" hidden="false" customHeight="false" outlineLevel="0" collapsed="false">
      <c r="B16492" s="0" t="s">
        <v>8</v>
      </c>
    </row>
    <row r="16494" customFormat="false" ht="12.8" hidden="false" customHeight="false" outlineLevel="0" collapsed="false">
      <c r="A16494" s="0" t="s">
        <v>7153</v>
      </c>
      <c r="B16494" s="0" t="str">
        <f aca="false">HYPERLINK("https://lindat.mff.cuni.cz/services/teitok/pdtc10/index.php?action=vallex&amp;frame=v-w11141f3", "nadsadit (v-w11141f3)")</f>
        <v>nadsadit (v-w11141f3)</v>
      </c>
      <c r="E16494" s="0" t="str">
        <f aca="false">HYPERLINK("https://lindat.mff.cuni.cz/services/SynSemClass40/SynSemClass40.html?veclass=vec00634#vec00634-ces-cm00003", "vec00634")</f>
        <v>vec00634</v>
      </c>
      <c r="F16494" s="0" t="s">
        <v>7123</v>
      </c>
    </row>
    <row r="16495" customFormat="false" ht="12.8" hidden="false" customHeight="false" outlineLevel="0" collapsed="false">
      <c r="B16495" s="0" t="s">
        <v>1</v>
      </c>
      <c r="C16495" s="0" t="s">
        <v>239</v>
      </c>
      <c r="E16495" s="0" t="s">
        <v>31</v>
      </c>
      <c r="F16495" s="0" t="s">
        <v>5993</v>
      </c>
    </row>
    <row r="16496" customFormat="false" ht="12.8" hidden="false" customHeight="false" outlineLevel="0" collapsed="false">
      <c r="B16496" s="0" t="s">
        <v>8</v>
      </c>
      <c r="C16496" s="0" t="s">
        <v>7124</v>
      </c>
      <c r="E16496" s="0" t="s">
        <v>180</v>
      </c>
      <c r="F16496" s="0" t="s">
        <v>7125</v>
      </c>
    </row>
    <row r="16498" customFormat="false" ht="12.8" hidden="false" customHeight="false" outlineLevel="0" collapsed="false">
      <c r="A16498" s="0" t="s">
        <v>7154</v>
      </c>
      <c r="B16498" s="0" t="str">
        <f aca="false">HYPERLINK("https://lindat.mff.cuni.cz/services/teitok/pdtc10/index.php?action=vallex&amp;frame=v-w1990f1", "nadsazovat (v-w1990f1)")</f>
        <v>nadsazovat (v-w1990f1)</v>
      </c>
      <c r="E16498" s="0" t="str">
        <f aca="false">HYPERLINK("https://lindat.mff.cuni.cz/services/SynSemClass40/SynSemClass40.html?veclass=vec00634#vec00634-ces-cm00001", "vec00634")</f>
        <v>vec00634</v>
      </c>
      <c r="F16498" s="0" t="s">
        <v>7123</v>
      </c>
    </row>
    <row r="16499" customFormat="false" ht="12.8" hidden="false" customHeight="false" outlineLevel="0" collapsed="false">
      <c r="B16499" s="0" t="s">
        <v>1</v>
      </c>
      <c r="C16499" s="0" t="s">
        <v>239</v>
      </c>
      <c r="E16499" s="0" t="s">
        <v>31</v>
      </c>
      <c r="F16499" s="0" t="s">
        <v>5993</v>
      </c>
    </row>
    <row r="16500" customFormat="false" ht="12.8" hidden="false" customHeight="false" outlineLevel="0" collapsed="false">
      <c r="B16500" s="0" t="s">
        <v>8</v>
      </c>
      <c r="C16500" s="0" t="s">
        <v>7124</v>
      </c>
      <c r="E16500" s="0" t="s">
        <v>180</v>
      </c>
      <c r="F16500" s="0" t="s">
        <v>7125</v>
      </c>
    </row>
    <row r="16502" customFormat="false" ht="12.8" hidden="false" customHeight="false" outlineLevel="0" collapsed="false">
      <c r="A16502" s="0" t="s">
        <v>7155</v>
      </c>
      <c r="B16502" s="0" t="str">
        <f aca="false">HYPERLINK("https://lindat.mff.cuni.cz/services/teitok/pdtc10/index.php?action=vallex&amp;frame=v-w10582f2", "nadskočit (v-w10582f2)")</f>
        <v>nadskočit (v-w10582f2)</v>
      </c>
      <c r="E16502" s="0" t="str">
        <f aca="false">HYPERLINK("https://lindat.mff.cuni.cz/services/SynSemClass40/SynSemClass40.html?veclass=vec01113#vec01113-ces-cm00003", "vec01113")</f>
        <v>vec01113</v>
      </c>
      <c r="F16502" s="0" t="s">
        <v>7156</v>
      </c>
    </row>
    <row r="16503" customFormat="false" ht="12.8" hidden="false" customHeight="false" outlineLevel="0" collapsed="false">
      <c r="B16503" s="0" t="s">
        <v>1</v>
      </c>
      <c r="C16503" s="0" t="s">
        <v>512</v>
      </c>
      <c r="E16503" s="0" t="s">
        <v>334</v>
      </c>
      <c r="F16503" s="0" t="s">
        <v>1304</v>
      </c>
    </row>
    <row r="16505" customFormat="false" ht="12.8" hidden="false" customHeight="false" outlineLevel="0" collapsed="false">
      <c r="A16505" s="0" t="s">
        <v>7157</v>
      </c>
      <c r="B16505" s="0" t="str">
        <f aca="false">HYPERLINK("https://lindat.mff.cuni.cz/services/teitok/pdtc10/index.php?action=vallex&amp;frame=v-w1993f1", "nadužít (v-w1993f1)")</f>
        <v>nadužít (v-w1993f1)</v>
      </c>
      <c r="E16505" s="0" t="str">
        <f aca="false">HYPERLINK("https://lindat.mff.cuni.cz/services/SynSemClass40/SynSemClass40.html?veclass=vec00591#vec00591-ces-cm00031", "vec00591")</f>
        <v>vec00591</v>
      </c>
      <c r="F16505" s="0" t="s">
        <v>7158</v>
      </c>
    </row>
    <row r="16506" customFormat="false" ht="12.8" hidden="false" customHeight="false" outlineLevel="0" collapsed="false">
      <c r="B16506" s="0" t="s">
        <v>1</v>
      </c>
      <c r="E16506" s="0" t="s">
        <v>2005</v>
      </c>
      <c r="F16506" s="0" t="s">
        <v>7159</v>
      </c>
    </row>
    <row r="16507" customFormat="false" ht="12.8" hidden="false" customHeight="false" outlineLevel="0" collapsed="false">
      <c r="B16507" s="0" t="s">
        <v>1356</v>
      </c>
      <c r="E16507" s="0" t="s">
        <v>2007</v>
      </c>
      <c r="F16507" s="0" t="s">
        <v>7160</v>
      </c>
    </row>
    <row r="16509" customFormat="false" ht="12.8" hidden="false" customHeight="false" outlineLevel="0" collapsed="false">
      <c r="A16509" s="0" t="s">
        <v>7161</v>
      </c>
      <c r="B16509" s="0" t="str">
        <f aca="false">HYPERLINK("https://lindat.mff.cuni.cz/services/teitok/pdtc10/index.php?action=vallex&amp;frame=v-whsa_1265hsa_1266", "nadzajistit (v-whsa_1265hsa_1266)")</f>
        <v>nadzajistit (v-whsa_1265hsa_1266)</v>
      </c>
    </row>
    <row r="16510" customFormat="false" ht="12.8" hidden="false" customHeight="false" outlineLevel="0" collapsed="false">
      <c r="B16510" s="0" t="s">
        <v>1</v>
      </c>
    </row>
    <row r="16511" customFormat="false" ht="12.8" hidden="false" customHeight="false" outlineLevel="0" collapsed="false">
      <c r="B16511" s="0" t="s">
        <v>8</v>
      </c>
    </row>
    <row r="16513" customFormat="false" ht="12.8" hidden="false" customHeight="false" outlineLevel="0" collapsed="false">
      <c r="A16513" s="0" t="s">
        <v>7162</v>
      </c>
      <c r="B16513" s="0" t="str">
        <f aca="false">HYPERLINK("https://lindat.mff.cuni.cz/services/teitok/pdtc10/index.php?action=vallex&amp;frame=v-w10363f2", "nadzdvihnout (v-w10363f2)")</f>
        <v>nadzdvihnout (v-w10363f2)</v>
      </c>
      <c r="E16513" s="0" t="str">
        <f aca="false">HYPERLINK("https://lindat.mff.cuni.cz/services/SynSemClass40/SynSemClass40.html?veclass=vec01194#vec01194-ces-cm00016", "vec01194")</f>
        <v>vec01194</v>
      </c>
      <c r="F16513" s="0" t="s">
        <v>7163</v>
      </c>
    </row>
    <row r="16514" customFormat="false" ht="12.8" hidden="false" customHeight="false" outlineLevel="0" collapsed="false">
      <c r="B16514" s="0" t="s">
        <v>1</v>
      </c>
      <c r="C16514" s="0" t="s">
        <v>767</v>
      </c>
      <c r="E16514" s="0" t="s">
        <v>334</v>
      </c>
      <c r="F16514" s="0" t="s">
        <v>7164</v>
      </c>
    </row>
    <row r="16515" customFormat="false" ht="12.8" hidden="false" customHeight="false" outlineLevel="0" collapsed="false">
      <c r="B16515" s="0" t="s">
        <v>8</v>
      </c>
      <c r="C16515" s="0" t="s">
        <v>827</v>
      </c>
      <c r="E16515" s="0" t="s">
        <v>2648</v>
      </c>
      <c r="F16515" s="0" t="s">
        <v>7165</v>
      </c>
    </row>
    <row r="16517" customFormat="false" ht="12.8" hidden="false" customHeight="false" outlineLevel="0" collapsed="false">
      <c r="A16517" s="0" t="s">
        <v>7166</v>
      </c>
      <c r="B16517" s="0" t="str">
        <f aca="false">HYPERLINK("https://lindat.mff.cuni.cz/services/teitok/pdtc10/index.php?action=vallex&amp;frame=v-w1997f1", "nadzvednout (v-w1997f1)")</f>
        <v>nadzvednout (v-w1997f1)</v>
      </c>
    </row>
    <row r="16518" customFormat="false" ht="12.8" hidden="false" customHeight="false" outlineLevel="0" collapsed="false">
      <c r="B16518" s="0" t="s">
        <v>1</v>
      </c>
    </row>
    <row r="16519" customFormat="false" ht="12.8" hidden="false" customHeight="false" outlineLevel="0" collapsed="false">
      <c r="B16519" s="0" t="s">
        <v>8</v>
      </c>
    </row>
    <row r="16521" customFormat="false" ht="12.8" hidden="false" customHeight="false" outlineLevel="0" collapsed="false">
      <c r="A16521" s="0" t="s">
        <v>7167</v>
      </c>
      <c r="B16521" s="0" t="str">
        <f aca="false">HYPERLINK("https://lindat.mff.cuni.cz/services/teitok/pdtc10/index.php?action=vallex&amp;frame=v-w12170_ZUf1_ZU", "nadzvedávat (v-w12170_ZUf1_ZU)")</f>
        <v>nadzvedávat (v-w12170_ZUf1_ZU)</v>
      </c>
    </row>
    <row r="16522" customFormat="false" ht="12.8" hidden="false" customHeight="false" outlineLevel="0" collapsed="false">
      <c r="B16522" s="0" t="s">
        <v>1</v>
      </c>
    </row>
    <row r="16523" customFormat="false" ht="12.8" hidden="false" customHeight="false" outlineLevel="0" collapsed="false">
      <c r="B16523" s="0" t="s">
        <v>8</v>
      </c>
    </row>
    <row r="16525" customFormat="false" ht="12.8" hidden="false" customHeight="false" outlineLevel="0" collapsed="false">
      <c r="A16525" s="0" t="s">
        <v>7168</v>
      </c>
      <c r="B16525" s="0" t="str">
        <f aca="false">HYPERLINK("https://lindat.mff.cuni.cz/services/teitok/pdtc10/index.php?action=vallex&amp;frame=v-w1972f1", "nadát se (v-w1972f1)")</f>
        <v>nadát se (v-w1972f1)</v>
      </c>
    </row>
    <row r="16526" customFormat="false" ht="12.8" hidden="false" customHeight="false" outlineLevel="0" collapsed="false">
      <c r="B16526" s="0" t="s">
        <v>1</v>
      </c>
    </row>
    <row r="16527" customFormat="false" ht="12.8" hidden="false" customHeight="false" outlineLevel="0" collapsed="false">
      <c r="B16527" s="0" t="s">
        <v>1289</v>
      </c>
    </row>
    <row r="16528" customFormat="false" ht="12.8" hidden="false" customHeight="false" outlineLevel="0" collapsed="false">
      <c r="B16528" s="0" t="s">
        <v>602</v>
      </c>
    </row>
    <row r="16530" customFormat="false" ht="12.8" hidden="false" customHeight="false" outlineLevel="0" collapsed="false">
      <c r="A16530" s="0" t="s">
        <v>7169</v>
      </c>
      <c r="B16530" s="0" t="str">
        <f aca="false">HYPERLINK("https://lindat.mff.cuni.cz/services/teitok/pdtc10/index.php?action=vallex&amp;frame=v-w1973f2", "nadávat (v-w1973f2)")</f>
        <v>nadávat (v-w1973f2)</v>
      </c>
      <c r="E16530" s="0" t="str">
        <f aca="false">HYPERLINK("https://lindat.mff.cuni.cz/services/SynSemClass40/SynSemClass40.html?veclass=vec00633#vec00633-ces-cm00001", "vec00633")</f>
        <v>vec00633</v>
      </c>
      <c r="F16530" s="0" t="s">
        <v>528</v>
      </c>
      <c r="H16530" s="0" t="str">
        <f aca="false">HYPERLINK("https://lindat.mff.cuni.cz/services/SynSemClass40/SynSemClass40.html?veclass=vec01489#vec01489-ces-cm00008", "vec01489")</f>
        <v>vec01489</v>
      </c>
      <c r="I16530" s="0" t="s">
        <v>485</v>
      </c>
    </row>
    <row r="16531" customFormat="false" ht="12.8" hidden="false" customHeight="false" outlineLevel="0" collapsed="false">
      <c r="B16531" s="0" t="s">
        <v>1</v>
      </c>
      <c r="C16531" s="0" t="s">
        <v>106</v>
      </c>
      <c r="E16531" s="0" t="s">
        <v>147</v>
      </c>
      <c r="F16531" s="0" t="s">
        <v>529</v>
      </c>
      <c r="H16531" s="0" t="s">
        <v>63</v>
      </c>
      <c r="I16531" s="0" t="s">
        <v>488</v>
      </c>
    </row>
    <row r="16532" customFormat="false" ht="12.8" hidden="false" customHeight="false" outlineLevel="0" collapsed="false">
      <c r="B16532" s="0" t="s">
        <v>797</v>
      </c>
      <c r="C16532" s="0" t="s">
        <v>531</v>
      </c>
      <c r="E16532" s="0" t="s">
        <v>532</v>
      </c>
      <c r="F16532" s="0" t="s">
        <v>533</v>
      </c>
      <c r="H16532" s="0" t="s">
        <v>230</v>
      </c>
      <c r="I16532" s="0" t="s">
        <v>492</v>
      </c>
    </row>
    <row r="16534" customFormat="false" ht="12.8" hidden="false" customHeight="false" outlineLevel="0" collapsed="false">
      <c r="A16534" s="0" t="s">
        <v>7170</v>
      </c>
      <c r="B16534" s="0" t="str">
        <f aca="false">HYPERLINK("https://lindat.mff.cuni.cz/services/teitok/pdtc10/index.php?action=vallex&amp;frame=v-w1973f3_ZU", "nadávat (v-w1973f3_ZU)")</f>
        <v>nadávat (v-w1973f3_ZU)</v>
      </c>
    </row>
    <row r="16535" customFormat="false" ht="12.8" hidden="false" customHeight="false" outlineLevel="0" collapsed="false">
      <c r="B16535" s="0" t="s">
        <v>1</v>
      </c>
    </row>
    <row r="16536" customFormat="false" ht="12.8" hidden="false" customHeight="false" outlineLevel="0" collapsed="false">
      <c r="B16536" s="0" t="s">
        <v>52</v>
      </c>
    </row>
    <row r="16537" customFormat="false" ht="12.8" hidden="false" customHeight="false" outlineLevel="0" collapsed="false">
      <c r="B16537" s="0" t="s">
        <v>7171</v>
      </c>
    </row>
    <row r="16539" customFormat="false" ht="12.8" hidden="false" customHeight="false" outlineLevel="0" collapsed="false">
      <c r="A16539" s="0" t="s">
        <v>7170</v>
      </c>
      <c r="B16539" s="0" t="str">
        <f aca="false">HYPERLINK("https://lindat.mff.cuni.cz/services/teitok/pdtc10/index.php?action=vallex&amp;frame=v-w1973f1", "nadávat (v-w1973f1) - substituted with v-w1973f3_ZU")</f>
        <v>nadávat (v-w1973f1) - substituted with v-w1973f3_ZU</v>
      </c>
    </row>
    <row r="16540" customFormat="false" ht="12.8" hidden="false" customHeight="false" outlineLevel="0" collapsed="false">
      <c r="B16540" s="0" t="s">
        <v>1</v>
      </c>
    </row>
    <row r="16541" customFormat="false" ht="12.8" hidden="false" customHeight="false" outlineLevel="0" collapsed="false">
      <c r="B16541" s="0" t="s">
        <v>52</v>
      </c>
    </row>
    <row r="16542" customFormat="false" ht="12.8" hidden="false" customHeight="false" outlineLevel="0" collapsed="false">
      <c r="B16542" s="0" t="s">
        <v>7171</v>
      </c>
    </row>
    <row r="16544" customFormat="false" ht="12.8" hidden="false" customHeight="false" outlineLevel="0" collapsed="false">
      <c r="A16544" s="0" t="s">
        <v>7172</v>
      </c>
      <c r="B16544" s="0" t="str">
        <f aca="false">HYPERLINK("https://lindat.mff.cuni.cz/services/teitok/pdtc10/index.php?action=vallex&amp;frame=v-whsa_1993hsa_1994", "nadít (v-whsa_1993hsa_1994)")</f>
        <v>nadít (v-whsa_1993hsa_1994)</v>
      </c>
    </row>
    <row r="16545" customFormat="false" ht="12.8" hidden="false" customHeight="false" outlineLevel="0" collapsed="false">
      <c r="B16545" s="0" t="s">
        <v>1</v>
      </c>
    </row>
    <row r="16546" customFormat="false" ht="12.8" hidden="false" customHeight="false" outlineLevel="0" collapsed="false">
      <c r="B16546" s="0" t="s">
        <v>8</v>
      </c>
    </row>
    <row r="16547" customFormat="false" ht="12.8" hidden="false" customHeight="false" outlineLevel="0" collapsed="false">
      <c r="B16547" s="0" t="s">
        <v>164</v>
      </c>
    </row>
    <row r="16549" customFormat="false" ht="12.8" hidden="false" customHeight="false" outlineLevel="0" collapsed="false">
      <c r="A16549" s="0" t="s">
        <v>7173</v>
      </c>
      <c r="B16549" s="0" t="str">
        <f aca="false">HYPERLINK("https://lindat.mff.cuni.cz/services/teitok/pdtc10/index.php?action=vallex&amp;frame=v-w1996f1", "nadýchat se (v-w1996f1)")</f>
        <v>nadýchat se (v-w1996f1)</v>
      </c>
    </row>
    <row r="16550" customFormat="false" ht="12.8" hidden="false" customHeight="false" outlineLevel="0" collapsed="false">
      <c r="B16550" s="0" t="s">
        <v>1</v>
      </c>
    </row>
    <row r="16551" customFormat="false" ht="12.8" hidden="false" customHeight="false" outlineLevel="0" collapsed="false">
      <c r="B16551" s="0" t="s">
        <v>1289</v>
      </c>
    </row>
    <row r="16553" customFormat="false" ht="12.8" hidden="false" customHeight="false" outlineLevel="0" collapsed="false">
      <c r="A16553" s="0" t="s">
        <v>7174</v>
      </c>
      <c r="B16553" s="0" t="str">
        <f aca="false">HYPERLINK("https://lindat.mff.cuni.cz/services/teitok/pdtc10/index.php?action=vallex&amp;frame=v-w1977f1", "nadělat (v-w1977f1)")</f>
        <v>nadělat (v-w1977f1)</v>
      </c>
      <c r="E16553" s="0" t="str">
        <f aca="false">HYPERLINK("https://lindat.mff.cuni.cz/services/SynSemClass40/SynSemClass40.html?veclass=vec00196#vec00196-ces-cm00036", "vec00196")</f>
        <v>vec00196</v>
      </c>
      <c r="F16553" s="0" t="s">
        <v>749</v>
      </c>
    </row>
    <row r="16554" customFormat="false" ht="12.8" hidden="false" customHeight="false" outlineLevel="0" collapsed="false">
      <c r="B16554" s="0" t="s">
        <v>345</v>
      </c>
      <c r="C16554" s="0" t="s">
        <v>750</v>
      </c>
      <c r="E16554" s="0" t="s">
        <v>76</v>
      </c>
      <c r="F16554" s="0" t="s">
        <v>751</v>
      </c>
    </row>
    <row r="16555" customFormat="false" ht="12.8" hidden="false" customHeight="false" outlineLevel="0" collapsed="false">
      <c r="B16555" s="0" t="s">
        <v>8</v>
      </c>
      <c r="C16555" s="0" t="s">
        <v>6686</v>
      </c>
      <c r="E16555" s="0" t="s">
        <v>6358</v>
      </c>
      <c r="F16555" s="0" t="s">
        <v>6645</v>
      </c>
    </row>
    <row r="16556" customFormat="false" ht="12.8" hidden="false" customHeight="false" outlineLevel="0" collapsed="false">
      <c r="B16556" s="0" t="s">
        <v>52</v>
      </c>
      <c r="C16556" s="0" t="s">
        <v>7175</v>
      </c>
      <c r="E16556" s="0" t="s">
        <v>2287</v>
      </c>
      <c r="F16556" s="0" t="s">
        <v>7176</v>
      </c>
    </row>
    <row r="16558" customFormat="false" ht="12.8" hidden="false" customHeight="false" outlineLevel="0" collapsed="false">
      <c r="A16558" s="0" t="s">
        <v>7177</v>
      </c>
      <c r="B16558" s="0" t="str">
        <f aca="false">HYPERLINK("https://lindat.mff.cuni.cz/services/teitok/pdtc10/index.php?action=vallex&amp;frame=v-w1977f2_ZU", "nadělat (v-w1977f2_ZU)")</f>
        <v>nadělat (v-w1977f2_ZU)</v>
      </c>
    </row>
    <row r="16559" customFormat="false" ht="12.8" hidden="false" customHeight="false" outlineLevel="0" collapsed="false">
      <c r="B16559" s="0" t="s">
        <v>1</v>
      </c>
    </row>
    <row r="16560" customFormat="false" ht="12.8" hidden="false" customHeight="false" outlineLevel="0" collapsed="false">
      <c r="B16560" s="0" t="s">
        <v>5032</v>
      </c>
    </row>
    <row r="16561" customFormat="false" ht="12.8" hidden="false" customHeight="false" outlineLevel="0" collapsed="false">
      <c r="B16561" s="0" t="s">
        <v>3205</v>
      </c>
    </row>
    <row r="16563" customFormat="false" ht="12.8" hidden="false" customHeight="false" outlineLevel="0" collapsed="false">
      <c r="A16563" s="0" t="s">
        <v>7177</v>
      </c>
      <c r="B16563" s="0" t="str">
        <f aca="false">HYPERLINK("https://lindat.mff.cuni.cz/services/teitok/pdtc10/index.php?action=vallex&amp;frame=v-w1977hsa_1255", "nadělat (v-w1977hsa_1255) - substituted with v-w1977f2_ZU")</f>
        <v>nadělat (v-w1977hsa_1255) - substituted with v-w1977f2_ZU</v>
      </c>
    </row>
    <row r="16564" customFormat="false" ht="12.8" hidden="false" customHeight="false" outlineLevel="0" collapsed="false">
      <c r="B16564" s="0" t="s">
        <v>1</v>
      </c>
    </row>
    <row r="16565" customFormat="false" ht="12.8" hidden="false" customHeight="false" outlineLevel="0" collapsed="false">
      <c r="B16565" s="0" t="s">
        <v>5032</v>
      </c>
    </row>
    <row r="16566" customFormat="false" ht="12.8" hidden="false" customHeight="false" outlineLevel="0" collapsed="false">
      <c r="B16566" s="0" t="s">
        <v>3205</v>
      </c>
    </row>
    <row r="16568" customFormat="false" ht="12.8" hidden="false" customHeight="false" outlineLevel="0" collapsed="false">
      <c r="A16568" s="0" t="s">
        <v>7178</v>
      </c>
      <c r="B16568" s="0" t="str">
        <f aca="false">HYPERLINK("https://lindat.mff.cuni.cz/services/teitok/pdtc10/index.php?action=vallex&amp;frame=v-w1977hsa_1256", "nadělat (v-w1977hsa_1256)")</f>
        <v>nadělat (v-w1977hsa_1256)</v>
      </c>
    </row>
    <row r="16569" customFormat="false" ht="12.8" hidden="false" customHeight="false" outlineLevel="0" collapsed="false">
      <c r="B16569" s="0" t="s">
        <v>1</v>
      </c>
    </row>
    <row r="16570" customFormat="false" ht="12.8" hidden="false" customHeight="false" outlineLevel="0" collapsed="false">
      <c r="B16570" s="0" t="s">
        <v>8</v>
      </c>
    </row>
    <row r="16571" customFormat="false" ht="12.8" hidden="false" customHeight="false" outlineLevel="0" collapsed="false">
      <c r="B16571" s="0" t="s">
        <v>36</v>
      </c>
    </row>
    <row r="16573" customFormat="false" ht="12.8" hidden="false" customHeight="false" outlineLevel="0" collapsed="false">
      <c r="A16573" s="0" t="s">
        <v>7179</v>
      </c>
      <c r="B16573" s="0" t="str">
        <f aca="false">HYPERLINK("https://lindat.mff.cuni.cz/services/teitok/pdtc10/index.php?action=vallex&amp;frame=v-w1977hsa_1063", "nadělat (v-w1977hsa_1063)")</f>
        <v>nadělat (v-w1977hsa_1063)</v>
      </c>
    </row>
    <row r="16574" customFormat="false" ht="12.8" hidden="false" customHeight="false" outlineLevel="0" collapsed="false">
      <c r="B16574" s="0" t="s">
        <v>1</v>
      </c>
    </row>
    <row r="16575" customFormat="false" ht="12.8" hidden="false" customHeight="false" outlineLevel="0" collapsed="false">
      <c r="B16575" s="0" t="s">
        <v>1356</v>
      </c>
    </row>
    <row r="16577" customFormat="false" ht="12.8" hidden="false" customHeight="false" outlineLevel="0" collapsed="false">
      <c r="A16577" s="0" t="s">
        <v>7180</v>
      </c>
      <c r="B16577" s="0" t="str">
        <f aca="false">HYPERLINK("https://lindat.mff.cuni.cz/services/teitok/pdtc10/index.php?action=vallex&amp;frame=v-whsa_853f1_ZU", "nadělat se (v-whsa_853f1_ZU)")</f>
        <v>nadělat se (v-whsa_853f1_ZU)</v>
      </c>
    </row>
    <row r="16578" customFormat="false" ht="12.8" hidden="false" customHeight="false" outlineLevel="0" collapsed="false">
      <c r="B16578" s="0" t="s">
        <v>1</v>
      </c>
    </row>
    <row r="16579" customFormat="false" ht="12.8" hidden="false" customHeight="false" outlineLevel="0" collapsed="false">
      <c r="B16579" s="0" t="s">
        <v>3642</v>
      </c>
    </row>
    <row r="16581" customFormat="false" ht="12.8" hidden="false" customHeight="false" outlineLevel="0" collapsed="false">
      <c r="A16581" s="0" t="s">
        <v>7180</v>
      </c>
      <c r="B16581" s="0" t="str">
        <f aca="false">HYPERLINK("https://lindat.mff.cuni.cz/services/teitok/pdtc10/index.php?action=vallex&amp;frame=v-whsa_853hsa_854", "nadělat se (v-whsa_853hsa_854) - substituted with v-whsa_853f1_ZU")</f>
        <v>nadělat se (v-whsa_853hsa_854) - substituted with v-whsa_853f1_ZU</v>
      </c>
    </row>
    <row r="16582" customFormat="false" ht="12.8" hidden="false" customHeight="false" outlineLevel="0" collapsed="false">
      <c r="B16582" s="0" t="s">
        <v>1</v>
      </c>
    </row>
    <row r="16583" customFormat="false" ht="12.8" hidden="false" customHeight="false" outlineLevel="0" collapsed="false">
      <c r="B16583" s="0" t="s">
        <v>3642</v>
      </c>
    </row>
    <row r="16585" customFormat="false" ht="12.8" hidden="false" customHeight="false" outlineLevel="0" collapsed="false">
      <c r="A16585" s="0" t="s">
        <v>7181</v>
      </c>
      <c r="B16585" s="0" t="str">
        <f aca="false">HYPERLINK("https://lindat.mff.cuni.cz/services/teitok/pdtc10/index.php?action=vallex&amp;frame=v-whsa_853hsa_855", "nadělat se (v-whsa_853hsa_855)")</f>
        <v>nadělat se (v-whsa_853hsa_855)</v>
      </c>
    </row>
    <row r="16586" customFormat="false" ht="12.8" hidden="false" customHeight="false" outlineLevel="0" collapsed="false">
      <c r="B16586" s="0" t="s">
        <v>1</v>
      </c>
    </row>
    <row r="16587" customFormat="false" ht="12.8" hidden="false" customHeight="false" outlineLevel="0" collapsed="false">
      <c r="B16587" s="0" t="s">
        <v>1289</v>
      </c>
    </row>
    <row r="16589" customFormat="false" ht="12.8" hidden="false" customHeight="false" outlineLevel="0" collapsed="false">
      <c r="A16589" s="0" t="s">
        <v>7182</v>
      </c>
      <c r="B16589" s="0" t="str">
        <f aca="false">HYPERLINK("https://lindat.mff.cuni.cz/services/teitok/pdtc10/index.php?action=vallex&amp;frame=v-w1978f1", "nadělit (v-w1978f1)")</f>
        <v>nadělit (v-w1978f1)</v>
      </c>
    </row>
    <row r="16590" customFormat="false" ht="12.8" hidden="false" customHeight="false" outlineLevel="0" collapsed="false">
      <c r="B16590" s="0" t="s">
        <v>1</v>
      </c>
    </row>
    <row r="16591" customFormat="false" ht="12.8" hidden="false" customHeight="false" outlineLevel="0" collapsed="false">
      <c r="B16591" s="0" t="s">
        <v>8</v>
      </c>
    </row>
    <row r="16592" customFormat="false" ht="12.8" hidden="false" customHeight="false" outlineLevel="0" collapsed="false">
      <c r="B16592" s="0" t="s">
        <v>52</v>
      </c>
    </row>
    <row r="16594" customFormat="false" ht="12.8" hidden="false" customHeight="false" outlineLevel="0" collapsed="false">
      <c r="A16594" s="0" t="s">
        <v>7183</v>
      </c>
      <c r="B16594" s="0" t="str">
        <f aca="false">HYPERLINK("https://lindat.mff.cuni.cz/services/teitok/pdtc10/index.php?action=vallex&amp;frame=v-w1989f1", "nadřadit (v-w1989f1)")</f>
        <v>nadřadit (v-w1989f1)</v>
      </c>
    </row>
    <row r="16595" customFormat="false" ht="12.8" hidden="false" customHeight="false" outlineLevel="0" collapsed="false">
      <c r="B16595" s="0" t="s">
        <v>1</v>
      </c>
    </row>
    <row r="16596" customFormat="false" ht="12.8" hidden="false" customHeight="false" outlineLevel="0" collapsed="false">
      <c r="B16596" s="0" t="s">
        <v>8</v>
      </c>
    </row>
    <row r="16597" customFormat="false" ht="12.8" hidden="false" customHeight="false" outlineLevel="0" collapsed="false">
      <c r="B16597" s="0" t="s">
        <v>52</v>
      </c>
    </row>
    <row r="16599" customFormat="false" ht="12.8" hidden="false" customHeight="false" outlineLevel="0" collapsed="false">
      <c r="A16599" s="0" t="s">
        <v>7184</v>
      </c>
      <c r="B16599" s="0" t="str">
        <f aca="false">HYPERLINK("https://lindat.mff.cuni.cz/services/teitok/pdtc10/index.php?action=vallex&amp;frame=v-w11340f1", "nadřít se (v-w11340f1)")</f>
        <v>nadřít se (v-w11340f1)</v>
      </c>
    </row>
    <row r="16600" customFormat="false" ht="12.8" hidden="false" customHeight="false" outlineLevel="0" collapsed="false">
      <c r="B16600" s="0" t="s">
        <v>1</v>
      </c>
    </row>
    <row r="16602" customFormat="false" ht="12.8" hidden="false" customHeight="false" outlineLevel="0" collapsed="false">
      <c r="A16602" s="0" t="s">
        <v>7185</v>
      </c>
      <c r="B16602" s="0" t="str">
        <f aca="false">HYPERLINK("https://lindat.mff.cuni.cz/services/teitok/pdtc10/index.php?action=vallex&amp;frame=v-w1998f1", "nafackovat (v-w1998f1)")</f>
        <v>nafackovat (v-w1998f1)</v>
      </c>
    </row>
    <row r="16603" customFormat="false" ht="12.8" hidden="false" customHeight="false" outlineLevel="0" collapsed="false">
      <c r="B16603" s="0" t="s">
        <v>1</v>
      </c>
    </row>
    <row r="16604" customFormat="false" ht="12.8" hidden="false" customHeight="false" outlineLevel="0" collapsed="false">
      <c r="B16604" s="0" t="s">
        <v>7186</v>
      </c>
    </row>
    <row r="16606" customFormat="false" ht="12.8" hidden="false" customHeight="false" outlineLevel="0" collapsed="false">
      <c r="A16606" s="0" t="s">
        <v>7187</v>
      </c>
      <c r="B16606" s="0" t="str">
        <f aca="false">HYPERLINK("https://lindat.mff.cuni.cz/services/teitok/pdtc10/index.php?action=vallex&amp;frame=v-w11866_ZUf1_ZU", "nafasovat (v-w11866_ZUf1_ZU)")</f>
        <v>nafasovat (v-w11866_ZUf1_ZU)</v>
      </c>
    </row>
    <row r="16607" customFormat="false" ht="12.8" hidden="false" customHeight="false" outlineLevel="0" collapsed="false">
      <c r="B16607" s="0" t="s">
        <v>1</v>
      </c>
    </row>
    <row r="16608" customFormat="false" ht="12.8" hidden="false" customHeight="false" outlineLevel="0" collapsed="false">
      <c r="B16608" s="0" t="s">
        <v>8</v>
      </c>
    </row>
    <row r="16610" customFormat="false" ht="12.8" hidden="false" customHeight="false" outlineLevel="0" collapsed="false">
      <c r="A16610" s="0" t="s">
        <v>7188</v>
      </c>
      <c r="B16610" s="0" t="str">
        <f aca="false">HYPERLINK("https://lindat.mff.cuni.cz/services/teitok/pdtc10/index.php?action=vallex&amp;frame=v-w10116f2", "nafaxovat (v-w10116f2)")</f>
        <v>nafaxovat (v-w10116f2)</v>
      </c>
      <c r="E16610" s="0" t="str">
        <f aca="false">HYPERLINK("https://lindat.mff.cuni.cz/services/SynSemClass40/SynSemClass40.html?veclass=vec00060#vec00060-ces-cm00459", "vec00060")</f>
        <v>vec00060</v>
      </c>
      <c r="F16610" s="0" t="s">
        <v>213</v>
      </c>
    </row>
    <row r="16611" customFormat="false" ht="12.8" hidden="false" customHeight="false" outlineLevel="0" collapsed="false">
      <c r="B16611" s="0" t="s">
        <v>1</v>
      </c>
      <c r="C16611" s="0" t="s">
        <v>214</v>
      </c>
      <c r="E16611" s="0" t="s">
        <v>147</v>
      </c>
      <c r="F16611" s="0" t="s">
        <v>215</v>
      </c>
    </row>
    <row r="16612" customFormat="false" ht="12.8" hidden="false" customHeight="false" outlineLevel="0" collapsed="false">
      <c r="B16612" s="0" t="s">
        <v>7189</v>
      </c>
      <c r="C16612" s="0" t="s">
        <v>2216</v>
      </c>
      <c r="E16612" s="0" t="s">
        <v>2217</v>
      </c>
      <c r="F16612" s="0" t="s">
        <v>2218</v>
      </c>
    </row>
    <row r="16613" customFormat="false" ht="12.8" hidden="false" customHeight="false" outlineLevel="0" collapsed="false">
      <c r="B16613" s="0" t="s">
        <v>496</v>
      </c>
    </row>
    <row r="16614" customFormat="false" ht="12.8" hidden="false" customHeight="false" outlineLevel="0" collapsed="false">
      <c r="B16614" s="0" t="s">
        <v>132</v>
      </c>
      <c r="C16614" s="0" t="s">
        <v>220</v>
      </c>
      <c r="E16614" s="0" t="s">
        <v>221</v>
      </c>
      <c r="F16614" s="0" t="s">
        <v>222</v>
      </c>
    </row>
    <row r="16616" customFormat="false" ht="12.8" hidden="false" customHeight="false" outlineLevel="0" collapsed="false">
      <c r="A16616" s="0" t="s">
        <v>7190</v>
      </c>
      <c r="B16616" s="0" t="str">
        <f aca="false">HYPERLINK("https://lindat.mff.cuni.cz/services/teitok/pdtc10/index.php?action=vallex&amp;frame=v-w1999f1", "nafilmovat (v-w1999f1)")</f>
        <v>nafilmovat (v-w1999f1)</v>
      </c>
    </row>
    <row r="16617" customFormat="false" ht="12.8" hidden="false" customHeight="false" outlineLevel="0" collapsed="false">
      <c r="B16617" s="0" t="s">
        <v>1</v>
      </c>
    </row>
    <row r="16618" customFormat="false" ht="12.8" hidden="false" customHeight="false" outlineLevel="0" collapsed="false">
      <c r="B16618" s="0" t="s">
        <v>8</v>
      </c>
    </row>
    <row r="16620" customFormat="false" ht="12.8" hidden="false" customHeight="false" outlineLevel="0" collapsed="false">
      <c r="A16620" s="0" t="s">
        <v>7191</v>
      </c>
      <c r="B16620" s="0" t="str">
        <f aca="false">HYPERLINK("https://lindat.mff.cuni.cz/services/teitok/pdtc10/index.php?action=vallex&amp;frame=v-w1999f2", "nafilmovat (v-w1999f2)")</f>
        <v>nafilmovat (v-w1999f2)</v>
      </c>
    </row>
    <row r="16621" customFormat="false" ht="12.8" hidden="false" customHeight="false" outlineLevel="0" collapsed="false">
      <c r="B16621" s="0" t="s">
        <v>1</v>
      </c>
    </row>
    <row r="16622" customFormat="false" ht="12.8" hidden="false" customHeight="false" outlineLevel="0" collapsed="false">
      <c r="B16622" s="0" t="s">
        <v>8</v>
      </c>
    </row>
    <row r="16624" customFormat="false" ht="12.8" hidden="false" customHeight="false" outlineLevel="0" collapsed="false">
      <c r="A16624" s="0" t="s">
        <v>7192</v>
      </c>
      <c r="B16624" s="0" t="str">
        <f aca="false">HYPERLINK("https://lindat.mff.cuni.cz/services/teitok/pdtc10/index.php?action=vallex&amp;frame=v-w11984_ZUf2_ZU", "nafotit (v-w11984_ZUf2_ZU)")</f>
        <v>nafotit (v-w11984_ZUf2_ZU)</v>
      </c>
    </row>
    <row r="16625" customFormat="false" ht="12.8" hidden="false" customHeight="false" outlineLevel="0" collapsed="false">
      <c r="B16625" s="0" t="s">
        <v>1</v>
      </c>
    </row>
    <row r="16626" customFormat="false" ht="12.8" hidden="false" customHeight="false" outlineLevel="0" collapsed="false">
      <c r="B16626" s="0" t="s">
        <v>8</v>
      </c>
    </row>
    <row r="16628" customFormat="false" ht="12.8" hidden="false" customHeight="false" outlineLevel="0" collapsed="false">
      <c r="A16628" s="0" t="s">
        <v>7192</v>
      </c>
      <c r="B16628" s="0" t="str">
        <f aca="false">HYPERLINK("https://lindat.mff.cuni.cz/services/teitok/pdtc10/index.php?action=vallex&amp;frame=v-w11984_ZUf1_ZU", "nafotit (v-w11984_ZUf1_ZU) - substituted with v-w11984_ZUf2_ZU")</f>
        <v>nafotit (v-w11984_ZUf1_ZU) - substituted with v-w11984_ZUf2_ZU</v>
      </c>
    </row>
    <row r="16629" customFormat="false" ht="12.8" hidden="false" customHeight="false" outlineLevel="0" collapsed="false">
      <c r="B16629" s="0" t="s">
        <v>1</v>
      </c>
    </row>
    <row r="16630" customFormat="false" ht="12.8" hidden="false" customHeight="false" outlineLevel="0" collapsed="false">
      <c r="B16630" s="0" t="s">
        <v>8</v>
      </c>
    </row>
    <row r="16632" customFormat="false" ht="12.8" hidden="false" customHeight="false" outlineLevel="0" collapsed="false">
      <c r="A16632" s="0" t="s">
        <v>7193</v>
      </c>
      <c r="B16632" s="0" t="str">
        <f aca="false">HYPERLINK("https://lindat.mff.cuni.cz/services/teitok/pdtc10/index.php?action=vallex&amp;frame=v-w10649f5", "nafouknout (v-w10649f5)")</f>
        <v>nafouknout (v-w10649f5)</v>
      </c>
      <c r="E16632" s="0" t="str">
        <f aca="false">HYPERLINK("https://lindat.mff.cuni.cz/services/SynSemClass40/SynSemClass40.html?veclass=vec00298#vec00298-ces-cm00003", "vec00298")</f>
        <v>vec00298</v>
      </c>
      <c r="F16632" s="0" t="s">
        <v>7194</v>
      </c>
    </row>
    <row r="16633" customFormat="false" ht="12.8" hidden="false" customHeight="false" outlineLevel="0" collapsed="false">
      <c r="B16633" s="0" t="s">
        <v>1</v>
      </c>
      <c r="C16633" s="0" t="s">
        <v>7195</v>
      </c>
      <c r="E16633" s="0" t="s">
        <v>31</v>
      </c>
      <c r="F16633" s="0" t="s">
        <v>7196</v>
      </c>
    </row>
    <row r="16634" customFormat="false" ht="12.8" hidden="false" customHeight="false" outlineLevel="0" collapsed="false">
      <c r="B16634" s="0" t="s">
        <v>8</v>
      </c>
      <c r="C16634" s="0" t="s">
        <v>7197</v>
      </c>
      <c r="E16634" s="0" t="s">
        <v>1569</v>
      </c>
      <c r="F16634" s="0" t="s">
        <v>7198</v>
      </c>
    </row>
    <row r="16635" customFormat="false" ht="12.8" hidden="false" customHeight="false" outlineLevel="0" collapsed="false">
      <c r="B16635" s="0" t="s">
        <v>36</v>
      </c>
      <c r="C16635" s="0" t="s">
        <v>7199</v>
      </c>
      <c r="E16635" s="0" t="s">
        <v>5152</v>
      </c>
      <c r="F16635" s="0" t="s">
        <v>7200</v>
      </c>
    </row>
    <row r="16636" customFormat="false" ht="12.8" hidden="false" customHeight="false" outlineLevel="0" collapsed="false">
      <c r="B16636" s="0" t="s">
        <v>101</v>
      </c>
      <c r="C16636" s="0" t="s">
        <v>7201</v>
      </c>
      <c r="E16636" s="0" t="s">
        <v>5796</v>
      </c>
      <c r="F16636" s="0" t="s">
        <v>7202</v>
      </c>
    </row>
    <row r="16638" customFormat="false" ht="12.8" hidden="false" customHeight="false" outlineLevel="0" collapsed="false">
      <c r="A16638" s="0" t="s">
        <v>7203</v>
      </c>
      <c r="B16638" s="0" t="str">
        <f aca="false">HYPERLINK("https://lindat.mff.cuni.cz/services/teitok/pdtc10/index.php?action=vallex&amp;frame=v-w10649f2", "nafouknout (v-w10649f2)")</f>
        <v>nafouknout (v-w10649f2)</v>
      </c>
    </row>
    <row r="16639" customFormat="false" ht="12.8" hidden="false" customHeight="false" outlineLevel="0" collapsed="false">
      <c r="B16639" s="0" t="s">
        <v>1</v>
      </c>
    </row>
    <row r="16640" customFormat="false" ht="12.8" hidden="false" customHeight="false" outlineLevel="0" collapsed="false">
      <c r="B16640" s="0" t="s">
        <v>228</v>
      </c>
    </row>
    <row r="16642" customFormat="false" ht="12.8" hidden="false" customHeight="false" outlineLevel="0" collapsed="false">
      <c r="A16642" s="0" t="s">
        <v>7204</v>
      </c>
      <c r="B16642" s="0" t="str">
        <f aca="false">HYPERLINK("https://lindat.mff.cuni.cz/services/teitok/pdtc10/index.php?action=vallex&amp;frame=v-w10649f3", "nafouknout (v-w10649f3)")</f>
        <v>nafouknout (v-w10649f3)</v>
      </c>
      <c r="E16642" s="0" t="str">
        <f aca="false">HYPERLINK("https://lindat.mff.cuni.cz/services/SynSemClass40/SynSemClass40.html?veclass=vec01406#vec01406-ces-cm00001", "vec01406")</f>
        <v>vec01406</v>
      </c>
      <c r="F16642" s="0" t="s">
        <v>7205</v>
      </c>
    </row>
    <row r="16643" customFormat="false" ht="12.8" hidden="false" customHeight="false" outlineLevel="0" collapsed="false">
      <c r="B16643" s="0" t="s">
        <v>1</v>
      </c>
      <c r="E16643" s="0" t="s">
        <v>7206</v>
      </c>
      <c r="F16643" s="0" t="s">
        <v>7207</v>
      </c>
    </row>
    <row r="16644" customFormat="false" ht="12.8" hidden="false" customHeight="false" outlineLevel="0" collapsed="false">
      <c r="B16644" s="0" t="s">
        <v>8</v>
      </c>
      <c r="E16644" s="0" t="s">
        <v>7208</v>
      </c>
      <c r="F16644" s="0" t="s">
        <v>7209</v>
      </c>
    </row>
    <row r="16646" customFormat="false" ht="12.8" hidden="false" customHeight="false" outlineLevel="0" collapsed="false">
      <c r="A16646" s="0" t="s">
        <v>7210</v>
      </c>
      <c r="B16646" s="0" t="str">
        <f aca="false">HYPERLINK("https://lindat.mff.cuni.cz/services/teitok/pdtc10/index.php?action=vallex&amp;frame=v-w10261f2", "nafukovat (v-w10261f2)")</f>
        <v>nafukovat (v-w10261f2)</v>
      </c>
      <c r="E16646" s="0" t="str">
        <f aca="false">HYPERLINK("https://lindat.mff.cuni.cz/services/SynSemClass40/SynSemClass40.html?veclass=vec00634#vec00634-ces-cm00016", "vec00634")</f>
        <v>vec00634</v>
      </c>
      <c r="F16646" s="0" t="s">
        <v>7123</v>
      </c>
    </row>
    <row r="16647" customFormat="false" ht="12.8" hidden="false" customHeight="false" outlineLevel="0" collapsed="false">
      <c r="B16647" s="0" t="s">
        <v>1</v>
      </c>
      <c r="C16647" s="0" t="s">
        <v>239</v>
      </c>
      <c r="E16647" s="0" t="s">
        <v>31</v>
      </c>
      <c r="F16647" s="0" t="s">
        <v>5993</v>
      </c>
    </row>
    <row r="16648" customFormat="false" ht="12.8" hidden="false" customHeight="false" outlineLevel="0" collapsed="false">
      <c r="B16648" s="0" t="s">
        <v>228</v>
      </c>
      <c r="C16648" s="0" t="s">
        <v>7124</v>
      </c>
      <c r="E16648" s="0" t="s">
        <v>180</v>
      </c>
      <c r="F16648" s="0" t="s">
        <v>7125</v>
      </c>
    </row>
    <row r="16650" customFormat="false" ht="12.8" hidden="false" customHeight="false" outlineLevel="0" collapsed="false">
      <c r="A16650" s="0" t="s">
        <v>7211</v>
      </c>
      <c r="B16650" s="0" t="str">
        <f aca="false">HYPERLINK("https://lindat.mff.cuni.cz/services/teitok/pdtc10/index.php?action=vallex&amp;frame=v-w10391f3", "nahazovat (v-w10391f3)")</f>
        <v>nahazovat (v-w10391f3)</v>
      </c>
      <c r="E16650" s="0" t="str">
        <f aca="false">HYPERLINK("https://lindat.mff.cuni.cz/services/SynSemClass40/SynSemClass40.html?veclass=vec00819#vec00819-ces-cm00019", "vec00819")</f>
        <v>vec00819</v>
      </c>
      <c r="F16650" s="0" t="s">
        <v>4399</v>
      </c>
    </row>
    <row r="16651" customFormat="false" ht="12.8" hidden="false" customHeight="false" outlineLevel="0" collapsed="false">
      <c r="B16651" s="0" t="s">
        <v>1</v>
      </c>
      <c r="C16651" s="0" t="s">
        <v>255</v>
      </c>
      <c r="E16651" s="0" t="s">
        <v>2196</v>
      </c>
      <c r="F16651" s="0" t="s">
        <v>4400</v>
      </c>
    </row>
    <row r="16652" customFormat="false" ht="12.8" hidden="false" customHeight="false" outlineLevel="0" collapsed="false">
      <c r="B16652" s="0" t="s">
        <v>8</v>
      </c>
      <c r="C16652" s="0" t="s">
        <v>4401</v>
      </c>
      <c r="E16652" s="0" t="s">
        <v>2200</v>
      </c>
      <c r="F16652" s="0" t="s">
        <v>4402</v>
      </c>
    </row>
    <row r="16653" customFormat="false" ht="12.8" hidden="false" customHeight="false" outlineLevel="0" collapsed="false">
      <c r="B16653" s="0" t="s">
        <v>132</v>
      </c>
      <c r="C16653" s="0" t="s">
        <v>1391</v>
      </c>
      <c r="E16653" s="0" t="s">
        <v>53</v>
      </c>
      <c r="F16653" s="0" t="s">
        <v>4403</v>
      </c>
    </row>
    <row r="16655" customFormat="false" ht="12.8" hidden="false" customHeight="false" outlineLevel="0" collapsed="false">
      <c r="A16655" s="0" t="s">
        <v>7212</v>
      </c>
      <c r="B16655" s="0" t="str">
        <f aca="false">HYPERLINK("https://lindat.mff.cuni.cz/services/teitok/pdtc10/index.php?action=vallex&amp;frame=v-w10391f4_ZU", "nahazovat (v-w10391f4_ZU)")</f>
        <v>nahazovat (v-w10391f4_ZU)</v>
      </c>
    </row>
    <row r="16656" customFormat="false" ht="12.8" hidden="false" customHeight="false" outlineLevel="0" collapsed="false">
      <c r="B16656" s="0" t="s">
        <v>1</v>
      </c>
    </row>
    <row r="16657" customFormat="false" ht="12.8" hidden="false" customHeight="false" outlineLevel="0" collapsed="false">
      <c r="B16657" s="0" t="s">
        <v>8</v>
      </c>
    </row>
    <row r="16659" customFormat="false" ht="12.8" hidden="false" customHeight="false" outlineLevel="0" collapsed="false">
      <c r="A16659" s="0" t="s">
        <v>7213</v>
      </c>
      <c r="B16659" s="0" t="str">
        <f aca="false">HYPERLINK("https://lindat.mff.cuni.cz/services/teitok/pdtc10/index.php?action=vallex&amp;frame=v-w2003f1", "nahlašovat (v-w2003f1)")</f>
        <v>nahlašovat (v-w2003f1)</v>
      </c>
      <c r="E16659" s="0" t="str">
        <f aca="false">HYPERLINK("https://lindat.mff.cuni.cz/services/SynSemClass40/SynSemClass40.html?veclass=vec00060#vec00060-ces-cm00437", "vec00060")</f>
        <v>vec00060</v>
      </c>
      <c r="F16659" s="0" t="s">
        <v>213</v>
      </c>
    </row>
    <row r="16660" customFormat="false" ht="12.8" hidden="false" customHeight="false" outlineLevel="0" collapsed="false">
      <c r="B16660" s="0" t="s">
        <v>1</v>
      </c>
      <c r="C16660" s="0" t="s">
        <v>214</v>
      </c>
      <c r="E16660" s="0" t="s">
        <v>147</v>
      </c>
      <c r="F16660" s="0" t="s">
        <v>215</v>
      </c>
    </row>
    <row r="16661" customFormat="false" ht="12.8" hidden="false" customHeight="false" outlineLevel="0" collapsed="false">
      <c r="B16661" s="0" t="s">
        <v>216</v>
      </c>
      <c r="C16661" s="0" t="s">
        <v>217</v>
      </c>
      <c r="E16661" s="0" t="s">
        <v>218</v>
      </c>
      <c r="F16661" s="0" t="s">
        <v>219</v>
      </c>
    </row>
    <row r="16662" customFormat="false" ht="12.8" hidden="false" customHeight="false" outlineLevel="0" collapsed="false">
      <c r="B16662" s="0" t="s">
        <v>52</v>
      </c>
      <c r="C16662" s="0" t="s">
        <v>220</v>
      </c>
      <c r="E16662" s="0" t="s">
        <v>221</v>
      </c>
      <c r="F16662" s="0" t="s">
        <v>222</v>
      </c>
    </row>
    <row r="16664" customFormat="false" ht="12.8" hidden="false" customHeight="false" outlineLevel="0" collapsed="false">
      <c r="A16664" s="0" t="s">
        <v>7214</v>
      </c>
      <c r="B16664" s="0" t="str">
        <f aca="false">HYPERLINK("https://lindat.mff.cuni.cz/services/teitok/pdtc10/index.php?action=vallex&amp;frame=v-w2003f2", "nahlašovat (v-w2003f2)")</f>
        <v>nahlašovat (v-w2003f2)</v>
      </c>
    </row>
    <row r="16665" customFormat="false" ht="12.8" hidden="false" customHeight="false" outlineLevel="0" collapsed="false">
      <c r="B16665" s="0" t="s">
        <v>1</v>
      </c>
    </row>
    <row r="16666" customFormat="false" ht="12.8" hidden="false" customHeight="false" outlineLevel="0" collapsed="false">
      <c r="B16666" s="0" t="s">
        <v>216</v>
      </c>
    </row>
    <row r="16667" customFormat="false" ht="12.8" hidden="false" customHeight="false" outlineLevel="0" collapsed="false">
      <c r="B16667" s="0" t="s">
        <v>164</v>
      </c>
    </row>
    <row r="16669" customFormat="false" ht="12.8" hidden="false" customHeight="false" outlineLevel="0" collapsed="false">
      <c r="A16669" s="0" t="s">
        <v>7215</v>
      </c>
      <c r="B16669" s="0" t="str">
        <f aca="false">HYPERLINK("https://lindat.mff.cuni.cz/services/teitok/pdtc10/index.php?action=vallex&amp;frame=v-w11743_ZUf1_ZU", "nahledat se (v-w11743_ZUf1_ZU)")</f>
        <v>nahledat se (v-w11743_ZUf1_ZU)</v>
      </c>
    </row>
    <row r="16670" customFormat="false" ht="12.8" hidden="false" customHeight="false" outlineLevel="0" collapsed="false">
      <c r="B16670" s="0" t="s">
        <v>1</v>
      </c>
    </row>
    <row r="16671" customFormat="false" ht="12.8" hidden="false" customHeight="false" outlineLevel="0" collapsed="false">
      <c r="B16671" s="0" t="s">
        <v>1289</v>
      </c>
    </row>
    <row r="16673" customFormat="false" ht="12.8" hidden="false" customHeight="false" outlineLevel="0" collapsed="false">
      <c r="A16673" s="0" t="s">
        <v>7216</v>
      </c>
      <c r="B16673" s="0" t="str">
        <f aca="false">HYPERLINK("https://lindat.mff.cuni.cz/services/teitok/pdtc10/index.php?action=vallex&amp;frame=v-w2009f1", "nahlodat (v-w2009f1)")</f>
        <v>nahlodat (v-w2009f1)</v>
      </c>
      <c r="E16673" s="0" t="str">
        <f aca="false">HYPERLINK("https://lindat.mff.cuni.cz/services/SynSemClass40/SynSemClass40.html?veclass=vec00265#vec00265-ces-cm00008", "vec00265")</f>
        <v>vec00265</v>
      </c>
      <c r="F16673" s="0" t="s">
        <v>7217</v>
      </c>
    </row>
    <row r="16674" customFormat="false" ht="12.8" hidden="false" customHeight="false" outlineLevel="0" collapsed="false">
      <c r="B16674" s="0" t="s">
        <v>1</v>
      </c>
      <c r="C16674" s="0" t="s">
        <v>7218</v>
      </c>
      <c r="E16674" s="0" t="s">
        <v>7219</v>
      </c>
      <c r="F16674" s="0" t="s">
        <v>7220</v>
      </c>
    </row>
    <row r="16675" customFormat="false" ht="12.8" hidden="false" customHeight="false" outlineLevel="0" collapsed="false">
      <c r="B16675" s="0" t="s">
        <v>8</v>
      </c>
      <c r="C16675" s="0" t="s">
        <v>2380</v>
      </c>
      <c r="E16675" s="0" t="s">
        <v>1823</v>
      </c>
      <c r="F16675" s="0" t="s">
        <v>7221</v>
      </c>
    </row>
    <row r="16677" customFormat="false" ht="12.8" hidden="false" customHeight="false" outlineLevel="0" collapsed="false">
      <c r="A16677" s="0" t="s">
        <v>7222</v>
      </c>
      <c r="B16677" s="0" t="str">
        <f aca="false">HYPERLINK("https://lindat.mff.cuni.cz/services/teitok/pdtc10/index.php?action=vallex&amp;frame=v-w2002f1", "nahlásit (v-w2002f1)")</f>
        <v>nahlásit (v-w2002f1)</v>
      </c>
      <c r="E16677" s="0" t="str">
        <f aca="false">HYPERLINK("https://lindat.mff.cuni.cz/services/SynSemClass40/SynSemClass40.html?veclass=vec00060#vec00060-ces-cm00031", "vec00060")</f>
        <v>vec00060</v>
      </c>
      <c r="F16677" s="0" t="s">
        <v>213</v>
      </c>
    </row>
    <row r="16678" customFormat="false" ht="12.8" hidden="false" customHeight="false" outlineLevel="0" collapsed="false">
      <c r="B16678" s="0" t="s">
        <v>1</v>
      </c>
      <c r="C16678" s="0" t="s">
        <v>214</v>
      </c>
      <c r="E16678" s="0" t="s">
        <v>147</v>
      </c>
      <c r="F16678" s="0" t="s">
        <v>215</v>
      </c>
    </row>
    <row r="16679" customFormat="false" ht="12.8" hidden="false" customHeight="false" outlineLevel="0" collapsed="false">
      <c r="B16679" s="0" t="s">
        <v>216</v>
      </c>
      <c r="C16679" s="0" t="s">
        <v>217</v>
      </c>
      <c r="E16679" s="0" t="s">
        <v>218</v>
      </c>
      <c r="F16679" s="0" t="s">
        <v>219</v>
      </c>
    </row>
    <row r="16680" customFormat="false" ht="12.8" hidden="false" customHeight="false" outlineLevel="0" collapsed="false">
      <c r="B16680" s="0" t="s">
        <v>52</v>
      </c>
      <c r="C16680" s="0" t="s">
        <v>220</v>
      </c>
      <c r="E16680" s="0" t="s">
        <v>221</v>
      </c>
      <c r="F16680" s="0" t="s">
        <v>222</v>
      </c>
    </row>
    <row r="16682" customFormat="false" ht="12.8" hidden="false" customHeight="false" outlineLevel="0" collapsed="false">
      <c r="A16682" s="0" t="s">
        <v>7223</v>
      </c>
      <c r="B16682" s="0" t="str">
        <f aca="false">HYPERLINK("https://lindat.mff.cuni.cz/services/teitok/pdtc10/index.php?action=vallex&amp;frame=v-w2002f2", "nahlásit (v-w2002f2)")</f>
        <v>nahlásit (v-w2002f2)</v>
      </c>
    </row>
    <row r="16683" customFormat="false" ht="12.8" hidden="false" customHeight="false" outlineLevel="0" collapsed="false">
      <c r="B16683" s="0" t="s">
        <v>1</v>
      </c>
    </row>
    <row r="16684" customFormat="false" ht="12.8" hidden="false" customHeight="false" outlineLevel="0" collapsed="false">
      <c r="B16684" s="0" t="s">
        <v>8</v>
      </c>
    </row>
    <row r="16685" customFormat="false" ht="12.8" hidden="false" customHeight="false" outlineLevel="0" collapsed="false">
      <c r="B16685" s="0" t="s">
        <v>164</v>
      </c>
    </row>
    <row r="16687" customFormat="false" ht="12.8" hidden="false" customHeight="false" outlineLevel="0" collapsed="false">
      <c r="A16687" s="0" t="s">
        <v>7224</v>
      </c>
      <c r="B16687" s="0" t="str">
        <f aca="false">HYPERLINK("https://lindat.mff.cuni.cz/services/teitok/pdtc10/index.php?action=vallex&amp;frame=v-w2005f3", "nahlédnout (v-w2005f3)")</f>
        <v>nahlédnout (v-w2005f3)</v>
      </c>
    </row>
    <row r="16688" customFormat="false" ht="12.8" hidden="false" customHeight="false" outlineLevel="0" collapsed="false">
      <c r="B16688" s="0" t="s">
        <v>1</v>
      </c>
    </row>
    <row r="16689" customFormat="false" ht="12.8" hidden="false" customHeight="false" outlineLevel="0" collapsed="false">
      <c r="B16689" s="0" t="s">
        <v>45</v>
      </c>
    </row>
    <row r="16690" customFormat="false" ht="12.8" hidden="false" customHeight="false" outlineLevel="0" collapsed="false">
      <c r="B16690" s="0" t="s">
        <v>725</v>
      </c>
    </row>
    <row r="16691" customFormat="false" ht="12.8" hidden="false" customHeight="false" outlineLevel="0" collapsed="false">
      <c r="B16691" s="0" t="s">
        <v>642</v>
      </c>
    </row>
    <row r="16692" customFormat="false" ht="12.8" hidden="false" customHeight="false" outlineLevel="0" collapsed="false">
      <c r="B16692" s="0" t="s">
        <v>646</v>
      </c>
    </row>
    <row r="16693" customFormat="false" ht="12.8" hidden="false" customHeight="false" outlineLevel="0" collapsed="false">
      <c r="B16693" s="0" t="s">
        <v>648</v>
      </c>
    </row>
    <row r="16694" customFormat="false" ht="12.8" hidden="false" customHeight="false" outlineLevel="0" collapsed="false">
      <c r="B16694" s="0" t="s">
        <v>650</v>
      </c>
    </row>
    <row r="16695" customFormat="false" ht="12.8" hidden="false" customHeight="false" outlineLevel="0" collapsed="false">
      <c r="B16695" s="0" t="s">
        <v>652</v>
      </c>
    </row>
    <row r="16697" customFormat="false" ht="12.8" hidden="false" customHeight="false" outlineLevel="0" collapsed="false">
      <c r="A16697" s="0" t="s">
        <v>7225</v>
      </c>
      <c r="B16697" s="0" t="str">
        <f aca="false">HYPERLINK("https://lindat.mff.cuni.cz/services/teitok/pdtc10/index.php?action=vallex&amp;frame=v-w2005f2", "nahlédnout (v-w2005f2)")</f>
        <v>nahlédnout (v-w2005f2)</v>
      </c>
      <c r="E16697" s="0" t="str">
        <f aca="false">HYPERLINK("https://lindat.mff.cuni.cz/services/SynSemClass40/SynSemClass40.html?veclass=vec00107#vec00107-ces-cm00156", "vec00107")</f>
        <v>vec00107</v>
      </c>
      <c r="F16697" s="0" t="s">
        <v>1644</v>
      </c>
    </row>
    <row r="16698" customFormat="false" ht="12.8" hidden="false" customHeight="false" outlineLevel="0" collapsed="false">
      <c r="B16698" s="0" t="s">
        <v>1</v>
      </c>
      <c r="C16698" s="0" t="s">
        <v>5649</v>
      </c>
      <c r="E16698" s="0" t="s">
        <v>621</v>
      </c>
      <c r="F16698" s="0" t="s">
        <v>1647</v>
      </c>
    </row>
    <row r="16699" customFormat="false" ht="12.8" hidden="false" customHeight="false" outlineLevel="0" collapsed="false">
      <c r="B16699" s="0" t="s">
        <v>5384</v>
      </c>
      <c r="C16699" s="0" t="s">
        <v>4776</v>
      </c>
      <c r="E16699" s="0" t="s">
        <v>180</v>
      </c>
      <c r="F16699" s="0" t="s">
        <v>1651</v>
      </c>
    </row>
    <row r="16701" customFormat="false" ht="12.8" hidden="false" customHeight="false" outlineLevel="0" collapsed="false">
      <c r="A16701" s="0" t="s">
        <v>7226</v>
      </c>
      <c r="B16701" s="0" t="str">
        <f aca="false">HYPERLINK("https://lindat.mff.cuni.cz/services/teitok/pdtc10/index.php?action=vallex&amp;frame=v-w2005f1", "nahlédnout (v-w2005f1)")</f>
        <v>nahlédnout (v-w2005f1)</v>
      </c>
    </row>
    <row r="16702" customFormat="false" ht="12.8" hidden="false" customHeight="false" outlineLevel="0" collapsed="false">
      <c r="B16702" s="0" t="s">
        <v>1</v>
      </c>
    </row>
    <row r="16703" customFormat="false" ht="12.8" hidden="false" customHeight="false" outlineLevel="0" collapsed="false">
      <c r="B16703" s="0" t="s">
        <v>164</v>
      </c>
    </row>
    <row r="16705" customFormat="false" ht="12.8" hidden="false" customHeight="false" outlineLevel="0" collapsed="false">
      <c r="A16705" s="0" t="s">
        <v>7227</v>
      </c>
      <c r="B16705" s="0" t="str">
        <f aca="false">HYPERLINK("https://lindat.mff.cuni.cz/services/teitok/pdtc10/index.php?action=vallex&amp;frame=v-w2007f2", "nahlížet (v-w2007f2)")</f>
        <v>nahlížet (v-w2007f2)</v>
      </c>
      <c r="E16705" s="0" t="str">
        <f aca="false">HYPERLINK("https://lindat.mff.cuni.cz/services/SynSemClass40/SynSemClass40.html?veclass=vec00402#vec00402-ces-cm00030", "vec00402")</f>
        <v>vec00402</v>
      </c>
      <c r="F16705" s="0" t="s">
        <v>619</v>
      </c>
    </row>
    <row r="16706" customFormat="false" ht="12.8" hidden="false" customHeight="false" outlineLevel="0" collapsed="false">
      <c r="B16706" s="0" t="s">
        <v>1</v>
      </c>
      <c r="C16706" s="0" t="s">
        <v>620</v>
      </c>
      <c r="E16706" s="0" t="s">
        <v>621</v>
      </c>
      <c r="F16706" s="0" t="s">
        <v>622</v>
      </c>
    </row>
    <row r="16707" customFormat="false" ht="12.8" hidden="false" customHeight="false" outlineLevel="0" collapsed="false">
      <c r="B16707" s="0" t="s">
        <v>45</v>
      </c>
      <c r="C16707" s="0" t="s">
        <v>623</v>
      </c>
      <c r="E16707" s="0" t="s">
        <v>180</v>
      </c>
      <c r="F16707" s="0" t="s">
        <v>624</v>
      </c>
    </row>
    <row r="16708" customFormat="false" ht="12.8" hidden="false" customHeight="false" outlineLevel="0" collapsed="false">
      <c r="B16708" s="0" t="s">
        <v>725</v>
      </c>
      <c r="C16708" s="0" t="s">
        <v>7228</v>
      </c>
      <c r="E16708" s="0" t="s">
        <v>7229</v>
      </c>
      <c r="F16708" s="0" t="s">
        <v>7230</v>
      </c>
    </row>
    <row r="16709" customFormat="false" ht="12.8" hidden="false" customHeight="false" outlineLevel="0" collapsed="false">
      <c r="B16709" s="0" t="s">
        <v>642</v>
      </c>
      <c r="C16709" s="0" t="s">
        <v>3848</v>
      </c>
      <c r="E16709" s="0" t="s">
        <v>7229</v>
      </c>
      <c r="F16709" s="0" t="s">
        <v>7230</v>
      </c>
    </row>
    <row r="16710" customFormat="false" ht="12.8" hidden="false" customHeight="false" outlineLevel="0" collapsed="false">
      <c r="B16710" s="0" t="s">
        <v>646</v>
      </c>
      <c r="C16710" s="0" t="s">
        <v>7231</v>
      </c>
      <c r="E16710" s="0" t="s">
        <v>7229</v>
      </c>
      <c r="F16710" s="0" t="s">
        <v>7230</v>
      </c>
    </row>
    <row r="16711" customFormat="false" ht="12.8" hidden="false" customHeight="false" outlineLevel="0" collapsed="false">
      <c r="B16711" s="0" t="s">
        <v>648</v>
      </c>
      <c r="C16711" s="0" t="s">
        <v>3849</v>
      </c>
      <c r="E16711" s="0" t="s">
        <v>7229</v>
      </c>
      <c r="F16711" s="0" t="s">
        <v>7230</v>
      </c>
    </row>
    <row r="16712" customFormat="false" ht="12.8" hidden="false" customHeight="false" outlineLevel="0" collapsed="false">
      <c r="B16712" s="0" t="s">
        <v>650</v>
      </c>
      <c r="C16712" s="0" t="s">
        <v>3850</v>
      </c>
      <c r="E16712" s="0" t="s">
        <v>7229</v>
      </c>
      <c r="F16712" s="0" t="s">
        <v>7230</v>
      </c>
    </row>
    <row r="16713" customFormat="false" ht="12.8" hidden="false" customHeight="false" outlineLevel="0" collapsed="false">
      <c r="B16713" s="0" t="s">
        <v>652</v>
      </c>
      <c r="C16713" s="0" t="s">
        <v>3851</v>
      </c>
      <c r="E16713" s="0" t="s">
        <v>7229</v>
      </c>
      <c r="F16713" s="0" t="s">
        <v>7230</v>
      </c>
    </row>
    <row r="16715" customFormat="false" ht="12.8" hidden="false" customHeight="false" outlineLevel="0" collapsed="false">
      <c r="A16715" s="0" t="s">
        <v>7232</v>
      </c>
      <c r="B16715" s="0" t="str">
        <f aca="false">HYPERLINK("https://lindat.mff.cuni.cz/services/teitok/pdtc10/index.php?action=vallex&amp;frame=v-w2007f1", "nahlížet (v-w2007f1)")</f>
        <v>nahlížet (v-w2007f1)</v>
      </c>
    </row>
    <row r="16716" customFormat="false" ht="12.8" hidden="false" customHeight="false" outlineLevel="0" collapsed="false">
      <c r="B16716" s="0" t="s">
        <v>1</v>
      </c>
    </row>
    <row r="16717" customFormat="false" ht="12.8" hidden="false" customHeight="false" outlineLevel="0" collapsed="false">
      <c r="B16717" s="0" t="s">
        <v>164</v>
      </c>
    </row>
    <row r="16719" customFormat="false" ht="12.8" hidden="false" customHeight="false" outlineLevel="0" collapsed="false">
      <c r="A16719" s="0" t="s">
        <v>7233</v>
      </c>
      <c r="B16719" s="0" t="str">
        <f aca="false">HYPERLINK("https://lindat.mff.cuni.cz/services/teitok/pdtc10/index.php?action=vallex&amp;frame=v-w2010f2", "nahnat (v-w2010f2)")</f>
        <v>nahnat (v-w2010f2)</v>
      </c>
    </row>
    <row r="16720" customFormat="false" ht="12.8" hidden="false" customHeight="false" outlineLevel="0" collapsed="false">
      <c r="B16720" s="0" t="s">
        <v>1</v>
      </c>
    </row>
    <row r="16721" customFormat="false" ht="12.8" hidden="false" customHeight="false" outlineLevel="0" collapsed="false">
      <c r="B16721" s="0" t="s">
        <v>8</v>
      </c>
    </row>
    <row r="16722" customFormat="false" ht="12.8" hidden="false" customHeight="false" outlineLevel="0" collapsed="false">
      <c r="B16722" s="0" t="s">
        <v>52</v>
      </c>
    </row>
    <row r="16724" customFormat="false" ht="12.8" hidden="false" customHeight="false" outlineLevel="0" collapsed="false">
      <c r="A16724" s="0" t="s">
        <v>7234</v>
      </c>
      <c r="B16724" s="0" t="str">
        <f aca="false">HYPERLINK("https://lindat.mff.cuni.cz/services/teitok/pdtc10/index.php?action=vallex&amp;frame=v-w2010f1", "nahnat (v-w2010f1)")</f>
        <v>nahnat (v-w2010f1)</v>
      </c>
    </row>
    <row r="16725" customFormat="false" ht="12.8" hidden="false" customHeight="false" outlineLevel="0" collapsed="false">
      <c r="B16725" s="0" t="s">
        <v>1</v>
      </c>
    </row>
    <row r="16726" customFormat="false" ht="12.8" hidden="false" customHeight="false" outlineLevel="0" collapsed="false">
      <c r="B16726" s="0" t="s">
        <v>8</v>
      </c>
    </row>
    <row r="16727" customFormat="false" ht="12.8" hidden="false" customHeight="false" outlineLevel="0" collapsed="false">
      <c r="B16727" s="0" t="s">
        <v>164</v>
      </c>
    </row>
    <row r="16729" customFormat="false" ht="12.8" hidden="false" customHeight="false" outlineLevel="0" collapsed="false">
      <c r="A16729" s="0" t="s">
        <v>7235</v>
      </c>
      <c r="B16729" s="0" t="str">
        <f aca="false">HYPERLINK("https://lindat.mff.cuni.cz/services/teitok/pdtc10/index.php?action=vallex&amp;frame=v-w2011f1", "nahodit (v-w2011f1)")</f>
        <v>nahodit (v-w2011f1)</v>
      </c>
    </row>
    <row r="16730" customFormat="false" ht="12.8" hidden="false" customHeight="false" outlineLevel="0" collapsed="false">
      <c r="B16730" s="0" t="s">
        <v>1</v>
      </c>
    </row>
    <row r="16731" customFormat="false" ht="12.8" hidden="false" customHeight="false" outlineLevel="0" collapsed="false">
      <c r="B16731" s="0" t="s">
        <v>8</v>
      </c>
    </row>
    <row r="16733" customFormat="false" ht="12.8" hidden="false" customHeight="false" outlineLevel="0" collapsed="false">
      <c r="A16733" s="0" t="s">
        <v>7236</v>
      </c>
      <c r="B16733" s="0" t="str">
        <f aca="false">HYPERLINK("https://lindat.mff.cuni.cz/services/teitok/pdtc10/index.php?action=vallex&amp;frame=v-w2011f3", "nahodit (v-w2011f3)")</f>
        <v>nahodit (v-w2011f3)</v>
      </c>
    </row>
    <row r="16734" customFormat="false" ht="12.8" hidden="false" customHeight="false" outlineLevel="0" collapsed="false">
      <c r="B16734" s="0" t="s">
        <v>1</v>
      </c>
    </row>
    <row r="16735" customFormat="false" ht="12.8" hidden="false" customHeight="false" outlineLevel="0" collapsed="false">
      <c r="B16735" s="0" t="s">
        <v>8</v>
      </c>
    </row>
    <row r="16737" customFormat="false" ht="12.8" hidden="false" customHeight="false" outlineLevel="0" collapsed="false">
      <c r="A16737" s="0" t="s">
        <v>7237</v>
      </c>
      <c r="B16737" s="0" t="str">
        <f aca="false">HYPERLINK("https://lindat.mff.cuni.cz/services/teitok/pdtc10/index.php?action=vallex&amp;frame=v-w2011f2", "nahodit (v-w2011f2)")</f>
        <v>nahodit (v-w2011f2)</v>
      </c>
    </row>
    <row r="16738" customFormat="false" ht="12.8" hidden="false" customHeight="false" outlineLevel="0" collapsed="false">
      <c r="B16738" s="0" t="s">
        <v>1</v>
      </c>
    </row>
    <row r="16739" customFormat="false" ht="12.8" hidden="false" customHeight="false" outlineLevel="0" collapsed="false">
      <c r="B16739" s="0" t="s">
        <v>8</v>
      </c>
    </row>
    <row r="16741" customFormat="false" ht="12.8" hidden="false" customHeight="false" outlineLevel="0" collapsed="false">
      <c r="A16741" s="0" t="s">
        <v>7238</v>
      </c>
      <c r="B16741" s="0" t="str">
        <f aca="false">HYPERLINK("https://lindat.mff.cuni.cz/services/teitok/pdtc10/index.php?action=vallex&amp;frame=v-w2011hsa_1008", "nahodit (v-w2011hsa_1008)")</f>
        <v>nahodit (v-w2011hsa_1008)</v>
      </c>
    </row>
    <row r="16742" customFormat="false" ht="12.8" hidden="false" customHeight="false" outlineLevel="0" collapsed="false">
      <c r="B16742" s="0" t="s">
        <v>1</v>
      </c>
    </row>
    <row r="16743" customFormat="false" ht="12.8" hidden="false" customHeight="false" outlineLevel="0" collapsed="false">
      <c r="B16743" s="0" t="s">
        <v>8</v>
      </c>
    </row>
    <row r="16744" customFormat="false" ht="12.8" hidden="false" customHeight="false" outlineLevel="0" collapsed="false">
      <c r="B16744" s="0" t="s">
        <v>164</v>
      </c>
    </row>
    <row r="16746" customFormat="false" ht="12.8" hidden="false" customHeight="false" outlineLevel="0" collapsed="false">
      <c r="A16746" s="0" t="s">
        <v>7239</v>
      </c>
      <c r="B16746" s="0" t="str">
        <f aca="false">HYPERLINK("https://lindat.mff.cuni.cz/services/teitok/pdtc10/index.php?action=vallex&amp;frame=v-w2012f1", "nahrabat (v-w2012f1)")</f>
        <v>nahrabat (v-w2012f1)</v>
      </c>
    </row>
    <row r="16747" customFormat="false" ht="12.8" hidden="false" customHeight="false" outlineLevel="0" collapsed="false">
      <c r="B16747" s="0" t="s">
        <v>1</v>
      </c>
    </row>
    <row r="16748" customFormat="false" ht="12.8" hidden="false" customHeight="false" outlineLevel="0" collapsed="false">
      <c r="B16748" s="0" t="s">
        <v>8</v>
      </c>
    </row>
    <row r="16750" customFormat="false" ht="12.8" hidden="false" customHeight="false" outlineLevel="0" collapsed="false">
      <c r="A16750" s="0" t="s">
        <v>7240</v>
      </c>
      <c r="B16750" s="0" t="str">
        <f aca="false">HYPERLINK("https://lindat.mff.cuni.cz/services/teitok/pdtc10/index.php?action=vallex&amp;frame=v-w2014f3", "nahradit (v-w2014f3)")</f>
        <v>nahradit (v-w2014f3)</v>
      </c>
    </row>
    <row r="16751" customFormat="false" ht="12.8" hidden="false" customHeight="false" outlineLevel="0" collapsed="false">
      <c r="B16751" s="0" t="s">
        <v>1</v>
      </c>
    </row>
    <row r="16752" customFormat="false" ht="12.8" hidden="false" customHeight="false" outlineLevel="0" collapsed="false">
      <c r="B16752" s="0" t="s">
        <v>8</v>
      </c>
    </row>
    <row r="16753" customFormat="false" ht="12.8" hidden="false" customHeight="false" outlineLevel="0" collapsed="false">
      <c r="B16753" s="0" t="s">
        <v>52</v>
      </c>
    </row>
    <row r="16755" customFormat="false" ht="12.8" hidden="false" customHeight="false" outlineLevel="0" collapsed="false">
      <c r="A16755" s="0" t="s">
        <v>7241</v>
      </c>
      <c r="B16755" s="0" t="str">
        <f aca="false">HYPERLINK("https://lindat.mff.cuni.cz/services/teitok/pdtc10/index.php?action=vallex&amp;frame=v-w2014f1", "nahradit (v-w2014f1)")</f>
        <v>nahradit (v-w2014f1)</v>
      </c>
      <c r="E16755" s="0" t="str">
        <f aca="false">HYPERLINK("https://lindat.mff.cuni.cz/services/SynSemClass40/SynSemClass40.html?veclass=vec00429#vec00429-ces-cm00020", "vec00429")</f>
        <v>vec00429</v>
      </c>
      <c r="F16755" s="0" t="s">
        <v>6957</v>
      </c>
    </row>
    <row r="16756" customFormat="false" ht="12.8" hidden="false" customHeight="false" outlineLevel="0" collapsed="false">
      <c r="B16756" s="0" t="s">
        <v>1</v>
      </c>
      <c r="C16756" s="0" t="s">
        <v>6958</v>
      </c>
      <c r="E16756" s="0" t="s">
        <v>31</v>
      </c>
      <c r="F16756" s="0" t="s">
        <v>6959</v>
      </c>
    </row>
    <row r="16757" customFormat="false" ht="12.8" hidden="false" customHeight="false" outlineLevel="0" collapsed="false">
      <c r="B16757" s="0" t="s">
        <v>8</v>
      </c>
      <c r="C16757" s="0" t="s">
        <v>6960</v>
      </c>
      <c r="E16757" s="0" t="s">
        <v>6961</v>
      </c>
      <c r="F16757" s="0" t="s">
        <v>6962</v>
      </c>
    </row>
    <row r="16758" customFormat="false" ht="12.8" hidden="false" customHeight="false" outlineLevel="0" collapsed="false">
      <c r="B16758" s="0" t="s">
        <v>7242</v>
      </c>
      <c r="C16758" s="0" t="s">
        <v>6963</v>
      </c>
      <c r="E16758" s="0" t="s">
        <v>6964</v>
      </c>
      <c r="F16758" s="0" t="s">
        <v>6965</v>
      </c>
    </row>
    <row r="16760" customFormat="false" ht="12.8" hidden="false" customHeight="false" outlineLevel="0" collapsed="false">
      <c r="A16760" s="0" t="s">
        <v>7243</v>
      </c>
      <c r="B16760" s="0" t="str">
        <f aca="false">HYPERLINK("https://lindat.mff.cuni.cz/services/teitok/pdtc10/index.php?action=vallex&amp;frame=v-w2014f2", "nahradit (v-w2014f2)")</f>
        <v>nahradit (v-w2014f2)</v>
      </c>
      <c r="E16760" s="0" t="str">
        <f aca="false">HYPERLINK("https://lindat.mff.cuni.cz/services/SynSemClass40/SynSemClass40.html?veclass=vec00565#vec00565-ces-cm00003", "vec00565")</f>
        <v>vec00565</v>
      </c>
      <c r="F16760" s="0" t="s">
        <v>7244</v>
      </c>
    </row>
    <row r="16761" customFormat="false" ht="12.8" hidden="false" customHeight="false" outlineLevel="0" collapsed="false">
      <c r="B16761" s="0" t="s">
        <v>1</v>
      </c>
      <c r="C16761" s="0" t="s">
        <v>7245</v>
      </c>
      <c r="E16761" s="0" t="s">
        <v>7246</v>
      </c>
      <c r="F16761" s="0" t="s">
        <v>7247</v>
      </c>
    </row>
    <row r="16762" customFormat="false" ht="12.8" hidden="false" customHeight="false" outlineLevel="0" collapsed="false">
      <c r="B16762" s="0" t="s">
        <v>8</v>
      </c>
      <c r="C16762" s="0" t="s">
        <v>7248</v>
      </c>
      <c r="E16762" s="0" t="s">
        <v>6961</v>
      </c>
      <c r="F16762" s="0" t="s">
        <v>7249</v>
      </c>
    </row>
    <row r="16764" customFormat="false" ht="12.8" hidden="false" customHeight="false" outlineLevel="0" collapsed="false">
      <c r="A16764" s="0" t="s">
        <v>7250</v>
      </c>
      <c r="B16764" s="0" t="str">
        <f aca="false">HYPERLINK("https://lindat.mff.cuni.cz/services/teitok/pdtc10/index.php?action=vallex&amp;frame=v-w2020f3", "nahrazovat (v-w2020f3)")</f>
        <v>nahrazovat (v-w2020f3)</v>
      </c>
    </row>
    <row r="16765" customFormat="false" ht="12.8" hidden="false" customHeight="false" outlineLevel="0" collapsed="false">
      <c r="B16765" s="0" t="s">
        <v>1</v>
      </c>
    </row>
    <row r="16766" customFormat="false" ht="12.8" hidden="false" customHeight="false" outlineLevel="0" collapsed="false">
      <c r="B16766" s="0" t="s">
        <v>8</v>
      </c>
    </row>
    <row r="16767" customFormat="false" ht="12.8" hidden="false" customHeight="false" outlineLevel="0" collapsed="false">
      <c r="B16767" s="0" t="s">
        <v>52</v>
      </c>
    </row>
    <row r="16769" customFormat="false" ht="12.8" hidden="false" customHeight="false" outlineLevel="0" collapsed="false">
      <c r="A16769" s="0" t="s">
        <v>7251</v>
      </c>
      <c r="B16769" s="0" t="str">
        <f aca="false">HYPERLINK("https://lindat.mff.cuni.cz/services/teitok/pdtc10/index.php?action=vallex&amp;frame=v-w2020f1", "nahrazovat (v-w2020f1)")</f>
        <v>nahrazovat (v-w2020f1)</v>
      </c>
      <c r="E16769" s="0" t="str">
        <f aca="false">HYPERLINK("https://lindat.mff.cuni.cz/services/SynSemClass40/SynSemClass40.html?veclass=vec00429#vec00429-ces-cm00022", "vec00429")</f>
        <v>vec00429</v>
      </c>
      <c r="F16769" s="0" t="s">
        <v>6957</v>
      </c>
    </row>
    <row r="16770" customFormat="false" ht="12.8" hidden="false" customHeight="false" outlineLevel="0" collapsed="false">
      <c r="B16770" s="0" t="s">
        <v>1</v>
      </c>
      <c r="C16770" s="0" t="s">
        <v>6958</v>
      </c>
      <c r="E16770" s="0" t="s">
        <v>31</v>
      </c>
      <c r="F16770" s="0" t="s">
        <v>6959</v>
      </c>
    </row>
    <row r="16771" customFormat="false" ht="12.8" hidden="false" customHeight="false" outlineLevel="0" collapsed="false">
      <c r="B16771" s="0" t="s">
        <v>305</v>
      </c>
      <c r="C16771" s="0" t="s">
        <v>6960</v>
      </c>
      <c r="E16771" s="0" t="s">
        <v>6961</v>
      </c>
      <c r="F16771" s="0" t="s">
        <v>6962</v>
      </c>
    </row>
    <row r="16772" customFormat="false" ht="12.8" hidden="false" customHeight="false" outlineLevel="0" collapsed="false">
      <c r="B16772" s="0" t="s">
        <v>7242</v>
      </c>
      <c r="C16772" s="0" t="s">
        <v>6963</v>
      </c>
      <c r="E16772" s="0" t="s">
        <v>6964</v>
      </c>
      <c r="F16772" s="0" t="s">
        <v>6965</v>
      </c>
    </row>
    <row r="16774" customFormat="false" ht="12.8" hidden="false" customHeight="false" outlineLevel="0" collapsed="false">
      <c r="A16774" s="0" t="s">
        <v>7252</v>
      </c>
      <c r="B16774" s="0" t="str">
        <f aca="false">HYPERLINK("https://lindat.mff.cuni.cz/services/teitok/pdtc10/index.php?action=vallex&amp;frame=v-w2020f2", "nahrazovat (v-w2020f2)")</f>
        <v>nahrazovat (v-w2020f2)</v>
      </c>
      <c r="E16774" s="0" t="str">
        <f aca="false">HYPERLINK("https://lindat.mff.cuni.cz/services/SynSemClass40/SynSemClass40.html?veclass=vec00565#vec00565-ces-cm00005", "vec00565")</f>
        <v>vec00565</v>
      </c>
      <c r="F16774" s="0" t="s">
        <v>7244</v>
      </c>
    </row>
    <row r="16775" customFormat="false" ht="12.8" hidden="false" customHeight="false" outlineLevel="0" collapsed="false">
      <c r="B16775" s="0" t="s">
        <v>1</v>
      </c>
      <c r="C16775" s="0" t="s">
        <v>7245</v>
      </c>
      <c r="E16775" s="0" t="s">
        <v>7246</v>
      </c>
      <c r="F16775" s="0" t="s">
        <v>7247</v>
      </c>
    </row>
    <row r="16776" customFormat="false" ht="12.8" hidden="false" customHeight="false" outlineLevel="0" collapsed="false">
      <c r="B16776" s="0" t="s">
        <v>8</v>
      </c>
      <c r="C16776" s="0" t="s">
        <v>7248</v>
      </c>
      <c r="E16776" s="0" t="s">
        <v>6961</v>
      </c>
      <c r="F16776" s="0" t="s">
        <v>7249</v>
      </c>
    </row>
    <row r="16778" customFormat="false" ht="12.8" hidden="false" customHeight="false" outlineLevel="0" collapsed="false">
      <c r="A16778" s="0" t="s">
        <v>7253</v>
      </c>
      <c r="B16778" s="0" t="str">
        <f aca="false">HYPERLINK("https://lindat.mff.cuni.cz/services/teitok/pdtc10/index.php?action=vallex&amp;frame=v-w11094f2", "nahromadit (v-w11094f2)")</f>
        <v>nahromadit (v-w11094f2)</v>
      </c>
      <c r="E16778" s="0" t="str">
        <f aca="false">HYPERLINK("https://lindat.mff.cuni.cz/services/SynSemClass40/SynSemClass40.html?veclass=vec00443#vec00443-ces-cm00023", "vec00443")</f>
        <v>vec00443</v>
      </c>
      <c r="F16778" s="0" t="s">
        <v>90</v>
      </c>
    </row>
    <row r="16779" customFormat="false" ht="12.8" hidden="false" customHeight="false" outlineLevel="0" collapsed="false">
      <c r="B16779" s="0" t="s">
        <v>1</v>
      </c>
      <c r="C16779" s="0" t="s">
        <v>91</v>
      </c>
      <c r="E16779" s="0" t="s">
        <v>92</v>
      </c>
      <c r="F16779" s="0" t="s">
        <v>93</v>
      </c>
    </row>
    <row r="16780" customFormat="false" ht="12.8" hidden="false" customHeight="false" outlineLevel="0" collapsed="false">
      <c r="B16780" s="0" t="s">
        <v>8</v>
      </c>
      <c r="C16780" s="0" t="s">
        <v>94</v>
      </c>
      <c r="E16780" s="0" t="s">
        <v>95</v>
      </c>
      <c r="F16780" s="0" t="s">
        <v>96</v>
      </c>
    </row>
    <row r="16782" customFormat="false" ht="12.8" hidden="false" customHeight="false" outlineLevel="0" collapsed="false">
      <c r="A16782" s="0" t="s">
        <v>7254</v>
      </c>
      <c r="B16782" s="0" t="str">
        <f aca="false">HYPERLINK("https://lindat.mff.cuni.cz/services/teitok/pdtc10/index.php?action=vallex&amp;frame=v-w11461f1", "nahromadit se (v-w11461f1)")</f>
        <v>nahromadit se (v-w11461f1)</v>
      </c>
      <c r="E16782" s="0" t="str">
        <f aca="false">HYPERLINK("https://lindat.mff.cuni.cz/services/SynSemClass40/SynSemClass40.html?veclass=vec00836#vec00836-ces-cm00007", "vec00836")</f>
        <v>vec00836</v>
      </c>
      <c r="F16782" s="0" t="s">
        <v>4588</v>
      </c>
      <c r="H16782" s="0" t="str">
        <f aca="false">HYPERLINK("https://lindat.mff.cuni.cz/services/SynSemClass40/SynSemClass40.html?veclass=vec01499#vec01499-ces-cm00002", "vec01499")</f>
        <v>vec01499</v>
      </c>
      <c r="I16782" s="0" t="s">
        <v>4578</v>
      </c>
    </row>
    <row r="16783" customFormat="false" ht="12.8" hidden="false" customHeight="false" outlineLevel="0" collapsed="false">
      <c r="B16783" s="0" t="s">
        <v>1</v>
      </c>
      <c r="C16783" s="0" t="s">
        <v>7255</v>
      </c>
      <c r="E16783" s="0" t="s">
        <v>4590</v>
      </c>
      <c r="F16783" s="0" t="s">
        <v>4591</v>
      </c>
      <c r="H16783" s="0" t="s">
        <v>4581</v>
      </c>
      <c r="I16783" s="0" t="s">
        <v>4582</v>
      </c>
    </row>
    <row r="16785" customFormat="false" ht="12.8" hidden="false" customHeight="false" outlineLevel="0" collapsed="false">
      <c r="A16785" s="0" t="s">
        <v>7256</v>
      </c>
      <c r="B16785" s="0" t="str">
        <f aca="false">HYPERLINK("https://lindat.mff.cuni.cz/services/teitok/pdtc10/index.php?action=vallex&amp;frame=v-w2015f4", "nahrát (v-w2015f4)")</f>
        <v>nahrát (v-w2015f4)</v>
      </c>
    </row>
    <row r="16786" customFormat="false" ht="12.8" hidden="false" customHeight="false" outlineLevel="0" collapsed="false">
      <c r="B16786" s="0" t="s">
        <v>1</v>
      </c>
    </row>
    <row r="16787" customFormat="false" ht="12.8" hidden="false" customHeight="false" outlineLevel="0" collapsed="false">
      <c r="B16787" s="0" t="s">
        <v>4674</v>
      </c>
    </row>
    <row r="16788" customFormat="false" ht="12.8" hidden="false" customHeight="false" outlineLevel="0" collapsed="false">
      <c r="B16788" s="0" t="s">
        <v>3153</v>
      </c>
    </row>
    <row r="16789" customFormat="false" ht="12.8" hidden="false" customHeight="false" outlineLevel="0" collapsed="false">
      <c r="B16789" s="0" t="s">
        <v>2413</v>
      </c>
    </row>
    <row r="16791" customFormat="false" ht="12.8" hidden="false" customHeight="false" outlineLevel="0" collapsed="false">
      <c r="A16791" s="0" t="s">
        <v>7257</v>
      </c>
      <c r="B16791" s="0" t="str">
        <f aca="false">HYPERLINK("https://lindat.mff.cuni.cz/services/teitok/pdtc10/index.php?action=vallex&amp;frame=v-w2015f3", "nahrát (v-w2015f3)")</f>
        <v>nahrát (v-w2015f3)</v>
      </c>
    </row>
    <row r="16792" customFormat="false" ht="12.8" hidden="false" customHeight="false" outlineLevel="0" collapsed="false">
      <c r="B16792" s="0" t="s">
        <v>1</v>
      </c>
    </row>
    <row r="16793" customFormat="false" ht="12.8" hidden="false" customHeight="false" outlineLevel="0" collapsed="false">
      <c r="B16793" s="0" t="s">
        <v>8</v>
      </c>
    </row>
    <row r="16794" customFormat="false" ht="12.8" hidden="false" customHeight="false" outlineLevel="0" collapsed="false">
      <c r="B16794" s="0" t="s">
        <v>52</v>
      </c>
    </row>
    <row r="16796" customFormat="false" ht="12.8" hidden="false" customHeight="false" outlineLevel="0" collapsed="false">
      <c r="A16796" s="0" t="s">
        <v>7258</v>
      </c>
      <c r="B16796" s="0" t="str">
        <f aca="false">HYPERLINK("https://lindat.mff.cuni.cz/services/teitok/pdtc10/index.php?action=vallex&amp;frame=v-w2015f1", "nahrát (v-w2015f1)")</f>
        <v>nahrát (v-w2015f1)</v>
      </c>
      <c r="E16796" s="0" t="str">
        <f aca="false">HYPERLINK("https://lindat.mff.cuni.cz/services/SynSemClass40/SynSemClass40.html?veclass=vec00640#vec00640-ces-cm00055", "vec00640")</f>
        <v>vec00640</v>
      </c>
      <c r="F16796" s="0" t="s">
        <v>4128</v>
      </c>
    </row>
    <row r="16797" customFormat="false" ht="12.8" hidden="false" customHeight="false" outlineLevel="0" collapsed="false">
      <c r="B16797" s="0" t="s">
        <v>1</v>
      </c>
      <c r="C16797" s="0" t="s">
        <v>4001</v>
      </c>
      <c r="E16797" s="0" t="s">
        <v>768</v>
      </c>
      <c r="F16797" s="0" t="s">
        <v>4129</v>
      </c>
    </row>
    <row r="16798" customFormat="false" ht="12.8" hidden="false" customHeight="false" outlineLevel="0" collapsed="false">
      <c r="B16798" s="0" t="s">
        <v>8</v>
      </c>
      <c r="C16798" s="0" t="s">
        <v>4130</v>
      </c>
      <c r="E16798" s="0" t="s">
        <v>771</v>
      </c>
      <c r="F16798" s="0" t="s">
        <v>4131</v>
      </c>
    </row>
    <row r="16800" customFormat="false" ht="12.8" hidden="false" customHeight="false" outlineLevel="0" collapsed="false">
      <c r="A16800" s="0" t="s">
        <v>7259</v>
      </c>
      <c r="B16800" s="0" t="str">
        <f aca="false">HYPERLINK("https://lindat.mff.cuni.cz/services/teitok/pdtc10/index.php?action=vallex&amp;frame=v-w2015f2", "nahrát (v-w2015f2)")</f>
        <v>nahrát (v-w2015f2)</v>
      </c>
    </row>
    <row r="16801" customFormat="false" ht="12.8" hidden="false" customHeight="false" outlineLevel="0" collapsed="false">
      <c r="B16801" s="0" t="s">
        <v>1</v>
      </c>
    </row>
    <row r="16802" customFormat="false" ht="12.8" hidden="false" customHeight="false" outlineLevel="0" collapsed="false">
      <c r="B16802" s="0" t="s">
        <v>52</v>
      </c>
    </row>
    <row r="16803" customFormat="false" ht="12.8" hidden="false" customHeight="false" outlineLevel="0" collapsed="false">
      <c r="B16803" s="0" t="s">
        <v>7260</v>
      </c>
    </row>
    <row r="16805" customFormat="false" ht="12.8" hidden="false" customHeight="false" outlineLevel="0" collapsed="false">
      <c r="A16805" s="0" t="s">
        <v>7261</v>
      </c>
      <c r="B16805" s="0" t="str">
        <f aca="false">HYPERLINK("https://lindat.mff.cuni.cz/services/teitok/pdtc10/index.php?action=vallex&amp;frame=v-w2015f5_ZU", "nahrát (v-w2015f5_ZU)")</f>
        <v>nahrát (v-w2015f5_ZU)</v>
      </c>
    </row>
    <row r="16806" customFormat="false" ht="12.8" hidden="false" customHeight="false" outlineLevel="0" collapsed="false">
      <c r="B16806" s="0" t="s">
        <v>1</v>
      </c>
    </row>
    <row r="16807" customFormat="false" ht="12.8" hidden="false" customHeight="false" outlineLevel="0" collapsed="false">
      <c r="B16807" s="0" t="s">
        <v>8</v>
      </c>
    </row>
    <row r="16809" customFormat="false" ht="12.8" hidden="false" customHeight="false" outlineLevel="0" collapsed="false">
      <c r="A16809" s="0" t="s">
        <v>7262</v>
      </c>
      <c r="B16809" s="0" t="str">
        <f aca="false">HYPERLINK("https://lindat.mff.cuni.cz/services/teitok/pdtc10/index.php?action=vallex&amp;frame=v-w2015hsa_536", "nahrát (v-w2015hsa_536)")</f>
        <v>nahrát (v-w2015hsa_536)</v>
      </c>
    </row>
    <row r="16810" customFormat="false" ht="12.8" hidden="false" customHeight="false" outlineLevel="0" collapsed="false">
      <c r="B16810" s="0" t="s">
        <v>1</v>
      </c>
    </row>
    <row r="16811" customFormat="false" ht="12.8" hidden="false" customHeight="false" outlineLevel="0" collapsed="false">
      <c r="B16811" s="0" t="s">
        <v>8</v>
      </c>
    </row>
    <row r="16812" customFormat="false" ht="12.8" hidden="false" customHeight="false" outlineLevel="0" collapsed="false">
      <c r="B16812" s="0" t="s">
        <v>164</v>
      </c>
    </row>
    <row r="16814" customFormat="false" ht="12.8" hidden="false" customHeight="false" outlineLevel="0" collapsed="false">
      <c r="A16814" s="0" t="s">
        <v>7263</v>
      </c>
      <c r="B16814" s="0" t="str">
        <f aca="false">HYPERLINK("https://lindat.mff.cuni.cz/services/teitok/pdtc10/index.php?action=vallex&amp;frame=v-w2017f2", "nahrávat (v-w2017f2)")</f>
        <v>nahrávat (v-w2017f2)</v>
      </c>
    </row>
    <row r="16815" customFormat="false" ht="12.8" hidden="false" customHeight="false" outlineLevel="0" collapsed="false">
      <c r="B16815" s="0" t="s">
        <v>1</v>
      </c>
    </row>
    <row r="16816" customFormat="false" ht="12.8" hidden="false" customHeight="false" outlineLevel="0" collapsed="false">
      <c r="B16816" s="0" t="s">
        <v>8</v>
      </c>
    </row>
    <row r="16817" customFormat="false" ht="12.8" hidden="false" customHeight="false" outlineLevel="0" collapsed="false">
      <c r="B16817" s="0" t="s">
        <v>52</v>
      </c>
    </row>
    <row r="16819" customFormat="false" ht="12.8" hidden="false" customHeight="false" outlineLevel="0" collapsed="false">
      <c r="A16819" s="0" t="s">
        <v>7264</v>
      </c>
      <c r="B16819" s="0" t="str">
        <f aca="false">HYPERLINK("https://lindat.mff.cuni.cz/services/teitok/pdtc10/index.php?action=vallex&amp;frame=v-w2017f1", "nahrávat (v-w2017f1)")</f>
        <v>nahrávat (v-w2017f1)</v>
      </c>
      <c r="E16819" s="0" t="str">
        <f aca="false">HYPERLINK("https://lindat.mff.cuni.cz/services/SynSemClass40/SynSemClass40.html?veclass=vec00640#vec00640-ces-cm00007", "vec00640")</f>
        <v>vec00640</v>
      </c>
      <c r="F16819" s="0" t="s">
        <v>4128</v>
      </c>
    </row>
    <row r="16820" customFormat="false" ht="12.8" hidden="false" customHeight="false" outlineLevel="0" collapsed="false">
      <c r="B16820" s="0" t="s">
        <v>1</v>
      </c>
      <c r="C16820" s="0" t="s">
        <v>4001</v>
      </c>
      <c r="E16820" s="0" t="s">
        <v>768</v>
      </c>
      <c r="F16820" s="0" t="s">
        <v>4129</v>
      </c>
    </row>
    <row r="16821" customFormat="false" ht="12.8" hidden="false" customHeight="false" outlineLevel="0" collapsed="false">
      <c r="B16821" s="0" t="s">
        <v>8</v>
      </c>
      <c r="C16821" s="0" t="s">
        <v>4130</v>
      </c>
      <c r="E16821" s="0" t="s">
        <v>771</v>
      </c>
      <c r="F16821" s="0" t="s">
        <v>4131</v>
      </c>
    </row>
    <row r="16823" customFormat="false" ht="12.8" hidden="false" customHeight="false" outlineLevel="0" collapsed="false">
      <c r="A16823" s="0" t="s">
        <v>7265</v>
      </c>
      <c r="B16823" s="0" t="str">
        <f aca="false">HYPERLINK("https://lindat.mff.cuni.cz/services/teitok/pdtc10/index.php?action=vallex&amp;frame=v-w2017f3", "nahrávat (v-w2017f3)")</f>
        <v>nahrávat (v-w2017f3)</v>
      </c>
    </row>
    <row r="16824" customFormat="false" ht="12.8" hidden="false" customHeight="false" outlineLevel="0" collapsed="false">
      <c r="B16824" s="0" t="s">
        <v>1</v>
      </c>
    </row>
    <row r="16825" customFormat="false" ht="12.8" hidden="false" customHeight="false" outlineLevel="0" collapsed="false">
      <c r="B16825" s="0" t="s">
        <v>52</v>
      </c>
    </row>
    <row r="16826" customFormat="false" ht="12.8" hidden="false" customHeight="false" outlineLevel="0" collapsed="false">
      <c r="B16826" s="0" t="s">
        <v>7260</v>
      </c>
    </row>
    <row r="16828" customFormat="false" ht="12.8" hidden="false" customHeight="false" outlineLevel="0" collapsed="false">
      <c r="A16828" s="0" t="s">
        <v>7266</v>
      </c>
      <c r="B16828" s="0" t="str">
        <f aca="false">HYPERLINK("https://lindat.mff.cuni.cz/services/teitok/pdtc10/index.php?action=vallex&amp;frame=v-w2000f1", "nahánět (v-w2000f1)")</f>
        <v>nahánět (v-w2000f1)</v>
      </c>
    </row>
    <row r="16829" customFormat="false" ht="12.8" hidden="false" customHeight="false" outlineLevel="0" collapsed="false">
      <c r="B16829" s="0" t="s">
        <v>1</v>
      </c>
    </row>
    <row r="16830" customFormat="false" ht="12.8" hidden="false" customHeight="false" outlineLevel="0" collapsed="false">
      <c r="B16830" s="0" t="s">
        <v>8</v>
      </c>
    </row>
    <row r="16831" customFormat="false" ht="12.8" hidden="false" customHeight="false" outlineLevel="0" collapsed="false">
      <c r="B16831" s="0" t="s">
        <v>52</v>
      </c>
    </row>
    <row r="16833" customFormat="false" ht="12.8" hidden="false" customHeight="false" outlineLevel="0" collapsed="false">
      <c r="A16833" s="0" t="s">
        <v>7267</v>
      </c>
      <c r="B16833" s="0" t="str">
        <f aca="false">HYPERLINK("https://lindat.mff.cuni.cz/services/teitok/pdtc10/index.php?action=vallex&amp;frame=v-w2001f1", "naházet (v-w2001f1)")</f>
        <v>naházet (v-w2001f1)</v>
      </c>
      <c r="E16833" s="0" t="str">
        <f aca="false">HYPERLINK("https://lindat.mff.cuni.cz/services/SynSemClass40/SynSemClass40.html?veclass=vec01358#vec01358-ces-cm00001", "vec01358")</f>
        <v>vec01358</v>
      </c>
      <c r="F16833" s="0" t="s">
        <v>4405</v>
      </c>
    </row>
    <row r="16834" customFormat="false" ht="12.8" hidden="false" customHeight="false" outlineLevel="0" collapsed="false">
      <c r="B16834" s="0" t="s">
        <v>1</v>
      </c>
      <c r="C16834" s="0" t="s">
        <v>1540</v>
      </c>
      <c r="E16834" s="0" t="s">
        <v>334</v>
      </c>
      <c r="F16834" s="0" t="s">
        <v>4406</v>
      </c>
    </row>
    <row r="16835" customFormat="false" ht="12.8" hidden="false" customHeight="false" outlineLevel="0" collapsed="false">
      <c r="B16835" s="0" t="s">
        <v>8</v>
      </c>
      <c r="C16835" s="0" t="s">
        <v>1747</v>
      </c>
      <c r="E16835" s="0" t="s">
        <v>2648</v>
      </c>
      <c r="F16835" s="0" t="s">
        <v>4407</v>
      </c>
    </row>
    <row r="16836" customFormat="false" ht="12.8" hidden="false" customHeight="false" outlineLevel="0" collapsed="false">
      <c r="B16836" s="0" t="s">
        <v>164</v>
      </c>
      <c r="E16836" s="0" t="s">
        <v>4408</v>
      </c>
      <c r="F16836" s="0" t="s">
        <v>4409</v>
      </c>
    </row>
    <row r="16838" customFormat="false" ht="12.8" hidden="false" customHeight="false" outlineLevel="0" collapsed="false">
      <c r="A16838" s="0" t="s">
        <v>7268</v>
      </c>
      <c r="B16838" s="0" t="str">
        <f aca="false">HYPERLINK("https://lindat.mff.cuni.cz/services/teitok/pdtc10/index.php?action=vallex&amp;frame=v-w12391_MMf1_MM", "nahřát (v-w12391_MMf1_MM)")</f>
        <v>nahřát (v-w12391_MMf1_MM)</v>
      </c>
    </row>
    <row r="16839" customFormat="false" ht="12.8" hidden="false" customHeight="false" outlineLevel="0" collapsed="false">
      <c r="B16839" s="0" t="s">
        <v>1</v>
      </c>
    </row>
    <row r="16840" customFormat="false" ht="12.8" hidden="false" customHeight="false" outlineLevel="0" collapsed="false">
      <c r="B16840" s="0" t="s">
        <v>8</v>
      </c>
    </row>
    <row r="16842" customFormat="false" ht="12.8" hidden="false" customHeight="false" outlineLevel="0" collapsed="false">
      <c r="A16842" s="0" t="s">
        <v>7269</v>
      </c>
      <c r="B16842" s="0" t="str">
        <f aca="false">HYPERLINK("https://lindat.mff.cuni.cz/services/teitok/pdtc10/index.php?action=vallex&amp;frame=v-w10048f2", "nainstalovat (v-w10048f2)")</f>
        <v>nainstalovat (v-w10048f2)</v>
      </c>
      <c r="E16842" s="0" t="str">
        <f aca="false">HYPERLINK("https://lindat.mff.cuni.cz/services/SynSemClass40/SynSemClass40.html?veclass=vec00440#vec00440-ces-cm00001", "vec00440")</f>
        <v>vec00440</v>
      </c>
      <c r="F16842" s="0" t="s">
        <v>4833</v>
      </c>
    </row>
    <row r="16843" customFormat="false" ht="12.8" hidden="false" customHeight="false" outlineLevel="0" collapsed="false">
      <c r="B16843" s="0" t="s">
        <v>1</v>
      </c>
      <c r="C16843" s="0" t="s">
        <v>4834</v>
      </c>
      <c r="E16843" s="0" t="s">
        <v>31</v>
      </c>
      <c r="F16843" s="0" t="s">
        <v>4835</v>
      </c>
    </row>
    <row r="16844" customFormat="false" ht="12.8" hidden="false" customHeight="false" outlineLevel="0" collapsed="false">
      <c r="B16844" s="0" t="s">
        <v>8</v>
      </c>
      <c r="C16844" s="0" t="s">
        <v>490</v>
      </c>
      <c r="E16844" s="0" t="s">
        <v>1569</v>
      </c>
      <c r="F16844" s="0" t="s">
        <v>4836</v>
      </c>
    </row>
    <row r="16846" customFormat="false" ht="12.8" hidden="false" customHeight="false" outlineLevel="0" collapsed="false">
      <c r="A16846" s="0" t="s">
        <v>7270</v>
      </c>
      <c r="B16846" s="0" t="str">
        <f aca="false">HYPERLINK("https://lindat.mff.cuni.cz/services/teitok/pdtc10/index.php?action=vallex&amp;frame=v-w10048f3_MM", "nainstalovat (v-w10048f3_MM)")</f>
        <v>nainstalovat (v-w10048f3_MM)</v>
      </c>
    </row>
    <row r="16847" customFormat="false" ht="12.8" hidden="false" customHeight="false" outlineLevel="0" collapsed="false">
      <c r="B16847" s="0" t="s">
        <v>1</v>
      </c>
    </row>
    <row r="16848" customFormat="false" ht="12.8" hidden="false" customHeight="false" outlineLevel="0" collapsed="false">
      <c r="B16848" s="0" t="s">
        <v>8</v>
      </c>
    </row>
    <row r="16850" customFormat="false" ht="12.8" hidden="false" customHeight="false" outlineLevel="0" collapsed="false">
      <c r="A16850" s="0" t="s">
        <v>7271</v>
      </c>
      <c r="B16850" s="0" t="str">
        <f aca="false">HYPERLINK("https://lindat.mff.cuni.cz/services/teitok/pdtc10/index.php?action=vallex&amp;frame=v-w2036f3", "najet (v-w2036f3)")</f>
        <v>najet (v-w2036f3)</v>
      </c>
    </row>
    <row r="16851" customFormat="false" ht="12.8" hidden="false" customHeight="false" outlineLevel="0" collapsed="false">
      <c r="B16851" s="0" t="s">
        <v>629</v>
      </c>
    </row>
    <row r="16852" customFormat="false" ht="12.8" hidden="false" customHeight="false" outlineLevel="0" collapsed="false">
      <c r="B16852" s="0" t="s">
        <v>8</v>
      </c>
    </row>
    <row r="16853" customFormat="false" ht="12.8" hidden="false" customHeight="false" outlineLevel="0" collapsed="false">
      <c r="B16853" s="0" t="s">
        <v>162</v>
      </c>
    </row>
    <row r="16855" customFormat="false" ht="12.8" hidden="false" customHeight="false" outlineLevel="0" collapsed="false">
      <c r="A16855" s="0" t="s">
        <v>7272</v>
      </c>
      <c r="B16855" s="0" t="str">
        <f aca="false">HYPERLINK("https://lindat.mff.cuni.cz/services/teitok/pdtc10/index.php?action=vallex&amp;frame=v-w2036f2", "najet (v-w2036f2)")</f>
        <v>najet (v-w2036f2)</v>
      </c>
    </row>
    <row r="16856" customFormat="false" ht="12.8" hidden="false" customHeight="false" outlineLevel="0" collapsed="false">
      <c r="B16856" s="0" t="s">
        <v>1</v>
      </c>
    </row>
    <row r="16857" customFormat="false" ht="12.8" hidden="false" customHeight="false" outlineLevel="0" collapsed="false">
      <c r="B16857" s="0" t="s">
        <v>8</v>
      </c>
    </row>
    <row r="16859" customFormat="false" ht="12.8" hidden="false" customHeight="false" outlineLevel="0" collapsed="false">
      <c r="A16859" s="0" t="s">
        <v>7273</v>
      </c>
      <c r="B16859" s="0" t="str">
        <f aca="false">HYPERLINK("https://lindat.mff.cuni.cz/services/teitok/pdtc10/index.php?action=vallex&amp;frame=v-w2036f1", "najet (v-w2036f1)")</f>
        <v>najet (v-w2036f1)</v>
      </c>
      <c r="E16859" s="0" t="str">
        <f aca="false">HYPERLINK("https://lindat.mff.cuni.cz/services/SynSemClass40/SynSemClass40.html?veclass=vec00639#vec00639-ces-cm00021", "vec00639")</f>
        <v>vec00639</v>
      </c>
      <c r="F16859" s="0" t="s">
        <v>7274</v>
      </c>
    </row>
    <row r="16860" customFormat="false" ht="12.8" hidden="false" customHeight="false" outlineLevel="0" collapsed="false">
      <c r="B16860" s="0" t="s">
        <v>1</v>
      </c>
      <c r="C16860" s="0" t="s">
        <v>7275</v>
      </c>
      <c r="E16860" s="0" t="s">
        <v>7276</v>
      </c>
      <c r="F16860" s="0" t="s">
        <v>7277</v>
      </c>
    </row>
    <row r="16861" customFormat="false" ht="12.8" hidden="false" customHeight="false" outlineLevel="0" collapsed="false">
      <c r="B16861" s="0" t="s">
        <v>164</v>
      </c>
      <c r="C16861" s="0" t="s">
        <v>7278</v>
      </c>
      <c r="E16861" s="0" t="s">
        <v>4619</v>
      </c>
      <c r="F16861" s="0" t="s">
        <v>7279</v>
      </c>
    </row>
    <row r="16863" customFormat="false" ht="12.8" hidden="false" customHeight="false" outlineLevel="0" collapsed="false">
      <c r="A16863" s="0" t="s">
        <v>7280</v>
      </c>
      <c r="B16863" s="0" t="str">
        <f aca="false">HYPERLINK("https://lindat.mff.cuni.cz/services/teitok/pdtc10/index.php?action=vallex&amp;frame=v-whsa_1445hsa_1446", "najezdit (v-whsa_1445hsa_1446)")</f>
        <v>najezdit (v-whsa_1445hsa_1446)</v>
      </c>
    </row>
    <row r="16864" customFormat="false" ht="12.8" hidden="false" customHeight="false" outlineLevel="0" collapsed="false">
      <c r="B16864" s="0" t="s">
        <v>1</v>
      </c>
    </row>
    <row r="16865" customFormat="false" ht="12.8" hidden="false" customHeight="false" outlineLevel="0" collapsed="false">
      <c r="B16865" s="0" t="s">
        <v>8</v>
      </c>
    </row>
    <row r="16867" customFormat="false" ht="12.8" hidden="false" customHeight="false" outlineLevel="0" collapsed="false">
      <c r="A16867" s="0" t="s">
        <v>7281</v>
      </c>
      <c r="B16867" s="0" t="str">
        <f aca="false">HYPERLINK("https://lindat.mff.cuni.cz/services/teitok/pdtc10/index.php?action=vallex&amp;frame=v-whsa_900hsa_901", "najezdit se (v-whsa_900hsa_901)")</f>
        <v>najezdit se (v-whsa_900hsa_901)</v>
      </c>
    </row>
    <row r="16868" customFormat="false" ht="12.8" hidden="false" customHeight="false" outlineLevel="0" collapsed="false">
      <c r="B16868" s="0" t="s">
        <v>1</v>
      </c>
    </row>
    <row r="16870" customFormat="false" ht="12.8" hidden="false" customHeight="false" outlineLevel="0" collapsed="false">
      <c r="A16870" s="0" t="s">
        <v>7282</v>
      </c>
      <c r="B16870" s="0" t="str">
        <f aca="false">HYPERLINK("https://lindat.mff.cuni.cz/services/teitok/pdtc10/index.php?action=vallex&amp;frame=v-whsa_900hsa_902", "najezdit se (v-whsa_900hsa_902)")</f>
        <v>najezdit se (v-whsa_900hsa_902)</v>
      </c>
    </row>
    <row r="16871" customFormat="false" ht="12.8" hidden="false" customHeight="false" outlineLevel="0" collapsed="false">
      <c r="B16871" s="0" t="s">
        <v>1</v>
      </c>
    </row>
    <row r="16873" customFormat="false" ht="12.8" hidden="false" customHeight="false" outlineLevel="0" collapsed="false">
      <c r="A16873" s="0" t="s">
        <v>7283</v>
      </c>
      <c r="B16873" s="0" t="str">
        <f aca="false">HYPERLINK("https://lindat.mff.cuni.cz/services/teitok/pdtc10/index.php?action=vallex&amp;frame=v-w2044f1", "najmout (v-w2044f1)")</f>
        <v>najmout (v-w2044f1)</v>
      </c>
      <c r="E16873" s="0" t="str">
        <f aca="false">HYPERLINK("https://lindat.mff.cuni.cz/services/SynSemClass40/SynSemClass40.html?veclass=vec00369#vec00369-ces-cm00003", "vec00369")</f>
        <v>vec00369</v>
      </c>
      <c r="F16873" s="0" t="s">
        <v>7284</v>
      </c>
    </row>
    <row r="16874" customFormat="false" ht="12.8" hidden="false" customHeight="false" outlineLevel="0" collapsed="false">
      <c r="B16874" s="0" t="s">
        <v>1</v>
      </c>
      <c r="C16874" s="0" t="s">
        <v>7285</v>
      </c>
      <c r="E16874" s="0" t="s">
        <v>7286</v>
      </c>
      <c r="F16874" s="0" t="s">
        <v>7287</v>
      </c>
    </row>
    <row r="16875" customFormat="false" ht="12.8" hidden="false" customHeight="false" outlineLevel="0" collapsed="false">
      <c r="B16875" s="0" t="s">
        <v>8</v>
      </c>
      <c r="C16875" s="0" t="s">
        <v>7288</v>
      </c>
      <c r="E16875" s="0" t="s">
        <v>7289</v>
      </c>
      <c r="F16875" s="0" t="s">
        <v>7290</v>
      </c>
    </row>
    <row r="16877" customFormat="false" ht="12.8" hidden="false" customHeight="false" outlineLevel="0" collapsed="false">
      <c r="A16877" s="0" t="s">
        <v>7291</v>
      </c>
      <c r="B16877" s="0" t="str">
        <f aca="false">HYPERLINK("https://lindat.mff.cuni.cz/services/teitok/pdtc10/index.php?action=vallex&amp;frame=v-w2040f1", "najímat (v-w2040f1)")</f>
        <v>najímat (v-w2040f1)</v>
      </c>
      <c r="E16877" s="0" t="str">
        <f aca="false">HYPERLINK("https://lindat.mff.cuni.cz/services/SynSemClass40/SynSemClass40.html?veclass=vec00369#vec00369-ces-cm00002", "vec00369")</f>
        <v>vec00369</v>
      </c>
      <c r="F16877" s="0" t="s">
        <v>7284</v>
      </c>
    </row>
    <row r="16878" customFormat="false" ht="12.8" hidden="false" customHeight="false" outlineLevel="0" collapsed="false">
      <c r="B16878" s="0" t="s">
        <v>1</v>
      </c>
      <c r="C16878" s="0" t="s">
        <v>7285</v>
      </c>
      <c r="E16878" s="0" t="s">
        <v>7286</v>
      </c>
      <c r="F16878" s="0" t="s">
        <v>7287</v>
      </c>
    </row>
    <row r="16879" customFormat="false" ht="12.8" hidden="false" customHeight="false" outlineLevel="0" collapsed="false">
      <c r="B16879" s="0" t="s">
        <v>8</v>
      </c>
      <c r="C16879" s="0" t="s">
        <v>7288</v>
      </c>
      <c r="E16879" s="0" t="s">
        <v>7289</v>
      </c>
      <c r="F16879" s="0" t="s">
        <v>7290</v>
      </c>
    </row>
    <row r="16881" customFormat="false" ht="12.8" hidden="false" customHeight="false" outlineLevel="0" collapsed="false">
      <c r="A16881" s="0" t="s">
        <v>7292</v>
      </c>
      <c r="B16881" s="0" t="str">
        <f aca="false">HYPERLINK("https://lindat.mff.cuni.cz/services/teitok/pdtc10/index.php?action=vallex&amp;frame=v-w2041f2_ZU", "najíst se (v-w2041f2_ZU)")</f>
        <v>najíst se (v-w2041f2_ZU)</v>
      </c>
    </row>
    <row r="16882" customFormat="false" ht="12.8" hidden="false" customHeight="false" outlineLevel="0" collapsed="false">
      <c r="B16882" s="0" t="s">
        <v>1</v>
      </c>
    </row>
    <row r="16883" customFormat="false" ht="12.8" hidden="false" customHeight="false" outlineLevel="0" collapsed="false">
      <c r="B16883" s="0" t="s">
        <v>909</v>
      </c>
    </row>
    <row r="16885" customFormat="false" ht="12.8" hidden="false" customHeight="false" outlineLevel="0" collapsed="false">
      <c r="A16885" s="0" t="s">
        <v>7292</v>
      </c>
      <c r="B16885" s="0" t="str">
        <f aca="false">HYPERLINK("https://lindat.mff.cuni.cz/services/teitok/pdtc10/index.php?action=vallex&amp;frame=v-w2041f1", "najíst se (v-w2041f1) - substituted with v-w2041f2_ZU")</f>
        <v>najíst se (v-w2041f1) - substituted with v-w2041f2_ZU</v>
      </c>
    </row>
    <row r="16886" customFormat="false" ht="12.8" hidden="false" customHeight="false" outlineLevel="0" collapsed="false">
      <c r="B16886" s="0" t="s">
        <v>1</v>
      </c>
    </row>
    <row r="16887" customFormat="false" ht="12.8" hidden="false" customHeight="false" outlineLevel="0" collapsed="false">
      <c r="B16887" s="0" t="s">
        <v>909</v>
      </c>
    </row>
    <row r="16889" customFormat="false" ht="12.8" hidden="false" customHeight="false" outlineLevel="0" collapsed="false">
      <c r="A16889" s="0" t="s">
        <v>7293</v>
      </c>
      <c r="B16889" s="0" t="str">
        <f aca="false">HYPERLINK("https://lindat.mff.cuni.cz/services/teitok/pdtc10/index.php?action=vallex&amp;frame=v-w2042f3", "najít (v-w2042f3)")</f>
        <v>najít (v-w2042f3)</v>
      </c>
    </row>
    <row r="16890" customFormat="false" ht="12.8" hidden="false" customHeight="false" outlineLevel="0" collapsed="false">
      <c r="B16890" s="0" t="s">
        <v>1</v>
      </c>
    </row>
    <row r="16891" customFormat="false" ht="12.8" hidden="false" customHeight="false" outlineLevel="0" collapsed="false">
      <c r="B16891" s="0" t="s">
        <v>721</v>
      </c>
    </row>
    <row r="16892" customFormat="false" ht="12.8" hidden="false" customHeight="false" outlineLevel="0" collapsed="false">
      <c r="B16892" s="0" t="s">
        <v>1502</v>
      </c>
    </row>
    <row r="16894" customFormat="false" ht="12.8" hidden="false" customHeight="false" outlineLevel="0" collapsed="false">
      <c r="A16894" s="0" t="s">
        <v>7294</v>
      </c>
      <c r="B16894" s="0" t="str">
        <f aca="false">HYPERLINK("https://lindat.mff.cuni.cz/services/teitok/pdtc10/index.php?action=vallex&amp;frame=v-w2042f1", "najít (v-w2042f1)")</f>
        <v>najít (v-w2042f1)</v>
      </c>
      <c r="E16894" s="0" t="str">
        <f aca="false">HYPERLINK("https://lindat.mff.cuni.cz/services/SynSemClass40/SynSemClass40.html?veclass=vec00233#vec00233-ces-cm00001", "vec00233")</f>
        <v>vec00233</v>
      </c>
      <c r="F16894" s="0" t="s">
        <v>1065</v>
      </c>
    </row>
    <row r="16895" customFormat="false" ht="12.8" hidden="false" customHeight="false" outlineLevel="0" collapsed="false">
      <c r="B16895" s="0" t="s">
        <v>1</v>
      </c>
      <c r="C16895" s="0" t="s">
        <v>7077</v>
      </c>
      <c r="E16895" s="0" t="s">
        <v>2263</v>
      </c>
      <c r="F16895" s="0" t="s">
        <v>7078</v>
      </c>
    </row>
    <row r="16896" customFormat="false" ht="12.8" hidden="false" customHeight="false" outlineLevel="0" collapsed="false">
      <c r="B16896" s="0" t="s">
        <v>228</v>
      </c>
      <c r="C16896" s="0" t="s">
        <v>7079</v>
      </c>
      <c r="E16896" s="0" t="s">
        <v>7080</v>
      </c>
      <c r="F16896" s="0" t="s">
        <v>7081</v>
      </c>
    </row>
    <row r="16898" customFormat="false" ht="12.8" hidden="false" customHeight="false" outlineLevel="0" collapsed="false">
      <c r="A16898" s="0" t="s">
        <v>7295</v>
      </c>
      <c r="B16898" s="0" t="str">
        <f aca="false">HYPERLINK("https://lindat.mff.cuni.cz/services/teitok/pdtc10/index.php?action=vallex&amp;frame=v-w2042f7_ZU", "najít (v-w2042f7_ZU)")</f>
        <v>najít (v-w2042f7_ZU)</v>
      </c>
    </row>
    <row r="16899" customFormat="false" ht="12.8" hidden="false" customHeight="false" outlineLevel="0" collapsed="false">
      <c r="B16899" s="0" t="s">
        <v>1</v>
      </c>
    </row>
    <row r="16900" customFormat="false" ht="12.8" hidden="false" customHeight="false" outlineLevel="0" collapsed="false">
      <c r="B16900" s="0" t="s">
        <v>7296</v>
      </c>
    </row>
    <row r="16902" customFormat="false" ht="12.8" hidden="false" customHeight="false" outlineLevel="0" collapsed="false">
      <c r="A16902" s="0" t="s">
        <v>7295</v>
      </c>
      <c r="B16902" s="0" t="str">
        <f aca="false">HYPERLINK("https://lindat.mff.cuni.cz/services/teitok/pdtc10/index.php?action=vallex&amp;frame=v-w2042f2", "najít (v-w2042f2) - substituted with v-w2042f7_ZU")</f>
        <v>najít (v-w2042f2) - substituted with v-w2042f7_ZU</v>
      </c>
    </row>
    <row r="16903" customFormat="false" ht="12.8" hidden="false" customHeight="false" outlineLevel="0" collapsed="false">
      <c r="B16903" s="0" t="s">
        <v>1</v>
      </c>
    </row>
    <row r="16904" customFormat="false" ht="12.8" hidden="false" customHeight="false" outlineLevel="0" collapsed="false">
      <c r="B16904" s="0" t="s">
        <v>7296</v>
      </c>
    </row>
    <row r="16906" customFormat="false" ht="12.8" hidden="false" customHeight="false" outlineLevel="0" collapsed="false">
      <c r="A16906" s="0" t="s">
        <v>7295</v>
      </c>
      <c r="B16906" s="0" t="str">
        <f aca="false">HYPERLINK("https://lindat.mff.cuni.cz/services/teitok/pdtc10/index.php?action=vallex&amp;frame=v-w2042f4_ZU", "najít (v-w2042f4_ZU) - substituted with v-w2042f7_ZU")</f>
        <v>najít (v-w2042f4_ZU) - substituted with v-w2042f7_ZU</v>
      </c>
    </row>
    <row r="16907" customFormat="false" ht="12.8" hidden="false" customHeight="false" outlineLevel="0" collapsed="false">
      <c r="B16907" s="0" t="s">
        <v>1</v>
      </c>
    </row>
    <row r="16908" customFormat="false" ht="12.8" hidden="false" customHeight="false" outlineLevel="0" collapsed="false">
      <c r="B16908" s="0" t="s">
        <v>7296</v>
      </c>
    </row>
    <row r="16910" customFormat="false" ht="12.8" hidden="false" customHeight="false" outlineLevel="0" collapsed="false">
      <c r="A16910" s="0" t="s">
        <v>7295</v>
      </c>
      <c r="B16910" s="0" t="str">
        <f aca="false">HYPERLINK("https://lindat.mff.cuni.cz/services/teitok/pdtc10/index.php?action=vallex&amp;frame=v-w2042f5_ZU", "najít (v-w2042f5_ZU) - substituted with v-w2042f7_ZU")</f>
        <v>najít (v-w2042f5_ZU) - substituted with v-w2042f7_ZU</v>
      </c>
    </row>
    <row r="16911" customFormat="false" ht="12.8" hidden="false" customHeight="false" outlineLevel="0" collapsed="false">
      <c r="B16911" s="0" t="s">
        <v>1</v>
      </c>
    </row>
    <row r="16912" customFormat="false" ht="12.8" hidden="false" customHeight="false" outlineLevel="0" collapsed="false">
      <c r="B16912" s="0" t="s">
        <v>7296</v>
      </c>
    </row>
    <row r="16914" customFormat="false" ht="12.8" hidden="false" customHeight="false" outlineLevel="0" collapsed="false">
      <c r="A16914" s="0" t="s">
        <v>7295</v>
      </c>
      <c r="B16914" s="0" t="str">
        <f aca="false">HYPERLINK("https://lindat.mff.cuni.cz/services/teitok/pdtc10/index.php?action=vallex&amp;frame=v-w2042f6_ZU", "najít (v-w2042f6_ZU) - substituted with v-w2042f7_ZU")</f>
        <v>najít (v-w2042f6_ZU) - substituted with v-w2042f7_ZU</v>
      </c>
    </row>
    <row r="16915" customFormat="false" ht="12.8" hidden="false" customHeight="false" outlineLevel="0" collapsed="false">
      <c r="B16915" s="0" t="s">
        <v>1</v>
      </c>
    </row>
    <row r="16916" customFormat="false" ht="12.8" hidden="false" customHeight="false" outlineLevel="0" collapsed="false">
      <c r="B16916" s="0" t="s">
        <v>7296</v>
      </c>
    </row>
    <row r="16918" customFormat="false" ht="12.8" hidden="false" customHeight="false" outlineLevel="0" collapsed="false">
      <c r="A16918" s="0" t="s">
        <v>7295</v>
      </c>
      <c r="B16918" s="0" t="str">
        <f aca="false">HYPERLINK("https://lindat.mff.cuni.cz/services/teitok/pdtc10/index.php?action=vallex&amp;frame=v-w2042hsa_1059", "najít (v-w2042hsa_1059) - substituted with v-w2042f7_ZU")</f>
        <v>najít (v-w2042hsa_1059) - substituted with v-w2042f7_ZU</v>
      </c>
      <c r="E16918" s="0" t="str">
        <f aca="false">HYPERLINK("https://lindat.mff.cuni.cz/services/SynSemClass40/SynSemClass40.html?veclass=vec00233#vec00233-ces-cm00012", "vec00233")</f>
        <v>vec00233</v>
      </c>
      <c r="F16918" s="0" t="s">
        <v>1065</v>
      </c>
    </row>
    <row r="16919" customFormat="false" ht="12.8" hidden="false" customHeight="false" outlineLevel="0" collapsed="false">
      <c r="B16919" s="0" t="s">
        <v>1</v>
      </c>
      <c r="C16919" s="0" t="s">
        <v>7077</v>
      </c>
      <c r="E16919" s="0" t="s">
        <v>2263</v>
      </c>
      <c r="F16919" s="0" t="s">
        <v>7078</v>
      </c>
    </row>
    <row r="16920" customFormat="false" ht="12.8" hidden="false" customHeight="false" outlineLevel="0" collapsed="false">
      <c r="B16920" s="0" t="s">
        <v>7296</v>
      </c>
      <c r="C16920" s="0" t="s">
        <v>7297</v>
      </c>
      <c r="E16920" s="0" t="s">
        <v>7298</v>
      </c>
      <c r="F16920" s="0" t="s">
        <v>7299</v>
      </c>
    </row>
    <row r="16922" customFormat="false" ht="12.8" hidden="false" customHeight="false" outlineLevel="0" collapsed="false">
      <c r="A16922" s="0" t="s">
        <v>7295</v>
      </c>
      <c r="B16922" s="0" t="str">
        <f aca="false">HYPERLINK("https://lindat.mff.cuni.cz/services/teitok/pdtc10/index.php?action=vallex&amp;frame=v-w2042hsa_910", "najít (v-w2042hsa_910) - substituted with v-w2042f7_ZU")</f>
        <v>najít (v-w2042hsa_910) - substituted with v-w2042f7_ZU</v>
      </c>
    </row>
    <row r="16923" customFormat="false" ht="12.8" hidden="false" customHeight="false" outlineLevel="0" collapsed="false">
      <c r="B16923" s="0" t="s">
        <v>1</v>
      </c>
    </row>
    <row r="16924" customFormat="false" ht="12.8" hidden="false" customHeight="false" outlineLevel="0" collapsed="false">
      <c r="B16924" s="0" t="s">
        <v>7296</v>
      </c>
    </row>
    <row r="16926" customFormat="false" ht="12.8" hidden="false" customHeight="false" outlineLevel="0" collapsed="false">
      <c r="A16926" s="0" t="s">
        <v>7300</v>
      </c>
      <c r="B16926" s="0" t="str">
        <f aca="false">HYPERLINK("https://lindat.mff.cuni.cz/services/teitok/pdtc10/index.php?action=vallex&amp;frame=v-w2043f1", "najít se (v-w2043f1)")</f>
        <v>najít se (v-w2043f1)</v>
      </c>
    </row>
    <row r="16927" customFormat="false" ht="12.8" hidden="false" customHeight="false" outlineLevel="0" collapsed="false">
      <c r="B16927" s="0" t="s">
        <v>1</v>
      </c>
    </row>
    <row r="16928" customFormat="false" ht="12.8" hidden="false" customHeight="false" outlineLevel="0" collapsed="false">
      <c r="B16928" s="0" t="s">
        <v>5</v>
      </c>
    </row>
    <row r="16930" customFormat="false" ht="12.8" hidden="false" customHeight="false" outlineLevel="0" collapsed="false">
      <c r="A16930" s="0" t="s">
        <v>7301</v>
      </c>
      <c r="B16930" s="0" t="str">
        <f aca="false">HYPERLINK("https://lindat.mff.cuni.cz/services/teitok/pdtc10/index.php?action=vallex&amp;frame=v-w2043f2", "najít se (v-w2043f2)")</f>
        <v>najít se (v-w2043f2)</v>
      </c>
    </row>
    <row r="16931" customFormat="false" ht="12.8" hidden="false" customHeight="false" outlineLevel="0" collapsed="false">
      <c r="B16931" s="0" t="s">
        <v>1</v>
      </c>
    </row>
    <row r="16932" customFormat="false" ht="12.8" hidden="false" customHeight="false" outlineLevel="0" collapsed="false">
      <c r="B16932" s="0" t="s">
        <v>5</v>
      </c>
    </row>
    <row r="16934" customFormat="false" ht="12.8" hidden="false" customHeight="false" outlineLevel="0" collapsed="false">
      <c r="A16934" s="0" t="s">
        <v>7302</v>
      </c>
      <c r="B16934" s="0" t="str">
        <f aca="false">HYPERLINK("https://lindat.mff.cuni.cz/services/teitok/pdtc10/index.php?action=vallex&amp;frame=v-w11520_ZUf1_ZU", "najíždět (v-w11520_ZUf1_ZU)")</f>
        <v>najíždět (v-w11520_ZUf1_ZU)</v>
      </c>
    </row>
    <row r="16935" customFormat="false" ht="12.8" hidden="false" customHeight="false" outlineLevel="0" collapsed="false">
      <c r="B16935" s="0" t="s">
        <v>1</v>
      </c>
    </row>
    <row r="16936" customFormat="false" ht="12.8" hidden="false" customHeight="false" outlineLevel="0" collapsed="false">
      <c r="B16936" s="0" t="s">
        <v>45</v>
      </c>
    </row>
    <row r="16938" customFormat="false" ht="12.8" hidden="false" customHeight="false" outlineLevel="0" collapsed="false">
      <c r="A16938" s="0" t="s">
        <v>7303</v>
      </c>
      <c r="B16938" s="0" t="str">
        <f aca="false">HYPERLINK("https://lindat.mff.cuni.cz/services/teitok/pdtc10/index.php?action=vallex&amp;frame=v-w11922_ZUf1_ZU", "nakapat (v-w11922_ZUf1_ZU)")</f>
        <v>nakapat (v-w11922_ZUf1_ZU)</v>
      </c>
    </row>
    <row r="16939" customFormat="false" ht="12.8" hidden="false" customHeight="false" outlineLevel="0" collapsed="false">
      <c r="B16939" s="0" t="s">
        <v>1</v>
      </c>
    </row>
    <row r="16940" customFormat="false" ht="12.8" hidden="false" customHeight="false" outlineLevel="0" collapsed="false">
      <c r="B16940" s="0" t="s">
        <v>454</v>
      </c>
    </row>
    <row r="16942" customFormat="false" ht="12.8" hidden="false" customHeight="false" outlineLevel="0" collapsed="false">
      <c r="A16942" s="0" t="s">
        <v>7304</v>
      </c>
      <c r="B16942" s="0" t="str">
        <f aca="false">HYPERLINK("https://lindat.mff.cuni.cz/services/teitok/pdtc10/index.php?action=vallex&amp;frame=v-w2046f1", "nakazit (v-w2046f1)")</f>
        <v>nakazit (v-w2046f1)</v>
      </c>
      <c r="E16942" s="0" t="str">
        <f aca="false">HYPERLINK("https://lindat.mff.cuni.cz/services/SynSemClass40/SynSemClass40.html?veclass=vec00635#vec00635-ces-cm00001", "vec00635")</f>
        <v>vec00635</v>
      </c>
      <c r="F16942" s="0" t="s">
        <v>4804</v>
      </c>
    </row>
    <row r="16943" customFormat="false" ht="12.8" hidden="false" customHeight="false" outlineLevel="0" collapsed="false">
      <c r="B16943" s="0" t="s">
        <v>1</v>
      </c>
      <c r="C16943" s="0" t="s">
        <v>4805</v>
      </c>
      <c r="E16943" s="0" t="s">
        <v>4806</v>
      </c>
      <c r="F16943" s="0" t="s">
        <v>4807</v>
      </c>
    </row>
    <row r="16944" customFormat="false" ht="12.8" hidden="false" customHeight="false" outlineLevel="0" collapsed="false">
      <c r="B16944" s="0" t="s">
        <v>286</v>
      </c>
      <c r="C16944" s="0" t="s">
        <v>1511</v>
      </c>
      <c r="E16944" s="0" t="s">
        <v>2805</v>
      </c>
      <c r="F16944" s="0" t="s">
        <v>7305</v>
      </c>
    </row>
    <row r="16945" customFormat="false" ht="12.8" hidden="false" customHeight="false" outlineLevel="0" collapsed="false">
      <c r="B16945" s="0" t="s">
        <v>98</v>
      </c>
      <c r="C16945" s="0" t="s">
        <v>7306</v>
      </c>
      <c r="E16945" s="0" t="s">
        <v>7307</v>
      </c>
      <c r="F16945" s="0" t="s">
        <v>7308</v>
      </c>
    </row>
    <row r="16947" customFormat="false" ht="12.8" hidden="false" customHeight="false" outlineLevel="0" collapsed="false">
      <c r="A16947" s="0" t="s">
        <v>7309</v>
      </c>
      <c r="B16947" s="0" t="str">
        <f aca="false">HYPERLINK("https://lindat.mff.cuni.cz/services/teitok/pdtc10/index.php?action=vallex&amp;frame=v-w2047f1", "nakazit se (v-w2047f1)")</f>
        <v>nakazit se (v-w2047f1)</v>
      </c>
      <c r="E16947" s="0" t="str">
        <f aca="false">HYPERLINK("https://lindat.mff.cuni.cz/services/SynSemClass40/SynSemClass40.html?veclass=vec00636#vec00636-ces-cm00001", "vec00636")</f>
        <v>vec00636</v>
      </c>
      <c r="F16947" s="0" t="s">
        <v>2801</v>
      </c>
    </row>
    <row r="16948" customFormat="false" ht="12.8" hidden="false" customHeight="false" outlineLevel="0" collapsed="false">
      <c r="B16948" s="0" t="s">
        <v>1</v>
      </c>
      <c r="C16948" s="0" t="s">
        <v>2802</v>
      </c>
      <c r="E16948" s="0" t="s">
        <v>2803</v>
      </c>
      <c r="F16948" s="0" t="s">
        <v>2804</v>
      </c>
    </row>
    <row r="16949" customFormat="false" ht="12.8" hidden="false" customHeight="false" outlineLevel="0" collapsed="false">
      <c r="B16949" s="0" t="s">
        <v>4287</v>
      </c>
      <c r="C16949" s="0" t="s">
        <v>13</v>
      </c>
      <c r="E16949" s="0" t="s">
        <v>2805</v>
      </c>
      <c r="F16949" s="0" t="s">
        <v>2806</v>
      </c>
    </row>
    <row r="16950" customFormat="false" ht="12.8" hidden="false" customHeight="false" outlineLevel="0" collapsed="false">
      <c r="B16950" s="0" t="s">
        <v>1633</v>
      </c>
      <c r="E16950" s="0" t="s">
        <v>2176</v>
      </c>
      <c r="F16950" s="0" t="s">
        <v>2807</v>
      </c>
    </row>
    <row r="16952" customFormat="false" ht="12.8" hidden="false" customHeight="false" outlineLevel="0" collapsed="false">
      <c r="A16952" s="0" t="s">
        <v>7310</v>
      </c>
      <c r="B16952" s="0" t="str">
        <f aca="false">HYPERLINK("https://lindat.mff.cuni.cz/services/teitok/pdtc10/index.php?action=vallex&amp;frame=v-w2056f1", "naklonit (v-w2056f1)")</f>
        <v>naklonit (v-w2056f1)</v>
      </c>
      <c r="E16952" s="0" t="str">
        <f aca="false">HYPERLINK("https://lindat.mff.cuni.cz/services/SynSemClass40/SynSemClass40.html?veclass=vec00637#vec00637-ces-cm00015", "vec00637")</f>
        <v>vec00637</v>
      </c>
      <c r="F16952" s="0" t="s">
        <v>7311</v>
      </c>
    </row>
    <row r="16953" customFormat="false" ht="12.8" hidden="false" customHeight="false" outlineLevel="0" collapsed="false">
      <c r="B16953" s="0" t="s">
        <v>1</v>
      </c>
      <c r="C16953" s="0" t="s">
        <v>7312</v>
      </c>
      <c r="E16953" s="0" t="s">
        <v>334</v>
      </c>
      <c r="F16953" s="0" t="s">
        <v>7313</v>
      </c>
    </row>
    <row r="16954" customFormat="false" ht="12.8" hidden="false" customHeight="false" outlineLevel="0" collapsed="false">
      <c r="B16954" s="0" t="s">
        <v>8</v>
      </c>
      <c r="C16954" s="0" t="s">
        <v>7314</v>
      </c>
      <c r="E16954" s="0" t="s">
        <v>7315</v>
      </c>
      <c r="F16954" s="0" t="s">
        <v>7316</v>
      </c>
    </row>
    <row r="16956" customFormat="false" ht="12.8" hidden="false" customHeight="false" outlineLevel="0" collapsed="false">
      <c r="A16956" s="0" t="s">
        <v>7317</v>
      </c>
      <c r="B16956" s="0" t="str">
        <f aca="false">HYPERLINK("https://lindat.mff.cuni.cz/services/teitok/pdtc10/index.php?action=vallex&amp;frame=v-w11440f2", "naklonit se (v-w11440f2)")</f>
        <v>naklonit se (v-w11440f2)</v>
      </c>
    </row>
    <row r="16957" customFormat="false" ht="12.8" hidden="false" customHeight="false" outlineLevel="0" collapsed="false">
      <c r="B16957" s="0" t="s">
        <v>1</v>
      </c>
    </row>
    <row r="16959" customFormat="false" ht="12.8" hidden="false" customHeight="false" outlineLevel="0" collapsed="false">
      <c r="A16959" s="0" t="s">
        <v>7318</v>
      </c>
      <c r="B16959" s="0" t="str">
        <f aca="false">HYPERLINK("https://lindat.mff.cuni.cz/services/teitok/pdtc10/index.php?action=vallex&amp;frame=v-w11440f1", "naklonit se (v-w11440f1)")</f>
        <v>naklonit se (v-w11440f1)</v>
      </c>
      <c r="E16959" s="0" t="str">
        <f aca="false">HYPERLINK("https://lindat.mff.cuni.cz/services/SynSemClass40/SynSemClass40.html?veclass=vec00637#vec00637-ces-cm00001", "vec00637")</f>
        <v>vec00637</v>
      </c>
      <c r="F16959" s="0" t="s">
        <v>7311</v>
      </c>
    </row>
    <row r="16960" customFormat="false" ht="12.8" hidden="false" customHeight="false" outlineLevel="0" collapsed="false">
      <c r="B16960" s="0" t="s">
        <v>1</v>
      </c>
      <c r="C16960" s="0" t="s">
        <v>7312</v>
      </c>
      <c r="E16960" s="0" t="s">
        <v>334</v>
      </c>
      <c r="F16960" s="0" t="s">
        <v>7313</v>
      </c>
    </row>
    <row r="16962" customFormat="false" ht="12.8" hidden="false" customHeight="false" outlineLevel="0" collapsed="false">
      <c r="A16962" s="0" t="s">
        <v>7319</v>
      </c>
      <c r="B16962" s="0" t="str">
        <f aca="false">HYPERLINK("https://lindat.mff.cuni.cz/services/teitok/pdtc10/index.php?action=vallex&amp;frame=v-w2057f1", "naklonit si (v-w2057f1)")</f>
        <v>naklonit si (v-w2057f1)</v>
      </c>
    </row>
    <row r="16963" customFormat="false" ht="12.8" hidden="false" customHeight="false" outlineLevel="0" collapsed="false">
      <c r="B16963" s="0" t="s">
        <v>1</v>
      </c>
    </row>
    <row r="16964" customFormat="false" ht="12.8" hidden="false" customHeight="false" outlineLevel="0" collapsed="false">
      <c r="B16964" s="0" t="s">
        <v>8</v>
      </c>
    </row>
    <row r="16966" customFormat="false" ht="12.8" hidden="false" customHeight="false" outlineLevel="0" collapsed="false">
      <c r="A16966" s="0" t="s">
        <v>7320</v>
      </c>
      <c r="B16966" s="0" t="str">
        <f aca="false">HYPERLINK("https://lindat.mff.cuni.cz/services/teitok/pdtc10/index.php?action=vallex&amp;frame=v-w2051f2", "nakládat (v-w2051f2)")</f>
        <v>nakládat (v-w2051f2)</v>
      </c>
    </row>
    <row r="16967" customFormat="false" ht="12.8" hidden="false" customHeight="false" outlineLevel="0" collapsed="false">
      <c r="B16967" s="0" t="s">
        <v>1</v>
      </c>
    </row>
    <row r="16968" customFormat="false" ht="12.8" hidden="false" customHeight="false" outlineLevel="0" collapsed="false">
      <c r="B16968" s="0" t="s">
        <v>8</v>
      </c>
    </row>
    <row r="16969" customFormat="false" ht="12.8" hidden="false" customHeight="false" outlineLevel="0" collapsed="false">
      <c r="B16969" s="0" t="s">
        <v>164</v>
      </c>
    </row>
    <row r="16971" customFormat="false" ht="12.8" hidden="false" customHeight="false" outlineLevel="0" collapsed="false">
      <c r="A16971" s="0" t="s">
        <v>7321</v>
      </c>
      <c r="B16971" s="0" t="str">
        <f aca="false">HYPERLINK("https://lindat.mff.cuni.cz/services/teitok/pdtc10/index.php?action=vallex&amp;frame=v-w2051f1", "nakládat (v-w2051f1)")</f>
        <v>nakládat (v-w2051f1)</v>
      </c>
      <c r="E16971" s="0" t="str">
        <f aca="false">HYPERLINK("https://lindat.mff.cuni.cz/services/SynSemClass40/SynSemClass40.html?veclass=vec01299#vec01299-ces-cm00010", "vec01299")</f>
        <v>vec01299</v>
      </c>
      <c r="F16971" s="0" t="s">
        <v>1454</v>
      </c>
    </row>
    <row r="16972" customFormat="false" ht="12.8" hidden="false" customHeight="false" outlineLevel="0" collapsed="false">
      <c r="B16972" s="0" t="s">
        <v>1</v>
      </c>
      <c r="C16972" s="0" t="s">
        <v>3091</v>
      </c>
      <c r="E16972" s="0" t="s">
        <v>11</v>
      </c>
      <c r="F16972" s="0" t="s">
        <v>1457</v>
      </c>
    </row>
    <row r="16973" customFormat="false" ht="12.8" hidden="false" customHeight="false" outlineLevel="0" collapsed="false">
      <c r="B16973" s="0" t="s">
        <v>721</v>
      </c>
      <c r="C16973" s="0" t="s">
        <v>7322</v>
      </c>
      <c r="E16973" s="0" t="s">
        <v>142</v>
      </c>
      <c r="F16973" s="0" t="s">
        <v>7323</v>
      </c>
    </row>
    <row r="16974" customFormat="false" ht="12.8" hidden="false" customHeight="false" outlineLevel="0" collapsed="false">
      <c r="B16974" s="0" t="s">
        <v>642</v>
      </c>
      <c r="C16974" s="0" t="s">
        <v>1460</v>
      </c>
      <c r="E16974" s="0" t="s">
        <v>930</v>
      </c>
      <c r="F16974" s="0" t="s">
        <v>1461</v>
      </c>
    </row>
    <row r="16975" customFormat="false" ht="12.8" hidden="false" customHeight="false" outlineLevel="0" collapsed="false">
      <c r="B16975" s="0" t="s">
        <v>648</v>
      </c>
    </row>
    <row r="16976" customFormat="false" ht="12.8" hidden="false" customHeight="false" outlineLevel="0" collapsed="false">
      <c r="B16976" s="0" t="s">
        <v>650</v>
      </c>
    </row>
    <row r="16977" customFormat="false" ht="12.8" hidden="false" customHeight="false" outlineLevel="0" collapsed="false">
      <c r="B16977" s="0" t="s">
        <v>652</v>
      </c>
    </row>
    <row r="16979" customFormat="false" ht="12.8" hidden="false" customHeight="false" outlineLevel="0" collapsed="false">
      <c r="A16979" s="0" t="s">
        <v>7324</v>
      </c>
      <c r="B16979" s="0" t="str">
        <f aca="false">HYPERLINK("https://lindat.mff.cuni.cz/services/teitok/pdtc10/index.php?action=vallex&amp;frame=v-w2051hsa_249", "nakládat (v-w2051hsa_249)")</f>
        <v>nakládat (v-w2051hsa_249)</v>
      </c>
      <c r="E16979" s="0" t="str">
        <f aca="false">HYPERLINK("https://lindat.mff.cuni.cz/services/SynSemClass40/SynSemClass40.html?veclass=vec01407#vec01407-ces-cm00003", "vec01407")</f>
        <v>vec01407</v>
      </c>
      <c r="F16979" s="0" t="s">
        <v>3394</v>
      </c>
    </row>
    <row r="16980" customFormat="false" ht="12.8" hidden="false" customHeight="false" outlineLevel="0" collapsed="false">
      <c r="B16980" s="0" t="s">
        <v>1</v>
      </c>
      <c r="C16980" s="0" t="s">
        <v>3395</v>
      </c>
      <c r="E16980" s="0" t="s">
        <v>206</v>
      </c>
      <c r="F16980" s="0" t="s">
        <v>3396</v>
      </c>
    </row>
    <row r="16981" customFormat="false" ht="12.8" hidden="false" customHeight="false" outlineLevel="0" collapsed="false">
      <c r="B16981" s="0" t="s">
        <v>8</v>
      </c>
      <c r="C16981" s="0" t="s">
        <v>3397</v>
      </c>
      <c r="E16981" s="0" t="s">
        <v>1871</v>
      </c>
      <c r="F16981" s="0" t="s">
        <v>3398</v>
      </c>
    </row>
    <row r="16982" customFormat="false" ht="12.8" hidden="false" customHeight="false" outlineLevel="0" collapsed="false">
      <c r="B16982" s="0" t="s">
        <v>162</v>
      </c>
      <c r="C16982" s="0" t="s">
        <v>3399</v>
      </c>
      <c r="E16982" s="0" t="s">
        <v>2287</v>
      </c>
      <c r="F16982" s="0" t="s">
        <v>3400</v>
      </c>
    </row>
    <row r="16984" customFormat="false" ht="12.8" hidden="false" customHeight="false" outlineLevel="0" collapsed="false">
      <c r="A16984" s="0" t="s">
        <v>7325</v>
      </c>
      <c r="B16984" s="0" t="str">
        <f aca="false">HYPERLINK("https://lindat.mff.cuni.cz/services/teitok/pdtc10/index.php?action=vallex&amp;frame=v-w2051f3_ZU", "nakládat (v-w2051f3_ZU)")</f>
        <v>nakládat (v-w2051f3_ZU)</v>
      </c>
      <c r="E16984" s="0" t="str">
        <f aca="false">HYPERLINK("https://lindat.mff.cuni.cz/services/SynSemClass40/SynSemClass40.html?veclass=vec01156#vec01156-ces-cm00032", "vec01156")</f>
        <v>vec01156</v>
      </c>
      <c r="F16984" s="0" t="s">
        <v>7326</v>
      </c>
    </row>
    <row r="16985" customFormat="false" ht="12.8" hidden="false" customHeight="false" outlineLevel="0" collapsed="false">
      <c r="B16985" s="0" t="s">
        <v>1</v>
      </c>
      <c r="E16985" s="0" t="s">
        <v>107</v>
      </c>
      <c r="F16985" s="0" t="s">
        <v>7327</v>
      </c>
    </row>
    <row r="16986" customFormat="false" ht="12.8" hidden="false" customHeight="false" outlineLevel="0" collapsed="false">
      <c r="B16986" s="0" t="s">
        <v>8</v>
      </c>
      <c r="C16986" s="0" t="s">
        <v>744</v>
      </c>
      <c r="E16986" s="0" t="s">
        <v>7098</v>
      </c>
      <c r="F16986" s="0" t="s">
        <v>7328</v>
      </c>
    </row>
    <row r="16987" customFormat="false" ht="12.8" hidden="false" customHeight="false" outlineLevel="0" collapsed="false">
      <c r="B16987" s="0" t="s">
        <v>7045</v>
      </c>
    </row>
    <row r="16989" customFormat="false" ht="12.8" hidden="false" customHeight="false" outlineLevel="0" collapsed="false">
      <c r="A16989" s="0" t="s">
        <v>7325</v>
      </c>
      <c r="B16989" s="0" t="str">
        <f aca="false">HYPERLINK("https://lindat.mff.cuni.cz/services/teitok/pdtc10/index.php?action=vallex&amp;frame=v-w2051hsa_250", "nakládat (v-w2051hsa_250) - substituted with v-w2051f3_ZU")</f>
        <v>nakládat (v-w2051hsa_250) - substituted with v-w2051f3_ZU</v>
      </c>
    </row>
    <row r="16990" customFormat="false" ht="12.8" hidden="false" customHeight="false" outlineLevel="0" collapsed="false">
      <c r="B16990" s="0" t="s">
        <v>1</v>
      </c>
    </row>
    <row r="16991" customFormat="false" ht="12.8" hidden="false" customHeight="false" outlineLevel="0" collapsed="false">
      <c r="B16991" s="0" t="s">
        <v>8</v>
      </c>
    </row>
    <row r="16992" customFormat="false" ht="12.8" hidden="false" customHeight="false" outlineLevel="0" collapsed="false">
      <c r="B16992" s="0" t="s">
        <v>7045</v>
      </c>
    </row>
    <row r="16994" customFormat="false" ht="12.8" hidden="false" customHeight="false" outlineLevel="0" collapsed="false">
      <c r="A16994" s="0" t="s">
        <v>7329</v>
      </c>
      <c r="B16994" s="0" t="str">
        <f aca="false">HYPERLINK("https://lindat.mff.cuni.cz/services/teitok/pdtc10/index.php?action=vallex&amp;frame=v-w2051f5_ZU", "nakládat (v-w2051f5_ZU)")</f>
        <v>nakládat (v-w2051f5_ZU)</v>
      </c>
    </row>
    <row r="16995" customFormat="false" ht="12.8" hidden="false" customHeight="false" outlineLevel="0" collapsed="false">
      <c r="B16995" s="0" t="s">
        <v>1</v>
      </c>
    </row>
    <row r="16996" customFormat="false" ht="12.8" hidden="false" customHeight="false" outlineLevel="0" collapsed="false">
      <c r="B16996" s="0" t="s">
        <v>8</v>
      </c>
    </row>
    <row r="16998" customFormat="false" ht="12.8" hidden="false" customHeight="false" outlineLevel="0" collapsed="false">
      <c r="A16998" s="0" t="s">
        <v>7329</v>
      </c>
      <c r="B16998" s="0" t="str">
        <f aca="false">HYPERLINK("https://lindat.mff.cuni.cz/services/teitok/pdtc10/index.php?action=vallex&amp;frame=v-w2051f4_ZU", "nakládat (v-w2051f4_ZU) - substituted with v-w2051f5_ZU")</f>
        <v>nakládat (v-w2051f4_ZU) - substituted with v-w2051f5_ZU</v>
      </c>
    </row>
    <row r="16999" customFormat="false" ht="12.8" hidden="false" customHeight="false" outlineLevel="0" collapsed="false">
      <c r="B16999" s="0" t="s">
        <v>1</v>
      </c>
    </row>
    <row r="17000" customFormat="false" ht="12.8" hidden="false" customHeight="false" outlineLevel="0" collapsed="false">
      <c r="B17000" s="0" t="s">
        <v>8</v>
      </c>
    </row>
    <row r="17002" customFormat="false" ht="12.8" hidden="false" customHeight="false" outlineLevel="0" collapsed="false">
      <c r="A17002" s="0" t="s">
        <v>7330</v>
      </c>
      <c r="B17002" s="0" t="str">
        <f aca="false">HYPERLINK("https://lindat.mff.cuni.cz/services/teitok/pdtc10/index.php?action=vallex&amp;frame=v-w2053f1", "naklánět se (v-w2053f1)")</f>
        <v>naklánět se (v-w2053f1)</v>
      </c>
      <c r="E17002" s="0" t="str">
        <f aca="false">HYPERLINK("https://lindat.mff.cuni.cz/services/SynSemClass40/SynSemClass40.html?veclass=vec00637#vec00637-ces-cm00012", "vec00637")</f>
        <v>vec00637</v>
      </c>
      <c r="F17002" s="0" t="s">
        <v>7311</v>
      </c>
    </row>
    <row r="17003" customFormat="false" ht="12.8" hidden="false" customHeight="false" outlineLevel="0" collapsed="false">
      <c r="B17003" s="0" t="s">
        <v>1</v>
      </c>
      <c r="C17003" s="0" t="s">
        <v>7312</v>
      </c>
      <c r="E17003" s="0" t="s">
        <v>334</v>
      </c>
      <c r="F17003" s="0" t="s">
        <v>7313</v>
      </c>
    </row>
    <row r="17005" customFormat="false" ht="12.8" hidden="false" customHeight="false" outlineLevel="0" collapsed="false">
      <c r="A17005" s="0" t="s">
        <v>7331</v>
      </c>
      <c r="B17005" s="0" t="str">
        <f aca="false">HYPERLINK("https://lindat.mff.cuni.cz/services/teitok/pdtc10/index.php?action=vallex&amp;frame=v-w2054f2", "naklást (v-w2054f2)")</f>
        <v>naklást (v-w2054f2)</v>
      </c>
    </row>
    <row r="17006" customFormat="false" ht="12.8" hidden="false" customHeight="false" outlineLevel="0" collapsed="false">
      <c r="B17006" s="0" t="s">
        <v>1</v>
      </c>
    </row>
    <row r="17007" customFormat="false" ht="12.8" hidden="false" customHeight="false" outlineLevel="0" collapsed="false">
      <c r="B17007" s="0" t="s">
        <v>8</v>
      </c>
    </row>
    <row r="17008" customFormat="false" ht="12.8" hidden="false" customHeight="false" outlineLevel="0" collapsed="false">
      <c r="B17008" s="0" t="s">
        <v>164</v>
      </c>
    </row>
    <row r="17010" customFormat="false" ht="12.8" hidden="false" customHeight="false" outlineLevel="0" collapsed="false">
      <c r="A17010" s="0" t="s">
        <v>7332</v>
      </c>
      <c r="B17010" s="0" t="str">
        <f aca="false">HYPERLINK("https://lindat.mff.cuni.cz/services/teitok/pdtc10/index.php?action=vallex&amp;frame=v-w2054f1", "naklást (v-w2054f1)")</f>
        <v>naklást (v-w2054f1)</v>
      </c>
    </row>
    <row r="17011" customFormat="false" ht="12.8" hidden="false" customHeight="false" outlineLevel="0" collapsed="false">
      <c r="B17011" s="0" t="s">
        <v>1</v>
      </c>
    </row>
    <row r="17012" customFormat="false" ht="12.8" hidden="false" customHeight="false" outlineLevel="0" collapsed="false">
      <c r="B17012" s="0" t="s">
        <v>8</v>
      </c>
    </row>
    <row r="17014" customFormat="false" ht="12.8" hidden="false" customHeight="false" outlineLevel="0" collapsed="false">
      <c r="A17014" s="0" t="s">
        <v>7333</v>
      </c>
      <c r="B17014" s="0" t="str">
        <f aca="false">HYPERLINK("https://lindat.mff.cuni.cz/services/teitok/pdtc10/index.php?action=vallex&amp;frame=v-whsa_1208hsa_1209", "nakonfigurovat (v-whsa_1208hsa_1209)")</f>
        <v>nakonfigurovat (v-whsa_1208hsa_1209)</v>
      </c>
    </row>
    <row r="17015" customFormat="false" ht="12.8" hidden="false" customHeight="false" outlineLevel="0" collapsed="false">
      <c r="B17015" s="0" t="s">
        <v>1</v>
      </c>
    </row>
    <row r="17016" customFormat="false" ht="12.8" hidden="false" customHeight="false" outlineLevel="0" collapsed="false">
      <c r="B17016" s="0" t="s">
        <v>8</v>
      </c>
    </row>
    <row r="17017" customFormat="false" ht="12.8" hidden="false" customHeight="false" outlineLevel="0" collapsed="false">
      <c r="B17017" s="0" t="s">
        <v>101</v>
      </c>
    </row>
    <row r="17019" customFormat="false" ht="12.8" hidden="false" customHeight="false" outlineLevel="0" collapsed="false">
      <c r="A17019" s="0" t="s">
        <v>7334</v>
      </c>
      <c r="B17019" s="0" t="str">
        <f aca="false">HYPERLINK("https://lindat.mff.cuni.cz/services/teitok/pdtc10/index.php?action=vallex&amp;frame=v-w11658_ZUf2_ZU", "nakopat (v-w11658_ZUf2_ZU)")</f>
        <v>nakopat (v-w11658_ZUf2_ZU)</v>
      </c>
    </row>
    <row r="17020" customFormat="false" ht="12.8" hidden="false" customHeight="false" outlineLevel="0" collapsed="false">
      <c r="B17020" s="0" t="s">
        <v>1</v>
      </c>
    </row>
    <row r="17021" customFormat="false" ht="12.8" hidden="false" customHeight="false" outlineLevel="0" collapsed="false">
      <c r="B17021" s="0" t="s">
        <v>186</v>
      </c>
    </row>
    <row r="17022" customFormat="false" ht="12.8" hidden="false" customHeight="false" outlineLevel="0" collapsed="false">
      <c r="B17022" s="0" t="s">
        <v>7335</v>
      </c>
    </row>
    <row r="17024" customFormat="false" ht="12.8" hidden="false" customHeight="false" outlineLevel="0" collapsed="false">
      <c r="A17024" s="0" t="s">
        <v>7334</v>
      </c>
      <c r="B17024" s="0" t="str">
        <f aca="false">HYPERLINK("https://lindat.mff.cuni.cz/services/teitok/pdtc10/index.php?action=vallex&amp;frame=v-w11658_ZUf1_ZU", "nakopat (v-w11658_ZUf1_ZU) - substituted with v-w11658_ZUf2_ZU")</f>
        <v>nakopat (v-w11658_ZUf1_ZU) - substituted with v-w11658_ZUf2_ZU</v>
      </c>
    </row>
    <row r="17025" customFormat="false" ht="12.8" hidden="false" customHeight="false" outlineLevel="0" collapsed="false">
      <c r="B17025" s="0" t="s">
        <v>1</v>
      </c>
    </row>
    <row r="17026" customFormat="false" ht="12.8" hidden="false" customHeight="false" outlineLevel="0" collapsed="false">
      <c r="B17026" s="0" t="s">
        <v>186</v>
      </c>
    </row>
    <row r="17027" customFormat="false" ht="12.8" hidden="false" customHeight="false" outlineLevel="0" collapsed="false">
      <c r="B17027" s="0" t="s">
        <v>7335</v>
      </c>
    </row>
    <row r="17029" customFormat="false" ht="12.8" hidden="false" customHeight="false" outlineLevel="0" collapsed="false">
      <c r="A17029" s="0" t="s">
        <v>7336</v>
      </c>
      <c r="B17029" s="0" t="str">
        <f aca="false">HYPERLINK("https://lindat.mff.cuni.cz/services/teitok/pdtc10/index.php?action=vallex&amp;frame=v-w11873_ZUf1_ZU", "nakopnout (v-w11873_ZUf1_ZU)")</f>
        <v>nakopnout (v-w11873_ZUf1_ZU)</v>
      </c>
    </row>
    <row r="17030" customFormat="false" ht="12.8" hidden="false" customHeight="false" outlineLevel="0" collapsed="false">
      <c r="B17030" s="0" t="s">
        <v>1</v>
      </c>
    </row>
    <row r="17031" customFormat="false" ht="12.8" hidden="false" customHeight="false" outlineLevel="0" collapsed="false">
      <c r="B17031" s="0" t="s">
        <v>8</v>
      </c>
    </row>
    <row r="17033" customFormat="false" ht="12.8" hidden="false" customHeight="false" outlineLevel="0" collapsed="false">
      <c r="A17033" s="0" t="s">
        <v>7337</v>
      </c>
      <c r="B17033" s="0" t="str">
        <f aca="false">HYPERLINK("https://lindat.mff.cuni.cz/services/teitok/pdtc10/index.php?action=vallex&amp;frame=v-w12191_ZUf1_ZU", "nakoupat (v-w12191_ZUf1_ZU)")</f>
        <v>nakoupat (v-w12191_ZUf1_ZU)</v>
      </c>
    </row>
    <row r="17034" customFormat="false" ht="12.8" hidden="false" customHeight="false" outlineLevel="0" collapsed="false">
      <c r="B17034" s="0" t="s">
        <v>1</v>
      </c>
    </row>
    <row r="17035" customFormat="false" ht="12.8" hidden="false" customHeight="false" outlineLevel="0" collapsed="false">
      <c r="B17035" s="0" t="s">
        <v>8</v>
      </c>
    </row>
    <row r="17037" customFormat="false" ht="12.8" hidden="false" customHeight="false" outlineLevel="0" collapsed="false">
      <c r="A17037" s="0" t="s">
        <v>7338</v>
      </c>
      <c r="B17037" s="0" t="str">
        <f aca="false">HYPERLINK("https://lindat.mff.cuni.cz/services/teitok/pdtc10/index.php?action=vallex&amp;frame=v-whsa_178hsa_179", "nakoupat se (v-whsa_178hsa_179)")</f>
        <v>nakoupat se (v-whsa_178hsa_179)</v>
      </c>
    </row>
    <row r="17038" customFormat="false" ht="12.8" hidden="false" customHeight="false" outlineLevel="0" collapsed="false">
      <c r="B17038" s="0" t="s">
        <v>1</v>
      </c>
    </row>
    <row r="17040" customFormat="false" ht="12.8" hidden="false" customHeight="false" outlineLevel="0" collapsed="false">
      <c r="A17040" s="0" t="s">
        <v>7339</v>
      </c>
      <c r="B17040" s="0" t="str">
        <f aca="false">HYPERLINK("https://lindat.mff.cuni.cz/services/teitok/pdtc10/index.php?action=vallex&amp;frame=v-w2060f1", "nakoupit (v-w2060f1)")</f>
        <v>nakoupit (v-w2060f1)</v>
      </c>
      <c r="E17040" s="0" t="str">
        <f aca="false">HYPERLINK("https://lindat.mff.cuni.cz/services/SynSemClass40/SynSemClass40.html?veclass=vec00035#vec00035-ces-cm00001", "vec00035")</f>
        <v>vec00035</v>
      </c>
      <c r="F17040" s="0" t="s">
        <v>5701</v>
      </c>
    </row>
    <row r="17041" customFormat="false" ht="12.8" hidden="false" customHeight="false" outlineLevel="0" collapsed="false">
      <c r="B17041" s="0" t="s">
        <v>1</v>
      </c>
      <c r="C17041" s="0" t="s">
        <v>5702</v>
      </c>
      <c r="E17041" s="0" t="s">
        <v>5703</v>
      </c>
      <c r="F17041" s="0" t="s">
        <v>5704</v>
      </c>
    </row>
    <row r="17042" customFormat="false" ht="12.8" hidden="false" customHeight="false" outlineLevel="0" collapsed="false">
      <c r="B17042" s="0" t="s">
        <v>8</v>
      </c>
      <c r="C17042" s="0" t="s">
        <v>5705</v>
      </c>
      <c r="E17042" s="0" t="s">
        <v>3201</v>
      </c>
      <c r="F17042" s="0" t="s">
        <v>5706</v>
      </c>
    </row>
    <row r="17043" customFormat="false" ht="12.8" hidden="false" customHeight="false" outlineLevel="0" collapsed="false">
      <c r="B17043" s="0" t="s">
        <v>2410</v>
      </c>
      <c r="C17043" s="0" t="s">
        <v>5707</v>
      </c>
      <c r="E17043" s="0" t="s">
        <v>4235</v>
      </c>
      <c r="F17043" s="0" t="s">
        <v>5708</v>
      </c>
    </row>
    <row r="17044" customFormat="false" ht="12.8" hidden="false" customHeight="false" outlineLevel="0" collapsed="false">
      <c r="B17044" s="0" t="s">
        <v>602</v>
      </c>
      <c r="C17044" s="0" t="s">
        <v>5709</v>
      </c>
      <c r="E17044" s="0" t="s">
        <v>5710</v>
      </c>
      <c r="F17044" s="0" t="s">
        <v>5711</v>
      </c>
    </row>
    <row r="17046" customFormat="false" ht="12.8" hidden="false" customHeight="false" outlineLevel="0" collapsed="false">
      <c r="A17046" s="0" t="s">
        <v>7340</v>
      </c>
      <c r="B17046" s="0" t="str">
        <f aca="false">HYPERLINK("https://lindat.mff.cuni.cz/services/teitok/pdtc10/index.php?action=vallex&amp;frame=v-w2061f1", "nakousnout (v-w2061f1)")</f>
        <v>nakousnout (v-w2061f1)</v>
      </c>
    </row>
    <row r="17047" customFormat="false" ht="12.8" hidden="false" customHeight="false" outlineLevel="0" collapsed="false">
      <c r="B17047" s="0" t="s">
        <v>1</v>
      </c>
    </row>
    <row r="17048" customFormat="false" ht="12.8" hidden="false" customHeight="false" outlineLevel="0" collapsed="false">
      <c r="B17048" s="0" t="s">
        <v>8</v>
      </c>
    </row>
    <row r="17050" customFormat="false" ht="12.8" hidden="false" customHeight="false" outlineLevel="0" collapsed="false">
      <c r="A17050" s="0" t="s">
        <v>7341</v>
      </c>
      <c r="B17050" s="0" t="str">
        <f aca="false">HYPERLINK("https://lindat.mff.cuni.cz/services/teitok/pdtc10/index.php?action=vallex&amp;frame=v-w2061f2_ZU", "nakousnout (v-w2061f2_ZU)")</f>
        <v>nakousnout (v-w2061f2_ZU)</v>
      </c>
    </row>
    <row r="17051" customFormat="false" ht="12.8" hidden="false" customHeight="false" outlineLevel="0" collapsed="false">
      <c r="B17051" s="0" t="s">
        <v>1</v>
      </c>
    </row>
    <row r="17052" customFormat="false" ht="12.8" hidden="false" customHeight="false" outlineLevel="0" collapsed="false">
      <c r="B17052" s="0" t="s">
        <v>8</v>
      </c>
    </row>
    <row r="17054" customFormat="false" ht="12.8" hidden="false" customHeight="false" outlineLevel="0" collapsed="false">
      <c r="A17054" s="0" t="s">
        <v>7342</v>
      </c>
      <c r="B17054" s="0" t="str">
        <f aca="false">HYPERLINK("https://lindat.mff.cuni.cz/services/teitok/pdtc10/index.php?action=vallex&amp;frame=v-w2064f1", "nakreslit (v-w2064f1)")</f>
        <v>nakreslit (v-w2064f1)</v>
      </c>
    </row>
    <row r="17055" customFormat="false" ht="12.8" hidden="false" customHeight="false" outlineLevel="0" collapsed="false">
      <c r="B17055" s="0" t="s">
        <v>1</v>
      </c>
    </row>
    <row r="17056" customFormat="false" ht="12.8" hidden="false" customHeight="false" outlineLevel="0" collapsed="false">
      <c r="B17056" s="0" t="s">
        <v>8</v>
      </c>
    </row>
    <row r="17058" customFormat="false" ht="12.8" hidden="false" customHeight="false" outlineLevel="0" collapsed="false">
      <c r="A17058" s="0" t="s">
        <v>7343</v>
      </c>
      <c r="B17058" s="0" t="str">
        <f aca="false">HYPERLINK("https://lindat.mff.cuni.cz/services/teitok/pdtc10/index.php?action=vallex&amp;frame=v-whsa_1271hsa_1272", "nakrmit (v-whsa_1271hsa_1272)")</f>
        <v>nakrmit (v-whsa_1271hsa_1272)</v>
      </c>
      <c r="E17058" s="0" t="str">
        <f aca="false">HYPERLINK("https://lindat.mff.cuni.cz/services/SynSemClass40/SynSemClass40.html?veclass=vec00624#vec00624-ces-cm00002", "vec00624")</f>
        <v>vec00624</v>
      </c>
      <c r="F17058" s="0" t="s">
        <v>5755</v>
      </c>
    </row>
    <row r="17059" customFormat="false" ht="12.8" hidden="false" customHeight="false" outlineLevel="0" collapsed="false">
      <c r="B17059" s="0" t="s">
        <v>1</v>
      </c>
      <c r="C17059" s="0" t="s">
        <v>3000</v>
      </c>
      <c r="E17059" s="0" t="s">
        <v>1784</v>
      </c>
      <c r="F17059" s="0" t="s">
        <v>5756</v>
      </c>
    </row>
    <row r="17060" customFormat="false" ht="12.8" hidden="false" customHeight="false" outlineLevel="0" collapsed="false">
      <c r="B17060" s="0" t="s">
        <v>8</v>
      </c>
      <c r="C17060" s="0" t="s">
        <v>5757</v>
      </c>
      <c r="E17060" s="0" t="s">
        <v>5758</v>
      </c>
      <c r="F17060" s="0" t="s">
        <v>5759</v>
      </c>
    </row>
    <row r="17062" customFormat="false" ht="12.8" hidden="false" customHeight="false" outlineLevel="0" collapsed="false">
      <c r="A17062" s="0" t="s">
        <v>7344</v>
      </c>
      <c r="B17062" s="0" t="str">
        <f aca="false">HYPERLINK("https://lindat.mff.cuni.cz/services/teitok/pdtc10/index.php?action=vallex&amp;frame=v-whsa_1271f1_ZU", "nakrmit (v-whsa_1271f1_ZU)")</f>
        <v>nakrmit (v-whsa_1271f1_ZU)</v>
      </c>
    </row>
    <row r="17063" customFormat="false" ht="12.8" hidden="false" customHeight="false" outlineLevel="0" collapsed="false">
      <c r="B17063" s="0" t="s">
        <v>1</v>
      </c>
    </row>
    <row r="17064" customFormat="false" ht="12.8" hidden="false" customHeight="false" outlineLevel="0" collapsed="false">
      <c r="B17064" s="0" t="s">
        <v>8</v>
      </c>
    </row>
    <row r="17066" customFormat="false" ht="12.8" hidden="false" customHeight="false" outlineLevel="0" collapsed="false">
      <c r="A17066" s="0" t="s">
        <v>7345</v>
      </c>
      <c r="B17066" s="0" t="str">
        <f aca="false">HYPERLINK("https://lindat.mff.cuni.cz/services/teitok/pdtc10/index.php?action=vallex&amp;frame=v-whsa_115hsa_116", "nakrojit (v-whsa_115hsa_116)")</f>
        <v>nakrojit (v-whsa_115hsa_116)</v>
      </c>
    </row>
    <row r="17067" customFormat="false" ht="12.8" hidden="false" customHeight="false" outlineLevel="0" collapsed="false">
      <c r="B17067" s="0" t="s">
        <v>1</v>
      </c>
    </row>
    <row r="17068" customFormat="false" ht="12.8" hidden="false" customHeight="false" outlineLevel="0" collapsed="false">
      <c r="B17068" s="0" t="s">
        <v>8</v>
      </c>
    </row>
    <row r="17070" customFormat="false" ht="12.8" hidden="false" customHeight="false" outlineLevel="0" collapsed="false">
      <c r="A17070" s="0" t="s">
        <v>7346</v>
      </c>
      <c r="B17070" s="0" t="str">
        <f aca="false">HYPERLINK("https://lindat.mff.cuni.cz/services/teitok/pdtc10/index.php?action=vallex&amp;frame=v-w11983_ZUf1_ZU", "nakročit (v-w11983_ZUf1_ZU)")</f>
        <v>nakročit (v-w11983_ZUf1_ZU)</v>
      </c>
    </row>
    <row r="17071" customFormat="false" ht="12.8" hidden="false" customHeight="false" outlineLevel="0" collapsed="false">
      <c r="B17071" s="0" t="s">
        <v>1</v>
      </c>
    </row>
    <row r="17073" customFormat="false" ht="12.8" hidden="false" customHeight="false" outlineLevel="0" collapsed="false">
      <c r="A17073" s="0" t="s">
        <v>7347</v>
      </c>
      <c r="B17073" s="0" t="str">
        <f aca="false">HYPERLINK("https://lindat.mff.cuni.cz/services/teitok/pdtc10/index.php?action=vallex&amp;frame=v-w2062f1", "nakrájet (v-w2062f1)")</f>
        <v>nakrájet (v-w2062f1)</v>
      </c>
      <c r="E17073" s="0" t="str">
        <f aca="false">HYPERLINK("https://lindat.mff.cuni.cz/services/SynSemClass40/SynSemClass40.html?veclass=vec01449#vec01449-ces-cm00004", "vec01449")</f>
        <v>vec01449</v>
      </c>
      <c r="F17073" s="0" t="s">
        <v>5718</v>
      </c>
    </row>
    <row r="17074" customFormat="false" ht="12.8" hidden="false" customHeight="false" outlineLevel="0" collapsed="false">
      <c r="B17074" s="0" t="s">
        <v>1</v>
      </c>
      <c r="C17074" s="0" t="s">
        <v>5719</v>
      </c>
      <c r="E17074" s="0" t="s">
        <v>11</v>
      </c>
      <c r="F17074" s="0" t="s">
        <v>5720</v>
      </c>
    </row>
    <row r="17075" customFormat="false" ht="12.8" hidden="false" customHeight="false" outlineLevel="0" collapsed="false">
      <c r="B17075" s="0" t="s">
        <v>8</v>
      </c>
      <c r="C17075" s="0" t="s">
        <v>5721</v>
      </c>
      <c r="E17075" s="0" t="s">
        <v>5279</v>
      </c>
      <c r="F17075" s="0" t="s">
        <v>5722</v>
      </c>
    </row>
    <row r="17076" customFormat="false" ht="12.8" hidden="false" customHeight="false" outlineLevel="0" collapsed="false">
      <c r="B17076" s="0" t="s">
        <v>5779</v>
      </c>
      <c r="C17076" s="0" t="s">
        <v>5723</v>
      </c>
      <c r="E17076" s="0" t="s">
        <v>2584</v>
      </c>
      <c r="F17076" s="0" t="s">
        <v>5724</v>
      </c>
    </row>
    <row r="17078" customFormat="false" ht="12.8" hidden="false" customHeight="false" outlineLevel="0" collapsed="false">
      <c r="A17078" s="0" t="s">
        <v>7348</v>
      </c>
      <c r="B17078" s="0" t="str">
        <f aca="false">HYPERLINK("https://lindat.mff.cuni.cz/services/teitok/pdtc10/index.php?action=vallex&amp;frame=v-w2063f1", "nakrást (v-w2063f1)")</f>
        <v>nakrást (v-w2063f1)</v>
      </c>
    </row>
    <row r="17079" customFormat="false" ht="12.8" hidden="false" customHeight="false" outlineLevel="0" collapsed="false">
      <c r="B17079" s="0" t="s">
        <v>1</v>
      </c>
    </row>
    <row r="17080" customFormat="false" ht="12.8" hidden="false" customHeight="false" outlineLevel="0" collapsed="false">
      <c r="B17080" s="0" t="s">
        <v>8</v>
      </c>
    </row>
    <row r="17082" customFormat="false" ht="12.8" hidden="false" customHeight="false" outlineLevel="0" collapsed="false">
      <c r="A17082" s="0" t="s">
        <v>7349</v>
      </c>
      <c r="B17082" s="0" t="str">
        <f aca="false">HYPERLINK("https://lindat.mff.cuni.cz/services/teitok/pdtc10/index.php?action=vallex&amp;frame=v-whsa_1328f1_ZU", "nakrýt (v-whsa_1328f1_ZU)")</f>
        <v>nakrýt (v-whsa_1328f1_ZU)</v>
      </c>
    </row>
    <row r="17083" customFormat="false" ht="12.8" hidden="false" customHeight="false" outlineLevel="0" collapsed="false">
      <c r="B17083" s="0" t="s">
        <v>1</v>
      </c>
    </row>
    <row r="17084" customFormat="false" ht="12.8" hidden="false" customHeight="false" outlineLevel="0" collapsed="false">
      <c r="B17084" s="0" t="s">
        <v>8</v>
      </c>
    </row>
    <row r="17085" customFormat="false" ht="12.8" hidden="false" customHeight="false" outlineLevel="0" collapsed="false">
      <c r="B17085" s="0" t="s">
        <v>7045</v>
      </c>
    </row>
    <row r="17087" customFormat="false" ht="12.8" hidden="false" customHeight="false" outlineLevel="0" collapsed="false">
      <c r="A17087" s="0" t="s">
        <v>7349</v>
      </c>
      <c r="B17087" s="0" t="str">
        <f aca="false">HYPERLINK("https://lindat.mff.cuni.cz/services/teitok/pdtc10/index.php?action=vallex&amp;frame=v-whsa_1328hsa_1329", "nakrýt (v-whsa_1328hsa_1329) - substituted with v-whsa_1328f1_ZU")</f>
        <v>nakrýt (v-whsa_1328hsa_1329) - substituted with v-whsa_1328f1_ZU</v>
      </c>
    </row>
    <row r="17088" customFormat="false" ht="12.8" hidden="false" customHeight="false" outlineLevel="0" collapsed="false">
      <c r="B17088" s="0" t="s">
        <v>1</v>
      </c>
    </row>
    <row r="17089" customFormat="false" ht="12.8" hidden="false" customHeight="false" outlineLevel="0" collapsed="false">
      <c r="B17089" s="0" t="s">
        <v>8</v>
      </c>
    </row>
    <row r="17090" customFormat="false" ht="12.8" hidden="false" customHeight="false" outlineLevel="0" collapsed="false">
      <c r="B17090" s="0" t="s">
        <v>7045</v>
      </c>
    </row>
    <row r="17092" customFormat="false" ht="12.8" hidden="false" customHeight="false" outlineLevel="0" collapsed="false">
      <c r="A17092" s="0" t="s">
        <v>7350</v>
      </c>
      <c r="B17092" s="0" t="str">
        <f aca="false">HYPERLINK("https://lindat.mff.cuni.cz/services/teitok/pdtc10/index.php?action=vallex&amp;frame=v-w2066f1", "nakupit (v-w2066f1)")</f>
        <v>nakupit (v-w2066f1)</v>
      </c>
    </row>
    <row r="17093" customFormat="false" ht="12.8" hidden="false" customHeight="false" outlineLevel="0" collapsed="false">
      <c r="B17093" s="0" t="s">
        <v>1</v>
      </c>
    </row>
    <row r="17094" customFormat="false" ht="12.8" hidden="false" customHeight="false" outlineLevel="0" collapsed="false">
      <c r="B17094" s="0" t="s">
        <v>8</v>
      </c>
    </row>
    <row r="17096" customFormat="false" ht="12.8" hidden="false" customHeight="false" outlineLevel="0" collapsed="false">
      <c r="A17096" s="0" t="s">
        <v>7351</v>
      </c>
      <c r="B17096" s="0" t="str">
        <f aca="false">HYPERLINK("https://lindat.mff.cuni.cz/services/teitok/pdtc10/index.php?action=vallex&amp;frame=v-w2066f2", "nakupit (v-w2066f2)")</f>
        <v>nakupit (v-w2066f2)</v>
      </c>
    </row>
    <row r="17097" customFormat="false" ht="12.8" hidden="false" customHeight="false" outlineLevel="0" collapsed="false">
      <c r="B17097" s="0" t="s">
        <v>1</v>
      </c>
    </row>
    <row r="17098" customFormat="false" ht="12.8" hidden="false" customHeight="false" outlineLevel="0" collapsed="false">
      <c r="B17098" s="0" t="s">
        <v>8</v>
      </c>
    </row>
    <row r="17100" customFormat="false" ht="12.8" hidden="false" customHeight="false" outlineLevel="0" collapsed="false">
      <c r="A17100" s="0" t="s">
        <v>7352</v>
      </c>
      <c r="B17100" s="0" t="str">
        <f aca="false">HYPERLINK("https://lindat.mff.cuni.cz/services/teitok/pdtc10/index.php?action=vallex&amp;frame=v-w11242f1", "nakupit se (v-w11242f1)")</f>
        <v>nakupit se (v-w11242f1)</v>
      </c>
      <c r="E17100" s="0" t="str">
        <f aca="false">HYPERLINK("https://lindat.mff.cuni.cz/services/SynSemClass40/SynSemClass40.html?veclass=vec00836#vec00836-ces-cm00008", "vec00836")</f>
        <v>vec00836</v>
      </c>
      <c r="F17100" s="0" t="s">
        <v>4588</v>
      </c>
      <c r="H17100" s="0" t="str">
        <f aca="false">HYPERLINK("https://lindat.mff.cuni.cz/services/SynSemClass40/SynSemClass40.html?veclass=vec01499#vec01499-ces-cm00003", "vec01499")</f>
        <v>vec01499</v>
      </c>
      <c r="I17100" s="0" t="s">
        <v>4578</v>
      </c>
    </row>
    <row r="17101" customFormat="false" ht="12.8" hidden="false" customHeight="false" outlineLevel="0" collapsed="false">
      <c r="B17101" s="0" t="s">
        <v>1</v>
      </c>
      <c r="C17101" s="0" t="s">
        <v>7255</v>
      </c>
      <c r="E17101" s="0" t="s">
        <v>4590</v>
      </c>
      <c r="F17101" s="0" t="s">
        <v>4591</v>
      </c>
      <c r="H17101" s="0" t="s">
        <v>4581</v>
      </c>
      <c r="I17101" s="0" t="s">
        <v>4582</v>
      </c>
    </row>
    <row r="17102" customFormat="false" ht="12.8" hidden="false" customHeight="false" outlineLevel="0" collapsed="false">
      <c r="B17102" s="0" t="s">
        <v>5</v>
      </c>
      <c r="C17102" s="0" t="s">
        <v>7353</v>
      </c>
      <c r="H17102" s="0" t="s">
        <v>757</v>
      </c>
      <c r="I17102" s="0" t="s">
        <v>7354</v>
      </c>
    </row>
    <row r="17104" customFormat="false" ht="12.8" hidden="false" customHeight="false" outlineLevel="0" collapsed="false">
      <c r="A17104" s="0" t="s">
        <v>7355</v>
      </c>
      <c r="B17104" s="0" t="str">
        <f aca="false">HYPERLINK("https://lindat.mff.cuni.cz/services/teitok/pdtc10/index.php?action=vallex&amp;frame=v-w2068f1", "nakupovat (v-w2068f1)")</f>
        <v>nakupovat (v-w2068f1)</v>
      </c>
      <c r="E17104" s="0" t="str">
        <f aca="false">HYPERLINK("https://lindat.mff.cuni.cz/services/SynSemClass40/SynSemClass40.html?veclass=vec00035#vec00035-ces-cm00006", "vec00035")</f>
        <v>vec00035</v>
      </c>
      <c r="F17104" s="0" t="s">
        <v>5701</v>
      </c>
    </row>
    <row r="17105" customFormat="false" ht="12.8" hidden="false" customHeight="false" outlineLevel="0" collapsed="false">
      <c r="B17105" s="0" t="s">
        <v>1</v>
      </c>
      <c r="C17105" s="0" t="s">
        <v>5702</v>
      </c>
      <c r="E17105" s="0" t="s">
        <v>5703</v>
      </c>
      <c r="F17105" s="0" t="s">
        <v>5704</v>
      </c>
    </row>
    <row r="17106" customFormat="false" ht="12.8" hidden="false" customHeight="false" outlineLevel="0" collapsed="false">
      <c r="B17106" s="0" t="s">
        <v>8</v>
      </c>
      <c r="C17106" s="0" t="s">
        <v>5705</v>
      </c>
      <c r="E17106" s="0" t="s">
        <v>3201</v>
      </c>
      <c r="F17106" s="0" t="s">
        <v>5706</v>
      </c>
    </row>
    <row r="17107" customFormat="false" ht="12.8" hidden="false" customHeight="false" outlineLevel="0" collapsed="false">
      <c r="B17107" s="0" t="s">
        <v>2410</v>
      </c>
      <c r="C17107" s="0" t="s">
        <v>5707</v>
      </c>
      <c r="E17107" s="0" t="s">
        <v>4235</v>
      </c>
      <c r="F17107" s="0" t="s">
        <v>5708</v>
      </c>
    </row>
    <row r="17108" customFormat="false" ht="12.8" hidden="false" customHeight="false" outlineLevel="0" collapsed="false">
      <c r="B17108" s="0" t="s">
        <v>602</v>
      </c>
      <c r="C17108" s="0" t="s">
        <v>5709</v>
      </c>
      <c r="E17108" s="0" t="s">
        <v>5710</v>
      </c>
      <c r="F17108" s="0" t="s">
        <v>5711</v>
      </c>
    </row>
    <row r="17110" customFormat="false" ht="12.8" hidden="false" customHeight="false" outlineLevel="0" collapsed="false">
      <c r="A17110" s="0" t="s">
        <v>7356</v>
      </c>
      <c r="B17110" s="0" t="str">
        <f aca="false">HYPERLINK("https://lindat.mff.cuni.cz/services/teitok/pdtc10/index.php?action=vallex&amp;frame=v-w12374_MMf1_MM", "nakusovat (v-w12374_MMf1_MM)")</f>
        <v>nakusovat (v-w12374_MMf1_MM)</v>
      </c>
    </row>
    <row r="17111" customFormat="false" ht="12.8" hidden="false" customHeight="false" outlineLevel="0" collapsed="false">
      <c r="B17111" s="0" t="s">
        <v>1</v>
      </c>
    </row>
    <row r="17112" customFormat="false" ht="12.8" hidden="false" customHeight="false" outlineLevel="0" collapsed="false">
      <c r="B17112" s="0" t="s">
        <v>8</v>
      </c>
    </row>
    <row r="17114" customFormat="false" ht="12.8" hidden="false" customHeight="false" outlineLevel="0" collapsed="false">
      <c r="A17114" s="0" t="s">
        <v>7357</v>
      </c>
      <c r="B17114" s="0" t="str">
        <f aca="false">HYPERLINK("https://lindat.mff.cuni.cz/services/teitok/pdtc10/index.php?action=vallex&amp;frame=v-w12164_ZUf1_ZU", "nakynout (v-w12164_ZUf1_ZU)")</f>
        <v>nakynout (v-w12164_ZUf1_ZU)</v>
      </c>
    </row>
    <row r="17115" customFormat="false" ht="12.8" hidden="false" customHeight="false" outlineLevel="0" collapsed="false">
      <c r="B17115" s="0" t="s">
        <v>1</v>
      </c>
    </row>
    <row r="17117" customFormat="false" ht="12.8" hidden="false" customHeight="false" outlineLevel="0" collapsed="false">
      <c r="A17117" s="0" t="s">
        <v>7358</v>
      </c>
      <c r="B17117" s="0" t="str">
        <f aca="false">HYPERLINK("https://lindat.mff.cuni.cz/services/teitok/pdtc10/index.php?action=vallex&amp;frame=v-w2070f1", "naladit (v-w2070f1)")</f>
        <v>naladit (v-w2070f1)</v>
      </c>
    </row>
    <row r="17118" customFormat="false" ht="12.8" hidden="false" customHeight="false" outlineLevel="0" collapsed="false">
      <c r="B17118" s="0" t="s">
        <v>1</v>
      </c>
    </row>
    <row r="17119" customFormat="false" ht="12.8" hidden="false" customHeight="false" outlineLevel="0" collapsed="false">
      <c r="B17119" s="0" t="s">
        <v>8</v>
      </c>
    </row>
    <row r="17121" customFormat="false" ht="12.8" hidden="false" customHeight="false" outlineLevel="0" collapsed="false">
      <c r="A17121" s="0" t="s">
        <v>7359</v>
      </c>
      <c r="B17121" s="0" t="str">
        <f aca="false">HYPERLINK("https://lindat.mff.cuni.cz/services/teitok/pdtc10/index.php?action=vallex&amp;frame=v-w2070f2", "naladit (v-w2070f2)")</f>
        <v>naladit (v-w2070f2)</v>
      </c>
      <c r="E17121" s="0" t="str">
        <f aca="false">HYPERLINK("https://lindat.mff.cuni.cz/services/SynSemClass40/SynSemClass40.html?veclass=vec00095#vec00095-ces-cm00074", "vec00095")</f>
        <v>vec00095</v>
      </c>
      <c r="F17121" s="0" t="s">
        <v>29</v>
      </c>
    </row>
    <row r="17122" customFormat="false" ht="12.8" hidden="false" customHeight="false" outlineLevel="0" collapsed="false">
      <c r="B17122" s="0" t="s">
        <v>1</v>
      </c>
      <c r="C17122" s="0" t="s">
        <v>30</v>
      </c>
      <c r="E17122" s="0" t="s">
        <v>31</v>
      </c>
      <c r="F17122" s="0" t="s">
        <v>32</v>
      </c>
    </row>
    <row r="17123" customFormat="false" ht="12.8" hidden="false" customHeight="false" outlineLevel="0" collapsed="false">
      <c r="B17123" s="0" t="s">
        <v>8</v>
      </c>
      <c r="C17123" s="0" t="s">
        <v>33</v>
      </c>
      <c r="E17123" s="0" t="s">
        <v>34</v>
      </c>
      <c r="F17123" s="0" t="s">
        <v>35</v>
      </c>
    </row>
    <row r="17125" customFormat="false" ht="12.8" hidden="false" customHeight="false" outlineLevel="0" collapsed="false">
      <c r="A17125" s="0" t="s">
        <v>7360</v>
      </c>
      <c r="B17125" s="0" t="str">
        <f aca="false">HYPERLINK("https://lindat.mff.cuni.cz/services/teitok/pdtc10/index.php?action=vallex&amp;frame=v-w2070hsa_519", "naladit (v-w2070hsa_519)")</f>
        <v>naladit (v-w2070hsa_519)</v>
      </c>
    </row>
    <row r="17126" customFormat="false" ht="12.8" hidden="false" customHeight="false" outlineLevel="0" collapsed="false">
      <c r="B17126" s="0" t="s">
        <v>1</v>
      </c>
    </row>
    <row r="17127" customFormat="false" ht="12.8" hidden="false" customHeight="false" outlineLevel="0" collapsed="false">
      <c r="B17127" s="0" t="s">
        <v>8</v>
      </c>
    </row>
    <row r="17129" customFormat="false" ht="12.8" hidden="false" customHeight="false" outlineLevel="0" collapsed="false">
      <c r="A17129" s="0" t="s">
        <v>7361</v>
      </c>
      <c r="B17129" s="0" t="str">
        <f aca="false">HYPERLINK("https://lindat.mff.cuni.cz/services/teitok/pdtc10/index.php?action=vallex&amp;frame=v-w12037_ZUf1_ZU", "nalakovat (v-w12037_ZUf1_ZU)")</f>
        <v>nalakovat (v-w12037_ZUf1_ZU)</v>
      </c>
    </row>
    <row r="17130" customFormat="false" ht="12.8" hidden="false" customHeight="false" outlineLevel="0" collapsed="false">
      <c r="B17130" s="0" t="s">
        <v>1</v>
      </c>
    </row>
    <row r="17131" customFormat="false" ht="12.8" hidden="false" customHeight="false" outlineLevel="0" collapsed="false">
      <c r="B17131" s="0" t="s">
        <v>8</v>
      </c>
    </row>
    <row r="17133" customFormat="false" ht="12.8" hidden="false" customHeight="false" outlineLevel="0" collapsed="false">
      <c r="A17133" s="0" t="s">
        <v>7362</v>
      </c>
      <c r="B17133" s="0" t="str">
        <f aca="false">HYPERLINK("https://lindat.mff.cuni.cz/services/teitok/pdtc10/index.php?action=vallex&amp;frame=v-w2074f1", "nalepit (v-w2074f1)")</f>
        <v>nalepit (v-w2074f1)</v>
      </c>
    </row>
    <row r="17134" customFormat="false" ht="12.8" hidden="false" customHeight="false" outlineLevel="0" collapsed="false">
      <c r="B17134" s="0" t="s">
        <v>1</v>
      </c>
    </row>
    <row r="17135" customFormat="false" ht="12.8" hidden="false" customHeight="false" outlineLevel="0" collapsed="false">
      <c r="B17135" s="0" t="s">
        <v>8</v>
      </c>
    </row>
    <row r="17137" customFormat="false" ht="12.8" hidden="false" customHeight="false" outlineLevel="0" collapsed="false">
      <c r="A17137" s="0" t="s">
        <v>7363</v>
      </c>
      <c r="B17137" s="0" t="str">
        <f aca="false">HYPERLINK("https://lindat.mff.cuni.cz/services/teitok/pdtc10/index.php?action=vallex&amp;frame=v-w2075f1", "nalepovat (v-w2075f1)")</f>
        <v>nalepovat (v-w2075f1)</v>
      </c>
    </row>
    <row r="17138" customFormat="false" ht="12.8" hidden="false" customHeight="false" outlineLevel="0" collapsed="false">
      <c r="B17138" s="0" t="s">
        <v>1</v>
      </c>
    </row>
    <row r="17139" customFormat="false" ht="12.8" hidden="false" customHeight="false" outlineLevel="0" collapsed="false">
      <c r="B17139" s="0" t="s">
        <v>8</v>
      </c>
    </row>
    <row r="17141" customFormat="false" ht="12.8" hidden="false" customHeight="false" outlineLevel="0" collapsed="false">
      <c r="A17141" s="0" t="s">
        <v>7364</v>
      </c>
      <c r="B17141" s="0" t="str">
        <f aca="false">HYPERLINK("https://lindat.mff.cuni.cz/services/teitok/pdtc10/index.php?action=vallex&amp;frame=v-w2076f1", "naleptávat (v-w2076f1)")</f>
        <v>naleptávat (v-w2076f1)</v>
      </c>
    </row>
    <row r="17142" customFormat="false" ht="12.8" hidden="false" customHeight="false" outlineLevel="0" collapsed="false">
      <c r="B17142" s="0" t="s">
        <v>1</v>
      </c>
    </row>
    <row r="17143" customFormat="false" ht="12.8" hidden="false" customHeight="false" outlineLevel="0" collapsed="false">
      <c r="B17143" s="0" t="s">
        <v>8</v>
      </c>
    </row>
    <row r="17145" customFormat="false" ht="12.8" hidden="false" customHeight="false" outlineLevel="0" collapsed="false">
      <c r="A17145" s="0" t="s">
        <v>7365</v>
      </c>
      <c r="B17145" s="0" t="str">
        <f aca="false">HYPERLINK("https://lindat.mff.cuni.cz/services/teitok/pdtc10/index.php?action=vallex&amp;frame=v-w2077f1", "naletět (v-w2077f1)")</f>
        <v>naletět (v-w2077f1)</v>
      </c>
    </row>
    <row r="17146" customFormat="false" ht="12.8" hidden="false" customHeight="false" outlineLevel="0" collapsed="false">
      <c r="B17146" s="0" t="s">
        <v>1</v>
      </c>
    </row>
    <row r="17147" customFormat="false" ht="12.8" hidden="false" customHeight="false" outlineLevel="0" collapsed="false">
      <c r="B17147" s="0" t="s">
        <v>157</v>
      </c>
    </row>
    <row r="17149" customFormat="false" ht="12.8" hidden="false" customHeight="false" outlineLevel="0" collapsed="false">
      <c r="A17149" s="0" t="s">
        <v>7366</v>
      </c>
      <c r="B17149" s="0" t="str">
        <f aca="false">HYPERLINK("https://lindat.mff.cuni.cz/services/teitok/pdtc10/index.php?action=vallex&amp;frame=v-w2084f1", "naleznout (v-w2084f1)")</f>
        <v>naleznout (v-w2084f1)</v>
      </c>
      <c r="E17149" s="0" t="str">
        <f aca="false">HYPERLINK("https://lindat.mff.cuni.cz/services/SynSemClass40/SynSemClass40.html?veclass=vec00233#vec00233-ces-cm00014", "vec00233")</f>
        <v>vec00233</v>
      </c>
      <c r="F17149" s="0" t="s">
        <v>1065</v>
      </c>
    </row>
    <row r="17150" customFormat="false" ht="12.8" hidden="false" customHeight="false" outlineLevel="0" collapsed="false">
      <c r="B17150" s="0" t="s">
        <v>1</v>
      </c>
      <c r="C17150" s="0" t="s">
        <v>7077</v>
      </c>
      <c r="E17150" s="0" t="s">
        <v>2263</v>
      </c>
      <c r="F17150" s="0" t="s">
        <v>7078</v>
      </c>
    </row>
    <row r="17151" customFormat="false" ht="12.8" hidden="false" customHeight="false" outlineLevel="0" collapsed="false">
      <c r="B17151" s="0" t="s">
        <v>8</v>
      </c>
      <c r="C17151" s="0" t="s">
        <v>7079</v>
      </c>
      <c r="E17151" s="0" t="s">
        <v>7080</v>
      </c>
      <c r="F17151" s="0" t="s">
        <v>7081</v>
      </c>
    </row>
    <row r="17153" customFormat="false" ht="12.8" hidden="false" customHeight="false" outlineLevel="0" collapsed="false">
      <c r="A17153" s="0" t="s">
        <v>7367</v>
      </c>
      <c r="B17153" s="0" t="str">
        <f aca="false">HYPERLINK("https://lindat.mff.cuni.cz/services/teitok/pdtc10/index.php?action=vallex&amp;frame=v-w11011f2", "naleštit (v-w11011f2)")</f>
        <v>naleštit (v-w11011f2)</v>
      </c>
    </row>
    <row r="17154" customFormat="false" ht="12.8" hidden="false" customHeight="false" outlineLevel="0" collapsed="false">
      <c r="B17154" s="0" t="s">
        <v>1</v>
      </c>
    </row>
    <row r="17155" customFormat="false" ht="12.8" hidden="false" customHeight="false" outlineLevel="0" collapsed="false">
      <c r="B17155" s="0" t="s">
        <v>8</v>
      </c>
    </row>
    <row r="17157" customFormat="false" ht="12.8" hidden="false" customHeight="false" outlineLevel="0" collapsed="false">
      <c r="A17157" s="0" t="s">
        <v>7368</v>
      </c>
      <c r="B17157" s="0" t="str">
        <f aca="false">HYPERLINK("https://lindat.mff.cuni.cz/services/teitok/pdtc10/index.php?action=vallex&amp;frame=v-w2088f1", "nalistovat (v-w2088f1)")</f>
        <v>nalistovat (v-w2088f1)</v>
      </c>
    </row>
    <row r="17158" customFormat="false" ht="12.8" hidden="false" customHeight="false" outlineLevel="0" collapsed="false">
      <c r="B17158" s="0" t="s">
        <v>1</v>
      </c>
    </row>
    <row r="17159" customFormat="false" ht="12.8" hidden="false" customHeight="false" outlineLevel="0" collapsed="false">
      <c r="B17159" s="0" t="s">
        <v>228</v>
      </c>
    </row>
    <row r="17161" customFormat="false" ht="12.8" hidden="false" customHeight="false" outlineLevel="0" collapsed="false">
      <c r="A17161" s="0" t="s">
        <v>7369</v>
      </c>
      <c r="B17161" s="0" t="str">
        <f aca="false">HYPERLINK("https://lindat.mff.cuni.cz/services/teitok/pdtc10/index.php?action=vallex&amp;frame=v-w2091f1", "nalodit (v-w2091f1)")</f>
        <v>nalodit (v-w2091f1)</v>
      </c>
    </row>
    <row r="17162" customFormat="false" ht="12.8" hidden="false" customHeight="false" outlineLevel="0" collapsed="false">
      <c r="B17162" s="0" t="s">
        <v>1</v>
      </c>
    </row>
    <row r="17163" customFormat="false" ht="12.8" hidden="false" customHeight="false" outlineLevel="0" collapsed="false">
      <c r="B17163" s="0" t="s">
        <v>8</v>
      </c>
    </row>
    <row r="17164" customFormat="false" ht="12.8" hidden="false" customHeight="false" outlineLevel="0" collapsed="false">
      <c r="B17164" s="0" t="s">
        <v>164</v>
      </c>
    </row>
    <row r="17166" customFormat="false" ht="12.8" hidden="false" customHeight="false" outlineLevel="0" collapsed="false">
      <c r="A17166" s="0" t="s">
        <v>7370</v>
      </c>
      <c r="B17166" s="0" t="str">
        <f aca="false">HYPERLINK("https://lindat.mff.cuni.cz/services/teitok/pdtc10/index.php?action=vallex&amp;frame=v-w2092f1", "nalodit se (v-w2092f1)")</f>
        <v>nalodit se (v-w2092f1)</v>
      </c>
    </row>
    <row r="17167" customFormat="false" ht="12.8" hidden="false" customHeight="false" outlineLevel="0" collapsed="false">
      <c r="B17167" s="0" t="s">
        <v>1</v>
      </c>
    </row>
    <row r="17168" customFormat="false" ht="12.8" hidden="false" customHeight="false" outlineLevel="0" collapsed="false">
      <c r="B17168" s="0" t="s">
        <v>164</v>
      </c>
    </row>
    <row r="17170" customFormat="false" ht="12.8" hidden="false" customHeight="false" outlineLevel="0" collapsed="false">
      <c r="A17170" s="0" t="s">
        <v>7371</v>
      </c>
      <c r="B17170" s="0" t="str">
        <f aca="false">HYPERLINK("https://lindat.mff.cuni.cz/services/teitok/pdtc10/index.php?action=vallex&amp;frame=v-w2093f1", "nalomit (v-w2093f1)")</f>
        <v>nalomit (v-w2093f1)</v>
      </c>
    </row>
    <row r="17171" customFormat="false" ht="12.8" hidden="false" customHeight="false" outlineLevel="0" collapsed="false">
      <c r="B17171" s="0" t="s">
        <v>1</v>
      </c>
    </row>
    <row r="17172" customFormat="false" ht="12.8" hidden="false" customHeight="false" outlineLevel="0" collapsed="false">
      <c r="B17172" s="0" t="s">
        <v>8</v>
      </c>
    </row>
    <row r="17173" customFormat="false" ht="12.8" hidden="false" customHeight="false" outlineLevel="0" collapsed="false">
      <c r="B17173" s="0" t="s">
        <v>3211</v>
      </c>
    </row>
    <row r="17175" customFormat="false" ht="12.8" hidden="false" customHeight="false" outlineLevel="0" collapsed="false">
      <c r="A17175" s="0" t="s">
        <v>7372</v>
      </c>
      <c r="B17175" s="0" t="str">
        <f aca="false">HYPERLINK("https://lindat.mff.cuni.cz/services/teitok/pdtc10/index.php?action=vallex&amp;frame=v-w2094f1", "naloupit (v-w2094f1)")</f>
        <v>naloupit (v-w2094f1)</v>
      </c>
    </row>
    <row r="17176" customFormat="false" ht="12.8" hidden="false" customHeight="false" outlineLevel="0" collapsed="false">
      <c r="B17176" s="0" t="s">
        <v>1</v>
      </c>
    </row>
    <row r="17177" customFormat="false" ht="12.8" hidden="false" customHeight="false" outlineLevel="0" collapsed="false">
      <c r="B17177" s="0" t="s">
        <v>8</v>
      </c>
    </row>
    <row r="17179" customFormat="false" ht="12.8" hidden="false" customHeight="false" outlineLevel="0" collapsed="false">
      <c r="A17179" s="0" t="s">
        <v>7373</v>
      </c>
      <c r="B17179" s="0" t="str">
        <f aca="false">HYPERLINK("https://lindat.mff.cuni.cz/services/teitok/pdtc10/index.php?action=vallex&amp;frame=v-w12291_MMf1_MM", "naloďovat se (v-w12291_MMf1_MM)")</f>
        <v>naloďovat se (v-w12291_MMf1_MM)</v>
      </c>
    </row>
    <row r="17180" customFormat="false" ht="12.8" hidden="false" customHeight="false" outlineLevel="0" collapsed="false">
      <c r="B17180" s="0" t="s">
        <v>1</v>
      </c>
    </row>
    <row r="17181" customFormat="false" ht="12.8" hidden="false" customHeight="false" outlineLevel="0" collapsed="false">
      <c r="B17181" s="0" t="s">
        <v>164</v>
      </c>
    </row>
    <row r="17183" customFormat="false" ht="12.8" hidden="false" customHeight="false" outlineLevel="0" collapsed="false">
      <c r="A17183" s="0" t="s">
        <v>7374</v>
      </c>
      <c r="B17183" s="0" t="str">
        <f aca="false">HYPERLINK("https://lindat.mff.cuni.cz/services/teitok/pdtc10/index.php?action=vallex&amp;frame=v-w2096f3", "naložit (v-w2096f3)")</f>
        <v>naložit (v-w2096f3)</v>
      </c>
    </row>
    <row r="17184" customFormat="false" ht="12.8" hidden="false" customHeight="false" outlineLevel="0" collapsed="false">
      <c r="B17184" s="0" t="s">
        <v>1</v>
      </c>
    </row>
    <row r="17185" customFormat="false" ht="12.8" hidden="false" customHeight="false" outlineLevel="0" collapsed="false">
      <c r="B17185" s="0" t="s">
        <v>8</v>
      </c>
    </row>
    <row r="17186" customFormat="false" ht="12.8" hidden="false" customHeight="false" outlineLevel="0" collapsed="false">
      <c r="B17186" s="0" t="s">
        <v>7045</v>
      </c>
    </row>
    <row r="17188" customFormat="false" ht="12.8" hidden="false" customHeight="false" outlineLevel="0" collapsed="false">
      <c r="A17188" s="0" t="s">
        <v>7375</v>
      </c>
      <c r="B17188" s="0" t="str">
        <f aca="false">HYPERLINK("https://lindat.mff.cuni.cz/services/teitok/pdtc10/index.php?action=vallex&amp;frame=v-w2096f2", "naložit (v-w2096f2)")</f>
        <v>naložit (v-w2096f2)</v>
      </c>
    </row>
    <row r="17189" customFormat="false" ht="12.8" hidden="false" customHeight="false" outlineLevel="0" collapsed="false">
      <c r="B17189" s="0" t="s">
        <v>1</v>
      </c>
    </row>
    <row r="17190" customFormat="false" ht="12.8" hidden="false" customHeight="false" outlineLevel="0" collapsed="false">
      <c r="B17190" s="0" t="s">
        <v>8</v>
      </c>
    </row>
    <row r="17191" customFormat="false" ht="12.8" hidden="false" customHeight="false" outlineLevel="0" collapsed="false">
      <c r="B17191" s="0" t="s">
        <v>164</v>
      </c>
    </row>
    <row r="17193" customFormat="false" ht="12.8" hidden="false" customHeight="false" outlineLevel="0" collapsed="false">
      <c r="A17193" s="0" t="s">
        <v>7376</v>
      </c>
      <c r="B17193" s="0" t="str">
        <f aca="false">HYPERLINK("https://lindat.mff.cuni.cz/services/teitok/pdtc10/index.php?action=vallex&amp;frame=v-w2096f1", "naložit (v-w2096f1)")</f>
        <v>naložit (v-w2096f1)</v>
      </c>
    </row>
    <row r="17194" customFormat="false" ht="12.8" hidden="false" customHeight="false" outlineLevel="0" collapsed="false">
      <c r="B17194" s="0" t="s">
        <v>1</v>
      </c>
    </row>
    <row r="17195" customFormat="false" ht="12.8" hidden="false" customHeight="false" outlineLevel="0" collapsed="false">
      <c r="B17195" s="0" t="s">
        <v>721</v>
      </c>
    </row>
    <row r="17196" customFormat="false" ht="12.8" hidden="false" customHeight="false" outlineLevel="0" collapsed="false">
      <c r="B17196" s="0" t="s">
        <v>642</v>
      </c>
    </row>
    <row r="17197" customFormat="false" ht="12.8" hidden="false" customHeight="false" outlineLevel="0" collapsed="false">
      <c r="B17197" s="0" t="s">
        <v>648</v>
      </c>
    </row>
    <row r="17198" customFormat="false" ht="12.8" hidden="false" customHeight="false" outlineLevel="0" collapsed="false">
      <c r="B17198" s="0" t="s">
        <v>650</v>
      </c>
    </row>
    <row r="17199" customFormat="false" ht="12.8" hidden="false" customHeight="false" outlineLevel="0" collapsed="false">
      <c r="B17199" s="0" t="s">
        <v>652</v>
      </c>
    </row>
    <row r="17201" customFormat="false" ht="12.8" hidden="false" customHeight="false" outlineLevel="0" collapsed="false">
      <c r="A17201" s="0" t="s">
        <v>7377</v>
      </c>
      <c r="B17201" s="0" t="str">
        <f aca="false">HYPERLINK("https://lindat.mff.cuni.cz/services/teitok/pdtc10/index.php?action=vallex&amp;frame=v-w2096hsa_698", "naložit (v-w2096hsa_698)")</f>
        <v>naložit (v-w2096hsa_698)</v>
      </c>
    </row>
    <row r="17202" customFormat="false" ht="12.8" hidden="false" customHeight="false" outlineLevel="0" collapsed="false">
      <c r="B17202" s="0" t="s">
        <v>1</v>
      </c>
    </row>
    <row r="17203" customFormat="false" ht="12.8" hidden="false" customHeight="false" outlineLevel="0" collapsed="false">
      <c r="B17203" s="0" t="s">
        <v>8</v>
      </c>
    </row>
    <row r="17205" customFormat="false" ht="12.8" hidden="false" customHeight="false" outlineLevel="0" collapsed="false">
      <c r="A17205" s="0" t="s">
        <v>7378</v>
      </c>
      <c r="B17205" s="0" t="str">
        <f aca="false">HYPERLINK("https://lindat.mff.cuni.cz/services/teitok/pdtc10/index.php?action=vallex&amp;frame=v-w2096hsa_699", "naložit (v-w2096hsa_699)")</f>
        <v>naložit (v-w2096hsa_699)</v>
      </c>
    </row>
    <row r="17206" customFormat="false" ht="12.8" hidden="false" customHeight="false" outlineLevel="0" collapsed="false">
      <c r="B17206" s="0" t="s">
        <v>1</v>
      </c>
    </row>
    <row r="17207" customFormat="false" ht="12.8" hidden="false" customHeight="false" outlineLevel="0" collapsed="false">
      <c r="B17207" s="0" t="s">
        <v>8</v>
      </c>
    </row>
    <row r="17208" customFormat="false" ht="12.8" hidden="false" customHeight="false" outlineLevel="0" collapsed="false">
      <c r="B17208" s="0" t="s">
        <v>52</v>
      </c>
    </row>
    <row r="17210" customFormat="false" ht="12.8" hidden="false" customHeight="false" outlineLevel="0" collapsed="false">
      <c r="A17210" s="0" t="s">
        <v>7379</v>
      </c>
      <c r="B17210" s="0" t="str">
        <f aca="false">HYPERLINK("https://lindat.mff.cuni.cz/services/teitok/pdtc10/index.php?action=vallex&amp;frame=v-w2096f4_ZU", "naložit (v-w2096f4_ZU)")</f>
        <v>naložit (v-w2096f4_ZU)</v>
      </c>
    </row>
    <row r="17211" customFormat="false" ht="12.8" hidden="false" customHeight="false" outlineLevel="0" collapsed="false">
      <c r="B17211" s="0" t="s">
        <v>1</v>
      </c>
    </row>
    <row r="17212" customFormat="false" ht="12.8" hidden="false" customHeight="false" outlineLevel="0" collapsed="false">
      <c r="B17212" s="0" t="s">
        <v>8</v>
      </c>
    </row>
    <row r="17213" customFormat="false" ht="12.8" hidden="false" customHeight="false" outlineLevel="0" collapsed="false">
      <c r="B17213" s="0" t="s">
        <v>36</v>
      </c>
    </row>
    <row r="17215" customFormat="false" ht="12.8" hidden="false" customHeight="false" outlineLevel="0" collapsed="false">
      <c r="A17215" s="0" t="s">
        <v>7380</v>
      </c>
      <c r="B17215" s="0" t="str">
        <f aca="false">HYPERLINK("https://lindat.mff.cuni.cz/services/teitok/pdtc10/index.php?action=vallex&amp;frame=v-w2071f1", "nalákat (v-w2071f1)")</f>
        <v>nalákat (v-w2071f1)</v>
      </c>
      <c r="E17215" s="0" t="str">
        <f aca="false">HYPERLINK("https://lindat.mff.cuni.cz/services/SynSemClass40/SynSemClass40.html?veclass=vec00286#vec00286-ces-cm00003", "vec00286")</f>
        <v>vec00286</v>
      </c>
      <c r="F17215" s="0" t="s">
        <v>6106</v>
      </c>
    </row>
    <row r="17216" customFormat="false" ht="12.8" hidden="false" customHeight="false" outlineLevel="0" collapsed="false">
      <c r="B17216" s="0" t="s">
        <v>1</v>
      </c>
      <c r="C17216" s="0" t="s">
        <v>6107</v>
      </c>
      <c r="E17216" s="0" t="s">
        <v>6108</v>
      </c>
      <c r="F17216" s="0" t="s">
        <v>6109</v>
      </c>
    </row>
    <row r="17217" customFormat="false" ht="12.8" hidden="false" customHeight="false" outlineLevel="0" collapsed="false">
      <c r="B17217" s="0" t="s">
        <v>98</v>
      </c>
      <c r="C17217" s="0" t="s">
        <v>6110</v>
      </c>
      <c r="E17217" s="0" t="s">
        <v>6111</v>
      </c>
      <c r="F17217" s="0" t="s">
        <v>6112</v>
      </c>
    </row>
    <row r="17218" customFormat="false" ht="12.8" hidden="false" customHeight="false" outlineLevel="0" collapsed="false">
      <c r="B17218" s="0" t="s">
        <v>7072</v>
      </c>
      <c r="C17218" s="0" t="s">
        <v>6113</v>
      </c>
      <c r="E17218" s="0" t="s">
        <v>523</v>
      </c>
      <c r="F17218" s="0" t="s">
        <v>6114</v>
      </c>
    </row>
    <row r="17220" customFormat="false" ht="12.8" hidden="false" customHeight="false" outlineLevel="0" collapsed="false">
      <c r="A17220" s="0" t="s">
        <v>7381</v>
      </c>
      <c r="B17220" s="0" t="str">
        <f aca="false">HYPERLINK("https://lindat.mff.cuni.cz/services/teitok/pdtc10/index.php?action=vallex&amp;frame=v-w2073f1", "naléhat (v-w2073f1)")</f>
        <v>naléhat (v-w2073f1)</v>
      </c>
      <c r="E17220" s="0" t="str">
        <f aca="false">HYPERLINK("https://lindat.mff.cuni.cz/services/SynSemClass40/SynSemClass40.html?veclass=vec00272#vec00272-ces-cm00021", "vec00272")</f>
        <v>vec00272</v>
      </c>
      <c r="F17220" s="0" t="s">
        <v>1490</v>
      </c>
    </row>
    <row r="17221" customFormat="false" ht="12.8" hidden="false" customHeight="false" outlineLevel="0" collapsed="false">
      <c r="B17221" s="0" t="s">
        <v>1</v>
      </c>
      <c r="C17221" s="0" t="s">
        <v>1491</v>
      </c>
      <c r="E17221" s="0" t="s">
        <v>1492</v>
      </c>
      <c r="F17221" s="0" t="s">
        <v>1493</v>
      </c>
    </row>
    <row r="17222" customFormat="false" ht="12.8" hidden="false" customHeight="false" outlineLevel="0" collapsed="false">
      <c r="B17222" s="0" t="s">
        <v>45</v>
      </c>
      <c r="C17222" s="0" t="s">
        <v>7382</v>
      </c>
      <c r="E17222" s="0" t="s">
        <v>3002</v>
      </c>
      <c r="F17222" s="0" t="s">
        <v>7383</v>
      </c>
    </row>
    <row r="17224" customFormat="false" ht="12.8" hidden="false" customHeight="false" outlineLevel="0" collapsed="false">
      <c r="A17224" s="0" t="s">
        <v>7384</v>
      </c>
      <c r="B17224" s="0" t="str">
        <f aca="false">HYPERLINK("https://lindat.mff.cuni.cz/services/teitok/pdtc10/index.php?action=vallex&amp;frame=v-w2073hsa_68", "naléhat (v-w2073hsa_68)")</f>
        <v>naléhat (v-w2073hsa_68)</v>
      </c>
    </row>
    <row r="17225" customFormat="false" ht="12.8" hidden="false" customHeight="false" outlineLevel="0" collapsed="false">
      <c r="B17225" s="0" t="s">
        <v>1</v>
      </c>
    </row>
    <row r="17226" customFormat="false" ht="12.8" hidden="false" customHeight="false" outlineLevel="0" collapsed="false">
      <c r="B17226" s="0" t="s">
        <v>45</v>
      </c>
    </row>
    <row r="17228" customFormat="false" ht="12.8" hidden="false" customHeight="false" outlineLevel="0" collapsed="false">
      <c r="A17228" s="0" t="s">
        <v>7385</v>
      </c>
      <c r="B17228" s="0" t="str">
        <f aca="false">HYPERLINK("https://lindat.mff.cuni.cz/services/teitok/pdtc10/index.php?action=vallex&amp;frame=v-w11521_ZUf1_ZU", "nalétat (v-w11521_ZUf1_ZU)")</f>
        <v>nalétat (v-w11521_ZUf1_ZU)</v>
      </c>
    </row>
    <row r="17229" customFormat="false" ht="12.8" hidden="false" customHeight="false" outlineLevel="0" collapsed="false">
      <c r="B17229" s="0" t="s">
        <v>1</v>
      </c>
    </row>
    <row r="17230" customFormat="false" ht="12.8" hidden="false" customHeight="false" outlineLevel="0" collapsed="false">
      <c r="B17230" s="0" t="s">
        <v>8</v>
      </c>
    </row>
    <row r="17232" customFormat="false" ht="12.8" hidden="false" customHeight="false" outlineLevel="0" collapsed="false">
      <c r="A17232" s="0" t="s">
        <v>7386</v>
      </c>
      <c r="B17232" s="0" t="str">
        <f aca="false">HYPERLINK("https://lindat.mff.cuni.cz/services/teitok/pdtc10/index.php?action=vallex&amp;frame=v-w12088_ZUf1_ZU", "nalétnout (v-w12088_ZUf1_ZU)")</f>
        <v>nalétnout (v-w12088_ZUf1_ZU)</v>
      </c>
    </row>
    <row r="17233" customFormat="false" ht="12.8" hidden="false" customHeight="false" outlineLevel="0" collapsed="false">
      <c r="B17233" s="0" t="s">
        <v>1</v>
      </c>
    </row>
    <row r="17234" customFormat="false" ht="12.8" hidden="false" customHeight="false" outlineLevel="0" collapsed="false">
      <c r="B17234" s="0" t="s">
        <v>454</v>
      </c>
    </row>
    <row r="17236" customFormat="false" ht="12.8" hidden="false" customHeight="false" outlineLevel="0" collapsed="false">
      <c r="A17236" s="0" t="s">
        <v>7387</v>
      </c>
      <c r="B17236" s="0" t="str">
        <f aca="false">HYPERLINK("https://lindat.mff.cuni.cz/services/teitok/pdtc10/index.php?action=vallex&amp;frame=v-w2078f1", "nalévat (v-w2078f1)")</f>
        <v>nalévat (v-w2078f1)</v>
      </c>
    </row>
    <row r="17237" customFormat="false" ht="12.8" hidden="false" customHeight="false" outlineLevel="0" collapsed="false">
      <c r="B17237" s="0" t="s">
        <v>1</v>
      </c>
    </row>
    <row r="17238" customFormat="false" ht="12.8" hidden="false" customHeight="false" outlineLevel="0" collapsed="false">
      <c r="B17238" s="0" t="s">
        <v>8</v>
      </c>
    </row>
    <row r="17239" customFormat="false" ht="12.8" hidden="false" customHeight="false" outlineLevel="0" collapsed="false">
      <c r="B17239" s="0" t="s">
        <v>132</v>
      </c>
    </row>
    <row r="17241" customFormat="false" ht="12.8" hidden="false" customHeight="false" outlineLevel="0" collapsed="false">
      <c r="A17241" s="0" t="s">
        <v>7388</v>
      </c>
      <c r="B17241" s="0" t="str">
        <f aca="false">HYPERLINK("https://lindat.mff.cuni.cz/services/teitok/pdtc10/index.php?action=vallex&amp;frame=v-w2078hsa_541", "nalévat (v-w2078hsa_541)")</f>
        <v>nalévat (v-w2078hsa_541)</v>
      </c>
      <c r="E17241" s="0" t="str">
        <f aca="false">HYPERLINK("https://lindat.mff.cuni.cz/services/SynSemClass40/SynSemClass40.html?veclass=vec00147#vec00147-ces-cm00056", "vec00147")</f>
        <v>vec00147</v>
      </c>
      <c r="F17241" s="0" t="s">
        <v>1698</v>
      </c>
    </row>
    <row r="17242" customFormat="false" ht="12.8" hidden="false" customHeight="false" outlineLevel="0" collapsed="false">
      <c r="B17242" s="0" t="s">
        <v>1</v>
      </c>
      <c r="C17242" s="0" t="s">
        <v>1699</v>
      </c>
      <c r="E17242" s="0" t="s">
        <v>11</v>
      </c>
      <c r="F17242" s="0" t="s">
        <v>1700</v>
      </c>
    </row>
    <row r="17243" customFormat="false" ht="12.8" hidden="false" customHeight="false" outlineLevel="0" collapsed="false">
      <c r="B17243" s="0" t="s">
        <v>8</v>
      </c>
      <c r="C17243" s="0" t="s">
        <v>1701</v>
      </c>
      <c r="E17243" s="0" t="s">
        <v>1702</v>
      </c>
      <c r="F17243" s="0" t="s">
        <v>1703</v>
      </c>
    </row>
    <row r="17244" customFormat="false" ht="12.8" hidden="false" customHeight="false" outlineLevel="0" collapsed="false">
      <c r="B17244" s="0" t="s">
        <v>164</v>
      </c>
      <c r="C17244" s="0" t="s">
        <v>1704</v>
      </c>
      <c r="E17244" s="0" t="s">
        <v>1705</v>
      </c>
      <c r="F17244" s="0" t="s">
        <v>1706</v>
      </c>
    </row>
    <row r="17246" customFormat="false" ht="12.8" hidden="false" customHeight="false" outlineLevel="0" collapsed="false">
      <c r="A17246" s="0" t="s">
        <v>7389</v>
      </c>
      <c r="B17246" s="0" t="str">
        <f aca="false">HYPERLINK("https://lindat.mff.cuni.cz/services/teitok/pdtc10/index.php?action=vallex&amp;frame=v-w2080f1", "nalézat (v-w2080f1)")</f>
        <v>nalézat (v-w2080f1)</v>
      </c>
      <c r="E17246" s="0" t="str">
        <f aca="false">HYPERLINK("https://lindat.mff.cuni.cz/services/SynSemClass40/SynSemClass40.html?veclass=vec00233#vec00233-ces-cm00013", "vec00233")</f>
        <v>vec00233</v>
      </c>
      <c r="F17246" s="0" t="s">
        <v>1065</v>
      </c>
    </row>
    <row r="17247" customFormat="false" ht="12.8" hidden="false" customHeight="false" outlineLevel="0" collapsed="false">
      <c r="B17247" s="0" t="s">
        <v>1</v>
      </c>
      <c r="C17247" s="0" t="s">
        <v>7077</v>
      </c>
      <c r="E17247" s="0" t="s">
        <v>2263</v>
      </c>
      <c r="F17247" s="0" t="s">
        <v>7078</v>
      </c>
    </row>
    <row r="17248" customFormat="false" ht="12.8" hidden="false" customHeight="false" outlineLevel="0" collapsed="false">
      <c r="B17248" s="0" t="s">
        <v>8</v>
      </c>
      <c r="C17248" s="0" t="s">
        <v>7079</v>
      </c>
      <c r="E17248" s="0" t="s">
        <v>7080</v>
      </c>
      <c r="F17248" s="0" t="s">
        <v>7081</v>
      </c>
    </row>
    <row r="17250" customFormat="false" ht="12.8" hidden="false" customHeight="false" outlineLevel="0" collapsed="false">
      <c r="A17250" s="0" t="s">
        <v>7390</v>
      </c>
      <c r="B17250" s="0" t="str">
        <f aca="false">HYPERLINK("https://lindat.mff.cuni.cz/services/teitok/pdtc10/index.php?action=vallex&amp;frame=v-w2081f1", "nalézat se (v-w2081f1)")</f>
        <v>nalézat se (v-w2081f1)</v>
      </c>
    </row>
    <row r="17251" customFormat="false" ht="12.8" hidden="false" customHeight="false" outlineLevel="0" collapsed="false">
      <c r="B17251" s="0" t="s">
        <v>1</v>
      </c>
    </row>
    <row r="17252" customFormat="false" ht="12.8" hidden="false" customHeight="false" outlineLevel="0" collapsed="false">
      <c r="B17252" s="0" t="s">
        <v>5</v>
      </c>
    </row>
    <row r="17254" customFormat="false" ht="12.8" hidden="false" customHeight="false" outlineLevel="0" collapsed="false">
      <c r="A17254" s="0" t="s">
        <v>7391</v>
      </c>
      <c r="B17254" s="0" t="str">
        <f aca="false">HYPERLINK("https://lindat.mff.cuni.cz/services/teitok/pdtc10/index.php?action=vallex&amp;frame=v-w2085f1", "nalézt (v-w2085f1)")</f>
        <v>nalézt (v-w2085f1)</v>
      </c>
      <c r="E17254" s="0" t="str">
        <f aca="false">HYPERLINK("https://lindat.mff.cuni.cz/services/SynSemClass40/SynSemClass40.html?veclass=vec00233#vec00233-ces-cm00015", "vec00233")</f>
        <v>vec00233</v>
      </c>
      <c r="F17254" s="0" t="s">
        <v>1065</v>
      </c>
    </row>
    <row r="17255" customFormat="false" ht="12.8" hidden="false" customHeight="false" outlineLevel="0" collapsed="false">
      <c r="B17255" s="0" t="s">
        <v>1</v>
      </c>
      <c r="C17255" s="0" t="s">
        <v>7077</v>
      </c>
      <c r="E17255" s="0" t="s">
        <v>2263</v>
      </c>
      <c r="F17255" s="0" t="s">
        <v>7078</v>
      </c>
    </row>
    <row r="17256" customFormat="false" ht="12.8" hidden="false" customHeight="false" outlineLevel="0" collapsed="false">
      <c r="B17256" s="0" t="s">
        <v>8</v>
      </c>
      <c r="C17256" s="0" t="s">
        <v>7079</v>
      </c>
      <c r="E17256" s="0" t="s">
        <v>7080</v>
      </c>
      <c r="F17256" s="0" t="s">
        <v>7081</v>
      </c>
    </row>
    <row r="17258" customFormat="false" ht="12.8" hidden="false" customHeight="false" outlineLevel="0" collapsed="false">
      <c r="A17258" s="0" t="s">
        <v>7392</v>
      </c>
      <c r="B17258" s="0" t="str">
        <f aca="false">HYPERLINK("https://lindat.mff.cuni.cz/services/teitok/pdtc10/index.php?action=vallex&amp;frame=v-w2085f7_ZU", "nalézt (v-w2085f7_ZU)")</f>
        <v>nalézt (v-w2085f7_ZU)</v>
      </c>
      <c r="E17258" s="0" t="str">
        <f aca="false">HYPERLINK("https://lindat.mff.cuni.cz/services/SynSemClass40/SynSemClass40.html?veclass=vec00233#vec00233-ces-cm00017", "vec00233")</f>
        <v>vec00233</v>
      </c>
      <c r="F17258" s="0" t="s">
        <v>1065</v>
      </c>
    </row>
    <row r="17259" customFormat="false" ht="12.8" hidden="false" customHeight="false" outlineLevel="0" collapsed="false">
      <c r="B17259" s="0" t="s">
        <v>1</v>
      </c>
      <c r="C17259" s="0" t="s">
        <v>7077</v>
      </c>
      <c r="E17259" s="0" t="s">
        <v>2263</v>
      </c>
      <c r="F17259" s="0" t="s">
        <v>7078</v>
      </c>
    </row>
    <row r="17260" customFormat="false" ht="12.8" hidden="false" customHeight="false" outlineLevel="0" collapsed="false">
      <c r="B17260" s="0" t="s">
        <v>7393</v>
      </c>
      <c r="C17260" s="0" t="s">
        <v>7297</v>
      </c>
      <c r="E17260" s="0" t="s">
        <v>7298</v>
      </c>
      <c r="F17260" s="0" t="s">
        <v>7299</v>
      </c>
    </row>
    <row r="17262" customFormat="false" ht="12.8" hidden="false" customHeight="false" outlineLevel="0" collapsed="false">
      <c r="A17262" s="0" t="s">
        <v>7392</v>
      </c>
      <c r="B17262" s="0" t="str">
        <f aca="false">HYPERLINK("https://lindat.mff.cuni.cz/services/teitok/pdtc10/index.php?action=vallex&amp;frame=v-w2085f2", "nalézt (v-w2085f2) - substituted with v-w2085f7_ZU")</f>
        <v>nalézt (v-w2085f2) - substituted with v-w2085f7_ZU</v>
      </c>
    </row>
    <row r="17263" customFormat="false" ht="12.8" hidden="false" customHeight="false" outlineLevel="0" collapsed="false">
      <c r="B17263" s="0" t="s">
        <v>1</v>
      </c>
    </row>
    <row r="17264" customFormat="false" ht="12.8" hidden="false" customHeight="false" outlineLevel="0" collapsed="false">
      <c r="B17264" s="0" t="s">
        <v>7393</v>
      </c>
    </row>
    <row r="17266" customFormat="false" ht="12.8" hidden="false" customHeight="false" outlineLevel="0" collapsed="false">
      <c r="A17266" s="0" t="s">
        <v>7392</v>
      </c>
      <c r="B17266" s="0" t="str">
        <f aca="false">HYPERLINK("https://lindat.mff.cuni.cz/services/teitok/pdtc10/index.php?action=vallex&amp;frame=v-w2085f3_ZU", "nalézt (v-w2085f3_ZU) - substituted with v-w2085f7_ZU")</f>
        <v>nalézt (v-w2085f3_ZU) - substituted with v-w2085f7_ZU</v>
      </c>
    </row>
    <row r="17267" customFormat="false" ht="12.8" hidden="false" customHeight="false" outlineLevel="0" collapsed="false">
      <c r="B17267" s="0" t="s">
        <v>1</v>
      </c>
    </row>
    <row r="17268" customFormat="false" ht="12.8" hidden="false" customHeight="false" outlineLevel="0" collapsed="false">
      <c r="B17268" s="0" t="s">
        <v>7393</v>
      </c>
    </row>
    <row r="17270" customFormat="false" ht="12.8" hidden="false" customHeight="false" outlineLevel="0" collapsed="false">
      <c r="A17270" s="0" t="s">
        <v>7392</v>
      </c>
      <c r="B17270" s="0" t="str">
        <f aca="false">HYPERLINK("https://lindat.mff.cuni.cz/services/teitok/pdtc10/index.php?action=vallex&amp;frame=v-w2085f4_ZU", "nalézt (v-w2085f4_ZU) - substituted with v-w2085f7_ZU")</f>
        <v>nalézt (v-w2085f4_ZU) - substituted with v-w2085f7_ZU</v>
      </c>
    </row>
    <row r="17271" customFormat="false" ht="12.8" hidden="false" customHeight="false" outlineLevel="0" collapsed="false">
      <c r="B17271" s="0" t="s">
        <v>1</v>
      </c>
    </row>
    <row r="17272" customFormat="false" ht="12.8" hidden="false" customHeight="false" outlineLevel="0" collapsed="false">
      <c r="B17272" s="0" t="s">
        <v>7393</v>
      </c>
    </row>
    <row r="17274" customFormat="false" ht="12.8" hidden="false" customHeight="false" outlineLevel="0" collapsed="false">
      <c r="A17274" s="0" t="s">
        <v>7392</v>
      </c>
      <c r="B17274" s="0" t="str">
        <f aca="false">HYPERLINK("https://lindat.mff.cuni.cz/services/teitok/pdtc10/index.php?action=vallex&amp;frame=v-w2085f6_ZU", "nalézt (v-w2085f6_ZU) - substituted with v-w2085f7_ZU")</f>
        <v>nalézt (v-w2085f6_ZU) - substituted with v-w2085f7_ZU</v>
      </c>
    </row>
    <row r="17275" customFormat="false" ht="12.8" hidden="false" customHeight="false" outlineLevel="0" collapsed="false">
      <c r="B17275" s="0" t="s">
        <v>1</v>
      </c>
    </row>
    <row r="17276" customFormat="false" ht="12.8" hidden="false" customHeight="false" outlineLevel="0" collapsed="false">
      <c r="B17276" s="0" t="s">
        <v>7393</v>
      </c>
    </row>
    <row r="17278" customFormat="false" ht="12.8" hidden="false" customHeight="false" outlineLevel="0" collapsed="false">
      <c r="A17278" s="0" t="s">
        <v>7392</v>
      </c>
      <c r="B17278" s="0" t="str">
        <f aca="false">HYPERLINK("https://lindat.mff.cuni.cz/services/teitok/pdtc10/index.php?action=vallex&amp;frame=v-w2085hsa_261", "nalézt (v-w2085hsa_261) - substituted with v-w2085f7_ZU")</f>
        <v>nalézt (v-w2085hsa_261) - substituted with v-w2085f7_ZU</v>
      </c>
    </row>
    <row r="17279" customFormat="false" ht="12.8" hidden="false" customHeight="false" outlineLevel="0" collapsed="false">
      <c r="B17279" s="0" t="s">
        <v>1</v>
      </c>
    </row>
    <row r="17280" customFormat="false" ht="12.8" hidden="false" customHeight="false" outlineLevel="0" collapsed="false">
      <c r="B17280" s="0" t="s">
        <v>7393</v>
      </c>
    </row>
    <row r="17282" customFormat="false" ht="12.8" hidden="false" customHeight="false" outlineLevel="0" collapsed="false">
      <c r="A17282" s="0" t="s">
        <v>7394</v>
      </c>
      <c r="B17282" s="0" t="str">
        <f aca="false">HYPERLINK("https://lindat.mff.cuni.cz/services/teitok/pdtc10/index.php?action=vallex&amp;frame=v-w2085f5_ZU", "nalézt (v-w2085f5_ZU)")</f>
        <v>nalézt (v-w2085f5_ZU)</v>
      </c>
    </row>
    <row r="17283" customFormat="false" ht="12.8" hidden="false" customHeight="false" outlineLevel="0" collapsed="false">
      <c r="B17283" s="0" t="s">
        <v>1</v>
      </c>
    </row>
    <row r="17284" customFormat="false" ht="12.8" hidden="false" customHeight="false" outlineLevel="0" collapsed="false">
      <c r="B17284" s="0" t="s">
        <v>6701</v>
      </c>
    </row>
    <row r="17285" customFormat="false" ht="12.8" hidden="false" customHeight="false" outlineLevel="0" collapsed="false">
      <c r="B17285" s="0" t="s">
        <v>311</v>
      </c>
    </row>
    <row r="17287" customFormat="false" ht="12.8" hidden="false" customHeight="false" outlineLevel="0" collapsed="false">
      <c r="A17287" s="0" t="s">
        <v>7394</v>
      </c>
      <c r="B17287" s="0" t="str">
        <f aca="false">HYPERLINK("https://lindat.mff.cuni.cz/services/teitok/pdtc10/index.php?action=vallex&amp;frame=v-w2085hsa_262", "nalézt (v-w2085hsa_262) - substituted with v-w2085f5_ZU")</f>
        <v>nalézt (v-w2085hsa_262) - substituted with v-w2085f5_ZU</v>
      </c>
    </row>
    <row r="17288" customFormat="false" ht="12.8" hidden="false" customHeight="false" outlineLevel="0" collapsed="false">
      <c r="B17288" s="0" t="s">
        <v>1</v>
      </c>
    </row>
    <row r="17289" customFormat="false" ht="12.8" hidden="false" customHeight="false" outlineLevel="0" collapsed="false">
      <c r="B17289" s="0" t="s">
        <v>6701</v>
      </c>
    </row>
    <row r="17290" customFormat="false" ht="12.8" hidden="false" customHeight="false" outlineLevel="0" collapsed="false">
      <c r="B17290" s="0" t="s">
        <v>311</v>
      </c>
    </row>
    <row r="17292" customFormat="false" ht="12.8" hidden="false" customHeight="false" outlineLevel="0" collapsed="false">
      <c r="A17292" s="0" t="s">
        <v>7395</v>
      </c>
      <c r="B17292" s="0" t="str">
        <f aca="false">HYPERLINK("https://lindat.mff.cuni.cz/services/teitok/pdtc10/index.php?action=vallex&amp;frame=v-w2089f1", "nalít (v-w2089f1)")</f>
        <v>nalít (v-w2089f1)</v>
      </c>
    </row>
    <row r="17293" customFormat="false" ht="12.8" hidden="false" customHeight="false" outlineLevel="0" collapsed="false">
      <c r="B17293" s="0" t="s">
        <v>1</v>
      </c>
    </row>
    <row r="17294" customFormat="false" ht="12.8" hidden="false" customHeight="false" outlineLevel="0" collapsed="false">
      <c r="B17294" s="0" t="s">
        <v>8</v>
      </c>
    </row>
    <row r="17295" customFormat="false" ht="12.8" hidden="false" customHeight="false" outlineLevel="0" collapsed="false">
      <c r="B17295" s="0" t="s">
        <v>132</v>
      </c>
    </row>
    <row r="17297" customFormat="false" ht="12.8" hidden="false" customHeight="false" outlineLevel="0" collapsed="false">
      <c r="A17297" s="0" t="s">
        <v>7396</v>
      </c>
      <c r="B17297" s="0" t="str">
        <f aca="false">HYPERLINK("https://lindat.mff.cuni.cz/services/teitok/pdtc10/index.php?action=vallex&amp;frame=v-w2089f2", "nalít (v-w2089f2)")</f>
        <v>nalít (v-w2089f2)</v>
      </c>
    </row>
    <row r="17298" customFormat="false" ht="12.8" hidden="false" customHeight="false" outlineLevel="0" collapsed="false">
      <c r="B17298" s="0" t="s">
        <v>1</v>
      </c>
    </row>
    <row r="17299" customFormat="false" ht="12.8" hidden="false" customHeight="false" outlineLevel="0" collapsed="false">
      <c r="B17299" s="0" t="s">
        <v>8</v>
      </c>
    </row>
    <row r="17300" customFormat="false" ht="12.8" hidden="false" customHeight="false" outlineLevel="0" collapsed="false">
      <c r="B17300" s="0" t="s">
        <v>164</v>
      </c>
    </row>
    <row r="17302" customFormat="false" ht="12.8" hidden="false" customHeight="false" outlineLevel="0" collapsed="false">
      <c r="A17302" s="0" t="s">
        <v>7397</v>
      </c>
      <c r="B17302" s="0" t="str">
        <f aca="false">HYPERLINK("https://lindat.mff.cuni.cz/services/teitok/pdtc10/index.php?action=vallex&amp;frame=v-w2089hsa_9", "nalít (v-w2089hsa_9)")</f>
        <v>nalít (v-w2089hsa_9)</v>
      </c>
      <c r="E17302" s="0" t="str">
        <f aca="false">HYPERLINK("https://lindat.mff.cuni.cz/services/SynSemClass40/SynSemClass40.html?veclass=vec00147#vec00147-ces-cm00059", "vec00147")</f>
        <v>vec00147</v>
      </c>
      <c r="F17302" s="0" t="s">
        <v>1698</v>
      </c>
    </row>
    <row r="17303" customFormat="false" ht="12.8" hidden="false" customHeight="false" outlineLevel="0" collapsed="false">
      <c r="B17303" s="0" t="s">
        <v>1</v>
      </c>
      <c r="C17303" s="0" t="s">
        <v>1699</v>
      </c>
      <c r="E17303" s="0" t="s">
        <v>11</v>
      </c>
      <c r="F17303" s="0" t="s">
        <v>1700</v>
      </c>
    </row>
    <row r="17304" customFormat="false" ht="12.8" hidden="false" customHeight="false" outlineLevel="0" collapsed="false">
      <c r="B17304" s="0" t="s">
        <v>8</v>
      </c>
      <c r="C17304" s="0" t="s">
        <v>1701</v>
      </c>
      <c r="E17304" s="0" t="s">
        <v>1702</v>
      </c>
      <c r="F17304" s="0" t="s">
        <v>1703</v>
      </c>
    </row>
    <row r="17305" customFormat="false" ht="12.8" hidden="false" customHeight="false" outlineLevel="0" collapsed="false">
      <c r="B17305" s="0" t="s">
        <v>164</v>
      </c>
      <c r="C17305" s="0" t="s">
        <v>1704</v>
      </c>
      <c r="E17305" s="0" t="s">
        <v>1705</v>
      </c>
      <c r="F17305" s="0" t="s">
        <v>1706</v>
      </c>
    </row>
    <row r="17307" customFormat="false" ht="12.8" hidden="false" customHeight="false" outlineLevel="0" collapsed="false">
      <c r="A17307" s="0" t="s">
        <v>7398</v>
      </c>
      <c r="B17307" s="0" t="str">
        <f aca="false">HYPERLINK("https://lindat.mff.cuni.cz/services/teitok/pdtc10/index.php?action=vallex&amp;frame=v-whsb_1195hsa_1196", "nalítnout (v-whsb_1195hsa_1196)")</f>
        <v>nalítnout (v-whsb_1195hsa_1196)</v>
      </c>
    </row>
    <row r="17308" customFormat="false" ht="12.8" hidden="false" customHeight="false" outlineLevel="0" collapsed="false">
      <c r="B17308" s="0" t="s">
        <v>1</v>
      </c>
    </row>
    <row r="17309" customFormat="false" ht="12.8" hidden="false" customHeight="false" outlineLevel="0" collapsed="false">
      <c r="B17309" s="0" t="s">
        <v>164</v>
      </c>
    </row>
    <row r="17311" customFormat="false" ht="12.8" hidden="false" customHeight="false" outlineLevel="0" collapsed="false">
      <c r="A17311" s="0" t="s">
        <v>7399</v>
      </c>
      <c r="B17311" s="0" t="str">
        <f aca="false">HYPERLINK("https://lindat.mff.cuni.cz/services/teitok/pdtc10/index.php?action=vallex&amp;frame=v-w12233_ZUf1_ZU", "nalívat (v-w12233_ZUf1_ZU)")</f>
        <v>nalívat (v-w12233_ZUf1_ZU)</v>
      </c>
    </row>
    <row r="17312" customFormat="false" ht="12.8" hidden="false" customHeight="false" outlineLevel="0" collapsed="false">
      <c r="B17312" s="0" t="s">
        <v>1</v>
      </c>
    </row>
    <row r="17313" customFormat="false" ht="12.8" hidden="false" customHeight="false" outlineLevel="0" collapsed="false">
      <c r="B17313" s="0" t="s">
        <v>8</v>
      </c>
    </row>
    <row r="17314" customFormat="false" ht="12.8" hidden="false" customHeight="false" outlineLevel="0" collapsed="false">
      <c r="B17314" s="0" t="s">
        <v>454</v>
      </c>
    </row>
    <row r="17316" customFormat="false" ht="12.8" hidden="false" customHeight="false" outlineLevel="0" collapsed="false">
      <c r="A17316" s="0" t="s">
        <v>7400</v>
      </c>
      <c r="B17316" s="0" t="str">
        <f aca="false">HYPERLINK("https://lindat.mff.cuni.cz/services/teitok/pdtc10/index.php?action=vallex&amp;frame=v-w2087f2", "nalíčit (v-w2087f2)")</f>
        <v>nalíčit (v-w2087f2)</v>
      </c>
    </row>
    <row r="17317" customFormat="false" ht="12.8" hidden="false" customHeight="false" outlineLevel="0" collapsed="false">
      <c r="B17317" s="0" t="s">
        <v>1</v>
      </c>
    </row>
    <row r="17318" customFormat="false" ht="12.8" hidden="false" customHeight="false" outlineLevel="0" collapsed="false">
      <c r="B17318" s="0" t="s">
        <v>8</v>
      </c>
    </row>
    <row r="17319" customFormat="false" ht="12.8" hidden="false" customHeight="false" outlineLevel="0" collapsed="false">
      <c r="B17319" s="0" t="s">
        <v>36</v>
      </c>
    </row>
    <row r="17321" customFormat="false" ht="12.8" hidden="false" customHeight="false" outlineLevel="0" collapsed="false">
      <c r="A17321" s="0" t="s">
        <v>7401</v>
      </c>
      <c r="B17321" s="0" t="str">
        <f aca="false">HYPERLINK("https://lindat.mff.cuni.cz/services/teitok/pdtc10/index.php?action=vallex&amp;frame=v-w2087f1", "nalíčit (v-w2087f1)")</f>
        <v>nalíčit (v-w2087f1)</v>
      </c>
      <c r="E17321" s="0" t="str">
        <f aca="false">HYPERLINK("https://lindat.mff.cuni.cz/services/SynSemClass40/SynSemClass40.html?veclass=vec00638#vec00638-ces-cm00003", "vec00638")</f>
        <v>vec00638</v>
      </c>
      <c r="F17321" s="0" t="s">
        <v>5745</v>
      </c>
    </row>
    <row r="17322" customFormat="false" ht="12.8" hidden="false" customHeight="false" outlineLevel="0" collapsed="false">
      <c r="B17322" s="0" t="s">
        <v>1</v>
      </c>
      <c r="C17322" s="0" t="s">
        <v>447</v>
      </c>
      <c r="E17322" s="0" t="s">
        <v>768</v>
      </c>
      <c r="F17322" s="0" t="s">
        <v>5637</v>
      </c>
    </row>
    <row r="17323" customFormat="false" ht="12.8" hidden="false" customHeight="false" outlineLevel="0" collapsed="false">
      <c r="B17323" s="0" t="s">
        <v>8</v>
      </c>
      <c r="C17323" s="0" t="s">
        <v>1575</v>
      </c>
      <c r="E17323" s="0" t="s">
        <v>771</v>
      </c>
      <c r="F17323" s="0" t="s">
        <v>5746</v>
      </c>
    </row>
    <row r="17325" customFormat="false" ht="12.8" hidden="false" customHeight="false" outlineLevel="0" collapsed="false">
      <c r="A17325" s="0" t="s">
        <v>7402</v>
      </c>
      <c r="B17325" s="0" t="str">
        <f aca="false">HYPERLINK("https://lindat.mff.cuni.cz/services/teitok/pdtc10/index.php?action=vallex&amp;frame=v-w2099f1", "namalovat (v-w2099f1)")</f>
        <v>namalovat (v-w2099f1)</v>
      </c>
      <c r="E17325" s="0" t="str">
        <f aca="false">HYPERLINK("https://lindat.mff.cuni.cz/services/SynSemClass40/SynSemClass40.html?veclass=vec00638#vec00638-ces-cm00001", "vec00638")</f>
        <v>vec00638</v>
      </c>
      <c r="F17325" s="0" t="s">
        <v>5745</v>
      </c>
    </row>
    <row r="17326" customFormat="false" ht="12.8" hidden="false" customHeight="false" outlineLevel="0" collapsed="false">
      <c r="B17326" s="0" t="s">
        <v>1</v>
      </c>
      <c r="C17326" s="0" t="s">
        <v>447</v>
      </c>
      <c r="E17326" s="0" t="s">
        <v>768</v>
      </c>
      <c r="F17326" s="0" t="s">
        <v>5637</v>
      </c>
    </row>
    <row r="17327" customFormat="false" ht="12.8" hidden="false" customHeight="false" outlineLevel="0" collapsed="false">
      <c r="B17327" s="0" t="s">
        <v>8</v>
      </c>
      <c r="C17327" s="0" t="s">
        <v>1575</v>
      </c>
      <c r="E17327" s="0" t="s">
        <v>771</v>
      </c>
      <c r="F17327" s="0" t="s">
        <v>5746</v>
      </c>
    </row>
    <row r="17329" customFormat="false" ht="12.8" hidden="false" customHeight="false" outlineLevel="0" collapsed="false">
      <c r="A17329" s="0" t="s">
        <v>7403</v>
      </c>
      <c r="B17329" s="0" t="str">
        <f aca="false">HYPERLINK("https://lindat.mff.cuni.cz/services/teitok/pdtc10/index.php?action=vallex&amp;frame=v-w2099f3_ZU", "namalovat (v-w2099f3_ZU)")</f>
        <v>namalovat (v-w2099f3_ZU)</v>
      </c>
    </row>
    <row r="17330" customFormat="false" ht="12.8" hidden="false" customHeight="false" outlineLevel="0" collapsed="false">
      <c r="B17330" s="0" t="s">
        <v>1</v>
      </c>
    </row>
    <row r="17331" customFormat="false" ht="12.8" hidden="false" customHeight="false" outlineLevel="0" collapsed="false">
      <c r="B17331" s="0" t="s">
        <v>8</v>
      </c>
    </row>
    <row r="17333" customFormat="false" ht="12.8" hidden="false" customHeight="false" outlineLevel="0" collapsed="false">
      <c r="A17333" s="0" t="s">
        <v>7403</v>
      </c>
      <c r="B17333" s="0" t="str">
        <f aca="false">HYPERLINK("https://lindat.mff.cuni.cz/services/teitok/pdtc10/index.php?action=vallex&amp;frame=v-w2099f2_ZU", "namalovat (v-w2099f2_ZU) - substituted with v-w2099f3_ZU")</f>
        <v>namalovat (v-w2099f2_ZU) - substituted with v-w2099f3_ZU</v>
      </c>
    </row>
    <row r="17334" customFormat="false" ht="12.8" hidden="false" customHeight="false" outlineLevel="0" collapsed="false">
      <c r="B17334" s="0" t="s">
        <v>1</v>
      </c>
    </row>
    <row r="17335" customFormat="false" ht="12.8" hidden="false" customHeight="false" outlineLevel="0" collapsed="false">
      <c r="B17335" s="0" t="s">
        <v>8</v>
      </c>
    </row>
    <row r="17337" customFormat="false" ht="12.8" hidden="false" customHeight="false" outlineLevel="0" collapsed="false">
      <c r="A17337" s="0" t="s">
        <v>7404</v>
      </c>
      <c r="B17337" s="0" t="str">
        <f aca="false">HYPERLINK("https://lindat.mff.cuni.cz/services/teitok/pdtc10/index.php?action=vallex&amp;frame=v-w12093_ZUf1_ZU", "namasírovat (v-w12093_ZUf1_ZU)")</f>
        <v>namasírovat (v-w12093_ZUf1_ZU)</v>
      </c>
    </row>
    <row r="17338" customFormat="false" ht="12.8" hidden="false" customHeight="false" outlineLevel="0" collapsed="false">
      <c r="B17338" s="0" t="s">
        <v>1</v>
      </c>
    </row>
    <row r="17339" customFormat="false" ht="12.8" hidden="false" customHeight="false" outlineLevel="0" collapsed="false">
      <c r="B17339" s="0" t="s">
        <v>8</v>
      </c>
    </row>
    <row r="17341" customFormat="false" ht="12.8" hidden="false" customHeight="false" outlineLevel="0" collapsed="false">
      <c r="A17341" s="0" t="s">
        <v>7405</v>
      </c>
      <c r="B17341" s="0" t="str">
        <f aca="false">HYPERLINK("https://lindat.mff.cuni.cz/services/teitok/pdtc10/index.php?action=vallex&amp;frame=v-whsa_1566f1_ZU", "namazat (v-whsa_1566f1_ZU)")</f>
        <v>namazat (v-whsa_1566f1_ZU)</v>
      </c>
    </row>
    <row r="17342" customFormat="false" ht="12.8" hidden="false" customHeight="false" outlineLevel="0" collapsed="false">
      <c r="B17342" s="0" t="s">
        <v>1</v>
      </c>
    </row>
    <row r="17343" customFormat="false" ht="12.8" hidden="false" customHeight="false" outlineLevel="0" collapsed="false">
      <c r="B17343" s="0" t="s">
        <v>8</v>
      </c>
    </row>
    <row r="17344" customFormat="false" ht="12.8" hidden="false" customHeight="false" outlineLevel="0" collapsed="false">
      <c r="B17344" s="0" t="s">
        <v>454</v>
      </c>
    </row>
    <row r="17346" customFormat="false" ht="12.8" hidden="false" customHeight="false" outlineLevel="0" collapsed="false">
      <c r="A17346" s="0" t="s">
        <v>7406</v>
      </c>
      <c r="B17346" s="0" t="str">
        <f aca="false">HYPERLINK("https://lindat.mff.cuni.cz/services/teitok/pdtc10/index.php?action=vallex&amp;frame=v-whsa_1566hsa_1567", "namazat (v-whsa_1566hsa_1567)")</f>
        <v>namazat (v-whsa_1566hsa_1567)</v>
      </c>
    </row>
    <row r="17347" customFormat="false" ht="12.8" hidden="false" customHeight="false" outlineLevel="0" collapsed="false">
      <c r="B17347" s="0" t="s">
        <v>1</v>
      </c>
    </row>
    <row r="17348" customFormat="false" ht="12.8" hidden="false" customHeight="false" outlineLevel="0" collapsed="false">
      <c r="B17348" s="0" t="s">
        <v>8</v>
      </c>
    </row>
    <row r="17350" customFormat="false" ht="12.8" hidden="false" customHeight="false" outlineLevel="0" collapsed="false">
      <c r="A17350" s="0" t="s">
        <v>7407</v>
      </c>
      <c r="B17350" s="0" t="str">
        <f aca="false">HYPERLINK("https://lindat.mff.cuni.cz/services/teitok/pdtc10/index.php?action=vallex&amp;frame=v-w11799_ZUf1_ZU", "namazat se (v-w11799_ZUf1_ZU)")</f>
        <v>namazat se (v-w11799_ZUf1_ZU)</v>
      </c>
    </row>
    <row r="17351" customFormat="false" ht="12.8" hidden="false" customHeight="false" outlineLevel="0" collapsed="false">
      <c r="B17351" s="0" t="s">
        <v>1</v>
      </c>
    </row>
    <row r="17353" customFormat="false" ht="12.8" hidden="false" customHeight="false" outlineLevel="0" collapsed="false">
      <c r="A17353" s="0" t="s">
        <v>7408</v>
      </c>
      <c r="B17353" s="0" t="str">
        <f aca="false">HYPERLINK("https://lindat.mff.cuni.cz/services/teitok/pdtc10/index.php?action=vallex&amp;frame=v-whsa_109hsa_110", "namačkat (v-whsa_109hsa_110)")</f>
        <v>namačkat (v-whsa_109hsa_110)</v>
      </c>
      <c r="E17353" s="0" t="str">
        <f aca="false">HYPERLINK("https://lindat.mff.cuni.cz/services/SynSemClass40/SynSemClass40.html?veclass=vec00735#vec00735-ces-cm00151", "vec00735")</f>
        <v>vec00735</v>
      </c>
      <c r="F17353" s="0" t="s">
        <v>2719</v>
      </c>
      <c r="H17353" s="0" t="str">
        <f aca="false">HYPERLINK("https://lindat.mff.cuni.cz/services/SynSemClass40/SynSemClass40.html?veclass=vec00841#vec00841-ces-cm00004", "vec00841")</f>
        <v>vec00841</v>
      </c>
      <c r="I17353" s="0" t="s">
        <v>7095</v>
      </c>
    </row>
    <row r="17354" customFormat="false" ht="12.8" hidden="false" customHeight="false" outlineLevel="0" collapsed="false">
      <c r="B17354" s="0" t="s">
        <v>1</v>
      </c>
      <c r="C17354" s="0" t="s">
        <v>7409</v>
      </c>
      <c r="E17354" s="0" t="s">
        <v>334</v>
      </c>
      <c r="F17354" s="0" t="s">
        <v>2721</v>
      </c>
      <c r="H17354" s="0" t="s">
        <v>11</v>
      </c>
      <c r="I17354" s="0" t="s">
        <v>7097</v>
      </c>
    </row>
    <row r="17355" customFormat="false" ht="12.8" hidden="false" customHeight="false" outlineLevel="0" collapsed="false">
      <c r="B17355" s="0" t="s">
        <v>8</v>
      </c>
      <c r="C17355" s="0" t="s">
        <v>7410</v>
      </c>
      <c r="E17355" s="0" t="s">
        <v>2648</v>
      </c>
      <c r="F17355" s="0" t="s">
        <v>2723</v>
      </c>
      <c r="H17355" s="0" t="s">
        <v>7105</v>
      </c>
      <c r="I17355" s="0" t="s">
        <v>7106</v>
      </c>
    </row>
    <row r="17356" customFormat="false" ht="12.8" hidden="false" customHeight="false" outlineLevel="0" collapsed="false">
      <c r="B17356" s="0" t="s">
        <v>164</v>
      </c>
      <c r="C17356" s="0" t="s">
        <v>7411</v>
      </c>
      <c r="E17356" s="0" t="s">
        <v>370</v>
      </c>
      <c r="F17356" s="0" t="s">
        <v>2725</v>
      </c>
      <c r="H17356" s="0" t="s">
        <v>4408</v>
      </c>
      <c r="I17356" s="0" t="s">
        <v>7108</v>
      </c>
    </row>
    <row r="17358" customFormat="false" ht="12.8" hidden="false" customHeight="false" outlineLevel="0" collapsed="false">
      <c r="A17358" s="0" t="s">
        <v>7412</v>
      </c>
      <c r="B17358" s="0" t="str">
        <f aca="false">HYPERLINK("https://lindat.mff.cuni.cz/services/teitok/pdtc10/index.php?action=vallex&amp;frame=v-w11495f1", "namačkat se (v-w11495f1)")</f>
        <v>namačkat se (v-w11495f1)</v>
      </c>
      <c r="E17358" s="0" t="str">
        <f aca="false">HYPERLINK("https://lindat.mff.cuni.cz/services/SynSemClass40/SynSemClass40.html?veclass=vec00833#vec00833-ces-cm00003", "vec00833")</f>
        <v>vec00833</v>
      </c>
      <c r="F17358" s="0" t="s">
        <v>6223</v>
      </c>
    </row>
    <row r="17359" customFormat="false" ht="12.8" hidden="false" customHeight="false" outlineLevel="0" collapsed="false">
      <c r="B17359" s="0" t="s">
        <v>1</v>
      </c>
      <c r="C17359" s="0" t="s">
        <v>6224</v>
      </c>
      <c r="E17359" s="0" t="s">
        <v>11</v>
      </c>
      <c r="F17359" s="0" t="s">
        <v>6225</v>
      </c>
    </row>
    <row r="17360" customFormat="false" ht="12.8" hidden="false" customHeight="false" outlineLevel="0" collapsed="false">
      <c r="B17360" s="0" t="s">
        <v>164</v>
      </c>
      <c r="C17360" s="0" t="s">
        <v>7413</v>
      </c>
      <c r="E17360" s="0" t="s">
        <v>370</v>
      </c>
      <c r="F17360" s="0" t="s">
        <v>7414</v>
      </c>
    </row>
    <row r="17362" customFormat="false" ht="12.8" hidden="false" customHeight="false" outlineLevel="0" collapsed="false">
      <c r="A17362" s="0" t="s">
        <v>7415</v>
      </c>
      <c r="B17362" s="0" t="str">
        <f aca="false">HYPERLINK("https://lindat.mff.cuni.cz/services/teitok/pdtc10/index.php?action=vallex&amp;frame=v-w10997f2", "namixovat (v-w10997f2)")</f>
        <v>namixovat (v-w10997f2)</v>
      </c>
      <c r="E17362" s="0" t="str">
        <f aca="false">HYPERLINK("https://lindat.mff.cuni.cz/services/SynSemClass40/SynSemClass40.html?veclass=vec00623#vec00623-ces-cm00003", "vec00623")</f>
        <v>vec00623</v>
      </c>
      <c r="F17362" s="0" t="s">
        <v>5439</v>
      </c>
    </row>
    <row r="17363" customFormat="false" ht="12.8" hidden="false" customHeight="false" outlineLevel="0" collapsed="false">
      <c r="B17363" s="0" t="s">
        <v>1</v>
      </c>
      <c r="C17363" s="0" t="s">
        <v>5440</v>
      </c>
      <c r="E17363" s="0" t="s">
        <v>31</v>
      </c>
      <c r="F17363" s="0" t="s">
        <v>5441</v>
      </c>
    </row>
    <row r="17364" customFormat="false" ht="12.8" hidden="false" customHeight="false" outlineLevel="0" collapsed="false">
      <c r="B17364" s="0" t="s">
        <v>8</v>
      </c>
      <c r="C17364" s="0" t="s">
        <v>5442</v>
      </c>
      <c r="E17364" s="0" t="s">
        <v>4852</v>
      </c>
      <c r="F17364" s="0" t="s">
        <v>5443</v>
      </c>
    </row>
    <row r="17365" customFormat="false" ht="12.8" hidden="false" customHeight="false" outlineLevel="0" collapsed="false">
      <c r="B17365" s="0" t="s">
        <v>3537</v>
      </c>
      <c r="C17365" s="0" t="s">
        <v>5444</v>
      </c>
      <c r="E17365" s="0" t="s">
        <v>5445</v>
      </c>
      <c r="F17365" s="0" t="s">
        <v>5446</v>
      </c>
    </row>
    <row r="17367" customFormat="false" ht="12.8" hidden="false" customHeight="false" outlineLevel="0" collapsed="false">
      <c r="A17367" s="0" t="s">
        <v>7416</v>
      </c>
      <c r="B17367" s="0" t="str">
        <f aca="false">HYPERLINK("https://lindat.mff.cuni.cz/services/teitok/pdtc10/index.php?action=vallex&amp;frame=v-whsb_308f1_MM", "namlouvat (v-whsb_308f1_MM)")</f>
        <v>namlouvat (v-whsb_308f1_MM)</v>
      </c>
    </row>
    <row r="17368" customFormat="false" ht="12.8" hidden="false" customHeight="false" outlineLevel="0" collapsed="false">
      <c r="B17368" s="0" t="s">
        <v>1</v>
      </c>
    </row>
    <row r="17369" customFormat="false" ht="12.8" hidden="false" customHeight="false" outlineLevel="0" collapsed="false">
      <c r="B17369" s="0" t="s">
        <v>8</v>
      </c>
    </row>
    <row r="17370" customFormat="false" ht="12.8" hidden="false" customHeight="false" outlineLevel="0" collapsed="false">
      <c r="B17370" s="0" t="s">
        <v>52</v>
      </c>
    </row>
    <row r="17372" customFormat="false" ht="12.8" hidden="false" customHeight="false" outlineLevel="0" collapsed="false">
      <c r="A17372" s="0" t="s">
        <v>7417</v>
      </c>
      <c r="B17372" s="0" t="str">
        <f aca="false">HYPERLINK("https://lindat.mff.cuni.cz/services/teitok/pdtc10/index.php?action=vallex&amp;frame=v-whsb_308hsa_309", "namlouvat (v-whsb_308hsa_309)")</f>
        <v>namlouvat (v-whsb_308hsa_309)</v>
      </c>
    </row>
    <row r="17373" customFormat="false" ht="12.8" hidden="false" customHeight="false" outlineLevel="0" collapsed="false">
      <c r="B17373" s="0" t="s">
        <v>1</v>
      </c>
    </row>
    <row r="17374" customFormat="false" ht="12.8" hidden="false" customHeight="false" outlineLevel="0" collapsed="false">
      <c r="B17374" s="0" t="s">
        <v>8</v>
      </c>
    </row>
    <row r="17376" customFormat="false" ht="12.8" hidden="false" customHeight="false" outlineLevel="0" collapsed="false">
      <c r="A17376" s="0" t="s">
        <v>7418</v>
      </c>
      <c r="B17376" s="0" t="str">
        <f aca="false">HYPERLINK("https://lindat.mff.cuni.cz/services/teitok/pdtc10/index.php?action=vallex&amp;frame=v-whsa_308hsa_310", "namlouvat (v-whsa_308hsa_310)")</f>
        <v>namlouvat (v-whsa_308hsa_310)</v>
      </c>
    </row>
    <row r="17377" customFormat="false" ht="12.8" hidden="false" customHeight="false" outlineLevel="0" collapsed="false">
      <c r="B17377" s="0" t="s">
        <v>1</v>
      </c>
    </row>
    <row r="17378" customFormat="false" ht="12.8" hidden="false" customHeight="false" outlineLevel="0" collapsed="false">
      <c r="B17378" s="0" t="s">
        <v>59</v>
      </c>
    </row>
    <row r="17379" customFormat="false" ht="12.8" hidden="false" customHeight="false" outlineLevel="0" collapsed="false">
      <c r="B17379" s="0" t="s">
        <v>52</v>
      </c>
    </row>
    <row r="17381" customFormat="false" ht="12.8" hidden="false" customHeight="false" outlineLevel="0" collapsed="false">
      <c r="A17381" s="0" t="s">
        <v>7419</v>
      </c>
      <c r="B17381" s="0" t="str">
        <f aca="false">HYPERLINK("https://lindat.mff.cuni.cz/services/teitok/pdtc10/index.php?action=vallex&amp;frame=v-w2109f1", "namluvit (v-w2109f1)")</f>
        <v>namluvit (v-w2109f1)</v>
      </c>
    </row>
    <row r="17382" customFormat="false" ht="12.8" hidden="false" customHeight="false" outlineLevel="0" collapsed="false">
      <c r="B17382" s="0" t="s">
        <v>1</v>
      </c>
    </row>
    <row r="17383" customFormat="false" ht="12.8" hidden="false" customHeight="false" outlineLevel="0" collapsed="false">
      <c r="B17383" s="0" t="s">
        <v>8</v>
      </c>
    </row>
    <row r="17385" customFormat="false" ht="12.8" hidden="false" customHeight="false" outlineLevel="0" collapsed="false">
      <c r="A17385" s="0" t="s">
        <v>7420</v>
      </c>
      <c r="B17385" s="0" t="str">
        <f aca="false">HYPERLINK("https://lindat.mff.cuni.cz/services/teitok/pdtc10/index.php?action=vallex&amp;frame=v-w2109hsa_1769", "namluvit (v-w2109hsa_1769)")</f>
        <v>namluvit (v-w2109hsa_1769)</v>
      </c>
    </row>
    <row r="17386" customFormat="false" ht="12.8" hidden="false" customHeight="false" outlineLevel="0" collapsed="false">
      <c r="B17386" s="0" t="s">
        <v>1</v>
      </c>
    </row>
    <row r="17387" customFormat="false" ht="12.8" hidden="false" customHeight="false" outlineLevel="0" collapsed="false">
      <c r="B17387" s="0" t="s">
        <v>8</v>
      </c>
    </row>
    <row r="17388" customFormat="false" ht="12.8" hidden="false" customHeight="false" outlineLevel="0" collapsed="false">
      <c r="B17388" s="0" t="s">
        <v>52</v>
      </c>
    </row>
    <row r="17390" customFormat="false" ht="12.8" hidden="false" customHeight="false" outlineLevel="0" collapsed="false">
      <c r="A17390" s="0" t="s">
        <v>7421</v>
      </c>
      <c r="B17390" s="0" t="str">
        <f aca="false">HYPERLINK("https://lindat.mff.cuni.cz/services/teitok/pdtc10/index.php?action=vallex&amp;frame=v-w2109hsa_1770", "namluvit (v-w2109hsa_1770)")</f>
        <v>namluvit (v-w2109hsa_1770)</v>
      </c>
    </row>
    <row r="17391" customFormat="false" ht="12.8" hidden="false" customHeight="false" outlineLevel="0" collapsed="false">
      <c r="B17391" s="0" t="s">
        <v>1</v>
      </c>
    </row>
    <row r="17392" customFormat="false" ht="12.8" hidden="false" customHeight="false" outlineLevel="0" collapsed="false">
      <c r="B17392" s="0" t="s">
        <v>8</v>
      </c>
    </row>
    <row r="17394" customFormat="false" ht="12.8" hidden="false" customHeight="false" outlineLevel="0" collapsed="false">
      <c r="A17394" s="0" t="s">
        <v>7422</v>
      </c>
      <c r="B17394" s="0" t="str">
        <f aca="false">HYPERLINK("https://lindat.mff.cuni.cz/services/teitok/pdtc10/index.php?action=vallex&amp;frame=v-whsa_24f1_ZU", "namlít (v-whsa_24f1_ZU)")</f>
        <v>namlít (v-whsa_24f1_ZU)</v>
      </c>
    </row>
    <row r="17395" customFormat="false" ht="12.8" hidden="false" customHeight="false" outlineLevel="0" collapsed="false">
      <c r="B17395" s="0" t="s">
        <v>1</v>
      </c>
    </row>
    <row r="17396" customFormat="false" ht="12.8" hidden="false" customHeight="false" outlineLevel="0" collapsed="false">
      <c r="B17396" s="0" t="s">
        <v>8</v>
      </c>
    </row>
    <row r="17397" customFormat="false" ht="12.8" hidden="false" customHeight="false" outlineLevel="0" collapsed="false">
      <c r="B17397" s="0" t="s">
        <v>101</v>
      </c>
    </row>
    <row r="17399" customFormat="false" ht="12.8" hidden="false" customHeight="false" outlineLevel="0" collapsed="false">
      <c r="A17399" s="0" t="s">
        <v>7422</v>
      </c>
      <c r="B17399" s="0" t="str">
        <f aca="false">HYPERLINK("https://lindat.mff.cuni.cz/services/teitok/pdtc10/index.php?action=vallex&amp;frame=v-whsa_24hsa_25", "namlít (v-whsa_24hsa_25) - substituted with v-whsa_24f1_ZU")</f>
        <v>namlít (v-whsa_24hsa_25) - substituted with v-whsa_24f1_ZU</v>
      </c>
    </row>
    <row r="17400" customFormat="false" ht="12.8" hidden="false" customHeight="false" outlineLevel="0" collapsed="false">
      <c r="B17400" s="0" t="s">
        <v>1</v>
      </c>
    </row>
    <row r="17401" customFormat="false" ht="12.8" hidden="false" customHeight="false" outlineLevel="0" collapsed="false">
      <c r="B17401" s="0" t="s">
        <v>8</v>
      </c>
    </row>
    <row r="17402" customFormat="false" ht="12.8" hidden="false" customHeight="false" outlineLevel="0" collapsed="false">
      <c r="B17402" s="0" t="s">
        <v>101</v>
      </c>
    </row>
    <row r="17404" customFormat="false" ht="12.8" hidden="false" customHeight="false" outlineLevel="0" collapsed="false">
      <c r="A17404" s="0" t="s">
        <v>7423</v>
      </c>
      <c r="B17404" s="0" t="str">
        <f aca="false">HYPERLINK("https://lindat.mff.cuni.cz/services/teitok/pdtc10/index.php?action=vallex&amp;frame=v-w2111f1", "namnožit (v-w2111f1)")</f>
        <v>namnožit (v-w2111f1)</v>
      </c>
      <c r="E17404" s="0" t="str">
        <f aca="false">HYPERLINK("https://lindat.mff.cuni.cz/services/SynSemClass40/SynSemClass40.html?veclass=vec01246#vec01246-ces-cm00005", "vec01246")</f>
        <v>vec01246</v>
      </c>
      <c r="F17404" s="0" t="s">
        <v>5636</v>
      </c>
    </row>
    <row r="17405" customFormat="false" ht="12.8" hidden="false" customHeight="false" outlineLevel="0" collapsed="false">
      <c r="B17405" s="0" t="s">
        <v>1</v>
      </c>
      <c r="C17405" s="0" t="s">
        <v>447</v>
      </c>
      <c r="E17405" s="0" t="s">
        <v>768</v>
      </c>
      <c r="F17405" s="0" t="s">
        <v>5637</v>
      </c>
    </row>
    <row r="17406" customFormat="false" ht="12.8" hidden="false" customHeight="false" outlineLevel="0" collapsed="false">
      <c r="B17406" s="0" t="s">
        <v>8</v>
      </c>
      <c r="C17406" s="0" t="s">
        <v>827</v>
      </c>
      <c r="E17406" s="0" t="s">
        <v>1569</v>
      </c>
      <c r="F17406" s="0" t="s">
        <v>5638</v>
      </c>
    </row>
    <row r="17408" customFormat="false" ht="12.8" hidden="false" customHeight="false" outlineLevel="0" collapsed="false">
      <c r="A17408" s="0" t="s">
        <v>7424</v>
      </c>
      <c r="B17408" s="0" t="str">
        <f aca="false">HYPERLINK("https://lindat.mff.cuni.cz/services/teitok/pdtc10/index.php?action=vallex&amp;frame=v-w11260f1", "namoci si (v-w11260f1)")</f>
        <v>namoci si (v-w11260f1)</v>
      </c>
    </row>
    <row r="17409" customFormat="false" ht="12.8" hidden="false" customHeight="false" outlineLevel="0" collapsed="false">
      <c r="B17409" s="0" t="s">
        <v>1</v>
      </c>
    </row>
    <row r="17410" customFormat="false" ht="12.8" hidden="false" customHeight="false" outlineLevel="0" collapsed="false">
      <c r="B17410" s="0" t="s">
        <v>8</v>
      </c>
    </row>
    <row r="17412" customFormat="false" ht="12.8" hidden="false" customHeight="false" outlineLevel="0" collapsed="false">
      <c r="A17412" s="0" t="s">
        <v>7425</v>
      </c>
      <c r="B17412" s="0" t="str">
        <f aca="false">HYPERLINK("https://lindat.mff.cuni.cz/services/teitok/pdtc10/index.php?action=vallex&amp;frame=v-w2113f2", "namontovat (v-w2113f2)")</f>
        <v>namontovat (v-w2113f2)</v>
      </c>
    </row>
    <row r="17413" customFormat="false" ht="12.8" hidden="false" customHeight="false" outlineLevel="0" collapsed="false">
      <c r="B17413" s="0" t="s">
        <v>1</v>
      </c>
    </row>
    <row r="17414" customFormat="false" ht="12.8" hidden="false" customHeight="false" outlineLevel="0" collapsed="false">
      <c r="B17414" s="0" t="s">
        <v>8</v>
      </c>
    </row>
    <row r="17415" customFormat="false" ht="12.8" hidden="false" customHeight="false" outlineLevel="0" collapsed="false">
      <c r="B17415" s="0" t="s">
        <v>5</v>
      </c>
    </row>
    <row r="17417" customFormat="false" ht="12.8" hidden="false" customHeight="false" outlineLevel="0" collapsed="false">
      <c r="A17417" s="0" t="s">
        <v>7426</v>
      </c>
      <c r="B17417" s="0" t="str">
        <f aca="false">HYPERLINK("https://lindat.mff.cuni.cz/services/teitok/pdtc10/index.php?action=vallex&amp;frame=v-w2113f1", "namontovat (v-w2113f1)")</f>
        <v>namontovat (v-w2113f1)</v>
      </c>
    </row>
    <row r="17418" customFormat="false" ht="12.8" hidden="false" customHeight="false" outlineLevel="0" collapsed="false">
      <c r="B17418" s="0" t="s">
        <v>1</v>
      </c>
    </row>
    <row r="17419" customFormat="false" ht="12.8" hidden="false" customHeight="false" outlineLevel="0" collapsed="false">
      <c r="B17419" s="0" t="s">
        <v>8</v>
      </c>
    </row>
    <row r="17420" customFormat="false" ht="12.8" hidden="false" customHeight="false" outlineLevel="0" collapsed="false">
      <c r="B17420" s="0" t="s">
        <v>164</v>
      </c>
    </row>
    <row r="17422" customFormat="false" ht="12.8" hidden="false" customHeight="false" outlineLevel="0" collapsed="false">
      <c r="A17422" s="0" t="s">
        <v>7427</v>
      </c>
      <c r="B17422" s="0" t="str">
        <f aca="false">HYPERLINK("https://lindat.mff.cuni.cz/services/teitok/pdtc10/index.php?action=vallex&amp;frame=v-w11698_ZUf1_ZU", "namotat (v-w11698_ZUf1_ZU)")</f>
        <v>namotat (v-w11698_ZUf1_ZU)</v>
      </c>
    </row>
    <row r="17423" customFormat="false" ht="12.8" hidden="false" customHeight="false" outlineLevel="0" collapsed="false">
      <c r="B17423" s="0" t="s">
        <v>1</v>
      </c>
    </row>
    <row r="17424" customFormat="false" ht="12.8" hidden="false" customHeight="false" outlineLevel="0" collapsed="false">
      <c r="B17424" s="0" t="s">
        <v>8</v>
      </c>
    </row>
    <row r="17425" customFormat="false" ht="12.8" hidden="false" customHeight="false" outlineLevel="0" collapsed="false">
      <c r="B17425" s="0" t="s">
        <v>164</v>
      </c>
    </row>
    <row r="17427" customFormat="false" ht="12.8" hidden="false" customHeight="false" outlineLevel="0" collapsed="false">
      <c r="A17427" s="0" t="s">
        <v>7428</v>
      </c>
      <c r="B17427" s="0" t="str">
        <f aca="false">HYPERLINK("https://lindat.mff.cuni.cz/services/teitok/pdtc10/index.php?action=vallex&amp;frame=v-w11254f1", "namotat se (v-w11254f1)")</f>
        <v>namotat se (v-w11254f1)</v>
      </c>
    </row>
    <row r="17428" customFormat="false" ht="12.8" hidden="false" customHeight="false" outlineLevel="0" collapsed="false">
      <c r="B17428" s="0" t="s">
        <v>1</v>
      </c>
    </row>
    <row r="17429" customFormat="false" ht="12.8" hidden="false" customHeight="false" outlineLevel="0" collapsed="false">
      <c r="B17429" s="0" t="s">
        <v>164</v>
      </c>
    </row>
    <row r="17431" customFormat="false" ht="12.8" hidden="false" customHeight="false" outlineLevel="0" collapsed="false">
      <c r="A17431" s="0" t="s">
        <v>7429</v>
      </c>
      <c r="B17431" s="0" t="str">
        <f aca="false">HYPERLINK("https://lindat.mff.cuni.cz/services/teitok/pdtc10/index.php?action=vallex&amp;frame=v-whsa_1678hsa_1679", "namočit (v-whsa_1678hsa_1679)")</f>
        <v>namočit (v-whsa_1678hsa_1679)</v>
      </c>
    </row>
    <row r="17432" customFormat="false" ht="12.8" hidden="false" customHeight="false" outlineLevel="0" collapsed="false">
      <c r="B17432" s="0" t="s">
        <v>1</v>
      </c>
    </row>
    <row r="17433" customFormat="false" ht="12.8" hidden="false" customHeight="false" outlineLevel="0" collapsed="false">
      <c r="B17433" s="0" t="s">
        <v>8</v>
      </c>
    </row>
    <row r="17435" customFormat="false" ht="12.8" hidden="false" customHeight="false" outlineLevel="0" collapsed="false">
      <c r="A17435" s="0" t="s">
        <v>7430</v>
      </c>
      <c r="B17435" s="0" t="str">
        <f aca="false">HYPERLINK("https://lindat.mff.cuni.cz/services/teitok/pdtc10/index.php?action=vallex&amp;frame=v-w2112f1", "namočit se (v-w2112f1)")</f>
        <v>namočit se (v-w2112f1)</v>
      </c>
    </row>
    <row r="17436" customFormat="false" ht="12.8" hidden="false" customHeight="false" outlineLevel="0" collapsed="false">
      <c r="B17436" s="0" t="s">
        <v>1</v>
      </c>
    </row>
    <row r="17437" customFormat="false" ht="12.8" hidden="false" customHeight="false" outlineLevel="0" collapsed="false">
      <c r="B17437" s="0" t="s">
        <v>164</v>
      </c>
    </row>
    <row r="17439" customFormat="false" ht="12.8" hidden="false" customHeight="false" outlineLevel="0" collapsed="false">
      <c r="A17439" s="0" t="s">
        <v>7431</v>
      </c>
      <c r="B17439" s="0" t="str">
        <f aca="false">HYPERLINK("https://lindat.mff.cuni.cz/services/teitok/pdtc10/index.php?action=vallex&amp;frame=v-w2112f3_ZU", "namočit se (v-w2112f3_ZU)")</f>
        <v>namočit se (v-w2112f3_ZU)</v>
      </c>
    </row>
    <row r="17440" customFormat="false" ht="12.8" hidden="false" customHeight="false" outlineLevel="0" collapsed="false">
      <c r="B17440" s="0" t="s">
        <v>1</v>
      </c>
    </row>
    <row r="17442" customFormat="false" ht="12.8" hidden="false" customHeight="false" outlineLevel="0" collapsed="false">
      <c r="A17442" s="0" t="s">
        <v>7431</v>
      </c>
      <c r="B17442" s="0" t="str">
        <f aca="false">HYPERLINK("https://lindat.mff.cuni.cz/services/teitok/pdtc10/index.php?action=vallex&amp;frame=v-w2112f2_ZU", "namočit se (v-w2112f2_ZU) - substituted with v-w2112f3_ZU")</f>
        <v>namočit se (v-w2112f2_ZU) - substituted with v-w2112f3_ZU</v>
      </c>
    </row>
    <row r="17443" customFormat="false" ht="12.8" hidden="false" customHeight="false" outlineLevel="0" collapsed="false">
      <c r="B17443" s="0" t="s">
        <v>1</v>
      </c>
    </row>
    <row r="17445" customFormat="false" ht="12.8" hidden="false" customHeight="false" outlineLevel="0" collapsed="false">
      <c r="A17445" s="0" t="s">
        <v>7432</v>
      </c>
      <c r="B17445" s="0" t="str">
        <f aca="false">HYPERLINK("https://lindat.mff.cuni.cz/services/teitok/pdtc10/index.php?action=vallex&amp;frame=v-w12203_ZUf1_ZU", "namrazit (v-w12203_ZUf1_ZU)")</f>
        <v>namrazit (v-w12203_ZUf1_ZU)</v>
      </c>
    </row>
    <row r="17446" customFormat="false" ht="12.8" hidden="false" customHeight="false" outlineLevel="0" collapsed="false">
      <c r="B17446" s="0" t="s">
        <v>1</v>
      </c>
    </row>
    <row r="17447" customFormat="false" ht="12.8" hidden="false" customHeight="false" outlineLevel="0" collapsed="false">
      <c r="B17447" s="0" t="s">
        <v>8</v>
      </c>
    </row>
    <row r="17449" customFormat="false" ht="12.8" hidden="false" customHeight="false" outlineLevel="0" collapsed="false">
      <c r="A17449" s="0" t="s">
        <v>7433</v>
      </c>
      <c r="B17449" s="0" t="str">
        <f aca="false">HYPERLINK("https://lindat.mff.cuni.cz/services/teitok/pdtc10/index.php?action=vallex&amp;frame=v-whsb_335hsa_336", "namrzat (v-whsb_335hsa_336)")</f>
        <v>namrzat (v-whsb_335hsa_336)</v>
      </c>
    </row>
    <row r="17450" customFormat="false" ht="12.8" hidden="false" customHeight="false" outlineLevel="0" collapsed="false">
      <c r="B17450" s="0" t="s">
        <v>1</v>
      </c>
    </row>
    <row r="17452" customFormat="false" ht="12.8" hidden="false" customHeight="false" outlineLevel="0" collapsed="false">
      <c r="A17452" s="0" t="s">
        <v>7434</v>
      </c>
      <c r="B17452" s="0" t="str">
        <f aca="false">HYPERLINK("https://lindat.mff.cuni.cz/services/teitok/pdtc10/index.php?action=vallex&amp;frame=v-w2097f1", "namáhat (v-w2097f1)")</f>
        <v>namáhat (v-w2097f1)</v>
      </c>
    </row>
    <row r="17453" customFormat="false" ht="12.8" hidden="false" customHeight="false" outlineLevel="0" collapsed="false">
      <c r="B17453" s="0" t="s">
        <v>1</v>
      </c>
    </row>
    <row r="17454" customFormat="false" ht="12.8" hidden="false" customHeight="false" outlineLevel="0" collapsed="false">
      <c r="B17454" s="0" t="s">
        <v>8</v>
      </c>
    </row>
    <row r="17456" customFormat="false" ht="12.8" hidden="false" customHeight="false" outlineLevel="0" collapsed="false">
      <c r="A17456" s="0" t="s">
        <v>7435</v>
      </c>
      <c r="B17456" s="0" t="str">
        <f aca="false">HYPERLINK("https://lindat.mff.cuni.cz/services/teitok/pdtc10/index.php?action=vallex&amp;frame=v-w2098f1", "namáhat se (v-w2098f1)")</f>
        <v>namáhat se (v-w2098f1)</v>
      </c>
    </row>
    <row r="17457" customFormat="false" ht="12.8" hidden="false" customHeight="false" outlineLevel="0" collapsed="false">
      <c r="B17457" s="0" t="s">
        <v>1</v>
      </c>
    </row>
    <row r="17458" customFormat="false" ht="12.8" hidden="false" customHeight="false" outlineLevel="0" collapsed="false">
      <c r="B17458" s="0" t="s">
        <v>886</v>
      </c>
    </row>
    <row r="17460" customFormat="false" ht="12.8" hidden="false" customHeight="false" outlineLevel="0" collapsed="false">
      <c r="A17460" s="0" t="s">
        <v>7436</v>
      </c>
      <c r="B17460" s="0" t="str">
        <f aca="false">HYPERLINK("https://lindat.mff.cuni.cz/services/teitok/pdtc10/index.php?action=vallex&amp;frame=v-w11734_ZUf1_ZU", "namáčet (v-w11734_ZUf1_ZU)")</f>
        <v>namáčet (v-w11734_ZUf1_ZU)</v>
      </c>
    </row>
    <row r="17461" customFormat="false" ht="12.8" hidden="false" customHeight="false" outlineLevel="0" collapsed="false">
      <c r="B17461" s="0" t="s">
        <v>1</v>
      </c>
    </row>
    <row r="17462" customFormat="false" ht="12.8" hidden="false" customHeight="false" outlineLevel="0" collapsed="false">
      <c r="B17462" s="0" t="s">
        <v>8</v>
      </c>
    </row>
    <row r="17464" customFormat="false" ht="12.8" hidden="false" customHeight="false" outlineLevel="0" collapsed="false">
      <c r="A17464" s="0" t="s">
        <v>7437</v>
      </c>
      <c r="B17464" s="0" t="str">
        <f aca="false">HYPERLINK("https://lindat.mff.cuni.cz/services/teitok/pdtc10/index.php?action=vallex&amp;frame=v-w2103f2_ZU", "namíchat (v-w2103f2_ZU)")</f>
        <v>namíchat (v-w2103f2_ZU)</v>
      </c>
    </row>
    <row r="17465" customFormat="false" ht="12.8" hidden="false" customHeight="false" outlineLevel="0" collapsed="false">
      <c r="B17465" s="0" t="s">
        <v>1</v>
      </c>
    </row>
    <row r="17466" customFormat="false" ht="12.8" hidden="false" customHeight="false" outlineLevel="0" collapsed="false">
      <c r="B17466" s="0" t="s">
        <v>305</v>
      </c>
    </row>
    <row r="17467" customFormat="false" ht="12.8" hidden="false" customHeight="false" outlineLevel="0" collapsed="false">
      <c r="B17467" s="0" t="s">
        <v>36</v>
      </c>
    </row>
    <row r="17469" customFormat="false" ht="12.8" hidden="false" customHeight="false" outlineLevel="0" collapsed="false">
      <c r="A17469" s="0" t="s">
        <v>7437</v>
      </c>
      <c r="B17469" s="0" t="str">
        <f aca="false">HYPERLINK("https://lindat.mff.cuni.cz/services/teitok/pdtc10/index.php?action=vallex&amp;frame=v-w2103f1", "namíchat (v-w2103f1) - substituted with v-w2103f2_ZU")</f>
        <v>namíchat (v-w2103f1) - substituted with v-w2103f2_ZU</v>
      </c>
      <c r="E17469" s="0" t="str">
        <f aca="false">HYPERLINK("https://lindat.mff.cuni.cz/services/SynSemClass40/SynSemClass40.html?veclass=vec01519#vec01519-ces-cm00009", "vec01519")</f>
        <v>vec01519</v>
      </c>
      <c r="F17469" s="0" t="s">
        <v>6441</v>
      </c>
    </row>
    <row r="17470" customFormat="false" ht="12.8" hidden="false" customHeight="false" outlineLevel="0" collapsed="false">
      <c r="B17470" s="0" t="s">
        <v>1</v>
      </c>
      <c r="C17470" s="0" t="s">
        <v>6442</v>
      </c>
      <c r="E17470" s="0" t="s">
        <v>768</v>
      </c>
      <c r="F17470" s="0" t="s">
        <v>6443</v>
      </c>
    </row>
    <row r="17471" customFormat="false" ht="12.8" hidden="false" customHeight="false" outlineLevel="0" collapsed="false">
      <c r="B17471" s="0" t="s">
        <v>305</v>
      </c>
      <c r="C17471" s="0" t="s">
        <v>6444</v>
      </c>
      <c r="E17471" s="0" t="s">
        <v>771</v>
      </c>
      <c r="F17471" s="0" t="s">
        <v>6445</v>
      </c>
    </row>
    <row r="17472" customFormat="false" ht="12.8" hidden="false" customHeight="false" outlineLevel="0" collapsed="false">
      <c r="B17472" s="0" t="s">
        <v>36</v>
      </c>
      <c r="C17472" s="0" t="s">
        <v>6446</v>
      </c>
      <c r="E17472" s="0" t="s">
        <v>6329</v>
      </c>
      <c r="F17472" s="0" t="s">
        <v>6447</v>
      </c>
    </row>
    <row r="17474" customFormat="false" ht="12.8" hidden="false" customHeight="false" outlineLevel="0" collapsed="false">
      <c r="A17474" s="0" t="s">
        <v>7438</v>
      </c>
      <c r="B17474" s="0" t="str">
        <f aca="false">HYPERLINK("https://lindat.mff.cuni.cz/services/teitok/pdtc10/index.php?action=vallex&amp;frame=v-w11659_ZUf1_ZU", "namíchnout (v-w11659_ZUf1_ZU)")</f>
        <v>namíchnout (v-w11659_ZUf1_ZU)</v>
      </c>
      <c r="E17474" s="0" t="str">
        <f aca="false">HYPERLINK("https://lindat.mff.cuni.cz/services/SynSemClass40/SynSemClass40.html?veclass=vec00996#vec00996-ces-cm00006", "vec00996")</f>
        <v>vec00996</v>
      </c>
      <c r="F17474" s="0" t="s">
        <v>7439</v>
      </c>
    </row>
    <row r="17475" customFormat="false" ht="12.8" hidden="false" customHeight="false" outlineLevel="0" collapsed="false">
      <c r="B17475" s="0" t="s">
        <v>1</v>
      </c>
      <c r="C17475" s="0" t="s">
        <v>1752</v>
      </c>
      <c r="E17475" s="0" t="s">
        <v>1103</v>
      </c>
      <c r="F17475" s="0" t="s">
        <v>7440</v>
      </c>
    </row>
    <row r="17476" customFormat="false" ht="12.8" hidden="false" customHeight="false" outlineLevel="0" collapsed="false">
      <c r="B17476" s="0" t="s">
        <v>8</v>
      </c>
      <c r="C17476" s="0" t="s">
        <v>639</v>
      </c>
      <c r="E17476" s="0" t="s">
        <v>1399</v>
      </c>
      <c r="F17476" s="0" t="s">
        <v>7441</v>
      </c>
    </row>
    <row r="17478" customFormat="false" ht="12.8" hidden="false" customHeight="false" outlineLevel="0" collapsed="false">
      <c r="A17478" s="0" t="s">
        <v>7442</v>
      </c>
      <c r="B17478" s="0" t="str">
        <f aca="false">HYPERLINK("https://lindat.mff.cuni.cz/services/teitok/pdtc10/index.php?action=vallex&amp;frame=v-w2106f1", "namítat (v-w2106f1)")</f>
        <v>namítat (v-w2106f1)</v>
      </c>
      <c r="E17478" s="0" t="str">
        <f aca="false">HYPERLINK("https://lindat.mff.cuni.cz/services/SynSemClass40/SynSemClass40.html?veclass=vec00844#vec00844-ces-cm00001", "vec00844")</f>
        <v>vec00844</v>
      </c>
      <c r="F17478" s="0" t="s">
        <v>5576</v>
      </c>
    </row>
    <row r="17479" customFormat="false" ht="12.8" hidden="false" customHeight="false" outlineLevel="0" collapsed="false">
      <c r="B17479" s="0" t="s">
        <v>1</v>
      </c>
      <c r="C17479" s="0" t="s">
        <v>5577</v>
      </c>
      <c r="E17479" s="0" t="s">
        <v>478</v>
      </c>
      <c r="F17479" s="0" t="s">
        <v>5578</v>
      </c>
    </row>
    <row r="17480" customFormat="false" ht="12.8" hidden="false" customHeight="false" outlineLevel="0" collapsed="false">
      <c r="B17480" s="0" t="s">
        <v>6412</v>
      </c>
      <c r="C17480" s="0" t="s">
        <v>575</v>
      </c>
      <c r="E17480" s="0" t="s">
        <v>5581</v>
      </c>
      <c r="F17480" s="0" t="s">
        <v>5582</v>
      </c>
    </row>
    <row r="17481" customFormat="false" ht="12.8" hidden="false" customHeight="false" outlineLevel="0" collapsed="false">
      <c r="B17481" s="0" t="s">
        <v>69</v>
      </c>
      <c r="C17481" s="0" t="s">
        <v>5583</v>
      </c>
      <c r="E17481" s="0" t="s">
        <v>230</v>
      </c>
      <c r="F17481" s="0" t="s">
        <v>5584</v>
      </c>
    </row>
    <row r="17482" customFormat="false" ht="12.8" hidden="false" customHeight="false" outlineLevel="0" collapsed="false">
      <c r="B17482" s="0" t="s">
        <v>132</v>
      </c>
      <c r="C17482" s="0" t="s">
        <v>1391</v>
      </c>
      <c r="E17482" s="0" t="s">
        <v>221</v>
      </c>
      <c r="F17482" s="0" t="s">
        <v>5579</v>
      </c>
    </row>
    <row r="17484" customFormat="false" ht="12.8" hidden="false" customHeight="false" outlineLevel="0" collapsed="false">
      <c r="A17484" s="0" t="s">
        <v>7443</v>
      </c>
      <c r="B17484" s="0" t="str">
        <f aca="false">HYPERLINK("https://lindat.mff.cuni.cz/services/teitok/pdtc10/index.php?action=vallex&amp;frame=v-w2108hsa_1297", "namítnout (v-w2108hsa_1297)")</f>
        <v>namítnout (v-w2108hsa_1297)</v>
      </c>
      <c r="E17484" s="0" t="str">
        <f aca="false">HYPERLINK("https://lindat.mff.cuni.cz/services/SynSemClass40/SynSemClass40.html?veclass=vec00844#vec00844-ces-cm00008", "vec00844")</f>
        <v>vec00844</v>
      </c>
      <c r="F17484" s="0" t="s">
        <v>5576</v>
      </c>
    </row>
    <row r="17485" customFormat="false" ht="12.8" hidden="false" customHeight="false" outlineLevel="0" collapsed="false">
      <c r="B17485" s="0" t="s">
        <v>1</v>
      </c>
      <c r="C17485" s="0" t="s">
        <v>5577</v>
      </c>
      <c r="E17485" s="0" t="s">
        <v>478</v>
      </c>
      <c r="F17485" s="0" t="s">
        <v>5578</v>
      </c>
    </row>
    <row r="17486" customFormat="false" ht="12.8" hidden="false" customHeight="false" outlineLevel="0" collapsed="false">
      <c r="B17486" s="0" t="s">
        <v>6412</v>
      </c>
      <c r="C17486" s="0" t="s">
        <v>575</v>
      </c>
      <c r="E17486" s="0" t="s">
        <v>5581</v>
      </c>
      <c r="F17486" s="0" t="s">
        <v>5582</v>
      </c>
    </row>
    <row r="17487" customFormat="false" ht="12.8" hidden="false" customHeight="false" outlineLevel="0" collapsed="false">
      <c r="B17487" s="0" t="s">
        <v>7444</v>
      </c>
      <c r="C17487" s="0" t="s">
        <v>5583</v>
      </c>
      <c r="E17487" s="0" t="s">
        <v>230</v>
      </c>
      <c r="F17487" s="0" t="s">
        <v>5584</v>
      </c>
    </row>
    <row r="17488" customFormat="false" ht="12.8" hidden="false" customHeight="false" outlineLevel="0" collapsed="false">
      <c r="B17488" s="0" t="s">
        <v>132</v>
      </c>
      <c r="C17488" s="0" t="s">
        <v>1391</v>
      </c>
      <c r="E17488" s="0" t="s">
        <v>221</v>
      </c>
      <c r="F17488" s="0" t="s">
        <v>5579</v>
      </c>
    </row>
    <row r="17490" customFormat="false" ht="12.8" hidden="false" customHeight="false" outlineLevel="0" collapsed="false">
      <c r="A17490" s="0" t="s">
        <v>7443</v>
      </c>
      <c r="B17490" s="0" t="str">
        <f aca="false">HYPERLINK("https://lindat.mff.cuni.cz/services/teitok/pdtc10/index.php?action=vallex&amp;frame=v-w2108f1", "namítnout (v-w2108f1) - substituted with v-w2108hsa_1297")</f>
        <v>namítnout (v-w2108f1) - substituted with v-w2108hsa_1297</v>
      </c>
    </row>
    <row r="17491" customFormat="false" ht="12.8" hidden="false" customHeight="false" outlineLevel="0" collapsed="false">
      <c r="B17491" s="0" t="s">
        <v>1</v>
      </c>
    </row>
    <row r="17492" customFormat="false" ht="12.8" hidden="false" customHeight="false" outlineLevel="0" collapsed="false">
      <c r="B17492" s="0" t="s">
        <v>6412</v>
      </c>
    </row>
    <row r="17493" customFormat="false" ht="12.8" hidden="false" customHeight="false" outlineLevel="0" collapsed="false">
      <c r="B17493" s="0" t="s">
        <v>7444</v>
      </c>
    </row>
    <row r="17494" customFormat="false" ht="12.8" hidden="false" customHeight="false" outlineLevel="0" collapsed="false">
      <c r="B17494" s="0" t="s">
        <v>132</v>
      </c>
    </row>
    <row r="17496" customFormat="false" ht="12.8" hidden="false" customHeight="false" outlineLevel="0" collapsed="false">
      <c r="A17496" s="0" t="s">
        <v>7445</v>
      </c>
      <c r="B17496" s="0" t="str">
        <f aca="false">HYPERLINK("https://lindat.mff.cuni.cz/services/teitok/pdtc10/index.php?action=vallex&amp;frame=v-w2105f1", "namířit (v-w2105f1)")</f>
        <v>namířit (v-w2105f1)</v>
      </c>
    </row>
    <row r="17497" customFormat="false" ht="12.8" hidden="false" customHeight="false" outlineLevel="0" collapsed="false">
      <c r="B17497" s="0" t="s">
        <v>1</v>
      </c>
    </row>
    <row r="17498" customFormat="false" ht="12.8" hidden="false" customHeight="false" outlineLevel="0" collapsed="false">
      <c r="B17498" s="0" t="s">
        <v>8</v>
      </c>
    </row>
    <row r="17499" customFormat="false" ht="12.8" hidden="false" customHeight="false" outlineLevel="0" collapsed="false">
      <c r="B17499" s="0" t="s">
        <v>164</v>
      </c>
    </row>
    <row r="17501" customFormat="false" ht="12.8" hidden="false" customHeight="false" outlineLevel="0" collapsed="false">
      <c r="A17501" s="0" t="s">
        <v>7446</v>
      </c>
      <c r="B17501" s="0" t="str">
        <f aca="false">HYPERLINK("https://lindat.mff.cuni.cz/services/teitok/pdtc10/index.php?action=vallex&amp;frame=v-w2105f3", "namířit (v-w2105f3)")</f>
        <v>namířit (v-w2105f3)</v>
      </c>
    </row>
    <row r="17502" customFormat="false" ht="12.8" hidden="false" customHeight="false" outlineLevel="0" collapsed="false">
      <c r="B17502" s="0" t="s">
        <v>1</v>
      </c>
    </row>
    <row r="17503" customFormat="false" ht="12.8" hidden="false" customHeight="false" outlineLevel="0" collapsed="false">
      <c r="B17503" s="0" t="s">
        <v>164</v>
      </c>
    </row>
    <row r="17505" customFormat="false" ht="12.8" hidden="false" customHeight="false" outlineLevel="0" collapsed="false">
      <c r="A17505" s="0" t="s">
        <v>7447</v>
      </c>
      <c r="B17505" s="0" t="str">
        <f aca="false">HYPERLINK("https://lindat.mff.cuni.cz/services/teitok/pdtc10/index.php?action=vallex&amp;frame=v-w2105f2", "namířit (v-w2105f2)")</f>
        <v>namířit (v-w2105f2)</v>
      </c>
    </row>
    <row r="17506" customFormat="false" ht="12.8" hidden="false" customHeight="false" outlineLevel="0" collapsed="false">
      <c r="B17506" s="0" t="s">
        <v>1</v>
      </c>
    </row>
    <row r="17507" customFormat="false" ht="12.8" hidden="false" customHeight="false" outlineLevel="0" collapsed="false">
      <c r="B17507" s="0" t="s">
        <v>164</v>
      </c>
    </row>
    <row r="17509" customFormat="false" ht="12.8" hidden="false" customHeight="false" outlineLevel="0" collapsed="false">
      <c r="A17509" s="0" t="s">
        <v>7448</v>
      </c>
      <c r="B17509" s="0" t="str">
        <f aca="false">HYPERLINK("https://lindat.mff.cuni.cz/services/teitok/pdtc10/index.php?action=vallex&amp;frame=v-w2100f1", "naměřit (v-w2100f1)")</f>
        <v>naměřit (v-w2100f1)</v>
      </c>
    </row>
    <row r="17510" customFormat="false" ht="12.8" hidden="false" customHeight="false" outlineLevel="0" collapsed="false">
      <c r="B17510" s="0" t="s">
        <v>1</v>
      </c>
    </row>
    <row r="17511" customFormat="false" ht="12.8" hidden="false" customHeight="false" outlineLevel="0" collapsed="false">
      <c r="B17511" s="0" t="s">
        <v>8</v>
      </c>
    </row>
    <row r="17513" customFormat="false" ht="12.8" hidden="false" customHeight="false" outlineLevel="0" collapsed="false">
      <c r="A17513" s="0" t="s">
        <v>7449</v>
      </c>
      <c r="B17513" s="0" t="str">
        <f aca="false">HYPERLINK("https://lindat.mff.cuni.cz/services/teitok/pdtc10/index.php?action=vallex&amp;frame=v-w2115f1", "nandat (v-w2115f1)")</f>
        <v>nandat (v-w2115f1)</v>
      </c>
    </row>
    <row r="17514" customFormat="false" ht="12.8" hidden="false" customHeight="false" outlineLevel="0" collapsed="false">
      <c r="B17514" s="0" t="s">
        <v>1</v>
      </c>
    </row>
    <row r="17515" customFormat="false" ht="12.8" hidden="false" customHeight="false" outlineLevel="0" collapsed="false">
      <c r="B17515" s="0" t="s">
        <v>697</v>
      </c>
    </row>
    <row r="17516" customFormat="false" ht="12.8" hidden="false" customHeight="false" outlineLevel="0" collapsed="false">
      <c r="B17516" s="0" t="s">
        <v>186</v>
      </c>
    </row>
    <row r="17518" customFormat="false" ht="12.8" hidden="false" customHeight="false" outlineLevel="0" collapsed="false">
      <c r="A17518" s="0" t="s">
        <v>7450</v>
      </c>
      <c r="B17518" s="0" t="str">
        <f aca="false">HYPERLINK("https://lindat.mff.cuni.cz/services/teitok/pdtc10/index.php?action=vallex&amp;frame=v-w2115hsa_113", "nandat (v-w2115hsa_113)")</f>
        <v>nandat (v-w2115hsa_113)</v>
      </c>
    </row>
    <row r="17519" customFormat="false" ht="12.8" hidden="false" customHeight="false" outlineLevel="0" collapsed="false">
      <c r="B17519" s="0" t="s">
        <v>1</v>
      </c>
    </row>
    <row r="17520" customFormat="false" ht="12.8" hidden="false" customHeight="false" outlineLevel="0" collapsed="false">
      <c r="B17520" s="0" t="s">
        <v>8</v>
      </c>
    </row>
    <row r="17521" customFormat="false" ht="12.8" hidden="false" customHeight="false" outlineLevel="0" collapsed="false">
      <c r="B17521" s="0" t="s">
        <v>132</v>
      </c>
    </row>
    <row r="17523" customFormat="false" ht="12.8" hidden="false" customHeight="false" outlineLevel="0" collapsed="false">
      <c r="A17523" s="0" t="s">
        <v>7451</v>
      </c>
      <c r="B17523" s="0" t="str">
        <f aca="false">HYPERLINK("https://lindat.mff.cuni.cz/services/teitok/pdtc10/index.php?action=vallex&amp;frame=v-w2115hsa_114", "nandat (v-w2115hsa_114)")</f>
        <v>nandat (v-w2115hsa_114)</v>
      </c>
    </row>
    <row r="17524" customFormat="false" ht="12.8" hidden="false" customHeight="false" outlineLevel="0" collapsed="false">
      <c r="B17524" s="0" t="s">
        <v>1</v>
      </c>
    </row>
    <row r="17525" customFormat="false" ht="12.8" hidden="false" customHeight="false" outlineLevel="0" collapsed="false">
      <c r="B17525" s="0" t="s">
        <v>8</v>
      </c>
    </row>
    <row r="17526" customFormat="false" ht="12.8" hidden="false" customHeight="false" outlineLevel="0" collapsed="false">
      <c r="B17526" s="0" t="s">
        <v>164</v>
      </c>
    </row>
    <row r="17528" customFormat="false" ht="12.8" hidden="false" customHeight="false" outlineLevel="0" collapsed="false">
      <c r="A17528" s="0" t="s">
        <v>7452</v>
      </c>
      <c r="B17528" s="0" t="str">
        <f aca="false">HYPERLINK("https://lindat.mff.cuni.cz/services/teitok/pdtc10/index.php?action=vallex&amp;frame=v-whsa_457hsa_458", "nanosit (v-whsa_457hsa_458)")</f>
        <v>nanosit (v-whsa_457hsa_458)</v>
      </c>
    </row>
    <row r="17529" customFormat="false" ht="12.8" hidden="false" customHeight="false" outlineLevel="0" collapsed="false">
      <c r="B17529" s="0" t="s">
        <v>1</v>
      </c>
    </row>
    <row r="17530" customFormat="false" ht="12.8" hidden="false" customHeight="false" outlineLevel="0" collapsed="false">
      <c r="B17530" s="0" t="s">
        <v>8</v>
      </c>
    </row>
    <row r="17532" customFormat="false" ht="12.8" hidden="false" customHeight="false" outlineLevel="0" collapsed="false">
      <c r="A17532" s="0" t="s">
        <v>7453</v>
      </c>
      <c r="B17532" s="0" t="str">
        <f aca="false">HYPERLINK("https://lindat.mff.cuni.cz/services/teitok/pdtc10/index.php?action=vallex&amp;frame=v-w2114f1", "nanášet (v-w2114f1)")</f>
        <v>nanášet (v-w2114f1)</v>
      </c>
    </row>
    <row r="17533" customFormat="false" ht="12.8" hidden="false" customHeight="false" outlineLevel="0" collapsed="false">
      <c r="B17533" s="0" t="s">
        <v>1</v>
      </c>
    </row>
    <row r="17534" customFormat="false" ht="12.8" hidden="false" customHeight="false" outlineLevel="0" collapsed="false">
      <c r="B17534" s="0" t="s">
        <v>8</v>
      </c>
    </row>
    <row r="17535" customFormat="false" ht="12.8" hidden="false" customHeight="false" outlineLevel="0" collapsed="false">
      <c r="B17535" s="0" t="s">
        <v>164</v>
      </c>
    </row>
    <row r="17537" customFormat="false" ht="12.8" hidden="false" customHeight="false" outlineLevel="0" collapsed="false">
      <c r="A17537" s="0" t="s">
        <v>7454</v>
      </c>
      <c r="B17537" s="0" t="str">
        <f aca="false">HYPERLINK("https://lindat.mff.cuni.cz/services/teitok/pdtc10/index.php?action=vallex&amp;frame=v-w2117f1", "nanést (v-w2117f1)")</f>
        <v>nanést (v-w2117f1)</v>
      </c>
    </row>
    <row r="17538" customFormat="false" ht="12.8" hidden="false" customHeight="false" outlineLevel="0" collapsed="false">
      <c r="B17538" s="0" t="s">
        <v>1</v>
      </c>
    </row>
    <row r="17539" customFormat="false" ht="12.8" hidden="false" customHeight="false" outlineLevel="0" collapsed="false">
      <c r="B17539" s="0" t="s">
        <v>8</v>
      </c>
    </row>
    <row r="17540" customFormat="false" ht="12.8" hidden="false" customHeight="false" outlineLevel="0" collapsed="false">
      <c r="B17540" s="0" t="s">
        <v>164</v>
      </c>
    </row>
    <row r="17542" customFormat="false" ht="12.8" hidden="false" customHeight="false" outlineLevel="0" collapsed="false">
      <c r="A17542" s="0" t="s">
        <v>7455</v>
      </c>
      <c r="B17542" s="0" t="str">
        <f aca="false">HYPERLINK("https://lindat.mff.cuni.cz/services/teitok/pdtc10/index.php?action=vallex&amp;frame=v-w2118f1", "naoktrojovat (v-w2118f1)")</f>
        <v>naoktrojovat (v-w2118f1)</v>
      </c>
    </row>
    <row r="17543" customFormat="false" ht="12.8" hidden="false" customHeight="false" outlineLevel="0" collapsed="false">
      <c r="B17543" s="0" t="s">
        <v>1</v>
      </c>
    </row>
    <row r="17544" customFormat="false" ht="12.8" hidden="false" customHeight="false" outlineLevel="0" collapsed="false">
      <c r="B17544" s="0" t="s">
        <v>8</v>
      </c>
    </row>
    <row r="17546" customFormat="false" ht="12.8" hidden="false" customHeight="false" outlineLevel="0" collapsed="false">
      <c r="A17546" s="0" t="s">
        <v>7456</v>
      </c>
      <c r="B17546" s="0" t="str">
        <f aca="false">HYPERLINK("https://lindat.mff.cuni.cz/services/teitok/pdtc10/index.php?action=vallex&amp;frame=v-w11522_ZUf1_ZU", "naočkovat (v-w11522_ZUf1_ZU)")</f>
        <v>naočkovat (v-w11522_ZUf1_ZU)</v>
      </c>
    </row>
    <row r="17547" customFormat="false" ht="12.8" hidden="false" customHeight="false" outlineLevel="0" collapsed="false">
      <c r="B17547" s="0" t="s">
        <v>1</v>
      </c>
    </row>
    <row r="17548" customFormat="false" ht="12.8" hidden="false" customHeight="false" outlineLevel="0" collapsed="false">
      <c r="B17548" s="0" t="s">
        <v>98</v>
      </c>
    </row>
    <row r="17549" customFormat="false" ht="12.8" hidden="false" customHeight="false" outlineLevel="0" collapsed="false">
      <c r="B17549" s="0" t="s">
        <v>1909</v>
      </c>
    </row>
    <row r="17551" customFormat="false" ht="12.8" hidden="false" customHeight="false" outlineLevel="0" collapsed="false">
      <c r="A17551" s="0" t="s">
        <v>7457</v>
      </c>
      <c r="B17551" s="0" t="str">
        <f aca="false">HYPERLINK("https://lindat.mff.cuni.cz/services/teitok/pdtc10/index.php?action=vallex&amp;frame=v-w2121f2", "napadat (v-w2121f2)")</f>
        <v>napadat (v-w2121f2)</v>
      </c>
      <c r="E17551" s="0" t="str">
        <f aca="false">HYPERLINK("https://lindat.mff.cuni.cz/services/SynSemClass40/SynSemClass40.html?veclass=vec00441#vec00441-ces-cm00004", "vec00441")</f>
        <v>vec00441</v>
      </c>
      <c r="F17551" s="0" t="s">
        <v>194</v>
      </c>
    </row>
    <row r="17552" customFormat="false" ht="12.8" hidden="false" customHeight="false" outlineLevel="0" collapsed="false">
      <c r="B17552" s="0" t="s">
        <v>1</v>
      </c>
      <c r="C17552" s="0" t="s">
        <v>195</v>
      </c>
      <c r="E17552" s="0" t="s">
        <v>196</v>
      </c>
      <c r="F17552" s="0" t="s">
        <v>197</v>
      </c>
    </row>
    <row r="17553" customFormat="false" ht="12.8" hidden="false" customHeight="false" outlineLevel="0" collapsed="false">
      <c r="B17553" s="0" t="s">
        <v>8</v>
      </c>
      <c r="C17553" s="0" t="s">
        <v>198</v>
      </c>
      <c r="E17553" s="0" t="s">
        <v>199</v>
      </c>
      <c r="F17553" s="0" t="s">
        <v>200</v>
      </c>
    </row>
    <row r="17555" customFormat="false" ht="12.8" hidden="false" customHeight="false" outlineLevel="0" collapsed="false">
      <c r="A17555" s="0" t="s">
        <v>7458</v>
      </c>
      <c r="B17555" s="0" t="str">
        <f aca="false">HYPERLINK("https://lindat.mff.cuni.cz/services/teitok/pdtc10/index.php?action=vallex&amp;frame=v-w2121hsa_1407", "napadat (v-w2121hsa_1407)")</f>
        <v>napadat (v-w2121hsa_1407)</v>
      </c>
    </row>
    <row r="17556" customFormat="false" ht="12.8" hidden="false" customHeight="false" outlineLevel="0" collapsed="false">
      <c r="B17556" s="0" t="s">
        <v>7459</v>
      </c>
    </row>
    <row r="17557" customFormat="false" ht="12.8" hidden="false" customHeight="false" outlineLevel="0" collapsed="false">
      <c r="B17557" s="0" t="s">
        <v>7460</v>
      </c>
    </row>
    <row r="17559" customFormat="false" ht="12.8" hidden="false" customHeight="false" outlineLevel="0" collapsed="false">
      <c r="A17559" s="0" t="s">
        <v>7458</v>
      </c>
      <c r="B17559" s="0" t="str">
        <f aca="false">HYPERLINK("https://lindat.mff.cuni.cz/services/teitok/pdtc10/index.php?action=vallex&amp;frame=v-w2121f1", "napadat (v-w2121f1) - substituted with v-w2121hsa_1407")</f>
        <v>napadat (v-w2121f1) - substituted with v-w2121hsa_1407</v>
      </c>
    </row>
    <row r="17560" customFormat="false" ht="12.8" hidden="false" customHeight="false" outlineLevel="0" collapsed="false">
      <c r="B17560" s="0" t="s">
        <v>7459</v>
      </c>
    </row>
    <row r="17561" customFormat="false" ht="12.8" hidden="false" customHeight="false" outlineLevel="0" collapsed="false">
      <c r="B17561" s="0" t="s">
        <v>7460</v>
      </c>
    </row>
    <row r="17563" customFormat="false" ht="12.8" hidden="false" customHeight="false" outlineLevel="0" collapsed="false">
      <c r="A17563" s="0" t="s">
        <v>7461</v>
      </c>
      <c r="B17563" s="0" t="str">
        <f aca="false">HYPERLINK("https://lindat.mff.cuni.cz/services/teitok/pdtc10/index.php?action=vallex&amp;frame=v-w2121f3", "napadat (v-w2121f3)")</f>
        <v>napadat (v-w2121f3)</v>
      </c>
    </row>
    <row r="17564" customFormat="false" ht="12.8" hidden="false" customHeight="false" outlineLevel="0" collapsed="false">
      <c r="B17564" s="0" t="s">
        <v>2882</v>
      </c>
    </row>
    <row r="17566" customFormat="false" ht="12.8" hidden="false" customHeight="false" outlineLevel="0" collapsed="false">
      <c r="A17566" s="0" t="s">
        <v>7462</v>
      </c>
      <c r="B17566" s="0" t="str">
        <f aca="false">HYPERLINK("https://lindat.mff.cuni.cz/services/teitok/pdtc10/index.php?action=vallex&amp;frame=v-w2121hsa_1406", "napadat (v-w2121hsa_1406)")</f>
        <v>napadat (v-w2121hsa_1406)</v>
      </c>
    </row>
    <row r="17567" customFormat="false" ht="12.8" hidden="false" customHeight="false" outlineLevel="0" collapsed="false">
      <c r="B17567" s="0" t="s">
        <v>1</v>
      </c>
    </row>
    <row r="17568" customFormat="false" ht="12.8" hidden="false" customHeight="false" outlineLevel="0" collapsed="false">
      <c r="B17568" s="0" t="s">
        <v>45</v>
      </c>
    </row>
    <row r="17570" customFormat="false" ht="12.8" hidden="false" customHeight="false" outlineLevel="0" collapsed="false">
      <c r="A17570" s="0" t="s">
        <v>7463</v>
      </c>
      <c r="B17570" s="0" t="str">
        <f aca="false">HYPERLINK("https://lindat.mff.cuni.cz/services/teitok/pdtc10/index.php?action=vallex&amp;frame=v-w2123f1", "napadnout (v-w2123f1)")</f>
        <v>napadnout (v-w2123f1)</v>
      </c>
      <c r="E17570" s="0" t="str">
        <f aca="false">HYPERLINK("https://lindat.mff.cuni.cz/services/SynSemClass40/SynSemClass40.html?veclass=vec00441#vec00441-ces-cm00001", "vec00441")</f>
        <v>vec00441</v>
      </c>
      <c r="F17570" s="0" t="s">
        <v>194</v>
      </c>
    </row>
    <row r="17571" customFormat="false" ht="12.8" hidden="false" customHeight="false" outlineLevel="0" collapsed="false">
      <c r="B17571" s="0" t="s">
        <v>1</v>
      </c>
      <c r="C17571" s="0" t="s">
        <v>195</v>
      </c>
      <c r="E17571" s="0" t="s">
        <v>196</v>
      </c>
      <c r="F17571" s="0" t="s">
        <v>197</v>
      </c>
    </row>
    <row r="17572" customFormat="false" ht="12.8" hidden="false" customHeight="false" outlineLevel="0" collapsed="false">
      <c r="B17572" s="0" t="s">
        <v>8</v>
      </c>
      <c r="C17572" s="0" t="s">
        <v>198</v>
      </c>
      <c r="E17572" s="0" t="s">
        <v>199</v>
      </c>
      <c r="F17572" s="0" t="s">
        <v>200</v>
      </c>
    </row>
    <row r="17574" customFormat="false" ht="12.8" hidden="false" customHeight="false" outlineLevel="0" collapsed="false">
      <c r="A17574" s="0" t="s">
        <v>7464</v>
      </c>
      <c r="B17574" s="0" t="str">
        <f aca="false">HYPERLINK("https://lindat.mff.cuni.cz/services/teitok/pdtc10/index.php?action=vallex&amp;frame=v-w2123f2", "napadnout (v-w2123f2)")</f>
        <v>napadnout (v-w2123f2)</v>
      </c>
      <c r="E17574" s="0" t="str">
        <f aca="false">HYPERLINK("https://lindat.mff.cuni.cz/services/SynSemClass40/SynSemClass40.html?veclass=vec00341#vec00341-ces-cm00060", "vec00341")</f>
        <v>vec00341</v>
      </c>
      <c r="F17574" s="0" t="s">
        <v>7465</v>
      </c>
    </row>
    <row r="17575" customFormat="false" ht="12.8" hidden="false" customHeight="false" outlineLevel="0" collapsed="false">
      <c r="B17575" s="0" t="s">
        <v>264</v>
      </c>
      <c r="C17575" s="0" t="s">
        <v>7466</v>
      </c>
      <c r="E17575" s="0" t="s">
        <v>621</v>
      </c>
      <c r="F17575" s="0" t="s">
        <v>7467</v>
      </c>
    </row>
    <row r="17576" customFormat="false" ht="12.8" hidden="false" customHeight="false" outlineLevel="0" collapsed="false">
      <c r="B17576" s="0" t="s">
        <v>7468</v>
      </c>
      <c r="C17576" s="0" t="s">
        <v>7469</v>
      </c>
      <c r="E17576" s="0" t="s">
        <v>180</v>
      </c>
      <c r="F17576" s="0" t="s">
        <v>7470</v>
      </c>
    </row>
    <row r="17578" customFormat="false" ht="12.8" hidden="false" customHeight="false" outlineLevel="0" collapsed="false">
      <c r="A17578" s="0" t="s">
        <v>7471</v>
      </c>
      <c r="B17578" s="0" t="str">
        <f aca="false">HYPERLINK("https://lindat.mff.cuni.cz/services/teitok/pdtc10/index.php?action=vallex&amp;frame=v-w2123f4_ZU", "napadnout (v-w2123f4_ZU)")</f>
        <v>napadnout (v-w2123f4_ZU)</v>
      </c>
      <c r="E17578" s="0" t="str">
        <f aca="false">HYPERLINK("https://lindat.mff.cuni.cz/services/SynSemClass40/SynSemClass40.html?veclass=vec00391#vec00391-ces-cm00005", "vec00391")</f>
        <v>vec00391</v>
      </c>
      <c r="F17578" s="0" t="s">
        <v>7472</v>
      </c>
    </row>
    <row r="17579" customFormat="false" ht="12.8" hidden="false" customHeight="false" outlineLevel="0" collapsed="false">
      <c r="B17579" s="0" t="s">
        <v>1</v>
      </c>
      <c r="C17579" s="0" t="s">
        <v>7473</v>
      </c>
      <c r="E17579" s="0" t="s">
        <v>621</v>
      </c>
      <c r="F17579" s="0" t="s">
        <v>7474</v>
      </c>
    </row>
    <row r="17580" customFormat="false" ht="12.8" hidden="false" customHeight="false" outlineLevel="0" collapsed="false">
      <c r="B17580" s="0" t="s">
        <v>8</v>
      </c>
      <c r="C17580" s="0" t="s">
        <v>7475</v>
      </c>
      <c r="E17580" s="0" t="s">
        <v>180</v>
      </c>
      <c r="F17580" s="0" t="s">
        <v>7476</v>
      </c>
    </row>
    <row r="17582" customFormat="false" ht="12.8" hidden="false" customHeight="false" outlineLevel="0" collapsed="false">
      <c r="A17582" s="0" t="s">
        <v>7477</v>
      </c>
      <c r="B17582" s="0" t="str">
        <f aca="false">HYPERLINK("https://lindat.mff.cuni.cz/services/teitok/pdtc10/index.php?action=vallex&amp;frame=v-w2123f3", "napadnout (v-w2123f3)")</f>
        <v>napadnout (v-w2123f3)</v>
      </c>
    </row>
    <row r="17583" customFormat="false" ht="12.8" hidden="false" customHeight="false" outlineLevel="0" collapsed="false">
      <c r="B17583" s="0" t="s">
        <v>2882</v>
      </c>
    </row>
    <row r="17585" customFormat="false" ht="12.8" hidden="false" customHeight="false" outlineLevel="0" collapsed="false">
      <c r="A17585" s="0" t="s">
        <v>7478</v>
      </c>
      <c r="B17585" s="0" t="str">
        <f aca="false">HYPERLINK("https://lindat.mff.cuni.cz/services/teitok/pdtc10/index.php?action=vallex&amp;frame=v-w12001_ZUf1_ZU", "napadávat (v-w12001_ZUf1_ZU)")</f>
        <v>napadávat (v-w12001_ZUf1_ZU)</v>
      </c>
    </row>
    <row r="17586" customFormat="false" ht="12.8" hidden="false" customHeight="false" outlineLevel="0" collapsed="false">
      <c r="B17586" s="0" t="s">
        <v>1</v>
      </c>
    </row>
    <row r="17587" customFormat="false" ht="12.8" hidden="false" customHeight="false" outlineLevel="0" collapsed="false">
      <c r="B17587" s="0" t="s">
        <v>8</v>
      </c>
    </row>
    <row r="17589" customFormat="false" ht="12.8" hidden="false" customHeight="false" outlineLevel="0" collapsed="false">
      <c r="A17589" s="0" t="s">
        <v>7479</v>
      </c>
      <c r="B17589" s="0" t="str">
        <f aca="false">HYPERLINK("https://lindat.mff.cuni.cz/services/teitok/pdtc10/index.php?action=vallex&amp;frame=v-w11713_ZUf1_ZU", "naparádit (v-w11713_ZUf1_ZU)")</f>
        <v>naparádit (v-w11713_ZUf1_ZU)</v>
      </c>
    </row>
    <row r="17590" customFormat="false" ht="12.8" hidden="false" customHeight="false" outlineLevel="0" collapsed="false">
      <c r="B17590" s="0" t="s">
        <v>1</v>
      </c>
    </row>
    <row r="17591" customFormat="false" ht="12.8" hidden="false" customHeight="false" outlineLevel="0" collapsed="false">
      <c r="B17591" s="0" t="s">
        <v>8</v>
      </c>
    </row>
    <row r="17592" customFormat="false" ht="12.8" hidden="false" customHeight="false" outlineLevel="0" collapsed="false">
      <c r="B17592" s="0" t="s">
        <v>245</v>
      </c>
    </row>
    <row r="17594" customFormat="false" ht="12.8" hidden="false" customHeight="false" outlineLevel="0" collapsed="false">
      <c r="A17594" s="0" t="s">
        <v>7480</v>
      </c>
      <c r="B17594" s="0" t="str">
        <f aca="false">HYPERLINK("https://lindat.mff.cuni.cz/services/teitok/pdtc10/index.php?action=vallex&amp;frame=v-w10180f2", "napasovat (v-w10180f2)")</f>
        <v>napasovat (v-w10180f2)</v>
      </c>
      <c r="E17594" s="0" t="str">
        <f aca="false">HYPERLINK("https://lindat.mff.cuni.cz/services/SynSemClass40/SynSemClass40.html?veclass=vec00735#vec00735-ces-cm00152", "vec00735")</f>
        <v>vec00735</v>
      </c>
      <c r="F17594" s="0" t="s">
        <v>2719</v>
      </c>
    </row>
    <row r="17595" customFormat="false" ht="12.8" hidden="false" customHeight="false" outlineLevel="0" collapsed="false">
      <c r="B17595" s="0" t="s">
        <v>1</v>
      </c>
      <c r="C17595" s="0" t="s">
        <v>2720</v>
      </c>
      <c r="E17595" s="0" t="s">
        <v>334</v>
      </c>
      <c r="F17595" s="0" t="s">
        <v>2721</v>
      </c>
    </row>
    <row r="17596" customFormat="false" ht="12.8" hidden="false" customHeight="false" outlineLevel="0" collapsed="false">
      <c r="B17596" s="0" t="s">
        <v>8</v>
      </c>
      <c r="C17596" s="0" t="s">
        <v>2722</v>
      </c>
      <c r="E17596" s="0" t="s">
        <v>2648</v>
      </c>
      <c r="F17596" s="0" t="s">
        <v>2723</v>
      </c>
    </row>
    <row r="17597" customFormat="false" ht="12.8" hidden="false" customHeight="false" outlineLevel="0" collapsed="false">
      <c r="B17597" s="0" t="s">
        <v>164</v>
      </c>
      <c r="C17597" s="0" t="s">
        <v>2724</v>
      </c>
      <c r="E17597" s="0" t="s">
        <v>370</v>
      </c>
      <c r="F17597" s="0" t="s">
        <v>2725</v>
      </c>
    </row>
    <row r="17599" customFormat="false" ht="12.8" hidden="false" customHeight="false" outlineLevel="0" collapsed="false">
      <c r="A17599" s="0" t="s">
        <v>7481</v>
      </c>
      <c r="B17599" s="0" t="str">
        <f aca="false">HYPERLINK("https://lindat.mff.cuni.cz/services/teitok/pdtc10/index.php?action=vallex&amp;frame=v-whsa_599hsa_600", "napichovat (v-whsa_599hsa_600)")</f>
        <v>napichovat (v-whsa_599hsa_600)</v>
      </c>
      <c r="E17599" s="0" t="str">
        <f aca="false">HYPERLINK("https://lindat.mff.cuni.cz/services/SynSemClass40/SynSemClass40.html?veclass=vec00735#vec00735-ces-cm00076", "vec00735")</f>
        <v>vec00735</v>
      </c>
      <c r="F17599" s="0" t="s">
        <v>2719</v>
      </c>
    </row>
    <row r="17600" customFormat="false" ht="12.8" hidden="false" customHeight="false" outlineLevel="0" collapsed="false">
      <c r="B17600" s="0" t="s">
        <v>1</v>
      </c>
      <c r="C17600" s="0" t="s">
        <v>2720</v>
      </c>
      <c r="E17600" s="0" t="s">
        <v>334</v>
      </c>
      <c r="F17600" s="0" t="s">
        <v>2721</v>
      </c>
    </row>
    <row r="17601" customFormat="false" ht="12.8" hidden="false" customHeight="false" outlineLevel="0" collapsed="false">
      <c r="B17601" s="0" t="s">
        <v>8</v>
      </c>
      <c r="C17601" s="0" t="s">
        <v>2722</v>
      </c>
      <c r="E17601" s="0" t="s">
        <v>2648</v>
      </c>
      <c r="F17601" s="0" t="s">
        <v>2723</v>
      </c>
    </row>
    <row r="17602" customFormat="false" ht="12.8" hidden="false" customHeight="false" outlineLevel="0" collapsed="false">
      <c r="B17602" s="0" t="s">
        <v>164</v>
      </c>
      <c r="C17602" s="0" t="s">
        <v>2724</v>
      </c>
      <c r="E17602" s="0" t="s">
        <v>370</v>
      </c>
      <c r="F17602" s="0" t="s">
        <v>2725</v>
      </c>
    </row>
    <row r="17604" customFormat="false" ht="12.8" hidden="false" customHeight="false" outlineLevel="0" collapsed="false">
      <c r="A17604" s="0" t="s">
        <v>7482</v>
      </c>
      <c r="B17604" s="0" t="str">
        <f aca="false">HYPERLINK("https://lindat.mff.cuni.cz/services/teitok/pdtc10/index.php?action=vallex&amp;frame=v-whsa_817hsa_818", "naplakat se (v-whsa_817hsa_818)")</f>
        <v>naplakat se (v-whsa_817hsa_818)</v>
      </c>
    </row>
    <row r="17605" customFormat="false" ht="12.8" hidden="false" customHeight="false" outlineLevel="0" collapsed="false">
      <c r="B17605" s="0" t="s">
        <v>1</v>
      </c>
    </row>
    <row r="17607" customFormat="false" ht="12.8" hidden="false" customHeight="false" outlineLevel="0" collapsed="false">
      <c r="A17607" s="0" t="s">
        <v>7483</v>
      </c>
      <c r="B17607" s="0" t="str">
        <f aca="false">HYPERLINK("https://lindat.mff.cuni.cz/services/teitok/pdtc10/index.php?action=vallex&amp;frame=v-w2132f5_ZU", "naplnit (v-w2132f5_ZU)")</f>
        <v>naplnit (v-w2132f5_ZU)</v>
      </c>
    </row>
    <row r="17608" customFormat="false" ht="12.8" hidden="false" customHeight="false" outlineLevel="0" collapsed="false">
      <c r="B17608" s="0" t="s">
        <v>1</v>
      </c>
    </row>
    <row r="17609" customFormat="false" ht="12.8" hidden="false" customHeight="false" outlineLevel="0" collapsed="false">
      <c r="B17609" s="0" t="s">
        <v>8</v>
      </c>
    </row>
    <row r="17610" customFormat="false" ht="12.8" hidden="false" customHeight="false" outlineLevel="0" collapsed="false">
      <c r="B17610" s="0" t="s">
        <v>7045</v>
      </c>
    </row>
    <row r="17612" customFormat="false" ht="12.8" hidden="false" customHeight="false" outlineLevel="0" collapsed="false">
      <c r="A17612" s="0" t="s">
        <v>7483</v>
      </c>
      <c r="B17612" s="0" t="str">
        <f aca="false">HYPERLINK("https://lindat.mff.cuni.cz/services/teitok/pdtc10/index.php?action=vallex&amp;frame=v-w2132f2", "naplnit (v-w2132f2) - substituted with v-w2132f5_ZU")</f>
        <v>naplnit (v-w2132f2) - substituted with v-w2132f5_ZU</v>
      </c>
      <c r="E17612" s="0" t="str">
        <f aca="false">HYPERLINK("https://lindat.mff.cuni.cz/services/SynSemClass40/SynSemClass40.html?veclass=vec00577#vec00577-ces-cm00003", "vec00577")</f>
        <v>vec00577</v>
      </c>
      <c r="F17612" s="0" t="s">
        <v>7484</v>
      </c>
    </row>
    <row r="17613" customFormat="false" ht="12.8" hidden="false" customHeight="false" outlineLevel="0" collapsed="false">
      <c r="B17613" s="0" t="s">
        <v>1</v>
      </c>
      <c r="C17613" s="0" t="s">
        <v>7485</v>
      </c>
      <c r="E17613" s="0" t="s">
        <v>31</v>
      </c>
      <c r="F17613" s="0" t="s">
        <v>7486</v>
      </c>
    </row>
    <row r="17614" customFormat="false" ht="12.8" hidden="false" customHeight="false" outlineLevel="0" collapsed="false">
      <c r="B17614" s="0" t="s">
        <v>8</v>
      </c>
      <c r="C17614" s="0" t="s">
        <v>7487</v>
      </c>
      <c r="E17614" s="0" t="s">
        <v>7098</v>
      </c>
      <c r="F17614" s="0" t="s">
        <v>7488</v>
      </c>
    </row>
    <row r="17615" customFormat="false" ht="12.8" hidden="false" customHeight="false" outlineLevel="0" collapsed="false">
      <c r="B17615" s="0" t="s">
        <v>7045</v>
      </c>
      <c r="C17615" s="0" t="s">
        <v>7489</v>
      </c>
      <c r="E17615" s="0" t="s">
        <v>7101</v>
      </c>
      <c r="F17615" s="0" t="s">
        <v>7490</v>
      </c>
    </row>
    <row r="17617" customFormat="false" ht="12.8" hidden="false" customHeight="false" outlineLevel="0" collapsed="false">
      <c r="A17617" s="0" t="s">
        <v>7491</v>
      </c>
      <c r="B17617" s="0" t="str">
        <f aca="false">HYPERLINK("https://lindat.mff.cuni.cz/services/teitok/pdtc10/index.php?action=vallex&amp;frame=v-w2132f1", "naplnit (v-w2132f1)")</f>
        <v>naplnit (v-w2132f1)</v>
      </c>
      <c r="E17617" s="0" t="str">
        <f aca="false">HYPERLINK("https://lindat.mff.cuni.cz/services/SynSemClass40/SynSemClass40.html?veclass=vec00540#vec00540-ces-cm00007", "vec00540")</f>
        <v>vec00540</v>
      </c>
      <c r="F17617" s="0" t="s">
        <v>7492</v>
      </c>
    </row>
    <row r="17618" customFormat="false" ht="12.8" hidden="false" customHeight="false" outlineLevel="0" collapsed="false">
      <c r="B17618" s="0" t="s">
        <v>1</v>
      </c>
      <c r="C17618" s="0" t="s">
        <v>7493</v>
      </c>
      <c r="E17618" s="0" t="s">
        <v>11</v>
      </c>
      <c r="F17618" s="0" t="s">
        <v>7494</v>
      </c>
    </row>
    <row r="17619" customFormat="false" ht="12.8" hidden="false" customHeight="false" outlineLevel="0" collapsed="false">
      <c r="B17619" s="0" t="s">
        <v>305</v>
      </c>
      <c r="C17619" s="0" t="s">
        <v>7495</v>
      </c>
      <c r="E17619" s="0" t="s">
        <v>7496</v>
      </c>
      <c r="F17619" s="0" t="s">
        <v>7497</v>
      </c>
    </row>
    <row r="17621" customFormat="false" ht="12.8" hidden="false" customHeight="false" outlineLevel="0" collapsed="false">
      <c r="A17621" s="0" t="s">
        <v>7498</v>
      </c>
      <c r="B17621" s="0" t="str">
        <f aca="false">HYPERLINK("https://lindat.mff.cuni.cz/services/teitok/pdtc10/index.php?action=vallex&amp;frame=v-w2132f3_ZU", "naplnit (v-w2132f3_ZU)")</f>
        <v>naplnit (v-w2132f3_ZU)</v>
      </c>
    </row>
    <row r="17622" customFormat="false" ht="12.8" hidden="false" customHeight="false" outlineLevel="0" collapsed="false">
      <c r="B17622" s="0" t="s">
        <v>1</v>
      </c>
    </row>
    <row r="17623" customFormat="false" ht="12.8" hidden="false" customHeight="false" outlineLevel="0" collapsed="false">
      <c r="B17623" s="0" t="s">
        <v>8</v>
      </c>
    </row>
    <row r="17624" customFormat="false" ht="12.8" hidden="false" customHeight="false" outlineLevel="0" collapsed="false">
      <c r="B17624" s="0" t="s">
        <v>454</v>
      </c>
    </row>
    <row r="17626" customFormat="false" ht="12.8" hidden="false" customHeight="false" outlineLevel="0" collapsed="false">
      <c r="A17626" s="0" t="s">
        <v>7499</v>
      </c>
      <c r="B17626" s="0" t="str">
        <f aca="false">HYPERLINK("https://lindat.mff.cuni.cz/services/teitok/pdtc10/index.php?action=vallex&amp;frame=v-w2132f4_ZU", "naplnit (v-w2132f4_ZU)")</f>
        <v>naplnit (v-w2132f4_ZU)</v>
      </c>
    </row>
    <row r="17627" customFormat="false" ht="12.8" hidden="false" customHeight="false" outlineLevel="0" collapsed="false">
      <c r="B17627" s="0" t="s">
        <v>1</v>
      </c>
    </row>
    <row r="17628" customFormat="false" ht="12.8" hidden="false" customHeight="false" outlineLevel="0" collapsed="false">
      <c r="B17628" s="0" t="s">
        <v>1262</v>
      </c>
    </row>
    <row r="17630" customFormat="false" ht="12.8" hidden="false" customHeight="false" outlineLevel="0" collapsed="false">
      <c r="A17630" s="0" t="s">
        <v>7500</v>
      </c>
      <c r="B17630" s="0" t="str">
        <f aca="false">HYPERLINK("https://lindat.mff.cuni.cz/services/teitok/pdtc10/index.php?action=vallex&amp;frame=v-w2133f1", "naplnit se (v-w2133f1)")</f>
        <v>naplnit se (v-w2133f1)</v>
      </c>
    </row>
    <row r="17631" customFormat="false" ht="12.8" hidden="false" customHeight="false" outlineLevel="0" collapsed="false">
      <c r="B17631" s="0" t="s">
        <v>1</v>
      </c>
    </row>
    <row r="17633" customFormat="false" ht="12.8" hidden="false" customHeight="false" outlineLevel="0" collapsed="false">
      <c r="A17633" s="0" t="s">
        <v>7501</v>
      </c>
      <c r="B17633" s="0" t="str">
        <f aca="false">HYPERLINK("https://lindat.mff.cuni.cz/services/teitok/pdtc10/index.php?action=vallex&amp;frame=v-w2133f3_MM", "naplnit se (v-w2133f3_MM)")</f>
        <v>naplnit se (v-w2133f3_MM)</v>
      </c>
    </row>
    <row r="17634" customFormat="false" ht="12.8" hidden="false" customHeight="false" outlineLevel="0" collapsed="false">
      <c r="B17634" s="0" t="s">
        <v>1</v>
      </c>
    </row>
    <row r="17635" customFormat="false" ht="12.8" hidden="false" customHeight="false" outlineLevel="0" collapsed="false">
      <c r="B17635" s="0" t="s">
        <v>4287</v>
      </c>
    </row>
    <row r="17637" customFormat="false" ht="12.8" hidden="false" customHeight="false" outlineLevel="0" collapsed="false">
      <c r="A17637" s="0" t="s">
        <v>7501</v>
      </c>
      <c r="B17637" s="0" t="str">
        <f aca="false">HYPERLINK("https://lindat.mff.cuni.cz/services/teitok/pdtc10/index.php?action=vallex&amp;frame=v-w2133f2_ZU", "naplnit se (v-w2133f2_ZU) - substituted with v-w2133f3_MM")</f>
        <v>naplnit se (v-w2133f2_ZU) - substituted with v-w2133f3_MM</v>
      </c>
    </row>
    <row r="17638" customFormat="false" ht="12.8" hidden="false" customHeight="false" outlineLevel="0" collapsed="false">
      <c r="B17638" s="0" t="s">
        <v>1</v>
      </c>
    </row>
    <row r="17639" customFormat="false" ht="12.8" hidden="false" customHeight="false" outlineLevel="0" collapsed="false">
      <c r="B17639" s="0" t="s">
        <v>4287</v>
      </c>
    </row>
    <row r="17641" customFormat="false" ht="12.8" hidden="false" customHeight="false" outlineLevel="0" collapsed="false">
      <c r="A17641" s="0" t="s">
        <v>7502</v>
      </c>
      <c r="B17641" s="0" t="str">
        <f aca="false">HYPERLINK("https://lindat.mff.cuni.cz/services/teitok/pdtc10/index.php?action=vallex&amp;frame=v-w2129f1", "naplánovat (v-w2129f1)")</f>
        <v>naplánovat (v-w2129f1)</v>
      </c>
      <c r="E17641" s="0" t="str">
        <f aca="false">HYPERLINK("https://lindat.mff.cuni.cz/services/SynSemClass40/SynSemClass40.html?veclass=vec00256#vec00256-ces-cm00010", "vec00256")</f>
        <v>vec00256</v>
      </c>
      <c r="F17641" s="0" t="s">
        <v>993</v>
      </c>
    </row>
    <row r="17642" customFormat="false" ht="12.8" hidden="false" customHeight="false" outlineLevel="0" collapsed="false">
      <c r="B17642" s="0" t="s">
        <v>1</v>
      </c>
      <c r="C17642" s="0" t="s">
        <v>6482</v>
      </c>
      <c r="E17642" s="0" t="s">
        <v>31</v>
      </c>
      <c r="F17642" s="0" t="s">
        <v>6483</v>
      </c>
    </row>
    <row r="17643" customFormat="false" ht="12.8" hidden="false" customHeight="false" outlineLevel="0" collapsed="false">
      <c r="B17643" s="0" t="s">
        <v>7503</v>
      </c>
      <c r="C17643" s="0" t="s">
        <v>6484</v>
      </c>
      <c r="E17643" s="0" t="s">
        <v>1556</v>
      </c>
      <c r="F17643" s="0" t="s">
        <v>6485</v>
      </c>
    </row>
    <row r="17645" customFormat="false" ht="12.8" hidden="false" customHeight="false" outlineLevel="0" collapsed="false">
      <c r="A17645" s="0" t="s">
        <v>7504</v>
      </c>
      <c r="B17645" s="0" t="str">
        <f aca="false">HYPERLINK("https://lindat.mff.cuni.cz/services/teitok/pdtc10/index.php?action=vallex&amp;frame=v-w2135f1", "naplňovat (v-w2135f1)")</f>
        <v>naplňovat (v-w2135f1)</v>
      </c>
      <c r="E17645" s="0" t="str">
        <f aca="false">HYPERLINK("https://lindat.mff.cuni.cz/services/SynSemClass40/SynSemClass40.html?veclass=vec00577#vec00577-ces-cm00013", "vec00577")</f>
        <v>vec00577</v>
      </c>
      <c r="F17645" s="0" t="s">
        <v>7484</v>
      </c>
    </row>
    <row r="17646" customFormat="false" ht="12.8" hidden="false" customHeight="false" outlineLevel="0" collapsed="false">
      <c r="B17646" s="0" t="s">
        <v>1</v>
      </c>
      <c r="C17646" s="0" t="s">
        <v>7485</v>
      </c>
      <c r="E17646" s="0" t="s">
        <v>31</v>
      </c>
      <c r="F17646" s="0" t="s">
        <v>7486</v>
      </c>
    </row>
    <row r="17647" customFormat="false" ht="12.8" hidden="false" customHeight="false" outlineLevel="0" collapsed="false">
      <c r="B17647" s="0" t="s">
        <v>8</v>
      </c>
      <c r="C17647" s="0" t="s">
        <v>7487</v>
      </c>
      <c r="E17647" s="0" t="s">
        <v>7098</v>
      </c>
      <c r="F17647" s="0" t="s">
        <v>7488</v>
      </c>
    </row>
    <row r="17648" customFormat="false" ht="12.8" hidden="false" customHeight="false" outlineLevel="0" collapsed="false">
      <c r="B17648" s="0" t="s">
        <v>7045</v>
      </c>
      <c r="C17648" s="0" t="s">
        <v>7489</v>
      </c>
      <c r="E17648" s="0" t="s">
        <v>7101</v>
      </c>
      <c r="F17648" s="0" t="s">
        <v>7490</v>
      </c>
    </row>
    <row r="17650" customFormat="false" ht="12.8" hidden="false" customHeight="false" outlineLevel="0" collapsed="false">
      <c r="A17650" s="0" t="s">
        <v>7505</v>
      </c>
      <c r="B17650" s="0" t="str">
        <f aca="false">HYPERLINK("https://lindat.mff.cuni.cz/services/teitok/pdtc10/index.php?action=vallex&amp;frame=v-w2135f2", "naplňovat (v-w2135f2)")</f>
        <v>naplňovat (v-w2135f2)</v>
      </c>
      <c r="E17650" s="0" t="str">
        <f aca="false">HYPERLINK("https://lindat.mff.cuni.cz/services/SynSemClass40/SynSemClass40.html?veclass=vec00316#vec00316-ces-cm00067", "vec00316")</f>
        <v>vec00316</v>
      </c>
      <c r="F17650" s="0" t="s">
        <v>2221</v>
      </c>
    </row>
    <row r="17651" customFormat="false" ht="12.8" hidden="false" customHeight="false" outlineLevel="0" collapsed="false">
      <c r="B17651" s="0" t="s">
        <v>1</v>
      </c>
      <c r="C17651" s="0" t="s">
        <v>2222</v>
      </c>
      <c r="E17651" s="0" t="s">
        <v>11</v>
      </c>
      <c r="F17651" s="0" t="s">
        <v>2223</v>
      </c>
    </row>
    <row r="17652" customFormat="false" ht="12.8" hidden="false" customHeight="false" outlineLevel="0" collapsed="false">
      <c r="B17652" s="0" t="s">
        <v>305</v>
      </c>
      <c r="C17652" s="0" t="s">
        <v>2224</v>
      </c>
      <c r="E17652" s="0" t="s">
        <v>2225</v>
      </c>
      <c r="F17652" s="0" t="s">
        <v>2226</v>
      </c>
    </row>
    <row r="17654" customFormat="false" ht="12.8" hidden="false" customHeight="false" outlineLevel="0" collapsed="false">
      <c r="A17654" s="0" t="s">
        <v>7506</v>
      </c>
      <c r="B17654" s="0" t="str">
        <f aca="false">HYPERLINK("https://lindat.mff.cuni.cz/services/teitok/pdtc10/index.php?action=vallex&amp;frame=v-w2136f1", "naplňovat se (v-w2136f1)")</f>
        <v>naplňovat se (v-w2136f1)</v>
      </c>
    </row>
    <row r="17655" customFormat="false" ht="12.8" hidden="false" customHeight="false" outlineLevel="0" collapsed="false">
      <c r="B17655" s="0" t="s">
        <v>1</v>
      </c>
    </row>
    <row r="17657" customFormat="false" ht="12.8" hidden="false" customHeight="false" outlineLevel="0" collapsed="false">
      <c r="A17657" s="0" t="s">
        <v>7507</v>
      </c>
      <c r="B17657" s="0" t="str">
        <f aca="false">HYPERLINK("https://lindat.mff.cuni.cz/services/teitok/pdtc10/index.php?action=vallex&amp;frame=v-w2138f3", "napnout (v-w2138f3)")</f>
        <v>napnout (v-w2138f3)</v>
      </c>
    </row>
    <row r="17658" customFormat="false" ht="12.8" hidden="false" customHeight="false" outlineLevel="0" collapsed="false">
      <c r="B17658" s="0" t="s">
        <v>1</v>
      </c>
    </row>
    <row r="17659" customFormat="false" ht="12.8" hidden="false" customHeight="false" outlineLevel="0" collapsed="false">
      <c r="B17659" s="0" t="s">
        <v>7508</v>
      </c>
    </row>
    <row r="17661" customFormat="false" ht="12.8" hidden="false" customHeight="false" outlineLevel="0" collapsed="false">
      <c r="A17661" s="0" t="s">
        <v>7509</v>
      </c>
      <c r="B17661" s="0" t="str">
        <f aca="false">HYPERLINK("https://lindat.mff.cuni.cz/services/teitok/pdtc10/index.php?action=vallex&amp;frame=v-w2138f1", "napnout (v-w2138f1)")</f>
        <v>napnout (v-w2138f1)</v>
      </c>
    </row>
    <row r="17662" customFormat="false" ht="12.8" hidden="false" customHeight="false" outlineLevel="0" collapsed="false">
      <c r="B17662" s="0" t="s">
        <v>1</v>
      </c>
    </row>
    <row r="17663" customFormat="false" ht="12.8" hidden="false" customHeight="false" outlineLevel="0" collapsed="false">
      <c r="B17663" s="0" t="s">
        <v>8</v>
      </c>
    </row>
    <row r="17665" customFormat="false" ht="12.8" hidden="false" customHeight="false" outlineLevel="0" collapsed="false">
      <c r="A17665" s="0" t="s">
        <v>7510</v>
      </c>
      <c r="B17665" s="0" t="str">
        <f aca="false">HYPERLINK("https://lindat.mff.cuni.cz/services/teitok/pdtc10/index.php?action=vallex&amp;frame=v-w11275f1", "napnout se (v-w11275f1)")</f>
        <v>napnout se (v-w11275f1)</v>
      </c>
      <c r="E17665" s="0" t="str">
        <f aca="false">HYPERLINK("https://lindat.mff.cuni.cz/services/SynSemClass40/SynSemClass40.html?veclass=vec01498#vec01498-ces-cm00003", "vec01498")</f>
        <v>vec01498</v>
      </c>
      <c r="F17665" s="0" t="s">
        <v>7511</v>
      </c>
    </row>
    <row r="17666" customFormat="false" ht="12.8" hidden="false" customHeight="false" outlineLevel="0" collapsed="false">
      <c r="B17666" s="0" t="s">
        <v>1</v>
      </c>
      <c r="C17666" s="0" t="s">
        <v>7512</v>
      </c>
      <c r="E17666" s="0" t="s">
        <v>84</v>
      </c>
      <c r="F17666" s="0" t="s">
        <v>7513</v>
      </c>
    </row>
    <row r="17668" customFormat="false" ht="12.8" hidden="false" customHeight="false" outlineLevel="0" collapsed="false">
      <c r="A17668" s="0" t="s">
        <v>7514</v>
      </c>
      <c r="B17668" s="0" t="str">
        <f aca="false">HYPERLINK("https://lindat.mff.cuni.cz/services/teitok/pdtc10/index.php?action=vallex&amp;frame=v-w2142f1", "napodobit (v-w2142f1)")</f>
        <v>napodobit (v-w2142f1)</v>
      </c>
      <c r="E17668" s="0" t="str">
        <f aca="false">HYPERLINK("https://lindat.mff.cuni.cz/services/SynSemClass40/SynSemClass40.html?veclass=vec01109#vec01109-ces-cm00004", "vec01109")</f>
        <v>vec01109</v>
      </c>
      <c r="F17668" s="0" t="s">
        <v>5631</v>
      </c>
    </row>
    <row r="17669" customFormat="false" ht="12.8" hidden="false" customHeight="false" outlineLevel="0" collapsed="false">
      <c r="B17669" s="0" t="s">
        <v>1</v>
      </c>
      <c r="C17669" s="0" t="s">
        <v>3288</v>
      </c>
      <c r="E17669" s="0" t="s">
        <v>11</v>
      </c>
      <c r="F17669" s="0" t="s">
        <v>5632</v>
      </c>
    </row>
    <row r="17670" customFormat="false" ht="12.8" hidden="false" customHeight="false" outlineLevel="0" collapsed="false">
      <c r="B17670" s="0" t="s">
        <v>117</v>
      </c>
      <c r="C17670" s="0" t="s">
        <v>827</v>
      </c>
      <c r="E17670" s="0" t="s">
        <v>5633</v>
      </c>
      <c r="F17670" s="0" t="s">
        <v>5634</v>
      </c>
    </row>
    <row r="17672" customFormat="false" ht="12.8" hidden="false" customHeight="false" outlineLevel="0" collapsed="false">
      <c r="A17672" s="0" t="s">
        <v>7515</v>
      </c>
      <c r="B17672" s="0" t="str">
        <f aca="false">HYPERLINK("https://lindat.mff.cuni.cz/services/teitok/pdtc10/index.php?action=vallex&amp;frame=v-w2144f1", "napodobovat (v-w2144f1)")</f>
        <v>napodobovat (v-w2144f1)</v>
      </c>
      <c r="E17672" s="0" t="str">
        <f aca="false">HYPERLINK("https://lindat.mff.cuni.cz/services/SynSemClass40/SynSemClass40.html?veclass=vec01109#vec01109-ces-cm00002", "vec01109")</f>
        <v>vec01109</v>
      </c>
      <c r="F17672" s="0" t="s">
        <v>5631</v>
      </c>
    </row>
    <row r="17673" customFormat="false" ht="12.8" hidden="false" customHeight="false" outlineLevel="0" collapsed="false">
      <c r="B17673" s="0" t="s">
        <v>1</v>
      </c>
      <c r="C17673" s="0" t="s">
        <v>3288</v>
      </c>
      <c r="E17673" s="0" t="s">
        <v>11</v>
      </c>
      <c r="F17673" s="0" t="s">
        <v>5632</v>
      </c>
    </row>
    <row r="17674" customFormat="false" ht="12.8" hidden="false" customHeight="false" outlineLevel="0" collapsed="false">
      <c r="B17674" s="0" t="s">
        <v>117</v>
      </c>
      <c r="C17674" s="0" t="s">
        <v>827</v>
      </c>
      <c r="E17674" s="0" t="s">
        <v>5633</v>
      </c>
      <c r="F17674" s="0" t="s">
        <v>5634</v>
      </c>
    </row>
    <row r="17676" customFormat="false" ht="12.8" hidden="false" customHeight="false" outlineLevel="0" collapsed="false">
      <c r="A17676" s="0" t="s">
        <v>7516</v>
      </c>
      <c r="B17676" s="0" t="str">
        <f aca="false">HYPERLINK("https://lindat.mff.cuni.cz/services/teitok/pdtc10/index.php?action=vallex&amp;frame=v-w2146f1", "napojit (v-w2146f1)")</f>
        <v>napojit (v-w2146f1)</v>
      </c>
      <c r="E17676" s="0" t="str">
        <f aca="false">HYPERLINK("https://lindat.mff.cuni.cz/services/SynSemClass40/SynSemClass40.html?veclass=vec01480#vec01480-ces-cm00003", "vec01480")</f>
        <v>vec01480</v>
      </c>
      <c r="F17676" s="0" t="s">
        <v>7517</v>
      </c>
    </row>
    <row r="17677" customFormat="false" ht="12.8" hidden="false" customHeight="false" outlineLevel="0" collapsed="false">
      <c r="B17677" s="0" t="s">
        <v>1</v>
      </c>
      <c r="C17677" s="0" t="s">
        <v>7518</v>
      </c>
      <c r="E17677" s="0" t="s">
        <v>31</v>
      </c>
      <c r="F17677" s="0" t="s">
        <v>7519</v>
      </c>
    </row>
    <row r="17678" customFormat="false" ht="12.8" hidden="false" customHeight="false" outlineLevel="0" collapsed="false">
      <c r="B17678" s="0" t="s">
        <v>8</v>
      </c>
      <c r="C17678" s="0" t="s">
        <v>5391</v>
      </c>
      <c r="E17678" s="0" t="s">
        <v>7520</v>
      </c>
      <c r="F17678" s="0" t="s">
        <v>7521</v>
      </c>
    </row>
    <row r="17679" customFormat="false" ht="12.8" hidden="false" customHeight="false" outlineLevel="0" collapsed="false">
      <c r="B17679" s="0" t="s">
        <v>164</v>
      </c>
      <c r="C17679" s="0" t="s">
        <v>7522</v>
      </c>
      <c r="E17679" s="0" t="s">
        <v>7523</v>
      </c>
      <c r="F17679" s="0" t="s">
        <v>7524</v>
      </c>
    </row>
    <row r="17681" customFormat="false" ht="12.8" hidden="false" customHeight="false" outlineLevel="0" collapsed="false">
      <c r="A17681" s="0" t="s">
        <v>7525</v>
      </c>
      <c r="B17681" s="0" t="str">
        <f aca="false">HYPERLINK("https://lindat.mff.cuni.cz/services/teitok/pdtc10/index.php?action=vallex&amp;frame=v-w2146f2", "napojit (v-w2146f2)")</f>
        <v>napojit (v-w2146f2)</v>
      </c>
    </row>
    <row r="17682" customFormat="false" ht="12.8" hidden="false" customHeight="false" outlineLevel="0" collapsed="false">
      <c r="B17682" s="0" t="s">
        <v>1</v>
      </c>
    </row>
    <row r="17683" customFormat="false" ht="12.8" hidden="false" customHeight="false" outlineLevel="0" collapsed="false">
      <c r="B17683" s="0" t="s">
        <v>8</v>
      </c>
    </row>
    <row r="17685" customFormat="false" ht="12.8" hidden="false" customHeight="false" outlineLevel="0" collapsed="false">
      <c r="A17685" s="0" t="s">
        <v>7526</v>
      </c>
      <c r="B17685" s="0" t="str">
        <f aca="false">HYPERLINK("https://lindat.mff.cuni.cz/services/teitok/pdtc10/index.php?action=vallex&amp;frame=v-w11523_ZUf1_ZU", "napojit se (v-w11523_ZUf1_ZU)")</f>
        <v>napojit se (v-w11523_ZUf1_ZU)</v>
      </c>
    </row>
    <row r="17686" customFormat="false" ht="12.8" hidden="false" customHeight="false" outlineLevel="0" collapsed="false">
      <c r="B17686" s="0" t="s">
        <v>1</v>
      </c>
    </row>
    <row r="17687" customFormat="false" ht="12.8" hidden="false" customHeight="false" outlineLevel="0" collapsed="false">
      <c r="B17687" s="0" t="s">
        <v>45</v>
      </c>
    </row>
    <row r="17689" customFormat="false" ht="12.8" hidden="false" customHeight="false" outlineLevel="0" collapsed="false">
      <c r="A17689" s="0" t="s">
        <v>7527</v>
      </c>
      <c r="B17689" s="0" t="str">
        <f aca="false">HYPERLINK("https://lindat.mff.cuni.cz/services/teitok/pdtc10/index.php?action=vallex&amp;frame=v-w11857_ZUf1_ZU", "napojovat (v-w11857_ZUf1_ZU)")</f>
        <v>napojovat (v-w11857_ZUf1_ZU)</v>
      </c>
    </row>
    <row r="17690" customFormat="false" ht="12.8" hidden="false" customHeight="false" outlineLevel="0" collapsed="false">
      <c r="B17690" s="0" t="s">
        <v>1</v>
      </c>
    </row>
    <row r="17691" customFormat="false" ht="12.8" hidden="false" customHeight="false" outlineLevel="0" collapsed="false">
      <c r="B17691" s="0" t="s">
        <v>8</v>
      </c>
    </row>
    <row r="17692" customFormat="false" ht="12.8" hidden="false" customHeight="false" outlineLevel="0" collapsed="false">
      <c r="B17692" s="0" t="s">
        <v>454</v>
      </c>
    </row>
    <row r="17694" customFormat="false" ht="12.8" hidden="false" customHeight="false" outlineLevel="0" collapsed="false">
      <c r="A17694" s="0" t="s">
        <v>7528</v>
      </c>
      <c r="B17694" s="0" t="str">
        <f aca="false">HYPERLINK("https://lindat.mff.cuni.cz/services/teitok/pdtc10/index.php?action=vallex&amp;frame=v-w2149f1", "napomenout (v-w2149f1)")</f>
        <v>napomenout (v-w2149f1)</v>
      </c>
    </row>
    <row r="17695" customFormat="false" ht="12.8" hidden="false" customHeight="false" outlineLevel="0" collapsed="false">
      <c r="B17695" s="0" t="s">
        <v>1</v>
      </c>
    </row>
    <row r="17696" customFormat="false" ht="12.8" hidden="false" customHeight="false" outlineLevel="0" collapsed="false">
      <c r="B17696" s="0" t="s">
        <v>8</v>
      </c>
    </row>
    <row r="17698" customFormat="false" ht="12.8" hidden="false" customHeight="false" outlineLevel="0" collapsed="false">
      <c r="A17698" s="0" t="s">
        <v>7529</v>
      </c>
      <c r="B17698" s="0" t="str">
        <f aca="false">HYPERLINK("https://lindat.mff.cuni.cz/services/teitok/pdtc10/index.php?action=vallex&amp;frame=v-w2151f2", "napomoci (v-w2151f2)")</f>
        <v>napomoci (v-w2151f2)</v>
      </c>
      <c r="E17698" s="0" t="str">
        <f aca="false">HYPERLINK("https://lindat.mff.cuni.cz/services/SynSemClass40/SynSemClass40.html?veclass=vec00069#vec00069-ces-cm00019", "vec00069")</f>
        <v>vec00069</v>
      </c>
      <c r="F17698" s="0" t="s">
        <v>4300</v>
      </c>
    </row>
    <row r="17699" customFormat="false" ht="12.8" hidden="false" customHeight="false" outlineLevel="0" collapsed="false">
      <c r="B17699" s="0" t="s">
        <v>1</v>
      </c>
      <c r="C17699" s="0" t="s">
        <v>7530</v>
      </c>
      <c r="E17699" s="0" t="s">
        <v>3021</v>
      </c>
      <c r="F17699" s="0" t="s">
        <v>4302</v>
      </c>
    </row>
    <row r="17700" customFormat="false" ht="12.8" hidden="false" customHeight="false" outlineLevel="0" collapsed="false">
      <c r="B17700" s="0" t="s">
        <v>350</v>
      </c>
      <c r="C17700" s="0" t="s">
        <v>7531</v>
      </c>
      <c r="E17700" s="0" t="s">
        <v>3023</v>
      </c>
      <c r="F17700" s="0" t="s">
        <v>4305</v>
      </c>
    </row>
    <row r="17702" customFormat="false" ht="12.8" hidden="false" customHeight="false" outlineLevel="0" collapsed="false">
      <c r="A17702" s="0" t="s">
        <v>7532</v>
      </c>
      <c r="B17702" s="0" t="str">
        <f aca="false">HYPERLINK("https://lindat.mff.cuni.cz/services/teitok/pdtc10/index.php?action=vallex&amp;frame=v-w2151f3", "napomoci (v-w2151f3)")</f>
        <v>napomoci (v-w2151f3)</v>
      </c>
      <c r="E17702" s="0" t="str">
        <f aca="false">HYPERLINK("https://lindat.mff.cuni.cz/services/SynSemClass40/SynSemClass40.html?veclass=vec00475#vec00475-ces-cm00026", "vec00475")</f>
        <v>vec00475</v>
      </c>
      <c r="F17702" s="0" t="s">
        <v>7533</v>
      </c>
    </row>
    <row r="17703" customFormat="false" ht="12.8" hidden="false" customHeight="false" outlineLevel="0" collapsed="false">
      <c r="B17703" s="0" t="s">
        <v>1181</v>
      </c>
      <c r="C17703" s="0" t="s">
        <v>7534</v>
      </c>
      <c r="E17703" s="0" t="s">
        <v>3021</v>
      </c>
      <c r="F17703" s="0" t="s">
        <v>7535</v>
      </c>
    </row>
    <row r="17704" customFormat="false" ht="12.8" hidden="false" customHeight="false" outlineLevel="0" collapsed="false">
      <c r="B17704" s="0" t="s">
        <v>52</v>
      </c>
      <c r="C17704" s="0" t="s">
        <v>7536</v>
      </c>
      <c r="E17704" s="0" t="s">
        <v>4235</v>
      </c>
      <c r="F17704" s="0" t="s">
        <v>7537</v>
      </c>
    </row>
    <row r="17705" customFormat="false" ht="12.8" hidden="false" customHeight="false" outlineLevel="0" collapsed="false">
      <c r="B17705" s="0" t="s">
        <v>7538</v>
      </c>
      <c r="C17705" s="0" t="s">
        <v>7539</v>
      </c>
      <c r="E17705" s="0" t="s">
        <v>523</v>
      </c>
      <c r="F17705" s="0" t="s">
        <v>7540</v>
      </c>
    </row>
    <row r="17707" customFormat="false" ht="12.8" hidden="false" customHeight="false" outlineLevel="0" collapsed="false">
      <c r="A17707" s="0" t="s">
        <v>7541</v>
      </c>
      <c r="B17707" s="0" t="str">
        <f aca="false">HYPERLINK("https://lindat.mff.cuni.cz/services/teitok/pdtc10/index.php?action=vallex&amp;frame=v-w2151f1", "napomoci (v-w2151f1)")</f>
        <v>napomoci (v-w2151f1)</v>
      </c>
      <c r="E17707" s="0" t="str">
        <f aca="false">HYPERLINK("https://lindat.mff.cuni.cz/services/SynSemClass40/SynSemClass40.html?veclass=vec00475#vec00475-ces-cm00024", "vec00475")</f>
        <v>vec00475</v>
      </c>
      <c r="F17707" s="0" t="s">
        <v>7533</v>
      </c>
    </row>
    <row r="17708" customFormat="false" ht="12.8" hidden="false" customHeight="false" outlineLevel="0" collapsed="false">
      <c r="B17708" s="0" t="s">
        <v>1</v>
      </c>
      <c r="C17708" s="0" t="s">
        <v>7534</v>
      </c>
      <c r="E17708" s="0" t="s">
        <v>3021</v>
      </c>
      <c r="F17708" s="0" t="s">
        <v>7535</v>
      </c>
    </row>
    <row r="17709" customFormat="false" ht="12.8" hidden="false" customHeight="false" outlineLevel="0" collapsed="false">
      <c r="B17709" s="0" t="s">
        <v>52</v>
      </c>
      <c r="C17709" s="0" t="s">
        <v>7536</v>
      </c>
      <c r="E17709" s="0" t="s">
        <v>4235</v>
      </c>
      <c r="F17709" s="0" t="s">
        <v>7537</v>
      </c>
    </row>
    <row r="17710" customFormat="false" ht="12.8" hidden="false" customHeight="false" outlineLevel="0" collapsed="false">
      <c r="B17710" s="0" t="s">
        <v>7542</v>
      </c>
      <c r="C17710" s="0" t="s">
        <v>7539</v>
      </c>
      <c r="E17710" s="0" t="s">
        <v>523</v>
      </c>
      <c r="F17710" s="0" t="s">
        <v>7540</v>
      </c>
    </row>
    <row r="17712" customFormat="false" ht="12.8" hidden="false" customHeight="false" outlineLevel="0" collapsed="false">
      <c r="A17712" s="0" t="s">
        <v>7543</v>
      </c>
      <c r="B17712" s="0" t="str">
        <f aca="false">HYPERLINK("https://lindat.mff.cuni.cz/services/teitok/pdtc10/index.php?action=vallex&amp;frame=v-w2148f1", "napomáhat (v-w2148f1)")</f>
        <v>napomáhat (v-w2148f1)</v>
      </c>
      <c r="E17712" s="0" t="str">
        <f aca="false">HYPERLINK("https://lindat.mff.cuni.cz/services/SynSemClass40/SynSemClass40.html?veclass=vec00069#vec00069-ces-cm00017", "vec00069")</f>
        <v>vec00069</v>
      </c>
      <c r="F17712" s="0" t="s">
        <v>4300</v>
      </c>
    </row>
    <row r="17713" customFormat="false" ht="12.8" hidden="false" customHeight="false" outlineLevel="0" collapsed="false">
      <c r="B17713" s="0" t="s">
        <v>1</v>
      </c>
      <c r="C17713" s="0" t="s">
        <v>7530</v>
      </c>
      <c r="E17713" s="0" t="s">
        <v>3021</v>
      </c>
      <c r="F17713" s="0" t="s">
        <v>4302</v>
      </c>
    </row>
    <row r="17714" customFormat="false" ht="12.8" hidden="false" customHeight="false" outlineLevel="0" collapsed="false">
      <c r="B17714" s="0" t="s">
        <v>350</v>
      </c>
      <c r="C17714" s="0" t="s">
        <v>7531</v>
      </c>
      <c r="E17714" s="0" t="s">
        <v>3023</v>
      </c>
      <c r="F17714" s="0" t="s">
        <v>4305</v>
      </c>
    </row>
    <row r="17716" customFormat="false" ht="12.8" hidden="false" customHeight="false" outlineLevel="0" collapsed="false">
      <c r="A17716" s="0" t="s">
        <v>7544</v>
      </c>
      <c r="B17716" s="0" t="str">
        <f aca="false">HYPERLINK("https://lindat.mff.cuni.cz/services/teitok/pdtc10/index.php?action=vallex&amp;frame=v-w2148f3", "napomáhat (v-w2148f3)")</f>
        <v>napomáhat (v-w2148f3)</v>
      </c>
      <c r="E17716" s="0" t="str">
        <f aca="false">HYPERLINK("https://lindat.mff.cuni.cz/services/SynSemClass40/SynSemClass40.html?veclass=vec00475#vec00475-ces-cm00027", "vec00475")</f>
        <v>vec00475</v>
      </c>
      <c r="F17716" s="0" t="s">
        <v>7533</v>
      </c>
    </row>
    <row r="17717" customFormat="false" ht="12.8" hidden="false" customHeight="false" outlineLevel="0" collapsed="false">
      <c r="B17717" s="0" t="s">
        <v>1</v>
      </c>
      <c r="C17717" s="0" t="s">
        <v>7534</v>
      </c>
      <c r="E17717" s="0" t="s">
        <v>3021</v>
      </c>
      <c r="F17717" s="0" t="s">
        <v>7535</v>
      </c>
    </row>
    <row r="17718" customFormat="false" ht="12.8" hidden="false" customHeight="false" outlineLevel="0" collapsed="false">
      <c r="B17718" s="0" t="s">
        <v>52</v>
      </c>
      <c r="C17718" s="0" t="s">
        <v>7536</v>
      </c>
      <c r="E17718" s="0" t="s">
        <v>4235</v>
      </c>
      <c r="F17718" s="0" t="s">
        <v>7537</v>
      </c>
    </row>
    <row r="17719" customFormat="false" ht="12.8" hidden="false" customHeight="false" outlineLevel="0" collapsed="false">
      <c r="B17719" s="0" t="s">
        <v>7542</v>
      </c>
      <c r="C17719" s="0" t="s">
        <v>7539</v>
      </c>
      <c r="E17719" s="0" t="s">
        <v>523</v>
      </c>
      <c r="F17719" s="0" t="s">
        <v>7540</v>
      </c>
    </row>
    <row r="17721" customFormat="false" ht="12.8" hidden="false" customHeight="false" outlineLevel="0" collapsed="false">
      <c r="A17721" s="0" t="s">
        <v>7545</v>
      </c>
      <c r="B17721" s="0" t="str">
        <f aca="false">HYPERLINK("https://lindat.mff.cuni.cz/services/teitok/pdtc10/index.php?action=vallex&amp;frame=v-w2148f4_ZU", "napomáhat (v-w2148f4_ZU)")</f>
        <v>napomáhat (v-w2148f4_ZU)</v>
      </c>
      <c r="E17721" s="0" t="str">
        <f aca="false">HYPERLINK("https://lindat.mff.cuni.cz/services/SynSemClass40/SynSemClass40.html?veclass=vec00475#vec00475-ces-cm00053", "vec00475")</f>
        <v>vec00475</v>
      </c>
      <c r="F17721" s="0" t="s">
        <v>7533</v>
      </c>
    </row>
    <row r="17722" customFormat="false" ht="12.8" hidden="false" customHeight="false" outlineLevel="0" collapsed="false">
      <c r="B17722" s="0" t="s">
        <v>7546</v>
      </c>
      <c r="C17722" s="0" t="s">
        <v>7534</v>
      </c>
      <c r="E17722" s="0" t="s">
        <v>3021</v>
      </c>
      <c r="F17722" s="0" t="s">
        <v>7535</v>
      </c>
    </row>
    <row r="17723" customFormat="false" ht="12.8" hidden="false" customHeight="false" outlineLevel="0" collapsed="false">
      <c r="B17723" s="0" t="s">
        <v>52</v>
      </c>
      <c r="C17723" s="0" t="s">
        <v>7536</v>
      </c>
      <c r="E17723" s="0" t="s">
        <v>4235</v>
      </c>
      <c r="F17723" s="0" t="s">
        <v>7537</v>
      </c>
    </row>
    <row r="17724" customFormat="false" ht="12.8" hidden="false" customHeight="false" outlineLevel="0" collapsed="false">
      <c r="B17724" s="0" t="s">
        <v>7538</v>
      </c>
      <c r="C17724" s="0" t="s">
        <v>7539</v>
      </c>
      <c r="E17724" s="0" t="s">
        <v>523</v>
      </c>
      <c r="F17724" s="0" t="s">
        <v>7540</v>
      </c>
    </row>
    <row r="17726" customFormat="false" ht="12.8" hidden="false" customHeight="false" outlineLevel="0" collapsed="false">
      <c r="A17726" s="0" t="s">
        <v>7545</v>
      </c>
      <c r="B17726" s="0" t="str">
        <f aca="false">HYPERLINK("https://lindat.mff.cuni.cz/services/teitok/pdtc10/index.php?action=vallex&amp;frame=v-w2148f2", "napomáhat (v-w2148f2) - substituted with v-w2148f4_ZU")</f>
        <v>napomáhat (v-w2148f2) - substituted with v-w2148f4_ZU</v>
      </c>
    </row>
    <row r="17727" customFormat="false" ht="12.8" hidden="false" customHeight="false" outlineLevel="0" collapsed="false">
      <c r="B17727" s="0" t="s">
        <v>7546</v>
      </c>
    </row>
    <row r="17728" customFormat="false" ht="12.8" hidden="false" customHeight="false" outlineLevel="0" collapsed="false">
      <c r="B17728" s="0" t="s">
        <v>52</v>
      </c>
    </row>
    <row r="17729" customFormat="false" ht="12.8" hidden="false" customHeight="false" outlineLevel="0" collapsed="false">
      <c r="B17729" s="0" t="s">
        <v>7538</v>
      </c>
    </row>
    <row r="17731" customFormat="false" ht="12.8" hidden="false" customHeight="false" outlineLevel="0" collapsed="false">
      <c r="A17731" s="0" t="s">
        <v>7547</v>
      </c>
      <c r="B17731" s="0" t="str">
        <f aca="false">HYPERLINK("https://lindat.mff.cuni.cz/services/teitok/pdtc10/index.php?action=vallex&amp;frame=v-w11524_ZUf1_ZU", "napomínat (v-w11524_ZUf1_ZU)")</f>
        <v>napomínat (v-w11524_ZUf1_ZU)</v>
      </c>
      <c r="E17731" s="0" t="str">
        <f aca="false">HYPERLINK("https://lindat.mff.cuni.cz/services/SynSemClass40/SynSemClass40.html?veclass=vec00361#vec00361-ces-cm00084", "vec00361")</f>
        <v>vec00361</v>
      </c>
      <c r="F17731" s="0" t="s">
        <v>7548</v>
      </c>
      <c r="H17731" s="0" t="str">
        <f aca="false">HYPERLINK("https://lindat.mff.cuni.cz/services/SynSemClass40/SynSemClass40.html?veclass=vec00620#vec00620-ces-cm00017", "vec00620")</f>
        <v>vec00620</v>
      </c>
      <c r="I17731" s="0" t="s">
        <v>4262</v>
      </c>
    </row>
    <row r="17732" customFormat="false" ht="12.8" hidden="false" customHeight="false" outlineLevel="0" collapsed="false">
      <c r="B17732" s="0" t="s">
        <v>1</v>
      </c>
      <c r="C17732" s="0" t="s">
        <v>7549</v>
      </c>
      <c r="E17732" s="0" t="s">
        <v>31</v>
      </c>
      <c r="F17732" s="0" t="s">
        <v>7550</v>
      </c>
      <c r="H17732" s="0" t="s">
        <v>31</v>
      </c>
      <c r="I17732" s="0" t="s">
        <v>4265</v>
      </c>
    </row>
    <row r="17733" customFormat="false" ht="12.8" hidden="false" customHeight="false" outlineLevel="0" collapsed="false">
      <c r="B17733" s="0" t="s">
        <v>8</v>
      </c>
      <c r="C17733" s="0" t="s">
        <v>7551</v>
      </c>
      <c r="E17733" s="0" t="s">
        <v>3002</v>
      </c>
      <c r="F17733" s="0" t="s">
        <v>7552</v>
      </c>
      <c r="H17733" s="0" t="s">
        <v>142</v>
      </c>
      <c r="I17733" s="0" t="s">
        <v>4268</v>
      </c>
    </row>
    <row r="17735" customFormat="false" ht="12.8" hidden="false" customHeight="false" outlineLevel="0" collapsed="false">
      <c r="A17735" s="0" t="s">
        <v>7553</v>
      </c>
      <c r="B17735" s="0" t="str">
        <f aca="false">HYPERLINK("https://lindat.mff.cuni.cz/services/teitok/pdtc10/index.php?action=vallex&amp;frame=v-whsb_165hsa_166", "naporcovat (v-whsb_165hsa_166)")</f>
        <v>naporcovat (v-whsb_165hsa_166)</v>
      </c>
    </row>
    <row r="17736" customFormat="false" ht="12.8" hidden="false" customHeight="false" outlineLevel="0" collapsed="false">
      <c r="B17736" s="0" t="s">
        <v>1</v>
      </c>
    </row>
    <row r="17737" customFormat="false" ht="12.8" hidden="false" customHeight="false" outlineLevel="0" collapsed="false">
      <c r="B17737" s="0" t="s">
        <v>8</v>
      </c>
    </row>
    <row r="17738" customFormat="false" ht="12.8" hidden="false" customHeight="false" outlineLevel="0" collapsed="false">
      <c r="B17738" s="0" t="s">
        <v>101</v>
      </c>
    </row>
    <row r="17740" customFormat="false" ht="12.8" hidden="false" customHeight="false" outlineLevel="0" collapsed="false">
      <c r="A17740" s="0" t="s">
        <v>7554</v>
      </c>
      <c r="B17740" s="0" t="str">
        <f aca="false">HYPERLINK("https://lindat.mff.cuni.cz/services/teitok/pdtc10/index.php?action=vallex&amp;frame=v-w2154f1", "napovídat (v-w2154f1)")</f>
        <v>napovídat (v-w2154f1)</v>
      </c>
      <c r="E17740" s="0" t="str">
        <f aca="false">HYPERLINK("https://lindat.mff.cuni.cz/services/SynSemClass40/SynSemClass40.html?veclass=vec01234#vec01234-ces-cm00003", "vec01234")</f>
        <v>vec01234</v>
      </c>
      <c r="F17740" s="0" t="s">
        <v>7555</v>
      </c>
    </row>
    <row r="17741" customFormat="false" ht="12.8" hidden="false" customHeight="false" outlineLevel="0" collapsed="false">
      <c r="B17741" s="0" t="s">
        <v>1</v>
      </c>
      <c r="C17741" s="0" t="s">
        <v>7556</v>
      </c>
      <c r="E17741" s="0" t="s">
        <v>63</v>
      </c>
      <c r="F17741" s="0" t="s">
        <v>7557</v>
      </c>
    </row>
    <row r="17742" customFormat="false" ht="12.8" hidden="false" customHeight="false" outlineLevel="0" collapsed="false">
      <c r="B17742" s="0" t="s">
        <v>7139</v>
      </c>
      <c r="C17742" s="0" t="s">
        <v>7558</v>
      </c>
      <c r="E17742" s="0" t="s">
        <v>50</v>
      </c>
      <c r="F17742" s="0" t="s">
        <v>7559</v>
      </c>
    </row>
    <row r="17743" customFormat="false" ht="12.8" hidden="false" customHeight="false" outlineLevel="0" collapsed="false">
      <c r="B17743" s="0" t="s">
        <v>52</v>
      </c>
      <c r="C17743" s="0" t="s">
        <v>6948</v>
      </c>
      <c r="E17743" s="0" t="s">
        <v>221</v>
      </c>
      <c r="F17743" s="0" t="s">
        <v>7560</v>
      </c>
    </row>
    <row r="17745" customFormat="false" ht="12.8" hidden="false" customHeight="false" outlineLevel="0" collapsed="false">
      <c r="A17745" s="0" t="s">
        <v>7561</v>
      </c>
      <c r="B17745" s="0" t="str">
        <f aca="false">HYPERLINK("https://lindat.mff.cuni.cz/services/teitok/pdtc10/index.php?action=vallex&amp;frame=v-w2154f2", "napovídat (v-w2154f2)")</f>
        <v>napovídat (v-w2154f2)</v>
      </c>
    </row>
    <row r="17746" customFormat="false" ht="12.8" hidden="false" customHeight="false" outlineLevel="0" collapsed="false">
      <c r="B17746" s="0" t="s">
        <v>1</v>
      </c>
    </row>
    <row r="17747" customFormat="false" ht="12.8" hidden="false" customHeight="false" outlineLevel="0" collapsed="false">
      <c r="B17747" s="0" t="s">
        <v>7562</v>
      </c>
    </row>
    <row r="17748" customFormat="false" ht="12.8" hidden="false" customHeight="false" outlineLevel="0" collapsed="false">
      <c r="B17748" s="0" t="s">
        <v>496</v>
      </c>
    </row>
    <row r="17749" customFormat="false" ht="12.8" hidden="false" customHeight="false" outlineLevel="0" collapsed="false">
      <c r="B17749" s="0" t="s">
        <v>132</v>
      </c>
    </row>
    <row r="17751" customFormat="false" ht="12.8" hidden="false" customHeight="false" outlineLevel="0" collapsed="false">
      <c r="A17751" s="0" t="s">
        <v>7563</v>
      </c>
      <c r="B17751" s="0" t="str">
        <f aca="false">HYPERLINK("https://lindat.mff.cuni.cz/services/teitok/pdtc10/index.php?action=vallex&amp;frame=v-w2154hsa_454", "napovídat (v-w2154hsa_454)")</f>
        <v>napovídat (v-w2154hsa_454)</v>
      </c>
      <c r="E17751" s="0" t="str">
        <f aca="false">HYPERLINK("https://lindat.mff.cuni.cz/services/SynSemClass40/SynSemClass40.html?veclass=vec01234#vec01234-ces-cm00005", "vec01234")</f>
        <v>vec01234</v>
      </c>
      <c r="F17751" s="0" t="s">
        <v>7555</v>
      </c>
    </row>
    <row r="17752" customFormat="false" ht="12.8" hidden="false" customHeight="false" outlineLevel="0" collapsed="false">
      <c r="B17752" s="0" t="s">
        <v>1</v>
      </c>
      <c r="C17752" s="0" t="s">
        <v>7556</v>
      </c>
      <c r="E17752" s="0" t="s">
        <v>63</v>
      </c>
      <c r="F17752" s="0" t="s">
        <v>7557</v>
      </c>
    </row>
    <row r="17753" customFormat="false" ht="12.8" hidden="false" customHeight="false" outlineLevel="0" collapsed="false">
      <c r="B17753" s="0" t="s">
        <v>2382</v>
      </c>
      <c r="C17753" s="0" t="s">
        <v>7564</v>
      </c>
      <c r="E17753" s="0" t="s">
        <v>7565</v>
      </c>
      <c r="F17753" s="0" t="s">
        <v>7566</v>
      </c>
    </row>
    <row r="17754" customFormat="false" ht="12.8" hidden="false" customHeight="false" outlineLevel="0" collapsed="false">
      <c r="B17754" s="0" t="s">
        <v>496</v>
      </c>
      <c r="C17754" s="0" t="s">
        <v>7558</v>
      </c>
      <c r="E17754" s="0" t="s">
        <v>50</v>
      </c>
      <c r="F17754" s="0" t="s">
        <v>7559</v>
      </c>
    </row>
    <row r="17755" customFormat="false" ht="12.8" hidden="false" customHeight="false" outlineLevel="0" collapsed="false">
      <c r="B17755" s="0" t="s">
        <v>132</v>
      </c>
      <c r="C17755" s="0" t="s">
        <v>6948</v>
      </c>
      <c r="E17755" s="0" t="s">
        <v>221</v>
      </c>
      <c r="F17755" s="0" t="s">
        <v>7560</v>
      </c>
    </row>
    <row r="17757" customFormat="false" ht="12.8" hidden="false" customHeight="false" outlineLevel="0" collapsed="false">
      <c r="A17757" s="0" t="s">
        <v>7567</v>
      </c>
      <c r="B17757" s="0" t="str">
        <f aca="false">HYPERLINK("https://lindat.mff.cuni.cz/services/teitok/pdtc10/index.php?action=vallex&amp;frame=v-w2153f1", "napovědět (v-w2153f1)")</f>
        <v>napovědět (v-w2153f1)</v>
      </c>
      <c r="E17757" s="0" t="str">
        <f aca="false">HYPERLINK("https://lindat.mff.cuni.cz/services/SynSemClass40/SynSemClass40.html?veclass=vec01234#vec01234-ces-cm00002", "vec01234")</f>
        <v>vec01234</v>
      </c>
      <c r="F17757" s="0" t="s">
        <v>7555</v>
      </c>
    </row>
    <row r="17758" customFormat="false" ht="12.8" hidden="false" customHeight="false" outlineLevel="0" collapsed="false">
      <c r="B17758" s="0" t="s">
        <v>1</v>
      </c>
      <c r="C17758" s="0" t="s">
        <v>7556</v>
      </c>
      <c r="E17758" s="0" t="s">
        <v>63</v>
      </c>
      <c r="F17758" s="0" t="s">
        <v>7557</v>
      </c>
    </row>
    <row r="17759" customFormat="false" ht="12.8" hidden="false" customHeight="false" outlineLevel="0" collapsed="false">
      <c r="B17759" s="0" t="s">
        <v>7568</v>
      </c>
      <c r="C17759" s="0" t="s">
        <v>7558</v>
      </c>
      <c r="E17759" s="0" t="s">
        <v>50</v>
      </c>
      <c r="F17759" s="0" t="s">
        <v>7559</v>
      </c>
    </row>
    <row r="17760" customFormat="false" ht="12.8" hidden="false" customHeight="false" outlineLevel="0" collapsed="false">
      <c r="B17760" s="0" t="s">
        <v>52</v>
      </c>
      <c r="C17760" s="0" t="s">
        <v>6948</v>
      </c>
      <c r="E17760" s="0" t="s">
        <v>221</v>
      </c>
      <c r="F17760" s="0" t="s">
        <v>7560</v>
      </c>
    </row>
    <row r="17762" customFormat="false" ht="12.8" hidden="false" customHeight="false" outlineLevel="0" collapsed="false">
      <c r="A17762" s="0" t="s">
        <v>7569</v>
      </c>
      <c r="B17762" s="0" t="str">
        <f aca="false">HYPERLINK("https://lindat.mff.cuni.cz/services/teitok/pdtc10/index.php?action=vallex&amp;frame=v-w2139f1", "napočítat (v-w2139f1)")</f>
        <v>napočítat (v-w2139f1)</v>
      </c>
    </row>
    <row r="17763" customFormat="false" ht="12.8" hidden="false" customHeight="false" outlineLevel="0" collapsed="false">
      <c r="B17763" s="0" t="s">
        <v>1</v>
      </c>
    </row>
    <row r="17764" customFormat="false" ht="12.8" hidden="false" customHeight="false" outlineLevel="0" collapsed="false">
      <c r="B17764" s="0" t="s">
        <v>8</v>
      </c>
    </row>
    <row r="17766" customFormat="false" ht="12.8" hidden="false" customHeight="false" outlineLevel="0" collapsed="false">
      <c r="A17766" s="0" t="s">
        <v>7570</v>
      </c>
      <c r="B17766" s="0" t="str">
        <f aca="false">HYPERLINK("https://lindat.mff.cuni.cz/services/teitok/pdtc10/index.php?action=vallex&amp;frame=v-w2139f2_MM", "napočítat (v-w2139f2_MM)")</f>
        <v>napočítat (v-w2139f2_MM)</v>
      </c>
    </row>
    <row r="17767" customFormat="false" ht="12.8" hidden="false" customHeight="false" outlineLevel="0" collapsed="false">
      <c r="B17767" s="0" t="s">
        <v>1</v>
      </c>
    </row>
    <row r="17768" customFormat="false" ht="12.8" hidden="false" customHeight="false" outlineLevel="0" collapsed="false">
      <c r="B17768" s="0" t="s">
        <v>8</v>
      </c>
    </row>
    <row r="17769" customFormat="false" ht="12.8" hidden="false" customHeight="false" outlineLevel="0" collapsed="false">
      <c r="B17769" s="0" t="s">
        <v>101</v>
      </c>
    </row>
    <row r="17771" customFormat="false" ht="12.8" hidden="false" customHeight="false" outlineLevel="0" collapsed="false">
      <c r="A17771" s="0" t="s">
        <v>7571</v>
      </c>
      <c r="B17771" s="0" t="str">
        <f aca="false">HYPERLINK("https://lindat.mff.cuni.cz/services/teitok/pdtc10/index.php?action=vallex&amp;frame=v-whsb_567hsa_568", "napracovat (v-whsb_567hsa_568)")</f>
        <v>napracovat (v-whsb_567hsa_568)</v>
      </c>
    </row>
    <row r="17772" customFormat="false" ht="12.8" hidden="false" customHeight="false" outlineLevel="0" collapsed="false">
      <c r="B17772" s="0" t="s">
        <v>1</v>
      </c>
    </row>
    <row r="17773" customFormat="false" ht="12.8" hidden="false" customHeight="false" outlineLevel="0" collapsed="false">
      <c r="B17773" s="0" t="s">
        <v>8</v>
      </c>
    </row>
    <row r="17775" customFormat="false" ht="12.8" hidden="false" customHeight="false" outlineLevel="0" collapsed="false">
      <c r="A17775" s="0" t="s">
        <v>7572</v>
      </c>
      <c r="B17775" s="0" t="str">
        <f aca="false">HYPERLINK("https://lindat.mff.cuni.cz/services/teitok/pdtc10/index.php?action=vallex&amp;frame=v-w12122_ZUf1_ZU", "napracovat se (v-w12122_ZUf1_ZU)")</f>
        <v>napracovat se (v-w12122_ZUf1_ZU)</v>
      </c>
    </row>
    <row r="17776" customFormat="false" ht="12.8" hidden="false" customHeight="false" outlineLevel="0" collapsed="false">
      <c r="B17776" s="0" t="s">
        <v>1</v>
      </c>
    </row>
    <row r="17777" customFormat="false" ht="12.8" hidden="false" customHeight="false" outlineLevel="0" collapsed="false">
      <c r="B17777" s="0" t="s">
        <v>3642</v>
      </c>
    </row>
    <row r="17779" customFormat="false" ht="12.8" hidden="false" customHeight="false" outlineLevel="0" collapsed="false">
      <c r="A17779" s="0" t="s">
        <v>7573</v>
      </c>
      <c r="B17779" s="0" t="str">
        <f aca="false">HYPERLINK("https://lindat.mff.cuni.cz/services/teitok/pdtc10/index.php?action=vallex&amp;frame=v-whsb_147f1_ZU", "napracovávat (v-whsb_147f1_ZU)")</f>
        <v>napracovávat (v-whsb_147f1_ZU)</v>
      </c>
    </row>
    <row r="17780" customFormat="false" ht="12.8" hidden="false" customHeight="false" outlineLevel="0" collapsed="false">
      <c r="B17780" s="0" t="s">
        <v>1</v>
      </c>
    </row>
    <row r="17781" customFormat="false" ht="12.8" hidden="false" customHeight="false" outlineLevel="0" collapsed="false">
      <c r="B17781" s="0" t="s">
        <v>8</v>
      </c>
    </row>
    <row r="17783" customFormat="false" ht="12.8" hidden="false" customHeight="false" outlineLevel="0" collapsed="false">
      <c r="A17783" s="0" t="s">
        <v>7573</v>
      </c>
      <c r="B17783" s="0" t="str">
        <f aca="false">HYPERLINK("https://lindat.mff.cuni.cz/services/teitok/pdtc10/index.php?action=vallex&amp;frame=v-whsb_147hsa_148", "napracovávat (v-whsb_147hsa_148) - substituted with v-whsb_147f1_ZU")</f>
        <v>napracovávat (v-whsb_147hsa_148) - substituted with v-whsb_147f1_ZU</v>
      </c>
    </row>
    <row r="17784" customFormat="false" ht="12.8" hidden="false" customHeight="false" outlineLevel="0" collapsed="false">
      <c r="B17784" s="0" t="s">
        <v>1</v>
      </c>
    </row>
    <row r="17785" customFormat="false" ht="12.8" hidden="false" customHeight="false" outlineLevel="0" collapsed="false">
      <c r="B17785" s="0" t="s">
        <v>8</v>
      </c>
    </row>
    <row r="17787" customFormat="false" ht="12.8" hidden="false" customHeight="false" outlineLevel="0" collapsed="false">
      <c r="A17787" s="0" t="s">
        <v>7574</v>
      </c>
      <c r="B17787" s="0" t="str">
        <f aca="false">HYPERLINK("https://lindat.mff.cuni.cz/services/teitok/pdtc10/index.php?action=vallex&amp;frame=v-w2158f1", "napravit (v-w2158f1)")</f>
        <v>napravit (v-w2158f1)</v>
      </c>
      <c r="E17787" s="0" t="str">
        <f aca="false">HYPERLINK("https://lindat.mff.cuni.cz/services/SynSemClass40/SynSemClass40.html?veclass=vec00356#vec00356-ces-cm00014", "vec00356")</f>
        <v>vec00356</v>
      </c>
      <c r="F17787" s="0" t="s">
        <v>5457</v>
      </c>
    </row>
    <row r="17788" customFormat="false" ht="12.8" hidden="false" customHeight="false" outlineLevel="0" collapsed="false">
      <c r="B17788" s="0" t="s">
        <v>1</v>
      </c>
      <c r="C17788" s="0" t="s">
        <v>5458</v>
      </c>
      <c r="E17788" s="0" t="s">
        <v>84</v>
      </c>
      <c r="F17788" s="0" t="s">
        <v>5459</v>
      </c>
    </row>
    <row r="17789" customFormat="false" ht="12.8" hidden="false" customHeight="false" outlineLevel="0" collapsed="false">
      <c r="B17789" s="0" t="s">
        <v>8</v>
      </c>
      <c r="C17789" s="0" t="s">
        <v>5460</v>
      </c>
      <c r="E17789" s="0" t="s">
        <v>4852</v>
      </c>
      <c r="F17789" s="0" t="s">
        <v>5461</v>
      </c>
    </row>
    <row r="17791" customFormat="false" ht="12.8" hidden="false" customHeight="false" outlineLevel="0" collapsed="false">
      <c r="A17791" s="0" t="s">
        <v>7575</v>
      </c>
      <c r="B17791" s="0" t="str">
        <f aca="false">HYPERLINK("https://lindat.mff.cuni.cz/services/teitok/pdtc10/index.php?action=vallex&amp;frame=v-w2159f1", "napravovat (v-w2159f1)")</f>
        <v>napravovat (v-w2159f1)</v>
      </c>
      <c r="E17791" s="0" t="str">
        <f aca="false">HYPERLINK("https://lindat.mff.cuni.cz/services/SynSemClass40/SynSemClass40.html?veclass=vec00356#vec00356-ces-cm00031", "vec00356")</f>
        <v>vec00356</v>
      </c>
      <c r="F17791" s="0" t="s">
        <v>5457</v>
      </c>
    </row>
    <row r="17792" customFormat="false" ht="12.8" hidden="false" customHeight="false" outlineLevel="0" collapsed="false">
      <c r="B17792" s="0" t="s">
        <v>1</v>
      </c>
      <c r="C17792" s="0" t="s">
        <v>5458</v>
      </c>
      <c r="E17792" s="0" t="s">
        <v>84</v>
      </c>
      <c r="F17792" s="0" t="s">
        <v>5459</v>
      </c>
    </row>
    <row r="17793" customFormat="false" ht="12.8" hidden="false" customHeight="false" outlineLevel="0" collapsed="false">
      <c r="B17793" s="0" t="s">
        <v>8</v>
      </c>
      <c r="C17793" s="0" t="s">
        <v>5460</v>
      </c>
      <c r="E17793" s="0" t="s">
        <v>4852</v>
      </c>
      <c r="F17793" s="0" t="s">
        <v>5461</v>
      </c>
    </row>
    <row r="17795" customFormat="false" ht="12.8" hidden="false" customHeight="false" outlineLevel="0" collapsed="false">
      <c r="A17795" s="0" t="s">
        <v>7576</v>
      </c>
      <c r="B17795" s="0" t="str">
        <f aca="false">HYPERLINK("https://lindat.mff.cuni.cz/services/teitok/pdtc10/index.php?action=vallex&amp;frame=v-w11079f2", "naprogramovat (v-w11079f2)")</f>
        <v>naprogramovat (v-w11079f2)</v>
      </c>
      <c r="E17795" s="0" t="str">
        <f aca="false">HYPERLINK("https://lindat.mff.cuni.cz/services/SynSemClass40/SynSemClass40.html?veclass=vec01046#vec01046-ces-cm00001", "vec01046")</f>
        <v>vec01046</v>
      </c>
      <c r="F17795" s="0" t="s">
        <v>7577</v>
      </c>
    </row>
    <row r="17796" customFormat="false" ht="12.8" hidden="false" customHeight="false" outlineLevel="0" collapsed="false">
      <c r="B17796" s="0" t="s">
        <v>1</v>
      </c>
      <c r="C17796" s="0" t="s">
        <v>4695</v>
      </c>
      <c r="E17796" s="0" t="s">
        <v>768</v>
      </c>
      <c r="F17796" s="0" t="s">
        <v>4781</v>
      </c>
    </row>
    <row r="17797" customFormat="false" ht="12.8" hidden="false" customHeight="false" outlineLevel="0" collapsed="false">
      <c r="B17797" s="0" t="s">
        <v>8</v>
      </c>
      <c r="C17797" s="0" t="s">
        <v>7578</v>
      </c>
      <c r="E17797" s="0" t="s">
        <v>771</v>
      </c>
      <c r="F17797" s="0" t="s">
        <v>7579</v>
      </c>
    </row>
    <row r="17799" customFormat="false" ht="12.8" hidden="false" customHeight="false" outlineLevel="0" collapsed="false">
      <c r="A17799" s="0" t="s">
        <v>7580</v>
      </c>
      <c r="B17799" s="0" t="str">
        <f aca="false">HYPERLINK("https://lindat.mff.cuni.cz/services/teitok/pdtc10/index.php?action=vallex&amp;frame=v-whsa_1913hsa_1914", "napršet (v-whsa_1913hsa_1914)")</f>
        <v>napršet (v-whsa_1913hsa_1914)</v>
      </c>
    </row>
    <row r="17801" customFormat="false" ht="12.8" hidden="false" customHeight="false" outlineLevel="0" collapsed="false">
      <c r="A17801" s="0" t="s">
        <v>7581</v>
      </c>
      <c r="B17801" s="0" t="str">
        <f aca="false">HYPERLINK("https://lindat.mff.cuni.cz/services/teitok/pdtc10/index.php?action=vallex&amp;frame=v-w2163f5", "napsat (v-w2163f5)")</f>
        <v>napsat (v-w2163f5)</v>
      </c>
    </row>
    <row r="17802" customFormat="false" ht="12.8" hidden="false" customHeight="false" outlineLevel="0" collapsed="false">
      <c r="B17802" s="0" t="s">
        <v>1</v>
      </c>
    </row>
    <row r="17803" customFormat="false" ht="12.8" hidden="false" customHeight="false" outlineLevel="0" collapsed="false">
      <c r="B17803" s="0" t="s">
        <v>814</v>
      </c>
    </row>
    <row r="17804" customFormat="false" ht="12.8" hidden="false" customHeight="false" outlineLevel="0" collapsed="false">
      <c r="B17804" s="0" t="s">
        <v>52</v>
      </c>
    </row>
    <row r="17806" customFormat="false" ht="12.8" hidden="false" customHeight="false" outlineLevel="0" collapsed="false">
      <c r="A17806" s="0" t="s">
        <v>7582</v>
      </c>
      <c r="B17806" s="0" t="str">
        <f aca="false">HYPERLINK("https://lindat.mff.cuni.cz/services/teitok/pdtc10/index.php?action=vallex&amp;frame=v-w2163f6", "napsat (v-w2163f6)")</f>
        <v>napsat (v-w2163f6)</v>
      </c>
    </row>
    <row r="17807" customFormat="false" ht="12.8" hidden="false" customHeight="false" outlineLevel="0" collapsed="false">
      <c r="B17807" s="0" t="s">
        <v>1</v>
      </c>
    </row>
    <row r="17808" customFormat="false" ht="12.8" hidden="false" customHeight="false" outlineLevel="0" collapsed="false">
      <c r="B17808" s="0" t="s">
        <v>318</v>
      </c>
    </row>
    <row r="17809" customFormat="false" ht="12.8" hidden="false" customHeight="false" outlineLevel="0" collapsed="false">
      <c r="B17809" s="0" t="s">
        <v>132</v>
      </c>
    </row>
    <row r="17811" customFormat="false" ht="12.8" hidden="false" customHeight="false" outlineLevel="0" collapsed="false">
      <c r="A17811" s="0" t="s">
        <v>7583</v>
      </c>
      <c r="B17811" s="0" t="str">
        <f aca="false">HYPERLINK("https://lindat.mff.cuni.cz/services/teitok/pdtc10/index.php?action=vallex&amp;frame=v-w2163hsa_705", "napsat (v-w2163hsa_705)")</f>
        <v>napsat (v-w2163hsa_705)</v>
      </c>
    </row>
    <row r="17812" customFormat="false" ht="12.8" hidden="false" customHeight="false" outlineLevel="0" collapsed="false">
      <c r="B17812" s="0" t="s">
        <v>1</v>
      </c>
    </row>
    <row r="17813" customFormat="false" ht="12.8" hidden="false" customHeight="false" outlineLevel="0" collapsed="false">
      <c r="B17813" s="0" t="s">
        <v>216</v>
      </c>
    </row>
    <row r="17814" customFormat="false" ht="12.8" hidden="false" customHeight="false" outlineLevel="0" collapsed="false">
      <c r="B17814" s="0" t="s">
        <v>5</v>
      </c>
    </row>
    <row r="17816" customFormat="false" ht="12.8" hidden="false" customHeight="false" outlineLevel="0" collapsed="false">
      <c r="A17816" s="0" t="s">
        <v>7583</v>
      </c>
      <c r="B17816" s="0" t="str">
        <f aca="false">HYPERLINK("https://lindat.mff.cuni.cz/services/teitok/pdtc10/index.php?action=vallex&amp;frame=v-w2163f4", "napsat (v-w2163f4) - substituted with v-w2163hsa_705")</f>
        <v>napsat (v-w2163f4) - substituted with v-w2163hsa_705</v>
      </c>
      <c r="E17816" s="0" t="str">
        <f aca="false">HYPERLINK("https://lindat.mff.cuni.cz/services/SynSemClass40/SynSemClass40.html?veclass=vec01345#vec01345-ces-cm00002", "vec01345")</f>
        <v>vec01345</v>
      </c>
      <c r="F17816" s="0" t="s">
        <v>7584</v>
      </c>
    </row>
    <row r="17817" customFormat="false" ht="12.8" hidden="false" customHeight="false" outlineLevel="0" collapsed="false">
      <c r="B17817" s="0" t="s">
        <v>1</v>
      </c>
      <c r="C17817" s="0" t="s">
        <v>3288</v>
      </c>
      <c r="E17817" s="0" t="s">
        <v>768</v>
      </c>
      <c r="F17817" s="0" t="s">
        <v>7585</v>
      </c>
    </row>
    <row r="17818" customFormat="false" ht="12.8" hidden="false" customHeight="false" outlineLevel="0" collapsed="false">
      <c r="B17818" s="0" t="s">
        <v>216</v>
      </c>
      <c r="C17818" s="0" t="s">
        <v>7586</v>
      </c>
      <c r="E17818" s="0" t="s">
        <v>218</v>
      </c>
      <c r="F17818" s="0" t="s">
        <v>7587</v>
      </c>
    </row>
    <row r="17819" customFormat="false" ht="12.8" hidden="false" customHeight="false" outlineLevel="0" collapsed="false">
      <c r="B17819" s="0" t="s">
        <v>5</v>
      </c>
      <c r="E17819" s="0" t="s">
        <v>3254</v>
      </c>
      <c r="F17819" s="0" t="s">
        <v>3255</v>
      </c>
    </row>
    <row r="17821" customFormat="false" ht="12.8" hidden="false" customHeight="false" outlineLevel="0" collapsed="false">
      <c r="A17821" s="0" t="s">
        <v>7588</v>
      </c>
      <c r="B17821" s="0" t="str">
        <f aca="false">HYPERLINK("https://lindat.mff.cuni.cz/services/teitok/pdtc10/index.php?action=vallex&amp;frame=v-w2163f3", "napsat (v-w2163f3)")</f>
        <v>napsat (v-w2163f3)</v>
      </c>
      <c r="E17821" s="0" t="str">
        <f aca="false">HYPERLINK("https://lindat.mff.cuni.cz/services/SynSemClass40/SynSemClass40.html?veclass=vec01345#vec01345-ces-cm00001", "vec01345")</f>
        <v>vec01345</v>
      </c>
      <c r="F17821" s="0" t="s">
        <v>7584</v>
      </c>
    </row>
    <row r="17822" customFormat="false" ht="12.8" hidden="false" customHeight="false" outlineLevel="0" collapsed="false">
      <c r="B17822" s="0" t="s">
        <v>1</v>
      </c>
      <c r="C17822" s="0" t="s">
        <v>3288</v>
      </c>
      <c r="E17822" s="0" t="s">
        <v>768</v>
      </c>
      <c r="F17822" s="0" t="s">
        <v>7585</v>
      </c>
    </row>
    <row r="17823" customFormat="false" ht="12.8" hidden="false" customHeight="false" outlineLevel="0" collapsed="false">
      <c r="B17823" s="0" t="s">
        <v>7589</v>
      </c>
      <c r="C17823" s="0" t="s">
        <v>7586</v>
      </c>
      <c r="E17823" s="0" t="s">
        <v>218</v>
      </c>
      <c r="F17823" s="0" t="s">
        <v>7587</v>
      </c>
    </row>
    <row r="17824" customFormat="false" ht="12.8" hidden="false" customHeight="false" outlineLevel="0" collapsed="false">
      <c r="B17824" s="0" t="s">
        <v>164</v>
      </c>
      <c r="E17824" s="0" t="s">
        <v>370</v>
      </c>
      <c r="F17824" s="0" t="s">
        <v>3041</v>
      </c>
    </row>
    <row r="17826" customFormat="false" ht="12.8" hidden="false" customHeight="false" outlineLevel="0" collapsed="false">
      <c r="A17826" s="0" t="s">
        <v>7590</v>
      </c>
      <c r="B17826" s="0" t="str">
        <f aca="false">HYPERLINK("https://lindat.mff.cuni.cz/services/teitok/pdtc10/index.php?action=vallex&amp;frame=v-w2163f7", "napsat (v-w2163f7)")</f>
        <v>napsat (v-w2163f7)</v>
      </c>
    </row>
    <row r="17827" customFormat="false" ht="12.8" hidden="false" customHeight="false" outlineLevel="0" collapsed="false">
      <c r="B17827" s="0" t="s">
        <v>1</v>
      </c>
    </row>
    <row r="17828" customFormat="false" ht="12.8" hidden="false" customHeight="false" outlineLevel="0" collapsed="false">
      <c r="B17828" s="0" t="s">
        <v>814</v>
      </c>
    </row>
    <row r="17829" customFormat="false" ht="12.8" hidden="false" customHeight="false" outlineLevel="0" collapsed="false">
      <c r="B17829" s="0" t="s">
        <v>164</v>
      </c>
    </row>
    <row r="17831" customFormat="false" ht="12.8" hidden="false" customHeight="false" outlineLevel="0" collapsed="false">
      <c r="A17831" s="0" t="s">
        <v>7591</v>
      </c>
      <c r="B17831" s="0" t="str">
        <f aca="false">HYPERLINK("https://lindat.mff.cuni.cz/services/teitok/pdtc10/index.php?action=vallex&amp;frame=v-w2163f2", "napsat (v-w2163f2)")</f>
        <v>napsat (v-w2163f2)</v>
      </c>
      <c r="E17831" s="0" t="str">
        <f aca="false">HYPERLINK("https://lindat.mff.cuni.cz/services/SynSemClass40/SynSemClass40.html?veclass=vec00037#vec00037-ces-cm00001", "vec00037")</f>
        <v>vec00037</v>
      </c>
      <c r="F17831" s="0" t="s">
        <v>7592</v>
      </c>
    </row>
    <row r="17832" customFormat="false" ht="12.8" hidden="false" customHeight="false" outlineLevel="0" collapsed="false">
      <c r="B17832" s="0" t="s">
        <v>1</v>
      </c>
      <c r="C17832" s="0" t="s">
        <v>6252</v>
      </c>
      <c r="E17832" s="0" t="s">
        <v>768</v>
      </c>
      <c r="F17832" s="0" t="s">
        <v>7593</v>
      </c>
    </row>
    <row r="17833" customFormat="false" ht="12.8" hidden="false" customHeight="false" outlineLevel="0" collapsed="false">
      <c r="B17833" s="0" t="s">
        <v>8</v>
      </c>
      <c r="C17833" s="0" t="s">
        <v>5583</v>
      </c>
      <c r="E17833" s="0" t="s">
        <v>771</v>
      </c>
      <c r="F17833" s="0" t="s">
        <v>7594</v>
      </c>
    </row>
    <row r="17835" customFormat="false" ht="12.8" hidden="false" customHeight="false" outlineLevel="0" collapsed="false">
      <c r="A17835" s="0" t="s">
        <v>7595</v>
      </c>
      <c r="B17835" s="0" t="str">
        <f aca="false">HYPERLINK("https://lindat.mff.cuni.cz/services/teitok/pdtc10/index.php?action=vallex&amp;frame=v-w2163f1", "napsat (v-w2163f1)")</f>
        <v>napsat (v-w2163f1)</v>
      </c>
      <c r="E17835" s="0" t="str">
        <f aca="false">HYPERLINK("https://lindat.mff.cuni.cz/services/SynSemClass40/SynSemClass40.html?veclass=vec00060#vec00060-ces-cm00034", "vec00060")</f>
        <v>vec00060</v>
      </c>
      <c r="F17835" s="0" t="s">
        <v>213</v>
      </c>
    </row>
    <row r="17836" customFormat="false" ht="12.8" hidden="false" customHeight="false" outlineLevel="0" collapsed="false">
      <c r="B17836" s="0" t="s">
        <v>1</v>
      </c>
      <c r="C17836" s="0" t="s">
        <v>214</v>
      </c>
      <c r="E17836" s="0" t="s">
        <v>147</v>
      </c>
      <c r="F17836" s="0" t="s">
        <v>215</v>
      </c>
    </row>
    <row r="17837" customFormat="false" ht="12.8" hidden="false" customHeight="false" outlineLevel="0" collapsed="false">
      <c r="B17837" s="0" t="s">
        <v>7189</v>
      </c>
      <c r="C17837" s="0" t="s">
        <v>2216</v>
      </c>
      <c r="E17837" s="0" t="s">
        <v>2217</v>
      </c>
      <c r="F17837" s="0" t="s">
        <v>2218</v>
      </c>
    </row>
    <row r="17838" customFormat="false" ht="12.8" hidden="false" customHeight="false" outlineLevel="0" collapsed="false">
      <c r="B17838" s="0" t="s">
        <v>496</v>
      </c>
      <c r="C17838" s="0" t="s">
        <v>217</v>
      </c>
      <c r="E17838" s="0" t="s">
        <v>218</v>
      </c>
      <c r="F17838" s="0" t="s">
        <v>219</v>
      </c>
    </row>
    <row r="17839" customFormat="false" ht="12.8" hidden="false" customHeight="false" outlineLevel="0" collapsed="false">
      <c r="B17839" s="0" t="s">
        <v>132</v>
      </c>
      <c r="C17839" s="0" t="s">
        <v>220</v>
      </c>
      <c r="E17839" s="0" t="s">
        <v>221</v>
      </c>
      <c r="F17839" s="0" t="s">
        <v>222</v>
      </c>
    </row>
    <row r="17841" customFormat="false" ht="12.8" hidden="false" customHeight="false" outlineLevel="0" collapsed="false">
      <c r="A17841" s="0" t="s">
        <v>7596</v>
      </c>
      <c r="B17841" s="0" t="str">
        <f aca="false">HYPERLINK("https://lindat.mff.cuni.cz/services/teitok/pdtc10/index.php?action=vallex&amp;frame=v-w2163hsa_841", "napsat (v-w2163hsa_841)")</f>
        <v>napsat (v-w2163hsa_841)</v>
      </c>
    </row>
    <row r="17842" customFormat="false" ht="12.8" hidden="false" customHeight="false" outlineLevel="0" collapsed="false">
      <c r="B17842" s="0" t="s">
        <v>1</v>
      </c>
    </row>
    <row r="17843" customFormat="false" ht="12.8" hidden="false" customHeight="false" outlineLevel="0" collapsed="false">
      <c r="B17843" s="0" t="s">
        <v>8</v>
      </c>
    </row>
    <row r="17845" customFormat="false" ht="12.8" hidden="false" customHeight="false" outlineLevel="0" collapsed="false">
      <c r="A17845" s="0" t="s">
        <v>7597</v>
      </c>
      <c r="B17845" s="0" t="str">
        <f aca="false">HYPERLINK("https://lindat.mff.cuni.cz/services/teitok/pdtc10/index.php?action=vallex&amp;frame=v-w2163f8_ZU", "napsat (v-w2163f8_ZU)")</f>
        <v>napsat (v-w2163f8_ZU)</v>
      </c>
    </row>
    <row r="17846" customFormat="false" ht="12.8" hidden="false" customHeight="false" outlineLevel="0" collapsed="false">
      <c r="B17846" s="0" t="s">
        <v>1</v>
      </c>
    </row>
    <row r="17847" customFormat="false" ht="12.8" hidden="false" customHeight="false" outlineLevel="0" collapsed="false">
      <c r="B17847" s="0" t="s">
        <v>7598</v>
      </c>
    </row>
    <row r="17848" customFormat="false" ht="12.8" hidden="false" customHeight="false" outlineLevel="0" collapsed="false">
      <c r="B17848" s="0" t="s">
        <v>52</v>
      </c>
    </row>
    <row r="17850" customFormat="false" ht="12.8" hidden="false" customHeight="false" outlineLevel="0" collapsed="false">
      <c r="A17850" s="0" t="s">
        <v>7597</v>
      </c>
      <c r="B17850" s="0" t="str">
        <f aca="false">HYPERLINK("https://lindat.mff.cuni.cz/services/teitok/pdtc10/index.php?action=vallex&amp;frame=v-w2163hsa_704", "napsat (v-w2163hsa_704) - substituted with v-w2163f8_ZU")</f>
        <v>napsat (v-w2163hsa_704) - substituted with v-w2163f8_ZU</v>
      </c>
    </row>
    <row r="17851" customFormat="false" ht="12.8" hidden="false" customHeight="false" outlineLevel="0" collapsed="false">
      <c r="B17851" s="0" t="s">
        <v>1</v>
      </c>
    </row>
    <row r="17852" customFormat="false" ht="12.8" hidden="false" customHeight="false" outlineLevel="0" collapsed="false">
      <c r="B17852" s="0" t="s">
        <v>7598</v>
      </c>
    </row>
    <row r="17853" customFormat="false" ht="12.8" hidden="false" customHeight="false" outlineLevel="0" collapsed="false">
      <c r="B17853" s="0" t="s">
        <v>52</v>
      </c>
    </row>
    <row r="17855" customFormat="false" ht="12.8" hidden="false" customHeight="false" outlineLevel="0" collapsed="false">
      <c r="A17855" s="0" t="s">
        <v>7599</v>
      </c>
      <c r="B17855" s="0" t="str">
        <f aca="false">HYPERLINK("https://lindat.mff.cuni.cz/services/teitok/pdtc10/index.php?action=vallex&amp;frame=v-w2163f9_ZU", "napsat (v-w2163f9_ZU)")</f>
        <v>napsat (v-w2163f9_ZU)</v>
      </c>
    </row>
    <row r="17856" customFormat="false" ht="12.8" hidden="false" customHeight="false" outlineLevel="0" collapsed="false">
      <c r="B17856" s="0" t="s">
        <v>1</v>
      </c>
    </row>
    <row r="17857" customFormat="false" ht="12.8" hidden="false" customHeight="false" outlineLevel="0" collapsed="false">
      <c r="B17857" s="0" t="s">
        <v>8</v>
      </c>
    </row>
    <row r="17858" customFormat="false" ht="12.8" hidden="false" customHeight="false" outlineLevel="0" collapsed="false">
      <c r="B17858" s="0" t="s">
        <v>7600</v>
      </c>
    </row>
    <row r="17860" customFormat="false" ht="12.8" hidden="false" customHeight="false" outlineLevel="0" collapsed="false">
      <c r="A17860" s="0" t="s">
        <v>7601</v>
      </c>
      <c r="B17860" s="0" t="str">
        <f aca="false">HYPERLINK("https://lindat.mff.cuni.cz/services/teitok/pdtc10/index.php?action=vallex&amp;frame=v-w2163hsa_703", "napsat (v-w2163hsa_703)")</f>
        <v>napsat (v-w2163hsa_703)</v>
      </c>
    </row>
    <row r="17861" customFormat="false" ht="12.8" hidden="false" customHeight="false" outlineLevel="0" collapsed="false">
      <c r="B17861" s="0" t="s">
        <v>1</v>
      </c>
    </row>
    <row r="17862" customFormat="false" ht="12.8" hidden="false" customHeight="false" outlineLevel="0" collapsed="false">
      <c r="B17862" s="0" t="s">
        <v>8</v>
      </c>
    </row>
    <row r="17863" customFormat="false" ht="12.8" hidden="false" customHeight="false" outlineLevel="0" collapsed="false">
      <c r="B17863" s="0" t="s">
        <v>52</v>
      </c>
    </row>
    <row r="17865" customFormat="false" ht="12.8" hidden="false" customHeight="false" outlineLevel="0" collapsed="false">
      <c r="A17865" s="0" t="s">
        <v>7602</v>
      </c>
      <c r="B17865" s="0" t="str">
        <f aca="false">HYPERLINK("https://lindat.mff.cuni.cz/services/teitok/pdtc10/index.php?action=vallex&amp;frame=v-w10570f2", "napumpovat (v-w10570f2)")</f>
        <v>napumpovat (v-w10570f2)</v>
      </c>
      <c r="E17865" s="0" t="str">
        <f aca="false">HYPERLINK("https://lindat.mff.cuni.cz/services/SynSemClass40/SynSemClass40.html?veclass=vec00147#vec00147-ces-cm00209", "vec00147")</f>
        <v>vec00147</v>
      </c>
      <c r="F17865" s="0" t="s">
        <v>1698</v>
      </c>
    </row>
    <row r="17866" customFormat="false" ht="12.8" hidden="false" customHeight="false" outlineLevel="0" collapsed="false">
      <c r="B17866" s="0" t="s">
        <v>1</v>
      </c>
      <c r="C17866" s="0" t="s">
        <v>1699</v>
      </c>
      <c r="E17866" s="0" t="s">
        <v>11</v>
      </c>
      <c r="F17866" s="0" t="s">
        <v>1700</v>
      </c>
    </row>
    <row r="17867" customFormat="false" ht="12.8" hidden="false" customHeight="false" outlineLevel="0" collapsed="false">
      <c r="B17867" s="0" t="s">
        <v>8</v>
      </c>
      <c r="C17867" s="0" t="s">
        <v>1701</v>
      </c>
      <c r="E17867" s="0" t="s">
        <v>1702</v>
      </c>
      <c r="F17867" s="0" t="s">
        <v>1703</v>
      </c>
    </row>
    <row r="17868" customFormat="false" ht="12.8" hidden="false" customHeight="false" outlineLevel="0" collapsed="false">
      <c r="B17868" s="0" t="s">
        <v>164</v>
      </c>
      <c r="C17868" s="0" t="s">
        <v>1704</v>
      </c>
      <c r="E17868" s="0" t="s">
        <v>1705</v>
      </c>
      <c r="F17868" s="0" t="s">
        <v>1706</v>
      </c>
    </row>
    <row r="17870" customFormat="false" ht="12.8" hidden="false" customHeight="false" outlineLevel="0" collapsed="false">
      <c r="A17870" s="0" t="s">
        <v>7603</v>
      </c>
      <c r="B17870" s="0" t="str">
        <f aca="false">HYPERLINK("https://lindat.mff.cuni.cz/services/teitok/pdtc10/index.php?action=vallex&amp;frame=v-w2164f1", "napustit (v-w2164f1)")</f>
        <v>napustit (v-w2164f1)</v>
      </c>
    </row>
    <row r="17871" customFormat="false" ht="12.8" hidden="false" customHeight="false" outlineLevel="0" collapsed="false">
      <c r="B17871" s="0" t="s">
        <v>1</v>
      </c>
    </row>
    <row r="17872" customFormat="false" ht="12.8" hidden="false" customHeight="false" outlineLevel="0" collapsed="false">
      <c r="B17872" s="0" t="s">
        <v>8</v>
      </c>
    </row>
    <row r="17874" customFormat="false" ht="12.8" hidden="false" customHeight="false" outlineLevel="0" collapsed="false">
      <c r="A17874" s="0" t="s">
        <v>7604</v>
      </c>
      <c r="B17874" s="0" t="str">
        <f aca="false">HYPERLINK("https://lindat.mff.cuni.cz/services/teitok/pdtc10/index.php?action=vallex&amp;frame=v-whsb_597hsa_598", "napytlíkovat (v-whsb_597hsa_598)")</f>
        <v>napytlíkovat (v-whsb_597hsa_598)</v>
      </c>
    </row>
    <row r="17875" customFormat="false" ht="12.8" hidden="false" customHeight="false" outlineLevel="0" collapsed="false">
      <c r="B17875" s="0" t="s">
        <v>1</v>
      </c>
    </row>
    <row r="17876" customFormat="false" ht="12.8" hidden="false" customHeight="false" outlineLevel="0" collapsed="false">
      <c r="B17876" s="0" t="s">
        <v>8</v>
      </c>
    </row>
    <row r="17878" customFormat="false" ht="12.8" hidden="false" customHeight="false" outlineLevel="0" collapsed="false">
      <c r="A17878" s="0" t="s">
        <v>7605</v>
      </c>
      <c r="B17878" s="0" t="str">
        <f aca="false">HYPERLINK("https://lindat.mff.cuni.cz/services/teitok/pdtc10/index.php?action=vallex&amp;frame=v-w10700f2", "napáchat (v-w10700f2)")</f>
        <v>napáchat (v-w10700f2)</v>
      </c>
      <c r="E17878" s="0" t="str">
        <f aca="false">HYPERLINK("https://lindat.mff.cuni.cz/services/SynSemClass40/SynSemClass40.html?veclass=vec00196#vec00196-ces-cm00037", "vec00196")</f>
        <v>vec00196</v>
      </c>
      <c r="F17878" s="0" t="s">
        <v>749</v>
      </c>
    </row>
    <row r="17879" customFormat="false" ht="12.8" hidden="false" customHeight="false" outlineLevel="0" collapsed="false">
      <c r="B17879" s="0" t="s">
        <v>1</v>
      </c>
      <c r="C17879" s="0" t="s">
        <v>750</v>
      </c>
      <c r="E17879" s="0" t="s">
        <v>76</v>
      </c>
      <c r="F17879" s="0" t="s">
        <v>751</v>
      </c>
    </row>
    <row r="17880" customFormat="false" ht="12.8" hidden="false" customHeight="false" outlineLevel="0" collapsed="false">
      <c r="B17880" s="0" t="s">
        <v>8</v>
      </c>
      <c r="C17880" s="0" t="s">
        <v>6686</v>
      </c>
      <c r="E17880" s="0" t="s">
        <v>6358</v>
      </c>
      <c r="F17880" s="0" t="s">
        <v>6645</v>
      </c>
    </row>
    <row r="17882" customFormat="false" ht="12.8" hidden="false" customHeight="false" outlineLevel="0" collapsed="false">
      <c r="A17882" s="0" t="s">
        <v>7606</v>
      </c>
      <c r="B17882" s="0" t="str">
        <f aca="false">HYPERLINK("https://lindat.mff.cuni.cz/services/teitok/pdtc10/index.php?action=vallex&amp;frame=v-w2124f2", "napájet (v-w2124f2)")</f>
        <v>napájet (v-w2124f2)</v>
      </c>
      <c r="E17882" s="0" t="str">
        <f aca="false">HYPERLINK("https://lindat.mff.cuni.cz/services/SynSemClass40/SynSemClass40.html?veclass=vec01480#vec01480-ces-cm00002", "vec01480")</f>
        <v>vec01480</v>
      </c>
      <c r="F17882" s="0" t="s">
        <v>7517</v>
      </c>
    </row>
    <row r="17883" customFormat="false" ht="12.8" hidden="false" customHeight="false" outlineLevel="0" collapsed="false">
      <c r="B17883" s="0" t="s">
        <v>1</v>
      </c>
      <c r="C17883" s="0" t="s">
        <v>7518</v>
      </c>
      <c r="E17883" s="0" t="s">
        <v>31</v>
      </c>
      <c r="F17883" s="0" t="s">
        <v>7519</v>
      </c>
    </row>
    <row r="17884" customFormat="false" ht="12.8" hidden="false" customHeight="false" outlineLevel="0" collapsed="false">
      <c r="B17884" s="0" t="s">
        <v>8</v>
      </c>
      <c r="C17884" s="0" t="s">
        <v>5391</v>
      </c>
      <c r="E17884" s="0" t="s">
        <v>7520</v>
      </c>
      <c r="F17884" s="0" t="s">
        <v>7521</v>
      </c>
    </row>
    <row r="17885" customFormat="false" ht="12.8" hidden="false" customHeight="false" outlineLevel="0" collapsed="false">
      <c r="B17885" s="0" t="s">
        <v>164</v>
      </c>
      <c r="C17885" s="0" t="s">
        <v>7522</v>
      </c>
      <c r="E17885" s="0" t="s">
        <v>7523</v>
      </c>
      <c r="F17885" s="0" t="s">
        <v>7524</v>
      </c>
    </row>
    <row r="17887" customFormat="false" ht="12.8" hidden="false" customHeight="false" outlineLevel="0" collapsed="false">
      <c r="A17887" s="0" t="s">
        <v>7607</v>
      </c>
      <c r="B17887" s="0" t="str">
        <f aca="false">HYPERLINK("https://lindat.mff.cuni.cz/services/teitok/pdtc10/index.php?action=vallex&amp;frame=v-w2124f1", "napájet (v-w2124f1)")</f>
        <v>napájet (v-w2124f1)</v>
      </c>
      <c r="E17887" s="0" t="str">
        <f aca="false">HYPERLINK("https://lindat.mff.cuni.cz/services/SynSemClass40/SynSemClass40.html?veclass=vec01422#vec01422-ces-cm00001", "vec01422")</f>
        <v>vec01422</v>
      </c>
      <c r="F17887" s="0" t="s">
        <v>7608</v>
      </c>
    </row>
    <row r="17888" customFormat="false" ht="12.8" hidden="false" customHeight="false" outlineLevel="0" collapsed="false">
      <c r="B17888" s="0" t="s">
        <v>1</v>
      </c>
      <c r="C17888" s="0" t="s">
        <v>7609</v>
      </c>
      <c r="E17888" s="0" t="s">
        <v>4581</v>
      </c>
      <c r="F17888" s="0" t="s">
        <v>7610</v>
      </c>
    </row>
    <row r="17889" customFormat="false" ht="12.8" hidden="false" customHeight="false" outlineLevel="0" collapsed="false">
      <c r="B17889" s="0" t="s">
        <v>8</v>
      </c>
      <c r="C17889" s="0" t="s">
        <v>6960</v>
      </c>
      <c r="E17889" s="0" t="s">
        <v>142</v>
      </c>
      <c r="F17889" s="0" t="s">
        <v>7611</v>
      </c>
    </row>
    <row r="17891" customFormat="false" ht="12.8" hidden="false" customHeight="false" outlineLevel="0" collapsed="false">
      <c r="A17891" s="0" t="s">
        <v>7612</v>
      </c>
      <c r="B17891" s="0" t="str">
        <f aca="false">HYPERLINK("https://lindat.mff.cuni.cz/services/teitok/pdtc10/index.php?action=vallex&amp;frame=v-w2124f3", "napájet (v-w2124f3)")</f>
        <v>napájet (v-w2124f3)</v>
      </c>
    </row>
    <row r="17892" customFormat="false" ht="12.8" hidden="false" customHeight="false" outlineLevel="0" collapsed="false">
      <c r="B17892" s="0" t="s">
        <v>1</v>
      </c>
    </row>
    <row r="17893" customFormat="false" ht="12.8" hidden="false" customHeight="false" outlineLevel="0" collapsed="false">
      <c r="B17893" s="0" t="s">
        <v>8</v>
      </c>
    </row>
    <row r="17895" customFormat="false" ht="12.8" hidden="false" customHeight="false" outlineLevel="0" collapsed="false">
      <c r="A17895" s="0" t="s">
        <v>7613</v>
      </c>
      <c r="B17895" s="0" t="str">
        <f aca="false">HYPERLINK("https://lindat.mff.cuni.cz/services/teitok/pdtc10/index.php?action=vallex&amp;frame=v-w2125f1", "napálit (v-w2125f1)")</f>
        <v>napálit (v-w2125f1)</v>
      </c>
    </row>
    <row r="17896" customFormat="false" ht="12.8" hidden="false" customHeight="false" outlineLevel="0" collapsed="false">
      <c r="B17896" s="0" t="s">
        <v>1</v>
      </c>
    </row>
    <row r="17897" customFormat="false" ht="12.8" hidden="false" customHeight="false" outlineLevel="0" collapsed="false">
      <c r="B17897" s="0" t="s">
        <v>8</v>
      </c>
    </row>
    <row r="17899" customFormat="false" ht="12.8" hidden="false" customHeight="false" outlineLevel="0" collapsed="false">
      <c r="A17899" s="0" t="s">
        <v>7614</v>
      </c>
      <c r="B17899" s="0" t="str">
        <f aca="false">HYPERLINK("https://lindat.mff.cuni.cz/services/teitok/pdtc10/index.php?action=vallex&amp;frame=v-w2125hsa_1033", "napálit (v-w2125hsa_1033)")</f>
        <v>napálit (v-w2125hsa_1033)</v>
      </c>
    </row>
    <row r="17900" customFormat="false" ht="12.8" hidden="false" customHeight="false" outlineLevel="0" collapsed="false">
      <c r="B17900" s="0" t="s">
        <v>1</v>
      </c>
    </row>
    <row r="17901" customFormat="false" ht="12.8" hidden="false" customHeight="false" outlineLevel="0" collapsed="false">
      <c r="B17901" s="0" t="s">
        <v>8</v>
      </c>
    </row>
    <row r="17902" customFormat="false" ht="12.8" hidden="false" customHeight="false" outlineLevel="0" collapsed="false">
      <c r="B17902" s="0" t="s">
        <v>164</v>
      </c>
    </row>
    <row r="17904" customFormat="false" ht="12.8" hidden="false" customHeight="false" outlineLevel="0" collapsed="false">
      <c r="A17904" s="0" t="s">
        <v>7615</v>
      </c>
      <c r="B17904" s="0" t="str">
        <f aca="false">HYPERLINK("https://lindat.mff.cuni.cz/services/teitok/pdtc10/index.php?action=vallex&amp;frame=v-whsa_394hsa_395", "napéci (v-whsa_394hsa_395)")</f>
        <v>napéci (v-whsa_394hsa_395)</v>
      </c>
    </row>
    <row r="17905" customFormat="false" ht="12.8" hidden="false" customHeight="false" outlineLevel="0" collapsed="false">
      <c r="B17905" s="0" t="s">
        <v>1</v>
      </c>
    </row>
    <row r="17906" customFormat="false" ht="12.8" hidden="false" customHeight="false" outlineLevel="0" collapsed="false">
      <c r="B17906" s="0" t="s">
        <v>8</v>
      </c>
    </row>
    <row r="17907" customFormat="false" ht="12.8" hidden="false" customHeight="false" outlineLevel="0" collapsed="false">
      <c r="B17907" s="0" t="s">
        <v>36</v>
      </c>
    </row>
    <row r="17909" customFormat="false" ht="12.8" hidden="false" customHeight="false" outlineLevel="0" collapsed="false">
      <c r="A17909" s="0" t="s">
        <v>7616</v>
      </c>
      <c r="B17909" s="0" t="str">
        <f aca="false">HYPERLINK("https://lindat.mff.cuni.cz/services/teitok/pdtc10/index.php?action=vallex&amp;frame=v-w12292_MMf1_MM", "napíchnout (v-w12292_MMf1_MM)")</f>
        <v>napíchnout (v-w12292_MMf1_MM)</v>
      </c>
    </row>
    <row r="17910" customFormat="false" ht="12.8" hidden="false" customHeight="false" outlineLevel="0" collapsed="false">
      <c r="B17910" s="0" t="s">
        <v>1</v>
      </c>
    </row>
    <row r="17911" customFormat="false" ht="12.8" hidden="false" customHeight="false" outlineLevel="0" collapsed="false">
      <c r="B17911" s="0" t="s">
        <v>8</v>
      </c>
    </row>
    <row r="17912" customFormat="false" ht="12.8" hidden="false" customHeight="false" outlineLevel="0" collapsed="false">
      <c r="B17912" s="0" t="s">
        <v>164</v>
      </c>
    </row>
    <row r="17914" customFormat="false" ht="12.8" hidden="false" customHeight="false" outlineLevel="0" collapsed="false">
      <c r="A17914" s="0" t="s">
        <v>7617</v>
      </c>
      <c r="B17914" s="0" t="str">
        <f aca="false">HYPERLINK("https://lindat.mff.cuni.cz/services/teitok/pdtc10/index.php?action=vallex&amp;frame=v-w11078f2", "napínat (v-w11078f2)")</f>
        <v>napínat (v-w11078f2)</v>
      </c>
    </row>
    <row r="17915" customFormat="false" ht="12.8" hidden="false" customHeight="false" outlineLevel="0" collapsed="false">
      <c r="B17915" s="0" t="s">
        <v>1</v>
      </c>
    </row>
    <row r="17916" customFormat="false" ht="12.8" hidden="false" customHeight="false" outlineLevel="0" collapsed="false">
      <c r="B17916" s="0" t="s">
        <v>8</v>
      </c>
    </row>
    <row r="17917" customFormat="false" ht="12.8" hidden="false" customHeight="false" outlineLevel="0" collapsed="false">
      <c r="B17917" s="0" t="s">
        <v>36</v>
      </c>
    </row>
    <row r="17918" customFormat="false" ht="12.8" hidden="false" customHeight="false" outlineLevel="0" collapsed="false">
      <c r="B17918" s="0" t="s">
        <v>101</v>
      </c>
    </row>
    <row r="17920" customFormat="false" ht="12.8" hidden="false" customHeight="false" outlineLevel="0" collapsed="false">
      <c r="A17920" s="0" t="s">
        <v>7618</v>
      </c>
      <c r="B17920" s="0" t="str">
        <f aca="false">HYPERLINK("https://lindat.mff.cuni.cz/services/teitok/pdtc10/index.php?action=vallex&amp;frame=v-w2128f1", "napít se (v-w2128f1)")</f>
        <v>napít se (v-w2128f1)</v>
      </c>
    </row>
    <row r="17921" customFormat="false" ht="12.8" hidden="false" customHeight="false" outlineLevel="0" collapsed="false">
      <c r="B17921" s="0" t="s">
        <v>1</v>
      </c>
    </row>
    <row r="17922" customFormat="false" ht="12.8" hidden="false" customHeight="false" outlineLevel="0" collapsed="false">
      <c r="B17922" s="0" t="s">
        <v>1289</v>
      </c>
    </row>
    <row r="17924" customFormat="false" ht="12.8" hidden="false" customHeight="false" outlineLevel="0" collapsed="false">
      <c r="A17924" s="0" t="s">
        <v>7619</v>
      </c>
      <c r="B17924" s="0" t="str">
        <f aca="false">HYPERLINK("https://lindat.mff.cuni.cz/services/teitok/pdtc10/index.php?action=vallex&amp;frame=v-w11269f1", "napěchovat se (v-w11269f1)")</f>
        <v>napěchovat se (v-w11269f1)</v>
      </c>
      <c r="E17924" s="0" t="str">
        <f aca="false">HYPERLINK("https://lindat.mff.cuni.cz/services/SynSemClass40/SynSemClass40.html?veclass=vec00833#vec00833-ces-cm00009", "vec00833")</f>
        <v>vec00833</v>
      </c>
      <c r="F17924" s="0" t="s">
        <v>6223</v>
      </c>
      <c r="H17924" s="0" t="str">
        <f aca="false">HYPERLINK("https://lindat.mff.cuni.cz/services/SynSemClass40/SynSemClass40.html?veclass=vec00841#vec00841-ces-cm00005", "vec00841")</f>
        <v>vec00841</v>
      </c>
      <c r="I17924" s="0" t="s">
        <v>7095</v>
      </c>
    </row>
    <row r="17925" customFormat="false" ht="12.8" hidden="false" customHeight="false" outlineLevel="0" collapsed="false">
      <c r="B17925" s="0" t="s">
        <v>1</v>
      </c>
      <c r="C17925" s="0" t="s">
        <v>7620</v>
      </c>
      <c r="E17925" s="0" t="s">
        <v>11</v>
      </c>
      <c r="F17925" s="0" t="s">
        <v>6225</v>
      </c>
      <c r="H17925" s="0" t="s">
        <v>7621</v>
      </c>
      <c r="I17925" s="0" t="s">
        <v>7622</v>
      </c>
    </row>
    <row r="17926" customFormat="false" ht="12.8" hidden="false" customHeight="false" outlineLevel="0" collapsed="false">
      <c r="B17926" s="0" t="s">
        <v>164</v>
      </c>
      <c r="C17926" s="0" t="s">
        <v>7623</v>
      </c>
      <c r="E17926" s="0" t="s">
        <v>370</v>
      </c>
      <c r="F17926" s="0" t="s">
        <v>7414</v>
      </c>
      <c r="H17926" s="0" t="s">
        <v>4408</v>
      </c>
      <c r="I17926" s="0" t="s">
        <v>7108</v>
      </c>
    </row>
    <row r="17928" customFormat="false" ht="12.8" hidden="false" customHeight="false" outlineLevel="0" collapsed="false">
      <c r="A17928" s="0" t="s">
        <v>7624</v>
      </c>
      <c r="B17928" s="0" t="str">
        <f aca="false">HYPERLINK("https://lindat.mff.cuni.cz/services/teitok/pdtc10/index.php?action=vallex&amp;frame=v-w11464f1", "napřemýšlet se (v-w11464f1)")</f>
        <v>napřemýšlet se (v-w11464f1)</v>
      </c>
    </row>
    <row r="17929" customFormat="false" ht="12.8" hidden="false" customHeight="false" outlineLevel="0" collapsed="false">
      <c r="B17929" s="0" t="s">
        <v>1</v>
      </c>
    </row>
    <row r="17930" customFormat="false" ht="12.8" hidden="false" customHeight="false" outlineLevel="0" collapsed="false">
      <c r="B17930" s="0" t="s">
        <v>496</v>
      </c>
    </row>
    <row r="17932" customFormat="false" ht="12.8" hidden="false" customHeight="false" outlineLevel="0" collapsed="false">
      <c r="A17932" s="0" t="s">
        <v>7625</v>
      </c>
      <c r="B17932" s="0" t="str">
        <f aca="false">HYPERLINK("https://lindat.mff.cuni.cz/services/teitok/pdtc10/index.php?action=vallex&amp;frame=v-whsa_354hsa_355", "napřáhnout (v-whsa_354hsa_355)")</f>
        <v>napřáhnout (v-whsa_354hsa_355)</v>
      </c>
    </row>
    <row r="17933" customFormat="false" ht="12.8" hidden="false" customHeight="false" outlineLevel="0" collapsed="false">
      <c r="B17933" s="0" t="s">
        <v>1</v>
      </c>
    </row>
    <row r="17934" customFormat="false" ht="12.8" hidden="false" customHeight="false" outlineLevel="0" collapsed="false">
      <c r="B17934" s="0" t="s">
        <v>8</v>
      </c>
    </row>
    <row r="17936" customFormat="false" ht="12.8" hidden="false" customHeight="false" outlineLevel="0" collapsed="false">
      <c r="A17936" s="0" t="s">
        <v>7626</v>
      </c>
      <c r="B17936" s="0" t="str">
        <f aca="false">HYPERLINK("https://lindat.mff.cuni.cz/services/teitok/pdtc10/index.php?action=vallex&amp;frame=v-w2160f2", "napřít (v-w2160f2)")</f>
        <v>napřít (v-w2160f2)</v>
      </c>
    </row>
    <row r="17937" customFormat="false" ht="12.8" hidden="false" customHeight="false" outlineLevel="0" collapsed="false">
      <c r="B17937" s="0" t="s">
        <v>1</v>
      </c>
    </row>
    <row r="17938" customFormat="false" ht="12.8" hidden="false" customHeight="false" outlineLevel="0" collapsed="false">
      <c r="B17938" s="0" t="s">
        <v>8</v>
      </c>
    </row>
    <row r="17939" customFormat="false" ht="12.8" hidden="false" customHeight="false" outlineLevel="0" collapsed="false">
      <c r="B17939" s="0" t="s">
        <v>7627</v>
      </c>
    </row>
    <row r="17941" customFormat="false" ht="12.8" hidden="false" customHeight="false" outlineLevel="0" collapsed="false">
      <c r="A17941" s="0" t="s">
        <v>7628</v>
      </c>
      <c r="B17941" s="0" t="str">
        <f aca="false">HYPERLINK("https://lindat.mff.cuni.cz/services/teitok/pdtc10/index.php?action=vallex&amp;frame=v-w2160f1", "napřít (v-w2160f1)")</f>
        <v>napřít (v-w2160f1)</v>
      </c>
    </row>
    <row r="17942" customFormat="false" ht="12.8" hidden="false" customHeight="false" outlineLevel="0" collapsed="false">
      <c r="B17942" s="0" t="s">
        <v>1</v>
      </c>
    </row>
    <row r="17943" customFormat="false" ht="12.8" hidden="false" customHeight="false" outlineLevel="0" collapsed="false">
      <c r="B17943" s="0" t="s">
        <v>8</v>
      </c>
    </row>
    <row r="17944" customFormat="false" ht="12.8" hidden="false" customHeight="false" outlineLevel="0" collapsed="false">
      <c r="B17944" s="0" t="s">
        <v>164</v>
      </c>
    </row>
    <row r="17946" customFormat="false" ht="12.8" hidden="false" customHeight="false" outlineLevel="0" collapsed="false">
      <c r="A17946" s="0" t="s">
        <v>7629</v>
      </c>
      <c r="B17946" s="0" t="str">
        <f aca="false">HYPERLINK("https://lindat.mff.cuni.cz/services/teitok/pdtc10/index.php?action=vallex&amp;frame=v-w2168f3", "narazit (v-w2168f3)")</f>
        <v>narazit (v-w2168f3)</v>
      </c>
    </row>
    <row r="17947" customFormat="false" ht="12.8" hidden="false" customHeight="false" outlineLevel="0" collapsed="false">
      <c r="B17947" s="0" t="s">
        <v>1</v>
      </c>
    </row>
    <row r="17948" customFormat="false" ht="12.8" hidden="false" customHeight="false" outlineLevel="0" collapsed="false">
      <c r="B17948" s="0" t="s">
        <v>8</v>
      </c>
    </row>
    <row r="17949" customFormat="false" ht="12.8" hidden="false" customHeight="false" outlineLevel="0" collapsed="false">
      <c r="B17949" s="0" t="s">
        <v>164</v>
      </c>
    </row>
    <row r="17951" customFormat="false" ht="12.8" hidden="false" customHeight="false" outlineLevel="0" collapsed="false">
      <c r="A17951" s="0" t="s">
        <v>7630</v>
      </c>
      <c r="B17951" s="0" t="str">
        <f aca="false">HYPERLINK("https://lindat.mff.cuni.cz/services/teitok/pdtc10/index.php?action=vallex&amp;frame=v-w2168f4", "narazit (v-w2168f4)")</f>
        <v>narazit (v-w2168f4)</v>
      </c>
    </row>
    <row r="17952" customFormat="false" ht="12.8" hidden="false" customHeight="false" outlineLevel="0" collapsed="false">
      <c r="B17952" s="0" t="s">
        <v>1</v>
      </c>
    </row>
    <row r="17953" customFormat="false" ht="12.8" hidden="false" customHeight="false" outlineLevel="0" collapsed="false">
      <c r="B17953" s="0" t="s">
        <v>8</v>
      </c>
    </row>
    <row r="17955" customFormat="false" ht="12.8" hidden="false" customHeight="false" outlineLevel="0" collapsed="false">
      <c r="A17955" s="0" t="s">
        <v>7631</v>
      </c>
      <c r="B17955" s="0" t="str">
        <f aca="false">HYPERLINK("https://lindat.mff.cuni.cz/services/teitok/pdtc10/index.php?action=vallex&amp;frame=v-w2168f5", "narazit (v-w2168f5)")</f>
        <v>narazit (v-w2168f5)</v>
      </c>
    </row>
    <row r="17956" customFormat="false" ht="12.8" hidden="false" customHeight="false" outlineLevel="0" collapsed="false">
      <c r="B17956" s="0" t="s">
        <v>1</v>
      </c>
    </row>
    <row r="17957" customFormat="false" ht="12.8" hidden="false" customHeight="false" outlineLevel="0" collapsed="false">
      <c r="B17957" s="0" t="s">
        <v>8</v>
      </c>
    </row>
    <row r="17959" customFormat="false" ht="12.8" hidden="false" customHeight="false" outlineLevel="0" collapsed="false">
      <c r="A17959" s="0" t="s">
        <v>7632</v>
      </c>
      <c r="B17959" s="0" t="str">
        <f aca="false">HYPERLINK("https://lindat.mff.cuni.cz/services/teitok/pdtc10/index.php?action=vallex&amp;frame=v-w2168f1", "narazit (v-w2168f1)")</f>
        <v>narazit (v-w2168f1)</v>
      </c>
      <c r="E17959" s="0" t="str">
        <f aca="false">HYPERLINK("https://lindat.mff.cuni.cz/services/SynSemClass40/SynSemClass40.html?veclass=vec00233#vec00233-ces-cm00018", "vec00233")</f>
        <v>vec00233</v>
      </c>
      <c r="F17959" s="0" t="s">
        <v>1065</v>
      </c>
      <c r="H17959" s="0" t="str">
        <f aca="false">HYPERLINK("https://lindat.mff.cuni.cz/services/SynSemClass40/SynSemClass40.html?veclass=vec01475#vec01475-ces-cm00015", "vec01475")</f>
        <v>vec01475</v>
      </c>
      <c r="I17959" s="0" t="s">
        <v>1082</v>
      </c>
    </row>
    <row r="17960" customFormat="false" ht="12.8" hidden="false" customHeight="false" outlineLevel="0" collapsed="false">
      <c r="B17960" s="0" t="s">
        <v>1</v>
      </c>
      <c r="C17960" s="0" t="s">
        <v>7633</v>
      </c>
      <c r="E17960" s="0" t="s">
        <v>2263</v>
      </c>
      <c r="F17960" s="0" t="s">
        <v>7078</v>
      </c>
      <c r="H17960" s="0" t="s">
        <v>1086</v>
      </c>
      <c r="I17960" s="0" t="s">
        <v>1087</v>
      </c>
    </row>
    <row r="17961" customFormat="false" ht="12.8" hidden="false" customHeight="false" outlineLevel="0" collapsed="false">
      <c r="B17961" s="0" t="s">
        <v>45</v>
      </c>
      <c r="C17961" s="0" t="s">
        <v>7634</v>
      </c>
      <c r="E17961" s="0" t="s">
        <v>7080</v>
      </c>
      <c r="F17961" s="0" t="s">
        <v>7081</v>
      </c>
      <c r="H17961" s="0" t="s">
        <v>7635</v>
      </c>
      <c r="I17961" s="0" t="s">
        <v>7636</v>
      </c>
    </row>
    <row r="17963" customFormat="false" ht="12.8" hidden="false" customHeight="false" outlineLevel="0" collapsed="false">
      <c r="A17963" s="0" t="s">
        <v>7637</v>
      </c>
      <c r="B17963" s="0" t="str">
        <f aca="false">HYPERLINK("https://lindat.mff.cuni.cz/services/teitok/pdtc10/index.php?action=vallex&amp;frame=v-w2168f7_ZU", "narazit (v-w2168f7_ZU)")</f>
        <v>narazit (v-w2168f7_ZU)</v>
      </c>
    </row>
    <row r="17964" customFormat="false" ht="12.8" hidden="false" customHeight="false" outlineLevel="0" collapsed="false">
      <c r="B17964" s="0" t="s">
        <v>1</v>
      </c>
    </row>
    <row r="17965" customFormat="false" ht="12.8" hidden="false" customHeight="false" outlineLevel="0" collapsed="false">
      <c r="B17965" s="0" t="s">
        <v>7638</v>
      </c>
    </row>
    <row r="17967" customFormat="false" ht="12.8" hidden="false" customHeight="false" outlineLevel="0" collapsed="false">
      <c r="A17967" s="0" t="s">
        <v>7637</v>
      </c>
      <c r="B17967" s="0" t="str">
        <f aca="false">HYPERLINK("https://lindat.mff.cuni.cz/services/teitok/pdtc10/index.php?action=vallex&amp;frame=v-w2168f6_ZU", "narazit (v-w2168f6_ZU) - substituted with v-w2168f7_ZU")</f>
        <v>narazit (v-w2168f6_ZU) - substituted with v-w2168f7_ZU</v>
      </c>
    </row>
    <row r="17968" customFormat="false" ht="12.8" hidden="false" customHeight="false" outlineLevel="0" collapsed="false">
      <c r="B17968" s="0" t="s">
        <v>1</v>
      </c>
    </row>
    <row r="17969" customFormat="false" ht="12.8" hidden="false" customHeight="false" outlineLevel="0" collapsed="false">
      <c r="B17969" s="0" t="s">
        <v>7638</v>
      </c>
    </row>
    <row r="17971" customFormat="false" ht="12.8" hidden="false" customHeight="false" outlineLevel="0" collapsed="false">
      <c r="A17971" s="0" t="s">
        <v>7639</v>
      </c>
      <c r="B17971" s="0" t="str">
        <f aca="false">HYPERLINK("https://lindat.mff.cuni.cz/services/teitok/pdtc10/index.php?action=vallex&amp;frame=v-w2168f2", "narazit (v-w2168f2)")</f>
        <v>narazit (v-w2168f2)</v>
      </c>
      <c r="E17971" s="0" t="str">
        <f aca="false">HYPERLINK("https://lindat.mff.cuni.cz/services/SynSemClass40/SynSemClass40.html?veclass=vec00639#vec00639-ces-cm00001", "vec00639")</f>
        <v>vec00639</v>
      </c>
      <c r="F17971" s="0" t="s">
        <v>7274</v>
      </c>
    </row>
    <row r="17972" customFormat="false" ht="12.8" hidden="false" customHeight="false" outlineLevel="0" collapsed="false">
      <c r="B17972" s="0" t="s">
        <v>1</v>
      </c>
      <c r="C17972" s="0" t="s">
        <v>7275</v>
      </c>
      <c r="E17972" s="0" t="s">
        <v>7276</v>
      </c>
      <c r="F17972" s="0" t="s">
        <v>7277</v>
      </c>
    </row>
    <row r="17973" customFormat="false" ht="12.8" hidden="false" customHeight="false" outlineLevel="0" collapsed="false">
      <c r="B17973" s="0" t="s">
        <v>164</v>
      </c>
      <c r="C17973" s="0" t="s">
        <v>7278</v>
      </c>
      <c r="E17973" s="0" t="s">
        <v>4619</v>
      </c>
      <c r="F17973" s="0" t="s">
        <v>7279</v>
      </c>
    </row>
    <row r="17975" customFormat="false" ht="12.8" hidden="false" customHeight="false" outlineLevel="0" collapsed="false">
      <c r="A17975" s="0" t="s">
        <v>7640</v>
      </c>
      <c r="B17975" s="0" t="str">
        <f aca="false">HYPERLINK("https://lindat.mff.cuni.cz/services/teitok/pdtc10/index.php?action=vallex&amp;frame=v-w2169f1", "narazit si (v-w2169f1)")</f>
        <v>narazit si (v-w2169f1)</v>
      </c>
    </row>
    <row r="17976" customFormat="false" ht="12.8" hidden="false" customHeight="false" outlineLevel="0" collapsed="false">
      <c r="B17976" s="0" t="s">
        <v>1</v>
      </c>
    </row>
    <row r="17977" customFormat="false" ht="12.8" hidden="false" customHeight="false" outlineLevel="0" collapsed="false">
      <c r="B17977" s="0" t="s">
        <v>721</v>
      </c>
    </row>
    <row r="17979" customFormat="false" ht="12.8" hidden="false" customHeight="false" outlineLevel="0" collapsed="false">
      <c r="A17979" s="0" t="s">
        <v>7641</v>
      </c>
      <c r="B17979" s="0" t="str">
        <f aca="false">HYPERLINK("https://lindat.mff.cuni.cz/services/teitok/pdtc10/index.php?action=vallex&amp;frame=v-w12000_ZUf1_ZU", "narobit (v-w12000_ZUf1_ZU)")</f>
        <v>narobit (v-w12000_ZUf1_ZU)</v>
      </c>
    </row>
    <row r="17980" customFormat="false" ht="12.8" hidden="false" customHeight="false" outlineLevel="0" collapsed="false">
      <c r="B17980" s="0" t="s">
        <v>1</v>
      </c>
    </row>
    <row r="17981" customFormat="false" ht="12.8" hidden="false" customHeight="false" outlineLevel="0" collapsed="false">
      <c r="B17981" s="0" t="s">
        <v>8</v>
      </c>
    </row>
    <row r="17983" customFormat="false" ht="12.8" hidden="false" customHeight="false" outlineLevel="0" collapsed="false">
      <c r="A17983" s="0" t="s">
        <v>7642</v>
      </c>
      <c r="B17983" s="0" t="str">
        <f aca="false">HYPERLINK("https://lindat.mff.cuni.cz/services/teitok/pdtc10/index.php?action=vallex&amp;frame=v-w2173f2", "narodit se (v-w2173f2)")</f>
        <v>narodit se (v-w2173f2)</v>
      </c>
    </row>
    <row r="17984" customFormat="false" ht="12.8" hidden="false" customHeight="false" outlineLevel="0" collapsed="false">
      <c r="B17984" s="0" t="s">
        <v>1</v>
      </c>
    </row>
    <row r="17985" customFormat="false" ht="12.8" hidden="false" customHeight="false" outlineLevel="0" collapsed="false">
      <c r="B17985" s="0" t="s">
        <v>298</v>
      </c>
    </row>
    <row r="17987" customFormat="false" ht="12.8" hidden="false" customHeight="false" outlineLevel="0" collapsed="false">
      <c r="A17987" s="0" t="s">
        <v>7643</v>
      </c>
      <c r="B17987" s="0" t="str">
        <f aca="false">HYPERLINK("https://lindat.mff.cuni.cz/services/teitok/pdtc10/index.php?action=vallex&amp;frame=v-w2173f3_ZU", "narodit se (v-w2173f3_ZU)")</f>
        <v>narodit se (v-w2173f3_ZU)</v>
      </c>
    </row>
    <row r="17988" customFormat="false" ht="12.8" hidden="false" customHeight="false" outlineLevel="0" collapsed="false">
      <c r="B17988" s="0" t="s">
        <v>1</v>
      </c>
    </row>
    <row r="17989" customFormat="false" ht="12.8" hidden="false" customHeight="false" outlineLevel="0" collapsed="false">
      <c r="B17989" s="0" t="s">
        <v>157</v>
      </c>
    </row>
    <row r="17990" customFormat="false" ht="12.8" hidden="false" customHeight="false" outlineLevel="0" collapsed="false">
      <c r="B17990" s="0" t="s">
        <v>36</v>
      </c>
    </row>
    <row r="17992" customFormat="false" ht="12.8" hidden="false" customHeight="false" outlineLevel="0" collapsed="false">
      <c r="A17992" s="0" t="s">
        <v>7643</v>
      </c>
      <c r="B17992" s="0" t="str">
        <f aca="false">HYPERLINK("https://lindat.mff.cuni.cz/services/teitok/pdtc10/index.php?action=vallex&amp;frame=v-w2173f1", "narodit se (v-w2173f1) - substituted with v-w2173f3_ZU")</f>
        <v>narodit se (v-w2173f1) - substituted with v-w2173f3_ZU</v>
      </c>
      <c r="E17992" s="0" t="str">
        <f aca="false">HYPERLINK("https://lindat.mff.cuni.cz/services/SynSemClass40/SynSemClass40.html?veclass=vec00442#vec00442-ces-cm00001", "vec00442")</f>
        <v>vec00442</v>
      </c>
      <c r="F17992" s="0" t="s">
        <v>7644</v>
      </c>
    </row>
    <row r="17993" customFormat="false" ht="12.8" hidden="false" customHeight="false" outlineLevel="0" collapsed="false">
      <c r="B17993" s="0" t="s">
        <v>1</v>
      </c>
      <c r="C17993" s="0" t="s">
        <v>7645</v>
      </c>
      <c r="E17993" s="0" t="s">
        <v>7646</v>
      </c>
      <c r="F17993" s="0" t="s">
        <v>7647</v>
      </c>
    </row>
    <row r="17994" customFormat="false" ht="12.8" hidden="false" customHeight="false" outlineLevel="0" collapsed="false">
      <c r="B17994" s="0" t="s">
        <v>157</v>
      </c>
      <c r="C17994" s="0" t="s">
        <v>7648</v>
      </c>
      <c r="E17994" s="0" t="s">
        <v>7649</v>
      </c>
      <c r="F17994" s="0" t="s">
        <v>7650</v>
      </c>
    </row>
    <row r="17995" customFormat="false" ht="12.8" hidden="false" customHeight="false" outlineLevel="0" collapsed="false">
      <c r="B17995" s="0" t="s">
        <v>36</v>
      </c>
    </row>
    <row r="17997" customFormat="false" ht="12.8" hidden="false" customHeight="false" outlineLevel="0" collapsed="false">
      <c r="A17997" s="0" t="s">
        <v>7651</v>
      </c>
      <c r="B17997" s="0" t="str">
        <f aca="false">HYPERLINK("https://lindat.mff.cuni.cz/services/teitok/pdtc10/index.php?action=vallex&amp;frame=v-w11322f1", "naroubovat (v-w11322f1)")</f>
        <v>naroubovat (v-w11322f1)</v>
      </c>
      <c r="E17997" s="0" t="str">
        <f aca="false">HYPERLINK("https://lindat.mff.cuni.cz/services/SynSemClass40/SynSemClass40.html?veclass=vec00899#vec00899-ces-cm00003", "vec00899")</f>
        <v>vec00899</v>
      </c>
      <c r="F17997" s="0" t="s">
        <v>7652</v>
      </c>
    </row>
    <row r="17998" customFormat="false" ht="12.8" hidden="false" customHeight="false" outlineLevel="0" collapsed="false">
      <c r="B17998" s="0" t="s">
        <v>1</v>
      </c>
      <c r="C17998" s="0" t="s">
        <v>447</v>
      </c>
      <c r="E17998" s="0" t="s">
        <v>31</v>
      </c>
      <c r="F17998" s="0" t="s">
        <v>7653</v>
      </c>
    </row>
    <row r="17999" customFormat="false" ht="12.8" hidden="false" customHeight="false" outlineLevel="0" collapsed="false">
      <c r="B17999" s="0" t="s">
        <v>8</v>
      </c>
      <c r="C17999" s="0" t="s">
        <v>7654</v>
      </c>
      <c r="E17999" s="0" t="s">
        <v>1569</v>
      </c>
      <c r="F17999" s="0" t="s">
        <v>7655</v>
      </c>
    </row>
    <row r="18001" customFormat="false" ht="12.8" hidden="false" customHeight="false" outlineLevel="0" collapsed="false">
      <c r="A18001" s="0" t="s">
        <v>7656</v>
      </c>
      <c r="B18001" s="0" t="str">
        <f aca="false">HYPERLINK("https://lindat.mff.cuni.cz/services/teitok/pdtc10/index.php?action=vallex&amp;frame=v-w11322f2_ZU", "naroubovat (v-w11322f2_ZU)")</f>
        <v>naroubovat (v-w11322f2_ZU)</v>
      </c>
      <c r="E18001" s="0" t="str">
        <f aca="false">HYPERLINK("https://lindat.mff.cuni.cz/services/SynSemClass40/SynSemClass40.html?veclass=vec01167#vec01167-ces-cm00002", "vec01167")</f>
        <v>vec01167</v>
      </c>
      <c r="F18001" s="0" t="s">
        <v>7657</v>
      </c>
    </row>
    <row r="18002" customFormat="false" ht="12.8" hidden="false" customHeight="false" outlineLevel="0" collapsed="false">
      <c r="B18002" s="0" t="s">
        <v>1</v>
      </c>
      <c r="C18002" s="0" t="s">
        <v>459</v>
      </c>
      <c r="E18002" s="0" t="s">
        <v>768</v>
      </c>
      <c r="F18002" s="0" t="s">
        <v>7658</v>
      </c>
    </row>
    <row r="18003" customFormat="false" ht="12.8" hidden="false" customHeight="false" outlineLevel="0" collapsed="false">
      <c r="B18003" s="0" t="s">
        <v>8</v>
      </c>
      <c r="C18003" s="0" t="s">
        <v>3252</v>
      </c>
      <c r="E18003" s="0" t="s">
        <v>110</v>
      </c>
      <c r="F18003" s="0" t="s">
        <v>7659</v>
      </c>
    </row>
    <row r="18004" customFormat="false" ht="12.8" hidden="false" customHeight="false" outlineLevel="0" collapsed="false">
      <c r="B18004" s="0" t="s">
        <v>2207</v>
      </c>
      <c r="E18004" s="0" t="s">
        <v>4858</v>
      </c>
      <c r="F18004" s="0" t="s">
        <v>7003</v>
      </c>
    </row>
    <row r="18006" customFormat="false" ht="12.8" hidden="false" customHeight="false" outlineLevel="0" collapsed="false">
      <c r="A18006" s="0" t="s">
        <v>7656</v>
      </c>
      <c r="B18006" s="0" t="str">
        <f aca="false">HYPERLINK("https://lindat.mff.cuni.cz/services/teitok/pdtc10/index.php?action=vallex&amp;frame=v-w11322hsa_990", "naroubovat (v-w11322hsa_990) - substituted with v-w11322f2_ZU")</f>
        <v>naroubovat (v-w11322hsa_990) - substituted with v-w11322f2_ZU</v>
      </c>
    </row>
    <row r="18007" customFormat="false" ht="12.8" hidden="false" customHeight="false" outlineLevel="0" collapsed="false">
      <c r="B18007" s="0" t="s">
        <v>1</v>
      </c>
    </row>
    <row r="18008" customFormat="false" ht="12.8" hidden="false" customHeight="false" outlineLevel="0" collapsed="false">
      <c r="B18008" s="0" t="s">
        <v>8</v>
      </c>
    </row>
    <row r="18009" customFormat="false" ht="12.8" hidden="false" customHeight="false" outlineLevel="0" collapsed="false">
      <c r="B18009" s="0" t="s">
        <v>2207</v>
      </c>
    </row>
    <row r="18011" customFormat="false" ht="12.8" hidden="false" customHeight="false" outlineLevel="0" collapsed="false">
      <c r="A18011" s="0" t="s">
        <v>7660</v>
      </c>
      <c r="B18011" s="0" t="str">
        <f aca="false">HYPERLINK("https://lindat.mff.cuni.cz/services/teitok/pdtc10/index.php?action=vallex&amp;frame=v-w2175f1", "naroubovat se (v-w2175f1)")</f>
        <v>naroubovat se (v-w2175f1)</v>
      </c>
    </row>
    <row r="18012" customFormat="false" ht="12.8" hidden="false" customHeight="false" outlineLevel="0" collapsed="false">
      <c r="B18012" s="0" t="s">
        <v>1</v>
      </c>
    </row>
    <row r="18013" customFormat="false" ht="12.8" hidden="false" customHeight="false" outlineLevel="0" collapsed="false">
      <c r="B18013" s="0" t="s">
        <v>45</v>
      </c>
    </row>
    <row r="18015" customFormat="false" ht="12.8" hidden="false" customHeight="false" outlineLevel="0" collapsed="false">
      <c r="A18015" s="0" t="s">
        <v>7661</v>
      </c>
      <c r="B18015" s="0" t="str">
        <f aca="false">HYPERLINK("https://lindat.mff.cuni.cz/services/teitok/pdtc10/index.php?action=vallex&amp;frame=v-w11026f2", "narovnat (v-w11026f2)")</f>
        <v>narovnat (v-w11026f2)</v>
      </c>
    </row>
    <row r="18016" customFormat="false" ht="12.8" hidden="false" customHeight="false" outlineLevel="0" collapsed="false">
      <c r="B18016" s="0" t="s">
        <v>1</v>
      </c>
    </row>
    <row r="18017" customFormat="false" ht="12.8" hidden="false" customHeight="false" outlineLevel="0" collapsed="false">
      <c r="B18017" s="0" t="s">
        <v>8</v>
      </c>
    </row>
    <row r="18019" customFormat="false" ht="12.8" hidden="false" customHeight="false" outlineLevel="0" collapsed="false">
      <c r="A18019" s="0" t="s">
        <v>7662</v>
      </c>
      <c r="B18019" s="0" t="str">
        <f aca="false">HYPERLINK("https://lindat.mff.cuni.cz/services/teitok/pdtc10/index.php?action=vallex&amp;frame=v-w12218_ZUf1_ZU", "narovnat se (v-w12218_ZUf1_ZU)")</f>
        <v>narovnat se (v-w12218_ZUf1_ZU)</v>
      </c>
    </row>
    <row r="18020" customFormat="false" ht="12.8" hidden="false" customHeight="false" outlineLevel="0" collapsed="false">
      <c r="B18020" s="0" t="s">
        <v>1</v>
      </c>
    </row>
    <row r="18022" customFormat="false" ht="12.8" hidden="false" customHeight="false" outlineLevel="0" collapsed="false">
      <c r="A18022" s="0" t="s">
        <v>7663</v>
      </c>
      <c r="B18022" s="0" t="str">
        <f aca="false">HYPERLINK("https://lindat.mff.cuni.cz/services/teitok/pdtc10/index.php?action=vallex&amp;frame=v-w11473f1", "narovnávat se (v-w11473f1)")</f>
        <v>narovnávat se (v-w11473f1)</v>
      </c>
      <c r="E18022" s="0" t="str">
        <f aca="false">HYPERLINK("https://lindat.mff.cuni.cz/services/SynSemClass40/SynSemClass40.html?veclass=vec01232#vec01232-ces-cm00002", "vec01232")</f>
        <v>vec01232</v>
      </c>
      <c r="F18022" s="0" t="s">
        <v>7664</v>
      </c>
    </row>
    <row r="18023" customFormat="false" ht="12.8" hidden="false" customHeight="false" outlineLevel="0" collapsed="false">
      <c r="B18023" s="0" t="s">
        <v>1</v>
      </c>
      <c r="C18023" s="0" t="s">
        <v>7665</v>
      </c>
      <c r="E18023" s="0" t="s">
        <v>1597</v>
      </c>
      <c r="F18023" s="0" t="s">
        <v>7666</v>
      </c>
    </row>
    <row r="18025" customFormat="false" ht="12.8" hidden="false" customHeight="false" outlineLevel="0" collapsed="false">
      <c r="A18025" s="0" t="s">
        <v>7667</v>
      </c>
      <c r="B18025" s="0" t="str">
        <f aca="false">HYPERLINK("https://lindat.mff.cuni.cz/services/teitok/pdtc10/index.php?action=vallex&amp;frame=v-whsa_1377f1_MM", "narukovat (v-whsa_1377f1_MM)")</f>
        <v>narukovat (v-whsa_1377f1_MM)</v>
      </c>
    </row>
    <row r="18026" customFormat="false" ht="12.8" hidden="false" customHeight="false" outlineLevel="0" collapsed="false">
      <c r="B18026" s="0" t="s">
        <v>1</v>
      </c>
    </row>
    <row r="18027" customFormat="false" ht="12.8" hidden="false" customHeight="false" outlineLevel="0" collapsed="false">
      <c r="B18027" s="0" t="s">
        <v>8</v>
      </c>
    </row>
    <row r="18029" customFormat="false" ht="12.8" hidden="false" customHeight="false" outlineLevel="0" collapsed="false">
      <c r="A18029" s="0" t="s">
        <v>7668</v>
      </c>
      <c r="B18029" s="0" t="str">
        <f aca="false">HYPERLINK("https://lindat.mff.cuni.cz/services/teitok/pdtc10/index.php?action=vallex&amp;frame=v-whsa_1377hsa_1378", "narukovat (v-whsa_1377hsa_1378)")</f>
        <v>narukovat (v-whsa_1377hsa_1378)</v>
      </c>
    </row>
    <row r="18030" customFormat="false" ht="12.8" hidden="false" customHeight="false" outlineLevel="0" collapsed="false">
      <c r="B18030" s="0" t="s">
        <v>1</v>
      </c>
    </row>
    <row r="18032" customFormat="false" ht="12.8" hidden="false" customHeight="false" outlineLevel="0" collapsed="false">
      <c r="A18032" s="0" t="s">
        <v>7669</v>
      </c>
      <c r="B18032" s="0" t="str">
        <f aca="false">HYPERLINK("https://lindat.mff.cuni.cz/services/teitok/pdtc10/index.php?action=vallex&amp;frame=v-w2185f1", "narušit (v-w2185f1)")</f>
        <v>narušit (v-w2185f1)</v>
      </c>
      <c r="E18032" s="0" t="str">
        <f aca="false">HYPERLINK("https://lindat.mff.cuni.cz/services/SynSemClass40/SynSemClass40.html?veclass=vec00372#vec00372-ces-cm00021", "vec00372")</f>
        <v>vec00372</v>
      </c>
      <c r="F18032" s="0" t="s">
        <v>2524</v>
      </c>
      <c r="H18032" s="0" t="str">
        <f aca="false">HYPERLINK("https://lindat.mff.cuni.cz/services/SynSemClass40/SynSemClass40.html?veclass=vec00656#vec00656-ces-cm00003", "vec00656")</f>
        <v>vec00656</v>
      </c>
      <c r="I18032" s="0" t="s">
        <v>7670</v>
      </c>
      <c r="K18032" s="0" t="str">
        <f aca="false">HYPERLINK("https://lindat.mff.cuni.cz/services/SynSemClass40/SynSemClass40.html?veclass=vec01510#vec01510-ces-cm00001", "vec01510")</f>
        <v>vec01510</v>
      </c>
      <c r="L18032" s="0" t="s">
        <v>7671</v>
      </c>
    </row>
    <row r="18033" customFormat="false" ht="12.8" hidden="false" customHeight="false" outlineLevel="0" collapsed="false">
      <c r="B18033" s="0" t="s">
        <v>1</v>
      </c>
      <c r="C18033" s="0" t="s">
        <v>7672</v>
      </c>
      <c r="E18033" s="0" t="s">
        <v>2526</v>
      </c>
      <c r="F18033" s="0" t="s">
        <v>2527</v>
      </c>
      <c r="H18033" s="0" t="s">
        <v>76</v>
      </c>
      <c r="I18033" s="0" t="s">
        <v>7673</v>
      </c>
      <c r="K18033" s="0" t="s">
        <v>76</v>
      </c>
      <c r="L18033" s="0" t="s">
        <v>7674</v>
      </c>
    </row>
    <row r="18034" customFormat="false" ht="12.8" hidden="false" customHeight="false" outlineLevel="0" collapsed="false">
      <c r="B18034" s="0" t="s">
        <v>8</v>
      </c>
      <c r="C18034" s="0" t="s">
        <v>7675</v>
      </c>
      <c r="E18034" s="0" t="s">
        <v>142</v>
      </c>
      <c r="F18034" s="0" t="s">
        <v>2529</v>
      </c>
      <c r="H18034" s="0" t="s">
        <v>7676</v>
      </c>
      <c r="I18034" s="0" t="s">
        <v>7677</v>
      </c>
      <c r="K18034" s="0" t="s">
        <v>706</v>
      </c>
      <c r="L18034" s="0" t="s">
        <v>7678</v>
      </c>
    </row>
    <row r="18036" customFormat="false" ht="12.8" hidden="false" customHeight="false" outlineLevel="0" collapsed="false">
      <c r="A18036" s="0" t="s">
        <v>7679</v>
      </c>
      <c r="B18036" s="0" t="str">
        <f aca="false">HYPERLINK("https://lindat.mff.cuni.cz/services/teitok/pdtc10/index.php?action=vallex&amp;frame=v-w2188f1", "narušovat (v-w2188f1)")</f>
        <v>narušovat (v-w2188f1)</v>
      </c>
      <c r="E18036" s="0" t="str">
        <f aca="false">HYPERLINK("https://lindat.mff.cuni.cz/services/SynSemClass40/SynSemClass40.html?veclass=vec00372#vec00372-ces-cm00022", "vec00372")</f>
        <v>vec00372</v>
      </c>
      <c r="F18036" s="0" t="s">
        <v>2524</v>
      </c>
      <c r="H18036" s="0" t="str">
        <f aca="false">HYPERLINK("https://lindat.mff.cuni.cz/services/SynSemClass40/SynSemClass40.html?veclass=vec00656#vec00656-ces-cm00004", "vec00656")</f>
        <v>vec00656</v>
      </c>
      <c r="I18036" s="0" t="s">
        <v>7670</v>
      </c>
      <c r="K18036" s="0" t="str">
        <f aca="false">HYPERLINK("https://lindat.mff.cuni.cz/services/SynSemClass40/SynSemClass40.html?veclass=vec01510#vec01510-ces-cm00002", "vec01510")</f>
        <v>vec01510</v>
      </c>
      <c r="L18036" s="0" t="s">
        <v>7671</v>
      </c>
    </row>
    <row r="18037" customFormat="false" ht="12.8" hidden="false" customHeight="false" outlineLevel="0" collapsed="false">
      <c r="B18037" s="0" t="s">
        <v>1</v>
      </c>
      <c r="C18037" s="0" t="s">
        <v>7672</v>
      </c>
      <c r="E18037" s="0" t="s">
        <v>2526</v>
      </c>
      <c r="F18037" s="0" t="s">
        <v>2527</v>
      </c>
      <c r="H18037" s="0" t="s">
        <v>76</v>
      </c>
      <c r="I18037" s="0" t="s">
        <v>7673</v>
      </c>
      <c r="K18037" s="0" t="s">
        <v>76</v>
      </c>
      <c r="L18037" s="0" t="s">
        <v>7674</v>
      </c>
    </row>
    <row r="18038" customFormat="false" ht="12.8" hidden="false" customHeight="false" outlineLevel="0" collapsed="false">
      <c r="B18038" s="0" t="s">
        <v>8</v>
      </c>
      <c r="C18038" s="0" t="s">
        <v>7675</v>
      </c>
      <c r="E18038" s="0" t="s">
        <v>142</v>
      </c>
      <c r="F18038" s="0" t="s">
        <v>2529</v>
      </c>
      <c r="H18038" s="0" t="s">
        <v>7676</v>
      </c>
      <c r="I18038" s="0" t="s">
        <v>7677</v>
      </c>
      <c r="K18038" s="0" t="s">
        <v>706</v>
      </c>
      <c r="L18038" s="0" t="s">
        <v>7678</v>
      </c>
    </row>
    <row r="18040" customFormat="false" ht="12.8" hidden="false" customHeight="false" outlineLevel="0" collapsed="false">
      <c r="A18040" s="0" t="s">
        <v>7680</v>
      </c>
      <c r="B18040" s="0" t="str">
        <f aca="false">HYPERLINK("https://lindat.mff.cuni.cz/services/teitok/pdtc10/index.php?action=vallex&amp;frame=v-w2170f3", "narážet (v-w2170f3)")</f>
        <v>narážet (v-w2170f3)</v>
      </c>
    </row>
    <row r="18041" customFormat="false" ht="12.8" hidden="false" customHeight="false" outlineLevel="0" collapsed="false">
      <c r="B18041" s="0" t="s">
        <v>1</v>
      </c>
    </row>
    <row r="18042" customFormat="false" ht="12.8" hidden="false" customHeight="false" outlineLevel="0" collapsed="false">
      <c r="B18042" s="0" t="s">
        <v>8</v>
      </c>
    </row>
    <row r="18043" customFormat="false" ht="12.8" hidden="false" customHeight="false" outlineLevel="0" collapsed="false">
      <c r="B18043" s="0" t="s">
        <v>164</v>
      </c>
    </row>
    <row r="18045" customFormat="false" ht="12.8" hidden="false" customHeight="false" outlineLevel="0" collapsed="false">
      <c r="A18045" s="0" t="s">
        <v>7681</v>
      </c>
      <c r="B18045" s="0" t="str">
        <f aca="false">HYPERLINK("https://lindat.mff.cuni.cz/services/teitok/pdtc10/index.php?action=vallex&amp;frame=v-w2170f6_ZU", "narážet (v-w2170f6_ZU)")</f>
        <v>narážet (v-w2170f6_ZU)</v>
      </c>
    </row>
    <row r="18046" customFormat="false" ht="12.8" hidden="false" customHeight="false" outlineLevel="0" collapsed="false">
      <c r="B18046" s="0" t="s">
        <v>1</v>
      </c>
    </row>
    <row r="18047" customFormat="false" ht="12.8" hidden="false" customHeight="false" outlineLevel="0" collapsed="false">
      <c r="B18047" s="0" t="s">
        <v>45</v>
      </c>
    </row>
    <row r="18049" customFormat="false" ht="12.8" hidden="false" customHeight="false" outlineLevel="0" collapsed="false">
      <c r="A18049" s="0" t="s">
        <v>7682</v>
      </c>
      <c r="B18049" s="0" t="str">
        <f aca="false">HYPERLINK("https://lindat.mff.cuni.cz/services/teitok/pdtc10/index.php?action=vallex&amp;frame=v-w2170f5_ZU", "narážet (v-w2170f5_ZU)")</f>
        <v>narážet (v-w2170f5_ZU)</v>
      </c>
    </row>
    <row r="18050" customFormat="false" ht="12.8" hidden="false" customHeight="false" outlineLevel="0" collapsed="false">
      <c r="B18050" s="0" t="s">
        <v>1</v>
      </c>
    </row>
    <row r="18051" customFormat="false" ht="12.8" hidden="false" customHeight="false" outlineLevel="0" collapsed="false">
      <c r="B18051" s="0" t="s">
        <v>45</v>
      </c>
    </row>
    <row r="18053" customFormat="false" ht="12.8" hidden="false" customHeight="false" outlineLevel="0" collapsed="false">
      <c r="A18053" s="0" t="s">
        <v>7682</v>
      </c>
      <c r="B18053" s="0" t="str">
        <f aca="false">HYPERLINK("https://lindat.mff.cuni.cz/services/teitok/pdtc10/index.php?action=vallex&amp;frame=v-w2170f1", "narážet (v-w2170f1) - substituted with v-w2170f5_ZU")</f>
        <v>narážet (v-w2170f1) - substituted with v-w2170f5_ZU</v>
      </c>
    </row>
    <row r="18054" customFormat="false" ht="12.8" hidden="false" customHeight="false" outlineLevel="0" collapsed="false">
      <c r="B18054" s="0" t="s">
        <v>1</v>
      </c>
    </row>
    <row r="18055" customFormat="false" ht="12.8" hidden="false" customHeight="false" outlineLevel="0" collapsed="false">
      <c r="B18055" s="0" t="s">
        <v>45</v>
      </c>
    </row>
    <row r="18057" customFormat="false" ht="12.8" hidden="false" customHeight="false" outlineLevel="0" collapsed="false">
      <c r="A18057" s="0" t="s">
        <v>7682</v>
      </c>
      <c r="B18057" s="0" t="str">
        <f aca="false">HYPERLINK("https://lindat.mff.cuni.cz/services/teitok/pdtc10/index.php?action=vallex&amp;frame=v-w2170f4_ZU", "narážet (v-w2170f4_ZU) - substituted with v-w2170f5_ZU")</f>
        <v>narážet (v-w2170f4_ZU) - substituted with v-w2170f5_ZU</v>
      </c>
    </row>
    <row r="18058" customFormat="false" ht="12.8" hidden="false" customHeight="false" outlineLevel="0" collapsed="false">
      <c r="B18058" s="0" t="s">
        <v>1</v>
      </c>
    </row>
    <row r="18059" customFormat="false" ht="12.8" hidden="false" customHeight="false" outlineLevel="0" collapsed="false">
      <c r="B18059" s="0" t="s">
        <v>45</v>
      </c>
    </row>
    <row r="18061" customFormat="false" ht="12.8" hidden="false" customHeight="false" outlineLevel="0" collapsed="false">
      <c r="A18061" s="0" t="s">
        <v>7683</v>
      </c>
      <c r="B18061" s="0" t="str">
        <f aca="false">HYPERLINK("https://lindat.mff.cuni.cz/services/teitok/pdtc10/index.php?action=vallex&amp;frame=v-w2170f2", "narážet (v-w2170f2)")</f>
        <v>narážet (v-w2170f2)</v>
      </c>
      <c r="E18061" s="0" t="str">
        <f aca="false">HYPERLINK("https://lindat.mff.cuni.cz/services/SynSemClass40/SynSemClass40.html?veclass=vec00639#vec00639-ces-cm00020", "vec00639")</f>
        <v>vec00639</v>
      </c>
      <c r="F18061" s="0" t="s">
        <v>7274</v>
      </c>
    </row>
    <row r="18062" customFormat="false" ht="12.8" hidden="false" customHeight="false" outlineLevel="0" collapsed="false">
      <c r="B18062" s="0" t="s">
        <v>1</v>
      </c>
      <c r="C18062" s="0" t="s">
        <v>7275</v>
      </c>
      <c r="E18062" s="0" t="s">
        <v>7276</v>
      </c>
      <c r="F18062" s="0" t="s">
        <v>7277</v>
      </c>
    </row>
    <row r="18063" customFormat="false" ht="12.8" hidden="false" customHeight="false" outlineLevel="0" collapsed="false">
      <c r="B18063" s="0" t="s">
        <v>164</v>
      </c>
      <c r="C18063" s="0" t="s">
        <v>7278</v>
      </c>
      <c r="E18063" s="0" t="s">
        <v>4619</v>
      </c>
      <c r="F18063" s="0" t="s">
        <v>7279</v>
      </c>
    </row>
    <row r="18065" customFormat="false" ht="12.8" hidden="false" customHeight="false" outlineLevel="0" collapsed="false">
      <c r="A18065" s="0" t="s">
        <v>7684</v>
      </c>
      <c r="B18065" s="0" t="str">
        <f aca="false">HYPERLINK("https://lindat.mff.cuni.cz/services/teitok/pdtc10/index.php?action=vallex&amp;frame=v-w2170f7_ZU", "narážet (v-w2170f7_ZU)")</f>
        <v>narážet (v-w2170f7_ZU)</v>
      </c>
    </row>
    <row r="18066" customFormat="false" ht="12.8" hidden="false" customHeight="false" outlineLevel="0" collapsed="false">
      <c r="B18066" s="0" t="s">
        <v>1</v>
      </c>
    </row>
    <row r="18067" customFormat="false" ht="12.8" hidden="false" customHeight="false" outlineLevel="0" collapsed="false">
      <c r="B18067" s="0" t="s">
        <v>8</v>
      </c>
    </row>
    <row r="18069" customFormat="false" ht="12.8" hidden="false" customHeight="false" outlineLevel="0" collapsed="false">
      <c r="A18069" s="0" t="s">
        <v>7685</v>
      </c>
      <c r="B18069" s="0" t="str">
        <f aca="false">HYPERLINK("https://lindat.mff.cuni.cz/services/teitok/pdtc10/index.php?action=vallex&amp;frame=v-w2179f1", "narůst (v-w2179f1)")</f>
        <v>narůst (v-w2179f1)</v>
      </c>
      <c r="E18069" s="0" t="str">
        <f aca="false">HYPERLINK("https://lindat.mff.cuni.cz/services/SynSemClass40/SynSemClass40.html?veclass=vec00109#vec00109-ces-cm00008", "vec00109")</f>
        <v>vec00109</v>
      </c>
      <c r="F18069" s="0" t="s">
        <v>5143</v>
      </c>
    </row>
    <row r="18070" customFormat="false" ht="12.8" hidden="false" customHeight="false" outlineLevel="0" collapsed="false">
      <c r="B18070" s="0" t="s">
        <v>1</v>
      </c>
      <c r="C18070" s="0" t="s">
        <v>7017</v>
      </c>
      <c r="E18070" s="0" t="s">
        <v>235</v>
      </c>
      <c r="F18070" s="0" t="s">
        <v>5146</v>
      </c>
    </row>
    <row r="18071" customFormat="false" ht="12.8" hidden="false" customHeight="false" outlineLevel="0" collapsed="false">
      <c r="B18071" s="0" t="s">
        <v>69</v>
      </c>
      <c r="C18071" s="0" t="s">
        <v>5148</v>
      </c>
      <c r="E18071" s="0" t="s">
        <v>5149</v>
      </c>
      <c r="F18071" s="0" t="s">
        <v>5150</v>
      </c>
    </row>
    <row r="18072" customFormat="false" ht="12.8" hidden="false" customHeight="false" outlineLevel="0" collapsed="false">
      <c r="B18072" s="0" t="s">
        <v>36</v>
      </c>
      <c r="C18072" s="0" t="s">
        <v>5151</v>
      </c>
      <c r="E18072" s="0" t="s">
        <v>5152</v>
      </c>
      <c r="F18072" s="0" t="s">
        <v>5153</v>
      </c>
    </row>
    <row r="18074" customFormat="false" ht="12.8" hidden="false" customHeight="false" outlineLevel="0" collapsed="false">
      <c r="A18074" s="0" t="s">
        <v>7686</v>
      </c>
      <c r="B18074" s="0" t="str">
        <f aca="false">HYPERLINK("https://lindat.mff.cuni.cz/services/teitok/pdtc10/index.php?action=vallex&amp;frame=v-w2179hsa_1536", "narůst (v-w2179hsa_1536)")</f>
        <v>narůst (v-w2179hsa_1536)</v>
      </c>
    </row>
    <row r="18075" customFormat="false" ht="12.8" hidden="false" customHeight="false" outlineLevel="0" collapsed="false">
      <c r="B18075" s="0" t="s">
        <v>1</v>
      </c>
    </row>
    <row r="18077" customFormat="false" ht="12.8" hidden="false" customHeight="false" outlineLevel="0" collapsed="false">
      <c r="A18077" s="0" t="s">
        <v>7687</v>
      </c>
      <c r="B18077" s="0" t="str">
        <f aca="false">HYPERLINK("https://lindat.mff.cuni.cz/services/teitok/pdtc10/index.php?action=vallex&amp;frame=v-w2182f1", "narůstat (v-w2182f1)")</f>
        <v>narůstat (v-w2182f1)</v>
      </c>
      <c r="E18077" s="0" t="str">
        <f aca="false">HYPERLINK("https://lindat.mff.cuni.cz/services/SynSemClass40/SynSemClass40.html?veclass=vec00109#vec00109-ces-cm00009", "vec00109")</f>
        <v>vec00109</v>
      </c>
      <c r="F18077" s="0" t="s">
        <v>5143</v>
      </c>
    </row>
    <row r="18078" customFormat="false" ht="12.8" hidden="false" customHeight="false" outlineLevel="0" collapsed="false">
      <c r="B18078" s="0" t="s">
        <v>1</v>
      </c>
      <c r="C18078" s="0" t="s">
        <v>7017</v>
      </c>
      <c r="E18078" s="0" t="s">
        <v>235</v>
      </c>
      <c r="F18078" s="0" t="s">
        <v>5146</v>
      </c>
    </row>
    <row r="18079" customFormat="false" ht="12.8" hidden="false" customHeight="false" outlineLevel="0" collapsed="false">
      <c r="B18079" s="0" t="s">
        <v>69</v>
      </c>
      <c r="C18079" s="0" t="s">
        <v>5148</v>
      </c>
      <c r="E18079" s="0" t="s">
        <v>5149</v>
      </c>
      <c r="F18079" s="0" t="s">
        <v>5150</v>
      </c>
    </row>
    <row r="18080" customFormat="false" ht="12.8" hidden="false" customHeight="false" outlineLevel="0" collapsed="false">
      <c r="B18080" s="0" t="s">
        <v>36</v>
      </c>
      <c r="C18080" s="0" t="s">
        <v>5151</v>
      </c>
      <c r="E18080" s="0" t="s">
        <v>5152</v>
      </c>
      <c r="F18080" s="0" t="s">
        <v>5153</v>
      </c>
    </row>
    <row r="18082" customFormat="false" ht="12.8" hidden="false" customHeight="false" outlineLevel="0" collapsed="false">
      <c r="A18082" s="0" t="s">
        <v>7688</v>
      </c>
      <c r="B18082" s="0" t="str">
        <f aca="false">HYPERLINK("https://lindat.mff.cuni.cz/services/teitok/pdtc10/index.php?action=vallex&amp;frame=v-w2200f3", "nasadit (v-w2200f3)")</f>
        <v>nasadit (v-w2200f3)</v>
      </c>
      <c r="E18082" s="0" t="str">
        <f aca="false">HYPERLINK("https://lindat.mff.cuni.cz/services/SynSemClass40/SynSemClass40.html?veclass=vec01500#vec01500-ces-cm00003", "vec01500")</f>
        <v>vec01500</v>
      </c>
      <c r="F18082" s="0" t="s">
        <v>7689</v>
      </c>
    </row>
    <row r="18083" customFormat="false" ht="12.8" hidden="false" customHeight="false" outlineLevel="0" collapsed="false">
      <c r="B18083" s="0" t="s">
        <v>1</v>
      </c>
      <c r="E18083" s="0" t="s">
        <v>7690</v>
      </c>
      <c r="F18083" s="0" t="s">
        <v>7691</v>
      </c>
    </row>
    <row r="18084" customFormat="false" ht="12.8" hidden="false" customHeight="false" outlineLevel="0" collapsed="false">
      <c r="B18084" s="0" t="s">
        <v>8</v>
      </c>
      <c r="E18084" s="0" t="s">
        <v>7692</v>
      </c>
      <c r="F18084" s="0" t="s">
        <v>7693</v>
      </c>
    </row>
    <row r="18085" customFormat="false" ht="12.8" hidden="false" customHeight="false" outlineLevel="0" collapsed="false">
      <c r="B18085" s="0" t="s">
        <v>52</v>
      </c>
      <c r="E18085" s="0" t="s">
        <v>7694</v>
      </c>
      <c r="F18085" s="0" t="s">
        <v>7695</v>
      </c>
    </row>
    <row r="18087" customFormat="false" ht="12.8" hidden="false" customHeight="false" outlineLevel="0" collapsed="false">
      <c r="A18087" s="0" t="s">
        <v>7696</v>
      </c>
      <c r="B18087" s="0" t="str">
        <f aca="false">HYPERLINK("https://lindat.mff.cuni.cz/services/teitok/pdtc10/index.php?action=vallex&amp;frame=v-w2200f6", "nasadit (v-w2200f6)")</f>
        <v>nasadit (v-w2200f6)</v>
      </c>
    </row>
    <row r="18088" customFormat="false" ht="12.8" hidden="false" customHeight="false" outlineLevel="0" collapsed="false">
      <c r="B18088" s="0" t="s">
        <v>1</v>
      </c>
    </row>
    <row r="18089" customFormat="false" ht="12.8" hidden="false" customHeight="false" outlineLevel="0" collapsed="false">
      <c r="B18089" s="0" t="s">
        <v>8</v>
      </c>
    </row>
    <row r="18090" customFormat="false" ht="12.8" hidden="false" customHeight="false" outlineLevel="0" collapsed="false">
      <c r="B18090" s="0" t="s">
        <v>164</v>
      </c>
    </row>
    <row r="18092" customFormat="false" ht="12.8" hidden="false" customHeight="false" outlineLevel="0" collapsed="false">
      <c r="A18092" s="0" t="s">
        <v>7697</v>
      </c>
      <c r="B18092" s="0" t="str">
        <f aca="false">HYPERLINK("https://lindat.mff.cuni.cz/services/teitok/pdtc10/index.php?action=vallex&amp;frame=v-w2200f1", "nasadit (v-w2200f1)")</f>
        <v>nasadit (v-w2200f1)</v>
      </c>
      <c r="E18092" s="0" t="str">
        <f aca="false">HYPERLINK("https://lindat.mff.cuni.cz/services/SynSemClass40/SynSemClass40.html?veclass=vec00079#vec00079-ces-cm00057", "vec00079")</f>
        <v>vec00079</v>
      </c>
      <c r="F18092" s="0" t="s">
        <v>166</v>
      </c>
    </row>
    <row r="18093" customFormat="false" ht="12.8" hidden="false" customHeight="false" outlineLevel="0" collapsed="false">
      <c r="B18093" s="0" t="s">
        <v>1</v>
      </c>
      <c r="C18093" s="0" t="s">
        <v>167</v>
      </c>
      <c r="E18093" s="0" t="s">
        <v>11</v>
      </c>
      <c r="F18093" s="0" t="s">
        <v>168</v>
      </c>
    </row>
    <row r="18094" customFormat="false" ht="12.8" hidden="false" customHeight="false" outlineLevel="0" collapsed="false">
      <c r="B18094" s="0" t="s">
        <v>8</v>
      </c>
      <c r="C18094" s="0" t="s">
        <v>169</v>
      </c>
      <c r="E18094" s="0" t="s">
        <v>170</v>
      </c>
      <c r="F18094" s="0" t="s">
        <v>171</v>
      </c>
    </row>
    <row r="18096" customFormat="false" ht="12.8" hidden="false" customHeight="false" outlineLevel="0" collapsed="false">
      <c r="A18096" s="0" t="s">
        <v>7698</v>
      </c>
      <c r="B18096" s="0" t="str">
        <f aca="false">HYPERLINK("https://lindat.mff.cuni.cz/services/teitok/pdtc10/index.php?action=vallex&amp;frame=v-w2200f2", "nasadit (v-w2200f2)")</f>
        <v>nasadit (v-w2200f2)</v>
      </c>
      <c r="E18096" s="0" t="str">
        <f aca="false">HYPERLINK("https://lindat.mff.cuni.cz/services/SynSemClass40/SynSemClass40.html?veclass=vec00038#vec00038-ces-cm00320", "vec00038")</f>
        <v>vec00038</v>
      </c>
      <c r="F18096" s="0" t="s">
        <v>74</v>
      </c>
    </row>
    <row r="18097" customFormat="false" ht="12.8" hidden="false" customHeight="false" outlineLevel="0" collapsed="false">
      <c r="B18097" s="0" t="s">
        <v>1</v>
      </c>
      <c r="C18097" s="0" t="s">
        <v>75</v>
      </c>
      <c r="E18097" s="0" t="s">
        <v>76</v>
      </c>
      <c r="F18097" s="0" t="s">
        <v>77</v>
      </c>
    </row>
    <row r="18098" customFormat="false" ht="12.8" hidden="false" customHeight="false" outlineLevel="0" collapsed="false">
      <c r="B18098" s="0" t="s">
        <v>8</v>
      </c>
      <c r="C18098" s="0" t="s">
        <v>78</v>
      </c>
      <c r="E18098" s="0" t="s">
        <v>79</v>
      </c>
      <c r="F18098" s="0" t="s">
        <v>80</v>
      </c>
    </row>
    <row r="18100" customFormat="false" ht="12.8" hidden="false" customHeight="false" outlineLevel="0" collapsed="false">
      <c r="A18100" s="0" t="s">
        <v>7699</v>
      </c>
      <c r="B18100" s="0" t="str">
        <f aca="false">HYPERLINK("https://lindat.mff.cuni.cz/services/teitok/pdtc10/index.php?action=vallex&amp;frame=v-w2200f5", "nasadit (v-w2200f5)")</f>
        <v>nasadit (v-w2200f5)</v>
      </c>
    </row>
    <row r="18101" customFormat="false" ht="12.8" hidden="false" customHeight="false" outlineLevel="0" collapsed="false">
      <c r="B18101" s="0" t="s">
        <v>1</v>
      </c>
    </row>
    <row r="18102" customFormat="false" ht="12.8" hidden="false" customHeight="false" outlineLevel="0" collapsed="false">
      <c r="B18102" s="0" t="s">
        <v>8</v>
      </c>
    </row>
    <row r="18104" customFormat="false" ht="12.8" hidden="false" customHeight="false" outlineLevel="0" collapsed="false">
      <c r="A18104" s="0" t="s">
        <v>7700</v>
      </c>
      <c r="B18104" s="0" t="str">
        <f aca="false">HYPERLINK("https://lindat.mff.cuni.cz/services/teitok/pdtc10/index.php?action=vallex&amp;frame=v-w2200f4", "nasadit (v-w2200f4)")</f>
        <v>nasadit (v-w2200f4)</v>
      </c>
    </row>
    <row r="18105" customFormat="false" ht="12.8" hidden="false" customHeight="false" outlineLevel="0" collapsed="false">
      <c r="B18105" s="0" t="s">
        <v>1</v>
      </c>
    </row>
    <row r="18106" customFormat="false" ht="12.8" hidden="false" customHeight="false" outlineLevel="0" collapsed="false">
      <c r="B18106" s="0" t="s">
        <v>7701</v>
      </c>
    </row>
    <row r="18107" customFormat="false" ht="12.8" hidden="false" customHeight="false" outlineLevel="0" collapsed="false">
      <c r="B18107" s="0" t="s">
        <v>186</v>
      </c>
    </row>
    <row r="18109" customFormat="false" ht="12.8" hidden="false" customHeight="false" outlineLevel="0" collapsed="false">
      <c r="A18109" s="0" t="s">
        <v>7702</v>
      </c>
      <c r="B18109" s="0" t="str">
        <f aca="false">HYPERLINK("https://lindat.mff.cuni.cz/services/teitok/pdtc10/index.php?action=vallex&amp;frame=v-w2200f7_ZU", "nasadit (v-w2200f7_ZU)")</f>
        <v>nasadit (v-w2200f7_ZU)</v>
      </c>
    </row>
    <row r="18110" customFormat="false" ht="12.8" hidden="false" customHeight="false" outlineLevel="0" collapsed="false">
      <c r="B18110" s="0" t="s">
        <v>1</v>
      </c>
    </row>
    <row r="18111" customFormat="false" ht="12.8" hidden="false" customHeight="false" outlineLevel="0" collapsed="false">
      <c r="B18111" s="0" t="s">
        <v>8</v>
      </c>
    </row>
    <row r="18113" customFormat="false" ht="12.8" hidden="false" customHeight="false" outlineLevel="0" collapsed="false">
      <c r="A18113" s="0" t="s">
        <v>7703</v>
      </c>
      <c r="B18113" s="0" t="str">
        <f aca="false">HYPERLINK("https://lindat.mff.cuni.cz/services/teitok/pdtc10/index.php?action=vallex&amp;frame=v-whsa_908hsa_909", "nasadit se (v-whsa_908hsa_909)")</f>
        <v>nasadit se (v-whsa_908hsa_909)</v>
      </c>
    </row>
    <row r="18114" customFormat="false" ht="12.8" hidden="false" customHeight="false" outlineLevel="0" collapsed="false">
      <c r="B18114" s="0" t="s">
        <v>1</v>
      </c>
    </row>
    <row r="18115" customFormat="false" ht="12.8" hidden="false" customHeight="false" outlineLevel="0" collapsed="false">
      <c r="B18115" s="0" t="s">
        <v>164</v>
      </c>
    </row>
    <row r="18117" customFormat="false" ht="12.8" hidden="false" customHeight="false" outlineLevel="0" collapsed="false">
      <c r="A18117" s="0" t="s">
        <v>7704</v>
      </c>
      <c r="B18117" s="0" t="str">
        <f aca="false">HYPERLINK("https://lindat.mff.cuni.cz/services/teitok/pdtc10/index.php?action=vallex&amp;frame=v-w2204f1", "nasazovat (v-w2204f1)")</f>
        <v>nasazovat (v-w2204f1)</v>
      </c>
      <c r="E18117" s="0" t="str">
        <f aca="false">HYPERLINK("https://lindat.mff.cuni.cz/services/SynSemClass40/SynSemClass40.html?veclass=vec01500#vec01500-ces-cm00007", "vec01500")</f>
        <v>vec01500</v>
      </c>
      <c r="F18117" s="0" t="s">
        <v>7689</v>
      </c>
    </row>
    <row r="18118" customFormat="false" ht="12.8" hidden="false" customHeight="false" outlineLevel="0" collapsed="false">
      <c r="B18118" s="0" t="s">
        <v>1</v>
      </c>
      <c r="E18118" s="0" t="s">
        <v>7690</v>
      </c>
      <c r="F18118" s="0" t="s">
        <v>7691</v>
      </c>
    </row>
    <row r="18119" customFormat="false" ht="12.8" hidden="false" customHeight="false" outlineLevel="0" collapsed="false">
      <c r="B18119" s="0" t="s">
        <v>8</v>
      </c>
      <c r="E18119" s="0" t="s">
        <v>7692</v>
      </c>
      <c r="F18119" s="0" t="s">
        <v>7693</v>
      </c>
    </row>
    <row r="18120" customFormat="false" ht="12.8" hidden="false" customHeight="false" outlineLevel="0" collapsed="false">
      <c r="B18120" s="0" t="s">
        <v>52</v>
      </c>
      <c r="E18120" s="0" t="s">
        <v>7694</v>
      </c>
      <c r="F18120" s="0" t="s">
        <v>7695</v>
      </c>
    </row>
    <row r="18122" customFormat="false" ht="12.8" hidden="false" customHeight="false" outlineLevel="0" collapsed="false">
      <c r="A18122" s="0" t="s">
        <v>7705</v>
      </c>
      <c r="B18122" s="0" t="str">
        <f aca="false">HYPERLINK("https://lindat.mff.cuni.cz/services/teitok/pdtc10/index.php?action=vallex&amp;frame=v-w2204f2", "nasazovat (v-w2204f2)")</f>
        <v>nasazovat (v-w2204f2)</v>
      </c>
    </row>
    <row r="18123" customFormat="false" ht="12.8" hidden="false" customHeight="false" outlineLevel="0" collapsed="false">
      <c r="B18123" s="0" t="s">
        <v>1</v>
      </c>
    </row>
    <row r="18124" customFormat="false" ht="12.8" hidden="false" customHeight="false" outlineLevel="0" collapsed="false">
      <c r="B18124" s="0" t="s">
        <v>8</v>
      </c>
    </row>
    <row r="18126" customFormat="false" ht="12.8" hidden="false" customHeight="false" outlineLevel="0" collapsed="false">
      <c r="A18126" s="0" t="s">
        <v>7706</v>
      </c>
      <c r="B18126" s="0" t="str">
        <f aca="false">HYPERLINK("https://lindat.mff.cuni.cz/services/teitok/pdtc10/index.php?action=vallex&amp;frame=v-w2204f3", "nasazovat (v-w2204f3)")</f>
        <v>nasazovat (v-w2204f3)</v>
      </c>
      <c r="E18126" s="0" t="str">
        <f aca="false">HYPERLINK("https://lindat.mff.cuni.cz/services/SynSemClass40/SynSemClass40.html?veclass=vec00038#vec00038-ces-cm00321", "vec00038")</f>
        <v>vec00038</v>
      </c>
      <c r="F18126" s="0" t="s">
        <v>74</v>
      </c>
    </row>
    <row r="18127" customFormat="false" ht="12.8" hidden="false" customHeight="false" outlineLevel="0" collapsed="false">
      <c r="B18127" s="0" t="s">
        <v>1</v>
      </c>
      <c r="C18127" s="0" t="s">
        <v>75</v>
      </c>
      <c r="E18127" s="0" t="s">
        <v>76</v>
      </c>
      <c r="F18127" s="0" t="s">
        <v>77</v>
      </c>
    </row>
    <row r="18128" customFormat="false" ht="12.8" hidden="false" customHeight="false" outlineLevel="0" collapsed="false">
      <c r="B18128" s="0" t="s">
        <v>8</v>
      </c>
      <c r="C18128" s="0" t="s">
        <v>78</v>
      </c>
      <c r="E18128" s="0" t="s">
        <v>79</v>
      </c>
      <c r="F18128" s="0" t="s">
        <v>80</v>
      </c>
    </row>
    <row r="18130" customFormat="false" ht="12.8" hidden="false" customHeight="false" outlineLevel="0" collapsed="false">
      <c r="A18130" s="0" t="s">
        <v>7707</v>
      </c>
      <c r="B18130" s="0" t="str">
        <f aca="false">HYPERLINK("https://lindat.mff.cuni.cz/services/teitok/pdtc10/index.php?action=vallex&amp;frame=v-w2204f4", "nasazovat (v-w2204f4)")</f>
        <v>nasazovat (v-w2204f4)</v>
      </c>
    </row>
    <row r="18131" customFormat="false" ht="12.8" hidden="false" customHeight="false" outlineLevel="0" collapsed="false">
      <c r="B18131" s="0" t="s">
        <v>1</v>
      </c>
    </row>
    <row r="18132" customFormat="false" ht="12.8" hidden="false" customHeight="false" outlineLevel="0" collapsed="false">
      <c r="B18132" s="0" t="s">
        <v>8</v>
      </c>
    </row>
    <row r="18134" customFormat="false" ht="12.8" hidden="false" customHeight="false" outlineLevel="0" collapsed="false">
      <c r="A18134" s="0" t="s">
        <v>7708</v>
      </c>
      <c r="B18134" s="0" t="str">
        <f aca="false">HYPERLINK("https://lindat.mff.cuni.cz/services/teitok/pdtc10/index.php?action=vallex&amp;frame=v-w2204f5", "nasazovat (v-w2204f5)")</f>
        <v>nasazovat (v-w2204f5)</v>
      </c>
    </row>
    <row r="18135" customFormat="false" ht="12.8" hidden="false" customHeight="false" outlineLevel="0" collapsed="false">
      <c r="B18135" s="0" t="s">
        <v>1</v>
      </c>
    </row>
    <row r="18136" customFormat="false" ht="12.8" hidden="false" customHeight="false" outlineLevel="0" collapsed="false">
      <c r="B18136" s="0" t="s">
        <v>7701</v>
      </c>
    </row>
    <row r="18137" customFormat="false" ht="12.8" hidden="false" customHeight="false" outlineLevel="0" collapsed="false">
      <c r="B18137" s="0" t="s">
        <v>186</v>
      </c>
    </row>
    <row r="18139" customFormat="false" ht="12.8" hidden="false" customHeight="false" outlineLevel="0" collapsed="false">
      <c r="A18139" s="0" t="s">
        <v>7709</v>
      </c>
      <c r="B18139" s="0" t="str">
        <f aca="false">HYPERLINK("https://lindat.mff.cuni.cz/services/teitok/pdtc10/index.php?action=vallex&amp;frame=v-w2204f6_ZU", "nasazovat (v-w2204f6_ZU)")</f>
        <v>nasazovat (v-w2204f6_ZU)</v>
      </c>
      <c r="E18139" s="0" t="str">
        <f aca="false">HYPERLINK("https://lindat.mff.cuni.cz/services/SynSemClass40/SynSemClass40.html?veclass=vec00104#vec00104-ces-cm00004", "vec00104")</f>
        <v>vec00104</v>
      </c>
      <c r="F18139" s="0" t="s">
        <v>7710</v>
      </c>
      <c r="H18139" s="0" t="str">
        <f aca="false">HYPERLINK("https://lindat.mff.cuni.cz/services/SynSemClass40/SynSemClass40.html?veclass=vec01401#vec01401-ces-cm00009", "vec01401")</f>
        <v>vec01401</v>
      </c>
      <c r="I18139" s="0" t="s">
        <v>5135</v>
      </c>
    </row>
    <row r="18140" customFormat="false" ht="12.8" hidden="false" customHeight="false" outlineLevel="0" collapsed="false">
      <c r="B18140" s="0" t="s">
        <v>1</v>
      </c>
      <c r="C18140" s="0" t="s">
        <v>6310</v>
      </c>
      <c r="E18140" s="0" t="s">
        <v>11</v>
      </c>
      <c r="F18140" s="0" t="s">
        <v>7711</v>
      </c>
      <c r="H18140" s="0" t="s">
        <v>11</v>
      </c>
      <c r="I18140" s="0" t="s">
        <v>959</v>
      </c>
    </row>
    <row r="18141" customFormat="false" ht="12.8" hidden="false" customHeight="false" outlineLevel="0" collapsed="false">
      <c r="B18141" s="0" t="s">
        <v>7712</v>
      </c>
      <c r="C18141" s="0" t="s">
        <v>7713</v>
      </c>
      <c r="E18141" s="0" t="s">
        <v>7714</v>
      </c>
      <c r="F18141" s="0" t="s">
        <v>7715</v>
      </c>
    </row>
    <row r="18143" customFormat="false" ht="12.8" hidden="false" customHeight="false" outlineLevel="0" collapsed="false">
      <c r="A18143" s="0" t="s">
        <v>7709</v>
      </c>
      <c r="B18143" s="0" t="str">
        <f aca="false">HYPERLINK("https://lindat.mff.cuni.cz/services/teitok/pdtc10/index.php?action=vallex&amp;frame=v-w2204hsa_635", "nasazovat (v-w2204hsa_635) - substituted with v-w2204f6_ZU")</f>
        <v>nasazovat (v-w2204hsa_635) - substituted with v-w2204f6_ZU</v>
      </c>
    </row>
    <row r="18144" customFormat="false" ht="12.8" hidden="false" customHeight="false" outlineLevel="0" collapsed="false">
      <c r="B18144" s="0" t="s">
        <v>1</v>
      </c>
    </row>
    <row r="18145" customFormat="false" ht="12.8" hidden="false" customHeight="false" outlineLevel="0" collapsed="false">
      <c r="B18145" s="0" t="s">
        <v>7712</v>
      </c>
    </row>
    <row r="18147" customFormat="false" ht="12.8" hidden="false" customHeight="false" outlineLevel="0" collapsed="false">
      <c r="A18147" s="0" t="s">
        <v>7716</v>
      </c>
      <c r="B18147" s="0" t="str">
        <f aca="false">HYPERLINK("https://lindat.mff.cuni.cz/services/teitok/pdtc10/index.php?action=vallex&amp;frame=v-w2204hsa_1614", "nasazovat (v-w2204hsa_1614)")</f>
        <v>nasazovat (v-w2204hsa_1614)</v>
      </c>
    </row>
    <row r="18148" customFormat="false" ht="12.8" hidden="false" customHeight="false" outlineLevel="0" collapsed="false">
      <c r="B18148" s="0" t="s">
        <v>1</v>
      </c>
    </row>
    <row r="18149" customFormat="false" ht="12.8" hidden="false" customHeight="false" outlineLevel="0" collapsed="false">
      <c r="B18149" s="0" t="s">
        <v>8</v>
      </c>
    </row>
    <row r="18150" customFormat="false" ht="12.8" hidden="false" customHeight="false" outlineLevel="0" collapsed="false">
      <c r="B18150" s="0" t="s">
        <v>164</v>
      </c>
    </row>
    <row r="18152" customFormat="false" ht="12.8" hidden="false" customHeight="false" outlineLevel="0" collapsed="false">
      <c r="A18152" s="0" t="s">
        <v>7717</v>
      </c>
      <c r="B18152" s="0" t="str">
        <f aca="false">HYPERLINK("https://lindat.mff.cuni.cz/services/teitok/pdtc10/index.php?action=vallex&amp;frame=v-w2205f1", "nasbírat (v-w2205f1)")</f>
        <v>nasbírat (v-w2205f1)</v>
      </c>
      <c r="E18152" s="0" t="str">
        <f aca="false">HYPERLINK("https://lindat.mff.cuni.cz/services/SynSemClass40/SynSemClass40.html?veclass=vec00443#vec00443-ces-cm00014", "vec00443")</f>
        <v>vec00443</v>
      </c>
      <c r="F18152" s="0" t="s">
        <v>90</v>
      </c>
    </row>
    <row r="18153" customFormat="false" ht="12.8" hidden="false" customHeight="false" outlineLevel="0" collapsed="false">
      <c r="B18153" s="0" t="s">
        <v>1</v>
      </c>
      <c r="C18153" s="0" t="s">
        <v>91</v>
      </c>
      <c r="E18153" s="0" t="s">
        <v>92</v>
      </c>
      <c r="F18153" s="0" t="s">
        <v>93</v>
      </c>
    </row>
    <row r="18154" customFormat="false" ht="12.8" hidden="false" customHeight="false" outlineLevel="0" collapsed="false">
      <c r="B18154" s="0" t="s">
        <v>8</v>
      </c>
      <c r="C18154" s="0" t="s">
        <v>94</v>
      </c>
      <c r="E18154" s="0" t="s">
        <v>95</v>
      </c>
      <c r="F18154" s="0" t="s">
        <v>96</v>
      </c>
    </row>
    <row r="18156" customFormat="false" ht="12.8" hidden="false" customHeight="false" outlineLevel="0" collapsed="false">
      <c r="A18156" s="0" t="s">
        <v>7718</v>
      </c>
      <c r="B18156" s="0" t="str">
        <f aca="false">HYPERLINK("https://lindat.mff.cuni.cz/services/teitok/pdtc10/index.php?action=vallex&amp;frame=v-w2205hsa_667", "nasbírat (v-w2205hsa_667)")</f>
        <v>nasbírat (v-w2205hsa_667)</v>
      </c>
    </row>
    <row r="18157" customFormat="false" ht="12.8" hidden="false" customHeight="false" outlineLevel="0" collapsed="false">
      <c r="B18157" s="0" t="s">
        <v>1</v>
      </c>
    </row>
    <row r="18158" customFormat="false" ht="12.8" hidden="false" customHeight="false" outlineLevel="0" collapsed="false">
      <c r="B18158" s="0" t="s">
        <v>7719</v>
      </c>
    </row>
    <row r="18160" customFormat="false" ht="12.8" hidden="false" customHeight="false" outlineLevel="0" collapsed="false">
      <c r="A18160" s="0" t="s">
        <v>7718</v>
      </c>
      <c r="B18160" s="0" t="str">
        <f aca="false">HYPERLINK("https://lindat.mff.cuni.cz/services/teitok/pdtc10/index.php?action=vallex&amp;frame=v-w2205f2", "nasbírat (v-w2205f2) - substituted with v-w2205hsa_667")</f>
        <v>nasbírat (v-w2205f2) - substituted with v-w2205hsa_667</v>
      </c>
    </row>
    <row r="18161" customFormat="false" ht="12.8" hidden="false" customHeight="false" outlineLevel="0" collapsed="false">
      <c r="B18161" s="0" t="s">
        <v>1</v>
      </c>
    </row>
    <row r="18162" customFormat="false" ht="12.8" hidden="false" customHeight="false" outlineLevel="0" collapsed="false">
      <c r="B18162" s="0" t="s">
        <v>7719</v>
      </c>
    </row>
    <row r="18164" customFormat="false" ht="12.8" hidden="false" customHeight="false" outlineLevel="0" collapsed="false">
      <c r="A18164" s="0" t="s">
        <v>7720</v>
      </c>
      <c r="B18164" s="0" t="str">
        <f aca="false">HYPERLINK("https://lindat.mff.cuni.cz/services/teitok/pdtc10/index.php?action=vallex&amp;frame=v-w2205f3_ZU", "nasbírat (v-w2205f3_ZU)")</f>
        <v>nasbírat (v-w2205f3_ZU)</v>
      </c>
    </row>
    <row r="18165" customFormat="false" ht="12.8" hidden="false" customHeight="false" outlineLevel="0" collapsed="false">
      <c r="B18165" s="0" t="s">
        <v>1</v>
      </c>
    </row>
    <row r="18166" customFormat="false" ht="12.8" hidden="false" customHeight="false" outlineLevel="0" collapsed="false">
      <c r="B18166" s="0" t="s">
        <v>8</v>
      </c>
    </row>
    <row r="18168" customFormat="false" ht="12.8" hidden="false" customHeight="false" outlineLevel="0" collapsed="false">
      <c r="A18168" s="0" t="s">
        <v>7720</v>
      </c>
      <c r="B18168" s="0" t="str">
        <f aca="false">HYPERLINK("https://lindat.mff.cuni.cz/services/teitok/pdtc10/index.php?action=vallex&amp;frame=v-w2205hsa_666", "nasbírat (v-w2205hsa_666) - substituted with v-w2205f3_ZU")</f>
        <v>nasbírat (v-w2205hsa_666) - substituted with v-w2205f3_ZU</v>
      </c>
    </row>
    <row r="18169" customFormat="false" ht="12.8" hidden="false" customHeight="false" outlineLevel="0" collapsed="false">
      <c r="B18169" s="0" t="s">
        <v>1</v>
      </c>
    </row>
    <row r="18170" customFormat="false" ht="12.8" hidden="false" customHeight="false" outlineLevel="0" collapsed="false">
      <c r="B18170" s="0" t="s">
        <v>8</v>
      </c>
    </row>
    <row r="18172" customFormat="false" ht="12.8" hidden="false" customHeight="false" outlineLevel="0" collapsed="false">
      <c r="A18172" s="0" t="s">
        <v>7721</v>
      </c>
      <c r="B18172" s="0" t="str">
        <f aca="false">HYPERLINK("https://lindat.mff.cuni.cz/services/teitok/pdtc10/index.php?action=vallex&amp;frame=v-w2207f1", "nasedat (v-w2207f1)")</f>
        <v>nasedat (v-w2207f1)</v>
      </c>
    </row>
    <row r="18173" customFormat="false" ht="12.8" hidden="false" customHeight="false" outlineLevel="0" collapsed="false">
      <c r="B18173" s="0" t="s">
        <v>1</v>
      </c>
    </row>
    <row r="18174" customFormat="false" ht="12.8" hidden="false" customHeight="false" outlineLevel="0" collapsed="false">
      <c r="B18174" s="0" t="s">
        <v>164</v>
      </c>
    </row>
    <row r="18176" customFormat="false" ht="12.8" hidden="false" customHeight="false" outlineLevel="0" collapsed="false">
      <c r="A18176" s="0" t="s">
        <v>7722</v>
      </c>
      <c r="B18176" s="0" t="str">
        <f aca="false">HYPERLINK("https://lindat.mff.cuni.cz/services/teitok/pdtc10/index.php?action=vallex&amp;frame=v-whsb_231hsa_232", "nasedlat (v-whsb_231hsa_232)")</f>
        <v>nasedlat (v-whsb_231hsa_232)</v>
      </c>
    </row>
    <row r="18177" customFormat="false" ht="12.8" hidden="false" customHeight="false" outlineLevel="0" collapsed="false">
      <c r="B18177" s="0" t="s">
        <v>1</v>
      </c>
    </row>
    <row r="18178" customFormat="false" ht="12.8" hidden="false" customHeight="false" outlineLevel="0" collapsed="false">
      <c r="B18178" s="0" t="s">
        <v>8</v>
      </c>
    </row>
    <row r="18180" customFormat="false" ht="12.8" hidden="false" customHeight="false" outlineLevel="0" collapsed="false">
      <c r="A18180" s="0" t="s">
        <v>7723</v>
      </c>
      <c r="B18180" s="0" t="str">
        <f aca="false">HYPERLINK("https://lindat.mff.cuni.cz/services/teitok/pdtc10/index.php?action=vallex&amp;frame=v-w11006f2", "nasednout (v-w11006f2)")</f>
        <v>nasednout (v-w11006f2)</v>
      </c>
    </row>
    <row r="18181" customFormat="false" ht="12.8" hidden="false" customHeight="false" outlineLevel="0" collapsed="false">
      <c r="B18181" s="0" t="s">
        <v>1</v>
      </c>
    </row>
    <row r="18182" customFormat="false" ht="12.8" hidden="false" customHeight="false" outlineLevel="0" collapsed="false">
      <c r="B18182" s="0" t="s">
        <v>164</v>
      </c>
    </row>
    <row r="18184" customFormat="false" ht="12.8" hidden="false" customHeight="false" outlineLevel="0" collapsed="false">
      <c r="A18184" s="0" t="s">
        <v>7724</v>
      </c>
      <c r="B18184" s="0" t="str">
        <f aca="false">HYPERLINK("https://lindat.mff.cuni.cz/services/teitok/pdtc10/index.php?action=vallex&amp;frame=v-whsa_1438hsa_1439", "nasekat (v-whsa_1438hsa_1439)")</f>
        <v>nasekat (v-whsa_1438hsa_1439)</v>
      </c>
    </row>
    <row r="18185" customFormat="false" ht="12.8" hidden="false" customHeight="false" outlineLevel="0" collapsed="false">
      <c r="B18185" s="0" t="s">
        <v>1</v>
      </c>
    </row>
    <row r="18186" customFormat="false" ht="12.8" hidden="false" customHeight="false" outlineLevel="0" collapsed="false">
      <c r="B18186" s="0" t="s">
        <v>8</v>
      </c>
    </row>
    <row r="18187" customFormat="false" ht="12.8" hidden="false" customHeight="false" outlineLevel="0" collapsed="false">
      <c r="B18187" s="0" t="s">
        <v>101</v>
      </c>
    </row>
    <row r="18189" customFormat="false" ht="12.8" hidden="false" customHeight="false" outlineLevel="0" collapsed="false">
      <c r="A18189" s="0" t="s">
        <v>7725</v>
      </c>
      <c r="B18189" s="0" t="str">
        <f aca="false">HYPERLINK("https://lindat.mff.cuni.cz/services/teitok/pdtc10/index.php?action=vallex&amp;frame=v-whsa_1438hsa_1440", "nasekat (v-whsa_1438hsa_1440)")</f>
        <v>nasekat (v-whsa_1438hsa_1440)</v>
      </c>
    </row>
    <row r="18190" customFormat="false" ht="12.8" hidden="false" customHeight="false" outlineLevel="0" collapsed="false">
      <c r="B18190" s="0" t="s">
        <v>1</v>
      </c>
    </row>
    <row r="18191" customFormat="false" ht="12.8" hidden="false" customHeight="false" outlineLevel="0" collapsed="false">
      <c r="B18191" s="0" t="s">
        <v>8</v>
      </c>
    </row>
    <row r="18192" customFormat="false" ht="12.8" hidden="false" customHeight="false" outlineLevel="0" collapsed="false">
      <c r="B18192" s="0" t="s">
        <v>36</v>
      </c>
    </row>
    <row r="18194" customFormat="false" ht="12.8" hidden="false" customHeight="false" outlineLevel="0" collapsed="false">
      <c r="A18194" s="0" t="s">
        <v>7726</v>
      </c>
      <c r="B18194" s="0" t="str">
        <f aca="false">HYPERLINK("https://lindat.mff.cuni.cz/services/teitok/pdtc10/index.php?action=vallex&amp;frame=v-w2208f1", "naservírovat (v-w2208f1)")</f>
        <v>naservírovat (v-w2208f1)</v>
      </c>
    </row>
    <row r="18195" customFormat="false" ht="12.8" hidden="false" customHeight="false" outlineLevel="0" collapsed="false">
      <c r="B18195" s="0" t="s">
        <v>1</v>
      </c>
    </row>
    <row r="18196" customFormat="false" ht="12.8" hidden="false" customHeight="false" outlineLevel="0" collapsed="false">
      <c r="B18196" s="0" t="s">
        <v>8</v>
      </c>
    </row>
    <row r="18197" customFormat="false" ht="12.8" hidden="false" customHeight="false" outlineLevel="0" collapsed="false">
      <c r="B18197" s="0" t="s">
        <v>52</v>
      </c>
    </row>
    <row r="18199" customFormat="false" ht="12.8" hidden="false" customHeight="false" outlineLevel="0" collapsed="false">
      <c r="A18199" s="0" t="s">
        <v>7727</v>
      </c>
      <c r="B18199" s="0" t="str">
        <f aca="false">HYPERLINK("https://lindat.mff.cuni.cz/services/teitok/pdtc10/index.php?action=vallex&amp;frame=v-w10744f2", "nashromáždit (v-w10744f2)")</f>
        <v>nashromáždit (v-w10744f2)</v>
      </c>
      <c r="E18199" s="0" t="str">
        <f aca="false">HYPERLINK("https://lindat.mff.cuni.cz/services/SynSemClass40/SynSemClass40.html?veclass=vec00443#vec00443-ces-cm00001", "vec00443")</f>
        <v>vec00443</v>
      </c>
      <c r="F18199" s="0" t="s">
        <v>90</v>
      </c>
    </row>
    <row r="18200" customFormat="false" ht="12.8" hidden="false" customHeight="false" outlineLevel="0" collapsed="false">
      <c r="B18200" s="0" t="s">
        <v>1</v>
      </c>
      <c r="C18200" s="0" t="s">
        <v>91</v>
      </c>
      <c r="E18200" s="0" t="s">
        <v>92</v>
      </c>
      <c r="F18200" s="0" t="s">
        <v>93</v>
      </c>
    </row>
    <row r="18201" customFormat="false" ht="12.8" hidden="false" customHeight="false" outlineLevel="0" collapsed="false">
      <c r="B18201" s="0" t="s">
        <v>8</v>
      </c>
      <c r="C18201" s="0" t="s">
        <v>94</v>
      </c>
      <c r="E18201" s="0" t="s">
        <v>95</v>
      </c>
      <c r="F18201" s="0" t="s">
        <v>96</v>
      </c>
    </row>
    <row r="18203" customFormat="false" ht="12.8" hidden="false" customHeight="false" outlineLevel="0" collapsed="false">
      <c r="A18203" s="0" t="s">
        <v>7728</v>
      </c>
      <c r="B18203" s="0" t="str">
        <f aca="false">HYPERLINK("https://lindat.mff.cuni.cz/services/teitok/pdtc10/index.php?action=vallex&amp;frame=v-w2210f2", "naskakovat (v-w2210f2)")</f>
        <v>naskakovat (v-w2210f2)</v>
      </c>
    </row>
    <row r="18204" customFormat="false" ht="12.8" hidden="false" customHeight="false" outlineLevel="0" collapsed="false">
      <c r="B18204" s="0" t="s">
        <v>1</v>
      </c>
    </row>
    <row r="18205" customFormat="false" ht="12.8" hidden="false" customHeight="false" outlineLevel="0" collapsed="false">
      <c r="B18205" s="0" t="s">
        <v>164</v>
      </c>
    </row>
    <row r="18207" customFormat="false" ht="12.8" hidden="false" customHeight="false" outlineLevel="0" collapsed="false">
      <c r="A18207" s="0" t="s">
        <v>7729</v>
      </c>
      <c r="B18207" s="0" t="str">
        <f aca="false">HYPERLINK("https://lindat.mff.cuni.cz/services/teitok/pdtc10/index.php?action=vallex&amp;frame=v-w2210f3", "naskakovat (v-w2210f3)")</f>
        <v>naskakovat (v-w2210f3)</v>
      </c>
      <c r="E18207" s="0" t="str">
        <f aca="false">HYPERLINK("https://lindat.mff.cuni.cz/services/SynSemClass40/SynSemClass40.html?veclass=vec00845#vec00845-ces-cm00007", "vec00845")</f>
        <v>vec00845</v>
      </c>
      <c r="F18207" s="0" t="s">
        <v>7730</v>
      </c>
    </row>
    <row r="18208" customFormat="false" ht="12.8" hidden="false" customHeight="false" outlineLevel="0" collapsed="false">
      <c r="B18208" s="0" t="s">
        <v>1</v>
      </c>
      <c r="C18208" s="0" t="s">
        <v>2087</v>
      </c>
      <c r="E18208" s="0" t="s">
        <v>2923</v>
      </c>
      <c r="F18208" s="0" t="s">
        <v>7731</v>
      </c>
    </row>
    <row r="18210" customFormat="false" ht="12.8" hidden="false" customHeight="false" outlineLevel="0" collapsed="false">
      <c r="A18210" s="0" t="s">
        <v>7732</v>
      </c>
      <c r="B18210" s="0" t="str">
        <f aca="false">HYPERLINK("https://lindat.mff.cuni.cz/services/teitok/pdtc10/index.php?action=vallex&amp;frame=v-w2210f1", "naskakovat (v-w2210f1)")</f>
        <v>naskakovat (v-w2210f1)</v>
      </c>
    </row>
    <row r="18211" customFormat="false" ht="12.8" hidden="false" customHeight="false" outlineLevel="0" collapsed="false">
      <c r="B18211" s="0" t="s">
        <v>804</v>
      </c>
    </row>
    <row r="18212" customFormat="false" ht="12.8" hidden="false" customHeight="false" outlineLevel="0" collapsed="false">
      <c r="B18212" s="0" t="s">
        <v>7733</v>
      </c>
    </row>
    <row r="18214" customFormat="false" ht="12.8" hidden="false" customHeight="false" outlineLevel="0" collapsed="false">
      <c r="A18214" s="0" t="s">
        <v>7734</v>
      </c>
      <c r="B18214" s="0" t="str">
        <f aca="false">HYPERLINK("https://lindat.mff.cuni.cz/services/teitok/pdtc10/index.php?action=vallex&amp;frame=v-w11778_ZUf1_ZU", "naskautovat (v-w11778_ZUf1_ZU)")</f>
        <v>naskautovat (v-w11778_ZUf1_ZU)</v>
      </c>
    </row>
    <row r="18215" customFormat="false" ht="12.8" hidden="false" customHeight="false" outlineLevel="0" collapsed="false">
      <c r="B18215" s="0" t="s">
        <v>1</v>
      </c>
    </row>
    <row r="18216" customFormat="false" ht="12.8" hidden="false" customHeight="false" outlineLevel="0" collapsed="false">
      <c r="B18216" s="0" t="s">
        <v>8</v>
      </c>
    </row>
    <row r="18218" customFormat="false" ht="12.8" hidden="false" customHeight="false" outlineLevel="0" collapsed="false">
      <c r="A18218" s="0" t="s">
        <v>7735</v>
      </c>
      <c r="B18218" s="0" t="str">
        <f aca="false">HYPERLINK("https://lindat.mff.cuni.cz/services/teitok/pdtc10/index.php?action=vallex&amp;frame=v-whsa_527hsa_528", "naskenovat (v-whsa_527hsa_528)")</f>
        <v>naskenovat (v-whsa_527hsa_528)</v>
      </c>
    </row>
    <row r="18219" customFormat="false" ht="12.8" hidden="false" customHeight="false" outlineLevel="0" collapsed="false">
      <c r="B18219" s="0" t="s">
        <v>1</v>
      </c>
    </row>
    <row r="18220" customFormat="false" ht="12.8" hidden="false" customHeight="false" outlineLevel="0" collapsed="false">
      <c r="B18220" s="0" t="s">
        <v>8</v>
      </c>
    </row>
    <row r="18222" customFormat="false" ht="12.8" hidden="false" customHeight="false" outlineLevel="0" collapsed="false">
      <c r="A18222" s="0" t="s">
        <v>7736</v>
      </c>
      <c r="B18222" s="0" t="str">
        <f aca="false">HYPERLINK("https://lindat.mff.cuni.cz/services/teitok/pdtc10/index.php?action=vallex&amp;frame=v-w2211f1", "naskicovat (v-w2211f1)")</f>
        <v>naskicovat (v-w2211f1)</v>
      </c>
    </row>
    <row r="18223" customFormat="false" ht="12.8" hidden="false" customHeight="false" outlineLevel="0" collapsed="false">
      <c r="B18223" s="0" t="s">
        <v>1</v>
      </c>
    </row>
    <row r="18224" customFormat="false" ht="12.8" hidden="false" customHeight="false" outlineLevel="0" collapsed="false">
      <c r="B18224" s="0" t="s">
        <v>305</v>
      </c>
    </row>
    <row r="18226" customFormat="false" ht="12.8" hidden="false" customHeight="false" outlineLevel="0" collapsed="false">
      <c r="A18226" s="0" t="s">
        <v>7737</v>
      </c>
      <c r="B18226" s="0" t="str">
        <f aca="false">HYPERLINK("https://lindat.mff.cuni.cz/services/teitok/pdtc10/index.php?action=vallex&amp;frame=v-whsa_1235hsa_1236", "naskládat (v-whsa_1235hsa_1236)")</f>
        <v>naskládat (v-whsa_1235hsa_1236)</v>
      </c>
    </row>
    <row r="18227" customFormat="false" ht="12.8" hidden="false" customHeight="false" outlineLevel="0" collapsed="false">
      <c r="B18227" s="0" t="s">
        <v>1</v>
      </c>
    </row>
    <row r="18228" customFormat="false" ht="12.8" hidden="false" customHeight="false" outlineLevel="0" collapsed="false">
      <c r="B18228" s="0" t="s">
        <v>8</v>
      </c>
    </row>
    <row r="18229" customFormat="false" ht="12.8" hidden="false" customHeight="false" outlineLevel="0" collapsed="false">
      <c r="B18229" s="0" t="s">
        <v>164</v>
      </c>
    </row>
    <row r="18231" customFormat="false" ht="12.8" hidden="false" customHeight="false" outlineLevel="0" collapsed="false">
      <c r="A18231" s="0" t="s">
        <v>7738</v>
      </c>
      <c r="B18231" s="0" t="str">
        <f aca="false">HYPERLINK("https://lindat.mff.cuni.cz/services/teitok/pdtc10/index.php?action=vallex&amp;frame=v-w2212f2", "naskočit (v-w2212f2)")</f>
        <v>naskočit (v-w2212f2)</v>
      </c>
    </row>
    <row r="18232" customFormat="false" ht="12.8" hidden="false" customHeight="false" outlineLevel="0" collapsed="false">
      <c r="B18232" s="0" t="s">
        <v>1</v>
      </c>
    </row>
    <row r="18233" customFormat="false" ht="12.8" hidden="false" customHeight="false" outlineLevel="0" collapsed="false">
      <c r="B18233" s="0" t="s">
        <v>164</v>
      </c>
    </row>
    <row r="18235" customFormat="false" ht="12.8" hidden="false" customHeight="false" outlineLevel="0" collapsed="false">
      <c r="A18235" s="0" t="s">
        <v>7739</v>
      </c>
      <c r="B18235" s="0" t="str">
        <f aca="false">HYPERLINK("https://lindat.mff.cuni.cz/services/teitok/pdtc10/index.php?action=vallex&amp;frame=v-w2212f3", "naskočit (v-w2212f3)")</f>
        <v>naskočit (v-w2212f3)</v>
      </c>
      <c r="E18235" s="0" t="str">
        <f aca="false">HYPERLINK("https://lindat.mff.cuni.cz/services/SynSemClass40/SynSemClass40.html?veclass=vec00845#vec00845-ces-cm00001", "vec00845")</f>
        <v>vec00845</v>
      </c>
      <c r="F18235" s="0" t="s">
        <v>7730</v>
      </c>
    </row>
    <row r="18236" customFormat="false" ht="12.8" hidden="false" customHeight="false" outlineLevel="0" collapsed="false">
      <c r="B18236" s="0" t="s">
        <v>1</v>
      </c>
      <c r="C18236" s="0" t="s">
        <v>2087</v>
      </c>
      <c r="E18236" s="0" t="s">
        <v>2923</v>
      </c>
      <c r="F18236" s="0" t="s">
        <v>7731</v>
      </c>
    </row>
    <row r="18238" customFormat="false" ht="12.8" hidden="false" customHeight="false" outlineLevel="0" collapsed="false">
      <c r="A18238" s="0" t="s">
        <v>7740</v>
      </c>
      <c r="B18238" s="0" t="str">
        <f aca="false">HYPERLINK("https://lindat.mff.cuni.cz/services/teitok/pdtc10/index.php?action=vallex&amp;frame=v-w2212f1", "naskočit (v-w2212f1)")</f>
        <v>naskočit (v-w2212f1)</v>
      </c>
    </row>
    <row r="18239" customFormat="false" ht="12.8" hidden="false" customHeight="false" outlineLevel="0" collapsed="false">
      <c r="B18239" s="0" t="s">
        <v>804</v>
      </c>
    </row>
    <row r="18240" customFormat="false" ht="12.8" hidden="false" customHeight="false" outlineLevel="0" collapsed="false">
      <c r="B18240" s="0" t="s">
        <v>7733</v>
      </c>
    </row>
    <row r="18242" customFormat="false" ht="12.8" hidden="false" customHeight="false" outlineLevel="0" collapsed="false">
      <c r="A18242" s="0" t="s">
        <v>7741</v>
      </c>
      <c r="B18242" s="0" t="str">
        <f aca="false">HYPERLINK("https://lindat.mff.cuni.cz/services/teitok/pdtc10/index.php?action=vallex&amp;frame=v-w2215f2_ZU", "naskytnout se (v-w2215f2_ZU)")</f>
        <v>naskytnout se (v-w2215f2_ZU)</v>
      </c>
    </row>
    <row r="18243" customFormat="false" ht="12.8" hidden="false" customHeight="false" outlineLevel="0" collapsed="false">
      <c r="B18243" s="0" t="s">
        <v>1</v>
      </c>
    </row>
    <row r="18245" customFormat="false" ht="12.8" hidden="false" customHeight="false" outlineLevel="0" collapsed="false">
      <c r="A18245" s="0" t="s">
        <v>7742</v>
      </c>
      <c r="B18245" s="0" t="str">
        <f aca="false">HYPERLINK("https://lindat.mff.cuni.cz/services/teitok/pdtc10/index.php?action=vallex&amp;frame=v-w2215hsa_265", "naskytnout se (v-w2215hsa_265)")</f>
        <v>naskytnout se (v-w2215hsa_265)</v>
      </c>
    </row>
    <row r="18246" customFormat="false" ht="12.8" hidden="false" customHeight="false" outlineLevel="0" collapsed="false">
      <c r="B18246" s="0" t="s">
        <v>7743</v>
      </c>
    </row>
    <row r="18247" customFormat="false" ht="12.8" hidden="false" customHeight="false" outlineLevel="0" collapsed="false">
      <c r="B18247" s="0" t="s">
        <v>7052</v>
      </c>
    </row>
    <row r="18249" customFormat="false" ht="12.8" hidden="false" customHeight="false" outlineLevel="0" collapsed="false">
      <c r="A18249" s="0" t="s">
        <v>7742</v>
      </c>
      <c r="B18249" s="0" t="str">
        <f aca="false">HYPERLINK("https://lindat.mff.cuni.cz/services/teitok/pdtc10/index.php?action=vallex&amp;frame=v-w2215f1", "naskytnout se (v-w2215f1) - substituted with v-w2215hsa_265")</f>
        <v>naskytnout se (v-w2215f1) - substituted with v-w2215hsa_265</v>
      </c>
    </row>
    <row r="18250" customFormat="false" ht="12.8" hidden="false" customHeight="false" outlineLevel="0" collapsed="false">
      <c r="B18250" s="0" t="s">
        <v>7743</v>
      </c>
    </row>
    <row r="18251" customFormat="false" ht="12.8" hidden="false" customHeight="false" outlineLevel="0" collapsed="false">
      <c r="B18251" s="0" t="s">
        <v>7052</v>
      </c>
    </row>
    <row r="18253" customFormat="false" ht="12.8" hidden="false" customHeight="false" outlineLevel="0" collapsed="false">
      <c r="A18253" s="0" t="s">
        <v>7744</v>
      </c>
      <c r="B18253" s="0" t="str">
        <f aca="false">HYPERLINK("https://lindat.mff.cuni.cz/services/teitok/pdtc10/index.php?action=vallex&amp;frame=v-w2215hsa_266", "naskytnout se (v-w2215hsa_266)")</f>
        <v>naskytnout se (v-w2215hsa_266)</v>
      </c>
    </row>
    <row r="18254" customFormat="false" ht="12.8" hidden="false" customHeight="false" outlineLevel="0" collapsed="false">
      <c r="B18254" s="0" t="s">
        <v>804</v>
      </c>
    </row>
    <row r="18255" customFormat="false" ht="12.8" hidden="false" customHeight="false" outlineLevel="0" collapsed="false">
      <c r="B18255" s="0" t="s">
        <v>7745</v>
      </c>
    </row>
    <row r="18257" customFormat="false" ht="12.8" hidden="false" customHeight="false" outlineLevel="0" collapsed="false">
      <c r="A18257" s="0" t="s">
        <v>7746</v>
      </c>
      <c r="B18257" s="0" t="str">
        <f aca="false">HYPERLINK("https://lindat.mff.cuni.cz/services/teitok/pdtc10/index.php?action=vallex&amp;frame=v-whsa_41hsa_42", "naskákat se (v-whsa_41hsa_42)")</f>
        <v>naskákat se (v-whsa_41hsa_42)</v>
      </c>
    </row>
    <row r="18258" customFormat="false" ht="12.8" hidden="false" customHeight="false" outlineLevel="0" collapsed="false">
      <c r="B18258" s="0" t="s">
        <v>1</v>
      </c>
    </row>
    <row r="18260" customFormat="false" ht="12.8" hidden="false" customHeight="false" outlineLevel="0" collapsed="false">
      <c r="A18260" s="0" t="s">
        <v>7747</v>
      </c>
      <c r="B18260" s="0" t="str">
        <f aca="false">HYPERLINK("https://lindat.mff.cuni.cz/services/teitok/pdtc10/index.php?action=vallex&amp;frame=v-w2214f2", "naskýtat se (v-w2214f2)")</f>
        <v>naskýtat se (v-w2214f2)</v>
      </c>
    </row>
    <row r="18261" customFormat="false" ht="12.8" hidden="false" customHeight="false" outlineLevel="0" collapsed="false">
      <c r="B18261" s="0" t="s">
        <v>1</v>
      </c>
    </row>
    <row r="18263" customFormat="false" ht="12.8" hidden="false" customHeight="false" outlineLevel="0" collapsed="false">
      <c r="A18263" s="0" t="s">
        <v>7748</v>
      </c>
      <c r="B18263" s="0" t="str">
        <f aca="false">HYPERLINK("https://lindat.mff.cuni.cz/services/teitok/pdtc10/index.php?action=vallex&amp;frame=v-w2214f1", "naskýtat se (v-w2214f1)")</f>
        <v>naskýtat se (v-w2214f1)</v>
      </c>
    </row>
    <row r="18264" customFormat="false" ht="12.8" hidden="false" customHeight="false" outlineLevel="0" collapsed="false">
      <c r="B18264" s="0" t="s">
        <v>7749</v>
      </c>
    </row>
    <row r="18265" customFormat="false" ht="12.8" hidden="false" customHeight="false" outlineLevel="0" collapsed="false">
      <c r="B18265" s="0" t="s">
        <v>7052</v>
      </c>
    </row>
    <row r="18267" customFormat="false" ht="12.8" hidden="false" customHeight="false" outlineLevel="0" collapsed="false">
      <c r="A18267" s="0" t="s">
        <v>7750</v>
      </c>
      <c r="B18267" s="0" t="str">
        <f aca="false">HYPERLINK("https://lindat.mff.cuni.cz/services/teitok/pdtc10/index.php?action=vallex&amp;frame=v-w11884_ZUf1_ZU", "naslinit (v-w11884_ZUf1_ZU)")</f>
        <v>naslinit (v-w11884_ZUf1_ZU)</v>
      </c>
    </row>
    <row r="18268" customFormat="false" ht="12.8" hidden="false" customHeight="false" outlineLevel="0" collapsed="false">
      <c r="B18268" s="0" t="s">
        <v>1</v>
      </c>
    </row>
    <row r="18269" customFormat="false" ht="12.8" hidden="false" customHeight="false" outlineLevel="0" collapsed="false">
      <c r="B18269" s="0" t="s">
        <v>8</v>
      </c>
    </row>
    <row r="18271" customFormat="false" ht="12.8" hidden="false" customHeight="false" outlineLevel="0" collapsed="false">
      <c r="A18271" s="0" t="s">
        <v>7751</v>
      </c>
      <c r="B18271" s="0" t="str">
        <f aca="false">HYPERLINK("https://lindat.mff.cuni.cz/services/teitok/pdtc10/index.php?action=vallex&amp;frame=v-w2220f1", "naslouchat (v-w2220f1)")</f>
        <v>naslouchat (v-w2220f1)</v>
      </c>
      <c r="E18271" s="0" t="str">
        <f aca="false">HYPERLINK("https://lindat.mff.cuni.cz/services/SynSemClass40/SynSemClass40.html?veclass=vec00445#vec00445-ces-cm00001", "vec00445")</f>
        <v>vec00445</v>
      </c>
      <c r="F18271" s="0" t="s">
        <v>7752</v>
      </c>
    </row>
    <row r="18272" customFormat="false" ht="12.8" hidden="false" customHeight="false" outlineLevel="0" collapsed="false">
      <c r="B18272" s="0" t="s">
        <v>1</v>
      </c>
      <c r="C18272" s="0" t="s">
        <v>333</v>
      </c>
      <c r="E18272" s="0" t="s">
        <v>637</v>
      </c>
      <c r="F18272" s="0" t="s">
        <v>7753</v>
      </c>
    </row>
    <row r="18273" customFormat="false" ht="12.8" hidden="false" customHeight="false" outlineLevel="0" collapsed="false">
      <c r="B18273" s="0" t="s">
        <v>7754</v>
      </c>
      <c r="C18273" s="0" t="s">
        <v>6424</v>
      </c>
      <c r="E18273" s="0" t="s">
        <v>180</v>
      </c>
      <c r="F18273" s="0" t="s">
        <v>7755</v>
      </c>
    </row>
    <row r="18275" customFormat="false" ht="12.8" hidden="false" customHeight="false" outlineLevel="0" collapsed="false">
      <c r="A18275" s="0" t="s">
        <v>7756</v>
      </c>
      <c r="B18275" s="0" t="str">
        <f aca="false">HYPERLINK("https://lindat.mff.cuni.cz/services/teitok/pdtc10/index.php?action=vallex&amp;frame=v-whsa_198hsa_199", "nasluhovat (v-whsa_198hsa_199)")</f>
        <v>nasluhovat (v-whsa_198hsa_199)</v>
      </c>
    </row>
    <row r="18276" customFormat="false" ht="12.8" hidden="false" customHeight="false" outlineLevel="0" collapsed="false">
      <c r="B18276" s="0" t="s">
        <v>1</v>
      </c>
    </row>
    <row r="18277" customFormat="false" ht="12.8" hidden="false" customHeight="false" outlineLevel="0" collapsed="false">
      <c r="B18277" s="0" t="s">
        <v>8</v>
      </c>
    </row>
    <row r="18279" customFormat="false" ht="12.8" hidden="false" customHeight="false" outlineLevel="0" collapsed="false">
      <c r="A18279" s="0" t="s">
        <v>7757</v>
      </c>
      <c r="B18279" s="0" t="str">
        <f aca="false">HYPERLINK("https://lindat.mff.cuni.cz/services/teitok/pdtc10/index.php?action=vallex&amp;frame=v-w2223f1", "nasmlouvat (v-w2223f1)")</f>
        <v>nasmlouvat (v-w2223f1)</v>
      </c>
    </row>
    <row r="18280" customFormat="false" ht="12.8" hidden="false" customHeight="false" outlineLevel="0" collapsed="false">
      <c r="B18280" s="0" t="s">
        <v>1</v>
      </c>
    </row>
    <row r="18281" customFormat="false" ht="12.8" hidden="false" customHeight="false" outlineLevel="0" collapsed="false">
      <c r="B18281" s="0" t="s">
        <v>216</v>
      </c>
    </row>
    <row r="18282" customFormat="false" ht="12.8" hidden="false" customHeight="false" outlineLevel="0" collapsed="false">
      <c r="B18282" s="0" t="s">
        <v>3205</v>
      </c>
    </row>
    <row r="18284" customFormat="false" ht="12.8" hidden="false" customHeight="false" outlineLevel="0" collapsed="false">
      <c r="A18284" s="0" t="s">
        <v>7758</v>
      </c>
      <c r="B18284" s="0" t="str">
        <f aca="false">HYPERLINK("https://lindat.mff.cuni.cz/services/teitok/pdtc10/index.php?action=vallex&amp;frame=v-whsa_1180f1_ZU", "nasmát se (v-whsa_1180f1_ZU)")</f>
        <v>nasmát se (v-whsa_1180f1_ZU)</v>
      </c>
    </row>
    <row r="18285" customFormat="false" ht="12.8" hidden="false" customHeight="false" outlineLevel="0" collapsed="false">
      <c r="B18285" s="0" t="s">
        <v>1</v>
      </c>
    </row>
    <row r="18286" customFormat="false" ht="12.8" hidden="false" customHeight="false" outlineLevel="0" collapsed="false">
      <c r="B18286" s="0" t="s">
        <v>7759</v>
      </c>
    </row>
    <row r="18288" customFormat="false" ht="12.8" hidden="false" customHeight="false" outlineLevel="0" collapsed="false">
      <c r="A18288" s="0" t="s">
        <v>7758</v>
      </c>
      <c r="B18288" s="0" t="str">
        <f aca="false">HYPERLINK("https://lindat.mff.cuni.cz/services/teitok/pdtc10/index.php?action=vallex&amp;frame=v-whsa_1180hsa_1181", "nasmát se (v-whsa_1180hsa_1181) - substituted with v-whsa_1180f1_ZU")</f>
        <v>nasmát se (v-whsa_1180hsa_1181) - substituted with v-whsa_1180f1_ZU</v>
      </c>
    </row>
    <row r="18289" customFormat="false" ht="12.8" hidden="false" customHeight="false" outlineLevel="0" collapsed="false">
      <c r="B18289" s="0" t="s">
        <v>1</v>
      </c>
    </row>
    <row r="18290" customFormat="false" ht="12.8" hidden="false" customHeight="false" outlineLevel="0" collapsed="false">
      <c r="B18290" s="0" t="s">
        <v>7759</v>
      </c>
    </row>
    <row r="18292" customFormat="false" ht="12.8" hidden="false" customHeight="false" outlineLevel="0" collapsed="false">
      <c r="A18292" s="0" t="s">
        <v>7760</v>
      </c>
      <c r="B18292" s="0" t="str">
        <f aca="false">HYPERLINK("https://lindat.mff.cuni.cz/services/teitok/pdtc10/index.php?action=vallex&amp;frame=v-w2221f1", "nasměrovat (v-w2221f1)")</f>
        <v>nasměrovat (v-w2221f1)</v>
      </c>
      <c r="E18292" s="0" t="str">
        <f aca="false">HYPERLINK("https://lindat.mff.cuni.cz/services/SynSemClass40/SynSemClass40.html?veclass=vec00859#vec00859-ces-cm00035", "vec00859")</f>
        <v>vec00859</v>
      </c>
      <c r="F18292" s="0" t="s">
        <v>1728</v>
      </c>
    </row>
    <row r="18293" customFormat="false" ht="12.8" hidden="false" customHeight="false" outlineLevel="0" collapsed="false">
      <c r="B18293" s="0" t="s">
        <v>1</v>
      </c>
      <c r="C18293" s="0" t="s">
        <v>1729</v>
      </c>
      <c r="E18293" s="0" t="s">
        <v>206</v>
      </c>
      <c r="F18293" s="0" t="s">
        <v>1730</v>
      </c>
    </row>
    <row r="18294" customFormat="false" ht="12.8" hidden="false" customHeight="false" outlineLevel="0" collapsed="false">
      <c r="B18294" s="0" t="s">
        <v>8</v>
      </c>
      <c r="C18294" s="0" t="s">
        <v>1731</v>
      </c>
      <c r="E18294" s="0" t="s">
        <v>1732</v>
      </c>
      <c r="F18294" s="0" t="s">
        <v>1733</v>
      </c>
    </row>
    <row r="18295" customFormat="false" ht="12.8" hidden="false" customHeight="false" outlineLevel="0" collapsed="false">
      <c r="B18295" s="0" t="s">
        <v>164</v>
      </c>
      <c r="C18295" s="0" t="s">
        <v>7761</v>
      </c>
      <c r="E18295" s="0" t="s">
        <v>3229</v>
      </c>
      <c r="F18295" s="0" t="s">
        <v>7762</v>
      </c>
    </row>
    <row r="18297" customFormat="false" ht="12.8" hidden="false" customHeight="false" outlineLevel="0" collapsed="false">
      <c r="A18297" s="0" t="s">
        <v>7763</v>
      </c>
      <c r="B18297" s="0" t="str">
        <f aca="false">HYPERLINK("https://lindat.mff.cuni.cz/services/teitok/pdtc10/index.php?action=vallex&amp;frame=v-w2221f2_ZU", "nasměrovat (v-w2221f2_ZU)")</f>
        <v>nasměrovat (v-w2221f2_ZU)</v>
      </c>
      <c r="E18297" s="0" t="str">
        <f aca="false">HYPERLINK("https://lindat.mff.cuni.cz/services/SynSemClass40/SynSemClass40.html?veclass=vec00859#vec00859-ces-cm00063", "vec00859")</f>
        <v>vec00859</v>
      </c>
      <c r="F18297" s="0" t="s">
        <v>1728</v>
      </c>
    </row>
    <row r="18298" customFormat="false" ht="12.8" hidden="false" customHeight="false" outlineLevel="0" collapsed="false">
      <c r="B18298" s="0" t="s">
        <v>1</v>
      </c>
      <c r="C18298" s="0" t="s">
        <v>1729</v>
      </c>
      <c r="E18298" s="0" t="s">
        <v>206</v>
      </c>
      <c r="F18298" s="0" t="s">
        <v>1730</v>
      </c>
    </row>
    <row r="18299" customFormat="false" ht="12.8" hidden="false" customHeight="false" outlineLevel="0" collapsed="false">
      <c r="B18299" s="0" t="s">
        <v>8</v>
      </c>
      <c r="C18299" s="0" t="s">
        <v>1731</v>
      </c>
      <c r="E18299" s="0" t="s">
        <v>1732</v>
      </c>
      <c r="F18299" s="0" t="s">
        <v>1733</v>
      </c>
    </row>
    <row r="18300" customFormat="false" ht="12.8" hidden="false" customHeight="false" outlineLevel="0" collapsed="false">
      <c r="B18300" s="0" t="s">
        <v>361</v>
      </c>
      <c r="C18300" s="0" t="s">
        <v>7761</v>
      </c>
      <c r="E18300" s="0" t="s">
        <v>3229</v>
      </c>
      <c r="F18300" s="0" t="s">
        <v>7762</v>
      </c>
    </row>
    <row r="18302" customFormat="false" ht="12.8" hidden="false" customHeight="false" outlineLevel="0" collapsed="false">
      <c r="A18302" s="0" t="s">
        <v>7764</v>
      </c>
      <c r="B18302" s="0" t="str">
        <f aca="false">HYPERLINK("https://lindat.mff.cuni.cz/services/teitok/pdtc10/index.php?action=vallex&amp;frame=v-w2221f3_ZU", "nasměrovat (v-w2221f3_ZU)")</f>
        <v>nasměrovat (v-w2221f3_ZU)</v>
      </c>
    </row>
    <row r="18303" customFormat="false" ht="12.8" hidden="false" customHeight="false" outlineLevel="0" collapsed="false">
      <c r="B18303" s="0" t="s">
        <v>1</v>
      </c>
    </row>
    <row r="18304" customFormat="false" ht="12.8" hidden="false" customHeight="false" outlineLevel="0" collapsed="false">
      <c r="B18304" s="0" t="s">
        <v>8</v>
      </c>
    </row>
    <row r="18305" customFormat="false" ht="12.8" hidden="false" customHeight="false" outlineLevel="0" collapsed="false">
      <c r="B18305" s="0" t="s">
        <v>454</v>
      </c>
    </row>
    <row r="18307" customFormat="false" ht="12.8" hidden="false" customHeight="false" outlineLevel="0" collapsed="false">
      <c r="A18307" s="0" t="s">
        <v>7765</v>
      </c>
      <c r="B18307" s="0" t="str">
        <f aca="false">HYPERLINK("https://lindat.mff.cuni.cz/services/teitok/pdtc10/index.php?action=vallex&amp;frame=v-w2222f1", "nasměrovávat (v-w2222f1)")</f>
        <v>nasměrovávat (v-w2222f1)</v>
      </c>
      <c r="E18307" s="0" t="str">
        <f aca="false">HYPERLINK("https://lindat.mff.cuni.cz/services/SynSemClass40/SynSemClass40.html?veclass=vec00859#vec00859-ces-cm00064", "vec00859")</f>
        <v>vec00859</v>
      </c>
      <c r="F18307" s="0" t="s">
        <v>1728</v>
      </c>
    </row>
    <row r="18308" customFormat="false" ht="12.8" hidden="false" customHeight="false" outlineLevel="0" collapsed="false">
      <c r="B18308" s="0" t="s">
        <v>1</v>
      </c>
      <c r="C18308" s="0" t="s">
        <v>1729</v>
      </c>
      <c r="E18308" s="0" t="s">
        <v>206</v>
      </c>
      <c r="F18308" s="0" t="s">
        <v>1730</v>
      </c>
    </row>
    <row r="18309" customFormat="false" ht="12.8" hidden="false" customHeight="false" outlineLevel="0" collapsed="false">
      <c r="B18309" s="0" t="s">
        <v>8</v>
      </c>
      <c r="C18309" s="0" t="s">
        <v>1731</v>
      </c>
      <c r="E18309" s="0" t="s">
        <v>1732</v>
      </c>
      <c r="F18309" s="0" t="s">
        <v>1733</v>
      </c>
    </row>
    <row r="18310" customFormat="false" ht="12.8" hidden="false" customHeight="false" outlineLevel="0" collapsed="false">
      <c r="B18310" s="0" t="s">
        <v>164</v>
      </c>
      <c r="C18310" s="0" t="s">
        <v>7761</v>
      </c>
      <c r="E18310" s="0" t="s">
        <v>3229</v>
      </c>
      <c r="F18310" s="0" t="s">
        <v>7762</v>
      </c>
    </row>
    <row r="18312" customFormat="false" ht="12.8" hidden="false" customHeight="false" outlineLevel="0" collapsed="false">
      <c r="A18312" s="0" t="s">
        <v>7766</v>
      </c>
      <c r="B18312" s="0" t="str">
        <f aca="false">HYPERLINK("https://lindat.mff.cuni.cz/services/teitok/pdtc10/index.php?action=vallex&amp;frame=v-whsa_149hsa_150", "nasnídat se (v-whsa_149hsa_150)")</f>
        <v>nasnídat se (v-whsa_149hsa_150)</v>
      </c>
    </row>
    <row r="18313" customFormat="false" ht="12.8" hidden="false" customHeight="false" outlineLevel="0" collapsed="false">
      <c r="B18313" s="0" t="s">
        <v>1</v>
      </c>
    </row>
    <row r="18315" customFormat="false" ht="12.8" hidden="false" customHeight="false" outlineLevel="0" collapsed="false">
      <c r="A18315" s="0" t="s">
        <v>7767</v>
      </c>
      <c r="B18315" s="0" t="str">
        <f aca="false">HYPERLINK("https://lindat.mff.cuni.cz/services/teitok/pdtc10/index.php?action=vallex&amp;frame=v-w10330f2", "nasněžit (v-w10330f2)")</f>
        <v>nasněžit (v-w10330f2)</v>
      </c>
    </row>
    <row r="18316" customFormat="false" ht="12.8" hidden="false" customHeight="false" outlineLevel="0" collapsed="false">
      <c r="B18316" s="0" t="s">
        <v>1</v>
      </c>
    </row>
    <row r="18317" customFormat="false" ht="12.8" hidden="false" customHeight="false" outlineLevel="0" collapsed="false">
      <c r="B18317" s="0" t="s">
        <v>8</v>
      </c>
    </row>
    <row r="18319" customFormat="false" ht="12.8" hidden="false" customHeight="false" outlineLevel="0" collapsed="false">
      <c r="A18319" s="0" t="s">
        <v>7768</v>
      </c>
      <c r="B18319" s="0" t="str">
        <f aca="false">HYPERLINK("https://lindat.mff.cuni.cz/services/teitok/pdtc10/index.php?action=vallex&amp;frame=v-whsa_1635hsa_1636", "naspořit (v-whsa_1635hsa_1636)")</f>
        <v>naspořit (v-whsa_1635hsa_1636)</v>
      </c>
    </row>
    <row r="18320" customFormat="false" ht="12.8" hidden="false" customHeight="false" outlineLevel="0" collapsed="false">
      <c r="B18320" s="0" t="s">
        <v>1</v>
      </c>
    </row>
    <row r="18321" customFormat="false" ht="12.8" hidden="false" customHeight="false" outlineLevel="0" collapsed="false">
      <c r="B18321" s="0" t="s">
        <v>8</v>
      </c>
    </row>
    <row r="18323" customFormat="false" ht="12.8" hidden="false" customHeight="false" outlineLevel="0" collapsed="false">
      <c r="A18323" s="0" t="s">
        <v>7769</v>
      </c>
      <c r="B18323" s="0" t="str">
        <f aca="false">HYPERLINK("https://lindat.mff.cuni.cz/services/teitok/pdtc10/index.php?action=vallex&amp;frame=v-w2227f1", "nastartovat (v-w2227f1)")</f>
        <v>nastartovat (v-w2227f1)</v>
      </c>
      <c r="E18323" s="0" t="str">
        <f aca="false">HYPERLINK("https://lindat.mff.cuni.cz/services/SynSemClass40/SynSemClass40.html?veclass=vec00038#vec00038-ces-cm00001", "vec00038")</f>
        <v>vec00038</v>
      </c>
      <c r="F18323" s="0" t="s">
        <v>74</v>
      </c>
    </row>
    <row r="18324" customFormat="false" ht="12.8" hidden="false" customHeight="false" outlineLevel="0" collapsed="false">
      <c r="B18324" s="0" t="s">
        <v>1</v>
      </c>
      <c r="C18324" s="0" t="s">
        <v>75</v>
      </c>
      <c r="E18324" s="0" t="s">
        <v>76</v>
      </c>
      <c r="F18324" s="0" t="s">
        <v>77</v>
      </c>
    </row>
    <row r="18325" customFormat="false" ht="12.8" hidden="false" customHeight="false" outlineLevel="0" collapsed="false">
      <c r="B18325" s="0" t="s">
        <v>8</v>
      </c>
      <c r="C18325" s="0" t="s">
        <v>78</v>
      </c>
      <c r="E18325" s="0" t="s">
        <v>79</v>
      </c>
      <c r="F18325" s="0" t="s">
        <v>80</v>
      </c>
    </row>
    <row r="18327" customFormat="false" ht="12.8" hidden="false" customHeight="false" outlineLevel="0" collapsed="false">
      <c r="A18327" s="0" t="s">
        <v>7770</v>
      </c>
      <c r="B18327" s="0" t="str">
        <f aca="false">HYPERLINK("https://lindat.mff.cuni.cz/services/teitok/pdtc10/index.php?action=vallex&amp;frame=v-w2228f1", "nastat (v-w2228f1)")</f>
        <v>nastat (v-w2228f1)</v>
      </c>
      <c r="E18327" s="0" t="str">
        <f aca="false">HYPERLINK("https://lindat.mff.cuni.cz/services/SynSemClass40/SynSemClass40.html?veclass=vec00097#vec00097-ces-cm00015", "vec00097")</f>
        <v>vec00097</v>
      </c>
      <c r="F18327" s="0" t="s">
        <v>373</v>
      </c>
      <c r="H18327" s="0" t="str">
        <f aca="false">HYPERLINK("https://lindat.mff.cuni.cz/services/SynSemClass40/SynSemClass40.html?veclass=vec01518#vec01518-ces-cm00006", "vec01518")</f>
        <v>vec01518</v>
      </c>
      <c r="I18327" s="0" t="s">
        <v>2921</v>
      </c>
    </row>
    <row r="18328" customFormat="false" ht="12.8" hidden="false" customHeight="false" outlineLevel="0" collapsed="false">
      <c r="B18328" s="0" t="s">
        <v>1</v>
      </c>
      <c r="C18328" s="0" t="s">
        <v>2922</v>
      </c>
      <c r="E18328" s="0" t="s">
        <v>375</v>
      </c>
      <c r="F18328" s="0" t="s">
        <v>376</v>
      </c>
      <c r="H18328" s="0" t="s">
        <v>2923</v>
      </c>
      <c r="I18328" s="0" t="s">
        <v>2924</v>
      </c>
    </row>
    <row r="18330" customFormat="false" ht="12.8" hidden="false" customHeight="false" outlineLevel="0" collapsed="false">
      <c r="A18330" s="0" t="s">
        <v>7771</v>
      </c>
      <c r="B18330" s="0" t="str">
        <f aca="false">HYPERLINK("https://lindat.mff.cuni.cz/services/teitok/pdtc10/index.php?action=vallex&amp;frame=v-w2231f1", "nastavit (v-w2231f1)")</f>
        <v>nastavit (v-w2231f1)</v>
      </c>
      <c r="E18330" s="0" t="str">
        <f aca="false">HYPERLINK("https://lindat.mff.cuni.cz/services/SynSemClass40/SynSemClass40.html?veclass=vec00440#vec00440-ces-cm00009", "vec00440")</f>
        <v>vec00440</v>
      </c>
      <c r="F18330" s="0" t="s">
        <v>4833</v>
      </c>
    </row>
    <row r="18331" customFormat="false" ht="12.8" hidden="false" customHeight="false" outlineLevel="0" collapsed="false">
      <c r="B18331" s="0" t="s">
        <v>1</v>
      </c>
      <c r="C18331" s="0" t="s">
        <v>4834</v>
      </c>
      <c r="E18331" s="0" t="s">
        <v>31</v>
      </c>
      <c r="F18331" s="0" t="s">
        <v>4835</v>
      </c>
    </row>
    <row r="18332" customFormat="false" ht="12.8" hidden="false" customHeight="false" outlineLevel="0" collapsed="false">
      <c r="B18332" s="0" t="s">
        <v>8</v>
      </c>
      <c r="C18332" s="0" t="s">
        <v>490</v>
      </c>
      <c r="E18332" s="0" t="s">
        <v>1569</v>
      </c>
      <c r="F18332" s="0" t="s">
        <v>4836</v>
      </c>
    </row>
    <row r="18334" customFormat="false" ht="12.8" hidden="false" customHeight="false" outlineLevel="0" collapsed="false">
      <c r="A18334" s="0" t="s">
        <v>7772</v>
      </c>
      <c r="B18334" s="0" t="str">
        <f aca="false">HYPERLINK("https://lindat.mff.cuni.cz/services/teitok/pdtc10/index.php?action=vallex&amp;frame=v-w2231f2", "nastavit (v-w2231f2)")</f>
        <v>nastavit (v-w2231f2)</v>
      </c>
    </row>
    <row r="18335" customFormat="false" ht="12.8" hidden="false" customHeight="false" outlineLevel="0" collapsed="false">
      <c r="B18335" s="0" t="s">
        <v>1</v>
      </c>
    </row>
    <row r="18336" customFormat="false" ht="12.8" hidden="false" customHeight="false" outlineLevel="0" collapsed="false">
      <c r="B18336" s="0" t="s">
        <v>8</v>
      </c>
    </row>
    <row r="18338" customFormat="false" ht="12.8" hidden="false" customHeight="false" outlineLevel="0" collapsed="false">
      <c r="A18338" s="0" t="s">
        <v>7773</v>
      </c>
      <c r="B18338" s="0" t="str">
        <f aca="false">HYPERLINK("https://lindat.mff.cuni.cz/services/teitok/pdtc10/index.php?action=vallex&amp;frame=v-w2231f4", "nastavit (v-w2231f4)")</f>
        <v>nastavit (v-w2231f4)</v>
      </c>
    </row>
    <row r="18339" customFormat="false" ht="12.8" hidden="false" customHeight="false" outlineLevel="0" collapsed="false">
      <c r="B18339" s="0" t="s">
        <v>1</v>
      </c>
    </row>
    <row r="18340" customFormat="false" ht="12.8" hidden="false" customHeight="false" outlineLevel="0" collapsed="false">
      <c r="B18340" s="0" t="s">
        <v>8</v>
      </c>
    </row>
    <row r="18342" customFormat="false" ht="12.8" hidden="false" customHeight="false" outlineLevel="0" collapsed="false">
      <c r="A18342" s="0" t="s">
        <v>7774</v>
      </c>
      <c r="B18342" s="0" t="str">
        <f aca="false">HYPERLINK("https://lindat.mff.cuni.cz/services/teitok/pdtc10/index.php?action=vallex&amp;frame=v-w2231f3", "nastavit (v-w2231f3)")</f>
        <v>nastavit (v-w2231f3)</v>
      </c>
    </row>
    <row r="18343" customFormat="false" ht="12.8" hidden="false" customHeight="false" outlineLevel="0" collapsed="false">
      <c r="B18343" s="0" t="s">
        <v>1</v>
      </c>
    </row>
    <row r="18344" customFormat="false" ht="12.8" hidden="false" customHeight="false" outlineLevel="0" collapsed="false">
      <c r="B18344" s="0" t="s">
        <v>7775</v>
      </c>
    </row>
    <row r="18345" customFormat="false" ht="12.8" hidden="false" customHeight="false" outlineLevel="0" collapsed="false">
      <c r="B18345" s="0" t="s">
        <v>186</v>
      </c>
    </row>
    <row r="18347" customFormat="false" ht="12.8" hidden="false" customHeight="false" outlineLevel="0" collapsed="false">
      <c r="A18347" s="0" t="s">
        <v>7776</v>
      </c>
      <c r="B18347" s="0" t="str">
        <f aca="false">HYPERLINK("https://lindat.mff.cuni.cz/services/teitok/pdtc10/index.php?action=vallex&amp;frame=v-w2231f5_ZU", "nastavit (v-w2231f5_ZU)")</f>
        <v>nastavit (v-w2231f5_ZU)</v>
      </c>
      <c r="E18347" s="0" t="str">
        <f aca="false">HYPERLINK("https://lindat.mff.cuni.cz/services/SynSemClass40/SynSemClass40.html?veclass=vec00322#vec00322-ces-cm00036", "vec00322")</f>
        <v>vec00322</v>
      </c>
      <c r="F18347" s="0" t="s">
        <v>1343</v>
      </c>
    </row>
    <row r="18348" customFormat="false" ht="12.8" hidden="false" customHeight="false" outlineLevel="0" collapsed="false">
      <c r="B18348" s="0" t="s">
        <v>1</v>
      </c>
      <c r="C18348" s="0" t="s">
        <v>1344</v>
      </c>
      <c r="E18348" s="0" t="s">
        <v>206</v>
      </c>
      <c r="F18348" s="0" t="s">
        <v>1345</v>
      </c>
    </row>
    <row r="18349" customFormat="false" ht="12.8" hidden="false" customHeight="false" outlineLevel="0" collapsed="false">
      <c r="B18349" s="0" t="s">
        <v>8</v>
      </c>
      <c r="C18349" s="0" t="s">
        <v>1346</v>
      </c>
      <c r="E18349" s="0" t="s">
        <v>1347</v>
      </c>
      <c r="F18349" s="0" t="s">
        <v>1348</v>
      </c>
    </row>
    <row r="18350" customFormat="false" ht="12.8" hidden="false" customHeight="false" outlineLevel="0" collapsed="false">
      <c r="B18350" s="0" t="s">
        <v>40</v>
      </c>
      <c r="C18350" s="0" t="s">
        <v>1349</v>
      </c>
      <c r="E18350" s="0" t="s">
        <v>1350</v>
      </c>
      <c r="F18350" s="0" t="s">
        <v>1351</v>
      </c>
    </row>
    <row r="18352" customFormat="false" ht="12.8" hidden="false" customHeight="false" outlineLevel="0" collapsed="false">
      <c r="A18352" s="0" t="s">
        <v>7776</v>
      </c>
      <c r="B18352" s="0" t="str">
        <f aca="false">HYPERLINK("https://lindat.mff.cuni.cz/services/teitok/pdtc10/index.php?action=vallex&amp;frame=v-w2231hsa_62", "nastavit (v-w2231hsa_62) - substituted with v-w2231f5_ZU")</f>
        <v>nastavit (v-w2231hsa_62) - substituted with v-w2231f5_ZU</v>
      </c>
    </row>
    <row r="18353" customFormat="false" ht="12.8" hidden="false" customHeight="false" outlineLevel="0" collapsed="false">
      <c r="B18353" s="0" t="s">
        <v>1</v>
      </c>
    </row>
    <row r="18354" customFormat="false" ht="12.8" hidden="false" customHeight="false" outlineLevel="0" collapsed="false">
      <c r="B18354" s="0" t="s">
        <v>8</v>
      </c>
    </row>
    <row r="18355" customFormat="false" ht="12.8" hidden="false" customHeight="false" outlineLevel="0" collapsed="false">
      <c r="B18355" s="0" t="s">
        <v>40</v>
      </c>
    </row>
    <row r="18357" customFormat="false" ht="12.8" hidden="false" customHeight="false" outlineLevel="0" collapsed="false">
      <c r="A18357" s="0" t="s">
        <v>7777</v>
      </c>
      <c r="B18357" s="0" t="str">
        <f aca="false">HYPERLINK("https://lindat.mff.cuni.cz/services/teitok/pdtc10/index.php?action=vallex&amp;frame=v-w2232f1", "nastavovat (v-w2232f1)")</f>
        <v>nastavovat (v-w2232f1)</v>
      </c>
    </row>
    <row r="18358" customFormat="false" ht="12.8" hidden="false" customHeight="false" outlineLevel="0" collapsed="false">
      <c r="B18358" s="0" t="s">
        <v>1</v>
      </c>
    </row>
    <row r="18359" customFormat="false" ht="12.8" hidden="false" customHeight="false" outlineLevel="0" collapsed="false">
      <c r="B18359" s="0" t="s">
        <v>8</v>
      </c>
    </row>
    <row r="18361" customFormat="false" ht="12.8" hidden="false" customHeight="false" outlineLevel="0" collapsed="false">
      <c r="A18361" s="0" t="s">
        <v>7778</v>
      </c>
      <c r="B18361" s="0" t="str">
        <f aca="false">HYPERLINK("https://lindat.mff.cuni.cz/services/teitok/pdtc10/index.php?action=vallex&amp;frame=v-w2232f2", "nastavovat (v-w2232f2)")</f>
        <v>nastavovat (v-w2232f2)</v>
      </c>
    </row>
    <row r="18362" customFormat="false" ht="12.8" hidden="false" customHeight="false" outlineLevel="0" collapsed="false">
      <c r="B18362" s="0" t="s">
        <v>1</v>
      </c>
    </row>
    <row r="18363" customFormat="false" ht="12.8" hidden="false" customHeight="false" outlineLevel="0" collapsed="false">
      <c r="B18363" s="0" t="s">
        <v>8</v>
      </c>
    </row>
    <row r="18365" customFormat="false" ht="12.8" hidden="false" customHeight="false" outlineLevel="0" collapsed="false">
      <c r="A18365" s="0" t="s">
        <v>7779</v>
      </c>
      <c r="B18365" s="0" t="str">
        <f aca="false">HYPERLINK("https://lindat.mff.cuni.cz/services/teitok/pdtc10/index.php?action=vallex&amp;frame=v-w2232f3_ZU", "nastavovat (v-w2232f3_ZU)")</f>
        <v>nastavovat (v-w2232f3_ZU)</v>
      </c>
      <c r="E18365" s="0" t="str">
        <f aca="false">HYPERLINK("https://lindat.mff.cuni.cz/services/SynSemClass40/SynSemClass40.html?veclass=vec00127#vec00127-ces-cm00201", "vec00127")</f>
        <v>vec00127</v>
      </c>
      <c r="F18365" s="0" t="s">
        <v>1835</v>
      </c>
    </row>
    <row r="18366" customFormat="false" ht="12.8" hidden="false" customHeight="false" outlineLevel="0" collapsed="false">
      <c r="B18366" s="0" t="s">
        <v>1</v>
      </c>
      <c r="C18366" s="0" t="s">
        <v>3461</v>
      </c>
      <c r="E18366" s="0" t="s">
        <v>11</v>
      </c>
      <c r="F18366" s="0" t="s">
        <v>1837</v>
      </c>
    </row>
    <row r="18367" customFormat="false" ht="12.8" hidden="false" customHeight="false" outlineLevel="0" collapsed="false">
      <c r="B18367" s="0" t="s">
        <v>8</v>
      </c>
      <c r="C18367" s="0" t="s">
        <v>3463</v>
      </c>
      <c r="E18367" s="0" t="s">
        <v>1840</v>
      </c>
      <c r="F18367" s="0" t="s">
        <v>1841</v>
      </c>
    </row>
    <row r="18369" customFormat="false" ht="12.8" hidden="false" customHeight="false" outlineLevel="0" collapsed="false">
      <c r="A18369" s="0" t="s">
        <v>7780</v>
      </c>
      <c r="B18369" s="0" t="str">
        <f aca="false">HYPERLINK("https://lindat.mff.cuni.cz/services/teitok/pdtc10/index.php?action=vallex&amp;frame=v-w11090f2", "nastavět (v-w11090f2)")</f>
        <v>nastavět (v-w11090f2)</v>
      </c>
      <c r="E18369" s="0" t="str">
        <f aca="false">HYPERLINK("https://lindat.mff.cuni.cz/services/SynSemClass40/SynSemClass40.html?veclass=vec00084#vec00084-ces-cm00145", "vec00084")</f>
        <v>vec00084</v>
      </c>
      <c r="F18369" s="0" t="s">
        <v>778</v>
      </c>
    </row>
    <row r="18370" customFormat="false" ht="12.8" hidden="false" customHeight="false" outlineLevel="0" collapsed="false">
      <c r="B18370" s="0" t="s">
        <v>1</v>
      </c>
      <c r="C18370" s="0" t="s">
        <v>5557</v>
      </c>
      <c r="E18370" s="0" t="s">
        <v>31</v>
      </c>
      <c r="F18370" s="0" t="s">
        <v>781</v>
      </c>
    </row>
    <row r="18371" customFormat="false" ht="12.8" hidden="false" customHeight="false" outlineLevel="0" collapsed="false">
      <c r="B18371" s="0" t="s">
        <v>8</v>
      </c>
      <c r="C18371" s="0" t="s">
        <v>5558</v>
      </c>
      <c r="E18371" s="0" t="s">
        <v>771</v>
      </c>
      <c r="F18371" s="0" t="s">
        <v>784</v>
      </c>
    </row>
    <row r="18372" customFormat="false" ht="12.8" hidden="false" customHeight="false" outlineLevel="0" collapsed="false">
      <c r="B18372" s="0" t="s">
        <v>36</v>
      </c>
      <c r="C18372" s="0" t="s">
        <v>6350</v>
      </c>
      <c r="E18372" s="0" t="s">
        <v>787</v>
      </c>
      <c r="F18372" s="0" t="s">
        <v>788</v>
      </c>
    </row>
    <row r="18374" customFormat="false" ht="12.8" hidden="false" customHeight="false" outlineLevel="0" collapsed="false">
      <c r="A18374" s="0" t="s">
        <v>7781</v>
      </c>
      <c r="B18374" s="0" t="str">
        <f aca="false">HYPERLINK("https://lindat.mff.cuni.cz/services/teitok/pdtc10/index.php?action=vallex&amp;frame=v-whsa_1281hsa_1282", "nastiňovat (v-whsa_1281hsa_1282)")</f>
        <v>nastiňovat (v-whsa_1281hsa_1282)</v>
      </c>
      <c r="E18374" s="0" t="str">
        <f aca="false">HYPERLINK("https://lindat.mff.cuni.cz/services/SynSemClass40/SynSemClass40.html?veclass=vec01496#vec01496-ces-cm00011", "vec01496")</f>
        <v>vec01496</v>
      </c>
      <c r="F18374" s="0" t="s">
        <v>5507</v>
      </c>
    </row>
    <row r="18375" customFormat="false" ht="12.8" hidden="false" customHeight="false" outlineLevel="0" collapsed="false">
      <c r="B18375" s="0" t="s">
        <v>1</v>
      </c>
      <c r="C18375" s="0" t="s">
        <v>7782</v>
      </c>
      <c r="E18375" s="0" t="s">
        <v>768</v>
      </c>
      <c r="F18375" s="0" t="s">
        <v>5510</v>
      </c>
    </row>
    <row r="18376" customFormat="false" ht="12.8" hidden="false" customHeight="false" outlineLevel="0" collapsed="false">
      <c r="B18376" s="0" t="s">
        <v>8</v>
      </c>
      <c r="C18376" s="0" t="s">
        <v>4208</v>
      </c>
      <c r="E18376" s="0" t="s">
        <v>771</v>
      </c>
      <c r="F18376" s="0" t="s">
        <v>5513</v>
      </c>
    </row>
    <row r="18377" customFormat="false" ht="12.8" hidden="false" customHeight="false" outlineLevel="0" collapsed="false">
      <c r="B18377" s="0" t="s">
        <v>132</v>
      </c>
    </row>
    <row r="18379" customFormat="false" ht="12.8" hidden="false" customHeight="false" outlineLevel="0" collapsed="false">
      <c r="A18379" s="0" t="s">
        <v>7783</v>
      </c>
      <c r="B18379" s="0" t="str">
        <f aca="false">HYPERLINK("https://lindat.mff.cuni.cz/services/teitok/pdtc10/index.php?action=vallex&amp;frame=v-w2240f1", "nastolit (v-w2240f1)")</f>
        <v>nastolit (v-w2240f1)</v>
      </c>
      <c r="E18379" s="0" t="str">
        <f aca="false">HYPERLINK("https://lindat.mff.cuni.cz/services/SynSemClass40/SynSemClass40.html?veclass=vec00546#vec00546-ces-cm00011", "vec00546")</f>
        <v>vec00546</v>
      </c>
      <c r="F18379" s="0" t="s">
        <v>5397</v>
      </c>
    </row>
    <row r="18380" customFormat="false" ht="12.8" hidden="false" customHeight="false" outlineLevel="0" collapsed="false">
      <c r="B18380" s="0" t="s">
        <v>1</v>
      </c>
      <c r="C18380" s="0" t="s">
        <v>3000</v>
      </c>
      <c r="E18380" s="0" t="s">
        <v>206</v>
      </c>
      <c r="F18380" s="0" t="s">
        <v>5400</v>
      </c>
    </row>
    <row r="18381" customFormat="false" ht="12.8" hidden="false" customHeight="false" outlineLevel="0" collapsed="false">
      <c r="B18381" s="0" t="s">
        <v>8</v>
      </c>
      <c r="C18381" s="0" t="s">
        <v>6312</v>
      </c>
      <c r="E18381" s="0" t="s">
        <v>1823</v>
      </c>
      <c r="F18381" s="0" t="s">
        <v>5404</v>
      </c>
    </row>
    <row r="18383" customFormat="false" ht="12.8" hidden="false" customHeight="false" outlineLevel="0" collapsed="false">
      <c r="A18383" s="0" t="s">
        <v>7784</v>
      </c>
      <c r="B18383" s="0" t="str">
        <f aca="false">HYPERLINK("https://lindat.mff.cuni.cz/services/teitok/pdtc10/index.php?action=vallex&amp;frame=v-w2241f1", "nastolovat (v-w2241f1)")</f>
        <v>nastolovat (v-w2241f1)</v>
      </c>
      <c r="E18383" s="0" t="str">
        <f aca="false">HYPERLINK("https://lindat.mff.cuni.cz/services/SynSemClass40/SynSemClass40.html?veclass=vec00546#vec00546-ces-cm00037", "vec00546")</f>
        <v>vec00546</v>
      </c>
      <c r="F18383" s="0" t="s">
        <v>5397</v>
      </c>
    </row>
    <row r="18384" customFormat="false" ht="12.8" hidden="false" customHeight="false" outlineLevel="0" collapsed="false">
      <c r="B18384" s="0" t="s">
        <v>1</v>
      </c>
      <c r="C18384" s="0" t="s">
        <v>3000</v>
      </c>
      <c r="E18384" s="0" t="s">
        <v>206</v>
      </c>
      <c r="F18384" s="0" t="s">
        <v>5400</v>
      </c>
    </row>
    <row r="18385" customFormat="false" ht="12.8" hidden="false" customHeight="false" outlineLevel="0" collapsed="false">
      <c r="B18385" s="0" t="s">
        <v>8</v>
      </c>
      <c r="C18385" s="0" t="s">
        <v>6312</v>
      </c>
      <c r="E18385" s="0" t="s">
        <v>1823</v>
      </c>
      <c r="F18385" s="0" t="s">
        <v>5404</v>
      </c>
    </row>
    <row r="18387" customFormat="false" ht="12.8" hidden="false" customHeight="false" outlineLevel="0" collapsed="false">
      <c r="A18387" s="0" t="s">
        <v>7785</v>
      </c>
      <c r="B18387" s="0" t="str">
        <f aca="false">HYPERLINK("https://lindat.mff.cuni.cz/services/teitok/pdtc10/index.php?action=vallex&amp;frame=v-w2242f2", "nastoupit (v-w2242f2)")</f>
        <v>nastoupit (v-w2242f2)</v>
      </c>
      <c r="E18387" s="0" t="str">
        <f aca="false">HYPERLINK("https://lindat.mff.cuni.cz/services/SynSemClass40/SynSemClass40.html?veclass=vec00239#vec00239-ces-cm00015", "vec00239")</f>
        <v>vec00239</v>
      </c>
      <c r="F18387" s="0" t="s">
        <v>4352</v>
      </c>
    </row>
    <row r="18388" customFormat="false" ht="12.8" hidden="false" customHeight="false" outlineLevel="0" collapsed="false">
      <c r="B18388" s="0" t="s">
        <v>1</v>
      </c>
      <c r="C18388" s="0" t="s">
        <v>4353</v>
      </c>
      <c r="E18388" s="0" t="s">
        <v>4354</v>
      </c>
      <c r="F18388" s="0" t="s">
        <v>4355</v>
      </c>
    </row>
    <row r="18389" customFormat="false" ht="12.8" hidden="false" customHeight="false" outlineLevel="0" collapsed="false">
      <c r="B18389" s="0" t="s">
        <v>7786</v>
      </c>
      <c r="C18389" s="0" t="s">
        <v>2372</v>
      </c>
      <c r="E18389" s="0" t="s">
        <v>7787</v>
      </c>
      <c r="F18389" s="0" t="s">
        <v>7788</v>
      </c>
    </row>
    <row r="18391" customFormat="false" ht="12.8" hidden="false" customHeight="false" outlineLevel="0" collapsed="false">
      <c r="A18391" s="0" t="s">
        <v>7789</v>
      </c>
      <c r="B18391" s="0" t="str">
        <f aca="false">HYPERLINK("https://lindat.mff.cuni.cz/services/teitok/pdtc10/index.php?action=vallex&amp;frame=v-w2242f1", "nastoupit (v-w2242f1)")</f>
        <v>nastoupit (v-w2242f1)</v>
      </c>
      <c r="E18391" s="0" t="str">
        <f aca="false">HYPERLINK("https://lindat.mff.cuni.cz/services/SynSemClass40/SynSemClass40.html?veclass=vec00239#vec00239-ces-cm00014", "vec00239")</f>
        <v>vec00239</v>
      </c>
      <c r="F18391" s="0" t="s">
        <v>4352</v>
      </c>
    </row>
    <row r="18392" customFormat="false" ht="12.8" hidden="false" customHeight="false" outlineLevel="0" collapsed="false">
      <c r="B18392" s="0" t="s">
        <v>1</v>
      </c>
      <c r="C18392" s="0" t="s">
        <v>4353</v>
      </c>
      <c r="E18392" s="0" t="s">
        <v>4354</v>
      </c>
      <c r="F18392" s="0" t="s">
        <v>4355</v>
      </c>
    </row>
    <row r="18393" customFormat="false" ht="12.8" hidden="false" customHeight="false" outlineLevel="0" collapsed="false">
      <c r="B18393" s="0" t="s">
        <v>5</v>
      </c>
      <c r="C18393" s="0" t="s">
        <v>4356</v>
      </c>
      <c r="E18393" s="0" t="s">
        <v>4357</v>
      </c>
      <c r="F18393" s="0" t="s">
        <v>4358</v>
      </c>
    </row>
    <row r="18395" customFormat="false" ht="12.8" hidden="false" customHeight="false" outlineLevel="0" collapsed="false">
      <c r="A18395" s="0" t="s">
        <v>7790</v>
      </c>
      <c r="B18395" s="0" t="str">
        <f aca="false">HYPERLINK("https://lindat.mff.cuni.cz/services/teitok/pdtc10/index.php?action=vallex&amp;frame=v-w2242f3", "nastoupit (v-w2242f3)")</f>
        <v>nastoupit (v-w2242f3)</v>
      </c>
    </row>
    <row r="18396" customFormat="false" ht="12.8" hidden="false" customHeight="false" outlineLevel="0" collapsed="false">
      <c r="B18396" s="0" t="s">
        <v>1</v>
      </c>
    </row>
    <row r="18397" customFormat="false" ht="12.8" hidden="false" customHeight="false" outlineLevel="0" collapsed="false">
      <c r="B18397" s="0" t="s">
        <v>164</v>
      </c>
    </row>
    <row r="18399" customFormat="false" ht="12.8" hidden="false" customHeight="false" outlineLevel="0" collapsed="false">
      <c r="A18399" s="0" t="s">
        <v>7791</v>
      </c>
      <c r="B18399" s="0" t="str">
        <f aca="false">HYPERLINK("https://lindat.mff.cuni.cz/services/teitok/pdtc10/index.php?action=vallex&amp;frame=v-w2242f7_ZU", "nastoupit (v-w2242f7_ZU)")</f>
        <v>nastoupit (v-w2242f7_ZU)</v>
      </c>
    </row>
    <row r="18400" customFormat="false" ht="12.8" hidden="false" customHeight="false" outlineLevel="0" collapsed="false">
      <c r="B18400" s="0" t="s">
        <v>1</v>
      </c>
    </row>
    <row r="18401" customFormat="false" ht="12.8" hidden="false" customHeight="false" outlineLevel="0" collapsed="false">
      <c r="B18401" s="0" t="s">
        <v>164</v>
      </c>
    </row>
    <row r="18403" customFormat="false" ht="12.8" hidden="false" customHeight="false" outlineLevel="0" collapsed="false">
      <c r="A18403" s="0" t="s">
        <v>7791</v>
      </c>
      <c r="B18403" s="0" t="str">
        <f aca="false">HYPERLINK("https://lindat.mff.cuni.cz/services/teitok/pdtc10/index.php?action=vallex&amp;frame=v-w2242f4", "nastoupit (v-w2242f4) - substituted with v-w2242f7_ZU")</f>
        <v>nastoupit (v-w2242f4) - substituted with v-w2242f7_ZU</v>
      </c>
      <c r="E18403" s="0" t="str">
        <f aca="false">HYPERLINK("https://lindat.mff.cuni.cz/services/SynSemClass40/SynSemClass40.html?veclass=vec00239#vec00239-ces-cm00001", "vec00239")</f>
        <v>vec00239</v>
      </c>
      <c r="F18403" s="0" t="s">
        <v>4352</v>
      </c>
    </row>
    <row r="18404" customFormat="false" ht="12.8" hidden="false" customHeight="false" outlineLevel="0" collapsed="false">
      <c r="B18404" s="0" t="s">
        <v>1</v>
      </c>
      <c r="C18404" s="0" t="s">
        <v>4353</v>
      </c>
      <c r="E18404" s="0" t="s">
        <v>4354</v>
      </c>
      <c r="F18404" s="0" t="s">
        <v>4355</v>
      </c>
    </row>
    <row r="18405" customFormat="false" ht="12.8" hidden="false" customHeight="false" outlineLevel="0" collapsed="false">
      <c r="B18405" s="0" t="s">
        <v>164</v>
      </c>
      <c r="C18405" s="0" t="s">
        <v>7792</v>
      </c>
      <c r="E18405" s="0" t="s">
        <v>7793</v>
      </c>
      <c r="F18405" s="0" t="s">
        <v>7794</v>
      </c>
    </row>
    <row r="18407" customFormat="false" ht="12.8" hidden="false" customHeight="false" outlineLevel="0" collapsed="false">
      <c r="A18407" s="0" t="s">
        <v>7791</v>
      </c>
      <c r="B18407" s="0" t="str">
        <f aca="false">HYPERLINK("https://lindat.mff.cuni.cz/services/teitok/pdtc10/index.php?action=vallex&amp;frame=v-w2242f5_ZU", "nastoupit (v-w2242f5_ZU) - substituted with v-w2242f7_ZU")</f>
        <v>nastoupit (v-w2242f5_ZU) - substituted with v-w2242f7_ZU</v>
      </c>
    </row>
    <row r="18408" customFormat="false" ht="12.8" hidden="false" customHeight="false" outlineLevel="0" collapsed="false">
      <c r="B18408" s="0" t="s">
        <v>1</v>
      </c>
    </row>
    <row r="18409" customFormat="false" ht="12.8" hidden="false" customHeight="false" outlineLevel="0" collapsed="false">
      <c r="B18409" s="0" t="s">
        <v>164</v>
      </c>
    </row>
    <row r="18411" customFormat="false" ht="12.8" hidden="false" customHeight="false" outlineLevel="0" collapsed="false">
      <c r="A18411" s="0" t="s">
        <v>7791</v>
      </c>
      <c r="B18411" s="0" t="str">
        <f aca="false">HYPERLINK("https://lindat.mff.cuni.cz/services/teitok/pdtc10/index.php?action=vallex&amp;frame=v-w2242f6_ZU", "nastoupit (v-w2242f6_ZU) - substituted with v-w2242f7_ZU")</f>
        <v>nastoupit (v-w2242f6_ZU) - substituted with v-w2242f7_ZU</v>
      </c>
    </row>
    <row r="18412" customFormat="false" ht="12.8" hidden="false" customHeight="false" outlineLevel="0" collapsed="false">
      <c r="B18412" s="0" t="s">
        <v>1</v>
      </c>
    </row>
    <row r="18413" customFormat="false" ht="12.8" hidden="false" customHeight="false" outlineLevel="0" collapsed="false">
      <c r="B18413" s="0" t="s">
        <v>164</v>
      </c>
    </row>
    <row r="18415" customFormat="false" ht="12.8" hidden="false" customHeight="false" outlineLevel="0" collapsed="false">
      <c r="A18415" s="0" t="s">
        <v>7795</v>
      </c>
      <c r="B18415" s="0" t="str">
        <f aca="false">HYPERLINK("https://lindat.mff.cuni.cz/services/teitok/pdtc10/index.php?action=vallex&amp;frame=v-w2242f8_MM", "nastoupit (v-w2242f8_MM)")</f>
        <v>nastoupit (v-w2242f8_MM)</v>
      </c>
    </row>
    <row r="18416" customFormat="false" ht="12.8" hidden="false" customHeight="false" outlineLevel="0" collapsed="false">
      <c r="B18416" s="0" t="s">
        <v>1</v>
      </c>
    </row>
    <row r="18417" customFormat="false" ht="12.8" hidden="false" customHeight="false" outlineLevel="0" collapsed="false">
      <c r="B18417" s="0" t="s">
        <v>7796</v>
      </c>
    </row>
    <row r="18418" customFormat="false" ht="12.8" hidden="false" customHeight="false" outlineLevel="0" collapsed="false">
      <c r="B18418" s="0" t="s">
        <v>36</v>
      </c>
    </row>
    <row r="18420" customFormat="false" ht="12.8" hidden="false" customHeight="false" outlineLevel="0" collapsed="false">
      <c r="A18420" s="0" t="s">
        <v>7795</v>
      </c>
      <c r="B18420" s="0" t="str">
        <f aca="false">HYPERLINK("https://lindat.mff.cuni.cz/services/teitok/pdtc10/index.php?action=vallex&amp;frame=v-w2242hsa_107", "nastoupit (v-w2242hsa_107) - substituted with v-w2242f8_MM")</f>
        <v>nastoupit (v-w2242hsa_107) - substituted with v-w2242f8_MM</v>
      </c>
    </row>
    <row r="18421" customFormat="false" ht="12.8" hidden="false" customHeight="false" outlineLevel="0" collapsed="false">
      <c r="B18421" s="0" t="s">
        <v>1</v>
      </c>
    </row>
    <row r="18422" customFormat="false" ht="12.8" hidden="false" customHeight="false" outlineLevel="0" collapsed="false">
      <c r="B18422" s="0" t="s">
        <v>7796</v>
      </c>
    </row>
    <row r="18423" customFormat="false" ht="12.8" hidden="false" customHeight="false" outlineLevel="0" collapsed="false">
      <c r="B18423" s="0" t="s">
        <v>36</v>
      </c>
    </row>
    <row r="18425" customFormat="false" ht="12.8" hidden="false" customHeight="false" outlineLevel="0" collapsed="false">
      <c r="A18425" s="0" t="s">
        <v>7797</v>
      </c>
      <c r="B18425" s="0" t="str">
        <f aca="false">HYPERLINK("https://lindat.mff.cuni.cz/services/teitok/pdtc10/index.php?action=vallex&amp;frame=v-whsa_1122hsa_1123", "nastražit (v-whsa_1122hsa_1123)")</f>
        <v>nastražit (v-whsa_1122hsa_1123)</v>
      </c>
    </row>
    <row r="18426" customFormat="false" ht="12.8" hidden="false" customHeight="false" outlineLevel="0" collapsed="false">
      <c r="B18426" s="0" t="s">
        <v>1</v>
      </c>
    </row>
    <row r="18427" customFormat="false" ht="12.8" hidden="false" customHeight="false" outlineLevel="0" collapsed="false">
      <c r="B18427" s="0" t="s">
        <v>8</v>
      </c>
    </row>
    <row r="18429" customFormat="false" ht="12.8" hidden="false" customHeight="false" outlineLevel="0" collapsed="false">
      <c r="A18429" s="0" t="s">
        <v>7798</v>
      </c>
      <c r="B18429" s="0" t="str">
        <f aca="false">HYPERLINK("https://lindat.mff.cuni.cz/services/teitok/pdtc10/index.php?action=vallex&amp;frame=v-w12169_ZUf1_ZU", "nastrkat (v-w12169_ZUf1_ZU)")</f>
        <v>nastrkat (v-w12169_ZUf1_ZU)</v>
      </c>
    </row>
    <row r="18430" customFormat="false" ht="12.8" hidden="false" customHeight="false" outlineLevel="0" collapsed="false">
      <c r="B18430" s="0" t="s">
        <v>1</v>
      </c>
    </row>
    <row r="18431" customFormat="false" ht="12.8" hidden="false" customHeight="false" outlineLevel="0" collapsed="false">
      <c r="B18431" s="0" t="s">
        <v>8</v>
      </c>
    </row>
    <row r="18432" customFormat="false" ht="12.8" hidden="false" customHeight="false" outlineLevel="0" collapsed="false">
      <c r="B18432" s="0" t="s">
        <v>454</v>
      </c>
    </row>
    <row r="18434" customFormat="false" ht="12.8" hidden="false" customHeight="false" outlineLevel="0" collapsed="false">
      <c r="A18434" s="0" t="s">
        <v>7799</v>
      </c>
      <c r="B18434" s="0" t="str">
        <f aca="false">HYPERLINK("https://lindat.mff.cuni.cz/services/teitok/pdtc10/index.php?action=vallex&amp;frame=v-whsa_906hsa_907", "nastrojit (v-whsa_906hsa_907)")</f>
        <v>nastrojit (v-whsa_906hsa_907)</v>
      </c>
    </row>
    <row r="18435" customFormat="false" ht="12.8" hidden="false" customHeight="false" outlineLevel="0" collapsed="false">
      <c r="B18435" s="0" t="s">
        <v>1</v>
      </c>
    </row>
    <row r="18436" customFormat="false" ht="12.8" hidden="false" customHeight="false" outlineLevel="0" collapsed="false">
      <c r="B18436" s="0" t="s">
        <v>8</v>
      </c>
    </row>
    <row r="18437" customFormat="false" ht="12.8" hidden="false" customHeight="false" outlineLevel="0" collapsed="false">
      <c r="B18437" s="0" t="s">
        <v>245</v>
      </c>
    </row>
    <row r="18439" customFormat="false" ht="12.8" hidden="false" customHeight="false" outlineLevel="0" collapsed="false">
      <c r="A18439" s="0" t="s">
        <v>7800</v>
      </c>
      <c r="B18439" s="0" t="str">
        <f aca="false">HYPERLINK("https://lindat.mff.cuni.cz/services/teitok/pdtc10/index.php?action=vallex&amp;frame=v-whsb_213hsa_214", "nastrouhat (v-whsb_213hsa_214)")</f>
        <v>nastrouhat (v-whsb_213hsa_214)</v>
      </c>
    </row>
    <row r="18440" customFormat="false" ht="12.8" hidden="false" customHeight="false" outlineLevel="0" collapsed="false">
      <c r="B18440" s="0" t="s">
        <v>1</v>
      </c>
    </row>
    <row r="18441" customFormat="false" ht="12.8" hidden="false" customHeight="false" outlineLevel="0" collapsed="false">
      <c r="B18441" s="0" t="s">
        <v>8</v>
      </c>
    </row>
    <row r="18443" customFormat="false" ht="12.8" hidden="false" customHeight="false" outlineLevel="0" collapsed="false">
      <c r="A18443" s="0" t="s">
        <v>7801</v>
      </c>
      <c r="B18443" s="0" t="str">
        <f aca="false">HYPERLINK("https://lindat.mff.cuni.cz/services/teitok/pdtc10/index.php?action=vallex&amp;frame=v-w2243f1", "nastrčit (v-w2243f1)")</f>
        <v>nastrčit (v-w2243f1)</v>
      </c>
    </row>
    <row r="18444" customFormat="false" ht="12.8" hidden="false" customHeight="false" outlineLevel="0" collapsed="false">
      <c r="B18444" s="0" t="s">
        <v>1</v>
      </c>
    </row>
    <row r="18445" customFormat="false" ht="12.8" hidden="false" customHeight="false" outlineLevel="0" collapsed="false">
      <c r="B18445" s="0" t="s">
        <v>8</v>
      </c>
    </row>
    <row r="18446" customFormat="false" ht="12.8" hidden="false" customHeight="false" outlineLevel="0" collapsed="false">
      <c r="B18446" s="0" t="s">
        <v>52</v>
      </c>
    </row>
    <row r="18448" customFormat="false" ht="12.8" hidden="false" customHeight="false" outlineLevel="0" collapsed="false">
      <c r="A18448" s="0" t="s">
        <v>7802</v>
      </c>
      <c r="B18448" s="0" t="str">
        <f aca="false">HYPERLINK("https://lindat.mff.cuni.cz/services/teitok/pdtc10/index.php?action=vallex&amp;frame=v-w2243f2", "nastrčit (v-w2243f2)")</f>
        <v>nastrčit (v-w2243f2)</v>
      </c>
    </row>
    <row r="18449" customFormat="false" ht="12.8" hidden="false" customHeight="false" outlineLevel="0" collapsed="false">
      <c r="B18449" s="0" t="s">
        <v>1</v>
      </c>
    </row>
    <row r="18450" customFormat="false" ht="12.8" hidden="false" customHeight="false" outlineLevel="0" collapsed="false">
      <c r="B18450" s="0" t="s">
        <v>8</v>
      </c>
    </row>
    <row r="18451" customFormat="false" ht="12.8" hidden="false" customHeight="false" outlineLevel="0" collapsed="false">
      <c r="B18451" s="0" t="s">
        <v>164</v>
      </c>
    </row>
    <row r="18453" customFormat="false" ht="12.8" hidden="false" customHeight="false" outlineLevel="0" collapsed="false">
      <c r="A18453" s="0" t="s">
        <v>7803</v>
      </c>
      <c r="B18453" s="0" t="str">
        <f aca="false">HYPERLINK("https://lindat.mff.cuni.cz/services/teitok/pdtc10/index.php?action=vallex&amp;frame=v-w2251f1", "nastudovat (v-w2251f1)")</f>
        <v>nastudovat (v-w2251f1)</v>
      </c>
    </row>
    <row r="18454" customFormat="false" ht="12.8" hidden="false" customHeight="false" outlineLevel="0" collapsed="false">
      <c r="B18454" s="0" t="s">
        <v>1</v>
      </c>
    </row>
    <row r="18455" customFormat="false" ht="12.8" hidden="false" customHeight="false" outlineLevel="0" collapsed="false">
      <c r="B18455" s="0" t="s">
        <v>8</v>
      </c>
    </row>
    <row r="18457" customFormat="false" ht="12.8" hidden="false" customHeight="false" outlineLevel="0" collapsed="false">
      <c r="A18457" s="0" t="s">
        <v>7804</v>
      </c>
      <c r="B18457" s="0" t="str">
        <f aca="false">HYPERLINK("https://lindat.mff.cuni.cz/services/teitok/pdtc10/index.php?action=vallex&amp;frame=v-w2251hsa_1134", "nastudovat (v-w2251hsa_1134)")</f>
        <v>nastudovat (v-w2251hsa_1134)</v>
      </c>
    </row>
    <row r="18458" customFormat="false" ht="12.8" hidden="false" customHeight="false" outlineLevel="0" collapsed="false">
      <c r="B18458" s="0" t="s">
        <v>1</v>
      </c>
    </row>
    <row r="18459" customFormat="false" ht="12.8" hidden="false" customHeight="false" outlineLevel="0" collapsed="false">
      <c r="B18459" s="0" t="s">
        <v>8</v>
      </c>
    </row>
    <row r="18461" customFormat="false" ht="12.8" hidden="false" customHeight="false" outlineLevel="0" collapsed="false">
      <c r="A18461" s="0" t="s">
        <v>7805</v>
      </c>
      <c r="B18461" s="0" t="str">
        <f aca="false">HYPERLINK("https://lindat.mff.cuni.cz/services/teitok/pdtc10/index.php?action=vallex&amp;frame=v-w2256f2", "nastupovat (v-w2256f2)")</f>
        <v>nastupovat (v-w2256f2)</v>
      </c>
      <c r="E18461" s="0" t="str">
        <f aca="false">HYPERLINK("https://lindat.mff.cuni.cz/services/SynSemClass40/SynSemClass40.html?veclass=vec00565#vec00565-ces-cm00010", "vec00565")</f>
        <v>vec00565</v>
      </c>
      <c r="F18461" s="0" t="s">
        <v>7244</v>
      </c>
    </row>
    <row r="18462" customFormat="false" ht="12.8" hidden="false" customHeight="false" outlineLevel="0" collapsed="false">
      <c r="B18462" s="0" t="s">
        <v>1</v>
      </c>
      <c r="C18462" s="0" t="s">
        <v>7245</v>
      </c>
      <c r="E18462" s="0" t="s">
        <v>7246</v>
      </c>
      <c r="F18462" s="0" t="s">
        <v>7247</v>
      </c>
    </row>
    <row r="18463" customFormat="false" ht="12.8" hidden="false" customHeight="false" outlineLevel="0" collapsed="false">
      <c r="B18463" s="0" t="s">
        <v>7786</v>
      </c>
      <c r="C18463" s="0" t="s">
        <v>7248</v>
      </c>
      <c r="E18463" s="0" t="s">
        <v>6961</v>
      </c>
      <c r="F18463" s="0" t="s">
        <v>7249</v>
      </c>
    </row>
    <row r="18465" customFormat="false" ht="12.8" hidden="false" customHeight="false" outlineLevel="0" collapsed="false">
      <c r="A18465" s="0" t="s">
        <v>7806</v>
      </c>
      <c r="B18465" s="0" t="str">
        <f aca="false">HYPERLINK("https://lindat.mff.cuni.cz/services/teitok/pdtc10/index.php?action=vallex&amp;frame=v-w2256f4", "nastupovat (v-w2256f4)")</f>
        <v>nastupovat (v-w2256f4)</v>
      </c>
      <c r="E18465" s="0" t="str">
        <f aca="false">HYPERLINK("https://lindat.mff.cuni.cz/services/SynSemClass40/SynSemClass40.html?veclass=vec00239#vec00239-ces-cm00078", "vec00239")</f>
        <v>vec00239</v>
      </c>
      <c r="F18465" s="0" t="s">
        <v>4352</v>
      </c>
    </row>
    <row r="18466" customFormat="false" ht="12.8" hidden="false" customHeight="false" outlineLevel="0" collapsed="false">
      <c r="B18466" s="0" t="s">
        <v>1</v>
      </c>
      <c r="C18466" s="0" t="s">
        <v>4353</v>
      </c>
      <c r="E18466" s="0" t="s">
        <v>4354</v>
      </c>
      <c r="F18466" s="0" t="s">
        <v>4355</v>
      </c>
    </row>
    <row r="18467" customFormat="false" ht="12.8" hidden="false" customHeight="false" outlineLevel="0" collapsed="false">
      <c r="B18467" s="0" t="s">
        <v>5</v>
      </c>
      <c r="C18467" s="0" t="s">
        <v>4356</v>
      </c>
      <c r="E18467" s="0" t="s">
        <v>4357</v>
      </c>
      <c r="F18467" s="0" t="s">
        <v>4358</v>
      </c>
    </row>
    <row r="18469" customFormat="false" ht="12.8" hidden="false" customHeight="false" outlineLevel="0" collapsed="false">
      <c r="A18469" s="0" t="s">
        <v>7807</v>
      </c>
      <c r="B18469" s="0" t="str">
        <f aca="false">HYPERLINK("https://lindat.mff.cuni.cz/services/teitok/pdtc10/index.php?action=vallex&amp;frame=v-w2256f1", "nastupovat (v-w2256f1)")</f>
        <v>nastupovat (v-w2256f1)</v>
      </c>
    </row>
    <row r="18470" customFormat="false" ht="12.8" hidden="false" customHeight="false" outlineLevel="0" collapsed="false">
      <c r="B18470" s="0" t="s">
        <v>1</v>
      </c>
    </row>
    <row r="18471" customFormat="false" ht="12.8" hidden="false" customHeight="false" outlineLevel="0" collapsed="false">
      <c r="B18471" s="0" t="s">
        <v>164</v>
      </c>
    </row>
    <row r="18473" customFormat="false" ht="12.8" hidden="false" customHeight="false" outlineLevel="0" collapsed="false">
      <c r="A18473" s="0" t="s">
        <v>7808</v>
      </c>
      <c r="B18473" s="0" t="str">
        <f aca="false">HYPERLINK("https://lindat.mff.cuni.cz/services/teitok/pdtc10/index.php?action=vallex&amp;frame=v-w2256f3", "nastupovat (v-w2256f3)")</f>
        <v>nastupovat (v-w2256f3)</v>
      </c>
      <c r="E18473" s="0" t="str">
        <f aca="false">HYPERLINK("https://lindat.mff.cuni.cz/services/SynSemClass40/SynSemClass40.html?veclass=vec00239#vec00239-ces-cm00068", "vec00239")</f>
        <v>vec00239</v>
      </c>
      <c r="F18473" s="0" t="s">
        <v>4352</v>
      </c>
    </row>
    <row r="18474" customFormat="false" ht="12.8" hidden="false" customHeight="false" outlineLevel="0" collapsed="false">
      <c r="B18474" s="0" t="s">
        <v>1</v>
      </c>
      <c r="C18474" s="0" t="s">
        <v>4353</v>
      </c>
      <c r="E18474" s="0" t="s">
        <v>4354</v>
      </c>
      <c r="F18474" s="0" t="s">
        <v>4355</v>
      </c>
    </row>
    <row r="18475" customFormat="false" ht="12.8" hidden="false" customHeight="false" outlineLevel="0" collapsed="false">
      <c r="B18475" s="0" t="s">
        <v>164</v>
      </c>
      <c r="C18475" s="0" t="s">
        <v>7792</v>
      </c>
      <c r="E18475" s="0" t="s">
        <v>7793</v>
      </c>
      <c r="F18475" s="0" t="s">
        <v>7794</v>
      </c>
    </row>
    <row r="18477" customFormat="false" ht="12.8" hidden="false" customHeight="false" outlineLevel="0" collapsed="false">
      <c r="A18477" s="0" t="s">
        <v>7809</v>
      </c>
      <c r="B18477" s="0" t="str">
        <f aca="false">HYPERLINK("https://lindat.mff.cuni.cz/services/teitok/pdtc10/index.php?action=vallex&amp;frame=v-whsa_1322hsa_1323", "nastydnout (v-whsa_1322hsa_1323)")</f>
        <v>nastydnout (v-whsa_1322hsa_1323)</v>
      </c>
    </row>
    <row r="18478" customFormat="false" ht="12.8" hidden="false" customHeight="false" outlineLevel="0" collapsed="false">
      <c r="B18478" s="0" t="s">
        <v>1</v>
      </c>
    </row>
    <row r="18480" customFormat="false" ht="12.8" hidden="false" customHeight="false" outlineLevel="0" collapsed="false">
      <c r="A18480" s="0" t="s">
        <v>7810</v>
      </c>
      <c r="B18480" s="0" t="str">
        <f aca="false">HYPERLINK("https://lindat.mff.cuni.cz/services/teitok/pdtc10/index.php?action=vallex&amp;frame=v-w2229f1", "nastávat (v-w2229f1)")</f>
        <v>nastávat (v-w2229f1)</v>
      </c>
      <c r="E18480" s="0" t="str">
        <f aca="false">HYPERLINK("https://lindat.mff.cuni.cz/services/SynSemClass40/SynSemClass40.html?veclass=vec00097#vec00097-ces-cm00016", "vec00097")</f>
        <v>vec00097</v>
      </c>
      <c r="F18480" s="0" t="s">
        <v>373</v>
      </c>
      <c r="H18480" s="0" t="str">
        <f aca="false">HYPERLINK("https://lindat.mff.cuni.cz/services/SynSemClass40/SynSemClass40.html?veclass=vec01518#vec01518-ces-cm00007", "vec01518")</f>
        <v>vec01518</v>
      </c>
      <c r="I18480" s="0" t="s">
        <v>2921</v>
      </c>
    </row>
    <row r="18481" customFormat="false" ht="12.8" hidden="false" customHeight="false" outlineLevel="0" collapsed="false">
      <c r="B18481" s="0" t="s">
        <v>1</v>
      </c>
      <c r="C18481" s="0" t="s">
        <v>2922</v>
      </c>
      <c r="E18481" s="0" t="s">
        <v>375</v>
      </c>
      <c r="F18481" s="0" t="s">
        <v>376</v>
      </c>
      <c r="H18481" s="0" t="s">
        <v>2923</v>
      </c>
      <c r="I18481" s="0" t="s">
        <v>2924</v>
      </c>
    </row>
    <row r="18483" customFormat="false" ht="12.8" hidden="false" customHeight="false" outlineLevel="0" collapsed="false">
      <c r="A18483" s="0" t="s">
        <v>7811</v>
      </c>
      <c r="B18483" s="0" t="str">
        <f aca="false">HYPERLINK("https://lindat.mff.cuni.cz/services/teitok/pdtc10/index.php?action=vallex&amp;frame=v-w2237f1", "nastínit (v-w2237f1)")</f>
        <v>nastínit (v-w2237f1)</v>
      </c>
      <c r="E18483" s="0" t="str">
        <f aca="false">HYPERLINK("https://lindat.mff.cuni.cz/services/SynSemClass40/SynSemClass40.html?veclass=vec01496#vec01496-ces-cm00010", "vec01496")</f>
        <v>vec01496</v>
      </c>
      <c r="F18483" s="0" t="s">
        <v>5507</v>
      </c>
    </row>
    <row r="18484" customFormat="false" ht="12.8" hidden="false" customHeight="false" outlineLevel="0" collapsed="false">
      <c r="B18484" s="0" t="s">
        <v>1</v>
      </c>
      <c r="C18484" s="0" t="s">
        <v>7782</v>
      </c>
      <c r="E18484" s="0" t="s">
        <v>768</v>
      </c>
      <c r="F18484" s="0" t="s">
        <v>5510</v>
      </c>
    </row>
    <row r="18485" customFormat="false" ht="12.8" hidden="false" customHeight="false" outlineLevel="0" collapsed="false">
      <c r="B18485" s="0" t="s">
        <v>7139</v>
      </c>
      <c r="C18485" s="0" t="s">
        <v>4208</v>
      </c>
      <c r="E18485" s="0" t="s">
        <v>771</v>
      </c>
      <c r="F18485" s="0" t="s">
        <v>5513</v>
      </c>
    </row>
    <row r="18486" customFormat="false" ht="12.8" hidden="false" customHeight="false" outlineLevel="0" collapsed="false">
      <c r="B18486" s="0" t="s">
        <v>132</v>
      </c>
    </row>
    <row r="18488" customFormat="false" ht="12.8" hidden="false" customHeight="false" outlineLevel="0" collapsed="false">
      <c r="A18488" s="0" t="s">
        <v>7812</v>
      </c>
      <c r="B18488" s="0" t="str">
        <f aca="false">HYPERLINK("https://lindat.mff.cuni.cz/services/teitok/pdtc10/index.php?action=vallex&amp;frame=v-w2234f1", "nastěhovat (v-w2234f1)")</f>
        <v>nastěhovat (v-w2234f1)</v>
      </c>
    </row>
    <row r="18489" customFormat="false" ht="12.8" hidden="false" customHeight="false" outlineLevel="0" collapsed="false">
      <c r="B18489" s="0" t="s">
        <v>1</v>
      </c>
    </row>
    <row r="18490" customFormat="false" ht="12.8" hidden="false" customHeight="false" outlineLevel="0" collapsed="false">
      <c r="B18490" s="0" t="s">
        <v>8</v>
      </c>
    </row>
    <row r="18491" customFormat="false" ht="12.8" hidden="false" customHeight="false" outlineLevel="0" collapsed="false">
      <c r="B18491" s="0" t="s">
        <v>164</v>
      </c>
    </row>
    <row r="18493" customFormat="false" ht="12.8" hidden="false" customHeight="false" outlineLevel="0" collapsed="false">
      <c r="A18493" s="0" t="s">
        <v>7813</v>
      </c>
      <c r="B18493" s="0" t="str">
        <f aca="false">HYPERLINK("https://lindat.mff.cuni.cz/services/teitok/pdtc10/index.php?action=vallex&amp;frame=v-w2235f1", "nastěhovat se (v-w2235f1)")</f>
        <v>nastěhovat se (v-w2235f1)</v>
      </c>
    </row>
    <row r="18494" customFormat="false" ht="12.8" hidden="false" customHeight="false" outlineLevel="0" collapsed="false">
      <c r="B18494" s="0" t="s">
        <v>1</v>
      </c>
    </row>
    <row r="18495" customFormat="false" ht="12.8" hidden="false" customHeight="false" outlineLevel="0" collapsed="false">
      <c r="B18495" s="0" t="s">
        <v>164</v>
      </c>
    </row>
    <row r="18497" customFormat="false" ht="12.8" hidden="false" customHeight="false" outlineLevel="0" collapsed="false">
      <c r="A18497" s="0" t="s">
        <v>7814</v>
      </c>
      <c r="B18497" s="0" t="str">
        <f aca="false">HYPERLINK("https://lindat.mff.cuni.cz/services/teitok/pdtc10/index.php?action=vallex&amp;frame=v-w2247f1", "nastřelit (v-w2247f1)")</f>
        <v>nastřelit (v-w2247f1)</v>
      </c>
    </row>
    <row r="18498" customFormat="false" ht="12.8" hidden="false" customHeight="false" outlineLevel="0" collapsed="false">
      <c r="B18498" s="0" t="s">
        <v>1</v>
      </c>
    </row>
    <row r="18499" customFormat="false" ht="12.8" hidden="false" customHeight="false" outlineLevel="0" collapsed="false">
      <c r="B18499" s="0" t="s">
        <v>8</v>
      </c>
    </row>
    <row r="18501" customFormat="false" ht="12.8" hidden="false" customHeight="false" outlineLevel="0" collapsed="false">
      <c r="A18501" s="0" t="s">
        <v>7815</v>
      </c>
      <c r="B18501" s="0" t="str">
        <f aca="false">HYPERLINK("https://lindat.mff.cuni.cz/services/teitok/pdtc10/index.php?action=vallex&amp;frame=v-w12077_ZUf1_ZU", "nastřihávat (v-w12077_ZUf1_ZU)")</f>
        <v>nastřihávat (v-w12077_ZUf1_ZU)</v>
      </c>
    </row>
    <row r="18502" customFormat="false" ht="12.8" hidden="false" customHeight="false" outlineLevel="0" collapsed="false">
      <c r="B18502" s="0" t="s">
        <v>1</v>
      </c>
    </row>
    <row r="18503" customFormat="false" ht="12.8" hidden="false" customHeight="false" outlineLevel="0" collapsed="false">
      <c r="B18503" s="0" t="s">
        <v>8</v>
      </c>
    </row>
    <row r="18505" customFormat="false" ht="12.8" hidden="false" customHeight="false" outlineLevel="0" collapsed="false">
      <c r="A18505" s="0" t="s">
        <v>7816</v>
      </c>
      <c r="B18505" s="0" t="str">
        <f aca="false">HYPERLINK("https://lindat.mff.cuni.cz/services/teitok/pdtc10/index.php?action=vallex&amp;frame=v-w2248f1", "nastříkat (v-w2248f1)")</f>
        <v>nastříkat (v-w2248f1)</v>
      </c>
    </row>
    <row r="18506" customFormat="false" ht="12.8" hidden="false" customHeight="false" outlineLevel="0" collapsed="false">
      <c r="B18506" s="0" t="s">
        <v>1</v>
      </c>
    </row>
    <row r="18507" customFormat="false" ht="12.8" hidden="false" customHeight="false" outlineLevel="0" collapsed="false">
      <c r="B18507" s="0" t="s">
        <v>8</v>
      </c>
    </row>
    <row r="18508" customFormat="false" ht="12.8" hidden="false" customHeight="false" outlineLevel="0" collapsed="false">
      <c r="B18508" s="0" t="s">
        <v>164</v>
      </c>
    </row>
    <row r="18510" customFormat="false" ht="12.8" hidden="false" customHeight="false" outlineLevel="0" collapsed="false">
      <c r="A18510" s="0" t="s">
        <v>7817</v>
      </c>
      <c r="B18510" s="0" t="str">
        <f aca="false">HYPERLINK("https://lindat.mff.cuni.cz/services/teitok/pdtc10/index.php?action=vallex&amp;frame=v-w2248f2", "nastříkat (v-w2248f2)")</f>
        <v>nastříkat (v-w2248f2)</v>
      </c>
    </row>
    <row r="18511" customFormat="false" ht="12.8" hidden="false" customHeight="false" outlineLevel="0" collapsed="false">
      <c r="B18511" s="0" t="s">
        <v>1</v>
      </c>
    </row>
    <row r="18512" customFormat="false" ht="12.8" hidden="false" customHeight="false" outlineLevel="0" collapsed="false">
      <c r="B18512" s="0" t="s">
        <v>8</v>
      </c>
    </row>
    <row r="18514" customFormat="false" ht="12.8" hidden="false" customHeight="false" outlineLevel="0" collapsed="false">
      <c r="A18514" s="0" t="s">
        <v>7818</v>
      </c>
      <c r="B18514" s="0" t="str">
        <f aca="false">HYPERLINK("https://lindat.mff.cuni.cz/services/teitok/pdtc10/index.php?action=vallex&amp;frame=v-w2249f2", "nastřílet (v-w2249f2)")</f>
        <v>nastřílet (v-w2249f2)</v>
      </c>
    </row>
    <row r="18515" customFormat="false" ht="12.8" hidden="false" customHeight="false" outlineLevel="0" collapsed="false">
      <c r="B18515" s="0" t="s">
        <v>1</v>
      </c>
    </row>
    <row r="18516" customFormat="false" ht="12.8" hidden="false" customHeight="false" outlineLevel="0" collapsed="false">
      <c r="B18516" s="0" t="s">
        <v>8</v>
      </c>
    </row>
    <row r="18517" customFormat="false" ht="12.8" hidden="false" customHeight="false" outlineLevel="0" collapsed="false">
      <c r="B18517" s="0" t="s">
        <v>132</v>
      </c>
    </row>
    <row r="18519" customFormat="false" ht="12.8" hidden="false" customHeight="false" outlineLevel="0" collapsed="false">
      <c r="A18519" s="0" t="s">
        <v>7819</v>
      </c>
      <c r="B18519" s="0" t="str">
        <f aca="false">HYPERLINK("https://lindat.mff.cuni.cz/services/teitok/pdtc10/index.php?action=vallex&amp;frame=v-w2249f1", "nastřílet (v-w2249f1)")</f>
        <v>nastřílet (v-w2249f1)</v>
      </c>
    </row>
    <row r="18520" customFormat="false" ht="12.8" hidden="false" customHeight="false" outlineLevel="0" collapsed="false">
      <c r="B18520" s="0" t="s">
        <v>1</v>
      </c>
    </row>
    <row r="18521" customFormat="false" ht="12.8" hidden="false" customHeight="false" outlineLevel="0" collapsed="false">
      <c r="B18521" s="0" t="s">
        <v>8</v>
      </c>
    </row>
    <row r="18523" customFormat="false" ht="12.8" hidden="false" customHeight="false" outlineLevel="0" collapsed="false">
      <c r="A18523" s="0" t="s">
        <v>7820</v>
      </c>
      <c r="B18523" s="0" t="str">
        <f aca="false">HYPERLINK("https://lindat.mff.cuni.cz/services/teitok/pdtc10/index.php?action=vallex&amp;frame=v-w11761_ZUf1_ZU", "nasušit (v-w11761_ZUf1_ZU)")</f>
        <v>nasušit (v-w11761_ZUf1_ZU)</v>
      </c>
    </row>
    <row r="18524" customFormat="false" ht="12.8" hidden="false" customHeight="false" outlineLevel="0" collapsed="false">
      <c r="B18524" s="0" t="s">
        <v>1</v>
      </c>
    </row>
    <row r="18525" customFormat="false" ht="12.8" hidden="false" customHeight="false" outlineLevel="0" collapsed="false">
      <c r="B18525" s="0" t="s">
        <v>8</v>
      </c>
    </row>
    <row r="18527" customFormat="false" ht="12.8" hidden="false" customHeight="false" outlineLevel="0" collapsed="false">
      <c r="A18527" s="0" t="s">
        <v>7821</v>
      </c>
      <c r="B18527" s="0" t="str">
        <f aca="false">HYPERLINK("https://lindat.mff.cuni.cz/services/teitok/pdtc10/index.php?action=vallex&amp;frame=v-w2257f1", "nasvědčovat (v-w2257f1)")</f>
        <v>nasvědčovat (v-w2257f1)</v>
      </c>
    </row>
    <row r="18528" customFormat="false" ht="12.8" hidden="false" customHeight="false" outlineLevel="0" collapsed="false">
      <c r="B18528" s="0" t="s">
        <v>1</v>
      </c>
    </row>
    <row r="18529" customFormat="false" ht="12.8" hidden="false" customHeight="false" outlineLevel="0" collapsed="false">
      <c r="B18529" s="0" t="s">
        <v>7822</v>
      </c>
    </row>
    <row r="18531" customFormat="false" ht="12.8" hidden="false" customHeight="false" outlineLevel="0" collapsed="false">
      <c r="A18531" s="0" t="s">
        <v>7823</v>
      </c>
      <c r="B18531" s="0" t="str">
        <f aca="false">HYPERLINK("https://lindat.mff.cuni.cz/services/teitok/pdtc10/index.php?action=vallex&amp;frame=v-w12089_ZUf1_ZU", "nasycovat se (v-w12089_ZUf1_ZU)")</f>
        <v>nasycovat se (v-w12089_ZUf1_ZU)</v>
      </c>
    </row>
    <row r="18532" customFormat="false" ht="12.8" hidden="false" customHeight="false" outlineLevel="0" collapsed="false">
      <c r="B18532" s="0" t="s">
        <v>1</v>
      </c>
    </row>
    <row r="18533" customFormat="false" ht="12.8" hidden="false" customHeight="false" outlineLevel="0" collapsed="false">
      <c r="B18533" s="0" t="s">
        <v>4287</v>
      </c>
    </row>
    <row r="18535" customFormat="false" ht="12.8" hidden="false" customHeight="false" outlineLevel="0" collapsed="false">
      <c r="A18535" s="0" t="s">
        <v>7824</v>
      </c>
      <c r="B18535" s="0" t="str">
        <f aca="false">HYPERLINK("https://lindat.mff.cuni.cz/services/teitok/pdtc10/index.php?action=vallex&amp;frame=v-w2259f1", "nasypat (v-w2259f1)")</f>
        <v>nasypat (v-w2259f1)</v>
      </c>
    </row>
    <row r="18536" customFormat="false" ht="12.8" hidden="false" customHeight="false" outlineLevel="0" collapsed="false">
      <c r="B18536" s="0" t="s">
        <v>1</v>
      </c>
    </row>
    <row r="18537" customFormat="false" ht="12.8" hidden="false" customHeight="false" outlineLevel="0" collapsed="false">
      <c r="B18537" s="0" t="s">
        <v>8</v>
      </c>
    </row>
    <row r="18538" customFormat="false" ht="12.8" hidden="false" customHeight="false" outlineLevel="0" collapsed="false">
      <c r="B18538" s="0" t="s">
        <v>164</v>
      </c>
    </row>
    <row r="18540" customFormat="false" ht="12.8" hidden="false" customHeight="false" outlineLevel="0" collapsed="false">
      <c r="A18540" s="0" t="s">
        <v>7825</v>
      </c>
      <c r="B18540" s="0" t="str">
        <f aca="false">HYPERLINK("https://lindat.mff.cuni.cz/services/teitok/pdtc10/index.php?action=vallex&amp;frame=v-w2260f1", "nasytit (v-w2260f1)")</f>
        <v>nasytit (v-w2260f1)</v>
      </c>
    </row>
    <row r="18541" customFormat="false" ht="12.8" hidden="false" customHeight="false" outlineLevel="0" collapsed="false">
      <c r="B18541" s="0" t="s">
        <v>1</v>
      </c>
    </row>
    <row r="18542" customFormat="false" ht="12.8" hidden="false" customHeight="false" outlineLevel="0" collapsed="false">
      <c r="B18542" s="0" t="s">
        <v>8</v>
      </c>
    </row>
    <row r="18544" customFormat="false" ht="12.8" hidden="false" customHeight="false" outlineLevel="0" collapsed="false">
      <c r="A18544" s="0" t="s">
        <v>7826</v>
      </c>
      <c r="B18544" s="0" t="str">
        <f aca="false">HYPERLINK("https://lindat.mff.cuni.cz/services/teitok/pdtc10/index.php?action=vallex&amp;frame=v-w2201f1", "nasát (v-w2201f1)")</f>
        <v>nasát (v-w2201f1)</v>
      </c>
    </row>
    <row r="18545" customFormat="false" ht="12.8" hidden="false" customHeight="false" outlineLevel="0" collapsed="false">
      <c r="B18545" s="0" t="s">
        <v>1</v>
      </c>
    </row>
    <row r="18546" customFormat="false" ht="12.8" hidden="false" customHeight="false" outlineLevel="0" collapsed="false">
      <c r="B18546" s="0" t="s">
        <v>5032</v>
      </c>
    </row>
    <row r="18548" customFormat="false" ht="12.8" hidden="false" customHeight="false" outlineLevel="0" collapsed="false">
      <c r="A18548" s="0" t="s">
        <v>7827</v>
      </c>
      <c r="B18548" s="0" t="str">
        <f aca="false">HYPERLINK("https://lindat.mff.cuni.cz/services/teitok/pdtc10/index.php?action=vallex&amp;frame=v-whsa_1952f1_MM", "nasávat (v-whsa_1952f1_MM)")</f>
        <v>nasávat (v-whsa_1952f1_MM)</v>
      </c>
    </row>
    <row r="18549" customFormat="false" ht="12.8" hidden="false" customHeight="false" outlineLevel="0" collapsed="false">
      <c r="B18549" s="0" t="s">
        <v>1</v>
      </c>
    </row>
    <row r="18550" customFormat="false" ht="12.8" hidden="false" customHeight="false" outlineLevel="0" collapsed="false">
      <c r="B18550" s="0" t="s">
        <v>8</v>
      </c>
    </row>
    <row r="18552" customFormat="false" ht="12.8" hidden="false" customHeight="false" outlineLevel="0" collapsed="false">
      <c r="A18552" s="0" t="s">
        <v>7828</v>
      </c>
      <c r="B18552" s="0" t="str">
        <f aca="false">HYPERLINK("https://lindat.mff.cuni.cz/services/teitok/pdtc10/index.php?action=vallex&amp;frame=v-whsa_1952hsa_1953", "nasávat (v-whsa_1952hsa_1953)")</f>
        <v>nasávat (v-whsa_1952hsa_1953)</v>
      </c>
    </row>
    <row r="18553" customFormat="false" ht="12.8" hidden="false" customHeight="false" outlineLevel="0" collapsed="false">
      <c r="B18553" s="0" t="s">
        <v>1</v>
      </c>
    </row>
    <row r="18554" customFormat="false" ht="12.8" hidden="false" customHeight="false" outlineLevel="0" collapsed="false">
      <c r="B18554" s="0" t="s">
        <v>8</v>
      </c>
    </row>
    <row r="18556" customFormat="false" ht="12.8" hidden="false" customHeight="false" outlineLevel="0" collapsed="false">
      <c r="A18556" s="0" t="s">
        <v>7829</v>
      </c>
      <c r="B18556" s="0" t="str">
        <f aca="false">HYPERLINK("https://lindat.mff.cuni.cz/services/teitok/pdtc10/index.php?action=vallex&amp;frame=v-w2203f1", "nasázet (v-w2203f1)")</f>
        <v>nasázet (v-w2203f1)</v>
      </c>
    </row>
    <row r="18557" customFormat="false" ht="12.8" hidden="false" customHeight="false" outlineLevel="0" collapsed="false">
      <c r="B18557" s="0" t="s">
        <v>1</v>
      </c>
    </row>
    <row r="18558" customFormat="false" ht="12.8" hidden="false" customHeight="false" outlineLevel="0" collapsed="false">
      <c r="B18558" s="0" t="s">
        <v>8</v>
      </c>
    </row>
    <row r="18559" customFormat="false" ht="12.8" hidden="false" customHeight="false" outlineLevel="0" collapsed="false">
      <c r="B18559" s="0" t="s">
        <v>52</v>
      </c>
    </row>
    <row r="18561" customFormat="false" ht="12.8" hidden="false" customHeight="false" outlineLevel="0" collapsed="false">
      <c r="A18561" s="0" t="s">
        <v>7830</v>
      </c>
      <c r="B18561" s="0" t="str">
        <f aca="false">HYPERLINK("https://lindat.mff.cuni.cz/services/teitok/pdtc10/index.php?action=vallex&amp;frame=v-w10451f2", "nasčítat (v-w10451f2)")</f>
        <v>nasčítat (v-w10451f2)</v>
      </c>
    </row>
    <row r="18562" customFormat="false" ht="12.8" hidden="false" customHeight="false" outlineLevel="0" collapsed="false">
      <c r="B18562" s="0" t="s">
        <v>1</v>
      </c>
    </row>
    <row r="18563" customFormat="false" ht="12.8" hidden="false" customHeight="false" outlineLevel="0" collapsed="false">
      <c r="B18563" s="0" t="s">
        <v>8</v>
      </c>
    </row>
    <row r="18564" customFormat="false" ht="12.8" hidden="false" customHeight="false" outlineLevel="0" collapsed="false">
      <c r="B18564" s="0" t="s">
        <v>36</v>
      </c>
    </row>
    <row r="18565" customFormat="false" ht="12.8" hidden="false" customHeight="false" outlineLevel="0" collapsed="false">
      <c r="B18565" s="0" t="s">
        <v>101</v>
      </c>
    </row>
    <row r="18567" customFormat="false" ht="12.8" hidden="false" customHeight="false" outlineLevel="0" collapsed="false">
      <c r="A18567" s="0" t="s">
        <v>7831</v>
      </c>
      <c r="B18567" s="0" t="str">
        <f aca="false">HYPERLINK("https://lindat.mff.cuni.cz/services/teitok/pdtc10/index.php?action=vallex&amp;frame=v-w10451f3", "nasčítat (v-w10451f3)")</f>
        <v>nasčítat (v-w10451f3)</v>
      </c>
    </row>
    <row r="18568" customFormat="false" ht="12.8" hidden="false" customHeight="false" outlineLevel="0" collapsed="false">
      <c r="B18568" s="0" t="s">
        <v>1</v>
      </c>
    </row>
    <row r="18569" customFormat="false" ht="12.8" hidden="false" customHeight="false" outlineLevel="0" collapsed="false">
      <c r="B18569" s="0" t="s">
        <v>8</v>
      </c>
    </row>
    <row r="18571" customFormat="false" ht="12.8" hidden="false" customHeight="false" outlineLevel="0" collapsed="false">
      <c r="A18571" s="0" t="s">
        <v>7832</v>
      </c>
      <c r="B18571" s="0" t="str">
        <f aca="false">HYPERLINK("https://lindat.mff.cuni.cz/services/teitok/pdtc10/index.php?action=vallex&amp;frame=v-w2269f2", "natahovat (v-w2269f2)")</f>
        <v>natahovat (v-w2269f2)</v>
      </c>
    </row>
    <row r="18572" customFormat="false" ht="12.8" hidden="false" customHeight="false" outlineLevel="0" collapsed="false">
      <c r="B18572" s="0" t="s">
        <v>1</v>
      </c>
    </row>
    <row r="18573" customFormat="false" ht="12.8" hidden="false" customHeight="false" outlineLevel="0" collapsed="false">
      <c r="B18573" s="0" t="s">
        <v>8</v>
      </c>
    </row>
    <row r="18574" customFormat="false" ht="12.8" hidden="false" customHeight="false" outlineLevel="0" collapsed="false">
      <c r="B18574" s="0" t="s">
        <v>36</v>
      </c>
    </row>
    <row r="18575" customFormat="false" ht="12.8" hidden="false" customHeight="false" outlineLevel="0" collapsed="false">
      <c r="B18575" s="0" t="s">
        <v>101</v>
      </c>
    </row>
    <row r="18577" customFormat="false" ht="12.8" hidden="false" customHeight="false" outlineLevel="0" collapsed="false">
      <c r="A18577" s="0" t="s">
        <v>7833</v>
      </c>
      <c r="B18577" s="0" t="str">
        <f aca="false">HYPERLINK("https://lindat.mff.cuni.cz/services/teitok/pdtc10/index.php?action=vallex&amp;frame=v-w2269f1", "natahovat (v-w2269f1)")</f>
        <v>natahovat (v-w2269f1)</v>
      </c>
    </row>
    <row r="18578" customFormat="false" ht="12.8" hidden="false" customHeight="false" outlineLevel="0" collapsed="false">
      <c r="B18578" s="0" t="s">
        <v>1</v>
      </c>
    </row>
    <row r="18579" customFormat="false" ht="12.8" hidden="false" customHeight="false" outlineLevel="0" collapsed="false">
      <c r="B18579" s="0" t="s">
        <v>8</v>
      </c>
    </row>
    <row r="18581" customFormat="false" ht="12.8" hidden="false" customHeight="false" outlineLevel="0" collapsed="false">
      <c r="A18581" s="0" t="s">
        <v>7834</v>
      </c>
      <c r="B18581" s="0" t="str">
        <f aca="false">HYPERLINK("https://lindat.mff.cuni.cz/services/teitok/pdtc10/index.php?action=vallex&amp;frame=v-w2269f3_ZU", "natahovat (v-w2269f3_ZU)")</f>
        <v>natahovat (v-w2269f3_ZU)</v>
      </c>
    </row>
    <row r="18582" customFormat="false" ht="12.8" hidden="false" customHeight="false" outlineLevel="0" collapsed="false">
      <c r="B18582" s="0" t="s">
        <v>1</v>
      </c>
    </row>
    <row r="18583" customFormat="false" ht="12.8" hidden="false" customHeight="false" outlineLevel="0" collapsed="false">
      <c r="B18583" s="0" t="s">
        <v>390</v>
      </c>
    </row>
    <row r="18585" customFormat="false" ht="12.8" hidden="false" customHeight="false" outlineLevel="0" collapsed="false">
      <c r="A18585" s="0" t="s">
        <v>7835</v>
      </c>
      <c r="B18585" s="0" t="str">
        <f aca="false">HYPERLINK("https://lindat.mff.cuni.cz/services/teitok/pdtc10/index.php?action=vallex&amp;frame=v-whsa_838hsa_839", "natahovat se (v-whsa_838hsa_839)")</f>
        <v>natahovat se (v-whsa_838hsa_839)</v>
      </c>
    </row>
    <row r="18586" customFormat="false" ht="12.8" hidden="false" customHeight="false" outlineLevel="0" collapsed="false">
      <c r="B18586" s="0" t="s">
        <v>1</v>
      </c>
    </row>
    <row r="18587" customFormat="false" ht="12.8" hidden="false" customHeight="false" outlineLevel="0" collapsed="false">
      <c r="B18587" s="0" t="s">
        <v>631</v>
      </c>
    </row>
    <row r="18588" customFormat="false" ht="12.8" hidden="false" customHeight="false" outlineLevel="0" collapsed="false">
      <c r="B18588" s="0" t="s">
        <v>164</v>
      </c>
    </row>
    <row r="18590" customFormat="false" ht="12.8" hidden="false" customHeight="false" outlineLevel="0" collapsed="false">
      <c r="A18590" s="0" t="s">
        <v>7836</v>
      </c>
      <c r="B18590" s="0" t="str">
        <f aca="false">HYPERLINK("https://lindat.mff.cuni.cz/services/teitok/pdtc10/index.php?action=vallex&amp;frame=v-w12295_MMf1_MM", "natankovat (v-w12295_MMf1_MM)")</f>
        <v>natankovat (v-w12295_MMf1_MM)</v>
      </c>
    </row>
    <row r="18591" customFormat="false" ht="12.8" hidden="false" customHeight="false" outlineLevel="0" collapsed="false">
      <c r="B18591" s="0" t="s">
        <v>1</v>
      </c>
    </row>
    <row r="18592" customFormat="false" ht="12.8" hidden="false" customHeight="false" outlineLevel="0" collapsed="false">
      <c r="B18592" s="0" t="s">
        <v>8</v>
      </c>
    </row>
    <row r="18594" customFormat="false" ht="12.8" hidden="false" customHeight="false" outlineLevel="0" collapsed="false">
      <c r="A18594" s="0" t="s">
        <v>7837</v>
      </c>
      <c r="B18594" s="0" t="str">
        <f aca="false">HYPERLINK("https://lindat.mff.cuni.cz/services/teitok/pdtc10/index.php?action=vallex&amp;frame=v-w11366f1", "natlačit se (v-w11366f1)")</f>
        <v>natlačit se (v-w11366f1)</v>
      </c>
      <c r="E18594" s="0" t="str">
        <f aca="false">HYPERLINK("https://lindat.mff.cuni.cz/services/SynSemClass40/SynSemClass40.html?veclass=vec00833#vec00833-ces-cm00002", "vec00833")</f>
        <v>vec00833</v>
      </c>
      <c r="F18594" s="0" t="s">
        <v>6223</v>
      </c>
    </row>
    <row r="18595" customFormat="false" ht="12.8" hidden="false" customHeight="false" outlineLevel="0" collapsed="false">
      <c r="B18595" s="0" t="s">
        <v>1</v>
      </c>
      <c r="C18595" s="0" t="s">
        <v>6224</v>
      </c>
      <c r="E18595" s="0" t="s">
        <v>11</v>
      </c>
      <c r="F18595" s="0" t="s">
        <v>6225</v>
      </c>
    </row>
    <row r="18596" customFormat="false" ht="12.8" hidden="false" customHeight="false" outlineLevel="0" collapsed="false">
      <c r="B18596" s="0" t="s">
        <v>164</v>
      </c>
      <c r="C18596" s="0" t="s">
        <v>7413</v>
      </c>
      <c r="E18596" s="0" t="s">
        <v>370</v>
      </c>
      <c r="F18596" s="0" t="s">
        <v>7414</v>
      </c>
    </row>
    <row r="18598" customFormat="false" ht="12.8" hidden="false" customHeight="false" outlineLevel="0" collapsed="false">
      <c r="A18598" s="0" t="s">
        <v>7838</v>
      </c>
      <c r="B18598" s="0" t="str">
        <f aca="false">HYPERLINK("https://lindat.mff.cuni.cz/services/teitok/pdtc10/index.php?action=vallex&amp;frame=v-w10587f2", "natlouci (v-w10587f2)")</f>
        <v>natlouci (v-w10587f2)</v>
      </c>
    </row>
    <row r="18599" customFormat="false" ht="12.8" hidden="false" customHeight="false" outlineLevel="0" collapsed="false">
      <c r="B18599" s="0" t="s">
        <v>1</v>
      </c>
    </row>
    <row r="18600" customFormat="false" ht="12.8" hidden="false" customHeight="false" outlineLevel="0" collapsed="false">
      <c r="B18600" s="0" t="s">
        <v>186</v>
      </c>
    </row>
    <row r="18602" customFormat="false" ht="12.8" hidden="false" customHeight="false" outlineLevel="0" collapsed="false">
      <c r="A18602" s="0" t="s">
        <v>7839</v>
      </c>
      <c r="B18602" s="0" t="str">
        <f aca="false">HYPERLINK("https://lindat.mff.cuni.cz/services/teitok/pdtc10/index.php?action=vallex&amp;frame=v-w10587f3_MM", "natlouci (v-w10587f3_MM)")</f>
        <v>natlouci (v-w10587f3_MM)</v>
      </c>
    </row>
    <row r="18603" customFormat="false" ht="12.8" hidden="false" customHeight="false" outlineLevel="0" collapsed="false">
      <c r="B18603" s="0" t="s">
        <v>1</v>
      </c>
    </row>
    <row r="18604" customFormat="false" ht="12.8" hidden="false" customHeight="false" outlineLevel="0" collapsed="false">
      <c r="B18604" s="0" t="s">
        <v>8</v>
      </c>
    </row>
    <row r="18605" customFormat="false" ht="12.8" hidden="false" customHeight="false" outlineLevel="0" collapsed="false">
      <c r="B18605" s="0" t="s">
        <v>164</v>
      </c>
    </row>
    <row r="18607" customFormat="false" ht="12.8" hidden="false" customHeight="false" outlineLevel="0" collapsed="false">
      <c r="A18607" s="0" t="s">
        <v>7840</v>
      </c>
      <c r="B18607" s="0" t="str">
        <f aca="false">HYPERLINK("https://lindat.mff.cuni.cz/services/teitok/pdtc10/index.php?action=vallex&amp;frame=v-w2277f1", "natočit (v-w2277f1)")</f>
        <v>natočit (v-w2277f1)</v>
      </c>
      <c r="E18607" s="0" t="str">
        <f aca="false">HYPERLINK("https://lindat.mff.cuni.cz/services/SynSemClass40/SynSemClass40.html?veclass=vec00640#vec00640-ces-cm00001", "vec00640")</f>
        <v>vec00640</v>
      </c>
      <c r="F18607" s="0" t="s">
        <v>4128</v>
      </c>
    </row>
    <row r="18608" customFormat="false" ht="12.8" hidden="false" customHeight="false" outlineLevel="0" collapsed="false">
      <c r="B18608" s="0" t="s">
        <v>1</v>
      </c>
      <c r="C18608" s="0" t="s">
        <v>4001</v>
      </c>
      <c r="E18608" s="0" t="s">
        <v>768</v>
      </c>
      <c r="F18608" s="0" t="s">
        <v>4129</v>
      </c>
    </row>
    <row r="18609" customFormat="false" ht="12.8" hidden="false" customHeight="false" outlineLevel="0" collapsed="false">
      <c r="B18609" s="0" t="s">
        <v>8</v>
      </c>
      <c r="C18609" s="0" t="s">
        <v>4130</v>
      </c>
      <c r="E18609" s="0" t="s">
        <v>771</v>
      </c>
      <c r="F18609" s="0" t="s">
        <v>4131</v>
      </c>
    </row>
    <row r="18611" customFormat="false" ht="12.8" hidden="false" customHeight="false" outlineLevel="0" collapsed="false">
      <c r="A18611" s="0" t="s">
        <v>7841</v>
      </c>
      <c r="B18611" s="0" t="str">
        <f aca="false">HYPERLINK("https://lindat.mff.cuni.cz/services/teitok/pdtc10/index.php?action=vallex&amp;frame=v-w2277hsa_889", "natočit (v-w2277hsa_889)")</f>
        <v>natočit (v-w2277hsa_889)</v>
      </c>
    </row>
    <row r="18612" customFormat="false" ht="12.8" hidden="false" customHeight="false" outlineLevel="0" collapsed="false">
      <c r="B18612" s="0" t="s">
        <v>1</v>
      </c>
    </row>
    <row r="18613" customFormat="false" ht="12.8" hidden="false" customHeight="false" outlineLevel="0" collapsed="false">
      <c r="B18613" s="0" t="s">
        <v>8</v>
      </c>
    </row>
    <row r="18615" customFormat="false" ht="12.8" hidden="false" customHeight="false" outlineLevel="0" collapsed="false">
      <c r="A18615" s="0" t="s">
        <v>7842</v>
      </c>
      <c r="B18615" s="0" t="str">
        <f aca="false">HYPERLINK("https://lindat.mff.cuni.cz/services/teitok/pdtc10/index.php?action=vallex&amp;frame=v-w2277hsa_890", "natočit (v-w2277hsa_890)")</f>
        <v>natočit (v-w2277hsa_890)</v>
      </c>
    </row>
    <row r="18616" customFormat="false" ht="12.8" hidden="false" customHeight="false" outlineLevel="0" collapsed="false">
      <c r="B18616" s="0" t="s">
        <v>1</v>
      </c>
    </row>
    <row r="18617" customFormat="false" ht="12.8" hidden="false" customHeight="false" outlineLevel="0" collapsed="false">
      <c r="B18617" s="0" t="s">
        <v>8</v>
      </c>
    </row>
    <row r="18618" customFormat="false" ht="12.8" hidden="false" customHeight="false" outlineLevel="0" collapsed="false">
      <c r="B18618" s="0" t="s">
        <v>132</v>
      </c>
    </row>
    <row r="18620" customFormat="false" ht="12.8" hidden="false" customHeight="false" outlineLevel="0" collapsed="false">
      <c r="A18620" s="0" t="s">
        <v>7843</v>
      </c>
      <c r="B18620" s="0" t="str">
        <f aca="false">HYPERLINK("https://lindat.mff.cuni.cz/services/teitok/pdtc10/index.php?action=vallex&amp;frame=v-whsa_877f1_ZU", "natrefit (v-whsa_877f1_ZU)")</f>
        <v>natrefit (v-whsa_877f1_ZU)</v>
      </c>
    </row>
    <row r="18621" customFormat="false" ht="12.8" hidden="false" customHeight="false" outlineLevel="0" collapsed="false">
      <c r="B18621" s="0" t="s">
        <v>1</v>
      </c>
    </row>
    <row r="18622" customFormat="false" ht="12.8" hidden="false" customHeight="false" outlineLevel="0" collapsed="false">
      <c r="B18622" s="0" t="s">
        <v>45</v>
      </c>
    </row>
    <row r="18624" customFormat="false" ht="12.8" hidden="false" customHeight="false" outlineLevel="0" collapsed="false">
      <c r="A18624" s="0" t="s">
        <v>7843</v>
      </c>
      <c r="B18624" s="0" t="str">
        <f aca="false">HYPERLINK("https://lindat.mff.cuni.cz/services/teitok/pdtc10/index.php?action=vallex&amp;frame=v-whsa_877hsa_878", "natrefit (v-whsa_877hsa_878) - substituted with v-whsa_877f1_ZU")</f>
        <v>natrefit (v-whsa_877hsa_878) - substituted with v-whsa_877f1_ZU</v>
      </c>
    </row>
    <row r="18625" customFormat="false" ht="12.8" hidden="false" customHeight="false" outlineLevel="0" collapsed="false">
      <c r="B18625" s="0" t="s">
        <v>1</v>
      </c>
    </row>
    <row r="18626" customFormat="false" ht="12.8" hidden="false" customHeight="false" outlineLevel="0" collapsed="false">
      <c r="B18626" s="0" t="s">
        <v>45</v>
      </c>
    </row>
    <row r="18628" customFormat="false" ht="12.8" hidden="false" customHeight="false" outlineLevel="0" collapsed="false">
      <c r="A18628" s="0" t="s">
        <v>7844</v>
      </c>
      <c r="B18628" s="0" t="str">
        <f aca="false">HYPERLINK("https://lindat.mff.cuni.cz/services/teitok/pdtc10/index.php?action=vallex&amp;frame=v-whsa_1537hsa_1538", "natrhat (v-whsa_1537hsa_1538)")</f>
        <v>natrhat (v-whsa_1537hsa_1538)</v>
      </c>
    </row>
    <row r="18629" customFormat="false" ht="12.8" hidden="false" customHeight="false" outlineLevel="0" collapsed="false">
      <c r="B18629" s="0" t="s">
        <v>1</v>
      </c>
    </row>
    <row r="18630" customFormat="false" ht="12.8" hidden="false" customHeight="false" outlineLevel="0" collapsed="false">
      <c r="B18630" s="0" t="s">
        <v>8</v>
      </c>
    </row>
    <row r="18632" customFormat="false" ht="12.8" hidden="false" customHeight="false" outlineLevel="0" collapsed="false">
      <c r="A18632" s="0" t="s">
        <v>7845</v>
      </c>
      <c r="B18632" s="0" t="str">
        <f aca="false">HYPERLINK("https://lindat.mff.cuni.cz/services/teitok/pdtc10/index.php?action=vallex&amp;frame=v-w2279f1", "natrhnout (v-w2279f1)")</f>
        <v>natrhnout (v-w2279f1)</v>
      </c>
    </row>
    <row r="18633" customFormat="false" ht="12.8" hidden="false" customHeight="false" outlineLevel="0" collapsed="false">
      <c r="B18633" s="0" t="s">
        <v>1</v>
      </c>
    </row>
    <row r="18634" customFormat="false" ht="12.8" hidden="false" customHeight="false" outlineLevel="0" collapsed="false">
      <c r="B18634" s="0" t="s">
        <v>8</v>
      </c>
    </row>
    <row r="18636" customFormat="false" ht="12.8" hidden="false" customHeight="false" outlineLevel="0" collapsed="false">
      <c r="A18636" s="0" t="s">
        <v>7846</v>
      </c>
      <c r="B18636" s="0" t="str">
        <f aca="false">HYPERLINK("https://lindat.mff.cuni.cz/services/teitok/pdtc10/index.php?action=vallex&amp;frame=v-w2278f1", "natrénovat (v-w2278f1)")</f>
        <v>natrénovat (v-w2278f1)</v>
      </c>
    </row>
    <row r="18637" customFormat="false" ht="12.8" hidden="false" customHeight="false" outlineLevel="0" collapsed="false">
      <c r="B18637" s="0" t="s">
        <v>1</v>
      </c>
    </row>
    <row r="18638" customFormat="false" ht="12.8" hidden="false" customHeight="false" outlineLevel="0" collapsed="false">
      <c r="B18638" s="0" t="s">
        <v>8</v>
      </c>
    </row>
    <row r="18640" customFormat="false" ht="12.8" hidden="false" customHeight="false" outlineLevel="0" collapsed="false">
      <c r="A18640" s="0" t="s">
        <v>7847</v>
      </c>
      <c r="B18640" s="0" t="str">
        <f aca="false">HYPERLINK("https://lindat.mff.cuni.cz/services/teitok/pdtc10/index.php?action=vallex&amp;frame=v-w2282f1", "naturalizovat se (v-w2282f1)")</f>
        <v>naturalizovat se (v-w2282f1)</v>
      </c>
    </row>
    <row r="18641" customFormat="false" ht="12.8" hidden="false" customHeight="false" outlineLevel="0" collapsed="false">
      <c r="B18641" s="0" t="s">
        <v>1</v>
      </c>
    </row>
    <row r="18643" customFormat="false" ht="12.8" hidden="false" customHeight="false" outlineLevel="0" collapsed="false">
      <c r="A18643" s="0" t="s">
        <v>7848</v>
      </c>
      <c r="B18643" s="0" t="str">
        <f aca="false">HYPERLINK("https://lindat.mff.cuni.cz/services/teitok/pdtc10/index.php?action=vallex&amp;frame=v-w2267f1", "natáhnout (v-w2267f1)")</f>
        <v>natáhnout (v-w2267f1)</v>
      </c>
      <c r="E18643" s="0" t="str">
        <f aca="false">HYPERLINK("https://lindat.mff.cuni.cz/services/SynSemClass40/SynSemClass40.html?veclass=vec00914#vec00914-ces-cm00005", "vec00914")</f>
        <v>vec00914</v>
      </c>
      <c r="F18643" s="0" t="s">
        <v>7849</v>
      </c>
    </row>
    <row r="18644" customFormat="false" ht="12.8" hidden="false" customHeight="false" outlineLevel="0" collapsed="false">
      <c r="B18644" s="0" t="s">
        <v>1</v>
      </c>
      <c r="C18644" s="0" t="s">
        <v>459</v>
      </c>
      <c r="E18644" s="0" t="s">
        <v>4581</v>
      </c>
      <c r="F18644" s="0" t="s">
        <v>7850</v>
      </c>
    </row>
    <row r="18645" customFormat="false" ht="12.8" hidden="false" customHeight="false" outlineLevel="0" collapsed="false">
      <c r="B18645" s="0" t="s">
        <v>8</v>
      </c>
      <c r="C18645" s="0" t="s">
        <v>462</v>
      </c>
      <c r="E18645" s="0" t="s">
        <v>1569</v>
      </c>
      <c r="F18645" s="0" t="s">
        <v>7851</v>
      </c>
    </row>
    <row r="18647" customFormat="false" ht="12.8" hidden="false" customHeight="false" outlineLevel="0" collapsed="false">
      <c r="A18647" s="0" t="s">
        <v>7852</v>
      </c>
      <c r="B18647" s="0" t="str">
        <f aca="false">HYPERLINK("https://lindat.mff.cuni.cz/services/teitok/pdtc10/index.php?action=vallex&amp;frame=v-w2267f2_ZU", "natáhnout (v-w2267f2_ZU)")</f>
        <v>natáhnout (v-w2267f2_ZU)</v>
      </c>
    </row>
    <row r="18648" customFormat="false" ht="12.8" hidden="false" customHeight="false" outlineLevel="0" collapsed="false">
      <c r="B18648" s="0" t="s">
        <v>1</v>
      </c>
    </row>
    <row r="18649" customFormat="false" ht="12.8" hidden="false" customHeight="false" outlineLevel="0" collapsed="false">
      <c r="B18649" s="0" t="s">
        <v>8</v>
      </c>
    </row>
    <row r="18651" customFormat="false" ht="12.8" hidden="false" customHeight="false" outlineLevel="0" collapsed="false">
      <c r="A18651" s="0" t="s">
        <v>7852</v>
      </c>
      <c r="B18651" s="0" t="str">
        <f aca="false">HYPERLINK("https://lindat.mff.cuni.cz/services/teitok/pdtc10/index.php?action=vallex&amp;frame=v-w2267hsa_1703", "natáhnout (v-w2267hsa_1703) - substituted with v-w2267f2_ZU")</f>
        <v>natáhnout (v-w2267hsa_1703) - substituted with v-w2267f2_ZU</v>
      </c>
    </row>
    <row r="18652" customFormat="false" ht="12.8" hidden="false" customHeight="false" outlineLevel="0" collapsed="false">
      <c r="B18652" s="0" t="s">
        <v>1</v>
      </c>
    </row>
    <row r="18653" customFormat="false" ht="12.8" hidden="false" customHeight="false" outlineLevel="0" collapsed="false">
      <c r="B18653" s="0" t="s">
        <v>8</v>
      </c>
    </row>
    <row r="18655" customFormat="false" ht="12.8" hidden="false" customHeight="false" outlineLevel="0" collapsed="false">
      <c r="A18655" s="0" t="s">
        <v>7853</v>
      </c>
      <c r="B18655" s="0" t="str">
        <f aca="false">HYPERLINK("https://lindat.mff.cuni.cz/services/teitok/pdtc10/index.php?action=vallex&amp;frame=v-w2267f3_ZU", "natáhnout (v-w2267f3_ZU)")</f>
        <v>natáhnout (v-w2267f3_ZU)</v>
      </c>
    </row>
    <row r="18656" customFormat="false" ht="12.8" hidden="false" customHeight="false" outlineLevel="0" collapsed="false">
      <c r="B18656" s="0" t="s">
        <v>1</v>
      </c>
    </row>
    <row r="18657" customFormat="false" ht="12.8" hidden="false" customHeight="false" outlineLevel="0" collapsed="false">
      <c r="B18657" s="0" t="s">
        <v>8</v>
      </c>
    </row>
    <row r="18659" customFormat="false" ht="12.8" hidden="false" customHeight="false" outlineLevel="0" collapsed="false">
      <c r="A18659" s="0" t="s">
        <v>7854</v>
      </c>
      <c r="B18659" s="0" t="str">
        <f aca="false">HYPERLINK("https://lindat.mff.cuni.cz/services/teitok/pdtc10/index.php?action=vallex&amp;frame=v-w2267hsa_1704", "natáhnout (v-w2267hsa_1704)")</f>
        <v>natáhnout (v-w2267hsa_1704)</v>
      </c>
    </row>
    <row r="18660" customFormat="false" ht="12.8" hidden="false" customHeight="false" outlineLevel="0" collapsed="false">
      <c r="B18660" s="0" t="s">
        <v>1</v>
      </c>
    </row>
    <row r="18661" customFormat="false" ht="12.8" hidden="false" customHeight="false" outlineLevel="0" collapsed="false">
      <c r="B18661" s="0" t="s">
        <v>8</v>
      </c>
    </row>
    <row r="18663" customFormat="false" ht="12.8" hidden="false" customHeight="false" outlineLevel="0" collapsed="false">
      <c r="A18663" s="0" t="s">
        <v>7855</v>
      </c>
      <c r="B18663" s="0" t="str">
        <f aca="false">HYPERLINK("https://lindat.mff.cuni.cz/services/teitok/pdtc10/index.php?action=vallex&amp;frame=v-w11786_ZUf2_ZU", "natáhnout se (v-w11786_ZUf2_ZU)")</f>
        <v>natáhnout se (v-w11786_ZUf2_ZU)</v>
      </c>
    </row>
    <row r="18664" customFormat="false" ht="12.8" hidden="false" customHeight="false" outlineLevel="0" collapsed="false">
      <c r="B18664" s="0" t="s">
        <v>1</v>
      </c>
    </row>
    <row r="18665" customFormat="false" ht="12.8" hidden="false" customHeight="false" outlineLevel="0" collapsed="false">
      <c r="B18665" s="0" t="s">
        <v>454</v>
      </c>
    </row>
    <row r="18667" customFormat="false" ht="12.8" hidden="false" customHeight="false" outlineLevel="0" collapsed="false">
      <c r="A18667" s="0" t="s">
        <v>7855</v>
      </c>
      <c r="B18667" s="0" t="str">
        <f aca="false">HYPERLINK("https://lindat.mff.cuni.cz/services/teitok/pdtc10/index.php?action=vallex&amp;frame=v-w11786_ZUf1_ZU", "natáhnout se (v-w11786_ZUf1_ZU) - substituted with v-w11786_ZUf2_ZU")</f>
        <v>natáhnout se (v-w11786_ZUf1_ZU) - substituted with v-w11786_ZUf2_ZU</v>
      </c>
    </row>
    <row r="18668" customFormat="false" ht="12.8" hidden="false" customHeight="false" outlineLevel="0" collapsed="false">
      <c r="B18668" s="0" t="s">
        <v>1</v>
      </c>
    </row>
    <row r="18669" customFormat="false" ht="12.8" hidden="false" customHeight="false" outlineLevel="0" collapsed="false">
      <c r="B18669" s="0" t="s">
        <v>454</v>
      </c>
    </row>
    <row r="18671" customFormat="false" ht="12.8" hidden="false" customHeight="false" outlineLevel="0" collapsed="false">
      <c r="A18671" s="0" t="s">
        <v>7856</v>
      </c>
      <c r="B18671" s="0" t="str">
        <f aca="false">HYPERLINK("https://lindat.mff.cuni.cz/services/teitok/pdtc10/index.php?action=vallex&amp;frame=v-w11786_ZUf3_ZU", "natáhnout se (v-w11786_ZUf3_ZU)")</f>
        <v>natáhnout se (v-w11786_ZUf3_ZU)</v>
      </c>
    </row>
    <row r="18672" customFormat="false" ht="12.8" hidden="false" customHeight="false" outlineLevel="0" collapsed="false">
      <c r="B18672" s="0" t="s">
        <v>1</v>
      </c>
    </row>
    <row r="18674" customFormat="false" ht="12.8" hidden="false" customHeight="false" outlineLevel="0" collapsed="false">
      <c r="A18674" s="0" t="s">
        <v>7857</v>
      </c>
      <c r="B18674" s="0" t="str">
        <f aca="false">HYPERLINK("https://lindat.mff.cuni.cz/services/teitok/pdtc10/index.php?action=vallex&amp;frame=v-w2266f1", "natáčet (v-w2266f1)")</f>
        <v>natáčet (v-w2266f1)</v>
      </c>
      <c r="E18674" s="0" t="str">
        <f aca="false">HYPERLINK("https://lindat.mff.cuni.cz/services/SynSemClass40/SynSemClass40.html?veclass=vec00640#vec00640-ces-cm00008", "vec00640")</f>
        <v>vec00640</v>
      </c>
      <c r="F18674" s="0" t="s">
        <v>4128</v>
      </c>
    </row>
    <row r="18675" customFormat="false" ht="12.8" hidden="false" customHeight="false" outlineLevel="0" collapsed="false">
      <c r="B18675" s="0" t="s">
        <v>1</v>
      </c>
      <c r="C18675" s="0" t="s">
        <v>4001</v>
      </c>
      <c r="E18675" s="0" t="s">
        <v>768</v>
      </c>
      <c r="F18675" s="0" t="s">
        <v>4129</v>
      </c>
    </row>
    <row r="18676" customFormat="false" ht="12.8" hidden="false" customHeight="false" outlineLevel="0" collapsed="false">
      <c r="B18676" s="0" t="s">
        <v>8</v>
      </c>
      <c r="C18676" s="0" t="s">
        <v>4130</v>
      </c>
      <c r="E18676" s="0" t="s">
        <v>771</v>
      </c>
      <c r="F18676" s="0" t="s">
        <v>4131</v>
      </c>
    </row>
    <row r="18678" customFormat="false" ht="12.8" hidden="false" customHeight="false" outlineLevel="0" collapsed="false">
      <c r="A18678" s="0" t="s">
        <v>7858</v>
      </c>
      <c r="B18678" s="0" t="str">
        <f aca="false">HYPERLINK("https://lindat.mff.cuni.cz/services/teitok/pdtc10/index.php?action=vallex&amp;frame=v-w2266f2_ZU", "natáčet (v-w2266f2_ZU)")</f>
        <v>natáčet (v-w2266f2_ZU)</v>
      </c>
    </row>
    <row r="18679" customFormat="false" ht="12.8" hidden="false" customHeight="false" outlineLevel="0" collapsed="false">
      <c r="B18679" s="0" t="s">
        <v>1</v>
      </c>
    </row>
    <row r="18680" customFormat="false" ht="12.8" hidden="false" customHeight="false" outlineLevel="0" collapsed="false">
      <c r="B18680" s="0" t="s">
        <v>8</v>
      </c>
    </row>
    <row r="18682" customFormat="false" ht="12.8" hidden="false" customHeight="false" outlineLevel="0" collapsed="false">
      <c r="A18682" s="0" t="s">
        <v>7858</v>
      </c>
      <c r="B18682" s="0" t="str">
        <f aca="false">HYPERLINK("https://lindat.mff.cuni.cz/services/teitok/pdtc10/index.php?action=vallex&amp;frame=v-w2266hsa_802", "natáčet (v-w2266hsa_802) - substituted with v-w2266f2_ZU")</f>
        <v>natáčet (v-w2266hsa_802) - substituted with v-w2266f2_ZU</v>
      </c>
    </row>
    <row r="18683" customFormat="false" ht="12.8" hidden="false" customHeight="false" outlineLevel="0" collapsed="false">
      <c r="B18683" s="0" t="s">
        <v>1</v>
      </c>
    </row>
    <row r="18684" customFormat="false" ht="12.8" hidden="false" customHeight="false" outlineLevel="0" collapsed="false">
      <c r="B18684" s="0" t="s">
        <v>8</v>
      </c>
    </row>
    <row r="18686" customFormat="false" ht="12.8" hidden="false" customHeight="false" outlineLevel="0" collapsed="false">
      <c r="A18686" s="0" t="s">
        <v>7859</v>
      </c>
      <c r="B18686" s="0" t="str">
        <f aca="false">HYPERLINK("https://lindat.mff.cuni.cz/services/teitok/pdtc10/index.php?action=vallex&amp;frame=v-w2266hsa_803", "natáčet (v-w2266hsa_803)")</f>
        <v>natáčet (v-w2266hsa_803)</v>
      </c>
    </row>
    <row r="18687" customFormat="false" ht="12.8" hidden="false" customHeight="false" outlineLevel="0" collapsed="false">
      <c r="B18687" s="0" t="s">
        <v>1</v>
      </c>
    </row>
    <row r="18688" customFormat="false" ht="12.8" hidden="false" customHeight="false" outlineLevel="0" collapsed="false">
      <c r="B18688" s="0" t="s">
        <v>8</v>
      </c>
    </row>
    <row r="18690" customFormat="false" ht="12.8" hidden="false" customHeight="false" outlineLevel="0" collapsed="false">
      <c r="A18690" s="0" t="s">
        <v>7860</v>
      </c>
      <c r="B18690" s="0" t="str">
        <f aca="false">HYPERLINK("https://lindat.mff.cuni.cz/services/teitok/pdtc10/index.php?action=vallex&amp;frame=v-w2271f1", "natéci (v-w2271f1)")</f>
        <v>natéci (v-w2271f1)</v>
      </c>
    </row>
    <row r="18691" customFormat="false" ht="12.8" hidden="false" customHeight="false" outlineLevel="0" collapsed="false">
      <c r="B18691" s="0" t="s">
        <v>1</v>
      </c>
    </row>
    <row r="18692" customFormat="false" ht="12.8" hidden="false" customHeight="false" outlineLevel="0" collapsed="false">
      <c r="B18692" s="0" t="s">
        <v>164</v>
      </c>
    </row>
    <row r="18694" customFormat="false" ht="12.8" hidden="false" customHeight="false" outlineLevel="0" collapsed="false">
      <c r="A18694" s="0" t="s">
        <v>7861</v>
      </c>
      <c r="B18694" s="0" t="str">
        <f aca="false">HYPERLINK("https://lindat.mff.cuni.cz/services/teitok/pdtc10/index.php?action=vallex&amp;frame=v-w2271f2", "natéci (v-w2271f2)")</f>
        <v>natéci (v-w2271f2)</v>
      </c>
    </row>
    <row r="18695" customFormat="false" ht="12.8" hidden="false" customHeight="false" outlineLevel="0" collapsed="false">
      <c r="B18695" s="0" t="s">
        <v>1</v>
      </c>
    </row>
    <row r="18697" customFormat="false" ht="12.8" hidden="false" customHeight="false" outlineLevel="0" collapsed="false">
      <c r="A18697" s="0" t="s">
        <v>7862</v>
      </c>
      <c r="B18697" s="0" t="str">
        <f aca="false">HYPERLINK("https://lindat.mff.cuni.cz/services/teitok/pdtc10/index.php?action=vallex&amp;frame=v-whsa_625hsa_626", "natírat (v-whsa_625hsa_626)")</f>
        <v>natírat (v-whsa_625hsa_626)</v>
      </c>
    </row>
    <row r="18698" customFormat="false" ht="12.8" hidden="false" customHeight="false" outlineLevel="0" collapsed="false">
      <c r="B18698" s="0" t="s">
        <v>1</v>
      </c>
    </row>
    <row r="18699" customFormat="false" ht="12.8" hidden="false" customHeight="false" outlineLevel="0" collapsed="false">
      <c r="B18699" s="0" t="s">
        <v>8</v>
      </c>
    </row>
    <row r="18701" customFormat="false" ht="12.8" hidden="false" customHeight="false" outlineLevel="0" collapsed="false">
      <c r="A18701" s="0" t="s">
        <v>7863</v>
      </c>
      <c r="B18701" s="0" t="str">
        <f aca="false">HYPERLINK("https://lindat.mff.cuni.cz/services/teitok/pdtc10/index.php?action=vallex&amp;frame=v-w11309f1", "natěsnat se (v-w11309f1)")</f>
        <v>natěsnat se (v-w11309f1)</v>
      </c>
    </row>
    <row r="18702" customFormat="false" ht="12.8" hidden="false" customHeight="false" outlineLevel="0" collapsed="false">
      <c r="B18702" s="0" t="s">
        <v>1</v>
      </c>
    </row>
    <row r="18703" customFormat="false" ht="12.8" hidden="false" customHeight="false" outlineLevel="0" collapsed="false">
      <c r="B18703" s="0" t="s">
        <v>164</v>
      </c>
    </row>
    <row r="18705" customFormat="false" ht="12.8" hidden="false" customHeight="false" outlineLevel="0" collapsed="false">
      <c r="A18705" s="0" t="s">
        <v>7864</v>
      </c>
      <c r="B18705" s="0" t="str">
        <f aca="false">HYPERLINK("https://lindat.mff.cuni.cz/services/teitok/pdtc10/index.php?action=vallex&amp;frame=v-w11309hsa_1186", "natěsnat se (v-w11309hsa_1186)")</f>
        <v>natěsnat se (v-w11309hsa_1186)</v>
      </c>
      <c r="E18705" s="0" t="str">
        <f aca="false">HYPERLINK("https://lindat.mff.cuni.cz/services/SynSemClass40/SynSemClass40.html?veclass=vec00710#vec00710-ces-cm00013", "vec00710")</f>
        <v>vec00710</v>
      </c>
      <c r="F18705" s="0" t="s">
        <v>5499</v>
      </c>
      <c r="H18705" s="0" t="str">
        <f aca="false">HYPERLINK("https://lindat.mff.cuni.cz/services/SynSemClass40/SynSemClass40.html?veclass=vec00833#vec00833-ces-cm00010", "vec00833")</f>
        <v>vec00833</v>
      </c>
      <c r="I18705" s="0" t="s">
        <v>6223</v>
      </c>
    </row>
    <row r="18706" customFormat="false" ht="12.8" hidden="false" customHeight="false" outlineLevel="0" collapsed="false">
      <c r="B18706" s="0" t="s">
        <v>1</v>
      </c>
      <c r="C18706" s="0" t="s">
        <v>7865</v>
      </c>
      <c r="E18706" s="0" t="s">
        <v>5501</v>
      </c>
      <c r="F18706" s="0" t="s">
        <v>5502</v>
      </c>
      <c r="H18706" s="0" t="s">
        <v>11</v>
      </c>
      <c r="I18706" s="0" t="s">
        <v>6225</v>
      </c>
    </row>
    <row r="18707" customFormat="false" ht="12.8" hidden="false" customHeight="false" outlineLevel="0" collapsed="false">
      <c r="B18707" s="0" t="s">
        <v>5</v>
      </c>
      <c r="C18707" s="0" t="s">
        <v>6226</v>
      </c>
      <c r="E18707" s="0" t="s">
        <v>3254</v>
      </c>
      <c r="F18707" s="0" t="s">
        <v>3255</v>
      </c>
      <c r="H18707" s="0" t="s">
        <v>3254</v>
      </c>
      <c r="I18707" s="0" t="s">
        <v>6227</v>
      </c>
    </row>
    <row r="18709" customFormat="false" ht="12.8" hidden="false" customHeight="false" outlineLevel="0" collapsed="false">
      <c r="A18709" s="0" t="s">
        <v>7866</v>
      </c>
      <c r="B18709" s="0" t="str">
        <f aca="false">HYPERLINK("https://lindat.mff.cuni.cz/services/teitok/pdtc10/index.php?action=vallex&amp;frame=v-whsa_1199hsa_1200", "natřepat (v-whsa_1199hsa_1200)")</f>
        <v>natřepat (v-whsa_1199hsa_1200)</v>
      </c>
    </row>
    <row r="18710" customFormat="false" ht="12.8" hidden="false" customHeight="false" outlineLevel="0" collapsed="false">
      <c r="B18710" s="0" t="s">
        <v>1</v>
      </c>
    </row>
    <row r="18711" customFormat="false" ht="12.8" hidden="false" customHeight="false" outlineLevel="0" collapsed="false">
      <c r="B18711" s="0" t="s">
        <v>186</v>
      </c>
    </row>
    <row r="18713" customFormat="false" ht="12.8" hidden="false" customHeight="false" outlineLevel="0" collapsed="false">
      <c r="A18713" s="0" t="s">
        <v>7867</v>
      </c>
      <c r="B18713" s="0" t="str">
        <f aca="false">HYPERLINK("https://lindat.mff.cuni.cz/services/teitok/pdtc10/index.php?action=vallex&amp;frame=v-w2280f1", "natřít (v-w2280f1)")</f>
        <v>natřít (v-w2280f1)</v>
      </c>
      <c r="E18713" s="0" t="str">
        <f aca="false">HYPERLINK("https://lindat.mff.cuni.cz/services/SynSemClass40/SynSemClass40.html?veclass=vec00638#vec00638-ces-cm00009", "vec00638")</f>
        <v>vec00638</v>
      </c>
      <c r="F18713" s="0" t="s">
        <v>5745</v>
      </c>
    </row>
    <row r="18714" customFormat="false" ht="12.8" hidden="false" customHeight="false" outlineLevel="0" collapsed="false">
      <c r="B18714" s="0" t="s">
        <v>1</v>
      </c>
      <c r="C18714" s="0" t="s">
        <v>447</v>
      </c>
      <c r="E18714" s="0" t="s">
        <v>768</v>
      </c>
      <c r="F18714" s="0" t="s">
        <v>5637</v>
      </c>
    </row>
    <row r="18715" customFormat="false" ht="12.8" hidden="false" customHeight="false" outlineLevel="0" collapsed="false">
      <c r="B18715" s="0" t="s">
        <v>8</v>
      </c>
      <c r="C18715" s="0" t="s">
        <v>1575</v>
      </c>
      <c r="E18715" s="0" t="s">
        <v>771</v>
      </c>
      <c r="F18715" s="0" t="s">
        <v>5746</v>
      </c>
    </row>
    <row r="18717" customFormat="false" ht="12.8" hidden="false" customHeight="false" outlineLevel="0" collapsed="false">
      <c r="A18717" s="0" t="s">
        <v>7868</v>
      </c>
      <c r="B18717" s="0" t="str">
        <f aca="false">HYPERLINK("https://lindat.mff.cuni.cz/services/teitok/pdtc10/index.php?action=vallex&amp;frame=v-w2280f2_ZU", "natřít (v-w2280f2_ZU)")</f>
        <v>natřít (v-w2280f2_ZU)</v>
      </c>
    </row>
    <row r="18718" customFormat="false" ht="12.8" hidden="false" customHeight="false" outlineLevel="0" collapsed="false">
      <c r="B18718" s="0" t="s">
        <v>1</v>
      </c>
    </row>
    <row r="18719" customFormat="false" ht="12.8" hidden="false" customHeight="false" outlineLevel="0" collapsed="false">
      <c r="B18719" s="0" t="s">
        <v>697</v>
      </c>
    </row>
    <row r="18720" customFormat="false" ht="12.8" hidden="false" customHeight="false" outlineLevel="0" collapsed="false">
      <c r="B18720" s="0" t="s">
        <v>186</v>
      </c>
    </row>
    <row r="18722" customFormat="false" ht="12.8" hidden="false" customHeight="false" outlineLevel="0" collapsed="false">
      <c r="A18722" s="0" t="s">
        <v>7869</v>
      </c>
      <c r="B18722" s="0" t="str">
        <f aca="false">HYPERLINK("https://lindat.mff.cuni.cz/services/teitok/pdtc10/index.php?action=vallex&amp;frame=v-w2283f2_ZU", "naučit (v-w2283f2_ZU)")</f>
        <v>naučit (v-w2283f2_ZU)</v>
      </c>
      <c r="E18722" s="0" t="str">
        <f aca="false">HYPERLINK("https://lindat.mff.cuni.cz/services/SynSemClass40/SynSemClass40.html?veclass=vec00531#vec00531-ces-cm00002", "vec00531")</f>
        <v>vec00531</v>
      </c>
      <c r="F18722" s="0" t="s">
        <v>7870</v>
      </c>
    </row>
    <row r="18723" customFormat="false" ht="12.8" hidden="false" customHeight="false" outlineLevel="0" collapsed="false">
      <c r="B18723" s="0" t="s">
        <v>1</v>
      </c>
      <c r="C18723" s="0" t="s">
        <v>4001</v>
      </c>
      <c r="E18723" s="0" t="s">
        <v>206</v>
      </c>
      <c r="F18723" s="0" t="s">
        <v>7871</v>
      </c>
    </row>
    <row r="18724" customFormat="false" ht="12.8" hidden="false" customHeight="false" outlineLevel="0" collapsed="false">
      <c r="B18724" s="0" t="s">
        <v>7872</v>
      </c>
      <c r="C18724" s="0" t="s">
        <v>7873</v>
      </c>
      <c r="E18724" s="0" t="s">
        <v>7874</v>
      </c>
      <c r="F18724" s="0" t="s">
        <v>7875</v>
      </c>
    </row>
    <row r="18725" customFormat="false" ht="12.8" hidden="false" customHeight="false" outlineLevel="0" collapsed="false">
      <c r="B18725" s="0" t="s">
        <v>98</v>
      </c>
      <c r="C18725" s="0" t="s">
        <v>7876</v>
      </c>
      <c r="E18725" s="0" t="s">
        <v>564</v>
      </c>
      <c r="F18725" s="0" t="s">
        <v>7877</v>
      </c>
    </row>
    <row r="18727" customFormat="false" ht="12.8" hidden="false" customHeight="false" outlineLevel="0" collapsed="false">
      <c r="A18727" s="0" t="s">
        <v>7869</v>
      </c>
      <c r="B18727" s="0" t="str">
        <f aca="false">HYPERLINK("https://lindat.mff.cuni.cz/services/teitok/pdtc10/index.php?action=vallex&amp;frame=v-w2283f1", "naučit (v-w2283f1) - substituted with v-w2283f2_ZU")</f>
        <v>naučit (v-w2283f1) - substituted with v-w2283f2_ZU</v>
      </c>
    </row>
    <row r="18728" customFormat="false" ht="12.8" hidden="false" customHeight="false" outlineLevel="0" collapsed="false">
      <c r="B18728" s="0" t="s">
        <v>1</v>
      </c>
    </row>
    <row r="18729" customFormat="false" ht="12.8" hidden="false" customHeight="false" outlineLevel="0" collapsed="false">
      <c r="B18729" s="0" t="s">
        <v>7872</v>
      </c>
    </row>
    <row r="18730" customFormat="false" ht="12.8" hidden="false" customHeight="false" outlineLevel="0" collapsed="false">
      <c r="B18730" s="0" t="s">
        <v>98</v>
      </c>
    </row>
    <row r="18732" customFormat="false" ht="12.8" hidden="false" customHeight="false" outlineLevel="0" collapsed="false">
      <c r="A18732" s="0" t="s">
        <v>7878</v>
      </c>
      <c r="B18732" s="0" t="str">
        <f aca="false">HYPERLINK("https://lindat.mff.cuni.cz/services/teitok/pdtc10/index.php?action=vallex&amp;frame=v-w2284f1", "naučit se (v-w2284f1)")</f>
        <v>naučit se (v-w2284f1)</v>
      </c>
      <c r="E18732" s="0" t="str">
        <f aca="false">HYPERLINK("https://lindat.mff.cuni.cz/services/SynSemClass40/SynSemClass40.html?veclass=vec00013#vec00013-ces-cm00038", "vec00013")</f>
        <v>vec00013</v>
      </c>
      <c r="F18732" s="0" t="s">
        <v>2742</v>
      </c>
    </row>
    <row r="18733" customFormat="false" ht="12.8" hidden="false" customHeight="false" outlineLevel="0" collapsed="false">
      <c r="B18733" s="0" t="s">
        <v>1</v>
      </c>
      <c r="C18733" s="0" t="s">
        <v>2743</v>
      </c>
      <c r="E18733" s="0" t="s">
        <v>621</v>
      </c>
      <c r="F18733" s="0" t="s">
        <v>2744</v>
      </c>
    </row>
    <row r="18734" customFormat="false" ht="12.8" hidden="false" customHeight="false" outlineLevel="0" collapsed="false">
      <c r="B18734" s="0" t="s">
        <v>3069</v>
      </c>
      <c r="C18734" s="0" t="s">
        <v>2748</v>
      </c>
      <c r="E18734" s="0" t="s">
        <v>218</v>
      </c>
      <c r="F18734" s="0" t="s">
        <v>2749</v>
      </c>
    </row>
    <row r="18735" customFormat="false" ht="12.8" hidden="false" customHeight="false" outlineLevel="0" collapsed="false">
      <c r="B18735" s="0" t="s">
        <v>1633</v>
      </c>
      <c r="C18735" s="0" t="s">
        <v>2750</v>
      </c>
      <c r="E18735" s="0" t="s">
        <v>2176</v>
      </c>
      <c r="F18735" s="0" t="s">
        <v>2751</v>
      </c>
    </row>
    <row r="18737" customFormat="false" ht="12.8" hidden="false" customHeight="false" outlineLevel="0" collapsed="false">
      <c r="A18737" s="0" t="s">
        <v>7879</v>
      </c>
      <c r="B18737" s="0" t="str">
        <f aca="false">HYPERLINK("https://lindat.mff.cuni.cz/services/teitok/pdtc10/index.php?action=vallex&amp;frame=v-w2284hsa_1250", "naučit se (v-w2284hsa_1250)")</f>
        <v>naučit se (v-w2284hsa_1250)</v>
      </c>
    </row>
    <row r="18738" customFormat="false" ht="12.8" hidden="false" customHeight="false" outlineLevel="0" collapsed="false">
      <c r="B18738" s="0" t="s">
        <v>1</v>
      </c>
    </row>
    <row r="18739" customFormat="false" ht="12.8" hidden="false" customHeight="false" outlineLevel="0" collapsed="false">
      <c r="B18739" s="0" t="s">
        <v>852</v>
      </c>
    </row>
    <row r="18740" customFormat="false" ht="12.8" hidden="false" customHeight="false" outlineLevel="0" collapsed="false">
      <c r="B18740" s="0" t="s">
        <v>602</v>
      </c>
    </row>
    <row r="18742" customFormat="false" ht="12.8" hidden="false" customHeight="false" outlineLevel="0" collapsed="false">
      <c r="A18742" s="0" t="s">
        <v>7880</v>
      </c>
      <c r="B18742" s="0" t="str">
        <f aca="false">HYPERLINK("https://lindat.mff.cuni.cz/services/teitok/pdtc10/index.php?action=vallex&amp;frame=v-w11502f1", "navalit se (v-w11502f1)")</f>
        <v>navalit se (v-w11502f1)</v>
      </c>
      <c r="E18742" s="0" t="str">
        <f aca="false">HYPERLINK("https://lindat.mff.cuni.cz/services/SynSemClass40/SynSemClass40.html?veclass=vec01499#vec01499-ces-cm00005", "vec01499")</f>
        <v>vec01499</v>
      </c>
      <c r="F18742" s="0" t="s">
        <v>4578</v>
      </c>
    </row>
    <row r="18743" customFormat="false" ht="12.8" hidden="false" customHeight="false" outlineLevel="0" collapsed="false">
      <c r="B18743" s="0" t="s">
        <v>1</v>
      </c>
      <c r="C18743" s="0" t="s">
        <v>7881</v>
      </c>
      <c r="E18743" s="0" t="s">
        <v>4581</v>
      </c>
      <c r="F18743" s="0" t="s">
        <v>4582</v>
      </c>
    </row>
    <row r="18744" customFormat="false" ht="12.8" hidden="false" customHeight="false" outlineLevel="0" collapsed="false">
      <c r="B18744" s="0" t="s">
        <v>45</v>
      </c>
      <c r="C18744" s="0" t="s">
        <v>7882</v>
      </c>
      <c r="E18744" s="0" t="s">
        <v>142</v>
      </c>
      <c r="F18744" s="0" t="s">
        <v>7883</v>
      </c>
    </row>
    <row r="18746" customFormat="false" ht="12.8" hidden="false" customHeight="false" outlineLevel="0" collapsed="false">
      <c r="A18746" s="0" t="s">
        <v>7884</v>
      </c>
      <c r="B18746" s="0" t="str">
        <f aca="false">HYPERLINK("https://lindat.mff.cuni.cz/services/teitok/pdtc10/index.php?action=vallex&amp;frame=v-w2294f3", "navazovat (v-w2294f3)")</f>
        <v>navazovat (v-w2294f3)</v>
      </c>
    </row>
    <row r="18747" customFormat="false" ht="12.8" hidden="false" customHeight="false" outlineLevel="0" collapsed="false">
      <c r="B18747" s="0" t="s">
        <v>1</v>
      </c>
    </row>
    <row r="18748" customFormat="false" ht="12.8" hidden="false" customHeight="false" outlineLevel="0" collapsed="false">
      <c r="B18748" s="0" t="s">
        <v>8</v>
      </c>
    </row>
    <row r="18750" customFormat="false" ht="12.8" hidden="false" customHeight="false" outlineLevel="0" collapsed="false">
      <c r="A18750" s="0" t="s">
        <v>7885</v>
      </c>
      <c r="B18750" s="0" t="str">
        <f aca="false">HYPERLINK("https://lindat.mff.cuni.cz/services/teitok/pdtc10/index.php?action=vallex&amp;frame=v-w2294f4_ZU", "navazovat (v-w2294f4_ZU)")</f>
        <v>navazovat (v-w2294f4_ZU)</v>
      </c>
    </row>
    <row r="18751" customFormat="false" ht="12.8" hidden="false" customHeight="false" outlineLevel="0" collapsed="false">
      <c r="B18751" s="0" t="s">
        <v>1</v>
      </c>
    </row>
    <row r="18752" customFormat="false" ht="12.8" hidden="false" customHeight="false" outlineLevel="0" collapsed="false">
      <c r="B18752" s="0" t="s">
        <v>5848</v>
      </c>
    </row>
    <row r="18754" customFormat="false" ht="12.8" hidden="false" customHeight="false" outlineLevel="0" collapsed="false">
      <c r="A18754" s="0" t="s">
        <v>7885</v>
      </c>
      <c r="B18754" s="0" t="str">
        <f aca="false">HYPERLINK("https://lindat.mff.cuni.cz/services/teitok/pdtc10/index.php?action=vallex&amp;frame=v-w2294f1", "navazovat (v-w2294f1) - substituted with v-w2294f4_ZU")</f>
        <v>navazovat (v-w2294f1) - substituted with v-w2294f4_ZU</v>
      </c>
    </row>
    <row r="18755" customFormat="false" ht="12.8" hidden="false" customHeight="false" outlineLevel="0" collapsed="false">
      <c r="B18755" s="0" t="s">
        <v>1</v>
      </c>
    </row>
    <row r="18756" customFormat="false" ht="12.8" hidden="false" customHeight="false" outlineLevel="0" collapsed="false">
      <c r="B18756" s="0" t="s">
        <v>5848</v>
      </c>
    </row>
    <row r="18758" customFormat="false" ht="12.8" hidden="false" customHeight="false" outlineLevel="0" collapsed="false">
      <c r="A18758" s="0" t="s">
        <v>7886</v>
      </c>
      <c r="B18758" s="0" t="str">
        <f aca="false">HYPERLINK("https://lindat.mff.cuni.cz/services/teitok/pdtc10/index.php?action=vallex&amp;frame=v-w2294f7_ZU", "navazovat (v-w2294f7_ZU)")</f>
        <v>navazovat (v-w2294f7_ZU)</v>
      </c>
    </row>
    <row r="18759" customFormat="false" ht="12.8" hidden="false" customHeight="false" outlineLevel="0" collapsed="false">
      <c r="B18759" s="0" t="s">
        <v>1</v>
      </c>
    </row>
    <row r="18760" customFormat="false" ht="12.8" hidden="false" customHeight="false" outlineLevel="0" collapsed="false">
      <c r="B18760" s="0" t="s">
        <v>7887</v>
      </c>
    </row>
    <row r="18762" customFormat="false" ht="12.8" hidden="false" customHeight="false" outlineLevel="0" collapsed="false">
      <c r="A18762" s="0" t="s">
        <v>7886</v>
      </c>
      <c r="B18762" s="0" t="str">
        <f aca="false">HYPERLINK("https://lindat.mff.cuni.cz/services/teitok/pdtc10/index.php?action=vallex&amp;frame=v-w2294f2", "navazovat (v-w2294f2) - substituted with v-w2294f7_ZU")</f>
        <v>navazovat (v-w2294f2) - substituted with v-w2294f7_ZU</v>
      </c>
    </row>
    <row r="18763" customFormat="false" ht="12.8" hidden="false" customHeight="false" outlineLevel="0" collapsed="false">
      <c r="B18763" s="0" t="s">
        <v>1</v>
      </c>
    </row>
    <row r="18764" customFormat="false" ht="12.8" hidden="false" customHeight="false" outlineLevel="0" collapsed="false">
      <c r="B18764" s="0" t="s">
        <v>7887</v>
      </c>
    </row>
    <row r="18766" customFormat="false" ht="12.8" hidden="false" customHeight="false" outlineLevel="0" collapsed="false">
      <c r="A18766" s="0" t="s">
        <v>7886</v>
      </c>
      <c r="B18766" s="0" t="str">
        <f aca="false">HYPERLINK("https://lindat.mff.cuni.cz/services/teitok/pdtc10/index.php?action=vallex&amp;frame=v-w2294f5_ZU", "navazovat (v-w2294f5_ZU) - substituted with v-w2294f7_ZU")</f>
        <v>navazovat (v-w2294f5_ZU) - substituted with v-w2294f7_ZU</v>
      </c>
    </row>
    <row r="18767" customFormat="false" ht="12.8" hidden="false" customHeight="false" outlineLevel="0" collapsed="false">
      <c r="B18767" s="0" t="s">
        <v>1</v>
      </c>
    </row>
    <row r="18768" customFormat="false" ht="12.8" hidden="false" customHeight="false" outlineLevel="0" collapsed="false">
      <c r="B18768" s="0" t="s">
        <v>7887</v>
      </c>
    </row>
    <row r="18770" customFormat="false" ht="12.8" hidden="false" customHeight="false" outlineLevel="0" collapsed="false">
      <c r="A18770" s="0" t="s">
        <v>7888</v>
      </c>
      <c r="B18770" s="0" t="str">
        <f aca="false">HYPERLINK("https://lindat.mff.cuni.cz/services/teitok/pdtc10/index.php?action=vallex&amp;frame=v-w2294f6_ZU", "navazovat (v-w2294f6_ZU)")</f>
        <v>navazovat (v-w2294f6_ZU)</v>
      </c>
    </row>
    <row r="18771" customFormat="false" ht="12.8" hidden="false" customHeight="false" outlineLevel="0" collapsed="false">
      <c r="B18771" s="0" t="s">
        <v>1</v>
      </c>
    </row>
    <row r="18772" customFormat="false" ht="12.8" hidden="false" customHeight="false" outlineLevel="0" collapsed="false">
      <c r="B18772" s="0" t="s">
        <v>8</v>
      </c>
    </row>
    <row r="18774" customFormat="false" ht="12.8" hidden="false" customHeight="false" outlineLevel="0" collapsed="false">
      <c r="A18774" s="0" t="s">
        <v>7889</v>
      </c>
      <c r="B18774" s="0" t="str">
        <f aca="false">HYPERLINK("https://lindat.mff.cuni.cz/services/teitok/pdtc10/index.php?action=vallex&amp;frame=v-whsa_1080f1_ZU", "navařit (v-whsa_1080f1_ZU)")</f>
        <v>navařit (v-whsa_1080f1_ZU)</v>
      </c>
    </row>
    <row r="18775" customFormat="false" ht="12.8" hidden="false" customHeight="false" outlineLevel="0" collapsed="false">
      <c r="B18775" s="0" t="s">
        <v>1</v>
      </c>
    </row>
    <row r="18776" customFormat="false" ht="12.8" hidden="false" customHeight="false" outlineLevel="0" collapsed="false">
      <c r="B18776" s="0" t="s">
        <v>5032</v>
      </c>
    </row>
    <row r="18777" customFormat="false" ht="12.8" hidden="false" customHeight="false" outlineLevel="0" collapsed="false">
      <c r="B18777" s="0" t="s">
        <v>36</v>
      </c>
    </row>
    <row r="18779" customFormat="false" ht="12.8" hidden="false" customHeight="false" outlineLevel="0" collapsed="false">
      <c r="A18779" s="0" t="s">
        <v>7889</v>
      </c>
      <c r="B18779" s="0" t="str">
        <f aca="false">HYPERLINK("https://lindat.mff.cuni.cz/services/teitok/pdtc10/index.php?action=vallex&amp;frame=v-whsa_1080hsa_1081", "navařit (v-whsa_1080hsa_1081) - substituted with v-whsa_1080f1_ZU")</f>
        <v>navařit (v-whsa_1080hsa_1081) - substituted with v-whsa_1080f1_ZU</v>
      </c>
    </row>
    <row r="18780" customFormat="false" ht="12.8" hidden="false" customHeight="false" outlineLevel="0" collapsed="false">
      <c r="B18780" s="0" t="s">
        <v>1</v>
      </c>
    </row>
    <row r="18781" customFormat="false" ht="12.8" hidden="false" customHeight="false" outlineLevel="0" collapsed="false">
      <c r="B18781" s="0" t="s">
        <v>5032</v>
      </c>
    </row>
    <row r="18782" customFormat="false" ht="12.8" hidden="false" customHeight="false" outlineLevel="0" collapsed="false">
      <c r="B18782" s="0" t="s">
        <v>36</v>
      </c>
    </row>
    <row r="18784" customFormat="false" ht="12.8" hidden="false" customHeight="false" outlineLevel="0" collapsed="false">
      <c r="A18784" s="0" t="s">
        <v>7890</v>
      </c>
      <c r="B18784" s="0" t="str">
        <f aca="false">HYPERLINK("https://lindat.mff.cuni.cz/services/teitok/pdtc10/index.php?action=vallex&amp;frame=v-whsa_1080f2_ZU", "navařit (v-whsa_1080f2_ZU)")</f>
        <v>navařit (v-whsa_1080f2_ZU)</v>
      </c>
    </row>
    <row r="18785" customFormat="false" ht="12.8" hidden="false" customHeight="false" outlineLevel="0" collapsed="false">
      <c r="B18785" s="0" t="s">
        <v>1</v>
      </c>
    </row>
    <row r="18786" customFormat="false" ht="12.8" hidden="false" customHeight="false" outlineLevel="0" collapsed="false">
      <c r="B18786" s="0" t="s">
        <v>8</v>
      </c>
    </row>
    <row r="18788" customFormat="false" ht="12.8" hidden="false" customHeight="false" outlineLevel="0" collapsed="false">
      <c r="A18788" s="0" t="s">
        <v>7891</v>
      </c>
      <c r="B18788" s="0" t="str">
        <f aca="false">HYPERLINK("https://lindat.mff.cuni.cz/services/teitok/pdtc10/index.php?action=vallex&amp;frame=v-w2297f1", "naverbovat (v-w2297f1)")</f>
        <v>naverbovat (v-w2297f1)</v>
      </c>
    </row>
    <row r="18789" customFormat="false" ht="12.8" hidden="false" customHeight="false" outlineLevel="0" collapsed="false">
      <c r="B18789" s="0" t="s">
        <v>1</v>
      </c>
    </row>
    <row r="18790" customFormat="false" ht="12.8" hidden="false" customHeight="false" outlineLevel="0" collapsed="false">
      <c r="B18790" s="0" t="s">
        <v>8</v>
      </c>
    </row>
    <row r="18792" customFormat="false" ht="12.8" hidden="false" customHeight="false" outlineLevel="0" collapsed="false">
      <c r="A18792" s="0" t="s">
        <v>7892</v>
      </c>
      <c r="B18792" s="0" t="str">
        <f aca="false">HYPERLINK("https://lindat.mff.cuni.cz/services/teitok/pdtc10/index.php?action=vallex&amp;frame=v-w2296f1", "navečeřet se (v-w2296f1)")</f>
        <v>navečeřet se (v-w2296f1)</v>
      </c>
    </row>
    <row r="18793" customFormat="false" ht="12.8" hidden="false" customHeight="false" outlineLevel="0" collapsed="false">
      <c r="B18793" s="0" t="s">
        <v>1</v>
      </c>
    </row>
    <row r="18795" customFormat="false" ht="12.8" hidden="false" customHeight="false" outlineLevel="0" collapsed="false">
      <c r="A18795" s="0" t="s">
        <v>7893</v>
      </c>
      <c r="B18795" s="0" t="str">
        <f aca="false">HYPERLINK("https://lindat.mff.cuni.cz/services/teitok/pdtc10/index.php?action=vallex&amp;frame=v-w11760_ZUf1_ZU", "navlhnout (v-w11760_ZUf1_ZU)")</f>
        <v>navlhnout (v-w11760_ZUf1_ZU)</v>
      </c>
    </row>
    <row r="18796" customFormat="false" ht="12.8" hidden="false" customHeight="false" outlineLevel="0" collapsed="false">
      <c r="B18796" s="0" t="s">
        <v>1</v>
      </c>
    </row>
    <row r="18798" customFormat="false" ht="12.8" hidden="false" customHeight="false" outlineLevel="0" collapsed="false">
      <c r="A18798" s="0" t="s">
        <v>7894</v>
      </c>
      <c r="B18798" s="0" t="str">
        <f aca="false">HYPERLINK("https://lindat.mff.cuni.cz/services/teitok/pdtc10/index.php?action=vallex&amp;frame=v-w11846_ZUf1_ZU", "navlékat (v-w11846_ZUf1_ZU)")</f>
        <v>navlékat (v-w11846_ZUf1_ZU)</v>
      </c>
    </row>
    <row r="18799" customFormat="false" ht="12.8" hidden="false" customHeight="false" outlineLevel="0" collapsed="false">
      <c r="B18799" s="0" t="s">
        <v>1</v>
      </c>
    </row>
    <row r="18800" customFormat="false" ht="12.8" hidden="false" customHeight="false" outlineLevel="0" collapsed="false">
      <c r="B18800" s="0" t="s">
        <v>8</v>
      </c>
    </row>
    <row r="18801" customFormat="false" ht="12.8" hidden="false" customHeight="false" outlineLevel="0" collapsed="false">
      <c r="B18801" s="0" t="s">
        <v>52</v>
      </c>
    </row>
    <row r="18803" customFormat="false" ht="12.8" hidden="false" customHeight="false" outlineLevel="0" collapsed="false">
      <c r="A18803" s="0" t="s">
        <v>7895</v>
      </c>
      <c r="B18803" s="0" t="str">
        <f aca="false">HYPERLINK("https://lindat.mff.cuni.cz/services/teitok/pdtc10/index.php?action=vallex&amp;frame=v-w11846_ZUf2_ZU", "navlékat (v-w11846_ZUf2_ZU)")</f>
        <v>navlékat (v-w11846_ZUf2_ZU)</v>
      </c>
    </row>
    <row r="18804" customFormat="false" ht="12.8" hidden="false" customHeight="false" outlineLevel="0" collapsed="false">
      <c r="B18804" s="0" t="s">
        <v>1</v>
      </c>
    </row>
    <row r="18805" customFormat="false" ht="12.8" hidden="false" customHeight="false" outlineLevel="0" collapsed="false">
      <c r="B18805" s="0" t="s">
        <v>8</v>
      </c>
    </row>
    <row r="18807" customFormat="false" ht="12.8" hidden="false" customHeight="false" outlineLevel="0" collapsed="false">
      <c r="A18807" s="0" t="s">
        <v>7896</v>
      </c>
      <c r="B18807" s="0" t="str">
        <f aca="false">HYPERLINK("https://lindat.mff.cuni.cz/services/teitok/pdtc10/index.php?action=vallex&amp;frame=v-w2298f1", "navléknout (v-w2298f1)")</f>
        <v>navléknout (v-w2298f1)</v>
      </c>
    </row>
    <row r="18808" customFormat="false" ht="12.8" hidden="false" customHeight="false" outlineLevel="0" collapsed="false">
      <c r="B18808" s="0" t="s">
        <v>1</v>
      </c>
    </row>
    <row r="18809" customFormat="false" ht="12.8" hidden="false" customHeight="false" outlineLevel="0" collapsed="false">
      <c r="B18809" s="0" t="s">
        <v>8</v>
      </c>
    </row>
    <row r="18810" customFormat="false" ht="12.8" hidden="false" customHeight="false" outlineLevel="0" collapsed="false">
      <c r="B18810" s="0" t="s">
        <v>52</v>
      </c>
    </row>
    <row r="18812" customFormat="false" ht="12.8" hidden="false" customHeight="false" outlineLevel="0" collapsed="false">
      <c r="A18812" s="0" t="s">
        <v>7897</v>
      </c>
      <c r="B18812" s="0" t="str">
        <f aca="false">HYPERLINK("https://lindat.mff.cuni.cz/services/teitok/pdtc10/index.php?action=vallex&amp;frame=v-w2298f2_ZU", "navléknout (v-w2298f2_ZU)")</f>
        <v>navléknout (v-w2298f2_ZU)</v>
      </c>
    </row>
    <row r="18813" customFormat="false" ht="12.8" hidden="false" customHeight="false" outlineLevel="0" collapsed="false">
      <c r="B18813" s="0" t="s">
        <v>1</v>
      </c>
    </row>
    <row r="18814" customFormat="false" ht="12.8" hidden="false" customHeight="false" outlineLevel="0" collapsed="false">
      <c r="B18814" s="0" t="s">
        <v>8</v>
      </c>
    </row>
    <row r="18815" customFormat="false" ht="12.8" hidden="false" customHeight="false" outlineLevel="0" collapsed="false">
      <c r="B18815" s="0" t="s">
        <v>245</v>
      </c>
    </row>
    <row r="18817" customFormat="false" ht="12.8" hidden="false" customHeight="false" outlineLevel="0" collapsed="false">
      <c r="A18817" s="0" t="s">
        <v>7898</v>
      </c>
      <c r="B18817" s="0" t="str">
        <f aca="false">HYPERLINK("https://lindat.mff.cuni.cz/services/teitok/pdtc10/index.php?action=vallex&amp;frame=v-w2298hsa_55", "navléknout (v-w2298hsa_55)")</f>
        <v>navléknout (v-w2298hsa_55)</v>
      </c>
    </row>
    <row r="18818" customFormat="false" ht="12.8" hidden="false" customHeight="false" outlineLevel="0" collapsed="false">
      <c r="B18818" s="0" t="s">
        <v>1</v>
      </c>
    </row>
    <row r="18819" customFormat="false" ht="12.8" hidden="false" customHeight="false" outlineLevel="0" collapsed="false">
      <c r="B18819" s="0" t="s">
        <v>8</v>
      </c>
    </row>
    <row r="18820" customFormat="false" ht="12.8" hidden="false" customHeight="false" outlineLevel="0" collapsed="false">
      <c r="B18820" s="0" t="s">
        <v>164</v>
      </c>
    </row>
    <row r="18822" customFormat="false" ht="12.8" hidden="false" customHeight="false" outlineLevel="0" collapsed="false">
      <c r="A18822" s="0" t="s">
        <v>7899</v>
      </c>
      <c r="B18822" s="0" t="str">
        <f aca="false">HYPERLINK("https://lindat.mff.cuni.cz/services/teitok/pdtc10/index.php?action=vallex&amp;frame=v-w12294_MMf1_MM", "navlíknout (v-w12294_MMf1_MM)")</f>
        <v>navlíknout (v-w12294_MMf1_MM)</v>
      </c>
    </row>
    <row r="18823" customFormat="false" ht="12.8" hidden="false" customHeight="false" outlineLevel="0" collapsed="false">
      <c r="B18823" s="0" t="s">
        <v>1</v>
      </c>
    </row>
    <row r="18824" customFormat="false" ht="12.8" hidden="false" customHeight="false" outlineLevel="0" collapsed="false">
      <c r="B18824" s="0" t="s">
        <v>8</v>
      </c>
    </row>
    <row r="18825" customFormat="false" ht="12.8" hidden="false" customHeight="false" outlineLevel="0" collapsed="false">
      <c r="B18825" s="0" t="s">
        <v>52</v>
      </c>
    </row>
    <row r="18827" customFormat="false" ht="12.8" hidden="false" customHeight="false" outlineLevel="0" collapsed="false">
      <c r="A18827" s="0" t="s">
        <v>7900</v>
      </c>
      <c r="B18827" s="0" t="str">
        <f aca="false">HYPERLINK("https://lindat.mff.cuni.cz/services/teitok/pdtc10/index.php?action=vallex&amp;frame=v-w12294_MMf2_MM", "navlíknout (v-w12294_MMf2_MM)")</f>
        <v>navlíknout (v-w12294_MMf2_MM)</v>
      </c>
    </row>
    <row r="18828" customFormat="false" ht="12.8" hidden="false" customHeight="false" outlineLevel="0" collapsed="false">
      <c r="B18828" s="0" t="s">
        <v>1</v>
      </c>
    </row>
    <row r="18829" customFormat="false" ht="12.8" hidden="false" customHeight="false" outlineLevel="0" collapsed="false">
      <c r="B18829" s="0" t="s">
        <v>8</v>
      </c>
    </row>
    <row r="18830" customFormat="false" ht="12.8" hidden="false" customHeight="false" outlineLevel="0" collapsed="false">
      <c r="B18830" s="0" t="s">
        <v>245</v>
      </c>
    </row>
    <row r="18832" customFormat="false" ht="12.8" hidden="false" customHeight="false" outlineLevel="0" collapsed="false">
      <c r="A18832" s="0" t="s">
        <v>7901</v>
      </c>
      <c r="B18832" s="0" t="str">
        <f aca="false">HYPERLINK("https://lindat.mff.cuni.cz/services/teitok/pdtc10/index.php?action=vallex&amp;frame=v-w12294_MMf3_MM", "navlíknout (v-w12294_MMf3_MM)")</f>
        <v>navlíknout (v-w12294_MMf3_MM)</v>
      </c>
    </row>
    <row r="18833" customFormat="false" ht="12.8" hidden="false" customHeight="false" outlineLevel="0" collapsed="false">
      <c r="B18833" s="0" t="s">
        <v>1</v>
      </c>
    </row>
    <row r="18834" customFormat="false" ht="12.8" hidden="false" customHeight="false" outlineLevel="0" collapsed="false">
      <c r="B18834" s="0" t="s">
        <v>8</v>
      </c>
    </row>
    <row r="18835" customFormat="false" ht="12.8" hidden="false" customHeight="false" outlineLevel="0" collapsed="false">
      <c r="B18835" s="0" t="s">
        <v>52</v>
      </c>
    </row>
    <row r="18837" customFormat="false" ht="12.8" hidden="false" customHeight="false" outlineLevel="0" collapsed="false">
      <c r="A18837" s="0" t="s">
        <v>7902</v>
      </c>
      <c r="B18837" s="0" t="str">
        <f aca="false">HYPERLINK("https://lindat.mff.cuni.cz/services/teitok/pdtc10/index.php?action=vallex&amp;frame=v-w2300f1", "navodit (v-w2300f1)")</f>
        <v>navodit (v-w2300f1)</v>
      </c>
    </row>
    <row r="18838" customFormat="false" ht="12.8" hidden="false" customHeight="false" outlineLevel="0" collapsed="false">
      <c r="B18838" s="0" t="s">
        <v>1</v>
      </c>
    </row>
    <row r="18839" customFormat="false" ht="12.8" hidden="false" customHeight="false" outlineLevel="0" collapsed="false">
      <c r="B18839" s="0" t="s">
        <v>8</v>
      </c>
    </row>
    <row r="18841" customFormat="false" ht="12.8" hidden="false" customHeight="false" outlineLevel="0" collapsed="false">
      <c r="A18841" s="0" t="s">
        <v>7903</v>
      </c>
      <c r="B18841" s="0" t="str">
        <f aca="false">HYPERLINK("https://lindat.mff.cuni.cz/services/teitok/pdtc10/index.php?action=vallex&amp;frame=v-w2300hsa_412", "navodit (v-w2300hsa_412)")</f>
        <v>navodit (v-w2300hsa_412)</v>
      </c>
      <c r="E18841" s="0" t="str">
        <f aca="false">HYPERLINK("https://lindat.mff.cuni.cz/services/SynSemClass40/SynSemClass40.html?veclass=vec00196#vec00196-ces-cm00041", "vec00196")</f>
        <v>vec00196</v>
      </c>
      <c r="F18841" s="0" t="s">
        <v>749</v>
      </c>
    </row>
    <row r="18842" customFormat="false" ht="12.8" hidden="false" customHeight="false" outlineLevel="0" collapsed="false">
      <c r="B18842" s="0" t="s">
        <v>1</v>
      </c>
      <c r="C18842" s="0" t="s">
        <v>750</v>
      </c>
      <c r="E18842" s="0" t="s">
        <v>76</v>
      </c>
      <c r="F18842" s="0" t="s">
        <v>751</v>
      </c>
    </row>
    <row r="18843" customFormat="false" ht="12.8" hidden="false" customHeight="false" outlineLevel="0" collapsed="false">
      <c r="B18843" s="0" t="s">
        <v>7904</v>
      </c>
      <c r="C18843" s="0" t="s">
        <v>753</v>
      </c>
      <c r="E18843" s="0" t="s">
        <v>754</v>
      </c>
      <c r="F18843" s="0" t="s">
        <v>755</v>
      </c>
    </row>
    <row r="18844" customFormat="false" ht="12.8" hidden="false" customHeight="false" outlineLevel="0" collapsed="false">
      <c r="B18844" s="0" t="s">
        <v>5</v>
      </c>
      <c r="C18844" s="0" t="s">
        <v>756</v>
      </c>
      <c r="E18844" s="0" t="s">
        <v>757</v>
      </c>
      <c r="F18844" s="0" t="s">
        <v>758</v>
      </c>
    </row>
    <row r="18846" customFormat="false" ht="12.8" hidden="false" customHeight="false" outlineLevel="0" collapsed="false">
      <c r="A18846" s="0" t="s">
        <v>7903</v>
      </c>
      <c r="B18846" s="0" t="str">
        <f aca="false">HYPERLINK("https://lindat.mff.cuni.cz/services/teitok/pdtc10/index.php?action=vallex&amp;frame=v-w2300f2", "navodit (v-w2300f2) - substituted with v-w2300hsa_412")</f>
        <v>navodit (v-w2300f2) - substituted with v-w2300hsa_412</v>
      </c>
    </row>
    <row r="18847" customFormat="false" ht="12.8" hidden="false" customHeight="false" outlineLevel="0" collapsed="false">
      <c r="B18847" s="0" t="s">
        <v>1</v>
      </c>
    </row>
    <row r="18848" customFormat="false" ht="12.8" hidden="false" customHeight="false" outlineLevel="0" collapsed="false">
      <c r="B18848" s="0" t="s">
        <v>7904</v>
      </c>
    </row>
    <row r="18849" customFormat="false" ht="12.8" hidden="false" customHeight="false" outlineLevel="0" collapsed="false">
      <c r="B18849" s="0" t="s">
        <v>5</v>
      </c>
    </row>
    <row r="18851" customFormat="false" ht="12.8" hidden="false" customHeight="false" outlineLevel="0" collapsed="false">
      <c r="A18851" s="0" t="s">
        <v>7905</v>
      </c>
      <c r="B18851" s="0" t="str">
        <f aca="false">HYPERLINK("https://lindat.mff.cuni.cz/services/teitok/pdtc10/index.php?action=vallex&amp;frame=v-w12296_MMf1_MM", "navonět (v-w12296_MMf1_MM)")</f>
        <v>navonět (v-w12296_MMf1_MM)</v>
      </c>
    </row>
    <row r="18852" customFormat="false" ht="12.8" hidden="false" customHeight="false" outlineLevel="0" collapsed="false">
      <c r="B18852" s="0" t="s">
        <v>1</v>
      </c>
    </row>
    <row r="18853" customFormat="false" ht="12.8" hidden="false" customHeight="false" outlineLevel="0" collapsed="false">
      <c r="B18853" s="0" t="s">
        <v>8</v>
      </c>
    </row>
    <row r="18855" customFormat="false" ht="12.8" hidden="false" customHeight="false" outlineLevel="0" collapsed="false">
      <c r="A18855" s="0" t="s">
        <v>7906</v>
      </c>
      <c r="B18855" s="0" t="str">
        <f aca="false">HYPERLINK("https://lindat.mff.cuni.cz/services/teitok/pdtc10/index.php?action=vallex&amp;frame=v-w12258_ZUf1_ZU", "navozit (v-w12258_ZUf1_ZU)")</f>
        <v>navozit (v-w12258_ZUf1_ZU)</v>
      </c>
    </row>
    <row r="18856" customFormat="false" ht="12.8" hidden="false" customHeight="false" outlineLevel="0" collapsed="false">
      <c r="B18856" s="0" t="s">
        <v>1</v>
      </c>
    </row>
    <row r="18857" customFormat="false" ht="12.8" hidden="false" customHeight="false" outlineLevel="0" collapsed="false">
      <c r="B18857" s="0" t="s">
        <v>8</v>
      </c>
    </row>
    <row r="18859" customFormat="false" ht="12.8" hidden="false" customHeight="false" outlineLevel="0" collapsed="false">
      <c r="A18859" s="0" t="s">
        <v>7907</v>
      </c>
      <c r="B18859" s="0" t="str">
        <f aca="false">HYPERLINK("https://lindat.mff.cuni.cz/services/teitok/pdtc10/index.php?action=vallex&amp;frame=v-w2301hsa_707", "navozovat (v-w2301hsa_707)")</f>
        <v>navozovat (v-w2301hsa_707)</v>
      </c>
      <c r="E18859" s="0" t="str">
        <f aca="false">HYPERLINK("https://lindat.mff.cuni.cz/services/SynSemClass40/SynSemClass40.html?veclass=vec00196#vec00196-ces-cm00042", "vec00196")</f>
        <v>vec00196</v>
      </c>
      <c r="F18859" s="0" t="s">
        <v>749</v>
      </c>
    </row>
    <row r="18860" customFormat="false" ht="12.8" hidden="false" customHeight="false" outlineLevel="0" collapsed="false">
      <c r="B18860" s="0" t="s">
        <v>1</v>
      </c>
      <c r="C18860" s="0" t="s">
        <v>750</v>
      </c>
      <c r="E18860" s="0" t="s">
        <v>76</v>
      </c>
      <c r="F18860" s="0" t="s">
        <v>751</v>
      </c>
    </row>
    <row r="18861" customFormat="false" ht="12.8" hidden="false" customHeight="false" outlineLevel="0" collapsed="false">
      <c r="B18861" s="0" t="s">
        <v>7908</v>
      </c>
      <c r="C18861" s="0" t="s">
        <v>753</v>
      </c>
      <c r="E18861" s="0" t="s">
        <v>754</v>
      </c>
      <c r="F18861" s="0" t="s">
        <v>755</v>
      </c>
    </row>
    <row r="18862" customFormat="false" ht="12.8" hidden="false" customHeight="false" outlineLevel="0" collapsed="false">
      <c r="B18862" s="0" t="s">
        <v>5</v>
      </c>
      <c r="C18862" s="0" t="s">
        <v>756</v>
      </c>
      <c r="E18862" s="0" t="s">
        <v>757</v>
      </c>
      <c r="F18862" s="0" t="s">
        <v>758</v>
      </c>
    </row>
    <row r="18864" customFormat="false" ht="12.8" hidden="false" customHeight="false" outlineLevel="0" collapsed="false">
      <c r="A18864" s="0" t="s">
        <v>7907</v>
      </c>
      <c r="B18864" s="0" t="str">
        <f aca="false">HYPERLINK("https://lindat.mff.cuni.cz/services/teitok/pdtc10/index.php?action=vallex&amp;frame=v-w2301f1", "navozovat (v-w2301f1) - substituted with v-w2301hsa_707")</f>
        <v>navozovat (v-w2301f1) - substituted with v-w2301hsa_707</v>
      </c>
    </row>
    <row r="18865" customFormat="false" ht="12.8" hidden="false" customHeight="false" outlineLevel="0" collapsed="false">
      <c r="B18865" s="0" t="s">
        <v>1</v>
      </c>
    </row>
    <row r="18866" customFormat="false" ht="12.8" hidden="false" customHeight="false" outlineLevel="0" collapsed="false">
      <c r="B18866" s="0" t="s">
        <v>7908</v>
      </c>
    </row>
    <row r="18867" customFormat="false" ht="12.8" hidden="false" customHeight="false" outlineLevel="0" collapsed="false">
      <c r="B18867" s="0" t="s">
        <v>5</v>
      </c>
    </row>
    <row r="18869" customFormat="false" ht="12.8" hidden="false" customHeight="false" outlineLevel="0" collapsed="false">
      <c r="A18869" s="0" t="s">
        <v>7909</v>
      </c>
      <c r="B18869" s="0" t="str">
        <f aca="false">HYPERLINK("https://lindat.mff.cuni.cz/services/teitok/pdtc10/index.php?action=vallex&amp;frame=v-w2304f1", "navracet (v-w2304f1)")</f>
        <v>navracet (v-w2304f1)</v>
      </c>
      <c r="E18869" s="0" t="str">
        <f aca="false">HYPERLINK("https://lindat.mff.cuni.cz/services/SynSemClass40/SynSemClass40.html?veclass=vec00745#vec00745-ces-cm00136", "vec00745")</f>
        <v>vec00745</v>
      </c>
      <c r="F18869" s="0" t="s">
        <v>7910</v>
      </c>
    </row>
    <row r="18870" customFormat="false" ht="12.8" hidden="false" customHeight="false" outlineLevel="0" collapsed="false">
      <c r="B18870" s="0" t="s">
        <v>1</v>
      </c>
      <c r="C18870" s="0" t="s">
        <v>7911</v>
      </c>
      <c r="E18870" s="0" t="s">
        <v>7912</v>
      </c>
      <c r="F18870" s="0" t="s">
        <v>7913</v>
      </c>
    </row>
    <row r="18871" customFormat="false" ht="12.8" hidden="false" customHeight="false" outlineLevel="0" collapsed="false">
      <c r="B18871" s="0" t="s">
        <v>8</v>
      </c>
      <c r="C18871" s="0" t="s">
        <v>7914</v>
      </c>
      <c r="E18871" s="0" t="s">
        <v>7915</v>
      </c>
      <c r="F18871" s="0" t="s">
        <v>7916</v>
      </c>
    </row>
    <row r="18872" customFormat="false" ht="12.8" hidden="false" customHeight="false" outlineLevel="0" collapsed="false">
      <c r="B18872" s="0" t="s">
        <v>52</v>
      </c>
      <c r="C18872" s="0" t="s">
        <v>7917</v>
      </c>
      <c r="E18872" s="0" t="s">
        <v>7918</v>
      </c>
      <c r="F18872" s="0" t="s">
        <v>7919</v>
      </c>
    </row>
    <row r="18874" customFormat="false" ht="12.8" hidden="false" customHeight="false" outlineLevel="0" collapsed="false">
      <c r="A18874" s="0" t="s">
        <v>7920</v>
      </c>
      <c r="B18874" s="0" t="str">
        <f aca="false">HYPERLINK("https://lindat.mff.cuni.cz/services/teitok/pdtc10/index.php?action=vallex&amp;frame=v-w2304f2", "navracet (v-w2304f2)")</f>
        <v>navracet (v-w2304f2)</v>
      </c>
      <c r="E18874" s="0" t="str">
        <f aca="false">HYPERLINK("https://lindat.mff.cuni.cz/services/SynSemClass40/SynSemClass40.html?veclass=vec00745#vec00745-ces-cm00137", "vec00745")</f>
        <v>vec00745</v>
      </c>
      <c r="F18874" s="0" t="s">
        <v>7910</v>
      </c>
      <c r="H18874" s="0" t="str">
        <f aca="false">HYPERLINK("https://lindat.mff.cuni.cz/services/SynSemClass40/SynSemClass40.html?veclass=vec01437#vec01437-ces-cm00001", "vec01437")</f>
        <v>vec01437</v>
      </c>
      <c r="I18874" s="0" t="s">
        <v>7921</v>
      </c>
    </row>
    <row r="18875" customFormat="false" ht="12.8" hidden="false" customHeight="false" outlineLevel="0" collapsed="false">
      <c r="B18875" s="0" t="s">
        <v>1</v>
      </c>
      <c r="C18875" s="0" t="s">
        <v>7922</v>
      </c>
      <c r="E18875" s="0" t="s">
        <v>7912</v>
      </c>
      <c r="F18875" s="0" t="s">
        <v>7913</v>
      </c>
      <c r="H18875" s="0" t="s">
        <v>206</v>
      </c>
      <c r="I18875" s="0" t="s">
        <v>7923</v>
      </c>
    </row>
    <row r="18876" customFormat="false" ht="12.8" hidden="false" customHeight="false" outlineLevel="0" collapsed="false">
      <c r="B18876" s="0" t="s">
        <v>8</v>
      </c>
      <c r="C18876" s="0" t="s">
        <v>7924</v>
      </c>
      <c r="E18876" s="0" t="s">
        <v>7915</v>
      </c>
      <c r="F18876" s="0" t="s">
        <v>7916</v>
      </c>
      <c r="H18876" s="0" t="s">
        <v>7925</v>
      </c>
      <c r="I18876" s="0" t="s">
        <v>7926</v>
      </c>
    </row>
    <row r="18877" customFormat="false" ht="12.8" hidden="false" customHeight="false" outlineLevel="0" collapsed="false">
      <c r="B18877" s="0" t="s">
        <v>164</v>
      </c>
      <c r="C18877" s="0" t="s">
        <v>7927</v>
      </c>
      <c r="E18877" s="0" t="s">
        <v>7928</v>
      </c>
      <c r="F18877" s="0" t="s">
        <v>7929</v>
      </c>
      <c r="H18877" s="0" t="s">
        <v>7930</v>
      </c>
      <c r="I18877" s="0" t="s">
        <v>7931</v>
      </c>
    </row>
    <row r="18879" customFormat="false" ht="12.8" hidden="false" customHeight="false" outlineLevel="0" collapsed="false">
      <c r="A18879" s="0" t="s">
        <v>7932</v>
      </c>
      <c r="B18879" s="0" t="str">
        <f aca="false">HYPERLINK("https://lindat.mff.cuni.cz/services/teitok/pdtc10/index.php?action=vallex&amp;frame=v-w11352f1", "navracet se (v-w11352f1)")</f>
        <v>navracet se (v-w11352f1)</v>
      </c>
      <c r="E18879" s="0" t="str">
        <f aca="false">HYPERLINK("https://lindat.mff.cuni.cz/services/SynSemClass40/SynSemClass40.html?veclass=vec00744#vec00744-ces-cm00003", "vec00744")</f>
        <v>vec00744</v>
      </c>
      <c r="F18879" s="0" t="s">
        <v>7933</v>
      </c>
    </row>
    <row r="18880" customFormat="false" ht="12.8" hidden="false" customHeight="false" outlineLevel="0" collapsed="false">
      <c r="B18880" s="0" t="s">
        <v>1</v>
      </c>
      <c r="C18880" s="0" t="s">
        <v>7934</v>
      </c>
      <c r="E18880" s="0" t="s">
        <v>11</v>
      </c>
      <c r="F18880" s="0" t="s">
        <v>7935</v>
      </c>
    </row>
    <row r="18881" customFormat="false" ht="12.8" hidden="false" customHeight="false" outlineLevel="0" collapsed="false">
      <c r="B18881" s="0" t="s">
        <v>361</v>
      </c>
      <c r="C18881" s="0" t="s">
        <v>7936</v>
      </c>
      <c r="E18881" s="0" t="s">
        <v>7937</v>
      </c>
      <c r="F18881" s="0" t="s">
        <v>7938</v>
      </c>
    </row>
    <row r="18883" customFormat="false" ht="12.8" hidden="false" customHeight="false" outlineLevel="0" collapsed="false">
      <c r="A18883" s="0" t="s">
        <v>7939</v>
      </c>
      <c r="B18883" s="0" t="str">
        <f aca="false">HYPERLINK("https://lindat.mff.cuni.cz/services/teitok/pdtc10/index.php?action=vallex&amp;frame=v-w11352f2", "navracet se (v-w11352f2)")</f>
        <v>navracet se (v-w11352f2)</v>
      </c>
      <c r="E18883" s="0" t="str">
        <f aca="false">HYPERLINK("https://lindat.mff.cuni.cz/services/SynSemClass40/SynSemClass40.html?veclass=vec00218#vec00218-ces-cm00233", "vec00218")</f>
        <v>vec00218</v>
      </c>
      <c r="F18883" s="0" t="s">
        <v>2143</v>
      </c>
    </row>
    <row r="18884" customFormat="false" ht="12.8" hidden="false" customHeight="false" outlineLevel="0" collapsed="false">
      <c r="B18884" s="0" t="s">
        <v>1</v>
      </c>
      <c r="C18884" s="0" t="s">
        <v>2144</v>
      </c>
      <c r="E18884" s="0" t="s">
        <v>11</v>
      </c>
      <c r="F18884" s="0" t="s">
        <v>2145</v>
      </c>
    </row>
    <row r="18885" customFormat="false" ht="12.8" hidden="false" customHeight="false" outlineLevel="0" collapsed="false">
      <c r="B18885" s="0" t="s">
        <v>454</v>
      </c>
      <c r="C18885" s="0" t="s">
        <v>2146</v>
      </c>
      <c r="E18885" s="0" t="s">
        <v>370</v>
      </c>
      <c r="F18885" s="0" t="s">
        <v>2147</v>
      </c>
    </row>
    <row r="18887" customFormat="false" ht="12.8" hidden="false" customHeight="false" outlineLevel="0" collapsed="false">
      <c r="A18887" s="0" t="s">
        <v>7940</v>
      </c>
      <c r="B18887" s="0" t="str">
        <f aca="false">HYPERLINK("https://lindat.mff.cuni.cz/services/teitok/pdtc10/index.php?action=vallex&amp;frame=v-w2310f1", "navrhnout (v-w2310f1)")</f>
        <v>navrhnout (v-w2310f1)</v>
      </c>
      <c r="E18887" s="0" t="str">
        <f aca="false">HYPERLINK("https://lindat.mff.cuni.cz/services/SynSemClass40/SynSemClass40.html?veclass=vec00039#vec00039-ces-cm00005", "vec00039")</f>
        <v>vec00039</v>
      </c>
      <c r="F18887" s="0" t="s">
        <v>2618</v>
      </c>
    </row>
    <row r="18888" customFormat="false" ht="12.8" hidden="false" customHeight="false" outlineLevel="0" collapsed="false">
      <c r="B18888" s="0" t="s">
        <v>1</v>
      </c>
      <c r="C18888" s="0" t="s">
        <v>1992</v>
      </c>
      <c r="E18888" s="0" t="s">
        <v>2619</v>
      </c>
      <c r="F18888" s="0" t="s">
        <v>2620</v>
      </c>
    </row>
    <row r="18889" customFormat="false" ht="12.8" hidden="false" customHeight="false" outlineLevel="0" collapsed="false">
      <c r="B18889" s="0" t="s">
        <v>7941</v>
      </c>
      <c r="C18889" s="0" t="s">
        <v>2621</v>
      </c>
      <c r="E18889" s="0" t="s">
        <v>66</v>
      </c>
      <c r="F18889" s="0" t="s">
        <v>2622</v>
      </c>
    </row>
    <row r="18890" customFormat="false" ht="12.8" hidden="false" customHeight="false" outlineLevel="0" collapsed="false">
      <c r="B18890" s="0" t="s">
        <v>52</v>
      </c>
      <c r="C18890" s="0" t="s">
        <v>7942</v>
      </c>
      <c r="E18890" s="0" t="s">
        <v>564</v>
      </c>
      <c r="F18890" s="0" t="s">
        <v>7943</v>
      </c>
    </row>
    <row r="18892" customFormat="false" ht="12.8" hidden="false" customHeight="false" outlineLevel="0" collapsed="false">
      <c r="A18892" s="0" t="s">
        <v>7944</v>
      </c>
      <c r="B18892" s="0" t="str">
        <f aca="false">HYPERLINK("https://lindat.mff.cuni.cz/services/teitok/pdtc10/index.php?action=vallex&amp;frame=v-w2310f2", "navrhnout (v-w2310f2)")</f>
        <v>navrhnout (v-w2310f2)</v>
      </c>
      <c r="E18892" s="0" t="str">
        <f aca="false">HYPERLINK("https://lindat.mff.cuni.cz/services/SynSemClass40/SynSemClass40.html?veclass=vec00039#vec00039-ces-cm00001", "vec00039")</f>
        <v>vec00039</v>
      </c>
      <c r="F18892" s="0" t="s">
        <v>2618</v>
      </c>
    </row>
    <row r="18893" customFormat="false" ht="12.8" hidden="false" customHeight="false" outlineLevel="0" collapsed="false">
      <c r="B18893" s="0" t="s">
        <v>1</v>
      </c>
      <c r="C18893" s="0" t="s">
        <v>1992</v>
      </c>
      <c r="E18893" s="0" t="s">
        <v>2619</v>
      </c>
      <c r="F18893" s="0" t="s">
        <v>2620</v>
      </c>
    </row>
    <row r="18894" customFormat="false" ht="12.8" hidden="false" customHeight="false" outlineLevel="0" collapsed="false">
      <c r="B18894" s="0" t="s">
        <v>8</v>
      </c>
      <c r="C18894" s="0" t="s">
        <v>2621</v>
      </c>
      <c r="E18894" s="0" t="s">
        <v>66</v>
      </c>
      <c r="F18894" s="0" t="s">
        <v>2622</v>
      </c>
    </row>
    <row r="18895" customFormat="false" ht="12.8" hidden="false" customHeight="false" outlineLevel="0" collapsed="false">
      <c r="B18895" s="0" t="s">
        <v>132</v>
      </c>
      <c r="C18895" s="0" t="s">
        <v>7942</v>
      </c>
      <c r="E18895" s="0" t="s">
        <v>564</v>
      </c>
      <c r="F18895" s="0" t="s">
        <v>7943</v>
      </c>
    </row>
    <row r="18897" customFormat="false" ht="12.8" hidden="false" customHeight="false" outlineLevel="0" collapsed="false">
      <c r="A18897" s="0" t="s">
        <v>7945</v>
      </c>
      <c r="B18897" s="0" t="str">
        <f aca="false">HYPERLINK("https://lindat.mff.cuni.cz/services/teitok/pdtc10/index.php?action=vallex&amp;frame=v-w2310f4", "navrhnout (v-w2310f4)")</f>
        <v>navrhnout (v-w2310f4)</v>
      </c>
      <c r="E18897" s="0" t="str">
        <f aca="false">HYPERLINK("https://lindat.mff.cuni.cz/services/SynSemClass40/SynSemClass40.html?veclass=vec01047#vec01047-ces-cm00001", "vec01047")</f>
        <v>vec01047</v>
      </c>
      <c r="F18897" s="0" t="s">
        <v>7946</v>
      </c>
    </row>
    <row r="18898" customFormat="false" ht="12.8" hidden="false" customHeight="false" outlineLevel="0" collapsed="false">
      <c r="B18898" s="0" t="s">
        <v>1</v>
      </c>
      <c r="C18898" s="0" t="s">
        <v>447</v>
      </c>
      <c r="E18898" s="0" t="s">
        <v>2619</v>
      </c>
      <c r="F18898" s="0" t="s">
        <v>7947</v>
      </c>
    </row>
    <row r="18899" customFormat="false" ht="12.8" hidden="false" customHeight="false" outlineLevel="0" collapsed="false">
      <c r="B18899" s="0" t="s">
        <v>8</v>
      </c>
      <c r="C18899" s="0" t="s">
        <v>1575</v>
      </c>
      <c r="E18899" s="0" t="s">
        <v>66</v>
      </c>
      <c r="F18899" s="0" t="s">
        <v>7948</v>
      </c>
    </row>
    <row r="18900" customFormat="false" ht="12.8" hidden="false" customHeight="false" outlineLevel="0" collapsed="false">
      <c r="B18900" s="0" t="s">
        <v>7949</v>
      </c>
      <c r="E18900" s="0" t="s">
        <v>5007</v>
      </c>
      <c r="F18900" s="0" t="s">
        <v>7950</v>
      </c>
    </row>
    <row r="18902" customFormat="false" ht="12.8" hidden="false" customHeight="false" outlineLevel="0" collapsed="false">
      <c r="A18902" s="0" t="s">
        <v>7951</v>
      </c>
      <c r="B18902" s="0" t="str">
        <f aca="false">HYPERLINK("https://lindat.mff.cuni.cz/services/teitok/pdtc10/index.php?action=vallex&amp;frame=v-w2310f3", "navrhnout (v-w2310f3)")</f>
        <v>navrhnout (v-w2310f3)</v>
      </c>
      <c r="E18902" s="0" t="str">
        <f aca="false">HYPERLINK("https://lindat.mff.cuni.cz/services/SynSemClass40/SynSemClass40.html?veclass=vec00040#vec00040-ces-cm00001", "vec00040")</f>
        <v>vec00040</v>
      </c>
      <c r="F18902" s="0" t="s">
        <v>5506</v>
      </c>
      <c r="H18902" s="0" t="str">
        <f aca="false">HYPERLINK("https://lindat.mff.cuni.cz/services/SynSemClass40/SynSemClass40.html?veclass=vec01496#vec01496-ces-cm00014", "vec01496")</f>
        <v>vec01496</v>
      </c>
      <c r="I18902" s="0" t="s">
        <v>5507</v>
      </c>
    </row>
    <row r="18903" customFormat="false" ht="12.8" hidden="false" customHeight="false" outlineLevel="0" collapsed="false">
      <c r="B18903" s="0" t="s">
        <v>1</v>
      </c>
      <c r="C18903" s="0" t="s">
        <v>5508</v>
      </c>
      <c r="E18903" s="0" t="s">
        <v>2619</v>
      </c>
      <c r="F18903" s="0" t="s">
        <v>5509</v>
      </c>
      <c r="H18903" s="0" t="s">
        <v>768</v>
      </c>
      <c r="I18903" s="0" t="s">
        <v>5510</v>
      </c>
    </row>
    <row r="18904" customFormat="false" ht="12.8" hidden="false" customHeight="false" outlineLevel="0" collapsed="false">
      <c r="B18904" s="0" t="s">
        <v>8</v>
      </c>
      <c r="C18904" s="0" t="s">
        <v>5511</v>
      </c>
      <c r="E18904" s="0" t="s">
        <v>771</v>
      </c>
      <c r="F18904" s="0" t="s">
        <v>5512</v>
      </c>
      <c r="H18904" s="0" t="s">
        <v>771</v>
      </c>
      <c r="I18904" s="0" t="s">
        <v>5513</v>
      </c>
    </row>
    <row r="18906" customFormat="false" ht="12.8" hidden="false" customHeight="false" outlineLevel="0" collapsed="false">
      <c r="A18906" s="0" t="s">
        <v>7952</v>
      </c>
      <c r="B18906" s="0" t="str">
        <f aca="false">HYPERLINK("https://lindat.mff.cuni.cz/services/teitok/pdtc10/index.php?action=vallex&amp;frame=v-w2313f1", "navrhovat (v-w2313f1)")</f>
        <v>navrhovat (v-w2313f1)</v>
      </c>
      <c r="E18906" s="0" t="str">
        <f aca="false">HYPERLINK("https://lindat.mff.cuni.cz/services/SynSemClass40/SynSemClass40.html?veclass=vec00039#vec00039-ces-cm00007", "vec00039")</f>
        <v>vec00039</v>
      </c>
      <c r="F18906" s="0" t="s">
        <v>2618</v>
      </c>
    </row>
    <row r="18907" customFormat="false" ht="12.8" hidden="false" customHeight="false" outlineLevel="0" collapsed="false">
      <c r="B18907" s="0" t="s">
        <v>1</v>
      </c>
      <c r="C18907" s="0" t="s">
        <v>1992</v>
      </c>
      <c r="E18907" s="0" t="s">
        <v>2619</v>
      </c>
      <c r="F18907" s="0" t="s">
        <v>2620</v>
      </c>
    </row>
    <row r="18908" customFormat="false" ht="12.8" hidden="false" customHeight="false" outlineLevel="0" collapsed="false">
      <c r="B18908" s="0" t="s">
        <v>7941</v>
      </c>
      <c r="C18908" s="0" t="s">
        <v>2621</v>
      </c>
      <c r="E18908" s="0" t="s">
        <v>66</v>
      </c>
      <c r="F18908" s="0" t="s">
        <v>2622</v>
      </c>
    </row>
    <row r="18909" customFormat="false" ht="12.8" hidden="false" customHeight="false" outlineLevel="0" collapsed="false">
      <c r="B18909" s="0" t="s">
        <v>52</v>
      </c>
      <c r="C18909" s="0" t="s">
        <v>7942</v>
      </c>
      <c r="E18909" s="0" t="s">
        <v>564</v>
      </c>
      <c r="F18909" s="0" t="s">
        <v>7943</v>
      </c>
    </row>
    <row r="18911" customFormat="false" ht="12.8" hidden="false" customHeight="false" outlineLevel="0" collapsed="false">
      <c r="A18911" s="0" t="s">
        <v>7953</v>
      </c>
      <c r="B18911" s="0" t="str">
        <f aca="false">HYPERLINK("https://lindat.mff.cuni.cz/services/teitok/pdtc10/index.php?action=vallex&amp;frame=v-w2313f2", "navrhovat (v-w2313f2)")</f>
        <v>navrhovat (v-w2313f2)</v>
      </c>
      <c r="E18911" s="0" t="str">
        <f aca="false">HYPERLINK("https://lindat.mff.cuni.cz/services/SynSemClass40/SynSemClass40.html?veclass=vec00039#vec00039-ces-cm00008", "vec00039")</f>
        <v>vec00039</v>
      </c>
      <c r="F18911" s="0" t="s">
        <v>2618</v>
      </c>
    </row>
    <row r="18912" customFormat="false" ht="12.8" hidden="false" customHeight="false" outlineLevel="0" collapsed="false">
      <c r="B18912" s="0" t="s">
        <v>1</v>
      </c>
      <c r="C18912" s="0" t="s">
        <v>1992</v>
      </c>
      <c r="E18912" s="0" t="s">
        <v>2619</v>
      </c>
      <c r="F18912" s="0" t="s">
        <v>2620</v>
      </c>
    </row>
    <row r="18913" customFormat="false" ht="12.8" hidden="false" customHeight="false" outlineLevel="0" collapsed="false">
      <c r="B18913" s="0" t="s">
        <v>8</v>
      </c>
      <c r="C18913" s="0" t="s">
        <v>2621</v>
      </c>
      <c r="E18913" s="0" t="s">
        <v>66</v>
      </c>
      <c r="F18913" s="0" t="s">
        <v>2622</v>
      </c>
    </row>
    <row r="18914" customFormat="false" ht="12.8" hidden="false" customHeight="false" outlineLevel="0" collapsed="false">
      <c r="B18914" s="0" t="s">
        <v>132</v>
      </c>
      <c r="C18914" s="0" t="s">
        <v>7942</v>
      </c>
      <c r="E18914" s="0" t="s">
        <v>564</v>
      </c>
      <c r="F18914" s="0" t="s">
        <v>7943</v>
      </c>
    </row>
    <row r="18916" customFormat="false" ht="12.8" hidden="false" customHeight="false" outlineLevel="0" collapsed="false">
      <c r="A18916" s="0" t="s">
        <v>7954</v>
      </c>
      <c r="B18916" s="0" t="str">
        <f aca="false">HYPERLINK("https://lindat.mff.cuni.cz/services/teitok/pdtc10/index.php?action=vallex&amp;frame=v-w2313f4", "navrhovat (v-w2313f4)")</f>
        <v>navrhovat (v-w2313f4)</v>
      </c>
      <c r="E18916" s="0" t="str">
        <f aca="false">HYPERLINK("https://lindat.mff.cuni.cz/services/SynSemClass40/SynSemClass40.html?veclass=vec01047#vec01047-ces-cm00004", "vec01047")</f>
        <v>vec01047</v>
      </c>
      <c r="F18916" s="0" t="s">
        <v>7946</v>
      </c>
    </row>
    <row r="18917" customFormat="false" ht="12.8" hidden="false" customHeight="false" outlineLevel="0" collapsed="false">
      <c r="B18917" s="0" t="s">
        <v>1</v>
      </c>
      <c r="C18917" s="0" t="s">
        <v>447</v>
      </c>
      <c r="E18917" s="0" t="s">
        <v>2619</v>
      </c>
      <c r="F18917" s="0" t="s">
        <v>7947</v>
      </c>
    </row>
    <row r="18918" customFormat="false" ht="12.8" hidden="false" customHeight="false" outlineLevel="0" collapsed="false">
      <c r="B18918" s="0" t="s">
        <v>8</v>
      </c>
      <c r="C18918" s="0" t="s">
        <v>1575</v>
      </c>
      <c r="E18918" s="0" t="s">
        <v>66</v>
      </c>
      <c r="F18918" s="0" t="s">
        <v>7948</v>
      </c>
    </row>
    <row r="18919" customFormat="false" ht="12.8" hidden="false" customHeight="false" outlineLevel="0" collapsed="false">
      <c r="B18919" s="0" t="s">
        <v>101</v>
      </c>
      <c r="E18919" s="0" t="s">
        <v>5007</v>
      </c>
      <c r="F18919" s="0" t="s">
        <v>7950</v>
      </c>
    </row>
    <row r="18921" customFormat="false" ht="12.8" hidden="false" customHeight="false" outlineLevel="0" collapsed="false">
      <c r="A18921" s="0" t="s">
        <v>7955</v>
      </c>
      <c r="B18921" s="0" t="str">
        <f aca="false">HYPERLINK("https://lindat.mff.cuni.cz/services/teitok/pdtc10/index.php?action=vallex&amp;frame=v-w2313f3", "navrhovat (v-w2313f3)")</f>
        <v>navrhovat (v-w2313f3)</v>
      </c>
      <c r="E18921" s="0" t="str">
        <f aca="false">HYPERLINK("https://lindat.mff.cuni.cz/services/SynSemClass40/SynSemClass40.html?veclass=vec00040#vec00040-ces-cm00009", "vec00040")</f>
        <v>vec00040</v>
      </c>
      <c r="F18921" s="0" t="s">
        <v>5506</v>
      </c>
      <c r="H18921" s="0" t="str">
        <f aca="false">HYPERLINK("https://lindat.mff.cuni.cz/services/SynSemClass40/SynSemClass40.html?veclass=vec01496#vec01496-ces-cm00018", "vec01496")</f>
        <v>vec01496</v>
      </c>
      <c r="I18921" s="0" t="s">
        <v>5507</v>
      </c>
    </row>
    <row r="18922" customFormat="false" ht="12.8" hidden="false" customHeight="false" outlineLevel="0" collapsed="false">
      <c r="B18922" s="0" t="s">
        <v>1</v>
      </c>
      <c r="C18922" s="0" t="s">
        <v>5508</v>
      </c>
      <c r="E18922" s="0" t="s">
        <v>2619</v>
      </c>
      <c r="F18922" s="0" t="s">
        <v>5509</v>
      </c>
      <c r="H18922" s="0" t="s">
        <v>768</v>
      </c>
      <c r="I18922" s="0" t="s">
        <v>5510</v>
      </c>
    </row>
    <row r="18923" customFormat="false" ht="12.8" hidden="false" customHeight="false" outlineLevel="0" collapsed="false">
      <c r="B18923" s="0" t="s">
        <v>8</v>
      </c>
      <c r="C18923" s="0" t="s">
        <v>5511</v>
      </c>
      <c r="E18923" s="0" t="s">
        <v>771</v>
      </c>
      <c r="F18923" s="0" t="s">
        <v>5512</v>
      </c>
      <c r="H18923" s="0" t="s">
        <v>771</v>
      </c>
      <c r="I18923" s="0" t="s">
        <v>5513</v>
      </c>
    </row>
    <row r="18925" customFormat="false" ht="12.8" hidden="false" customHeight="false" outlineLevel="0" collapsed="false">
      <c r="A18925" s="0" t="s">
        <v>7956</v>
      </c>
      <c r="B18925" s="0" t="str">
        <f aca="false">HYPERLINK("https://lindat.mff.cuni.cz/services/teitok/pdtc10/index.php?action=vallex&amp;frame=v-w10515f2", "navrtat (v-w10515f2)")</f>
        <v>navrtat (v-w10515f2)</v>
      </c>
    </row>
    <row r="18926" customFormat="false" ht="12.8" hidden="false" customHeight="false" outlineLevel="0" collapsed="false">
      <c r="B18926" s="0" t="s">
        <v>1</v>
      </c>
    </row>
    <row r="18927" customFormat="false" ht="12.8" hidden="false" customHeight="false" outlineLevel="0" collapsed="false">
      <c r="B18927" s="0" t="s">
        <v>8</v>
      </c>
    </row>
    <row r="18929" customFormat="false" ht="12.8" hidden="false" customHeight="false" outlineLevel="0" collapsed="false">
      <c r="A18929" s="0" t="s">
        <v>7957</v>
      </c>
      <c r="B18929" s="0" t="str">
        <f aca="false">HYPERLINK("https://lindat.mff.cuni.cz/services/teitok/pdtc10/index.php?action=vallex&amp;frame=v-whsa_925hsa_926", "navrtávat (v-whsa_925hsa_926)")</f>
        <v>navrtávat (v-whsa_925hsa_926)</v>
      </c>
    </row>
    <row r="18930" customFormat="false" ht="12.8" hidden="false" customHeight="false" outlineLevel="0" collapsed="false">
      <c r="B18930" s="0" t="s">
        <v>1</v>
      </c>
    </row>
    <row r="18931" customFormat="false" ht="12.8" hidden="false" customHeight="false" outlineLevel="0" collapsed="false">
      <c r="B18931" s="0" t="s">
        <v>8</v>
      </c>
    </row>
    <row r="18933" customFormat="false" ht="12.8" hidden="false" customHeight="false" outlineLevel="0" collapsed="false">
      <c r="A18933" s="0" t="s">
        <v>7958</v>
      </c>
      <c r="B18933" s="0" t="str">
        <f aca="false">HYPERLINK("https://lindat.mff.cuni.cz/services/teitok/pdtc10/index.php?action=vallex&amp;frame=v-w2306f1", "navrátit (v-w2306f1)")</f>
        <v>navrátit (v-w2306f1)</v>
      </c>
      <c r="E18933" s="0" t="str">
        <f aca="false">HYPERLINK("https://lindat.mff.cuni.cz/services/SynSemClass40/SynSemClass40.html?veclass=vec00745#vec00745-ces-cm00022", "vec00745")</f>
        <v>vec00745</v>
      </c>
      <c r="F18933" s="0" t="s">
        <v>7910</v>
      </c>
    </row>
    <row r="18934" customFormat="false" ht="12.8" hidden="false" customHeight="false" outlineLevel="0" collapsed="false">
      <c r="B18934" s="0" t="s">
        <v>1</v>
      </c>
      <c r="C18934" s="0" t="s">
        <v>7911</v>
      </c>
      <c r="E18934" s="0" t="s">
        <v>7912</v>
      </c>
      <c r="F18934" s="0" t="s">
        <v>7913</v>
      </c>
    </row>
    <row r="18935" customFormat="false" ht="12.8" hidden="false" customHeight="false" outlineLevel="0" collapsed="false">
      <c r="B18935" s="0" t="s">
        <v>8</v>
      </c>
      <c r="C18935" s="0" t="s">
        <v>7914</v>
      </c>
      <c r="E18935" s="0" t="s">
        <v>7915</v>
      </c>
      <c r="F18935" s="0" t="s">
        <v>7916</v>
      </c>
    </row>
    <row r="18936" customFormat="false" ht="12.8" hidden="false" customHeight="false" outlineLevel="0" collapsed="false">
      <c r="B18936" s="0" t="s">
        <v>52</v>
      </c>
      <c r="C18936" s="0" t="s">
        <v>7917</v>
      </c>
      <c r="E18936" s="0" t="s">
        <v>7918</v>
      </c>
      <c r="F18936" s="0" t="s">
        <v>7919</v>
      </c>
    </row>
    <row r="18938" customFormat="false" ht="12.8" hidden="false" customHeight="false" outlineLevel="0" collapsed="false">
      <c r="A18938" s="0" t="s">
        <v>7959</v>
      </c>
      <c r="B18938" s="0" t="str">
        <f aca="false">HYPERLINK("https://lindat.mff.cuni.cz/services/teitok/pdtc10/index.php?action=vallex&amp;frame=v-w2306f2", "navrátit (v-w2306f2)")</f>
        <v>navrátit (v-w2306f2)</v>
      </c>
      <c r="E18938" s="0" t="str">
        <f aca="false">HYPERLINK("https://lindat.mff.cuni.cz/services/SynSemClass40/SynSemClass40.html?veclass=vec00745#vec00745-ces-cm00023", "vec00745")</f>
        <v>vec00745</v>
      </c>
      <c r="F18938" s="0" t="s">
        <v>7910</v>
      </c>
      <c r="H18938" s="0" t="str">
        <f aca="false">HYPERLINK("https://lindat.mff.cuni.cz/services/SynSemClass40/SynSemClass40.html?veclass=vec01437#vec01437-ces-cm00002", "vec01437")</f>
        <v>vec01437</v>
      </c>
      <c r="I18938" s="0" t="s">
        <v>7921</v>
      </c>
    </row>
    <row r="18939" customFormat="false" ht="12.8" hidden="false" customHeight="false" outlineLevel="0" collapsed="false">
      <c r="B18939" s="0" t="s">
        <v>1</v>
      </c>
      <c r="C18939" s="0" t="s">
        <v>7922</v>
      </c>
      <c r="E18939" s="0" t="s">
        <v>7912</v>
      </c>
      <c r="F18939" s="0" t="s">
        <v>7913</v>
      </c>
      <c r="H18939" s="0" t="s">
        <v>206</v>
      </c>
      <c r="I18939" s="0" t="s">
        <v>7923</v>
      </c>
    </row>
    <row r="18940" customFormat="false" ht="12.8" hidden="false" customHeight="false" outlineLevel="0" collapsed="false">
      <c r="B18940" s="0" t="s">
        <v>8</v>
      </c>
      <c r="C18940" s="0" t="s">
        <v>7924</v>
      </c>
      <c r="E18940" s="0" t="s">
        <v>7915</v>
      </c>
      <c r="F18940" s="0" t="s">
        <v>7916</v>
      </c>
      <c r="H18940" s="0" t="s">
        <v>7925</v>
      </c>
      <c r="I18940" s="0" t="s">
        <v>7926</v>
      </c>
    </row>
    <row r="18941" customFormat="false" ht="12.8" hidden="false" customHeight="false" outlineLevel="0" collapsed="false">
      <c r="B18941" s="0" t="s">
        <v>164</v>
      </c>
      <c r="C18941" s="0" t="s">
        <v>7927</v>
      </c>
      <c r="E18941" s="0" t="s">
        <v>7928</v>
      </c>
      <c r="F18941" s="0" t="s">
        <v>7929</v>
      </c>
      <c r="H18941" s="0" t="s">
        <v>7930</v>
      </c>
      <c r="I18941" s="0" t="s">
        <v>7931</v>
      </c>
    </row>
    <row r="18943" customFormat="false" ht="12.8" hidden="false" customHeight="false" outlineLevel="0" collapsed="false">
      <c r="A18943" s="0" t="s">
        <v>7960</v>
      </c>
      <c r="B18943" s="0" t="str">
        <f aca="false">HYPERLINK("https://lindat.mff.cuni.cz/services/teitok/pdtc10/index.php?action=vallex&amp;frame=v-w11525_ZUf1_ZU", "navrátit se (v-w11525_ZUf1_ZU)")</f>
        <v>navrátit se (v-w11525_ZUf1_ZU)</v>
      </c>
    </row>
    <row r="18944" customFormat="false" ht="12.8" hidden="false" customHeight="false" outlineLevel="0" collapsed="false">
      <c r="B18944" s="0" t="s">
        <v>1</v>
      </c>
    </row>
    <row r="18945" customFormat="false" ht="12.8" hidden="false" customHeight="false" outlineLevel="0" collapsed="false">
      <c r="B18945" s="0" t="s">
        <v>164</v>
      </c>
    </row>
    <row r="18947" customFormat="false" ht="12.8" hidden="false" customHeight="false" outlineLevel="0" collapsed="false">
      <c r="A18947" s="0" t="s">
        <v>7961</v>
      </c>
      <c r="B18947" s="0" t="str">
        <f aca="false">HYPERLINK("https://lindat.mff.cuni.cz/services/teitok/pdtc10/index.php?action=vallex&amp;frame=v-w11525_ZUhsa_730", "navrátit se (v-w11525_ZUhsa_730)")</f>
        <v>navrátit se (v-w11525_ZUhsa_730)</v>
      </c>
      <c r="E18947" s="0" t="str">
        <f aca="false">HYPERLINK("https://lindat.mff.cuni.cz/services/SynSemClass40/SynSemClass40.html?veclass=vec00744#vec00744-ces-cm00004", "vec00744")</f>
        <v>vec00744</v>
      </c>
      <c r="F18947" s="0" t="s">
        <v>7933</v>
      </c>
    </row>
    <row r="18948" customFormat="false" ht="12.8" hidden="false" customHeight="false" outlineLevel="0" collapsed="false">
      <c r="B18948" s="0" t="s">
        <v>1</v>
      </c>
      <c r="C18948" s="0" t="s">
        <v>7934</v>
      </c>
      <c r="E18948" s="0" t="s">
        <v>11</v>
      </c>
      <c r="F18948" s="0" t="s">
        <v>7935</v>
      </c>
    </row>
    <row r="18949" customFormat="false" ht="12.8" hidden="false" customHeight="false" outlineLevel="0" collapsed="false">
      <c r="B18949" s="0" t="s">
        <v>311</v>
      </c>
      <c r="C18949" s="0" t="s">
        <v>531</v>
      </c>
      <c r="E18949" s="0" t="s">
        <v>7962</v>
      </c>
      <c r="F18949" s="0" t="s">
        <v>7963</v>
      </c>
    </row>
    <row r="18951" customFormat="false" ht="12.8" hidden="false" customHeight="false" outlineLevel="0" collapsed="false">
      <c r="A18951" s="0" t="s">
        <v>7964</v>
      </c>
      <c r="B18951" s="0" t="str">
        <f aca="false">HYPERLINK("https://lindat.mff.cuni.cz/services/teitok/pdtc10/index.php?action=vallex&amp;frame=v-w10444f4", "navršit (v-w10444f4)")</f>
        <v>navršit (v-w10444f4)</v>
      </c>
    </row>
    <row r="18952" customFormat="false" ht="12.8" hidden="false" customHeight="false" outlineLevel="0" collapsed="false">
      <c r="B18952" s="0" t="s">
        <v>1</v>
      </c>
    </row>
    <row r="18953" customFormat="false" ht="12.8" hidden="false" customHeight="false" outlineLevel="0" collapsed="false">
      <c r="B18953" s="0" t="s">
        <v>8</v>
      </c>
    </row>
    <row r="18954" customFormat="false" ht="12.8" hidden="false" customHeight="false" outlineLevel="0" collapsed="false">
      <c r="B18954" s="0" t="s">
        <v>164</v>
      </c>
    </row>
    <row r="18956" customFormat="false" ht="12.8" hidden="false" customHeight="false" outlineLevel="0" collapsed="false">
      <c r="A18956" s="0" t="s">
        <v>7965</v>
      </c>
      <c r="B18956" s="0" t="str">
        <f aca="false">HYPERLINK("https://lindat.mff.cuni.cz/services/teitok/pdtc10/index.php?action=vallex&amp;frame=v-w10444f2", "navršit (v-w10444f2)")</f>
        <v>navršit (v-w10444f2)</v>
      </c>
    </row>
    <row r="18957" customFormat="false" ht="12.8" hidden="false" customHeight="false" outlineLevel="0" collapsed="false">
      <c r="B18957" s="0" t="s">
        <v>1</v>
      </c>
    </row>
    <row r="18958" customFormat="false" ht="12.8" hidden="false" customHeight="false" outlineLevel="0" collapsed="false">
      <c r="B18958" s="0" t="s">
        <v>8</v>
      </c>
    </row>
    <row r="18960" customFormat="false" ht="12.8" hidden="false" customHeight="false" outlineLevel="0" collapsed="false">
      <c r="A18960" s="0" t="s">
        <v>7966</v>
      </c>
      <c r="B18960" s="0" t="str">
        <f aca="false">HYPERLINK("https://lindat.mff.cuni.cz/services/teitok/pdtc10/index.php?action=vallex&amp;frame=v-w10444f3", "navršit (v-w10444f3)")</f>
        <v>navršit (v-w10444f3)</v>
      </c>
    </row>
    <row r="18961" customFormat="false" ht="12.8" hidden="false" customHeight="false" outlineLevel="0" collapsed="false">
      <c r="B18961" s="0" t="s">
        <v>1</v>
      </c>
    </row>
    <row r="18962" customFormat="false" ht="12.8" hidden="false" customHeight="false" outlineLevel="0" collapsed="false">
      <c r="B18962" s="0" t="s">
        <v>8</v>
      </c>
    </row>
    <row r="18964" customFormat="false" ht="12.8" hidden="false" customHeight="false" outlineLevel="0" collapsed="false">
      <c r="A18964" s="0" t="s">
        <v>7967</v>
      </c>
      <c r="B18964" s="0" t="str">
        <f aca="false">HYPERLINK("https://lindat.mff.cuni.cz/services/teitok/pdtc10/index.php?action=vallex&amp;frame=v-w11316f1", "navršit se (v-w11316f1)")</f>
        <v>navršit se (v-w11316f1)</v>
      </c>
    </row>
    <row r="18965" customFormat="false" ht="12.8" hidden="false" customHeight="false" outlineLevel="0" collapsed="false">
      <c r="B18965" s="0" t="s">
        <v>1</v>
      </c>
    </row>
    <row r="18967" customFormat="false" ht="12.8" hidden="false" customHeight="false" outlineLevel="0" collapsed="false">
      <c r="A18967" s="0" t="s">
        <v>7968</v>
      </c>
      <c r="B18967" s="0" t="str">
        <f aca="false">HYPERLINK("https://lindat.mff.cuni.cz/services/teitok/pdtc10/index.php?action=vallex&amp;frame=v-whsa_717f1_ZU", "navršovat (v-whsa_717f1_ZU)")</f>
        <v>navršovat (v-whsa_717f1_ZU)</v>
      </c>
    </row>
    <row r="18968" customFormat="false" ht="12.8" hidden="false" customHeight="false" outlineLevel="0" collapsed="false">
      <c r="B18968" s="0" t="s">
        <v>1</v>
      </c>
    </row>
    <row r="18969" customFormat="false" ht="12.8" hidden="false" customHeight="false" outlineLevel="0" collapsed="false">
      <c r="B18969" s="0" t="s">
        <v>8</v>
      </c>
    </row>
    <row r="18971" customFormat="false" ht="12.8" hidden="false" customHeight="false" outlineLevel="0" collapsed="false">
      <c r="A18971" s="0" t="s">
        <v>7968</v>
      </c>
      <c r="B18971" s="0" t="str">
        <f aca="false">HYPERLINK("https://lindat.mff.cuni.cz/services/teitok/pdtc10/index.php?action=vallex&amp;frame=v-whsa_717hsa_718", "navršovat (v-whsa_717hsa_718) - substituted with v-whsa_717f1_ZU")</f>
        <v>navršovat (v-whsa_717hsa_718) - substituted with v-whsa_717f1_ZU</v>
      </c>
    </row>
    <row r="18972" customFormat="false" ht="12.8" hidden="false" customHeight="false" outlineLevel="0" collapsed="false">
      <c r="B18972" s="0" t="s">
        <v>1</v>
      </c>
    </row>
    <row r="18973" customFormat="false" ht="12.8" hidden="false" customHeight="false" outlineLevel="0" collapsed="false">
      <c r="B18973" s="0" t="s">
        <v>8</v>
      </c>
    </row>
    <row r="18975" customFormat="false" ht="12.8" hidden="false" customHeight="false" outlineLevel="0" collapsed="false">
      <c r="A18975" s="0" t="s">
        <v>7969</v>
      </c>
      <c r="B18975" s="0" t="str">
        <f aca="false">HYPERLINK("https://lindat.mff.cuni.cz/services/teitok/pdtc10/index.php?action=vallex&amp;frame=v-w12099_ZUf1_ZU", "navyknout si (v-w12099_ZUf1_ZU)")</f>
        <v>navyknout si (v-w12099_ZUf1_ZU)</v>
      </c>
    </row>
    <row r="18976" customFormat="false" ht="12.8" hidden="false" customHeight="false" outlineLevel="0" collapsed="false">
      <c r="B18976" s="0" t="s">
        <v>1</v>
      </c>
    </row>
    <row r="18977" customFormat="false" ht="12.8" hidden="false" customHeight="false" outlineLevel="0" collapsed="false">
      <c r="B18977" s="0" t="s">
        <v>7186</v>
      </c>
    </row>
    <row r="18979" customFormat="false" ht="12.8" hidden="false" customHeight="false" outlineLevel="0" collapsed="false">
      <c r="A18979" s="0" t="s">
        <v>7970</v>
      </c>
      <c r="B18979" s="0" t="str">
        <f aca="false">HYPERLINK("https://lindat.mff.cuni.cz/services/teitok/pdtc10/index.php?action=vallex&amp;frame=v-w2325f1", "navyšovat (v-w2325f1)")</f>
        <v>navyšovat (v-w2325f1)</v>
      </c>
      <c r="E18979" s="0" t="str">
        <f aca="false">HYPERLINK("https://lindat.mff.cuni.cz/services/SynSemClass40/SynSemClass40.html?veclass=vec00298#vec00298-ces-cm00007", "vec00298")</f>
        <v>vec00298</v>
      </c>
      <c r="F18979" s="0" t="s">
        <v>7194</v>
      </c>
    </row>
    <row r="18980" customFormat="false" ht="12.8" hidden="false" customHeight="false" outlineLevel="0" collapsed="false">
      <c r="B18980" s="0" t="s">
        <v>1</v>
      </c>
      <c r="C18980" s="0" t="s">
        <v>7195</v>
      </c>
      <c r="E18980" s="0" t="s">
        <v>31</v>
      </c>
      <c r="F18980" s="0" t="s">
        <v>7196</v>
      </c>
    </row>
    <row r="18981" customFormat="false" ht="12.8" hidden="false" customHeight="false" outlineLevel="0" collapsed="false">
      <c r="B18981" s="0" t="s">
        <v>8</v>
      </c>
      <c r="C18981" s="0" t="s">
        <v>7197</v>
      </c>
      <c r="E18981" s="0" t="s">
        <v>1569</v>
      </c>
      <c r="F18981" s="0" t="s">
        <v>7198</v>
      </c>
    </row>
    <row r="18982" customFormat="false" ht="12.8" hidden="false" customHeight="false" outlineLevel="0" collapsed="false">
      <c r="B18982" s="0" t="s">
        <v>36</v>
      </c>
      <c r="C18982" s="0" t="s">
        <v>7199</v>
      </c>
      <c r="E18982" s="0" t="s">
        <v>5152</v>
      </c>
      <c r="F18982" s="0" t="s">
        <v>7200</v>
      </c>
    </row>
    <row r="18983" customFormat="false" ht="12.8" hidden="false" customHeight="false" outlineLevel="0" collapsed="false">
      <c r="B18983" s="0" t="s">
        <v>101</v>
      </c>
      <c r="C18983" s="0" t="s">
        <v>7201</v>
      </c>
      <c r="E18983" s="0" t="s">
        <v>5796</v>
      </c>
      <c r="F18983" s="0" t="s">
        <v>7202</v>
      </c>
    </row>
    <row r="18985" customFormat="false" ht="12.8" hidden="false" customHeight="false" outlineLevel="0" collapsed="false">
      <c r="A18985" s="0" t="s">
        <v>7971</v>
      </c>
      <c r="B18985" s="0" t="str">
        <f aca="false">HYPERLINK("https://lindat.mff.cuni.cz/services/teitok/pdtc10/index.php?action=vallex&amp;frame=v-whsa_601hsa_602", "navzdouvat se (v-whsa_601hsa_602)")</f>
        <v>navzdouvat se (v-whsa_601hsa_602)</v>
      </c>
    </row>
    <row r="18986" customFormat="false" ht="12.8" hidden="false" customHeight="false" outlineLevel="0" collapsed="false">
      <c r="B18986" s="0" t="s">
        <v>1</v>
      </c>
    </row>
    <row r="18988" customFormat="false" ht="12.8" hidden="false" customHeight="false" outlineLevel="0" collapsed="false">
      <c r="A18988" s="0" t="s">
        <v>7972</v>
      </c>
      <c r="B18988" s="0" t="str">
        <f aca="false">HYPERLINK("https://lindat.mff.cuni.cz/services/teitok/pdtc10/index.php?action=vallex&amp;frame=v-w2288f2", "navádět (v-w2288f2)")</f>
        <v>navádět (v-w2288f2)</v>
      </c>
    </row>
    <row r="18989" customFormat="false" ht="12.8" hidden="false" customHeight="false" outlineLevel="0" collapsed="false">
      <c r="B18989" s="0" t="s">
        <v>1</v>
      </c>
    </row>
    <row r="18990" customFormat="false" ht="12.8" hidden="false" customHeight="false" outlineLevel="0" collapsed="false">
      <c r="B18990" s="0" t="s">
        <v>8</v>
      </c>
    </row>
    <row r="18991" customFormat="false" ht="12.8" hidden="false" customHeight="false" outlineLevel="0" collapsed="false">
      <c r="B18991" s="0" t="s">
        <v>164</v>
      </c>
    </row>
    <row r="18993" customFormat="false" ht="12.8" hidden="false" customHeight="false" outlineLevel="0" collapsed="false">
      <c r="A18993" s="0" t="s">
        <v>7973</v>
      </c>
      <c r="B18993" s="0" t="str">
        <f aca="false">HYPERLINK("https://lindat.mff.cuni.cz/services/teitok/pdtc10/index.php?action=vallex&amp;frame=v-w2288f1", "navádět (v-w2288f1)")</f>
        <v>navádět (v-w2288f1)</v>
      </c>
    </row>
    <row r="18994" customFormat="false" ht="12.8" hidden="false" customHeight="false" outlineLevel="0" collapsed="false">
      <c r="B18994" s="0" t="s">
        <v>1</v>
      </c>
    </row>
    <row r="18995" customFormat="false" ht="12.8" hidden="false" customHeight="false" outlineLevel="0" collapsed="false">
      <c r="B18995" s="0" t="s">
        <v>98</v>
      </c>
    </row>
    <row r="18996" customFormat="false" ht="12.8" hidden="false" customHeight="false" outlineLevel="0" collapsed="false">
      <c r="B18996" s="0" t="s">
        <v>7974</v>
      </c>
    </row>
    <row r="18998" customFormat="false" ht="12.8" hidden="false" customHeight="false" outlineLevel="0" collapsed="false">
      <c r="A18998" s="0" t="s">
        <v>7975</v>
      </c>
      <c r="B18998" s="0" t="str">
        <f aca="false">HYPERLINK("https://lindat.mff.cuni.cz/services/teitok/pdtc10/index.php?action=vallex&amp;frame=v-w2291f3", "navázat (v-w2291f3)")</f>
        <v>navázat (v-w2291f3)</v>
      </c>
    </row>
    <row r="18999" customFormat="false" ht="12.8" hidden="false" customHeight="false" outlineLevel="0" collapsed="false">
      <c r="B18999" s="0" t="s">
        <v>1</v>
      </c>
    </row>
    <row r="19000" customFormat="false" ht="12.8" hidden="false" customHeight="false" outlineLevel="0" collapsed="false">
      <c r="B19000" s="0" t="s">
        <v>8</v>
      </c>
    </row>
    <row r="19002" customFormat="false" ht="12.8" hidden="false" customHeight="false" outlineLevel="0" collapsed="false">
      <c r="A19002" s="0" t="s">
        <v>7976</v>
      </c>
      <c r="B19002" s="0" t="str">
        <f aca="false">HYPERLINK("https://lindat.mff.cuni.cz/services/teitok/pdtc10/index.php?action=vallex&amp;frame=v-w2291f2", "navázat (v-w2291f2)")</f>
        <v>navázat (v-w2291f2)</v>
      </c>
      <c r="E19002" s="0" t="str">
        <f aca="false">HYPERLINK("https://lindat.mff.cuni.cz/services/SynSemClass40/SynSemClass40.html?veclass=vec00444#vec00444-ces-cm00031", "vec00444")</f>
        <v>vec00444</v>
      </c>
      <c r="F19002" s="0" t="s">
        <v>7977</v>
      </c>
    </row>
    <row r="19003" customFormat="false" ht="12.8" hidden="false" customHeight="false" outlineLevel="0" collapsed="false">
      <c r="B19003" s="0" t="s">
        <v>1</v>
      </c>
      <c r="C19003" s="0" t="s">
        <v>1906</v>
      </c>
      <c r="E19003" s="0" t="s">
        <v>7978</v>
      </c>
      <c r="F19003" s="0" t="s">
        <v>7979</v>
      </c>
    </row>
    <row r="19004" customFormat="false" ht="12.8" hidden="false" customHeight="false" outlineLevel="0" collapsed="false">
      <c r="B19004" s="0" t="s">
        <v>45</v>
      </c>
      <c r="C19004" s="0" t="s">
        <v>798</v>
      </c>
      <c r="E19004" s="0" t="s">
        <v>7980</v>
      </c>
      <c r="F19004" s="0" t="s">
        <v>7981</v>
      </c>
    </row>
    <row r="19006" customFormat="false" ht="12.8" hidden="false" customHeight="false" outlineLevel="0" collapsed="false">
      <c r="A19006" s="0" t="s">
        <v>7982</v>
      </c>
      <c r="B19006" s="0" t="str">
        <f aca="false">HYPERLINK("https://lindat.mff.cuni.cz/services/teitok/pdtc10/index.php?action=vallex&amp;frame=v-w2291hsa_873", "navázat (v-w2291hsa_873)")</f>
        <v>navázat (v-w2291hsa_873)</v>
      </c>
    </row>
    <row r="19007" customFormat="false" ht="12.8" hidden="false" customHeight="false" outlineLevel="0" collapsed="false">
      <c r="B19007" s="0" t="s">
        <v>1</v>
      </c>
    </row>
    <row r="19008" customFormat="false" ht="12.8" hidden="false" customHeight="false" outlineLevel="0" collapsed="false">
      <c r="B19008" s="0" t="s">
        <v>7983</v>
      </c>
    </row>
    <row r="19010" customFormat="false" ht="12.8" hidden="false" customHeight="false" outlineLevel="0" collapsed="false">
      <c r="A19010" s="0" t="s">
        <v>7982</v>
      </c>
      <c r="B19010" s="0" t="str">
        <f aca="false">HYPERLINK("https://lindat.mff.cuni.cz/services/teitok/pdtc10/index.php?action=vallex&amp;frame=v-w2291f1", "navázat (v-w2291f1) - substituted with v-w2291hsa_873")</f>
        <v>navázat (v-w2291f1) - substituted with v-w2291hsa_873</v>
      </c>
    </row>
    <row r="19011" customFormat="false" ht="12.8" hidden="false" customHeight="false" outlineLevel="0" collapsed="false">
      <c r="B19011" s="0" t="s">
        <v>1</v>
      </c>
    </row>
    <row r="19012" customFormat="false" ht="12.8" hidden="false" customHeight="false" outlineLevel="0" collapsed="false">
      <c r="B19012" s="0" t="s">
        <v>7983</v>
      </c>
    </row>
    <row r="19014" customFormat="false" ht="12.8" hidden="false" customHeight="false" outlineLevel="0" collapsed="false">
      <c r="A19014" s="0" t="s">
        <v>7984</v>
      </c>
      <c r="B19014" s="0" t="str">
        <f aca="false">HYPERLINK("https://lindat.mff.cuni.cz/services/teitok/pdtc10/index.php?action=vallex&amp;frame=v-w2291hsa_872", "navázat (v-w2291hsa_872)")</f>
        <v>navázat (v-w2291hsa_872)</v>
      </c>
    </row>
    <row r="19015" customFormat="false" ht="12.8" hidden="false" customHeight="false" outlineLevel="0" collapsed="false">
      <c r="B19015" s="0" t="s">
        <v>1</v>
      </c>
    </row>
    <row r="19016" customFormat="false" ht="12.8" hidden="false" customHeight="false" outlineLevel="0" collapsed="false">
      <c r="B19016" s="0" t="s">
        <v>8</v>
      </c>
    </row>
    <row r="19017" customFormat="false" ht="12.8" hidden="false" customHeight="false" outlineLevel="0" collapsed="false">
      <c r="B19017" s="0" t="s">
        <v>2207</v>
      </c>
    </row>
    <row r="19019" customFormat="false" ht="12.8" hidden="false" customHeight="false" outlineLevel="0" collapsed="false">
      <c r="A19019" s="0" t="s">
        <v>7985</v>
      </c>
      <c r="B19019" s="0" t="str">
        <f aca="false">HYPERLINK("https://lindat.mff.cuni.cz/services/teitok/pdtc10/index.php?action=vallex&amp;frame=v-w2291hsa_737", "navázat (v-w2291hsa_737)")</f>
        <v>navázat (v-w2291hsa_737)</v>
      </c>
    </row>
    <row r="19020" customFormat="false" ht="12.8" hidden="false" customHeight="false" outlineLevel="0" collapsed="false">
      <c r="B19020" s="0" t="s">
        <v>1</v>
      </c>
    </row>
    <row r="19021" customFormat="false" ht="12.8" hidden="false" customHeight="false" outlineLevel="0" collapsed="false">
      <c r="B19021" s="0" t="s">
        <v>8</v>
      </c>
    </row>
    <row r="19022" customFormat="false" ht="12.8" hidden="false" customHeight="false" outlineLevel="0" collapsed="false">
      <c r="B19022" s="0" t="s">
        <v>164</v>
      </c>
    </row>
    <row r="19024" customFormat="false" ht="12.8" hidden="false" customHeight="false" outlineLevel="0" collapsed="false">
      <c r="A19024" s="0" t="s">
        <v>7986</v>
      </c>
      <c r="B19024" s="0" t="str">
        <f aca="false">HYPERLINK("https://lindat.mff.cuni.cz/services/teitok/pdtc10/index.php?action=vallex&amp;frame=v-w11975_ZUf1_ZU", "navážet (v-w11975_ZUf1_ZU)")</f>
        <v>navážet (v-w11975_ZUf1_ZU)</v>
      </c>
    </row>
    <row r="19025" customFormat="false" ht="12.8" hidden="false" customHeight="false" outlineLevel="0" collapsed="false">
      <c r="B19025" s="0" t="s">
        <v>1</v>
      </c>
    </row>
    <row r="19026" customFormat="false" ht="12.8" hidden="false" customHeight="false" outlineLevel="0" collapsed="false">
      <c r="B19026" s="0" t="s">
        <v>8</v>
      </c>
    </row>
    <row r="19028" customFormat="false" ht="12.8" hidden="false" customHeight="false" outlineLevel="0" collapsed="false">
      <c r="A19028" s="0" t="s">
        <v>7987</v>
      </c>
      <c r="B19028" s="0" t="str">
        <f aca="false">HYPERLINK("https://lindat.mff.cuni.cz/services/teitok/pdtc10/index.php?action=vallex&amp;frame=v-w11422f1", "navážet se (v-w11422f1)")</f>
        <v>navážet se (v-w11422f1)</v>
      </c>
    </row>
    <row r="19029" customFormat="false" ht="12.8" hidden="false" customHeight="false" outlineLevel="0" collapsed="false">
      <c r="B19029" s="0" t="s">
        <v>1</v>
      </c>
    </row>
    <row r="19030" customFormat="false" ht="12.8" hidden="false" customHeight="false" outlineLevel="0" collapsed="false">
      <c r="B19030" s="0" t="s">
        <v>1187</v>
      </c>
    </row>
    <row r="19032" customFormat="false" ht="12.8" hidden="false" customHeight="false" outlineLevel="0" collapsed="false">
      <c r="A19032" s="0" t="s">
        <v>7988</v>
      </c>
      <c r="B19032" s="0" t="str">
        <f aca="false">HYPERLINK("https://lindat.mff.cuni.cz/services/teitok/pdtc10/index.php?action=vallex&amp;frame=v-whsa_235hsa_236", "navést (v-whsa_235hsa_236)")</f>
        <v>navést (v-whsa_235hsa_236)</v>
      </c>
    </row>
    <row r="19033" customFormat="false" ht="12.8" hidden="false" customHeight="false" outlineLevel="0" collapsed="false">
      <c r="B19033" s="0" t="s">
        <v>1</v>
      </c>
    </row>
    <row r="19034" customFormat="false" ht="12.8" hidden="false" customHeight="false" outlineLevel="0" collapsed="false">
      <c r="B19034" s="0" t="s">
        <v>45</v>
      </c>
    </row>
    <row r="19035" customFormat="false" ht="12.8" hidden="false" customHeight="false" outlineLevel="0" collapsed="false">
      <c r="B19035" s="0" t="s">
        <v>98</v>
      </c>
    </row>
    <row r="19037" customFormat="false" ht="12.8" hidden="false" customHeight="false" outlineLevel="0" collapsed="false">
      <c r="A19037" s="0" t="s">
        <v>7989</v>
      </c>
      <c r="B19037" s="0" t="str">
        <f aca="false">HYPERLINK("https://lindat.mff.cuni.cz/services/teitok/pdtc10/index.php?action=vallex&amp;frame=v-whsb_235f1_MM", "navést (v-whsb_235f1_MM)")</f>
        <v>navést (v-whsb_235f1_MM)</v>
      </c>
    </row>
    <row r="19038" customFormat="false" ht="12.8" hidden="false" customHeight="false" outlineLevel="0" collapsed="false">
      <c r="B19038" s="0" t="s">
        <v>1</v>
      </c>
    </row>
    <row r="19039" customFormat="false" ht="12.8" hidden="false" customHeight="false" outlineLevel="0" collapsed="false">
      <c r="B19039" s="0" t="s">
        <v>8</v>
      </c>
    </row>
    <row r="19040" customFormat="false" ht="12.8" hidden="false" customHeight="false" outlineLevel="0" collapsed="false">
      <c r="B19040" s="0" t="s">
        <v>164</v>
      </c>
    </row>
    <row r="19042" customFormat="false" ht="12.8" hidden="false" customHeight="false" outlineLevel="0" collapsed="false">
      <c r="A19042" s="0" t="s">
        <v>7990</v>
      </c>
      <c r="B19042" s="0" t="str">
        <f aca="false">HYPERLINK("https://lindat.mff.cuni.cz/services/teitok/pdtc10/index.php?action=vallex&amp;frame=v-w11123f2", "navézt (v-w11123f2)")</f>
        <v>navézt (v-w11123f2)</v>
      </c>
      <c r="E19042" s="0" t="str">
        <f aca="false">HYPERLINK("https://lindat.mff.cuni.cz/services/SynSemClass40/SynSemClass40.html?veclass=vec00011#vec00011-ces-cm00171", "vec00011")</f>
        <v>vec00011</v>
      </c>
      <c r="F19042" s="0" t="s">
        <v>2193</v>
      </c>
      <c r="H19042" s="0" t="str">
        <f aca="false">HYPERLINK("https://lindat.mff.cuni.cz/services/SynSemClass40/SynSemClass40.html?veclass=vec00566#vec00566-ces-cm00009", "vec00566")</f>
        <v>vec00566</v>
      </c>
      <c r="I19042" s="0" t="s">
        <v>7991</v>
      </c>
    </row>
    <row r="19043" customFormat="false" ht="12.8" hidden="false" customHeight="false" outlineLevel="0" collapsed="false">
      <c r="B19043" s="0" t="s">
        <v>1</v>
      </c>
      <c r="C19043" s="0" t="s">
        <v>7285</v>
      </c>
      <c r="E19043" s="0" t="s">
        <v>2196</v>
      </c>
      <c r="F19043" s="0" t="s">
        <v>2197</v>
      </c>
      <c r="H19043" s="0" t="s">
        <v>2196</v>
      </c>
      <c r="I19043" s="0" t="s">
        <v>4400</v>
      </c>
    </row>
    <row r="19044" customFormat="false" ht="12.8" hidden="false" customHeight="false" outlineLevel="0" collapsed="false">
      <c r="B19044" s="0" t="s">
        <v>8</v>
      </c>
      <c r="C19044" s="0" t="s">
        <v>7992</v>
      </c>
      <c r="E19044" s="0" t="s">
        <v>2200</v>
      </c>
      <c r="F19044" s="0" t="s">
        <v>2201</v>
      </c>
      <c r="H19044" s="0" t="s">
        <v>2200</v>
      </c>
      <c r="I19044" s="0" t="s">
        <v>7993</v>
      </c>
    </row>
    <row r="19046" customFormat="false" ht="12.8" hidden="false" customHeight="false" outlineLevel="0" collapsed="false">
      <c r="A19046" s="0" t="s">
        <v>7994</v>
      </c>
      <c r="B19046" s="0" t="str">
        <f aca="false">HYPERLINK("https://lindat.mff.cuni.cz/services/teitok/pdtc10/index.php?action=vallex&amp;frame=v-w12386_MMf1_MM", "navíjet (v-w12386_MMf1_MM)")</f>
        <v>navíjet (v-w12386_MMf1_MM)</v>
      </c>
    </row>
    <row r="19047" customFormat="false" ht="12.8" hidden="false" customHeight="false" outlineLevel="0" collapsed="false">
      <c r="B19047" s="0" t="s">
        <v>1</v>
      </c>
    </row>
    <row r="19048" customFormat="false" ht="12.8" hidden="false" customHeight="false" outlineLevel="0" collapsed="false">
      <c r="B19048" s="0" t="s">
        <v>8</v>
      </c>
    </row>
    <row r="19050" customFormat="false" ht="12.8" hidden="false" customHeight="false" outlineLevel="0" collapsed="false">
      <c r="A19050" s="0" t="s">
        <v>7995</v>
      </c>
      <c r="B19050" s="0" t="str">
        <f aca="false">HYPERLINK("https://lindat.mff.cuni.cz/services/teitok/pdtc10/index.php?action=vallex&amp;frame=v-w2323f1", "navýšit (v-w2323f1)")</f>
        <v>navýšit (v-w2323f1)</v>
      </c>
      <c r="E19050" s="0" t="str">
        <f aca="false">HYPERLINK("https://lindat.mff.cuni.cz/services/SynSemClass40/SynSemClass40.html?veclass=vec00298#vec00298-ces-cm00005", "vec00298")</f>
        <v>vec00298</v>
      </c>
      <c r="F19050" s="0" t="s">
        <v>7194</v>
      </c>
    </row>
    <row r="19051" customFormat="false" ht="12.8" hidden="false" customHeight="false" outlineLevel="0" collapsed="false">
      <c r="B19051" s="0" t="s">
        <v>1</v>
      </c>
      <c r="C19051" s="0" t="s">
        <v>7195</v>
      </c>
      <c r="E19051" s="0" t="s">
        <v>31</v>
      </c>
      <c r="F19051" s="0" t="s">
        <v>7196</v>
      </c>
    </row>
    <row r="19052" customFormat="false" ht="12.8" hidden="false" customHeight="false" outlineLevel="0" collapsed="false">
      <c r="B19052" s="0" t="s">
        <v>8</v>
      </c>
      <c r="C19052" s="0" t="s">
        <v>7197</v>
      </c>
      <c r="E19052" s="0" t="s">
        <v>1569</v>
      </c>
      <c r="F19052" s="0" t="s">
        <v>7198</v>
      </c>
    </row>
    <row r="19053" customFormat="false" ht="12.8" hidden="false" customHeight="false" outlineLevel="0" collapsed="false">
      <c r="B19053" s="0" t="s">
        <v>36</v>
      </c>
      <c r="C19053" s="0" t="s">
        <v>7199</v>
      </c>
      <c r="E19053" s="0" t="s">
        <v>5152</v>
      </c>
      <c r="F19053" s="0" t="s">
        <v>7200</v>
      </c>
    </row>
    <row r="19054" customFormat="false" ht="12.8" hidden="false" customHeight="false" outlineLevel="0" collapsed="false">
      <c r="B19054" s="0" t="s">
        <v>101</v>
      </c>
      <c r="C19054" s="0" t="s">
        <v>7201</v>
      </c>
      <c r="E19054" s="0" t="s">
        <v>5796</v>
      </c>
      <c r="F19054" s="0" t="s">
        <v>7202</v>
      </c>
    </row>
    <row r="19056" customFormat="false" ht="12.8" hidden="false" customHeight="false" outlineLevel="0" collapsed="false">
      <c r="A19056" s="0" t="s">
        <v>7996</v>
      </c>
      <c r="B19056" s="0" t="str">
        <f aca="false">HYPERLINK("https://lindat.mff.cuni.cz/services/teitok/pdtc10/index.php?action=vallex&amp;frame=v-w2323f2", "navýšit (v-w2323f2)")</f>
        <v>navýšit (v-w2323f2)</v>
      </c>
      <c r="E19056" s="0" t="str">
        <f aca="false">HYPERLINK("https://lindat.mff.cuni.cz/services/SynSemClass40/SynSemClass40.html?veclass=vec00298#vec00298-ces-cm00006", "vec00298")</f>
        <v>vec00298</v>
      </c>
      <c r="F19056" s="0" t="s">
        <v>7194</v>
      </c>
    </row>
    <row r="19057" customFormat="false" ht="12.8" hidden="false" customHeight="false" outlineLevel="0" collapsed="false">
      <c r="B19057" s="0" t="s">
        <v>1</v>
      </c>
      <c r="C19057" s="0" t="s">
        <v>7195</v>
      </c>
      <c r="E19057" s="0" t="s">
        <v>31</v>
      </c>
      <c r="F19057" s="0" t="s">
        <v>7196</v>
      </c>
    </row>
    <row r="19058" customFormat="false" ht="12.8" hidden="false" customHeight="false" outlineLevel="0" collapsed="false">
      <c r="B19058" s="0" t="s">
        <v>8</v>
      </c>
      <c r="C19058" s="0" t="s">
        <v>7197</v>
      </c>
      <c r="E19058" s="0" t="s">
        <v>1569</v>
      </c>
      <c r="F19058" s="0" t="s">
        <v>7198</v>
      </c>
    </row>
    <row r="19060" customFormat="false" ht="12.8" hidden="false" customHeight="false" outlineLevel="0" collapsed="false">
      <c r="A19060" s="0" t="s">
        <v>7997</v>
      </c>
      <c r="B19060" s="0" t="str">
        <f aca="false">HYPERLINK("https://lindat.mff.cuni.cz/services/teitok/pdtc10/index.php?action=vallex&amp;frame=v-whsa_829hsa_830", "navýšit se (v-whsa_829hsa_830)")</f>
        <v>navýšit se (v-whsa_829hsa_830)</v>
      </c>
    </row>
    <row r="19061" customFormat="false" ht="12.8" hidden="false" customHeight="false" outlineLevel="0" collapsed="false">
      <c r="B19061" s="0" t="s">
        <v>1</v>
      </c>
    </row>
    <row r="19062" customFormat="false" ht="12.8" hidden="false" customHeight="false" outlineLevel="0" collapsed="false">
      <c r="B19062" s="0" t="s">
        <v>36</v>
      </c>
    </row>
    <row r="19063" customFormat="false" ht="12.8" hidden="false" customHeight="false" outlineLevel="0" collapsed="false">
      <c r="B19063" s="0" t="s">
        <v>69</v>
      </c>
    </row>
    <row r="19065" customFormat="false" ht="12.8" hidden="false" customHeight="false" outlineLevel="0" collapsed="false">
      <c r="A19065" s="0" t="s">
        <v>7998</v>
      </c>
      <c r="B19065" s="0" t="str">
        <f aca="false">HYPERLINK("https://lindat.mff.cuni.cz/services/teitok/pdtc10/index.php?action=vallex&amp;frame=v-w12293_MMf1_MM", "navěsit (v-w12293_MMf1_MM)")</f>
        <v>navěsit (v-w12293_MMf1_MM)</v>
      </c>
    </row>
    <row r="19066" customFormat="false" ht="12.8" hidden="false" customHeight="false" outlineLevel="0" collapsed="false">
      <c r="B19066" s="0" t="s">
        <v>1</v>
      </c>
    </row>
    <row r="19067" customFormat="false" ht="12.8" hidden="false" customHeight="false" outlineLevel="0" collapsed="false">
      <c r="B19067" s="0" t="s">
        <v>8</v>
      </c>
    </row>
    <row r="19069" customFormat="false" ht="12.8" hidden="false" customHeight="false" outlineLevel="0" collapsed="false">
      <c r="A19069" s="0" t="s">
        <v>7999</v>
      </c>
      <c r="B19069" s="0" t="str">
        <f aca="false">HYPERLINK("https://lindat.mff.cuni.cz/services/teitok/pdtc10/index.php?action=vallex&amp;frame=v-w2319f1", "navštívit (v-w2319f1)")</f>
        <v>navštívit (v-w2319f1)</v>
      </c>
      <c r="E19069" s="0" t="str">
        <f aca="false">HYPERLINK("https://lindat.mff.cuni.cz/services/SynSemClass40/SynSemClass40.html?veclass=vec00042#vec00042-ces-cm00004", "vec00042")</f>
        <v>vec00042</v>
      </c>
      <c r="F19069" s="0" t="s">
        <v>1411</v>
      </c>
    </row>
    <row r="19070" customFormat="false" ht="12.8" hidden="false" customHeight="false" outlineLevel="0" collapsed="false">
      <c r="B19070" s="0" t="s">
        <v>1</v>
      </c>
      <c r="C19070" s="0" t="s">
        <v>2919</v>
      </c>
      <c r="E19070" s="0" t="s">
        <v>1413</v>
      </c>
      <c r="F19070" s="0" t="s">
        <v>1414</v>
      </c>
    </row>
    <row r="19071" customFormat="false" ht="12.8" hidden="false" customHeight="false" outlineLevel="0" collapsed="false">
      <c r="B19071" s="0" t="s">
        <v>8</v>
      </c>
      <c r="C19071" s="0" t="s">
        <v>8000</v>
      </c>
      <c r="E19071" s="0" t="s">
        <v>4346</v>
      </c>
      <c r="F19071" s="0" t="s">
        <v>8001</v>
      </c>
    </row>
    <row r="19073" customFormat="false" ht="12.8" hidden="false" customHeight="false" outlineLevel="0" collapsed="false">
      <c r="A19073" s="0" t="s">
        <v>8002</v>
      </c>
      <c r="B19073" s="0" t="str">
        <f aca="false">HYPERLINK("https://lindat.mff.cuni.cz/services/teitok/pdtc10/index.php?action=vallex&amp;frame=v-w2319hsa_471", "navštívit (v-w2319hsa_471)")</f>
        <v>navštívit (v-w2319hsa_471)</v>
      </c>
    </row>
    <row r="19074" customFormat="false" ht="12.8" hidden="false" customHeight="false" outlineLevel="0" collapsed="false">
      <c r="B19074" s="0" t="s">
        <v>1</v>
      </c>
    </row>
    <row r="19075" customFormat="false" ht="12.8" hidden="false" customHeight="false" outlineLevel="0" collapsed="false">
      <c r="B19075" s="0" t="s">
        <v>8</v>
      </c>
    </row>
    <row r="19077" customFormat="false" ht="12.8" hidden="false" customHeight="false" outlineLevel="0" collapsed="false">
      <c r="A19077" s="0" t="s">
        <v>8003</v>
      </c>
      <c r="B19077" s="0" t="str">
        <f aca="false">HYPERLINK("https://lindat.mff.cuni.cz/services/teitok/pdtc10/index.php?action=vallex&amp;frame=v-w2317f1", "navštěvovat (v-w2317f1)")</f>
        <v>navštěvovat (v-w2317f1)</v>
      </c>
      <c r="E19077" s="0" t="str">
        <f aca="false">HYPERLINK("https://lindat.mff.cuni.cz/services/SynSemClass40/SynSemClass40.html?veclass=vec00042#vec00042-ces-cm00001", "vec00042")</f>
        <v>vec00042</v>
      </c>
      <c r="F19077" s="0" t="s">
        <v>1411</v>
      </c>
    </row>
    <row r="19078" customFormat="false" ht="12.8" hidden="false" customHeight="false" outlineLevel="0" collapsed="false">
      <c r="B19078" s="0" t="s">
        <v>1</v>
      </c>
      <c r="C19078" s="0" t="s">
        <v>2919</v>
      </c>
      <c r="E19078" s="0" t="s">
        <v>1413</v>
      </c>
      <c r="F19078" s="0" t="s">
        <v>1414</v>
      </c>
    </row>
    <row r="19079" customFormat="false" ht="12.8" hidden="false" customHeight="false" outlineLevel="0" collapsed="false">
      <c r="B19079" s="0" t="s">
        <v>8</v>
      </c>
      <c r="C19079" s="0" t="s">
        <v>8000</v>
      </c>
      <c r="E19079" s="0" t="s">
        <v>4346</v>
      </c>
      <c r="F19079" s="0" t="s">
        <v>8001</v>
      </c>
    </row>
    <row r="19081" customFormat="false" ht="12.8" hidden="false" customHeight="false" outlineLevel="0" collapsed="false">
      <c r="A19081" s="0" t="s">
        <v>8004</v>
      </c>
      <c r="B19081" s="0" t="str">
        <f aca="false">HYPERLINK("https://lindat.mff.cuni.cz/services/teitok/pdtc10/index.php?action=vallex&amp;frame=v-w2317hsa_130", "navštěvovat (v-w2317hsa_130)")</f>
        <v>navštěvovat (v-w2317hsa_130)</v>
      </c>
    </row>
    <row r="19082" customFormat="false" ht="12.8" hidden="false" customHeight="false" outlineLevel="0" collapsed="false">
      <c r="B19082" s="0" t="s">
        <v>1</v>
      </c>
    </row>
    <row r="19083" customFormat="false" ht="12.8" hidden="false" customHeight="false" outlineLevel="0" collapsed="false">
      <c r="B19083" s="0" t="s">
        <v>8</v>
      </c>
    </row>
    <row r="19085" customFormat="false" ht="12.8" hidden="false" customHeight="false" outlineLevel="0" collapsed="false">
      <c r="A19085" s="0" t="s">
        <v>8005</v>
      </c>
      <c r="B19085" s="0" t="str">
        <f aca="false">HYPERLINK("https://lindat.mff.cuni.cz/services/teitok/pdtc10/index.php?action=vallex&amp;frame=v-whsa_1683hsa_1684", "navštěvovat se (v-whsa_1683hsa_1684)")</f>
        <v>navštěvovat se (v-whsa_1683hsa_1684)</v>
      </c>
    </row>
    <row r="19086" customFormat="false" ht="12.8" hidden="false" customHeight="false" outlineLevel="0" collapsed="false">
      <c r="B19086" s="0" t="s">
        <v>1</v>
      </c>
    </row>
    <row r="19087" customFormat="false" ht="12.8" hidden="false" customHeight="false" outlineLevel="0" collapsed="false">
      <c r="B19087" s="0" t="s">
        <v>721</v>
      </c>
    </row>
    <row r="19089" customFormat="false" ht="12.8" hidden="false" customHeight="false" outlineLevel="0" collapsed="false">
      <c r="A19089" s="0" t="s">
        <v>8006</v>
      </c>
      <c r="B19089" s="0" t="str">
        <f aca="false">HYPERLINK("https://lindat.mff.cuni.cz/services/teitok/pdtc10/index.php?action=vallex&amp;frame=v-w2329f1", "naznačit (v-w2329f1)")</f>
        <v>naznačit (v-w2329f1)</v>
      </c>
      <c r="E19089" s="0" t="str">
        <f aca="false">HYPERLINK("https://lindat.mff.cuni.cz/services/SynSemClass40/SynSemClass40.html?veclass=vec00994#vec00994-ces-cm00009", "vec00994")</f>
        <v>vec00994</v>
      </c>
      <c r="F19089" s="0" t="s">
        <v>8007</v>
      </c>
      <c r="H19089" s="0" t="str">
        <f aca="false">HYPERLINK("https://lindat.mff.cuni.cz/services/SynSemClass40/SynSemClass40.html?veclass=vec01234#vec01234-ces-cm00038", "vec01234")</f>
        <v>vec01234</v>
      </c>
      <c r="I19089" s="0" t="s">
        <v>7555</v>
      </c>
    </row>
    <row r="19090" customFormat="false" ht="12.8" hidden="false" customHeight="false" outlineLevel="0" collapsed="false">
      <c r="B19090" s="0" t="s">
        <v>1</v>
      </c>
      <c r="C19090" s="0" t="s">
        <v>8008</v>
      </c>
      <c r="E19090" s="0" t="s">
        <v>147</v>
      </c>
      <c r="F19090" s="0" t="s">
        <v>8009</v>
      </c>
      <c r="H19090" s="0" t="s">
        <v>63</v>
      </c>
      <c r="I19090" s="0" t="s">
        <v>7557</v>
      </c>
    </row>
    <row r="19091" customFormat="false" ht="12.8" hidden="false" customHeight="false" outlineLevel="0" collapsed="false">
      <c r="B19091" s="0" t="s">
        <v>7139</v>
      </c>
      <c r="C19091" s="0" t="s">
        <v>8010</v>
      </c>
      <c r="E19091" s="0" t="s">
        <v>218</v>
      </c>
      <c r="F19091" s="0" t="s">
        <v>8011</v>
      </c>
      <c r="H19091" s="0" t="s">
        <v>50</v>
      </c>
      <c r="I19091" s="0" t="s">
        <v>7559</v>
      </c>
    </row>
    <row r="19092" customFormat="false" ht="12.8" hidden="false" customHeight="false" outlineLevel="0" collapsed="false">
      <c r="B19092" s="0" t="s">
        <v>132</v>
      </c>
      <c r="C19092" s="0" t="s">
        <v>8012</v>
      </c>
      <c r="E19092" s="0" t="s">
        <v>221</v>
      </c>
      <c r="F19092" s="0" t="s">
        <v>5579</v>
      </c>
      <c r="H19092" s="0" t="s">
        <v>221</v>
      </c>
      <c r="I19092" s="0" t="s">
        <v>7560</v>
      </c>
    </row>
    <row r="19094" customFormat="false" ht="12.8" hidden="false" customHeight="false" outlineLevel="0" collapsed="false">
      <c r="A19094" s="0" t="s">
        <v>8013</v>
      </c>
      <c r="B19094" s="0" t="str">
        <f aca="false">HYPERLINK("https://lindat.mff.cuni.cz/services/teitok/pdtc10/index.php?action=vallex&amp;frame=v-w2330f1", "naznačovat (v-w2330f1)")</f>
        <v>naznačovat (v-w2330f1)</v>
      </c>
      <c r="E19094" s="0" t="str">
        <f aca="false">HYPERLINK("https://lindat.mff.cuni.cz/services/SynSemClass40/SynSemClass40.html?veclass=vec01234#vec01234-ces-cm00007", "vec01234")</f>
        <v>vec01234</v>
      </c>
      <c r="F19094" s="0" t="s">
        <v>7555</v>
      </c>
    </row>
    <row r="19095" customFormat="false" ht="12.8" hidden="false" customHeight="false" outlineLevel="0" collapsed="false">
      <c r="B19095" s="0" t="s">
        <v>1</v>
      </c>
      <c r="C19095" s="0" t="s">
        <v>7556</v>
      </c>
      <c r="E19095" s="0" t="s">
        <v>63</v>
      </c>
      <c r="F19095" s="0" t="s">
        <v>7557</v>
      </c>
    </row>
    <row r="19096" customFormat="false" ht="12.8" hidden="false" customHeight="false" outlineLevel="0" collapsed="false">
      <c r="B19096" s="0" t="s">
        <v>7139</v>
      </c>
      <c r="C19096" s="0" t="s">
        <v>7558</v>
      </c>
      <c r="E19096" s="0" t="s">
        <v>50</v>
      </c>
      <c r="F19096" s="0" t="s">
        <v>7559</v>
      </c>
    </row>
    <row r="19097" customFormat="false" ht="12.8" hidden="false" customHeight="false" outlineLevel="0" collapsed="false">
      <c r="B19097" s="0" t="s">
        <v>52</v>
      </c>
      <c r="C19097" s="0" t="s">
        <v>6948</v>
      </c>
      <c r="E19097" s="0" t="s">
        <v>221</v>
      </c>
      <c r="F19097" s="0" t="s">
        <v>7560</v>
      </c>
    </row>
    <row r="19099" customFormat="false" ht="12.8" hidden="false" customHeight="false" outlineLevel="0" collapsed="false">
      <c r="A19099" s="0" t="s">
        <v>8014</v>
      </c>
      <c r="B19099" s="0" t="str">
        <f aca="false">HYPERLINK("https://lindat.mff.cuni.cz/services/teitok/pdtc10/index.php?action=vallex&amp;frame=v-w2330f2", "naznačovat (v-w2330f2)")</f>
        <v>naznačovat (v-w2330f2)</v>
      </c>
      <c r="E19099" s="0" t="str">
        <f aca="false">HYPERLINK("https://lindat.mff.cuni.cz/services/SynSemClass40/SynSemClass40.html?veclass=vec00994#vec00994-ces-cm00055", "vec00994")</f>
        <v>vec00994</v>
      </c>
      <c r="F19099" s="0" t="s">
        <v>8007</v>
      </c>
      <c r="H19099" s="0" t="str">
        <f aca="false">HYPERLINK("https://lindat.mff.cuni.cz/services/SynSemClass40/SynSemClass40.html?veclass=vec01234#vec01234-ces-cm00008", "vec01234")</f>
        <v>vec01234</v>
      </c>
      <c r="I19099" s="0" t="s">
        <v>7555</v>
      </c>
    </row>
    <row r="19100" customFormat="false" ht="12.8" hidden="false" customHeight="false" outlineLevel="0" collapsed="false">
      <c r="B19100" s="0" t="s">
        <v>1</v>
      </c>
      <c r="C19100" s="0" t="s">
        <v>8008</v>
      </c>
      <c r="E19100" s="0" t="s">
        <v>147</v>
      </c>
      <c r="F19100" s="0" t="s">
        <v>8009</v>
      </c>
      <c r="H19100" s="0" t="s">
        <v>63</v>
      </c>
      <c r="I19100" s="0" t="s">
        <v>7557</v>
      </c>
    </row>
    <row r="19101" customFormat="false" ht="12.8" hidden="false" customHeight="false" outlineLevel="0" collapsed="false">
      <c r="B19101" s="0" t="s">
        <v>7189</v>
      </c>
      <c r="C19101" s="0" t="s">
        <v>8015</v>
      </c>
      <c r="E19101" s="0" t="s">
        <v>2217</v>
      </c>
      <c r="F19101" s="0" t="s">
        <v>8016</v>
      </c>
      <c r="H19101" s="0" t="s">
        <v>7565</v>
      </c>
      <c r="I19101" s="0" t="s">
        <v>7566</v>
      </c>
    </row>
    <row r="19102" customFormat="false" ht="12.8" hidden="false" customHeight="false" outlineLevel="0" collapsed="false">
      <c r="B19102" s="0" t="s">
        <v>496</v>
      </c>
      <c r="C19102" s="0" t="s">
        <v>8010</v>
      </c>
      <c r="E19102" s="0" t="s">
        <v>218</v>
      </c>
      <c r="F19102" s="0" t="s">
        <v>8011</v>
      </c>
      <c r="H19102" s="0" t="s">
        <v>50</v>
      </c>
      <c r="I19102" s="0" t="s">
        <v>7559</v>
      </c>
    </row>
    <row r="19103" customFormat="false" ht="12.8" hidden="false" customHeight="false" outlineLevel="0" collapsed="false">
      <c r="B19103" s="0" t="s">
        <v>132</v>
      </c>
      <c r="C19103" s="0" t="s">
        <v>8012</v>
      </c>
      <c r="E19103" s="0" t="s">
        <v>221</v>
      </c>
      <c r="F19103" s="0" t="s">
        <v>5579</v>
      </c>
      <c r="H19103" s="0" t="s">
        <v>221</v>
      </c>
      <c r="I19103" s="0" t="s">
        <v>7560</v>
      </c>
    </row>
    <row r="19105" customFormat="false" ht="12.8" hidden="false" customHeight="false" outlineLevel="0" collapsed="false">
      <c r="A19105" s="0" t="s">
        <v>8017</v>
      </c>
      <c r="B19105" s="0" t="str">
        <f aca="false">HYPERLINK("https://lindat.mff.cuni.cz/services/teitok/pdtc10/index.php?action=vallex&amp;frame=v-w12149_ZUf1_ZU", "nazout (v-w12149_ZUf1_ZU)")</f>
        <v>nazout (v-w12149_ZUf1_ZU)</v>
      </c>
    </row>
    <row r="19106" customFormat="false" ht="12.8" hidden="false" customHeight="false" outlineLevel="0" collapsed="false">
      <c r="B19106" s="0" t="s">
        <v>1</v>
      </c>
    </row>
    <row r="19107" customFormat="false" ht="12.8" hidden="false" customHeight="false" outlineLevel="0" collapsed="false">
      <c r="B19107" s="0" t="s">
        <v>8</v>
      </c>
    </row>
    <row r="19109" customFormat="false" ht="12.8" hidden="false" customHeight="false" outlineLevel="0" collapsed="false">
      <c r="A19109" s="0" t="s">
        <v>8018</v>
      </c>
      <c r="B19109" s="0" t="str">
        <f aca="false">HYPERLINK("https://lindat.mff.cuni.cz/services/teitok/pdtc10/index.php?action=vallex&amp;frame=v-w2335f1", "nazpívat (v-w2335f1)")</f>
        <v>nazpívat (v-w2335f1)</v>
      </c>
    </row>
    <row r="19110" customFormat="false" ht="12.8" hidden="false" customHeight="false" outlineLevel="0" collapsed="false">
      <c r="B19110" s="0" t="s">
        <v>1</v>
      </c>
    </row>
    <row r="19111" customFormat="false" ht="12.8" hidden="false" customHeight="false" outlineLevel="0" collapsed="false">
      <c r="B19111" s="0" t="s">
        <v>8</v>
      </c>
    </row>
    <row r="19113" customFormat="false" ht="12.8" hidden="false" customHeight="false" outlineLevel="0" collapsed="false">
      <c r="A19113" s="0" t="s">
        <v>8019</v>
      </c>
      <c r="B19113" s="0" t="str">
        <f aca="false">HYPERLINK("https://lindat.mff.cuni.cz/services/teitok/pdtc10/index.php?action=vallex&amp;frame=v-w2336f1", "nazrát (v-w2336f1)")</f>
        <v>nazrát (v-w2336f1)</v>
      </c>
      <c r="E19113" s="0" t="str">
        <f aca="false">HYPERLINK("https://lindat.mff.cuni.cz/services/SynSemClass40/SynSemClass40.html?veclass=vec00097#vec00097-ces-cm00203", "vec00097")</f>
        <v>vec00097</v>
      </c>
      <c r="F19113" s="0" t="s">
        <v>373</v>
      </c>
      <c r="H19113" s="0" t="str">
        <f aca="false">HYPERLINK("https://lindat.mff.cuni.cz/services/SynSemClass40/SynSemClass40.html?veclass=vec01018#vec01018-ces-cm00007", "vec01018")</f>
        <v>vec01018</v>
      </c>
      <c r="I19113" s="0" t="s">
        <v>3141</v>
      </c>
    </row>
    <row r="19114" customFormat="false" ht="12.8" hidden="false" customHeight="false" outlineLevel="0" collapsed="false">
      <c r="B19114" s="0" t="s">
        <v>1</v>
      </c>
      <c r="C19114" s="0" t="s">
        <v>8020</v>
      </c>
      <c r="E19114" s="0" t="s">
        <v>375</v>
      </c>
      <c r="F19114" s="0" t="s">
        <v>376</v>
      </c>
      <c r="H19114" s="0" t="s">
        <v>3142</v>
      </c>
      <c r="I19114" s="0" t="s">
        <v>3143</v>
      </c>
    </row>
    <row r="19116" customFormat="false" ht="12.8" hidden="false" customHeight="false" outlineLevel="0" collapsed="false">
      <c r="A19116" s="0" t="s">
        <v>8021</v>
      </c>
      <c r="B19116" s="0" t="str">
        <f aca="false">HYPERLINK("https://lindat.mff.cuni.cz/services/teitok/pdtc10/index.php?action=vallex&amp;frame=v-w2338f1", "nazvat (v-w2338f1)")</f>
        <v>nazvat (v-w2338f1)</v>
      </c>
      <c r="E19116" s="0" t="str">
        <f aca="false">HYPERLINK("https://lindat.mff.cuni.cz/services/SynSemClass40/SynSemClass40.html?veclass=vec00043#vec00043-ces-cm00006", "vec00043")</f>
        <v>vec00043</v>
      </c>
      <c r="F19116" s="0" t="s">
        <v>5012</v>
      </c>
    </row>
    <row r="19117" customFormat="false" ht="12.8" hidden="false" customHeight="false" outlineLevel="0" collapsed="false">
      <c r="B19117" s="0" t="s">
        <v>1</v>
      </c>
      <c r="C19117" s="0" t="s">
        <v>2758</v>
      </c>
      <c r="E19117" s="0" t="s">
        <v>8022</v>
      </c>
      <c r="F19117" s="0" t="s">
        <v>8023</v>
      </c>
    </row>
    <row r="19118" customFormat="false" ht="12.8" hidden="false" customHeight="false" outlineLevel="0" collapsed="false">
      <c r="B19118" s="0" t="s">
        <v>8</v>
      </c>
      <c r="C19118" s="0" t="s">
        <v>8024</v>
      </c>
      <c r="E19118" s="0" t="s">
        <v>8025</v>
      </c>
      <c r="F19118" s="0" t="s">
        <v>8026</v>
      </c>
    </row>
    <row r="19119" customFormat="false" ht="12.8" hidden="false" customHeight="false" outlineLevel="0" collapsed="false">
      <c r="B19119" s="0" t="s">
        <v>8027</v>
      </c>
      <c r="C19119" s="0" t="s">
        <v>8028</v>
      </c>
      <c r="E19119" s="0" t="s">
        <v>8029</v>
      </c>
      <c r="F19119" s="0" t="s">
        <v>8030</v>
      </c>
    </row>
    <row r="19121" customFormat="false" ht="12.8" hidden="false" customHeight="false" outlineLevel="0" collapsed="false">
      <c r="A19121" s="0" t="s">
        <v>8031</v>
      </c>
      <c r="B19121" s="0" t="str">
        <f aca="false">HYPERLINK("https://lindat.mff.cuni.cz/services/teitok/pdtc10/index.php?action=vallex&amp;frame=v-w2338f2", "nazvat (v-w2338f2)")</f>
        <v>nazvat (v-w2338f2)</v>
      </c>
      <c r="E19121" s="0" t="str">
        <f aca="false">HYPERLINK("https://lindat.mff.cuni.cz/services/SynSemClass40/SynSemClass40.html?veclass=vec00043#vec00043-ces-cm00001", "vec00043")</f>
        <v>vec00043</v>
      </c>
      <c r="F19121" s="0" t="s">
        <v>5012</v>
      </c>
    </row>
    <row r="19122" customFormat="false" ht="12.8" hidden="false" customHeight="false" outlineLevel="0" collapsed="false">
      <c r="B19122" s="0" t="s">
        <v>1</v>
      </c>
      <c r="C19122" s="0" t="s">
        <v>2758</v>
      </c>
      <c r="E19122" s="0" t="s">
        <v>8022</v>
      </c>
      <c r="F19122" s="0" t="s">
        <v>8023</v>
      </c>
    </row>
    <row r="19123" customFormat="false" ht="12.8" hidden="false" customHeight="false" outlineLevel="0" collapsed="false">
      <c r="B19123" s="0" t="s">
        <v>8</v>
      </c>
      <c r="C19123" s="0" t="s">
        <v>8024</v>
      </c>
      <c r="E19123" s="0" t="s">
        <v>8025</v>
      </c>
      <c r="F19123" s="0" t="s">
        <v>8026</v>
      </c>
    </row>
    <row r="19124" customFormat="false" ht="12.8" hidden="false" customHeight="false" outlineLevel="0" collapsed="false">
      <c r="B19124" s="0" t="s">
        <v>852</v>
      </c>
      <c r="C19124" s="0" t="s">
        <v>8032</v>
      </c>
      <c r="E19124" s="0" t="s">
        <v>8033</v>
      </c>
      <c r="F19124" s="0" t="s">
        <v>8034</v>
      </c>
    </row>
    <row r="19126" customFormat="false" ht="12.8" hidden="false" customHeight="false" outlineLevel="0" collapsed="false">
      <c r="A19126" s="0" t="s">
        <v>8035</v>
      </c>
      <c r="B19126" s="0" t="str">
        <f aca="false">HYPERLINK("https://lindat.mff.cuni.cz/services/teitok/pdtc10/index.php?action=vallex&amp;frame=v-w2328f1", "nazírat (v-w2328f1)")</f>
        <v>nazírat (v-w2328f1)</v>
      </c>
    </row>
    <row r="19127" customFormat="false" ht="12.8" hidden="false" customHeight="false" outlineLevel="0" collapsed="false">
      <c r="B19127" s="0" t="s">
        <v>1</v>
      </c>
    </row>
    <row r="19128" customFormat="false" ht="12.8" hidden="false" customHeight="false" outlineLevel="0" collapsed="false">
      <c r="B19128" s="0" t="s">
        <v>45</v>
      </c>
    </row>
    <row r="19129" customFormat="false" ht="12.8" hidden="false" customHeight="false" outlineLevel="0" collapsed="false">
      <c r="B19129" s="0" t="s">
        <v>3844</v>
      </c>
    </row>
    <row r="19130" customFormat="false" ht="12.8" hidden="false" customHeight="false" outlineLevel="0" collapsed="false">
      <c r="B19130" s="0" t="s">
        <v>642</v>
      </c>
    </row>
    <row r="19131" customFormat="false" ht="12.8" hidden="false" customHeight="false" outlineLevel="0" collapsed="false">
      <c r="B19131" s="0" t="s">
        <v>648</v>
      </c>
    </row>
    <row r="19132" customFormat="false" ht="12.8" hidden="false" customHeight="false" outlineLevel="0" collapsed="false">
      <c r="B19132" s="0" t="s">
        <v>650</v>
      </c>
    </row>
    <row r="19133" customFormat="false" ht="12.8" hidden="false" customHeight="false" outlineLevel="0" collapsed="false">
      <c r="B19133" s="0" t="s">
        <v>652</v>
      </c>
    </row>
    <row r="19135" customFormat="false" ht="12.8" hidden="false" customHeight="false" outlineLevel="0" collapsed="false">
      <c r="A19135" s="0" t="s">
        <v>8036</v>
      </c>
      <c r="B19135" s="0" t="str">
        <f aca="false">HYPERLINK("https://lindat.mff.cuni.cz/services/teitok/pdtc10/index.php?action=vallex&amp;frame=v-w2340f1", "nazývat (v-w2340f1)")</f>
        <v>nazývat (v-w2340f1)</v>
      </c>
      <c r="E19135" s="0" t="str">
        <f aca="false">HYPERLINK("https://lindat.mff.cuni.cz/services/SynSemClass40/SynSemClass40.html?veclass=vec00043#vec00043-ces-cm00007", "vec00043")</f>
        <v>vec00043</v>
      </c>
      <c r="F19135" s="0" t="s">
        <v>5012</v>
      </c>
    </row>
    <row r="19136" customFormat="false" ht="12.8" hidden="false" customHeight="false" outlineLevel="0" collapsed="false">
      <c r="B19136" s="0" t="s">
        <v>1</v>
      </c>
      <c r="C19136" s="0" t="s">
        <v>2758</v>
      </c>
      <c r="E19136" s="0" t="s">
        <v>8022</v>
      </c>
      <c r="F19136" s="0" t="s">
        <v>8023</v>
      </c>
    </row>
    <row r="19137" customFormat="false" ht="12.8" hidden="false" customHeight="false" outlineLevel="0" collapsed="false">
      <c r="B19137" s="0" t="s">
        <v>8</v>
      </c>
      <c r="C19137" s="0" t="s">
        <v>8024</v>
      </c>
      <c r="E19137" s="0" t="s">
        <v>8025</v>
      </c>
      <c r="F19137" s="0" t="s">
        <v>8026</v>
      </c>
    </row>
    <row r="19138" customFormat="false" ht="12.8" hidden="false" customHeight="false" outlineLevel="0" collapsed="false">
      <c r="B19138" s="0" t="s">
        <v>8027</v>
      </c>
      <c r="C19138" s="0" t="s">
        <v>8028</v>
      </c>
      <c r="E19138" s="0" t="s">
        <v>8029</v>
      </c>
      <c r="F19138" s="0" t="s">
        <v>8030</v>
      </c>
    </row>
    <row r="19140" customFormat="false" ht="12.8" hidden="false" customHeight="false" outlineLevel="0" collapsed="false">
      <c r="A19140" s="0" t="s">
        <v>8037</v>
      </c>
      <c r="B19140" s="0" t="str">
        <f aca="false">HYPERLINK("https://lindat.mff.cuni.cz/services/teitok/pdtc10/index.php?action=vallex&amp;frame=v-w2340f2", "nazývat (v-w2340f2)")</f>
        <v>nazývat (v-w2340f2)</v>
      </c>
      <c r="E19140" s="0" t="str">
        <f aca="false">HYPERLINK("https://lindat.mff.cuni.cz/services/SynSemClass40/SynSemClass40.html?veclass=vec00043#vec00043-ces-cm00008", "vec00043")</f>
        <v>vec00043</v>
      </c>
      <c r="F19140" s="0" t="s">
        <v>5012</v>
      </c>
    </row>
    <row r="19141" customFormat="false" ht="12.8" hidden="false" customHeight="false" outlineLevel="0" collapsed="false">
      <c r="B19141" s="0" t="s">
        <v>1</v>
      </c>
      <c r="C19141" s="0" t="s">
        <v>2758</v>
      </c>
      <c r="E19141" s="0" t="s">
        <v>8022</v>
      </c>
      <c r="F19141" s="0" t="s">
        <v>8023</v>
      </c>
    </row>
    <row r="19142" customFormat="false" ht="12.8" hidden="false" customHeight="false" outlineLevel="0" collapsed="false">
      <c r="B19142" s="0" t="s">
        <v>8</v>
      </c>
      <c r="C19142" s="0" t="s">
        <v>8024</v>
      </c>
      <c r="E19142" s="0" t="s">
        <v>8025</v>
      </c>
      <c r="F19142" s="0" t="s">
        <v>8026</v>
      </c>
    </row>
    <row r="19143" customFormat="false" ht="12.8" hidden="false" customHeight="false" outlineLevel="0" collapsed="false">
      <c r="B19143" s="0" t="s">
        <v>852</v>
      </c>
      <c r="C19143" s="0" t="s">
        <v>8032</v>
      </c>
      <c r="E19143" s="0" t="s">
        <v>8033</v>
      </c>
      <c r="F19143" s="0" t="s">
        <v>8034</v>
      </c>
    </row>
    <row r="19145" customFormat="false" ht="12.8" hidden="false" customHeight="false" outlineLevel="0" collapsed="false">
      <c r="A19145" s="0" t="s">
        <v>8038</v>
      </c>
      <c r="B19145" s="0" t="str">
        <f aca="false">HYPERLINK("https://lindat.mff.cuni.cz/services/teitok/pdtc10/index.php?action=vallex&amp;frame=v-w2341f1", "nazývat se (v-w2341f1)")</f>
        <v>nazývat se (v-w2341f1)</v>
      </c>
      <c r="E19145" s="0" t="str">
        <f aca="false">HYPERLINK("https://lindat.mff.cuni.cz/services/SynSemClass40/SynSemClass40.html?veclass=vec00043#vec00043-ces-cm00009", "vec00043")</f>
        <v>vec00043</v>
      </c>
      <c r="F19145" s="0" t="s">
        <v>5012</v>
      </c>
    </row>
    <row r="19146" customFormat="false" ht="12.8" hidden="false" customHeight="false" outlineLevel="0" collapsed="false">
      <c r="B19146" s="0" t="s">
        <v>1</v>
      </c>
      <c r="C19146" s="0" t="s">
        <v>5013</v>
      </c>
      <c r="E19146" s="0" t="s">
        <v>5014</v>
      </c>
      <c r="F19146" s="0" t="s">
        <v>5015</v>
      </c>
    </row>
    <row r="19147" customFormat="false" ht="12.8" hidden="false" customHeight="false" outlineLevel="0" collapsed="false">
      <c r="B19147" s="0" t="s">
        <v>8039</v>
      </c>
      <c r="C19147" s="0" t="s">
        <v>5016</v>
      </c>
      <c r="E19147" s="0" t="s">
        <v>5017</v>
      </c>
      <c r="F19147" s="0" t="s">
        <v>5018</v>
      </c>
    </row>
    <row r="19149" customFormat="false" ht="12.8" hidden="false" customHeight="false" outlineLevel="0" collapsed="false">
      <c r="A19149" s="0" t="s">
        <v>8040</v>
      </c>
      <c r="B19149" s="0" t="str">
        <f aca="false">HYPERLINK("https://lindat.mff.cuni.cz/services/teitok/pdtc10/index.php?action=vallex&amp;frame=v-w2341f2", "nazývat se (v-w2341f2)")</f>
        <v>nazývat se (v-w2341f2)</v>
      </c>
    </row>
    <row r="19150" customFormat="false" ht="12.8" hidden="false" customHeight="false" outlineLevel="0" collapsed="false">
      <c r="B19150" s="0" t="s">
        <v>1</v>
      </c>
    </row>
    <row r="19151" customFormat="false" ht="12.8" hidden="false" customHeight="false" outlineLevel="0" collapsed="false">
      <c r="B19151" s="0" t="s">
        <v>852</v>
      </c>
    </row>
    <row r="19153" customFormat="false" ht="12.8" hidden="false" customHeight="false" outlineLevel="0" collapsed="false">
      <c r="A19153" s="0" t="s">
        <v>8041</v>
      </c>
      <c r="B19153" s="0" t="str">
        <f aca="false">HYPERLINK("https://lindat.mff.cuni.cz/services/teitok/pdtc10/index.php?action=vallex&amp;frame=v-w2285f1", "naúčtovat (v-w2285f1)")</f>
        <v>naúčtovat (v-w2285f1)</v>
      </c>
    </row>
    <row r="19154" customFormat="false" ht="12.8" hidden="false" customHeight="false" outlineLevel="0" collapsed="false">
      <c r="B19154" s="0" t="s">
        <v>1</v>
      </c>
    </row>
    <row r="19155" customFormat="false" ht="12.8" hidden="false" customHeight="false" outlineLevel="0" collapsed="false">
      <c r="B19155" s="0" t="s">
        <v>8</v>
      </c>
    </row>
    <row r="19156" customFormat="false" ht="12.8" hidden="false" customHeight="false" outlineLevel="0" collapsed="false">
      <c r="B19156" s="0" t="s">
        <v>52</v>
      </c>
    </row>
    <row r="19157" customFormat="false" ht="12.8" hidden="false" customHeight="false" outlineLevel="0" collapsed="false">
      <c r="B19157" s="0" t="s">
        <v>723</v>
      </c>
    </row>
    <row r="19159" customFormat="false" ht="12.8" hidden="false" customHeight="false" outlineLevel="0" collapsed="false">
      <c r="A19159" s="0" t="s">
        <v>8042</v>
      </c>
      <c r="B19159" s="0" t="str">
        <f aca="false">HYPERLINK("https://lindat.mff.cuni.cz/services/teitok/pdtc10/index.php?action=vallex&amp;frame=v-w12381_MMf1_MM", "načančat (v-w12381_MMf1_MM)")</f>
        <v>načančat (v-w12381_MMf1_MM)</v>
      </c>
    </row>
    <row r="19160" customFormat="false" ht="12.8" hidden="false" customHeight="false" outlineLevel="0" collapsed="false">
      <c r="B19160" s="0" t="s">
        <v>1</v>
      </c>
    </row>
    <row r="19161" customFormat="false" ht="12.8" hidden="false" customHeight="false" outlineLevel="0" collapsed="false">
      <c r="B19161" s="0" t="s">
        <v>8</v>
      </c>
    </row>
    <row r="19163" customFormat="false" ht="12.8" hidden="false" customHeight="false" outlineLevel="0" collapsed="false">
      <c r="A19163" s="0" t="s">
        <v>8043</v>
      </c>
      <c r="B19163" s="0" t="str">
        <f aca="false">HYPERLINK("https://lindat.mff.cuni.cz/services/teitok/pdtc10/index.php?action=vallex&amp;frame=v-w12040_ZUf1_ZU", "načapat (v-w12040_ZUf1_ZU)")</f>
        <v>načapat (v-w12040_ZUf1_ZU)</v>
      </c>
    </row>
    <row r="19164" customFormat="false" ht="12.8" hidden="false" customHeight="false" outlineLevel="0" collapsed="false">
      <c r="B19164" s="0" t="s">
        <v>1</v>
      </c>
    </row>
    <row r="19165" customFormat="false" ht="12.8" hidden="false" customHeight="false" outlineLevel="0" collapsed="false">
      <c r="B19165" s="0" t="s">
        <v>8</v>
      </c>
    </row>
    <row r="19167" customFormat="false" ht="12.8" hidden="false" customHeight="false" outlineLevel="0" collapsed="false">
      <c r="A19167" s="0" t="s">
        <v>8044</v>
      </c>
      <c r="B19167" s="0" t="str">
        <f aca="false">HYPERLINK("https://lindat.mff.cuni.cz/services/teitok/pdtc10/index.php?action=vallex&amp;frame=v-w1964hsa_1177", "načasovat (v-w1964hsa_1177)")</f>
        <v>načasovat (v-w1964hsa_1177)</v>
      </c>
    </row>
    <row r="19168" customFormat="false" ht="12.8" hidden="false" customHeight="false" outlineLevel="0" collapsed="false">
      <c r="B19168" s="0" t="s">
        <v>1</v>
      </c>
    </row>
    <row r="19169" customFormat="false" ht="12.8" hidden="false" customHeight="false" outlineLevel="0" collapsed="false">
      <c r="B19169" s="0" t="s">
        <v>305</v>
      </c>
    </row>
    <row r="19171" customFormat="false" ht="12.8" hidden="false" customHeight="false" outlineLevel="0" collapsed="false">
      <c r="A19171" s="0" t="s">
        <v>8044</v>
      </c>
      <c r="B19171" s="0" t="str">
        <f aca="false">HYPERLINK("https://lindat.mff.cuni.cz/services/teitok/pdtc10/index.php?action=vallex&amp;frame=v-w1964f1", "načasovat (v-w1964f1) - substituted with v-w1964hsa_1177")</f>
        <v>načasovat (v-w1964f1) - substituted with v-w1964hsa_1177</v>
      </c>
    </row>
    <row r="19172" customFormat="false" ht="12.8" hidden="false" customHeight="false" outlineLevel="0" collapsed="false">
      <c r="B19172" s="0" t="s">
        <v>1</v>
      </c>
    </row>
    <row r="19173" customFormat="false" ht="12.8" hidden="false" customHeight="false" outlineLevel="0" collapsed="false">
      <c r="B19173" s="0" t="s">
        <v>305</v>
      </c>
    </row>
    <row r="19175" customFormat="false" ht="12.8" hidden="false" customHeight="false" outlineLevel="0" collapsed="false">
      <c r="A19175" s="0" t="s">
        <v>8045</v>
      </c>
      <c r="B19175" s="0" t="str">
        <f aca="false">HYPERLINK("https://lindat.mff.cuni.cz/services/teitok/pdtc10/index.php?action=vallex&amp;frame=v-w1964f2", "načasovat (v-w1964f2)")</f>
        <v>načasovat (v-w1964f2)</v>
      </c>
    </row>
    <row r="19176" customFormat="false" ht="12.8" hidden="false" customHeight="false" outlineLevel="0" collapsed="false">
      <c r="B19176" s="0" t="s">
        <v>1</v>
      </c>
    </row>
    <row r="19177" customFormat="false" ht="12.8" hidden="false" customHeight="false" outlineLevel="0" collapsed="false">
      <c r="B19177" s="0" t="s">
        <v>8</v>
      </c>
    </row>
    <row r="19179" customFormat="false" ht="12.8" hidden="false" customHeight="false" outlineLevel="0" collapsed="false">
      <c r="A19179" s="0" t="s">
        <v>8046</v>
      </c>
      <c r="B19179" s="0" t="str">
        <f aca="false">HYPERLINK("https://lindat.mff.cuni.cz/services/teitok/pdtc10/index.php?action=vallex&amp;frame=v-w1965f1", "načechrat (v-w1965f1)")</f>
        <v>načechrat (v-w1965f1)</v>
      </c>
    </row>
    <row r="19180" customFormat="false" ht="12.8" hidden="false" customHeight="false" outlineLevel="0" collapsed="false">
      <c r="B19180" s="0" t="s">
        <v>1</v>
      </c>
    </row>
    <row r="19181" customFormat="false" ht="12.8" hidden="false" customHeight="false" outlineLevel="0" collapsed="false">
      <c r="B19181" s="0" t="s">
        <v>8</v>
      </c>
    </row>
    <row r="19183" customFormat="false" ht="12.8" hidden="false" customHeight="false" outlineLevel="0" collapsed="false">
      <c r="A19183" s="0" t="s">
        <v>8047</v>
      </c>
      <c r="B19183" s="0" t="str">
        <f aca="false">HYPERLINK("https://lindat.mff.cuni.cz/services/teitok/pdtc10/index.php?action=vallex&amp;frame=v-w12290_MMf1_MM", "načepovat (v-w12290_MMf1_MM)")</f>
        <v>načepovat (v-w12290_MMf1_MM)</v>
      </c>
    </row>
    <row r="19184" customFormat="false" ht="12.8" hidden="false" customHeight="false" outlineLevel="0" collapsed="false">
      <c r="B19184" s="0" t="s">
        <v>1</v>
      </c>
    </row>
    <row r="19185" customFormat="false" ht="12.8" hidden="false" customHeight="false" outlineLevel="0" collapsed="false">
      <c r="B19185" s="0" t="s">
        <v>8</v>
      </c>
    </row>
    <row r="19186" customFormat="false" ht="12.8" hidden="false" customHeight="false" outlineLevel="0" collapsed="false">
      <c r="B19186" s="0" t="s">
        <v>164</v>
      </c>
    </row>
    <row r="19188" customFormat="false" ht="12.8" hidden="false" customHeight="false" outlineLevel="0" collapsed="false">
      <c r="A19188" s="0" t="s">
        <v>8048</v>
      </c>
      <c r="B19188" s="0" t="str">
        <f aca="false">HYPERLINK("https://lindat.mff.cuni.cz/services/teitok/pdtc10/index.php?action=vallex&amp;frame=v-w12290_MMf2_MM", "načepovat (v-w12290_MMf2_MM)")</f>
        <v>načepovat (v-w12290_MMf2_MM)</v>
      </c>
    </row>
    <row r="19189" customFormat="false" ht="12.8" hidden="false" customHeight="false" outlineLevel="0" collapsed="false">
      <c r="B19189" s="0" t="s">
        <v>1</v>
      </c>
    </row>
    <row r="19190" customFormat="false" ht="12.8" hidden="false" customHeight="false" outlineLevel="0" collapsed="false">
      <c r="B19190" s="0" t="s">
        <v>8</v>
      </c>
    </row>
    <row r="19191" customFormat="false" ht="12.8" hidden="false" customHeight="false" outlineLevel="0" collapsed="false">
      <c r="B19191" s="0" t="s">
        <v>132</v>
      </c>
    </row>
    <row r="19193" customFormat="false" ht="12.8" hidden="false" customHeight="false" outlineLevel="0" collapsed="false">
      <c r="A19193" s="0" t="s">
        <v>8049</v>
      </c>
      <c r="B19193" s="0" t="str">
        <f aca="false">HYPERLINK("https://lindat.mff.cuni.cz/services/teitok/pdtc10/index.php?action=vallex&amp;frame=v-w10309f2", "načerpat (v-w10309f2)")</f>
        <v>načerpat (v-w10309f2)</v>
      </c>
    </row>
    <row r="19194" customFormat="false" ht="12.8" hidden="false" customHeight="false" outlineLevel="0" collapsed="false">
      <c r="B19194" s="0" t="s">
        <v>1</v>
      </c>
    </row>
    <row r="19195" customFormat="false" ht="12.8" hidden="false" customHeight="false" outlineLevel="0" collapsed="false">
      <c r="B19195" s="0" t="s">
        <v>8</v>
      </c>
    </row>
    <row r="19196" customFormat="false" ht="12.8" hidden="false" customHeight="false" outlineLevel="0" collapsed="false">
      <c r="B19196" s="0" t="s">
        <v>8050</v>
      </c>
    </row>
    <row r="19198" customFormat="false" ht="12.8" hidden="false" customHeight="false" outlineLevel="0" collapsed="false">
      <c r="A19198" s="0" t="s">
        <v>8051</v>
      </c>
      <c r="B19198" s="0" t="str">
        <f aca="false">HYPERLINK("https://lindat.mff.cuni.cz/services/teitok/pdtc10/index.php?action=vallex&amp;frame=v-w11763_ZUf1_ZU", "načesat (v-w11763_ZUf1_ZU)")</f>
        <v>načesat (v-w11763_ZUf1_ZU)</v>
      </c>
    </row>
    <row r="19199" customFormat="false" ht="12.8" hidden="false" customHeight="false" outlineLevel="0" collapsed="false">
      <c r="B19199" s="0" t="s">
        <v>1</v>
      </c>
    </row>
    <row r="19200" customFormat="false" ht="12.8" hidden="false" customHeight="false" outlineLevel="0" collapsed="false">
      <c r="B19200" s="0" t="s">
        <v>8</v>
      </c>
    </row>
    <row r="19202" customFormat="false" ht="12.8" hidden="false" customHeight="false" outlineLevel="0" collapsed="false">
      <c r="A19202" s="0" t="s">
        <v>8052</v>
      </c>
      <c r="B19202" s="0" t="str">
        <f aca="false">HYPERLINK("https://lindat.mff.cuni.cz/services/teitok/pdtc10/index.php?action=vallex&amp;frame=v-w10429f2", "načmárat (v-w10429f2)")</f>
        <v>načmárat (v-w10429f2)</v>
      </c>
    </row>
    <row r="19203" customFormat="false" ht="12.8" hidden="false" customHeight="false" outlineLevel="0" collapsed="false">
      <c r="B19203" s="0" t="s">
        <v>1</v>
      </c>
    </row>
    <row r="19204" customFormat="false" ht="12.8" hidden="false" customHeight="false" outlineLevel="0" collapsed="false">
      <c r="B19204" s="0" t="s">
        <v>7589</v>
      </c>
    </row>
    <row r="19205" customFormat="false" ht="12.8" hidden="false" customHeight="false" outlineLevel="0" collapsed="false">
      <c r="B19205" s="0" t="s">
        <v>164</v>
      </c>
    </row>
    <row r="19207" customFormat="false" ht="12.8" hidden="false" customHeight="false" outlineLevel="0" collapsed="false">
      <c r="A19207" s="0" t="s">
        <v>8053</v>
      </c>
      <c r="B19207" s="0" t="str">
        <f aca="false">HYPERLINK("https://lindat.mff.cuni.cz/services/teitok/pdtc10/index.php?action=vallex&amp;frame=v-w1969f1", "načrtnout (v-w1969f1)")</f>
        <v>načrtnout (v-w1969f1)</v>
      </c>
      <c r="E19207" s="0" t="str">
        <f aca="false">HYPERLINK("https://lindat.mff.cuni.cz/services/SynSemClass40/SynSemClass40.html?veclass=vec01496#vec01496-ces-cm00004", "vec01496")</f>
        <v>vec01496</v>
      </c>
      <c r="F19207" s="0" t="s">
        <v>5507</v>
      </c>
    </row>
    <row r="19208" customFormat="false" ht="12.8" hidden="false" customHeight="false" outlineLevel="0" collapsed="false">
      <c r="B19208" s="0" t="s">
        <v>1</v>
      </c>
      <c r="C19208" s="0" t="s">
        <v>7782</v>
      </c>
      <c r="E19208" s="0" t="s">
        <v>768</v>
      </c>
      <c r="F19208" s="0" t="s">
        <v>5510</v>
      </c>
    </row>
    <row r="19209" customFormat="false" ht="12.8" hidden="false" customHeight="false" outlineLevel="0" collapsed="false">
      <c r="B19209" s="0" t="s">
        <v>8</v>
      </c>
      <c r="C19209" s="0" t="s">
        <v>4208</v>
      </c>
      <c r="E19209" s="0" t="s">
        <v>771</v>
      </c>
      <c r="F19209" s="0" t="s">
        <v>5513</v>
      </c>
    </row>
    <row r="19211" customFormat="false" ht="12.8" hidden="false" customHeight="false" outlineLevel="0" collapsed="false">
      <c r="A19211" s="0" t="s">
        <v>8054</v>
      </c>
      <c r="B19211" s="0" t="str">
        <f aca="false">HYPERLINK("https://lindat.mff.cuni.cz/services/teitok/pdtc10/index.php?action=vallex&amp;frame=v-w1967f1", "načrtávat (v-w1967f1)")</f>
        <v>načrtávat (v-w1967f1)</v>
      </c>
      <c r="E19211" s="0" t="str">
        <f aca="false">HYPERLINK("https://lindat.mff.cuni.cz/services/SynSemClass40/SynSemClass40.html?veclass=vec01496#vec01496-ces-cm00003", "vec01496")</f>
        <v>vec01496</v>
      </c>
      <c r="F19211" s="0" t="s">
        <v>5507</v>
      </c>
    </row>
    <row r="19212" customFormat="false" ht="12.8" hidden="false" customHeight="false" outlineLevel="0" collapsed="false">
      <c r="B19212" s="0" t="s">
        <v>1</v>
      </c>
      <c r="C19212" s="0" t="s">
        <v>7782</v>
      </c>
      <c r="E19212" s="0" t="s">
        <v>768</v>
      </c>
      <c r="F19212" s="0" t="s">
        <v>5510</v>
      </c>
    </row>
    <row r="19213" customFormat="false" ht="12.8" hidden="false" customHeight="false" outlineLevel="0" collapsed="false">
      <c r="B19213" s="0" t="s">
        <v>8</v>
      </c>
      <c r="C19213" s="0" t="s">
        <v>4208</v>
      </c>
      <c r="E19213" s="0" t="s">
        <v>771</v>
      </c>
      <c r="F19213" s="0" t="s">
        <v>5513</v>
      </c>
    </row>
    <row r="19215" customFormat="false" ht="12.8" hidden="false" customHeight="false" outlineLevel="0" collapsed="false">
      <c r="A19215" s="0" t="s">
        <v>8055</v>
      </c>
      <c r="B19215" s="0" t="str">
        <f aca="false">HYPERLINK("https://lindat.mff.cuni.cz/services/teitok/pdtc10/index.php?action=vallex&amp;frame=v-whsa_468hsa_469", "načíst (v-whsa_468hsa_469)")</f>
        <v>načíst (v-whsa_468hsa_469)</v>
      </c>
    </row>
    <row r="19216" customFormat="false" ht="12.8" hidden="false" customHeight="false" outlineLevel="0" collapsed="false">
      <c r="B19216" s="0" t="s">
        <v>1</v>
      </c>
    </row>
    <row r="19217" customFormat="false" ht="12.8" hidden="false" customHeight="false" outlineLevel="0" collapsed="false">
      <c r="B19217" s="0" t="s">
        <v>8</v>
      </c>
    </row>
    <row r="19219" customFormat="false" ht="12.8" hidden="false" customHeight="false" outlineLevel="0" collapsed="false">
      <c r="A19219" s="0" t="s">
        <v>8056</v>
      </c>
      <c r="B19219" s="0" t="str">
        <f aca="false">HYPERLINK("https://lindat.mff.cuni.cz/services/teitok/pdtc10/index.php?action=vallex&amp;frame=v-w1966f1", "načít (v-w1966f1)")</f>
        <v>načít (v-w1966f1)</v>
      </c>
    </row>
    <row r="19220" customFormat="false" ht="12.8" hidden="false" customHeight="false" outlineLevel="0" collapsed="false">
      <c r="B19220" s="0" t="s">
        <v>1</v>
      </c>
    </row>
    <row r="19221" customFormat="false" ht="12.8" hidden="false" customHeight="false" outlineLevel="0" collapsed="false">
      <c r="B19221" s="0" t="s">
        <v>8</v>
      </c>
    </row>
    <row r="19223" customFormat="false" ht="12.8" hidden="false" customHeight="false" outlineLevel="0" collapsed="false">
      <c r="A19223" s="0" t="s">
        <v>8057</v>
      </c>
      <c r="B19223" s="0" t="str">
        <f aca="false">HYPERLINK("https://lindat.mff.cuni.cz/services/teitok/pdtc10/index.php?action=vallex&amp;frame=v-whsa_1246hsa_1247", "načítat (v-whsa_1246hsa_1247)")</f>
        <v>načítat (v-whsa_1246hsa_1247)</v>
      </c>
    </row>
    <row r="19224" customFormat="false" ht="12.8" hidden="false" customHeight="false" outlineLevel="0" collapsed="false">
      <c r="B19224" s="0" t="s">
        <v>1</v>
      </c>
    </row>
    <row r="19225" customFormat="false" ht="12.8" hidden="false" customHeight="false" outlineLevel="0" collapsed="false">
      <c r="B19225" s="0" t="s">
        <v>8</v>
      </c>
    </row>
    <row r="19227" customFormat="false" ht="12.8" hidden="false" customHeight="false" outlineLevel="0" collapsed="false">
      <c r="A19227" s="0" t="s">
        <v>8058</v>
      </c>
      <c r="B19227" s="0" t="str">
        <f aca="false">HYPERLINK("https://lindat.mff.cuni.cz/services/teitok/pdtc10/index.php?action=vallex&amp;frame=v-w10963f2", "nařezat (v-w10963f2)")</f>
        <v>nařezat (v-w10963f2)</v>
      </c>
      <c r="E19227" s="0" t="str">
        <f aca="false">HYPERLINK("https://lindat.mff.cuni.cz/services/SynSemClass40/SynSemClass40.html?veclass=vec00903#vec00903-ces-cm00006", "vec00903")</f>
        <v>vec00903</v>
      </c>
      <c r="F19227" s="0" t="s">
        <v>8059</v>
      </c>
      <c r="H19227" s="0" t="str">
        <f aca="false">HYPERLINK("https://lindat.mff.cuni.cz/services/SynSemClass40/SynSemClass40.html?veclass=vec01449#vec01449-ces-cm00011", "vec01449")</f>
        <v>vec01449</v>
      </c>
      <c r="I19227" s="0" t="s">
        <v>5718</v>
      </c>
    </row>
    <row r="19228" customFormat="false" ht="12.8" hidden="false" customHeight="false" outlineLevel="0" collapsed="false">
      <c r="B19228" s="0" t="s">
        <v>1</v>
      </c>
      <c r="C19228" s="0" t="s">
        <v>8060</v>
      </c>
      <c r="E19228" s="0" t="s">
        <v>1890</v>
      </c>
      <c r="F19228" s="0" t="s">
        <v>8061</v>
      </c>
      <c r="H19228" s="0" t="s">
        <v>11</v>
      </c>
      <c r="I19228" s="0" t="s">
        <v>5720</v>
      </c>
    </row>
    <row r="19229" customFormat="false" ht="12.8" hidden="false" customHeight="false" outlineLevel="0" collapsed="false">
      <c r="B19229" s="0" t="s">
        <v>8</v>
      </c>
      <c r="C19229" s="0" t="s">
        <v>8062</v>
      </c>
      <c r="E19229" s="0" t="s">
        <v>1893</v>
      </c>
      <c r="F19229" s="0" t="s">
        <v>8063</v>
      </c>
      <c r="H19229" s="0" t="s">
        <v>5279</v>
      </c>
      <c r="I19229" s="0" t="s">
        <v>5722</v>
      </c>
    </row>
    <row r="19230" customFormat="false" ht="12.8" hidden="false" customHeight="false" outlineLevel="0" collapsed="false">
      <c r="B19230" s="0" t="s">
        <v>5779</v>
      </c>
      <c r="C19230" s="0" t="s">
        <v>8064</v>
      </c>
      <c r="E19230" s="0" t="s">
        <v>2584</v>
      </c>
      <c r="F19230" s="0" t="s">
        <v>8065</v>
      </c>
      <c r="H19230" s="0" t="s">
        <v>2584</v>
      </c>
      <c r="I19230" s="0" t="s">
        <v>5724</v>
      </c>
    </row>
    <row r="19232" customFormat="false" ht="12.8" hidden="false" customHeight="false" outlineLevel="0" collapsed="false">
      <c r="A19232" s="0" t="s">
        <v>8066</v>
      </c>
      <c r="B19232" s="0" t="str">
        <f aca="false">HYPERLINK("https://lindat.mff.cuni.cz/services/teitok/pdtc10/index.php?action=vallex&amp;frame=v-w2197f1", "nařizovat (v-w2197f1)")</f>
        <v>nařizovat (v-w2197f1)</v>
      </c>
      <c r="E19232" s="0" t="str">
        <f aca="false">HYPERLINK("https://lindat.mff.cuni.cz/services/SynSemClass40/SynSemClass40.html?veclass=vec01013#vec01013-ces-cm00002", "vec01013")</f>
        <v>vec01013</v>
      </c>
      <c r="F19232" s="0" t="s">
        <v>1981</v>
      </c>
    </row>
    <row r="19233" customFormat="false" ht="12.8" hidden="false" customHeight="false" outlineLevel="0" collapsed="false">
      <c r="B19233" s="0" t="s">
        <v>1</v>
      </c>
      <c r="C19233" s="0" t="s">
        <v>415</v>
      </c>
      <c r="E19233" s="0" t="s">
        <v>206</v>
      </c>
      <c r="F19233" s="0" t="s">
        <v>1982</v>
      </c>
    </row>
    <row r="19234" customFormat="false" ht="12.8" hidden="false" customHeight="false" outlineLevel="0" collapsed="false">
      <c r="B19234" s="0" t="s">
        <v>1983</v>
      </c>
      <c r="C19234" s="0" t="s">
        <v>1984</v>
      </c>
      <c r="E19234" s="0" t="s">
        <v>1985</v>
      </c>
      <c r="F19234" s="0" t="s">
        <v>1986</v>
      </c>
    </row>
    <row r="19235" customFormat="false" ht="12.8" hidden="false" customHeight="false" outlineLevel="0" collapsed="false">
      <c r="B19235" s="0" t="s">
        <v>52</v>
      </c>
      <c r="C19235" s="0" t="s">
        <v>1987</v>
      </c>
      <c r="E19235" s="0" t="s">
        <v>564</v>
      </c>
      <c r="F19235" s="0" t="s">
        <v>1988</v>
      </c>
    </row>
    <row r="19237" customFormat="false" ht="12.8" hidden="false" customHeight="false" outlineLevel="0" collapsed="false">
      <c r="A19237" s="0" t="s">
        <v>8067</v>
      </c>
      <c r="B19237" s="0" t="str">
        <f aca="false">HYPERLINK("https://lindat.mff.cuni.cz/services/teitok/pdtc10/index.php?action=vallex&amp;frame=v-w2197f2", "nařizovat (v-w2197f2)")</f>
        <v>nařizovat (v-w2197f2)</v>
      </c>
    </row>
    <row r="19238" customFormat="false" ht="12.8" hidden="false" customHeight="false" outlineLevel="0" collapsed="false">
      <c r="B19238" s="0" t="s">
        <v>1</v>
      </c>
    </row>
    <row r="19239" customFormat="false" ht="12.8" hidden="false" customHeight="false" outlineLevel="0" collapsed="false">
      <c r="B19239" s="0" t="s">
        <v>8</v>
      </c>
    </row>
    <row r="19241" customFormat="false" ht="12.8" hidden="false" customHeight="false" outlineLevel="0" collapsed="false">
      <c r="A19241" s="0" t="s">
        <v>8068</v>
      </c>
      <c r="B19241" s="0" t="str">
        <f aca="false">HYPERLINK("https://lindat.mff.cuni.cz/services/teitok/pdtc10/index.php?action=vallex&amp;frame=v-w2199f1", "nařknout (v-w2199f1)")</f>
        <v>nařknout (v-w2199f1)</v>
      </c>
      <c r="E19241" s="0" t="str">
        <f aca="false">HYPERLINK("https://lindat.mff.cuni.cz/services/SynSemClass40/SynSemClass40.html?veclass=vec00347#vec00347-ces-cm00003", "vec00347")</f>
        <v>vec00347</v>
      </c>
      <c r="F19241" s="0" t="s">
        <v>3748</v>
      </c>
    </row>
    <row r="19242" customFormat="false" ht="12.8" hidden="false" customHeight="false" outlineLevel="0" collapsed="false">
      <c r="B19242" s="0" t="s">
        <v>1</v>
      </c>
      <c r="C19242" s="0" t="s">
        <v>3749</v>
      </c>
      <c r="E19242" s="0" t="s">
        <v>3750</v>
      </c>
      <c r="F19242" s="0" t="s">
        <v>3751</v>
      </c>
    </row>
    <row r="19243" customFormat="false" ht="12.8" hidden="false" customHeight="false" outlineLevel="0" collapsed="false">
      <c r="B19243" s="0" t="s">
        <v>98</v>
      </c>
      <c r="C19243" s="0" t="s">
        <v>3755</v>
      </c>
      <c r="E19243" s="0" t="s">
        <v>3756</v>
      </c>
      <c r="F19243" s="0" t="s">
        <v>3757</v>
      </c>
    </row>
    <row r="19244" customFormat="false" ht="12.8" hidden="false" customHeight="false" outlineLevel="0" collapsed="false">
      <c r="B19244" s="0" t="s">
        <v>8069</v>
      </c>
      <c r="C19244" s="0" t="s">
        <v>3753</v>
      </c>
      <c r="E19244" s="0" t="s">
        <v>2568</v>
      </c>
      <c r="F19244" s="0" t="s">
        <v>3754</v>
      </c>
    </row>
    <row r="19246" customFormat="false" ht="12.8" hidden="false" customHeight="false" outlineLevel="0" collapsed="false">
      <c r="A19246" s="0" t="s">
        <v>8070</v>
      </c>
      <c r="B19246" s="0" t="str">
        <f aca="false">HYPERLINK("https://lindat.mff.cuni.cz/services/teitok/pdtc10/index.php?action=vallex&amp;frame=v-w2192hsa_777", "nařídit (v-w2192hsa_777)")</f>
        <v>nařídit (v-w2192hsa_777)</v>
      </c>
      <c r="E19246" s="0" t="str">
        <f aca="false">HYPERLINK("https://lindat.mff.cuni.cz/services/SynSemClass40/SynSemClass40.html?veclass=vec01013#vec01013-ces-cm00004", "vec01013")</f>
        <v>vec01013</v>
      </c>
      <c r="F19246" s="0" t="s">
        <v>1981</v>
      </c>
    </row>
    <row r="19247" customFormat="false" ht="12.8" hidden="false" customHeight="false" outlineLevel="0" collapsed="false">
      <c r="B19247" s="0" t="s">
        <v>1</v>
      </c>
      <c r="C19247" s="0" t="s">
        <v>415</v>
      </c>
      <c r="E19247" s="0" t="s">
        <v>206</v>
      </c>
      <c r="F19247" s="0" t="s">
        <v>1982</v>
      </c>
    </row>
    <row r="19248" customFormat="false" ht="12.8" hidden="false" customHeight="false" outlineLevel="0" collapsed="false">
      <c r="B19248" s="0" t="s">
        <v>2611</v>
      </c>
      <c r="C19248" s="0" t="s">
        <v>1984</v>
      </c>
      <c r="E19248" s="0" t="s">
        <v>1985</v>
      </c>
      <c r="F19248" s="0" t="s">
        <v>1986</v>
      </c>
    </row>
    <row r="19249" customFormat="false" ht="12.8" hidden="false" customHeight="false" outlineLevel="0" collapsed="false">
      <c r="B19249" s="0" t="s">
        <v>52</v>
      </c>
      <c r="C19249" s="0" t="s">
        <v>1987</v>
      </c>
      <c r="E19249" s="0" t="s">
        <v>564</v>
      </c>
      <c r="F19249" s="0" t="s">
        <v>1988</v>
      </c>
    </row>
    <row r="19251" customFormat="false" ht="12.8" hidden="false" customHeight="false" outlineLevel="0" collapsed="false">
      <c r="A19251" s="0" t="s">
        <v>8070</v>
      </c>
      <c r="B19251" s="0" t="str">
        <f aca="false">HYPERLINK("https://lindat.mff.cuni.cz/services/teitok/pdtc10/index.php?action=vallex&amp;frame=v-w2192f1", "nařídit (v-w2192f1) - substituted with v-w2192hsa_777")</f>
        <v>nařídit (v-w2192f1) - substituted with v-w2192hsa_777</v>
      </c>
    </row>
    <row r="19252" customFormat="false" ht="12.8" hidden="false" customHeight="false" outlineLevel="0" collapsed="false">
      <c r="B19252" s="0" t="s">
        <v>1</v>
      </c>
    </row>
    <row r="19253" customFormat="false" ht="12.8" hidden="false" customHeight="false" outlineLevel="0" collapsed="false">
      <c r="B19253" s="0" t="s">
        <v>2611</v>
      </c>
    </row>
    <row r="19254" customFormat="false" ht="12.8" hidden="false" customHeight="false" outlineLevel="0" collapsed="false">
      <c r="B19254" s="0" t="s">
        <v>52</v>
      </c>
    </row>
    <row r="19256" customFormat="false" ht="12.8" hidden="false" customHeight="false" outlineLevel="0" collapsed="false">
      <c r="A19256" s="0" t="s">
        <v>8071</v>
      </c>
      <c r="B19256" s="0" t="str">
        <f aca="false">HYPERLINK("https://lindat.mff.cuni.cz/services/teitok/pdtc10/index.php?action=vallex&amp;frame=v-w2192f2", "nařídit (v-w2192f2)")</f>
        <v>nařídit (v-w2192f2)</v>
      </c>
    </row>
    <row r="19257" customFormat="false" ht="12.8" hidden="false" customHeight="false" outlineLevel="0" collapsed="false">
      <c r="B19257" s="0" t="s">
        <v>1</v>
      </c>
    </row>
    <row r="19258" customFormat="false" ht="12.8" hidden="false" customHeight="false" outlineLevel="0" collapsed="false">
      <c r="B19258" s="0" t="s">
        <v>8</v>
      </c>
    </row>
    <row r="19260" customFormat="false" ht="12.8" hidden="false" customHeight="false" outlineLevel="0" collapsed="false">
      <c r="A19260" s="0" t="s">
        <v>8072</v>
      </c>
      <c r="B19260" s="0" t="str">
        <f aca="false">HYPERLINK("https://lindat.mff.cuni.cz/services/teitok/pdtc10/index.php?action=vallex&amp;frame=v-w2193hsa_709", "naříkat (v-w2193hsa_709)")</f>
        <v>naříkat (v-w2193hsa_709)</v>
      </c>
      <c r="E19260" s="0" t="str">
        <f aca="false">HYPERLINK("https://lindat.mff.cuni.cz/services/SynSemClass40/SynSemClass40.html?veclass=vec00132#vec00132-ces-cm00021", "vec00132")</f>
        <v>vec00132</v>
      </c>
      <c r="F19260" s="0" t="s">
        <v>484</v>
      </c>
      <c r="H19260" s="0" t="str">
        <f aca="false">HYPERLINK("https://lindat.mff.cuni.cz/services/SynSemClass40/SynSemClass40.html?veclass=vec00867#vec00867-ces-cm00004", "vec00867")</f>
        <v>vec00867</v>
      </c>
      <c r="I19260" s="0" t="s">
        <v>1294</v>
      </c>
      <c r="K19260" s="0" t="str">
        <f aca="false">HYPERLINK("https://lindat.mff.cuni.cz/services/SynSemClass40/SynSemClass40.html?veclass=vec01489#vec01489-ces-cm00009", "vec01489")</f>
        <v>vec01489</v>
      </c>
      <c r="L19260" s="0" t="s">
        <v>485</v>
      </c>
    </row>
    <row r="19261" customFormat="false" ht="12.8" hidden="false" customHeight="false" outlineLevel="0" collapsed="false">
      <c r="B19261" s="0" t="s">
        <v>1</v>
      </c>
      <c r="C19261" s="0" t="s">
        <v>8073</v>
      </c>
      <c r="E19261" s="0" t="s">
        <v>63</v>
      </c>
      <c r="F19261" s="0" t="s">
        <v>487</v>
      </c>
      <c r="H19261" s="0" t="s">
        <v>266</v>
      </c>
      <c r="I19261" s="0" t="s">
        <v>1296</v>
      </c>
      <c r="K19261" s="0" t="s">
        <v>63</v>
      </c>
      <c r="L19261" s="0" t="s">
        <v>488</v>
      </c>
    </row>
    <row r="19262" customFormat="false" ht="12.8" hidden="false" customHeight="false" outlineLevel="0" collapsed="false">
      <c r="B19262" s="0" t="s">
        <v>1297</v>
      </c>
      <c r="C19262" s="0" t="s">
        <v>8074</v>
      </c>
      <c r="E19262" s="0" t="s">
        <v>230</v>
      </c>
      <c r="F19262" s="0" t="s">
        <v>491</v>
      </c>
      <c r="H19262" s="0" t="s">
        <v>271</v>
      </c>
      <c r="I19262" s="0" t="s">
        <v>1300</v>
      </c>
      <c r="K19262" s="0" t="s">
        <v>230</v>
      </c>
      <c r="L19262" s="0" t="s">
        <v>492</v>
      </c>
    </row>
    <row r="19264" customFormat="false" ht="12.8" hidden="false" customHeight="false" outlineLevel="0" collapsed="false">
      <c r="A19264" s="0" t="s">
        <v>8072</v>
      </c>
      <c r="B19264" s="0" t="str">
        <f aca="false">HYPERLINK("https://lindat.mff.cuni.cz/services/teitok/pdtc10/index.php?action=vallex&amp;frame=v-w2193f1", "naříkat (v-w2193f1) - substituted with v-w2193hsa_709")</f>
        <v>naříkat (v-w2193f1) - substituted with v-w2193hsa_709</v>
      </c>
    </row>
    <row r="19265" customFormat="false" ht="12.8" hidden="false" customHeight="false" outlineLevel="0" collapsed="false">
      <c r="B19265" s="0" t="s">
        <v>1</v>
      </c>
    </row>
    <row r="19266" customFormat="false" ht="12.8" hidden="false" customHeight="false" outlineLevel="0" collapsed="false">
      <c r="B19266" s="0" t="s">
        <v>1297</v>
      </c>
    </row>
    <row r="19268" customFormat="false" ht="12.8" hidden="false" customHeight="false" outlineLevel="0" collapsed="false">
      <c r="A19268" s="0" t="s">
        <v>8075</v>
      </c>
      <c r="B19268" s="0" t="str">
        <f aca="false">HYPERLINK("https://lindat.mff.cuni.cz/services/teitok/pdtc10/index.php?action=vallex&amp;frame=v-w2196f1", "naříznout (v-w2196f1)")</f>
        <v>naříznout (v-w2196f1)</v>
      </c>
    </row>
    <row r="19269" customFormat="false" ht="12.8" hidden="false" customHeight="false" outlineLevel="0" collapsed="false">
      <c r="B19269" s="0" t="s">
        <v>1</v>
      </c>
    </row>
    <row r="19270" customFormat="false" ht="12.8" hidden="false" customHeight="false" outlineLevel="0" collapsed="false">
      <c r="B19270" s="0" t="s">
        <v>8</v>
      </c>
    </row>
    <row r="19272" customFormat="false" ht="12.8" hidden="false" customHeight="false" outlineLevel="0" collapsed="false">
      <c r="A19272" s="0" t="s">
        <v>8076</v>
      </c>
      <c r="B19272" s="0" t="str">
        <f aca="false">HYPERLINK("https://lindat.mff.cuni.cz/services/teitok/pdtc10/index.php?action=vallex&amp;frame=v-w2262f1", "našeptávat (v-w2262f1)")</f>
        <v>našeptávat (v-w2262f1)</v>
      </c>
    </row>
    <row r="19273" customFormat="false" ht="12.8" hidden="false" customHeight="false" outlineLevel="0" collapsed="false">
      <c r="B19273" s="0" t="s">
        <v>1</v>
      </c>
    </row>
    <row r="19274" customFormat="false" ht="12.8" hidden="false" customHeight="false" outlineLevel="0" collapsed="false">
      <c r="B19274" s="0" t="s">
        <v>52</v>
      </c>
    </row>
    <row r="19275" customFormat="false" ht="12.8" hidden="false" customHeight="false" outlineLevel="0" collapsed="false">
      <c r="B19275" s="0" t="s">
        <v>8077</v>
      </c>
    </row>
    <row r="19276" customFormat="false" ht="12.8" hidden="false" customHeight="false" outlineLevel="0" collapsed="false">
      <c r="B19276" s="0" t="s">
        <v>496</v>
      </c>
    </row>
    <row r="19278" customFormat="false" ht="12.8" hidden="false" customHeight="false" outlineLevel="0" collapsed="false">
      <c r="A19278" s="0" t="s">
        <v>8078</v>
      </c>
      <c r="B19278" s="0" t="str">
        <f aca="false">HYPERLINK("https://lindat.mff.cuni.cz/services/teitok/pdtc10/index.php?action=vallex&amp;frame=v-w10731f2", "našetřit (v-w10731f2)")</f>
        <v>našetřit (v-w10731f2)</v>
      </c>
      <c r="E19278" s="0" t="str">
        <f aca="false">HYPERLINK("https://lindat.mff.cuni.cz/services/SynSemClass40/SynSemClass40.html?veclass=vec01322#vec01322-ces-cm00001", "vec01322")</f>
        <v>vec01322</v>
      </c>
      <c r="F19278" s="0" t="s">
        <v>8079</v>
      </c>
    </row>
    <row r="19279" customFormat="false" ht="12.8" hidden="false" customHeight="false" outlineLevel="0" collapsed="false">
      <c r="B19279" s="0" t="s">
        <v>1</v>
      </c>
      <c r="C19279" s="0" t="s">
        <v>8080</v>
      </c>
      <c r="E19279" s="0" t="s">
        <v>92</v>
      </c>
      <c r="F19279" s="0" t="s">
        <v>8081</v>
      </c>
    </row>
    <row r="19280" customFormat="false" ht="12.8" hidden="false" customHeight="false" outlineLevel="0" collapsed="false">
      <c r="B19280" s="0" t="s">
        <v>8</v>
      </c>
      <c r="C19280" s="0" t="s">
        <v>4770</v>
      </c>
      <c r="E19280" s="0" t="s">
        <v>4565</v>
      </c>
      <c r="F19280" s="0" t="s">
        <v>8082</v>
      </c>
    </row>
    <row r="19282" customFormat="false" ht="12.8" hidden="false" customHeight="false" outlineLevel="0" collapsed="false">
      <c r="A19282" s="0" t="s">
        <v>8083</v>
      </c>
      <c r="B19282" s="0" t="str">
        <f aca="false">HYPERLINK("https://lindat.mff.cuni.cz/services/teitok/pdtc10/index.php?action=vallex&amp;frame=v-whsa_1124f1_ZU", "našlapat (v-whsa_1124f1_ZU)")</f>
        <v>našlapat (v-whsa_1124f1_ZU)</v>
      </c>
    </row>
    <row r="19283" customFormat="false" ht="12.8" hidden="false" customHeight="false" outlineLevel="0" collapsed="false">
      <c r="B19283" s="0" t="s">
        <v>1</v>
      </c>
    </row>
    <row r="19284" customFormat="false" ht="12.8" hidden="false" customHeight="false" outlineLevel="0" collapsed="false">
      <c r="B19284" s="0" t="s">
        <v>5</v>
      </c>
    </row>
    <row r="19285" customFormat="false" ht="12.8" hidden="false" customHeight="false" outlineLevel="0" collapsed="false">
      <c r="B19285" s="0" t="s">
        <v>390</v>
      </c>
    </row>
    <row r="19287" customFormat="false" ht="12.8" hidden="false" customHeight="false" outlineLevel="0" collapsed="false">
      <c r="A19287" s="0" t="s">
        <v>8083</v>
      </c>
      <c r="B19287" s="0" t="str">
        <f aca="false">HYPERLINK("https://lindat.mff.cuni.cz/services/teitok/pdtc10/index.php?action=vallex&amp;frame=v-whsa_1124hsa_1125", "našlapat (v-whsa_1124hsa_1125) - substituted with v-whsa_1124f1_ZU")</f>
        <v>našlapat (v-whsa_1124hsa_1125) - substituted with v-whsa_1124f1_ZU</v>
      </c>
    </row>
    <row r="19288" customFormat="false" ht="12.8" hidden="false" customHeight="false" outlineLevel="0" collapsed="false">
      <c r="B19288" s="0" t="s">
        <v>1</v>
      </c>
    </row>
    <row r="19289" customFormat="false" ht="12.8" hidden="false" customHeight="false" outlineLevel="0" collapsed="false">
      <c r="B19289" s="0" t="s">
        <v>5</v>
      </c>
    </row>
    <row r="19290" customFormat="false" ht="12.8" hidden="false" customHeight="false" outlineLevel="0" collapsed="false">
      <c r="B19290" s="0" t="s">
        <v>390</v>
      </c>
    </row>
    <row r="19292" customFormat="false" ht="12.8" hidden="false" customHeight="false" outlineLevel="0" collapsed="false">
      <c r="A19292" s="0" t="s">
        <v>8084</v>
      </c>
      <c r="B19292" s="0" t="str">
        <f aca="false">HYPERLINK("https://lindat.mff.cuni.cz/services/teitok/pdtc10/index.php?action=vallex&amp;frame=v-whsa_1124f2_ZU", "našlapat (v-whsa_1124f2_ZU)")</f>
        <v>našlapat (v-whsa_1124f2_ZU)</v>
      </c>
    </row>
    <row r="19293" customFormat="false" ht="12.8" hidden="false" customHeight="false" outlineLevel="0" collapsed="false">
      <c r="B19293" s="0" t="s">
        <v>1</v>
      </c>
    </row>
    <row r="19294" customFormat="false" ht="12.8" hidden="false" customHeight="false" outlineLevel="0" collapsed="false">
      <c r="B19294" s="0" t="s">
        <v>8</v>
      </c>
    </row>
    <row r="19296" customFormat="false" ht="12.8" hidden="false" customHeight="false" outlineLevel="0" collapsed="false">
      <c r="A19296" s="0" t="s">
        <v>8085</v>
      </c>
      <c r="B19296" s="0" t="str">
        <f aca="false">HYPERLINK("https://lindat.mff.cuni.cz/services/teitok/pdtc10/index.php?action=vallex&amp;frame=v-w11069f2", "našlapovat (v-w11069f2)")</f>
        <v>našlapovat (v-w11069f2)</v>
      </c>
    </row>
    <row r="19297" customFormat="false" ht="12.8" hidden="false" customHeight="false" outlineLevel="0" collapsed="false">
      <c r="B19297" s="0" t="s">
        <v>1</v>
      </c>
    </row>
    <row r="19299" customFormat="false" ht="12.8" hidden="false" customHeight="false" outlineLevel="0" collapsed="false">
      <c r="A19299" s="0" t="s">
        <v>8086</v>
      </c>
      <c r="B19299" s="0" t="str">
        <f aca="false">HYPERLINK("https://lindat.mff.cuni.cz/services/teitok/pdtc10/index.php?action=vallex&amp;frame=v-w2263f1", "našlápnout (v-w2263f1)")</f>
        <v>našlápnout (v-w2263f1)</v>
      </c>
    </row>
    <row r="19300" customFormat="false" ht="12.8" hidden="false" customHeight="false" outlineLevel="0" collapsed="false">
      <c r="B19300" s="0" t="s">
        <v>1</v>
      </c>
    </row>
    <row r="19301" customFormat="false" ht="12.8" hidden="false" customHeight="false" outlineLevel="0" collapsed="false">
      <c r="B19301" s="0" t="s">
        <v>8</v>
      </c>
    </row>
    <row r="19303" customFormat="false" ht="12.8" hidden="false" customHeight="false" outlineLevel="0" collapsed="false">
      <c r="A19303" s="0" t="s">
        <v>8087</v>
      </c>
      <c r="B19303" s="0" t="str">
        <f aca="false">HYPERLINK("https://lindat.mff.cuni.cz/services/teitok/pdtc10/index.php?action=vallex&amp;frame=v-w2263f2", "našlápnout (v-w2263f2)")</f>
        <v>našlápnout (v-w2263f2)</v>
      </c>
    </row>
    <row r="19304" customFormat="false" ht="12.8" hidden="false" customHeight="false" outlineLevel="0" collapsed="false">
      <c r="B19304" s="0" t="s">
        <v>1</v>
      </c>
    </row>
    <row r="19305" customFormat="false" ht="12.8" hidden="false" customHeight="false" outlineLevel="0" collapsed="false">
      <c r="B19305" s="0" t="s">
        <v>164</v>
      </c>
    </row>
    <row r="19307" customFormat="false" ht="12.8" hidden="false" customHeight="false" outlineLevel="0" collapsed="false">
      <c r="A19307" s="0" t="s">
        <v>8088</v>
      </c>
      <c r="B19307" s="0" t="str">
        <f aca="false">HYPERLINK("https://lindat.mff.cuni.cz/services/teitok/pdtc10/index.php?action=vallex&amp;frame=v-w2264hsa_1397", "naštvat (v-w2264hsa_1397)")</f>
        <v>naštvat (v-w2264hsa_1397)</v>
      </c>
    </row>
    <row r="19308" customFormat="false" ht="12.8" hidden="false" customHeight="false" outlineLevel="0" collapsed="false">
      <c r="B19308" s="0" t="s">
        <v>843</v>
      </c>
    </row>
    <row r="19309" customFormat="false" ht="12.8" hidden="false" customHeight="false" outlineLevel="0" collapsed="false">
      <c r="B19309" s="0" t="s">
        <v>8</v>
      </c>
    </row>
    <row r="19311" customFormat="false" ht="12.8" hidden="false" customHeight="false" outlineLevel="0" collapsed="false">
      <c r="A19311" s="0" t="s">
        <v>8088</v>
      </c>
      <c r="B19311" s="0" t="str">
        <f aca="false">HYPERLINK("https://lindat.mff.cuni.cz/services/teitok/pdtc10/index.php?action=vallex&amp;frame=v-w2264f1", "naštvat (v-w2264f1) - substituted with v-w2264hsa_1397")</f>
        <v>naštvat (v-w2264f1) - substituted with v-w2264hsa_1397</v>
      </c>
      <c r="E19311" s="0" t="str">
        <f aca="false">HYPERLINK("https://lindat.mff.cuni.cz/services/SynSemClass40/SynSemClass40.html?veclass=vec00701#vec00701-ces-cm00015", "vec00701")</f>
        <v>vec00701</v>
      </c>
      <c r="F19311" s="0" t="s">
        <v>8089</v>
      </c>
      <c r="H19311" s="0" t="str">
        <f aca="false">HYPERLINK("https://lindat.mff.cuni.cz/services/SynSemClass40/SynSemClass40.html?veclass=vec00904#vec00904-ces-cm00006", "vec00904")</f>
        <v>vec00904</v>
      </c>
      <c r="I19311" s="0" t="s">
        <v>8090</v>
      </c>
    </row>
    <row r="19312" customFormat="false" ht="12.8" hidden="false" customHeight="false" outlineLevel="0" collapsed="false">
      <c r="B19312" s="0" t="s">
        <v>843</v>
      </c>
      <c r="C19312" s="0" t="s">
        <v>8091</v>
      </c>
      <c r="E19312" s="0" t="s">
        <v>1103</v>
      </c>
      <c r="F19312" s="0" t="s">
        <v>8092</v>
      </c>
      <c r="H19312" s="0" t="s">
        <v>1103</v>
      </c>
      <c r="I19312" s="0" t="s">
        <v>8093</v>
      </c>
    </row>
    <row r="19313" customFormat="false" ht="12.8" hidden="false" customHeight="false" outlineLevel="0" collapsed="false">
      <c r="B19313" s="0" t="s">
        <v>8</v>
      </c>
      <c r="C19313" s="0" t="s">
        <v>8094</v>
      </c>
      <c r="E19313" s="0" t="s">
        <v>1399</v>
      </c>
      <c r="F19313" s="0" t="s">
        <v>8095</v>
      </c>
      <c r="H19313" s="0" t="s">
        <v>1399</v>
      </c>
      <c r="I19313" s="0" t="s">
        <v>8096</v>
      </c>
    </row>
    <row r="19315" customFormat="false" ht="12.8" hidden="false" customHeight="false" outlineLevel="0" collapsed="false">
      <c r="A19315" s="0" t="s">
        <v>8097</v>
      </c>
      <c r="B19315" s="0" t="str">
        <f aca="false">HYPERLINK("https://lindat.mff.cuni.cz/services/teitok/pdtc10/index.php?action=vallex&amp;frame=v-w11696_ZUf2_ZU", "našít (v-w11696_ZUf2_ZU)")</f>
        <v>našít (v-w11696_ZUf2_ZU)</v>
      </c>
    </row>
    <row r="19316" customFormat="false" ht="12.8" hidden="false" customHeight="false" outlineLevel="0" collapsed="false">
      <c r="B19316" s="0" t="s">
        <v>1</v>
      </c>
    </row>
    <row r="19317" customFormat="false" ht="12.8" hidden="false" customHeight="false" outlineLevel="0" collapsed="false">
      <c r="B19317" s="0" t="s">
        <v>8</v>
      </c>
    </row>
    <row r="19318" customFormat="false" ht="12.8" hidden="false" customHeight="false" outlineLevel="0" collapsed="false">
      <c r="B19318" s="0" t="s">
        <v>454</v>
      </c>
    </row>
    <row r="19320" customFormat="false" ht="12.8" hidden="false" customHeight="false" outlineLevel="0" collapsed="false">
      <c r="A19320" s="0" t="s">
        <v>8097</v>
      </c>
      <c r="B19320" s="0" t="str">
        <f aca="false">HYPERLINK("https://lindat.mff.cuni.cz/services/teitok/pdtc10/index.php?action=vallex&amp;frame=v-w11696_ZUf1_ZU", "našít (v-w11696_ZUf1_ZU) - substituted with v-w11696_ZUf2_ZU")</f>
        <v>našít (v-w11696_ZUf1_ZU) - substituted with v-w11696_ZUf2_ZU</v>
      </c>
    </row>
    <row r="19321" customFormat="false" ht="12.8" hidden="false" customHeight="false" outlineLevel="0" collapsed="false">
      <c r="B19321" s="0" t="s">
        <v>1</v>
      </c>
    </row>
    <row r="19322" customFormat="false" ht="12.8" hidden="false" customHeight="false" outlineLevel="0" collapsed="false">
      <c r="B19322" s="0" t="s">
        <v>8</v>
      </c>
    </row>
    <row r="19323" customFormat="false" ht="12.8" hidden="false" customHeight="false" outlineLevel="0" collapsed="false">
      <c r="B19323" s="0" t="s">
        <v>454</v>
      </c>
    </row>
    <row r="19325" customFormat="false" ht="12.8" hidden="false" customHeight="false" outlineLevel="0" collapsed="false">
      <c r="A19325" s="0" t="s">
        <v>8098</v>
      </c>
      <c r="B19325" s="0" t="str">
        <f aca="false">HYPERLINK("https://lindat.mff.cuni.cz/services/teitok/pdtc10/index.php?action=vallex&amp;frame=v-w2281f1", "naťukat (v-w2281f1)")</f>
        <v>naťukat (v-w2281f1)</v>
      </c>
    </row>
    <row r="19326" customFormat="false" ht="12.8" hidden="false" customHeight="false" outlineLevel="0" collapsed="false">
      <c r="B19326" s="0" t="s">
        <v>1</v>
      </c>
    </row>
    <row r="19327" customFormat="false" ht="12.8" hidden="false" customHeight="false" outlineLevel="0" collapsed="false">
      <c r="B19327" s="0" t="s">
        <v>7189</v>
      </c>
    </row>
    <row r="19328" customFormat="false" ht="12.8" hidden="false" customHeight="false" outlineLevel="0" collapsed="false">
      <c r="B19328" s="0" t="s">
        <v>496</v>
      </c>
    </row>
    <row r="19329" customFormat="false" ht="12.8" hidden="false" customHeight="false" outlineLevel="0" collapsed="false">
      <c r="B19329" s="0" t="s">
        <v>132</v>
      </c>
    </row>
    <row r="19331" customFormat="false" ht="12.8" hidden="false" customHeight="false" outlineLevel="0" collapsed="false">
      <c r="A19331" s="0" t="s">
        <v>8099</v>
      </c>
      <c r="B19331" s="0" t="str">
        <f aca="false">HYPERLINK("https://lindat.mff.cuni.cz/services/teitok/pdtc10/index.php?action=vallex&amp;frame=v-w12382_MMf1_MM", "nažehlit (v-w12382_MMf1_MM)")</f>
        <v>nažehlit (v-w12382_MMf1_MM)</v>
      </c>
    </row>
    <row r="19332" customFormat="false" ht="12.8" hidden="false" customHeight="false" outlineLevel="0" collapsed="false">
      <c r="B19332" s="0" t="s">
        <v>1</v>
      </c>
    </row>
    <row r="19333" customFormat="false" ht="12.8" hidden="false" customHeight="false" outlineLevel="0" collapsed="false">
      <c r="B19333" s="0" t="s">
        <v>8</v>
      </c>
    </row>
    <row r="19335" customFormat="false" ht="12.8" hidden="false" customHeight="false" outlineLevel="0" collapsed="false">
      <c r="A19335" s="0" t="s">
        <v>8100</v>
      </c>
      <c r="B19335" s="0" t="str">
        <f aca="false">HYPERLINK("https://lindat.mff.cuni.cz/services/teitok/pdtc10/index.php?action=vallex&amp;frame=v-w12185_ZUf1_ZU", "nažrat (v-w12185_ZUf1_ZU)")</f>
        <v>nažrat (v-w12185_ZUf1_ZU)</v>
      </c>
    </row>
    <row r="19336" customFormat="false" ht="12.8" hidden="false" customHeight="false" outlineLevel="0" collapsed="false">
      <c r="B19336" s="0" t="s">
        <v>1</v>
      </c>
    </row>
    <row r="19337" customFormat="false" ht="12.8" hidden="false" customHeight="false" outlineLevel="0" collapsed="false">
      <c r="B19337" s="0" t="s">
        <v>8</v>
      </c>
    </row>
    <row r="19339" customFormat="false" ht="12.8" hidden="false" customHeight="false" outlineLevel="0" collapsed="false">
      <c r="A19339" s="0" t="s">
        <v>8101</v>
      </c>
      <c r="B19339" s="0" t="str">
        <f aca="false">HYPERLINK("https://lindat.mff.cuni.cz/services/teitok/pdtc10/index.php?action=vallex&amp;frame=v-w2343f1", "nažrat se (v-w2343f1)")</f>
        <v>nažrat se (v-w2343f1)</v>
      </c>
    </row>
    <row r="19340" customFormat="false" ht="12.8" hidden="false" customHeight="false" outlineLevel="0" collapsed="false">
      <c r="B19340" s="0" t="s">
        <v>1</v>
      </c>
    </row>
    <row r="19342" customFormat="false" ht="12.8" hidden="false" customHeight="false" outlineLevel="0" collapsed="false">
      <c r="A19342" s="0" t="s">
        <v>8102</v>
      </c>
      <c r="B19342" s="0" t="str">
        <f aca="false">HYPERLINK("https://lindat.mff.cuni.cz/services/teitok/pdtc10/index.php?action=vallex&amp;frame=v-w2356f30_ZU", "nechat (v-w2356f30_ZU)")</f>
        <v>nechat (v-w2356f30_ZU)</v>
      </c>
    </row>
    <row r="19343" customFormat="false" ht="12.8" hidden="false" customHeight="false" outlineLevel="0" collapsed="false">
      <c r="B19343" s="0" t="s">
        <v>1</v>
      </c>
    </row>
    <row r="19344" customFormat="false" ht="12.8" hidden="false" customHeight="false" outlineLevel="0" collapsed="false">
      <c r="B19344" s="0" t="s">
        <v>8</v>
      </c>
    </row>
    <row r="19345" customFormat="false" ht="12.8" hidden="false" customHeight="false" outlineLevel="0" collapsed="false">
      <c r="B19345" s="0" t="s">
        <v>132</v>
      </c>
    </row>
    <row r="19346" customFormat="false" ht="12.8" hidden="false" customHeight="false" outlineLevel="0" collapsed="false">
      <c r="B19346" s="0" t="s">
        <v>723</v>
      </c>
    </row>
    <row r="19348" customFormat="false" ht="12.8" hidden="false" customHeight="false" outlineLevel="0" collapsed="false">
      <c r="A19348" s="0" t="s">
        <v>8102</v>
      </c>
      <c r="B19348" s="0" t="str">
        <f aca="false">HYPERLINK("https://lindat.mff.cuni.cz/services/teitok/pdtc10/index.php?action=vallex&amp;frame=v-w2356f6", "nechat (v-w2356f6) - substituted with v-w2356f30_ZU")</f>
        <v>nechat (v-w2356f6) - substituted with v-w2356f30_ZU</v>
      </c>
      <c r="E19348" s="0" t="str">
        <f aca="false">HYPERLINK("https://lindat.mff.cuni.cz/services/SynSemClass40/SynSemClass40.html?veclass=vec00074#vec00074-ces-cm00074", "vec00074")</f>
        <v>vec00074</v>
      </c>
      <c r="F19348" s="0" t="s">
        <v>1782</v>
      </c>
    </row>
    <row r="19349" customFormat="false" ht="12.8" hidden="false" customHeight="false" outlineLevel="0" collapsed="false">
      <c r="B19349" s="0" t="s">
        <v>1</v>
      </c>
      <c r="C19349" s="0" t="s">
        <v>1783</v>
      </c>
      <c r="E19349" s="0" t="s">
        <v>1784</v>
      </c>
      <c r="F19349" s="0" t="s">
        <v>1785</v>
      </c>
    </row>
    <row r="19350" customFormat="false" ht="12.8" hidden="false" customHeight="false" outlineLevel="0" collapsed="false">
      <c r="B19350" s="0" t="s">
        <v>8</v>
      </c>
      <c r="C19350" s="0" t="s">
        <v>1786</v>
      </c>
      <c r="E19350" s="0" t="s">
        <v>1787</v>
      </c>
      <c r="F19350" s="0" t="s">
        <v>1788</v>
      </c>
    </row>
    <row r="19351" customFormat="false" ht="12.8" hidden="false" customHeight="false" outlineLevel="0" collapsed="false">
      <c r="B19351" s="0" t="s">
        <v>132</v>
      </c>
      <c r="C19351" s="0" t="s">
        <v>1789</v>
      </c>
      <c r="E19351" s="0" t="s">
        <v>53</v>
      </c>
      <c r="F19351" s="0" t="s">
        <v>1790</v>
      </c>
    </row>
    <row r="19352" customFormat="false" ht="12.8" hidden="false" customHeight="false" outlineLevel="0" collapsed="false">
      <c r="B19352" s="0" t="s">
        <v>723</v>
      </c>
    </row>
    <row r="19354" customFormat="false" ht="12.8" hidden="false" customHeight="false" outlineLevel="0" collapsed="false">
      <c r="A19354" s="0" t="s">
        <v>8103</v>
      </c>
      <c r="B19354" s="0" t="str">
        <f aca="false">HYPERLINK("https://lindat.mff.cuni.cz/services/teitok/pdtc10/index.php?action=vallex&amp;frame=v-w2356f8", "nechat (v-w2356f8)")</f>
        <v>nechat (v-w2356f8)</v>
      </c>
      <c r="E19354" s="0" t="str">
        <f aca="false">HYPERLINK("https://lindat.mff.cuni.cz/services/SynSemClass40/SynSemClass40.html?veclass=vec00072#vec00072-ces-cm00003", "vec00072")</f>
        <v>vec00072</v>
      </c>
      <c r="F19354" s="0" t="s">
        <v>8104</v>
      </c>
    </row>
    <row r="19355" customFormat="false" ht="12.8" hidden="false" customHeight="false" outlineLevel="0" collapsed="false">
      <c r="B19355" s="0" t="s">
        <v>1</v>
      </c>
      <c r="E19355" s="0" t="s">
        <v>206</v>
      </c>
      <c r="F19355" s="0" t="s">
        <v>1359</v>
      </c>
    </row>
    <row r="19356" customFormat="false" ht="12.8" hidden="false" customHeight="false" outlineLevel="0" collapsed="false">
      <c r="B19356" s="0" t="s">
        <v>4687</v>
      </c>
      <c r="E19356" s="0" t="s">
        <v>230</v>
      </c>
      <c r="F19356" s="0" t="s">
        <v>8105</v>
      </c>
    </row>
    <row r="19357" customFormat="false" ht="12.8" hidden="false" customHeight="false" outlineLevel="0" collapsed="false">
      <c r="B19357" s="0" t="s">
        <v>8106</v>
      </c>
      <c r="E19357" s="0" t="s">
        <v>1392</v>
      </c>
      <c r="F19357" s="0" t="s">
        <v>8107</v>
      </c>
    </row>
    <row r="19359" customFormat="false" ht="12.8" hidden="false" customHeight="false" outlineLevel="0" collapsed="false">
      <c r="A19359" s="0" t="s">
        <v>8108</v>
      </c>
      <c r="B19359" s="0" t="str">
        <f aca="false">HYPERLINK("https://lindat.mff.cuni.cz/services/teitok/pdtc10/index.php?action=vallex&amp;frame=v-w2356f7", "nechat (v-w2356f7)")</f>
        <v>nechat (v-w2356f7)</v>
      </c>
      <c r="E19359" s="0" t="str">
        <f aca="false">HYPERLINK("https://lindat.mff.cuni.cz/services/SynSemClass40/SynSemClass40.html?veclass=vec00072#vec00072-ces-cm00016", "vec00072")</f>
        <v>vec00072</v>
      </c>
      <c r="F19359" s="0" t="s">
        <v>8104</v>
      </c>
    </row>
    <row r="19360" customFormat="false" ht="12.8" hidden="false" customHeight="false" outlineLevel="0" collapsed="false">
      <c r="B19360" s="0" t="s">
        <v>1</v>
      </c>
      <c r="E19360" s="0" t="s">
        <v>206</v>
      </c>
      <c r="F19360" s="0" t="s">
        <v>1359</v>
      </c>
    </row>
    <row r="19361" customFormat="false" ht="12.8" hidden="false" customHeight="false" outlineLevel="0" collapsed="false">
      <c r="B19361" s="0" t="s">
        <v>8</v>
      </c>
      <c r="E19361" s="0" t="s">
        <v>230</v>
      </c>
      <c r="F19361" s="0" t="s">
        <v>8105</v>
      </c>
    </row>
    <row r="19362" customFormat="false" ht="12.8" hidden="false" customHeight="false" outlineLevel="0" collapsed="false">
      <c r="B19362" s="0" t="s">
        <v>132</v>
      </c>
      <c r="E19362" s="0" t="s">
        <v>1392</v>
      </c>
      <c r="F19362" s="0" t="s">
        <v>8107</v>
      </c>
    </row>
    <row r="19364" customFormat="false" ht="12.8" hidden="false" customHeight="false" outlineLevel="0" collapsed="false">
      <c r="A19364" s="0" t="s">
        <v>8109</v>
      </c>
      <c r="B19364" s="0" t="str">
        <f aca="false">HYPERLINK("https://lindat.mff.cuni.cz/services/teitok/pdtc10/index.php?action=vallex&amp;frame=v-w2356f14", "nechat (v-w2356f14)")</f>
        <v>nechat (v-w2356f14)</v>
      </c>
    </row>
    <row r="19365" customFormat="false" ht="12.8" hidden="false" customHeight="false" outlineLevel="0" collapsed="false">
      <c r="B19365" s="0" t="s">
        <v>1</v>
      </c>
    </row>
    <row r="19366" customFormat="false" ht="12.8" hidden="false" customHeight="false" outlineLevel="0" collapsed="false">
      <c r="B19366" s="0" t="s">
        <v>8</v>
      </c>
    </row>
    <row r="19367" customFormat="false" ht="12.8" hidden="false" customHeight="false" outlineLevel="0" collapsed="false">
      <c r="B19367" s="0" t="s">
        <v>8110</v>
      </c>
    </row>
    <row r="19369" customFormat="false" ht="12.8" hidden="false" customHeight="false" outlineLevel="0" collapsed="false">
      <c r="A19369" s="0" t="s">
        <v>8111</v>
      </c>
      <c r="B19369" s="0" t="str">
        <f aca="false">HYPERLINK("https://lindat.mff.cuni.cz/services/teitok/pdtc10/index.php?action=vallex&amp;frame=v-w2356f29_ZU", "nechat (v-w2356f29_ZU)")</f>
        <v>nechat (v-w2356f29_ZU)</v>
      </c>
    </row>
    <row r="19370" customFormat="false" ht="12.8" hidden="false" customHeight="false" outlineLevel="0" collapsed="false">
      <c r="B19370" s="0" t="s">
        <v>1</v>
      </c>
    </row>
    <row r="19371" customFormat="false" ht="12.8" hidden="false" customHeight="false" outlineLevel="0" collapsed="false">
      <c r="B19371" s="0" t="s">
        <v>8112</v>
      </c>
    </row>
    <row r="19372" customFormat="false" ht="12.8" hidden="false" customHeight="false" outlineLevel="0" collapsed="false">
      <c r="B19372" s="0" t="s">
        <v>8113</v>
      </c>
    </row>
    <row r="19374" customFormat="false" ht="12.8" hidden="false" customHeight="false" outlineLevel="0" collapsed="false">
      <c r="A19374" s="0" t="s">
        <v>8111</v>
      </c>
      <c r="B19374" s="0" t="str">
        <f aca="false">HYPERLINK("https://lindat.mff.cuni.cz/services/teitok/pdtc10/index.php?action=vallex&amp;frame=v-w2356f19_ZU", "nechat (v-w2356f19_ZU) - substituted with v-w2356f29_ZU")</f>
        <v>nechat (v-w2356f19_ZU) - substituted with v-w2356f29_ZU</v>
      </c>
    </row>
    <row r="19375" customFormat="false" ht="12.8" hidden="false" customHeight="false" outlineLevel="0" collapsed="false">
      <c r="B19375" s="0" t="s">
        <v>1</v>
      </c>
    </row>
    <row r="19376" customFormat="false" ht="12.8" hidden="false" customHeight="false" outlineLevel="0" collapsed="false">
      <c r="B19376" s="0" t="s">
        <v>8112</v>
      </c>
    </row>
    <row r="19377" customFormat="false" ht="12.8" hidden="false" customHeight="false" outlineLevel="0" collapsed="false">
      <c r="B19377" s="0" t="s">
        <v>8113</v>
      </c>
    </row>
    <row r="19379" customFormat="false" ht="12.8" hidden="false" customHeight="false" outlineLevel="0" collapsed="false">
      <c r="A19379" s="0" t="s">
        <v>8111</v>
      </c>
      <c r="B19379" s="0" t="str">
        <f aca="false">HYPERLINK("https://lindat.mff.cuni.cz/services/teitok/pdtc10/index.php?action=vallex&amp;frame=v-w2356f2", "nechat (v-w2356f2) - substituted with v-w2356f29_ZU")</f>
        <v>nechat (v-w2356f2) - substituted with v-w2356f29_ZU</v>
      </c>
    </row>
    <row r="19380" customFormat="false" ht="12.8" hidden="false" customHeight="false" outlineLevel="0" collapsed="false">
      <c r="B19380" s="0" t="s">
        <v>1</v>
      </c>
    </row>
    <row r="19381" customFormat="false" ht="12.8" hidden="false" customHeight="false" outlineLevel="0" collapsed="false">
      <c r="B19381" s="0" t="s">
        <v>8112</v>
      </c>
    </row>
    <row r="19382" customFormat="false" ht="12.8" hidden="false" customHeight="false" outlineLevel="0" collapsed="false">
      <c r="B19382" s="0" t="s">
        <v>8113</v>
      </c>
    </row>
    <row r="19384" customFormat="false" ht="12.8" hidden="false" customHeight="false" outlineLevel="0" collapsed="false">
      <c r="A19384" s="0" t="s">
        <v>8111</v>
      </c>
      <c r="B19384" s="0" t="str">
        <f aca="false">HYPERLINK("https://lindat.mff.cuni.cz/services/teitok/pdtc10/index.php?action=vallex&amp;frame=v-w2356f28_ZU", "nechat (v-w2356f28_ZU) - substituted with v-w2356f29_ZU")</f>
        <v>nechat (v-w2356f28_ZU) - substituted with v-w2356f29_ZU</v>
      </c>
    </row>
    <row r="19385" customFormat="false" ht="12.8" hidden="false" customHeight="false" outlineLevel="0" collapsed="false">
      <c r="B19385" s="0" t="s">
        <v>1</v>
      </c>
    </row>
    <row r="19386" customFormat="false" ht="12.8" hidden="false" customHeight="false" outlineLevel="0" collapsed="false">
      <c r="B19386" s="0" t="s">
        <v>8112</v>
      </c>
    </row>
    <row r="19387" customFormat="false" ht="12.8" hidden="false" customHeight="false" outlineLevel="0" collapsed="false">
      <c r="B19387" s="0" t="s">
        <v>8113</v>
      </c>
    </row>
    <row r="19389" customFormat="false" ht="12.8" hidden="false" customHeight="false" outlineLevel="0" collapsed="false">
      <c r="A19389" s="0" t="s">
        <v>8111</v>
      </c>
      <c r="B19389" s="0" t="str">
        <f aca="false">HYPERLINK("https://lindat.mff.cuni.cz/services/teitok/pdtc10/index.php?action=vallex&amp;frame=v-w2356hsa_327", "nechat (v-w2356hsa_327) - substituted with v-w2356f29_ZU")</f>
        <v>nechat (v-w2356hsa_327) - substituted with v-w2356f29_ZU</v>
      </c>
      <c r="E19389" s="0" t="str">
        <f aca="false">HYPERLINK("https://lindat.mff.cuni.cz/services/SynSemClass40/SynSemClass40.html?veclass=vec00012#vec00012-ces-cm00014", "vec00012")</f>
        <v>vec00012</v>
      </c>
      <c r="F19389" s="0" t="s">
        <v>3078</v>
      </c>
    </row>
    <row r="19390" customFormat="false" ht="12.8" hidden="false" customHeight="false" outlineLevel="0" collapsed="false">
      <c r="B19390" s="0" t="s">
        <v>1</v>
      </c>
      <c r="C19390" s="0" t="s">
        <v>3079</v>
      </c>
      <c r="E19390" s="0" t="s">
        <v>206</v>
      </c>
      <c r="F19390" s="0" t="s">
        <v>3080</v>
      </c>
    </row>
    <row r="19391" customFormat="false" ht="12.8" hidden="false" customHeight="false" outlineLevel="0" collapsed="false">
      <c r="B19391" s="0" t="s">
        <v>8112</v>
      </c>
      <c r="C19391" s="0" t="s">
        <v>8114</v>
      </c>
      <c r="E19391" s="0" t="s">
        <v>142</v>
      </c>
      <c r="F19391" s="0" t="s">
        <v>8115</v>
      </c>
    </row>
    <row r="19392" customFormat="false" ht="12.8" hidden="false" customHeight="false" outlineLevel="0" collapsed="false">
      <c r="B19392" s="0" t="s">
        <v>8113</v>
      </c>
      <c r="C19392" s="0" t="s">
        <v>8116</v>
      </c>
      <c r="E19392" s="0" t="s">
        <v>8117</v>
      </c>
      <c r="F19392" s="0" t="s">
        <v>8118</v>
      </c>
    </row>
    <row r="19394" customFormat="false" ht="12.8" hidden="false" customHeight="false" outlineLevel="0" collapsed="false">
      <c r="A19394" s="0" t="s">
        <v>8119</v>
      </c>
      <c r="B19394" s="0" t="str">
        <f aca="false">HYPERLINK("https://lindat.mff.cuni.cz/services/teitok/pdtc10/index.php?action=vallex&amp;frame=v-w2356f3", "nechat (v-w2356f3)")</f>
        <v>nechat (v-w2356f3)</v>
      </c>
      <c r="E19394" s="0" t="str">
        <f aca="false">HYPERLINK("https://lindat.mff.cuni.cz/services/SynSemClass40/SynSemClass40.html?veclass=vec00575#vec00575-ces-cm00004", "vec00575")</f>
        <v>vec00575</v>
      </c>
      <c r="F19394" s="0" t="s">
        <v>8120</v>
      </c>
    </row>
    <row r="19395" customFormat="false" ht="12.8" hidden="false" customHeight="false" outlineLevel="0" collapsed="false">
      <c r="B19395" s="0" t="s">
        <v>1</v>
      </c>
      <c r="E19395" s="0" t="s">
        <v>11</v>
      </c>
      <c r="F19395" s="0" t="s">
        <v>959</v>
      </c>
    </row>
    <row r="19396" customFormat="false" ht="12.8" hidden="false" customHeight="false" outlineLevel="0" collapsed="false">
      <c r="B19396" s="0" t="s">
        <v>8</v>
      </c>
      <c r="E19396" s="0" t="s">
        <v>140</v>
      </c>
      <c r="F19396" s="0" t="s">
        <v>8121</v>
      </c>
    </row>
    <row r="19397" customFormat="false" ht="12.8" hidden="false" customHeight="false" outlineLevel="0" collapsed="false">
      <c r="B19397" s="0" t="s">
        <v>5</v>
      </c>
      <c r="E19397" s="0" t="s">
        <v>3254</v>
      </c>
      <c r="F19397" s="0" t="s">
        <v>3255</v>
      </c>
    </row>
    <row r="19399" customFormat="false" ht="12.8" hidden="false" customHeight="false" outlineLevel="0" collapsed="false">
      <c r="A19399" s="0" t="s">
        <v>8122</v>
      </c>
      <c r="B19399" s="0" t="str">
        <f aca="false">HYPERLINK("https://lindat.mff.cuni.cz/services/teitok/pdtc10/index.php?action=vallex&amp;frame=v-w2356f26_ZU", "nechat (v-w2356f26_ZU)")</f>
        <v>nechat (v-w2356f26_ZU)</v>
      </c>
    </row>
    <row r="19400" customFormat="false" ht="12.8" hidden="false" customHeight="false" outlineLevel="0" collapsed="false">
      <c r="B19400" s="0" t="s">
        <v>1</v>
      </c>
    </row>
    <row r="19401" customFormat="false" ht="12.8" hidden="false" customHeight="false" outlineLevel="0" collapsed="false">
      <c r="B19401" s="0" t="s">
        <v>8</v>
      </c>
    </row>
    <row r="19402" customFormat="false" ht="12.8" hidden="false" customHeight="false" outlineLevel="0" collapsed="false">
      <c r="B19402" s="0" t="s">
        <v>8123</v>
      </c>
    </row>
    <row r="19403" customFormat="false" ht="12.8" hidden="false" customHeight="false" outlineLevel="0" collapsed="false">
      <c r="B19403" s="0" t="s">
        <v>8124</v>
      </c>
    </row>
    <row r="19404" customFormat="false" ht="12.8" hidden="false" customHeight="false" outlineLevel="0" collapsed="false">
      <c r="B19404" s="0" t="s">
        <v>6510</v>
      </c>
    </row>
    <row r="19406" customFormat="false" ht="12.8" hidden="false" customHeight="false" outlineLevel="0" collapsed="false">
      <c r="A19406" s="0" t="s">
        <v>8122</v>
      </c>
      <c r="B19406" s="0" t="str">
        <f aca="false">HYPERLINK("https://lindat.mff.cuni.cz/services/teitok/pdtc10/index.php?action=vallex&amp;frame=v-w2356f16", "nechat (v-w2356f16) - substituted with v-w2356f26_ZU")</f>
        <v>nechat (v-w2356f16) - substituted with v-w2356f26_ZU</v>
      </c>
    </row>
    <row r="19407" customFormat="false" ht="12.8" hidden="false" customHeight="false" outlineLevel="0" collapsed="false">
      <c r="B19407" s="0" t="s">
        <v>1</v>
      </c>
    </row>
    <row r="19408" customFormat="false" ht="12.8" hidden="false" customHeight="false" outlineLevel="0" collapsed="false">
      <c r="B19408" s="0" t="s">
        <v>8</v>
      </c>
    </row>
    <row r="19409" customFormat="false" ht="12.8" hidden="false" customHeight="false" outlineLevel="0" collapsed="false">
      <c r="B19409" s="0" t="s">
        <v>8123</v>
      </c>
    </row>
    <row r="19410" customFormat="false" ht="12.8" hidden="false" customHeight="false" outlineLevel="0" collapsed="false">
      <c r="B19410" s="0" t="s">
        <v>8124</v>
      </c>
    </row>
    <row r="19411" customFormat="false" ht="12.8" hidden="false" customHeight="false" outlineLevel="0" collapsed="false">
      <c r="B19411" s="0" t="s">
        <v>6510</v>
      </c>
    </row>
    <row r="19413" customFormat="false" ht="12.8" hidden="false" customHeight="false" outlineLevel="0" collapsed="false">
      <c r="A19413" s="0" t="s">
        <v>8122</v>
      </c>
      <c r="B19413" s="0" t="str">
        <f aca="false">HYPERLINK("https://lindat.mff.cuni.cz/services/teitok/pdtc10/index.php?action=vallex&amp;frame=v-w2356f25_ZU", "nechat (v-w2356f25_ZU) - substituted with v-w2356f26_ZU")</f>
        <v>nechat (v-w2356f25_ZU) - substituted with v-w2356f26_ZU</v>
      </c>
    </row>
    <row r="19414" customFormat="false" ht="12.8" hidden="false" customHeight="false" outlineLevel="0" collapsed="false">
      <c r="B19414" s="0" t="s">
        <v>1</v>
      </c>
    </row>
    <row r="19415" customFormat="false" ht="12.8" hidden="false" customHeight="false" outlineLevel="0" collapsed="false">
      <c r="B19415" s="0" t="s">
        <v>8</v>
      </c>
    </row>
    <row r="19416" customFormat="false" ht="12.8" hidden="false" customHeight="false" outlineLevel="0" collapsed="false">
      <c r="B19416" s="0" t="s">
        <v>8123</v>
      </c>
    </row>
    <row r="19417" customFormat="false" ht="12.8" hidden="false" customHeight="false" outlineLevel="0" collapsed="false">
      <c r="B19417" s="0" t="s">
        <v>8124</v>
      </c>
    </row>
    <row r="19418" customFormat="false" ht="12.8" hidden="false" customHeight="false" outlineLevel="0" collapsed="false">
      <c r="B19418" s="0" t="s">
        <v>6510</v>
      </c>
    </row>
    <row r="19420" customFormat="false" ht="12.8" hidden="false" customHeight="false" outlineLevel="0" collapsed="false">
      <c r="A19420" s="0" t="s">
        <v>8125</v>
      </c>
      <c r="B19420" s="0" t="str">
        <f aca="false">HYPERLINK("https://lindat.mff.cuni.cz/services/teitok/pdtc10/index.php?action=vallex&amp;frame=v-w2356f5", "nechat (v-w2356f5)")</f>
        <v>nechat (v-w2356f5)</v>
      </c>
      <c r="E19420" s="0" t="str">
        <f aca="false">HYPERLINK("https://lindat.mff.cuni.cz/services/SynSemClass40/SynSemClass40.html?veclass=vec00198#vec00198-ces-cm00168", "vec00198")</f>
        <v>vec00198</v>
      </c>
      <c r="F19420" s="0" t="s">
        <v>134</v>
      </c>
    </row>
    <row r="19421" customFormat="false" ht="12.8" hidden="false" customHeight="false" outlineLevel="0" collapsed="false">
      <c r="B19421" s="0" t="s">
        <v>1</v>
      </c>
      <c r="C19421" s="0" t="s">
        <v>8126</v>
      </c>
      <c r="E19421" s="0" t="s">
        <v>31</v>
      </c>
      <c r="F19421" s="0" t="s">
        <v>137</v>
      </c>
    </row>
    <row r="19422" customFormat="false" ht="12.8" hidden="false" customHeight="false" outlineLevel="0" collapsed="false">
      <c r="B19422" s="0" t="s">
        <v>1356</v>
      </c>
      <c r="C19422" s="0" t="s">
        <v>8127</v>
      </c>
      <c r="E19422" s="0" t="s">
        <v>140</v>
      </c>
      <c r="F19422" s="0" t="s">
        <v>141</v>
      </c>
    </row>
    <row r="19424" customFormat="false" ht="12.8" hidden="false" customHeight="false" outlineLevel="0" collapsed="false">
      <c r="A19424" s="0" t="s">
        <v>8128</v>
      </c>
      <c r="B19424" s="0" t="str">
        <f aca="false">HYPERLINK("https://lindat.mff.cuni.cz/services/teitok/pdtc10/index.php?action=vallex&amp;frame=v-w2356f27_ZU", "nechat (v-w2356f27_ZU)")</f>
        <v>nechat (v-w2356f27_ZU)</v>
      </c>
    </row>
    <row r="19425" customFormat="false" ht="12.8" hidden="false" customHeight="false" outlineLevel="0" collapsed="false">
      <c r="B19425" s="0" t="s">
        <v>1</v>
      </c>
    </row>
    <row r="19426" customFormat="false" ht="12.8" hidden="false" customHeight="false" outlineLevel="0" collapsed="false">
      <c r="B19426" s="0" t="s">
        <v>886</v>
      </c>
    </row>
    <row r="19428" customFormat="false" ht="12.8" hidden="false" customHeight="false" outlineLevel="0" collapsed="false">
      <c r="A19428" s="0" t="s">
        <v>8128</v>
      </c>
      <c r="B19428" s="0" t="str">
        <f aca="false">HYPERLINK("https://lindat.mff.cuni.cz/services/teitok/pdtc10/index.php?action=vallex&amp;frame=v-w2356f1", "nechat (v-w2356f1) - substituted with v-w2356f27_ZU")</f>
        <v>nechat (v-w2356f1) - substituted with v-w2356f27_ZU</v>
      </c>
      <c r="E19428" s="0" t="str">
        <f aca="false">HYPERLINK("https://lindat.mff.cuni.cz/services/SynSemClass40/SynSemClass40.html?veclass=vec01206#vec01206-ces-cm00005", "vec01206")</f>
        <v>vec01206</v>
      </c>
      <c r="F19428" s="0" t="s">
        <v>3440</v>
      </c>
    </row>
    <row r="19429" customFormat="false" ht="12.8" hidden="false" customHeight="false" outlineLevel="0" collapsed="false">
      <c r="B19429" s="0" t="s">
        <v>1</v>
      </c>
      <c r="C19429" s="0" t="s">
        <v>2282</v>
      </c>
      <c r="E19429" s="0" t="s">
        <v>3441</v>
      </c>
      <c r="F19429" s="0" t="s">
        <v>3442</v>
      </c>
    </row>
    <row r="19430" customFormat="false" ht="12.8" hidden="false" customHeight="false" outlineLevel="0" collapsed="false">
      <c r="B19430" s="0" t="s">
        <v>886</v>
      </c>
      <c r="C19430" s="0" t="s">
        <v>3455</v>
      </c>
      <c r="E19430" s="0" t="s">
        <v>79</v>
      </c>
      <c r="F19430" s="0" t="s">
        <v>3456</v>
      </c>
    </row>
    <row r="19432" customFormat="false" ht="12.8" hidden="false" customHeight="false" outlineLevel="0" collapsed="false">
      <c r="A19432" s="0" t="s">
        <v>8129</v>
      </c>
      <c r="B19432" s="0" t="str">
        <f aca="false">HYPERLINK("https://lindat.mff.cuni.cz/services/teitok/pdtc10/index.php?action=vallex&amp;frame=v-w2356f21_ZU", "nechat (v-w2356f21_ZU)")</f>
        <v>nechat (v-w2356f21_ZU)</v>
      </c>
    </row>
    <row r="19433" customFormat="false" ht="12.8" hidden="false" customHeight="false" outlineLevel="0" collapsed="false">
      <c r="B19433" s="0" t="s">
        <v>1</v>
      </c>
    </row>
    <row r="19434" customFormat="false" ht="12.8" hidden="false" customHeight="false" outlineLevel="0" collapsed="false">
      <c r="B19434" s="0" t="s">
        <v>8130</v>
      </c>
    </row>
    <row r="19435" customFormat="false" ht="12.8" hidden="false" customHeight="false" outlineLevel="0" collapsed="false">
      <c r="B19435" s="0" t="s">
        <v>8</v>
      </c>
    </row>
    <row r="19436" customFormat="false" ht="12.8" hidden="false" customHeight="false" outlineLevel="0" collapsed="false">
      <c r="B19436" s="0" t="s">
        <v>3057</v>
      </c>
    </row>
    <row r="19438" customFormat="false" ht="12.8" hidden="false" customHeight="false" outlineLevel="0" collapsed="false">
      <c r="A19438" s="0" t="s">
        <v>8129</v>
      </c>
      <c r="B19438" s="0" t="str">
        <f aca="false">HYPERLINK("https://lindat.mff.cuni.cz/services/teitok/pdtc10/index.php?action=vallex&amp;frame=v-w2356f17_ZU", "nechat (v-w2356f17_ZU) - substituted with v-w2356f21_ZU")</f>
        <v>nechat (v-w2356f17_ZU) - substituted with v-w2356f21_ZU</v>
      </c>
    </row>
    <row r="19439" customFormat="false" ht="12.8" hidden="false" customHeight="false" outlineLevel="0" collapsed="false">
      <c r="B19439" s="0" t="s">
        <v>1</v>
      </c>
    </row>
    <row r="19440" customFormat="false" ht="12.8" hidden="false" customHeight="false" outlineLevel="0" collapsed="false">
      <c r="B19440" s="0" t="s">
        <v>8130</v>
      </c>
    </row>
    <row r="19441" customFormat="false" ht="12.8" hidden="false" customHeight="false" outlineLevel="0" collapsed="false">
      <c r="B19441" s="0" t="s">
        <v>8</v>
      </c>
    </row>
    <row r="19442" customFormat="false" ht="12.8" hidden="false" customHeight="false" outlineLevel="0" collapsed="false">
      <c r="B19442" s="0" t="s">
        <v>3057</v>
      </c>
    </row>
    <row r="19444" customFormat="false" ht="12.8" hidden="false" customHeight="false" outlineLevel="0" collapsed="false">
      <c r="A19444" s="0" t="s">
        <v>8129</v>
      </c>
      <c r="B19444" s="0" t="str">
        <f aca="false">HYPERLINK("https://lindat.mff.cuni.cz/services/teitok/pdtc10/index.php?action=vallex&amp;frame=v-w2356f18_ZU", "nechat (v-w2356f18_ZU) - substituted with v-w2356f21_ZU")</f>
        <v>nechat (v-w2356f18_ZU) - substituted with v-w2356f21_ZU</v>
      </c>
    </row>
    <row r="19445" customFormat="false" ht="12.8" hidden="false" customHeight="false" outlineLevel="0" collapsed="false">
      <c r="B19445" s="0" t="s">
        <v>1</v>
      </c>
    </row>
    <row r="19446" customFormat="false" ht="12.8" hidden="false" customHeight="false" outlineLevel="0" collapsed="false">
      <c r="B19446" s="0" t="s">
        <v>8130</v>
      </c>
    </row>
    <row r="19447" customFormat="false" ht="12.8" hidden="false" customHeight="false" outlineLevel="0" collapsed="false">
      <c r="B19447" s="0" t="s">
        <v>8</v>
      </c>
    </row>
    <row r="19448" customFormat="false" ht="12.8" hidden="false" customHeight="false" outlineLevel="0" collapsed="false">
      <c r="B19448" s="0" t="s">
        <v>3057</v>
      </c>
    </row>
    <row r="19450" customFormat="false" ht="12.8" hidden="false" customHeight="false" outlineLevel="0" collapsed="false">
      <c r="A19450" s="0" t="s">
        <v>8131</v>
      </c>
      <c r="B19450" s="0" t="str">
        <f aca="false">HYPERLINK("https://lindat.mff.cuni.cz/services/teitok/pdtc10/index.php?action=vallex&amp;frame=v-w2356f15", "nechat (v-w2356f15)")</f>
        <v>nechat (v-w2356f15)</v>
      </c>
    </row>
    <row r="19451" customFormat="false" ht="12.8" hidden="false" customHeight="false" outlineLevel="0" collapsed="false">
      <c r="B19451" s="0" t="s">
        <v>1</v>
      </c>
    </row>
    <row r="19452" customFormat="false" ht="12.8" hidden="false" customHeight="false" outlineLevel="0" collapsed="false">
      <c r="B19452" s="0" t="s">
        <v>8132</v>
      </c>
    </row>
    <row r="19453" customFormat="false" ht="12.8" hidden="false" customHeight="false" outlineLevel="0" collapsed="false">
      <c r="B19453" s="0" t="s">
        <v>298</v>
      </c>
    </row>
    <row r="19454" customFormat="false" ht="12.8" hidden="false" customHeight="false" outlineLevel="0" collapsed="false">
      <c r="B19454" s="0" t="s">
        <v>855</v>
      </c>
    </row>
    <row r="19456" customFormat="false" ht="12.8" hidden="false" customHeight="false" outlineLevel="0" collapsed="false">
      <c r="A19456" s="0" t="s">
        <v>8133</v>
      </c>
      <c r="B19456" s="0" t="str">
        <f aca="false">HYPERLINK("https://lindat.mff.cuni.cz/services/teitok/pdtc10/index.php?action=vallex&amp;frame=v-w2356f11", "nechat (v-w2356f11)")</f>
        <v>nechat (v-w2356f11)</v>
      </c>
    </row>
    <row r="19457" customFormat="false" ht="12.8" hidden="false" customHeight="false" outlineLevel="0" collapsed="false">
      <c r="B19457" s="0" t="s">
        <v>1</v>
      </c>
    </row>
    <row r="19458" customFormat="false" ht="12.8" hidden="false" customHeight="false" outlineLevel="0" collapsed="false">
      <c r="B19458" s="0" t="s">
        <v>8134</v>
      </c>
    </row>
    <row r="19459" customFormat="false" ht="12.8" hidden="false" customHeight="false" outlineLevel="0" collapsed="false">
      <c r="B19459" s="0" t="s">
        <v>8</v>
      </c>
    </row>
    <row r="19461" customFormat="false" ht="12.8" hidden="false" customHeight="false" outlineLevel="0" collapsed="false">
      <c r="A19461" s="0" t="s">
        <v>8135</v>
      </c>
      <c r="B19461" s="0" t="str">
        <f aca="false">HYPERLINK("https://lindat.mff.cuni.cz/services/teitok/pdtc10/index.php?action=vallex&amp;frame=v-w2356f12", "nechat (v-w2356f12)")</f>
        <v>nechat (v-w2356f12)</v>
      </c>
    </row>
    <row r="19462" customFormat="false" ht="12.8" hidden="false" customHeight="false" outlineLevel="0" collapsed="false">
      <c r="B19462" s="0" t="s">
        <v>1</v>
      </c>
    </row>
    <row r="19463" customFormat="false" ht="12.8" hidden="false" customHeight="false" outlineLevel="0" collapsed="false">
      <c r="B19463" s="0" t="s">
        <v>8136</v>
      </c>
    </row>
    <row r="19464" customFormat="false" ht="12.8" hidden="false" customHeight="false" outlineLevel="0" collapsed="false">
      <c r="B19464" s="0" t="s">
        <v>8</v>
      </c>
    </row>
    <row r="19466" customFormat="false" ht="12.8" hidden="false" customHeight="false" outlineLevel="0" collapsed="false">
      <c r="A19466" s="0" t="s">
        <v>8137</v>
      </c>
      <c r="B19466" s="0" t="str">
        <f aca="false">HYPERLINK("https://lindat.mff.cuni.cz/services/teitok/pdtc10/index.php?action=vallex&amp;frame=v-w2356f9", "nechat (v-w2356f9)")</f>
        <v>nechat (v-w2356f9)</v>
      </c>
    </row>
    <row r="19467" customFormat="false" ht="12.8" hidden="false" customHeight="false" outlineLevel="0" collapsed="false">
      <c r="B19467" s="0" t="s">
        <v>1</v>
      </c>
    </row>
    <row r="19468" customFormat="false" ht="12.8" hidden="false" customHeight="false" outlineLevel="0" collapsed="false">
      <c r="B19468" s="0" t="s">
        <v>8138</v>
      </c>
    </row>
    <row r="19469" customFormat="false" ht="12.8" hidden="false" customHeight="false" outlineLevel="0" collapsed="false">
      <c r="B19469" s="0" t="s">
        <v>8</v>
      </c>
    </row>
    <row r="19471" customFormat="false" ht="12.8" hidden="false" customHeight="false" outlineLevel="0" collapsed="false">
      <c r="A19471" s="0" t="s">
        <v>8139</v>
      </c>
      <c r="B19471" s="0" t="str">
        <f aca="false">HYPERLINK("https://lindat.mff.cuni.cz/services/teitok/pdtc10/index.php?action=vallex&amp;frame=v-w2356f4", "nechat (v-w2356f4)")</f>
        <v>nechat (v-w2356f4)</v>
      </c>
      <c r="E19471" s="0" t="str">
        <f aca="false">HYPERLINK("https://lindat.mff.cuni.cz/services/SynSemClass40/SynSemClass40.html?veclass=vec00060#vec00060-ces-cm00395", "vec00060")</f>
        <v>vec00060</v>
      </c>
      <c r="F19471" s="0" t="s">
        <v>213</v>
      </c>
    </row>
    <row r="19472" customFormat="false" ht="12.8" hidden="false" customHeight="false" outlineLevel="0" collapsed="false">
      <c r="B19472" s="0" t="s">
        <v>1</v>
      </c>
      <c r="C19472" s="0" t="s">
        <v>214</v>
      </c>
      <c r="E19472" s="0" t="s">
        <v>147</v>
      </c>
      <c r="F19472" s="0" t="s">
        <v>215</v>
      </c>
    </row>
    <row r="19473" customFormat="false" ht="12.8" hidden="false" customHeight="false" outlineLevel="0" collapsed="false">
      <c r="B19473" s="0" t="s">
        <v>3548</v>
      </c>
    </row>
    <row r="19474" customFormat="false" ht="12.8" hidden="false" customHeight="false" outlineLevel="0" collapsed="false">
      <c r="B19474" s="0" t="s">
        <v>2481</v>
      </c>
      <c r="C19474" s="0" t="s">
        <v>217</v>
      </c>
      <c r="E19474" s="0" t="s">
        <v>218</v>
      </c>
      <c r="F19474" s="0" t="s">
        <v>219</v>
      </c>
    </row>
    <row r="19476" customFormat="false" ht="12.8" hidden="false" customHeight="false" outlineLevel="0" collapsed="false">
      <c r="A19476" s="0" t="s">
        <v>8140</v>
      </c>
      <c r="B19476" s="0" t="str">
        <f aca="false">HYPERLINK("https://lindat.mff.cuni.cz/services/teitok/pdtc10/index.php?action=vallex&amp;frame=v-w2356f10", "nechat (v-w2356f10)")</f>
        <v>nechat (v-w2356f10)</v>
      </c>
    </row>
    <row r="19477" customFormat="false" ht="12.8" hidden="false" customHeight="false" outlineLevel="0" collapsed="false">
      <c r="B19477" s="0" t="s">
        <v>1</v>
      </c>
    </row>
    <row r="19478" customFormat="false" ht="12.8" hidden="false" customHeight="false" outlineLevel="0" collapsed="false">
      <c r="B19478" s="0" t="s">
        <v>8141</v>
      </c>
    </row>
    <row r="19479" customFormat="false" ht="12.8" hidden="false" customHeight="false" outlineLevel="0" collapsed="false">
      <c r="B19479" s="0" t="s">
        <v>59</v>
      </c>
    </row>
    <row r="19481" customFormat="false" ht="12.8" hidden="false" customHeight="false" outlineLevel="0" collapsed="false">
      <c r="A19481" s="0" t="s">
        <v>8142</v>
      </c>
      <c r="B19481" s="0" t="str">
        <f aca="false">HYPERLINK("https://lindat.mff.cuni.cz/services/teitok/pdtc10/index.php?action=vallex&amp;frame=v-w2356f20_ZU", "nechat (v-w2356f20_ZU)")</f>
        <v>nechat (v-w2356f20_ZU)</v>
      </c>
    </row>
    <row r="19482" customFormat="false" ht="12.8" hidden="false" customHeight="false" outlineLevel="0" collapsed="false">
      <c r="B19482" s="0" t="s">
        <v>1</v>
      </c>
    </row>
    <row r="19483" customFormat="false" ht="12.8" hidden="false" customHeight="false" outlineLevel="0" collapsed="false">
      <c r="B19483" s="0" t="s">
        <v>6016</v>
      </c>
    </row>
    <row r="19484" customFormat="false" ht="12.8" hidden="false" customHeight="false" outlineLevel="0" collapsed="false">
      <c r="B19484" s="0" t="s">
        <v>8</v>
      </c>
    </row>
    <row r="19486" customFormat="false" ht="12.8" hidden="false" customHeight="false" outlineLevel="0" collapsed="false">
      <c r="A19486" s="0" t="s">
        <v>8143</v>
      </c>
      <c r="B19486" s="0" t="str">
        <f aca="false">HYPERLINK("https://lindat.mff.cuni.cz/services/teitok/pdtc10/index.php?action=vallex&amp;frame=v-w2356f13", "nechat (v-w2356f13)")</f>
        <v>nechat (v-w2356f13)</v>
      </c>
    </row>
    <row r="19487" customFormat="false" ht="12.8" hidden="false" customHeight="false" outlineLevel="0" collapsed="false">
      <c r="B19487" s="0" t="s">
        <v>629</v>
      </c>
    </row>
    <row r="19488" customFormat="false" ht="12.8" hidden="false" customHeight="false" outlineLevel="0" collapsed="false">
      <c r="B19488" s="0" t="s">
        <v>8144</v>
      </c>
    </row>
    <row r="19490" customFormat="false" ht="12.8" hidden="false" customHeight="false" outlineLevel="0" collapsed="false">
      <c r="A19490" s="0" t="s">
        <v>8145</v>
      </c>
      <c r="B19490" s="0" t="str">
        <f aca="false">HYPERLINK("https://lindat.mff.cuni.cz/services/teitok/pdtc10/index.php?action=vallex&amp;frame=v-w2356f23_ZU", "nechat (v-w2356f23_ZU)")</f>
        <v>nechat (v-w2356f23_ZU)</v>
      </c>
    </row>
    <row r="19491" customFormat="false" ht="12.8" hidden="false" customHeight="false" outlineLevel="0" collapsed="false">
      <c r="B19491" s="0" t="s">
        <v>1</v>
      </c>
    </row>
    <row r="19492" customFormat="false" ht="12.8" hidden="false" customHeight="false" outlineLevel="0" collapsed="false">
      <c r="B19492" s="0" t="s">
        <v>8146</v>
      </c>
    </row>
    <row r="19493" customFormat="false" ht="12.8" hidden="false" customHeight="false" outlineLevel="0" collapsed="false">
      <c r="B19493" s="0" t="s">
        <v>186</v>
      </c>
    </row>
    <row r="19495" customFormat="false" ht="12.8" hidden="false" customHeight="false" outlineLevel="0" collapsed="false">
      <c r="A19495" s="0" t="s">
        <v>8145</v>
      </c>
      <c r="B19495" s="0" t="str">
        <f aca="false">HYPERLINK("https://lindat.mff.cuni.cz/services/teitok/pdtc10/index.php?action=vallex&amp;frame=v-w2356f22_ZU", "nechat (v-w2356f22_ZU) - substituted with v-w2356f23_ZU")</f>
        <v>nechat (v-w2356f22_ZU) - substituted with v-w2356f23_ZU</v>
      </c>
    </row>
    <row r="19496" customFormat="false" ht="12.8" hidden="false" customHeight="false" outlineLevel="0" collapsed="false">
      <c r="B19496" s="0" t="s">
        <v>1</v>
      </c>
    </row>
    <row r="19497" customFormat="false" ht="12.8" hidden="false" customHeight="false" outlineLevel="0" collapsed="false">
      <c r="B19497" s="0" t="s">
        <v>8146</v>
      </c>
    </row>
    <row r="19498" customFormat="false" ht="12.8" hidden="false" customHeight="false" outlineLevel="0" collapsed="false">
      <c r="B19498" s="0" t="s">
        <v>186</v>
      </c>
    </row>
    <row r="19500" customFormat="false" ht="12.8" hidden="false" customHeight="false" outlineLevel="0" collapsed="false">
      <c r="A19500" s="0" t="s">
        <v>8145</v>
      </c>
      <c r="B19500" s="0" t="str">
        <f aca="false">HYPERLINK("https://lindat.mff.cuni.cz/services/teitok/pdtc10/index.php?action=vallex&amp;frame=v-w2356hsa_330", "nechat (v-w2356hsa_330) - substituted with v-w2356f23_ZU")</f>
        <v>nechat (v-w2356hsa_330) - substituted with v-w2356f23_ZU</v>
      </c>
    </row>
    <row r="19501" customFormat="false" ht="12.8" hidden="false" customHeight="false" outlineLevel="0" collapsed="false">
      <c r="B19501" s="0" t="s">
        <v>1</v>
      </c>
    </row>
    <row r="19502" customFormat="false" ht="12.8" hidden="false" customHeight="false" outlineLevel="0" collapsed="false">
      <c r="B19502" s="0" t="s">
        <v>8146</v>
      </c>
    </row>
    <row r="19503" customFormat="false" ht="12.8" hidden="false" customHeight="false" outlineLevel="0" collapsed="false">
      <c r="B19503" s="0" t="s">
        <v>186</v>
      </c>
    </row>
    <row r="19505" customFormat="false" ht="12.8" hidden="false" customHeight="false" outlineLevel="0" collapsed="false">
      <c r="A19505" s="0" t="s">
        <v>8147</v>
      </c>
      <c r="B19505" s="0" t="str">
        <f aca="false">HYPERLINK("https://lindat.mff.cuni.cz/services/teitok/pdtc10/index.php?action=vallex&amp;frame=v-w2356f24_ZU", "nechat (v-w2356f24_ZU)")</f>
        <v>nechat (v-w2356f24_ZU)</v>
      </c>
      <c r="E19505" s="0" t="str">
        <f aca="false">HYPERLINK("https://lindat.mff.cuni.cz/services/SynSemClass40/SynSemClass40.html?veclass=vec00575#vec00575-ces-cm00007", "vec00575")</f>
        <v>vec00575</v>
      </c>
      <c r="F19505" s="0" t="s">
        <v>8120</v>
      </c>
    </row>
    <row r="19506" customFormat="false" ht="12.8" hidden="false" customHeight="false" outlineLevel="0" collapsed="false">
      <c r="B19506" s="0" t="s">
        <v>1</v>
      </c>
      <c r="E19506" s="0" t="s">
        <v>11</v>
      </c>
      <c r="F19506" s="0" t="s">
        <v>959</v>
      </c>
    </row>
    <row r="19507" customFormat="false" ht="12.8" hidden="false" customHeight="false" outlineLevel="0" collapsed="false">
      <c r="B19507" s="0" t="s">
        <v>8148</v>
      </c>
      <c r="E19507" s="0" t="s">
        <v>8149</v>
      </c>
      <c r="F19507" s="0" t="s">
        <v>8150</v>
      </c>
    </row>
    <row r="19508" customFormat="false" ht="12.8" hidden="false" customHeight="false" outlineLevel="0" collapsed="false">
      <c r="B19508" s="0" t="s">
        <v>8</v>
      </c>
      <c r="E19508" s="0" t="s">
        <v>140</v>
      </c>
      <c r="F19508" s="0" t="s">
        <v>8121</v>
      </c>
    </row>
    <row r="19510" customFormat="false" ht="12.8" hidden="false" customHeight="false" outlineLevel="0" collapsed="false">
      <c r="A19510" s="0" t="s">
        <v>8147</v>
      </c>
      <c r="B19510" s="0" t="str">
        <f aca="false">HYPERLINK("https://lindat.mff.cuni.cz/services/teitok/pdtc10/index.php?action=vallex&amp;frame=v-w2356hsa_331", "nechat (v-w2356hsa_331) - substituted with v-w2356f24_ZU")</f>
        <v>nechat (v-w2356hsa_331) - substituted with v-w2356f24_ZU</v>
      </c>
    </row>
    <row r="19511" customFormat="false" ht="12.8" hidden="false" customHeight="false" outlineLevel="0" collapsed="false">
      <c r="B19511" s="0" t="s">
        <v>1</v>
      </c>
    </row>
    <row r="19512" customFormat="false" ht="12.8" hidden="false" customHeight="false" outlineLevel="0" collapsed="false">
      <c r="B19512" s="0" t="s">
        <v>8148</v>
      </c>
    </row>
    <row r="19513" customFormat="false" ht="12.8" hidden="false" customHeight="false" outlineLevel="0" collapsed="false">
      <c r="B19513" s="0" t="s">
        <v>8</v>
      </c>
    </row>
    <row r="19515" customFormat="false" ht="12.8" hidden="false" customHeight="false" outlineLevel="0" collapsed="false">
      <c r="A19515" s="0" t="s">
        <v>8151</v>
      </c>
      <c r="B19515" s="0" t="str">
        <f aca="false">HYPERLINK("https://lindat.mff.cuni.cz/services/teitok/pdtc10/index.php?action=vallex&amp;frame=v-w2356f31_MM", "nechat (v-w2356f31_MM)")</f>
        <v>nechat (v-w2356f31_MM)</v>
      </c>
    </row>
    <row r="19516" customFormat="false" ht="12.8" hidden="false" customHeight="false" outlineLevel="0" collapsed="false">
      <c r="B19516" s="0" t="s">
        <v>1</v>
      </c>
    </row>
    <row r="19517" customFormat="false" ht="12.8" hidden="false" customHeight="false" outlineLevel="0" collapsed="false">
      <c r="B19517" s="0" t="s">
        <v>8152</v>
      </c>
    </row>
    <row r="19518" customFormat="false" ht="12.8" hidden="false" customHeight="false" outlineLevel="0" collapsed="false">
      <c r="B19518" s="0" t="s">
        <v>8</v>
      </c>
    </row>
    <row r="19520" customFormat="false" ht="12.8" hidden="false" customHeight="false" outlineLevel="0" collapsed="false">
      <c r="A19520" s="0" t="s">
        <v>8153</v>
      </c>
      <c r="B19520" s="0" t="str">
        <f aca="false">HYPERLINK("https://lindat.mff.cuni.cz/services/teitok/pdtc10/index.php?action=vallex&amp;frame=v-w2356hsa_328", "nechat (v-w2356hsa_328)")</f>
        <v>nechat (v-w2356hsa_328)</v>
      </c>
    </row>
    <row r="19521" customFormat="false" ht="12.8" hidden="false" customHeight="false" outlineLevel="0" collapsed="false">
      <c r="B19521" s="0" t="s">
        <v>1</v>
      </c>
    </row>
    <row r="19522" customFormat="false" ht="12.8" hidden="false" customHeight="false" outlineLevel="0" collapsed="false">
      <c r="B19522" s="0" t="s">
        <v>8</v>
      </c>
    </row>
    <row r="19523" customFormat="false" ht="12.8" hidden="false" customHeight="false" outlineLevel="0" collapsed="false">
      <c r="B19523" s="0" t="s">
        <v>8154</v>
      </c>
    </row>
    <row r="19525" customFormat="false" ht="12.8" hidden="false" customHeight="false" outlineLevel="0" collapsed="false">
      <c r="A19525" s="0" t="s">
        <v>8155</v>
      </c>
      <c r="B19525" s="0" t="str">
        <f aca="false">HYPERLINK("https://lindat.mff.cuni.cz/services/teitok/pdtc10/index.php?action=vallex&amp;frame=v-w2356hsa_329", "nechat (v-w2356hsa_329)")</f>
        <v>nechat (v-w2356hsa_329)</v>
      </c>
    </row>
    <row r="19526" customFormat="false" ht="12.8" hidden="false" customHeight="false" outlineLevel="0" collapsed="false">
      <c r="B19526" s="0" t="s">
        <v>1</v>
      </c>
    </row>
    <row r="19527" customFormat="false" ht="12.8" hidden="false" customHeight="false" outlineLevel="0" collapsed="false">
      <c r="B19527" s="0" t="s">
        <v>8156</v>
      </c>
    </row>
    <row r="19528" customFormat="false" ht="12.8" hidden="false" customHeight="false" outlineLevel="0" collapsed="false">
      <c r="B19528" s="0" t="s">
        <v>8</v>
      </c>
    </row>
    <row r="19530" customFormat="false" ht="12.8" hidden="false" customHeight="false" outlineLevel="0" collapsed="false">
      <c r="A19530" s="0" t="s">
        <v>8157</v>
      </c>
      <c r="B19530" s="0" t="str">
        <f aca="false">HYPERLINK("https://lindat.mff.cuni.cz/services/teitok/pdtc10/index.php?action=vallex&amp;frame=v-w2357f1", "nechat si (v-w2357f1)")</f>
        <v>nechat si (v-w2357f1)</v>
      </c>
    </row>
    <row r="19531" customFormat="false" ht="12.8" hidden="false" customHeight="false" outlineLevel="0" collapsed="false">
      <c r="B19531" s="0" t="s">
        <v>1</v>
      </c>
    </row>
    <row r="19532" customFormat="false" ht="12.8" hidden="false" customHeight="false" outlineLevel="0" collapsed="false">
      <c r="B19532" s="0" t="s">
        <v>1289</v>
      </c>
    </row>
    <row r="19534" customFormat="false" ht="12.8" hidden="false" customHeight="false" outlineLevel="0" collapsed="false">
      <c r="A19534" s="0" t="s">
        <v>8158</v>
      </c>
      <c r="B19534" s="0" t="str">
        <f aca="false">HYPERLINK("https://lindat.mff.cuni.cz/services/teitok/pdtc10/index.php?action=vallex&amp;frame=v-w2357f2_ZU", "nechat si (v-w2357f2_ZU)")</f>
        <v>nechat si (v-w2357f2_ZU)</v>
      </c>
    </row>
    <row r="19535" customFormat="false" ht="12.8" hidden="false" customHeight="false" outlineLevel="0" collapsed="false">
      <c r="B19535" s="0" t="s">
        <v>1</v>
      </c>
    </row>
    <row r="19536" customFormat="false" ht="12.8" hidden="false" customHeight="false" outlineLevel="0" collapsed="false">
      <c r="B19536" s="0" t="s">
        <v>8</v>
      </c>
    </row>
    <row r="19538" customFormat="false" ht="12.8" hidden="false" customHeight="false" outlineLevel="0" collapsed="false">
      <c r="A19538" s="0" t="s">
        <v>8158</v>
      </c>
      <c r="B19538" s="0" t="str">
        <f aca="false">HYPERLINK("https://lindat.mff.cuni.cz/services/teitok/pdtc10/index.php?action=vallex&amp;frame=v-w2357hsa_820", "nechat si (v-w2357hsa_820) - substituted with v-w2357f2_ZU")</f>
        <v>nechat si (v-w2357hsa_820) - substituted with v-w2357f2_ZU</v>
      </c>
      <c r="E19538" s="0" t="str">
        <f aca="false">HYPERLINK("https://lindat.mff.cuni.cz/services/SynSemClass40/SynSemClass40.html?veclass=vec01425#vec01425-ces-cm00003", "vec01425")</f>
        <v>vec01425</v>
      </c>
      <c r="F19538" s="0" t="s">
        <v>589</v>
      </c>
    </row>
    <row r="19539" customFormat="false" ht="12.8" hidden="false" customHeight="false" outlineLevel="0" collapsed="false">
      <c r="B19539" s="0" t="s">
        <v>1</v>
      </c>
      <c r="C19539" s="0" t="s">
        <v>8159</v>
      </c>
      <c r="E19539" s="0" t="s">
        <v>8160</v>
      </c>
      <c r="F19539" s="0" t="s">
        <v>8161</v>
      </c>
    </row>
    <row r="19540" customFormat="false" ht="12.8" hidden="false" customHeight="false" outlineLevel="0" collapsed="false">
      <c r="B19540" s="0" t="s">
        <v>8</v>
      </c>
      <c r="C19540" s="0" t="s">
        <v>8162</v>
      </c>
      <c r="E19540" s="0" t="s">
        <v>594</v>
      </c>
      <c r="F19540" s="0" t="s">
        <v>596</v>
      </c>
    </row>
    <row r="19542" customFormat="false" ht="12.8" hidden="false" customHeight="false" outlineLevel="0" collapsed="false">
      <c r="A19542" s="0" t="s">
        <v>8163</v>
      </c>
      <c r="B19542" s="0" t="str">
        <f aca="false">HYPERLINK("https://lindat.mff.cuni.cz/services/teitok/pdtc10/index.php?action=vallex&amp;frame=v-w2358f9", "nechávat (v-w2358f9)")</f>
        <v>nechávat (v-w2358f9)</v>
      </c>
    </row>
    <row r="19543" customFormat="false" ht="12.8" hidden="false" customHeight="false" outlineLevel="0" collapsed="false">
      <c r="B19543" s="0" t="s">
        <v>1</v>
      </c>
    </row>
    <row r="19544" customFormat="false" ht="12.8" hidden="false" customHeight="false" outlineLevel="0" collapsed="false">
      <c r="B19544" s="0" t="s">
        <v>8</v>
      </c>
    </row>
    <row r="19545" customFormat="false" ht="12.8" hidden="false" customHeight="false" outlineLevel="0" collapsed="false">
      <c r="B19545" s="0" t="s">
        <v>132</v>
      </c>
    </row>
    <row r="19546" customFormat="false" ht="12.8" hidden="false" customHeight="false" outlineLevel="0" collapsed="false">
      <c r="B19546" s="0" t="s">
        <v>723</v>
      </c>
    </row>
    <row r="19548" customFormat="false" ht="12.8" hidden="false" customHeight="false" outlineLevel="0" collapsed="false">
      <c r="A19548" s="0" t="s">
        <v>8164</v>
      </c>
      <c r="B19548" s="0" t="str">
        <f aca="false">HYPERLINK("https://lindat.mff.cuni.cz/services/teitok/pdtc10/index.php?action=vallex&amp;frame=v-w2358f6", "nechávat (v-w2358f6)")</f>
        <v>nechávat (v-w2358f6)</v>
      </c>
      <c r="E19548" s="0" t="str">
        <f aca="false">HYPERLINK("https://lindat.mff.cuni.cz/services/SynSemClass40/SynSemClass40.html?veclass=vec00072#vec00072-ces-cm00018", "vec00072")</f>
        <v>vec00072</v>
      </c>
      <c r="F19548" s="0" t="s">
        <v>8104</v>
      </c>
    </row>
    <row r="19549" customFormat="false" ht="12.8" hidden="false" customHeight="false" outlineLevel="0" collapsed="false">
      <c r="B19549" s="0" t="s">
        <v>1</v>
      </c>
      <c r="E19549" s="0" t="s">
        <v>206</v>
      </c>
      <c r="F19549" s="0" t="s">
        <v>1359</v>
      </c>
    </row>
    <row r="19550" customFormat="false" ht="12.8" hidden="false" customHeight="false" outlineLevel="0" collapsed="false">
      <c r="B19550" s="0" t="s">
        <v>4687</v>
      </c>
      <c r="E19550" s="0" t="s">
        <v>230</v>
      </c>
      <c r="F19550" s="0" t="s">
        <v>8105</v>
      </c>
    </row>
    <row r="19551" customFormat="false" ht="12.8" hidden="false" customHeight="false" outlineLevel="0" collapsed="false">
      <c r="B19551" s="0" t="s">
        <v>8106</v>
      </c>
      <c r="E19551" s="0" t="s">
        <v>1392</v>
      </c>
      <c r="F19551" s="0" t="s">
        <v>8107</v>
      </c>
    </row>
    <row r="19553" customFormat="false" ht="12.8" hidden="false" customHeight="false" outlineLevel="0" collapsed="false">
      <c r="A19553" s="0" t="s">
        <v>8165</v>
      </c>
      <c r="B19553" s="0" t="str">
        <f aca="false">HYPERLINK("https://lindat.mff.cuni.cz/services/teitok/pdtc10/index.php?action=vallex&amp;frame=v-w2358f2", "nechávat (v-w2358f2)")</f>
        <v>nechávat (v-w2358f2)</v>
      </c>
      <c r="E19553" s="0" t="str">
        <f aca="false">HYPERLINK("https://lindat.mff.cuni.cz/services/SynSemClass40/SynSemClass40.html?veclass=vec00072#vec00072-ces-cm00017", "vec00072")</f>
        <v>vec00072</v>
      </c>
      <c r="F19553" s="0" t="s">
        <v>8104</v>
      </c>
    </row>
    <row r="19554" customFormat="false" ht="12.8" hidden="false" customHeight="false" outlineLevel="0" collapsed="false">
      <c r="B19554" s="0" t="s">
        <v>1</v>
      </c>
      <c r="E19554" s="0" t="s">
        <v>206</v>
      </c>
      <c r="F19554" s="0" t="s">
        <v>1359</v>
      </c>
    </row>
    <row r="19555" customFormat="false" ht="12.8" hidden="false" customHeight="false" outlineLevel="0" collapsed="false">
      <c r="B19555" s="0" t="s">
        <v>8</v>
      </c>
      <c r="E19555" s="0" t="s">
        <v>230</v>
      </c>
      <c r="F19555" s="0" t="s">
        <v>8105</v>
      </c>
    </row>
    <row r="19556" customFormat="false" ht="12.8" hidden="false" customHeight="false" outlineLevel="0" collapsed="false">
      <c r="B19556" s="0" t="s">
        <v>52</v>
      </c>
      <c r="E19556" s="0" t="s">
        <v>1392</v>
      </c>
      <c r="F19556" s="0" t="s">
        <v>8107</v>
      </c>
    </row>
    <row r="19558" customFormat="false" ht="12.8" hidden="false" customHeight="false" outlineLevel="0" collapsed="false">
      <c r="A19558" s="0" t="s">
        <v>8166</v>
      </c>
      <c r="B19558" s="0" t="str">
        <f aca="false">HYPERLINK("https://lindat.mff.cuni.cz/services/teitok/pdtc10/index.php?action=vallex&amp;frame=v-w2358hsa_526", "nechávat (v-w2358hsa_526)")</f>
        <v>nechávat (v-w2358hsa_526)</v>
      </c>
      <c r="E19558" s="0" t="str">
        <f aca="false">HYPERLINK("https://lindat.mff.cuni.cz/services/SynSemClass40/SynSemClass40.html?veclass=vec00012#vec00012-ces-cm00015", "vec00012")</f>
        <v>vec00012</v>
      </c>
      <c r="F19558" s="0" t="s">
        <v>3078</v>
      </c>
    </row>
    <row r="19559" customFormat="false" ht="12.8" hidden="false" customHeight="false" outlineLevel="0" collapsed="false">
      <c r="B19559" s="0" t="s">
        <v>1</v>
      </c>
      <c r="C19559" s="0" t="s">
        <v>3079</v>
      </c>
      <c r="E19559" s="0" t="s">
        <v>206</v>
      </c>
      <c r="F19559" s="0" t="s">
        <v>3080</v>
      </c>
    </row>
    <row r="19560" customFormat="false" ht="12.8" hidden="false" customHeight="false" outlineLevel="0" collapsed="false">
      <c r="B19560" s="0" t="s">
        <v>8</v>
      </c>
      <c r="C19560" s="0" t="s">
        <v>8114</v>
      </c>
      <c r="E19560" s="0" t="s">
        <v>142</v>
      </c>
      <c r="F19560" s="0" t="s">
        <v>8115</v>
      </c>
    </row>
    <row r="19561" customFormat="false" ht="12.8" hidden="false" customHeight="false" outlineLevel="0" collapsed="false">
      <c r="B19561" s="0" t="s">
        <v>8167</v>
      </c>
      <c r="C19561" s="0" t="s">
        <v>8116</v>
      </c>
      <c r="E19561" s="0" t="s">
        <v>8117</v>
      </c>
      <c r="F19561" s="0" t="s">
        <v>8118</v>
      </c>
    </row>
    <row r="19563" customFormat="false" ht="12.8" hidden="false" customHeight="false" outlineLevel="0" collapsed="false">
      <c r="A19563" s="0" t="s">
        <v>8166</v>
      </c>
      <c r="B19563" s="0" t="str">
        <f aca="false">HYPERLINK("https://lindat.mff.cuni.cz/services/teitok/pdtc10/index.php?action=vallex&amp;frame=v-w2358f3", "nechávat (v-w2358f3) - substituted with v-w2358hsa_526")</f>
        <v>nechávat (v-w2358f3) - substituted with v-w2358hsa_526</v>
      </c>
    </row>
    <row r="19564" customFormat="false" ht="12.8" hidden="false" customHeight="false" outlineLevel="0" collapsed="false">
      <c r="B19564" s="0" t="s">
        <v>1</v>
      </c>
    </row>
    <row r="19565" customFormat="false" ht="12.8" hidden="false" customHeight="false" outlineLevel="0" collapsed="false">
      <c r="B19565" s="0" t="s">
        <v>8</v>
      </c>
    </row>
    <row r="19566" customFormat="false" ht="12.8" hidden="false" customHeight="false" outlineLevel="0" collapsed="false">
      <c r="B19566" s="0" t="s">
        <v>8167</v>
      </c>
    </row>
    <row r="19568" customFormat="false" ht="12.8" hidden="false" customHeight="false" outlineLevel="0" collapsed="false">
      <c r="A19568" s="0" t="s">
        <v>8168</v>
      </c>
      <c r="B19568" s="0" t="str">
        <f aca="false">HYPERLINK("https://lindat.mff.cuni.cz/services/teitok/pdtc10/index.php?action=vallex&amp;frame=v-w2358f17_ZU", "nechávat (v-w2358f17_ZU)")</f>
        <v>nechávat (v-w2358f17_ZU)</v>
      </c>
    </row>
    <row r="19569" customFormat="false" ht="12.8" hidden="false" customHeight="false" outlineLevel="0" collapsed="false">
      <c r="B19569" s="0" t="s">
        <v>1</v>
      </c>
    </row>
    <row r="19570" customFormat="false" ht="12.8" hidden="false" customHeight="false" outlineLevel="0" collapsed="false">
      <c r="B19570" s="0" t="s">
        <v>8</v>
      </c>
    </row>
    <row r="19571" customFormat="false" ht="12.8" hidden="false" customHeight="false" outlineLevel="0" collapsed="false">
      <c r="B19571" s="0" t="s">
        <v>8110</v>
      </c>
    </row>
    <row r="19573" customFormat="false" ht="12.8" hidden="false" customHeight="false" outlineLevel="0" collapsed="false">
      <c r="A19573" s="0" t="s">
        <v>8168</v>
      </c>
      <c r="B19573" s="0" t="str">
        <f aca="false">HYPERLINK("https://lindat.mff.cuni.cz/services/teitok/pdtc10/index.php?action=vallex&amp;frame=v-w2358f14_ZU", "nechávat (v-w2358f14_ZU) - substituted with v-w2358f17_ZU")</f>
        <v>nechávat (v-w2358f14_ZU) - substituted with v-w2358f17_ZU</v>
      </c>
    </row>
    <row r="19574" customFormat="false" ht="12.8" hidden="false" customHeight="false" outlineLevel="0" collapsed="false">
      <c r="B19574" s="0" t="s">
        <v>1</v>
      </c>
    </row>
    <row r="19575" customFormat="false" ht="12.8" hidden="false" customHeight="false" outlineLevel="0" collapsed="false">
      <c r="B19575" s="0" t="s">
        <v>8</v>
      </c>
    </row>
    <row r="19576" customFormat="false" ht="12.8" hidden="false" customHeight="false" outlineLevel="0" collapsed="false">
      <c r="B19576" s="0" t="s">
        <v>8110</v>
      </c>
    </row>
    <row r="19578" customFormat="false" ht="12.8" hidden="false" customHeight="false" outlineLevel="0" collapsed="false">
      <c r="A19578" s="0" t="s">
        <v>8168</v>
      </c>
      <c r="B19578" s="0" t="str">
        <f aca="false">HYPERLINK("https://lindat.mff.cuni.cz/services/teitok/pdtc10/index.php?action=vallex&amp;frame=v-w2358f5", "nechávat (v-w2358f5) - substituted with v-w2358f17_ZU")</f>
        <v>nechávat (v-w2358f5) - substituted with v-w2358f17_ZU</v>
      </c>
    </row>
    <row r="19579" customFormat="false" ht="12.8" hidden="false" customHeight="false" outlineLevel="0" collapsed="false">
      <c r="B19579" s="0" t="s">
        <v>1</v>
      </c>
    </row>
    <row r="19580" customFormat="false" ht="12.8" hidden="false" customHeight="false" outlineLevel="0" collapsed="false">
      <c r="B19580" s="0" t="s">
        <v>8</v>
      </c>
    </row>
    <row r="19581" customFormat="false" ht="12.8" hidden="false" customHeight="false" outlineLevel="0" collapsed="false">
      <c r="B19581" s="0" t="s">
        <v>8110</v>
      </c>
    </row>
    <row r="19583" customFormat="false" ht="12.8" hidden="false" customHeight="false" outlineLevel="0" collapsed="false">
      <c r="A19583" s="0" t="s">
        <v>8168</v>
      </c>
      <c r="B19583" s="0" t="str">
        <f aca="false">HYPERLINK("https://lindat.mff.cuni.cz/services/teitok/pdtc10/index.php?action=vallex&amp;frame=v-w2358hsa_525", "nechávat (v-w2358hsa_525) - substituted with v-w2358f17_ZU")</f>
        <v>nechávat (v-w2358hsa_525) - substituted with v-w2358f17_ZU</v>
      </c>
    </row>
    <row r="19584" customFormat="false" ht="12.8" hidden="false" customHeight="false" outlineLevel="0" collapsed="false">
      <c r="B19584" s="0" t="s">
        <v>1</v>
      </c>
    </row>
    <row r="19585" customFormat="false" ht="12.8" hidden="false" customHeight="false" outlineLevel="0" collapsed="false">
      <c r="B19585" s="0" t="s">
        <v>8</v>
      </c>
    </row>
    <row r="19586" customFormat="false" ht="12.8" hidden="false" customHeight="false" outlineLevel="0" collapsed="false">
      <c r="B19586" s="0" t="s">
        <v>8110</v>
      </c>
    </row>
    <row r="19588" customFormat="false" ht="12.8" hidden="false" customHeight="false" outlineLevel="0" collapsed="false">
      <c r="A19588" s="0" t="s">
        <v>8169</v>
      </c>
      <c r="B19588" s="0" t="str">
        <f aca="false">HYPERLINK("https://lindat.mff.cuni.cz/services/teitok/pdtc10/index.php?action=vallex&amp;frame=v-w2358f4", "nechávat (v-w2358f4)")</f>
        <v>nechávat (v-w2358f4)</v>
      </c>
    </row>
    <row r="19589" customFormat="false" ht="12.8" hidden="false" customHeight="false" outlineLevel="0" collapsed="false">
      <c r="B19589" s="0" t="s">
        <v>1</v>
      </c>
    </row>
    <row r="19590" customFormat="false" ht="12.8" hidden="false" customHeight="false" outlineLevel="0" collapsed="false">
      <c r="B19590" s="0" t="s">
        <v>8</v>
      </c>
    </row>
    <row r="19591" customFormat="false" ht="12.8" hidden="false" customHeight="false" outlineLevel="0" collapsed="false">
      <c r="B19591" s="0" t="s">
        <v>3245</v>
      </c>
    </row>
    <row r="19593" customFormat="false" ht="12.8" hidden="false" customHeight="false" outlineLevel="0" collapsed="false">
      <c r="A19593" s="0" t="s">
        <v>8170</v>
      </c>
      <c r="B19593" s="0" t="str">
        <f aca="false">HYPERLINK("https://lindat.mff.cuni.cz/services/teitok/pdtc10/index.php?action=vallex&amp;frame=v-w2358f10", "nechávat (v-w2358f10)")</f>
        <v>nechávat (v-w2358f10)</v>
      </c>
      <c r="E19593" s="0" t="str">
        <f aca="false">HYPERLINK("https://lindat.mff.cuni.cz/services/SynSemClass40/SynSemClass40.html?veclass=vec00575#vec00575-ces-cm00009", "vec00575")</f>
        <v>vec00575</v>
      </c>
      <c r="F19593" s="0" t="s">
        <v>8120</v>
      </c>
    </row>
    <row r="19594" customFormat="false" ht="12.8" hidden="false" customHeight="false" outlineLevel="0" collapsed="false">
      <c r="B19594" s="0" t="s">
        <v>1</v>
      </c>
      <c r="E19594" s="0" t="s">
        <v>11</v>
      </c>
      <c r="F19594" s="0" t="s">
        <v>959</v>
      </c>
    </row>
    <row r="19595" customFormat="false" ht="12.8" hidden="false" customHeight="false" outlineLevel="0" collapsed="false">
      <c r="B19595" s="0" t="s">
        <v>8</v>
      </c>
      <c r="E19595" s="0" t="s">
        <v>140</v>
      </c>
      <c r="F19595" s="0" t="s">
        <v>8121</v>
      </c>
    </row>
    <row r="19596" customFormat="false" ht="12.8" hidden="false" customHeight="false" outlineLevel="0" collapsed="false">
      <c r="B19596" s="0" t="s">
        <v>5</v>
      </c>
      <c r="E19596" s="0" t="s">
        <v>3254</v>
      </c>
      <c r="F19596" s="0" t="s">
        <v>3255</v>
      </c>
    </row>
    <row r="19598" customFormat="false" ht="12.8" hidden="false" customHeight="false" outlineLevel="0" collapsed="false">
      <c r="A19598" s="0" t="s">
        <v>8171</v>
      </c>
      <c r="B19598" s="0" t="str">
        <f aca="false">HYPERLINK("https://lindat.mff.cuni.cz/services/teitok/pdtc10/index.php?action=vallex&amp;frame=v-w2358f13_ZU", "nechávat (v-w2358f13_ZU)")</f>
        <v>nechávat (v-w2358f13_ZU)</v>
      </c>
    </row>
    <row r="19599" customFormat="false" ht="12.8" hidden="false" customHeight="false" outlineLevel="0" collapsed="false">
      <c r="B19599" s="0" t="s">
        <v>1</v>
      </c>
    </row>
    <row r="19600" customFormat="false" ht="12.8" hidden="false" customHeight="false" outlineLevel="0" collapsed="false">
      <c r="B19600" s="0" t="s">
        <v>8</v>
      </c>
    </row>
    <row r="19601" customFormat="false" ht="12.8" hidden="false" customHeight="false" outlineLevel="0" collapsed="false">
      <c r="B19601" s="0" t="s">
        <v>8172</v>
      </c>
    </row>
    <row r="19603" customFormat="false" ht="12.8" hidden="false" customHeight="false" outlineLevel="0" collapsed="false">
      <c r="A19603" s="0" t="s">
        <v>8173</v>
      </c>
      <c r="B19603" s="0" t="str">
        <f aca="false">HYPERLINK("https://lindat.mff.cuni.cz/services/teitok/pdtc10/index.php?action=vallex&amp;frame=v-w2358f12_ZU", "nechávat (v-w2358f12_ZU)")</f>
        <v>nechávat (v-w2358f12_ZU)</v>
      </c>
    </row>
    <row r="19604" customFormat="false" ht="12.8" hidden="false" customHeight="false" outlineLevel="0" collapsed="false">
      <c r="B19604" s="0" t="s">
        <v>1</v>
      </c>
    </row>
    <row r="19605" customFormat="false" ht="12.8" hidden="false" customHeight="false" outlineLevel="0" collapsed="false">
      <c r="B19605" s="0" t="s">
        <v>886</v>
      </c>
    </row>
    <row r="19607" customFormat="false" ht="12.8" hidden="false" customHeight="false" outlineLevel="0" collapsed="false">
      <c r="A19607" s="0" t="s">
        <v>8173</v>
      </c>
      <c r="B19607" s="0" t="str">
        <f aca="false">HYPERLINK("https://lindat.mff.cuni.cz/services/teitok/pdtc10/index.php?action=vallex&amp;frame=v-w2358f1", "nechávat (v-w2358f1) - substituted with v-w2358f12_ZU")</f>
        <v>nechávat (v-w2358f1) - substituted with v-w2358f12_ZU</v>
      </c>
    </row>
    <row r="19608" customFormat="false" ht="12.8" hidden="false" customHeight="false" outlineLevel="0" collapsed="false">
      <c r="B19608" s="0" t="s">
        <v>1</v>
      </c>
    </row>
    <row r="19609" customFormat="false" ht="12.8" hidden="false" customHeight="false" outlineLevel="0" collapsed="false">
      <c r="B19609" s="0" t="s">
        <v>886</v>
      </c>
    </row>
    <row r="19611" customFormat="false" ht="12.8" hidden="false" customHeight="false" outlineLevel="0" collapsed="false">
      <c r="A19611" s="0" t="s">
        <v>8174</v>
      </c>
      <c r="B19611" s="0" t="str">
        <f aca="false">HYPERLINK("https://lindat.mff.cuni.cz/services/teitok/pdtc10/index.php?action=vallex&amp;frame=v-w2358f7", "nechávat (v-w2358f7)")</f>
        <v>nechávat (v-w2358f7)</v>
      </c>
    </row>
    <row r="19612" customFormat="false" ht="12.8" hidden="false" customHeight="false" outlineLevel="0" collapsed="false">
      <c r="B19612" s="0" t="s">
        <v>1</v>
      </c>
    </row>
    <row r="19613" customFormat="false" ht="12.8" hidden="false" customHeight="false" outlineLevel="0" collapsed="false">
      <c r="B19613" s="0" t="s">
        <v>8134</v>
      </c>
    </row>
    <row r="19614" customFormat="false" ht="12.8" hidden="false" customHeight="false" outlineLevel="0" collapsed="false">
      <c r="B19614" s="0" t="s">
        <v>8</v>
      </c>
    </row>
    <row r="19616" customFormat="false" ht="12.8" hidden="false" customHeight="false" outlineLevel="0" collapsed="false">
      <c r="A19616" s="0" t="s">
        <v>8175</v>
      </c>
      <c r="B19616" s="0" t="str">
        <f aca="false">HYPERLINK("https://lindat.mff.cuni.cz/services/teitok/pdtc10/index.php?action=vallex&amp;frame=v-w2358f8", "nechávat (v-w2358f8)")</f>
        <v>nechávat (v-w2358f8)</v>
      </c>
    </row>
    <row r="19617" customFormat="false" ht="12.8" hidden="false" customHeight="false" outlineLevel="0" collapsed="false">
      <c r="B19617" s="0" t="s">
        <v>1</v>
      </c>
    </row>
    <row r="19618" customFormat="false" ht="12.8" hidden="false" customHeight="false" outlineLevel="0" collapsed="false">
      <c r="B19618" s="0" t="s">
        <v>8136</v>
      </c>
    </row>
    <row r="19619" customFormat="false" ht="12.8" hidden="false" customHeight="false" outlineLevel="0" collapsed="false">
      <c r="B19619" s="0" t="s">
        <v>8</v>
      </c>
    </row>
    <row r="19621" customFormat="false" ht="12.8" hidden="false" customHeight="false" outlineLevel="0" collapsed="false">
      <c r="A19621" s="0" t="s">
        <v>8176</v>
      </c>
      <c r="B19621" s="0" t="str">
        <f aca="false">HYPERLINK("https://lindat.mff.cuni.cz/services/teitok/pdtc10/index.php?action=vallex&amp;frame=v-w2358f11", "nechávat (v-w2358f11)")</f>
        <v>nechávat (v-w2358f11)</v>
      </c>
      <c r="E19621" s="0" t="str">
        <f aca="false">HYPERLINK("https://lindat.mff.cuni.cz/services/SynSemClass40/SynSemClass40.html?veclass=vec00060#vec00060-ces-cm00438", "vec00060")</f>
        <v>vec00060</v>
      </c>
      <c r="F19621" s="0" t="s">
        <v>213</v>
      </c>
    </row>
    <row r="19622" customFormat="false" ht="12.8" hidden="false" customHeight="false" outlineLevel="0" collapsed="false">
      <c r="B19622" s="0" t="s">
        <v>1</v>
      </c>
      <c r="C19622" s="0" t="s">
        <v>214</v>
      </c>
      <c r="E19622" s="0" t="s">
        <v>147</v>
      </c>
      <c r="F19622" s="0" t="s">
        <v>215</v>
      </c>
    </row>
    <row r="19623" customFormat="false" ht="12.8" hidden="false" customHeight="false" outlineLevel="0" collapsed="false">
      <c r="B19623" s="0" t="s">
        <v>8177</v>
      </c>
    </row>
    <row r="19624" customFormat="false" ht="12.8" hidden="false" customHeight="false" outlineLevel="0" collapsed="false">
      <c r="B19624" s="0" t="s">
        <v>3382</v>
      </c>
      <c r="C19624" s="0" t="s">
        <v>217</v>
      </c>
      <c r="E19624" s="0" t="s">
        <v>218</v>
      </c>
      <c r="F19624" s="0" t="s">
        <v>219</v>
      </c>
    </row>
    <row r="19626" customFormat="false" ht="12.8" hidden="false" customHeight="false" outlineLevel="0" collapsed="false">
      <c r="A19626" s="0" t="s">
        <v>8178</v>
      </c>
      <c r="B19626" s="0" t="str">
        <f aca="false">HYPERLINK("https://lindat.mff.cuni.cz/services/teitok/pdtc10/index.php?action=vallex&amp;frame=v-w2358f15_ZU", "nechávat (v-w2358f15_ZU)")</f>
        <v>nechávat (v-w2358f15_ZU)</v>
      </c>
    </row>
    <row r="19627" customFormat="false" ht="12.8" hidden="false" customHeight="false" outlineLevel="0" collapsed="false">
      <c r="B19627" s="0" t="s">
        <v>1</v>
      </c>
    </row>
    <row r="19628" customFormat="false" ht="12.8" hidden="false" customHeight="false" outlineLevel="0" collapsed="false">
      <c r="B19628" s="0" t="s">
        <v>8179</v>
      </c>
    </row>
    <row r="19629" customFormat="false" ht="12.8" hidden="false" customHeight="false" outlineLevel="0" collapsed="false">
      <c r="B19629" s="0" t="s">
        <v>8</v>
      </c>
    </row>
    <row r="19631" customFormat="false" ht="12.8" hidden="false" customHeight="false" outlineLevel="0" collapsed="false">
      <c r="A19631" s="0" t="s">
        <v>8178</v>
      </c>
      <c r="B19631" s="0" t="str">
        <f aca="false">HYPERLINK("https://lindat.mff.cuni.cz/services/teitok/pdtc10/index.php?action=vallex&amp;frame=v-w2358hsa_527", "nechávat (v-w2358hsa_527) - substituted with v-w2358f15_ZU")</f>
        <v>nechávat (v-w2358hsa_527) - substituted with v-w2358f15_ZU</v>
      </c>
    </row>
    <row r="19632" customFormat="false" ht="12.8" hidden="false" customHeight="false" outlineLevel="0" collapsed="false">
      <c r="B19632" s="0" t="s">
        <v>1</v>
      </c>
    </row>
    <row r="19633" customFormat="false" ht="12.8" hidden="false" customHeight="false" outlineLevel="0" collapsed="false">
      <c r="B19633" s="0" t="s">
        <v>8179</v>
      </c>
    </row>
    <row r="19634" customFormat="false" ht="12.8" hidden="false" customHeight="false" outlineLevel="0" collapsed="false">
      <c r="B19634" s="0" t="s">
        <v>8</v>
      </c>
    </row>
    <row r="19636" customFormat="false" ht="12.8" hidden="false" customHeight="false" outlineLevel="0" collapsed="false">
      <c r="A19636" s="0" t="s">
        <v>8180</v>
      </c>
      <c r="B19636" s="0" t="str">
        <f aca="false">HYPERLINK("https://lindat.mff.cuni.cz/services/teitok/pdtc10/index.php?action=vallex&amp;frame=v-w2358f16_ZU", "nechávat (v-w2358f16_ZU)")</f>
        <v>nechávat (v-w2358f16_ZU)</v>
      </c>
    </row>
    <row r="19637" customFormat="false" ht="12.8" hidden="false" customHeight="false" outlineLevel="0" collapsed="false">
      <c r="B19637" s="0" t="s">
        <v>1</v>
      </c>
    </row>
    <row r="19638" customFormat="false" ht="12.8" hidden="false" customHeight="false" outlineLevel="0" collapsed="false">
      <c r="B19638" s="0" t="s">
        <v>8146</v>
      </c>
    </row>
    <row r="19639" customFormat="false" ht="12.8" hidden="false" customHeight="false" outlineLevel="0" collapsed="false">
      <c r="B19639" s="0" t="s">
        <v>186</v>
      </c>
    </row>
    <row r="19641" customFormat="false" ht="12.8" hidden="false" customHeight="false" outlineLevel="0" collapsed="false">
      <c r="A19641" s="0" t="s">
        <v>8181</v>
      </c>
      <c r="B19641" s="0" t="str">
        <f aca="false">HYPERLINK("https://lindat.mff.cuni.cz/services/teitok/pdtc10/index.php?action=vallex&amp;frame=v-w2358hsa_1521", "nechávat (v-w2358hsa_1521)")</f>
        <v>nechávat (v-w2358hsa_1521)</v>
      </c>
    </row>
    <row r="19642" customFormat="false" ht="12.8" hidden="false" customHeight="false" outlineLevel="0" collapsed="false">
      <c r="B19642" s="0" t="s">
        <v>1</v>
      </c>
    </row>
    <row r="19643" customFormat="false" ht="12.8" hidden="false" customHeight="false" outlineLevel="0" collapsed="false">
      <c r="B19643" s="0" t="s">
        <v>1356</v>
      </c>
    </row>
    <row r="19645" customFormat="false" ht="12.8" hidden="false" customHeight="false" outlineLevel="0" collapsed="false">
      <c r="A19645" s="0" t="s">
        <v>8182</v>
      </c>
      <c r="B19645" s="0" t="str">
        <f aca="false">HYPERLINK("https://lindat.mff.cuni.cz/services/teitok/pdtc10/index.php?action=vallex&amp;frame=v-w2359f1", "nechávat si (v-w2359f1)")</f>
        <v>nechávat si (v-w2359f1)</v>
      </c>
    </row>
    <row r="19646" customFormat="false" ht="12.8" hidden="false" customHeight="false" outlineLevel="0" collapsed="false">
      <c r="B19646" s="0" t="s">
        <v>1</v>
      </c>
    </row>
    <row r="19647" customFormat="false" ht="12.8" hidden="false" customHeight="false" outlineLevel="0" collapsed="false">
      <c r="B19647" s="0" t="s">
        <v>8</v>
      </c>
    </row>
    <row r="19649" customFormat="false" ht="12.8" hidden="false" customHeight="false" outlineLevel="0" collapsed="false">
      <c r="A19649" s="0" t="s">
        <v>8183</v>
      </c>
      <c r="B19649" s="0" t="str">
        <f aca="false">HYPERLINK("https://lindat.mff.cuni.cz/services/teitok/pdtc10/index.php?action=vallex&amp;frame=v-w2359f3_ZU", "nechávat si (v-w2359f3_ZU)")</f>
        <v>nechávat si (v-w2359f3_ZU)</v>
      </c>
    </row>
    <row r="19650" customFormat="false" ht="12.8" hidden="false" customHeight="false" outlineLevel="0" collapsed="false">
      <c r="B19650" s="0" t="s">
        <v>1</v>
      </c>
    </row>
    <row r="19651" customFormat="false" ht="12.8" hidden="false" customHeight="false" outlineLevel="0" collapsed="false">
      <c r="B19651" s="0" t="s">
        <v>8184</v>
      </c>
    </row>
    <row r="19652" customFormat="false" ht="12.8" hidden="false" customHeight="false" outlineLevel="0" collapsed="false">
      <c r="B19652" s="0" t="s">
        <v>291</v>
      </c>
    </row>
    <row r="19654" customFormat="false" ht="12.8" hidden="false" customHeight="false" outlineLevel="0" collapsed="false">
      <c r="A19654" s="0" t="s">
        <v>8183</v>
      </c>
      <c r="B19654" s="0" t="str">
        <f aca="false">HYPERLINK("https://lindat.mff.cuni.cz/services/teitok/pdtc10/index.php?action=vallex&amp;frame=v-w2359f2_ZU", "nechávat si (v-w2359f2_ZU) - substituted with v-w2359f3_ZU")</f>
        <v>nechávat si (v-w2359f2_ZU) - substituted with v-w2359f3_ZU</v>
      </c>
    </row>
    <row r="19655" customFormat="false" ht="12.8" hidden="false" customHeight="false" outlineLevel="0" collapsed="false">
      <c r="B19655" s="0" t="s">
        <v>1</v>
      </c>
    </row>
    <row r="19656" customFormat="false" ht="12.8" hidden="false" customHeight="false" outlineLevel="0" collapsed="false">
      <c r="B19656" s="0" t="s">
        <v>8184</v>
      </c>
    </row>
    <row r="19657" customFormat="false" ht="12.8" hidden="false" customHeight="false" outlineLevel="0" collapsed="false">
      <c r="B19657" s="0" t="s">
        <v>291</v>
      </c>
    </row>
    <row r="19659" customFormat="false" ht="12.8" hidden="false" customHeight="false" outlineLevel="0" collapsed="false">
      <c r="A19659" s="0" t="s">
        <v>8183</v>
      </c>
      <c r="B19659" s="0" t="str">
        <f aca="false">HYPERLINK("https://lindat.mff.cuni.cz/services/teitok/pdtc10/index.php?action=vallex&amp;frame=v-w2359hsa_1403", "nechávat si (v-w2359hsa_1403) - substituted with v-w2359f3_ZU")</f>
        <v>nechávat si (v-w2359hsa_1403) - substituted with v-w2359f3_ZU</v>
      </c>
    </row>
    <row r="19660" customFormat="false" ht="12.8" hidden="false" customHeight="false" outlineLevel="0" collapsed="false">
      <c r="B19660" s="0" t="s">
        <v>1</v>
      </c>
    </row>
    <row r="19661" customFormat="false" ht="12.8" hidden="false" customHeight="false" outlineLevel="0" collapsed="false">
      <c r="B19661" s="0" t="s">
        <v>8184</v>
      </c>
    </row>
    <row r="19662" customFormat="false" ht="12.8" hidden="false" customHeight="false" outlineLevel="0" collapsed="false">
      <c r="B19662" s="0" t="s">
        <v>291</v>
      </c>
    </row>
    <row r="19664" customFormat="false" ht="12.8" hidden="false" customHeight="false" outlineLevel="0" collapsed="false">
      <c r="A19664" s="0" t="s">
        <v>8185</v>
      </c>
      <c r="B19664" s="0" t="str">
        <f aca="false">HYPERLINK("https://lindat.mff.cuni.cz/services/teitok/pdtc10/index.php?action=vallex&amp;frame=v-w2359f4_ZU", "nechávat si (v-w2359f4_ZU)")</f>
        <v>nechávat si (v-w2359f4_ZU)</v>
      </c>
    </row>
    <row r="19665" customFormat="false" ht="12.8" hidden="false" customHeight="false" outlineLevel="0" collapsed="false">
      <c r="B19665" s="0" t="s">
        <v>1</v>
      </c>
    </row>
    <row r="19666" customFormat="false" ht="12.8" hidden="false" customHeight="false" outlineLevel="0" collapsed="false">
      <c r="B19666" s="0" t="s">
        <v>8</v>
      </c>
    </row>
    <row r="19668" customFormat="false" ht="12.8" hidden="false" customHeight="false" outlineLevel="0" collapsed="false">
      <c r="A19668" s="0" t="s">
        <v>8186</v>
      </c>
      <c r="B19668" s="0" t="str">
        <f aca="false">HYPERLINK("https://lindat.mff.cuni.cz/services/teitok/pdtc10/index.php?action=vallex&amp;frame=v-w2353f1", "negovat (v-w2353f1)")</f>
        <v>negovat (v-w2353f1)</v>
      </c>
      <c r="E19668" s="0" t="str">
        <f aca="false">HYPERLINK("https://lindat.mff.cuni.cz/services/SynSemClass40/SynSemClass40.html?veclass=vec01482#vec01482-ces-cm00001", "vec01482")</f>
        <v>vec01482</v>
      </c>
      <c r="F19668" s="0" t="s">
        <v>135</v>
      </c>
    </row>
    <row r="19669" customFormat="false" ht="12.8" hidden="false" customHeight="false" outlineLevel="0" collapsed="false">
      <c r="B19669" s="0" t="s">
        <v>1</v>
      </c>
      <c r="C19669" s="0" t="s">
        <v>4471</v>
      </c>
      <c r="E19669" s="0" t="s">
        <v>76</v>
      </c>
      <c r="F19669" s="0" t="s">
        <v>138</v>
      </c>
    </row>
    <row r="19670" customFormat="false" ht="12.8" hidden="false" customHeight="false" outlineLevel="0" collapsed="false">
      <c r="B19670" s="0" t="s">
        <v>228</v>
      </c>
      <c r="C19670" s="0" t="s">
        <v>7124</v>
      </c>
      <c r="E19670" s="0" t="s">
        <v>142</v>
      </c>
      <c r="F19670" s="0" t="s">
        <v>143</v>
      </c>
    </row>
    <row r="19672" customFormat="false" ht="12.8" hidden="false" customHeight="false" outlineLevel="0" collapsed="false">
      <c r="A19672" s="0" t="s">
        <v>8187</v>
      </c>
      <c r="B19672" s="0" t="str">
        <f aca="false">HYPERLINK("https://lindat.mff.cuni.cz/services/teitok/pdtc10/index.php?action=vallex&amp;frame=v-w2366f1", "nenávidět (v-w2366f1)")</f>
        <v>nenávidět (v-w2366f1)</v>
      </c>
      <c r="E19672" s="0" t="str">
        <f aca="false">HYPERLINK("https://lindat.mff.cuni.cz/services/SynSemClass40/SynSemClass40.html?veclass=vec00641#vec00641-ces-cm00001", "vec00641")</f>
        <v>vec00641</v>
      </c>
      <c r="F19672" s="0" t="s">
        <v>8188</v>
      </c>
    </row>
    <row r="19673" customFormat="false" ht="12.8" hidden="false" customHeight="false" outlineLevel="0" collapsed="false">
      <c r="B19673" s="0" t="s">
        <v>1</v>
      </c>
      <c r="C19673" s="0" t="s">
        <v>767</v>
      </c>
      <c r="E19673" s="0" t="s">
        <v>155</v>
      </c>
      <c r="F19673" s="0" t="s">
        <v>8189</v>
      </c>
    </row>
    <row r="19674" customFormat="false" ht="12.8" hidden="false" customHeight="false" outlineLevel="0" collapsed="false">
      <c r="B19674" s="0" t="s">
        <v>59</v>
      </c>
      <c r="C19674" s="0" t="s">
        <v>1575</v>
      </c>
      <c r="E19674" s="0" t="s">
        <v>142</v>
      </c>
      <c r="F19674" s="0" t="s">
        <v>1576</v>
      </c>
    </row>
    <row r="19676" customFormat="false" ht="12.8" hidden="false" customHeight="false" outlineLevel="0" collapsed="false">
      <c r="A19676" s="0" t="s">
        <v>8190</v>
      </c>
      <c r="B19676" s="0" t="str">
        <f aca="false">HYPERLINK("https://lindat.mff.cuni.cz/services/teitok/pdtc10/index.php?action=vallex&amp;frame=v-w2379f1", "nervovat (v-w2379f1)")</f>
        <v>nervovat (v-w2379f1)</v>
      </c>
    </row>
    <row r="19677" customFormat="false" ht="12.8" hidden="false" customHeight="false" outlineLevel="0" collapsed="false">
      <c r="B19677" s="0" t="s">
        <v>1</v>
      </c>
    </row>
    <row r="19678" customFormat="false" ht="12.8" hidden="false" customHeight="false" outlineLevel="0" collapsed="false">
      <c r="B19678" s="0" t="s">
        <v>8</v>
      </c>
    </row>
    <row r="19680" customFormat="false" ht="12.8" hidden="false" customHeight="false" outlineLevel="0" collapsed="false">
      <c r="A19680" s="0" t="s">
        <v>8191</v>
      </c>
      <c r="B19680" s="0" t="str">
        <f aca="false">HYPERLINK("https://lindat.mff.cuni.cz/services/teitok/pdtc10/index.php?action=vallex&amp;frame=v-w2383f1", "nesnášet (v-w2383f1)")</f>
        <v>nesnášet (v-w2383f1)</v>
      </c>
    </row>
    <row r="19681" customFormat="false" ht="12.8" hidden="false" customHeight="false" outlineLevel="0" collapsed="false">
      <c r="B19681" s="0" t="s">
        <v>1</v>
      </c>
    </row>
    <row r="19682" customFormat="false" ht="12.8" hidden="false" customHeight="false" outlineLevel="0" collapsed="false">
      <c r="B19682" s="0" t="s">
        <v>59</v>
      </c>
    </row>
    <row r="19684" customFormat="false" ht="12.8" hidden="false" customHeight="false" outlineLevel="0" collapsed="false">
      <c r="A19684" s="0" t="s">
        <v>8192</v>
      </c>
      <c r="B19684" s="0" t="str">
        <f aca="false">HYPERLINK("https://lindat.mff.cuni.cz/services/teitok/pdtc10/index.php?action=vallex&amp;frame=v-w2396f1", "neutralizovat (v-w2396f1)")</f>
        <v>neutralizovat (v-w2396f1)</v>
      </c>
    </row>
    <row r="19685" customFormat="false" ht="12.8" hidden="false" customHeight="false" outlineLevel="0" collapsed="false">
      <c r="B19685" s="0" t="s">
        <v>1</v>
      </c>
    </row>
    <row r="19686" customFormat="false" ht="12.8" hidden="false" customHeight="false" outlineLevel="0" collapsed="false">
      <c r="B19686" s="0" t="s">
        <v>8</v>
      </c>
    </row>
    <row r="19688" customFormat="false" ht="12.8" hidden="false" customHeight="false" outlineLevel="0" collapsed="false">
      <c r="A19688" s="0" t="s">
        <v>8193</v>
      </c>
      <c r="B19688" s="0" t="str">
        <f aca="false">HYPERLINK("https://lindat.mff.cuni.cz/services/teitok/pdtc10/index.php?action=vallex&amp;frame=v-whsa_550hsa_551", "nimrat se (v-whsa_550hsa_551)")</f>
        <v>nimrat se (v-whsa_550hsa_551)</v>
      </c>
    </row>
    <row r="19689" customFormat="false" ht="12.8" hidden="false" customHeight="false" outlineLevel="0" collapsed="false">
      <c r="B19689" s="0" t="s">
        <v>1</v>
      </c>
    </row>
    <row r="19690" customFormat="false" ht="12.8" hidden="false" customHeight="false" outlineLevel="0" collapsed="false">
      <c r="B19690" s="0" t="s">
        <v>536</v>
      </c>
    </row>
    <row r="19692" customFormat="false" ht="12.8" hidden="false" customHeight="false" outlineLevel="0" collapsed="false">
      <c r="A19692" s="0" t="s">
        <v>8194</v>
      </c>
      <c r="B19692" s="0" t="str">
        <f aca="false">HYPERLINK("https://lindat.mff.cuni.cz/services/teitok/pdtc10/index.php?action=vallex&amp;frame=v-w2406f1", "ničit (v-w2406f1)")</f>
        <v>ničit (v-w2406f1)</v>
      </c>
      <c r="E19692" s="0" t="str">
        <f aca="false">HYPERLINK("https://lindat.mff.cuni.cz/services/SynSemClass40/SynSemClass40.html?veclass=vec00389#vec00389-ces-cm00006", "vec00389")</f>
        <v>vec00389</v>
      </c>
      <c r="F19692" s="0" t="s">
        <v>1888</v>
      </c>
    </row>
    <row r="19693" customFormat="false" ht="12.8" hidden="false" customHeight="false" outlineLevel="0" collapsed="false">
      <c r="B19693" s="0" t="s">
        <v>1</v>
      </c>
      <c r="C19693" s="0" t="s">
        <v>1889</v>
      </c>
      <c r="E19693" s="0" t="s">
        <v>1890</v>
      </c>
      <c r="F19693" s="0" t="s">
        <v>1891</v>
      </c>
    </row>
    <row r="19694" customFormat="false" ht="12.8" hidden="false" customHeight="false" outlineLevel="0" collapsed="false">
      <c r="B19694" s="0" t="s">
        <v>305</v>
      </c>
      <c r="C19694" s="0" t="s">
        <v>1892</v>
      </c>
      <c r="E19694" s="0" t="s">
        <v>1893</v>
      </c>
      <c r="F19694" s="0" t="s">
        <v>1894</v>
      </c>
    </row>
    <row r="19696" customFormat="false" ht="12.8" hidden="false" customHeight="false" outlineLevel="0" collapsed="false">
      <c r="A19696" s="0" t="s">
        <v>8195</v>
      </c>
      <c r="B19696" s="0" t="str">
        <f aca="false">HYPERLINK("https://lindat.mff.cuni.cz/services/teitok/pdtc10/index.php?action=vallex&amp;frame=v-w2408f1", "nocovat (v-w2408f1)")</f>
        <v>nocovat (v-w2408f1)</v>
      </c>
    </row>
    <row r="19697" customFormat="false" ht="12.8" hidden="false" customHeight="false" outlineLevel="0" collapsed="false">
      <c r="B19697" s="0" t="s">
        <v>1</v>
      </c>
    </row>
    <row r="19698" customFormat="false" ht="12.8" hidden="false" customHeight="false" outlineLevel="0" collapsed="false">
      <c r="B19698" s="0" t="s">
        <v>5</v>
      </c>
    </row>
    <row r="19700" customFormat="false" ht="12.8" hidden="false" customHeight="false" outlineLevel="0" collapsed="false">
      <c r="A19700" s="0" t="s">
        <v>8196</v>
      </c>
      <c r="B19700" s="0" t="str">
        <f aca="false">HYPERLINK("https://lindat.mff.cuni.cz/services/teitok/pdtc10/index.php?action=vallex&amp;frame=v-w2411f1", "nominovat (v-w2411f1)")</f>
        <v>nominovat (v-w2411f1)</v>
      </c>
    </row>
    <row r="19701" customFormat="false" ht="12.8" hidden="false" customHeight="false" outlineLevel="0" collapsed="false">
      <c r="B19701" s="0" t="s">
        <v>1</v>
      </c>
    </row>
    <row r="19702" customFormat="false" ht="12.8" hidden="false" customHeight="false" outlineLevel="0" collapsed="false">
      <c r="B19702" s="0" t="s">
        <v>8</v>
      </c>
    </row>
    <row r="19703" customFormat="false" ht="12.8" hidden="false" customHeight="false" outlineLevel="0" collapsed="false">
      <c r="B19703" s="0" t="s">
        <v>101</v>
      </c>
    </row>
    <row r="19705" customFormat="false" ht="12.8" hidden="false" customHeight="false" outlineLevel="0" collapsed="false">
      <c r="A19705" s="0" t="s">
        <v>8197</v>
      </c>
      <c r="B19705" s="0" t="str">
        <f aca="false">HYPERLINK("https://lindat.mff.cuni.cz/services/teitok/pdtc10/index.php?action=vallex&amp;frame=v-w2413f1", "normalizovat (v-w2413f1)")</f>
        <v>normalizovat (v-w2413f1)</v>
      </c>
      <c r="E19705" s="0" t="str">
        <f aca="false">HYPERLINK("https://lindat.mff.cuni.cz/services/SynSemClass40/SynSemClass40.html?veclass=vec00521#vec00521-ces-cm00006", "vec00521")</f>
        <v>vec00521</v>
      </c>
      <c r="F19705" s="0" t="s">
        <v>8198</v>
      </c>
    </row>
    <row r="19706" customFormat="false" ht="12.8" hidden="false" customHeight="false" outlineLevel="0" collapsed="false">
      <c r="B19706" s="0" t="s">
        <v>1</v>
      </c>
      <c r="C19706" s="0" t="s">
        <v>447</v>
      </c>
      <c r="E19706" s="0" t="s">
        <v>8199</v>
      </c>
      <c r="F19706" s="0" t="s">
        <v>8200</v>
      </c>
    </row>
    <row r="19707" customFormat="false" ht="12.8" hidden="false" customHeight="false" outlineLevel="0" collapsed="false">
      <c r="B19707" s="0" t="s">
        <v>8</v>
      </c>
      <c r="C19707" s="0" t="s">
        <v>4770</v>
      </c>
      <c r="E19707" s="0" t="s">
        <v>142</v>
      </c>
      <c r="F19707" s="0" t="s">
        <v>4771</v>
      </c>
    </row>
    <row r="19709" customFormat="false" ht="12.8" hidden="false" customHeight="false" outlineLevel="0" collapsed="false">
      <c r="A19709" s="0" t="s">
        <v>8201</v>
      </c>
      <c r="B19709" s="0" t="str">
        <f aca="false">HYPERLINK("https://lindat.mff.cuni.cz/services/teitok/pdtc10/index.php?action=vallex&amp;frame=v-w2415f5_ZU", "nosit (v-w2415f5_ZU)")</f>
        <v>nosit (v-w2415f5_ZU)</v>
      </c>
    </row>
    <row r="19710" customFormat="false" ht="12.8" hidden="false" customHeight="false" outlineLevel="0" collapsed="false">
      <c r="B19710" s="0" t="s">
        <v>1</v>
      </c>
    </row>
    <row r="19711" customFormat="false" ht="12.8" hidden="false" customHeight="false" outlineLevel="0" collapsed="false">
      <c r="B19711" s="0" t="s">
        <v>8</v>
      </c>
    </row>
    <row r="19712" customFormat="false" ht="12.8" hidden="false" customHeight="false" outlineLevel="0" collapsed="false">
      <c r="B19712" s="0" t="s">
        <v>132</v>
      </c>
    </row>
    <row r="19714" customFormat="false" ht="12.8" hidden="false" customHeight="false" outlineLevel="0" collapsed="false">
      <c r="A19714" s="0" t="s">
        <v>8201</v>
      </c>
      <c r="B19714" s="0" t="str">
        <f aca="false">HYPERLINK("https://lindat.mff.cuni.cz/services/teitok/pdtc10/index.php?action=vallex&amp;frame=v-w2415f2", "nosit (v-w2415f2) - substituted with v-w2415f5_ZU")</f>
        <v>nosit (v-w2415f2) - substituted with v-w2415f5_ZU</v>
      </c>
    </row>
    <row r="19715" customFormat="false" ht="12.8" hidden="false" customHeight="false" outlineLevel="0" collapsed="false">
      <c r="B19715" s="0" t="s">
        <v>1</v>
      </c>
    </row>
    <row r="19716" customFormat="false" ht="12.8" hidden="false" customHeight="false" outlineLevel="0" collapsed="false">
      <c r="B19716" s="0" t="s">
        <v>8</v>
      </c>
    </row>
    <row r="19717" customFormat="false" ht="12.8" hidden="false" customHeight="false" outlineLevel="0" collapsed="false">
      <c r="B19717" s="0" t="s">
        <v>132</v>
      </c>
    </row>
    <row r="19719" customFormat="false" ht="12.8" hidden="false" customHeight="false" outlineLevel="0" collapsed="false">
      <c r="A19719" s="0" t="s">
        <v>8202</v>
      </c>
      <c r="B19719" s="0" t="str">
        <f aca="false">HYPERLINK("https://lindat.mff.cuni.cz/services/teitok/pdtc10/index.php?action=vallex&amp;frame=v-w2415f1", "nosit (v-w2415f1)")</f>
        <v>nosit (v-w2415f1)</v>
      </c>
      <c r="E19719" s="0" t="str">
        <f aca="false">HYPERLINK("https://lindat.mff.cuni.cz/services/SynSemClass40/SynSemClass40.html?veclass=vec00242#vec00242-ces-cm00001", "vec00242")</f>
        <v>vec00242</v>
      </c>
      <c r="F19719" s="0" t="s">
        <v>8203</v>
      </c>
    </row>
    <row r="19720" customFormat="false" ht="12.8" hidden="false" customHeight="false" outlineLevel="0" collapsed="false">
      <c r="B19720" s="0" t="s">
        <v>1</v>
      </c>
      <c r="C19720" s="0" t="s">
        <v>4001</v>
      </c>
      <c r="E19720" s="0" t="s">
        <v>7690</v>
      </c>
      <c r="F19720" s="0" t="s">
        <v>8204</v>
      </c>
    </row>
    <row r="19721" customFormat="false" ht="12.8" hidden="false" customHeight="false" outlineLevel="0" collapsed="false">
      <c r="B19721" s="0" t="s">
        <v>8</v>
      </c>
      <c r="C19721" s="0" t="s">
        <v>8205</v>
      </c>
      <c r="E19721" s="0" t="s">
        <v>7692</v>
      </c>
      <c r="F19721" s="0" t="s">
        <v>8206</v>
      </c>
    </row>
    <row r="19723" customFormat="false" ht="12.8" hidden="false" customHeight="false" outlineLevel="0" collapsed="false">
      <c r="A19723" s="0" t="s">
        <v>8207</v>
      </c>
      <c r="B19723" s="0" t="str">
        <f aca="false">HYPERLINK("https://lindat.mff.cuni.cz/services/teitok/pdtc10/index.php?action=vallex&amp;frame=v-w2415f3", "nosit (v-w2415f3)")</f>
        <v>nosit (v-w2415f3)</v>
      </c>
    </row>
    <row r="19724" customFormat="false" ht="12.8" hidden="false" customHeight="false" outlineLevel="0" collapsed="false">
      <c r="B19724" s="0" t="s">
        <v>1</v>
      </c>
    </row>
    <row r="19725" customFormat="false" ht="12.8" hidden="false" customHeight="false" outlineLevel="0" collapsed="false">
      <c r="B19725" s="0" t="s">
        <v>8</v>
      </c>
    </row>
    <row r="19727" customFormat="false" ht="12.8" hidden="false" customHeight="false" outlineLevel="0" collapsed="false">
      <c r="A19727" s="0" t="s">
        <v>8208</v>
      </c>
      <c r="B19727" s="0" t="str">
        <f aca="false">HYPERLINK("https://lindat.mff.cuni.cz/services/teitok/pdtc10/index.php?action=vallex&amp;frame=v-w2415hsa_920", "nosit (v-w2415hsa_920)")</f>
        <v>nosit (v-w2415hsa_920)</v>
      </c>
      <c r="E19727" s="0" t="str">
        <f aca="false">HYPERLINK("https://lindat.mff.cuni.cz/services/SynSemClass40/SynSemClass40.html?veclass=vec00241#vec00241-ces-cm00010", "vec00241")</f>
        <v>vec00241</v>
      </c>
      <c r="F19727" s="0" t="s">
        <v>8209</v>
      </c>
    </row>
    <row r="19728" customFormat="false" ht="12.8" hidden="false" customHeight="false" outlineLevel="0" collapsed="false">
      <c r="B19728" s="0" t="s">
        <v>1</v>
      </c>
      <c r="C19728" s="0" t="s">
        <v>8210</v>
      </c>
      <c r="E19728" s="0" t="s">
        <v>11</v>
      </c>
      <c r="F19728" s="0" t="s">
        <v>8211</v>
      </c>
    </row>
    <row r="19729" customFormat="false" ht="12.8" hidden="false" customHeight="false" outlineLevel="0" collapsed="false">
      <c r="B19729" s="0" t="s">
        <v>8</v>
      </c>
      <c r="C19729" s="0" t="s">
        <v>8212</v>
      </c>
      <c r="E19729" s="0" t="s">
        <v>1544</v>
      </c>
      <c r="F19729" s="0" t="s">
        <v>8213</v>
      </c>
    </row>
    <row r="19731" customFormat="false" ht="12.8" hidden="false" customHeight="false" outlineLevel="0" collapsed="false">
      <c r="A19731" s="0" t="s">
        <v>8214</v>
      </c>
      <c r="B19731" s="0" t="str">
        <f aca="false">HYPERLINK("https://lindat.mff.cuni.cz/services/teitok/pdtc10/index.php?action=vallex&amp;frame=v-w2415f4_ZU", "nosit (v-w2415f4_ZU)")</f>
        <v>nosit (v-w2415f4_ZU)</v>
      </c>
    </row>
    <row r="19732" customFormat="false" ht="12.8" hidden="false" customHeight="false" outlineLevel="0" collapsed="false">
      <c r="B19732" s="0" t="s">
        <v>1</v>
      </c>
    </row>
    <row r="19733" customFormat="false" ht="12.8" hidden="false" customHeight="false" outlineLevel="0" collapsed="false">
      <c r="B19733" s="0" t="s">
        <v>8</v>
      </c>
    </row>
    <row r="19735" customFormat="false" ht="12.8" hidden="false" customHeight="false" outlineLevel="0" collapsed="false">
      <c r="A19735" s="0" t="s">
        <v>8215</v>
      </c>
      <c r="B19735" s="0" t="str">
        <f aca="false">HYPERLINK("https://lindat.mff.cuni.cz/services/teitok/pdtc10/index.php?action=vallex&amp;frame=v-whsa_1690hsa_1691", "nosit se (v-whsa_1690hsa_1691)")</f>
        <v>nosit se (v-whsa_1690hsa_1691)</v>
      </c>
    </row>
    <row r="19736" customFormat="false" ht="12.8" hidden="false" customHeight="false" outlineLevel="0" collapsed="false">
      <c r="B19736" s="0" t="s">
        <v>1</v>
      </c>
    </row>
    <row r="19738" customFormat="false" ht="12.8" hidden="false" customHeight="false" outlineLevel="0" collapsed="false">
      <c r="A19738" s="0" t="s">
        <v>8216</v>
      </c>
      <c r="B19738" s="0" t="str">
        <f aca="false">HYPERLINK("https://lindat.mff.cuni.cz/services/teitok/pdtc10/index.php?action=vallex&amp;frame=v-w10803f2", "nosívat (v-w10803f2)")</f>
        <v>nosívat (v-w10803f2)</v>
      </c>
      <c r="E19738" s="0" t="str">
        <f aca="false">HYPERLINK("https://lindat.mff.cuni.cz/services/SynSemClass40/SynSemClass40.html?veclass=vec00242#vec00242-ces-cm00005", "vec00242")</f>
        <v>vec00242</v>
      </c>
      <c r="F19738" s="0" t="s">
        <v>8203</v>
      </c>
    </row>
    <row r="19739" customFormat="false" ht="12.8" hidden="false" customHeight="false" outlineLevel="0" collapsed="false">
      <c r="B19739" s="0" t="s">
        <v>1</v>
      </c>
      <c r="C19739" s="0" t="s">
        <v>4001</v>
      </c>
      <c r="E19739" s="0" t="s">
        <v>7690</v>
      </c>
      <c r="F19739" s="0" t="s">
        <v>8204</v>
      </c>
    </row>
    <row r="19740" customFormat="false" ht="12.8" hidden="false" customHeight="false" outlineLevel="0" collapsed="false">
      <c r="B19740" s="0" t="s">
        <v>8</v>
      </c>
      <c r="C19740" s="0" t="s">
        <v>8205</v>
      </c>
      <c r="E19740" s="0" t="s">
        <v>7692</v>
      </c>
      <c r="F19740" s="0" t="s">
        <v>8206</v>
      </c>
    </row>
    <row r="19742" customFormat="false" ht="12.8" hidden="false" customHeight="false" outlineLevel="0" collapsed="false">
      <c r="A19742" s="0" t="s">
        <v>8217</v>
      </c>
      <c r="B19742" s="0" t="str">
        <f aca="false">HYPERLINK("https://lindat.mff.cuni.cz/services/teitok/pdtc10/index.php?action=vallex&amp;frame=v-w10803f3_MM", "nosívat (v-w10803f3_MM)")</f>
        <v>nosívat (v-w10803f3_MM)</v>
      </c>
    </row>
    <row r="19743" customFormat="false" ht="12.8" hidden="false" customHeight="false" outlineLevel="0" collapsed="false">
      <c r="B19743" s="0" t="s">
        <v>1</v>
      </c>
    </row>
    <row r="19744" customFormat="false" ht="12.8" hidden="false" customHeight="false" outlineLevel="0" collapsed="false">
      <c r="B19744" s="0" t="s">
        <v>8</v>
      </c>
    </row>
    <row r="19745" customFormat="false" ht="12.8" hidden="false" customHeight="false" outlineLevel="0" collapsed="false">
      <c r="B19745" s="0" t="s">
        <v>132</v>
      </c>
    </row>
    <row r="19747" customFormat="false" ht="12.8" hidden="false" customHeight="false" outlineLevel="0" collapsed="false">
      <c r="A19747" s="0" t="s">
        <v>8218</v>
      </c>
      <c r="B19747" s="0" t="str">
        <f aca="false">HYPERLINK("https://lindat.mff.cuni.cz/services/teitok/pdtc10/index.php?action=vallex&amp;frame=v-w12049_ZUf1_ZU", "notovat (v-w12049_ZUf1_ZU)")</f>
        <v>notovat (v-w12049_ZUf1_ZU)</v>
      </c>
    </row>
    <row r="19748" customFormat="false" ht="12.8" hidden="false" customHeight="false" outlineLevel="0" collapsed="false">
      <c r="B19748" s="0" t="s">
        <v>1</v>
      </c>
    </row>
    <row r="19749" customFormat="false" ht="12.8" hidden="false" customHeight="false" outlineLevel="0" collapsed="false">
      <c r="B19749" s="0" t="s">
        <v>186</v>
      </c>
    </row>
    <row r="19751" customFormat="false" ht="12.8" hidden="false" customHeight="false" outlineLevel="0" collapsed="false">
      <c r="A19751" s="0" t="s">
        <v>8219</v>
      </c>
      <c r="B19751" s="0" t="str">
        <f aca="false">HYPERLINK("https://lindat.mff.cuni.cz/services/teitok/pdtc10/index.php?action=vallex&amp;frame=v-w11526_ZUf1_ZU", "notovat si (v-w11526_ZUf1_ZU)")</f>
        <v>notovat si (v-w11526_ZUf1_ZU)</v>
      </c>
    </row>
    <row r="19752" customFormat="false" ht="12.8" hidden="false" customHeight="false" outlineLevel="0" collapsed="false">
      <c r="B19752" s="0" t="s">
        <v>1</v>
      </c>
    </row>
    <row r="19753" customFormat="false" ht="12.8" hidden="false" customHeight="false" outlineLevel="0" collapsed="false">
      <c r="B19753" s="0" t="s">
        <v>276</v>
      </c>
    </row>
    <row r="19754" customFormat="false" ht="12.8" hidden="false" customHeight="false" outlineLevel="0" collapsed="false">
      <c r="B19754" s="0" t="s">
        <v>883</v>
      </c>
    </row>
    <row r="19756" customFormat="false" ht="12.8" hidden="false" customHeight="false" outlineLevel="0" collapsed="false">
      <c r="A19756" s="0" t="s">
        <v>8220</v>
      </c>
      <c r="B19756" s="0" t="str">
        <f aca="false">HYPERLINK("https://lindat.mff.cuni.cz/services/teitok/pdtc10/index.php?action=vallex&amp;frame=v-w2424f1", "novelizovat (v-w2424f1)")</f>
        <v>novelizovat (v-w2424f1)</v>
      </c>
      <c r="E19756" s="0" t="str">
        <f aca="false">HYPERLINK("https://lindat.mff.cuni.cz/services/SynSemClass40/SynSemClass40.html?veclass=vec00546#vec00546-ces-cm00049", "vec00546")</f>
        <v>vec00546</v>
      </c>
      <c r="F19756" s="0" t="s">
        <v>5397</v>
      </c>
    </row>
    <row r="19757" customFormat="false" ht="12.8" hidden="false" customHeight="false" outlineLevel="0" collapsed="false">
      <c r="B19757" s="0" t="s">
        <v>1</v>
      </c>
      <c r="C19757" s="0" t="s">
        <v>3000</v>
      </c>
      <c r="E19757" s="0" t="s">
        <v>206</v>
      </c>
      <c r="F19757" s="0" t="s">
        <v>5400</v>
      </c>
    </row>
    <row r="19758" customFormat="false" ht="12.8" hidden="false" customHeight="false" outlineLevel="0" collapsed="false">
      <c r="B19758" s="0" t="s">
        <v>59</v>
      </c>
      <c r="C19758" s="0" t="s">
        <v>6312</v>
      </c>
      <c r="E19758" s="0" t="s">
        <v>1823</v>
      </c>
      <c r="F19758" s="0" t="s">
        <v>5404</v>
      </c>
    </row>
    <row r="19760" customFormat="false" ht="12.8" hidden="false" customHeight="false" outlineLevel="0" collapsed="false">
      <c r="A19760" s="0" t="s">
        <v>8221</v>
      </c>
      <c r="B19760" s="0" t="str">
        <f aca="false">HYPERLINK("https://lindat.mff.cuni.cz/services/teitok/pdtc10/index.php?action=vallex&amp;frame=v-w10301f2", "nořit (v-w10301f2)")</f>
        <v>nořit (v-w10301f2)</v>
      </c>
      <c r="E19760" s="0" t="str">
        <f aca="false">HYPERLINK("https://lindat.mff.cuni.cz/services/SynSemClass40/SynSemClass40.html?veclass=vec01543#vec01543-ces-cm00004", "vec01543")</f>
        <v>vec01543</v>
      </c>
      <c r="F19760" s="0" t="s">
        <v>383</v>
      </c>
    </row>
    <row r="19761" customFormat="false" ht="12.8" hidden="false" customHeight="false" outlineLevel="0" collapsed="false">
      <c r="B19761" s="0" t="s">
        <v>1</v>
      </c>
      <c r="E19761" s="0" t="s">
        <v>31</v>
      </c>
      <c r="F19761" s="0" t="s">
        <v>49</v>
      </c>
    </row>
    <row r="19762" customFormat="false" ht="12.8" hidden="false" customHeight="false" outlineLevel="0" collapsed="false">
      <c r="B19762" s="0" t="s">
        <v>8</v>
      </c>
      <c r="E19762" s="0" t="s">
        <v>170</v>
      </c>
      <c r="F19762" s="0" t="s">
        <v>391</v>
      </c>
    </row>
    <row r="19763" customFormat="false" ht="12.8" hidden="false" customHeight="false" outlineLevel="0" collapsed="false">
      <c r="B19763" s="0" t="s">
        <v>164</v>
      </c>
      <c r="E19763" s="0" t="s">
        <v>388</v>
      </c>
      <c r="F19763" s="0" t="s">
        <v>389</v>
      </c>
    </row>
    <row r="19765" customFormat="false" ht="12.8" hidden="false" customHeight="false" outlineLevel="0" collapsed="false">
      <c r="A19765" s="0" t="s">
        <v>8222</v>
      </c>
      <c r="B19765" s="0" t="str">
        <f aca="false">HYPERLINK("https://lindat.mff.cuni.cz/services/teitok/pdtc10/index.php?action=vallex&amp;frame=v-w12297_MMf1_MM", "nudit (v-w12297_MMf1_MM)")</f>
        <v>nudit (v-w12297_MMf1_MM)</v>
      </c>
    </row>
    <row r="19766" customFormat="false" ht="12.8" hidden="false" customHeight="false" outlineLevel="0" collapsed="false">
      <c r="B19766" s="0" t="s">
        <v>8223</v>
      </c>
    </row>
    <row r="19767" customFormat="false" ht="12.8" hidden="false" customHeight="false" outlineLevel="0" collapsed="false">
      <c r="B19767" s="0" t="s">
        <v>8</v>
      </c>
    </row>
    <row r="19769" customFormat="false" ht="12.8" hidden="false" customHeight="false" outlineLevel="0" collapsed="false">
      <c r="A19769" s="0" t="s">
        <v>8224</v>
      </c>
      <c r="B19769" s="0" t="str">
        <f aca="false">HYPERLINK("https://lindat.mff.cuni.cz/services/teitok/pdtc10/index.php?action=vallex&amp;frame=v-w2427f1", "nudit se (v-w2427f1)")</f>
        <v>nudit se (v-w2427f1)</v>
      </c>
    </row>
    <row r="19770" customFormat="false" ht="12.8" hidden="false" customHeight="false" outlineLevel="0" collapsed="false">
      <c r="B19770" s="0" t="s">
        <v>1</v>
      </c>
    </row>
    <row r="19772" customFormat="false" ht="12.8" hidden="false" customHeight="false" outlineLevel="0" collapsed="false">
      <c r="A19772" s="0" t="s">
        <v>8225</v>
      </c>
      <c r="B19772" s="0" t="str">
        <f aca="false">HYPERLINK("https://lindat.mff.cuni.cz/services/teitok/pdtc10/index.php?action=vallex&amp;frame=v-w2427f2_ZU", "nudit se (v-w2427f2_ZU)")</f>
        <v>nudit se (v-w2427f2_ZU)</v>
      </c>
    </row>
    <row r="19773" customFormat="false" ht="12.8" hidden="false" customHeight="false" outlineLevel="0" collapsed="false">
      <c r="B19773" s="0" t="s">
        <v>859</v>
      </c>
    </row>
    <row r="19774" customFormat="false" ht="12.8" hidden="false" customHeight="false" outlineLevel="0" collapsed="false">
      <c r="B19774" s="0" t="s">
        <v>8</v>
      </c>
    </row>
    <row r="19776" customFormat="false" ht="12.8" hidden="false" customHeight="false" outlineLevel="0" collapsed="false">
      <c r="A19776" s="0" t="s">
        <v>8226</v>
      </c>
      <c r="B19776" s="0" t="str">
        <f aca="false">HYPERLINK("https://lindat.mff.cuni.cz/services/teitok/pdtc10/index.php?action=vallex&amp;frame=v-w2428f2", "nutit (v-w2428f2)")</f>
        <v>nutit (v-w2428f2)</v>
      </c>
    </row>
    <row r="19777" customFormat="false" ht="12.8" hidden="false" customHeight="false" outlineLevel="0" collapsed="false">
      <c r="B19777" s="0" t="s">
        <v>1</v>
      </c>
    </row>
    <row r="19778" customFormat="false" ht="12.8" hidden="false" customHeight="false" outlineLevel="0" collapsed="false">
      <c r="B19778" s="0" t="s">
        <v>228</v>
      </c>
    </row>
    <row r="19779" customFormat="false" ht="12.8" hidden="false" customHeight="false" outlineLevel="0" collapsed="false">
      <c r="B19779" s="0" t="s">
        <v>52</v>
      </c>
    </row>
    <row r="19781" customFormat="false" ht="12.8" hidden="false" customHeight="false" outlineLevel="0" collapsed="false">
      <c r="A19781" s="0" t="s">
        <v>8227</v>
      </c>
      <c r="B19781" s="0" t="str">
        <f aca="false">HYPERLINK("https://lindat.mff.cuni.cz/services/teitok/pdtc10/index.php?action=vallex&amp;frame=v-w2428f1", "nutit (v-w2428f1)")</f>
        <v>nutit (v-w2428f1)</v>
      </c>
      <c r="E19781" s="0" t="str">
        <f aca="false">HYPERLINK("https://lindat.mff.cuni.cz/services/SynSemClass40/SynSemClass40.html?veclass=vec01013#vec01013-ces-cm00005", "vec01013")</f>
        <v>vec01013</v>
      </c>
      <c r="F19781" s="0" t="s">
        <v>1981</v>
      </c>
    </row>
    <row r="19782" customFormat="false" ht="12.8" hidden="false" customHeight="false" outlineLevel="0" collapsed="false">
      <c r="B19782" s="0" t="s">
        <v>1</v>
      </c>
      <c r="C19782" s="0" t="s">
        <v>415</v>
      </c>
      <c r="E19782" s="0" t="s">
        <v>206</v>
      </c>
      <c r="F19782" s="0" t="s">
        <v>1982</v>
      </c>
    </row>
    <row r="19783" customFormat="false" ht="12.8" hidden="false" customHeight="false" outlineLevel="0" collapsed="false">
      <c r="B19783" s="0" t="s">
        <v>8228</v>
      </c>
      <c r="C19783" s="0" t="s">
        <v>1984</v>
      </c>
      <c r="E19783" s="0" t="s">
        <v>1985</v>
      </c>
      <c r="F19783" s="0" t="s">
        <v>1986</v>
      </c>
    </row>
    <row r="19784" customFormat="false" ht="12.8" hidden="false" customHeight="false" outlineLevel="0" collapsed="false">
      <c r="B19784" s="0" t="s">
        <v>98</v>
      </c>
      <c r="C19784" s="0" t="s">
        <v>1987</v>
      </c>
      <c r="E19784" s="0" t="s">
        <v>564</v>
      </c>
      <c r="F19784" s="0" t="s">
        <v>1988</v>
      </c>
    </row>
    <row r="19786" customFormat="false" ht="12.8" hidden="false" customHeight="false" outlineLevel="0" collapsed="false">
      <c r="A19786" s="0" t="s">
        <v>8229</v>
      </c>
      <c r="B19786" s="0" t="str">
        <f aca="false">HYPERLINK("https://lindat.mff.cuni.cz/services/teitok/pdtc10/index.php?action=vallex&amp;frame=v-w12066_ZUf1_ZU", "nádeničit (v-w12066_ZUf1_ZU)")</f>
        <v>nádeničit (v-w12066_ZUf1_ZU)</v>
      </c>
    </row>
    <row r="19787" customFormat="false" ht="12.8" hidden="false" customHeight="false" outlineLevel="0" collapsed="false">
      <c r="B19787" s="0" t="s">
        <v>1</v>
      </c>
    </row>
    <row r="19789" customFormat="false" ht="12.8" hidden="false" customHeight="false" outlineLevel="0" collapsed="false">
      <c r="A19789" s="0" t="s">
        <v>8230</v>
      </c>
      <c r="B19789" s="0" t="str">
        <f aca="false">HYPERLINK("https://lindat.mff.cuni.cz/services/teitok/pdtc10/index.php?action=vallex&amp;frame=v-w2086f1", "náležet (v-w2086f1)")</f>
        <v>náležet (v-w2086f1)</v>
      </c>
    </row>
    <row r="19790" customFormat="false" ht="12.8" hidden="false" customHeight="false" outlineLevel="0" collapsed="false">
      <c r="B19790" s="0" t="s">
        <v>1</v>
      </c>
    </row>
    <row r="19791" customFormat="false" ht="12.8" hidden="false" customHeight="false" outlineLevel="0" collapsed="false">
      <c r="B19791" s="0" t="s">
        <v>350</v>
      </c>
    </row>
    <row r="19793" customFormat="false" ht="12.8" hidden="false" customHeight="false" outlineLevel="0" collapsed="false">
      <c r="A19793" s="0" t="s">
        <v>8231</v>
      </c>
      <c r="B19793" s="0" t="str">
        <f aca="false">HYPERLINK("https://lindat.mff.cuni.cz/services/teitok/pdtc10/index.php?action=vallex&amp;frame=v-w2086f3", "náležet (v-w2086f3)")</f>
        <v>náležet (v-w2086f3)</v>
      </c>
      <c r="E19793" s="0" t="str">
        <f aca="false">HYPERLINK("https://lindat.mff.cuni.cz/services/SynSemClass40/SynSemClass40.html?veclass=vec00865#vec00865-ces-cm00010", "vec00865")</f>
        <v>vec00865</v>
      </c>
      <c r="F19793" s="0" t="s">
        <v>8232</v>
      </c>
    </row>
    <row r="19794" customFormat="false" ht="12.8" hidden="false" customHeight="false" outlineLevel="0" collapsed="false">
      <c r="B19794" s="0" t="s">
        <v>1</v>
      </c>
      <c r="C19794" s="0" t="s">
        <v>8233</v>
      </c>
      <c r="E19794" s="0" t="s">
        <v>957</v>
      </c>
      <c r="F19794" s="0" t="s">
        <v>8234</v>
      </c>
    </row>
    <row r="19795" customFormat="false" ht="12.8" hidden="false" customHeight="false" outlineLevel="0" collapsed="false">
      <c r="B19795" s="0" t="s">
        <v>164</v>
      </c>
      <c r="C19795" s="0" t="s">
        <v>8235</v>
      </c>
      <c r="E19795" s="0" t="s">
        <v>8236</v>
      </c>
      <c r="F19795" s="0" t="s">
        <v>8237</v>
      </c>
    </row>
    <row r="19797" customFormat="false" ht="12.8" hidden="false" customHeight="false" outlineLevel="0" collapsed="false">
      <c r="A19797" s="0" t="s">
        <v>8238</v>
      </c>
      <c r="B19797" s="0" t="str">
        <f aca="false">HYPERLINK("https://lindat.mff.cuni.cz/services/teitok/pdtc10/index.php?action=vallex&amp;frame=v-w2086f2", "náležet (v-w2086f2)")</f>
        <v>náležet (v-w2086f2)</v>
      </c>
    </row>
    <row r="19798" customFormat="false" ht="12.8" hidden="false" customHeight="false" outlineLevel="0" collapsed="false">
      <c r="B19798" s="0" t="s">
        <v>804</v>
      </c>
    </row>
    <row r="19799" customFormat="false" ht="12.8" hidden="false" customHeight="false" outlineLevel="0" collapsed="false">
      <c r="B19799" s="0" t="s">
        <v>8239</v>
      </c>
    </row>
    <row r="19801" customFormat="false" ht="12.8" hidden="false" customHeight="false" outlineLevel="0" collapsed="false">
      <c r="A19801" s="0" t="s">
        <v>8240</v>
      </c>
      <c r="B19801" s="0" t="str">
        <f aca="false">HYPERLINK("https://lindat.mff.cuni.cz/services/teitok/pdtc10/index.php?action=vallex&amp;frame=v-w11453f1", "nárokovat si (v-w11453f1)")</f>
        <v>nárokovat si (v-w11453f1)</v>
      </c>
    </row>
    <row r="19802" customFormat="false" ht="12.8" hidden="false" customHeight="false" outlineLevel="0" collapsed="false">
      <c r="B19802" s="0" t="s">
        <v>1</v>
      </c>
    </row>
    <row r="19803" customFormat="false" ht="12.8" hidden="false" customHeight="false" outlineLevel="0" collapsed="false">
      <c r="B19803" s="0" t="s">
        <v>8</v>
      </c>
    </row>
    <row r="19805" customFormat="false" ht="12.8" hidden="false" customHeight="false" outlineLevel="0" collapsed="false">
      <c r="A19805" s="0" t="s">
        <v>8241</v>
      </c>
      <c r="B19805" s="0" t="str">
        <f aca="false">HYPERLINK("https://lindat.mff.cuni.cz/services/teitok/pdtc10/index.php?action=vallex&amp;frame=v-w2217f2", "následovat (v-w2217f2)")</f>
        <v>následovat (v-w2217f2)</v>
      </c>
      <c r="E19805" s="0" t="str">
        <f aca="false">HYPERLINK("https://lindat.mff.cuni.cz/services/SynSemClass40/SynSemClass40.html?veclass=vec00303#vec00303-ces-cm00014", "vec00303")</f>
        <v>vec00303</v>
      </c>
      <c r="F19805" s="0" t="s">
        <v>1818</v>
      </c>
    </row>
    <row r="19806" customFormat="false" ht="12.8" hidden="false" customHeight="false" outlineLevel="0" collapsed="false">
      <c r="B19806" s="0" t="s">
        <v>1</v>
      </c>
      <c r="C19806" s="0" t="s">
        <v>1819</v>
      </c>
      <c r="E19806" s="0" t="s">
        <v>11</v>
      </c>
      <c r="F19806" s="0" t="s">
        <v>1820</v>
      </c>
    </row>
    <row r="19807" customFormat="false" ht="12.8" hidden="false" customHeight="false" outlineLevel="0" collapsed="false">
      <c r="B19807" s="0" t="s">
        <v>8242</v>
      </c>
      <c r="C19807" s="0" t="s">
        <v>1822</v>
      </c>
      <c r="E19807" s="0" t="s">
        <v>1823</v>
      </c>
      <c r="F19807" s="0" t="s">
        <v>1824</v>
      </c>
    </row>
    <row r="19809" customFormat="false" ht="12.8" hidden="false" customHeight="false" outlineLevel="0" collapsed="false">
      <c r="A19809" s="0" t="s">
        <v>8243</v>
      </c>
      <c r="B19809" s="0" t="str">
        <f aca="false">HYPERLINK("https://lindat.mff.cuni.cz/services/teitok/pdtc10/index.php?action=vallex&amp;frame=v-w2217f1", "následovat (v-w2217f1)")</f>
        <v>následovat (v-w2217f1)</v>
      </c>
      <c r="E19809" s="0" t="str">
        <f aca="false">HYPERLINK("https://lindat.mff.cuni.cz/services/SynSemClass40/SynSemClass40.html?veclass=vec00444#vec00444-ces-cm00004", "vec00444")</f>
        <v>vec00444</v>
      </c>
      <c r="F19809" s="0" t="s">
        <v>7977</v>
      </c>
    </row>
    <row r="19810" customFormat="false" ht="12.8" hidden="false" customHeight="false" outlineLevel="0" collapsed="false">
      <c r="B19810" s="0" t="s">
        <v>345</v>
      </c>
      <c r="C19810" s="0" t="s">
        <v>1906</v>
      </c>
      <c r="E19810" s="0" t="s">
        <v>7978</v>
      </c>
      <c r="F19810" s="0" t="s">
        <v>7979</v>
      </c>
    </row>
    <row r="19812" customFormat="false" ht="12.8" hidden="false" customHeight="false" outlineLevel="0" collapsed="false">
      <c r="A19812" s="0" t="s">
        <v>8244</v>
      </c>
      <c r="B19812" s="0" t="str">
        <f aca="false">HYPERLINK("https://lindat.mff.cuni.cz/services/teitok/pdtc10/index.php?action=vallex&amp;frame=v-w2217f3", "následovat (v-w2217f3)")</f>
        <v>následovat (v-w2217f3)</v>
      </c>
      <c r="E19812" s="0" t="str">
        <f aca="false">HYPERLINK("https://lindat.mff.cuni.cz/services/SynSemClass40/SynSemClass40.html?veclass=vec00444#vec00444-ces-cm00001", "vec00444")</f>
        <v>vec00444</v>
      </c>
      <c r="F19812" s="0" t="s">
        <v>7977</v>
      </c>
    </row>
    <row r="19813" customFormat="false" ht="12.8" hidden="false" customHeight="false" outlineLevel="0" collapsed="false">
      <c r="B19813" s="0" t="s">
        <v>1</v>
      </c>
      <c r="C19813" s="0" t="s">
        <v>1906</v>
      </c>
      <c r="E19813" s="0" t="s">
        <v>7978</v>
      </c>
      <c r="F19813" s="0" t="s">
        <v>7979</v>
      </c>
    </row>
    <row r="19815" customFormat="false" ht="12.8" hidden="false" customHeight="false" outlineLevel="0" collapsed="false">
      <c r="A19815" s="0" t="s">
        <v>8245</v>
      </c>
      <c r="B19815" s="0" t="str">
        <f aca="false">HYPERLINK("https://lindat.mff.cuni.cz/services/teitok/pdtc10/index.php?action=vallex&amp;frame=v-w2225f1", "násobit (v-w2225f1)")</f>
        <v>násobit (v-w2225f1)</v>
      </c>
      <c r="E19815" s="0" t="str">
        <f aca="false">HYPERLINK("https://lindat.mff.cuni.cz/services/SynSemClass40/SynSemClass40.html?veclass=vec00187#vec00187-ces-cm00010", "vec00187")</f>
        <v>vec00187</v>
      </c>
      <c r="F19815" s="0" t="s">
        <v>8246</v>
      </c>
    </row>
    <row r="19816" customFormat="false" ht="12.8" hidden="false" customHeight="false" outlineLevel="0" collapsed="false">
      <c r="B19816" s="0" t="s">
        <v>1</v>
      </c>
      <c r="C19816" s="0" t="s">
        <v>8247</v>
      </c>
      <c r="E19816" s="0" t="s">
        <v>31</v>
      </c>
      <c r="F19816" s="0" t="s">
        <v>8248</v>
      </c>
    </row>
    <row r="19817" customFormat="false" ht="12.8" hidden="false" customHeight="false" outlineLevel="0" collapsed="false">
      <c r="B19817" s="0" t="s">
        <v>8</v>
      </c>
      <c r="C19817" s="0" t="s">
        <v>8249</v>
      </c>
      <c r="E19817" s="0" t="s">
        <v>1569</v>
      </c>
      <c r="F19817" s="0" t="s">
        <v>8250</v>
      </c>
    </row>
    <row r="19819" customFormat="false" ht="12.8" hidden="false" customHeight="false" outlineLevel="0" collapsed="false">
      <c r="A19819" s="0" t="s">
        <v>8251</v>
      </c>
      <c r="B19819" s="0" t="str">
        <f aca="false">HYPERLINK("https://lindat.mff.cuni.cz/services/teitok/pdtc10/index.php?action=vallex&amp;frame=v-w2225f2_ZU", "násobit (v-w2225f2_ZU)")</f>
        <v>násobit (v-w2225f2_ZU)</v>
      </c>
    </row>
    <row r="19820" customFormat="false" ht="12.8" hidden="false" customHeight="false" outlineLevel="0" collapsed="false">
      <c r="B19820" s="0" t="s">
        <v>1</v>
      </c>
    </row>
    <row r="19821" customFormat="false" ht="12.8" hidden="false" customHeight="false" outlineLevel="0" collapsed="false">
      <c r="B19821" s="0" t="s">
        <v>8</v>
      </c>
    </row>
    <row r="19822" customFormat="false" ht="12.8" hidden="false" customHeight="false" outlineLevel="0" collapsed="false">
      <c r="B19822" s="0" t="s">
        <v>7045</v>
      </c>
    </row>
    <row r="19824" customFormat="false" ht="12.8" hidden="false" customHeight="false" outlineLevel="0" collapsed="false">
      <c r="A19824" s="0" t="s">
        <v>8252</v>
      </c>
      <c r="B19824" s="0" t="str">
        <f aca="false">HYPERLINK("https://lindat.mff.cuni.cz/services/teitok/pdtc10/index.php?action=vallex&amp;frame=v-whsa_604hsa_605", "násobit se (v-whsa_604hsa_605)")</f>
        <v>násobit se (v-whsa_604hsa_605)</v>
      </c>
      <c r="E19824" s="0" t="str">
        <f aca="false">HYPERLINK("https://lindat.mff.cuni.cz/services/SynSemClass40/SynSemClass40.html?veclass=vec01181#vec01181-ces-cm00002", "vec01181")</f>
        <v>vec01181</v>
      </c>
      <c r="F19824" s="0" t="s">
        <v>8253</v>
      </c>
    </row>
    <row r="19825" customFormat="false" ht="12.8" hidden="false" customHeight="false" outlineLevel="0" collapsed="false">
      <c r="B19825" s="0" t="s">
        <v>1</v>
      </c>
      <c r="C19825" s="0" t="s">
        <v>5344</v>
      </c>
      <c r="E19825" s="0" t="s">
        <v>235</v>
      </c>
      <c r="F19825" s="0" t="s">
        <v>8254</v>
      </c>
    </row>
    <row r="19826" customFormat="false" ht="12.8" hidden="false" customHeight="false" outlineLevel="0" collapsed="false">
      <c r="B19826" s="0" t="s">
        <v>36</v>
      </c>
      <c r="E19826" s="0" t="s">
        <v>38</v>
      </c>
      <c r="F19826" s="0" t="s">
        <v>8255</v>
      </c>
    </row>
    <row r="19827" customFormat="false" ht="12.8" hidden="false" customHeight="false" outlineLevel="0" collapsed="false">
      <c r="B19827" s="0" t="s">
        <v>69</v>
      </c>
      <c r="E19827" s="0" t="s">
        <v>1592</v>
      </c>
      <c r="F19827" s="0" t="s">
        <v>1593</v>
      </c>
    </row>
    <row r="19829" customFormat="false" ht="12.8" hidden="false" customHeight="false" outlineLevel="0" collapsed="false">
      <c r="A19829" s="0" t="s">
        <v>8256</v>
      </c>
      <c r="B19829" s="0" t="str">
        <f aca="false">HYPERLINK("https://lindat.mff.cuni.cz/services/teitok/pdtc10/index.php?action=vallex&amp;frame=v-w2388f11", "nést (v-w2388f11)")</f>
        <v>nést (v-w2388f11)</v>
      </c>
    </row>
    <row r="19830" customFormat="false" ht="12.8" hidden="false" customHeight="false" outlineLevel="0" collapsed="false">
      <c r="B19830" s="0" t="s">
        <v>1</v>
      </c>
    </row>
    <row r="19831" customFormat="false" ht="12.8" hidden="false" customHeight="false" outlineLevel="0" collapsed="false">
      <c r="B19831" s="0" t="s">
        <v>8</v>
      </c>
    </row>
    <row r="19832" customFormat="false" ht="12.8" hidden="false" customHeight="false" outlineLevel="0" collapsed="false">
      <c r="B19832" s="0" t="s">
        <v>132</v>
      </c>
    </row>
    <row r="19834" customFormat="false" ht="12.8" hidden="false" customHeight="false" outlineLevel="0" collapsed="false">
      <c r="A19834" s="0" t="s">
        <v>8257</v>
      </c>
      <c r="B19834" s="0" t="str">
        <f aca="false">HYPERLINK("https://lindat.mff.cuni.cz/services/teitok/pdtc10/index.php?action=vallex&amp;frame=v-w2388f6", "nést (v-w2388f6)")</f>
        <v>nést (v-w2388f6)</v>
      </c>
    </row>
    <row r="19835" customFormat="false" ht="12.8" hidden="false" customHeight="false" outlineLevel="0" collapsed="false">
      <c r="B19835" s="0" t="s">
        <v>1</v>
      </c>
    </row>
    <row r="19836" customFormat="false" ht="12.8" hidden="false" customHeight="false" outlineLevel="0" collapsed="false">
      <c r="B19836" s="0" t="s">
        <v>8</v>
      </c>
    </row>
    <row r="19837" customFormat="false" ht="12.8" hidden="false" customHeight="false" outlineLevel="0" collapsed="false">
      <c r="B19837" s="0" t="s">
        <v>5</v>
      </c>
    </row>
    <row r="19839" customFormat="false" ht="12.8" hidden="false" customHeight="false" outlineLevel="0" collapsed="false">
      <c r="A19839" s="0" t="s">
        <v>8258</v>
      </c>
      <c r="B19839" s="0" t="str">
        <f aca="false">HYPERLINK("https://lindat.mff.cuni.cz/services/teitok/pdtc10/index.php?action=vallex&amp;frame=v-w2388f14_ZU", "nést (v-w2388f14_ZU)")</f>
        <v>nést (v-w2388f14_ZU)</v>
      </c>
    </row>
    <row r="19840" customFormat="false" ht="12.8" hidden="false" customHeight="false" outlineLevel="0" collapsed="false">
      <c r="B19840" s="0" t="s">
        <v>1</v>
      </c>
    </row>
    <row r="19841" customFormat="false" ht="12.8" hidden="false" customHeight="false" outlineLevel="0" collapsed="false">
      <c r="B19841" s="0" t="s">
        <v>8</v>
      </c>
    </row>
    <row r="19843" customFormat="false" ht="12.8" hidden="false" customHeight="false" outlineLevel="0" collapsed="false">
      <c r="A19843" s="0" t="s">
        <v>8258</v>
      </c>
      <c r="B19843" s="0" t="str">
        <f aca="false">HYPERLINK("https://lindat.mff.cuni.cz/services/teitok/pdtc10/index.php?action=vallex&amp;frame=v-w2388f2", "nést (v-w2388f2) - substituted with v-w2388f14_ZU")</f>
        <v>nést (v-w2388f2) - substituted with v-w2388f14_ZU</v>
      </c>
      <c r="E19843" s="0" t="str">
        <f aca="false">HYPERLINK("https://lindat.mff.cuni.cz/services/SynSemClass40/SynSemClass40.html?veclass=vec00241#vec00241-ces-cm00001", "vec00241")</f>
        <v>vec00241</v>
      </c>
      <c r="F19843" s="0" t="s">
        <v>8209</v>
      </c>
    </row>
    <row r="19844" customFormat="false" ht="12.8" hidden="false" customHeight="false" outlineLevel="0" collapsed="false">
      <c r="B19844" s="0" t="s">
        <v>1</v>
      </c>
      <c r="C19844" s="0" t="s">
        <v>8210</v>
      </c>
      <c r="E19844" s="0" t="s">
        <v>11</v>
      </c>
      <c r="F19844" s="0" t="s">
        <v>8211</v>
      </c>
    </row>
    <row r="19845" customFormat="false" ht="12.8" hidden="false" customHeight="false" outlineLevel="0" collapsed="false">
      <c r="B19845" s="0" t="s">
        <v>8</v>
      </c>
      <c r="C19845" s="0" t="s">
        <v>8212</v>
      </c>
      <c r="E19845" s="0" t="s">
        <v>1544</v>
      </c>
      <c r="F19845" s="0" t="s">
        <v>8213</v>
      </c>
    </row>
    <row r="19847" customFormat="false" ht="12.8" hidden="false" customHeight="false" outlineLevel="0" collapsed="false">
      <c r="A19847" s="0" t="s">
        <v>8259</v>
      </c>
      <c r="B19847" s="0" t="str">
        <f aca="false">HYPERLINK("https://lindat.mff.cuni.cz/services/teitok/pdtc10/index.php?action=vallex&amp;frame=v-w2388f3", "nést (v-w2388f3)")</f>
        <v>nést (v-w2388f3)</v>
      </c>
    </row>
    <row r="19848" customFormat="false" ht="12.8" hidden="false" customHeight="false" outlineLevel="0" collapsed="false">
      <c r="B19848" s="0" t="s">
        <v>1</v>
      </c>
    </row>
    <row r="19849" customFormat="false" ht="12.8" hidden="false" customHeight="false" outlineLevel="0" collapsed="false">
      <c r="B19849" s="0" t="s">
        <v>8</v>
      </c>
    </row>
    <row r="19851" customFormat="false" ht="12.8" hidden="false" customHeight="false" outlineLevel="0" collapsed="false">
      <c r="A19851" s="0" t="s">
        <v>8260</v>
      </c>
      <c r="B19851" s="0" t="str">
        <f aca="false">HYPERLINK("https://lindat.mff.cuni.cz/services/teitok/pdtc10/index.php?action=vallex&amp;frame=v-w2388f4", "nést (v-w2388f4)")</f>
        <v>nést (v-w2388f4)</v>
      </c>
    </row>
    <row r="19852" customFormat="false" ht="12.8" hidden="false" customHeight="false" outlineLevel="0" collapsed="false">
      <c r="B19852" s="0" t="s">
        <v>1</v>
      </c>
    </row>
    <row r="19853" customFormat="false" ht="12.8" hidden="false" customHeight="false" outlineLevel="0" collapsed="false">
      <c r="B19853" s="0" t="s">
        <v>8</v>
      </c>
    </row>
    <row r="19855" customFormat="false" ht="12.8" hidden="false" customHeight="false" outlineLevel="0" collapsed="false">
      <c r="A19855" s="0" t="s">
        <v>8261</v>
      </c>
      <c r="B19855" s="0" t="str">
        <f aca="false">HYPERLINK("https://lindat.mff.cuni.cz/services/teitok/pdtc10/index.php?action=vallex&amp;frame=v-w2388f5", "nést (v-w2388f5)")</f>
        <v>nést (v-w2388f5)</v>
      </c>
    </row>
    <row r="19856" customFormat="false" ht="12.8" hidden="false" customHeight="false" outlineLevel="0" collapsed="false">
      <c r="B19856" s="0" t="s">
        <v>1</v>
      </c>
    </row>
    <row r="19857" customFormat="false" ht="12.8" hidden="false" customHeight="false" outlineLevel="0" collapsed="false">
      <c r="B19857" s="0" t="s">
        <v>8</v>
      </c>
    </row>
    <row r="19858" customFormat="false" ht="12.8" hidden="false" customHeight="false" outlineLevel="0" collapsed="false">
      <c r="B19858" s="0" t="s">
        <v>642</v>
      </c>
    </row>
    <row r="19859" customFormat="false" ht="12.8" hidden="false" customHeight="false" outlineLevel="0" collapsed="false">
      <c r="B19859" s="0" t="s">
        <v>648</v>
      </c>
    </row>
    <row r="19860" customFormat="false" ht="12.8" hidden="false" customHeight="false" outlineLevel="0" collapsed="false">
      <c r="B19860" s="0" t="s">
        <v>652</v>
      </c>
    </row>
    <row r="19862" customFormat="false" ht="12.8" hidden="false" customHeight="false" outlineLevel="0" collapsed="false">
      <c r="A19862" s="0" t="s">
        <v>8262</v>
      </c>
      <c r="B19862" s="0" t="str">
        <f aca="false">HYPERLINK("https://lindat.mff.cuni.cz/services/teitok/pdtc10/index.php?action=vallex&amp;frame=v-w2388f8", "nést (v-w2388f8)")</f>
        <v>nést (v-w2388f8)</v>
      </c>
    </row>
    <row r="19863" customFormat="false" ht="12.8" hidden="false" customHeight="false" outlineLevel="0" collapsed="false">
      <c r="B19863" s="0" t="s">
        <v>1</v>
      </c>
    </row>
    <row r="19864" customFormat="false" ht="12.8" hidden="false" customHeight="false" outlineLevel="0" collapsed="false">
      <c r="B19864" s="0" t="s">
        <v>8</v>
      </c>
    </row>
    <row r="19866" customFormat="false" ht="12.8" hidden="false" customHeight="false" outlineLevel="0" collapsed="false">
      <c r="A19866" s="0" t="s">
        <v>8263</v>
      </c>
      <c r="B19866" s="0" t="str">
        <f aca="false">HYPERLINK("https://lindat.mff.cuni.cz/services/teitok/pdtc10/index.php?action=vallex&amp;frame=v-w2388f7", "nést (v-w2388f7)")</f>
        <v>nést (v-w2388f7)</v>
      </c>
    </row>
    <row r="19867" customFormat="false" ht="12.8" hidden="false" customHeight="false" outlineLevel="0" collapsed="false">
      <c r="B19867" s="0" t="s">
        <v>1</v>
      </c>
    </row>
    <row r="19868" customFormat="false" ht="12.8" hidden="false" customHeight="false" outlineLevel="0" collapsed="false">
      <c r="B19868" s="0" t="s">
        <v>8</v>
      </c>
    </row>
    <row r="19870" customFormat="false" ht="12.8" hidden="false" customHeight="false" outlineLevel="0" collapsed="false">
      <c r="A19870" s="0" t="s">
        <v>8264</v>
      </c>
      <c r="B19870" s="0" t="str">
        <f aca="false">HYPERLINK("https://lindat.mff.cuni.cz/services/teitok/pdtc10/index.php?action=vallex&amp;frame=v-w2388f9", "nést (v-w2388f9)")</f>
        <v>nést (v-w2388f9)</v>
      </c>
    </row>
    <row r="19871" customFormat="false" ht="12.8" hidden="false" customHeight="false" outlineLevel="0" collapsed="false">
      <c r="B19871" s="0" t="s">
        <v>1</v>
      </c>
    </row>
    <row r="19872" customFormat="false" ht="12.8" hidden="false" customHeight="false" outlineLevel="0" collapsed="false">
      <c r="B19872" s="0" t="s">
        <v>8265</v>
      </c>
    </row>
    <row r="19874" customFormat="false" ht="12.8" hidden="false" customHeight="false" outlineLevel="0" collapsed="false">
      <c r="A19874" s="0" t="s">
        <v>8266</v>
      </c>
      <c r="B19874" s="0" t="str">
        <f aca="false">HYPERLINK("https://lindat.mff.cuni.cz/services/teitok/pdtc10/index.php?action=vallex&amp;frame=v-w2388hsa_732", "nést (v-w2388hsa_732)")</f>
        <v>nést (v-w2388hsa_732)</v>
      </c>
    </row>
    <row r="19875" customFormat="false" ht="12.8" hidden="false" customHeight="false" outlineLevel="0" collapsed="false">
      <c r="B19875" s="0" t="s">
        <v>1</v>
      </c>
    </row>
    <row r="19876" customFormat="false" ht="12.8" hidden="false" customHeight="false" outlineLevel="0" collapsed="false">
      <c r="B19876" s="0" t="s">
        <v>8267</v>
      </c>
    </row>
    <row r="19878" customFormat="false" ht="12.8" hidden="false" customHeight="false" outlineLevel="0" collapsed="false">
      <c r="A19878" s="0" t="s">
        <v>8266</v>
      </c>
      <c r="B19878" s="0" t="str">
        <f aca="false">HYPERLINK("https://lindat.mff.cuni.cz/services/teitok/pdtc10/index.php?action=vallex&amp;frame=v-w2388f1", "nést (v-w2388f1) - substituted with v-w2388hsa_732")</f>
        <v>nést (v-w2388f1) - substituted with v-w2388hsa_732</v>
      </c>
    </row>
    <row r="19879" customFormat="false" ht="12.8" hidden="false" customHeight="false" outlineLevel="0" collapsed="false">
      <c r="B19879" s="0" t="s">
        <v>1</v>
      </c>
    </row>
    <row r="19880" customFormat="false" ht="12.8" hidden="false" customHeight="false" outlineLevel="0" collapsed="false">
      <c r="B19880" s="0" t="s">
        <v>8267</v>
      </c>
    </row>
    <row r="19882" customFormat="false" ht="12.8" hidden="false" customHeight="false" outlineLevel="0" collapsed="false">
      <c r="A19882" s="0" t="s">
        <v>8268</v>
      </c>
      <c r="B19882" s="0" t="str">
        <f aca="false">HYPERLINK("https://lindat.mff.cuni.cz/services/teitok/pdtc10/index.php?action=vallex&amp;frame=v-w2388f12_ZU", "nést (v-w2388f12_ZU)")</f>
        <v>nést (v-w2388f12_ZU)</v>
      </c>
    </row>
    <row r="19883" customFormat="false" ht="12.8" hidden="false" customHeight="false" outlineLevel="0" collapsed="false">
      <c r="B19883" s="0" t="s">
        <v>1</v>
      </c>
    </row>
    <row r="19884" customFormat="false" ht="12.8" hidden="false" customHeight="false" outlineLevel="0" collapsed="false">
      <c r="B19884" s="0" t="s">
        <v>8269</v>
      </c>
    </row>
    <row r="19885" customFormat="false" ht="12.8" hidden="false" customHeight="false" outlineLevel="0" collapsed="false">
      <c r="B19885" s="0" t="s">
        <v>8</v>
      </c>
    </row>
    <row r="19887" customFormat="false" ht="12.8" hidden="false" customHeight="false" outlineLevel="0" collapsed="false">
      <c r="A19887" s="0" t="s">
        <v>8270</v>
      </c>
      <c r="B19887" s="0" t="str">
        <f aca="false">HYPERLINK("https://lindat.mff.cuni.cz/services/teitok/pdtc10/index.php?action=vallex&amp;frame=v-w2388f10", "nést (v-w2388f10)")</f>
        <v>nést (v-w2388f10)</v>
      </c>
    </row>
    <row r="19888" customFormat="false" ht="12.8" hidden="false" customHeight="false" outlineLevel="0" collapsed="false">
      <c r="B19888" s="0" t="s">
        <v>1</v>
      </c>
    </row>
    <row r="19889" customFormat="false" ht="12.8" hidden="false" customHeight="false" outlineLevel="0" collapsed="false">
      <c r="B19889" s="0" t="s">
        <v>8271</v>
      </c>
    </row>
    <row r="19891" customFormat="false" ht="12.8" hidden="false" customHeight="false" outlineLevel="0" collapsed="false">
      <c r="A19891" s="0" t="s">
        <v>8272</v>
      </c>
      <c r="B19891" s="0" t="str">
        <f aca="false">HYPERLINK("https://lindat.mff.cuni.cz/services/teitok/pdtc10/index.php?action=vallex&amp;frame=v-w2388f13_ZU", "nést (v-w2388f13_ZU)")</f>
        <v>nést (v-w2388f13_ZU)</v>
      </c>
      <c r="E19891" s="0" t="str">
        <f aca="false">HYPERLINK("https://lindat.mff.cuni.cz/services/SynSemClass40/SynSemClass40.html?veclass=vec00355#vec00355-ces-cm00056", "vec00355")</f>
        <v>vec00355</v>
      </c>
      <c r="F19891" s="0" t="s">
        <v>4217</v>
      </c>
    </row>
    <row r="19892" customFormat="false" ht="12.8" hidden="false" customHeight="false" outlineLevel="0" collapsed="false">
      <c r="B19892" s="0" t="s">
        <v>1</v>
      </c>
      <c r="C19892" s="0" t="s">
        <v>4218</v>
      </c>
      <c r="E19892" s="0" t="s">
        <v>1086</v>
      </c>
      <c r="F19892" s="0" t="s">
        <v>4219</v>
      </c>
    </row>
    <row r="19893" customFormat="false" ht="12.8" hidden="false" customHeight="false" outlineLevel="0" collapsed="false">
      <c r="B19893" s="0" t="s">
        <v>8273</v>
      </c>
      <c r="C19893" s="0" t="s">
        <v>8274</v>
      </c>
      <c r="E19893" s="0" t="s">
        <v>8275</v>
      </c>
      <c r="F19893" s="0" t="s">
        <v>8276</v>
      </c>
    </row>
    <row r="19895" customFormat="false" ht="12.8" hidden="false" customHeight="false" outlineLevel="0" collapsed="false">
      <c r="A19895" s="0" t="s">
        <v>8272</v>
      </c>
      <c r="B19895" s="0" t="str">
        <f aca="false">HYPERLINK("https://lindat.mff.cuni.cz/services/teitok/pdtc10/index.php?action=vallex&amp;frame=v-w2388hsa_733", "nést (v-w2388hsa_733) - substituted with v-w2388f13_ZU")</f>
        <v>nést (v-w2388hsa_733) - substituted with v-w2388f13_ZU</v>
      </c>
    </row>
    <row r="19896" customFormat="false" ht="12.8" hidden="false" customHeight="false" outlineLevel="0" collapsed="false">
      <c r="B19896" s="0" t="s">
        <v>1</v>
      </c>
    </row>
    <row r="19897" customFormat="false" ht="12.8" hidden="false" customHeight="false" outlineLevel="0" collapsed="false">
      <c r="B19897" s="0" t="s">
        <v>8273</v>
      </c>
    </row>
    <row r="19899" customFormat="false" ht="12.8" hidden="false" customHeight="false" outlineLevel="0" collapsed="false">
      <c r="A19899" s="0" t="s">
        <v>8277</v>
      </c>
      <c r="B19899" s="0" t="str">
        <f aca="false">HYPERLINK("https://lindat.mff.cuni.cz/services/teitok/pdtc10/index.php?action=vallex&amp;frame=v-w2388hsa_1687", "nést (v-w2388hsa_1687)")</f>
        <v>nést (v-w2388hsa_1687)</v>
      </c>
    </row>
    <row r="19900" customFormat="false" ht="12.8" hidden="false" customHeight="false" outlineLevel="0" collapsed="false">
      <c r="B19900" s="0" t="s">
        <v>1</v>
      </c>
    </row>
    <row r="19901" customFormat="false" ht="12.8" hidden="false" customHeight="false" outlineLevel="0" collapsed="false">
      <c r="B19901" s="0" t="s">
        <v>8</v>
      </c>
    </row>
    <row r="19903" customFormat="false" ht="12.8" hidden="false" customHeight="false" outlineLevel="0" collapsed="false">
      <c r="A19903" s="0" t="s">
        <v>8278</v>
      </c>
      <c r="B19903" s="0" t="str">
        <f aca="false">HYPERLINK("https://lindat.mff.cuni.cz/services/teitok/pdtc10/index.php?action=vallex&amp;frame=v-w2390f4", "nést se (v-w2390f4)")</f>
        <v>nést se (v-w2390f4)</v>
      </c>
    </row>
    <row r="19904" customFormat="false" ht="12.8" hidden="false" customHeight="false" outlineLevel="0" collapsed="false">
      <c r="B19904" s="0" t="s">
        <v>1</v>
      </c>
    </row>
    <row r="19905" customFormat="false" ht="12.8" hidden="false" customHeight="false" outlineLevel="0" collapsed="false">
      <c r="B19905" s="0" t="s">
        <v>721</v>
      </c>
    </row>
    <row r="19907" customFormat="false" ht="12.8" hidden="false" customHeight="false" outlineLevel="0" collapsed="false">
      <c r="A19907" s="0" t="s">
        <v>8279</v>
      </c>
      <c r="B19907" s="0" t="str">
        <f aca="false">HYPERLINK("https://lindat.mff.cuni.cz/services/teitok/pdtc10/index.php?action=vallex&amp;frame=v-w2390f5_ZU", "nést se (v-w2390f5_ZU)")</f>
        <v>nést se (v-w2390f5_ZU)</v>
      </c>
    </row>
    <row r="19908" customFormat="false" ht="12.8" hidden="false" customHeight="false" outlineLevel="0" collapsed="false">
      <c r="B19908" s="0" t="s">
        <v>1</v>
      </c>
    </row>
    <row r="19909" customFormat="false" ht="12.8" hidden="false" customHeight="false" outlineLevel="0" collapsed="false">
      <c r="B19909" s="0" t="s">
        <v>5201</v>
      </c>
    </row>
    <row r="19911" customFormat="false" ht="12.8" hidden="false" customHeight="false" outlineLevel="0" collapsed="false">
      <c r="A19911" s="0" t="s">
        <v>8280</v>
      </c>
      <c r="B19911" s="0" t="str">
        <f aca="false">HYPERLINK("https://lindat.mff.cuni.cz/services/teitok/pdtc10/index.php?action=vallex&amp;frame=v-w2390f2", "nést se (v-w2390f2)")</f>
        <v>nést se (v-w2390f2)</v>
      </c>
    </row>
    <row r="19912" customFormat="false" ht="12.8" hidden="false" customHeight="false" outlineLevel="0" collapsed="false">
      <c r="B19912" s="0" t="s">
        <v>1</v>
      </c>
    </row>
    <row r="19914" customFormat="false" ht="12.8" hidden="false" customHeight="false" outlineLevel="0" collapsed="false">
      <c r="A19914" s="0" t="s">
        <v>8281</v>
      </c>
      <c r="B19914" s="0" t="str">
        <f aca="false">HYPERLINK("https://lindat.mff.cuni.cz/services/teitok/pdtc10/index.php?action=vallex&amp;frame=v-w2390f3", "nést se (v-w2390f3)")</f>
        <v>nést se (v-w2390f3)</v>
      </c>
    </row>
    <row r="19915" customFormat="false" ht="12.8" hidden="false" customHeight="false" outlineLevel="0" collapsed="false">
      <c r="B19915" s="0" t="s">
        <v>1</v>
      </c>
    </row>
    <row r="19917" customFormat="false" ht="12.8" hidden="false" customHeight="false" outlineLevel="0" collapsed="false">
      <c r="A19917" s="0" t="s">
        <v>8282</v>
      </c>
      <c r="B19917" s="0" t="str">
        <f aca="false">HYPERLINK("https://lindat.mff.cuni.cz/services/teitok/pdtc10/index.php?action=vallex&amp;frame=v-w2390f7_ZU", "nést se (v-w2390f7_ZU)")</f>
        <v>nést se (v-w2390f7_ZU)</v>
      </c>
    </row>
    <row r="19918" customFormat="false" ht="12.8" hidden="false" customHeight="false" outlineLevel="0" collapsed="false">
      <c r="B19918" s="0" t="s">
        <v>1</v>
      </c>
    </row>
    <row r="19919" customFormat="false" ht="12.8" hidden="false" customHeight="false" outlineLevel="0" collapsed="false">
      <c r="B19919" s="0" t="s">
        <v>8283</v>
      </c>
    </row>
    <row r="19920" customFormat="false" ht="12.8" hidden="false" customHeight="false" outlineLevel="0" collapsed="false">
      <c r="B19920" s="0" t="s">
        <v>1289</v>
      </c>
    </row>
    <row r="19922" customFormat="false" ht="12.8" hidden="false" customHeight="false" outlineLevel="0" collapsed="false">
      <c r="A19922" s="0" t="s">
        <v>8282</v>
      </c>
      <c r="B19922" s="0" t="str">
        <f aca="false">HYPERLINK("https://lindat.mff.cuni.cz/services/teitok/pdtc10/index.php?action=vallex&amp;frame=v-w2390f1", "nést se (v-w2390f1) - substituted with v-w2390f7_ZU")</f>
        <v>nést se (v-w2390f1) - substituted with v-w2390f7_ZU</v>
      </c>
    </row>
    <row r="19923" customFormat="false" ht="12.8" hidden="false" customHeight="false" outlineLevel="0" collapsed="false">
      <c r="B19923" s="0" t="s">
        <v>1</v>
      </c>
    </row>
    <row r="19924" customFormat="false" ht="12.8" hidden="false" customHeight="false" outlineLevel="0" collapsed="false">
      <c r="B19924" s="0" t="s">
        <v>8283</v>
      </c>
    </row>
    <row r="19925" customFormat="false" ht="12.8" hidden="false" customHeight="false" outlineLevel="0" collapsed="false">
      <c r="B19925" s="0" t="s">
        <v>1289</v>
      </c>
    </row>
    <row r="19927" customFormat="false" ht="12.8" hidden="false" customHeight="false" outlineLevel="0" collapsed="false">
      <c r="A19927" s="0" t="s">
        <v>8282</v>
      </c>
      <c r="B19927" s="0" t="str">
        <f aca="false">HYPERLINK("https://lindat.mff.cuni.cz/services/teitok/pdtc10/index.php?action=vallex&amp;frame=v-w2390f6_ZU", "nést se (v-w2390f6_ZU) - substituted with v-w2390f7_ZU")</f>
        <v>nést se (v-w2390f6_ZU) - substituted with v-w2390f7_ZU</v>
      </c>
    </row>
    <row r="19928" customFormat="false" ht="12.8" hidden="false" customHeight="false" outlineLevel="0" collapsed="false">
      <c r="B19928" s="0" t="s">
        <v>1</v>
      </c>
    </row>
    <row r="19929" customFormat="false" ht="12.8" hidden="false" customHeight="false" outlineLevel="0" collapsed="false">
      <c r="B19929" s="0" t="s">
        <v>8283</v>
      </c>
    </row>
    <row r="19930" customFormat="false" ht="12.8" hidden="false" customHeight="false" outlineLevel="0" collapsed="false">
      <c r="B19930" s="0" t="s">
        <v>1289</v>
      </c>
    </row>
    <row r="19932" customFormat="false" ht="12.8" hidden="false" customHeight="false" outlineLevel="0" collapsed="false">
      <c r="A19932" s="0" t="s">
        <v>8284</v>
      </c>
      <c r="B19932" s="0" t="str">
        <f aca="false">HYPERLINK("https://lindat.mff.cuni.cz/services/teitok/pdtc10/index.php?action=vallex&amp;frame=v-w2407f1", "nítit (v-w2407f1)")</f>
        <v>nítit (v-w2407f1)</v>
      </c>
    </row>
    <row r="19933" customFormat="false" ht="12.8" hidden="false" customHeight="false" outlineLevel="0" collapsed="false">
      <c r="B19933" s="0" t="s">
        <v>1</v>
      </c>
    </row>
    <row r="19934" customFormat="false" ht="12.8" hidden="false" customHeight="false" outlineLevel="0" collapsed="false">
      <c r="B19934" s="0" t="s">
        <v>8</v>
      </c>
    </row>
    <row r="19936" customFormat="false" ht="12.8" hidden="false" customHeight="false" outlineLevel="0" collapsed="false">
      <c r="A19936" s="0" t="s">
        <v>8285</v>
      </c>
      <c r="B19936" s="0" t="str">
        <f aca="false">HYPERLINK("https://lindat.mff.cuni.cz/services/teitok/pdtc10/index.php?action=vallex&amp;frame=v-w2432f1", "obalamutit (v-w2432f1)")</f>
        <v>obalamutit (v-w2432f1)</v>
      </c>
      <c r="E19936" s="0" t="str">
        <f aca="false">HYPERLINK("https://lindat.mff.cuni.cz/services/SynSemClass40/SynSemClass40.html?veclass=vec00671#vec00671-ces-cm00008", "vec00671")</f>
        <v>vec00671</v>
      </c>
      <c r="F19936" s="0" t="s">
        <v>8286</v>
      </c>
    </row>
    <row r="19937" customFormat="false" ht="12.8" hidden="false" customHeight="false" outlineLevel="0" collapsed="false">
      <c r="B19937" s="0" t="s">
        <v>1</v>
      </c>
      <c r="C19937" s="0" t="s">
        <v>4695</v>
      </c>
      <c r="E19937" s="0" t="s">
        <v>4726</v>
      </c>
      <c r="F19937" s="0" t="s">
        <v>8287</v>
      </c>
    </row>
    <row r="19938" customFormat="false" ht="12.8" hidden="false" customHeight="false" outlineLevel="0" collapsed="false">
      <c r="B19938" s="0" t="s">
        <v>8</v>
      </c>
      <c r="C19938" s="0" t="s">
        <v>2082</v>
      </c>
      <c r="E19938" s="0" t="s">
        <v>199</v>
      </c>
      <c r="F19938" s="0" t="s">
        <v>8288</v>
      </c>
    </row>
    <row r="19940" customFormat="false" ht="12.8" hidden="false" customHeight="false" outlineLevel="0" collapsed="false">
      <c r="A19940" s="0" t="s">
        <v>8289</v>
      </c>
      <c r="B19940" s="0" t="str">
        <f aca="false">HYPERLINK("https://lindat.mff.cuni.cz/services/teitok/pdtc10/index.php?action=vallex&amp;frame=v-w10692f2", "obalit (v-w10692f2)")</f>
        <v>obalit (v-w10692f2)</v>
      </c>
      <c r="E19940" s="0" t="str">
        <f aca="false">HYPERLINK("https://lindat.mff.cuni.cz/services/SynSemClass40/SynSemClass40.html?veclass=vec00872#vec00872-ces-cm00013", "vec00872")</f>
        <v>vec00872</v>
      </c>
      <c r="F19940" s="0" t="s">
        <v>8290</v>
      </c>
    </row>
    <row r="19941" customFormat="false" ht="12.8" hidden="false" customHeight="false" outlineLevel="0" collapsed="false">
      <c r="B19941" s="0" t="s">
        <v>1</v>
      </c>
      <c r="C19941" s="0" t="s">
        <v>8291</v>
      </c>
      <c r="E19941" s="0" t="s">
        <v>8292</v>
      </c>
      <c r="F19941" s="0" t="s">
        <v>8293</v>
      </c>
    </row>
    <row r="19942" customFormat="false" ht="12.8" hidden="false" customHeight="false" outlineLevel="0" collapsed="false">
      <c r="B19942" s="0" t="s">
        <v>8</v>
      </c>
      <c r="C19942" s="0" t="s">
        <v>2627</v>
      </c>
      <c r="E19942" s="0" t="s">
        <v>8294</v>
      </c>
      <c r="F19942" s="0" t="s">
        <v>8295</v>
      </c>
    </row>
    <row r="19944" customFormat="false" ht="12.8" hidden="false" customHeight="false" outlineLevel="0" collapsed="false">
      <c r="A19944" s="0" t="s">
        <v>8296</v>
      </c>
      <c r="B19944" s="0" t="str">
        <f aca="false">HYPERLINK("https://lindat.mff.cuni.cz/services/teitok/pdtc10/index.php?action=vallex&amp;frame=v-w12121_ZUf2_ZU", "obalovat (v-w12121_ZUf2_ZU)")</f>
        <v>obalovat (v-w12121_ZUf2_ZU)</v>
      </c>
    </row>
    <row r="19945" customFormat="false" ht="12.8" hidden="false" customHeight="false" outlineLevel="0" collapsed="false">
      <c r="B19945" s="0" t="s">
        <v>1</v>
      </c>
    </row>
    <row r="19946" customFormat="false" ht="12.8" hidden="false" customHeight="false" outlineLevel="0" collapsed="false">
      <c r="B19946" s="0" t="s">
        <v>8</v>
      </c>
    </row>
    <row r="19948" customFormat="false" ht="12.8" hidden="false" customHeight="false" outlineLevel="0" collapsed="false">
      <c r="A19948" s="0" t="s">
        <v>8296</v>
      </c>
      <c r="B19948" s="0" t="str">
        <f aca="false">HYPERLINK("https://lindat.mff.cuni.cz/services/teitok/pdtc10/index.php?action=vallex&amp;frame=v-w12121_ZUf1_ZU", "obalovat (v-w12121_ZUf1_ZU) - substituted with v-w12121_ZUf2_ZU")</f>
        <v>obalovat (v-w12121_ZUf1_ZU) - substituted with v-w12121_ZUf2_ZU</v>
      </c>
    </row>
    <row r="19949" customFormat="false" ht="12.8" hidden="false" customHeight="false" outlineLevel="0" collapsed="false">
      <c r="B19949" s="0" t="s">
        <v>1</v>
      </c>
    </row>
    <row r="19950" customFormat="false" ht="12.8" hidden="false" customHeight="false" outlineLevel="0" collapsed="false">
      <c r="B19950" s="0" t="s">
        <v>8</v>
      </c>
    </row>
    <row r="19952" customFormat="false" ht="12.8" hidden="false" customHeight="false" outlineLevel="0" collapsed="false">
      <c r="A19952" s="0" t="s">
        <v>8297</v>
      </c>
      <c r="B19952" s="0" t="str">
        <f aca="false">HYPERLINK("https://lindat.mff.cuni.cz/services/teitok/pdtc10/index.php?action=vallex&amp;frame=v-w11376f1", "obalovat se (v-w11376f1)")</f>
        <v>obalovat se (v-w11376f1)</v>
      </c>
    </row>
    <row r="19953" customFormat="false" ht="12.8" hidden="false" customHeight="false" outlineLevel="0" collapsed="false">
      <c r="B19953" s="0" t="s">
        <v>1</v>
      </c>
    </row>
    <row r="19954" customFormat="false" ht="12.8" hidden="false" customHeight="false" outlineLevel="0" collapsed="false">
      <c r="B19954" s="0" t="s">
        <v>286</v>
      </c>
    </row>
    <row r="19956" customFormat="false" ht="12.8" hidden="false" customHeight="false" outlineLevel="0" collapsed="false">
      <c r="A19956" s="0" t="s">
        <v>8298</v>
      </c>
      <c r="B19956" s="0" t="str">
        <f aca="false">HYPERLINK("https://lindat.mff.cuni.cz/services/teitok/pdtc10/index.php?action=vallex&amp;frame=v-w10588f2", "obarvit (v-w10588f2)")</f>
        <v>obarvit (v-w10588f2)</v>
      </c>
      <c r="E19956" s="0" t="str">
        <f aca="false">HYPERLINK("https://lindat.mff.cuni.cz/services/SynSemClass40/SynSemClass40.html?veclass=vec01481#vec01481-ces-cm00003", "vec01481")</f>
        <v>vec01481</v>
      </c>
      <c r="F19956" s="0" t="s">
        <v>254</v>
      </c>
    </row>
    <row r="19957" customFormat="false" ht="12.8" hidden="false" customHeight="false" outlineLevel="0" collapsed="false">
      <c r="B19957" s="0" t="s">
        <v>1</v>
      </c>
      <c r="C19957" s="0" t="s">
        <v>255</v>
      </c>
      <c r="E19957" s="0" t="s">
        <v>84</v>
      </c>
      <c r="F19957" s="0" t="s">
        <v>256</v>
      </c>
    </row>
    <row r="19958" customFormat="false" ht="12.8" hidden="false" customHeight="false" outlineLevel="0" collapsed="false">
      <c r="B19958" s="0" t="s">
        <v>8</v>
      </c>
      <c r="C19958" s="0" t="s">
        <v>257</v>
      </c>
      <c r="E19958" s="0" t="s">
        <v>87</v>
      </c>
      <c r="F19958" s="0" t="s">
        <v>258</v>
      </c>
    </row>
    <row r="19960" customFormat="false" ht="12.8" hidden="false" customHeight="false" outlineLevel="0" collapsed="false">
      <c r="A19960" s="0" t="s">
        <v>8299</v>
      </c>
      <c r="B19960" s="0" t="str">
        <f aca="false">HYPERLINK("https://lindat.mff.cuni.cz/services/teitok/pdtc10/index.php?action=vallex&amp;frame=v-w2483f1", "obchodovat (v-w2483f1)")</f>
        <v>obchodovat (v-w2483f1)</v>
      </c>
      <c r="E19960" s="0" t="str">
        <f aca="false">HYPERLINK("https://lindat.mff.cuni.cz/services/SynSemClass40/SynSemClass40.html?veclass=vec00046#vec00046-ces-cm00001", "vec00046")</f>
        <v>vec00046</v>
      </c>
      <c r="F19960" s="0" t="s">
        <v>8300</v>
      </c>
    </row>
    <row r="19961" customFormat="false" ht="12.8" hidden="false" customHeight="false" outlineLevel="0" collapsed="false">
      <c r="B19961" s="0" t="s">
        <v>1</v>
      </c>
      <c r="C19961" s="0" t="s">
        <v>3241</v>
      </c>
      <c r="E19961" s="0" t="s">
        <v>3198</v>
      </c>
      <c r="F19961" s="0" t="s">
        <v>8301</v>
      </c>
    </row>
    <row r="19962" customFormat="false" ht="12.8" hidden="false" customHeight="false" outlineLevel="0" collapsed="false">
      <c r="B19962" s="0" t="s">
        <v>103</v>
      </c>
      <c r="C19962" s="0" t="s">
        <v>8249</v>
      </c>
      <c r="E19962" s="0" t="s">
        <v>3201</v>
      </c>
      <c r="F19962" s="0" t="s">
        <v>8302</v>
      </c>
    </row>
    <row r="19963" customFormat="false" ht="12.8" hidden="false" customHeight="false" outlineLevel="0" collapsed="false">
      <c r="B19963" s="0" t="s">
        <v>276</v>
      </c>
      <c r="C19963" s="0" t="s">
        <v>8303</v>
      </c>
      <c r="E19963" s="0" t="s">
        <v>8304</v>
      </c>
      <c r="F19963" s="0" t="s">
        <v>8305</v>
      </c>
    </row>
    <row r="19965" customFormat="false" ht="12.8" hidden="false" customHeight="false" outlineLevel="0" collapsed="false">
      <c r="A19965" s="0" t="s">
        <v>8306</v>
      </c>
      <c r="B19965" s="0" t="str">
        <f aca="false">HYPERLINK("https://lindat.mff.cuni.cz/services/teitok/pdtc10/index.php?action=vallex&amp;frame=v-w2479f1", "obcházet (v-w2479f1)")</f>
        <v>obcházet (v-w2479f1)</v>
      </c>
      <c r="E19965" s="0" t="str">
        <f aca="false">HYPERLINK("https://lindat.mff.cuni.cz/services/SynSemClass40/SynSemClass40.html?veclass=vec00045#vec00045-ces-cm00004", "vec00045")</f>
        <v>vec00045</v>
      </c>
      <c r="F19965" s="0" t="s">
        <v>8307</v>
      </c>
    </row>
    <row r="19966" customFormat="false" ht="12.8" hidden="false" customHeight="false" outlineLevel="0" collapsed="false">
      <c r="B19966" s="0" t="s">
        <v>1</v>
      </c>
      <c r="C19966" s="0" t="s">
        <v>6471</v>
      </c>
      <c r="E19966" s="0" t="s">
        <v>2892</v>
      </c>
      <c r="F19966" s="0" t="s">
        <v>8308</v>
      </c>
    </row>
    <row r="19967" customFormat="false" ht="12.8" hidden="false" customHeight="false" outlineLevel="0" collapsed="false">
      <c r="B19967" s="0" t="s">
        <v>59</v>
      </c>
      <c r="C19967" s="0" t="s">
        <v>8309</v>
      </c>
      <c r="E19967" s="0" t="s">
        <v>411</v>
      </c>
      <c r="F19967" s="0" t="s">
        <v>8310</v>
      </c>
    </row>
    <row r="19969" customFormat="false" ht="12.8" hidden="false" customHeight="false" outlineLevel="0" collapsed="false">
      <c r="A19969" s="0" t="s">
        <v>8311</v>
      </c>
      <c r="B19969" s="0" t="str">
        <f aca="false">HYPERLINK("https://lindat.mff.cuni.cz/services/teitok/pdtc10/index.php?action=vallex&amp;frame=v-w2479f2", "obcházet (v-w2479f2)")</f>
        <v>obcházet (v-w2479f2)</v>
      </c>
    </row>
    <row r="19970" customFormat="false" ht="12.8" hidden="false" customHeight="false" outlineLevel="0" collapsed="false">
      <c r="B19970" s="0" t="s">
        <v>1</v>
      </c>
    </row>
    <row r="19971" customFormat="false" ht="12.8" hidden="false" customHeight="false" outlineLevel="0" collapsed="false">
      <c r="B19971" s="0" t="s">
        <v>8</v>
      </c>
    </row>
    <row r="19973" customFormat="false" ht="12.8" hidden="false" customHeight="false" outlineLevel="0" collapsed="false">
      <c r="A19973" s="0" t="s">
        <v>8312</v>
      </c>
      <c r="B19973" s="0" t="str">
        <f aca="false">HYPERLINK("https://lindat.mff.cuni.cz/services/teitok/pdtc10/index.php?action=vallex&amp;frame=v-w2479f3", "obcházet (v-w2479f3)")</f>
        <v>obcházet (v-w2479f3)</v>
      </c>
    </row>
    <row r="19974" customFormat="false" ht="12.8" hidden="false" customHeight="false" outlineLevel="0" collapsed="false">
      <c r="B19974" s="0" t="s">
        <v>1</v>
      </c>
    </row>
    <row r="19976" customFormat="false" ht="12.8" hidden="false" customHeight="false" outlineLevel="0" collapsed="false">
      <c r="A19976" s="0" t="s">
        <v>8313</v>
      </c>
      <c r="B19976" s="0" t="str">
        <f aca="false">HYPERLINK("https://lindat.mff.cuni.cz/services/teitok/pdtc10/index.php?action=vallex&amp;frame=v-w2479f4_ZU", "obcházet (v-w2479f4_ZU)")</f>
        <v>obcházet (v-w2479f4_ZU)</v>
      </c>
    </row>
    <row r="19977" customFormat="false" ht="12.8" hidden="false" customHeight="false" outlineLevel="0" collapsed="false">
      <c r="B19977" s="0" t="s">
        <v>1</v>
      </c>
    </row>
    <row r="19978" customFormat="false" ht="12.8" hidden="false" customHeight="false" outlineLevel="0" collapsed="false">
      <c r="B19978" s="0" t="s">
        <v>8</v>
      </c>
    </row>
    <row r="19980" customFormat="false" ht="12.8" hidden="false" customHeight="false" outlineLevel="0" collapsed="false">
      <c r="A19980" s="0" t="s">
        <v>8314</v>
      </c>
      <c r="B19980" s="0" t="str">
        <f aca="false">HYPERLINK("https://lindat.mff.cuni.cz/services/teitok/pdtc10/index.php?action=vallex&amp;frame=v-w2440f1", "obdarovat (v-w2440f1)")</f>
        <v>obdarovat (v-w2440f1)</v>
      </c>
      <c r="E19980" s="0" t="str">
        <f aca="false">HYPERLINK("https://lindat.mff.cuni.cz/services/SynSemClass40/SynSemClass40.html?veclass=vec00695#vec00695-ces-cm00005", "vec00695")</f>
        <v>vec00695</v>
      </c>
      <c r="F19980" s="0" t="s">
        <v>3657</v>
      </c>
    </row>
    <row r="19981" customFormat="false" ht="12.8" hidden="false" customHeight="false" outlineLevel="0" collapsed="false">
      <c r="B19981" s="0" t="s">
        <v>1</v>
      </c>
      <c r="C19981" s="0" t="s">
        <v>8315</v>
      </c>
      <c r="E19981" s="0" t="s">
        <v>3659</v>
      </c>
      <c r="F19981" s="0" t="s">
        <v>3660</v>
      </c>
    </row>
    <row r="19982" customFormat="false" ht="12.8" hidden="false" customHeight="false" outlineLevel="0" collapsed="false">
      <c r="B19982" s="0" t="s">
        <v>8</v>
      </c>
      <c r="C19982" s="0" t="s">
        <v>8316</v>
      </c>
      <c r="E19982" s="0" t="s">
        <v>2588</v>
      </c>
      <c r="F19982" s="0" t="s">
        <v>8317</v>
      </c>
    </row>
    <row r="19984" customFormat="false" ht="12.8" hidden="false" customHeight="false" outlineLevel="0" collapsed="false">
      <c r="A19984" s="0" t="s">
        <v>8318</v>
      </c>
      <c r="B19984" s="0" t="str">
        <f aca="false">HYPERLINK("https://lindat.mff.cuni.cz/services/teitok/pdtc10/index.php?action=vallex&amp;frame=v-w10957f2", "obdarovávat (v-w10957f2)")</f>
        <v>obdarovávat (v-w10957f2)</v>
      </c>
      <c r="E19984" s="0" t="str">
        <f aca="false">HYPERLINK("https://lindat.mff.cuni.cz/services/SynSemClass40/SynSemClass40.html?veclass=vec00695#vec00695-ces-cm00006", "vec00695")</f>
        <v>vec00695</v>
      </c>
      <c r="F19984" s="0" t="s">
        <v>3657</v>
      </c>
    </row>
    <row r="19985" customFormat="false" ht="12.8" hidden="false" customHeight="false" outlineLevel="0" collapsed="false">
      <c r="B19985" s="0" t="s">
        <v>1</v>
      </c>
      <c r="C19985" s="0" t="s">
        <v>8315</v>
      </c>
      <c r="E19985" s="0" t="s">
        <v>3659</v>
      </c>
      <c r="F19985" s="0" t="s">
        <v>3660</v>
      </c>
    </row>
    <row r="19986" customFormat="false" ht="12.8" hidden="false" customHeight="false" outlineLevel="0" collapsed="false">
      <c r="B19986" s="0" t="s">
        <v>8</v>
      </c>
      <c r="C19986" s="0" t="s">
        <v>8316</v>
      </c>
      <c r="E19986" s="0" t="s">
        <v>2588</v>
      </c>
      <c r="F19986" s="0" t="s">
        <v>8317</v>
      </c>
    </row>
    <row r="19988" customFormat="false" ht="12.8" hidden="false" customHeight="false" outlineLevel="0" collapsed="false">
      <c r="A19988" s="0" t="s">
        <v>8319</v>
      </c>
      <c r="B19988" s="0" t="str">
        <f aca="false">HYPERLINK("https://lindat.mff.cuni.cz/services/teitok/pdtc10/index.php?action=vallex&amp;frame=v-w2443f1", "obdařit (v-w2443f1)")</f>
        <v>obdařit (v-w2443f1)</v>
      </c>
    </row>
    <row r="19989" customFormat="false" ht="12.8" hidden="false" customHeight="false" outlineLevel="0" collapsed="false">
      <c r="B19989" s="0" t="s">
        <v>1</v>
      </c>
    </row>
    <row r="19990" customFormat="false" ht="12.8" hidden="false" customHeight="false" outlineLevel="0" collapsed="false">
      <c r="B19990" s="0" t="s">
        <v>286</v>
      </c>
    </row>
    <row r="19991" customFormat="false" ht="12.8" hidden="false" customHeight="false" outlineLevel="0" collapsed="false">
      <c r="B19991" s="0" t="s">
        <v>98</v>
      </c>
    </row>
    <row r="19993" customFormat="false" ht="12.8" hidden="false" customHeight="false" outlineLevel="0" collapsed="false">
      <c r="A19993" s="0" t="s">
        <v>8320</v>
      </c>
      <c r="B19993" s="0" t="str">
        <f aca="false">HYPERLINK("https://lindat.mff.cuni.cz/services/teitok/pdtc10/index.php?action=vallex&amp;frame=v-w2444f1", "obdařovat (v-w2444f1)")</f>
        <v>obdařovat (v-w2444f1)</v>
      </c>
    </row>
    <row r="19994" customFormat="false" ht="12.8" hidden="false" customHeight="false" outlineLevel="0" collapsed="false">
      <c r="B19994" s="0" t="s">
        <v>1</v>
      </c>
    </row>
    <row r="19995" customFormat="false" ht="12.8" hidden="false" customHeight="false" outlineLevel="0" collapsed="false">
      <c r="B19995" s="0" t="s">
        <v>286</v>
      </c>
    </row>
    <row r="19996" customFormat="false" ht="12.8" hidden="false" customHeight="false" outlineLevel="0" collapsed="false">
      <c r="B19996" s="0" t="s">
        <v>98</v>
      </c>
    </row>
    <row r="19998" customFormat="false" ht="12.8" hidden="false" customHeight="false" outlineLevel="0" collapsed="false">
      <c r="A19998" s="0" t="s">
        <v>8321</v>
      </c>
      <c r="B19998" s="0" t="str">
        <f aca="false">HYPERLINK("https://lindat.mff.cuni.cz/services/teitok/pdtc10/index.php?action=vallex&amp;frame=v-w2447f2_ZU", "obdivovat (v-w2447f2_ZU)")</f>
        <v>obdivovat (v-w2447f2_ZU)</v>
      </c>
    </row>
    <row r="19999" customFormat="false" ht="12.8" hidden="false" customHeight="false" outlineLevel="0" collapsed="false">
      <c r="B19999" s="0" t="s">
        <v>1</v>
      </c>
    </row>
    <row r="20000" customFormat="false" ht="12.8" hidden="false" customHeight="false" outlineLevel="0" collapsed="false">
      <c r="B20000" s="0" t="s">
        <v>8322</v>
      </c>
    </row>
    <row r="20002" customFormat="false" ht="12.8" hidden="false" customHeight="false" outlineLevel="0" collapsed="false">
      <c r="A20002" s="0" t="s">
        <v>8321</v>
      </c>
      <c r="B20002" s="0" t="str">
        <f aca="false">HYPERLINK("https://lindat.mff.cuni.cz/services/teitok/pdtc10/index.php?action=vallex&amp;frame=v-w2447f1", "obdivovat (v-w2447f1) - substituted with v-w2447f2_ZU")</f>
        <v>obdivovat (v-w2447f1) - substituted with v-w2447f2_ZU</v>
      </c>
      <c r="E20002" s="0" t="str">
        <f aca="false">HYPERLINK("https://lindat.mff.cuni.cz/services/SynSemClass40/SynSemClass40.html?veclass=vec01048#vec01048-ces-cm00001", "vec01048")</f>
        <v>vec01048</v>
      </c>
      <c r="F20002" s="0" t="s">
        <v>8323</v>
      </c>
    </row>
    <row r="20003" customFormat="false" ht="12.8" hidden="false" customHeight="false" outlineLevel="0" collapsed="false">
      <c r="B20003" s="0" t="s">
        <v>1</v>
      </c>
      <c r="C20003" s="0" t="s">
        <v>459</v>
      </c>
      <c r="E20003" s="0" t="s">
        <v>637</v>
      </c>
      <c r="F20003" s="0" t="s">
        <v>8324</v>
      </c>
    </row>
    <row r="20004" customFormat="false" ht="12.8" hidden="false" customHeight="false" outlineLevel="0" collapsed="false">
      <c r="B20004" s="0" t="s">
        <v>8322</v>
      </c>
      <c r="C20004" s="0" t="s">
        <v>798</v>
      </c>
      <c r="E20004" s="0" t="s">
        <v>180</v>
      </c>
      <c r="F20004" s="0" t="s">
        <v>8325</v>
      </c>
    </row>
    <row r="20006" customFormat="false" ht="12.8" hidden="false" customHeight="false" outlineLevel="0" collapsed="false">
      <c r="A20006" s="0" t="s">
        <v>8321</v>
      </c>
      <c r="B20006" s="0" t="str">
        <f aca="false">HYPERLINK("https://lindat.mff.cuni.cz/services/teitok/pdtc10/index.php?action=vallex&amp;frame=v-w2447hsa_1650", "obdivovat (v-w2447hsa_1650) - substituted with v-w2447f2_ZU")</f>
        <v>obdivovat (v-w2447hsa_1650) - substituted with v-w2447f2_ZU</v>
      </c>
    </row>
    <row r="20007" customFormat="false" ht="12.8" hidden="false" customHeight="false" outlineLevel="0" collapsed="false">
      <c r="B20007" s="0" t="s">
        <v>1</v>
      </c>
    </row>
    <row r="20008" customFormat="false" ht="12.8" hidden="false" customHeight="false" outlineLevel="0" collapsed="false">
      <c r="B20008" s="0" t="s">
        <v>8322</v>
      </c>
    </row>
    <row r="20010" customFormat="false" ht="12.8" hidden="false" customHeight="false" outlineLevel="0" collapsed="false">
      <c r="A20010" s="0" t="s">
        <v>8326</v>
      </c>
      <c r="B20010" s="0" t="str">
        <f aca="false">HYPERLINK("https://lindat.mff.cuni.cz/services/teitok/pdtc10/index.php?action=vallex&amp;frame=v-w2451f1", "obdržet (v-w2451f1)")</f>
        <v>obdržet (v-w2451f1)</v>
      </c>
      <c r="E20010" s="0" t="str">
        <f aca="false">HYPERLINK("https://lindat.mff.cuni.cz/services/SynSemClass40/SynSemClass40.html?veclass=vec00189#vec00189-ces-cm00013", "vec00189")</f>
        <v>vec00189</v>
      </c>
      <c r="F20010" s="0" t="s">
        <v>2169</v>
      </c>
      <c r="H20010" s="0" t="str">
        <f aca="false">HYPERLINK("https://lindat.mff.cuni.cz/services/SynSemClass40/SynSemClass40.html?veclass=vec01491#vec01491-ces-cm00107", "vec01491")</f>
        <v>vec01491</v>
      </c>
      <c r="I20010" s="0" t="s">
        <v>2792</v>
      </c>
    </row>
    <row r="20011" customFormat="false" ht="12.8" hidden="false" customHeight="false" outlineLevel="0" collapsed="false">
      <c r="B20011" s="0" t="s">
        <v>1</v>
      </c>
      <c r="C20011" s="0" t="s">
        <v>2793</v>
      </c>
      <c r="E20011" s="0" t="s">
        <v>1567</v>
      </c>
      <c r="F20011" s="0" t="s">
        <v>2171</v>
      </c>
      <c r="H20011" s="0" t="s">
        <v>1567</v>
      </c>
      <c r="I20011" s="0" t="s">
        <v>2794</v>
      </c>
    </row>
    <row r="20012" customFormat="false" ht="12.8" hidden="false" customHeight="false" outlineLevel="0" collapsed="false">
      <c r="B20012" s="0" t="s">
        <v>8</v>
      </c>
      <c r="C20012" s="0" t="s">
        <v>2795</v>
      </c>
      <c r="E20012" s="0" t="s">
        <v>2111</v>
      </c>
      <c r="F20012" s="0" t="s">
        <v>2174</v>
      </c>
      <c r="H20012" s="0" t="s">
        <v>1875</v>
      </c>
      <c r="I20012" s="0" t="s">
        <v>2796</v>
      </c>
    </row>
    <row r="20013" customFormat="false" ht="12.8" hidden="false" customHeight="false" outlineLevel="0" collapsed="false">
      <c r="B20013" s="0" t="s">
        <v>1633</v>
      </c>
      <c r="C20013" s="0" t="s">
        <v>2797</v>
      </c>
      <c r="E20013" s="0" t="s">
        <v>2176</v>
      </c>
      <c r="F20013" s="0" t="s">
        <v>2177</v>
      </c>
      <c r="H20013" s="0" t="s">
        <v>2798</v>
      </c>
      <c r="I20013" s="0" t="s">
        <v>2799</v>
      </c>
    </row>
    <row r="20015" customFormat="false" ht="12.8" hidden="false" customHeight="false" outlineLevel="0" collapsed="false">
      <c r="A20015" s="0" t="s">
        <v>8327</v>
      </c>
      <c r="B20015" s="0" t="str">
        <f aca="false">HYPERLINK("https://lindat.mff.cuni.cz/services/teitok/pdtc10/index.php?action=vallex&amp;frame=v-w11927_ZUf1_ZU", "obdělat (v-w11927_ZUf1_ZU)")</f>
        <v>obdělat (v-w11927_ZUf1_ZU)</v>
      </c>
    </row>
    <row r="20016" customFormat="false" ht="12.8" hidden="false" customHeight="false" outlineLevel="0" collapsed="false">
      <c r="B20016" s="0" t="s">
        <v>1</v>
      </c>
    </row>
    <row r="20017" customFormat="false" ht="12.8" hidden="false" customHeight="false" outlineLevel="0" collapsed="false">
      <c r="B20017" s="0" t="s">
        <v>8</v>
      </c>
    </row>
    <row r="20019" customFormat="false" ht="12.8" hidden="false" customHeight="false" outlineLevel="0" collapsed="false">
      <c r="A20019" s="0" t="s">
        <v>8328</v>
      </c>
      <c r="B20019" s="0" t="str">
        <f aca="false">HYPERLINK("https://lindat.mff.cuni.cz/services/teitok/pdtc10/index.php?action=vallex&amp;frame=v-w11169f2", "obdělávat (v-w11169f2)")</f>
        <v>obdělávat (v-w11169f2)</v>
      </c>
      <c r="E20019" s="0" t="str">
        <f aca="false">HYPERLINK("https://lindat.mff.cuni.cz/services/SynSemClass40/SynSemClass40.html?veclass=vec00277#vec00277-ces-cm00147", "vec00277")</f>
        <v>vec00277</v>
      </c>
      <c r="F20019" s="0" t="s">
        <v>2025</v>
      </c>
    </row>
    <row r="20020" customFormat="false" ht="12.8" hidden="false" customHeight="false" outlineLevel="0" collapsed="false">
      <c r="B20020" s="0" t="s">
        <v>1</v>
      </c>
      <c r="C20020" s="0" t="s">
        <v>2026</v>
      </c>
      <c r="E20020" s="0" t="s">
        <v>2027</v>
      </c>
      <c r="F20020" s="0" t="s">
        <v>2028</v>
      </c>
    </row>
    <row r="20021" customFormat="false" ht="12.8" hidden="false" customHeight="false" outlineLevel="0" collapsed="false">
      <c r="B20021" s="0" t="s">
        <v>8</v>
      </c>
      <c r="C20021" s="0" t="s">
        <v>2029</v>
      </c>
      <c r="E20021" s="0" t="s">
        <v>1995</v>
      </c>
      <c r="F20021" s="0" t="s">
        <v>2030</v>
      </c>
    </row>
    <row r="20023" customFormat="false" ht="12.8" hidden="false" customHeight="false" outlineLevel="0" collapsed="false">
      <c r="A20023" s="0" t="s">
        <v>8329</v>
      </c>
      <c r="B20023" s="0" t="str">
        <f aca="false">HYPERLINK("https://lindat.mff.cuni.cz/services/teitok/pdtc10/index.php?action=vallex&amp;frame=v-w10629f2", "obehnat (v-w10629f2)")</f>
        <v>obehnat (v-w10629f2)</v>
      </c>
      <c r="E20023" s="0" t="str">
        <f aca="false">HYPERLINK("https://lindat.mff.cuni.cz/services/SynSemClass40/SynSemClass40.html?veclass=vec00643#vec00643-ces-cm00004", "vec00643")</f>
        <v>vec00643</v>
      </c>
      <c r="F20023" s="0" t="s">
        <v>5957</v>
      </c>
    </row>
    <row r="20024" customFormat="false" ht="12.8" hidden="false" customHeight="false" outlineLevel="0" collapsed="false">
      <c r="B20024" s="0" t="s">
        <v>1</v>
      </c>
      <c r="C20024" s="0" t="s">
        <v>8330</v>
      </c>
      <c r="E20024" s="0" t="s">
        <v>5961</v>
      </c>
      <c r="F20024" s="0" t="s">
        <v>5962</v>
      </c>
    </row>
    <row r="20025" customFormat="false" ht="12.8" hidden="false" customHeight="false" outlineLevel="0" collapsed="false">
      <c r="B20025" s="0" t="s">
        <v>8</v>
      </c>
      <c r="C20025" s="0" t="s">
        <v>8331</v>
      </c>
      <c r="E20025" s="0" t="s">
        <v>5966</v>
      </c>
      <c r="F20025" s="0" t="s">
        <v>5967</v>
      </c>
    </row>
    <row r="20027" customFormat="false" ht="12.8" hidden="false" customHeight="false" outlineLevel="0" collapsed="false">
      <c r="A20027" s="0" t="s">
        <v>8332</v>
      </c>
      <c r="B20027" s="0" t="str">
        <f aca="false">HYPERLINK("https://lindat.mff.cuni.cz/services/teitok/pdtc10/index.php?action=vallex&amp;frame=v-whsa_73f1_ZU", "obejmout (v-whsa_73f1_ZU)")</f>
        <v>obejmout (v-whsa_73f1_ZU)</v>
      </c>
    </row>
    <row r="20028" customFormat="false" ht="12.8" hidden="false" customHeight="false" outlineLevel="0" collapsed="false">
      <c r="B20028" s="0" t="s">
        <v>1</v>
      </c>
    </row>
    <row r="20029" customFormat="false" ht="12.8" hidden="false" customHeight="false" outlineLevel="0" collapsed="false">
      <c r="B20029" s="0" t="s">
        <v>8</v>
      </c>
    </row>
    <row r="20031" customFormat="false" ht="12.8" hidden="false" customHeight="false" outlineLevel="0" collapsed="false">
      <c r="A20031" s="0" t="s">
        <v>8332</v>
      </c>
      <c r="B20031" s="0" t="str">
        <f aca="false">HYPERLINK("https://lindat.mff.cuni.cz/services/teitok/pdtc10/index.php?action=vallex&amp;frame=v-whsa_73hsa_74", "obejmout (v-whsa_73hsa_74) - substituted with v-whsa_73f1_ZU")</f>
        <v>obejmout (v-whsa_73hsa_74) - substituted with v-whsa_73f1_ZU</v>
      </c>
      <c r="E20031" s="0" t="str">
        <f aca="false">HYPERLINK("https://lindat.mff.cuni.cz/services/SynSemClass40/SynSemClass40.html?veclass=vec01409#vec01409-ces-cm00002", "vec01409")</f>
        <v>vec01409</v>
      </c>
      <c r="F20031" s="0" t="s">
        <v>8333</v>
      </c>
    </row>
    <row r="20032" customFormat="false" ht="12.8" hidden="false" customHeight="false" outlineLevel="0" collapsed="false">
      <c r="B20032" s="0" t="s">
        <v>1</v>
      </c>
      <c r="C20032" s="0" t="s">
        <v>459</v>
      </c>
      <c r="E20032" s="0" t="s">
        <v>31</v>
      </c>
      <c r="F20032" s="0" t="s">
        <v>2437</v>
      </c>
    </row>
    <row r="20033" customFormat="false" ht="12.8" hidden="false" customHeight="false" outlineLevel="0" collapsed="false">
      <c r="B20033" s="0" t="s">
        <v>8</v>
      </c>
      <c r="C20033" s="0" t="s">
        <v>798</v>
      </c>
      <c r="E20033" s="0" t="s">
        <v>142</v>
      </c>
      <c r="F20033" s="0" t="s">
        <v>8334</v>
      </c>
    </row>
    <row r="20035" customFormat="false" ht="12.8" hidden="false" customHeight="false" outlineLevel="0" collapsed="false">
      <c r="A20035" s="0" t="s">
        <v>8335</v>
      </c>
      <c r="B20035" s="0" t="str">
        <f aca="false">HYPERLINK("https://lindat.mff.cuni.cz/services/teitok/pdtc10/index.php?action=vallex&amp;frame=v-w2454f2", "obejít (v-w2454f2)")</f>
        <v>obejít (v-w2454f2)</v>
      </c>
      <c r="E20035" s="0" t="str">
        <f aca="false">HYPERLINK("https://lindat.mff.cuni.cz/services/SynSemClass40/SynSemClass40.html?veclass=vec00045#vec00045-ces-cm00001", "vec00045")</f>
        <v>vec00045</v>
      </c>
      <c r="F20035" s="0" t="s">
        <v>8307</v>
      </c>
    </row>
    <row r="20036" customFormat="false" ht="12.8" hidden="false" customHeight="false" outlineLevel="0" collapsed="false">
      <c r="B20036" s="0" t="s">
        <v>1</v>
      </c>
      <c r="C20036" s="0" t="s">
        <v>6471</v>
      </c>
      <c r="E20036" s="0" t="s">
        <v>2892</v>
      </c>
      <c r="F20036" s="0" t="s">
        <v>8308</v>
      </c>
    </row>
    <row r="20037" customFormat="false" ht="12.8" hidden="false" customHeight="false" outlineLevel="0" collapsed="false">
      <c r="B20037" s="0" t="s">
        <v>59</v>
      </c>
      <c r="C20037" s="0" t="s">
        <v>8309</v>
      </c>
      <c r="E20037" s="0" t="s">
        <v>411</v>
      </c>
      <c r="F20037" s="0" t="s">
        <v>8310</v>
      </c>
    </row>
    <row r="20039" customFormat="false" ht="12.8" hidden="false" customHeight="false" outlineLevel="0" collapsed="false">
      <c r="A20039" s="0" t="s">
        <v>8336</v>
      </c>
      <c r="B20039" s="0" t="str">
        <f aca="false">HYPERLINK("https://lindat.mff.cuni.cz/services/teitok/pdtc10/index.php?action=vallex&amp;frame=v-w2454f1", "obejít (v-w2454f1)")</f>
        <v>obejít (v-w2454f1)</v>
      </c>
    </row>
    <row r="20040" customFormat="false" ht="12.8" hidden="false" customHeight="false" outlineLevel="0" collapsed="false">
      <c r="B20040" s="0" t="s">
        <v>1</v>
      </c>
    </row>
    <row r="20041" customFormat="false" ht="12.8" hidden="false" customHeight="false" outlineLevel="0" collapsed="false">
      <c r="B20041" s="0" t="s">
        <v>8</v>
      </c>
    </row>
    <row r="20043" customFormat="false" ht="12.8" hidden="false" customHeight="false" outlineLevel="0" collapsed="false">
      <c r="A20043" s="0" t="s">
        <v>8337</v>
      </c>
      <c r="B20043" s="0" t="str">
        <f aca="false">HYPERLINK("https://lindat.mff.cuni.cz/services/teitok/pdtc10/index.php?action=vallex&amp;frame=v-w2454f4_ZU", "obejít (v-w2454f4_ZU)")</f>
        <v>obejít (v-w2454f4_ZU)</v>
      </c>
    </row>
    <row r="20044" customFormat="false" ht="12.8" hidden="false" customHeight="false" outlineLevel="0" collapsed="false">
      <c r="B20044" s="0" t="s">
        <v>1</v>
      </c>
    </row>
    <row r="20045" customFormat="false" ht="12.8" hidden="false" customHeight="false" outlineLevel="0" collapsed="false">
      <c r="B20045" s="0" t="s">
        <v>8</v>
      </c>
    </row>
    <row r="20047" customFormat="false" ht="12.8" hidden="false" customHeight="false" outlineLevel="0" collapsed="false">
      <c r="A20047" s="0" t="s">
        <v>8337</v>
      </c>
      <c r="B20047" s="0" t="str">
        <f aca="false">HYPERLINK("https://lindat.mff.cuni.cz/services/teitok/pdtc10/index.php?action=vallex&amp;frame=v-w2454f3_ZU", "obejít (v-w2454f3_ZU) - substituted with v-w2454f4_ZU")</f>
        <v>obejít (v-w2454f3_ZU) - substituted with v-w2454f4_ZU</v>
      </c>
    </row>
    <row r="20048" customFormat="false" ht="12.8" hidden="false" customHeight="false" outlineLevel="0" collapsed="false">
      <c r="B20048" s="0" t="s">
        <v>1</v>
      </c>
    </row>
    <row r="20049" customFormat="false" ht="12.8" hidden="false" customHeight="false" outlineLevel="0" collapsed="false">
      <c r="B20049" s="0" t="s">
        <v>8</v>
      </c>
    </row>
    <row r="20051" customFormat="false" ht="12.8" hidden="false" customHeight="false" outlineLevel="0" collapsed="false">
      <c r="A20051" s="0" t="s">
        <v>8337</v>
      </c>
      <c r="B20051" s="0" t="str">
        <f aca="false">HYPERLINK("https://lindat.mff.cuni.cz/services/teitok/pdtc10/index.php?action=vallex&amp;frame=v-w2454hsa_1153", "obejít (v-w2454hsa_1153) - substituted with v-w2454f4_ZU")</f>
        <v>obejít (v-w2454hsa_1153) - substituted with v-w2454f4_ZU</v>
      </c>
    </row>
    <row r="20052" customFormat="false" ht="12.8" hidden="false" customHeight="false" outlineLevel="0" collapsed="false">
      <c r="B20052" s="0" t="s">
        <v>1</v>
      </c>
    </row>
    <row r="20053" customFormat="false" ht="12.8" hidden="false" customHeight="false" outlineLevel="0" collapsed="false">
      <c r="B20053" s="0" t="s">
        <v>8</v>
      </c>
    </row>
    <row r="20055" customFormat="false" ht="12.8" hidden="false" customHeight="false" outlineLevel="0" collapsed="false">
      <c r="A20055" s="0" t="s">
        <v>8338</v>
      </c>
      <c r="B20055" s="0" t="str">
        <f aca="false">HYPERLINK("https://lindat.mff.cuni.cz/services/teitok/pdtc10/index.php?action=vallex&amp;frame=v-w2455f1", "obejít se (v-w2455f1)")</f>
        <v>obejít se (v-w2455f1)</v>
      </c>
      <c r="E20055" s="0" t="str">
        <f aca="false">HYPERLINK("https://lindat.mff.cuni.cz/services/SynSemClass40/SynSemClass40.html?veclass=vec00642#vec00642-ces-cm00001", "vec00642")</f>
        <v>vec00642</v>
      </c>
      <c r="F20055" s="0" t="s">
        <v>8339</v>
      </c>
    </row>
    <row r="20056" customFormat="false" ht="12.8" hidden="false" customHeight="false" outlineLevel="0" collapsed="false">
      <c r="B20056" s="0" t="s">
        <v>1</v>
      </c>
      <c r="E20056" s="0" t="s">
        <v>11</v>
      </c>
      <c r="F20056" s="0" t="s">
        <v>959</v>
      </c>
    </row>
    <row r="20057" customFormat="false" ht="12.8" hidden="false" customHeight="false" outlineLevel="0" collapsed="false">
      <c r="B20057" s="0" t="s">
        <v>8340</v>
      </c>
      <c r="E20057" s="0" t="s">
        <v>8341</v>
      </c>
      <c r="F20057" s="0" t="s">
        <v>8342</v>
      </c>
    </row>
    <row r="20059" customFormat="false" ht="12.8" hidden="false" customHeight="false" outlineLevel="0" collapsed="false">
      <c r="A20059" s="0" t="s">
        <v>8343</v>
      </c>
      <c r="B20059" s="0" t="str">
        <f aca="false">HYPERLINK("https://lindat.mff.cuni.cz/services/teitok/pdtc10/index.php?action=vallex&amp;frame=v-w10453f2", "obelstít (v-w10453f2)")</f>
        <v>obelstít (v-w10453f2)</v>
      </c>
      <c r="E20059" s="0" t="str">
        <f aca="false">HYPERLINK("https://lindat.mff.cuni.cz/services/SynSemClass40/SynSemClass40.html?veclass=vec00671#vec00671-ces-cm00009", "vec00671")</f>
        <v>vec00671</v>
      </c>
      <c r="F20059" s="0" t="s">
        <v>8286</v>
      </c>
    </row>
    <row r="20060" customFormat="false" ht="12.8" hidden="false" customHeight="false" outlineLevel="0" collapsed="false">
      <c r="B20060" s="0" t="s">
        <v>1</v>
      </c>
      <c r="C20060" s="0" t="s">
        <v>4695</v>
      </c>
      <c r="E20060" s="0" t="s">
        <v>4726</v>
      </c>
      <c r="F20060" s="0" t="s">
        <v>8287</v>
      </c>
    </row>
    <row r="20061" customFormat="false" ht="12.8" hidden="false" customHeight="false" outlineLevel="0" collapsed="false">
      <c r="B20061" s="0" t="s">
        <v>8</v>
      </c>
      <c r="C20061" s="0" t="s">
        <v>2082</v>
      </c>
      <c r="E20061" s="0" t="s">
        <v>199</v>
      </c>
      <c r="F20061" s="0" t="s">
        <v>8288</v>
      </c>
    </row>
    <row r="20063" customFormat="false" ht="12.8" hidden="false" customHeight="false" outlineLevel="0" collapsed="false">
      <c r="A20063" s="0" t="s">
        <v>8344</v>
      </c>
      <c r="B20063" s="0" t="str">
        <f aca="false">HYPERLINK("https://lindat.mff.cuni.cz/services/teitok/pdtc10/index.php?action=vallex&amp;frame=v-w2456f1", "obeplout (v-w2456f1)")</f>
        <v>obeplout (v-w2456f1)</v>
      </c>
    </row>
    <row r="20064" customFormat="false" ht="12.8" hidden="false" customHeight="false" outlineLevel="0" collapsed="false">
      <c r="B20064" s="0" t="s">
        <v>1</v>
      </c>
    </row>
    <row r="20065" customFormat="false" ht="12.8" hidden="false" customHeight="false" outlineLevel="0" collapsed="false">
      <c r="B20065" s="0" t="s">
        <v>8</v>
      </c>
    </row>
    <row r="20067" customFormat="false" ht="12.8" hidden="false" customHeight="false" outlineLevel="0" collapsed="false">
      <c r="A20067" s="0" t="s">
        <v>8345</v>
      </c>
      <c r="B20067" s="0" t="str">
        <f aca="false">HYPERLINK("https://lindat.mff.cuni.cz/services/teitok/pdtc10/index.php?action=vallex&amp;frame=v-w10144f2", "obeslat (v-w10144f2)")</f>
        <v>obeslat (v-w10144f2)</v>
      </c>
    </row>
    <row r="20068" customFormat="false" ht="12.8" hidden="false" customHeight="false" outlineLevel="0" collapsed="false">
      <c r="B20068" s="0" t="s">
        <v>1</v>
      </c>
    </row>
    <row r="20069" customFormat="false" ht="12.8" hidden="false" customHeight="false" outlineLevel="0" collapsed="false">
      <c r="B20069" s="0" t="s">
        <v>8</v>
      </c>
    </row>
    <row r="20071" customFormat="false" ht="12.8" hidden="false" customHeight="false" outlineLevel="0" collapsed="false">
      <c r="A20071" s="0" t="s">
        <v>8346</v>
      </c>
      <c r="B20071" s="0" t="str">
        <f aca="false">HYPERLINK("https://lindat.mff.cuni.cz/services/teitok/pdtc10/index.php?action=vallex&amp;frame=v-w2460f1", "obestírat (v-w2460f1)")</f>
        <v>obestírat (v-w2460f1)</v>
      </c>
      <c r="E20071" s="0" t="str">
        <f aca="false">HYPERLINK("https://lindat.mff.cuni.cz/services/SynSemClass40/SynSemClass40.html?veclass=vec00643#vec00643-ces-cm00005", "vec00643")</f>
        <v>vec00643</v>
      </c>
      <c r="F20071" s="0" t="s">
        <v>5957</v>
      </c>
    </row>
    <row r="20072" customFormat="false" ht="12.8" hidden="false" customHeight="false" outlineLevel="0" collapsed="false">
      <c r="B20072" s="0" t="s">
        <v>1</v>
      </c>
      <c r="C20072" s="0" t="s">
        <v>8330</v>
      </c>
      <c r="E20072" s="0" t="s">
        <v>5961</v>
      </c>
      <c r="F20072" s="0" t="s">
        <v>5962</v>
      </c>
    </row>
    <row r="20073" customFormat="false" ht="12.8" hidden="false" customHeight="false" outlineLevel="0" collapsed="false">
      <c r="B20073" s="0" t="s">
        <v>8</v>
      </c>
      <c r="C20073" s="0" t="s">
        <v>8331</v>
      </c>
      <c r="E20073" s="0" t="s">
        <v>5966</v>
      </c>
      <c r="F20073" s="0" t="s">
        <v>5967</v>
      </c>
    </row>
    <row r="20075" customFormat="false" ht="12.8" hidden="false" customHeight="false" outlineLevel="0" collapsed="false">
      <c r="A20075" s="0" t="s">
        <v>8347</v>
      </c>
      <c r="B20075" s="0" t="str">
        <f aca="false">HYPERLINK("https://lindat.mff.cuni.cz/services/teitok/pdtc10/index.php?action=vallex&amp;frame=v-whsa_561hsa_562", "obestřít (v-whsa_561hsa_562)")</f>
        <v>obestřít (v-whsa_561hsa_562)</v>
      </c>
      <c r="E20075" s="0" t="str">
        <f aca="false">HYPERLINK("https://lindat.mff.cuni.cz/services/SynSemClass40/SynSemClass40.html?veclass=vec00643#vec00643-ces-cm00002", "vec00643")</f>
        <v>vec00643</v>
      </c>
      <c r="F20075" s="0" t="s">
        <v>5957</v>
      </c>
    </row>
    <row r="20076" customFormat="false" ht="12.8" hidden="false" customHeight="false" outlineLevel="0" collapsed="false">
      <c r="B20076" s="0" t="s">
        <v>1</v>
      </c>
      <c r="C20076" s="0" t="s">
        <v>8330</v>
      </c>
      <c r="E20076" s="0" t="s">
        <v>5961</v>
      </c>
      <c r="F20076" s="0" t="s">
        <v>5962</v>
      </c>
    </row>
    <row r="20077" customFormat="false" ht="12.8" hidden="false" customHeight="false" outlineLevel="0" collapsed="false">
      <c r="B20077" s="0" t="s">
        <v>8</v>
      </c>
      <c r="C20077" s="0" t="s">
        <v>8331</v>
      </c>
      <c r="E20077" s="0" t="s">
        <v>5966</v>
      </c>
      <c r="F20077" s="0" t="s">
        <v>5967</v>
      </c>
    </row>
    <row r="20079" customFormat="false" ht="12.8" hidden="false" customHeight="false" outlineLevel="0" collapsed="false">
      <c r="A20079" s="0" t="s">
        <v>8348</v>
      </c>
      <c r="B20079" s="0" t="str">
        <f aca="false">HYPERLINK("https://lindat.mff.cuni.cz/services/teitok/pdtc10/index.php?action=vallex&amp;frame=v-w2457f1", "obesílat (v-w2457f1)")</f>
        <v>obesílat (v-w2457f1)</v>
      </c>
      <c r="E20079" s="0" t="str">
        <f aca="false">HYPERLINK("https://lindat.mff.cuni.cz/services/SynSemClass40/SynSemClass40.html?veclass=vec00057#vec00057-ces-cm00200", "vec00057")</f>
        <v>vec00057</v>
      </c>
      <c r="F20079" s="0" t="s">
        <v>145</v>
      </c>
    </row>
    <row r="20080" customFormat="false" ht="12.8" hidden="false" customHeight="false" outlineLevel="0" collapsed="false">
      <c r="B20080" s="0" t="s">
        <v>1</v>
      </c>
      <c r="C20080" s="0" t="s">
        <v>146</v>
      </c>
      <c r="E20080" s="0" t="s">
        <v>147</v>
      </c>
      <c r="F20080" s="0" t="s">
        <v>148</v>
      </c>
    </row>
    <row r="20081" customFormat="false" ht="12.8" hidden="false" customHeight="false" outlineLevel="0" collapsed="false">
      <c r="B20081" s="0" t="s">
        <v>8</v>
      </c>
      <c r="C20081" s="0" t="s">
        <v>149</v>
      </c>
      <c r="E20081" s="0" t="s">
        <v>150</v>
      </c>
      <c r="F20081" s="0" t="s">
        <v>151</v>
      </c>
    </row>
    <row r="20083" customFormat="false" ht="12.8" hidden="false" customHeight="false" outlineLevel="0" collapsed="false">
      <c r="A20083" s="0" t="s">
        <v>8349</v>
      </c>
      <c r="B20083" s="0" t="str">
        <f aca="false">HYPERLINK("https://lindat.mff.cuni.cz/services/teitok/pdtc10/index.php?action=vallex&amp;frame=v-w2465f1", "obezdívat (v-w2465f1)")</f>
        <v>obezdívat (v-w2465f1)</v>
      </c>
    </row>
    <row r="20084" customFormat="false" ht="12.8" hidden="false" customHeight="false" outlineLevel="0" collapsed="false">
      <c r="B20084" s="0" t="s">
        <v>1</v>
      </c>
    </row>
    <row r="20085" customFormat="false" ht="12.8" hidden="false" customHeight="false" outlineLevel="0" collapsed="false">
      <c r="B20085" s="0" t="s">
        <v>8</v>
      </c>
    </row>
    <row r="20087" customFormat="false" ht="12.8" hidden="false" customHeight="false" outlineLevel="0" collapsed="false">
      <c r="A20087" s="0" t="s">
        <v>8350</v>
      </c>
      <c r="B20087" s="0" t="str">
        <f aca="false">HYPERLINK("https://lindat.mff.cuni.cz/services/teitok/pdtc10/index.php?action=vallex&amp;frame=v-w2466f1", "obeznámit (v-w2466f1)")</f>
        <v>obeznámit (v-w2466f1)</v>
      </c>
      <c r="E20087" s="0" t="str">
        <f aca="false">HYPERLINK("https://lindat.mff.cuni.cz/services/SynSemClass40/SynSemClass40.html?veclass=vec00846#vec00846-ces-cm00001", "vec00846")</f>
        <v>vec00846</v>
      </c>
      <c r="F20087" s="0" t="s">
        <v>8351</v>
      </c>
    </row>
    <row r="20088" customFormat="false" ht="12.8" hidden="false" customHeight="false" outlineLevel="0" collapsed="false">
      <c r="B20088" s="0" t="s">
        <v>1</v>
      </c>
      <c r="E20088" s="0" t="s">
        <v>63</v>
      </c>
      <c r="F20088" s="0" t="s">
        <v>8352</v>
      </c>
    </row>
    <row r="20089" customFormat="false" ht="12.8" hidden="false" customHeight="false" outlineLevel="0" collapsed="false">
      <c r="B20089" s="0" t="s">
        <v>721</v>
      </c>
      <c r="C20089" s="0" t="s">
        <v>1910</v>
      </c>
      <c r="E20089" s="0" t="s">
        <v>218</v>
      </c>
      <c r="F20089" s="0" t="s">
        <v>8353</v>
      </c>
    </row>
    <row r="20090" customFormat="false" ht="12.8" hidden="false" customHeight="false" outlineLevel="0" collapsed="false">
      <c r="B20090" s="0" t="s">
        <v>98</v>
      </c>
      <c r="C20090" s="0" t="s">
        <v>8354</v>
      </c>
      <c r="E20090" s="0" t="s">
        <v>221</v>
      </c>
      <c r="F20090" s="0" t="s">
        <v>8355</v>
      </c>
    </row>
    <row r="20092" customFormat="false" ht="12.8" hidden="false" customHeight="false" outlineLevel="0" collapsed="false">
      <c r="A20092" s="0" t="s">
        <v>8356</v>
      </c>
      <c r="B20092" s="0" t="str">
        <f aca="false">HYPERLINK("https://lindat.mff.cuni.cz/services/teitok/pdtc10/index.php?action=vallex&amp;frame=v-whsa_159hsa_160", "obeznámit se (v-whsa_159hsa_160)")</f>
        <v>obeznámit se (v-whsa_159hsa_160)</v>
      </c>
    </row>
    <row r="20093" customFormat="false" ht="12.8" hidden="false" customHeight="false" outlineLevel="0" collapsed="false">
      <c r="B20093" s="0" t="s">
        <v>1</v>
      </c>
    </row>
    <row r="20094" customFormat="false" ht="12.8" hidden="false" customHeight="false" outlineLevel="0" collapsed="false">
      <c r="B20094" s="0" t="s">
        <v>721</v>
      </c>
    </row>
    <row r="20096" customFormat="false" ht="12.8" hidden="false" customHeight="false" outlineLevel="0" collapsed="false">
      <c r="A20096" s="0" t="s">
        <v>8357</v>
      </c>
      <c r="B20096" s="0" t="str">
        <f aca="false">HYPERLINK("https://lindat.mff.cuni.cz/services/teitok/pdtc10/index.php?action=vallex&amp;frame=v-w2472f1", "obhajovat (v-w2472f1)")</f>
        <v>obhajovat (v-w2472f1)</v>
      </c>
      <c r="E20096" s="0" t="str">
        <f aca="false">HYPERLINK("https://lindat.mff.cuni.cz/services/SynSemClass40/SynSemClass40.html?veclass=vec00244#vec00244-ces-cm00001", "vec00244")</f>
        <v>vec00244</v>
      </c>
      <c r="F20096" s="0" t="s">
        <v>567</v>
      </c>
    </row>
    <row r="20097" customFormat="false" ht="12.8" hidden="false" customHeight="false" outlineLevel="0" collapsed="false">
      <c r="B20097" s="0" t="s">
        <v>1</v>
      </c>
      <c r="C20097" s="0" t="s">
        <v>568</v>
      </c>
      <c r="E20097" s="0" t="s">
        <v>569</v>
      </c>
      <c r="F20097" s="0" t="s">
        <v>570</v>
      </c>
    </row>
    <row r="20098" customFormat="false" ht="12.8" hidden="false" customHeight="false" outlineLevel="0" collapsed="false">
      <c r="B20098" s="0" t="s">
        <v>8</v>
      </c>
      <c r="C20098" s="0" t="s">
        <v>571</v>
      </c>
      <c r="E20098" s="0" t="s">
        <v>572</v>
      </c>
      <c r="F20098" s="0" t="s">
        <v>573</v>
      </c>
    </row>
    <row r="20100" customFormat="false" ht="12.8" hidden="false" customHeight="false" outlineLevel="0" collapsed="false">
      <c r="A20100" s="0" t="s">
        <v>8358</v>
      </c>
      <c r="B20100" s="0" t="str">
        <f aca="false">HYPERLINK("https://lindat.mff.cuni.cz/services/teitok/pdtc10/index.php?action=vallex&amp;frame=v-whsa_1149hsa_1150", "obhlédnout (v-whsa_1149hsa_1150)")</f>
        <v>obhlédnout (v-whsa_1149hsa_1150)</v>
      </c>
    </row>
    <row r="20101" customFormat="false" ht="12.8" hidden="false" customHeight="false" outlineLevel="0" collapsed="false">
      <c r="B20101" s="0" t="s">
        <v>1</v>
      </c>
    </row>
    <row r="20102" customFormat="false" ht="12.8" hidden="false" customHeight="false" outlineLevel="0" collapsed="false">
      <c r="B20102" s="0" t="s">
        <v>8</v>
      </c>
    </row>
    <row r="20104" customFormat="false" ht="12.8" hidden="false" customHeight="false" outlineLevel="0" collapsed="false">
      <c r="A20104" s="0" t="s">
        <v>8359</v>
      </c>
      <c r="B20104" s="0" t="str">
        <f aca="false">HYPERLINK("https://lindat.mff.cuni.cz/services/teitok/pdtc10/index.php?action=vallex&amp;frame=v-w2474f1", "obhlédnout si (v-w2474f1)")</f>
        <v>obhlédnout si (v-w2474f1)</v>
      </c>
    </row>
    <row r="20105" customFormat="false" ht="12.8" hidden="false" customHeight="false" outlineLevel="0" collapsed="false">
      <c r="B20105" s="0" t="s">
        <v>1</v>
      </c>
    </row>
    <row r="20106" customFormat="false" ht="12.8" hidden="false" customHeight="false" outlineLevel="0" collapsed="false">
      <c r="B20106" s="0" t="s">
        <v>3168</v>
      </c>
    </row>
    <row r="20108" customFormat="false" ht="12.8" hidden="false" customHeight="false" outlineLevel="0" collapsed="false">
      <c r="A20108" s="0" t="s">
        <v>8360</v>
      </c>
      <c r="B20108" s="0" t="str">
        <f aca="false">HYPERLINK("https://lindat.mff.cuni.cz/services/teitok/pdtc10/index.php?action=vallex&amp;frame=v-w12119_ZUf1_ZU", "obhlížet (v-w12119_ZUf1_ZU)")</f>
        <v>obhlížet (v-w12119_ZUf1_ZU)</v>
      </c>
    </row>
    <row r="20109" customFormat="false" ht="12.8" hidden="false" customHeight="false" outlineLevel="0" collapsed="false">
      <c r="B20109" s="0" t="s">
        <v>1</v>
      </c>
    </row>
    <row r="20110" customFormat="false" ht="12.8" hidden="false" customHeight="false" outlineLevel="0" collapsed="false">
      <c r="B20110" s="0" t="s">
        <v>8</v>
      </c>
    </row>
    <row r="20112" customFormat="false" ht="12.8" hidden="false" customHeight="false" outlineLevel="0" collapsed="false">
      <c r="A20112" s="0" t="s">
        <v>8361</v>
      </c>
      <c r="B20112" s="0" t="str">
        <f aca="false">HYPERLINK("https://lindat.mff.cuni.cz/services/teitok/pdtc10/index.php?action=vallex&amp;frame=v-whsa_7hsa_8", "obhospodařit (v-whsa_7hsa_8)")</f>
        <v>obhospodařit (v-whsa_7hsa_8)</v>
      </c>
      <c r="E20112" s="0" t="str">
        <f aca="false">HYPERLINK("https://lindat.mff.cuni.cz/services/SynSemClass40/SynSemClass40.html?veclass=vec00277#vec00277-ces-cm00143", "vec00277")</f>
        <v>vec00277</v>
      </c>
      <c r="F20112" s="0" t="s">
        <v>2025</v>
      </c>
    </row>
    <row r="20113" customFormat="false" ht="12.8" hidden="false" customHeight="false" outlineLevel="0" collapsed="false">
      <c r="B20113" s="0" t="s">
        <v>1</v>
      </c>
      <c r="C20113" s="0" t="s">
        <v>2026</v>
      </c>
      <c r="E20113" s="0" t="s">
        <v>2027</v>
      </c>
      <c r="F20113" s="0" t="s">
        <v>2028</v>
      </c>
    </row>
    <row r="20114" customFormat="false" ht="12.8" hidden="false" customHeight="false" outlineLevel="0" collapsed="false">
      <c r="B20114" s="0" t="s">
        <v>8</v>
      </c>
      <c r="C20114" s="0" t="s">
        <v>2029</v>
      </c>
      <c r="E20114" s="0" t="s">
        <v>1995</v>
      </c>
      <c r="F20114" s="0" t="s">
        <v>2030</v>
      </c>
    </row>
    <row r="20116" customFormat="false" ht="12.8" hidden="false" customHeight="false" outlineLevel="0" collapsed="false">
      <c r="A20116" s="0" t="s">
        <v>8362</v>
      </c>
      <c r="B20116" s="0" t="str">
        <f aca="false">HYPERLINK("https://lindat.mff.cuni.cz/services/teitok/pdtc10/index.php?action=vallex&amp;frame=v-w2476f1", "obhospodařovat (v-w2476f1)")</f>
        <v>obhospodařovat (v-w2476f1)</v>
      </c>
      <c r="E20116" s="0" t="str">
        <f aca="false">HYPERLINK("https://lindat.mff.cuni.cz/services/SynSemClass40/SynSemClass40.html?veclass=vec00277#vec00277-ces-cm00087", "vec00277")</f>
        <v>vec00277</v>
      </c>
      <c r="F20116" s="0" t="s">
        <v>2025</v>
      </c>
    </row>
    <row r="20117" customFormat="false" ht="12.8" hidden="false" customHeight="false" outlineLevel="0" collapsed="false">
      <c r="B20117" s="0" t="s">
        <v>1</v>
      </c>
      <c r="C20117" s="0" t="s">
        <v>2026</v>
      </c>
      <c r="E20117" s="0" t="s">
        <v>2027</v>
      </c>
      <c r="F20117" s="0" t="s">
        <v>2028</v>
      </c>
    </row>
    <row r="20118" customFormat="false" ht="12.8" hidden="false" customHeight="false" outlineLevel="0" collapsed="false">
      <c r="B20118" s="0" t="s">
        <v>8</v>
      </c>
      <c r="C20118" s="0" t="s">
        <v>2029</v>
      </c>
      <c r="E20118" s="0" t="s">
        <v>1995</v>
      </c>
      <c r="F20118" s="0" t="s">
        <v>2030</v>
      </c>
    </row>
    <row r="20120" customFormat="false" ht="12.8" hidden="false" customHeight="false" outlineLevel="0" collapsed="false">
      <c r="A20120" s="0" t="s">
        <v>8363</v>
      </c>
      <c r="B20120" s="0" t="str">
        <f aca="false">HYPERLINK("https://lindat.mff.cuni.cz/services/teitok/pdtc10/index.php?action=vallex&amp;frame=v-w2468f1", "obhájit (v-w2468f1)")</f>
        <v>obhájit (v-w2468f1)</v>
      </c>
      <c r="E20120" s="0" t="str">
        <f aca="false">HYPERLINK("https://lindat.mff.cuni.cz/services/SynSemClass40/SynSemClass40.html?veclass=vec00244#vec00244-ces-cm00011", "vec00244")</f>
        <v>vec00244</v>
      </c>
      <c r="F20120" s="0" t="s">
        <v>567</v>
      </c>
    </row>
    <row r="20121" customFormat="false" ht="12.8" hidden="false" customHeight="false" outlineLevel="0" collapsed="false">
      <c r="B20121" s="0" t="s">
        <v>1</v>
      </c>
      <c r="C20121" s="0" t="s">
        <v>568</v>
      </c>
      <c r="E20121" s="0" t="s">
        <v>569</v>
      </c>
      <c r="F20121" s="0" t="s">
        <v>570</v>
      </c>
    </row>
    <row r="20122" customFormat="false" ht="12.8" hidden="false" customHeight="false" outlineLevel="0" collapsed="false">
      <c r="B20122" s="0" t="s">
        <v>59</v>
      </c>
      <c r="C20122" s="0" t="s">
        <v>571</v>
      </c>
      <c r="E20122" s="0" t="s">
        <v>572</v>
      </c>
      <c r="F20122" s="0" t="s">
        <v>573</v>
      </c>
    </row>
    <row r="20124" customFormat="false" ht="12.8" hidden="false" customHeight="false" outlineLevel="0" collapsed="false">
      <c r="A20124" s="0" t="s">
        <v>8364</v>
      </c>
      <c r="B20124" s="0" t="str">
        <f aca="false">HYPERLINK("https://lindat.mff.cuni.cz/services/teitok/pdtc10/index.php?action=vallex&amp;frame=v-w2468hsa_702", "obhájit (v-w2468hsa_702)")</f>
        <v>obhájit (v-w2468hsa_702)</v>
      </c>
    </row>
    <row r="20125" customFormat="false" ht="12.8" hidden="false" customHeight="false" outlineLevel="0" collapsed="false">
      <c r="B20125" s="0" t="s">
        <v>1</v>
      </c>
    </row>
    <row r="20126" customFormat="false" ht="12.8" hidden="false" customHeight="false" outlineLevel="0" collapsed="false">
      <c r="B20126" s="0" t="s">
        <v>8</v>
      </c>
    </row>
    <row r="20128" customFormat="false" ht="12.8" hidden="false" customHeight="false" outlineLevel="0" collapsed="false">
      <c r="A20128" s="0" t="s">
        <v>8365</v>
      </c>
      <c r="B20128" s="0" t="str">
        <f aca="false">HYPERLINK("https://lindat.mff.cuni.cz/services/teitok/pdtc10/index.php?action=vallex&amp;frame=v-w2486f1", "objasnit (v-w2486f1)")</f>
        <v>objasnit (v-w2486f1)</v>
      </c>
      <c r="E20128" s="0" t="str">
        <f aca="false">HYPERLINK("https://lindat.mff.cuni.cz/services/SynSemClass40/SynSemClass40.html?veclass=vec00450#vec00450-ces-cm00001", "vec00450")</f>
        <v>vec00450</v>
      </c>
      <c r="F20128" s="0" t="s">
        <v>8366</v>
      </c>
    </row>
    <row r="20129" customFormat="false" ht="12.8" hidden="false" customHeight="false" outlineLevel="0" collapsed="false">
      <c r="B20129" s="0" t="s">
        <v>1</v>
      </c>
      <c r="C20129" s="0" t="s">
        <v>8367</v>
      </c>
      <c r="E20129" s="0" t="s">
        <v>63</v>
      </c>
      <c r="F20129" s="0" t="s">
        <v>8368</v>
      </c>
    </row>
    <row r="20130" customFormat="false" ht="12.8" hidden="false" customHeight="false" outlineLevel="0" collapsed="false">
      <c r="B20130" s="0" t="s">
        <v>3028</v>
      </c>
      <c r="C20130" s="0" t="s">
        <v>8369</v>
      </c>
      <c r="E20130" s="0" t="s">
        <v>230</v>
      </c>
      <c r="F20130" s="0" t="s">
        <v>8370</v>
      </c>
    </row>
    <row r="20131" customFormat="false" ht="12.8" hidden="false" customHeight="false" outlineLevel="0" collapsed="false">
      <c r="B20131" s="0" t="s">
        <v>52</v>
      </c>
      <c r="C20131" s="0" t="s">
        <v>3733</v>
      </c>
      <c r="E20131" s="0" t="s">
        <v>221</v>
      </c>
      <c r="F20131" s="0" t="s">
        <v>8371</v>
      </c>
    </row>
    <row r="20133" customFormat="false" ht="12.8" hidden="false" customHeight="false" outlineLevel="0" collapsed="false">
      <c r="A20133" s="0" t="s">
        <v>8372</v>
      </c>
      <c r="B20133" s="0" t="str">
        <f aca="false">HYPERLINK("https://lindat.mff.cuni.cz/services/teitok/pdtc10/index.php?action=vallex&amp;frame=v-w2487f1", "objasňovat (v-w2487f1)")</f>
        <v>objasňovat (v-w2487f1)</v>
      </c>
      <c r="E20133" s="0" t="str">
        <f aca="false">HYPERLINK("https://lindat.mff.cuni.cz/services/SynSemClass40/SynSemClass40.html?veclass=vec00450#vec00450-ces-cm00003", "vec00450")</f>
        <v>vec00450</v>
      </c>
      <c r="F20133" s="0" t="s">
        <v>8366</v>
      </c>
    </row>
    <row r="20134" customFormat="false" ht="12.8" hidden="false" customHeight="false" outlineLevel="0" collapsed="false">
      <c r="B20134" s="0" t="s">
        <v>1</v>
      </c>
      <c r="C20134" s="0" t="s">
        <v>8367</v>
      </c>
      <c r="E20134" s="0" t="s">
        <v>63</v>
      </c>
      <c r="F20134" s="0" t="s">
        <v>8368</v>
      </c>
    </row>
    <row r="20135" customFormat="false" ht="12.8" hidden="false" customHeight="false" outlineLevel="0" collapsed="false">
      <c r="B20135" s="0" t="s">
        <v>8373</v>
      </c>
      <c r="C20135" s="0" t="s">
        <v>8369</v>
      </c>
      <c r="E20135" s="0" t="s">
        <v>230</v>
      </c>
      <c r="F20135" s="0" t="s">
        <v>8370</v>
      </c>
    </row>
    <row r="20136" customFormat="false" ht="12.8" hidden="false" customHeight="false" outlineLevel="0" collapsed="false">
      <c r="B20136" s="0" t="s">
        <v>52</v>
      </c>
      <c r="C20136" s="0" t="s">
        <v>3733</v>
      </c>
      <c r="E20136" s="0" t="s">
        <v>221</v>
      </c>
      <c r="F20136" s="0" t="s">
        <v>8371</v>
      </c>
    </row>
    <row r="20138" customFormat="false" ht="12.8" hidden="false" customHeight="false" outlineLevel="0" collapsed="false">
      <c r="A20138" s="0" t="s">
        <v>8374</v>
      </c>
      <c r="B20138" s="0" t="str">
        <f aca="false">HYPERLINK("https://lindat.mff.cuni.cz/services/teitok/pdtc10/index.php?action=vallex&amp;frame=v-w2489f2_ZU", "objednat (v-w2489f2_ZU)")</f>
        <v>objednat (v-w2489f2_ZU)</v>
      </c>
    </row>
    <row r="20139" customFormat="false" ht="12.8" hidden="false" customHeight="false" outlineLevel="0" collapsed="false">
      <c r="B20139" s="0" t="s">
        <v>1</v>
      </c>
    </row>
    <row r="20140" customFormat="false" ht="12.8" hidden="false" customHeight="false" outlineLevel="0" collapsed="false">
      <c r="B20140" s="0" t="s">
        <v>8</v>
      </c>
    </row>
    <row r="20141" customFormat="false" ht="12.8" hidden="false" customHeight="false" outlineLevel="0" collapsed="false">
      <c r="B20141" s="0" t="s">
        <v>602</v>
      </c>
    </row>
    <row r="20143" customFormat="false" ht="12.8" hidden="false" customHeight="false" outlineLevel="0" collapsed="false">
      <c r="A20143" s="0" t="s">
        <v>8374</v>
      </c>
      <c r="B20143" s="0" t="str">
        <f aca="false">HYPERLINK("https://lindat.mff.cuni.cz/services/teitok/pdtc10/index.php?action=vallex&amp;frame=v-w2489f1", "objednat (v-w2489f1) - substituted with v-w2489f2_ZU")</f>
        <v>objednat (v-w2489f1) - substituted with v-w2489f2_ZU</v>
      </c>
      <c r="E20143" s="0" t="str">
        <f aca="false">HYPERLINK("https://lindat.mff.cuni.cz/services/SynSemClass40/SynSemClass40.html?veclass=vec00451#vec00451-ces-cm00001", "vec00451")</f>
        <v>vec00451</v>
      </c>
      <c r="F20143" s="0" t="s">
        <v>8375</v>
      </c>
    </row>
    <row r="20144" customFormat="false" ht="12.8" hidden="false" customHeight="false" outlineLevel="0" collapsed="false">
      <c r="B20144" s="0" t="s">
        <v>1</v>
      </c>
      <c r="C20144" s="0" t="s">
        <v>239</v>
      </c>
      <c r="E20144" s="0" t="s">
        <v>3441</v>
      </c>
      <c r="F20144" s="0" t="s">
        <v>8376</v>
      </c>
    </row>
    <row r="20145" customFormat="false" ht="12.8" hidden="false" customHeight="false" outlineLevel="0" collapsed="false">
      <c r="B20145" s="0" t="s">
        <v>8</v>
      </c>
      <c r="C20145" s="0" t="s">
        <v>2627</v>
      </c>
      <c r="E20145" s="0" t="s">
        <v>1985</v>
      </c>
      <c r="F20145" s="0" t="s">
        <v>8377</v>
      </c>
    </row>
    <row r="20146" customFormat="false" ht="12.8" hidden="false" customHeight="false" outlineLevel="0" collapsed="false">
      <c r="B20146" s="0" t="s">
        <v>602</v>
      </c>
    </row>
    <row r="20148" customFormat="false" ht="12.8" hidden="false" customHeight="false" outlineLevel="0" collapsed="false">
      <c r="A20148" s="0" t="s">
        <v>8374</v>
      </c>
      <c r="B20148" s="0" t="str">
        <f aca="false">HYPERLINK("https://lindat.mff.cuni.cz/services/teitok/pdtc10/index.php?action=vallex&amp;frame=v-w2489hsa_511", "objednat (v-w2489hsa_511) - substituted with v-w2489f2_ZU")</f>
        <v>objednat (v-w2489hsa_511) - substituted with v-w2489f2_ZU</v>
      </c>
    </row>
    <row r="20149" customFormat="false" ht="12.8" hidden="false" customHeight="false" outlineLevel="0" collapsed="false">
      <c r="B20149" s="0" t="s">
        <v>1</v>
      </c>
    </row>
    <row r="20150" customFormat="false" ht="12.8" hidden="false" customHeight="false" outlineLevel="0" collapsed="false">
      <c r="B20150" s="0" t="s">
        <v>8</v>
      </c>
    </row>
    <row r="20151" customFormat="false" ht="12.8" hidden="false" customHeight="false" outlineLevel="0" collapsed="false">
      <c r="B20151" s="0" t="s">
        <v>602</v>
      </c>
    </row>
    <row r="20153" customFormat="false" ht="12.8" hidden="false" customHeight="false" outlineLevel="0" collapsed="false">
      <c r="A20153" s="0" t="s">
        <v>8378</v>
      </c>
      <c r="B20153" s="0" t="str">
        <f aca="false">HYPERLINK("https://lindat.mff.cuni.cz/services/teitok/pdtc10/index.php?action=vallex&amp;frame=v-w2489f3_ZU", "objednat (v-w2489f3_ZU)")</f>
        <v>objednat (v-w2489f3_ZU)</v>
      </c>
    </row>
    <row r="20154" customFormat="false" ht="12.8" hidden="false" customHeight="false" outlineLevel="0" collapsed="false">
      <c r="B20154" s="0" t="s">
        <v>1</v>
      </c>
    </row>
    <row r="20155" customFormat="false" ht="12.8" hidden="false" customHeight="false" outlineLevel="0" collapsed="false">
      <c r="B20155" s="0" t="s">
        <v>8</v>
      </c>
    </row>
    <row r="20157" customFormat="false" ht="12.8" hidden="false" customHeight="false" outlineLevel="0" collapsed="false">
      <c r="A20157" s="0" t="s">
        <v>8379</v>
      </c>
      <c r="B20157" s="0" t="str">
        <f aca="false">HYPERLINK("https://lindat.mff.cuni.cz/services/teitok/pdtc10/index.php?action=vallex&amp;frame=v-w2491f2_ZU", "objednávat (v-w2491f2_ZU)")</f>
        <v>objednávat (v-w2491f2_ZU)</v>
      </c>
    </row>
    <row r="20158" customFormat="false" ht="12.8" hidden="false" customHeight="false" outlineLevel="0" collapsed="false">
      <c r="B20158" s="0" t="s">
        <v>1</v>
      </c>
    </row>
    <row r="20159" customFormat="false" ht="12.8" hidden="false" customHeight="false" outlineLevel="0" collapsed="false">
      <c r="B20159" s="0" t="s">
        <v>305</v>
      </c>
    </row>
    <row r="20161" customFormat="false" ht="12.8" hidden="false" customHeight="false" outlineLevel="0" collapsed="false">
      <c r="A20161" s="0" t="s">
        <v>8379</v>
      </c>
      <c r="B20161" s="0" t="str">
        <f aca="false">HYPERLINK("https://lindat.mff.cuni.cz/services/teitok/pdtc10/index.php?action=vallex&amp;frame=v-w2491f1", "objednávat (v-w2491f1) - substituted with v-w2491f2_ZU")</f>
        <v>objednávat (v-w2491f1) - substituted with v-w2491f2_ZU</v>
      </c>
      <c r="E20161" s="0" t="str">
        <f aca="false">HYPERLINK("https://lindat.mff.cuni.cz/services/SynSemClass40/SynSemClass40.html?veclass=vec00451#vec00451-ces-cm00003", "vec00451")</f>
        <v>vec00451</v>
      </c>
      <c r="F20161" s="0" t="s">
        <v>8375</v>
      </c>
    </row>
    <row r="20162" customFormat="false" ht="12.8" hidden="false" customHeight="false" outlineLevel="0" collapsed="false">
      <c r="B20162" s="0" t="s">
        <v>1</v>
      </c>
      <c r="C20162" s="0" t="s">
        <v>239</v>
      </c>
      <c r="E20162" s="0" t="s">
        <v>3441</v>
      </c>
      <c r="F20162" s="0" t="s">
        <v>8376</v>
      </c>
    </row>
    <row r="20163" customFormat="false" ht="12.8" hidden="false" customHeight="false" outlineLevel="0" collapsed="false">
      <c r="B20163" s="0" t="s">
        <v>305</v>
      </c>
      <c r="C20163" s="0" t="s">
        <v>2627</v>
      </c>
      <c r="E20163" s="0" t="s">
        <v>1985</v>
      </c>
      <c r="F20163" s="0" t="s">
        <v>8377</v>
      </c>
    </row>
    <row r="20165" customFormat="false" ht="12.8" hidden="false" customHeight="false" outlineLevel="0" collapsed="false">
      <c r="A20165" s="0" t="s">
        <v>8379</v>
      </c>
      <c r="B20165" s="0" t="str">
        <f aca="false">HYPERLINK("https://lindat.mff.cuni.cz/services/teitok/pdtc10/index.php?action=vallex&amp;frame=v-w2491hsa_594", "objednávat (v-w2491hsa_594) - substituted with v-w2491f2_ZU")</f>
        <v>objednávat (v-w2491hsa_594) - substituted with v-w2491f2_ZU</v>
      </c>
    </row>
    <row r="20166" customFormat="false" ht="12.8" hidden="false" customHeight="false" outlineLevel="0" collapsed="false">
      <c r="B20166" s="0" t="s">
        <v>1</v>
      </c>
    </row>
    <row r="20167" customFormat="false" ht="12.8" hidden="false" customHeight="false" outlineLevel="0" collapsed="false">
      <c r="B20167" s="0" t="s">
        <v>305</v>
      </c>
    </row>
    <row r="20169" customFormat="false" ht="12.8" hidden="false" customHeight="false" outlineLevel="0" collapsed="false">
      <c r="A20169" s="0" t="s">
        <v>8380</v>
      </c>
      <c r="B20169" s="0" t="str">
        <f aca="false">HYPERLINK("https://lindat.mff.cuni.cz/services/teitok/pdtc10/index.php?action=vallex&amp;frame=v-w2495f1", "objet (v-w2495f1)")</f>
        <v>objet (v-w2495f1)</v>
      </c>
    </row>
    <row r="20170" customFormat="false" ht="12.8" hidden="false" customHeight="false" outlineLevel="0" collapsed="false">
      <c r="B20170" s="0" t="s">
        <v>1</v>
      </c>
    </row>
    <row r="20171" customFormat="false" ht="12.8" hidden="false" customHeight="false" outlineLevel="0" collapsed="false">
      <c r="B20171" s="0" t="s">
        <v>8</v>
      </c>
    </row>
    <row r="20173" customFormat="false" ht="12.8" hidden="false" customHeight="false" outlineLevel="0" collapsed="false">
      <c r="A20173" s="0" t="s">
        <v>8381</v>
      </c>
      <c r="B20173" s="0" t="str">
        <f aca="false">HYPERLINK("https://lindat.mff.cuni.cz/services/teitok/pdtc10/index.php?action=vallex&amp;frame=v-w2495f2", "objet (v-w2495f2)")</f>
        <v>objet (v-w2495f2)</v>
      </c>
    </row>
    <row r="20174" customFormat="false" ht="12.8" hidden="false" customHeight="false" outlineLevel="0" collapsed="false">
      <c r="B20174" s="0" t="s">
        <v>1</v>
      </c>
    </row>
    <row r="20175" customFormat="false" ht="12.8" hidden="false" customHeight="false" outlineLevel="0" collapsed="false">
      <c r="B20175" s="0" t="s">
        <v>8</v>
      </c>
    </row>
    <row r="20177" customFormat="false" ht="12.8" hidden="false" customHeight="false" outlineLevel="0" collapsed="false">
      <c r="A20177" s="0" t="s">
        <v>8382</v>
      </c>
      <c r="B20177" s="0" t="str">
        <f aca="false">HYPERLINK("https://lindat.mff.cuni.cz/services/teitok/pdtc10/index.php?action=vallex&amp;frame=v-w2499f1", "objevit (v-w2499f1)")</f>
        <v>objevit (v-w2499f1)</v>
      </c>
      <c r="E20177" s="0" t="str">
        <f aca="false">HYPERLINK("https://lindat.mff.cuni.cz/services/SynSemClass40/SynSemClass40.html?veclass=vec00233#vec00233-ces-cm00019", "vec00233")</f>
        <v>vec00233</v>
      </c>
      <c r="F20177" s="0" t="s">
        <v>1065</v>
      </c>
    </row>
    <row r="20178" customFormat="false" ht="12.8" hidden="false" customHeight="false" outlineLevel="0" collapsed="false">
      <c r="B20178" s="0" t="s">
        <v>1</v>
      </c>
      <c r="C20178" s="0" t="s">
        <v>7077</v>
      </c>
      <c r="E20178" s="0" t="s">
        <v>2263</v>
      </c>
      <c r="F20178" s="0" t="s">
        <v>7078</v>
      </c>
    </row>
    <row r="20179" customFormat="false" ht="12.8" hidden="false" customHeight="false" outlineLevel="0" collapsed="false">
      <c r="B20179" s="0" t="s">
        <v>228</v>
      </c>
      <c r="C20179" s="0" t="s">
        <v>7079</v>
      </c>
      <c r="E20179" s="0" t="s">
        <v>7080</v>
      </c>
      <c r="F20179" s="0" t="s">
        <v>7081</v>
      </c>
    </row>
    <row r="20181" customFormat="false" ht="12.8" hidden="false" customHeight="false" outlineLevel="0" collapsed="false">
      <c r="A20181" s="0" t="s">
        <v>8383</v>
      </c>
      <c r="B20181" s="0" t="str">
        <f aca="false">HYPERLINK("https://lindat.mff.cuni.cz/services/teitok/pdtc10/index.php?action=vallex&amp;frame=v-w2500f1", "objevit se (v-w2500f1)")</f>
        <v>objevit se (v-w2500f1)</v>
      </c>
      <c r="E20181" s="0" t="str">
        <f aca="false">HYPERLINK("https://lindat.mff.cuni.cz/services/SynSemClass40/SynSemClass40.html?veclass=vec00245#vec00245-ces-cm00001", "vec00245")</f>
        <v>vec00245</v>
      </c>
      <c r="F20181" s="0" t="s">
        <v>6245</v>
      </c>
    </row>
    <row r="20182" customFormat="false" ht="12.8" hidden="false" customHeight="false" outlineLevel="0" collapsed="false">
      <c r="B20182" s="0" t="s">
        <v>1</v>
      </c>
      <c r="C20182" s="0" t="s">
        <v>8384</v>
      </c>
      <c r="E20182" s="0" t="s">
        <v>2923</v>
      </c>
      <c r="F20182" s="0" t="s">
        <v>6248</v>
      </c>
    </row>
    <row r="20183" customFormat="false" ht="12.8" hidden="false" customHeight="false" outlineLevel="0" collapsed="false">
      <c r="B20183" s="0" t="s">
        <v>5</v>
      </c>
      <c r="E20183" s="0" t="s">
        <v>3254</v>
      </c>
      <c r="F20183" s="0" t="s">
        <v>3255</v>
      </c>
    </row>
    <row r="20185" customFormat="false" ht="12.8" hidden="false" customHeight="false" outlineLevel="0" collapsed="false">
      <c r="A20185" s="0" t="s">
        <v>8385</v>
      </c>
      <c r="B20185" s="0" t="str">
        <f aca="false">HYPERLINK("https://lindat.mff.cuni.cz/services/teitok/pdtc10/index.php?action=vallex&amp;frame=v-w2500f2", "objevit se (v-w2500f2)")</f>
        <v>objevit se (v-w2500f2)</v>
      </c>
      <c r="E20185" s="0" t="str">
        <f aca="false">HYPERLINK("https://lindat.mff.cuni.cz/services/SynSemClass40/SynSemClass40.html?veclass=vec00978#vec00978-ces-cm00035", "vec00978")</f>
        <v>vec00978</v>
      </c>
      <c r="F20185" s="0" t="s">
        <v>8386</v>
      </c>
    </row>
    <row r="20186" customFormat="false" ht="12.8" hidden="false" customHeight="false" outlineLevel="0" collapsed="false">
      <c r="B20186" s="0" t="s">
        <v>843</v>
      </c>
      <c r="C20186" s="0" t="s">
        <v>8387</v>
      </c>
      <c r="E20186" s="0" t="s">
        <v>2923</v>
      </c>
      <c r="F20186" s="0" t="s">
        <v>8388</v>
      </c>
    </row>
    <row r="20188" customFormat="false" ht="12.8" hidden="false" customHeight="false" outlineLevel="0" collapsed="false">
      <c r="A20188" s="0" t="s">
        <v>8389</v>
      </c>
      <c r="B20188" s="0" t="str">
        <f aca="false">HYPERLINK("https://lindat.mff.cuni.cz/services/teitok/pdtc10/index.php?action=vallex&amp;frame=v-w2501f1", "objevovat (v-w2501f1)")</f>
        <v>objevovat (v-w2501f1)</v>
      </c>
      <c r="E20188" s="0" t="str">
        <f aca="false">HYPERLINK("https://lindat.mff.cuni.cz/services/SynSemClass40/SynSemClass40.html?veclass=vec00233#vec00233-ces-cm00053", "vec00233")</f>
        <v>vec00233</v>
      </c>
      <c r="F20188" s="0" t="s">
        <v>1065</v>
      </c>
    </row>
    <row r="20189" customFormat="false" ht="12.8" hidden="false" customHeight="false" outlineLevel="0" collapsed="false">
      <c r="B20189" s="0" t="s">
        <v>1</v>
      </c>
      <c r="C20189" s="0" t="s">
        <v>7077</v>
      </c>
      <c r="E20189" s="0" t="s">
        <v>2263</v>
      </c>
      <c r="F20189" s="0" t="s">
        <v>7078</v>
      </c>
    </row>
    <row r="20190" customFormat="false" ht="12.8" hidden="false" customHeight="false" outlineLevel="0" collapsed="false">
      <c r="B20190" s="0" t="s">
        <v>228</v>
      </c>
      <c r="C20190" s="0" t="s">
        <v>7079</v>
      </c>
      <c r="E20190" s="0" t="s">
        <v>7080</v>
      </c>
      <c r="F20190" s="0" t="s">
        <v>7081</v>
      </c>
    </row>
    <row r="20192" customFormat="false" ht="12.8" hidden="false" customHeight="false" outlineLevel="0" collapsed="false">
      <c r="A20192" s="0" t="s">
        <v>8390</v>
      </c>
      <c r="B20192" s="0" t="str">
        <f aca="false">HYPERLINK("https://lindat.mff.cuni.cz/services/teitok/pdtc10/index.php?action=vallex&amp;frame=v-w2502f2", "objevovat se (v-w2502f2)")</f>
        <v>objevovat se (v-w2502f2)</v>
      </c>
      <c r="E20192" s="0" t="str">
        <f aca="false">HYPERLINK("https://lindat.mff.cuni.cz/services/SynSemClass40/SynSemClass40.html?veclass=vec00245#vec00245-ces-cm00015", "vec00245")</f>
        <v>vec00245</v>
      </c>
      <c r="F20192" s="0" t="s">
        <v>6245</v>
      </c>
    </row>
    <row r="20193" customFormat="false" ht="12.8" hidden="false" customHeight="false" outlineLevel="0" collapsed="false">
      <c r="B20193" s="0" t="s">
        <v>1</v>
      </c>
      <c r="C20193" s="0" t="s">
        <v>8384</v>
      </c>
      <c r="E20193" s="0" t="s">
        <v>2923</v>
      </c>
      <c r="F20193" s="0" t="s">
        <v>6248</v>
      </c>
    </row>
    <row r="20194" customFormat="false" ht="12.8" hidden="false" customHeight="false" outlineLevel="0" collapsed="false">
      <c r="B20194" s="0" t="s">
        <v>5</v>
      </c>
      <c r="E20194" s="0" t="s">
        <v>3254</v>
      </c>
      <c r="F20194" s="0" t="s">
        <v>3255</v>
      </c>
    </row>
    <row r="20196" customFormat="false" ht="12.8" hidden="false" customHeight="false" outlineLevel="0" collapsed="false">
      <c r="A20196" s="0" t="s">
        <v>8391</v>
      </c>
      <c r="B20196" s="0" t="str">
        <f aca="false">HYPERLINK("https://lindat.mff.cuni.cz/services/teitok/pdtc10/index.php?action=vallex&amp;frame=v-w2502f1", "objevovat se (v-w2502f1)")</f>
        <v>objevovat se (v-w2502f1)</v>
      </c>
      <c r="E20196" s="0" t="str">
        <f aca="false">HYPERLINK("https://lindat.mff.cuni.cz/services/SynSemClass40/SynSemClass40.html?veclass=vec00097#vec00097-ces-cm00107", "vec00097")</f>
        <v>vec00097</v>
      </c>
      <c r="F20196" s="0" t="s">
        <v>373</v>
      </c>
    </row>
    <row r="20197" customFormat="false" ht="12.8" hidden="false" customHeight="false" outlineLevel="0" collapsed="false">
      <c r="B20197" s="0" t="s">
        <v>1</v>
      </c>
      <c r="C20197" s="0" t="s">
        <v>374</v>
      </c>
      <c r="E20197" s="0" t="s">
        <v>375</v>
      </c>
      <c r="F20197" s="0" t="s">
        <v>376</v>
      </c>
    </row>
    <row r="20199" customFormat="false" ht="12.8" hidden="false" customHeight="false" outlineLevel="0" collapsed="false">
      <c r="A20199" s="0" t="s">
        <v>8392</v>
      </c>
      <c r="B20199" s="0" t="str">
        <f aca="false">HYPERLINK("https://lindat.mff.cuni.cz/services/teitok/pdtc10/index.php?action=vallex&amp;frame=v-whsa_1320hsa_1321", "objímat (v-whsa_1320hsa_1321)")</f>
        <v>objímat (v-whsa_1320hsa_1321)</v>
      </c>
    </row>
    <row r="20200" customFormat="false" ht="12.8" hidden="false" customHeight="false" outlineLevel="0" collapsed="false">
      <c r="B20200" s="0" t="s">
        <v>1</v>
      </c>
    </row>
    <row r="20201" customFormat="false" ht="12.8" hidden="false" customHeight="false" outlineLevel="0" collapsed="false">
      <c r="B20201" s="0" t="s">
        <v>8</v>
      </c>
    </row>
    <row r="20203" customFormat="false" ht="12.8" hidden="false" customHeight="false" outlineLevel="0" collapsed="false">
      <c r="A20203" s="0" t="s">
        <v>8393</v>
      </c>
      <c r="B20203" s="0" t="str">
        <f aca="false">HYPERLINK("https://lindat.mff.cuni.cz/services/teitok/pdtc10/index.php?action=vallex&amp;frame=v-w2503f1", "objíždět (v-w2503f1)")</f>
        <v>objíždět (v-w2503f1)</v>
      </c>
    </row>
    <row r="20204" customFormat="false" ht="12.8" hidden="false" customHeight="false" outlineLevel="0" collapsed="false">
      <c r="B20204" s="0" t="s">
        <v>1</v>
      </c>
    </row>
    <row r="20205" customFormat="false" ht="12.8" hidden="false" customHeight="false" outlineLevel="0" collapsed="false">
      <c r="B20205" s="0" t="s">
        <v>8</v>
      </c>
    </row>
    <row r="20207" customFormat="false" ht="12.8" hidden="false" customHeight="false" outlineLevel="0" collapsed="false">
      <c r="A20207" s="0" t="s">
        <v>8394</v>
      </c>
      <c r="B20207" s="0" t="str">
        <f aca="false">HYPERLINK("https://lindat.mff.cuni.cz/services/teitok/pdtc10/index.php?action=vallex&amp;frame=v-w11527_ZUf1_ZU", "obkličovat (v-w11527_ZUf1_ZU)")</f>
        <v>obkličovat (v-w11527_ZUf1_ZU)</v>
      </c>
      <c r="E20207" s="0" t="str">
        <f aca="false">HYPERLINK("https://lindat.mff.cuni.cz/services/SynSemClass40/SynSemClass40.html?veclass=vec00643#vec00643-ces-cm00007", "vec00643")</f>
        <v>vec00643</v>
      </c>
      <c r="F20207" s="0" t="s">
        <v>5957</v>
      </c>
      <c r="H20207" s="0" t="str">
        <f aca="false">HYPERLINK("https://lindat.mff.cuni.cz/services/SynSemClass40/SynSemClass40.html?veclass=vec01049#vec01049-ces-cm00006", "vec01049")</f>
        <v>vec01049</v>
      </c>
      <c r="I20207" s="0" t="s">
        <v>8395</v>
      </c>
    </row>
    <row r="20208" customFormat="false" ht="12.8" hidden="false" customHeight="false" outlineLevel="0" collapsed="false">
      <c r="B20208" s="0" t="s">
        <v>1</v>
      </c>
      <c r="C20208" s="0" t="s">
        <v>8396</v>
      </c>
      <c r="E20208" s="0" t="s">
        <v>5961</v>
      </c>
      <c r="F20208" s="0" t="s">
        <v>5962</v>
      </c>
      <c r="H20208" s="0" t="s">
        <v>196</v>
      </c>
      <c r="I20208" s="0" t="s">
        <v>8397</v>
      </c>
    </row>
    <row r="20209" customFormat="false" ht="12.8" hidden="false" customHeight="false" outlineLevel="0" collapsed="false">
      <c r="B20209" s="0" t="s">
        <v>8</v>
      </c>
      <c r="C20209" s="0" t="s">
        <v>8398</v>
      </c>
      <c r="E20209" s="0" t="s">
        <v>5966</v>
      </c>
      <c r="F20209" s="0" t="s">
        <v>5967</v>
      </c>
      <c r="H20209" s="0" t="s">
        <v>199</v>
      </c>
      <c r="I20209" s="0" t="s">
        <v>5727</v>
      </c>
    </row>
    <row r="20211" customFormat="false" ht="12.8" hidden="false" customHeight="false" outlineLevel="0" collapsed="false">
      <c r="A20211" s="0" t="s">
        <v>8399</v>
      </c>
      <c r="B20211" s="0" t="str">
        <f aca="false">HYPERLINK("https://lindat.mff.cuni.cz/services/teitok/pdtc10/index.php?action=vallex&amp;frame=v-w2508f1", "obklopit (v-w2508f1)")</f>
        <v>obklopit (v-w2508f1)</v>
      </c>
      <c r="E20211" s="0" t="str">
        <f aca="false">HYPERLINK("https://lindat.mff.cuni.cz/services/SynSemClass40/SynSemClass40.html?veclass=vec00643#vec00643-ces-cm00001", "vec00643")</f>
        <v>vec00643</v>
      </c>
      <c r="F20211" s="0" t="s">
        <v>5957</v>
      </c>
    </row>
    <row r="20212" customFormat="false" ht="12.8" hidden="false" customHeight="false" outlineLevel="0" collapsed="false">
      <c r="B20212" s="0" t="s">
        <v>1</v>
      </c>
      <c r="C20212" s="0" t="s">
        <v>8330</v>
      </c>
      <c r="E20212" s="0" t="s">
        <v>5961</v>
      </c>
      <c r="F20212" s="0" t="s">
        <v>5962</v>
      </c>
    </row>
    <row r="20213" customFormat="false" ht="12.8" hidden="false" customHeight="false" outlineLevel="0" collapsed="false">
      <c r="B20213" s="0" t="s">
        <v>8</v>
      </c>
      <c r="C20213" s="0" t="s">
        <v>8331</v>
      </c>
      <c r="E20213" s="0" t="s">
        <v>5966</v>
      </c>
      <c r="F20213" s="0" t="s">
        <v>5967</v>
      </c>
    </row>
    <row r="20215" customFormat="false" ht="12.8" hidden="false" customHeight="false" outlineLevel="0" collapsed="false">
      <c r="A20215" s="0" t="s">
        <v>8400</v>
      </c>
      <c r="B20215" s="0" t="str">
        <f aca="false">HYPERLINK("https://lindat.mff.cuni.cz/services/teitok/pdtc10/index.php?action=vallex&amp;frame=v-w2509f1", "obklopovat (v-w2509f1)")</f>
        <v>obklopovat (v-w2509f1)</v>
      </c>
      <c r="E20215" s="0" t="str">
        <f aca="false">HYPERLINK("https://lindat.mff.cuni.cz/services/SynSemClass40/SynSemClass40.html?veclass=vec00643#vec00643-ces-cm00003", "vec00643")</f>
        <v>vec00643</v>
      </c>
      <c r="F20215" s="0" t="s">
        <v>5957</v>
      </c>
    </row>
    <row r="20216" customFormat="false" ht="12.8" hidden="false" customHeight="false" outlineLevel="0" collapsed="false">
      <c r="B20216" s="0" t="s">
        <v>1</v>
      </c>
      <c r="C20216" s="0" t="s">
        <v>8330</v>
      </c>
      <c r="E20216" s="0" t="s">
        <v>5961</v>
      </c>
      <c r="F20216" s="0" t="s">
        <v>5962</v>
      </c>
    </row>
    <row r="20217" customFormat="false" ht="12.8" hidden="false" customHeight="false" outlineLevel="0" collapsed="false">
      <c r="B20217" s="0" t="s">
        <v>8</v>
      </c>
      <c r="C20217" s="0" t="s">
        <v>8331</v>
      </c>
      <c r="E20217" s="0" t="s">
        <v>5966</v>
      </c>
      <c r="F20217" s="0" t="s">
        <v>5967</v>
      </c>
    </row>
    <row r="20219" customFormat="false" ht="12.8" hidden="false" customHeight="false" outlineLevel="0" collapsed="false">
      <c r="A20219" s="0" t="s">
        <v>8401</v>
      </c>
      <c r="B20219" s="0" t="str">
        <f aca="false">HYPERLINK("https://lindat.mff.cuni.cz/services/teitok/pdtc10/index.php?action=vallex&amp;frame=v-w2506f1", "obklíčit (v-w2506f1)")</f>
        <v>obklíčit (v-w2506f1)</v>
      </c>
    </row>
    <row r="20220" customFormat="false" ht="12.8" hidden="false" customHeight="false" outlineLevel="0" collapsed="false">
      <c r="B20220" s="0" t="s">
        <v>1</v>
      </c>
    </row>
    <row r="20221" customFormat="false" ht="12.8" hidden="false" customHeight="false" outlineLevel="0" collapsed="false">
      <c r="B20221" s="0" t="s">
        <v>8</v>
      </c>
    </row>
    <row r="20223" customFormat="false" ht="12.8" hidden="false" customHeight="false" outlineLevel="0" collapsed="false">
      <c r="A20223" s="0" t="s">
        <v>8402</v>
      </c>
      <c r="B20223" s="0" t="str">
        <f aca="false">HYPERLINK("https://lindat.mff.cuni.cz/services/teitok/pdtc10/index.php?action=vallex&amp;frame=v-whsa_202hsa_203", "oblafnout (v-whsa_202hsa_203)")</f>
        <v>oblafnout (v-whsa_202hsa_203)</v>
      </c>
      <c r="E20223" s="0" t="str">
        <f aca="false">HYPERLINK("https://lindat.mff.cuni.cz/services/SynSemClass40/SynSemClass40.html?veclass=vec00671#vec00671-ces-cm00010", "vec00671")</f>
        <v>vec00671</v>
      </c>
      <c r="F20223" s="0" t="s">
        <v>8286</v>
      </c>
    </row>
    <row r="20224" customFormat="false" ht="12.8" hidden="false" customHeight="false" outlineLevel="0" collapsed="false">
      <c r="B20224" s="0" t="s">
        <v>1</v>
      </c>
      <c r="C20224" s="0" t="s">
        <v>4695</v>
      </c>
      <c r="E20224" s="0" t="s">
        <v>4726</v>
      </c>
      <c r="F20224" s="0" t="s">
        <v>8287</v>
      </c>
    </row>
    <row r="20225" customFormat="false" ht="12.8" hidden="false" customHeight="false" outlineLevel="0" collapsed="false">
      <c r="B20225" s="0" t="s">
        <v>8</v>
      </c>
      <c r="C20225" s="0" t="s">
        <v>2082</v>
      </c>
      <c r="E20225" s="0" t="s">
        <v>199</v>
      </c>
      <c r="F20225" s="0" t="s">
        <v>8288</v>
      </c>
    </row>
    <row r="20227" customFormat="false" ht="12.8" hidden="false" customHeight="false" outlineLevel="0" collapsed="false">
      <c r="A20227" s="0" t="s">
        <v>8403</v>
      </c>
      <c r="B20227" s="0" t="str">
        <f aca="false">HYPERLINK("https://lindat.mff.cuni.cz/services/teitok/pdtc10/index.php?action=vallex&amp;frame=v-w2511f1", "oblažovat (v-w2511f1)")</f>
        <v>oblažovat (v-w2511f1)</v>
      </c>
    </row>
    <row r="20228" customFormat="false" ht="12.8" hidden="false" customHeight="false" outlineLevel="0" collapsed="false">
      <c r="B20228" s="0" t="s">
        <v>1</v>
      </c>
    </row>
    <row r="20229" customFormat="false" ht="12.8" hidden="false" customHeight="false" outlineLevel="0" collapsed="false">
      <c r="B20229" s="0" t="s">
        <v>8</v>
      </c>
    </row>
    <row r="20231" customFormat="false" ht="12.8" hidden="false" customHeight="false" outlineLevel="0" collapsed="false">
      <c r="A20231" s="0" t="s">
        <v>8404</v>
      </c>
      <c r="B20231" s="0" t="str">
        <f aca="false">HYPERLINK("https://lindat.mff.cuni.cz/services/teitok/pdtc10/index.php?action=vallex&amp;frame=v-w12014_ZUf1_ZU", "oblbnout (v-w12014_ZUf1_ZU)")</f>
        <v>oblbnout (v-w12014_ZUf1_ZU)</v>
      </c>
    </row>
    <row r="20232" customFormat="false" ht="12.8" hidden="false" customHeight="false" outlineLevel="0" collapsed="false">
      <c r="B20232" s="0" t="s">
        <v>1</v>
      </c>
    </row>
    <row r="20233" customFormat="false" ht="12.8" hidden="false" customHeight="false" outlineLevel="0" collapsed="false">
      <c r="B20233" s="0" t="s">
        <v>8</v>
      </c>
    </row>
    <row r="20235" customFormat="false" ht="12.8" hidden="false" customHeight="false" outlineLevel="0" collapsed="false">
      <c r="A20235" s="0" t="s">
        <v>8405</v>
      </c>
      <c r="B20235" s="0" t="str">
        <f aca="false">HYPERLINK("https://lindat.mff.cuni.cz/services/teitok/pdtc10/index.php?action=vallex&amp;frame=v-w2519f1", "obletět (v-w2519f1)")</f>
        <v>obletět (v-w2519f1)</v>
      </c>
    </row>
    <row r="20236" customFormat="false" ht="12.8" hidden="false" customHeight="false" outlineLevel="0" collapsed="false">
      <c r="B20236" s="0" t="s">
        <v>1</v>
      </c>
    </row>
    <row r="20237" customFormat="false" ht="12.8" hidden="false" customHeight="false" outlineLevel="0" collapsed="false">
      <c r="B20237" s="0" t="s">
        <v>8</v>
      </c>
    </row>
    <row r="20239" customFormat="false" ht="12.8" hidden="false" customHeight="false" outlineLevel="0" collapsed="false">
      <c r="A20239" s="0" t="s">
        <v>8406</v>
      </c>
      <c r="B20239" s="0" t="str">
        <f aca="false">HYPERLINK("https://lindat.mff.cuni.cz/services/teitok/pdtc10/index.php?action=vallex&amp;frame=v-w10178f2", "obložit (v-w10178f2)")</f>
        <v>obložit (v-w10178f2)</v>
      </c>
      <c r="E20239" s="0" t="str">
        <f aca="false">HYPERLINK("https://lindat.mff.cuni.cz/services/SynSemClass40/SynSemClass40.html?veclass=vec00872#vec00872-ces-cm00014", "vec00872")</f>
        <v>vec00872</v>
      </c>
      <c r="F20239" s="0" t="s">
        <v>8290</v>
      </c>
    </row>
    <row r="20240" customFormat="false" ht="12.8" hidden="false" customHeight="false" outlineLevel="0" collapsed="false">
      <c r="B20240" s="0" t="s">
        <v>1</v>
      </c>
      <c r="C20240" s="0" t="s">
        <v>8291</v>
      </c>
      <c r="E20240" s="0" t="s">
        <v>8292</v>
      </c>
      <c r="F20240" s="0" t="s">
        <v>8293</v>
      </c>
    </row>
    <row r="20241" customFormat="false" ht="12.8" hidden="false" customHeight="false" outlineLevel="0" collapsed="false">
      <c r="B20241" s="0" t="s">
        <v>8</v>
      </c>
      <c r="C20241" s="0" t="s">
        <v>2627</v>
      </c>
      <c r="E20241" s="0" t="s">
        <v>8294</v>
      </c>
      <c r="F20241" s="0" t="s">
        <v>8295</v>
      </c>
    </row>
    <row r="20243" customFormat="false" ht="12.8" hidden="false" customHeight="false" outlineLevel="0" collapsed="false">
      <c r="A20243" s="0" t="s">
        <v>8407</v>
      </c>
      <c r="B20243" s="0" t="str">
        <f aca="false">HYPERLINK("https://lindat.mff.cuni.cz/services/teitok/pdtc10/index.php?action=vallex&amp;frame=v-w2512f1", "obléci (v-w2512f1)")</f>
        <v>obléci (v-w2512f1)</v>
      </c>
    </row>
    <row r="20244" customFormat="false" ht="12.8" hidden="false" customHeight="false" outlineLevel="0" collapsed="false">
      <c r="B20244" s="0" t="s">
        <v>1</v>
      </c>
    </row>
    <row r="20245" customFormat="false" ht="12.8" hidden="false" customHeight="false" outlineLevel="0" collapsed="false">
      <c r="B20245" s="0" t="s">
        <v>8</v>
      </c>
    </row>
    <row r="20246" customFormat="false" ht="12.8" hidden="false" customHeight="false" outlineLevel="0" collapsed="false">
      <c r="B20246" s="0" t="s">
        <v>132</v>
      </c>
    </row>
    <row r="20248" customFormat="false" ht="12.8" hidden="false" customHeight="false" outlineLevel="0" collapsed="false">
      <c r="A20248" s="0" t="s">
        <v>8408</v>
      </c>
      <c r="B20248" s="0" t="str">
        <f aca="false">HYPERLINK("https://lindat.mff.cuni.cz/services/teitok/pdtc10/index.php?action=vallex&amp;frame=v-w2512f2_ZU", "obléci (v-w2512f2_ZU)")</f>
        <v>obléci (v-w2512f2_ZU)</v>
      </c>
    </row>
    <row r="20249" customFormat="false" ht="12.8" hidden="false" customHeight="false" outlineLevel="0" collapsed="false">
      <c r="B20249" s="0" t="s">
        <v>1</v>
      </c>
    </row>
    <row r="20250" customFormat="false" ht="12.8" hidden="false" customHeight="false" outlineLevel="0" collapsed="false">
      <c r="B20250" s="0" t="s">
        <v>8</v>
      </c>
    </row>
    <row r="20251" customFormat="false" ht="12.8" hidden="false" customHeight="false" outlineLevel="0" collapsed="false">
      <c r="B20251" s="0" t="s">
        <v>245</v>
      </c>
    </row>
    <row r="20253" customFormat="false" ht="12.8" hidden="false" customHeight="false" outlineLevel="0" collapsed="false">
      <c r="A20253" s="0" t="s">
        <v>8409</v>
      </c>
      <c r="B20253" s="0" t="str">
        <f aca="false">HYPERLINK("https://lindat.mff.cuni.cz/services/teitok/pdtc10/index.php?action=vallex&amp;frame=v-w2515f1", "obléhat (v-w2515f1)")</f>
        <v>obléhat (v-w2515f1)</v>
      </c>
      <c r="E20253" s="0" t="str">
        <f aca="false">HYPERLINK("https://lindat.mff.cuni.cz/services/SynSemClass40/SynSemClass40.html?veclass=vec01049#vec01049-ces-cm00001", "vec01049")</f>
        <v>vec01049</v>
      </c>
      <c r="F20253" s="0" t="s">
        <v>8395</v>
      </c>
    </row>
    <row r="20254" customFormat="false" ht="12.8" hidden="false" customHeight="false" outlineLevel="0" collapsed="false">
      <c r="B20254" s="0" t="s">
        <v>1</v>
      </c>
      <c r="C20254" s="0" t="s">
        <v>512</v>
      </c>
      <c r="E20254" s="0" t="s">
        <v>196</v>
      </c>
      <c r="F20254" s="0" t="s">
        <v>8397</v>
      </c>
    </row>
    <row r="20255" customFormat="false" ht="12.8" hidden="false" customHeight="false" outlineLevel="0" collapsed="false">
      <c r="B20255" s="0" t="s">
        <v>8</v>
      </c>
      <c r="C20255" s="0" t="s">
        <v>744</v>
      </c>
      <c r="E20255" s="0" t="s">
        <v>199</v>
      </c>
      <c r="F20255" s="0" t="s">
        <v>5727</v>
      </c>
    </row>
    <row r="20257" customFormat="false" ht="12.8" hidden="false" customHeight="false" outlineLevel="0" collapsed="false">
      <c r="A20257" s="0" t="s">
        <v>8410</v>
      </c>
      <c r="B20257" s="0" t="str">
        <f aca="false">HYPERLINK("https://lindat.mff.cuni.cz/services/teitok/pdtc10/index.php?action=vallex&amp;frame=v-w2516f2", "oblékat (v-w2516f2)")</f>
        <v>oblékat (v-w2516f2)</v>
      </c>
      <c r="E20257" s="0" t="str">
        <f aca="false">HYPERLINK("https://lindat.mff.cuni.cz/services/SynSemClass40/SynSemClass40.html?veclass=vec01050#vec01050-ces-cm00001", "vec01050")</f>
        <v>vec01050</v>
      </c>
      <c r="F20257" s="0" t="s">
        <v>8411</v>
      </c>
    </row>
    <row r="20258" customFormat="false" ht="12.8" hidden="false" customHeight="false" outlineLevel="0" collapsed="false">
      <c r="B20258" s="0" t="s">
        <v>1</v>
      </c>
      <c r="C20258" s="0" t="s">
        <v>512</v>
      </c>
      <c r="E20258" s="0" t="s">
        <v>31</v>
      </c>
      <c r="F20258" s="0" t="s">
        <v>513</v>
      </c>
    </row>
    <row r="20259" customFormat="false" ht="12.8" hidden="false" customHeight="false" outlineLevel="0" collapsed="false">
      <c r="B20259" s="0" t="s">
        <v>8</v>
      </c>
      <c r="C20259" s="0" t="s">
        <v>800</v>
      </c>
      <c r="E20259" s="0" t="s">
        <v>7692</v>
      </c>
      <c r="F20259" s="0" t="s">
        <v>8412</v>
      </c>
    </row>
    <row r="20260" customFormat="false" ht="12.8" hidden="false" customHeight="false" outlineLevel="0" collapsed="false">
      <c r="B20260" s="0" t="s">
        <v>132</v>
      </c>
      <c r="E20260" s="0" t="s">
        <v>7694</v>
      </c>
      <c r="F20260" s="0" t="s">
        <v>7695</v>
      </c>
    </row>
    <row r="20262" customFormat="false" ht="12.8" hidden="false" customHeight="false" outlineLevel="0" collapsed="false">
      <c r="A20262" s="0" t="s">
        <v>8413</v>
      </c>
      <c r="B20262" s="0" t="str">
        <f aca="false">HYPERLINK("https://lindat.mff.cuni.cz/services/teitok/pdtc10/index.php?action=vallex&amp;frame=v-w2516f3_ZU", "oblékat (v-w2516f3_ZU)")</f>
        <v>oblékat (v-w2516f3_ZU)</v>
      </c>
    </row>
    <row r="20263" customFormat="false" ht="12.8" hidden="false" customHeight="false" outlineLevel="0" collapsed="false">
      <c r="B20263" s="0" t="s">
        <v>1</v>
      </c>
    </row>
    <row r="20264" customFormat="false" ht="12.8" hidden="false" customHeight="false" outlineLevel="0" collapsed="false">
      <c r="B20264" s="0" t="s">
        <v>8</v>
      </c>
    </row>
    <row r="20265" customFormat="false" ht="12.8" hidden="false" customHeight="false" outlineLevel="0" collapsed="false">
      <c r="B20265" s="0" t="s">
        <v>245</v>
      </c>
    </row>
    <row r="20267" customFormat="false" ht="12.8" hidden="false" customHeight="false" outlineLevel="0" collapsed="false">
      <c r="A20267" s="0" t="s">
        <v>8413</v>
      </c>
      <c r="B20267" s="0" t="str">
        <f aca="false">HYPERLINK("https://lindat.mff.cuni.cz/services/teitok/pdtc10/index.php?action=vallex&amp;frame=v-w2516f1", "oblékat (v-w2516f1) - substituted with v-w2516f3_ZU")</f>
        <v>oblékat (v-w2516f1) - substituted with v-w2516f3_ZU</v>
      </c>
    </row>
    <row r="20268" customFormat="false" ht="12.8" hidden="false" customHeight="false" outlineLevel="0" collapsed="false">
      <c r="B20268" s="0" t="s">
        <v>1</v>
      </c>
    </row>
    <row r="20269" customFormat="false" ht="12.8" hidden="false" customHeight="false" outlineLevel="0" collapsed="false">
      <c r="B20269" s="0" t="s">
        <v>8</v>
      </c>
    </row>
    <row r="20270" customFormat="false" ht="12.8" hidden="false" customHeight="false" outlineLevel="0" collapsed="false">
      <c r="B20270" s="0" t="s">
        <v>245</v>
      </c>
    </row>
    <row r="20272" customFormat="false" ht="12.8" hidden="false" customHeight="false" outlineLevel="0" collapsed="false">
      <c r="A20272" s="0" t="s">
        <v>8414</v>
      </c>
      <c r="B20272" s="0" t="str">
        <f aca="false">HYPERLINK("https://lindat.mff.cuni.cz/services/teitok/pdtc10/index.php?action=vallex&amp;frame=v-w2517f1", "oblékat se (v-w2517f1)")</f>
        <v>oblékat se (v-w2517f1)</v>
      </c>
      <c r="E20272" s="0" t="str">
        <f aca="false">HYPERLINK("https://lindat.mff.cuni.cz/services/SynSemClass40/SynSemClass40.html?veclass=vec01051#vec01051-ces-cm00001", "vec01051")</f>
        <v>vec01051</v>
      </c>
      <c r="F20272" s="0" t="s">
        <v>8415</v>
      </c>
    </row>
    <row r="20273" customFormat="false" ht="12.8" hidden="false" customHeight="false" outlineLevel="0" collapsed="false">
      <c r="B20273" s="0" t="s">
        <v>1</v>
      </c>
      <c r="C20273" s="0" t="s">
        <v>512</v>
      </c>
      <c r="E20273" s="0" t="s">
        <v>7690</v>
      </c>
      <c r="F20273" s="0" t="s">
        <v>8416</v>
      </c>
    </row>
    <row r="20275" customFormat="false" ht="12.8" hidden="false" customHeight="false" outlineLevel="0" collapsed="false">
      <c r="A20275" s="0" t="s">
        <v>8417</v>
      </c>
      <c r="B20275" s="0" t="str">
        <f aca="false">HYPERLINK("https://lindat.mff.cuni.cz/services/teitok/pdtc10/index.php?action=vallex&amp;frame=v-w2517hsa_1273", "oblékat se (v-w2517hsa_1273)")</f>
        <v>oblékat se (v-w2517hsa_1273)</v>
      </c>
    </row>
    <row r="20276" customFormat="false" ht="12.8" hidden="false" customHeight="false" outlineLevel="0" collapsed="false">
      <c r="B20276" s="0" t="s">
        <v>1</v>
      </c>
    </row>
    <row r="20277" customFormat="false" ht="12.8" hidden="false" customHeight="false" outlineLevel="0" collapsed="false">
      <c r="B20277" s="0" t="s">
        <v>4250</v>
      </c>
    </row>
    <row r="20279" customFormat="false" ht="12.8" hidden="false" customHeight="false" outlineLevel="0" collapsed="false">
      <c r="A20279" s="0" t="s">
        <v>8418</v>
      </c>
      <c r="B20279" s="0" t="str">
        <f aca="false">HYPERLINK("https://lindat.mff.cuni.cz/services/teitok/pdtc10/index.php?action=vallex&amp;frame=v-w2518f1", "obléknout (v-w2518f1)")</f>
        <v>obléknout (v-w2518f1)</v>
      </c>
    </row>
    <row r="20280" customFormat="false" ht="12.8" hidden="false" customHeight="false" outlineLevel="0" collapsed="false">
      <c r="B20280" s="0" t="s">
        <v>1</v>
      </c>
    </row>
    <row r="20281" customFormat="false" ht="12.8" hidden="false" customHeight="false" outlineLevel="0" collapsed="false">
      <c r="B20281" s="0" t="s">
        <v>8</v>
      </c>
    </row>
    <row r="20282" customFormat="false" ht="12.8" hidden="false" customHeight="false" outlineLevel="0" collapsed="false">
      <c r="B20282" s="0" t="s">
        <v>132</v>
      </c>
    </row>
    <row r="20284" customFormat="false" ht="12.8" hidden="false" customHeight="false" outlineLevel="0" collapsed="false">
      <c r="A20284" s="0" t="s">
        <v>8419</v>
      </c>
      <c r="B20284" s="0" t="str">
        <f aca="false">HYPERLINK("https://lindat.mff.cuni.cz/services/teitok/pdtc10/index.php?action=vallex&amp;frame=v-w2518f2", "obléknout (v-w2518f2)")</f>
        <v>obléknout (v-w2518f2)</v>
      </c>
    </row>
    <row r="20285" customFormat="false" ht="12.8" hidden="false" customHeight="false" outlineLevel="0" collapsed="false">
      <c r="B20285" s="0" t="s">
        <v>1</v>
      </c>
    </row>
    <row r="20286" customFormat="false" ht="12.8" hidden="false" customHeight="false" outlineLevel="0" collapsed="false">
      <c r="B20286" s="0" t="s">
        <v>8</v>
      </c>
    </row>
    <row r="20288" customFormat="false" ht="12.8" hidden="false" customHeight="false" outlineLevel="0" collapsed="false">
      <c r="A20288" s="0" t="s">
        <v>8420</v>
      </c>
      <c r="B20288" s="0" t="str">
        <f aca="false">HYPERLINK("https://lindat.mff.cuni.cz/services/teitok/pdtc10/index.php?action=vallex&amp;frame=v-w12053_ZUf1_ZU", "oblézt (v-w12053_ZUf1_ZU)")</f>
        <v>oblézt (v-w12053_ZUf1_ZU)</v>
      </c>
    </row>
    <row r="20289" customFormat="false" ht="12.8" hidden="false" customHeight="false" outlineLevel="0" collapsed="false">
      <c r="B20289" s="0" t="s">
        <v>1</v>
      </c>
    </row>
    <row r="20290" customFormat="false" ht="12.8" hidden="false" customHeight="false" outlineLevel="0" collapsed="false">
      <c r="B20290" s="0" t="s">
        <v>8</v>
      </c>
    </row>
    <row r="20292" customFormat="false" ht="12.8" hidden="false" customHeight="false" outlineLevel="0" collapsed="false">
      <c r="A20292" s="0" t="s">
        <v>8421</v>
      </c>
      <c r="B20292" s="0" t="str">
        <f aca="false">HYPERLINK("https://lindat.mff.cuni.cz/services/teitok/pdtc10/index.php?action=vallex&amp;frame=v-w2521f1", "oblíbit si (v-w2521f1)")</f>
        <v>oblíbit si (v-w2521f1)</v>
      </c>
      <c r="E20292" s="0" t="str">
        <f aca="false">HYPERLINK("https://lindat.mff.cuni.cz/services/SynSemClass40/SynSemClass40.html?veclass=vec00742#vec00742-ces-cm00025", "vec00742")</f>
        <v>vec00742</v>
      </c>
      <c r="F20292" s="0" t="s">
        <v>2689</v>
      </c>
    </row>
    <row r="20293" customFormat="false" ht="12.8" hidden="false" customHeight="false" outlineLevel="0" collapsed="false">
      <c r="B20293" s="0" t="s">
        <v>1</v>
      </c>
      <c r="C20293" s="0" t="s">
        <v>2690</v>
      </c>
      <c r="E20293" s="0" t="s">
        <v>266</v>
      </c>
      <c r="F20293" s="0" t="s">
        <v>2691</v>
      </c>
    </row>
    <row r="20294" customFormat="false" ht="12.8" hidden="false" customHeight="false" outlineLevel="0" collapsed="false">
      <c r="B20294" s="0" t="s">
        <v>8</v>
      </c>
      <c r="C20294" s="0" t="s">
        <v>2692</v>
      </c>
      <c r="E20294" s="0" t="s">
        <v>271</v>
      </c>
      <c r="F20294" s="0" t="s">
        <v>2693</v>
      </c>
    </row>
    <row r="20296" customFormat="false" ht="12.8" hidden="false" customHeight="false" outlineLevel="0" collapsed="false">
      <c r="A20296" s="0" t="s">
        <v>8422</v>
      </c>
      <c r="B20296" s="0" t="str">
        <f aca="false">HYPERLINK("https://lindat.mff.cuni.cz/services/teitok/pdtc10/index.php?action=vallex&amp;frame=v-w11875_ZUf1_ZU", "oblíkat (v-w11875_ZUf1_ZU)")</f>
        <v>oblíkat (v-w11875_ZUf1_ZU)</v>
      </c>
    </row>
    <row r="20297" customFormat="false" ht="12.8" hidden="false" customHeight="false" outlineLevel="0" collapsed="false">
      <c r="B20297" s="0" t="s">
        <v>1</v>
      </c>
    </row>
    <row r="20298" customFormat="false" ht="12.8" hidden="false" customHeight="false" outlineLevel="0" collapsed="false">
      <c r="B20298" s="0" t="s">
        <v>8</v>
      </c>
    </row>
    <row r="20299" customFormat="false" ht="12.8" hidden="false" customHeight="false" outlineLevel="0" collapsed="false">
      <c r="B20299" s="0" t="s">
        <v>245</v>
      </c>
    </row>
    <row r="20301" customFormat="false" ht="12.8" hidden="false" customHeight="false" outlineLevel="0" collapsed="false">
      <c r="A20301" s="0" t="s">
        <v>8423</v>
      </c>
      <c r="B20301" s="0" t="str">
        <f aca="false">HYPERLINK("https://lindat.mff.cuni.cz/services/teitok/pdtc10/index.php?action=vallex&amp;frame=v-whsa_1146hsa_1147", "oblíknout (v-whsa_1146hsa_1147)")</f>
        <v>oblíknout (v-whsa_1146hsa_1147)</v>
      </c>
    </row>
    <row r="20302" customFormat="false" ht="12.8" hidden="false" customHeight="false" outlineLevel="0" collapsed="false">
      <c r="B20302" s="0" t="s">
        <v>1</v>
      </c>
    </row>
    <row r="20303" customFormat="false" ht="12.8" hidden="false" customHeight="false" outlineLevel="0" collapsed="false">
      <c r="B20303" s="0" t="s">
        <v>8</v>
      </c>
    </row>
    <row r="20304" customFormat="false" ht="12.8" hidden="false" customHeight="false" outlineLevel="0" collapsed="false">
      <c r="B20304" s="0" t="s">
        <v>245</v>
      </c>
    </row>
    <row r="20306" customFormat="false" ht="12.8" hidden="false" customHeight="false" outlineLevel="0" collapsed="false">
      <c r="A20306" s="0" t="s">
        <v>8424</v>
      </c>
      <c r="B20306" s="0" t="str">
        <f aca="false">HYPERLINK("https://lindat.mff.cuni.cz/services/teitok/pdtc10/index.php?action=vallex&amp;frame=v-w2524f1", "obmyslet (v-w2524f1)")</f>
        <v>obmyslet (v-w2524f1)</v>
      </c>
    </row>
    <row r="20307" customFormat="false" ht="12.8" hidden="false" customHeight="false" outlineLevel="0" collapsed="false">
      <c r="B20307" s="0" t="s">
        <v>1</v>
      </c>
    </row>
    <row r="20308" customFormat="false" ht="12.8" hidden="false" customHeight="false" outlineLevel="0" collapsed="false">
      <c r="B20308" s="0" t="s">
        <v>8</v>
      </c>
    </row>
    <row r="20310" customFormat="false" ht="12.8" hidden="false" customHeight="false" outlineLevel="0" collapsed="false">
      <c r="A20310" s="0" t="s">
        <v>8425</v>
      </c>
      <c r="B20310" s="0" t="str">
        <f aca="false">HYPERLINK("https://lindat.mff.cuni.cz/services/teitok/pdtc10/index.php?action=vallex&amp;frame=v-w11100f2", "obměkčit (v-w11100f2)")</f>
        <v>obměkčit (v-w11100f2)</v>
      </c>
    </row>
    <row r="20311" customFormat="false" ht="12.8" hidden="false" customHeight="false" outlineLevel="0" collapsed="false">
      <c r="B20311" s="0" t="s">
        <v>1</v>
      </c>
    </row>
    <row r="20312" customFormat="false" ht="12.8" hidden="false" customHeight="false" outlineLevel="0" collapsed="false">
      <c r="B20312" s="0" t="s">
        <v>8</v>
      </c>
    </row>
    <row r="20314" customFormat="false" ht="12.8" hidden="false" customHeight="false" outlineLevel="0" collapsed="false">
      <c r="A20314" s="0" t="s">
        <v>8426</v>
      </c>
      <c r="B20314" s="0" t="str">
        <f aca="false">HYPERLINK("https://lindat.mff.cuni.cz/services/teitok/pdtc10/index.php?action=vallex&amp;frame=v-w10636f3_ZU", "obměňovat (v-w10636f3_ZU)")</f>
        <v>obměňovat (v-w10636f3_ZU)</v>
      </c>
    </row>
    <row r="20315" customFormat="false" ht="12.8" hidden="false" customHeight="false" outlineLevel="0" collapsed="false">
      <c r="B20315" s="0" t="s">
        <v>1</v>
      </c>
    </row>
    <row r="20316" customFormat="false" ht="12.8" hidden="false" customHeight="false" outlineLevel="0" collapsed="false">
      <c r="B20316" s="0" t="s">
        <v>8</v>
      </c>
    </row>
    <row r="20318" customFormat="false" ht="12.8" hidden="false" customHeight="false" outlineLevel="0" collapsed="false">
      <c r="A20318" s="0" t="s">
        <v>8426</v>
      </c>
      <c r="B20318" s="0" t="str">
        <f aca="false">HYPERLINK("https://lindat.mff.cuni.cz/services/teitok/pdtc10/index.php?action=vallex&amp;frame=v-w10636f2", "obměňovat (v-w10636f2) - substituted with v-w10636f3_ZU")</f>
        <v>obměňovat (v-w10636f2) - substituted with v-w10636f3_ZU</v>
      </c>
      <c r="E20318" s="0" t="str">
        <f aca="false">HYPERLINK("https://lindat.mff.cuni.cz/services/SynSemClass40/SynSemClass40.html?veclass=vec00429#vec00429-ces-cm00005", "vec00429")</f>
        <v>vec00429</v>
      </c>
      <c r="F20318" s="0" t="s">
        <v>6957</v>
      </c>
    </row>
    <row r="20319" customFormat="false" ht="12.8" hidden="false" customHeight="false" outlineLevel="0" collapsed="false">
      <c r="B20319" s="0" t="s">
        <v>1</v>
      </c>
      <c r="C20319" s="0" t="s">
        <v>6958</v>
      </c>
      <c r="E20319" s="0" t="s">
        <v>31</v>
      </c>
      <c r="F20319" s="0" t="s">
        <v>6959</v>
      </c>
    </row>
    <row r="20320" customFormat="false" ht="12.8" hidden="false" customHeight="false" outlineLevel="0" collapsed="false">
      <c r="B20320" s="0" t="s">
        <v>8</v>
      </c>
      <c r="C20320" s="0" t="s">
        <v>8427</v>
      </c>
      <c r="E20320" s="0" t="s">
        <v>8428</v>
      </c>
      <c r="F20320" s="0" t="s">
        <v>8429</v>
      </c>
    </row>
    <row r="20322" customFormat="false" ht="12.8" hidden="false" customHeight="false" outlineLevel="0" collapsed="false">
      <c r="A20322" s="0" t="s">
        <v>8430</v>
      </c>
      <c r="B20322" s="0" t="str">
        <f aca="false">HYPERLINK("https://lindat.mff.cuni.cz/services/teitok/pdtc10/index.php?action=vallex&amp;frame=v-w2526f1", "obnažovat (v-w2526f1)")</f>
        <v>obnažovat (v-w2526f1)</v>
      </c>
    </row>
    <row r="20323" customFormat="false" ht="12.8" hidden="false" customHeight="false" outlineLevel="0" collapsed="false">
      <c r="B20323" s="0" t="s">
        <v>1</v>
      </c>
    </row>
    <row r="20324" customFormat="false" ht="12.8" hidden="false" customHeight="false" outlineLevel="0" collapsed="false">
      <c r="B20324" s="0" t="s">
        <v>8</v>
      </c>
    </row>
    <row r="20326" customFormat="false" ht="12.8" hidden="false" customHeight="false" outlineLevel="0" collapsed="false">
      <c r="A20326" s="0" t="s">
        <v>8431</v>
      </c>
      <c r="B20326" s="0" t="str">
        <f aca="false">HYPERLINK("https://lindat.mff.cuni.cz/services/teitok/pdtc10/index.php?action=vallex&amp;frame=v-w10173f2", "obnosit (v-w10173f2)")</f>
        <v>obnosit (v-w10173f2)</v>
      </c>
    </row>
    <row r="20327" customFormat="false" ht="12.8" hidden="false" customHeight="false" outlineLevel="0" collapsed="false">
      <c r="B20327" s="0" t="s">
        <v>1</v>
      </c>
    </row>
    <row r="20328" customFormat="false" ht="12.8" hidden="false" customHeight="false" outlineLevel="0" collapsed="false">
      <c r="B20328" s="0" t="s">
        <v>8</v>
      </c>
    </row>
    <row r="20330" customFormat="false" ht="12.8" hidden="false" customHeight="false" outlineLevel="0" collapsed="false">
      <c r="A20330" s="0" t="s">
        <v>8432</v>
      </c>
      <c r="B20330" s="0" t="str">
        <f aca="false">HYPERLINK("https://lindat.mff.cuni.cz/services/teitok/pdtc10/index.php?action=vallex&amp;frame=v-w2529f1", "obnovit (v-w2529f1)")</f>
        <v>obnovit (v-w2529f1)</v>
      </c>
      <c r="E20330" s="0" t="str">
        <f aca="false">HYPERLINK("https://lindat.mff.cuni.cz/services/SynSemClass40/SynSemClass40.html?veclass=vec00246#vec00246-ces-cm00001", "vec00246")</f>
        <v>vec00246</v>
      </c>
      <c r="F20330" s="0" t="s">
        <v>8433</v>
      </c>
    </row>
    <row r="20331" customFormat="false" ht="12.8" hidden="false" customHeight="false" outlineLevel="0" collapsed="false">
      <c r="B20331" s="0" t="s">
        <v>1</v>
      </c>
      <c r="C20331" s="0" t="s">
        <v>8434</v>
      </c>
      <c r="E20331" s="0" t="s">
        <v>31</v>
      </c>
      <c r="F20331" s="0" t="s">
        <v>8435</v>
      </c>
    </row>
    <row r="20332" customFormat="false" ht="12.8" hidden="false" customHeight="false" outlineLevel="0" collapsed="false">
      <c r="B20332" s="0" t="s">
        <v>8</v>
      </c>
      <c r="C20332" s="0" t="s">
        <v>8436</v>
      </c>
      <c r="E20332" s="0" t="s">
        <v>79</v>
      </c>
      <c r="F20332" s="0" t="s">
        <v>8437</v>
      </c>
    </row>
    <row r="20334" customFormat="false" ht="12.8" hidden="false" customHeight="false" outlineLevel="0" collapsed="false">
      <c r="A20334" s="0" t="s">
        <v>8438</v>
      </c>
      <c r="B20334" s="0" t="str">
        <f aca="false">HYPERLINK("https://lindat.mff.cuni.cz/services/teitok/pdtc10/index.php?action=vallex&amp;frame=v-whsa_233hsa_234", "obnovit se (v-whsa_233hsa_234)")</f>
        <v>obnovit se (v-whsa_233hsa_234)</v>
      </c>
    </row>
    <row r="20335" customFormat="false" ht="12.8" hidden="false" customHeight="false" outlineLevel="0" collapsed="false">
      <c r="B20335" s="0" t="s">
        <v>1</v>
      </c>
    </row>
    <row r="20337" customFormat="false" ht="12.8" hidden="false" customHeight="false" outlineLevel="0" collapsed="false">
      <c r="A20337" s="0" t="s">
        <v>8439</v>
      </c>
      <c r="B20337" s="0" t="str">
        <f aca="false">HYPERLINK("https://lindat.mff.cuni.cz/services/teitok/pdtc10/index.php?action=vallex&amp;frame=v-w2531f1", "obnovovat (v-w2531f1)")</f>
        <v>obnovovat (v-w2531f1)</v>
      </c>
      <c r="E20337" s="0" t="str">
        <f aca="false">HYPERLINK("https://lindat.mff.cuni.cz/services/SynSemClass40/SynSemClass40.html?veclass=vec00246#vec00246-ces-cm00003", "vec00246")</f>
        <v>vec00246</v>
      </c>
      <c r="F20337" s="0" t="s">
        <v>8433</v>
      </c>
    </row>
    <row r="20338" customFormat="false" ht="12.8" hidden="false" customHeight="false" outlineLevel="0" collapsed="false">
      <c r="B20338" s="0" t="s">
        <v>1</v>
      </c>
      <c r="C20338" s="0" t="s">
        <v>8434</v>
      </c>
      <c r="E20338" s="0" t="s">
        <v>31</v>
      </c>
      <c r="F20338" s="0" t="s">
        <v>8435</v>
      </c>
    </row>
    <row r="20339" customFormat="false" ht="12.8" hidden="false" customHeight="false" outlineLevel="0" collapsed="false">
      <c r="B20339" s="0" t="s">
        <v>8</v>
      </c>
      <c r="C20339" s="0" t="s">
        <v>8436</v>
      </c>
      <c r="E20339" s="0" t="s">
        <v>79</v>
      </c>
      <c r="F20339" s="0" t="s">
        <v>8437</v>
      </c>
    </row>
    <row r="20341" customFormat="false" ht="12.8" hidden="false" customHeight="false" outlineLevel="0" collapsed="false">
      <c r="A20341" s="0" t="s">
        <v>8440</v>
      </c>
      <c r="B20341" s="0" t="str">
        <f aca="false">HYPERLINK("https://lindat.mff.cuni.cz/services/teitok/pdtc10/index.php?action=vallex&amp;frame=v-w2531f2_ZU", "obnovovat (v-w2531f2_ZU)")</f>
        <v>obnovovat (v-w2531f2_ZU)</v>
      </c>
    </row>
    <row r="20342" customFormat="false" ht="12.8" hidden="false" customHeight="false" outlineLevel="0" collapsed="false">
      <c r="B20342" s="0" t="s">
        <v>1</v>
      </c>
    </row>
    <row r="20343" customFormat="false" ht="12.8" hidden="false" customHeight="false" outlineLevel="0" collapsed="false">
      <c r="B20343" s="0" t="s">
        <v>8</v>
      </c>
    </row>
    <row r="20345" customFormat="false" ht="12.8" hidden="false" customHeight="false" outlineLevel="0" collapsed="false">
      <c r="A20345" s="0" t="s">
        <v>8441</v>
      </c>
      <c r="B20345" s="0" t="str">
        <f aca="false">HYPERLINK("https://lindat.mff.cuni.cz/services/teitok/pdtc10/index.php?action=vallex&amp;frame=v-w2532f1", "obnovovat se (v-w2532f1)")</f>
        <v>obnovovat se (v-w2532f1)</v>
      </c>
      <c r="E20345" s="0" t="str">
        <f aca="false">HYPERLINK("https://lindat.mff.cuni.cz/services/SynSemClass40/SynSemClass40.html?veclass=vec00246#vec00246-ces-cm00031", "vec00246")</f>
        <v>vec00246</v>
      </c>
      <c r="F20345" s="0" t="s">
        <v>8433</v>
      </c>
      <c r="H20345" s="0" t="str">
        <f aca="false">HYPERLINK("https://lindat.mff.cuni.cz/services/SynSemClass40/SynSemClass40.html?veclass=vec00390#vec00390-ces-cm00036", "vec00390")</f>
        <v>vec00390</v>
      </c>
      <c r="I20345" s="0" t="s">
        <v>1595</v>
      </c>
    </row>
    <row r="20346" customFormat="false" ht="12.8" hidden="false" customHeight="false" outlineLevel="0" collapsed="false">
      <c r="B20346" s="0" t="s">
        <v>1</v>
      </c>
      <c r="C20346" s="0" t="s">
        <v>8442</v>
      </c>
      <c r="E20346" s="0" t="s">
        <v>8443</v>
      </c>
      <c r="F20346" s="0" t="s">
        <v>8444</v>
      </c>
      <c r="H20346" s="0" t="s">
        <v>1597</v>
      </c>
      <c r="I20346" s="0" t="s">
        <v>1598</v>
      </c>
    </row>
    <row r="20348" customFormat="false" ht="12.8" hidden="false" customHeight="false" outlineLevel="0" collapsed="false">
      <c r="A20348" s="0" t="s">
        <v>8445</v>
      </c>
      <c r="B20348" s="0" t="str">
        <f aca="false">HYPERLINK("https://lindat.mff.cuni.cz/services/teitok/pdtc10/index.php?action=vallex&amp;frame=v-w2525f1", "obnášet (v-w2525f1)")</f>
        <v>obnášet (v-w2525f1)</v>
      </c>
      <c r="E20348" s="0" t="str">
        <f aca="false">HYPERLINK("https://lindat.mff.cuni.cz/services/SynSemClass40/SynSemClass40.html?veclass=vec00194#vec00194-ces-cm00118", "vec00194")</f>
        <v>vec00194</v>
      </c>
      <c r="F20348" s="0" t="s">
        <v>8446</v>
      </c>
    </row>
    <row r="20349" customFormat="false" ht="12.8" hidden="false" customHeight="false" outlineLevel="0" collapsed="false">
      <c r="B20349" s="0" t="s">
        <v>1</v>
      </c>
      <c r="C20349" s="0" t="s">
        <v>8447</v>
      </c>
      <c r="E20349" s="0" t="s">
        <v>8448</v>
      </c>
      <c r="F20349" s="0" t="s">
        <v>8449</v>
      </c>
    </row>
    <row r="20350" customFormat="false" ht="12.8" hidden="false" customHeight="false" outlineLevel="0" collapsed="false">
      <c r="B20350" s="0" t="s">
        <v>8</v>
      </c>
      <c r="C20350" s="0" t="s">
        <v>8450</v>
      </c>
      <c r="E20350" s="0" t="s">
        <v>8451</v>
      </c>
      <c r="F20350" s="0" t="s">
        <v>8452</v>
      </c>
    </row>
    <row r="20352" customFormat="false" ht="12.8" hidden="false" customHeight="false" outlineLevel="0" collapsed="false">
      <c r="A20352" s="0" t="s">
        <v>8453</v>
      </c>
      <c r="B20352" s="0" t="str">
        <f aca="false">HYPERLINK("https://lindat.mff.cuni.cz/services/teitok/pdtc10/index.php?action=vallex&amp;frame=v-w2525f2", "obnášet (v-w2525f2)")</f>
        <v>obnášet (v-w2525f2)</v>
      </c>
      <c r="E20352" s="0" t="str">
        <f aca="false">HYPERLINK("https://lindat.mff.cuni.cz/services/SynSemClass40/SynSemClass40.html?veclass=vec00206#vec00206-ces-cm00007", "vec00206")</f>
        <v>vec00206</v>
      </c>
      <c r="F20352" s="0" t="s">
        <v>2728</v>
      </c>
    </row>
    <row r="20353" customFormat="false" ht="12.8" hidden="false" customHeight="false" outlineLevel="0" collapsed="false">
      <c r="B20353" s="0" t="s">
        <v>1</v>
      </c>
      <c r="C20353" s="0" t="s">
        <v>2729</v>
      </c>
      <c r="E20353" s="0" t="s">
        <v>235</v>
      </c>
      <c r="F20353" s="0" t="s">
        <v>2730</v>
      </c>
    </row>
    <row r="20354" customFormat="false" ht="12.8" hidden="false" customHeight="false" outlineLevel="0" collapsed="false">
      <c r="B20354" s="0" t="s">
        <v>865</v>
      </c>
      <c r="C20354" s="0" t="s">
        <v>8454</v>
      </c>
      <c r="E20354" s="0" t="s">
        <v>6992</v>
      </c>
      <c r="F20354" s="0" t="s">
        <v>6993</v>
      </c>
    </row>
    <row r="20356" customFormat="false" ht="12.8" hidden="false" customHeight="false" outlineLevel="0" collapsed="false">
      <c r="A20356" s="0" t="s">
        <v>8455</v>
      </c>
      <c r="B20356" s="0" t="str">
        <f aca="false">HYPERLINK("https://lindat.mff.cuni.cz/services/teitok/pdtc10/index.php?action=vallex&amp;frame=v-w2535f1", "obohacovat (v-w2535f1)")</f>
        <v>obohacovat (v-w2535f1)</v>
      </c>
      <c r="E20356" s="0" t="str">
        <f aca="false">HYPERLINK("https://lindat.mff.cuni.cz/services/SynSemClass40/SynSemClass40.html?veclass=vec01052#vec01052-ces-cm00001", "vec01052")</f>
        <v>vec01052</v>
      </c>
      <c r="F20356" s="0" t="s">
        <v>8456</v>
      </c>
    </row>
    <row r="20357" customFormat="false" ht="12.8" hidden="false" customHeight="false" outlineLevel="0" collapsed="false">
      <c r="B20357" s="0" t="s">
        <v>1</v>
      </c>
      <c r="C20357" s="0" t="s">
        <v>4695</v>
      </c>
      <c r="E20357" s="0" t="s">
        <v>11</v>
      </c>
      <c r="F20357" s="0" t="s">
        <v>5950</v>
      </c>
    </row>
    <row r="20358" customFormat="false" ht="12.8" hidden="false" customHeight="false" outlineLevel="0" collapsed="false">
      <c r="B20358" s="0" t="s">
        <v>8</v>
      </c>
      <c r="C20358" s="0" t="s">
        <v>8457</v>
      </c>
      <c r="E20358" s="0" t="s">
        <v>2588</v>
      </c>
      <c r="F20358" s="0" t="s">
        <v>8458</v>
      </c>
    </row>
    <row r="20359" customFormat="false" ht="12.8" hidden="false" customHeight="false" outlineLevel="0" collapsed="false">
      <c r="B20359" s="0" t="s">
        <v>2600</v>
      </c>
      <c r="E20359" s="0" t="s">
        <v>8459</v>
      </c>
      <c r="F20359" s="0" t="s">
        <v>8460</v>
      </c>
    </row>
    <row r="20361" customFormat="false" ht="12.8" hidden="false" customHeight="false" outlineLevel="0" collapsed="false">
      <c r="A20361" s="0" t="s">
        <v>8461</v>
      </c>
      <c r="B20361" s="0" t="str">
        <f aca="false">HYPERLINK("https://lindat.mff.cuni.cz/services/teitok/pdtc10/index.php?action=vallex&amp;frame=v-w2536f1", "obohatit (v-w2536f1)")</f>
        <v>obohatit (v-w2536f1)</v>
      </c>
      <c r="E20361" s="0" t="str">
        <f aca="false">HYPERLINK("https://lindat.mff.cuni.cz/services/SynSemClass40/SynSemClass40.html?veclass=vec01052#vec01052-ces-cm00002", "vec01052")</f>
        <v>vec01052</v>
      </c>
      <c r="F20361" s="0" t="s">
        <v>8456</v>
      </c>
    </row>
    <row r="20362" customFormat="false" ht="12.8" hidden="false" customHeight="false" outlineLevel="0" collapsed="false">
      <c r="B20362" s="0" t="s">
        <v>1</v>
      </c>
      <c r="C20362" s="0" t="s">
        <v>4695</v>
      </c>
      <c r="E20362" s="0" t="s">
        <v>11</v>
      </c>
      <c r="F20362" s="0" t="s">
        <v>5950</v>
      </c>
    </row>
    <row r="20363" customFormat="false" ht="12.8" hidden="false" customHeight="false" outlineLevel="0" collapsed="false">
      <c r="B20363" s="0" t="s">
        <v>8</v>
      </c>
      <c r="C20363" s="0" t="s">
        <v>8457</v>
      </c>
      <c r="E20363" s="0" t="s">
        <v>2588</v>
      </c>
      <c r="F20363" s="0" t="s">
        <v>8458</v>
      </c>
    </row>
    <row r="20364" customFormat="false" ht="12.8" hidden="false" customHeight="false" outlineLevel="0" collapsed="false">
      <c r="B20364" s="0" t="s">
        <v>2600</v>
      </c>
      <c r="E20364" s="0" t="s">
        <v>8459</v>
      </c>
      <c r="F20364" s="0" t="s">
        <v>8460</v>
      </c>
    </row>
    <row r="20366" customFormat="false" ht="12.8" hidden="false" customHeight="false" outlineLevel="0" collapsed="false">
      <c r="A20366" s="0" t="s">
        <v>8462</v>
      </c>
      <c r="B20366" s="0" t="str">
        <f aca="false">HYPERLINK("https://lindat.mff.cuni.cz/services/teitok/pdtc10/index.php?action=vallex&amp;frame=v-w2538f1", "obouvat (v-w2538f1)")</f>
        <v>obouvat (v-w2538f1)</v>
      </c>
      <c r="E20366" s="0" t="str">
        <f aca="false">HYPERLINK("https://lindat.mff.cuni.cz/services/SynSemClass40/SynSemClass40.html?veclass=vec01500#vec01500-ces-cm00025", "vec01500")</f>
        <v>vec01500</v>
      </c>
      <c r="F20366" s="0" t="s">
        <v>7689</v>
      </c>
    </row>
    <row r="20367" customFormat="false" ht="12.8" hidden="false" customHeight="false" outlineLevel="0" collapsed="false">
      <c r="B20367" s="0" t="s">
        <v>1</v>
      </c>
      <c r="E20367" s="0" t="s">
        <v>7690</v>
      </c>
      <c r="F20367" s="0" t="s">
        <v>7691</v>
      </c>
    </row>
    <row r="20368" customFormat="false" ht="12.8" hidden="false" customHeight="false" outlineLevel="0" collapsed="false">
      <c r="B20368" s="0" t="s">
        <v>8</v>
      </c>
      <c r="E20368" s="0" t="s">
        <v>7692</v>
      </c>
      <c r="F20368" s="0" t="s">
        <v>7693</v>
      </c>
    </row>
    <row r="20370" customFormat="false" ht="12.8" hidden="false" customHeight="false" outlineLevel="0" collapsed="false">
      <c r="A20370" s="0" t="s">
        <v>8463</v>
      </c>
      <c r="B20370" s="0" t="str">
        <f aca="false">HYPERLINK("https://lindat.mff.cuni.cz/services/teitok/pdtc10/index.php?action=vallex&amp;frame=v-w2537f1", "obořit se (v-w2537f1)")</f>
        <v>obořit se (v-w2537f1)</v>
      </c>
      <c r="E20370" s="0" t="str">
        <f aca="false">HYPERLINK("https://lindat.mff.cuni.cz/services/SynSemClass40/SynSemClass40.html?veclass=vec00441#vec00441-ces-cm00012", "vec00441")</f>
        <v>vec00441</v>
      </c>
      <c r="F20370" s="0" t="s">
        <v>194</v>
      </c>
      <c r="H20370" s="0" t="str">
        <f aca="false">HYPERLINK("https://lindat.mff.cuni.cz/services/SynSemClass40/SynSemClass40.html?veclass=vec00958#vec00958-ces-cm00002", "vec00958")</f>
        <v>vec00958</v>
      </c>
      <c r="I20370" s="0" t="s">
        <v>8464</v>
      </c>
    </row>
    <row r="20371" customFormat="false" ht="12.8" hidden="false" customHeight="false" outlineLevel="0" collapsed="false">
      <c r="B20371" s="0" t="s">
        <v>1</v>
      </c>
      <c r="C20371" s="0" t="s">
        <v>8465</v>
      </c>
      <c r="E20371" s="0" t="s">
        <v>196</v>
      </c>
      <c r="F20371" s="0" t="s">
        <v>197</v>
      </c>
      <c r="H20371" s="0" t="s">
        <v>206</v>
      </c>
      <c r="I20371" s="0" t="s">
        <v>1365</v>
      </c>
    </row>
    <row r="20372" customFormat="false" ht="12.8" hidden="false" customHeight="false" outlineLevel="0" collapsed="false">
      <c r="B20372" s="0" t="s">
        <v>45</v>
      </c>
      <c r="C20372" s="0" t="s">
        <v>4627</v>
      </c>
      <c r="E20372" s="0" t="s">
        <v>199</v>
      </c>
      <c r="F20372" s="0" t="s">
        <v>200</v>
      </c>
      <c r="H20372" s="0" t="s">
        <v>5749</v>
      </c>
      <c r="I20372" s="0" t="s">
        <v>8466</v>
      </c>
    </row>
    <row r="20374" customFormat="false" ht="12.8" hidden="false" customHeight="false" outlineLevel="0" collapsed="false">
      <c r="A20374" s="0" t="s">
        <v>8467</v>
      </c>
      <c r="B20374" s="0" t="str">
        <f aca="false">HYPERLINK("https://lindat.mff.cuni.cz/services/teitok/pdtc10/index.php?action=vallex&amp;frame=v-w2541f5_ZU", "obracet (v-w2541f5_ZU)")</f>
        <v>obracet (v-w2541f5_ZU)</v>
      </c>
      <c r="E20374" s="0" t="str">
        <f aca="false">HYPERLINK("https://lindat.mff.cuni.cz/services/SynSemClass40/SynSemClass40.html?veclass=vec00859#vec00859-ces-cm00037", "vec00859")</f>
        <v>vec00859</v>
      </c>
      <c r="F20374" s="0" t="s">
        <v>1728</v>
      </c>
    </row>
    <row r="20375" customFormat="false" ht="12.8" hidden="false" customHeight="false" outlineLevel="0" collapsed="false">
      <c r="B20375" s="0" t="s">
        <v>1</v>
      </c>
      <c r="C20375" s="0" t="s">
        <v>1729</v>
      </c>
      <c r="E20375" s="0" t="s">
        <v>206</v>
      </c>
      <c r="F20375" s="0" t="s">
        <v>1730</v>
      </c>
    </row>
    <row r="20376" customFormat="false" ht="12.8" hidden="false" customHeight="false" outlineLevel="0" collapsed="false">
      <c r="B20376" s="0" t="s">
        <v>8</v>
      </c>
      <c r="C20376" s="0" t="s">
        <v>1731</v>
      </c>
      <c r="E20376" s="0" t="s">
        <v>1732</v>
      </c>
      <c r="F20376" s="0" t="s">
        <v>1733</v>
      </c>
    </row>
    <row r="20377" customFormat="false" ht="12.8" hidden="false" customHeight="false" outlineLevel="0" collapsed="false">
      <c r="B20377" s="0" t="s">
        <v>162</v>
      </c>
      <c r="C20377" s="0" t="s">
        <v>8468</v>
      </c>
      <c r="E20377" s="0" t="s">
        <v>8469</v>
      </c>
      <c r="F20377" s="0" t="s">
        <v>8470</v>
      </c>
    </row>
    <row r="20379" customFormat="false" ht="12.8" hidden="false" customHeight="false" outlineLevel="0" collapsed="false">
      <c r="A20379" s="0" t="s">
        <v>8471</v>
      </c>
      <c r="B20379" s="0" t="str">
        <f aca="false">HYPERLINK("https://lindat.mff.cuni.cz/services/teitok/pdtc10/index.php?action=vallex&amp;frame=v-w2541f1", "obracet (v-w2541f1)")</f>
        <v>obracet (v-w2541f1)</v>
      </c>
      <c r="E20379" s="0" t="str">
        <f aca="false">HYPERLINK("https://lindat.mff.cuni.cz/services/SynSemClass40/SynSemClass40.html?veclass=vec00095#vec00095-ces-cm00006", "vec00095")</f>
        <v>vec00095</v>
      </c>
      <c r="F20379" s="0" t="s">
        <v>29</v>
      </c>
    </row>
    <row r="20380" customFormat="false" ht="12.8" hidden="false" customHeight="false" outlineLevel="0" collapsed="false">
      <c r="B20380" s="0" t="s">
        <v>1</v>
      </c>
      <c r="C20380" s="0" t="s">
        <v>30</v>
      </c>
      <c r="E20380" s="0" t="s">
        <v>31</v>
      </c>
      <c r="F20380" s="0" t="s">
        <v>32</v>
      </c>
    </row>
    <row r="20381" customFormat="false" ht="12.8" hidden="false" customHeight="false" outlineLevel="0" collapsed="false">
      <c r="B20381" s="0" t="s">
        <v>8</v>
      </c>
      <c r="C20381" s="0" t="s">
        <v>33</v>
      </c>
      <c r="E20381" s="0" t="s">
        <v>34</v>
      </c>
      <c r="F20381" s="0" t="s">
        <v>35</v>
      </c>
    </row>
    <row r="20382" customFormat="false" ht="12.8" hidden="false" customHeight="false" outlineLevel="0" collapsed="false">
      <c r="B20382" s="0" t="s">
        <v>8472</v>
      </c>
      <c r="C20382" s="0" t="s">
        <v>41</v>
      </c>
      <c r="E20382" s="0" t="s">
        <v>42</v>
      </c>
      <c r="F20382" s="0" t="s">
        <v>43</v>
      </c>
    </row>
    <row r="20384" customFormat="false" ht="12.8" hidden="false" customHeight="false" outlineLevel="0" collapsed="false">
      <c r="A20384" s="0" t="s">
        <v>8473</v>
      </c>
      <c r="B20384" s="0" t="str">
        <f aca="false">HYPERLINK("https://lindat.mff.cuni.cz/services/teitok/pdtc10/index.php?action=vallex&amp;frame=v-w2541f4", "obracet (v-w2541f4)")</f>
        <v>obracet (v-w2541f4)</v>
      </c>
    </row>
    <row r="20385" customFormat="false" ht="12.8" hidden="false" customHeight="false" outlineLevel="0" collapsed="false">
      <c r="B20385" s="0" t="s">
        <v>1</v>
      </c>
    </row>
    <row r="20386" customFormat="false" ht="12.8" hidden="false" customHeight="false" outlineLevel="0" collapsed="false">
      <c r="B20386" s="0" t="s">
        <v>8</v>
      </c>
    </row>
    <row r="20388" customFormat="false" ht="12.8" hidden="false" customHeight="false" outlineLevel="0" collapsed="false">
      <c r="A20388" s="0" t="s">
        <v>8474</v>
      </c>
      <c r="B20388" s="0" t="str">
        <f aca="false">HYPERLINK("https://lindat.mff.cuni.cz/services/teitok/pdtc10/index.php?action=vallex&amp;frame=v-w2541f3", "obracet (v-w2541f3)")</f>
        <v>obracet (v-w2541f3)</v>
      </c>
      <c r="E20388" s="0" t="str">
        <f aca="false">HYPERLINK("https://lindat.mff.cuni.cz/services/SynSemClass40/SynSemClass40.html?veclass=vec00082#vec00082-ces-cm00101", "vec00082")</f>
        <v>vec00082</v>
      </c>
      <c r="F20388" s="0" t="s">
        <v>8475</v>
      </c>
    </row>
    <row r="20389" customFormat="false" ht="12.8" hidden="false" customHeight="false" outlineLevel="0" collapsed="false">
      <c r="B20389" s="0" t="s">
        <v>1</v>
      </c>
      <c r="C20389" s="0" t="s">
        <v>8476</v>
      </c>
      <c r="E20389" s="0" t="s">
        <v>637</v>
      </c>
      <c r="F20389" s="0" t="s">
        <v>8477</v>
      </c>
    </row>
    <row r="20390" customFormat="false" ht="12.8" hidden="false" customHeight="false" outlineLevel="0" collapsed="false">
      <c r="B20390" s="0" t="s">
        <v>8478</v>
      </c>
      <c r="C20390" s="0" t="s">
        <v>8479</v>
      </c>
      <c r="E20390" s="0" t="s">
        <v>8480</v>
      </c>
      <c r="F20390" s="0" t="s">
        <v>8481</v>
      </c>
    </row>
    <row r="20391" customFormat="false" ht="12.8" hidden="false" customHeight="false" outlineLevel="0" collapsed="false">
      <c r="B20391" s="0" t="s">
        <v>164</v>
      </c>
    </row>
    <row r="20393" customFormat="false" ht="12.8" hidden="false" customHeight="false" outlineLevel="0" collapsed="false">
      <c r="A20393" s="0" t="s">
        <v>8482</v>
      </c>
      <c r="B20393" s="0" t="str">
        <f aca="false">HYPERLINK("https://lindat.mff.cuni.cz/services/teitok/pdtc10/index.php?action=vallex&amp;frame=v-w2541f2", "obracet (v-w2541f2)")</f>
        <v>obracet (v-w2541f2)</v>
      </c>
    </row>
    <row r="20394" customFormat="false" ht="12.8" hidden="false" customHeight="false" outlineLevel="0" collapsed="false">
      <c r="B20394" s="0" t="s">
        <v>1</v>
      </c>
    </row>
    <row r="20395" customFormat="false" ht="12.8" hidden="false" customHeight="false" outlineLevel="0" collapsed="false">
      <c r="B20395" s="0" t="s">
        <v>1129</v>
      </c>
    </row>
    <row r="20396" customFormat="false" ht="12.8" hidden="false" customHeight="false" outlineLevel="0" collapsed="false">
      <c r="B20396" s="0" t="s">
        <v>8</v>
      </c>
    </row>
    <row r="20398" customFormat="false" ht="12.8" hidden="false" customHeight="false" outlineLevel="0" collapsed="false">
      <c r="A20398" s="0" t="s">
        <v>8483</v>
      </c>
      <c r="B20398" s="0" t="str">
        <f aca="false">HYPERLINK("https://lindat.mff.cuni.cz/services/teitok/pdtc10/index.php?action=vallex&amp;frame=v-w2542f5", "obracet se (v-w2542f5)")</f>
        <v>obracet se (v-w2542f5)</v>
      </c>
    </row>
    <row r="20399" customFormat="false" ht="12.8" hidden="false" customHeight="false" outlineLevel="0" collapsed="false">
      <c r="B20399" s="0" t="s">
        <v>1</v>
      </c>
    </row>
    <row r="20400" customFormat="false" ht="12.8" hidden="false" customHeight="false" outlineLevel="0" collapsed="false">
      <c r="B20400" s="0" t="s">
        <v>5061</v>
      </c>
    </row>
    <row r="20402" customFormat="false" ht="12.8" hidden="false" customHeight="false" outlineLevel="0" collapsed="false">
      <c r="A20402" s="0" t="s">
        <v>8484</v>
      </c>
      <c r="B20402" s="0" t="str">
        <f aca="false">HYPERLINK("https://lindat.mff.cuni.cz/services/teitok/pdtc10/index.php?action=vallex&amp;frame=v-w2542f1", "obracet se (v-w2542f1)")</f>
        <v>obracet se (v-w2542f1)</v>
      </c>
      <c r="E20402" s="0" t="str">
        <f aca="false">HYPERLINK("https://lindat.mff.cuni.cz/services/SynSemClass40/SynSemClass40.html?veclass=vec00057#vec00057-ces-cm00106", "vec00057")</f>
        <v>vec00057</v>
      </c>
      <c r="F20402" s="0" t="s">
        <v>145</v>
      </c>
      <c r="H20402" s="0" t="str">
        <f aca="false">HYPERLINK("https://lindat.mff.cuni.cz/services/SynSemClass40/SynSemClass40.html?veclass=vec01495#vec01495-ces-cm00002", "vec01495")</f>
        <v>vec01495</v>
      </c>
      <c r="I20402" s="0" t="s">
        <v>6335</v>
      </c>
    </row>
    <row r="20403" customFormat="false" ht="12.8" hidden="false" customHeight="false" outlineLevel="0" collapsed="false">
      <c r="B20403" s="0" t="s">
        <v>1</v>
      </c>
      <c r="C20403" s="0" t="s">
        <v>8485</v>
      </c>
      <c r="E20403" s="0" t="s">
        <v>147</v>
      </c>
      <c r="F20403" s="0" t="s">
        <v>148</v>
      </c>
      <c r="H20403" s="0" t="s">
        <v>147</v>
      </c>
      <c r="I20403" s="0" t="s">
        <v>6337</v>
      </c>
    </row>
    <row r="20404" customFormat="false" ht="12.8" hidden="false" customHeight="false" outlineLevel="0" collapsed="false">
      <c r="B20404" s="0" t="s">
        <v>8486</v>
      </c>
      <c r="C20404" s="0" t="s">
        <v>8487</v>
      </c>
      <c r="E20404" s="0" t="s">
        <v>221</v>
      </c>
      <c r="F20404" s="0" t="s">
        <v>8488</v>
      </c>
      <c r="H20404" s="0" t="s">
        <v>8489</v>
      </c>
      <c r="I20404" s="0" t="s">
        <v>8490</v>
      </c>
    </row>
    <row r="20405" customFormat="false" ht="12.8" hidden="false" customHeight="false" outlineLevel="0" collapsed="false">
      <c r="B20405" s="0" t="s">
        <v>8491</v>
      </c>
      <c r="C20405" s="0" t="s">
        <v>8492</v>
      </c>
      <c r="E20405" s="0" t="s">
        <v>209</v>
      </c>
      <c r="F20405" s="0" t="s">
        <v>8493</v>
      </c>
      <c r="H20405" s="0" t="s">
        <v>50</v>
      </c>
      <c r="I20405" s="0" t="s">
        <v>6339</v>
      </c>
    </row>
    <row r="20407" customFormat="false" ht="12.8" hidden="false" customHeight="false" outlineLevel="0" collapsed="false">
      <c r="A20407" s="0" t="s">
        <v>8494</v>
      </c>
      <c r="B20407" s="0" t="str">
        <f aca="false">HYPERLINK("https://lindat.mff.cuni.cz/services/teitok/pdtc10/index.php?action=vallex&amp;frame=v-w2542f2", "obracet se (v-w2542f2)")</f>
        <v>obracet se (v-w2542f2)</v>
      </c>
    </row>
    <row r="20408" customFormat="false" ht="12.8" hidden="false" customHeight="false" outlineLevel="0" collapsed="false">
      <c r="B20408" s="0" t="s">
        <v>1</v>
      </c>
    </row>
    <row r="20410" customFormat="false" ht="12.8" hidden="false" customHeight="false" outlineLevel="0" collapsed="false">
      <c r="A20410" s="0" t="s">
        <v>8495</v>
      </c>
      <c r="B20410" s="0" t="str">
        <f aca="false">HYPERLINK("https://lindat.mff.cuni.cz/services/teitok/pdtc10/index.php?action=vallex&amp;frame=v-w2542f4", "obracet se (v-w2542f4)")</f>
        <v>obracet se (v-w2542f4)</v>
      </c>
    </row>
    <row r="20411" customFormat="false" ht="12.8" hidden="false" customHeight="false" outlineLevel="0" collapsed="false">
      <c r="B20411" s="0" t="s">
        <v>1</v>
      </c>
    </row>
    <row r="20413" customFormat="false" ht="12.8" hidden="false" customHeight="false" outlineLevel="0" collapsed="false">
      <c r="A20413" s="0" t="s">
        <v>8496</v>
      </c>
      <c r="B20413" s="0" t="str">
        <f aca="false">HYPERLINK("https://lindat.mff.cuni.cz/services/teitok/pdtc10/index.php?action=vallex&amp;frame=v-w2542f3", "obracet se (v-w2542f3)")</f>
        <v>obracet se (v-w2542f3)</v>
      </c>
      <c r="E20413" s="0" t="str">
        <f aca="false">HYPERLINK("https://lindat.mff.cuni.cz/services/SynSemClass40/SynSemClass40.html?veclass=vec00645#vec00645-ces-cm00007", "vec00645")</f>
        <v>vec00645</v>
      </c>
      <c r="F20413" s="0" t="s">
        <v>8497</v>
      </c>
    </row>
    <row r="20414" customFormat="false" ht="12.8" hidden="false" customHeight="false" outlineLevel="0" collapsed="false">
      <c r="B20414" s="0" t="s">
        <v>1</v>
      </c>
      <c r="C20414" s="0" t="s">
        <v>4695</v>
      </c>
      <c r="E20414" s="0" t="s">
        <v>84</v>
      </c>
      <c r="F20414" s="0" t="s">
        <v>8498</v>
      </c>
    </row>
    <row r="20415" customFormat="false" ht="12.8" hidden="false" customHeight="false" outlineLevel="0" collapsed="false">
      <c r="B20415" s="0" t="s">
        <v>8499</v>
      </c>
    </row>
    <row r="20417" customFormat="false" ht="12.8" hidden="false" customHeight="false" outlineLevel="0" collapsed="false">
      <c r="A20417" s="0" t="s">
        <v>8500</v>
      </c>
      <c r="B20417" s="0" t="str">
        <f aca="false">HYPERLINK("https://lindat.mff.cuni.cz/services/teitok/pdtc10/index.php?action=vallex&amp;frame=v-w2542f6_ZU", "obracet se (v-w2542f6_ZU)")</f>
        <v>obracet se (v-w2542f6_ZU)</v>
      </c>
    </row>
    <row r="20418" customFormat="false" ht="12.8" hidden="false" customHeight="false" outlineLevel="0" collapsed="false">
      <c r="B20418" s="0" t="s">
        <v>1</v>
      </c>
    </row>
    <row r="20419" customFormat="false" ht="12.8" hidden="false" customHeight="false" outlineLevel="0" collapsed="false">
      <c r="B20419" s="0" t="s">
        <v>8501</v>
      </c>
    </row>
    <row r="20420" customFormat="false" ht="12.8" hidden="false" customHeight="false" outlineLevel="0" collapsed="false">
      <c r="B20420" s="0" t="s">
        <v>311</v>
      </c>
    </row>
    <row r="20422" customFormat="false" ht="12.8" hidden="false" customHeight="false" outlineLevel="0" collapsed="false">
      <c r="A20422" s="0" t="s">
        <v>8500</v>
      </c>
      <c r="B20422" s="0" t="str">
        <f aca="false">HYPERLINK("https://lindat.mff.cuni.cz/services/teitok/pdtc10/index.php?action=vallex&amp;frame=v-w2542hsa_516", "obracet se (v-w2542hsa_516) - substituted with v-w2542f6_ZU")</f>
        <v>obracet se (v-w2542hsa_516) - substituted with v-w2542f6_ZU</v>
      </c>
    </row>
    <row r="20423" customFormat="false" ht="12.8" hidden="false" customHeight="false" outlineLevel="0" collapsed="false">
      <c r="B20423" s="0" t="s">
        <v>1</v>
      </c>
    </row>
    <row r="20424" customFormat="false" ht="12.8" hidden="false" customHeight="false" outlineLevel="0" collapsed="false">
      <c r="B20424" s="0" t="s">
        <v>8501</v>
      </c>
    </row>
    <row r="20425" customFormat="false" ht="12.8" hidden="false" customHeight="false" outlineLevel="0" collapsed="false">
      <c r="B20425" s="0" t="s">
        <v>311</v>
      </c>
    </row>
    <row r="20427" customFormat="false" ht="12.8" hidden="false" customHeight="false" outlineLevel="0" collapsed="false">
      <c r="A20427" s="0" t="s">
        <v>8502</v>
      </c>
      <c r="B20427" s="0" t="str">
        <f aca="false">HYPERLINK("https://lindat.mff.cuni.cz/services/teitok/pdtc10/index.php?action=vallex&amp;frame=v-w2545f1", "obrat (v-w2545f1)")</f>
        <v>obrat (v-w2545f1)</v>
      </c>
    </row>
    <row r="20428" customFormat="false" ht="12.8" hidden="false" customHeight="false" outlineLevel="0" collapsed="false">
      <c r="B20428" s="0" t="s">
        <v>1</v>
      </c>
    </row>
    <row r="20429" customFormat="false" ht="12.8" hidden="false" customHeight="false" outlineLevel="0" collapsed="false">
      <c r="B20429" s="0" t="s">
        <v>98</v>
      </c>
    </row>
    <row r="20430" customFormat="false" ht="12.8" hidden="false" customHeight="false" outlineLevel="0" collapsed="false">
      <c r="B20430" s="0" t="s">
        <v>3152</v>
      </c>
    </row>
    <row r="20432" customFormat="false" ht="12.8" hidden="false" customHeight="false" outlineLevel="0" collapsed="false">
      <c r="A20432" s="0" t="s">
        <v>8503</v>
      </c>
      <c r="B20432" s="0" t="str">
        <f aca="false">HYPERLINK("https://lindat.mff.cuni.cz/services/teitok/pdtc10/index.php?action=vallex&amp;frame=v-w2545f2_ZU", "obrat (v-w2545f2_ZU)")</f>
        <v>obrat (v-w2545f2_ZU)</v>
      </c>
    </row>
    <row r="20433" customFormat="false" ht="12.8" hidden="false" customHeight="false" outlineLevel="0" collapsed="false">
      <c r="B20433" s="0" t="s">
        <v>1</v>
      </c>
    </row>
    <row r="20434" customFormat="false" ht="12.8" hidden="false" customHeight="false" outlineLevel="0" collapsed="false">
      <c r="B20434" s="0" t="s">
        <v>8</v>
      </c>
    </row>
    <row r="20436" customFormat="false" ht="12.8" hidden="false" customHeight="false" outlineLevel="0" collapsed="false">
      <c r="A20436" s="0" t="s">
        <v>8504</v>
      </c>
      <c r="B20436" s="0" t="str">
        <f aca="false">HYPERLINK("https://lindat.mff.cuni.cz/services/teitok/pdtc10/index.php?action=vallex&amp;frame=v-w11848_ZUf1_ZU", "obrečet (v-w11848_ZUf1_ZU)")</f>
        <v>obrečet (v-w11848_ZUf1_ZU)</v>
      </c>
    </row>
    <row r="20437" customFormat="false" ht="12.8" hidden="false" customHeight="false" outlineLevel="0" collapsed="false">
      <c r="B20437" s="0" t="s">
        <v>1</v>
      </c>
    </row>
    <row r="20438" customFormat="false" ht="12.8" hidden="false" customHeight="false" outlineLevel="0" collapsed="false">
      <c r="B20438" s="0" t="s">
        <v>8</v>
      </c>
    </row>
    <row r="20440" customFormat="false" ht="12.8" hidden="false" customHeight="false" outlineLevel="0" collapsed="false">
      <c r="A20440" s="0" t="s">
        <v>8505</v>
      </c>
      <c r="B20440" s="0" t="str">
        <f aca="false">HYPERLINK("https://lindat.mff.cuni.cz/services/teitok/pdtc10/index.php?action=vallex&amp;frame=v-whsa_446hsa_447", "obrnit se (v-whsa_446hsa_447)")</f>
        <v>obrnit se (v-whsa_446hsa_447)</v>
      </c>
    </row>
    <row r="20441" customFormat="false" ht="12.8" hidden="false" customHeight="false" outlineLevel="0" collapsed="false">
      <c r="B20441" s="0" t="s">
        <v>1</v>
      </c>
    </row>
    <row r="20442" customFormat="false" ht="12.8" hidden="false" customHeight="false" outlineLevel="0" collapsed="false">
      <c r="B20442" s="0" t="s">
        <v>1909</v>
      </c>
    </row>
    <row r="20444" customFormat="false" ht="12.8" hidden="false" customHeight="false" outlineLevel="0" collapsed="false">
      <c r="A20444" s="0" t="s">
        <v>8506</v>
      </c>
      <c r="B20444" s="0" t="str">
        <f aca="false">HYPERLINK("https://lindat.mff.cuni.cz/services/teitok/pdtc10/index.php?action=vallex&amp;frame=v-w11423f1", "obrnit si (v-w11423f1)")</f>
        <v>obrnit si (v-w11423f1)</v>
      </c>
    </row>
    <row r="20445" customFormat="false" ht="12.8" hidden="false" customHeight="false" outlineLevel="0" collapsed="false">
      <c r="B20445" s="0" t="s">
        <v>1</v>
      </c>
    </row>
    <row r="20446" customFormat="false" ht="12.8" hidden="false" customHeight="false" outlineLevel="0" collapsed="false">
      <c r="B20446" s="0" t="s">
        <v>6837</v>
      </c>
    </row>
    <row r="20448" customFormat="false" ht="12.8" hidden="false" customHeight="false" outlineLevel="0" collapsed="false">
      <c r="A20448" s="0" t="s">
        <v>8507</v>
      </c>
      <c r="B20448" s="0" t="str">
        <f aca="false">HYPERLINK("https://lindat.mff.cuni.cz/services/teitok/pdtc10/index.php?action=vallex&amp;frame=v-w2552f1", "obrodit (v-w2552f1)")</f>
        <v>obrodit (v-w2552f1)</v>
      </c>
    </row>
    <row r="20449" customFormat="false" ht="12.8" hidden="false" customHeight="false" outlineLevel="0" collapsed="false">
      <c r="B20449" s="0" t="s">
        <v>1</v>
      </c>
    </row>
    <row r="20450" customFormat="false" ht="12.8" hidden="false" customHeight="false" outlineLevel="0" collapsed="false">
      <c r="B20450" s="0" t="s">
        <v>8</v>
      </c>
    </row>
    <row r="20452" customFormat="false" ht="12.8" hidden="false" customHeight="false" outlineLevel="0" collapsed="false">
      <c r="A20452" s="0" t="s">
        <v>8508</v>
      </c>
      <c r="B20452" s="0" t="str">
        <f aca="false">HYPERLINK("https://lindat.mff.cuni.cz/services/teitok/pdtc10/index.php?action=vallex&amp;frame=v-w2553f1", "obrodit se (v-w2553f1)")</f>
        <v>obrodit se (v-w2553f1)</v>
      </c>
    </row>
    <row r="20453" customFormat="false" ht="12.8" hidden="false" customHeight="false" outlineLevel="0" collapsed="false">
      <c r="B20453" s="0" t="s">
        <v>1</v>
      </c>
    </row>
    <row r="20454" customFormat="false" ht="12.8" hidden="false" customHeight="false" outlineLevel="0" collapsed="false">
      <c r="B20454" s="0" t="s">
        <v>763</v>
      </c>
    </row>
    <row r="20456" customFormat="false" ht="12.8" hidden="false" customHeight="false" outlineLevel="0" collapsed="false">
      <c r="A20456" s="0" t="s">
        <v>8509</v>
      </c>
      <c r="B20456" s="0" t="str">
        <f aca="false">HYPERLINK("https://lindat.mff.cuni.cz/services/teitok/pdtc10/index.php?action=vallex&amp;frame=v-w2555f1", "obrousit (v-w2555f1)")</f>
        <v>obrousit (v-w2555f1)</v>
      </c>
      <c r="E20456" s="0" t="str">
        <f aca="false">HYPERLINK("https://lindat.mff.cuni.cz/services/SynSemClass40/SynSemClass40.html?veclass=vec01462#vec01462-ces-cm00002", "vec01462")</f>
        <v>vec01462</v>
      </c>
      <c r="F20456" s="0" t="s">
        <v>511</v>
      </c>
    </row>
    <row r="20457" customFormat="false" ht="12.8" hidden="false" customHeight="false" outlineLevel="0" collapsed="false">
      <c r="B20457" s="0" t="s">
        <v>1</v>
      </c>
      <c r="C20457" s="0" t="s">
        <v>512</v>
      </c>
      <c r="E20457" s="0" t="s">
        <v>31</v>
      </c>
      <c r="F20457" s="0" t="s">
        <v>513</v>
      </c>
    </row>
    <row r="20458" customFormat="false" ht="12.8" hidden="false" customHeight="false" outlineLevel="0" collapsed="false">
      <c r="B20458" s="0" t="s">
        <v>8</v>
      </c>
      <c r="C20458" s="0" t="s">
        <v>462</v>
      </c>
      <c r="E20458" s="0" t="s">
        <v>514</v>
      </c>
      <c r="F20458" s="0" t="s">
        <v>515</v>
      </c>
    </row>
    <row r="20460" customFormat="false" ht="12.8" hidden="false" customHeight="false" outlineLevel="0" collapsed="false">
      <c r="A20460" s="0" t="s">
        <v>8510</v>
      </c>
      <c r="B20460" s="0" t="str">
        <f aca="false">HYPERLINK("https://lindat.mff.cuni.cz/services/teitok/pdtc10/index.php?action=vallex&amp;frame=v-whsa_1599hsa_1600", "obrábět (v-whsa_1599hsa_1600)")</f>
        <v>obrábět (v-whsa_1599hsa_1600)</v>
      </c>
    </row>
    <row r="20461" customFormat="false" ht="12.8" hidden="false" customHeight="false" outlineLevel="0" collapsed="false">
      <c r="B20461" s="0" t="s">
        <v>1</v>
      </c>
    </row>
    <row r="20462" customFormat="false" ht="12.8" hidden="false" customHeight="false" outlineLevel="0" collapsed="false">
      <c r="B20462" s="0" t="s">
        <v>8</v>
      </c>
    </row>
    <row r="20464" customFormat="false" ht="12.8" hidden="false" customHeight="false" outlineLevel="0" collapsed="false">
      <c r="A20464" s="0" t="s">
        <v>8511</v>
      </c>
      <c r="B20464" s="0" t="str">
        <f aca="false">HYPERLINK("https://lindat.mff.cuni.cz/services/teitok/pdtc10/index.php?action=vallex&amp;frame=v-w2547f3", "obrátit (v-w2547f3)")</f>
        <v>obrátit (v-w2547f3)</v>
      </c>
      <c r="E20464" s="0" t="str">
        <f aca="false">HYPERLINK("https://lindat.mff.cuni.cz/services/SynSemClass40/SynSemClass40.html?veclass=vec00859#vec00859-ces-cm00065", "vec00859")</f>
        <v>vec00859</v>
      </c>
      <c r="F20464" s="0" t="s">
        <v>1728</v>
      </c>
    </row>
    <row r="20465" customFormat="false" ht="12.8" hidden="false" customHeight="false" outlineLevel="0" collapsed="false">
      <c r="B20465" s="0" t="s">
        <v>1</v>
      </c>
      <c r="C20465" s="0" t="s">
        <v>1729</v>
      </c>
      <c r="E20465" s="0" t="s">
        <v>206</v>
      </c>
      <c r="F20465" s="0" t="s">
        <v>1730</v>
      </c>
    </row>
    <row r="20466" customFormat="false" ht="12.8" hidden="false" customHeight="false" outlineLevel="0" collapsed="false">
      <c r="B20466" s="0" t="s">
        <v>8</v>
      </c>
      <c r="C20466" s="0" t="s">
        <v>1731</v>
      </c>
      <c r="E20466" s="0" t="s">
        <v>1732</v>
      </c>
      <c r="F20466" s="0" t="s">
        <v>1733</v>
      </c>
    </row>
    <row r="20467" customFormat="false" ht="12.8" hidden="false" customHeight="false" outlineLevel="0" collapsed="false">
      <c r="B20467" s="0" t="s">
        <v>8512</v>
      </c>
      <c r="C20467" s="0" t="s">
        <v>8468</v>
      </c>
      <c r="E20467" s="0" t="s">
        <v>8469</v>
      </c>
      <c r="F20467" s="0" t="s">
        <v>8470</v>
      </c>
    </row>
    <row r="20469" customFormat="false" ht="12.8" hidden="false" customHeight="false" outlineLevel="0" collapsed="false">
      <c r="A20469" s="0" t="s">
        <v>8513</v>
      </c>
      <c r="B20469" s="0" t="str">
        <f aca="false">HYPERLINK("https://lindat.mff.cuni.cz/services/teitok/pdtc10/index.php?action=vallex&amp;frame=v-w2547f7", "obrátit (v-w2547f7)")</f>
        <v>obrátit (v-w2547f7)</v>
      </c>
      <c r="E20469" s="0" t="str">
        <f aca="false">HYPERLINK("https://lindat.mff.cuni.cz/services/SynSemClass40/SynSemClass40.html?veclass=vec00095#vec00095-ces-cm00008", "vec00095")</f>
        <v>vec00095</v>
      </c>
      <c r="F20469" s="0" t="s">
        <v>29</v>
      </c>
    </row>
    <row r="20470" customFormat="false" ht="12.8" hidden="false" customHeight="false" outlineLevel="0" collapsed="false">
      <c r="B20470" s="0" t="s">
        <v>1</v>
      </c>
      <c r="C20470" s="0" t="s">
        <v>30</v>
      </c>
      <c r="E20470" s="0" t="s">
        <v>31</v>
      </c>
      <c r="F20470" s="0" t="s">
        <v>32</v>
      </c>
    </row>
    <row r="20471" customFormat="false" ht="12.8" hidden="false" customHeight="false" outlineLevel="0" collapsed="false">
      <c r="B20471" s="0" t="s">
        <v>8</v>
      </c>
      <c r="C20471" s="0" t="s">
        <v>33</v>
      </c>
      <c r="E20471" s="0" t="s">
        <v>34</v>
      </c>
      <c r="F20471" s="0" t="s">
        <v>35</v>
      </c>
    </row>
    <row r="20472" customFormat="false" ht="12.8" hidden="false" customHeight="false" outlineLevel="0" collapsed="false">
      <c r="B20472" s="0" t="s">
        <v>8472</v>
      </c>
      <c r="C20472" s="0" t="s">
        <v>41</v>
      </c>
      <c r="E20472" s="0" t="s">
        <v>42</v>
      </c>
      <c r="F20472" s="0" t="s">
        <v>43</v>
      </c>
    </row>
    <row r="20474" customFormat="false" ht="12.8" hidden="false" customHeight="false" outlineLevel="0" collapsed="false">
      <c r="A20474" s="0" t="s">
        <v>8514</v>
      </c>
      <c r="B20474" s="0" t="str">
        <f aca="false">HYPERLINK("https://lindat.mff.cuni.cz/services/teitok/pdtc10/index.php?action=vallex&amp;frame=v-w2547f5", "obrátit (v-w2547f5)")</f>
        <v>obrátit (v-w2547f5)</v>
      </c>
      <c r="E20474" s="0" t="str">
        <f aca="false">HYPERLINK("https://lindat.mff.cuni.cz/services/SynSemClass40/SynSemClass40.html?veclass=vec00095#vec00095-ces-cm00076", "vec00095")</f>
        <v>vec00095</v>
      </c>
      <c r="F20474" s="0" t="s">
        <v>29</v>
      </c>
    </row>
    <row r="20475" customFormat="false" ht="12.8" hidden="false" customHeight="false" outlineLevel="0" collapsed="false">
      <c r="B20475" s="0" t="s">
        <v>1</v>
      </c>
      <c r="C20475" s="0" t="s">
        <v>30</v>
      </c>
      <c r="E20475" s="0" t="s">
        <v>31</v>
      </c>
      <c r="F20475" s="0" t="s">
        <v>32</v>
      </c>
    </row>
    <row r="20476" customFormat="false" ht="12.8" hidden="false" customHeight="false" outlineLevel="0" collapsed="false">
      <c r="B20476" s="0" t="s">
        <v>8</v>
      </c>
      <c r="C20476" s="0" t="s">
        <v>33</v>
      </c>
      <c r="E20476" s="0" t="s">
        <v>34</v>
      </c>
      <c r="F20476" s="0" t="s">
        <v>35</v>
      </c>
    </row>
    <row r="20477" customFormat="false" ht="12.8" hidden="false" customHeight="false" outlineLevel="0" collapsed="false">
      <c r="B20477" s="0" t="s">
        <v>101</v>
      </c>
      <c r="C20477" s="0" t="s">
        <v>41</v>
      </c>
      <c r="E20477" s="0" t="s">
        <v>42</v>
      </c>
      <c r="F20477" s="0" t="s">
        <v>43</v>
      </c>
    </row>
    <row r="20479" customFormat="false" ht="12.8" hidden="false" customHeight="false" outlineLevel="0" collapsed="false">
      <c r="A20479" s="0" t="s">
        <v>8515</v>
      </c>
      <c r="B20479" s="0" t="str">
        <f aca="false">HYPERLINK("https://lindat.mff.cuni.cz/services/teitok/pdtc10/index.php?action=vallex&amp;frame=v-w2547f2", "obrátit (v-w2547f2)")</f>
        <v>obrátit (v-w2547f2)</v>
      </c>
      <c r="E20479" s="0" t="str">
        <f aca="false">HYPERLINK("https://lindat.mff.cuni.cz/services/SynSemClass40/SynSemClass40.html?veclass=vec01236#vec01236-ces-cm00001", "vec01236")</f>
        <v>vec01236</v>
      </c>
      <c r="F20479" s="0" t="s">
        <v>8516</v>
      </c>
    </row>
    <row r="20480" customFormat="false" ht="12.8" hidden="false" customHeight="false" outlineLevel="0" collapsed="false">
      <c r="B20480" s="0" t="s">
        <v>1</v>
      </c>
      <c r="E20480" s="0" t="s">
        <v>31</v>
      </c>
      <c r="F20480" s="0" t="s">
        <v>49</v>
      </c>
    </row>
    <row r="20481" customFormat="false" ht="12.8" hidden="false" customHeight="false" outlineLevel="0" collapsed="false">
      <c r="B20481" s="0" t="s">
        <v>8</v>
      </c>
      <c r="E20481" s="0" t="s">
        <v>2648</v>
      </c>
      <c r="F20481" s="0" t="s">
        <v>8517</v>
      </c>
    </row>
    <row r="20483" customFormat="false" ht="12.8" hidden="false" customHeight="false" outlineLevel="0" collapsed="false">
      <c r="A20483" s="0" t="s">
        <v>8518</v>
      </c>
      <c r="B20483" s="0" t="str">
        <f aca="false">HYPERLINK("https://lindat.mff.cuni.cz/services/teitok/pdtc10/index.php?action=vallex&amp;frame=v-w2547f1", "obrátit (v-w2547f1)")</f>
        <v>obrátit (v-w2547f1)</v>
      </c>
    </row>
    <row r="20484" customFormat="false" ht="12.8" hidden="false" customHeight="false" outlineLevel="0" collapsed="false">
      <c r="B20484" s="0" t="s">
        <v>1</v>
      </c>
    </row>
    <row r="20486" customFormat="false" ht="12.8" hidden="false" customHeight="false" outlineLevel="0" collapsed="false">
      <c r="A20486" s="0" t="s">
        <v>8519</v>
      </c>
      <c r="B20486" s="0" t="str">
        <f aca="false">HYPERLINK("https://lindat.mff.cuni.cz/services/teitok/pdtc10/index.php?action=vallex&amp;frame=v-w2547f9_ZU", "obrátit (v-w2547f9_ZU)")</f>
        <v>obrátit (v-w2547f9_ZU)</v>
      </c>
      <c r="E20486" s="0" t="str">
        <f aca="false">HYPERLINK("https://lindat.mff.cuni.cz/services/SynSemClass40/SynSemClass40.html?veclass=vec00082#vec00082-ces-cm00102", "vec00082")</f>
        <v>vec00082</v>
      </c>
      <c r="F20486" s="0" t="s">
        <v>8475</v>
      </c>
      <c r="H20486" s="0" t="str">
        <f aca="false">HYPERLINK("https://lindat.mff.cuni.cz/services/SynSemClass40/SynSemClass40.html?veclass=vec00574#vec00574-ces-cm00039", "vec00574")</f>
        <v>vec00574</v>
      </c>
      <c r="I20486" s="0" t="s">
        <v>5067</v>
      </c>
    </row>
    <row r="20487" customFormat="false" ht="12.8" hidden="false" customHeight="false" outlineLevel="0" collapsed="false">
      <c r="B20487" s="0" t="s">
        <v>1</v>
      </c>
      <c r="C20487" s="0" t="s">
        <v>8520</v>
      </c>
      <c r="E20487" s="0" t="s">
        <v>637</v>
      </c>
      <c r="F20487" s="0" t="s">
        <v>8477</v>
      </c>
      <c r="H20487" s="0" t="s">
        <v>621</v>
      </c>
      <c r="I20487" s="0" t="s">
        <v>5069</v>
      </c>
    </row>
    <row r="20488" customFormat="false" ht="12.8" hidden="false" customHeight="false" outlineLevel="0" collapsed="false">
      <c r="B20488" s="0" t="s">
        <v>8521</v>
      </c>
      <c r="C20488" s="0" t="s">
        <v>8479</v>
      </c>
      <c r="E20488" s="0" t="s">
        <v>8480</v>
      </c>
      <c r="F20488" s="0" t="s">
        <v>8481</v>
      </c>
    </row>
    <row r="20489" customFormat="false" ht="12.8" hidden="false" customHeight="false" outlineLevel="0" collapsed="false">
      <c r="B20489" s="0" t="s">
        <v>164</v>
      </c>
      <c r="C20489" s="0" t="s">
        <v>8522</v>
      </c>
      <c r="H20489" s="0" t="s">
        <v>8523</v>
      </c>
      <c r="I20489" s="0" t="s">
        <v>8524</v>
      </c>
    </row>
    <row r="20491" customFormat="false" ht="12.8" hidden="false" customHeight="false" outlineLevel="0" collapsed="false">
      <c r="A20491" s="0" t="s">
        <v>8519</v>
      </c>
      <c r="B20491" s="0" t="str">
        <f aca="false">HYPERLINK("https://lindat.mff.cuni.cz/services/teitok/pdtc10/index.php?action=vallex&amp;frame=v-w2547f4", "obrátit (v-w2547f4) - substituted with v-w2547f9_ZU")</f>
        <v>obrátit (v-w2547f4) - substituted with v-w2547f9_ZU</v>
      </c>
    </row>
    <row r="20492" customFormat="false" ht="12.8" hidden="false" customHeight="false" outlineLevel="0" collapsed="false">
      <c r="B20492" s="0" t="s">
        <v>1</v>
      </c>
    </row>
    <row r="20493" customFormat="false" ht="12.8" hidden="false" customHeight="false" outlineLevel="0" collapsed="false">
      <c r="B20493" s="0" t="s">
        <v>8521</v>
      </c>
    </row>
    <row r="20494" customFormat="false" ht="12.8" hidden="false" customHeight="false" outlineLevel="0" collapsed="false">
      <c r="B20494" s="0" t="s">
        <v>164</v>
      </c>
    </row>
    <row r="20496" customFormat="false" ht="12.8" hidden="false" customHeight="false" outlineLevel="0" collapsed="false">
      <c r="A20496" s="0" t="s">
        <v>8525</v>
      </c>
      <c r="B20496" s="0" t="str">
        <f aca="false">HYPERLINK("https://lindat.mff.cuni.cz/services/teitok/pdtc10/index.php?action=vallex&amp;frame=v-w2547f8", "obrátit (v-w2547f8)")</f>
        <v>obrátit (v-w2547f8)</v>
      </c>
    </row>
    <row r="20497" customFormat="false" ht="12.8" hidden="false" customHeight="false" outlineLevel="0" collapsed="false">
      <c r="B20497" s="0" t="s">
        <v>1</v>
      </c>
    </row>
    <row r="20498" customFormat="false" ht="12.8" hidden="false" customHeight="false" outlineLevel="0" collapsed="false">
      <c r="B20498" s="0" t="s">
        <v>1129</v>
      </c>
    </row>
    <row r="20499" customFormat="false" ht="12.8" hidden="false" customHeight="false" outlineLevel="0" collapsed="false">
      <c r="B20499" s="0" t="s">
        <v>8</v>
      </c>
    </row>
    <row r="20501" customFormat="false" ht="12.8" hidden="false" customHeight="false" outlineLevel="0" collapsed="false">
      <c r="A20501" s="0" t="s">
        <v>8526</v>
      </c>
      <c r="B20501" s="0" t="str">
        <f aca="false">HYPERLINK("https://lindat.mff.cuni.cz/services/teitok/pdtc10/index.php?action=vallex&amp;frame=v-w2547f6", "obrátit (v-w2547f6)")</f>
        <v>obrátit (v-w2547f6)</v>
      </c>
    </row>
    <row r="20502" customFormat="false" ht="12.8" hidden="false" customHeight="false" outlineLevel="0" collapsed="false">
      <c r="B20502" s="0" t="s">
        <v>1</v>
      </c>
    </row>
    <row r="20503" customFormat="false" ht="12.8" hidden="false" customHeight="false" outlineLevel="0" collapsed="false">
      <c r="B20503" s="0" t="s">
        <v>8527</v>
      </c>
    </row>
    <row r="20505" customFormat="false" ht="12.8" hidden="false" customHeight="false" outlineLevel="0" collapsed="false">
      <c r="A20505" s="0" t="s">
        <v>8528</v>
      </c>
      <c r="B20505" s="0" t="str">
        <f aca="false">HYPERLINK("https://lindat.mff.cuni.cz/services/teitok/pdtc10/index.php?action=vallex&amp;frame=v-w2547hsa_910", "obrátit (v-w2547hsa_910)")</f>
        <v>obrátit (v-w2547hsa_910)</v>
      </c>
      <c r="E20505" s="0" t="str">
        <f aca="false">HYPERLINK("https://lindat.mff.cuni.cz/services/SynSemClass40/SynSemClass40.html?veclass=vec00859#vec00859-ces-cm00080", "vec00859")</f>
        <v>vec00859</v>
      </c>
      <c r="F20505" s="0" t="s">
        <v>1728</v>
      </c>
    </row>
    <row r="20506" customFormat="false" ht="12.8" hidden="false" customHeight="false" outlineLevel="0" collapsed="false">
      <c r="B20506" s="0" t="s">
        <v>1</v>
      </c>
      <c r="C20506" s="0" t="s">
        <v>1729</v>
      </c>
      <c r="E20506" s="0" t="s">
        <v>206</v>
      </c>
      <c r="F20506" s="0" t="s">
        <v>1730</v>
      </c>
    </row>
    <row r="20507" customFormat="false" ht="12.8" hidden="false" customHeight="false" outlineLevel="0" collapsed="false">
      <c r="B20507" s="0" t="s">
        <v>8</v>
      </c>
      <c r="C20507" s="0" t="s">
        <v>1731</v>
      </c>
      <c r="E20507" s="0" t="s">
        <v>1732</v>
      </c>
      <c r="F20507" s="0" t="s">
        <v>1733</v>
      </c>
    </row>
    <row r="20508" customFormat="false" ht="12.8" hidden="false" customHeight="false" outlineLevel="0" collapsed="false">
      <c r="B20508" s="0" t="s">
        <v>164</v>
      </c>
      <c r="C20508" s="0" t="s">
        <v>7761</v>
      </c>
      <c r="E20508" s="0" t="s">
        <v>3229</v>
      </c>
      <c r="F20508" s="0" t="s">
        <v>7762</v>
      </c>
    </row>
    <row r="20510" customFormat="false" ht="12.8" hidden="false" customHeight="false" outlineLevel="0" collapsed="false">
      <c r="A20510" s="0" t="s">
        <v>8529</v>
      </c>
      <c r="B20510" s="0" t="str">
        <f aca="false">HYPERLINK("https://lindat.mff.cuni.cz/services/teitok/pdtc10/index.php?action=vallex&amp;frame=v-w2547f10_ZU", "obrátit (v-w2547f10_ZU)")</f>
        <v>obrátit (v-w2547f10_ZU)</v>
      </c>
    </row>
    <row r="20511" customFormat="false" ht="12.8" hidden="false" customHeight="false" outlineLevel="0" collapsed="false">
      <c r="B20511" s="0" t="s">
        <v>1</v>
      </c>
    </row>
    <row r="20512" customFormat="false" ht="12.8" hidden="false" customHeight="false" outlineLevel="0" collapsed="false">
      <c r="B20512" s="0" t="s">
        <v>8530</v>
      </c>
    </row>
    <row r="20514" customFormat="false" ht="12.8" hidden="false" customHeight="false" outlineLevel="0" collapsed="false">
      <c r="A20514" s="0" t="s">
        <v>8529</v>
      </c>
      <c r="B20514" s="0" t="str">
        <f aca="false">HYPERLINK("https://lindat.mff.cuni.cz/services/teitok/pdtc10/index.php?action=vallex&amp;frame=v-w2547hsa_911", "obrátit (v-w2547hsa_911) - substituted with v-w2547f10_ZU")</f>
        <v>obrátit (v-w2547hsa_911) - substituted with v-w2547f10_ZU</v>
      </c>
    </row>
    <row r="20515" customFormat="false" ht="12.8" hidden="false" customHeight="false" outlineLevel="0" collapsed="false">
      <c r="B20515" s="0" t="s">
        <v>1</v>
      </c>
    </row>
    <row r="20516" customFormat="false" ht="12.8" hidden="false" customHeight="false" outlineLevel="0" collapsed="false">
      <c r="B20516" s="0" t="s">
        <v>8530</v>
      </c>
    </row>
    <row r="20518" customFormat="false" ht="12.8" hidden="false" customHeight="false" outlineLevel="0" collapsed="false">
      <c r="A20518" s="0" t="s">
        <v>8531</v>
      </c>
      <c r="B20518" s="0" t="str">
        <f aca="false">HYPERLINK("https://lindat.mff.cuni.cz/services/teitok/pdtc10/index.php?action=vallex&amp;frame=v-w2547hsa_909", "obrátit (v-w2547hsa_909)")</f>
        <v>obrátit (v-w2547hsa_909)</v>
      </c>
    </row>
    <row r="20519" customFormat="false" ht="12.8" hidden="false" customHeight="false" outlineLevel="0" collapsed="false">
      <c r="B20519" s="0" t="s">
        <v>1</v>
      </c>
    </row>
    <row r="20520" customFormat="false" ht="12.8" hidden="false" customHeight="false" outlineLevel="0" collapsed="false">
      <c r="B20520" s="0" t="s">
        <v>8</v>
      </c>
    </row>
    <row r="20522" customFormat="false" ht="12.8" hidden="false" customHeight="false" outlineLevel="0" collapsed="false">
      <c r="A20522" s="0" t="s">
        <v>8532</v>
      </c>
      <c r="B20522" s="0" t="str">
        <f aca="false">HYPERLINK("https://lindat.mff.cuni.cz/services/teitok/pdtc10/index.php?action=vallex&amp;frame=v-w2548f5", "obrátit se (v-w2548f5)")</f>
        <v>obrátit se (v-w2548f5)</v>
      </c>
    </row>
    <row r="20523" customFormat="false" ht="12.8" hidden="false" customHeight="false" outlineLevel="0" collapsed="false">
      <c r="B20523" s="0" t="s">
        <v>1</v>
      </c>
    </row>
    <row r="20524" customFormat="false" ht="12.8" hidden="false" customHeight="false" outlineLevel="0" collapsed="false">
      <c r="B20524" s="0" t="s">
        <v>311</v>
      </c>
    </row>
    <row r="20526" customFormat="false" ht="12.8" hidden="false" customHeight="false" outlineLevel="0" collapsed="false">
      <c r="A20526" s="0" t="s">
        <v>8533</v>
      </c>
      <c r="B20526" s="0" t="str">
        <f aca="false">HYPERLINK("https://lindat.mff.cuni.cz/services/teitok/pdtc10/index.php?action=vallex&amp;frame=v-w2548f3", "obrátit se (v-w2548f3)")</f>
        <v>obrátit se (v-w2548f3)</v>
      </c>
    </row>
    <row r="20527" customFormat="false" ht="12.8" hidden="false" customHeight="false" outlineLevel="0" collapsed="false">
      <c r="B20527" s="0" t="s">
        <v>1</v>
      </c>
    </row>
    <row r="20528" customFormat="false" ht="12.8" hidden="false" customHeight="false" outlineLevel="0" collapsed="false">
      <c r="B20528" s="0" t="s">
        <v>5061</v>
      </c>
    </row>
    <row r="20530" customFormat="false" ht="12.8" hidden="false" customHeight="false" outlineLevel="0" collapsed="false">
      <c r="A20530" s="0" t="s">
        <v>8534</v>
      </c>
      <c r="B20530" s="0" t="str">
        <f aca="false">HYPERLINK("https://lindat.mff.cuni.cz/services/teitok/pdtc10/index.php?action=vallex&amp;frame=v-w2548f11_ZU", "obrátit se (v-w2548f11_ZU)")</f>
        <v>obrátit se (v-w2548f11_ZU)</v>
      </c>
    </row>
    <row r="20531" customFormat="false" ht="12.8" hidden="false" customHeight="false" outlineLevel="0" collapsed="false">
      <c r="B20531" s="0" t="s">
        <v>1</v>
      </c>
    </row>
    <row r="20532" customFormat="false" ht="12.8" hidden="false" customHeight="false" outlineLevel="0" collapsed="false">
      <c r="B20532" s="0" t="s">
        <v>8486</v>
      </c>
    </row>
    <row r="20533" customFormat="false" ht="12.8" hidden="false" customHeight="false" outlineLevel="0" collapsed="false">
      <c r="B20533" s="0" t="s">
        <v>8535</v>
      </c>
    </row>
    <row r="20535" customFormat="false" ht="12.8" hidden="false" customHeight="false" outlineLevel="0" collapsed="false">
      <c r="A20535" s="0" t="s">
        <v>8534</v>
      </c>
      <c r="B20535" s="0" t="str">
        <f aca="false">HYPERLINK("https://lindat.mff.cuni.cz/services/teitok/pdtc10/index.php?action=vallex&amp;frame=v-w2548f1", "obrátit se (v-w2548f1) - substituted with v-w2548f11_ZU")</f>
        <v>obrátit se (v-w2548f1) - substituted with v-w2548f11_ZU</v>
      </c>
    </row>
    <row r="20536" customFormat="false" ht="12.8" hidden="false" customHeight="false" outlineLevel="0" collapsed="false">
      <c r="B20536" s="0" t="s">
        <v>1</v>
      </c>
    </row>
    <row r="20537" customFormat="false" ht="12.8" hidden="false" customHeight="false" outlineLevel="0" collapsed="false">
      <c r="B20537" s="0" t="s">
        <v>8486</v>
      </c>
    </row>
    <row r="20538" customFormat="false" ht="12.8" hidden="false" customHeight="false" outlineLevel="0" collapsed="false">
      <c r="B20538" s="0" t="s">
        <v>8535</v>
      </c>
    </row>
    <row r="20540" customFormat="false" ht="12.8" hidden="false" customHeight="false" outlineLevel="0" collapsed="false">
      <c r="A20540" s="0" t="s">
        <v>8534</v>
      </c>
      <c r="B20540" s="0" t="str">
        <f aca="false">HYPERLINK("https://lindat.mff.cuni.cz/services/teitok/pdtc10/index.php?action=vallex&amp;frame=v-w2548hsa_680", "obrátit se (v-w2548hsa_680) - substituted with v-w2548f11_ZU")</f>
        <v>obrátit se (v-w2548hsa_680) - substituted with v-w2548f11_ZU</v>
      </c>
      <c r="E20540" s="0" t="str">
        <f aca="false">HYPERLINK("https://lindat.mff.cuni.cz/services/SynSemClass40/SynSemClass40.html?veclass=vec00057#vec00057-ces-cm00037", "vec00057")</f>
        <v>vec00057</v>
      </c>
      <c r="F20540" s="0" t="s">
        <v>145</v>
      </c>
    </row>
    <row r="20541" customFormat="false" ht="12.8" hidden="false" customHeight="false" outlineLevel="0" collapsed="false">
      <c r="B20541" s="0" t="s">
        <v>1</v>
      </c>
      <c r="C20541" s="0" t="s">
        <v>146</v>
      </c>
      <c r="E20541" s="0" t="s">
        <v>147</v>
      </c>
      <c r="F20541" s="0" t="s">
        <v>148</v>
      </c>
    </row>
    <row r="20542" customFormat="false" ht="12.8" hidden="false" customHeight="false" outlineLevel="0" collapsed="false">
      <c r="B20542" s="0" t="s">
        <v>8486</v>
      </c>
      <c r="C20542" s="0" t="s">
        <v>8536</v>
      </c>
      <c r="E20542" s="0" t="s">
        <v>221</v>
      </c>
      <c r="F20542" s="0" t="s">
        <v>8488</v>
      </c>
    </row>
    <row r="20543" customFormat="false" ht="12.8" hidden="false" customHeight="false" outlineLevel="0" collapsed="false">
      <c r="B20543" s="0" t="s">
        <v>8535</v>
      </c>
      <c r="C20543" s="0" t="s">
        <v>8537</v>
      </c>
      <c r="E20543" s="0" t="s">
        <v>209</v>
      </c>
      <c r="F20543" s="0" t="s">
        <v>8493</v>
      </c>
    </row>
    <row r="20545" customFormat="false" ht="12.8" hidden="false" customHeight="false" outlineLevel="0" collapsed="false">
      <c r="A20545" s="0" t="s">
        <v>8538</v>
      </c>
      <c r="B20545" s="0" t="str">
        <f aca="false">HYPERLINK("https://lindat.mff.cuni.cz/services/teitok/pdtc10/index.php?action=vallex&amp;frame=v-w2548f2", "obrátit se (v-w2548f2)")</f>
        <v>obrátit se (v-w2548f2)</v>
      </c>
    </row>
    <row r="20546" customFormat="false" ht="12.8" hidden="false" customHeight="false" outlineLevel="0" collapsed="false">
      <c r="B20546" s="0" t="s">
        <v>1</v>
      </c>
    </row>
    <row r="20548" customFormat="false" ht="12.8" hidden="false" customHeight="false" outlineLevel="0" collapsed="false">
      <c r="A20548" s="0" t="s">
        <v>8539</v>
      </c>
      <c r="B20548" s="0" t="str">
        <f aca="false">HYPERLINK("https://lindat.mff.cuni.cz/services/teitok/pdtc10/index.php?action=vallex&amp;frame=v-w2548f4", "obrátit se (v-w2548f4)")</f>
        <v>obrátit se (v-w2548f4)</v>
      </c>
      <c r="E20548" s="0" t="str">
        <f aca="false">HYPERLINK("https://lindat.mff.cuni.cz/services/SynSemClass40/SynSemClass40.html?veclass=vec00645#vec00645-ces-cm00001", "vec00645")</f>
        <v>vec00645</v>
      </c>
      <c r="F20548" s="0" t="s">
        <v>8497</v>
      </c>
    </row>
    <row r="20549" customFormat="false" ht="12.8" hidden="false" customHeight="false" outlineLevel="0" collapsed="false">
      <c r="B20549" s="0" t="s">
        <v>1</v>
      </c>
      <c r="C20549" s="0" t="s">
        <v>4695</v>
      </c>
      <c r="E20549" s="0" t="s">
        <v>84</v>
      </c>
      <c r="F20549" s="0" t="s">
        <v>8498</v>
      </c>
    </row>
    <row r="20551" customFormat="false" ht="12.8" hidden="false" customHeight="false" outlineLevel="0" collapsed="false">
      <c r="A20551" s="0" t="s">
        <v>8540</v>
      </c>
      <c r="B20551" s="0" t="str">
        <f aca="false">HYPERLINK("https://lindat.mff.cuni.cz/services/teitok/pdtc10/index.php?action=vallex&amp;frame=v-w2548f6", "obrátit se (v-w2548f6)")</f>
        <v>obrátit se (v-w2548f6)</v>
      </c>
    </row>
    <row r="20552" customFormat="false" ht="12.8" hidden="false" customHeight="false" outlineLevel="0" collapsed="false">
      <c r="B20552" s="0" t="s">
        <v>1</v>
      </c>
    </row>
    <row r="20553" customFormat="false" ht="12.8" hidden="false" customHeight="false" outlineLevel="0" collapsed="false">
      <c r="B20553" s="0" t="s">
        <v>8541</v>
      </c>
    </row>
    <row r="20555" customFormat="false" ht="12.8" hidden="false" customHeight="false" outlineLevel="0" collapsed="false">
      <c r="A20555" s="0" t="s">
        <v>8542</v>
      </c>
      <c r="B20555" s="0" t="str">
        <f aca="false">HYPERLINK("https://lindat.mff.cuni.cz/services/teitok/pdtc10/index.php?action=vallex&amp;frame=v-w2548f7_ZU", "obrátit se (v-w2548f7_ZU)")</f>
        <v>obrátit se (v-w2548f7_ZU)</v>
      </c>
      <c r="E20555" s="0" t="str">
        <f aca="false">HYPERLINK("https://lindat.mff.cuni.cz/services/SynSemClass40/SynSemClass40.html?veclass=vec00645#vec00645-ces-cm00022", "vec00645")</f>
        <v>vec00645</v>
      </c>
      <c r="F20555" s="0" t="s">
        <v>8497</v>
      </c>
    </row>
    <row r="20556" customFormat="false" ht="12.8" hidden="false" customHeight="false" outlineLevel="0" collapsed="false">
      <c r="B20556" s="0" t="s">
        <v>1</v>
      </c>
      <c r="C20556" s="0" t="s">
        <v>4695</v>
      </c>
      <c r="E20556" s="0" t="s">
        <v>84</v>
      </c>
      <c r="F20556" s="0" t="s">
        <v>8498</v>
      </c>
    </row>
    <row r="20557" customFormat="false" ht="12.8" hidden="false" customHeight="false" outlineLevel="0" collapsed="false">
      <c r="B20557" s="0" t="s">
        <v>8543</v>
      </c>
    </row>
    <row r="20559" customFormat="false" ht="12.8" hidden="false" customHeight="false" outlineLevel="0" collapsed="false">
      <c r="A20559" s="0" t="s">
        <v>8544</v>
      </c>
      <c r="B20559" s="0" t="str">
        <f aca="false">HYPERLINK("https://lindat.mff.cuni.cz/services/teitok/pdtc10/index.php?action=vallex&amp;frame=v-w2548f8_ZU", "obrátit se (v-w2548f8_ZU)")</f>
        <v>obrátit se (v-w2548f8_ZU)</v>
      </c>
    </row>
    <row r="20560" customFormat="false" ht="12.8" hidden="false" customHeight="false" outlineLevel="0" collapsed="false">
      <c r="B20560" s="0" t="s">
        <v>1</v>
      </c>
    </row>
    <row r="20561" customFormat="false" ht="12.8" hidden="false" customHeight="false" outlineLevel="0" collapsed="false">
      <c r="B20561" s="0" t="s">
        <v>8545</v>
      </c>
    </row>
    <row r="20563" customFormat="false" ht="12.8" hidden="false" customHeight="false" outlineLevel="0" collapsed="false">
      <c r="A20563" s="0" t="s">
        <v>8546</v>
      </c>
      <c r="B20563" s="0" t="str">
        <f aca="false">HYPERLINK("https://lindat.mff.cuni.cz/services/teitok/pdtc10/index.php?action=vallex&amp;frame=v-w2548hsa_679", "obrátit se (v-w2548hsa_679)")</f>
        <v>obrátit se (v-w2548hsa_679)</v>
      </c>
    </row>
    <row r="20564" customFormat="false" ht="12.8" hidden="false" customHeight="false" outlineLevel="0" collapsed="false">
      <c r="B20564" s="0" t="s">
        <v>1</v>
      </c>
    </row>
    <row r="20565" customFormat="false" ht="12.8" hidden="false" customHeight="false" outlineLevel="0" collapsed="false">
      <c r="B20565" s="0" t="s">
        <v>69</v>
      </c>
    </row>
    <row r="20567" customFormat="false" ht="12.8" hidden="false" customHeight="false" outlineLevel="0" collapsed="false">
      <c r="A20567" s="0" t="s">
        <v>8547</v>
      </c>
      <c r="B20567" s="0" t="str">
        <f aca="false">HYPERLINK("https://lindat.mff.cuni.cz/services/teitok/pdtc10/index.php?action=vallex&amp;frame=v-w2548hsa_681", "obrátit se (v-w2548hsa_681)")</f>
        <v>obrátit se (v-w2548hsa_681)</v>
      </c>
      <c r="E20567" s="0" t="str">
        <f aca="false">HYPERLINK("https://lindat.mff.cuni.cz/services/SynSemClass40/SynSemClass40.html?veclass=vec01237#vec01237-ces-cm00004", "vec01237")</f>
        <v>vec01237</v>
      </c>
      <c r="F20567" s="0" t="s">
        <v>8548</v>
      </c>
    </row>
    <row r="20568" customFormat="false" ht="12.8" hidden="false" customHeight="false" outlineLevel="0" collapsed="false">
      <c r="B20568" s="0" t="s">
        <v>1</v>
      </c>
      <c r="C20568" s="0" t="s">
        <v>5344</v>
      </c>
      <c r="E20568" s="0" t="s">
        <v>84</v>
      </c>
      <c r="F20568" s="0" t="s">
        <v>8549</v>
      </c>
    </row>
    <row r="20569" customFormat="false" ht="12.8" hidden="false" customHeight="false" outlineLevel="0" collapsed="false">
      <c r="B20569" s="0" t="s">
        <v>2769</v>
      </c>
      <c r="C20569" s="0" t="s">
        <v>744</v>
      </c>
      <c r="E20569" s="0" t="s">
        <v>1592</v>
      </c>
      <c r="F20569" s="0" t="s">
        <v>8550</v>
      </c>
    </row>
    <row r="20571" customFormat="false" ht="12.8" hidden="false" customHeight="false" outlineLevel="0" collapsed="false">
      <c r="A20571" s="0" t="s">
        <v>8551</v>
      </c>
      <c r="B20571" s="0" t="str">
        <f aca="false">HYPERLINK("https://lindat.mff.cuni.cz/services/teitok/pdtc10/index.php?action=vallex&amp;frame=v-w2548f9_ZU", "obrátit se (v-w2548f9_ZU)")</f>
        <v>obrátit se (v-w2548f9_ZU)</v>
      </c>
      <c r="E20571" s="0" t="str">
        <f aca="false">HYPERLINK("https://lindat.mff.cuni.cz/services/SynSemClass40/SynSemClass40.html?veclass=vec00645#vec00645-ces-cm00011", "vec00645")</f>
        <v>vec00645</v>
      </c>
      <c r="F20571" s="0" t="s">
        <v>8497</v>
      </c>
    </row>
    <row r="20572" customFormat="false" ht="12.8" hidden="false" customHeight="false" outlineLevel="0" collapsed="false">
      <c r="B20572" s="0" t="s">
        <v>1</v>
      </c>
      <c r="C20572" s="0" t="s">
        <v>4695</v>
      </c>
      <c r="E20572" s="0" t="s">
        <v>84</v>
      </c>
      <c r="F20572" s="0" t="s">
        <v>8498</v>
      </c>
    </row>
    <row r="20573" customFormat="false" ht="12.8" hidden="false" customHeight="false" outlineLevel="0" collapsed="false">
      <c r="B20573" s="0" t="s">
        <v>8499</v>
      </c>
    </row>
    <row r="20575" customFormat="false" ht="12.8" hidden="false" customHeight="false" outlineLevel="0" collapsed="false">
      <c r="A20575" s="0" t="s">
        <v>8551</v>
      </c>
      <c r="B20575" s="0" t="str">
        <f aca="false">HYPERLINK("https://lindat.mff.cuni.cz/services/teitok/pdtc10/index.php?action=vallex&amp;frame=v-w2548hsa_682", "obrátit se (v-w2548hsa_682) - substituted with v-w2548f9_ZU")</f>
        <v>obrátit se (v-w2548hsa_682) - substituted with v-w2548f9_ZU</v>
      </c>
    </row>
    <row r="20576" customFormat="false" ht="12.8" hidden="false" customHeight="false" outlineLevel="0" collapsed="false">
      <c r="B20576" s="0" t="s">
        <v>1</v>
      </c>
    </row>
    <row r="20577" customFormat="false" ht="12.8" hidden="false" customHeight="false" outlineLevel="0" collapsed="false">
      <c r="B20577" s="0" t="s">
        <v>8499</v>
      </c>
    </row>
    <row r="20579" customFormat="false" ht="12.8" hidden="false" customHeight="false" outlineLevel="0" collapsed="false">
      <c r="A20579" s="0" t="s">
        <v>8552</v>
      </c>
      <c r="B20579" s="0" t="str">
        <f aca="false">HYPERLINK("https://lindat.mff.cuni.cz/services/teitok/pdtc10/index.php?action=vallex&amp;frame=v-w2548f10_ZU", "obrátit se (v-w2548f10_ZU)")</f>
        <v>obrátit se (v-w2548f10_ZU)</v>
      </c>
      <c r="E20579" s="0" t="str">
        <f aca="false">HYPERLINK("https://lindat.mff.cuni.cz/services/SynSemClass40/SynSemClass40.html?veclass=vec00574#vec00574-ces-cm00041", "vec00574")</f>
        <v>vec00574</v>
      </c>
      <c r="F20579" s="0" t="s">
        <v>5067</v>
      </c>
    </row>
    <row r="20580" customFormat="false" ht="12.8" hidden="false" customHeight="false" outlineLevel="0" collapsed="false">
      <c r="B20580" s="0" t="s">
        <v>1</v>
      </c>
      <c r="C20580" s="0" t="s">
        <v>5068</v>
      </c>
      <c r="E20580" s="0" t="s">
        <v>621</v>
      </c>
      <c r="F20580" s="0" t="s">
        <v>5069</v>
      </c>
    </row>
    <row r="20581" customFormat="false" ht="12.8" hidden="false" customHeight="false" outlineLevel="0" collapsed="false">
      <c r="B20581" s="0" t="s">
        <v>8501</v>
      </c>
    </row>
    <row r="20582" customFormat="false" ht="12.8" hidden="false" customHeight="false" outlineLevel="0" collapsed="false">
      <c r="B20582" s="0" t="s">
        <v>311</v>
      </c>
      <c r="C20582" s="0" t="s">
        <v>5070</v>
      </c>
      <c r="E20582" s="0" t="s">
        <v>1732</v>
      </c>
      <c r="F20582" s="0" t="s">
        <v>5071</v>
      </c>
    </row>
    <row r="20584" customFormat="false" ht="12.8" hidden="false" customHeight="false" outlineLevel="0" collapsed="false">
      <c r="A20584" s="0" t="s">
        <v>8553</v>
      </c>
      <c r="B20584" s="0" t="str">
        <f aca="false">HYPERLINK("https://lindat.mff.cuni.cz/services/teitok/pdtc10/index.php?action=vallex&amp;frame=v-w2551f1", "obrážet se (v-w2551f1)")</f>
        <v>obrážet se (v-w2551f1)</v>
      </c>
    </row>
    <row r="20585" customFormat="false" ht="12.8" hidden="false" customHeight="false" outlineLevel="0" collapsed="false">
      <c r="B20585" s="0" t="s">
        <v>1</v>
      </c>
    </row>
    <row r="20586" customFormat="false" ht="12.8" hidden="false" customHeight="false" outlineLevel="0" collapsed="false">
      <c r="B20586" s="0" t="s">
        <v>5</v>
      </c>
    </row>
    <row r="20588" customFormat="false" ht="12.8" hidden="false" customHeight="false" outlineLevel="0" collapsed="false">
      <c r="A20588" s="0" t="s">
        <v>8554</v>
      </c>
      <c r="B20588" s="0" t="str">
        <f aca="false">HYPERLINK("https://lindat.mff.cuni.cz/services/teitok/pdtc10/index.php?action=vallex&amp;frame=v-w11757_ZUf1_ZU", "obrůst (v-w11757_ZUf1_ZU)")</f>
        <v>obrůst (v-w11757_ZUf1_ZU)</v>
      </c>
    </row>
    <row r="20589" customFormat="false" ht="12.8" hidden="false" customHeight="false" outlineLevel="0" collapsed="false">
      <c r="B20589" s="0" t="s">
        <v>1</v>
      </c>
    </row>
    <row r="20591" customFormat="false" ht="12.8" hidden="false" customHeight="false" outlineLevel="0" collapsed="false">
      <c r="A20591" s="0" t="s">
        <v>8555</v>
      </c>
      <c r="B20591" s="0" t="str">
        <f aca="false">HYPERLINK("https://lindat.mff.cuni.cz/services/teitok/pdtc10/index.php?action=vallex&amp;frame=v-w11757_ZUf2_ZU", "obrůst (v-w11757_ZUf2_ZU)")</f>
        <v>obrůst (v-w11757_ZUf2_ZU)</v>
      </c>
    </row>
    <row r="20592" customFormat="false" ht="12.8" hidden="false" customHeight="false" outlineLevel="0" collapsed="false">
      <c r="B20592" s="0" t="s">
        <v>1</v>
      </c>
    </row>
    <row r="20594" customFormat="false" ht="12.8" hidden="false" customHeight="false" outlineLevel="0" collapsed="false">
      <c r="A20594" s="0" t="s">
        <v>8556</v>
      </c>
      <c r="B20594" s="0" t="str">
        <f aca="false">HYPERLINK("https://lindat.mff.cuni.cz/services/teitok/pdtc10/index.php?action=vallex&amp;frame=v-w2556f2", "obrůstat (v-w2556f2)")</f>
        <v>obrůstat (v-w2556f2)</v>
      </c>
    </row>
    <row r="20595" customFormat="false" ht="12.8" hidden="false" customHeight="false" outlineLevel="0" collapsed="false">
      <c r="B20595" s="0" t="s">
        <v>1</v>
      </c>
    </row>
    <row r="20596" customFormat="false" ht="12.8" hidden="false" customHeight="false" outlineLevel="0" collapsed="false">
      <c r="B20596" s="0" t="s">
        <v>8</v>
      </c>
    </row>
    <row r="20598" customFormat="false" ht="12.8" hidden="false" customHeight="false" outlineLevel="0" collapsed="false">
      <c r="A20598" s="0" t="s">
        <v>8557</v>
      </c>
      <c r="B20598" s="0" t="str">
        <f aca="false">HYPERLINK("https://lindat.mff.cuni.cz/services/teitok/pdtc10/index.php?action=vallex&amp;frame=v-w2556f1", "obrůstat (v-w2556f1)")</f>
        <v>obrůstat (v-w2556f1)</v>
      </c>
    </row>
    <row r="20599" customFormat="false" ht="12.8" hidden="false" customHeight="false" outlineLevel="0" collapsed="false">
      <c r="B20599" s="0" t="s">
        <v>1</v>
      </c>
    </row>
    <row r="20600" customFormat="false" ht="12.8" hidden="false" customHeight="false" outlineLevel="0" collapsed="false">
      <c r="B20600" s="0" t="s">
        <v>286</v>
      </c>
    </row>
    <row r="20602" customFormat="false" ht="12.8" hidden="false" customHeight="false" outlineLevel="0" collapsed="false">
      <c r="A20602" s="0" t="s">
        <v>8558</v>
      </c>
      <c r="B20602" s="0" t="str">
        <f aca="false">HYPERLINK("https://lindat.mff.cuni.cz/services/teitok/pdtc10/index.php?action=vallex&amp;frame=v-w2558f4", "obsadit (v-w2558f4)")</f>
        <v>obsadit (v-w2558f4)</v>
      </c>
      <c r="E20602" s="0" t="str">
        <f aca="false">HYPERLINK("https://lindat.mff.cuni.cz/services/SynSemClass40/SynSemClass40.html?veclass=vec00577#vec00577-ces-cm00004", "vec00577")</f>
        <v>vec00577</v>
      </c>
      <c r="F20602" s="0" t="s">
        <v>7484</v>
      </c>
    </row>
    <row r="20603" customFormat="false" ht="12.8" hidden="false" customHeight="false" outlineLevel="0" collapsed="false">
      <c r="B20603" s="0" t="s">
        <v>1</v>
      </c>
      <c r="C20603" s="0" t="s">
        <v>7485</v>
      </c>
      <c r="E20603" s="0" t="s">
        <v>31</v>
      </c>
      <c r="F20603" s="0" t="s">
        <v>7486</v>
      </c>
    </row>
    <row r="20604" customFormat="false" ht="12.8" hidden="false" customHeight="false" outlineLevel="0" collapsed="false">
      <c r="B20604" s="0" t="s">
        <v>8</v>
      </c>
      <c r="C20604" s="0" t="s">
        <v>7487</v>
      </c>
      <c r="E20604" s="0" t="s">
        <v>7098</v>
      </c>
      <c r="F20604" s="0" t="s">
        <v>7488</v>
      </c>
    </row>
    <row r="20605" customFormat="false" ht="12.8" hidden="false" customHeight="false" outlineLevel="0" collapsed="false">
      <c r="B20605" s="0" t="s">
        <v>7045</v>
      </c>
      <c r="C20605" s="0" t="s">
        <v>7489</v>
      </c>
      <c r="E20605" s="0" t="s">
        <v>7101</v>
      </c>
      <c r="F20605" s="0" t="s">
        <v>7490</v>
      </c>
    </row>
    <row r="20607" customFormat="false" ht="12.8" hidden="false" customHeight="false" outlineLevel="0" collapsed="false">
      <c r="A20607" s="0" t="s">
        <v>8559</v>
      </c>
      <c r="B20607" s="0" t="str">
        <f aca="false">HYPERLINK("https://lindat.mff.cuni.cz/services/teitok/pdtc10/index.php?action=vallex&amp;frame=v-w2558f1", "obsadit (v-w2558f1)")</f>
        <v>obsadit (v-w2558f1)</v>
      </c>
      <c r="E20607" s="0" t="str">
        <f aca="false">HYPERLINK("https://lindat.mff.cuni.cz/services/SynSemClass40/SynSemClass40.html?veclass=vec00646#vec00646-ces-cm00001", "vec00646")</f>
        <v>vec00646</v>
      </c>
      <c r="F20607" s="0" t="s">
        <v>2103</v>
      </c>
    </row>
    <row r="20608" customFormat="false" ht="12.8" hidden="false" customHeight="false" outlineLevel="0" collapsed="false">
      <c r="B20608" s="0" t="s">
        <v>1</v>
      </c>
      <c r="C20608" s="0" t="s">
        <v>2114</v>
      </c>
      <c r="E20608" s="0" t="s">
        <v>206</v>
      </c>
      <c r="F20608" s="0" t="s">
        <v>2105</v>
      </c>
    </row>
    <row r="20609" customFormat="false" ht="12.8" hidden="false" customHeight="false" outlineLevel="0" collapsed="false">
      <c r="B20609" s="0" t="s">
        <v>8</v>
      </c>
      <c r="C20609" s="0" t="s">
        <v>2115</v>
      </c>
      <c r="E20609" s="0" t="s">
        <v>2109</v>
      </c>
      <c r="F20609" s="0" t="s">
        <v>2110</v>
      </c>
    </row>
    <row r="20611" customFormat="false" ht="12.8" hidden="false" customHeight="false" outlineLevel="0" collapsed="false">
      <c r="A20611" s="0" t="s">
        <v>8560</v>
      </c>
      <c r="B20611" s="0" t="str">
        <f aca="false">HYPERLINK("https://lindat.mff.cuni.cz/services/teitok/pdtc10/index.php?action=vallex&amp;frame=v-w2558f2", "obsadit (v-w2558f2)")</f>
        <v>obsadit (v-w2558f2)</v>
      </c>
      <c r="E20611" s="0" t="str">
        <f aca="false">HYPERLINK("https://lindat.mff.cuni.cz/services/SynSemClass40/SynSemClass40.html?veclass=vec00916#vec00916-ces-cm00003", "vec00916")</f>
        <v>vec00916</v>
      </c>
      <c r="F20611" s="0" t="s">
        <v>5268</v>
      </c>
    </row>
    <row r="20612" customFormat="false" ht="12.8" hidden="false" customHeight="false" outlineLevel="0" collapsed="false">
      <c r="B20612" s="0" t="s">
        <v>1</v>
      </c>
      <c r="C20612" s="0" t="s">
        <v>8561</v>
      </c>
      <c r="E20612" s="0" t="s">
        <v>4943</v>
      </c>
      <c r="F20612" s="0" t="s">
        <v>8562</v>
      </c>
    </row>
    <row r="20613" customFormat="false" ht="12.8" hidden="false" customHeight="false" outlineLevel="0" collapsed="false">
      <c r="B20613" s="0" t="s">
        <v>8</v>
      </c>
      <c r="C20613" s="0" t="s">
        <v>8563</v>
      </c>
      <c r="E20613" s="0" t="s">
        <v>8564</v>
      </c>
      <c r="F20613" s="0" t="s">
        <v>8565</v>
      </c>
    </row>
    <row r="20615" customFormat="false" ht="12.8" hidden="false" customHeight="false" outlineLevel="0" collapsed="false">
      <c r="A20615" s="0" t="s">
        <v>8566</v>
      </c>
      <c r="B20615" s="0" t="str">
        <f aca="false">HYPERLINK("https://lindat.mff.cuni.cz/services/teitok/pdtc10/index.php?action=vallex&amp;frame=v-w2558f5", "obsadit (v-w2558f5)")</f>
        <v>obsadit (v-w2558f5)</v>
      </c>
    </row>
    <row r="20616" customFormat="false" ht="12.8" hidden="false" customHeight="false" outlineLevel="0" collapsed="false">
      <c r="B20616" s="0" t="s">
        <v>1</v>
      </c>
    </row>
    <row r="20617" customFormat="false" ht="12.8" hidden="false" customHeight="false" outlineLevel="0" collapsed="false">
      <c r="B20617" s="0" t="s">
        <v>8</v>
      </c>
    </row>
    <row r="20619" customFormat="false" ht="12.8" hidden="false" customHeight="false" outlineLevel="0" collapsed="false">
      <c r="A20619" s="0" t="s">
        <v>8567</v>
      </c>
      <c r="B20619" s="0" t="str">
        <f aca="false">HYPERLINK("https://lindat.mff.cuni.cz/services/teitok/pdtc10/index.php?action=vallex&amp;frame=v-w2558f3", "obsadit (v-w2558f3)")</f>
        <v>obsadit (v-w2558f3)</v>
      </c>
    </row>
    <row r="20620" customFormat="false" ht="12.8" hidden="false" customHeight="false" outlineLevel="0" collapsed="false">
      <c r="B20620" s="0" t="s">
        <v>1</v>
      </c>
    </row>
    <row r="20621" customFormat="false" ht="12.8" hidden="false" customHeight="false" outlineLevel="0" collapsed="false">
      <c r="B20621" s="0" t="s">
        <v>8568</v>
      </c>
    </row>
    <row r="20622" customFormat="false" ht="12.8" hidden="false" customHeight="false" outlineLevel="0" collapsed="false">
      <c r="B20622" s="0" t="s">
        <v>8</v>
      </c>
    </row>
    <row r="20624" customFormat="false" ht="12.8" hidden="false" customHeight="false" outlineLevel="0" collapsed="false">
      <c r="A20624" s="0" t="s">
        <v>8569</v>
      </c>
      <c r="B20624" s="0" t="str">
        <f aca="false">HYPERLINK("https://lindat.mff.cuni.cz/services/teitok/pdtc10/index.php?action=vallex&amp;frame=v-w2561f1", "obsahovat (v-w2561f1)")</f>
        <v>obsahovat (v-w2561f1)</v>
      </c>
      <c r="E20624" s="0" t="str">
        <f aca="false">HYPERLINK("https://lindat.mff.cuni.cz/services/SynSemClass40/SynSemClass40.html?veclass=vec00366#vec00366-ces-cm00019", "vec00366")</f>
        <v>vec00366</v>
      </c>
      <c r="F20624" s="0" t="s">
        <v>8570</v>
      </c>
    </row>
    <row r="20625" customFormat="false" ht="12.8" hidden="false" customHeight="false" outlineLevel="0" collapsed="false">
      <c r="B20625" s="0" t="s">
        <v>1</v>
      </c>
      <c r="C20625" s="0" t="s">
        <v>8571</v>
      </c>
      <c r="E20625" s="0" t="s">
        <v>2017</v>
      </c>
      <c r="F20625" s="0" t="s">
        <v>8572</v>
      </c>
    </row>
    <row r="20626" customFormat="false" ht="12.8" hidden="false" customHeight="false" outlineLevel="0" collapsed="false">
      <c r="B20626" s="0" t="s">
        <v>8</v>
      </c>
      <c r="C20626" s="0" t="s">
        <v>8573</v>
      </c>
      <c r="E20626" s="0" t="s">
        <v>110</v>
      </c>
      <c r="F20626" s="0" t="s">
        <v>8574</v>
      </c>
    </row>
    <row r="20628" customFormat="false" ht="12.8" hidden="false" customHeight="false" outlineLevel="0" collapsed="false">
      <c r="A20628" s="0" t="s">
        <v>8575</v>
      </c>
      <c r="B20628" s="0" t="str">
        <f aca="false">HYPERLINK("https://lindat.mff.cuni.cz/services/teitok/pdtc10/index.php?action=vallex&amp;frame=v-w10668f2", "obsazovat (v-w10668f2)")</f>
        <v>obsazovat (v-w10668f2)</v>
      </c>
      <c r="E20628" s="0" t="str">
        <f aca="false">HYPERLINK("https://lindat.mff.cuni.cz/services/SynSemClass40/SynSemClass40.html?veclass=vec00646#vec00646-ces-cm00117", "vec00646")</f>
        <v>vec00646</v>
      </c>
      <c r="F20628" s="0" t="s">
        <v>2103</v>
      </c>
    </row>
    <row r="20629" customFormat="false" ht="12.8" hidden="false" customHeight="false" outlineLevel="0" collapsed="false">
      <c r="B20629" s="0" t="s">
        <v>1</v>
      </c>
      <c r="C20629" s="0" t="s">
        <v>2114</v>
      </c>
      <c r="E20629" s="0" t="s">
        <v>206</v>
      </c>
      <c r="F20629" s="0" t="s">
        <v>2105</v>
      </c>
    </row>
    <row r="20630" customFormat="false" ht="12.8" hidden="false" customHeight="false" outlineLevel="0" collapsed="false">
      <c r="B20630" s="0" t="s">
        <v>8</v>
      </c>
      <c r="C20630" s="0" t="s">
        <v>2115</v>
      </c>
      <c r="E20630" s="0" t="s">
        <v>2109</v>
      </c>
      <c r="F20630" s="0" t="s">
        <v>2110</v>
      </c>
    </row>
    <row r="20632" customFormat="false" ht="12.8" hidden="false" customHeight="false" outlineLevel="0" collapsed="false">
      <c r="A20632" s="0" t="s">
        <v>8576</v>
      </c>
      <c r="B20632" s="0" t="str">
        <f aca="false">HYPERLINK("https://lindat.mff.cuni.cz/services/teitok/pdtc10/index.php?action=vallex&amp;frame=v-w10668f3", "obsazovat (v-w10668f3)")</f>
        <v>obsazovat (v-w10668f3)</v>
      </c>
    </row>
    <row r="20633" customFormat="false" ht="12.8" hidden="false" customHeight="false" outlineLevel="0" collapsed="false">
      <c r="B20633" s="0" t="s">
        <v>1</v>
      </c>
    </row>
    <row r="20634" customFormat="false" ht="12.8" hidden="false" customHeight="false" outlineLevel="0" collapsed="false">
      <c r="B20634" s="0" t="s">
        <v>8</v>
      </c>
    </row>
    <row r="20636" customFormat="false" ht="12.8" hidden="false" customHeight="false" outlineLevel="0" collapsed="false">
      <c r="A20636" s="0" t="s">
        <v>8577</v>
      </c>
      <c r="B20636" s="0" t="str">
        <f aca="false">HYPERLINK("https://lindat.mff.cuni.cz/services/teitok/pdtc10/index.php?action=vallex&amp;frame=v-whsa_1813hsa_1814", "obskákat (v-whsa_1813hsa_1814)")</f>
        <v>obskákat (v-whsa_1813hsa_1814)</v>
      </c>
    </row>
    <row r="20637" customFormat="false" ht="12.8" hidden="false" customHeight="false" outlineLevel="0" collapsed="false">
      <c r="B20637" s="0" t="s">
        <v>1</v>
      </c>
    </row>
    <row r="20638" customFormat="false" ht="12.8" hidden="false" customHeight="false" outlineLevel="0" collapsed="false">
      <c r="B20638" s="0" t="s">
        <v>8</v>
      </c>
    </row>
    <row r="20640" customFormat="false" ht="12.8" hidden="false" customHeight="false" outlineLevel="0" collapsed="false">
      <c r="A20640" s="0" t="s">
        <v>8578</v>
      </c>
      <c r="B20640" s="0" t="str">
        <f aca="false">HYPERLINK("https://lindat.mff.cuni.cz/services/teitok/pdtc10/index.php?action=vallex&amp;frame=v-w10950f2", "obsloužit (v-w10950f2)")</f>
        <v>obsloužit (v-w10950f2)</v>
      </c>
      <c r="E20640" s="0" t="str">
        <f aca="false">HYPERLINK("https://lindat.mff.cuni.cz/services/SynSemClass40/SynSemClass40.html?veclass=vec00515#vec00515-ces-cm00003", "vec00515")</f>
        <v>vec00515</v>
      </c>
      <c r="F20640" s="0" t="s">
        <v>8579</v>
      </c>
    </row>
    <row r="20641" customFormat="false" ht="12.8" hidden="false" customHeight="false" outlineLevel="0" collapsed="false">
      <c r="B20641" s="0" t="s">
        <v>1</v>
      </c>
      <c r="C20641" s="0" t="s">
        <v>5276</v>
      </c>
      <c r="E20641" s="0" t="s">
        <v>3021</v>
      </c>
      <c r="F20641" s="0" t="s">
        <v>8580</v>
      </c>
    </row>
    <row r="20642" customFormat="false" ht="12.8" hidden="false" customHeight="false" outlineLevel="0" collapsed="false">
      <c r="B20642" s="0" t="s">
        <v>8</v>
      </c>
      <c r="C20642" s="0" t="s">
        <v>8581</v>
      </c>
      <c r="E20642" s="0" t="s">
        <v>4438</v>
      </c>
      <c r="F20642" s="0" t="s">
        <v>8582</v>
      </c>
    </row>
    <row r="20644" customFormat="false" ht="12.8" hidden="false" customHeight="false" outlineLevel="0" collapsed="false">
      <c r="A20644" s="0" t="s">
        <v>8583</v>
      </c>
      <c r="B20644" s="0" t="str">
        <f aca="false">HYPERLINK("https://lindat.mff.cuni.cz/services/teitok/pdtc10/index.php?action=vallex&amp;frame=v-w2569f1", "obsluhovat (v-w2569f1)")</f>
        <v>obsluhovat (v-w2569f1)</v>
      </c>
      <c r="E20644" s="0" t="str">
        <f aca="false">HYPERLINK("https://lindat.mff.cuni.cz/services/SynSemClass40/SynSemClass40.html?veclass=vec00515#vec00515-ces-cm00004", "vec00515")</f>
        <v>vec00515</v>
      </c>
      <c r="F20644" s="0" t="s">
        <v>8579</v>
      </c>
    </row>
    <row r="20645" customFormat="false" ht="12.8" hidden="false" customHeight="false" outlineLevel="0" collapsed="false">
      <c r="B20645" s="0" t="s">
        <v>1</v>
      </c>
      <c r="C20645" s="0" t="s">
        <v>5276</v>
      </c>
      <c r="E20645" s="0" t="s">
        <v>3021</v>
      </c>
      <c r="F20645" s="0" t="s">
        <v>8580</v>
      </c>
    </row>
    <row r="20646" customFormat="false" ht="12.8" hidden="false" customHeight="false" outlineLevel="0" collapsed="false">
      <c r="B20646" s="0" t="s">
        <v>8</v>
      </c>
      <c r="C20646" s="0" t="s">
        <v>8581</v>
      </c>
      <c r="E20646" s="0" t="s">
        <v>4438</v>
      </c>
      <c r="F20646" s="0" t="s">
        <v>8582</v>
      </c>
    </row>
    <row r="20648" customFormat="false" ht="12.8" hidden="false" customHeight="false" outlineLevel="0" collapsed="false">
      <c r="A20648" s="0" t="s">
        <v>8584</v>
      </c>
      <c r="B20648" s="0" t="str">
        <f aca="false">HYPERLINK("https://lindat.mff.cuni.cz/services/teitok/pdtc10/index.php?action=vallex&amp;frame=v-w2569f3_ZU", "obsluhovat (v-w2569f3_ZU)")</f>
        <v>obsluhovat (v-w2569f3_ZU)</v>
      </c>
    </row>
    <row r="20649" customFormat="false" ht="12.8" hidden="false" customHeight="false" outlineLevel="0" collapsed="false">
      <c r="B20649" s="0" t="s">
        <v>1</v>
      </c>
    </row>
    <row r="20650" customFormat="false" ht="12.8" hidden="false" customHeight="false" outlineLevel="0" collapsed="false">
      <c r="B20650" s="0" t="s">
        <v>8</v>
      </c>
    </row>
    <row r="20652" customFormat="false" ht="12.8" hidden="false" customHeight="false" outlineLevel="0" collapsed="false">
      <c r="A20652" s="0" t="s">
        <v>8584</v>
      </c>
      <c r="B20652" s="0" t="str">
        <f aca="false">HYPERLINK("https://lindat.mff.cuni.cz/services/teitok/pdtc10/index.php?action=vallex&amp;frame=v-w2569f2_ZU", "obsluhovat (v-w2569f2_ZU) - substituted with v-w2569f3_ZU")</f>
        <v>obsluhovat (v-w2569f2_ZU) - substituted with v-w2569f3_ZU</v>
      </c>
    </row>
    <row r="20653" customFormat="false" ht="12.8" hidden="false" customHeight="false" outlineLevel="0" collapsed="false">
      <c r="B20653" s="0" t="s">
        <v>1</v>
      </c>
    </row>
    <row r="20654" customFormat="false" ht="12.8" hidden="false" customHeight="false" outlineLevel="0" collapsed="false">
      <c r="B20654" s="0" t="s">
        <v>8</v>
      </c>
    </row>
    <row r="20656" customFormat="false" ht="12.8" hidden="false" customHeight="false" outlineLevel="0" collapsed="false">
      <c r="A20656" s="0" t="s">
        <v>8585</v>
      </c>
      <c r="B20656" s="0" t="str">
        <f aca="false">HYPERLINK("https://lindat.mff.cuni.cz/services/teitok/pdtc10/index.php?action=vallex&amp;frame=v-w2570f1", "obstarat (v-w2570f1)")</f>
        <v>obstarat (v-w2570f1)</v>
      </c>
      <c r="E20656" s="0" t="str">
        <f aca="false">HYPERLINK("https://lindat.mff.cuni.cz/services/SynSemClass40/SynSemClass40.html?veclass=vec00178#vec00178-ces-cm00036", "vec00178")</f>
        <v>vec00178</v>
      </c>
      <c r="F20656" s="0" t="s">
        <v>8586</v>
      </c>
    </row>
    <row r="20657" customFormat="false" ht="12.8" hidden="false" customHeight="false" outlineLevel="0" collapsed="false">
      <c r="B20657" s="0" t="s">
        <v>1</v>
      </c>
      <c r="C20657" s="0" t="s">
        <v>5649</v>
      </c>
      <c r="E20657" s="0" t="s">
        <v>31</v>
      </c>
      <c r="F20657" s="0" t="s">
        <v>8587</v>
      </c>
    </row>
    <row r="20658" customFormat="false" ht="12.8" hidden="false" customHeight="false" outlineLevel="0" collapsed="false">
      <c r="B20658" s="0" t="s">
        <v>8</v>
      </c>
      <c r="C20658" s="0" t="s">
        <v>8588</v>
      </c>
      <c r="E20658" s="0" t="s">
        <v>34</v>
      </c>
      <c r="F20658" s="0" t="s">
        <v>8589</v>
      </c>
    </row>
    <row r="20660" customFormat="false" ht="12.8" hidden="false" customHeight="false" outlineLevel="0" collapsed="false">
      <c r="A20660" s="0" t="s">
        <v>8590</v>
      </c>
      <c r="B20660" s="0" t="str">
        <f aca="false">HYPERLINK("https://lindat.mff.cuni.cz/services/teitok/pdtc10/index.php?action=vallex&amp;frame=v-w2570hsa_332", "obstarat (v-w2570hsa_332)")</f>
        <v>obstarat (v-w2570hsa_332)</v>
      </c>
    </row>
    <row r="20661" customFormat="false" ht="12.8" hidden="false" customHeight="false" outlineLevel="0" collapsed="false">
      <c r="B20661" s="0" t="s">
        <v>1</v>
      </c>
    </row>
    <row r="20662" customFormat="false" ht="12.8" hidden="false" customHeight="false" outlineLevel="0" collapsed="false">
      <c r="B20662" s="0" t="s">
        <v>8</v>
      </c>
    </row>
    <row r="20664" customFormat="false" ht="12.8" hidden="false" customHeight="false" outlineLevel="0" collapsed="false">
      <c r="A20664" s="0" t="s">
        <v>8591</v>
      </c>
      <c r="B20664" s="0" t="str">
        <f aca="false">HYPERLINK("https://lindat.mff.cuni.cz/services/teitok/pdtc10/index.php?action=vallex&amp;frame=v-w2571f1", "obstarávat (v-w2571f1)")</f>
        <v>obstarávat (v-w2571f1)</v>
      </c>
      <c r="E20664" s="0" t="str">
        <f aca="false">HYPERLINK("https://lindat.mff.cuni.cz/services/SynSemClass40/SynSemClass40.html?veclass=vec00178#vec00178-ces-cm00121", "vec00178")</f>
        <v>vec00178</v>
      </c>
      <c r="F20664" s="0" t="s">
        <v>8586</v>
      </c>
    </row>
    <row r="20665" customFormat="false" ht="12.8" hidden="false" customHeight="false" outlineLevel="0" collapsed="false">
      <c r="B20665" s="0" t="s">
        <v>1</v>
      </c>
      <c r="C20665" s="0" t="s">
        <v>5649</v>
      </c>
      <c r="E20665" s="0" t="s">
        <v>31</v>
      </c>
      <c r="F20665" s="0" t="s">
        <v>8587</v>
      </c>
    </row>
    <row r="20666" customFormat="false" ht="12.8" hidden="false" customHeight="false" outlineLevel="0" collapsed="false">
      <c r="B20666" s="0" t="s">
        <v>8</v>
      </c>
      <c r="C20666" s="0" t="s">
        <v>8588</v>
      </c>
      <c r="E20666" s="0" t="s">
        <v>34</v>
      </c>
      <c r="F20666" s="0" t="s">
        <v>8589</v>
      </c>
    </row>
    <row r="20668" customFormat="false" ht="12.8" hidden="false" customHeight="false" outlineLevel="0" collapsed="false">
      <c r="A20668" s="0" t="s">
        <v>8592</v>
      </c>
      <c r="B20668" s="0" t="str">
        <f aca="false">HYPERLINK("https://lindat.mff.cuni.cz/services/teitok/pdtc10/index.php?action=vallex&amp;frame=v-w2571f2_ZU", "obstarávat (v-w2571f2_ZU)")</f>
        <v>obstarávat (v-w2571f2_ZU)</v>
      </c>
    </row>
    <row r="20669" customFormat="false" ht="12.8" hidden="false" customHeight="false" outlineLevel="0" collapsed="false">
      <c r="B20669" s="0" t="s">
        <v>1</v>
      </c>
    </row>
    <row r="20670" customFormat="false" ht="12.8" hidden="false" customHeight="false" outlineLevel="0" collapsed="false">
      <c r="B20670" s="0" t="s">
        <v>8</v>
      </c>
    </row>
    <row r="20672" customFormat="false" ht="12.8" hidden="false" customHeight="false" outlineLevel="0" collapsed="false">
      <c r="A20672" s="0" t="s">
        <v>8593</v>
      </c>
      <c r="B20672" s="0" t="str">
        <f aca="false">HYPERLINK("https://lindat.mff.cuni.cz/services/teitok/pdtc10/index.php?action=vallex&amp;frame=v-whsa_646hsa_647", "obstavit (v-whsa_646hsa_647)")</f>
        <v>obstavit (v-whsa_646hsa_647)</v>
      </c>
      <c r="E20672" s="0" t="str">
        <f aca="false">HYPERLINK("https://lindat.mff.cuni.cz/services/SynSemClass40/SynSemClass40.html?veclass=vec00569#vec00569-ces-cm00020", "vec00569")</f>
        <v>vec00569</v>
      </c>
      <c r="F20672" s="0" t="s">
        <v>5518</v>
      </c>
    </row>
    <row r="20673" customFormat="false" ht="12.8" hidden="false" customHeight="false" outlineLevel="0" collapsed="false">
      <c r="B20673" s="0" t="s">
        <v>1</v>
      </c>
      <c r="C20673" s="0" t="s">
        <v>4725</v>
      </c>
      <c r="E20673" s="0" t="s">
        <v>206</v>
      </c>
      <c r="F20673" s="0" t="s">
        <v>5519</v>
      </c>
    </row>
    <row r="20674" customFormat="false" ht="12.8" hidden="false" customHeight="false" outlineLevel="0" collapsed="false">
      <c r="B20674" s="0" t="s">
        <v>8</v>
      </c>
      <c r="C20674" s="0" t="s">
        <v>5520</v>
      </c>
      <c r="E20674" s="0" t="s">
        <v>5521</v>
      </c>
      <c r="F20674" s="0" t="s">
        <v>5522</v>
      </c>
    </row>
    <row r="20676" customFormat="false" ht="12.8" hidden="false" customHeight="false" outlineLevel="0" collapsed="false">
      <c r="A20676" s="0" t="s">
        <v>8594</v>
      </c>
      <c r="B20676" s="0" t="str">
        <f aca="false">HYPERLINK("https://lindat.mff.cuni.cz/services/teitok/pdtc10/index.php?action=vallex&amp;frame=v-w12227_ZUf1_ZU", "obstoupit (v-w12227_ZUf1_ZU)")</f>
        <v>obstoupit (v-w12227_ZUf1_ZU)</v>
      </c>
    </row>
    <row r="20677" customFormat="false" ht="12.8" hidden="false" customHeight="false" outlineLevel="0" collapsed="false">
      <c r="B20677" s="0" t="s">
        <v>1</v>
      </c>
    </row>
    <row r="20678" customFormat="false" ht="12.8" hidden="false" customHeight="false" outlineLevel="0" collapsed="false">
      <c r="B20678" s="0" t="s">
        <v>8</v>
      </c>
    </row>
    <row r="20680" customFormat="false" ht="12.8" hidden="false" customHeight="false" outlineLevel="0" collapsed="false">
      <c r="A20680" s="0" t="s">
        <v>8595</v>
      </c>
      <c r="B20680" s="0" t="str">
        <f aca="false">HYPERLINK("https://lindat.mff.cuni.cz/services/teitok/pdtc10/index.php?action=vallex&amp;frame=v-w2572f1", "obstát (v-w2572f1)")</f>
        <v>obstát (v-w2572f1)</v>
      </c>
    </row>
    <row r="20681" customFormat="false" ht="12.8" hidden="false" customHeight="false" outlineLevel="0" collapsed="false">
      <c r="B20681" s="0" t="s">
        <v>1</v>
      </c>
    </row>
    <row r="20683" customFormat="false" ht="12.8" hidden="false" customHeight="false" outlineLevel="0" collapsed="false">
      <c r="A20683" s="0" t="s">
        <v>8596</v>
      </c>
      <c r="B20683" s="0" t="str">
        <f aca="false">HYPERLINK("https://lindat.mff.cuni.cz/services/teitok/pdtc10/index.php?action=vallex&amp;frame=v-w12379_MMf1_MM", "obstřelovat (v-w12379_MMf1_MM)")</f>
        <v>obstřelovat (v-w12379_MMf1_MM)</v>
      </c>
    </row>
    <row r="20684" customFormat="false" ht="12.8" hidden="false" customHeight="false" outlineLevel="0" collapsed="false">
      <c r="B20684" s="0" t="s">
        <v>1</v>
      </c>
    </row>
    <row r="20685" customFormat="false" ht="12.8" hidden="false" customHeight="false" outlineLevel="0" collapsed="false">
      <c r="B20685" s="0" t="s">
        <v>8</v>
      </c>
    </row>
    <row r="20687" customFormat="false" ht="12.8" hidden="false" customHeight="false" outlineLevel="0" collapsed="false">
      <c r="A20687" s="0" t="s">
        <v>8597</v>
      </c>
      <c r="B20687" s="0" t="str">
        <f aca="false">HYPERLINK("https://lindat.mff.cuni.cz/services/teitok/pdtc10/index.php?action=vallex&amp;frame=v-w2560f1", "obsáhnout (v-w2560f1)")</f>
        <v>obsáhnout (v-w2560f1)</v>
      </c>
      <c r="E20687" s="0" t="str">
        <f aca="false">HYPERLINK("https://lindat.mff.cuni.cz/services/SynSemClass40/SynSemClass40.html?veclass=vec00366#vec00366-ces-cm00352", "vec00366")</f>
        <v>vec00366</v>
      </c>
      <c r="F20687" s="0" t="s">
        <v>8570</v>
      </c>
    </row>
    <row r="20688" customFormat="false" ht="12.8" hidden="false" customHeight="false" outlineLevel="0" collapsed="false">
      <c r="B20688" s="0" t="s">
        <v>1</v>
      </c>
      <c r="C20688" s="0" t="s">
        <v>8571</v>
      </c>
      <c r="E20688" s="0" t="s">
        <v>2017</v>
      </c>
      <c r="F20688" s="0" t="s">
        <v>8572</v>
      </c>
    </row>
    <row r="20689" customFormat="false" ht="12.8" hidden="false" customHeight="false" outlineLevel="0" collapsed="false">
      <c r="B20689" s="0" t="s">
        <v>8</v>
      </c>
      <c r="C20689" s="0" t="s">
        <v>8573</v>
      </c>
      <c r="E20689" s="0" t="s">
        <v>110</v>
      </c>
      <c r="F20689" s="0" t="s">
        <v>8574</v>
      </c>
    </row>
    <row r="20691" customFormat="false" ht="12.8" hidden="false" customHeight="false" outlineLevel="0" collapsed="false">
      <c r="A20691" s="0" t="s">
        <v>8598</v>
      </c>
      <c r="B20691" s="0" t="str">
        <f aca="false">HYPERLINK("https://lindat.mff.cuni.cz/services/teitok/pdtc10/index.php?action=vallex&amp;frame=v-w11791_ZUf1_ZU", "obtelefonovávat (v-w11791_ZUf1_ZU)")</f>
        <v>obtelefonovávat (v-w11791_ZUf1_ZU)</v>
      </c>
    </row>
    <row r="20692" customFormat="false" ht="12.8" hidden="false" customHeight="false" outlineLevel="0" collapsed="false">
      <c r="B20692" s="0" t="s">
        <v>1</v>
      </c>
    </row>
    <row r="20693" customFormat="false" ht="12.8" hidden="false" customHeight="false" outlineLevel="0" collapsed="false">
      <c r="B20693" s="0" t="s">
        <v>8</v>
      </c>
    </row>
    <row r="20695" customFormat="false" ht="12.8" hidden="false" customHeight="false" outlineLevel="0" collapsed="false">
      <c r="A20695" s="0" t="s">
        <v>8599</v>
      </c>
      <c r="B20695" s="0" t="str">
        <f aca="false">HYPERLINK("https://lindat.mff.cuni.cz/services/teitok/pdtc10/index.php?action=vallex&amp;frame=v-w2580f1", "obtížit (v-w2580f1)")</f>
        <v>obtížit (v-w2580f1)</v>
      </c>
    </row>
    <row r="20696" customFormat="false" ht="12.8" hidden="false" customHeight="false" outlineLevel="0" collapsed="false">
      <c r="B20696" s="0" t="s">
        <v>1</v>
      </c>
    </row>
    <row r="20697" customFormat="false" ht="12.8" hidden="false" customHeight="false" outlineLevel="0" collapsed="false">
      <c r="B20697" s="0" t="s">
        <v>8</v>
      </c>
    </row>
    <row r="20699" customFormat="false" ht="12.8" hidden="false" customHeight="false" outlineLevel="0" collapsed="false">
      <c r="A20699" s="0" t="s">
        <v>8600</v>
      </c>
      <c r="B20699" s="0" t="str">
        <f aca="false">HYPERLINK("https://lindat.mff.cuni.cz/services/teitok/pdtc10/index.php?action=vallex&amp;frame=v-w10289f2", "obtěžkat (v-w10289f2)")</f>
        <v>obtěžkat (v-w10289f2)</v>
      </c>
      <c r="E20699" s="0" t="str">
        <f aca="false">HYPERLINK("https://lindat.mff.cuni.cz/services/SynSemClass40/SynSemClass40.html?veclass=vec00576#vec00576-ces-cm00007", "vec00576")</f>
        <v>vec00576</v>
      </c>
      <c r="F20699" s="0" t="s">
        <v>8601</v>
      </c>
    </row>
    <row r="20700" customFormat="false" ht="12.8" hidden="false" customHeight="false" outlineLevel="0" collapsed="false">
      <c r="B20700" s="0" t="s">
        <v>1</v>
      </c>
      <c r="C20700" s="0" t="s">
        <v>8602</v>
      </c>
      <c r="E20700" s="0" t="s">
        <v>957</v>
      </c>
      <c r="F20700" s="0" t="s">
        <v>8603</v>
      </c>
    </row>
    <row r="20701" customFormat="false" ht="12.8" hidden="false" customHeight="false" outlineLevel="0" collapsed="false">
      <c r="B20701" s="0" t="s">
        <v>8</v>
      </c>
      <c r="C20701" s="0" t="s">
        <v>8604</v>
      </c>
      <c r="E20701" s="0" t="s">
        <v>142</v>
      </c>
      <c r="F20701" s="0" t="s">
        <v>8605</v>
      </c>
    </row>
    <row r="20703" customFormat="false" ht="12.8" hidden="false" customHeight="false" outlineLevel="0" collapsed="false">
      <c r="A20703" s="0" t="s">
        <v>8606</v>
      </c>
      <c r="B20703" s="0" t="str">
        <f aca="false">HYPERLINK("https://lindat.mff.cuni.cz/services/teitok/pdtc10/index.php?action=vallex&amp;frame=v-w2577f1", "obtěžovat (v-w2577f1)")</f>
        <v>obtěžovat (v-w2577f1)</v>
      </c>
      <c r="E20703" s="0" t="str">
        <f aca="false">HYPERLINK("https://lindat.mff.cuni.cz/services/SynSemClass40/SynSemClass40.html?veclass=vec00608#vec00608-ces-cm00014", "vec00608")</f>
        <v>vec00608</v>
      </c>
      <c r="F20703" s="0" t="s">
        <v>1927</v>
      </c>
    </row>
    <row r="20704" customFormat="false" ht="12.8" hidden="false" customHeight="false" outlineLevel="0" collapsed="false">
      <c r="B20704" s="0" t="s">
        <v>1</v>
      </c>
      <c r="C20704" s="0" t="s">
        <v>657</v>
      </c>
      <c r="E20704" s="0" t="s">
        <v>1103</v>
      </c>
      <c r="F20704" s="0" t="s">
        <v>1928</v>
      </c>
    </row>
    <row r="20705" customFormat="false" ht="12.8" hidden="false" customHeight="false" outlineLevel="0" collapsed="false">
      <c r="B20705" s="0" t="s">
        <v>8</v>
      </c>
      <c r="C20705" s="0" t="s">
        <v>1929</v>
      </c>
      <c r="E20705" s="0" t="s">
        <v>1930</v>
      </c>
      <c r="F20705" s="0" t="s">
        <v>1931</v>
      </c>
    </row>
    <row r="20707" customFormat="false" ht="12.8" hidden="false" customHeight="false" outlineLevel="0" collapsed="false">
      <c r="A20707" s="0" t="s">
        <v>8607</v>
      </c>
      <c r="B20707" s="0" t="str">
        <f aca="false">HYPERLINK("https://lindat.mff.cuni.cz/services/teitok/pdtc10/index.php?action=vallex&amp;frame=v-w2578f1", "obtěžovat se (v-w2578f1)")</f>
        <v>obtěžovat se (v-w2578f1)</v>
      </c>
      <c r="E20707" s="0" t="str">
        <f aca="false">HYPERLINK("https://lindat.mff.cuni.cz/services/SynSemClass40/SynSemClass40.html?veclass=vec01054#vec01054-ces-cm00001", "vec01054")</f>
        <v>vec01054</v>
      </c>
      <c r="F20707" s="0" t="s">
        <v>8608</v>
      </c>
      <c r="H20707" s="0" t="str">
        <f aca="false">HYPERLINK("https://lindat.mff.cuni.cz/services/SynSemClass40/SynSemClass40.html?veclass=vec01458#vec01458-ces-cm00031", "vec01458")</f>
        <v>vec01458</v>
      </c>
      <c r="I20707" s="0" t="s">
        <v>127</v>
      </c>
    </row>
    <row r="20708" customFormat="false" ht="12.8" hidden="false" customHeight="false" outlineLevel="0" collapsed="false">
      <c r="B20708" s="0" t="s">
        <v>1</v>
      </c>
      <c r="C20708" s="0" t="s">
        <v>8609</v>
      </c>
      <c r="E20708" s="0" t="s">
        <v>31</v>
      </c>
      <c r="F20708" s="0" t="s">
        <v>4600</v>
      </c>
      <c r="H20708" s="0" t="s">
        <v>31</v>
      </c>
      <c r="I20708" s="0" t="s">
        <v>130</v>
      </c>
    </row>
    <row r="20709" customFormat="false" ht="12.8" hidden="false" customHeight="false" outlineLevel="0" collapsed="false">
      <c r="B20709" s="0" t="s">
        <v>8610</v>
      </c>
      <c r="C20709" s="0" t="s">
        <v>8611</v>
      </c>
      <c r="E20709" s="0" t="s">
        <v>532</v>
      </c>
      <c r="F20709" s="0" t="s">
        <v>8612</v>
      </c>
      <c r="H20709" s="0" t="s">
        <v>14</v>
      </c>
      <c r="I20709" s="0" t="s">
        <v>288</v>
      </c>
    </row>
    <row r="20711" customFormat="false" ht="12.8" hidden="false" customHeight="false" outlineLevel="0" collapsed="false">
      <c r="A20711" s="0" t="s">
        <v>8613</v>
      </c>
      <c r="B20711" s="0" t="str">
        <f aca="false">HYPERLINK("https://lindat.mff.cuni.cz/services/teitok/pdtc10/index.php?action=vallex&amp;frame=v-w11862_ZUf1_ZU", "obvazovat (v-w11862_ZUf1_ZU)")</f>
        <v>obvazovat (v-w11862_ZUf1_ZU)</v>
      </c>
    </row>
    <row r="20712" customFormat="false" ht="12.8" hidden="false" customHeight="false" outlineLevel="0" collapsed="false">
      <c r="B20712" s="0" t="s">
        <v>1</v>
      </c>
    </row>
    <row r="20713" customFormat="false" ht="12.8" hidden="false" customHeight="false" outlineLevel="0" collapsed="false">
      <c r="B20713" s="0" t="s">
        <v>8</v>
      </c>
    </row>
    <row r="20715" customFormat="false" ht="12.8" hidden="false" customHeight="false" outlineLevel="0" collapsed="false">
      <c r="A20715" s="0" t="s">
        <v>8614</v>
      </c>
      <c r="B20715" s="0" t="str">
        <f aca="false">HYPERLINK("https://lindat.mff.cuni.cz/services/teitok/pdtc10/index.php?action=vallex&amp;frame=v-w2581f1", "obveselit (v-w2581f1)")</f>
        <v>obveselit (v-w2581f1)</v>
      </c>
    </row>
    <row r="20716" customFormat="false" ht="12.8" hidden="false" customHeight="false" outlineLevel="0" collapsed="false">
      <c r="B20716" s="0" t="s">
        <v>1</v>
      </c>
    </row>
    <row r="20717" customFormat="false" ht="12.8" hidden="false" customHeight="false" outlineLevel="0" collapsed="false">
      <c r="B20717" s="0" t="s">
        <v>8</v>
      </c>
    </row>
    <row r="20719" customFormat="false" ht="12.8" hidden="false" customHeight="false" outlineLevel="0" collapsed="false">
      <c r="A20719" s="0" t="s">
        <v>8615</v>
      </c>
      <c r="B20719" s="0" t="str">
        <f aca="false">HYPERLINK("https://lindat.mff.cuni.cz/services/teitok/pdtc10/index.php?action=vallex&amp;frame=v-w2584hsa_602", "obvinit (v-w2584hsa_602)")</f>
        <v>obvinit (v-w2584hsa_602)</v>
      </c>
      <c r="E20719" s="0" t="str">
        <f aca="false">HYPERLINK("https://lindat.mff.cuni.cz/services/SynSemClass40/SynSemClass40.html?veclass=vec00347#vec00347-ces-cm00004", "vec00347")</f>
        <v>vec00347</v>
      </c>
      <c r="F20719" s="0" t="s">
        <v>3748</v>
      </c>
    </row>
    <row r="20720" customFormat="false" ht="12.8" hidden="false" customHeight="false" outlineLevel="0" collapsed="false">
      <c r="B20720" s="0" t="s">
        <v>1</v>
      </c>
      <c r="C20720" s="0" t="s">
        <v>3749</v>
      </c>
      <c r="E20720" s="0" t="s">
        <v>3750</v>
      </c>
      <c r="F20720" s="0" t="s">
        <v>3751</v>
      </c>
    </row>
    <row r="20721" customFormat="false" ht="12.8" hidden="false" customHeight="false" outlineLevel="0" collapsed="false">
      <c r="B20721" s="0" t="s">
        <v>98</v>
      </c>
      <c r="C20721" s="0" t="s">
        <v>3755</v>
      </c>
      <c r="E20721" s="0" t="s">
        <v>3756</v>
      </c>
      <c r="F20721" s="0" t="s">
        <v>3757</v>
      </c>
    </row>
    <row r="20722" customFormat="false" ht="12.8" hidden="false" customHeight="false" outlineLevel="0" collapsed="false">
      <c r="B20722" s="0" t="s">
        <v>8616</v>
      </c>
      <c r="C20722" s="0" t="s">
        <v>3753</v>
      </c>
      <c r="E20722" s="0" t="s">
        <v>2568</v>
      </c>
      <c r="F20722" s="0" t="s">
        <v>3754</v>
      </c>
    </row>
    <row r="20724" customFormat="false" ht="12.8" hidden="false" customHeight="false" outlineLevel="0" collapsed="false">
      <c r="A20724" s="0" t="s">
        <v>8615</v>
      </c>
      <c r="B20724" s="0" t="str">
        <f aca="false">HYPERLINK("https://lindat.mff.cuni.cz/services/teitok/pdtc10/index.php?action=vallex&amp;frame=v-w2584f1", "obvinit (v-w2584f1) - substituted with v-w2584hsa_602")</f>
        <v>obvinit (v-w2584f1) - substituted with v-w2584hsa_602</v>
      </c>
    </row>
    <row r="20725" customFormat="false" ht="12.8" hidden="false" customHeight="false" outlineLevel="0" collapsed="false">
      <c r="B20725" s="0" t="s">
        <v>1</v>
      </c>
    </row>
    <row r="20726" customFormat="false" ht="12.8" hidden="false" customHeight="false" outlineLevel="0" collapsed="false">
      <c r="B20726" s="0" t="s">
        <v>98</v>
      </c>
    </row>
    <row r="20727" customFormat="false" ht="12.8" hidden="false" customHeight="false" outlineLevel="0" collapsed="false">
      <c r="B20727" s="0" t="s">
        <v>8616</v>
      </c>
    </row>
    <row r="20729" customFormat="false" ht="12.8" hidden="false" customHeight="false" outlineLevel="0" collapsed="false">
      <c r="A20729" s="0" t="s">
        <v>8617</v>
      </c>
      <c r="B20729" s="0" t="str">
        <f aca="false">HYPERLINK("https://lindat.mff.cuni.cz/services/teitok/pdtc10/index.php?action=vallex&amp;frame=v-whsa_1278hsa_1279", "obvinit se (v-whsa_1278hsa_1279)")</f>
        <v>obvinit se (v-whsa_1278hsa_1279)</v>
      </c>
    </row>
    <row r="20730" customFormat="false" ht="12.8" hidden="false" customHeight="false" outlineLevel="0" collapsed="false">
      <c r="B20730" s="0" t="s">
        <v>1</v>
      </c>
    </row>
    <row r="20731" customFormat="false" ht="12.8" hidden="false" customHeight="false" outlineLevel="0" collapsed="false">
      <c r="B20731" s="0" t="s">
        <v>276</v>
      </c>
    </row>
    <row r="20732" customFormat="false" ht="12.8" hidden="false" customHeight="false" outlineLevel="0" collapsed="false">
      <c r="B20732" s="0" t="s">
        <v>8069</v>
      </c>
    </row>
    <row r="20734" customFormat="false" ht="12.8" hidden="false" customHeight="false" outlineLevel="0" collapsed="false">
      <c r="A20734" s="0" t="s">
        <v>8618</v>
      </c>
      <c r="B20734" s="0" t="str">
        <f aca="false">HYPERLINK("https://lindat.mff.cuni.cz/services/teitok/pdtc10/index.php?action=vallex&amp;frame=v-w2586f1", "obviňovat (v-w2586f1)")</f>
        <v>obviňovat (v-w2586f1)</v>
      </c>
      <c r="E20734" s="0" t="str">
        <f aca="false">HYPERLINK("https://lindat.mff.cuni.cz/services/SynSemClass40/SynSemClass40.html?veclass=vec00347#vec00347-ces-cm00005", "vec00347")</f>
        <v>vec00347</v>
      </c>
      <c r="F20734" s="0" t="s">
        <v>3748</v>
      </c>
    </row>
    <row r="20735" customFormat="false" ht="12.8" hidden="false" customHeight="false" outlineLevel="0" collapsed="false">
      <c r="B20735" s="0" t="s">
        <v>1</v>
      </c>
      <c r="C20735" s="0" t="s">
        <v>3749</v>
      </c>
      <c r="E20735" s="0" t="s">
        <v>3750</v>
      </c>
      <c r="F20735" s="0" t="s">
        <v>3751</v>
      </c>
    </row>
    <row r="20736" customFormat="false" ht="12.8" hidden="false" customHeight="false" outlineLevel="0" collapsed="false">
      <c r="B20736" s="0" t="s">
        <v>98</v>
      </c>
      <c r="C20736" s="0" t="s">
        <v>3755</v>
      </c>
      <c r="E20736" s="0" t="s">
        <v>3756</v>
      </c>
      <c r="F20736" s="0" t="s">
        <v>3757</v>
      </c>
    </row>
    <row r="20737" customFormat="false" ht="12.8" hidden="false" customHeight="false" outlineLevel="0" collapsed="false">
      <c r="B20737" s="0" t="s">
        <v>8069</v>
      </c>
      <c r="C20737" s="0" t="s">
        <v>3753</v>
      </c>
      <c r="E20737" s="0" t="s">
        <v>2568</v>
      </c>
      <c r="F20737" s="0" t="s">
        <v>3754</v>
      </c>
    </row>
    <row r="20739" customFormat="false" ht="12.8" hidden="false" customHeight="false" outlineLevel="0" collapsed="false">
      <c r="A20739" s="0" t="s">
        <v>8619</v>
      </c>
      <c r="B20739" s="0" t="str">
        <f aca="false">HYPERLINK("https://lindat.mff.cuni.cz/services/teitok/pdtc10/index.php?action=vallex&amp;frame=v-whsa_882hsa_883", "obvolat (v-whsa_882hsa_883)")</f>
        <v>obvolat (v-whsa_882hsa_883)</v>
      </c>
      <c r="E20739" s="0" t="str">
        <f aca="false">HYPERLINK("https://lindat.mff.cuni.cz/services/SynSemClass40/SynSemClass40.html?veclass=vec00057#vec00057-ces-cm00201", "vec00057")</f>
        <v>vec00057</v>
      </c>
      <c r="F20739" s="0" t="s">
        <v>145</v>
      </c>
    </row>
    <row r="20740" customFormat="false" ht="12.8" hidden="false" customHeight="false" outlineLevel="0" collapsed="false">
      <c r="B20740" s="0" t="s">
        <v>1</v>
      </c>
      <c r="C20740" s="0" t="s">
        <v>146</v>
      </c>
      <c r="E20740" s="0" t="s">
        <v>147</v>
      </c>
      <c r="F20740" s="0" t="s">
        <v>148</v>
      </c>
    </row>
    <row r="20741" customFormat="false" ht="12.8" hidden="false" customHeight="false" outlineLevel="0" collapsed="false">
      <c r="B20741" s="0" t="s">
        <v>8</v>
      </c>
      <c r="C20741" s="0" t="s">
        <v>149</v>
      </c>
      <c r="E20741" s="0" t="s">
        <v>150</v>
      </c>
      <c r="F20741" s="0" t="s">
        <v>151</v>
      </c>
    </row>
    <row r="20743" customFormat="false" ht="12.8" hidden="false" customHeight="false" outlineLevel="0" collapsed="false">
      <c r="A20743" s="0" t="s">
        <v>8620</v>
      </c>
      <c r="B20743" s="0" t="str">
        <f aca="false">HYPERLINK("https://lindat.mff.cuni.cz/services/teitok/pdtc10/index.php?action=vallex&amp;frame=v-w11528_ZUf1_ZU", "obvolávat (v-w11528_ZUf1_ZU)")</f>
        <v>obvolávat (v-w11528_ZUf1_ZU)</v>
      </c>
      <c r="E20743" s="0" t="str">
        <f aca="false">HYPERLINK("https://lindat.mff.cuni.cz/services/SynSemClass40/SynSemClass40.html?veclass=vec00057#vec00057-ces-cm00202", "vec00057")</f>
        <v>vec00057</v>
      </c>
      <c r="F20743" s="0" t="s">
        <v>145</v>
      </c>
    </row>
    <row r="20744" customFormat="false" ht="12.8" hidden="false" customHeight="false" outlineLevel="0" collapsed="false">
      <c r="B20744" s="0" t="s">
        <v>1</v>
      </c>
      <c r="C20744" s="0" t="s">
        <v>146</v>
      </c>
      <c r="E20744" s="0" t="s">
        <v>147</v>
      </c>
      <c r="F20744" s="0" t="s">
        <v>148</v>
      </c>
    </row>
    <row r="20745" customFormat="false" ht="12.8" hidden="false" customHeight="false" outlineLevel="0" collapsed="false">
      <c r="B20745" s="0" t="s">
        <v>8</v>
      </c>
      <c r="C20745" s="0" t="s">
        <v>149</v>
      </c>
      <c r="E20745" s="0" t="s">
        <v>150</v>
      </c>
      <c r="F20745" s="0" t="s">
        <v>151</v>
      </c>
    </row>
    <row r="20747" customFormat="false" ht="12.8" hidden="false" customHeight="false" outlineLevel="0" collapsed="false">
      <c r="A20747" s="0" t="s">
        <v>8621</v>
      </c>
      <c r="B20747" s="0" t="str">
        <f aca="false">HYPERLINK("https://lindat.mff.cuni.cz/services/teitok/pdtc10/index.php?action=vallex&amp;frame=v-w2589f1", "obydlet (v-w2589f1)")</f>
        <v>obydlet (v-w2589f1)</v>
      </c>
    </row>
    <row r="20748" customFormat="false" ht="12.8" hidden="false" customHeight="false" outlineLevel="0" collapsed="false">
      <c r="B20748" s="0" t="s">
        <v>1</v>
      </c>
    </row>
    <row r="20749" customFormat="false" ht="12.8" hidden="false" customHeight="false" outlineLevel="0" collapsed="false">
      <c r="B20749" s="0" t="s">
        <v>8</v>
      </c>
    </row>
    <row r="20751" customFormat="false" ht="12.8" hidden="false" customHeight="false" outlineLevel="0" collapsed="false">
      <c r="A20751" s="0" t="s">
        <v>8622</v>
      </c>
      <c r="B20751" s="0" t="str">
        <f aca="false">HYPERLINK("https://lindat.mff.cuni.cz/services/teitok/pdtc10/index.php?action=vallex&amp;frame=v-w2436f1", "obávat se (v-w2436f1)")</f>
        <v>obávat se (v-w2436f1)</v>
      </c>
      <c r="E20751" s="0" t="str">
        <f aca="false">HYPERLINK("https://lindat.mff.cuni.cz/services/SynSemClass40/SynSemClass40.html?veclass=vec00243#vec00243-ces-cm00001", "vec00243")</f>
        <v>vec00243</v>
      </c>
      <c r="F20751" s="0" t="s">
        <v>816</v>
      </c>
    </row>
    <row r="20752" customFormat="false" ht="12.8" hidden="false" customHeight="false" outlineLevel="0" collapsed="false">
      <c r="B20752" s="0" t="s">
        <v>1</v>
      </c>
      <c r="C20752" s="0" t="s">
        <v>817</v>
      </c>
      <c r="E20752" s="0" t="s">
        <v>155</v>
      </c>
      <c r="F20752" s="0" t="s">
        <v>818</v>
      </c>
    </row>
    <row r="20753" customFormat="false" ht="12.8" hidden="false" customHeight="false" outlineLevel="0" collapsed="false">
      <c r="B20753" s="0" t="s">
        <v>8623</v>
      </c>
      <c r="C20753" s="0" t="s">
        <v>820</v>
      </c>
      <c r="E20753" s="0" t="s">
        <v>821</v>
      </c>
      <c r="F20753" s="0" t="s">
        <v>822</v>
      </c>
    </row>
    <row r="20755" customFormat="false" ht="12.8" hidden="false" customHeight="false" outlineLevel="0" collapsed="false">
      <c r="A20755" s="0" t="s">
        <v>8624</v>
      </c>
      <c r="B20755" s="0" t="str">
        <f aca="false">HYPERLINK("https://lindat.mff.cuni.cz/services/teitok/pdtc10/index.php?action=vallex&amp;frame=v-w2436f2_ZU", "obávat se (v-w2436f2_ZU)")</f>
        <v>obávat se (v-w2436f2_ZU)</v>
      </c>
    </row>
    <row r="20756" customFormat="false" ht="12.8" hidden="false" customHeight="false" outlineLevel="0" collapsed="false">
      <c r="B20756" s="0" t="s">
        <v>1</v>
      </c>
    </row>
    <row r="20757" customFormat="false" ht="12.8" hidden="false" customHeight="false" outlineLevel="0" collapsed="false">
      <c r="B20757" s="0" t="s">
        <v>814</v>
      </c>
    </row>
    <row r="20759" customFormat="false" ht="12.8" hidden="false" customHeight="false" outlineLevel="0" collapsed="false">
      <c r="A20759" s="0" t="s">
        <v>8624</v>
      </c>
      <c r="B20759" s="0" t="str">
        <f aca="false">HYPERLINK("https://lindat.mff.cuni.cz/services/teitok/pdtc10/index.php?action=vallex&amp;frame=v-w2436hsa_263", "obávat se (v-w2436hsa_263) - substituted with v-w2436f2_ZU")</f>
        <v>obávat se (v-w2436hsa_263) - substituted with v-w2436f2_ZU</v>
      </c>
    </row>
    <row r="20760" customFormat="false" ht="12.8" hidden="false" customHeight="false" outlineLevel="0" collapsed="false">
      <c r="B20760" s="0" t="s">
        <v>1</v>
      </c>
    </row>
    <row r="20761" customFormat="false" ht="12.8" hidden="false" customHeight="false" outlineLevel="0" collapsed="false">
      <c r="B20761" s="0" t="s">
        <v>814</v>
      </c>
    </row>
    <row r="20763" customFormat="false" ht="12.8" hidden="false" customHeight="false" outlineLevel="0" collapsed="false">
      <c r="A20763" s="0" t="s">
        <v>8625</v>
      </c>
      <c r="B20763" s="0" t="str">
        <f aca="false">HYPERLINK("https://lindat.mff.cuni.cz/services/teitok/pdtc10/index.php?action=vallex&amp;frame=v-w2436f3_ZU", "obávat se (v-w2436f3_ZU)")</f>
        <v>obávat se (v-w2436f3_ZU)</v>
      </c>
    </row>
    <row r="20764" customFormat="false" ht="12.8" hidden="false" customHeight="false" outlineLevel="0" collapsed="false">
      <c r="B20764" s="0" t="s">
        <v>1</v>
      </c>
    </row>
    <row r="20765" customFormat="false" ht="12.8" hidden="false" customHeight="false" outlineLevel="0" collapsed="false">
      <c r="B20765" s="0" t="s">
        <v>1289</v>
      </c>
    </row>
    <row r="20766" customFormat="false" ht="12.8" hidden="false" customHeight="false" outlineLevel="0" collapsed="false">
      <c r="B20766" s="0" t="s">
        <v>602</v>
      </c>
    </row>
    <row r="20768" customFormat="false" ht="12.8" hidden="false" customHeight="false" outlineLevel="0" collapsed="false">
      <c r="A20768" s="0" t="s">
        <v>8626</v>
      </c>
      <c r="B20768" s="0" t="str">
        <f aca="false">HYPERLINK("https://lindat.mff.cuni.cz/services/teitok/pdtc10/index.php?action=vallex&amp;frame=v-w10836f3", "obíhat (v-w10836f3)")</f>
        <v>obíhat (v-w10836f3)</v>
      </c>
    </row>
    <row r="20769" customFormat="false" ht="12.8" hidden="false" customHeight="false" outlineLevel="0" collapsed="false">
      <c r="B20769" s="0" t="s">
        <v>1</v>
      </c>
    </row>
    <row r="20771" customFormat="false" ht="12.8" hidden="false" customHeight="false" outlineLevel="0" collapsed="false">
      <c r="A20771" s="0" t="s">
        <v>8627</v>
      </c>
      <c r="B20771" s="0" t="str">
        <f aca="false">HYPERLINK("https://lindat.mff.cuni.cz/services/teitok/pdtc10/index.php?action=vallex&amp;frame=v-w11217f3", "obírat (v-w11217f3)")</f>
        <v>obírat (v-w11217f3)</v>
      </c>
      <c r="E20771" s="0" t="str">
        <f aca="false">HYPERLINK("https://lindat.mff.cuni.cz/services/SynSemClass40/SynSemClass40.html?veclass=vec00657#vec00657-ces-cm00004", "vec00657")</f>
        <v>vec00657</v>
      </c>
      <c r="F20771" s="0" t="s">
        <v>8628</v>
      </c>
    </row>
    <row r="20772" customFormat="false" ht="12.8" hidden="false" customHeight="false" outlineLevel="0" collapsed="false">
      <c r="B20772" s="0" t="s">
        <v>1</v>
      </c>
      <c r="E20772" s="0" t="s">
        <v>1573</v>
      </c>
      <c r="F20772" s="0" t="s">
        <v>3191</v>
      </c>
    </row>
    <row r="20773" customFormat="false" ht="12.8" hidden="false" customHeight="false" outlineLevel="0" collapsed="false">
      <c r="B20773" s="0" t="s">
        <v>98</v>
      </c>
      <c r="C20773" s="0" t="s">
        <v>8629</v>
      </c>
      <c r="E20773" s="0" t="s">
        <v>8630</v>
      </c>
      <c r="F20773" s="0" t="s">
        <v>8631</v>
      </c>
    </row>
    <row r="20774" customFormat="false" ht="12.8" hidden="false" customHeight="false" outlineLevel="0" collapsed="false">
      <c r="B20774" s="0" t="s">
        <v>3152</v>
      </c>
      <c r="E20774" s="0" t="s">
        <v>594</v>
      </c>
      <c r="F20774" s="0" t="s">
        <v>8632</v>
      </c>
    </row>
    <row r="20776" customFormat="false" ht="12.8" hidden="false" customHeight="false" outlineLevel="0" collapsed="false">
      <c r="A20776" s="0" t="s">
        <v>8633</v>
      </c>
      <c r="B20776" s="0" t="str">
        <f aca="false">HYPERLINK("https://lindat.mff.cuni.cz/services/teitok/pdtc10/index.php?action=vallex&amp;frame=v-w2592f1", "obývat (v-w2592f1)")</f>
        <v>obývat (v-w2592f1)</v>
      </c>
      <c r="E20776" s="0" t="str">
        <f aca="false">HYPERLINK("https://lindat.mff.cuni.cz/services/SynSemClass40/SynSemClass40.html?veclass=vec01055#vec01055-ces-cm00001", "vec01055")</f>
        <v>vec01055</v>
      </c>
      <c r="F20776" s="0" t="s">
        <v>8634</v>
      </c>
    </row>
    <row r="20777" customFormat="false" ht="12.8" hidden="false" customHeight="false" outlineLevel="0" collapsed="false">
      <c r="B20777" s="0" t="s">
        <v>1</v>
      </c>
      <c r="C20777" s="0" t="s">
        <v>1752</v>
      </c>
      <c r="E20777" s="0" t="s">
        <v>31</v>
      </c>
      <c r="F20777" s="0" t="s">
        <v>5293</v>
      </c>
    </row>
    <row r="20778" customFormat="false" ht="12.8" hidden="false" customHeight="false" outlineLevel="0" collapsed="false">
      <c r="B20778" s="0" t="s">
        <v>8</v>
      </c>
      <c r="C20778" s="0" t="s">
        <v>462</v>
      </c>
      <c r="E20778" s="0" t="s">
        <v>6241</v>
      </c>
      <c r="F20778" s="0" t="s">
        <v>8635</v>
      </c>
    </row>
    <row r="20780" customFormat="false" ht="12.8" hidden="false" customHeight="false" outlineLevel="0" collapsed="false">
      <c r="A20780" s="0" t="s">
        <v>8636</v>
      </c>
      <c r="B20780" s="0" t="str">
        <f aca="false">HYPERLINK("https://lindat.mff.cuni.cz/services/teitok/pdtc10/index.php?action=vallex&amp;frame=v-w2439f1", "občerstvovat (v-w2439f1)")</f>
        <v>občerstvovat (v-w2439f1)</v>
      </c>
    </row>
    <row r="20781" customFormat="false" ht="12.8" hidden="false" customHeight="false" outlineLevel="0" collapsed="false">
      <c r="B20781" s="0" t="s">
        <v>1</v>
      </c>
    </row>
    <row r="20782" customFormat="false" ht="12.8" hidden="false" customHeight="false" outlineLevel="0" collapsed="false">
      <c r="B20782" s="0" t="s">
        <v>8</v>
      </c>
    </row>
    <row r="20783" customFormat="false" ht="12.8" hidden="false" customHeight="false" outlineLevel="0" collapsed="false">
      <c r="B20783" s="0" t="s">
        <v>132</v>
      </c>
    </row>
    <row r="20785" customFormat="false" ht="12.8" hidden="false" customHeight="false" outlineLevel="0" collapsed="false">
      <c r="A20785" s="0" t="s">
        <v>8637</v>
      </c>
      <c r="B20785" s="0" t="str">
        <f aca="false">HYPERLINK("https://lindat.mff.cuni.cz/services/teitok/pdtc10/index.php?action=vallex&amp;frame=v-w2439f2", "občerstvovat (v-w2439f2)")</f>
        <v>občerstvovat (v-w2439f2)</v>
      </c>
    </row>
    <row r="20786" customFormat="false" ht="12.8" hidden="false" customHeight="false" outlineLevel="0" collapsed="false">
      <c r="B20786" s="0" t="s">
        <v>1</v>
      </c>
    </row>
    <row r="20787" customFormat="false" ht="12.8" hidden="false" customHeight="false" outlineLevel="0" collapsed="false">
      <c r="B20787" s="0" t="s">
        <v>8</v>
      </c>
    </row>
    <row r="20789" customFormat="false" ht="12.8" hidden="false" customHeight="false" outlineLevel="0" collapsed="false">
      <c r="A20789" s="0" t="s">
        <v>8638</v>
      </c>
      <c r="B20789" s="0" t="str">
        <f aca="false">HYPERLINK("https://lindat.mff.cuni.cz/services/teitok/pdtc10/index.php?action=vallex&amp;frame=v-w10574f2", "obědvat (v-w10574f2)")</f>
        <v>obědvat (v-w10574f2)</v>
      </c>
      <c r="E20789" s="0" t="str">
        <f aca="false">HYPERLINK("https://lindat.mff.cuni.cz/services/SynSemClass40/SynSemClass40.html?veclass=vec00828#vec00828-ces-cm00004", "vec00828")</f>
        <v>vec00828</v>
      </c>
      <c r="F20789" s="0" t="s">
        <v>4326</v>
      </c>
    </row>
    <row r="20790" customFormat="false" ht="12.8" hidden="false" customHeight="false" outlineLevel="0" collapsed="false">
      <c r="B20790" s="0" t="s">
        <v>1</v>
      </c>
      <c r="C20790" s="0" t="s">
        <v>5031</v>
      </c>
      <c r="E20790" s="0" t="s">
        <v>658</v>
      </c>
      <c r="F20790" s="0" t="s">
        <v>4329</v>
      </c>
    </row>
    <row r="20791" customFormat="false" ht="12.8" hidden="false" customHeight="false" outlineLevel="0" collapsed="false">
      <c r="B20791" s="0" t="s">
        <v>390</v>
      </c>
      <c r="C20791" s="0" t="s">
        <v>1767</v>
      </c>
      <c r="E20791" s="0" t="s">
        <v>661</v>
      </c>
      <c r="F20791" s="0" t="s">
        <v>4332</v>
      </c>
    </row>
    <row r="20793" customFormat="false" ht="12.8" hidden="false" customHeight="false" outlineLevel="0" collapsed="false">
      <c r="A20793" s="0" t="s">
        <v>8639</v>
      </c>
      <c r="B20793" s="0" t="str">
        <f aca="false">HYPERLINK("https://lindat.mff.cuni.cz/services/teitok/pdtc10/index.php?action=vallex&amp;frame=v-whsa_782f2_ZU", "oběhnout (v-whsa_782f2_ZU)")</f>
        <v>oběhnout (v-whsa_782f2_ZU)</v>
      </c>
    </row>
    <row r="20794" customFormat="false" ht="12.8" hidden="false" customHeight="false" outlineLevel="0" collapsed="false">
      <c r="B20794" s="0" t="s">
        <v>1</v>
      </c>
    </row>
    <row r="20795" customFormat="false" ht="12.8" hidden="false" customHeight="false" outlineLevel="0" collapsed="false">
      <c r="B20795" s="0" t="s">
        <v>8</v>
      </c>
    </row>
    <row r="20797" customFormat="false" ht="12.8" hidden="false" customHeight="false" outlineLevel="0" collapsed="false">
      <c r="A20797" s="0" t="s">
        <v>8640</v>
      </c>
      <c r="B20797" s="0" t="str">
        <f aca="false">HYPERLINK("https://lindat.mff.cuni.cz/services/teitok/pdtc10/index.php?action=vallex&amp;frame=v-whsa_782f3_ZU", "oběhnout (v-whsa_782f3_ZU)")</f>
        <v>oběhnout (v-whsa_782f3_ZU)</v>
      </c>
    </row>
    <row r="20798" customFormat="false" ht="12.8" hidden="false" customHeight="false" outlineLevel="0" collapsed="false">
      <c r="B20798" s="0" t="s">
        <v>1</v>
      </c>
    </row>
    <row r="20799" customFormat="false" ht="12.8" hidden="false" customHeight="false" outlineLevel="0" collapsed="false">
      <c r="B20799" s="0" t="s">
        <v>8</v>
      </c>
    </row>
    <row r="20801" customFormat="false" ht="12.8" hidden="false" customHeight="false" outlineLevel="0" collapsed="false">
      <c r="A20801" s="0" t="s">
        <v>8640</v>
      </c>
      <c r="B20801" s="0" t="str">
        <f aca="false">HYPERLINK("https://lindat.mff.cuni.cz/services/teitok/pdtc10/index.php?action=vallex&amp;frame=v-whsa_782f1_ZU", "oběhnout (v-whsa_782f1_ZU) - substituted with v-whsa_782f3_ZU")</f>
        <v>oběhnout (v-whsa_782f1_ZU) - substituted with v-whsa_782f3_ZU</v>
      </c>
    </row>
    <row r="20802" customFormat="false" ht="12.8" hidden="false" customHeight="false" outlineLevel="0" collapsed="false">
      <c r="B20802" s="0" t="s">
        <v>1</v>
      </c>
    </row>
    <row r="20803" customFormat="false" ht="12.8" hidden="false" customHeight="false" outlineLevel="0" collapsed="false">
      <c r="B20803" s="0" t="s">
        <v>8</v>
      </c>
    </row>
    <row r="20805" customFormat="false" ht="12.8" hidden="false" customHeight="false" outlineLevel="0" collapsed="false">
      <c r="A20805" s="0" t="s">
        <v>8640</v>
      </c>
      <c r="B20805" s="0" t="str">
        <f aca="false">HYPERLINK("https://lindat.mff.cuni.cz/services/teitok/pdtc10/index.php?action=vallex&amp;frame=v-whsa_782hsa_783", "oběhnout (v-whsa_782hsa_783) - substituted with v-whsa_782f3_ZU")</f>
        <v>oběhnout (v-whsa_782hsa_783) - substituted with v-whsa_782f3_ZU</v>
      </c>
    </row>
    <row r="20806" customFormat="false" ht="12.8" hidden="false" customHeight="false" outlineLevel="0" collapsed="false">
      <c r="B20806" s="0" t="s">
        <v>1</v>
      </c>
    </row>
    <row r="20807" customFormat="false" ht="12.8" hidden="false" customHeight="false" outlineLevel="0" collapsed="false">
      <c r="B20807" s="0" t="s">
        <v>8</v>
      </c>
    </row>
    <row r="20809" customFormat="false" ht="12.8" hidden="false" customHeight="false" outlineLevel="0" collapsed="false">
      <c r="A20809" s="0" t="s">
        <v>8641</v>
      </c>
      <c r="B20809" s="0" t="str">
        <f aca="false">HYPERLINK("https://lindat.mff.cuni.cz/services/teitok/pdtc10/index.php?action=vallex&amp;frame=v-w2458f1", "oběsit (v-w2458f1)")</f>
        <v>oběsit (v-w2458f1)</v>
      </c>
    </row>
    <row r="20810" customFormat="false" ht="12.8" hidden="false" customHeight="false" outlineLevel="0" collapsed="false">
      <c r="B20810" s="0" t="s">
        <v>1</v>
      </c>
    </row>
    <row r="20811" customFormat="false" ht="12.8" hidden="false" customHeight="false" outlineLevel="0" collapsed="false">
      <c r="B20811" s="0" t="s">
        <v>8</v>
      </c>
    </row>
    <row r="20813" customFormat="false" ht="12.8" hidden="false" customHeight="false" outlineLevel="0" collapsed="false">
      <c r="A20813" s="0" t="s">
        <v>8642</v>
      </c>
      <c r="B20813" s="0" t="str">
        <f aca="false">HYPERLINK("https://lindat.mff.cuni.cz/services/teitok/pdtc10/index.php?action=vallex&amp;frame=v-w2464f1", "obětovat (v-w2464f1)")</f>
        <v>obětovat (v-w2464f1)</v>
      </c>
      <c r="E20813" s="0" t="str">
        <f aca="false">HYPERLINK("https://lindat.mff.cuni.cz/services/SynSemClass40/SynSemClass40.html?veclass=vec00449#vec00449-ces-cm00001", "vec00449")</f>
        <v>vec00449</v>
      </c>
      <c r="F20813" s="0" t="s">
        <v>8643</v>
      </c>
    </row>
    <row r="20814" customFormat="false" ht="12.8" hidden="false" customHeight="false" outlineLevel="0" collapsed="false">
      <c r="B20814" s="0" t="s">
        <v>1</v>
      </c>
      <c r="C20814" s="0" t="s">
        <v>8644</v>
      </c>
      <c r="E20814" s="0" t="s">
        <v>31</v>
      </c>
      <c r="F20814" s="0" t="s">
        <v>8645</v>
      </c>
    </row>
    <row r="20815" customFormat="false" ht="12.8" hidden="false" customHeight="false" outlineLevel="0" collapsed="false">
      <c r="B20815" s="0" t="s">
        <v>8</v>
      </c>
      <c r="C20815" s="0" t="s">
        <v>6312</v>
      </c>
      <c r="E20815" s="0" t="s">
        <v>180</v>
      </c>
      <c r="F20815" s="0" t="s">
        <v>8646</v>
      </c>
    </row>
    <row r="20816" customFormat="false" ht="12.8" hidden="false" customHeight="false" outlineLevel="0" collapsed="false">
      <c r="B20816" s="0" t="s">
        <v>132</v>
      </c>
      <c r="C20816" s="0" t="s">
        <v>1391</v>
      </c>
      <c r="E20816" s="0" t="s">
        <v>53</v>
      </c>
      <c r="F20816" s="0" t="s">
        <v>4403</v>
      </c>
    </row>
    <row r="20818" customFormat="false" ht="12.8" hidden="false" customHeight="false" outlineLevel="0" collapsed="false">
      <c r="A20818" s="0" t="s">
        <v>8647</v>
      </c>
      <c r="B20818" s="0" t="str">
        <f aca="false">HYPERLINK("https://lindat.mff.cuni.cz/services/teitok/pdtc10/index.php?action=vallex&amp;frame=v-w2464hsa_547", "obětovat (v-w2464hsa_547)")</f>
        <v>obětovat (v-w2464hsa_547)</v>
      </c>
    </row>
    <row r="20819" customFormat="false" ht="12.8" hidden="false" customHeight="false" outlineLevel="0" collapsed="false">
      <c r="B20819" s="0" t="s">
        <v>1</v>
      </c>
    </row>
    <row r="20820" customFormat="false" ht="12.8" hidden="false" customHeight="false" outlineLevel="0" collapsed="false">
      <c r="B20820" s="0" t="s">
        <v>8</v>
      </c>
    </row>
    <row r="20822" customFormat="false" ht="12.8" hidden="false" customHeight="false" outlineLevel="0" collapsed="false">
      <c r="A20822" s="0" t="s">
        <v>8648</v>
      </c>
      <c r="B20822" s="0" t="str">
        <f aca="false">HYPERLINK("https://lindat.mff.cuni.cz/services/teitok/pdtc10/index.php?action=vallex&amp;frame=v-w2573f1", "obšancovat (v-w2573f1)")</f>
        <v>obšancovat (v-w2573f1)</v>
      </c>
    </row>
    <row r="20823" customFormat="false" ht="12.8" hidden="false" customHeight="false" outlineLevel="0" collapsed="false">
      <c r="B20823" s="0" t="s">
        <v>1</v>
      </c>
    </row>
    <row r="20824" customFormat="false" ht="12.8" hidden="false" customHeight="false" outlineLevel="0" collapsed="false">
      <c r="B20824" s="0" t="s">
        <v>8</v>
      </c>
    </row>
    <row r="20826" customFormat="false" ht="12.8" hidden="false" customHeight="false" outlineLevel="0" collapsed="false">
      <c r="A20826" s="0" t="s">
        <v>8649</v>
      </c>
      <c r="B20826" s="0" t="str">
        <f aca="false">HYPERLINK("https://lindat.mff.cuni.cz/services/teitok/pdtc10/index.php?action=vallex&amp;frame=v-w2574f1", "obšlápnout (v-w2574f1)")</f>
        <v>obšlápnout (v-w2574f1)</v>
      </c>
    </row>
    <row r="20827" customFormat="false" ht="12.8" hidden="false" customHeight="false" outlineLevel="0" collapsed="false">
      <c r="B20827" s="0" t="s">
        <v>1</v>
      </c>
    </row>
    <row r="20828" customFormat="false" ht="12.8" hidden="false" customHeight="false" outlineLevel="0" collapsed="false">
      <c r="B20828" s="0" t="s">
        <v>8</v>
      </c>
    </row>
    <row r="20830" customFormat="false" ht="12.8" hidden="false" customHeight="false" outlineLevel="0" collapsed="false">
      <c r="A20830" s="0" t="s">
        <v>8650</v>
      </c>
      <c r="B20830" s="0" t="str">
        <f aca="false">HYPERLINK("https://lindat.mff.cuni.cz/services/teitok/pdtc10/index.php?action=vallex&amp;frame=v-w12257_ZUf1_ZU", "obšít (v-w12257_ZUf1_ZU)")</f>
        <v>obšít (v-w12257_ZUf1_ZU)</v>
      </c>
    </row>
    <row r="20831" customFormat="false" ht="12.8" hidden="false" customHeight="false" outlineLevel="0" collapsed="false">
      <c r="B20831" s="0" t="s">
        <v>1</v>
      </c>
    </row>
    <row r="20832" customFormat="false" ht="12.8" hidden="false" customHeight="false" outlineLevel="0" collapsed="false">
      <c r="B20832" s="0" t="s">
        <v>8</v>
      </c>
    </row>
    <row r="20834" customFormat="false" ht="12.8" hidden="false" customHeight="false" outlineLevel="0" collapsed="false">
      <c r="A20834" s="0" t="s">
        <v>8651</v>
      </c>
      <c r="B20834" s="0" t="str">
        <f aca="false">HYPERLINK("https://lindat.mff.cuni.cz/services/teitok/pdtc10/index.php?action=vallex&amp;frame=v-w2575f1", "obšťastňovat (v-w2575f1)")</f>
        <v>obšťastňovat (v-w2575f1)</v>
      </c>
    </row>
    <row r="20835" customFormat="false" ht="12.8" hidden="false" customHeight="false" outlineLevel="0" collapsed="false">
      <c r="B20835" s="0" t="s">
        <v>1</v>
      </c>
    </row>
    <row r="20836" customFormat="false" ht="12.8" hidden="false" customHeight="false" outlineLevel="0" collapsed="false">
      <c r="B20836" s="0" t="s">
        <v>8</v>
      </c>
    </row>
    <row r="20838" customFormat="false" ht="12.8" hidden="false" customHeight="false" outlineLevel="0" collapsed="false">
      <c r="A20838" s="0" t="s">
        <v>8652</v>
      </c>
      <c r="B20838" s="0" t="str">
        <f aca="false">HYPERLINK("https://lindat.mff.cuni.cz/services/teitok/pdtc10/index.php?action=vallex&amp;frame=v-w2597f1", "obžalovat (v-w2597f1)")</f>
        <v>obžalovat (v-w2597f1)</v>
      </c>
      <c r="E20838" s="0" t="str">
        <f aca="false">HYPERLINK("https://lindat.mff.cuni.cz/services/SynSemClass40/SynSemClass40.html?veclass=vec00347#vec00347-ces-cm00006", "vec00347")</f>
        <v>vec00347</v>
      </c>
      <c r="F20838" s="0" t="s">
        <v>3748</v>
      </c>
    </row>
    <row r="20839" customFormat="false" ht="12.8" hidden="false" customHeight="false" outlineLevel="0" collapsed="false">
      <c r="B20839" s="0" t="s">
        <v>1</v>
      </c>
      <c r="C20839" s="0" t="s">
        <v>3749</v>
      </c>
      <c r="E20839" s="0" t="s">
        <v>3750</v>
      </c>
      <c r="F20839" s="0" t="s">
        <v>3751</v>
      </c>
    </row>
    <row r="20840" customFormat="false" ht="12.8" hidden="false" customHeight="false" outlineLevel="0" collapsed="false">
      <c r="B20840" s="0" t="s">
        <v>8</v>
      </c>
      <c r="C20840" s="0" t="s">
        <v>8653</v>
      </c>
      <c r="E20840" s="0" t="s">
        <v>4259</v>
      </c>
      <c r="F20840" s="0" t="s">
        <v>8654</v>
      </c>
    </row>
    <row r="20842" customFormat="false" ht="12.8" hidden="false" customHeight="false" outlineLevel="0" collapsed="false">
      <c r="A20842" s="0" t="s">
        <v>8655</v>
      </c>
      <c r="B20842" s="0" t="str">
        <f aca="false">HYPERLINK("https://lindat.mff.cuni.cz/services/teitok/pdtc10/index.php?action=vallex&amp;frame=v-w2598f1", "ocejchovat (v-w2598f1)")</f>
        <v>ocejchovat (v-w2598f1)</v>
      </c>
    </row>
    <row r="20843" customFormat="false" ht="12.8" hidden="false" customHeight="false" outlineLevel="0" collapsed="false">
      <c r="B20843" s="0" t="s">
        <v>1</v>
      </c>
    </row>
    <row r="20844" customFormat="false" ht="12.8" hidden="false" customHeight="false" outlineLevel="0" collapsed="false">
      <c r="B20844" s="0" t="s">
        <v>8</v>
      </c>
    </row>
    <row r="20846" customFormat="false" ht="12.8" hidden="false" customHeight="false" outlineLevel="0" collapsed="false">
      <c r="A20846" s="0" t="s">
        <v>8656</v>
      </c>
      <c r="B20846" s="0" t="str">
        <f aca="false">HYPERLINK("https://lindat.mff.cuni.cz/services/teitok/pdtc10/index.php?action=vallex&amp;frame=v-w2600f2", "ocenit (v-w2600f2)")</f>
        <v>ocenit (v-w2600f2)</v>
      </c>
      <c r="E20846" s="0" t="str">
        <f aca="false">HYPERLINK("https://lindat.mff.cuni.cz/services/SynSemClass40/SynSemClass40.html?veclass=vec00322#vec00322-ces-cm00003", "vec00322")</f>
        <v>vec00322</v>
      </c>
      <c r="F20846" s="0" t="s">
        <v>1343</v>
      </c>
    </row>
    <row r="20847" customFormat="false" ht="12.8" hidden="false" customHeight="false" outlineLevel="0" collapsed="false">
      <c r="B20847" s="0" t="s">
        <v>1</v>
      </c>
      <c r="C20847" s="0" t="s">
        <v>1344</v>
      </c>
      <c r="E20847" s="0" t="s">
        <v>206</v>
      </c>
      <c r="F20847" s="0" t="s">
        <v>1345</v>
      </c>
    </row>
    <row r="20848" customFormat="false" ht="12.8" hidden="false" customHeight="false" outlineLevel="0" collapsed="false">
      <c r="B20848" s="0" t="s">
        <v>8</v>
      </c>
      <c r="C20848" s="0" t="s">
        <v>1346</v>
      </c>
      <c r="E20848" s="0" t="s">
        <v>1347</v>
      </c>
      <c r="F20848" s="0" t="s">
        <v>1348</v>
      </c>
    </row>
    <row r="20849" customFormat="false" ht="12.8" hidden="false" customHeight="false" outlineLevel="0" collapsed="false">
      <c r="B20849" s="0" t="s">
        <v>101</v>
      </c>
      <c r="C20849" s="0" t="s">
        <v>1349</v>
      </c>
      <c r="E20849" s="0" t="s">
        <v>1350</v>
      </c>
      <c r="F20849" s="0" t="s">
        <v>1351</v>
      </c>
    </row>
    <row r="20851" customFormat="false" ht="12.8" hidden="false" customHeight="false" outlineLevel="0" collapsed="false">
      <c r="A20851" s="0" t="s">
        <v>8657</v>
      </c>
      <c r="B20851" s="0" t="str">
        <f aca="false">HYPERLINK("https://lindat.mff.cuni.cz/services/teitok/pdtc10/index.php?action=vallex&amp;frame=v-w2600hsa_226", "ocenit (v-w2600hsa_226)")</f>
        <v>ocenit (v-w2600hsa_226)</v>
      </c>
      <c r="E20851" s="0" t="str">
        <f aca="false">HYPERLINK("https://lindat.mff.cuni.cz/services/SynSemClass40/SynSemClass40.html?veclass=vec00675#vec00675-ces-cm00003", "vec00675")</f>
        <v>vec00675</v>
      </c>
      <c r="F20851" s="0" t="s">
        <v>1516</v>
      </c>
    </row>
    <row r="20852" customFormat="false" ht="12.8" hidden="false" customHeight="false" outlineLevel="0" collapsed="false">
      <c r="B20852" s="0" t="s">
        <v>1</v>
      </c>
      <c r="C20852" s="0" t="s">
        <v>1517</v>
      </c>
      <c r="E20852" s="0" t="s">
        <v>206</v>
      </c>
      <c r="F20852" s="0" t="s">
        <v>1518</v>
      </c>
    </row>
    <row r="20853" customFormat="false" ht="12.8" hidden="false" customHeight="false" outlineLevel="0" collapsed="false">
      <c r="B20853" s="0" t="s">
        <v>2126</v>
      </c>
      <c r="C20853" s="0" t="s">
        <v>1519</v>
      </c>
      <c r="E20853" s="0" t="s">
        <v>159</v>
      </c>
      <c r="F20853" s="0" t="s">
        <v>1520</v>
      </c>
    </row>
    <row r="20855" customFormat="false" ht="12.8" hidden="false" customHeight="false" outlineLevel="0" collapsed="false">
      <c r="A20855" s="0" t="s">
        <v>8657</v>
      </c>
      <c r="B20855" s="0" t="str">
        <f aca="false">HYPERLINK("https://lindat.mff.cuni.cz/services/teitok/pdtc10/index.php?action=vallex&amp;frame=v-w2600f1", "ocenit (v-w2600f1) - substituted with v-w2600hsa_226")</f>
        <v>ocenit (v-w2600f1) - substituted with v-w2600hsa_226</v>
      </c>
    </row>
    <row r="20856" customFormat="false" ht="12.8" hidden="false" customHeight="false" outlineLevel="0" collapsed="false">
      <c r="B20856" s="0" t="s">
        <v>1</v>
      </c>
    </row>
    <row r="20857" customFormat="false" ht="12.8" hidden="false" customHeight="false" outlineLevel="0" collapsed="false">
      <c r="B20857" s="0" t="s">
        <v>2126</v>
      </c>
    </row>
    <row r="20859" customFormat="false" ht="12.8" hidden="false" customHeight="false" outlineLevel="0" collapsed="false">
      <c r="A20859" s="0" t="s">
        <v>8658</v>
      </c>
      <c r="B20859" s="0" t="str">
        <f aca="false">HYPERLINK("https://lindat.mff.cuni.cz/services/teitok/pdtc10/index.php?action=vallex&amp;frame=v-w2602f1", "oceňovat (v-w2602f1)")</f>
        <v>oceňovat (v-w2602f1)</v>
      </c>
      <c r="E20859" s="0" t="str">
        <f aca="false">HYPERLINK("https://lindat.mff.cuni.cz/services/SynSemClass40/SynSemClass40.html?veclass=vec00322#vec00322-ces-cm00131", "vec00322")</f>
        <v>vec00322</v>
      </c>
      <c r="F20859" s="0" t="s">
        <v>1343</v>
      </c>
    </row>
    <row r="20860" customFormat="false" ht="12.8" hidden="false" customHeight="false" outlineLevel="0" collapsed="false">
      <c r="B20860" s="0" t="s">
        <v>1</v>
      </c>
      <c r="C20860" s="0" t="s">
        <v>1344</v>
      </c>
      <c r="E20860" s="0" t="s">
        <v>206</v>
      </c>
      <c r="F20860" s="0" t="s">
        <v>1345</v>
      </c>
    </row>
    <row r="20861" customFormat="false" ht="12.8" hidden="false" customHeight="false" outlineLevel="0" collapsed="false">
      <c r="B20861" s="0" t="s">
        <v>8</v>
      </c>
      <c r="C20861" s="0" t="s">
        <v>1346</v>
      </c>
      <c r="E20861" s="0" t="s">
        <v>1347</v>
      </c>
      <c r="F20861" s="0" t="s">
        <v>1348</v>
      </c>
    </row>
    <row r="20862" customFormat="false" ht="12.8" hidden="false" customHeight="false" outlineLevel="0" collapsed="false">
      <c r="B20862" s="0" t="s">
        <v>101</v>
      </c>
      <c r="C20862" s="0" t="s">
        <v>1349</v>
      </c>
      <c r="E20862" s="0" t="s">
        <v>1350</v>
      </c>
      <c r="F20862" s="0" t="s">
        <v>1351</v>
      </c>
    </row>
    <row r="20864" customFormat="false" ht="12.8" hidden="false" customHeight="false" outlineLevel="0" collapsed="false">
      <c r="A20864" s="0" t="s">
        <v>8659</v>
      </c>
      <c r="B20864" s="0" t="str">
        <f aca="false">HYPERLINK("https://lindat.mff.cuni.cz/services/teitok/pdtc10/index.php?action=vallex&amp;frame=v-w2602f3_ZU", "oceňovat (v-w2602f3_ZU)")</f>
        <v>oceňovat (v-w2602f3_ZU)</v>
      </c>
    </row>
    <row r="20865" customFormat="false" ht="12.8" hidden="false" customHeight="false" outlineLevel="0" collapsed="false">
      <c r="B20865" s="0" t="s">
        <v>1</v>
      </c>
    </row>
    <row r="20866" customFormat="false" ht="12.8" hidden="false" customHeight="false" outlineLevel="0" collapsed="false">
      <c r="B20866" s="0" t="s">
        <v>2128</v>
      </c>
    </row>
    <row r="20868" customFormat="false" ht="12.8" hidden="false" customHeight="false" outlineLevel="0" collapsed="false">
      <c r="A20868" s="0" t="s">
        <v>8659</v>
      </c>
      <c r="B20868" s="0" t="str">
        <f aca="false">HYPERLINK("https://lindat.mff.cuni.cz/services/teitok/pdtc10/index.php?action=vallex&amp;frame=v-w2602f2", "oceňovat (v-w2602f2) - substituted with v-w2602f3_ZU")</f>
        <v>oceňovat (v-w2602f2) - substituted with v-w2602f3_ZU</v>
      </c>
    </row>
    <row r="20869" customFormat="false" ht="12.8" hidden="false" customHeight="false" outlineLevel="0" collapsed="false">
      <c r="B20869" s="0" t="s">
        <v>1</v>
      </c>
    </row>
    <row r="20870" customFormat="false" ht="12.8" hidden="false" customHeight="false" outlineLevel="0" collapsed="false">
      <c r="B20870" s="0" t="s">
        <v>2128</v>
      </c>
    </row>
    <row r="20872" customFormat="false" ht="12.8" hidden="false" customHeight="false" outlineLevel="0" collapsed="false">
      <c r="A20872" s="0" t="s">
        <v>8660</v>
      </c>
      <c r="B20872" s="0" t="str">
        <f aca="false">HYPERLINK("https://lindat.mff.cuni.cz/services/teitok/pdtc10/index.php?action=vallex&amp;frame=v-w3027f1", "ochabnout (v-w3027f1)")</f>
        <v>ochabnout (v-w3027f1)</v>
      </c>
      <c r="E20872" s="0" t="str">
        <f aca="false">HYPERLINK("https://lindat.mff.cuni.cz/services/SynSemClass40/SynSemClass40.html?veclass=vec00793#vec00793-ces-cm00023", "vec00793")</f>
        <v>vec00793</v>
      </c>
      <c r="F20872" s="0" t="s">
        <v>8661</v>
      </c>
    </row>
    <row r="20873" customFormat="false" ht="12.8" hidden="false" customHeight="false" outlineLevel="0" collapsed="false">
      <c r="B20873" s="0" t="s">
        <v>1</v>
      </c>
      <c r="C20873" s="0" t="s">
        <v>8662</v>
      </c>
      <c r="E20873" s="0" t="s">
        <v>8663</v>
      </c>
      <c r="F20873" s="0" t="s">
        <v>8664</v>
      </c>
    </row>
    <row r="20875" customFormat="false" ht="12.8" hidden="false" customHeight="false" outlineLevel="0" collapsed="false">
      <c r="A20875" s="0" t="s">
        <v>8665</v>
      </c>
      <c r="B20875" s="0" t="str">
        <f aca="false">HYPERLINK("https://lindat.mff.cuni.cz/services/teitok/pdtc10/index.php?action=vallex&amp;frame=v-w3027hsa_1285", "ochabnout (v-w3027hsa_1285)")</f>
        <v>ochabnout (v-w3027hsa_1285)</v>
      </c>
    </row>
    <row r="20876" customFormat="false" ht="12.8" hidden="false" customHeight="false" outlineLevel="0" collapsed="false">
      <c r="B20876" s="0" t="s">
        <v>1</v>
      </c>
    </row>
    <row r="20877" customFormat="false" ht="12.8" hidden="false" customHeight="false" outlineLevel="0" collapsed="false">
      <c r="B20877" s="0" t="s">
        <v>69</v>
      </c>
    </row>
    <row r="20878" customFormat="false" ht="12.8" hidden="false" customHeight="false" outlineLevel="0" collapsed="false">
      <c r="B20878" s="0" t="s">
        <v>36</v>
      </c>
    </row>
    <row r="20880" customFormat="false" ht="12.8" hidden="false" customHeight="false" outlineLevel="0" collapsed="false">
      <c r="A20880" s="0" t="s">
        <v>8666</v>
      </c>
      <c r="B20880" s="0" t="str">
        <f aca="false">HYPERLINK("https://lindat.mff.cuni.cz/services/teitok/pdtc10/index.php?action=vallex&amp;frame=v-w10786f2", "ochabovat (v-w10786f2)")</f>
        <v>ochabovat (v-w10786f2)</v>
      </c>
      <c r="E20880" s="0" t="str">
        <f aca="false">HYPERLINK("https://lindat.mff.cuni.cz/services/SynSemClass40/SynSemClass40.html?veclass=vec00793#vec00793-ces-cm00024", "vec00793")</f>
        <v>vec00793</v>
      </c>
      <c r="F20880" s="0" t="s">
        <v>8661</v>
      </c>
    </row>
    <row r="20881" customFormat="false" ht="12.8" hidden="false" customHeight="false" outlineLevel="0" collapsed="false">
      <c r="B20881" s="0" t="s">
        <v>1</v>
      </c>
      <c r="C20881" s="0" t="s">
        <v>8662</v>
      </c>
      <c r="E20881" s="0" t="s">
        <v>8663</v>
      </c>
      <c r="F20881" s="0" t="s">
        <v>8664</v>
      </c>
    </row>
    <row r="20883" customFormat="false" ht="12.8" hidden="false" customHeight="false" outlineLevel="0" collapsed="false">
      <c r="A20883" s="0" t="s">
        <v>8667</v>
      </c>
      <c r="B20883" s="0" t="str">
        <f aca="false">HYPERLINK("https://lindat.mff.cuni.cz/services/teitok/pdtc10/index.php?action=vallex&amp;frame=v-w3028f1", "ochladit (v-w3028f1)")</f>
        <v>ochladit (v-w3028f1)</v>
      </c>
    </row>
    <row r="20884" customFormat="false" ht="12.8" hidden="false" customHeight="false" outlineLevel="0" collapsed="false">
      <c r="B20884" s="0" t="s">
        <v>1</v>
      </c>
    </row>
    <row r="20885" customFormat="false" ht="12.8" hidden="false" customHeight="false" outlineLevel="0" collapsed="false">
      <c r="B20885" s="0" t="s">
        <v>8</v>
      </c>
    </row>
    <row r="20886" customFormat="false" ht="12.8" hidden="false" customHeight="false" outlineLevel="0" collapsed="false">
      <c r="B20886" s="0" t="s">
        <v>36</v>
      </c>
    </row>
    <row r="20887" customFormat="false" ht="12.8" hidden="false" customHeight="false" outlineLevel="0" collapsed="false">
      <c r="B20887" s="0" t="s">
        <v>101</v>
      </c>
    </row>
    <row r="20889" customFormat="false" ht="12.8" hidden="false" customHeight="false" outlineLevel="0" collapsed="false">
      <c r="A20889" s="0" t="s">
        <v>8668</v>
      </c>
      <c r="B20889" s="0" t="str">
        <f aca="false">HYPERLINK("https://lindat.mff.cuni.cz/services/teitok/pdtc10/index.php?action=vallex&amp;frame=v-w3029f2", "ochladit se (v-w3029f2)")</f>
        <v>ochladit se (v-w3029f2)</v>
      </c>
    </row>
    <row r="20890" customFormat="false" ht="12.8" hidden="false" customHeight="false" outlineLevel="0" collapsed="false">
      <c r="B20890" s="0" t="s">
        <v>1</v>
      </c>
    </row>
    <row r="20891" customFormat="false" ht="12.8" hidden="false" customHeight="false" outlineLevel="0" collapsed="false">
      <c r="B20891" s="0" t="s">
        <v>69</v>
      </c>
    </row>
    <row r="20892" customFormat="false" ht="12.8" hidden="false" customHeight="false" outlineLevel="0" collapsed="false">
      <c r="B20892" s="0" t="s">
        <v>36</v>
      </c>
    </row>
    <row r="20894" customFormat="false" ht="12.8" hidden="false" customHeight="false" outlineLevel="0" collapsed="false">
      <c r="A20894" s="0" t="s">
        <v>8669</v>
      </c>
      <c r="B20894" s="0" t="str">
        <f aca="false">HYPERLINK("https://lindat.mff.cuni.cz/services/teitok/pdtc10/index.php?action=vallex&amp;frame=v-w3029f1", "ochladit se (v-w3029f1)")</f>
        <v>ochladit se (v-w3029f1)</v>
      </c>
    </row>
    <row r="20896" customFormat="false" ht="12.8" hidden="false" customHeight="false" outlineLevel="0" collapsed="false">
      <c r="A20896" s="0" t="s">
        <v>8670</v>
      </c>
      <c r="B20896" s="0" t="str">
        <f aca="false">HYPERLINK("https://lindat.mff.cuni.cz/services/teitok/pdtc10/index.php?action=vallex&amp;frame=v-w3030f1", "ochladnout (v-w3030f1)")</f>
        <v>ochladnout (v-w3030f1)</v>
      </c>
      <c r="E20896" s="0" t="str">
        <f aca="false">HYPERLINK("https://lindat.mff.cuni.cz/services/SynSemClass40/SynSemClass40.html?veclass=vec00463#vec00463-ces-cm00034", "vec00463")</f>
        <v>vec00463</v>
      </c>
      <c r="F20896" s="0" t="s">
        <v>8671</v>
      </c>
      <c r="H20896" s="0" t="str">
        <f aca="false">HYPERLINK("https://lindat.mff.cuni.cz/services/SynSemClass40/SynSemClass40.html?veclass=vec00793#vec00793-ces-cm00056", "vec00793")</f>
        <v>vec00793</v>
      </c>
      <c r="I20896" s="0" t="s">
        <v>8661</v>
      </c>
    </row>
    <row r="20897" customFormat="false" ht="12.8" hidden="false" customHeight="false" outlineLevel="0" collapsed="false">
      <c r="B20897" s="0" t="s">
        <v>1</v>
      </c>
      <c r="C20897" s="0" t="s">
        <v>8672</v>
      </c>
      <c r="E20897" s="0" t="s">
        <v>8663</v>
      </c>
      <c r="F20897" s="0" t="s">
        <v>8673</v>
      </c>
      <c r="H20897" s="0" t="s">
        <v>8663</v>
      </c>
      <c r="I20897" s="0" t="s">
        <v>8664</v>
      </c>
    </row>
    <row r="20899" customFormat="false" ht="12.8" hidden="false" customHeight="false" outlineLevel="0" collapsed="false">
      <c r="A20899" s="0" t="s">
        <v>8674</v>
      </c>
      <c r="B20899" s="0" t="str">
        <f aca="false">HYPERLINK("https://lindat.mff.cuni.cz/services/teitok/pdtc10/index.php?action=vallex&amp;frame=v-w10120f2", "ochlazovat (v-w10120f2)")</f>
        <v>ochlazovat (v-w10120f2)</v>
      </c>
    </row>
    <row r="20900" customFormat="false" ht="12.8" hidden="false" customHeight="false" outlineLevel="0" collapsed="false">
      <c r="B20900" s="0" t="s">
        <v>1</v>
      </c>
    </row>
    <row r="20901" customFormat="false" ht="12.8" hidden="false" customHeight="false" outlineLevel="0" collapsed="false">
      <c r="B20901" s="0" t="s">
        <v>8</v>
      </c>
    </row>
    <row r="20903" customFormat="false" ht="12.8" hidden="false" customHeight="false" outlineLevel="0" collapsed="false">
      <c r="A20903" s="0" t="s">
        <v>8675</v>
      </c>
      <c r="B20903" s="0" t="str">
        <f aca="false">HYPERLINK("https://lindat.mff.cuni.cz/services/teitok/pdtc10/index.php?action=vallex&amp;frame=v-w3038f1", "ochraňovat (v-w3038f1)")</f>
        <v>ochraňovat (v-w3038f1)</v>
      </c>
      <c r="E20903" s="0" t="str">
        <f aca="false">HYPERLINK("https://lindat.mff.cuni.cz/services/SynSemClass40/SynSemClass40.html?veclass=vec00024#vec00024-ces-cm00013", "vec00024")</f>
        <v>vec00024</v>
      </c>
      <c r="F20903" s="0" t="s">
        <v>580</v>
      </c>
      <c r="H20903" s="0" t="str">
        <f aca="false">HYPERLINK("https://lindat.mff.cuni.cz/services/SynSemClass40/SynSemClass40.html?veclass=vec01503#vec01503-ces-cm00004", "vec01503")</f>
        <v>vec01503</v>
      </c>
      <c r="I20903" s="0" t="s">
        <v>1470</v>
      </c>
    </row>
    <row r="20904" customFormat="false" ht="12.8" hidden="false" customHeight="false" outlineLevel="0" collapsed="false">
      <c r="B20904" s="0" t="s">
        <v>1</v>
      </c>
      <c r="C20904" s="0" t="s">
        <v>1471</v>
      </c>
      <c r="E20904" s="0" t="s">
        <v>569</v>
      </c>
      <c r="F20904" s="0" t="s">
        <v>1472</v>
      </c>
      <c r="H20904" s="0" t="s">
        <v>569</v>
      </c>
      <c r="I20904" s="0" t="s">
        <v>1473</v>
      </c>
    </row>
    <row r="20905" customFormat="false" ht="12.8" hidden="false" customHeight="false" outlineLevel="0" collapsed="false">
      <c r="B20905" s="0" t="s">
        <v>8</v>
      </c>
      <c r="C20905" s="0" t="s">
        <v>1474</v>
      </c>
      <c r="E20905" s="0" t="s">
        <v>34</v>
      </c>
      <c r="F20905" s="0" t="s">
        <v>1475</v>
      </c>
      <c r="H20905" s="0" t="s">
        <v>572</v>
      </c>
      <c r="I20905" s="0" t="s">
        <v>1476</v>
      </c>
    </row>
    <row r="20906" customFormat="false" ht="12.8" hidden="false" customHeight="false" outlineLevel="0" collapsed="false">
      <c r="B20906" s="0" t="s">
        <v>574</v>
      </c>
      <c r="C20906" s="0" t="s">
        <v>1477</v>
      </c>
      <c r="E20906" s="0" t="s">
        <v>1478</v>
      </c>
      <c r="F20906" s="0" t="s">
        <v>1479</v>
      </c>
      <c r="H20906" s="0" t="s">
        <v>1480</v>
      </c>
      <c r="I20906" s="0" t="s">
        <v>1481</v>
      </c>
    </row>
    <row r="20908" customFormat="false" ht="12.8" hidden="false" customHeight="false" outlineLevel="0" collapsed="false">
      <c r="A20908" s="0" t="s">
        <v>8676</v>
      </c>
      <c r="B20908" s="0" t="str">
        <f aca="false">HYPERLINK("https://lindat.mff.cuni.cz/services/teitok/pdtc10/index.php?action=vallex&amp;frame=v-whsa_1432hsa_1433", "ochrnout (v-whsa_1432hsa_1433)")</f>
        <v>ochrnout (v-whsa_1432hsa_1433)</v>
      </c>
    </row>
    <row r="20909" customFormat="false" ht="12.8" hidden="false" customHeight="false" outlineLevel="0" collapsed="false">
      <c r="B20909" s="0" t="s">
        <v>1</v>
      </c>
    </row>
    <row r="20911" customFormat="false" ht="12.8" hidden="false" customHeight="false" outlineLevel="0" collapsed="false">
      <c r="A20911" s="0" t="s">
        <v>8677</v>
      </c>
      <c r="B20911" s="0" t="str">
        <f aca="false">HYPERLINK("https://lindat.mff.cuni.cz/services/teitok/pdtc10/index.php?action=vallex&amp;frame=v-w3041f1", "ochromit (v-w3041f1)")</f>
        <v>ochromit (v-w3041f1)</v>
      </c>
      <c r="E20911" s="0" t="str">
        <f aca="false">HYPERLINK("https://lindat.mff.cuni.cz/services/SynSemClass40/SynSemClass40.html?veclass=vec00656#vec00656-ces-cm00001", "vec00656")</f>
        <v>vec00656</v>
      </c>
      <c r="F20911" s="0" t="s">
        <v>7670</v>
      </c>
      <c r="H20911" s="0" t="str">
        <f aca="false">HYPERLINK("https://lindat.mff.cuni.cz/services/SynSemClass40/SynSemClass40.html?veclass=vec01505#vec01505-ces-cm00002", "vec01505")</f>
        <v>vec01505</v>
      </c>
      <c r="I20911" s="0" t="s">
        <v>5388</v>
      </c>
      <c r="K20911" s="0" t="str">
        <f aca="false">HYPERLINK("https://lindat.mff.cuni.cz/services/SynSemClass40/SynSemClass40.html?veclass=vec01510#vec01510-ces-cm00005", "vec01510")</f>
        <v>vec01510</v>
      </c>
      <c r="L20911" s="0" t="s">
        <v>7671</v>
      </c>
    </row>
    <row r="20912" customFormat="false" ht="12.8" hidden="false" customHeight="false" outlineLevel="0" collapsed="false">
      <c r="B20912" s="0" t="s">
        <v>1</v>
      </c>
      <c r="C20912" s="0" t="s">
        <v>8678</v>
      </c>
      <c r="E20912" s="0" t="s">
        <v>76</v>
      </c>
      <c r="F20912" s="0" t="s">
        <v>7673</v>
      </c>
      <c r="H20912" s="0" t="s">
        <v>196</v>
      </c>
      <c r="I20912" s="0" t="s">
        <v>5390</v>
      </c>
      <c r="K20912" s="0" t="s">
        <v>76</v>
      </c>
      <c r="L20912" s="0" t="s">
        <v>7674</v>
      </c>
    </row>
    <row r="20913" customFormat="false" ht="12.8" hidden="false" customHeight="false" outlineLevel="0" collapsed="false">
      <c r="B20913" s="0" t="s">
        <v>8</v>
      </c>
      <c r="C20913" s="0" t="s">
        <v>8679</v>
      </c>
      <c r="E20913" s="0" t="s">
        <v>7676</v>
      </c>
      <c r="F20913" s="0" t="s">
        <v>7677</v>
      </c>
      <c r="H20913" s="0" t="s">
        <v>199</v>
      </c>
      <c r="I20913" s="0" t="s">
        <v>5394</v>
      </c>
      <c r="K20913" s="0" t="s">
        <v>706</v>
      </c>
      <c r="L20913" s="0" t="s">
        <v>7678</v>
      </c>
    </row>
    <row r="20915" customFormat="false" ht="12.8" hidden="false" customHeight="false" outlineLevel="0" collapsed="false">
      <c r="A20915" s="0" t="s">
        <v>8680</v>
      </c>
      <c r="B20915" s="0" t="str">
        <f aca="false">HYPERLINK("https://lindat.mff.cuni.cz/services/teitok/pdtc10/index.php?action=vallex&amp;frame=v-w3036hsa_657", "ochránit (v-w3036hsa_657)")</f>
        <v>ochránit (v-w3036hsa_657)</v>
      </c>
      <c r="E20915" s="0" t="str">
        <f aca="false">HYPERLINK("https://lindat.mff.cuni.cz/services/SynSemClass40/SynSemClass40.html?veclass=vec00024#vec00024-ces-cm00012", "vec00024")</f>
        <v>vec00024</v>
      </c>
      <c r="F20915" s="0" t="s">
        <v>580</v>
      </c>
      <c r="H20915" s="0" t="str">
        <f aca="false">HYPERLINK("https://lindat.mff.cuni.cz/services/SynSemClass40/SynSemClass40.html?veclass=vec01503#vec01503-ces-cm00003", "vec01503")</f>
        <v>vec01503</v>
      </c>
      <c r="I20915" s="0" t="s">
        <v>1470</v>
      </c>
    </row>
    <row r="20916" customFormat="false" ht="12.8" hidden="false" customHeight="false" outlineLevel="0" collapsed="false">
      <c r="B20916" s="0" t="s">
        <v>1</v>
      </c>
      <c r="C20916" s="0" t="s">
        <v>1471</v>
      </c>
      <c r="E20916" s="0" t="s">
        <v>569</v>
      </c>
      <c r="F20916" s="0" t="s">
        <v>1472</v>
      </c>
      <c r="H20916" s="0" t="s">
        <v>569</v>
      </c>
      <c r="I20916" s="0" t="s">
        <v>1473</v>
      </c>
    </row>
    <row r="20917" customFormat="false" ht="12.8" hidden="false" customHeight="false" outlineLevel="0" collapsed="false">
      <c r="B20917" s="0" t="s">
        <v>8</v>
      </c>
      <c r="C20917" s="0" t="s">
        <v>1474</v>
      </c>
      <c r="E20917" s="0" t="s">
        <v>34</v>
      </c>
      <c r="F20917" s="0" t="s">
        <v>1475</v>
      </c>
      <c r="H20917" s="0" t="s">
        <v>572</v>
      </c>
      <c r="I20917" s="0" t="s">
        <v>1476</v>
      </c>
    </row>
    <row r="20918" customFormat="false" ht="12.8" hidden="false" customHeight="false" outlineLevel="0" collapsed="false">
      <c r="B20918" s="0" t="s">
        <v>1469</v>
      </c>
      <c r="C20918" s="0" t="s">
        <v>1477</v>
      </c>
      <c r="E20918" s="0" t="s">
        <v>1478</v>
      </c>
      <c r="F20918" s="0" t="s">
        <v>1479</v>
      </c>
      <c r="H20918" s="0" t="s">
        <v>1480</v>
      </c>
      <c r="I20918" s="0" t="s">
        <v>1481</v>
      </c>
    </row>
    <row r="20920" customFormat="false" ht="12.8" hidden="false" customHeight="false" outlineLevel="0" collapsed="false">
      <c r="A20920" s="0" t="s">
        <v>8680</v>
      </c>
      <c r="B20920" s="0" t="str">
        <f aca="false">HYPERLINK("https://lindat.mff.cuni.cz/services/teitok/pdtc10/index.php?action=vallex&amp;frame=v-w3036f1", "ochránit (v-w3036f1) - substituted with v-w3036hsa_657")</f>
        <v>ochránit (v-w3036f1) - substituted with v-w3036hsa_657</v>
      </c>
    </row>
    <row r="20921" customFormat="false" ht="12.8" hidden="false" customHeight="false" outlineLevel="0" collapsed="false">
      <c r="B20921" s="0" t="s">
        <v>1</v>
      </c>
    </row>
    <row r="20922" customFormat="false" ht="12.8" hidden="false" customHeight="false" outlineLevel="0" collapsed="false">
      <c r="B20922" s="0" t="s">
        <v>8</v>
      </c>
    </row>
    <row r="20923" customFormat="false" ht="12.8" hidden="false" customHeight="false" outlineLevel="0" collapsed="false">
      <c r="B20923" s="0" t="s">
        <v>1469</v>
      </c>
    </row>
    <row r="20925" customFormat="false" ht="12.8" hidden="false" customHeight="false" outlineLevel="0" collapsed="false">
      <c r="A20925" s="0" t="s">
        <v>8681</v>
      </c>
      <c r="B20925" s="0" t="str">
        <f aca="false">HYPERLINK("https://lindat.mff.cuni.cz/services/teitok/pdtc10/index.php?action=vallex&amp;frame=v-w3042f1", "ochudit (v-w3042f1)")</f>
        <v>ochudit (v-w3042f1)</v>
      </c>
      <c r="E20925" s="0" t="str">
        <f aca="false">HYPERLINK("https://lindat.mff.cuni.cz/services/SynSemClass40/SynSemClass40.html?veclass=vec01187#vec01187-ces-cm00005", "vec01187")</f>
        <v>vec01187</v>
      </c>
      <c r="F20925" s="0" t="s">
        <v>8682</v>
      </c>
    </row>
    <row r="20926" customFormat="false" ht="12.8" hidden="false" customHeight="false" outlineLevel="0" collapsed="false">
      <c r="B20926" s="0" t="s">
        <v>1</v>
      </c>
      <c r="C20926" s="0" t="s">
        <v>459</v>
      </c>
      <c r="E20926" s="0" t="s">
        <v>1573</v>
      </c>
      <c r="F20926" s="0" t="s">
        <v>1574</v>
      </c>
    </row>
    <row r="20927" customFormat="false" ht="12.8" hidden="false" customHeight="false" outlineLevel="0" collapsed="false">
      <c r="B20927" s="0" t="s">
        <v>814</v>
      </c>
      <c r="C20927" s="0" t="s">
        <v>8683</v>
      </c>
      <c r="E20927" s="0" t="s">
        <v>594</v>
      </c>
      <c r="F20927" s="0" t="s">
        <v>8684</v>
      </c>
    </row>
    <row r="20928" customFormat="false" ht="12.8" hidden="false" customHeight="false" outlineLevel="0" collapsed="false">
      <c r="B20928" s="0" t="s">
        <v>98</v>
      </c>
      <c r="C20928" s="0" t="s">
        <v>8685</v>
      </c>
      <c r="E20928" s="0" t="s">
        <v>8630</v>
      </c>
      <c r="F20928" s="0" t="s">
        <v>8686</v>
      </c>
    </row>
    <row r="20930" customFormat="false" ht="12.8" hidden="false" customHeight="false" outlineLevel="0" collapsed="false">
      <c r="A20930" s="0" t="s">
        <v>8687</v>
      </c>
      <c r="B20930" s="0" t="str">
        <f aca="false">HYPERLINK("https://lindat.mff.cuni.cz/services/teitok/pdtc10/index.php?action=vallex&amp;frame=v-whsa_860hsa_861", "ochutit (v-whsa_860hsa_861)")</f>
        <v>ochutit (v-whsa_860hsa_861)</v>
      </c>
    </row>
    <row r="20931" customFormat="false" ht="12.8" hidden="false" customHeight="false" outlineLevel="0" collapsed="false">
      <c r="B20931" s="0" t="s">
        <v>1</v>
      </c>
    </row>
    <row r="20932" customFormat="false" ht="12.8" hidden="false" customHeight="false" outlineLevel="0" collapsed="false">
      <c r="B20932" s="0" t="s">
        <v>8</v>
      </c>
    </row>
    <row r="20934" customFormat="false" ht="12.8" hidden="false" customHeight="false" outlineLevel="0" collapsed="false">
      <c r="A20934" s="0" t="s">
        <v>8688</v>
      </c>
      <c r="B20934" s="0" t="str">
        <f aca="false">HYPERLINK("https://lindat.mff.cuni.cz/services/teitok/pdtc10/index.php?action=vallex&amp;frame=v-w3043f2_ZU", "ochutnat (v-w3043f2_ZU)")</f>
        <v>ochutnat (v-w3043f2_ZU)</v>
      </c>
    </row>
    <row r="20935" customFormat="false" ht="12.8" hidden="false" customHeight="false" outlineLevel="0" collapsed="false">
      <c r="B20935" s="0" t="s">
        <v>1</v>
      </c>
    </row>
    <row r="20936" customFormat="false" ht="12.8" hidden="false" customHeight="false" outlineLevel="0" collapsed="false">
      <c r="B20936" s="0" t="s">
        <v>305</v>
      </c>
    </row>
    <row r="20938" customFormat="false" ht="12.8" hidden="false" customHeight="false" outlineLevel="0" collapsed="false">
      <c r="A20938" s="0" t="s">
        <v>8688</v>
      </c>
      <c r="B20938" s="0" t="str">
        <f aca="false">HYPERLINK("https://lindat.mff.cuni.cz/services/teitok/pdtc10/index.php?action=vallex&amp;frame=v-w3043f1", "ochutnat (v-w3043f1) - substituted with v-w3043f2_ZU")</f>
        <v>ochutnat (v-w3043f1) - substituted with v-w3043f2_ZU</v>
      </c>
      <c r="E20938" s="0" t="str">
        <f aca="false">HYPERLINK("https://lindat.mff.cuni.cz/services/SynSemClass40/SynSemClass40.html?veclass=vec00058#vec00058-ces-cm00010", "vec00058")</f>
        <v>vec00058</v>
      </c>
      <c r="F20938" s="0" t="s">
        <v>8689</v>
      </c>
    </row>
    <row r="20939" customFormat="false" ht="12.8" hidden="false" customHeight="false" outlineLevel="0" collapsed="false">
      <c r="B20939" s="0" t="s">
        <v>1</v>
      </c>
      <c r="C20939" s="0" t="s">
        <v>1322</v>
      </c>
      <c r="E20939" s="0" t="s">
        <v>4455</v>
      </c>
      <c r="F20939" s="0" t="s">
        <v>8690</v>
      </c>
    </row>
    <row r="20940" customFormat="false" ht="12.8" hidden="false" customHeight="false" outlineLevel="0" collapsed="false">
      <c r="B20940" s="0" t="s">
        <v>305</v>
      </c>
      <c r="C20940" s="0" t="s">
        <v>8691</v>
      </c>
      <c r="E20940" s="0" t="s">
        <v>180</v>
      </c>
      <c r="F20940" s="0" t="s">
        <v>8692</v>
      </c>
    </row>
    <row r="20942" customFormat="false" ht="12.8" hidden="false" customHeight="false" outlineLevel="0" collapsed="false">
      <c r="A20942" s="0" t="s">
        <v>8693</v>
      </c>
      <c r="B20942" s="0" t="str">
        <f aca="false">HYPERLINK("https://lindat.mff.cuni.cz/services/teitok/pdtc10/index.php?action=vallex&amp;frame=v-whsa_1722hsa_1723", "ochutnávat (v-whsa_1722hsa_1723)")</f>
        <v>ochutnávat (v-whsa_1722hsa_1723)</v>
      </c>
    </row>
    <row r="20943" customFormat="false" ht="12.8" hidden="false" customHeight="false" outlineLevel="0" collapsed="false">
      <c r="B20943" s="0" t="s">
        <v>1</v>
      </c>
    </row>
    <row r="20944" customFormat="false" ht="12.8" hidden="false" customHeight="false" outlineLevel="0" collapsed="false">
      <c r="B20944" s="0" t="s">
        <v>8</v>
      </c>
    </row>
    <row r="20946" customFormat="false" ht="12.8" hidden="false" customHeight="false" outlineLevel="0" collapsed="false">
      <c r="A20946" s="0" t="s">
        <v>8694</v>
      </c>
      <c r="B20946" s="0" t="str">
        <f aca="false">HYPERLINK("https://lindat.mff.cuni.cz/services/teitok/pdtc10/index.php?action=vallex&amp;frame=v-w3046f1", "ochuzovat (v-w3046f1)")</f>
        <v>ochuzovat (v-w3046f1)</v>
      </c>
      <c r="E20946" s="0" t="str">
        <f aca="false">HYPERLINK("https://lindat.mff.cuni.cz/services/SynSemClass40/SynSemClass40.html?veclass=vec01187#vec01187-ces-cm00021", "vec01187")</f>
        <v>vec01187</v>
      </c>
      <c r="F20946" s="0" t="s">
        <v>8682</v>
      </c>
    </row>
    <row r="20947" customFormat="false" ht="12.8" hidden="false" customHeight="false" outlineLevel="0" collapsed="false">
      <c r="B20947" s="0" t="s">
        <v>1</v>
      </c>
      <c r="C20947" s="0" t="s">
        <v>459</v>
      </c>
      <c r="E20947" s="0" t="s">
        <v>1573</v>
      </c>
      <c r="F20947" s="0" t="s">
        <v>1574</v>
      </c>
    </row>
    <row r="20948" customFormat="false" ht="12.8" hidden="false" customHeight="false" outlineLevel="0" collapsed="false">
      <c r="B20948" s="0" t="s">
        <v>814</v>
      </c>
      <c r="C20948" s="0" t="s">
        <v>8683</v>
      </c>
      <c r="E20948" s="0" t="s">
        <v>594</v>
      </c>
      <c r="F20948" s="0" t="s">
        <v>8684</v>
      </c>
    </row>
    <row r="20949" customFormat="false" ht="12.8" hidden="false" customHeight="false" outlineLevel="0" collapsed="false">
      <c r="B20949" s="0" t="s">
        <v>98</v>
      </c>
      <c r="C20949" s="0" t="s">
        <v>8685</v>
      </c>
      <c r="E20949" s="0" t="s">
        <v>8630</v>
      </c>
      <c r="F20949" s="0" t="s">
        <v>8686</v>
      </c>
    </row>
    <row r="20951" customFormat="false" ht="12.8" hidden="false" customHeight="false" outlineLevel="0" collapsed="false">
      <c r="A20951" s="0" t="s">
        <v>8695</v>
      </c>
      <c r="B20951" s="0" t="str">
        <f aca="false">HYPERLINK("https://lindat.mff.cuni.cz/services/teitok/pdtc10/index.php?action=vallex&amp;frame=v-w2603f2", "ocitat se (v-w2603f2)")</f>
        <v>ocitat se (v-w2603f2)</v>
      </c>
    </row>
    <row r="20952" customFormat="false" ht="12.8" hidden="false" customHeight="false" outlineLevel="0" collapsed="false">
      <c r="B20952" s="0" t="s">
        <v>1</v>
      </c>
    </row>
    <row r="20953" customFormat="false" ht="12.8" hidden="false" customHeight="false" outlineLevel="0" collapsed="false">
      <c r="B20953" s="0" t="s">
        <v>3245</v>
      </c>
    </row>
    <row r="20955" customFormat="false" ht="12.8" hidden="false" customHeight="false" outlineLevel="0" collapsed="false">
      <c r="A20955" s="0" t="s">
        <v>8696</v>
      </c>
      <c r="B20955" s="0" t="str">
        <f aca="false">HYPERLINK("https://lindat.mff.cuni.cz/services/teitok/pdtc10/index.php?action=vallex&amp;frame=v-w2603f1", "ocitat se (v-w2603f1)")</f>
        <v>ocitat se (v-w2603f1)</v>
      </c>
    </row>
    <row r="20956" customFormat="false" ht="12.8" hidden="false" customHeight="false" outlineLevel="0" collapsed="false">
      <c r="B20956" s="0" t="s">
        <v>1</v>
      </c>
    </row>
    <row r="20957" customFormat="false" ht="12.8" hidden="false" customHeight="false" outlineLevel="0" collapsed="false">
      <c r="B20957" s="0" t="s">
        <v>5</v>
      </c>
    </row>
    <row r="20959" customFormat="false" ht="12.8" hidden="false" customHeight="false" outlineLevel="0" collapsed="false">
      <c r="A20959" s="0" t="s">
        <v>8697</v>
      </c>
      <c r="B20959" s="0" t="str">
        <f aca="false">HYPERLINK("https://lindat.mff.cuni.cz/services/teitok/pdtc10/index.php?action=vallex&amp;frame=v-w2604f2", "ocitnout se (v-w2604f2)")</f>
        <v>ocitnout se (v-w2604f2)</v>
      </c>
      <c r="E20959" s="0" t="str">
        <f aca="false">HYPERLINK("https://lindat.mff.cuni.cz/services/SynSemClass40/SynSemClass40.html?veclass=vec00439#vec00439-ces-cm00007", "vec00439")</f>
        <v>vec00439</v>
      </c>
      <c r="F20959" s="0" t="s">
        <v>7085</v>
      </c>
    </row>
    <row r="20960" customFormat="false" ht="12.8" hidden="false" customHeight="false" outlineLevel="0" collapsed="false">
      <c r="B20960" s="0" t="s">
        <v>1</v>
      </c>
      <c r="C20960" s="0" t="s">
        <v>7086</v>
      </c>
      <c r="E20960" s="0" t="s">
        <v>957</v>
      </c>
      <c r="F20960" s="0" t="s">
        <v>7087</v>
      </c>
    </row>
    <row r="20961" customFormat="false" ht="12.8" hidden="false" customHeight="false" outlineLevel="0" collapsed="false">
      <c r="B20961" s="0" t="s">
        <v>3245</v>
      </c>
      <c r="C20961" s="0" t="s">
        <v>7088</v>
      </c>
      <c r="E20961" s="0" t="s">
        <v>7089</v>
      </c>
      <c r="F20961" s="0" t="s">
        <v>7090</v>
      </c>
    </row>
    <row r="20963" customFormat="false" ht="12.8" hidden="false" customHeight="false" outlineLevel="0" collapsed="false">
      <c r="A20963" s="0" t="s">
        <v>8698</v>
      </c>
      <c r="B20963" s="0" t="str">
        <f aca="false">HYPERLINK("https://lindat.mff.cuni.cz/services/teitok/pdtc10/index.php?action=vallex&amp;frame=v-w2604f1", "ocitnout se (v-w2604f1)")</f>
        <v>ocitnout se (v-w2604f1)</v>
      </c>
      <c r="E20963" s="0" t="str">
        <f aca="false">HYPERLINK("https://lindat.mff.cuni.cz/services/SynSemClass40/SynSemClass40.html?veclass=vec00245#vec00245-ces-cm00065", "vec00245")</f>
        <v>vec00245</v>
      </c>
      <c r="F20963" s="0" t="s">
        <v>6245</v>
      </c>
    </row>
    <row r="20964" customFormat="false" ht="12.8" hidden="false" customHeight="false" outlineLevel="0" collapsed="false">
      <c r="B20964" s="0" t="s">
        <v>1</v>
      </c>
      <c r="C20964" s="0" t="s">
        <v>8384</v>
      </c>
      <c r="E20964" s="0" t="s">
        <v>2923</v>
      </c>
      <c r="F20964" s="0" t="s">
        <v>6248</v>
      </c>
    </row>
    <row r="20965" customFormat="false" ht="12.8" hidden="false" customHeight="false" outlineLevel="0" collapsed="false">
      <c r="B20965" s="0" t="s">
        <v>5</v>
      </c>
      <c r="E20965" s="0" t="s">
        <v>3254</v>
      </c>
      <c r="F20965" s="0" t="s">
        <v>3255</v>
      </c>
    </row>
    <row r="20967" customFormat="false" ht="12.8" hidden="false" customHeight="false" outlineLevel="0" collapsed="false">
      <c r="A20967" s="0" t="s">
        <v>8699</v>
      </c>
      <c r="B20967" s="0" t="str">
        <f aca="false">HYPERLINK("https://lindat.mff.cuni.cz/services/teitok/pdtc10/index.php?action=vallex&amp;frame=v-w2604f3", "ocitnout se (v-w2604f3)")</f>
        <v>ocitnout se (v-w2604f3)</v>
      </c>
    </row>
    <row r="20968" customFormat="false" ht="12.8" hidden="false" customHeight="false" outlineLevel="0" collapsed="false">
      <c r="B20968" s="0" t="s">
        <v>1</v>
      </c>
    </row>
    <row r="20969" customFormat="false" ht="12.8" hidden="false" customHeight="false" outlineLevel="0" collapsed="false">
      <c r="B20969" s="0" t="s">
        <v>8700</v>
      </c>
    </row>
    <row r="20971" customFormat="false" ht="12.8" hidden="false" customHeight="false" outlineLevel="0" collapsed="false">
      <c r="A20971" s="0" t="s">
        <v>8701</v>
      </c>
      <c r="B20971" s="0" t="str">
        <f aca="false">HYPERLINK("https://lindat.mff.cuni.cz/services/teitok/pdtc10/index.php?action=vallex&amp;frame=v-w2604f4", "ocitnout se (v-w2604f4)")</f>
        <v>ocitnout se (v-w2604f4)</v>
      </c>
    </row>
    <row r="20972" customFormat="false" ht="12.8" hidden="false" customHeight="false" outlineLevel="0" collapsed="false">
      <c r="B20972" s="0" t="s">
        <v>1</v>
      </c>
    </row>
    <row r="20973" customFormat="false" ht="12.8" hidden="false" customHeight="false" outlineLevel="0" collapsed="false">
      <c r="B20973" s="0" t="s">
        <v>8702</v>
      </c>
    </row>
    <row r="20975" customFormat="false" ht="12.8" hidden="false" customHeight="false" outlineLevel="0" collapsed="false">
      <c r="A20975" s="0" t="s">
        <v>8703</v>
      </c>
      <c r="B20975" s="0" t="str">
        <f aca="false">HYPERLINK("https://lindat.mff.cuni.cz/services/teitok/pdtc10/index.php?action=vallex&amp;frame=v-w2605f1", "ocitovat (v-w2605f1)")</f>
        <v>ocitovat (v-w2605f1)</v>
      </c>
      <c r="E20975" s="0" t="str">
        <f aca="false">HYPERLINK("https://lindat.mff.cuni.cz/services/SynSemClass40/SynSemClass40.html?veclass=vec01009#vec01009-ces-cm00014", "vec01009")</f>
        <v>vec01009</v>
      </c>
      <c r="F20975" s="0" t="s">
        <v>1672</v>
      </c>
    </row>
    <row r="20976" customFormat="false" ht="12.8" hidden="false" customHeight="false" outlineLevel="0" collapsed="false">
      <c r="B20976" s="0" t="s">
        <v>1</v>
      </c>
      <c r="C20976" s="0" t="s">
        <v>1673</v>
      </c>
      <c r="E20976" s="0" t="s">
        <v>147</v>
      </c>
      <c r="F20976" s="0" t="s">
        <v>1674</v>
      </c>
    </row>
    <row r="20977" customFormat="false" ht="12.8" hidden="false" customHeight="false" outlineLevel="0" collapsed="false">
      <c r="B20977" s="0" t="s">
        <v>500</v>
      </c>
      <c r="C20977" s="0" t="s">
        <v>1675</v>
      </c>
      <c r="E20977" s="0" t="s">
        <v>50</v>
      </c>
      <c r="F20977" s="0" t="s">
        <v>1676</v>
      </c>
    </row>
    <row r="20979" customFormat="false" ht="12.8" hidden="false" customHeight="false" outlineLevel="0" collapsed="false">
      <c r="A20979" s="0" t="s">
        <v>8704</v>
      </c>
      <c r="B20979" s="0" t="str">
        <f aca="false">HYPERLINK("https://lindat.mff.cuni.cz/services/teitok/pdtc10/index.php?action=vallex&amp;frame=v-w2606f1", "octnout se (v-w2606f1)")</f>
        <v>octnout se (v-w2606f1)</v>
      </c>
    </row>
    <row r="20980" customFormat="false" ht="12.8" hidden="false" customHeight="false" outlineLevel="0" collapsed="false">
      <c r="B20980" s="0" t="s">
        <v>1</v>
      </c>
    </row>
    <row r="20981" customFormat="false" ht="12.8" hidden="false" customHeight="false" outlineLevel="0" collapsed="false">
      <c r="B20981" s="0" t="s">
        <v>3245</v>
      </c>
    </row>
    <row r="20983" customFormat="false" ht="12.8" hidden="false" customHeight="false" outlineLevel="0" collapsed="false">
      <c r="A20983" s="0" t="s">
        <v>8705</v>
      </c>
      <c r="B20983" s="0" t="str">
        <f aca="false">HYPERLINK("https://lindat.mff.cuni.cz/services/teitok/pdtc10/index.php?action=vallex&amp;frame=v-w2606f2", "octnout se (v-w2606f2)")</f>
        <v>octnout se (v-w2606f2)</v>
      </c>
    </row>
    <row r="20984" customFormat="false" ht="12.8" hidden="false" customHeight="false" outlineLevel="0" collapsed="false">
      <c r="B20984" s="0" t="s">
        <v>1</v>
      </c>
    </row>
    <row r="20985" customFormat="false" ht="12.8" hidden="false" customHeight="false" outlineLevel="0" collapsed="false">
      <c r="B20985" s="0" t="s">
        <v>5</v>
      </c>
    </row>
    <row r="20987" customFormat="false" ht="12.8" hidden="false" customHeight="false" outlineLevel="0" collapsed="false">
      <c r="A20987" s="0" t="s">
        <v>8706</v>
      </c>
      <c r="B20987" s="0" t="str">
        <f aca="false">HYPERLINK("https://lindat.mff.cuni.cz/services/teitok/pdtc10/index.php?action=vallex&amp;frame=v-w2619f1", "odbavovat (v-w2619f1)")</f>
        <v>odbavovat (v-w2619f1)</v>
      </c>
    </row>
    <row r="20988" customFormat="false" ht="12.8" hidden="false" customHeight="false" outlineLevel="0" collapsed="false">
      <c r="B20988" s="0" t="s">
        <v>1</v>
      </c>
    </row>
    <row r="20989" customFormat="false" ht="12.8" hidden="false" customHeight="false" outlineLevel="0" collapsed="false">
      <c r="B20989" s="0" t="s">
        <v>8</v>
      </c>
    </row>
    <row r="20991" customFormat="false" ht="12.8" hidden="false" customHeight="false" outlineLevel="0" collapsed="false">
      <c r="A20991" s="0" t="s">
        <v>8707</v>
      </c>
      <c r="B20991" s="0" t="str">
        <f aca="false">HYPERLINK("https://lindat.mff.cuni.cz/services/teitok/pdtc10/index.php?action=vallex&amp;frame=v-w10728f2", "odblokovat (v-w10728f2)")</f>
        <v>odblokovat (v-w10728f2)</v>
      </c>
    </row>
    <row r="20992" customFormat="false" ht="12.8" hidden="false" customHeight="false" outlineLevel="0" collapsed="false">
      <c r="B20992" s="0" t="s">
        <v>1</v>
      </c>
    </row>
    <row r="20993" customFormat="false" ht="12.8" hidden="false" customHeight="false" outlineLevel="0" collapsed="false">
      <c r="B20993" s="0" t="s">
        <v>8</v>
      </c>
    </row>
    <row r="20995" customFormat="false" ht="12.8" hidden="false" customHeight="false" outlineLevel="0" collapsed="false">
      <c r="A20995" s="0" t="s">
        <v>8708</v>
      </c>
      <c r="B20995" s="0" t="str">
        <f aca="false">HYPERLINK("https://lindat.mff.cuni.cz/services/teitok/pdtc10/index.php?action=vallex&amp;frame=v-w2624f1", "odbourat (v-w2624f1)")</f>
        <v>odbourat (v-w2624f1)</v>
      </c>
      <c r="E20995" s="0" t="str">
        <f aca="false">HYPERLINK("https://lindat.mff.cuni.cz/services/SynSemClass40/SynSemClass40.html?veclass=vec00380#vec00380-ces-cm00086", "vec00380")</f>
        <v>vec00380</v>
      </c>
      <c r="F20995" s="0" t="s">
        <v>4414</v>
      </c>
    </row>
    <row r="20996" customFormat="false" ht="12.8" hidden="false" customHeight="false" outlineLevel="0" collapsed="false">
      <c r="B20996" s="0" t="s">
        <v>1</v>
      </c>
      <c r="C20996" s="0" t="s">
        <v>4415</v>
      </c>
      <c r="E20996" s="0" t="s">
        <v>4416</v>
      </c>
      <c r="F20996" s="0" t="s">
        <v>4417</v>
      </c>
    </row>
    <row r="20997" customFormat="false" ht="12.8" hidden="false" customHeight="false" outlineLevel="0" collapsed="false">
      <c r="B20997" s="0" t="s">
        <v>8</v>
      </c>
      <c r="C20997" s="0" t="s">
        <v>4418</v>
      </c>
      <c r="E20997" s="0" t="s">
        <v>532</v>
      </c>
      <c r="F20997" s="0" t="s">
        <v>4419</v>
      </c>
    </row>
    <row r="20999" customFormat="false" ht="12.8" hidden="false" customHeight="false" outlineLevel="0" collapsed="false">
      <c r="A20999" s="0" t="s">
        <v>8709</v>
      </c>
      <c r="B20999" s="0" t="str">
        <f aca="false">HYPERLINK("https://lindat.mff.cuni.cz/services/teitok/pdtc10/index.php?action=vallex&amp;frame=v-w2626f1", "odbourávat (v-w2626f1)")</f>
        <v>odbourávat (v-w2626f1)</v>
      </c>
    </row>
    <row r="21000" customFormat="false" ht="12.8" hidden="false" customHeight="false" outlineLevel="0" collapsed="false">
      <c r="B21000" s="0" t="s">
        <v>1</v>
      </c>
    </row>
    <row r="21001" customFormat="false" ht="12.8" hidden="false" customHeight="false" outlineLevel="0" collapsed="false">
      <c r="B21001" s="0" t="s">
        <v>8</v>
      </c>
    </row>
    <row r="21003" customFormat="false" ht="12.8" hidden="false" customHeight="false" outlineLevel="0" collapsed="false">
      <c r="A21003" s="0" t="s">
        <v>8710</v>
      </c>
      <c r="B21003" s="0" t="str">
        <f aca="false">HYPERLINK("https://lindat.mff.cuni.cz/services/teitok/pdtc10/index.php?action=vallex&amp;frame=v-w10051f2", "odbočit (v-w10051f2)")</f>
        <v>odbočit (v-w10051f2)</v>
      </c>
    </row>
    <row r="21004" customFormat="false" ht="12.8" hidden="false" customHeight="false" outlineLevel="0" collapsed="false">
      <c r="B21004" s="0" t="s">
        <v>1</v>
      </c>
    </row>
    <row r="21005" customFormat="false" ht="12.8" hidden="false" customHeight="false" outlineLevel="0" collapsed="false">
      <c r="B21005" s="0" t="s">
        <v>164</v>
      </c>
    </row>
    <row r="21007" customFormat="false" ht="12.8" hidden="false" customHeight="false" outlineLevel="0" collapsed="false">
      <c r="A21007" s="0" t="s">
        <v>8711</v>
      </c>
      <c r="B21007" s="0" t="str">
        <f aca="false">HYPERLINK("https://lindat.mff.cuni.cz/services/teitok/pdtc10/index.php?action=vallex&amp;frame=v-w10051f5_ZU", "odbočit (v-w10051f5_ZU)")</f>
        <v>odbočit (v-w10051f5_ZU)</v>
      </c>
    </row>
    <row r="21008" customFormat="false" ht="12.8" hidden="false" customHeight="false" outlineLevel="0" collapsed="false">
      <c r="B21008" s="0" t="s">
        <v>1</v>
      </c>
    </row>
    <row r="21009" customFormat="false" ht="12.8" hidden="false" customHeight="false" outlineLevel="0" collapsed="false">
      <c r="B21009" s="0" t="s">
        <v>26</v>
      </c>
    </row>
    <row r="21011" customFormat="false" ht="12.8" hidden="false" customHeight="false" outlineLevel="0" collapsed="false">
      <c r="A21011" s="0" t="s">
        <v>8711</v>
      </c>
      <c r="B21011" s="0" t="str">
        <f aca="false">HYPERLINK("https://lindat.mff.cuni.cz/services/teitok/pdtc10/index.php?action=vallex&amp;frame=v-w10051f3_ZU", "odbočit (v-w10051f3_ZU) - substituted with v-w10051f5_ZU")</f>
        <v>odbočit (v-w10051f3_ZU) - substituted with v-w10051f5_ZU</v>
      </c>
    </row>
    <row r="21012" customFormat="false" ht="12.8" hidden="false" customHeight="false" outlineLevel="0" collapsed="false">
      <c r="B21012" s="0" t="s">
        <v>1</v>
      </c>
    </row>
    <row r="21013" customFormat="false" ht="12.8" hidden="false" customHeight="false" outlineLevel="0" collapsed="false">
      <c r="B21013" s="0" t="s">
        <v>26</v>
      </c>
    </row>
    <row r="21015" customFormat="false" ht="12.8" hidden="false" customHeight="false" outlineLevel="0" collapsed="false">
      <c r="A21015" s="0" t="s">
        <v>8711</v>
      </c>
      <c r="B21015" s="0" t="str">
        <f aca="false">HYPERLINK("https://lindat.mff.cuni.cz/services/teitok/pdtc10/index.php?action=vallex&amp;frame=v-w10051f4_ZU", "odbočit (v-w10051f4_ZU) - substituted with v-w10051f5_ZU")</f>
        <v>odbočit (v-w10051f4_ZU) - substituted with v-w10051f5_ZU</v>
      </c>
    </row>
    <row r="21016" customFormat="false" ht="12.8" hidden="false" customHeight="false" outlineLevel="0" collapsed="false">
      <c r="B21016" s="0" t="s">
        <v>1</v>
      </c>
    </row>
    <row r="21017" customFormat="false" ht="12.8" hidden="false" customHeight="false" outlineLevel="0" collapsed="false">
      <c r="B21017" s="0" t="s">
        <v>26</v>
      </c>
    </row>
    <row r="21019" customFormat="false" ht="12.8" hidden="false" customHeight="false" outlineLevel="0" collapsed="false">
      <c r="A21019" s="0" t="s">
        <v>8711</v>
      </c>
      <c r="B21019" s="0" t="str">
        <f aca="false">HYPERLINK("https://lindat.mff.cuni.cz/services/teitok/pdtc10/index.php?action=vallex&amp;frame=v-w10051hsa_416", "odbočit (v-w10051hsa_416) - substituted with v-w10051f5_ZU")</f>
        <v>odbočit (v-w10051hsa_416) - substituted with v-w10051f5_ZU</v>
      </c>
    </row>
    <row r="21020" customFormat="false" ht="12.8" hidden="false" customHeight="false" outlineLevel="0" collapsed="false">
      <c r="B21020" s="0" t="s">
        <v>1</v>
      </c>
    </row>
    <row r="21021" customFormat="false" ht="12.8" hidden="false" customHeight="false" outlineLevel="0" collapsed="false">
      <c r="B21021" s="0" t="s">
        <v>26</v>
      </c>
    </row>
    <row r="21023" customFormat="false" ht="12.8" hidden="false" customHeight="false" outlineLevel="0" collapsed="false">
      <c r="A21023" s="0" t="s">
        <v>8712</v>
      </c>
      <c r="B21023" s="0" t="str">
        <f aca="false">HYPERLINK("https://lindat.mff.cuni.cz/services/teitok/pdtc10/index.php?action=vallex&amp;frame=v-w10260f2", "odbočovat (v-w10260f2)")</f>
        <v>odbočovat (v-w10260f2)</v>
      </c>
      <c r="E21023" s="0" t="str">
        <f aca="false">HYPERLINK("https://lindat.mff.cuni.cz/services/SynSemClass40/SynSemClass40.html?veclass=vec00931#vec00931-ces-cm00003", "vec00931")</f>
        <v>vec00931</v>
      </c>
      <c r="F21023" s="0" t="s">
        <v>8713</v>
      </c>
    </row>
    <row r="21024" customFormat="false" ht="12.8" hidden="false" customHeight="false" outlineLevel="0" collapsed="false">
      <c r="B21024" s="0" t="s">
        <v>1</v>
      </c>
      <c r="C21024" s="0" t="s">
        <v>8714</v>
      </c>
      <c r="E21024" s="0" t="s">
        <v>334</v>
      </c>
      <c r="F21024" s="0" t="s">
        <v>8715</v>
      </c>
    </row>
    <row r="21025" customFormat="false" ht="12.8" hidden="false" customHeight="false" outlineLevel="0" collapsed="false">
      <c r="B21025" s="0" t="s">
        <v>164</v>
      </c>
      <c r="E21025" s="0" t="s">
        <v>3229</v>
      </c>
      <c r="F21025" s="0" t="s">
        <v>8716</v>
      </c>
    </row>
    <row r="21027" customFormat="false" ht="12.8" hidden="false" customHeight="false" outlineLevel="0" collapsed="false">
      <c r="A21027" s="0" t="s">
        <v>8717</v>
      </c>
      <c r="B21027" s="0" t="str">
        <f aca="false">HYPERLINK("https://lindat.mff.cuni.cz/services/teitok/pdtc10/index.php?action=vallex&amp;frame=v-w10260f3_MM", "odbočovat (v-w10260f3_MM)")</f>
        <v>odbočovat (v-w10260f3_MM)</v>
      </c>
    </row>
    <row r="21028" customFormat="false" ht="12.8" hidden="false" customHeight="false" outlineLevel="0" collapsed="false">
      <c r="B21028" s="0" t="s">
        <v>1</v>
      </c>
    </row>
    <row r="21029" customFormat="false" ht="12.8" hidden="false" customHeight="false" outlineLevel="0" collapsed="false">
      <c r="B21029" s="0" t="s">
        <v>26</v>
      </c>
    </row>
    <row r="21031" customFormat="false" ht="12.8" hidden="false" customHeight="false" outlineLevel="0" collapsed="false">
      <c r="A21031" s="0" t="s">
        <v>8718</v>
      </c>
      <c r="B21031" s="0" t="str">
        <f aca="false">HYPERLINK("https://lindat.mff.cuni.cz/services/teitok/pdtc10/index.php?action=vallex&amp;frame=v-w2627f1", "odbrzdit (v-w2627f1)")</f>
        <v>odbrzdit (v-w2627f1)</v>
      </c>
    </row>
    <row r="21032" customFormat="false" ht="12.8" hidden="false" customHeight="false" outlineLevel="0" collapsed="false">
      <c r="B21032" s="0" t="s">
        <v>1</v>
      </c>
    </row>
    <row r="21033" customFormat="false" ht="12.8" hidden="false" customHeight="false" outlineLevel="0" collapsed="false">
      <c r="B21033" s="0" t="s">
        <v>8</v>
      </c>
    </row>
    <row r="21035" customFormat="false" ht="12.8" hidden="false" customHeight="false" outlineLevel="0" collapsed="false">
      <c r="A21035" s="0" t="s">
        <v>8719</v>
      </c>
      <c r="B21035" s="0" t="str">
        <f aca="false">HYPERLINK("https://lindat.mff.cuni.cz/services/teitok/pdtc10/index.php?action=vallex&amp;frame=v-whsa_1258hsa_1259", "odburácet (v-whsa_1258hsa_1259)")</f>
        <v>odburácet (v-whsa_1258hsa_1259)</v>
      </c>
    </row>
    <row r="21036" customFormat="false" ht="12.8" hidden="false" customHeight="false" outlineLevel="0" collapsed="false">
      <c r="B21036" s="0" t="s">
        <v>1</v>
      </c>
    </row>
    <row r="21037" customFormat="false" ht="12.8" hidden="false" customHeight="false" outlineLevel="0" collapsed="false">
      <c r="B21037" s="0" t="s">
        <v>631</v>
      </c>
    </row>
    <row r="21039" customFormat="false" ht="12.8" hidden="false" customHeight="false" outlineLevel="0" collapsed="false">
      <c r="A21039" s="0" t="s">
        <v>8720</v>
      </c>
      <c r="B21039" s="0" t="str">
        <f aca="false">HYPERLINK("https://lindat.mff.cuni.cz/services/teitok/pdtc10/index.php?action=vallex&amp;frame=v-w2630f1", "odbýt (v-w2630f1)")</f>
        <v>odbýt (v-w2630f1)</v>
      </c>
    </row>
    <row r="21040" customFormat="false" ht="12.8" hidden="false" customHeight="false" outlineLevel="0" collapsed="false">
      <c r="B21040" s="0" t="s">
        <v>1</v>
      </c>
    </row>
    <row r="21041" customFormat="false" ht="12.8" hidden="false" customHeight="false" outlineLevel="0" collapsed="false">
      <c r="B21041" s="0" t="s">
        <v>8</v>
      </c>
    </row>
    <row r="21043" customFormat="false" ht="12.8" hidden="false" customHeight="false" outlineLevel="0" collapsed="false">
      <c r="A21043" s="0" t="s">
        <v>8721</v>
      </c>
      <c r="B21043" s="0" t="str">
        <f aca="false">HYPERLINK("https://lindat.mff.cuni.cz/services/teitok/pdtc10/index.php?action=vallex&amp;frame=v-w2630f3", "odbýt (v-w2630f3)")</f>
        <v>odbýt (v-w2630f3)</v>
      </c>
    </row>
    <row r="21044" customFormat="false" ht="12.8" hidden="false" customHeight="false" outlineLevel="0" collapsed="false">
      <c r="B21044" s="0" t="s">
        <v>1</v>
      </c>
    </row>
    <row r="21045" customFormat="false" ht="12.8" hidden="false" customHeight="false" outlineLevel="0" collapsed="false">
      <c r="B21045" s="0" t="s">
        <v>8</v>
      </c>
    </row>
    <row r="21047" customFormat="false" ht="12.8" hidden="false" customHeight="false" outlineLevel="0" collapsed="false">
      <c r="A21047" s="0" t="s">
        <v>8722</v>
      </c>
      <c r="B21047" s="0" t="str">
        <f aca="false">HYPERLINK("https://lindat.mff.cuni.cz/services/teitok/pdtc10/index.php?action=vallex&amp;frame=v-w2630f2", "odbýt (v-w2630f2)")</f>
        <v>odbýt (v-w2630f2)</v>
      </c>
    </row>
    <row r="21048" customFormat="false" ht="12.8" hidden="false" customHeight="false" outlineLevel="0" collapsed="false">
      <c r="B21048" s="0" t="s">
        <v>1</v>
      </c>
    </row>
    <row r="21049" customFormat="false" ht="12.8" hidden="false" customHeight="false" outlineLevel="0" collapsed="false">
      <c r="B21049" s="0" t="s">
        <v>8</v>
      </c>
    </row>
    <row r="21051" customFormat="false" ht="12.8" hidden="false" customHeight="false" outlineLevel="0" collapsed="false">
      <c r="A21051" s="0" t="s">
        <v>8723</v>
      </c>
      <c r="B21051" s="0" t="str">
        <f aca="false">HYPERLINK("https://lindat.mff.cuni.cz/services/teitok/pdtc10/index.php?action=vallex&amp;frame=v-w2630f4_ZU", "odbýt (v-w2630f4_ZU)")</f>
        <v>odbýt (v-w2630f4_ZU)</v>
      </c>
    </row>
    <row r="21052" customFormat="false" ht="12.8" hidden="false" customHeight="false" outlineLevel="0" collapsed="false">
      <c r="B21052" s="0" t="s">
        <v>1</v>
      </c>
    </row>
    <row r="21053" customFormat="false" ht="12.8" hidden="false" customHeight="false" outlineLevel="0" collapsed="false">
      <c r="B21053" s="0" t="s">
        <v>8</v>
      </c>
    </row>
    <row r="21055" customFormat="false" ht="12.8" hidden="false" customHeight="false" outlineLevel="0" collapsed="false">
      <c r="A21055" s="0" t="s">
        <v>8723</v>
      </c>
      <c r="B21055" s="0" t="str">
        <f aca="false">HYPERLINK("https://lindat.mff.cuni.cz/services/teitok/pdtc10/index.php?action=vallex&amp;frame=v-w2630hsa_1358", "odbýt (v-w2630hsa_1358) - substituted with v-w2630f4_ZU")</f>
        <v>odbýt (v-w2630hsa_1358) - substituted with v-w2630f4_ZU</v>
      </c>
    </row>
    <row r="21056" customFormat="false" ht="12.8" hidden="false" customHeight="false" outlineLevel="0" collapsed="false">
      <c r="B21056" s="0" t="s">
        <v>1</v>
      </c>
    </row>
    <row r="21057" customFormat="false" ht="12.8" hidden="false" customHeight="false" outlineLevel="0" collapsed="false">
      <c r="B21057" s="0" t="s">
        <v>8</v>
      </c>
    </row>
    <row r="21059" customFormat="false" ht="12.8" hidden="false" customHeight="false" outlineLevel="0" collapsed="false">
      <c r="A21059" s="0" t="s">
        <v>8724</v>
      </c>
      <c r="B21059" s="0" t="str">
        <f aca="false">HYPERLINK("https://lindat.mff.cuni.cz/services/teitok/pdtc10/index.php?action=vallex&amp;frame=v-w2630f5_ZU", "odbýt (v-w2630f5_ZU)")</f>
        <v>odbýt (v-w2630f5_ZU)</v>
      </c>
    </row>
    <row r="21060" customFormat="false" ht="12.8" hidden="false" customHeight="false" outlineLevel="0" collapsed="false">
      <c r="B21060" s="0" t="s">
        <v>1</v>
      </c>
    </row>
    <row r="21061" customFormat="false" ht="12.8" hidden="false" customHeight="false" outlineLevel="0" collapsed="false">
      <c r="B21061" s="0" t="s">
        <v>8</v>
      </c>
    </row>
    <row r="21063" customFormat="false" ht="12.8" hidden="false" customHeight="false" outlineLevel="0" collapsed="false">
      <c r="A21063" s="0" t="s">
        <v>8725</v>
      </c>
      <c r="B21063" s="0" t="str">
        <f aca="false">HYPERLINK("https://lindat.mff.cuni.cz/services/teitok/pdtc10/index.php?action=vallex&amp;frame=v-w2631f1", "odbýt se (v-w2631f1)")</f>
        <v>odbýt se (v-w2631f1)</v>
      </c>
    </row>
    <row r="21064" customFormat="false" ht="12.8" hidden="false" customHeight="false" outlineLevel="0" collapsed="false">
      <c r="B21064" s="0" t="s">
        <v>1</v>
      </c>
    </row>
    <row r="21066" customFormat="false" ht="12.8" hidden="false" customHeight="false" outlineLevel="0" collapsed="false">
      <c r="A21066" s="0" t="s">
        <v>8726</v>
      </c>
      <c r="B21066" s="0" t="str">
        <f aca="false">HYPERLINK("https://lindat.mff.cuni.cz/services/teitok/pdtc10/index.php?action=vallex&amp;frame=v-w2632f1", "odbýt si (v-w2632f1)")</f>
        <v>odbýt si (v-w2632f1)</v>
      </c>
    </row>
    <row r="21067" customFormat="false" ht="12.8" hidden="false" customHeight="false" outlineLevel="0" collapsed="false">
      <c r="B21067" s="0" t="s">
        <v>1</v>
      </c>
    </row>
    <row r="21068" customFormat="false" ht="12.8" hidden="false" customHeight="false" outlineLevel="0" collapsed="false">
      <c r="B21068" s="0" t="s">
        <v>8</v>
      </c>
    </row>
    <row r="21070" customFormat="false" ht="12.8" hidden="false" customHeight="false" outlineLevel="0" collapsed="false">
      <c r="A21070" s="0" t="s">
        <v>8727</v>
      </c>
      <c r="B21070" s="0" t="str">
        <f aca="false">HYPERLINK("https://lindat.mff.cuni.cz/services/teitok/pdtc10/index.php?action=vallex&amp;frame=v-whsa_614hsa_615", "odbývat (v-whsa_614hsa_615)")</f>
        <v>odbývat (v-whsa_614hsa_615)</v>
      </c>
    </row>
    <row r="21071" customFormat="false" ht="12.8" hidden="false" customHeight="false" outlineLevel="0" collapsed="false">
      <c r="B21071" s="0" t="s">
        <v>1</v>
      </c>
    </row>
    <row r="21072" customFormat="false" ht="12.8" hidden="false" customHeight="false" outlineLevel="0" collapsed="false">
      <c r="B21072" s="0" t="s">
        <v>8</v>
      </c>
    </row>
    <row r="21074" customFormat="false" ht="12.8" hidden="false" customHeight="false" outlineLevel="0" collapsed="false">
      <c r="A21074" s="0" t="s">
        <v>8728</v>
      </c>
      <c r="B21074" s="0" t="str">
        <f aca="false">HYPERLINK("https://lindat.mff.cuni.cz/services/teitok/pdtc10/index.php?action=vallex&amp;frame=v-whsb_614f1_ZU", "odbývat (v-whsb_614f1_ZU)")</f>
        <v>odbývat (v-whsb_614f1_ZU)</v>
      </c>
    </row>
    <row r="21075" customFormat="false" ht="12.8" hidden="false" customHeight="false" outlineLevel="0" collapsed="false">
      <c r="B21075" s="0" t="s">
        <v>1</v>
      </c>
    </row>
    <row r="21076" customFormat="false" ht="12.8" hidden="false" customHeight="false" outlineLevel="0" collapsed="false">
      <c r="B21076" s="0" t="s">
        <v>8</v>
      </c>
    </row>
    <row r="21078" customFormat="false" ht="12.8" hidden="false" customHeight="false" outlineLevel="0" collapsed="false">
      <c r="A21078" s="0" t="s">
        <v>8729</v>
      </c>
      <c r="B21078" s="0" t="str">
        <f aca="false">HYPERLINK("https://lindat.mff.cuni.cz/services/teitok/pdtc10/index.php?action=vallex&amp;frame=v-w2633f1", "odbývat se (v-w2633f1)")</f>
        <v>odbývat se (v-w2633f1)</v>
      </c>
    </row>
    <row r="21079" customFormat="false" ht="12.8" hidden="false" customHeight="false" outlineLevel="0" collapsed="false">
      <c r="B21079" s="0" t="s">
        <v>1</v>
      </c>
    </row>
    <row r="21081" customFormat="false" ht="12.8" hidden="false" customHeight="false" outlineLevel="0" collapsed="false">
      <c r="A21081" s="0" t="s">
        <v>8730</v>
      </c>
      <c r="B21081" s="0" t="str">
        <f aca="false">HYPERLINK("https://lindat.mff.cuni.cz/services/teitok/pdtc10/index.php?action=vallex&amp;frame=v-whsa_1219hsa_1220", "odběhnout (v-whsa_1219hsa_1220)")</f>
        <v>odběhnout (v-whsa_1219hsa_1220)</v>
      </c>
    </row>
    <row r="21082" customFormat="false" ht="12.8" hidden="false" customHeight="false" outlineLevel="0" collapsed="false">
      <c r="B21082" s="0" t="s">
        <v>1</v>
      </c>
    </row>
    <row r="21083" customFormat="false" ht="12.8" hidden="false" customHeight="false" outlineLevel="0" collapsed="false">
      <c r="B21083" s="0" t="s">
        <v>631</v>
      </c>
    </row>
    <row r="21085" customFormat="false" ht="12.8" hidden="false" customHeight="false" outlineLevel="0" collapsed="false">
      <c r="A21085" s="0" t="s">
        <v>8731</v>
      </c>
      <c r="B21085" s="0" t="str">
        <f aca="false">HYPERLINK("https://lindat.mff.cuni.cz/services/teitok/pdtc10/index.php?action=vallex&amp;frame=v-w2628f1", "odbřemenit (v-w2628f1)")</f>
        <v>odbřemenit (v-w2628f1)</v>
      </c>
    </row>
    <row r="21086" customFormat="false" ht="12.8" hidden="false" customHeight="false" outlineLevel="0" collapsed="false">
      <c r="B21086" s="0" t="s">
        <v>1</v>
      </c>
    </row>
    <row r="21087" customFormat="false" ht="12.8" hidden="false" customHeight="false" outlineLevel="0" collapsed="false">
      <c r="B21087" s="0" t="s">
        <v>8</v>
      </c>
    </row>
    <row r="21088" customFormat="false" ht="12.8" hidden="false" customHeight="false" outlineLevel="0" collapsed="false">
      <c r="B21088" s="0" t="s">
        <v>602</v>
      </c>
    </row>
    <row r="21090" customFormat="false" ht="12.8" hidden="false" customHeight="false" outlineLevel="0" collapsed="false">
      <c r="A21090" s="0" t="s">
        <v>8732</v>
      </c>
      <c r="B21090" s="0" t="str">
        <f aca="false">HYPERLINK("https://lindat.mff.cuni.cz/services/teitok/pdtc10/index.php?action=vallex&amp;frame=v-w2634f1", "odcentrovat (v-w2634f1)")</f>
        <v>odcentrovat (v-w2634f1)</v>
      </c>
    </row>
    <row r="21091" customFormat="false" ht="12.8" hidden="false" customHeight="false" outlineLevel="0" collapsed="false">
      <c r="B21091" s="0" t="s">
        <v>1</v>
      </c>
    </row>
    <row r="21092" customFormat="false" ht="12.8" hidden="false" customHeight="false" outlineLevel="0" collapsed="false">
      <c r="B21092" s="0" t="s">
        <v>8</v>
      </c>
    </row>
    <row r="21093" customFormat="false" ht="12.8" hidden="false" customHeight="false" outlineLevel="0" collapsed="false">
      <c r="B21093" s="0" t="s">
        <v>132</v>
      </c>
    </row>
    <row r="21095" customFormat="false" ht="12.8" hidden="false" customHeight="false" outlineLevel="0" collapsed="false">
      <c r="A21095" s="0" t="s">
        <v>8733</v>
      </c>
      <c r="B21095" s="0" t="str">
        <f aca="false">HYPERLINK("https://lindat.mff.cuni.cz/services/teitok/pdtc10/index.php?action=vallex&amp;frame=v-w2635f1", "odcestovat (v-w2635f1)")</f>
        <v>odcestovat (v-w2635f1)</v>
      </c>
    </row>
    <row r="21096" customFormat="false" ht="12.8" hidden="false" customHeight="false" outlineLevel="0" collapsed="false">
      <c r="B21096" s="0" t="s">
        <v>1</v>
      </c>
    </row>
    <row r="21097" customFormat="false" ht="12.8" hidden="false" customHeight="false" outlineLevel="0" collapsed="false">
      <c r="B21097" s="0" t="s">
        <v>631</v>
      </c>
    </row>
    <row r="21099" customFormat="false" ht="12.8" hidden="false" customHeight="false" outlineLevel="0" collapsed="false">
      <c r="A21099" s="0" t="s">
        <v>8734</v>
      </c>
      <c r="B21099" s="0" t="str">
        <f aca="false">HYPERLINK("https://lindat.mff.cuni.cz/services/teitok/pdtc10/index.php?action=vallex&amp;frame=v-w2720f1", "odchodit (v-w2720f1)")</f>
        <v>odchodit (v-w2720f1)</v>
      </c>
    </row>
    <row r="21100" customFormat="false" ht="12.8" hidden="false" customHeight="false" outlineLevel="0" collapsed="false">
      <c r="B21100" s="0" t="s">
        <v>1</v>
      </c>
    </row>
    <row r="21101" customFormat="false" ht="12.8" hidden="false" customHeight="false" outlineLevel="0" collapsed="false">
      <c r="B21101" s="0" t="s">
        <v>8</v>
      </c>
    </row>
    <row r="21103" customFormat="false" ht="12.8" hidden="false" customHeight="false" outlineLevel="0" collapsed="false">
      <c r="A21103" s="0" t="s">
        <v>8735</v>
      </c>
      <c r="B21103" s="0" t="str">
        <f aca="false">HYPERLINK("https://lindat.mff.cuni.cz/services/teitok/pdtc10/index.php?action=vallex&amp;frame=v-w2721f1", "odchovat (v-w2721f1)")</f>
        <v>odchovat (v-w2721f1)</v>
      </c>
    </row>
    <row r="21104" customFormat="false" ht="12.8" hidden="false" customHeight="false" outlineLevel="0" collapsed="false">
      <c r="B21104" s="0" t="s">
        <v>1</v>
      </c>
    </row>
    <row r="21105" customFormat="false" ht="12.8" hidden="false" customHeight="false" outlineLevel="0" collapsed="false">
      <c r="B21105" s="0" t="s">
        <v>8</v>
      </c>
    </row>
    <row r="21106" customFormat="false" ht="12.8" hidden="false" customHeight="false" outlineLevel="0" collapsed="false">
      <c r="B21106" s="0" t="s">
        <v>36</v>
      </c>
    </row>
    <row r="21108" customFormat="false" ht="12.8" hidden="false" customHeight="false" outlineLevel="0" collapsed="false">
      <c r="A21108" s="0" t="s">
        <v>8736</v>
      </c>
      <c r="B21108" s="0" t="str">
        <f aca="false">HYPERLINK("https://lindat.mff.cuni.cz/services/teitok/pdtc10/index.php?action=vallex&amp;frame=v-whsa_1778hsa_1779", "odchovávat (v-whsa_1778hsa_1779)")</f>
        <v>odchovávat (v-whsa_1778hsa_1779)</v>
      </c>
    </row>
    <row r="21109" customFormat="false" ht="12.8" hidden="false" customHeight="false" outlineLevel="0" collapsed="false">
      <c r="B21109" s="0" t="s">
        <v>1</v>
      </c>
    </row>
    <row r="21110" customFormat="false" ht="12.8" hidden="false" customHeight="false" outlineLevel="0" collapsed="false">
      <c r="B21110" s="0" t="s">
        <v>8</v>
      </c>
    </row>
    <row r="21112" customFormat="false" ht="12.8" hidden="false" customHeight="false" outlineLevel="0" collapsed="false">
      <c r="A21112" s="0" t="s">
        <v>8737</v>
      </c>
      <c r="B21112" s="0" t="str">
        <f aca="false">HYPERLINK("https://lindat.mff.cuni.cz/services/teitok/pdtc10/index.php?action=vallex&amp;frame=v-w2724f1", "odchylovat se (v-w2724f1)")</f>
        <v>odchylovat se (v-w2724f1)</v>
      </c>
      <c r="E21112" s="0" t="str">
        <f aca="false">HYPERLINK("https://lindat.mff.cuni.cz/services/SynSemClass40/SynSemClass40.html?veclass=vec00849#vec00849-ces-cm00010", "vec00849")</f>
        <v>vec00849</v>
      </c>
      <c r="F21112" s="0" t="s">
        <v>8738</v>
      </c>
    </row>
    <row r="21113" customFormat="false" ht="12.8" hidden="false" customHeight="false" outlineLevel="0" collapsed="false">
      <c r="B21113" s="0" t="s">
        <v>1</v>
      </c>
      <c r="C21113" s="0" t="s">
        <v>4114</v>
      </c>
      <c r="E21113" s="0" t="s">
        <v>957</v>
      </c>
      <c r="F21113" s="0" t="s">
        <v>8739</v>
      </c>
    </row>
    <row r="21114" customFormat="false" ht="12.8" hidden="false" customHeight="false" outlineLevel="0" collapsed="false">
      <c r="B21114" s="0" t="s">
        <v>26</v>
      </c>
      <c r="C21114" s="0" t="s">
        <v>462</v>
      </c>
      <c r="E21114" s="0" t="s">
        <v>1823</v>
      </c>
      <c r="F21114" s="0" t="s">
        <v>8740</v>
      </c>
    </row>
    <row r="21116" customFormat="false" ht="12.8" hidden="false" customHeight="false" outlineLevel="0" collapsed="false">
      <c r="A21116" s="0" t="s">
        <v>8741</v>
      </c>
      <c r="B21116" s="0" t="str">
        <f aca="false">HYPERLINK("https://lindat.mff.cuni.cz/services/teitok/pdtc10/index.php?action=vallex&amp;frame=v-w10287f2", "odchytit (v-w10287f2)")</f>
        <v>odchytit (v-w10287f2)</v>
      </c>
      <c r="E21116" s="0" t="str">
        <f aca="false">HYPERLINK("https://lindat.mff.cuni.cz/services/SynSemClass40/SynSemClass40.html?veclass=vec00374#vec00374-ces-cm00009", "vec00374")</f>
        <v>vec00374</v>
      </c>
      <c r="F21116" s="0" t="s">
        <v>8742</v>
      </c>
    </row>
    <row r="21117" customFormat="false" ht="12.8" hidden="false" customHeight="false" outlineLevel="0" collapsed="false">
      <c r="B21117" s="0" t="s">
        <v>1</v>
      </c>
      <c r="C21117" s="0" t="s">
        <v>3385</v>
      </c>
      <c r="E21117" s="0" t="s">
        <v>31</v>
      </c>
      <c r="F21117" s="0" t="s">
        <v>8743</v>
      </c>
    </row>
    <row r="21118" customFormat="false" ht="12.8" hidden="false" customHeight="false" outlineLevel="0" collapsed="false">
      <c r="B21118" s="0" t="s">
        <v>8</v>
      </c>
      <c r="C21118" s="0" t="s">
        <v>571</v>
      </c>
      <c r="E21118" s="0" t="s">
        <v>8744</v>
      </c>
      <c r="F21118" s="0" t="s">
        <v>8745</v>
      </c>
    </row>
    <row r="21120" customFormat="false" ht="12.8" hidden="false" customHeight="false" outlineLevel="0" collapsed="false">
      <c r="A21120" s="0" t="s">
        <v>8746</v>
      </c>
      <c r="B21120" s="0" t="str">
        <f aca="false">HYPERLINK("https://lindat.mff.cuni.cz/services/teitok/pdtc10/index.php?action=vallex&amp;frame=v-w10287f3_ZU", "odchytit (v-w10287f3_ZU)")</f>
        <v>odchytit (v-w10287f3_ZU)</v>
      </c>
    </row>
    <row r="21121" customFormat="false" ht="12.8" hidden="false" customHeight="false" outlineLevel="0" collapsed="false">
      <c r="B21121" s="0" t="s">
        <v>1</v>
      </c>
    </row>
    <row r="21122" customFormat="false" ht="12.8" hidden="false" customHeight="false" outlineLevel="0" collapsed="false">
      <c r="B21122" s="0" t="s">
        <v>8</v>
      </c>
    </row>
    <row r="21124" customFormat="false" ht="12.8" hidden="false" customHeight="false" outlineLevel="0" collapsed="false">
      <c r="A21124" s="0" t="s">
        <v>8747</v>
      </c>
      <c r="B21124" s="0" t="str">
        <f aca="false">HYPERLINK("https://lindat.mff.cuni.cz/services/teitok/pdtc10/index.php?action=vallex&amp;frame=v-whsa_1732f1_ZU", "odchytnout (v-whsa_1732f1_ZU)")</f>
        <v>odchytnout (v-whsa_1732f1_ZU)</v>
      </c>
    </row>
    <row r="21125" customFormat="false" ht="12.8" hidden="false" customHeight="false" outlineLevel="0" collapsed="false">
      <c r="B21125" s="0" t="s">
        <v>1</v>
      </c>
    </row>
    <row r="21126" customFormat="false" ht="12.8" hidden="false" customHeight="false" outlineLevel="0" collapsed="false">
      <c r="B21126" s="0" t="s">
        <v>8</v>
      </c>
    </row>
    <row r="21128" customFormat="false" ht="12.8" hidden="false" customHeight="false" outlineLevel="0" collapsed="false">
      <c r="A21128" s="0" t="s">
        <v>8748</v>
      </c>
      <c r="B21128" s="0" t="str">
        <f aca="false">HYPERLINK("https://lindat.mff.cuni.cz/services/teitok/pdtc10/index.php?action=vallex&amp;frame=v-whsa_1732hsa_1733", "odchytnout (v-whsa_1732hsa_1733)")</f>
        <v>odchytnout (v-whsa_1732hsa_1733)</v>
      </c>
    </row>
    <row r="21129" customFormat="false" ht="12.8" hidden="false" customHeight="false" outlineLevel="0" collapsed="false">
      <c r="B21129" s="0" t="s">
        <v>1</v>
      </c>
    </row>
    <row r="21130" customFormat="false" ht="12.8" hidden="false" customHeight="false" outlineLevel="0" collapsed="false">
      <c r="B21130" s="0" t="s">
        <v>8</v>
      </c>
    </row>
    <row r="21132" customFormat="false" ht="12.8" hidden="false" customHeight="false" outlineLevel="0" collapsed="false">
      <c r="A21132" s="0" t="s">
        <v>8749</v>
      </c>
      <c r="B21132" s="0" t="str">
        <f aca="false">HYPERLINK("https://lindat.mff.cuni.cz/services/teitok/pdtc10/index.php?action=vallex&amp;frame=v-w2718f5_ZU", "odcházet (v-w2718f5_ZU)")</f>
        <v>odcházet (v-w2718f5_ZU)</v>
      </c>
    </row>
    <row r="21133" customFormat="false" ht="12.8" hidden="false" customHeight="false" outlineLevel="0" collapsed="false">
      <c r="B21133" s="0" t="s">
        <v>1</v>
      </c>
    </row>
    <row r="21134" customFormat="false" ht="12.8" hidden="false" customHeight="false" outlineLevel="0" collapsed="false">
      <c r="B21134" s="0" t="s">
        <v>631</v>
      </c>
    </row>
    <row r="21136" customFormat="false" ht="12.8" hidden="false" customHeight="false" outlineLevel="0" collapsed="false">
      <c r="A21136" s="0" t="s">
        <v>8749</v>
      </c>
      <c r="B21136" s="0" t="str">
        <f aca="false">HYPERLINK("https://lindat.mff.cuni.cz/services/teitok/pdtc10/index.php?action=vallex&amp;frame=v-w2718f1", "odcházet (v-w2718f1) - substituted with v-w2718f5_ZU")</f>
        <v>odcházet (v-w2718f1) - substituted with v-w2718f5_ZU</v>
      </c>
      <c r="E21136" s="0" t="str">
        <f aca="false">HYPERLINK("https://lindat.mff.cuni.cz/services/SynSemClass40/SynSemClass40.html?veclass=vec00048#vec00048-ces-cm00054", "vec00048")</f>
        <v>vec00048</v>
      </c>
      <c r="F21136" s="0" t="s">
        <v>1945</v>
      </c>
    </row>
    <row r="21137" customFormat="false" ht="12.8" hidden="false" customHeight="false" outlineLevel="0" collapsed="false">
      <c r="B21137" s="0" t="s">
        <v>1</v>
      </c>
      <c r="C21137" s="0" t="s">
        <v>1946</v>
      </c>
      <c r="E21137" s="0" t="s">
        <v>334</v>
      </c>
      <c r="F21137" s="0" t="s">
        <v>1947</v>
      </c>
    </row>
    <row r="21138" customFormat="false" ht="12.8" hidden="false" customHeight="false" outlineLevel="0" collapsed="false">
      <c r="B21138" s="0" t="s">
        <v>631</v>
      </c>
      <c r="C21138" s="0" t="s">
        <v>1948</v>
      </c>
      <c r="E21138" s="0" t="s">
        <v>1949</v>
      </c>
      <c r="F21138" s="0" t="s">
        <v>1950</v>
      </c>
    </row>
    <row r="21140" customFormat="false" ht="12.8" hidden="false" customHeight="false" outlineLevel="0" collapsed="false">
      <c r="A21140" s="0" t="s">
        <v>8750</v>
      </c>
      <c r="B21140" s="0" t="str">
        <f aca="false">HYPERLINK("https://lindat.mff.cuni.cz/services/teitok/pdtc10/index.php?action=vallex&amp;frame=v-w2718f3_ZU", "odcházet (v-w2718f3_ZU)")</f>
        <v>odcházet (v-w2718f3_ZU)</v>
      </c>
    </row>
    <row r="21141" customFormat="false" ht="12.8" hidden="false" customHeight="false" outlineLevel="0" collapsed="false">
      <c r="B21141" s="0" t="s">
        <v>1</v>
      </c>
    </row>
    <row r="21142" customFormat="false" ht="12.8" hidden="false" customHeight="false" outlineLevel="0" collapsed="false">
      <c r="B21142" s="0" t="s">
        <v>361</v>
      </c>
    </row>
    <row r="21144" customFormat="false" ht="12.8" hidden="false" customHeight="false" outlineLevel="0" collapsed="false">
      <c r="A21144" s="0" t="s">
        <v>8750</v>
      </c>
      <c r="B21144" s="0" t="str">
        <f aca="false">HYPERLINK("https://lindat.mff.cuni.cz/services/teitok/pdtc10/index.php?action=vallex&amp;frame=v-w2718f2_ZU", "odcházet (v-w2718f2_ZU) - substituted with v-w2718f3_ZU")</f>
        <v>odcházet (v-w2718f2_ZU) - substituted with v-w2718f3_ZU</v>
      </c>
    </row>
    <row r="21145" customFormat="false" ht="12.8" hidden="false" customHeight="false" outlineLevel="0" collapsed="false">
      <c r="B21145" s="0" t="s">
        <v>1</v>
      </c>
    </row>
    <row r="21146" customFormat="false" ht="12.8" hidden="false" customHeight="false" outlineLevel="0" collapsed="false">
      <c r="B21146" s="0" t="s">
        <v>361</v>
      </c>
    </row>
    <row r="21148" customFormat="false" ht="12.8" hidden="false" customHeight="false" outlineLevel="0" collapsed="false">
      <c r="A21148" s="0" t="s">
        <v>8751</v>
      </c>
      <c r="B21148" s="0" t="str">
        <f aca="false">HYPERLINK("https://lindat.mff.cuni.cz/services/teitok/pdtc10/index.php?action=vallex&amp;frame=v-w2718f4_ZU", "odcházet (v-w2718f4_ZU)")</f>
        <v>odcházet (v-w2718f4_ZU)</v>
      </c>
    </row>
    <row r="21149" customFormat="false" ht="12.8" hidden="false" customHeight="false" outlineLevel="0" collapsed="false">
      <c r="B21149" s="0" t="s">
        <v>1</v>
      </c>
    </row>
    <row r="21150" customFormat="false" ht="12.8" hidden="false" customHeight="false" outlineLevel="0" collapsed="false">
      <c r="B21150" s="0" t="s">
        <v>2814</v>
      </c>
    </row>
    <row r="21152" customFormat="false" ht="12.8" hidden="false" customHeight="false" outlineLevel="0" collapsed="false">
      <c r="A21152" s="0" t="s">
        <v>8752</v>
      </c>
      <c r="B21152" s="0" t="str">
        <f aca="false">HYPERLINK("https://lindat.mff.cuni.cz/services/teitok/pdtc10/index.php?action=vallex&amp;frame=v-w2718hsa_331", "odcházet (v-w2718hsa_331)")</f>
        <v>odcházet (v-w2718hsa_331)</v>
      </c>
    </row>
    <row r="21153" customFormat="false" ht="12.8" hidden="false" customHeight="false" outlineLevel="0" collapsed="false">
      <c r="B21153" s="0" t="s">
        <v>1</v>
      </c>
    </row>
    <row r="21155" customFormat="false" ht="12.8" hidden="false" customHeight="false" outlineLevel="0" collapsed="false">
      <c r="A21155" s="0" t="s">
        <v>8753</v>
      </c>
      <c r="B21155" s="0" t="str">
        <f aca="false">HYPERLINK("https://lindat.mff.cuni.cz/services/teitok/pdtc10/index.php?action=vallex&amp;frame=v-whsa_1326hsa_1327", "odcházívávat (v-whsa_1326hsa_1327)")</f>
        <v>odcházívávat (v-whsa_1326hsa_1327)</v>
      </c>
    </row>
    <row r="21156" customFormat="false" ht="12.8" hidden="false" customHeight="false" outlineLevel="0" collapsed="false">
      <c r="B21156" s="0" t="s">
        <v>1</v>
      </c>
    </row>
    <row r="21157" customFormat="false" ht="12.8" hidden="false" customHeight="false" outlineLevel="0" collapsed="false">
      <c r="B21157" s="0" t="s">
        <v>631</v>
      </c>
    </row>
    <row r="21159" customFormat="false" ht="12.8" hidden="false" customHeight="false" outlineLevel="0" collapsed="false">
      <c r="A21159" s="0" t="s">
        <v>8754</v>
      </c>
      <c r="B21159" s="0" t="str">
        <f aca="false">HYPERLINK("https://lindat.mff.cuni.cz/services/teitok/pdtc10/index.php?action=vallex&amp;frame=v-w11255f4_ZU", "odchýlit se (v-w11255f4_ZU)")</f>
        <v>odchýlit se (v-w11255f4_ZU)</v>
      </c>
      <c r="E21159" s="0" t="str">
        <f aca="false">HYPERLINK("https://lindat.mff.cuni.cz/services/SynSemClass40/SynSemClass40.html?veclass=vec00849#vec00849-ces-cm00001", "vec00849")</f>
        <v>vec00849</v>
      </c>
      <c r="F21159" s="0" t="s">
        <v>8738</v>
      </c>
      <c r="H21159" s="0" t="str">
        <f aca="false">HYPERLINK("https://lindat.mff.cuni.cz/services/SynSemClass40/SynSemClass40.html?veclass=vec01227#vec01227-ces-cm00005", "vec01227")</f>
        <v>vec01227</v>
      </c>
      <c r="I21159" s="0" t="s">
        <v>6260</v>
      </c>
    </row>
    <row r="21160" customFormat="false" ht="12.8" hidden="false" customHeight="false" outlineLevel="0" collapsed="false">
      <c r="B21160" s="0" t="s">
        <v>1</v>
      </c>
      <c r="C21160" s="0" t="s">
        <v>3288</v>
      </c>
      <c r="E21160" s="0" t="s">
        <v>957</v>
      </c>
      <c r="F21160" s="0" t="s">
        <v>8739</v>
      </c>
      <c r="H21160" s="0" t="s">
        <v>4581</v>
      </c>
      <c r="I21160" s="0" t="s">
        <v>6261</v>
      </c>
    </row>
    <row r="21161" customFormat="false" ht="12.8" hidden="false" customHeight="false" outlineLevel="0" collapsed="false">
      <c r="B21161" s="0" t="s">
        <v>8755</v>
      </c>
      <c r="C21161" s="0" t="s">
        <v>449</v>
      </c>
      <c r="E21161" s="0" t="s">
        <v>1823</v>
      </c>
      <c r="F21161" s="0" t="s">
        <v>8740</v>
      </c>
      <c r="H21161" s="0" t="s">
        <v>384</v>
      </c>
      <c r="I21161" s="0" t="s">
        <v>6262</v>
      </c>
    </row>
    <row r="21163" customFormat="false" ht="12.8" hidden="false" customHeight="false" outlineLevel="0" collapsed="false">
      <c r="A21163" s="0" t="s">
        <v>8754</v>
      </c>
      <c r="B21163" s="0" t="str">
        <f aca="false">HYPERLINK("https://lindat.mff.cuni.cz/services/teitok/pdtc10/index.php?action=vallex&amp;frame=v-w11255f3", "odchýlit se (v-w11255f3) - substituted with v-w11255f4_ZU")</f>
        <v>odchýlit se (v-w11255f3) - substituted with v-w11255f4_ZU</v>
      </c>
    </row>
    <row r="21164" customFormat="false" ht="12.8" hidden="false" customHeight="false" outlineLevel="0" collapsed="false">
      <c r="B21164" s="0" t="s">
        <v>1</v>
      </c>
    </row>
    <row r="21165" customFormat="false" ht="12.8" hidden="false" customHeight="false" outlineLevel="0" collapsed="false">
      <c r="B21165" s="0" t="s">
        <v>8755</v>
      </c>
    </row>
    <row r="21167" customFormat="false" ht="12.8" hidden="false" customHeight="false" outlineLevel="0" collapsed="false">
      <c r="A21167" s="0" t="s">
        <v>8756</v>
      </c>
      <c r="B21167" s="0" t="str">
        <f aca="false">HYPERLINK("https://lindat.mff.cuni.cz/services/teitok/pdtc10/index.php?action=vallex&amp;frame=v-w11255f1", "odchýlit se (v-w11255f1)")</f>
        <v>odchýlit se (v-w11255f1)</v>
      </c>
    </row>
    <row r="21168" customFormat="false" ht="12.8" hidden="false" customHeight="false" outlineLevel="0" collapsed="false">
      <c r="B21168" s="0" t="s">
        <v>1</v>
      </c>
    </row>
    <row r="21169" customFormat="false" ht="12.8" hidden="false" customHeight="false" outlineLevel="0" collapsed="false">
      <c r="B21169" s="0" t="s">
        <v>631</v>
      </c>
    </row>
    <row r="21171" customFormat="false" ht="12.8" hidden="false" customHeight="false" outlineLevel="0" collapsed="false">
      <c r="A21171" s="0" t="s">
        <v>8757</v>
      </c>
      <c r="B21171" s="0" t="str">
        <f aca="false">HYPERLINK("https://lindat.mff.cuni.cz/services/teitok/pdtc10/index.php?action=vallex&amp;frame=v-w2637f1", "odcizit (v-w2637f1)")</f>
        <v>odcizit (v-w2637f1)</v>
      </c>
      <c r="E21171" s="0" t="str">
        <f aca="false">HYPERLINK("https://lindat.mff.cuni.cz/services/SynSemClass40/SynSemClass40.html?veclass=vec00704#vec00704-ces-cm00061", "vec00704")</f>
        <v>vec00704</v>
      </c>
      <c r="F21171" s="0" t="s">
        <v>588</v>
      </c>
      <c r="H21171" s="0" t="str">
        <f aca="false">HYPERLINK("https://lindat.mff.cuni.cz/services/SynSemClass40/SynSemClass40.html?veclass=vec01425#vec01425-ces-cm00005", "vec01425")</f>
        <v>vec01425</v>
      </c>
      <c r="I21171" s="0" t="s">
        <v>589</v>
      </c>
    </row>
    <row r="21172" customFormat="false" ht="12.8" hidden="false" customHeight="false" outlineLevel="0" collapsed="false">
      <c r="B21172" s="0" t="s">
        <v>1</v>
      </c>
      <c r="C21172" s="0" t="s">
        <v>590</v>
      </c>
      <c r="E21172" s="0" t="s">
        <v>31</v>
      </c>
      <c r="F21172" s="0" t="s">
        <v>591</v>
      </c>
      <c r="H21172" s="0" t="s">
        <v>31</v>
      </c>
      <c r="I21172" s="0" t="s">
        <v>592</v>
      </c>
    </row>
    <row r="21173" customFormat="false" ht="12.8" hidden="false" customHeight="false" outlineLevel="0" collapsed="false">
      <c r="B21173" s="0" t="s">
        <v>8</v>
      </c>
      <c r="C21173" s="0" t="s">
        <v>593</v>
      </c>
      <c r="E21173" s="0" t="s">
        <v>594</v>
      </c>
      <c r="F21173" s="0" t="s">
        <v>595</v>
      </c>
      <c r="H21173" s="0" t="s">
        <v>594</v>
      </c>
      <c r="I21173" s="0" t="s">
        <v>596</v>
      </c>
    </row>
    <row r="21174" customFormat="false" ht="12.8" hidden="false" customHeight="false" outlineLevel="0" collapsed="false">
      <c r="B21174" s="0" t="s">
        <v>52</v>
      </c>
      <c r="C21174" s="0" t="s">
        <v>597</v>
      </c>
      <c r="E21174" s="0" t="s">
        <v>598</v>
      </c>
      <c r="F21174" s="0" t="s">
        <v>599</v>
      </c>
      <c r="H21174" s="0" t="s">
        <v>598</v>
      </c>
      <c r="I21174" s="0" t="s">
        <v>600</v>
      </c>
    </row>
    <row r="21176" customFormat="false" ht="12.8" hidden="false" customHeight="false" outlineLevel="0" collapsed="false">
      <c r="A21176" s="0" t="s">
        <v>8758</v>
      </c>
      <c r="B21176" s="0" t="str">
        <f aca="false">HYPERLINK("https://lindat.mff.cuni.cz/services/teitok/pdtc10/index.php?action=vallex&amp;frame=v-w2637f2", "odcizit (v-w2637f2)")</f>
        <v>odcizit (v-w2637f2)</v>
      </c>
    </row>
    <row r="21177" customFormat="false" ht="12.8" hidden="false" customHeight="false" outlineLevel="0" collapsed="false">
      <c r="B21177" s="0" t="s">
        <v>1</v>
      </c>
    </row>
    <row r="21178" customFormat="false" ht="12.8" hidden="false" customHeight="false" outlineLevel="0" collapsed="false">
      <c r="B21178" s="0" t="s">
        <v>8</v>
      </c>
    </row>
    <row r="21179" customFormat="false" ht="12.8" hidden="false" customHeight="false" outlineLevel="0" collapsed="false">
      <c r="B21179" s="0" t="s">
        <v>602</v>
      </c>
    </row>
    <row r="21181" customFormat="false" ht="12.8" hidden="false" customHeight="false" outlineLevel="0" collapsed="false">
      <c r="A21181" s="0" t="s">
        <v>8759</v>
      </c>
      <c r="B21181" s="0" t="str">
        <f aca="false">HYPERLINK("https://lindat.mff.cuni.cz/services/teitok/pdtc10/index.php?action=vallex&amp;frame=v-w11660_ZUf1_ZU", "odcizit se (v-w11660_ZUf1_ZU)")</f>
        <v>odcizit se (v-w11660_ZUf1_ZU)</v>
      </c>
    </row>
    <row r="21182" customFormat="false" ht="12.8" hidden="false" customHeight="false" outlineLevel="0" collapsed="false">
      <c r="B21182" s="0" t="s">
        <v>1</v>
      </c>
    </row>
    <row r="21183" customFormat="false" ht="12.8" hidden="false" customHeight="false" outlineLevel="0" collapsed="false">
      <c r="B21183" s="0" t="s">
        <v>186</v>
      </c>
    </row>
    <row r="21185" customFormat="false" ht="12.8" hidden="false" customHeight="false" outlineLevel="0" collapsed="false">
      <c r="A21185" s="0" t="s">
        <v>8760</v>
      </c>
      <c r="B21185" s="0" t="str">
        <f aca="false">HYPERLINK("https://lindat.mff.cuni.cz/services/teitok/pdtc10/index.php?action=vallex&amp;frame=v-w2638f1", "odcizit si (v-w2638f1)")</f>
        <v>odcizit si (v-w2638f1)</v>
      </c>
    </row>
    <row r="21186" customFormat="false" ht="12.8" hidden="false" customHeight="false" outlineLevel="0" collapsed="false">
      <c r="B21186" s="0" t="s">
        <v>1</v>
      </c>
    </row>
    <row r="21187" customFormat="false" ht="12.8" hidden="false" customHeight="false" outlineLevel="0" collapsed="false">
      <c r="B21187" s="0" t="s">
        <v>8</v>
      </c>
    </row>
    <row r="21189" customFormat="false" ht="12.8" hidden="false" customHeight="false" outlineLevel="0" collapsed="false">
      <c r="A21189" s="0" t="s">
        <v>8761</v>
      </c>
      <c r="B21189" s="0" t="str">
        <f aca="false">HYPERLINK("https://lindat.mff.cuni.cz/services/teitok/pdtc10/index.php?action=vallex&amp;frame=v-w2640f1", "odcizovat (v-w2640f1)")</f>
        <v>odcizovat (v-w2640f1)</v>
      </c>
    </row>
    <row r="21190" customFormat="false" ht="12.8" hidden="false" customHeight="false" outlineLevel="0" collapsed="false">
      <c r="B21190" s="0" t="s">
        <v>1</v>
      </c>
    </row>
    <row r="21191" customFormat="false" ht="12.8" hidden="false" customHeight="false" outlineLevel="0" collapsed="false">
      <c r="B21191" s="0" t="s">
        <v>8</v>
      </c>
    </row>
    <row r="21192" customFormat="false" ht="12.8" hidden="false" customHeight="false" outlineLevel="0" collapsed="false">
      <c r="B21192" s="0" t="s">
        <v>602</v>
      </c>
    </row>
    <row r="21194" customFormat="false" ht="12.8" hidden="false" customHeight="false" outlineLevel="0" collapsed="false">
      <c r="A21194" s="0" t="s">
        <v>8762</v>
      </c>
      <c r="B21194" s="0" t="str">
        <f aca="false">HYPERLINK("https://lindat.mff.cuni.cz/services/teitok/pdtc10/index.php?action=vallex&amp;frame=v-whsa_620hsa_621", "odcvičit (v-whsa_620hsa_621)")</f>
        <v>odcvičit (v-whsa_620hsa_621)</v>
      </c>
    </row>
    <row r="21195" customFormat="false" ht="12.8" hidden="false" customHeight="false" outlineLevel="0" collapsed="false">
      <c r="B21195" s="0" t="s">
        <v>1</v>
      </c>
    </row>
    <row r="21196" customFormat="false" ht="12.8" hidden="false" customHeight="false" outlineLevel="0" collapsed="false">
      <c r="B21196" s="0" t="s">
        <v>8</v>
      </c>
    </row>
    <row r="21198" customFormat="false" ht="12.8" hidden="false" customHeight="false" outlineLevel="0" collapsed="false">
      <c r="A21198" s="0" t="s">
        <v>8763</v>
      </c>
      <c r="B21198" s="0" t="str">
        <f aca="false">HYPERLINK("https://lindat.mff.cuni.cz/services/teitok/pdtc10/index.php?action=vallex&amp;frame=v-w2651f2", "oddalovat (v-w2651f2)")</f>
        <v>oddalovat (v-w2651f2)</v>
      </c>
    </row>
    <row r="21199" customFormat="false" ht="12.8" hidden="false" customHeight="false" outlineLevel="0" collapsed="false">
      <c r="B21199" s="0" t="s">
        <v>1</v>
      </c>
    </row>
    <row r="21200" customFormat="false" ht="12.8" hidden="false" customHeight="false" outlineLevel="0" collapsed="false">
      <c r="B21200" s="0" t="s">
        <v>8</v>
      </c>
    </row>
    <row r="21201" customFormat="false" ht="12.8" hidden="false" customHeight="false" outlineLevel="0" collapsed="false">
      <c r="B21201" s="0" t="s">
        <v>602</v>
      </c>
    </row>
    <row r="21203" customFormat="false" ht="12.8" hidden="false" customHeight="false" outlineLevel="0" collapsed="false">
      <c r="A21203" s="0" t="s">
        <v>8764</v>
      </c>
      <c r="B21203" s="0" t="str">
        <f aca="false">HYPERLINK("https://lindat.mff.cuni.cz/services/teitok/pdtc10/index.php?action=vallex&amp;frame=v-w2651f1", "oddalovat (v-w2651f1)")</f>
        <v>oddalovat (v-w2651f1)</v>
      </c>
      <c r="E21203" s="0" t="str">
        <f aca="false">HYPERLINK("https://lindat.mff.cuni.cz/services/SynSemClass40/SynSemClass40.html?veclass=vec00486#vec00486-ces-cm00020", "vec00486")</f>
        <v>vec00486</v>
      </c>
      <c r="F21203" s="0" t="s">
        <v>542</v>
      </c>
      <c r="H21203" s="0" t="str">
        <f aca="false">HYPERLINK("https://lindat.mff.cuni.cz/services/SynSemClass40/SynSemClass40.html?veclass=vec01284#vec01284-ces-cm00018", "vec01284")</f>
        <v>vec01284</v>
      </c>
      <c r="I21203" s="0" t="s">
        <v>8765</v>
      </c>
    </row>
    <row r="21204" customFormat="false" ht="12.8" hidden="false" customHeight="false" outlineLevel="0" collapsed="false">
      <c r="B21204" s="0" t="s">
        <v>1</v>
      </c>
      <c r="C21204" s="0" t="s">
        <v>8766</v>
      </c>
      <c r="E21204" s="0" t="s">
        <v>206</v>
      </c>
      <c r="F21204" s="0" t="s">
        <v>544</v>
      </c>
      <c r="H21204" s="0" t="s">
        <v>84</v>
      </c>
      <c r="I21204" s="0" t="s">
        <v>8767</v>
      </c>
    </row>
    <row r="21205" customFormat="false" ht="12.8" hidden="false" customHeight="false" outlineLevel="0" collapsed="false">
      <c r="B21205" s="0" t="s">
        <v>8</v>
      </c>
      <c r="C21205" s="0" t="s">
        <v>8768</v>
      </c>
      <c r="E21205" s="0" t="s">
        <v>79</v>
      </c>
      <c r="F21205" s="0" t="s">
        <v>546</v>
      </c>
      <c r="H21205" s="0" t="s">
        <v>87</v>
      </c>
      <c r="I21205" s="0" t="s">
        <v>8769</v>
      </c>
    </row>
    <row r="21207" customFormat="false" ht="12.8" hidden="false" customHeight="false" outlineLevel="0" collapsed="false">
      <c r="A21207" s="0" t="s">
        <v>8770</v>
      </c>
      <c r="B21207" s="0" t="str">
        <f aca="false">HYPERLINK("https://lindat.mff.cuni.cz/services/teitok/pdtc10/index.php?action=vallex&amp;frame=v-w2654f1", "oddat (v-w2654f1)")</f>
        <v>oddat (v-w2654f1)</v>
      </c>
    </row>
    <row r="21208" customFormat="false" ht="12.8" hidden="false" customHeight="false" outlineLevel="0" collapsed="false">
      <c r="B21208" s="0" t="s">
        <v>1</v>
      </c>
    </row>
    <row r="21209" customFormat="false" ht="12.8" hidden="false" customHeight="false" outlineLevel="0" collapsed="false">
      <c r="B21209" s="0" t="s">
        <v>8</v>
      </c>
    </row>
    <row r="21211" customFormat="false" ht="12.8" hidden="false" customHeight="false" outlineLevel="0" collapsed="false">
      <c r="A21211" s="0" t="s">
        <v>8771</v>
      </c>
      <c r="B21211" s="0" t="str">
        <f aca="false">HYPERLINK("https://lindat.mff.cuni.cz/services/teitok/pdtc10/index.php?action=vallex&amp;frame=v-w2655f1", "oddat se (v-w2655f1)")</f>
        <v>oddat se (v-w2655f1)</v>
      </c>
      <c r="E21211" s="0" t="str">
        <f aca="false">HYPERLINK("https://lindat.mff.cuni.cz/services/SynSemClass40/SynSemClass40.html?veclass=vec01458#vec01458-ces-cm00003", "vec01458")</f>
        <v>vec01458</v>
      </c>
      <c r="F21211" s="0" t="s">
        <v>127</v>
      </c>
    </row>
    <row r="21212" customFormat="false" ht="12.8" hidden="false" customHeight="false" outlineLevel="0" collapsed="false">
      <c r="B21212" s="0" t="s">
        <v>1</v>
      </c>
      <c r="C21212" s="0" t="s">
        <v>285</v>
      </c>
      <c r="E21212" s="0" t="s">
        <v>31</v>
      </c>
      <c r="F21212" s="0" t="s">
        <v>130</v>
      </c>
    </row>
    <row r="21213" customFormat="false" ht="12.8" hidden="false" customHeight="false" outlineLevel="0" collapsed="false">
      <c r="B21213" s="0" t="s">
        <v>186</v>
      </c>
      <c r="C21213" s="0" t="s">
        <v>287</v>
      </c>
      <c r="E21213" s="0" t="s">
        <v>14</v>
      </c>
      <c r="F21213" s="0" t="s">
        <v>288</v>
      </c>
    </row>
    <row r="21215" customFormat="false" ht="12.8" hidden="false" customHeight="false" outlineLevel="0" collapsed="false">
      <c r="A21215" s="0" t="s">
        <v>8772</v>
      </c>
      <c r="B21215" s="0" t="str">
        <f aca="false">HYPERLINK("https://lindat.mff.cuni.cz/services/teitok/pdtc10/index.php?action=vallex&amp;frame=v-w2657f2", "oddechnout si (v-w2657f2)")</f>
        <v>oddechnout si (v-w2657f2)</v>
      </c>
    </row>
    <row r="21216" customFormat="false" ht="12.8" hidden="false" customHeight="false" outlineLevel="0" collapsed="false">
      <c r="B21216" s="0" t="s">
        <v>1</v>
      </c>
    </row>
    <row r="21217" customFormat="false" ht="12.8" hidden="false" customHeight="false" outlineLevel="0" collapsed="false">
      <c r="B21217" s="0" t="s">
        <v>26</v>
      </c>
    </row>
    <row r="21219" customFormat="false" ht="12.8" hidden="false" customHeight="false" outlineLevel="0" collapsed="false">
      <c r="A21219" s="0" t="s">
        <v>8773</v>
      </c>
      <c r="B21219" s="0" t="str">
        <f aca="false">HYPERLINK("https://lindat.mff.cuni.cz/services/teitok/pdtc10/index.php?action=vallex&amp;frame=v-w2657f1", "oddechnout si (v-w2657f1)")</f>
        <v>oddechnout si (v-w2657f1)</v>
      </c>
    </row>
    <row r="21220" customFormat="false" ht="12.8" hidden="false" customHeight="false" outlineLevel="0" collapsed="false">
      <c r="B21220" s="0" t="s">
        <v>1</v>
      </c>
    </row>
    <row r="21222" customFormat="false" ht="12.8" hidden="false" customHeight="false" outlineLevel="0" collapsed="false">
      <c r="A21222" s="0" t="s">
        <v>8774</v>
      </c>
      <c r="B21222" s="0" t="str">
        <f aca="false">HYPERLINK("https://lindat.mff.cuni.cz/services/teitok/pdtc10/index.php?action=vallex&amp;frame=v-w2667f1", "oddychnout si (v-w2667f1)")</f>
        <v>oddychnout si (v-w2667f1)</v>
      </c>
    </row>
    <row r="21223" customFormat="false" ht="12.8" hidden="false" customHeight="false" outlineLevel="0" collapsed="false">
      <c r="B21223" s="0" t="s">
        <v>1</v>
      </c>
    </row>
    <row r="21225" customFormat="false" ht="12.8" hidden="false" customHeight="false" outlineLevel="0" collapsed="false">
      <c r="A21225" s="0" t="s">
        <v>8775</v>
      </c>
      <c r="B21225" s="0" t="str">
        <f aca="false">HYPERLINK("https://lindat.mff.cuni.cz/services/teitok/pdtc10/index.php?action=vallex&amp;frame=v-w2667hsa_1714", "oddychnout si (v-w2667hsa_1714)")</f>
        <v>oddychnout si (v-w2667hsa_1714)</v>
      </c>
    </row>
    <row r="21226" customFormat="false" ht="12.8" hidden="false" customHeight="false" outlineLevel="0" collapsed="false">
      <c r="B21226" s="0" t="s">
        <v>1</v>
      </c>
    </row>
    <row r="21228" customFormat="false" ht="12.8" hidden="false" customHeight="false" outlineLevel="0" collapsed="false">
      <c r="A21228" s="0" t="s">
        <v>8776</v>
      </c>
      <c r="B21228" s="0" t="str">
        <f aca="false">HYPERLINK("https://lindat.mff.cuni.cz/services/teitok/pdtc10/index.php?action=vallex&amp;frame=v-w2668f1", "oddychovat (v-w2668f1)")</f>
        <v>oddychovat (v-w2668f1)</v>
      </c>
    </row>
    <row r="21229" customFormat="false" ht="12.8" hidden="false" customHeight="false" outlineLevel="0" collapsed="false">
      <c r="B21229" s="0" t="s">
        <v>1</v>
      </c>
    </row>
    <row r="21231" customFormat="false" ht="12.8" hidden="false" customHeight="false" outlineLevel="0" collapsed="false">
      <c r="A21231" s="0" t="s">
        <v>8777</v>
      </c>
      <c r="B21231" s="0" t="str">
        <f aca="false">HYPERLINK("https://lindat.mff.cuni.cz/services/teitok/pdtc10/index.php?action=vallex&amp;frame=v-w2668f2", "oddychovat (v-w2668f2)")</f>
        <v>oddychovat (v-w2668f2)</v>
      </c>
    </row>
    <row r="21232" customFormat="false" ht="12.8" hidden="false" customHeight="false" outlineLevel="0" collapsed="false">
      <c r="B21232" s="0" t="s">
        <v>1</v>
      </c>
    </row>
    <row r="21234" customFormat="false" ht="12.8" hidden="false" customHeight="false" outlineLevel="0" collapsed="false">
      <c r="A21234" s="0" t="s">
        <v>8778</v>
      </c>
      <c r="B21234" s="0" t="str">
        <f aca="false">HYPERLINK("https://lindat.mff.cuni.cz/services/teitok/pdtc10/index.php?action=vallex&amp;frame=v-w2648f2", "oddálit (v-w2648f2)")</f>
        <v>oddálit (v-w2648f2)</v>
      </c>
    </row>
    <row r="21235" customFormat="false" ht="12.8" hidden="false" customHeight="false" outlineLevel="0" collapsed="false">
      <c r="B21235" s="0" t="s">
        <v>1</v>
      </c>
    </row>
    <row r="21236" customFormat="false" ht="12.8" hidden="false" customHeight="false" outlineLevel="0" collapsed="false">
      <c r="B21236" s="0" t="s">
        <v>8</v>
      </c>
    </row>
    <row r="21237" customFormat="false" ht="12.8" hidden="false" customHeight="false" outlineLevel="0" collapsed="false">
      <c r="B21237" s="0" t="s">
        <v>602</v>
      </c>
    </row>
    <row r="21239" customFormat="false" ht="12.8" hidden="false" customHeight="false" outlineLevel="0" collapsed="false">
      <c r="A21239" s="0" t="s">
        <v>8779</v>
      </c>
      <c r="B21239" s="0" t="str">
        <f aca="false">HYPERLINK("https://lindat.mff.cuni.cz/services/teitok/pdtc10/index.php?action=vallex&amp;frame=v-w2648f1", "oddálit (v-w2648f1)")</f>
        <v>oddálit (v-w2648f1)</v>
      </c>
      <c r="E21239" s="0" t="str">
        <f aca="false">HYPERLINK("https://lindat.mff.cuni.cz/services/SynSemClass40/SynSemClass40.html?veclass=vec00486#vec00486-ces-cm00002", "vec00486")</f>
        <v>vec00486</v>
      </c>
      <c r="F21239" s="0" t="s">
        <v>542</v>
      </c>
      <c r="H21239" s="0" t="str">
        <f aca="false">HYPERLINK("https://lindat.mff.cuni.cz/services/SynSemClass40/SynSemClass40.html?veclass=vec01284#vec01284-ces-cm00004", "vec01284")</f>
        <v>vec01284</v>
      </c>
      <c r="I21239" s="0" t="s">
        <v>8765</v>
      </c>
    </row>
    <row r="21240" customFormat="false" ht="12.8" hidden="false" customHeight="false" outlineLevel="0" collapsed="false">
      <c r="B21240" s="0" t="s">
        <v>1</v>
      </c>
      <c r="C21240" s="0" t="s">
        <v>8766</v>
      </c>
      <c r="E21240" s="0" t="s">
        <v>206</v>
      </c>
      <c r="F21240" s="0" t="s">
        <v>544</v>
      </c>
      <c r="H21240" s="0" t="s">
        <v>84</v>
      </c>
      <c r="I21240" s="0" t="s">
        <v>8767</v>
      </c>
    </row>
    <row r="21241" customFormat="false" ht="12.8" hidden="false" customHeight="false" outlineLevel="0" collapsed="false">
      <c r="B21241" s="0" t="s">
        <v>8</v>
      </c>
      <c r="C21241" s="0" t="s">
        <v>8768</v>
      </c>
      <c r="E21241" s="0" t="s">
        <v>79</v>
      </c>
      <c r="F21241" s="0" t="s">
        <v>546</v>
      </c>
      <c r="H21241" s="0" t="s">
        <v>87</v>
      </c>
      <c r="I21241" s="0" t="s">
        <v>8769</v>
      </c>
    </row>
    <row r="21243" customFormat="false" ht="12.8" hidden="false" customHeight="false" outlineLevel="0" collapsed="false">
      <c r="A21243" s="0" t="s">
        <v>8780</v>
      </c>
      <c r="B21243" s="0" t="str">
        <f aca="false">HYPERLINK("https://lindat.mff.cuni.cz/services/teitok/pdtc10/index.php?action=vallex&amp;frame=v-w2649f1", "oddálit se (v-w2649f1)")</f>
        <v>oddálit se (v-w2649f1)</v>
      </c>
    </row>
    <row r="21244" customFormat="false" ht="12.8" hidden="false" customHeight="false" outlineLevel="0" collapsed="false">
      <c r="B21244" s="0" t="s">
        <v>1</v>
      </c>
    </row>
    <row r="21245" customFormat="false" ht="12.8" hidden="false" customHeight="false" outlineLevel="0" collapsed="false">
      <c r="B21245" s="0" t="s">
        <v>186</v>
      </c>
    </row>
    <row r="21247" customFormat="false" ht="12.8" hidden="false" customHeight="false" outlineLevel="0" collapsed="false">
      <c r="A21247" s="0" t="s">
        <v>8781</v>
      </c>
      <c r="B21247" s="0" t="str">
        <f aca="false">HYPERLINK("https://lindat.mff.cuni.cz/services/teitok/pdtc10/index.php?action=vallex&amp;frame=v-whsa_219f1_ZU", "oddávat (v-whsa_219f1_ZU)")</f>
        <v>oddávat (v-whsa_219f1_ZU)</v>
      </c>
    </row>
    <row r="21248" customFormat="false" ht="12.8" hidden="false" customHeight="false" outlineLevel="0" collapsed="false">
      <c r="B21248" s="0" t="s">
        <v>1</v>
      </c>
    </row>
    <row r="21249" customFormat="false" ht="12.8" hidden="false" customHeight="false" outlineLevel="0" collapsed="false">
      <c r="B21249" s="0" t="s">
        <v>8</v>
      </c>
    </row>
    <row r="21250" customFormat="false" ht="12.8" hidden="false" customHeight="false" outlineLevel="0" collapsed="false">
      <c r="B21250" s="0" t="s">
        <v>3205</v>
      </c>
    </row>
    <row r="21252" customFormat="false" ht="12.8" hidden="false" customHeight="false" outlineLevel="0" collapsed="false">
      <c r="A21252" s="0" t="s">
        <v>8781</v>
      </c>
      <c r="B21252" s="0" t="str">
        <f aca="false">HYPERLINK("https://lindat.mff.cuni.cz/services/teitok/pdtc10/index.php?action=vallex&amp;frame=v-whsa_219hsa_220", "oddávat (v-whsa_219hsa_220) - substituted with v-whsa_219f1_ZU")</f>
        <v>oddávat (v-whsa_219hsa_220) - substituted with v-whsa_219f1_ZU</v>
      </c>
    </row>
    <row r="21253" customFormat="false" ht="12.8" hidden="false" customHeight="false" outlineLevel="0" collapsed="false">
      <c r="B21253" s="0" t="s">
        <v>1</v>
      </c>
    </row>
    <row r="21254" customFormat="false" ht="12.8" hidden="false" customHeight="false" outlineLevel="0" collapsed="false">
      <c r="B21254" s="0" t="s">
        <v>8</v>
      </c>
    </row>
    <row r="21255" customFormat="false" ht="12.8" hidden="false" customHeight="false" outlineLevel="0" collapsed="false">
      <c r="B21255" s="0" t="s">
        <v>3205</v>
      </c>
    </row>
    <row r="21257" customFormat="false" ht="12.8" hidden="false" customHeight="false" outlineLevel="0" collapsed="false">
      <c r="A21257" s="0" t="s">
        <v>8782</v>
      </c>
      <c r="B21257" s="0" t="str">
        <f aca="false">HYPERLINK("https://lindat.mff.cuni.cz/services/teitok/pdtc10/index.php?action=vallex&amp;frame=v-w11290f1", "oddávat se (v-w11290f1)")</f>
        <v>oddávat se (v-w11290f1)</v>
      </c>
      <c r="E21257" s="0" t="str">
        <f aca="false">HYPERLINK("https://lindat.mff.cuni.cz/services/SynSemClass40/SynSemClass40.html?veclass=vec01458#vec01458-ces-cm00004", "vec01458")</f>
        <v>vec01458</v>
      </c>
      <c r="F21257" s="0" t="s">
        <v>127</v>
      </c>
    </row>
    <row r="21258" customFormat="false" ht="12.8" hidden="false" customHeight="false" outlineLevel="0" collapsed="false">
      <c r="B21258" s="0" t="s">
        <v>1</v>
      </c>
      <c r="C21258" s="0" t="s">
        <v>285</v>
      </c>
      <c r="E21258" s="0" t="s">
        <v>31</v>
      </c>
      <c r="F21258" s="0" t="s">
        <v>130</v>
      </c>
    </row>
    <row r="21259" customFormat="false" ht="12.8" hidden="false" customHeight="false" outlineLevel="0" collapsed="false">
      <c r="B21259" s="0" t="s">
        <v>186</v>
      </c>
      <c r="C21259" s="0" t="s">
        <v>287</v>
      </c>
      <c r="E21259" s="0" t="s">
        <v>14</v>
      </c>
      <c r="F21259" s="0" t="s">
        <v>288</v>
      </c>
    </row>
    <row r="21261" customFormat="false" ht="12.8" hidden="false" customHeight="false" outlineLevel="0" collapsed="false">
      <c r="A21261" s="0" t="s">
        <v>8783</v>
      </c>
      <c r="B21261" s="0" t="str">
        <f aca="false">HYPERLINK("https://lindat.mff.cuni.cz/services/teitok/pdtc10/index.php?action=vallex&amp;frame=v-w2658f1", "oddělat (v-w2658f1)")</f>
        <v>oddělat (v-w2658f1)</v>
      </c>
    </row>
    <row r="21262" customFormat="false" ht="12.8" hidden="false" customHeight="false" outlineLevel="0" collapsed="false">
      <c r="B21262" s="0" t="s">
        <v>1</v>
      </c>
    </row>
    <row r="21263" customFormat="false" ht="12.8" hidden="false" customHeight="false" outlineLevel="0" collapsed="false">
      <c r="B21263" s="0" t="s">
        <v>8</v>
      </c>
    </row>
    <row r="21265" customFormat="false" ht="12.8" hidden="false" customHeight="false" outlineLevel="0" collapsed="false">
      <c r="A21265" s="0" t="s">
        <v>8784</v>
      </c>
      <c r="B21265" s="0" t="str">
        <f aca="false">HYPERLINK("https://lindat.mff.cuni.cz/services/teitok/pdtc10/index.php?action=vallex&amp;frame=v-w2658f2", "oddělat (v-w2658f2)")</f>
        <v>oddělat (v-w2658f2)</v>
      </c>
    </row>
    <row r="21266" customFormat="false" ht="12.8" hidden="false" customHeight="false" outlineLevel="0" collapsed="false">
      <c r="B21266" s="0" t="s">
        <v>1</v>
      </c>
    </row>
    <row r="21267" customFormat="false" ht="12.8" hidden="false" customHeight="false" outlineLevel="0" collapsed="false">
      <c r="B21267" s="0" t="s">
        <v>8</v>
      </c>
    </row>
    <row r="21269" customFormat="false" ht="12.8" hidden="false" customHeight="false" outlineLevel="0" collapsed="false">
      <c r="A21269" s="0" t="s">
        <v>8785</v>
      </c>
      <c r="B21269" s="0" t="str">
        <f aca="false">HYPERLINK("https://lindat.mff.cuni.cz/services/teitok/pdtc10/index.php?action=vallex&amp;frame=v-w2658f3_ZU", "oddělat (v-w2658f3_ZU)")</f>
        <v>oddělat (v-w2658f3_ZU)</v>
      </c>
    </row>
    <row r="21270" customFormat="false" ht="12.8" hidden="false" customHeight="false" outlineLevel="0" collapsed="false">
      <c r="B21270" s="0" t="s">
        <v>1</v>
      </c>
    </row>
    <row r="21271" customFormat="false" ht="12.8" hidden="false" customHeight="false" outlineLevel="0" collapsed="false">
      <c r="B21271" s="0" t="s">
        <v>8</v>
      </c>
    </row>
    <row r="21272" customFormat="false" ht="12.8" hidden="false" customHeight="false" outlineLevel="0" collapsed="false">
      <c r="B21272" s="0" t="s">
        <v>6273</v>
      </c>
    </row>
    <row r="21274" customFormat="false" ht="12.8" hidden="false" customHeight="false" outlineLevel="0" collapsed="false">
      <c r="A21274" s="0" t="s">
        <v>8786</v>
      </c>
      <c r="B21274" s="0" t="str">
        <f aca="false">HYPERLINK("https://lindat.mff.cuni.cz/services/teitok/pdtc10/index.php?action=vallex&amp;frame=v-w2658f4_MM", "oddělat (v-w2658f4_MM)")</f>
        <v>oddělat (v-w2658f4_MM)</v>
      </c>
    </row>
    <row r="21275" customFormat="false" ht="12.8" hidden="false" customHeight="false" outlineLevel="0" collapsed="false">
      <c r="B21275" s="0" t="s">
        <v>1</v>
      </c>
    </row>
    <row r="21276" customFormat="false" ht="12.8" hidden="false" customHeight="false" outlineLevel="0" collapsed="false">
      <c r="B21276" s="0" t="s">
        <v>8</v>
      </c>
    </row>
    <row r="21278" customFormat="false" ht="12.8" hidden="false" customHeight="false" outlineLevel="0" collapsed="false">
      <c r="A21278" s="0" t="s">
        <v>8787</v>
      </c>
      <c r="B21278" s="0" t="str">
        <f aca="false">HYPERLINK("https://lindat.mff.cuni.cz/services/teitok/pdtc10/index.php?action=vallex&amp;frame=v-w2661f1", "oddělit (v-w2661f1)")</f>
        <v>oddělit (v-w2661f1)</v>
      </c>
      <c r="E21278" s="0" t="str">
        <f aca="false">HYPERLINK("https://lindat.mff.cuni.cz/services/SynSemClass40/SynSemClass40.html?veclass=vec00047#vec00047-ces-cm00001", "vec00047")</f>
        <v>vec00047</v>
      </c>
      <c r="F21278" s="0" t="s">
        <v>4894</v>
      </c>
    </row>
    <row r="21279" customFormat="false" ht="12.8" hidden="false" customHeight="false" outlineLevel="0" collapsed="false">
      <c r="B21279" s="0" t="s">
        <v>1</v>
      </c>
      <c r="C21279" s="0" t="s">
        <v>4895</v>
      </c>
      <c r="E21279" s="0" t="s">
        <v>31</v>
      </c>
      <c r="F21279" s="0" t="s">
        <v>4896</v>
      </c>
    </row>
    <row r="21280" customFormat="false" ht="12.8" hidden="false" customHeight="false" outlineLevel="0" collapsed="false">
      <c r="B21280" s="0" t="s">
        <v>8</v>
      </c>
      <c r="C21280" s="0" t="s">
        <v>4897</v>
      </c>
      <c r="E21280" s="0" t="s">
        <v>4852</v>
      </c>
      <c r="F21280" s="0" t="s">
        <v>4898</v>
      </c>
    </row>
    <row r="21281" customFormat="false" ht="12.8" hidden="false" customHeight="false" outlineLevel="0" collapsed="false">
      <c r="B21281" s="0" t="s">
        <v>1965</v>
      </c>
      <c r="C21281" s="0" t="s">
        <v>4899</v>
      </c>
      <c r="E21281" s="0" t="s">
        <v>4900</v>
      </c>
      <c r="F21281" s="0" t="s">
        <v>4901</v>
      </c>
    </row>
    <row r="21283" customFormat="false" ht="12.8" hidden="false" customHeight="false" outlineLevel="0" collapsed="false">
      <c r="A21283" s="0" t="s">
        <v>8788</v>
      </c>
      <c r="B21283" s="0" t="str">
        <f aca="false">HYPERLINK("https://lindat.mff.cuni.cz/services/teitok/pdtc10/index.php?action=vallex&amp;frame=v-w2662f1", "oddělit se (v-w2662f1)")</f>
        <v>oddělit se (v-w2662f1)</v>
      </c>
      <c r="E21283" s="0" t="str">
        <f aca="false">HYPERLINK("https://lindat.mff.cuni.cz/services/SynSemClass40/SynSemClass40.html?veclass=vec00905#vec00905-ces-cm00002", "vec00905")</f>
        <v>vec00905</v>
      </c>
      <c r="F21283" s="0" t="s">
        <v>8789</v>
      </c>
    </row>
    <row r="21284" customFormat="false" ht="12.8" hidden="false" customHeight="false" outlineLevel="0" collapsed="false">
      <c r="B21284" s="0" t="s">
        <v>1</v>
      </c>
      <c r="C21284" s="0" t="s">
        <v>5344</v>
      </c>
      <c r="E21284" s="0" t="s">
        <v>2241</v>
      </c>
      <c r="F21284" s="0" t="s">
        <v>8790</v>
      </c>
    </row>
    <row r="21285" customFormat="false" ht="12.8" hidden="false" customHeight="false" outlineLevel="0" collapsed="false">
      <c r="B21285" s="0" t="s">
        <v>26</v>
      </c>
      <c r="E21285" s="0" t="s">
        <v>2665</v>
      </c>
      <c r="F21285" s="0" t="s">
        <v>8791</v>
      </c>
    </row>
    <row r="21287" customFormat="false" ht="12.8" hidden="false" customHeight="false" outlineLevel="0" collapsed="false">
      <c r="A21287" s="0" t="s">
        <v>8792</v>
      </c>
      <c r="B21287" s="0" t="str">
        <f aca="false">HYPERLINK("https://lindat.mff.cuni.cz/services/teitok/pdtc10/index.php?action=vallex&amp;frame=v-w2663f1", "oddělovat (v-w2663f1)")</f>
        <v>oddělovat (v-w2663f1)</v>
      </c>
      <c r="E21287" s="0" t="str">
        <f aca="false">HYPERLINK("https://lindat.mff.cuni.cz/services/SynSemClass40/SynSemClass40.html?veclass=vec00047#vec00047-ces-cm00003", "vec00047")</f>
        <v>vec00047</v>
      </c>
      <c r="F21287" s="0" t="s">
        <v>4894</v>
      </c>
    </row>
    <row r="21288" customFormat="false" ht="12.8" hidden="false" customHeight="false" outlineLevel="0" collapsed="false">
      <c r="B21288" s="0" t="s">
        <v>1</v>
      </c>
      <c r="C21288" s="0" t="s">
        <v>4895</v>
      </c>
      <c r="E21288" s="0" t="s">
        <v>31</v>
      </c>
      <c r="F21288" s="0" t="s">
        <v>4896</v>
      </c>
    </row>
    <row r="21289" customFormat="false" ht="12.8" hidden="false" customHeight="false" outlineLevel="0" collapsed="false">
      <c r="B21289" s="0" t="s">
        <v>8</v>
      </c>
      <c r="C21289" s="0" t="s">
        <v>4897</v>
      </c>
      <c r="E21289" s="0" t="s">
        <v>4852</v>
      </c>
      <c r="F21289" s="0" t="s">
        <v>4898</v>
      </c>
    </row>
    <row r="21290" customFormat="false" ht="12.8" hidden="false" customHeight="false" outlineLevel="0" collapsed="false">
      <c r="B21290" s="0" t="s">
        <v>1965</v>
      </c>
      <c r="C21290" s="0" t="s">
        <v>4899</v>
      </c>
      <c r="E21290" s="0" t="s">
        <v>4900</v>
      </c>
      <c r="F21290" s="0" t="s">
        <v>4901</v>
      </c>
    </row>
    <row r="21292" customFormat="false" ht="12.8" hidden="false" customHeight="false" outlineLevel="0" collapsed="false">
      <c r="A21292" s="0" t="s">
        <v>8793</v>
      </c>
      <c r="B21292" s="0" t="str">
        <f aca="false">HYPERLINK("https://lindat.mff.cuni.cz/services/teitok/pdtc10/index.php?action=vallex&amp;frame=v-w2664f1", "oddělovat se (v-w2664f1)")</f>
        <v>oddělovat se (v-w2664f1)</v>
      </c>
      <c r="E21292" s="0" t="str">
        <f aca="false">HYPERLINK("https://lindat.mff.cuni.cz/services/SynSemClass40/SynSemClass40.html?veclass=vec00905#vec00905-ces-cm00004", "vec00905")</f>
        <v>vec00905</v>
      </c>
      <c r="F21292" s="0" t="s">
        <v>8789</v>
      </c>
    </row>
    <row r="21293" customFormat="false" ht="12.8" hidden="false" customHeight="false" outlineLevel="0" collapsed="false">
      <c r="B21293" s="0" t="s">
        <v>1</v>
      </c>
      <c r="C21293" s="0" t="s">
        <v>5344</v>
      </c>
      <c r="E21293" s="0" t="s">
        <v>2241</v>
      </c>
      <c r="F21293" s="0" t="s">
        <v>8790</v>
      </c>
    </row>
    <row r="21294" customFormat="false" ht="12.8" hidden="false" customHeight="false" outlineLevel="0" collapsed="false">
      <c r="B21294" s="0" t="s">
        <v>26</v>
      </c>
      <c r="E21294" s="0" t="s">
        <v>2665</v>
      </c>
      <c r="F21294" s="0" t="s">
        <v>8791</v>
      </c>
    </row>
    <row r="21296" customFormat="false" ht="12.8" hidden="false" customHeight="false" outlineLevel="0" collapsed="false">
      <c r="A21296" s="0" t="s">
        <v>8794</v>
      </c>
      <c r="B21296" s="0" t="str">
        <f aca="false">HYPERLINK("https://lindat.mff.cuni.cz/services/teitok/pdtc10/index.php?action=vallex&amp;frame=v-w2672f1", "odebrat (v-w2672f1)")</f>
        <v>odebrat (v-w2672f1)</v>
      </c>
      <c r="E21296" s="0" t="str">
        <f aca="false">HYPERLINK("https://lindat.mff.cuni.cz/services/SynSemClass40/SynSemClass40.html?veclass=vec00704#vec00704-ces-cm00003", "vec00704")</f>
        <v>vec00704</v>
      </c>
      <c r="F21296" s="0" t="s">
        <v>588</v>
      </c>
      <c r="H21296" s="0" t="str">
        <f aca="false">HYPERLINK("https://lindat.mff.cuni.cz/services/SynSemClass40/SynSemClass40.html?veclass=vec01425#vec01425-ces-cm00006", "vec01425")</f>
        <v>vec01425</v>
      </c>
      <c r="I21296" s="0" t="s">
        <v>589</v>
      </c>
    </row>
    <row r="21297" customFormat="false" ht="12.8" hidden="false" customHeight="false" outlineLevel="0" collapsed="false">
      <c r="B21297" s="0" t="s">
        <v>1</v>
      </c>
      <c r="C21297" s="0" t="s">
        <v>590</v>
      </c>
      <c r="E21297" s="0" t="s">
        <v>31</v>
      </c>
      <c r="F21297" s="0" t="s">
        <v>591</v>
      </c>
      <c r="H21297" s="0" t="s">
        <v>31</v>
      </c>
      <c r="I21297" s="0" t="s">
        <v>592</v>
      </c>
    </row>
    <row r="21298" customFormat="false" ht="12.8" hidden="false" customHeight="false" outlineLevel="0" collapsed="false">
      <c r="B21298" s="0" t="s">
        <v>8</v>
      </c>
      <c r="C21298" s="0" t="s">
        <v>593</v>
      </c>
      <c r="E21298" s="0" t="s">
        <v>594</v>
      </c>
      <c r="F21298" s="0" t="s">
        <v>595</v>
      </c>
      <c r="H21298" s="0" t="s">
        <v>594</v>
      </c>
      <c r="I21298" s="0" t="s">
        <v>596</v>
      </c>
    </row>
    <row r="21299" customFormat="false" ht="12.8" hidden="false" customHeight="false" outlineLevel="0" collapsed="false">
      <c r="B21299" s="0" t="s">
        <v>52</v>
      </c>
      <c r="C21299" s="0" t="s">
        <v>597</v>
      </c>
      <c r="E21299" s="0" t="s">
        <v>598</v>
      </c>
      <c r="F21299" s="0" t="s">
        <v>599</v>
      </c>
      <c r="H21299" s="0" t="s">
        <v>598</v>
      </c>
      <c r="I21299" s="0" t="s">
        <v>600</v>
      </c>
    </row>
    <row r="21301" customFormat="false" ht="12.8" hidden="false" customHeight="false" outlineLevel="0" collapsed="false">
      <c r="A21301" s="0" t="s">
        <v>8795</v>
      </c>
      <c r="B21301" s="0" t="str">
        <f aca="false">HYPERLINK("https://lindat.mff.cuni.cz/services/teitok/pdtc10/index.php?action=vallex&amp;frame=v-w2672f3", "odebrat (v-w2672f3)")</f>
        <v>odebrat (v-w2672f3)</v>
      </c>
    </row>
    <row r="21302" customFormat="false" ht="12.8" hidden="false" customHeight="false" outlineLevel="0" collapsed="false">
      <c r="B21302" s="0" t="s">
        <v>1</v>
      </c>
    </row>
    <row r="21303" customFormat="false" ht="12.8" hidden="false" customHeight="false" outlineLevel="0" collapsed="false">
      <c r="B21303" s="0" t="s">
        <v>8</v>
      </c>
    </row>
    <row r="21304" customFormat="false" ht="12.8" hidden="false" customHeight="false" outlineLevel="0" collapsed="false">
      <c r="B21304" s="0" t="s">
        <v>5</v>
      </c>
    </row>
    <row r="21306" customFormat="false" ht="12.8" hidden="false" customHeight="false" outlineLevel="0" collapsed="false">
      <c r="A21306" s="0" t="s">
        <v>8796</v>
      </c>
      <c r="B21306" s="0" t="str">
        <f aca="false">HYPERLINK("https://lindat.mff.cuni.cz/services/teitok/pdtc10/index.php?action=vallex&amp;frame=v-w2672f2", "odebrat (v-w2672f2)")</f>
        <v>odebrat (v-w2672f2)</v>
      </c>
      <c r="E21306" s="0" t="str">
        <f aca="false">HYPERLINK("https://lindat.mff.cuni.cz/services/SynSemClass40/SynSemClass40.html?veclass=vec00648#vec00648-ces-cm00001", "vec00648")</f>
        <v>vec00648</v>
      </c>
      <c r="F21306" s="0" t="s">
        <v>8797</v>
      </c>
    </row>
    <row r="21307" customFormat="false" ht="12.8" hidden="false" customHeight="false" outlineLevel="0" collapsed="false">
      <c r="B21307" s="0" t="s">
        <v>1</v>
      </c>
      <c r="C21307" s="0" t="s">
        <v>4471</v>
      </c>
      <c r="E21307" s="0" t="s">
        <v>31</v>
      </c>
      <c r="F21307" s="0" t="s">
        <v>8798</v>
      </c>
    </row>
    <row r="21308" customFormat="false" ht="12.8" hidden="false" customHeight="false" outlineLevel="0" collapsed="false">
      <c r="B21308" s="0" t="s">
        <v>8</v>
      </c>
      <c r="C21308" s="0" t="s">
        <v>8799</v>
      </c>
      <c r="E21308" s="0" t="s">
        <v>110</v>
      </c>
      <c r="F21308" s="0" t="s">
        <v>8800</v>
      </c>
    </row>
    <row r="21309" customFormat="false" ht="12.8" hidden="false" customHeight="false" outlineLevel="0" collapsed="false">
      <c r="B21309" s="0" t="s">
        <v>631</v>
      </c>
      <c r="C21309" s="0" t="s">
        <v>8801</v>
      </c>
      <c r="E21309" s="0" t="s">
        <v>8802</v>
      </c>
      <c r="F21309" s="0" t="s">
        <v>8803</v>
      </c>
    </row>
    <row r="21311" customFormat="false" ht="12.8" hidden="false" customHeight="false" outlineLevel="0" collapsed="false">
      <c r="A21311" s="0" t="s">
        <v>8804</v>
      </c>
      <c r="B21311" s="0" t="str">
        <f aca="false">HYPERLINK("https://lindat.mff.cuni.cz/services/teitok/pdtc10/index.php?action=vallex&amp;frame=v-w2672f4", "odebrat (v-w2672f4)")</f>
        <v>odebrat (v-w2672f4)</v>
      </c>
    </row>
    <row r="21312" customFormat="false" ht="12.8" hidden="false" customHeight="false" outlineLevel="0" collapsed="false">
      <c r="B21312" s="0" t="s">
        <v>1</v>
      </c>
    </row>
    <row r="21313" customFormat="false" ht="12.8" hidden="false" customHeight="false" outlineLevel="0" collapsed="false">
      <c r="B21313" s="0" t="s">
        <v>8</v>
      </c>
    </row>
    <row r="21315" customFormat="false" ht="12.8" hidden="false" customHeight="false" outlineLevel="0" collapsed="false">
      <c r="A21315" s="0" t="s">
        <v>8805</v>
      </c>
      <c r="B21315" s="0" t="str">
        <f aca="false">HYPERLINK("https://lindat.mff.cuni.cz/services/teitok/pdtc10/index.php?action=vallex&amp;frame=v-w2673f1", "odebrat se (v-w2673f1)")</f>
        <v>odebrat se (v-w2673f1)</v>
      </c>
    </row>
    <row r="21316" customFormat="false" ht="12.8" hidden="false" customHeight="false" outlineLevel="0" collapsed="false">
      <c r="B21316" s="0" t="s">
        <v>1</v>
      </c>
    </row>
    <row r="21317" customFormat="false" ht="12.8" hidden="false" customHeight="false" outlineLevel="0" collapsed="false">
      <c r="B21317" s="0" t="s">
        <v>164</v>
      </c>
    </row>
    <row r="21319" customFormat="false" ht="12.8" hidden="false" customHeight="false" outlineLevel="0" collapsed="false">
      <c r="A21319" s="0" t="s">
        <v>8806</v>
      </c>
      <c r="B21319" s="0" t="str">
        <f aca="false">HYPERLINK("https://lindat.mff.cuni.cz/services/teitok/pdtc10/index.php?action=vallex&amp;frame=v-w2669f3", "odebírat (v-w2669f3)")</f>
        <v>odebírat (v-w2669f3)</v>
      </c>
    </row>
    <row r="21320" customFormat="false" ht="12.8" hidden="false" customHeight="false" outlineLevel="0" collapsed="false">
      <c r="B21320" s="0" t="s">
        <v>1</v>
      </c>
    </row>
    <row r="21321" customFormat="false" ht="12.8" hidden="false" customHeight="false" outlineLevel="0" collapsed="false">
      <c r="B21321" s="0" t="s">
        <v>8</v>
      </c>
    </row>
    <row r="21322" customFormat="false" ht="12.8" hidden="false" customHeight="false" outlineLevel="0" collapsed="false">
      <c r="B21322" s="0" t="s">
        <v>52</v>
      </c>
    </row>
    <row r="21324" customFormat="false" ht="12.8" hidden="false" customHeight="false" outlineLevel="0" collapsed="false">
      <c r="A21324" s="0" t="s">
        <v>8807</v>
      </c>
      <c r="B21324" s="0" t="str">
        <f aca="false">HYPERLINK("https://lindat.mff.cuni.cz/services/teitok/pdtc10/index.php?action=vallex&amp;frame=v-w2669f2", "odebírat (v-w2669f2)")</f>
        <v>odebírat (v-w2669f2)</v>
      </c>
    </row>
    <row r="21325" customFormat="false" ht="12.8" hidden="false" customHeight="false" outlineLevel="0" collapsed="false">
      <c r="B21325" s="0" t="s">
        <v>1</v>
      </c>
    </row>
    <row r="21326" customFormat="false" ht="12.8" hidden="false" customHeight="false" outlineLevel="0" collapsed="false">
      <c r="B21326" s="0" t="s">
        <v>8</v>
      </c>
    </row>
    <row r="21327" customFormat="false" ht="12.8" hidden="false" customHeight="false" outlineLevel="0" collapsed="false">
      <c r="B21327" s="0" t="s">
        <v>631</v>
      </c>
    </row>
    <row r="21329" customFormat="false" ht="12.8" hidden="false" customHeight="false" outlineLevel="0" collapsed="false">
      <c r="A21329" s="0" t="s">
        <v>8808</v>
      </c>
      <c r="B21329" s="0" t="str">
        <f aca="false">HYPERLINK("https://lindat.mff.cuni.cz/services/teitok/pdtc10/index.php?action=vallex&amp;frame=v-w2669f1", "odebírat (v-w2669f1)")</f>
        <v>odebírat (v-w2669f1)</v>
      </c>
      <c r="E21329" s="0" t="str">
        <f aca="false">HYPERLINK("https://lindat.mff.cuni.cz/services/SynSemClass40/SynSemClass40.html?veclass=vec01238#vec01238-ces-cm00003", "vec01238")</f>
        <v>vec01238</v>
      </c>
      <c r="F21329" s="0" t="s">
        <v>8809</v>
      </c>
    </row>
    <row r="21330" customFormat="false" ht="12.8" hidden="false" customHeight="false" outlineLevel="0" collapsed="false">
      <c r="B21330" s="0" t="s">
        <v>1</v>
      </c>
      <c r="C21330" s="0" t="s">
        <v>459</v>
      </c>
      <c r="E21330" s="0" t="s">
        <v>5703</v>
      </c>
      <c r="F21330" s="0" t="s">
        <v>8810</v>
      </c>
    </row>
    <row r="21331" customFormat="false" ht="12.8" hidden="false" customHeight="false" outlineLevel="0" collapsed="false">
      <c r="B21331" s="0" t="s">
        <v>8</v>
      </c>
      <c r="C21331" s="0" t="s">
        <v>798</v>
      </c>
      <c r="E21331" s="0" t="s">
        <v>3201</v>
      </c>
      <c r="F21331" s="0" t="s">
        <v>8811</v>
      </c>
    </row>
    <row r="21333" customFormat="false" ht="12.8" hidden="false" customHeight="false" outlineLevel="0" collapsed="false">
      <c r="A21333" s="0" t="s">
        <v>8812</v>
      </c>
      <c r="B21333" s="0" t="str">
        <f aca="false">HYPERLINK("https://lindat.mff.cuni.cz/services/teitok/pdtc10/index.php?action=vallex&amp;frame=v-w10332f2", "odehnat (v-w10332f2)")</f>
        <v>odehnat (v-w10332f2)</v>
      </c>
      <c r="E21333" s="0" t="str">
        <f aca="false">HYPERLINK("https://lindat.mff.cuni.cz/services/SynSemClass40/SynSemClass40.html?veclass=vec00848#vec00848-ces-cm00001", "vec00848")</f>
        <v>vec00848</v>
      </c>
      <c r="F21333" s="0" t="s">
        <v>8813</v>
      </c>
    </row>
    <row r="21334" customFormat="false" ht="12.8" hidden="false" customHeight="false" outlineLevel="0" collapsed="false">
      <c r="B21334" s="0" t="s">
        <v>1</v>
      </c>
      <c r="C21334" s="0" t="s">
        <v>4695</v>
      </c>
      <c r="E21334" s="0" t="s">
        <v>31</v>
      </c>
      <c r="F21334" s="0" t="s">
        <v>460</v>
      </c>
    </row>
    <row r="21335" customFormat="false" ht="12.8" hidden="false" customHeight="false" outlineLevel="0" collapsed="false">
      <c r="B21335" s="0" t="s">
        <v>8</v>
      </c>
      <c r="C21335" s="0" t="s">
        <v>462</v>
      </c>
      <c r="E21335" s="0" t="s">
        <v>142</v>
      </c>
      <c r="F21335" s="0" t="s">
        <v>8814</v>
      </c>
    </row>
    <row r="21337" customFormat="false" ht="12.8" hidden="false" customHeight="false" outlineLevel="0" collapsed="false">
      <c r="A21337" s="0" t="s">
        <v>8815</v>
      </c>
      <c r="B21337" s="0" t="str">
        <f aca="false">HYPERLINK("https://lindat.mff.cuni.cz/services/teitok/pdtc10/index.php?action=vallex&amp;frame=v-w2679f1", "odehrát (v-w2679f1)")</f>
        <v>odehrát (v-w2679f1)</v>
      </c>
    </row>
    <row r="21338" customFormat="false" ht="12.8" hidden="false" customHeight="false" outlineLevel="0" collapsed="false">
      <c r="B21338" s="0" t="s">
        <v>1</v>
      </c>
    </row>
    <row r="21339" customFormat="false" ht="12.8" hidden="false" customHeight="false" outlineLevel="0" collapsed="false">
      <c r="B21339" s="0" t="s">
        <v>8</v>
      </c>
    </row>
    <row r="21341" customFormat="false" ht="12.8" hidden="false" customHeight="false" outlineLevel="0" collapsed="false">
      <c r="A21341" s="0" t="s">
        <v>8816</v>
      </c>
      <c r="B21341" s="0" t="str">
        <f aca="false">HYPERLINK("https://lindat.mff.cuni.cz/services/teitok/pdtc10/index.php?action=vallex&amp;frame=v-w2680f1", "odehrát se (v-w2680f1)")</f>
        <v>odehrát se (v-w2680f1)</v>
      </c>
      <c r="E21341" s="0" t="str">
        <f aca="false">HYPERLINK("https://lindat.mff.cuni.cz/services/SynSemClass40/SynSemClass40.html?veclass=vec00097#vec00097-ces-cm00108", "vec00097")</f>
        <v>vec00097</v>
      </c>
      <c r="F21341" s="0" t="s">
        <v>373</v>
      </c>
    </row>
    <row r="21342" customFormat="false" ht="12.8" hidden="false" customHeight="false" outlineLevel="0" collapsed="false">
      <c r="B21342" s="0" t="s">
        <v>1</v>
      </c>
      <c r="C21342" s="0" t="s">
        <v>374</v>
      </c>
      <c r="E21342" s="0" t="s">
        <v>375</v>
      </c>
      <c r="F21342" s="0" t="s">
        <v>376</v>
      </c>
    </row>
    <row r="21344" customFormat="false" ht="12.8" hidden="false" customHeight="false" outlineLevel="0" collapsed="false">
      <c r="A21344" s="0" t="s">
        <v>8817</v>
      </c>
      <c r="B21344" s="0" t="str">
        <f aca="false">HYPERLINK("https://lindat.mff.cuni.cz/services/teitok/pdtc10/index.php?action=vallex&amp;frame=v-w2681f1", "odehrávat se (v-w2681f1)")</f>
        <v>odehrávat se (v-w2681f1)</v>
      </c>
      <c r="E21344" s="0" t="str">
        <f aca="false">HYPERLINK("https://lindat.mff.cuni.cz/services/SynSemClass40/SynSemClass40.html?veclass=vec00097#vec00097-ces-cm00109", "vec00097")</f>
        <v>vec00097</v>
      </c>
      <c r="F21344" s="0" t="s">
        <v>373</v>
      </c>
    </row>
    <row r="21345" customFormat="false" ht="12.8" hidden="false" customHeight="false" outlineLevel="0" collapsed="false">
      <c r="B21345" s="0" t="s">
        <v>1</v>
      </c>
      <c r="C21345" s="0" t="s">
        <v>374</v>
      </c>
      <c r="E21345" s="0" t="s">
        <v>375</v>
      </c>
      <c r="F21345" s="0" t="s">
        <v>376</v>
      </c>
    </row>
    <row r="21347" customFormat="false" ht="12.8" hidden="false" customHeight="false" outlineLevel="0" collapsed="false">
      <c r="A21347" s="0" t="s">
        <v>8818</v>
      </c>
      <c r="B21347" s="0" t="str">
        <f aca="false">HYPERLINK("https://lindat.mff.cuni.cz/services/teitok/pdtc10/index.php?action=vallex&amp;frame=v-w2683f1", "odejmout (v-w2683f1)")</f>
        <v>odejmout (v-w2683f1)</v>
      </c>
      <c r="E21347" s="0" t="str">
        <f aca="false">HYPERLINK("https://lindat.mff.cuni.cz/services/SynSemClass40/SynSemClass40.html?veclass=vec00704#vec00704-ces-cm00005", "vec00704")</f>
        <v>vec00704</v>
      </c>
      <c r="F21347" s="0" t="s">
        <v>588</v>
      </c>
      <c r="H21347" s="0" t="str">
        <f aca="false">HYPERLINK("https://lindat.mff.cuni.cz/services/SynSemClass40/SynSemClass40.html?veclass=vec01425#vec01425-ces-cm00007", "vec01425")</f>
        <v>vec01425</v>
      </c>
      <c r="I21347" s="0" t="s">
        <v>589</v>
      </c>
    </row>
    <row r="21348" customFormat="false" ht="12.8" hidden="false" customHeight="false" outlineLevel="0" collapsed="false">
      <c r="B21348" s="0" t="s">
        <v>1</v>
      </c>
      <c r="C21348" s="0" t="s">
        <v>590</v>
      </c>
      <c r="E21348" s="0" t="s">
        <v>31</v>
      </c>
      <c r="F21348" s="0" t="s">
        <v>591</v>
      </c>
      <c r="H21348" s="0" t="s">
        <v>31</v>
      </c>
      <c r="I21348" s="0" t="s">
        <v>592</v>
      </c>
    </row>
    <row r="21349" customFormat="false" ht="12.8" hidden="false" customHeight="false" outlineLevel="0" collapsed="false">
      <c r="B21349" s="0" t="s">
        <v>8</v>
      </c>
      <c r="C21349" s="0" t="s">
        <v>593</v>
      </c>
      <c r="E21349" s="0" t="s">
        <v>594</v>
      </c>
      <c r="F21349" s="0" t="s">
        <v>595</v>
      </c>
      <c r="H21349" s="0" t="s">
        <v>594</v>
      </c>
      <c r="I21349" s="0" t="s">
        <v>596</v>
      </c>
    </row>
    <row r="21350" customFormat="false" ht="12.8" hidden="false" customHeight="false" outlineLevel="0" collapsed="false">
      <c r="B21350" s="0" t="s">
        <v>52</v>
      </c>
      <c r="C21350" s="0" t="s">
        <v>597</v>
      </c>
      <c r="E21350" s="0" t="s">
        <v>598</v>
      </c>
      <c r="F21350" s="0" t="s">
        <v>599</v>
      </c>
      <c r="H21350" s="0" t="s">
        <v>598</v>
      </c>
      <c r="I21350" s="0" t="s">
        <v>600</v>
      </c>
    </row>
    <row r="21352" customFormat="false" ht="12.8" hidden="false" customHeight="false" outlineLevel="0" collapsed="false">
      <c r="A21352" s="0" t="s">
        <v>8819</v>
      </c>
      <c r="B21352" s="0" t="str">
        <f aca="false">HYPERLINK("https://lindat.mff.cuni.cz/services/teitok/pdtc10/index.php?action=vallex&amp;frame=v-w2682f1", "odejít (v-w2682f1)")</f>
        <v>odejít (v-w2682f1)</v>
      </c>
      <c r="E21352" s="0" t="str">
        <f aca="false">HYPERLINK("https://lindat.mff.cuni.cz/services/SynSemClass40/SynSemClass40.html?veclass=vec00048#vec00048-ces-cm00001", "vec00048")</f>
        <v>vec00048</v>
      </c>
      <c r="F21352" s="0" t="s">
        <v>1945</v>
      </c>
    </row>
    <row r="21353" customFormat="false" ht="12.8" hidden="false" customHeight="false" outlineLevel="0" collapsed="false">
      <c r="B21353" s="0" t="s">
        <v>1</v>
      </c>
      <c r="C21353" s="0" t="s">
        <v>1946</v>
      </c>
      <c r="E21353" s="0" t="s">
        <v>334</v>
      </c>
      <c r="F21353" s="0" t="s">
        <v>1947</v>
      </c>
    </row>
    <row r="21354" customFormat="false" ht="12.8" hidden="false" customHeight="false" outlineLevel="0" collapsed="false">
      <c r="B21354" s="0" t="s">
        <v>631</v>
      </c>
      <c r="C21354" s="0" t="s">
        <v>1948</v>
      </c>
      <c r="E21354" s="0" t="s">
        <v>1949</v>
      </c>
      <c r="F21354" s="0" t="s">
        <v>1950</v>
      </c>
    </row>
    <row r="21356" customFormat="false" ht="12.8" hidden="false" customHeight="false" outlineLevel="0" collapsed="false">
      <c r="A21356" s="0" t="s">
        <v>8820</v>
      </c>
      <c r="B21356" s="0" t="str">
        <f aca="false">HYPERLINK("https://lindat.mff.cuni.cz/services/teitok/pdtc10/index.php?action=vallex&amp;frame=v-w2682f4_ZU", "odejít (v-w2682f4_ZU)")</f>
        <v>odejít (v-w2682f4_ZU)</v>
      </c>
    </row>
    <row r="21357" customFormat="false" ht="12.8" hidden="false" customHeight="false" outlineLevel="0" collapsed="false">
      <c r="B21357" s="0" t="s">
        <v>1</v>
      </c>
    </row>
    <row r="21358" customFormat="false" ht="12.8" hidden="false" customHeight="false" outlineLevel="0" collapsed="false">
      <c r="B21358" s="0" t="s">
        <v>361</v>
      </c>
    </row>
    <row r="21360" customFormat="false" ht="12.8" hidden="false" customHeight="false" outlineLevel="0" collapsed="false">
      <c r="A21360" s="0" t="s">
        <v>8821</v>
      </c>
      <c r="B21360" s="0" t="str">
        <f aca="false">HYPERLINK("https://lindat.mff.cuni.cz/services/teitok/pdtc10/index.php?action=vallex&amp;frame=v-w2682f3", "odejít (v-w2682f3)")</f>
        <v>odejít (v-w2682f3)</v>
      </c>
    </row>
    <row r="21361" customFormat="false" ht="12.8" hidden="false" customHeight="false" outlineLevel="0" collapsed="false">
      <c r="B21361" s="0" t="s">
        <v>1</v>
      </c>
    </row>
    <row r="21363" customFormat="false" ht="12.8" hidden="false" customHeight="false" outlineLevel="0" collapsed="false">
      <c r="A21363" s="0" t="s">
        <v>8822</v>
      </c>
      <c r="B21363" s="0" t="str">
        <f aca="false">HYPERLINK("https://lindat.mff.cuni.cz/services/teitok/pdtc10/index.php?action=vallex&amp;frame=v-w2682f2", "odejít (v-w2682f2)")</f>
        <v>odejít (v-w2682f2)</v>
      </c>
    </row>
    <row r="21364" customFormat="false" ht="12.8" hidden="false" customHeight="false" outlineLevel="0" collapsed="false">
      <c r="B21364" s="0" t="s">
        <v>1</v>
      </c>
    </row>
    <row r="21365" customFormat="false" ht="12.8" hidden="false" customHeight="false" outlineLevel="0" collapsed="false">
      <c r="B21365" s="0" t="s">
        <v>8823</v>
      </c>
    </row>
    <row r="21367" customFormat="false" ht="12.8" hidden="false" customHeight="false" outlineLevel="0" collapsed="false">
      <c r="A21367" s="0" t="s">
        <v>8824</v>
      </c>
      <c r="B21367" s="0" t="str">
        <f aca="false">HYPERLINK("https://lindat.mff.cuni.cz/services/teitok/pdtc10/index.php?action=vallex&amp;frame=v-w2682hsa_844", "odejít (v-w2682hsa_844)")</f>
        <v>odejít (v-w2682hsa_844)</v>
      </c>
    </row>
    <row r="21368" customFormat="false" ht="12.8" hidden="false" customHeight="false" outlineLevel="0" collapsed="false">
      <c r="B21368" s="0" t="s">
        <v>1</v>
      </c>
    </row>
    <row r="21370" customFormat="false" ht="12.8" hidden="false" customHeight="false" outlineLevel="0" collapsed="false">
      <c r="A21370" s="0" t="s">
        <v>8825</v>
      </c>
      <c r="B21370" s="0" t="str">
        <f aca="false">HYPERLINK("https://lindat.mff.cuni.cz/services/teitok/pdtc10/index.php?action=vallex&amp;frame=v-w2682hsa_845", "odejít (v-w2682hsa_845)")</f>
        <v>odejít (v-w2682hsa_845)</v>
      </c>
      <c r="E21370" s="0" t="str">
        <f aca="false">HYPERLINK("https://lindat.mff.cuni.cz/services/SynSemClass40/SynSemClass40.html?veclass=vec00811#vec00811-ces-cm00115", "vec00811")</f>
        <v>vec00811</v>
      </c>
      <c r="F21370" s="0" t="s">
        <v>2889</v>
      </c>
    </row>
    <row r="21371" customFormat="false" ht="12.8" hidden="false" customHeight="false" outlineLevel="0" collapsed="false">
      <c r="B21371" s="0" t="s">
        <v>1</v>
      </c>
      <c r="C21371" s="0" t="s">
        <v>5538</v>
      </c>
      <c r="E21371" s="0" t="s">
        <v>2892</v>
      </c>
      <c r="F21371" s="0" t="s">
        <v>2893</v>
      </c>
    </row>
    <row r="21372" customFormat="false" ht="12.8" hidden="false" customHeight="false" outlineLevel="0" collapsed="false">
      <c r="B21372" s="0" t="s">
        <v>2814</v>
      </c>
      <c r="E21372" s="0" t="s">
        <v>1949</v>
      </c>
      <c r="F21372" s="0" t="s">
        <v>2896</v>
      </c>
    </row>
    <row r="21374" customFormat="false" ht="12.8" hidden="false" customHeight="false" outlineLevel="0" collapsed="false">
      <c r="A21374" s="0" t="s">
        <v>8826</v>
      </c>
      <c r="B21374" s="0" t="str">
        <f aca="false">HYPERLINK("https://lindat.mff.cuni.cz/services/teitok/pdtc10/index.php?action=vallex&amp;frame=v-w2682hsa_709", "odejít (v-w2682hsa_709)")</f>
        <v>odejít (v-w2682hsa_709)</v>
      </c>
    </row>
    <row r="21375" customFormat="false" ht="12.8" hidden="false" customHeight="false" outlineLevel="0" collapsed="false">
      <c r="B21375" s="0" t="s">
        <v>1</v>
      </c>
    </row>
    <row r="21377" customFormat="false" ht="12.8" hidden="false" customHeight="false" outlineLevel="0" collapsed="false">
      <c r="A21377" s="0" t="s">
        <v>8827</v>
      </c>
      <c r="B21377" s="0" t="str">
        <f aca="false">HYPERLINK("https://lindat.mff.cuni.cz/services/teitok/pdtc10/index.php?action=vallex&amp;frame=v-w2684f1", "odemknout (v-w2684f1)")</f>
        <v>odemknout (v-w2684f1)</v>
      </c>
      <c r="E21377" s="0" t="str">
        <f aca="false">HYPERLINK("https://lindat.mff.cuni.cz/services/SynSemClass40/SynSemClass40.html?veclass=vec00465#vec00465-ces-cm00010", "vec00465")</f>
        <v>vec00465</v>
      </c>
      <c r="F21377" s="0" t="s">
        <v>8828</v>
      </c>
      <c r="H21377" s="0" t="str">
        <f aca="false">HYPERLINK("https://lindat.mff.cuni.cz/services/SynSemClass40/SynSemClass40.html?veclass=vec01342#vec01342-ces-cm00001", "vec01342")</f>
        <v>vec01342</v>
      </c>
      <c r="I21377" s="0" t="s">
        <v>8829</v>
      </c>
      <c r="K21377" s="0" t="str">
        <f aca="false">HYPERLINK("https://lindat.mff.cuni.cz/services/SynSemClass40/SynSemClass40.html?veclass=vec01537#vec01537-ces-cm00001", "vec01537")</f>
        <v>vec01537</v>
      </c>
      <c r="L21377" s="0" t="s">
        <v>8830</v>
      </c>
    </row>
    <row r="21378" customFormat="false" ht="12.8" hidden="false" customHeight="false" outlineLevel="0" collapsed="false">
      <c r="B21378" s="0" t="s">
        <v>1</v>
      </c>
      <c r="C21378" s="0" t="s">
        <v>8831</v>
      </c>
      <c r="E21378" s="0" t="s">
        <v>31</v>
      </c>
      <c r="F21378" s="0" t="s">
        <v>8832</v>
      </c>
      <c r="H21378" s="0" t="s">
        <v>31</v>
      </c>
      <c r="I21378" s="0" t="s">
        <v>8833</v>
      </c>
      <c r="K21378" s="0" t="s">
        <v>31</v>
      </c>
      <c r="L21378" s="0" t="s">
        <v>5293</v>
      </c>
    </row>
    <row r="21379" customFormat="false" ht="12.8" hidden="false" customHeight="false" outlineLevel="0" collapsed="false">
      <c r="B21379" s="0" t="s">
        <v>8</v>
      </c>
      <c r="C21379" s="0" t="s">
        <v>8834</v>
      </c>
      <c r="E21379" s="0" t="s">
        <v>8835</v>
      </c>
      <c r="F21379" s="0" t="s">
        <v>8836</v>
      </c>
      <c r="H21379" s="0" t="s">
        <v>34</v>
      </c>
      <c r="I21379" s="0" t="s">
        <v>8837</v>
      </c>
      <c r="K21379" s="0" t="s">
        <v>8835</v>
      </c>
      <c r="L21379" s="0" t="s">
        <v>8838</v>
      </c>
    </row>
    <row r="21381" customFormat="false" ht="12.8" hidden="false" customHeight="false" outlineLevel="0" collapsed="false">
      <c r="A21381" s="0" t="s">
        <v>8839</v>
      </c>
      <c r="B21381" s="0" t="str">
        <f aca="false">HYPERLINK("https://lindat.mff.cuni.cz/services/teitok/pdtc10/index.php?action=vallex&amp;frame=v-w2685f2", "odepisovat (v-w2685f2)")</f>
        <v>odepisovat (v-w2685f2)</v>
      </c>
      <c r="E21381" s="0" t="str">
        <f aca="false">HYPERLINK("https://lindat.mff.cuni.cz/services/SynSemClass40/SynSemClass40.html?veclass=vec00453#vec00453-ces-cm00003", "vec00453")</f>
        <v>vec00453</v>
      </c>
      <c r="F21381" s="0" t="s">
        <v>8840</v>
      </c>
    </row>
    <row r="21382" customFormat="false" ht="12.8" hidden="false" customHeight="false" outlineLevel="0" collapsed="false">
      <c r="B21382" s="0" t="s">
        <v>1</v>
      </c>
      <c r="C21382" s="0" t="s">
        <v>3000</v>
      </c>
      <c r="E21382" s="0" t="s">
        <v>957</v>
      </c>
      <c r="F21382" s="0" t="s">
        <v>4123</v>
      </c>
    </row>
    <row r="21383" customFormat="false" ht="12.8" hidden="false" customHeight="false" outlineLevel="0" collapsed="false">
      <c r="B21383" s="0" t="s">
        <v>8</v>
      </c>
      <c r="C21383" s="0" t="s">
        <v>8841</v>
      </c>
      <c r="E21383" s="0" t="s">
        <v>2732</v>
      </c>
      <c r="F21383" s="0" t="s">
        <v>8842</v>
      </c>
    </row>
    <row r="21384" customFormat="false" ht="12.8" hidden="false" customHeight="false" outlineLevel="0" collapsed="false">
      <c r="B21384" s="0" t="s">
        <v>631</v>
      </c>
      <c r="C21384" s="0" t="s">
        <v>8843</v>
      </c>
      <c r="E21384" s="0" t="s">
        <v>8844</v>
      </c>
      <c r="F21384" s="0" t="s">
        <v>8845</v>
      </c>
    </row>
    <row r="21386" customFormat="false" ht="12.8" hidden="false" customHeight="false" outlineLevel="0" collapsed="false">
      <c r="A21386" s="0" t="s">
        <v>8846</v>
      </c>
      <c r="B21386" s="0" t="str">
        <f aca="false">HYPERLINK("https://lindat.mff.cuni.cz/services/teitok/pdtc10/index.php?action=vallex&amp;frame=v-w2685f3", "odepisovat (v-w2685f3)")</f>
        <v>odepisovat (v-w2685f3)</v>
      </c>
    </row>
    <row r="21387" customFormat="false" ht="12.8" hidden="false" customHeight="false" outlineLevel="0" collapsed="false">
      <c r="B21387" s="0" t="s">
        <v>1</v>
      </c>
    </row>
    <row r="21388" customFormat="false" ht="12.8" hidden="false" customHeight="false" outlineLevel="0" collapsed="false">
      <c r="B21388" s="0" t="s">
        <v>8</v>
      </c>
    </row>
    <row r="21390" customFormat="false" ht="12.8" hidden="false" customHeight="false" outlineLevel="0" collapsed="false">
      <c r="A21390" s="0" t="s">
        <v>8847</v>
      </c>
      <c r="B21390" s="0" t="str">
        <f aca="false">HYPERLINK("https://lindat.mff.cuni.cz/services/teitok/pdtc10/index.php?action=vallex&amp;frame=v-w2685f1", "odepisovat (v-w2685f1)")</f>
        <v>odepisovat (v-w2685f1)</v>
      </c>
    </row>
    <row r="21391" customFormat="false" ht="12.8" hidden="false" customHeight="false" outlineLevel="0" collapsed="false">
      <c r="B21391" s="0" t="s">
        <v>1</v>
      </c>
    </row>
    <row r="21392" customFormat="false" ht="12.8" hidden="false" customHeight="false" outlineLevel="0" collapsed="false">
      <c r="B21392" s="0" t="s">
        <v>52</v>
      </c>
    </row>
    <row r="21393" customFormat="false" ht="12.8" hidden="false" customHeight="false" outlineLevel="0" collapsed="false">
      <c r="B21393" s="0" t="s">
        <v>8848</v>
      </c>
    </row>
    <row r="21394" customFormat="false" ht="12.8" hidden="false" customHeight="false" outlineLevel="0" collapsed="false">
      <c r="B21394" s="0" t="s">
        <v>69</v>
      </c>
    </row>
    <row r="21396" customFormat="false" ht="12.8" hidden="false" customHeight="false" outlineLevel="0" collapsed="false">
      <c r="A21396" s="0" t="s">
        <v>8849</v>
      </c>
      <c r="B21396" s="0" t="str">
        <f aca="false">HYPERLINK("https://lindat.mff.cuni.cz/services/teitok/pdtc10/index.php?action=vallex&amp;frame=v-w2688f3_ZU", "odepsat (v-w2688f3_ZU)")</f>
        <v>odepsat (v-w2688f3_ZU)</v>
      </c>
      <c r="E21396" s="0" t="str">
        <f aca="false">HYPERLINK("https://lindat.mff.cuni.cz/services/SynSemClass40/SynSemClass40.html?veclass=vec00453#vec00453-ces-cm00001", "vec00453")</f>
        <v>vec00453</v>
      </c>
      <c r="F21396" s="0" t="s">
        <v>8840</v>
      </c>
    </row>
    <row r="21397" customFormat="false" ht="12.8" hidden="false" customHeight="false" outlineLevel="0" collapsed="false">
      <c r="B21397" s="0" t="s">
        <v>1</v>
      </c>
      <c r="C21397" s="0" t="s">
        <v>3000</v>
      </c>
      <c r="E21397" s="0" t="s">
        <v>957</v>
      </c>
      <c r="F21397" s="0" t="s">
        <v>4123</v>
      </c>
    </row>
    <row r="21398" customFormat="false" ht="12.8" hidden="false" customHeight="false" outlineLevel="0" collapsed="false">
      <c r="B21398" s="0" t="s">
        <v>8</v>
      </c>
      <c r="C21398" s="0" t="s">
        <v>8841</v>
      </c>
      <c r="E21398" s="0" t="s">
        <v>2732</v>
      </c>
      <c r="F21398" s="0" t="s">
        <v>8842</v>
      </c>
    </row>
    <row r="21399" customFormat="false" ht="12.8" hidden="false" customHeight="false" outlineLevel="0" collapsed="false">
      <c r="B21399" s="0" t="s">
        <v>631</v>
      </c>
      <c r="C21399" s="0" t="s">
        <v>8843</v>
      </c>
      <c r="E21399" s="0" t="s">
        <v>8844</v>
      </c>
      <c r="F21399" s="0" t="s">
        <v>8845</v>
      </c>
    </row>
    <row r="21401" customFormat="false" ht="12.8" hidden="false" customHeight="false" outlineLevel="0" collapsed="false">
      <c r="A21401" s="0" t="s">
        <v>8850</v>
      </c>
      <c r="B21401" s="0" t="str">
        <f aca="false">HYPERLINK("https://lindat.mff.cuni.cz/services/teitok/pdtc10/index.php?action=vallex&amp;frame=v-w2688f1", "odepsat (v-w2688f1)")</f>
        <v>odepsat (v-w2688f1)</v>
      </c>
    </row>
    <row r="21402" customFormat="false" ht="12.8" hidden="false" customHeight="false" outlineLevel="0" collapsed="false">
      <c r="B21402" s="0" t="s">
        <v>1</v>
      </c>
    </row>
    <row r="21403" customFormat="false" ht="12.8" hidden="false" customHeight="false" outlineLevel="0" collapsed="false">
      <c r="B21403" s="0" t="s">
        <v>8</v>
      </c>
    </row>
    <row r="21405" customFormat="false" ht="12.8" hidden="false" customHeight="false" outlineLevel="0" collapsed="false">
      <c r="A21405" s="0" t="s">
        <v>8851</v>
      </c>
      <c r="B21405" s="0" t="str">
        <f aca="false">HYPERLINK("https://lindat.mff.cuni.cz/services/teitok/pdtc10/index.php?action=vallex&amp;frame=v-w2688f2", "odepsat (v-w2688f2)")</f>
        <v>odepsat (v-w2688f2)</v>
      </c>
    </row>
    <row r="21406" customFormat="false" ht="12.8" hidden="false" customHeight="false" outlineLevel="0" collapsed="false">
      <c r="B21406" s="0" t="s">
        <v>1</v>
      </c>
    </row>
    <row r="21407" customFormat="false" ht="12.8" hidden="false" customHeight="false" outlineLevel="0" collapsed="false">
      <c r="B21407" s="0" t="s">
        <v>52</v>
      </c>
    </row>
    <row r="21408" customFormat="false" ht="12.8" hidden="false" customHeight="false" outlineLevel="0" collapsed="false">
      <c r="B21408" s="0" t="s">
        <v>8848</v>
      </c>
    </row>
    <row r="21409" customFormat="false" ht="12.8" hidden="false" customHeight="false" outlineLevel="0" collapsed="false">
      <c r="B21409" s="0" t="s">
        <v>69</v>
      </c>
    </row>
    <row r="21411" customFormat="false" ht="12.8" hidden="false" customHeight="false" outlineLevel="0" collapsed="false">
      <c r="A21411" s="0" t="s">
        <v>8852</v>
      </c>
      <c r="B21411" s="0" t="str">
        <f aca="false">HYPERLINK("https://lindat.mff.cuni.cz/services/teitok/pdtc10/index.php?action=vallex&amp;frame=v-w10163f2", "odepírat (v-w10163f2)")</f>
        <v>odepírat (v-w10163f2)</v>
      </c>
    </row>
    <row r="21412" customFormat="false" ht="12.8" hidden="false" customHeight="false" outlineLevel="0" collapsed="false">
      <c r="B21412" s="0" t="s">
        <v>1</v>
      </c>
    </row>
    <row r="21413" customFormat="false" ht="12.8" hidden="false" customHeight="false" outlineLevel="0" collapsed="false">
      <c r="B21413" s="0" t="s">
        <v>8853</v>
      </c>
    </row>
    <row r="21414" customFormat="false" ht="12.8" hidden="false" customHeight="false" outlineLevel="0" collapsed="false">
      <c r="B21414" s="0" t="s">
        <v>52</v>
      </c>
    </row>
    <row r="21416" customFormat="false" ht="12.8" hidden="false" customHeight="false" outlineLevel="0" collapsed="false">
      <c r="A21416" s="0" t="s">
        <v>8854</v>
      </c>
      <c r="B21416" s="0" t="str">
        <f aca="false">HYPERLINK("https://lindat.mff.cuni.cz/services/teitok/pdtc10/index.php?action=vallex&amp;frame=v-w2686f1", "odepřít (v-w2686f1)")</f>
        <v>odepřít (v-w2686f1)</v>
      </c>
      <c r="E21416" s="0" t="str">
        <f aca="false">HYPERLINK("https://lindat.mff.cuni.cz/services/SynSemClass40/SynSemClass40.html?veclass=vec00050#vec00050-ces-cm00006", "vec00050")</f>
        <v>vec00050</v>
      </c>
      <c r="F21416" s="0" t="s">
        <v>399</v>
      </c>
    </row>
    <row r="21417" customFormat="false" ht="12.8" hidden="false" customHeight="false" outlineLevel="0" collapsed="false">
      <c r="B21417" s="0" t="s">
        <v>1</v>
      </c>
      <c r="C21417" s="0" t="s">
        <v>400</v>
      </c>
      <c r="E21417" s="0" t="s">
        <v>206</v>
      </c>
      <c r="F21417" s="0" t="s">
        <v>401</v>
      </c>
    </row>
    <row r="21418" customFormat="false" ht="12.8" hidden="false" customHeight="false" outlineLevel="0" collapsed="false">
      <c r="B21418" s="0" t="s">
        <v>8853</v>
      </c>
      <c r="C21418" s="0" t="s">
        <v>403</v>
      </c>
      <c r="E21418" s="0" t="s">
        <v>66</v>
      </c>
      <c r="F21418" s="0" t="s">
        <v>404</v>
      </c>
    </row>
    <row r="21419" customFormat="false" ht="12.8" hidden="false" customHeight="false" outlineLevel="0" collapsed="false">
      <c r="B21419" s="0" t="s">
        <v>52</v>
      </c>
      <c r="C21419" s="0" t="s">
        <v>8855</v>
      </c>
      <c r="E21419" s="0" t="s">
        <v>8856</v>
      </c>
      <c r="F21419" s="0" t="s">
        <v>8857</v>
      </c>
    </row>
    <row r="21421" customFormat="false" ht="12.8" hidden="false" customHeight="false" outlineLevel="0" collapsed="false">
      <c r="A21421" s="0" t="s">
        <v>8858</v>
      </c>
      <c r="B21421" s="0" t="str">
        <f aca="false">HYPERLINK("https://lindat.mff.cuni.cz/services/teitok/pdtc10/index.php?action=vallex&amp;frame=v-w2691f2", "odeslat (v-w2691f2)")</f>
        <v>odeslat (v-w2691f2)</v>
      </c>
      <c r="E21421" s="0" t="str">
        <f aca="false">HYPERLINK("https://lindat.mff.cuni.cz/services/SynSemClass40/SynSemClass40.html?veclass=vec00209#vec00209-ces-cm00035", "vec00209")</f>
        <v>vec00209</v>
      </c>
      <c r="F21421" s="0" t="s">
        <v>2040</v>
      </c>
    </row>
    <row r="21422" customFormat="false" ht="12.8" hidden="false" customHeight="false" outlineLevel="0" collapsed="false">
      <c r="B21422" s="0" t="s">
        <v>1</v>
      </c>
      <c r="C21422" s="0" t="s">
        <v>2041</v>
      </c>
      <c r="E21422" s="0" t="s">
        <v>1784</v>
      </c>
      <c r="F21422" s="0" t="s">
        <v>2042</v>
      </c>
    </row>
    <row r="21423" customFormat="false" ht="12.8" hidden="false" customHeight="false" outlineLevel="0" collapsed="false">
      <c r="B21423" s="0" t="s">
        <v>8</v>
      </c>
      <c r="C21423" s="0" t="s">
        <v>2043</v>
      </c>
      <c r="E21423" s="0" t="s">
        <v>1787</v>
      </c>
      <c r="F21423" s="0" t="s">
        <v>2044</v>
      </c>
    </row>
    <row r="21424" customFormat="false" ht="12.8" hidden="false" customHeight="false" outlineLevel="0" collapsed="false">
      <c r="B21424" s="0" t="s">
        <v>52</v>
      </c>
      <c r="C21424" s="0" t="s">
        <v>2046</v>
      </c>
      <c r="E21424" s="0" t="s">
        <v>53</v>
      </c>
      <c r="F21424" s="0" t="s">
        <v>2047</v>
      </c>
    </row>
    <row r="21426" customFormat="false" ht="12.8" hidden="false" customHeight="false" outlineLevel="0" collapsed="false">
      <c r="A21426" s="0" t="s">
        <v>8859</v>
      </c>
      <c r="B21426" s="0" t="str">
        <f aca="false">HYPERLINK("https://lindat.mff.cuni.cz/services/teitok/pdtc10/index.php?action=vallex&amp;frame=v-w2691f1", "odeslat (v-w2691f1)")</f>
        <v>odeslat (v-w2691f1)</v>
      </c>
      <c r="E21426" s="0" t="str">
        <f aca="false">HYPERLINK("https://lindat.mff.cuni.cz/services/SynSemClass40/SynSemClass40.html?veclass=vec00209#vec00209-ces-cm00034", "vec00209")</f>
        <v>vec00209</v>
      </c>
      <c r="F21426" s="0" t="s">
        <v>2040</v>
      </c>
    </row>
    <row r="21427" customFormat="false" ht="12.8" hidden="false" customHeight="false" outlineLevel="0" collapsed="false">
      <c r="B21427" s="0" t="s">
        <v>1</v>
      </c>
      <c r="C21427" s="0" t="s">
        <v>2041</v>
      </c>
      <c r="E21427" s="0" t="s">
        <v>1784</v>
      </c>
      <c r="F21427" s="0" t="s">
        <v>2042</v>
      </c>
    </row>
    <row r="21428" customFormat="false" ht="12.8" hidden="false" customHeight="false" outlineLevel="0" collapsed="false">
      <c r="B21428" s="0" t="s">
        <v>8</v>
      </c>
      <c r="C21428" s="0" t="s">
        <v>2043</v>
      </c>
      <c r="E21428" s="0" t="s">
        <v>1787</v>
      </c>
      <c r="F21428" s="0" t="s">
        <v>2044</v>
      </c>
    </row>
    <row r="21429" customFormat="false" ht="12.8" hidden="false" customHeight="false" outlineLevel="0" collapsed="false">
      <c r="B21429" s="0" t="s">
        <v>164</v>
      </c>
      <c r="C21429" s="0" t="s">
        <v>2654</v>
      </c>
      <c r="E21429" s="0" t="s">
        <v>2212</v>
      </c>
      <c r="F21429" s="0" t="s">
        <v>2651</v>
      </c>
    </row>
    <row r="21431" customFormat="false" ht="12.8" hidden="false" customHeight="false" outlineLevel="0" collapsed="false">
      <c r="A21431" s="0" t="s">
        <v>8860</v>
      </c>
      <c r="B21431" s="0" t="str">
        <f aca="false">HYPERLINK("https://lindat.mff.cuni.cz/services/teitok/pdtc10/index.php?action=vallex&amp;frame=v-whsa_766hsa_767", "odesílat (v-whsa_766hsa_767)")</f>
        <v>odesílat (v-whsa_766hsa_767)</v>
      </c>
    </row>
    <row r="21432" customFormat="false" ht="12.8" hidden="false" customHeight="false" outlineLevel="0" collapsed="false">
      <c r="B21432" s="0" t="s">
        <v>1</v>
      </c>
    </row>
    <row r="21433" customFormat="false" ht="12.8" hidden="false" customHeight="false" outlineLevel="0" collapsed="false">
      <c r="B21433" s="0" t="s">
        <v>8</v>
      </c>
    </row>
    <row r="21434" customFormat="false" ht="12.8" hidden="false" customHeight="false" outlineLevel="0" collapsed="false">
      <c r="B21434" s="0" t="s">
        <v>52</v>
      </c>
    </row>
    <row r="21436" customFormat="false" ht="12.8" hidden="false" customHeight="false" outlineLevel="0" collapsed="false">
      <c r="A21436" s="0" t="s">
        <v>8861</v>
      </c>
      <c r="B21436" s="0" t="str">
        <f aca="false">HYPERLINK("https://lindat.mff.cuni.cz/services/teitok/pdtc10/index.php?action=vallex&amp;frame=v-w2694f1", "odevzdat (v-w2694f1)")</f>
        <v>odevzdat (v-w2694f1)</v>
      </c>
    </row>
    <row r="21437" customFormat="false" ht="12.8" hidden="false" customHeight="false" outlineLevel="0" collapsed="false">
      <c r="B21437" s="0" t="s">
        <v>1</v>
      </c>
    </row>
    <row r="21438" customFormat="false" ht="12.8" hidden="false" customHeight="false" outlineLevel="0" collapsed="false">
      <c r="B21438" s="0" t="s">
        <v>8</v>
      </c>
    </row>
    <row r="21439" customFormat="false" ht="12.8" hidden="false" customHeight="false" outlineLevel="0" collapsed="false">
      <c r="B21439" s="0" t="s">
        <v>52</v>
      </c>
    </row>
    <row r="21441" customFormat="false" ht="12.8" hidden="false" customHeight="false" outlineLevel="0" collapsed="false">
      <c r="A21441" s="0" t="s">
        <v>8862</v>
      </c>
      <c r="B21441" s="0" t="str">
        <f aca="false">HYPERLINK("https://lindat.mff.cuni.cz/services/teitok/pdtc10/index.php?action=vallex&amp;frame=v-w2694f2", "odevzdat (v-w2694f2)")</f>
        <v>odevzdat (v-w2694f2)</v>
      </c>
    </row>
    <row r="21442" customFormat="false" ht="12.8" hidden="false" customHeight="false" outlineLevel="0" collapsed="false">
      <c r="B21442" s="0" t="s">
        <v>1</v>
      </c>
    </row>
    <row r="21443" customFormat="false" ht="12.8" hidden="false" customHeight="false" outlineLevel="0" collapsed="false">
      <c r="B21443" s="0" t="s">
        <v>8</v>
      </c>
    </row>
    <row r="21444" customFormat="false" ht="12.8" hidden="false" customHeight="false" outlineLevel="0" collapsed="false">
      <c r="B21444" s="0" t="s">
        <v>5</v>
      </c>
    </row>
    <row r="21446" customFormat="false" ht="12.8" hidden="false" customHeight="false" outlineLevel="0" collapsed="false">
      <c r="A21446" s="0" t="s">
        <v>8863</v>
      </c>
      <c r="B21446" s="0" t="str">
        <f aca="false">HYPERLINK("https://lindat.mff.cuni.cz/services/teitok/pdtc10/index.php?action=vallex&amp;frame=v-w2694f3", "odevzdat (v-w2694f3)")</f>
        <v>odevzdat (v-w2694f3)</v>
      </c>
    </row>
    <row r="21447" customFormat="false" ht="12.8" hidden="false" customHeight="false" outlineLevel="0" collapsed="false">
      <c r="B21447" s="0" t="s">
        <v>1</v>
      </c>
    </row>
    <row r="21448" customFormat="false" ht="12.8" hidden="false" customHeight="false" outlineLevel="0" collapsed="false">
      <c r="B21448" s="0" t="s">
        <v>8</v>
      </c>
    </row>
    <row r="21449" customFormat="false" ht="12.8" hidden="false" customHeight="false" outlineLevel="0" collapsed="false">
      <c r="B21449" s="0" t="s">
        <v>164</v>
      </c>
    </row>
    <row r="21451" customFormat="false" ht="12.8" hidden="false" customHeight="false" outlineLevel="0" collapsed="false">
      <c r="A21451" s="0" t="s">
        <v>8864</v>
      </c>
      <c r="B21451" s="0" t="str">
        <f aca="false">HYPERLINK("https://lindat.mff.cuni.cz/services/teitok/pdtc10/index.php?action=vallex&amp;frame=v-w2696f1", "odevzdávat (v-w2696f1)")</f>
        <v>odevzdávat (v-w2696f1)</v>
      </c>
      <c r="E21451" s="0" t="str">
        <f aca="false">HYPERLINK("https://lindat.mff.cuni.cz/services/SynSemClass40/SynSemClass40.html?veclass=vec00497#vec00497-ces-cm00065", "vec00497")</f>
        <v>vec00497</v>
      </c>
      <c r="F21451" s="0" t="s">
        <v>8865</v>
      </c>
      <c r="H21451" s="0" t="str">
        <f aca="false">HYPERLINK("https://lindat.mff.cuni.cz/services/SynSemClass40/SynSemClass40.html?veclass=vec01087#vec01087-ces-cm00147", "vec01087")</f>
        <v>vec01087</v>
      </c>
      <c r="I21451" s="0" t="s">
        <v>1863</v>
      </c>
    </row>
    <row r="21452" customFormat="false" ht="12.8" hidden="false" customHeight="false" outlineLevel="0" collapsed="false">
      <c r="B21452" s="0" t="s">
        <v>1</v>
      </c>
      <c r="C21452" s="0" t="s">
        <v>7922</v>
      </c>
      <c r="E21452" s="0" t="s">
        <v>4416</v>
      </c>
      <c r="F21452" s="0" t="s">
        <v>8866</v>
      </c>
      <c r="H21452" s="0" t="s">
        <v>1868</v>
      </c>
      <c r="I21452" s="0" t="s">
        <v>1869</v>
      </c>
    </row>
    <row r="21453" customFormat="false" ht="12.8" hidden="false" customHeight="false" outlineLevel="0" collapsed="false">
      <c r="B21453" s="0" t="s">
        <v>8</v>
      </c>
      <c r="C21453" s="0" t="s">
        <v>8867</v>
      </c>
      <c r="E21453" s="0" t="s">
        <v>2111</v>
      </c>
      <c r="F21453" s="0" t="s">
        <v>8868</v>
      </c>
      <c r="H21453" s="0" t="s">
        <v>1875</v>
      </c>
      <c r="I21453" s="0" t="s">
        <v>1876</v>
      </c>
    </row>
    <row r="21454" customFormat="false" ht="12.8" hidden="false" customHeight="false" outlineLevel="0" collapsed="false">
      <c r="B21454" s="0" t="s">
        <v>52</v>
      </c>
      <c r="C21454" s="0" t="s">
        <v>8869</v>
      </c>
      <c r="E21454" s="0" t="s">
        <v>53</v>
      </c>
      <c r="F21454" s="0" t="s">
        <v>8870</v>
      </c>
      <c r="H21454" s="0" t="s">
        <v>53</v>
      </c>
      <c r="I21454" s="0" t="s">
        <v>1880</v>
      </c>
    </row>
    <row r="21456" customFormat="false" ht="12.8" hidden="false" customHeight="false" outlineLevel="0" collapsed="false">
      <c r="A21456" s="0" t="s">
        <v>8871</v>
      </c>
      <c r="B21456" s="0" t="str">
        <f aca="false">HYPERLINK("https://lindat.mff.cuni.cz/services/teitok/pdtc10/index.php?action=vallex&amp;frame=v-w2696f3", "odevzdávat (v-w2696f3)")</f>
        <v>odevzdávat (v-w2696f3)</v>
      </c>
    </row>
    <row r="21457" customFormat="false" ht="12.8" hidden="false" customHeight="false" outlineLevel="0" collapsed="false">
      <c r="B21457" s="0" t="s">
        <v>1</v>
      </c>
    </row>
    <row r="21458" customFormat="false" ht="12.8" hidden="false" customHeight="false" outlineLevel="0" collapsed="false">
      <c r="B21458" s="0" t="s">
        <v>8</v>
      </c>
    </row>
    <row r="21459" customFormat="false" ht="12.8" hidden="false" customHeight="false" outlineLevel="0" collapsed="false">
      <c r="B21459" s="0" t="s">
        <v>5</v>
      </c>
    </row>
    <row r="21461" customFormat="false" ht="12.8" hidden="false" customHeight="false" outlineLevel="0" collapsed="false">
      <c r="A21461" s="0" t="s">
        <v>8872</v>
      </c>
      <c r="B21461" s="0" t="str">
        <f aca="false">HYPERLINK("https://lindat.mff.cuni.cz/services/teitok/pdtc10/index.php?action=vallex&amp;frame=v-w2696f2", "odevzdávat (v-w2696f2)")</f>
        <v>odevzdávat (v-w2696f2)</v>
      </c>
      <c r="E21461" s="0" t="str">
        <f aca="false">HYPERLINK("https://lindat.mff.cuni.cz/services/SynSemClass40/SynSemClass40.html?veclass=vec01087#vec01087-ces-cm00148", "vec01087")</f>
        <v>vec01087</v>
      </c>
      <c r="F21461" s="0" t="s">
        <v>1863</v>
      </c>
    </row>
    <row r="21462" customFormat="false" ht="12.8" hidden="false" customHeight="false" outlineLevel="0" collapsed="false">
      <c r="B21462" s="0" t="s">
        <v>1</v>
      </c>
      <c r="C21462" s="0" t="s">
        <v>5752</v>
      </c>
      <c r="E21462" s="0" t="s">
        <v>1868</v>
      </c>
      <c r="F21462" s="0" t="s">
        <v>1869</v>
      </c>
    </row>
    <row r="21463" customFormat="false" ht="12.8" hidden="false" customHeight="false" outlineLevel="0" collapsed="false">
      <c r="B21463" s="0" t="s">
        <v>8</v>
      </c>
      <c r="C21463" s="0" t="s">
        <v>8873</v>
      </c>
      <c r="E21463" s="0" t="s">
        <v>1875</v>
      </c>
      <c r="F21463" s="0" t="s">
        <v>1876</v>
      </c>
    </row>
    <row r="21464" customFormat="false" ht="12.8" hidden="false" customHeight="false" outlineLevel="0" collapsed="false">
      <c r="B21464" s="0" t="s">
        <v>164</v>
      </c>
      <c r="C21464" s="0" t="s">
        <v>8874</v>
      </c>
      <c r="E21464" s="0" t="s">
        <v>2212</v>
      </c>
      <c r="F21464" s="0" t="s">
        <v>8875</v>
      </c>
    </row>
    <row r="21466" customFormat="false" ht="12.8" hidden="false" customHeight="false" outlineLevel="0" collapsed="false">
      <c r="A21466" s="0" t="s">
        <v>8876</v>
      </c>
      <c r="B21466" s="0" t="str">
        <f aca="false">HYPERLINK("https://lindat.mff.cuni.cz/services/teitok/pdtc10/index.php?action=vallex&amp;frame=v-w2698f1", "odeznít (v-w2698f1)")</f>
        <v>odeznít (v-w2698f1)</v>
      </c>
      <c r="E21466" s="0" t="str">
        <f aca="false">HYPERLINK("https://lindat.mff.cuni.cz/services/SynSemClass40/SynSemClass40.html?veclass=vec00113#vec00113-ces-cm00091", "vec00113")</f>
        <v>vec00113</v>
      </c>
      <c r="F21466" s="0" t="s">
        <v>2122</v>
      </c>
    </row>
    <row r="21467" customFormat="false" ht="12.8" hidden="false" customHeight="false" outlineLevel="0" collapsed="false">
      <c r="B21467" s="0" t="s">
        <v>1</v>
      </c>
      <c r="C21467" s="0" t="s">
        <v>4146</v>
      </c>
      <c r="E21467" s="0" t="s">
        <v>1084</v>
      </c>
      <c r="F21467" s="0" t="s">
        <v>2124</v>
      </c>
    </row>
    <row r="21469" customFormat="false" ht="12.8" hidden="false" customHeight="false" outlineLevel="0" collapsed="false">
      <c r="A21469" s="0" t="s">
        <v>8877</v>
      </c>
      <c r="B21469" s="0" t="str">
        <f aca="false">HYPERLINK("https://lindat.mff.cuni.cz/services/teitok/pdtc10/index.php?action=vallex&amp;frame=v-whsa_1572hsa_1573", "odeznívat (v-whsa_1572hsa_1573)")</f>
        <v>odeznívat (v-whsa_1572hsa_1573)</v>
      </c>
    </row>
    <row r="21470" customFormat="false" ht="12.8" hidden="false" customHeight="false" outlineLevel="0" collapsed="false">
      <c r="B21470" s="0" t="s">
        <v>1</v>
      </c>
    </row>
    <row r="21472" customFormat="false" ht="12.8" hidden="false" customHeight="false" outlineLevel="0" collapsed="false">
      <c r="A21472" s="0" t="s">
        <v>8878</v>
      </c>
      <c r="B21472" s="0" t="str">
        <f aca="false">HYPERLINK("https://lindat.mff.cuni.cz/services/teitok/pdtc10/index.php?action=vallex&amp;frame=v-w2675f1", "odečíst (v-w2675f1)")</f>
        <v>odečíst (v-w2675f1)</v>
      </c>
      <c r="E21472" s="0" t="str">
        <f aca="false">HYPERLINK("https://lindat.mff.cuni.cz/services/SynSemClass40/SynSemClass40.html?veclass=vec00649#vec00649-ces-cm00001", "vec00649")</f>
        <v>vec00649</v>
      </c>
      <c r="F21472" s="0" t="s">
        <v>8879</v>
      </c>
    </row>
    <row r="21473" customFormat="false" ht="12.8" hidden="false" customHeight="false" outlineLevel="0" collapsed="false">
      <c r="B21473" s="0" t="s">
        <v>1</v>
      </c>
      <c r="C21473" s="0" t="s">
        <v>7518</v>
      </c>
      <c r="E21473" s="0" t="s">
        <v>31</v>
      </c>
      <c r="F21473" s="0" t="s">
        <v>7519</v>
      </c>
    </row>
    <row r="21474" customFormat="false" ht="12.8" hidden="false" customHeight="false" outlineLevel="0" collapsed="false">
      <c r="B21474" s="0" t="s">
        <v>8</v>
      </c>
      <c r="C21474" s="0" t="s">
        <v>2627</v>
      </c>
      <c r="E21474" s="0" t="s">
        <v>4094</v>
      </c>
      <c r="F21474" s="0" t="s">
        <v>8880</v>
      </c>
    </row>
    <row r="21475" customFormat="false" ht="12.8" hidden="false" customHeight="false" outlineLevel="0" collapsed="false">
      <c r="B21475" s="0" t="s">
        <v>631</v>
      </c>
      <c r="E21475" s="0" t="s">
        <v>8881</v>
      </c>
      <c r="F21475" s="0" t="s">
        <v>8882</v>
      </c>
    </row>
    <row r="21477" customFormat="false" ht="12.8" hidden="false" customHeight="false" outlineLevel="0" collapsed="false">
      <c r="A21477" s="0" t="s">
        <v>8883</v>
      </c>
      <c r="B21477" s="0" t="str">
        <f aca="false">HYPERLINK("https://lindat.mff.cuni.cz/services/teitok/pdtc10/index.php?action=vallex&amp;frame=v-w2677f1", "odečítat (v-w2677f1)")</f>
        <v>odečítat (v-w2677f1)</v>
      </c>
      <c r="E21477" s="0" t="str">
        <f aca="false">HYPERLINK("https://lindat.mff.cuni.cz/services/SynSemClass40/SynSemClass40.html?veclass=vec00649#vec00649-ces-cm00004", "vec00649")</f>
        <v>vec00649</v>
      </c>
      <c r="F21477" s="0" t="s">
        <v>8879</v>
      </c>
    </row>
    <row r="21478" customFormat="false" ht="12.8" hidden="false" customHeight="false" outlineLevel="0" collapsed="false">
      <c r="B21478" s="0" t="s">
        <v>1</v>
      </c>
      <c r="C21478" s="0" t="s">
        <v>7518</v>
      </c>
      <c r="E21478" s="0" t="s">
        <v>31</v>
      </c>
      <c r="F21478" s="0" t="s">
        <v>7519</v>
      </c>
    </row>
    <row r="21479" customFormat="false" ht="12.8" hidden="false" customHeight="false" outlineLevel="0" collapsed="false">
      <c r="B21479" s="0" t="s">
        <v>8</v>
      </c>
      <c r="C21479" s="0" t="s">
        <v>2627</v>
      </c>
      <c r="E21479" s="0" t="s">
        <v>4094</v>
      </c>
      <c r="F21479" s="0" t="s">
        <v>8880</v>
      </c>
    </row>
    <row r="21480" customFormat="false" ht="12.8" hidden="false" customHeight="false" outlineLevel="0" collapsed="false">
      <c r="B21480" s="0" t="s">
        <v>631</v>
      </c>
      <c r="E21480" s="0" t="s">
        <v>8881</v>
      </c>
      <c r="F21480" s="0" t="s">
        <v>8882</v>
      </c>
    </row>
    <row r="21482" customFormat="false" ht="12.8" hidden="false" customHeight="false" outlineLevel="0" collapsed="false">
      <c r="A21482" s="0" t="s">
        <v>8884</v>
      </c>
      <c r="B21482" s="0" t="str">
        <f aca="false">HYPERLINK("https://lindat.mff.cuni.cz/services/teitok/pdtc10/index.php?action=vallex&amp;frame=v-w2677f2", "odečítat (v-w2677f2)")</f>
        <v>odečítat (v-w2677f2)</v>
      </c>
    </row>
    <row r="21483" customFormat="false" ht="12.8" hidden="false" customHeight="false" outlineLevel="0" collapsed="false">
      <c r="B21483" s="0" t="s">
        <v>1</v>
      </c>
    </row>
    <row r="21484" customFormat="false" ht="12.8" hidden="false" customHeight="false" outlineLevel="0" collapsed="false">
      <c r="B21484" s="0" t="s">
        <v>631</v>
      </c>
    </row>
    <row r="21486" customFormat="false" ht="12.8" hidden="false" customHeight="false" outlineLevel="0" collapsed="false">
      <c r="A21486" s="0" t="s">
        <v>8885</v>
      </c>
      <c r="B21486" s="0" t="str">
        <f aca="false">HYPERLINK("https://lindat.mff.cuni.cz/services/teitok/pdtc10/index.php?action=vallex&amp;frame=v-w11741_ZUf1_ZU", "odfouknout (v-w11741_ZUf1_ZU)")</f>
        <v>odfouknout (v-w11741_ZUf1_ZU)</v>
      </c>
    </row>
    <row r="21487" customFormat="false" ht="12.8" hidden="false" customHeight="false" outlineLevel="0" collapsed="false">
      <c r="B21487" s="0" t="s">
        <v>1</v>
      </c>
    </row>
    <row r="21488" customFormat="false" ht="12.8" hidden="false" customHeight="false" outlineLevel="0" collapsed="false">
      <c r="B21488" s="0" t="s">
        <v>8</v>
      </c>
    </row>
    <row r="21489" customFormat="false" ht="12.8" hidden="false" customHeight="false" outlineLevel="0" collapsed="false">
      <c r="B21489" s="0" t="s">
        <v>6273</v>
      </c>
    </row>
    <row r="21491" customFormat="false" ht="12.8" hidden="false" customHeight="false" outlineLevel="0" collapsed="false">
      <c r="A21491" s="0" t="s">
        <v>8886</v>
      </c>
      <c r="B21491" s="0" t="str">
        <f aca="false">HYPERLINK("https://lindat.mff.cuni.cz/services/teitok/pdtc10/index.php?action=vallex&amp;frame=v-w11379f1", "odfrknout si (v-w11379f1)")</f>
        <v>odfrknout si (v-w11379f1)</v>
      </c>
      <c r="E21491" s="0" t="str">
        <f aca="false">HYPERLINK("https://lindat.mff.cuni.cz/services/SynSemClass40/SynSemClass40.html?veclass=vec01056#vec01056-ces-cm00001", "vec01056")</f>
        <v>vec01056</v>
      </c>
      <c r="F21491" s="0" t="s">
        <v>8887</v>
      </c>
    </row>
    <row r="21492" customFormat="false" ht="12.8" hidden="false" customHeight="false" outlineLevel="0" collapsed="false">
      <c r="B21492" s="0" t="s">
        <v>1</v>
      </c>
      <c r="C21492" s="0" t="s">
        <v>512</v>
      </c>
      <c r="E21492" s="0" t="s">
        <v>147</v>
      </c>
      <c r="F21492" s="0" t="s">
        <v>529</v>
      </c>
    </row>
    <row r="21493" customFormat="false" ht="12.8" hidden="false" customHeight="false" outlineLevel="0" collapsed="false">
      <c r="B21493" s="0" t="s">
        <v>1332</v>
      </c>
      <c r="C21493" s="0" t="s">
        <v>800</v>
      </c>
      <c r="E21493" s="0" t="s">
        <v>50</v>
      </c>
      <c r="F21493" s="0" t="s">
        <v>8888</v>
      </c>
    </row>
    <row r="21495" customFormat="false" ht="12.8" hidden="false" customHeight="false" outlineLevel="0" collapsed="false">
      <c r="A21495" s="0" t="s">
        <v>8889</v>
      </c>
      <c r="B21495" s="0" t="str">
        <f aca="false">HYPERLINK("https://lindat.mff.cuni.cz/services/teitok/pdtc10/index.php?action=vallex&amp;frame=v-w2701f2", "odhadnout (v-w2701f2)")</f>
        <v>odhadnout (v-w2701f2)</v>
      </c>
      <c r="E21495" s="0" t="str">
        <f aca="false">HYPERLINK("https://lindat.mff.cuni.cz/services/SynSemClass40/SynSemClass40.html?veclass=vec00159#vec00159-ces-cm00036", "vec00159")</f>
        <v>vec00159</v>
      </c>
      <c r="F21495" s="0" t="s">
        <v>4454</v>
      </c>
      <c r="H21495" s="0" t="str">
        <f aca="false">HYPERLINK("https://lindat.mff.cuni.cz/services/SynSemClass40/SynSemClass40.html?veclass=vec00322#vec00322-ces-cm00101", "vec00322")</f>
        <v>vec00322</v>
      </c>
      <c r="I21495" s="0" t="s">
        <v>1343</v>
      </c>
    </row>
    <row r="21496" customFormat="false" ht="12.8" hidden="false" customHeight="false" outlineLevel="0" collapsed="false">
      <c r="B21496" s="0" t="s">
        <v>1</v>
      </c>
      <c r="C21496" s="0" t="s">
        <v>8890</v>
      </c>
      <c r="E21496" s="0" t="s">
        <v>4455</v>
      </c>
      <c r="F21496" s="0" t="s">
        <v>4456</v>
      </c>
      <c r="H21496" s="0" t="s">
        <v>206</v>
      </c>
      <c r="I21496" s="0" t="s">
        <v>1345</v>
      </c>
    </row>
    <row r="21497" customFormat="false" ht="12.8" hidden="false" customHeight="false" outlineLevel="0" collapsed="false">
      <c r="B21497" s="0" t="s">
        <v>59</v>
      </c>
      <c r="C21497" s="0" t="s">
        <v>8891</v>
      </c>
      <c r="E21497" s="0" t="s">
        <v>180</v>
      </c>
      <c r="F21497" s="0" t="s">
        <v>4457</v>
      </c>
      <c r="H21497" s="0" t="s">
        <v>1347</v>
      </c>
      <c r="I21497" s="0" t="s">
        <v>1348</v>
      </c>
    </row>
    <row r="21498" customFormat="false" ht="12.8" hidden="false" customHeight="false" outlineLevel="0" collapsed="false">
      <c r="B21498" s="0" t="s">
        <v>40</v>
      </c>
      <c r="C21498" s="0" t="s">
        <v>1349</v>
      </c>
      <c r="E21498" s="0" t="s">
        <v>1350</v>
      </c>
      <c r="F21498" s="0" t="s">
        <v>4459</v>
      </c>
      <c r="H21498" s="0" t="s">
        <v>1350</v>
      </c>
      <c r="I21498" s="0" t="s">
        <v>1351</v>
      </c>
    </row>
    <row r="21500" customFormat="false" ht="12.8" hidden="false" customHeight="false" outlineLevel="0" collapsed="false">
      <c r="A21500" s="0" t="s">
        <v>8892</v>
      </c>
      <c r="B21500" s="0" t="str">
        <f aca="false">HYPERLINK("https://lindat.mff.cuni.cz/services/teitok/pdtc10/index.php?action=vallex&amp;frame=v-w2701f1", "odhadnout (v-w2701f1)")</f>
        <v>odhadnout (v-w2701f1)</v>
      </c>
      <c r="E21500" s="0" t="str">
        <f aca="false">HYPERLINK("https://lindat.mff.cuni.cz/services/SynSemClass40/SynSemClass40.html?veclass=vec00093#vec00093-ces-cm00007", "vec00093")</f>
        <v>vec00093</v>
      </c>
      <c r="F21500" s="0" t="s">
        <v>4708</v>
      </c>
    </row>
    <row r="21501" customFormat="false" ht="12.8" hidden="false" customHeight="false" outlineLevel="0" collapsed="false">
      <c r="B21501" s="0" t="s">
        <v>1</v>
      </c>
      <c r="C21501" s="0" t="s">
        <v>2758</v>
      </c>
      <c r="E21501" s="0" t="s">
        <v>4709</v>
      </c>
      <c r="F21501" s="0" t="s">
        <v>4710</v>
      </c>
    </row>
    <row r="21502" customFormat="false" ht="12.8" hidden="false" customHeight="false" outlineLevel="0" collapsed="false">
      <c r="B21502" s="0" t="s">
        <v>8893</v>
      </c>
      <c r="C21502" s="0" t="s">
        <v>4712</v>
      </c>
      <c r="E21502" s="0" t="s">
        <v>4713</v>
      </c>
      <c r="F21502" s="0" t="s">
        <v>4714</v>
      </c>
    </row>
    <row r="21504" customFormat="false" ht="12.8" hidden="false" customHeight="false" outlineLevel="0" collapsed="false">
      <c r="A21504" s="0" t="s">
        <v>8894</v>
      </c>
      <c r="B21504" s="0" t="str">
        <f aca="false">HYPERLINK("https://lindat.mff.cuni.cz/services/teitok/pdtc10/index.php?action=vallex&amp;frame=v-w2702f2", "odhadovat (v-w2702f2)")</f>
        <v>odhadovat (v-w2702f2)</v>
      </c>
      <c r="E21504" s="0" t="str">
        <f aca="false">HYPERLINK("https://lindat.mff.cuni.cz/services/SynSemClass40/SynSemClass40.html?veclass=vec00159#vec00159-ces-cm00037", "vec00159")</f>
        <v>vec00159</v>
      </c>
      <c r="F21504" s="0" t="s">
        <v>4454</v>
      </c>
      <c r="H21504" s="0" t="str">
        <f aca="false">HYPERLINK("https://lindat.mff.cuni.cz/services/SynSemClass40/SynSemClass40.html?veclass=vec00322#vec00322-ces-cm00005", "vec00322")</f>
        <v>vec00322</v>
      </c>
      <c r="I21504" s="0" t="s">
        <v>1343</v>
      </c>
    </row>
    <row r="21505" customFormat="false" ht="12.8" hidden="false" customHeight="false" outlineLevel="0" collapsed="false">
      <c r="B21505" s="0" t="s">
        <v>1</v>
      </c>
      <c r="C21505" s="0" t="s">
        <v>8890</v>
      </c>
      <c r="E21505" s="0" t="s">
        <v>4455</v>
      </c>
      <c r="F21505" s="0" t="s">
        <v>4456</v>
      </c>
      <c r="H21505" s="0" t="s">
        <v>206</v>
      </c>
      <c r="I21505" s="0" t="s">
        <v>1345</v>
      </c>
    </row>
    <row r="21506" customFormat="false" ht="12.8" hidden="false" customHeight="false" outlineLevel="0" collapsed="false">
      <c r="B21506" s="0" t="s">
        <v>8</v>
      </c>
      <c r="C21506" s="0" t="s">
        <v>8891</v>
      </c>
      <c r="E21506" s="0" t="s">
        <v>180</v>
      </c>
      <c r="F21506" s="0" t="s">
        <v>4457</v>
      </c>
      <c r="H21506" s="0" t="s">
        <v>1347</v>
      </c>
      <c r="I21506" s="0" t="s">
        <v>1348</v>
      </c>
    </row>
    <row r="21507" customFormat="false" ht="12.8" hidden="false" customHeight="false" outlineLevel="0" collapsed="false">
      <c r="B21507" s="0" t="s">
        <v>101</v>
      </c>
      <c r="C21507" s="0" t="s">
        <v>1349</v>
      </c>
      <c r="E21507" s="0" t="s">
        <v>1350</v>
      </c>
      <c r="F21507" s="0" t="s">
        <v>4459</v>
      </c>
      <c r="H21507" s="0" t="s">
        <v>1350</v>
      </c>
      <c r="I21507" s="0" t="s">
        <v>1351</v>
      </c>
    </row>
    <row r="21509" customFormat="false" ht="12.8" hidden="false" customHeight="false" outlineLevel="0" collapsed="false">
      <c r="A21509" s="0" t="s">
        <v>8895</v>
      </c>
      <c r="B21509" s="0" t="str">
        <f aca="false">HYPERLINK("https://lindat.mff.cuni.cz/services/teitok/pdtc10/index.php?action=vallex&amp;frame=v-w2702f1", "odhadovat (v-w2702f1)")</f>
        <v>odhadovat (v-w2702f1)</v>
      </c>
      <c r="E21509" s="0" t="str">
        <f aca="false">HYPERLINK("https://lindat.mff.cuni.cz/services/SynSemClass40/SynSemClass40.html?veclass=vec00093#vec00093-ces-cm00009", "vec00093")</f>
        <v>vec00093</v>
      </c>
      <c r="F21509" s="0" t="s">
        <v>4708</v>
      </c>
    </row>
    <row r="21510" customFormat="false" ht="12.8" hidden="false" customHeight="false" outlineLevel="0" collapsed="false">
      <c r="B21510" s="0" t="s">
        <v>1</v>
      </c>
      <c r="C21510" s="0" t="s">
        <v>2758</v>
      </c>
      <c r="E21510" s="0" t="s">
        <v>4709</v>
      </c>
      <c r="F21510" s="0" t="s">
        <v>4710</v>
      </c>
    </row>
    <row r="21511" customFormat="false" ht="12.8" hidden="false" customHeight="false" outlineLevel="0" collapsed="false">
      <c r="B21511" s="0" t="s">
        <v>1838</v>
      </c>
      <c r="C21511" s="0" t="s">
        <v>4712</v>
      </c>
      <c r="E21511" s="0" t="s">
        <v>4713</v>
      </c>
      <c r="F21511" s="0" t="s">
        <v>4714</v>
      </c>
    </row>
    <row r="21513" customFormat="false" ht="12.8" hidden="false" customHeight="false" outlineLevel="0" collapsed="false">
      <c r="A21513" s="0" t="s">
        <v>8896</v>
      </c>
      <c r="B21513" s="0" t="str">
        <f aca="false">HYPERLINK("https://lindat.mff.cuni.cz/services/teitok/pdtc10/index.php?action=vallex&amp;frame=v-w2704f1", "odhalit (v-w2704f1)")</f>
        <v>odhalit (v-w2704f1)</v>
      </c>
      <c r="E21513" s="0" t="str">
        <f aca="false">HYPERLINK("https://lindat.mff.cuni.cz/services/SynSemClass40/SynSemClass40.html?veclass=vec00909#vec00909-ces-cm00015", "vec00909")</f>
        <v>vec00909</v>
      </c>
      <c r="F21513" s="0" t="s">
        <v>1954</v>
      </c>
      <c r="H21513" s="0" t="str">
        <f aca="false">HYPERLINK("https://lindat.mff.cuni.cz/services/SynSemClass40/SynSemClass40.html?veclass=vec01386#vec01386-ces-cm00006", "vec01386")</f>
        <v>vec01386</v>
      </c>
      <c r="I21513" s="0" t="s">
        <v>8897</v>
      </c>
    </row>
    <row r="21514" customFormat="false" ht="12.8" hidden="false" customHeight="false" outlineLevel="0" collapsed="false">
      <c r="B21514" s="0" t="s">
        <v>1</v>
      </c>
      <c r="C21514" s="0" t="s">
        <v>8898</v>
      </c>
      <c r="E21514" s="0" t="s">
        <v>621</v>
      </c>
      <c r="F21514" s="0" t="s">
        <v>1957</v>
      </c>
      <c r="H21514" s="0" t="s">
        <v>206</v>
      </c>
      <c r="I21514" s="0" t="s">
        <v>8899</v>
      </c>
    </row>
    <row r="21515" customFormat="false" ht="12.8" hidden="false" customHeight="false" outlineLevel="0" collapsed="false">
      <c r="B21515" s="0" t="s">
        <v>228</v>
      </c>
      <c r="C21515" s="0" t="s">
        <v>8900</v>
      </c>
      <c r="E21515" s="0" t="s">
        <v>180</v>
      </c>
      <c r="F21515" s="0" t="s">
        <v>1961</v>
      </c>
      <c r="H21515" s="0" t="s">
        <v>8901</v>
      </c>
      <c r="I21515" s="0" t="s">
        <v>8902</v>
      </c>
    </row>
    <row r="21517" customFormat="false" ht="12.8" hidden="false" customHeight="false" outlineLevel="0" collapsed="false">
      <c r="A21517" s="0" t="s">
        <v>8903</v>
      </c>
      <c r="B21517" s="0" t="str">
        <f aca="false">HYPERLINK("https://lindat.mff.cuni.cz/services/teitok/pdtc10/index.php?action=vallex&amp;frame=v-w2704f2", "odhalit (v-w2704f2)")</f>
        <v>odhalit (v-w2704f2)</v>
      </c>
    </row>
    <row r="21518" customFormat="false" ht="12.8" hidden="false" customHeight="false" outlineLevel="0" collapsed="false">
      <c r="B21518" s="0" t="s">
        <v>1</v>
      </c>
    </row>
    <row r="21519" customFormat="false" ht="12.8" hidden="false" customHeight="false" outlineLevel="0" collapsed="false">
      <c r="B21519" s="0" t="s">
        <v>8</v>
      </c>
    </row>
    <row r="21521" customFormat="false" ht="12.8" hidden="false" customHeight="false" outlineLevel="0" collapsed="false">
      <c r="A21521" s="0" t="s">
        <v>8904</v>
      </c>
      <c r="B21521" s="0" t="str">
        <f aca="false">HYPERLINK("https://lindat.mff.cuni.cz/services/teitok/pdtc10/index.php?action=vallex&amp;frame=v-w2706f1", "odhalovat (v-w2706f1)")</f>
        <v>odhalovat (v-w2706f1)</v>
      </c>
      <c r="E21521" s="0" t="str">
        <f aca="false">HYPERLINK("https://lindat.mff.cuni.cz/services/SynSemClass40/SynSemClass40.html?veclass=vec00909#vec00909-ces-cm00016", "vec00909")</f>
        <v>vec00909</v>
      </c>
      <c r="F21521" s="0" t="s">
        <v>1954</v>
      </c>
    </row>
    <row r="21522" customFormat="false" ht="12.8" hidden="false" customHeight="false" outlineLevel="0" collapsed="false">
      <c r="B21522" s="0" t="s">
        <v>1</v>
      </c>
      <c r="C21522" s="0" t="s">
        <v>4256</v>
      </c>
      <c r="E21522" s="0" t="s">
        <v>621</v>
      </c>
      <c r="F21522" s="0" t="s">
        <v>1957</v>
      </c>
    </row>
    <row r="21523" customFormat="false" ht="12.8" hidden="false" customHeight="false" outlineLevel="0" collapsed="false">
      <c r="B21523" s="0" t="s">
        <v>8893</v>
      </c>
      <c r="C21523" s="0" t="s">
        <v>4766</v>
      </c>
      <c r="E21523" s="0" t="s">
        <v>180</v>
      </c>
      <c r="F21523" s="0" t="s">
        <v>1961</v>
      </c>
    </row>
    <row r="21525" customFormat="false" ht="12.8" hidden="false" customHeight="false" outlineLevel="0" collapsed="false">
      <c r="A21525" s="0" t="s">
        <v>8905</v>
      </c>
      <c r="B21525" s="0" t="str">
        <f aca="false">HYPERLINK("https://lindat.mff.cuni.cz/services/teitok/pdtc10/index.php?action=vallex&amp;frame=v-w2706f2", "odhalovat (v-w2706f2)")</f>
        <v>odhalovat (v-w2706f2)</v>
      </c>
    </row>
    <row r="21526" customFormat="false" ht="12.8" hidden="false" customHeight="false" outlineLevel="0" collapsed="false">
      <c r="B21526" s="0" t="s">
        <v>1</v>
      </c>
    </row>
    <row r="21527" customFormat="false" ht="12.8" hidden="false" customHeight="false" outlineLevel="0" collapsed="false">
      <c r="B21527" s="0" t="s">
        <v>8</v>
      </c>
    </row>
    <row r="21529" customFormat="false" ht="12.8" hidden="false" customHeight="false" outlineLevel="0" collapsed="false">
      <c r="A21529" s="0" t="s">
        <v>8906</v>
      </c>
      <c r="B21529" s="0" t="str">
        <f aca="false">HYPERLINK("https://lindat.mff.cuni.cz/services/teitok/pdtc10/index.php?action=vallex&amp;frame=v-w10497f2", "odhazovat (v-w10497f2)")</f>
        <v>odhazovat (v-w10497f2)</v>
      </c>
      <c r="E21529" s="0" t="str">
        <f aca="false">HYPERLINK("https://lindat.mff.cuni.cz/services/SynSemClass40/SynSemClass40.html?veclass=vec00819#vec00819-ces-cm00015", "vec00819")</f>
        <v>vec00819</v>
      </c>
      <c r="F21529" s="0" t="s">
        <v>4399</v>
      </c>
    </row>
    <row r="21530" customFormat="false" ht="12.8" hidden="false" customHeight="false" outlineLevel="0" collapsed="false">
      <c r="B21530" s="0" t="s">
        <v>1</v>
      </c>
      <c r="C21530" s="0" t="s">
        <v>255</v>
      </c>
      <c r="E21530" s="0" t="s">
        <v>2196</v>
      </c>
      <c r="F21530" s="0" t="s">
        <v>4400</v>
      </c>
    </row>
    <row r="21531" customFormat="false" ht="12.8" hidden="false" customHeight="false" outlineLevel="0" collapsed="false">
      <c r="B21531" s="0" t="s">
        <v>8</v>
      </c>
      <c r="C21531" s="0" t="s">
        <v>4401</v>
      </c>
      <c r="E21531" s="0" t="s">
        <v>2200</v>
      </c>
      <c r="F21531" s="0" t="s">
        <v>4402</v>
      </c>
    </row>
    <row r="21533" customFormat="false" ht="12.8" hidden="false" customHeight="false" outlineLevel="0" collapsed="false">
      <c r="A21533" s="0" t="s">
        <v>8907</v>
      </c>
      <c r="B21533" s="0" t="str">
        <f aca="false">HYPERLINK("https://lindat.mff.cuni.cz/services/teitok/pdtc10/index.php?action=vallex&amp;frame=v-w2709f1", "odhlasovat (v-w2709f1)")</f>
        <v>odhlasovat (v-w2709f1)</v>
      </c>
      <c r="E21533" s="0" t="str">
        <f aca="false">HYPERLINK("https://lindat.mff.cuni.cz/services/SynSemClass40/SynSemClass40.html?veclass=vec00020#vec00020-ces-cm00003", "vec00020")</f>
        <v>vec00020</v>
      </c>
      <c r="F21533" s="0" t="s">
        <v>4293</v>
      </c>
    </row>
    <row r="21534" customFormat="false" ht="12.8" hidden="false" customHeight="false" outlineLevel="0" collapsed="false">
      <c r="B21534" s="0" t="s">
        <v>1</v>
      </c>
      <c r="C21534" s="0" t="s">
        <v>4294</v>
      </c>
      <c r="E21534" s="0" t="s">
        <v>31</v>
      </c>
      <c r="F21534" s="0" t="s">
        <v>4295</v>
      </c>
    </row>
    <row r="21535" customFormat="false" ht="12.8" hidden="false" customHeight="false" outlineLevel="0" collapsed="false">
      <c r="B21535" s="0" t="s">
        <v>216</v>
      </c>
      <c r="C21535" s="0" t="s">
        <v>1398</v>
      </c>
      <c r="E21535" s="0" t="s">
        <v>4297</v>
      </c>
      <c r="F21535" s="0" t="s">
        <v>4298</v>
      </c>
    </row>
    <row r="21537" customFormat="false" ht="12.8" hidden="false" customHeight="false" outlineLevel="0" collapsed="false">
      <c r="A21537" s="0" t="s">
        <v>8908</v>
      </c>
      <c r="B21537" s="0" t="str">
        <f aca="false">HYPERLINK("https://lindat.mff.cuni.cz/services/teitok/pdtc10/index.php?action=vallex&amp;frame=v-w2708f1", "odhlásit (v-w2708f1)")</f>
        <v>odhlásit (v-w2708f1)</v>
      </c>
    </row>
    <row r="21538" customFormat="false" ht="12.8" hidden="false" customHeight="false" outlineLevel="0" collapsed="false">
      <c r="B21538" s="0" t="s">
        <v>1</v>
      </c>
    </row>
    <row r="21539" customFormat="false" ht="12.8" hidden="false" customHeight="false" outlineLevel="0" collapsed="false">
      <c r="B21539" s="0" t="s">
        <v>8</v>
      </c>
    </row>
    <row r="21541" customFormat="false" ht="12.8" hidden="false" customHeight="false" outlineLevel="0" collapsed="false">
      <c r="A21541" s="0" t="s">
        <v>8909</v>
      </c>
      <c r="B21541" s="0" t="str">
        <f aca="false">HYPERLINK("https://lindat.mff.cuni.cz/services/teitok/pdtc10/index.php?action=vallex&amp;frame=v-w2712f1", "odhlédnout (v-w2712f1)")</f>
        <v>odhlédnout (v-w2712f1)</v>
      </c>
      <c r="E21541" s="0" t="str">
        <f aca="false">HYPERLINK("https://lindat.mff.cuni.cz/services/SynSemClass40/SynSemClass40.html?veclass=vec00558#vec00558-ces-cm00006", "vec00558")</f>
        <v>vec00558</v>
      </c>
      <c r="F21541" s="0" t="s">
        <v>8910</v>
      </c>
    </row>
    <row r="21542" customFormat="false" ht="12.8" hidden="false" customHeight="false" outlineLevel="0" collapsed="false">
      <c r="B21542" s="0" t="s">
        <v>1</v>
      </c>
      <c r="C21542" s="0" t="s">
        <v>3091</v>
      </c>
      <c r="E21542" s="0" t="s">
        <v>63</v>
      </c>
      <c r="F21542" s="0" t="s">
        <v>8911</v>
      </c>
    </row>
    <row r="21543" customFormat="false" ht="12.8" hidden="false" customHeight="false" outlineLevel="0" collapsed="false">
      <c r="B21543" s="0" t="s">
        <v>26</v>
      </c>
      <c r="C21543" s="0" t="s">
        <v>6985</v>
      </c>
      <c r="E21543" s="0" t="s">
        <v>8912</v>
      </c>
      <c r="F21543" s="0" t="s">
        <v>8913</v>
      </c>
    </row>
    <row r="21545" customFormat="false" ht="12.8" hidden="false" customHeight="false" outlineLevel="0" collapsed="false">
      <c r="A21545" s="0" t="s">
        <v>8914</v>
      </c>
      <c r="B21545" s="0" t="str">
        <f aca="false">HYPERLINK("https://lindat.mff.cuni.cz/services/teitok/pdtc10/index.php?action=vallex&amp;frame=v-w10317f2", "odhlížet (v-w10317f2)")</f>
        <v>odhlížet (v-w10317f2)</v>
      </c>
    </row>
    <row r="21546" customFormat="false" ht="12.8" hidden="false" customHeight="false" outlineLevel="0" collapsed="false">
      <c r="B21546" s="0" t="s">
        <v>1</v>
      </c>
    </row>
    <row r="21547" customFormat="false" ht="12.8" hidden="false" customHeight="false" outlineLevel="0" collapsed="false">
      <c r="B21547" s="0" t="s">
        <v>26</v>
      </c>
    </row>
    <row r="21549" customFormat="false" ht="12.8" hidden="false" customHeight="false" outlineLevel="0" collapsed="false">
      <c r="A21549" s="0" t="s">
        <v>8915</v>
      </c>
      <c r="B21549" s="0" t="str">
        <f aca="false">HYPERLINK("https://lindat.mff.cuni.cz/services/teitok/pdtc10/index.php?action=vallex&amp;frame=v-w2713f1", "odhodit (v-w2713f1)")</f>
        <v>odhodit (v-w2713f1)</v>
      </c>
      <c r="E21549" s="0" t="str">
        <f aca="false">HYPERLINK("https://lindat.mff.cuni.cz/services/SynSemClass40/SynSemClass40.html?veclass=vec00555#vec00555-ces-cm00002", "vec00555")</f>
        <v>vec00555</v>
      </c>
      <c r="F21549" s="0" t="s">
        <v>1918</v>
      </c>
    </row>
    <row r="21550" customFormat="false" ht="12.8" hidden="false" customHeight="false" outlineLevel="0" collapsed="false">
      <c r="B21550" s="0" t="s">
        <v>1</v>
      </c>
      <c r="C21550" s="0" t="s">
        <v>1919</v>
      </c>
      <c r="E21550" s="0" t="s">
        <v>31</v>
      </c>
      <c r="F21550" s="0" t="s">
        <v>1920</v>
      </c>
    </row>
    <row r="21551" customFormat="false" ht="12.8" hidden="false" customHeight="false" outlineLevel="0" collapsed="false">
      <c r="B21551" s="0" t="s">
        <v>8</v>
      </c>
      <c r="C21551" s="0" t="s">
        <v>1921</v>
      </c>
      <c r="E21551" s="0" t="s">
        <v>532</v>
      </c>
      <c r="F21551" s="0" t="s">
        <v>1922</v>
      </c>
    </row>
    <row r="21553" customFormat="false" ht="12.8" hidden="false" customHeight="false" outlineLevel="0" collapsed="false">
      <c r="A21553" s="0" t="s">
        <v>8916</v>
      </c>
      <c r="B21553" s="0" t="str">
        <f aca="false">HYPERLINK("https://lindat.mff.cuni.cz/services/teitok/pdtc10/index.php?action=vallex&amp;frame=v-w2713f2", "odhodit (v-w2713f2)")</f>
        <v>odhodit (v-w2713f2)</v>
      </c>
      <c r="E21553" s="0" t="str">
        <f aca="false">HYPERLINK("https://lindat.mff.cuni.cz/services/SynSemClass40/SynSemClass40.html?veclass=vec00380#vec00380-ces-cm00087", "vec00380")</f>
        <v>vec00380</v>
      </c>
      <c r="F21553" s="0" t="s">
        <v>4414</v>
      </c>
    </row>
    <row r="21554" customFormat="false" ht="12.8" hidden="false" customHeight="false" outlineLevel="0" collapsed="false">
      <c r="B21554" s="0" t="s">
        <v>1</v>
      </c>
      <c r="C21554" s="0" t="s">
        <v>4415</v>
      </c>
      <c r="E21554" s="0" t="s">
        <v>4416</v>
      </c>
      <c r="F21554" s="0" t="s">
        <v>4417</v>
      </c>
    </row>
    <row r="21555" customFormat="false" ht="12.8" hidden="false" customHeight="false" outlineLevel="0" collapsed="false">
      <c r="B21555" s="0" t="s">
        <v>8</v>
      </c>
      <c r="C21555" s="0" t="s">
        <v>4418</v>
      </c>
      <c r="E21555" s="0" t="s">
        <v>532</v>
      </c>
      <c r="F21555" s="0" t="s">
        <v>4419</v>
      </c>
    </row>
    <row r="21557" customFormat="false" ht="12.8" hidden="false" customHeight="false" outlineLevel="0" collapsed="false">
      <c r="A21557" s="0" t="s">
        <v>8917</v>
      </c>
      <c r="B21557" s="0" t="str">
        <f aca="false">HYPERLINK("https://lindat.mff.cuni.cz/services/teitok/pdtc10/index.php?action=vallex&amp;frame=v-w2716f1", "odhodlat se (v-w2716f1)")</f>
        <v>odhodlat se (v-w2716f1)</v>
      </c>
    </row>
    <row r="21558" customFormat="false" ht="12.8" hidden="false" customHeight="false" outlineLevel="0" collapsed="false">
      <c r="B21558" s="0" t="s">
        <v>1</v>
      </c>
    </row>
    <row r="21559" customFormat="false" ht="12.8" hidden="false" customHeight="false" outlineLevel="0" collapsed="false">
      <c r="B21559" s="0" t="s">
        <v>8918</v>
      </c>
    </row>
    <row r="21561" customFormat="false" ht="12.8" hidden="false" customHeight="false" outlineLevel="0" collapsed="false">
      <c r="A21561" s="0" t="s">
        <v>8919</v>
      </c>
      <c r="B21561" s="0" t="str">
        <f aca="false">HYPERLINK("https://lindat.mff.cuni.cz/services/teitok/pdtc10/index.php?action=vallex&amp;frame=v-w2717f1", "odhodlávat se (v-w2717f1)")</f>
        <v>odhodlávat se (v-w2717f1)</v>
      </c>
    </row>
    <row r="21562" customFormat="false" ht="12.8" hidden="false" customHeight="false" outlineLevel="0" collapsed="false">
      <c r="B21562" s="0" t="s">
        <v>1</v>
      </c>
    </row>
    <row r="21563" customFormat="false" ht="12.8" hidden="false" customHeight="false" outlineLevel="0" collapsed="false">
      <c r="B21563" s="0" t="s">
        <v>8918</v>
      </c>
    </row>
    <row r="21565" customFormat="false" ht="12.8" hidden="false" customHeight="false" outlineLevel="0" collapsed="false">
      <c r="A21565" s="0" t="s">
        <v>8920</v>
      </c>
      <c r="B21565" s="0" t="str">
        <f aca="false">HYPERLINK("https://lindat.mff.cuni.cz/services/teitok/pdtc10/index.php?action=vallex&amp;frame=v-w11930_ZUf2_ZU", "odhrabat (v-w11930_ZUf2_ZU)")</f>
        <v>odhrabat (v-w11930_ZUf2_ZU)</v>
      </c>
    </row>
    <row r="21566" customFormat="false" ht="12.8" hidden="false" customHeight="false" outlineLevel="0" collapsed="false">
      <c r="B21566" s="0" t="s">
        <v>1</v>
      </c>
    </row>
    <row r="21567" customFormat="false" ht="12.8" hidden="false" customHeight="false" outlineLevel="0" collapsed="false">
      <c r="B21567" s="0" t="s">
        <v>8</v>
      </c>
    </row>
    <row r="21568" customFormat="false" ht="12.8" hidden="false" customHeight="false" outlineLevel="0" collapsed="false">
      <c r="B21568" s="0" t="s">
        <v>6273</v>
      </c>
    </row>
    <row r="21570" customFormat="false" ht="12.8" hidden="false" customHeight="false" outlineLevel="0" collapsed="false">
      <c r="A21570" s="0" t="s">
        <v>8920</v>
      </c>
      <c r="B21570" s="0" t="str">
        <f aca="false">HYPERLINK("https://lindat.mff.cuni.cz/services/teitok/pdtc10/index.php?action=vallex&amp;frame=v-w11930_ZUf1_ZU", "odhrabat (v-w11930_ZUf1_ZU) - substituted with v-w11930_ZUf2_ZU")</f>
        <v>odhrabat (v-w11930_ZUf1_ZU) - substituted with v-w11930_ZUf2_ZU</v>
      </c>
    </row>
    <row r="21571" customFormat="false" ht="12.8" hidden="false" customHeight="false" outlineLevel="0" collapsed="false">
      <c r="B21571" s="0" t="s">
        <v>1</v>
      </c>
    </row>
    <row r="21572" customFormat="false" ht="12.8" hidden="false" customHeight="false" outlineLevel="0" collapsed="false">
      <c r="B21572" s="0" t="s">
        <v>8</v>
      </c>
    </row>
    <row r="21573" customFormat="false" ht="12.8" hidden="false" customHeight="false" outlineLevel="0" collapsed="false">
      <c r="B21573" s="0" t="s">
        <v>6273</v>
      </c>
    </row>
    <row r="21575" customFormat="false" ht="12.8" hidden="false" customHeight="false" outlineLevel="0" collapsed="false">
      <c r="A21575" s="0" t="s">
        <v>8921</v>
      </c>
      <c r="B21575" s="0" t="str">
        <f aca="false">HYPERLINK("https://lindat.mff.cuni.cz/services/teitok/pdtc10/index.php?action=vallex&amp;frame=v-whsa_165hsa_166", "odhrnovat (v-whsa_165hsa_166)")</f>
        <v>odhrnovat (v-whsa_165hsa_166)</v>
      </c>
      <c r="E21575" s="0" t="str">
        <f aca="false">HYPERLINK("https://lindat.mff.cuni.cz/services/SynSemClass40/SynSemClass40.html?veclass=vec01411#vec01411-ces-cm00001", "vec01411")</f>
        <v>vec01411</v>
      </c>
      <c r="F21575" s="0" t="s">
        <v>8922</v>
      </c>
    </row>
    <row r="21576" customFormat="false" ht="12.8" hidden="false" customHeight="false" outlineLevel="0" collapsed="false">
      <c r="B21576" s="0" t="s">
        <v>1</v>
      </c>
      <c r="E21576" s="0" t="s">
        <v>107</v>
      </c>
      <c r="F21576" s="0" t="s">
        <v>7327</v>
      </c>
    </row>
    <row r="21577" customFormat="false" ht="12.8" hidden="false" customHeight="false" outlineLevel="0" collapsed="false">
      <c r="B21577" s="0" t="s">
        <v>8</v>
      </c>
      <c r="E21577" s="0" t="s">
        <v>4094</v>
      </c>
      <c r="F21577" s="0" t="s">
        <v>8923</v>
      </c>
    </row>
    <row r="21579" customFormat="false" ht="12.8" hidden="false" customHeight="false" outlineLevel="0" collapsed="false">
      <c r="A21579" s="0" t="s">
        <v>8924</v>
      </c>
      <c r="B21579" s="0" t="str">
        <f aca="false">HYPERLINK("https://lindat.mff.cuni.cz/services/teitok/pdtc10/index.php?action=vallex&amp;frame=v-w2707f1", "odhánět (v-w2707f1)")</f>
        <v>odhánět (v-w2707f1)</v>
      </c>
      <c r="E21579" s="0" t="str">
        <f aca="false">HYPERLINK("https://lindat.mff.cuni.cz/services/SynSemClass40/SynSemClass40.html?veclass=vec00848#vec00848-ces-cm00009", "vec00848")</f>
        <v>vec00848</v>
      </c>
      <c r="F21579" s="0" t="s">
        <v>8813</v>
      </c>
    </row>
    <row r="21580" customFormat="false" ht="12.8" hidden="false" customHeight="false" outlineLevel="0" collapsed="false">
      <c r="B21580" s="0" t="s">
        <v>1</v>
      </c>
      <c r="C21580" s="0" t="s">
        <v>4695</v>
      </c>
      <c r="E21580" s="0" t="s">
        <v>31</v>
      </c>
      <c r="F21580" s="0" t="s">
        <v>460</v>
      </c>
    </row>
    <row r="21581" customFormat="false" ht="12.8" hidden="false" customHeight="false" outlineLevel="0" collapsed="false">
      <c r="B21581" s="0" t="s">
        <v>8</v>
      </c>
      <c r="C21581" s="0" t="s">
        <v>462</v>
      </c>
      <c r="E21581" s="0" t="s">
        <v>142</v>
      </c>
      <c r="F21581" s="0" t="s">
        <v>8814</v>
      </c>
    </row>
    <row r="21583" customFormat="false" ht="12.8" hidden="false" customHeight="false" outlineLevel="0" collapsed="false">
      <c r="A21583" s="0" t="s">
        <v>8925</v>
      </c>
      <c r="B21583" s="0" t="str">
        <f aca="false">HYPERLINK("https://lindat.mff.cuni.cz/services/teitok/pdtc10/index.php?action=vallex&amp;frame=v-w11040f2", "odházet (v-w11040f2)")</f>
        <v>odházet (v-w11040f2)</v>
      </c>
      <c r="E21583" s="0" t="str">
        <f aca="false">HYPERLINK("https://lindat.mff.cuni.cz/services/SynSemClass40/SynSemClass40.html?veclass=vec00924#vec00924-ces-cm00012", "vec00924")</f>
        <v>vec00924</v>
      </c>
      <c r="F21583" s="0" t="s">
        <v>8926</v>
      </c>
    </row>
    <row r="21584" customFormat="false" ht="12.8" hidden="false" customHeight="false" outlineLevel="0" collapsed="false">
      <c r="B21584" s="0" t="s">
        <v>1</v>
      </c>
      <c r="C21584" s="0" t="s">
        <v>4695</v>
      </c>
      <c r="E21584" s="0" t="s">
        <v>334</v>
      </c>
      <c r="F21584" s="0" t="s">
        <v>5245</v>
      </c>
    </row>
    <row r="21585" customFormat="false" ht="12.8" hidden="false" customHeight="false" outlineLevel="0" collapsed="false">
      <c r="B21585" s="0" t="s">
        <v>8</v>
      </c>
      <c r="C21585" s="0" t="s">
        <v>798</v>
      </c>
      <c r="E21585" s="0" t="s">
        <v>2648</v>
      </c>
      <c r="F21585" s="0" t="s">
        <v>8927</v>
      </c>
    </row>
    <row r="21586" customFormat="false" ht="12.8" hidden="false" customHeight="false" outlineLevel="0" collapsed="false">
      <c r="B21586" s="0" t="s">
        <v>631</v>
      </c>
      <c r="E21586" s="0" t="s">
        <v>8928</v>
      </c>
      <c r="F21586" s="0" t="s">
        <v>8929</v>
      </c>
    </row>
    <row r="21588" customFormat="false" ht="12.8" hidden="false" customHeight="false" outlineLevel="0" collapsed="false">
      <c r="A21588" s="0" t="s">
        <v>8930</v>
      </c>
      <c r="B21588" s="0" t="str">
        <f aca="false">HYPERLINK("https://lindat.mff.cuni.cz/services/teitok/pdtc10/index.php?action=vallex&amp;frame=v-w2728f1", "odjet (v-w2728f1)")</f>
        <v>odjet (v-w2728f1)</v>
      </c>
      <c r="E21588" s="0" t="str">
        <f aca="false">HYPERLINK("https://lindat.mff.cuni.cz/services/SynSemClass40/SynSemClass40.html?veclass=vec00048#vec00048-ces-cm00057", "vec00048")</f>
        <v>vec00048</v>
      </c>
      <c r="F21588" s="0" t="s">
        <v>1945</v>
      </c>
    </row>
    <row r="21589" customFormat="false" ht="12.8" hidden="false" customHeight="false" outlineLevel="0" collapsed="false">
      <c r="B21589" s="0" t="s">
        <v>1</v>
      </c>
      <c r="C21589" s="0" t="s">
        <v>1946</v>
      </c>
      <c r="E21589" s="0" t="s">
        <v>334</v>
      </c>
      <c r="F21589" s="0" t="s">
        <v>1947</v>
      </c>
    </row>
    <row r="21590" customFormat="false" ht="12.8" hidden="false" customHeight="false" outlineLevel="0" collapsed="false">
      <c r="B21590" s="0" t="s">
        <v>631</v>
      </c>
      <c r="C21590" s="0" t="s">
        <v>1948</v>
      </c>
      <c r="E21590" s="0" t="s">
        <v>1949</v>
      </c>
      <c r="F21590" s="0" t="s">
        <v>1950</v>
      </c>
    </row>
    <row r="21592" customFormat="false" ht="12.8" hidden="false" customHeight="false" outlineLevel="0" collapsed="false">
      <c r="A21592" s="0" t="s">
        <v>8931</v>
      </c>
      <c r="B21592" s="0" t="str">
        <f aca="false">HYPERLINK("https://lindat.mff.cuni.cz/services/teitok/pdtc10/index.php?action=vallex&amp;frame=v-w2728hsa_2034", "odjet (v-w2728hsa_2034)")</f>
        <v>odjet (v-w2728hsa_2034)</v>
      </c>
    </row>
    <row r="21593" customFormat="false" ht="12.8" hidden="false" customHeight="false" outlineLevel="0" collapsed="false">
      <c r="B21593" s="0" t="s">
        <v>1</v>
      </c>
    </row>
    <row r="21594" customFormat="false" ht="12.8" hidden="false" customHeight="false" outlineLevel="0" collapsed="false">
      <c r="B21594" s="0" t="s">
        <v>8</v>
      </c>
    </row>
    <row r="21596" customFormat="false" ht="12.8" hidden="false" customHeight="false" outlineLevel="0" collapsed="false">
      <c r="A21596" s="0" t="s">
        <v>8932</v>
      </c>
      <c r="B21596" s="0" t="str">
        <f aca="false">HYPERLINK("https://lindat.mff.cuni.cz/services/teitok/pdtc10/index.php?action=vallex&amp;frame=v-w2730f1", "odjistit (v-w2730f1)")</f>
        <v>odjistit (v-w2730f1)</v>
      </c>
    </row>
    <row r="21597" customFormat="false" ht="12.8" hidden="false" customHeight="false" outlineLevel="0" collapsed="false">
      <c r="B21597" s="0" t="s">
        <v>1</v>
      </c>
    </row>
    <row r="21598" customFormat="false" ht="12.8" hidden="false" customHeight="false" outlineLevel="0" collapsed="false">
      <c r="B21598" s="0" t="s">
        <v>8</v>
      </c>
    </row>
    <row r="21600" customFormat="false" ht="12.8" hidden="false" customHeight="false" outlineLevel="0" collapsed="false">
      <c r="A21600" s="0" t="s">
        <v>8933</v>
      </c>
      <c r="B21600" s="0" t="str">
        <f aca="false">HYPERLINK("https://lindat.mff.cuni.cz/services/teitok/pdtc10/index.php?action=vallex&amp;frame=v-w2731f1", "odjíždět (v-w2731f1)")</f>
        <v>odjíždět (v-w2731f1)</v>
      </c>
    </row>
    <row r="21601" customFormat="false" ht="12.8" hidden="false" customHeight="false" outlineLevel="0" collapsed="false">
      <c r="B21601" s="0" t="s">
        <v>1</v>
      </c>
    </row>
    <row r="21602" customFormat="false" ht="12.8" hidden="false" customHeight="false" outlineLevel="0" collapsed="false">
      <c r="B21602" s="0" t="s">
        <v>631</v>
      </c>
    </row>
    <row r="21604" customFormat="false" ht="12.8" hidden="false" customHeight="false" outlineLevel="0" collapsed="false">
      <c r="A21604" s="0" t="s">
        <v>8934</v>
      </c>
      <c r="B21604" s="0" t="str">
        <f aca="false">HYPERLINK("https://lindat.mff.cuni.cz/services/teitok/pdtc10/index.php?action=vallex&amp;frame=v-w2732f1", "odkapávat (v-w2732f1)")</f>
        <v>odkapávat (v-w2732f1)</v>
      </c>
    </row>
    <row r="21605" customFormat="false" ht="12.8" hidden="false" customHeight="false" outlineLevel="0" collapsed="false">
      <c r="B21605" s="0" t="s">
        <v>1</v>
      </c>
    </row>
    <row r="21607" customFormat="false" ht="12.8" hidden="false" customHeight="false" outlineLevel="0" collapsed="false">
      <c r="A21607" s="0" t="s">
        <v>8935</v>
      </c>
      <c r="B21607" s="0" t="str">
        <f aca="false">HYPERLINK("https://lindat.mff.cuni.cz/services/teitok/pdtc10/index.php?action=vallex&amp;frame=v-w2736f3", "odkazovat (v-w2736f3)")</f>
        <v>odkazovat (v-w2736f3)</v>
      </c>
    </row>
    <row r="21608" customFormat="false" ht="12.8" hidden="false" customHeight="false" outlineLevel="0" collapsed="false">
      <c r="B21608" s="0" t="s">
        <v>1</v>
      </c>
    </row>
    <row r="21609" customFormat="false" ht="12.8" hidden="false" customHeight="false" outlineLevel="0" collapsed="false">
      <c r="B21609" s="0" t="s">
        <v>45</v>
      </c>
    </row>
    <row r="21610" customFormat="false" ht="12.8" hidden="false" customHeight="false" outlineLevel="0" collapsed="false">
      <c r="B21610" s="0" t="s">
        <v>98</v>
      </c>
    </row>
    <row r="21612" customFormat="false" ht="12.8" hidden="false" customHeight="false" outlineLevel="0" collapsed="false">
      <c r="A21612" s="0" t="s">
        <v>8936</v>
      </c>
      <c r="B21612" s="0" t="str">
        <f aca="false">HYPERLINK("https://lindat.mff.cuni.cz/services/teitok/pdtc10/index.php?action=vallex&amp;frame=v-w2736f1", "odkazovat (v-w2736f1)")</f>
        <v>odkazovat (v-w2736f1)</v>
      </c>
    </row>
    <row r="21613" customFormat="false" ht="12.8" hidden="false" customHeight="false" outlineLevel="0" collapsed="false">
      <c r="B21613" s="0" t="s">
        <v>1</v>
      </c>
    </row>
    <row r="21614" customFormat="false" ht="12.8" hidden="false" customHeight="false" outlineLevel="0" collapsed="false">
      <c r="B21614" s="0" t="s">
        <v>8</v>
      </c>
    </row>
    <row r="21615" customFormat="false" ht="12.8" hidden="false" customHeight="false" outlineLevel="0" collapsed="false">
      <c r="B21615" s="0" t="s">
        <v>164</v>
      </c>
    </row>
    <row r="21617" customFormat="false" ht="12.8" hidden="false" customHeight="false" outlineLevel="0" collapsed="false">
      <c r="A21617" s="0" t="s">
        <v>8937</v>
      </c>
      <c r="B21617" s="0" t="str">
        <f aca="false">HYPERLINK("https://lindat.mff.cuni.cz/services/teitok/pdtc10/index.php?action=vallex&amp;frame=v-w2736f2", "odkazovat (v-w2736f2)")</f>
        <v>odkazovat (v-w2736f2)</v>
      </c>
    </row>
    <row r="21618" customFormat="false" ht="12.8" hidden="false" customHeight="false" outlineLevel="0" collapsed="false">
      <c r="B21618" s="0" t="s">
        <v>1</v>
      </c>
    </row>
    <row r="21619" customFormat="false" ht="12.8" hidden="false" customHeight="false" outlineLevel="0" collapsed="false">
      <c r="B21619" s="0" t="s">
        <v>164</v>
      </c>
    </row>
    <row r="21621" customFormat="false" ht="12.8" hidden="false" customHeight="false" outlineLevel="0" collapsed="false">
      <c r="A21621" s="0" t="s">
        <v>8938</v>
      </c>
      <c r="B21621" s="0" t="str">
        <f aca="false">HYPERLINK("https://lindat.mff.cuni.cz/services/teitok/pdtc10/index.php?action=vallex&amp;frame=v-w2736hsa_700", "odkazovat (v-w2736hsa_700)")</f>
        <v>odkazovat (v-w2736hsa_700)</v>
      </c>
    </row>
    <row r="21622" customFormat="false" ht="12.8" hidden="false" customHeight="false" outlineLevel="0" collapsed="false">
      <c r="B21622" s="0" t="s">
        <v>1</v>
      </c>
    </row>
    <row r="21623" customFormat="false" ht="12.8" hidden="false" customHeight="false" outlineLevel="0" collapsed="false">
      <c r="B21623" s="0" t="s">
        <v>8939</v>
      </c>
    </row>
    <row r="21625" customFormat="false" ht="12.8" hidden="false" customHeight="false" outlineLevel="0" collapsed="false">
      <c r="A21625" s="0" t="s">
        <v>8940</v>
      </c>
      <c r="B21625" s="0" t="str">
        <f aca="false">HYPERLINK("https://lindat.mff.cuni.cz/services/teitok/pdtc10/index.php?action=vallex&amp;frame=v-w11463f1", "odkašlat si (v-w11463f1)")</f>
        <v>odkašlat si (v-w11463f1)</v>
      </c>
    </row>
    <row r="21626" customFormat="false" ht="12.8" hidden="false" customHeight="false" outlineLevel="0" collapsed="false">
      <c r="B21626" s="0" t="s">
        <v>1</v>
      </c>
    </row>
    <row r="21628" customFormat="false" ht="12.8" hidden="false" customHeight="false" outlineLevel="0" collapsed="false">
      <c r="A21628" s="0" t="s">
        <v>8941</v>
      </c>
      <c r="B21628" s="0" t="str">
        <f aca="false">HYPERLINK("https://lindat.mff.cuni.cz/services/teitok/pdtc10/index.php?action=vallex&amp;frame=v-w2741f1", "odklidit (v-w2741f1)")</f>
        <v>odklidit (v-w2741f1)</v>
      </c>
    </row>
    <row r="21629" customFormat="false" ht="12.8" hidden="false" customHeight="false" outlineLevel="0" collapsed="false">
      <c r="B21629" s="0" t="s">
        <v>1</v>
      </c>
    </row>
    <row r="21630" customFormat="false" ht="12.8" hidden="false" customHeight="false" outlineLevel="0" collapsed="false">
      <c r="B21630" s="0" t="s">
        <v>8</v>
      </c>
    </row>
    <row r="21631" customFormat="false" ht="12.8" hidden="false" customHeight="false" outlineLevel="0" collapsed="false">
      <c r="B21631" s="0" t="s">
        <v>631</v>
      </c>
    </row>
    <row r="21633" customFormat="false" ht="12.8" hidden="false" customHeight="false" outlineLevel="0" collapsed="false">
      <c r="A21633" s="0" t="s">
        <v>8942</v>
      </c>
      <c r="B21633" s="0" t="str">
        <f aca="false">HYPERLINK("https://lindat.mff.cuni.cz/services/teitok/pdtc10/index.php?action=vallex&amp;frame=v-w2741f2", "odklidit (v-w2741f2)")</f>
        <v>odklidit (v-w2741f2)</v>
      </c>
    </row>
    <row r="21634" customFormat="false" ht="12.8" hidden="false" customHeight="false" outlineLevel="0" collapsed="false">
      <c r="B21634" s="0" t="s">
        <v>1</v>
      </c>
    </row>
    <row r="21635" customFormat="false" ht="12.8" hidden="false" customHeight="false" outlineLevel="0" collapsed="false">
      <c r="B21635" s="0" t="s">
        <v>8</v>
      </c>
    </row>
    <row r="21636" customFormat="false" ht="12.8" hidden="false" customHeight="false" outlineLevel="0" collapsed="false">
      <c r="B21636" s="0" t="s">
        <v>631</v>
      </c>
    </row>
    <row r="21638" customFormat="false" ht="12.8" hidden="false" customHeight="false" outlineLevel="0" collapsed="false">
      <c r="A21638" s="0" t="s">
        <v>8943</v>
      </c>
      <c r="B21638" s="0" t="str">
        <f aca="false">HYPERLINK("https://lindat.mff.cuni.cz/services/teitok/pdtc10/index.php?action=vallex&amp;frame=v-w12298_MMf1_MM", "odklizovat (v-w12298_MMf1_MM)")</f>
        <v>odklizovat (v-w12298_MMf1_MM)</v>
      </c>
    </row>
    <row r="21639" customFormat="false" ht="12.8" hidden="false" customHeight="false" outlineLevel="0" collapsed="false">
      <c r="B21639" s="0" t="s">
        <v>1</v>
      </c>
    </row>
    <row r="21640" customFormat="false" ht="12.8" hidden="false" customHeight="false" outlineLevel="0" collapsed="false">
      <c r="B21640" s="0" t="s">
        <v>8</v>
      </c>
    </row>
    <row r="21641" customFormat="false" ht="12.8" hidden="false" customHeight="false" outlineLevel="0" collapsed="false">
      <c r="B21641" s="0" t="s">
        <v>631</v>
      </c>
    </row>
    <row r="21643" customFormat="false" ht="12.8" hidden="false" customHeight="false" outlineLevel="0" collapsed="false">
      <c r="A21643" s="0" t="s">
        <v>8944</v>
      </c>
      <c r="B21643" s="0" t="str">
        <f aca="false">HYPERLINK("https://lindat.mff.cuni.cz/services/teitok/pdtc10/index.php?action=vallex&amp;frame=v-w11377f1", "odklonit (v-w11377f1)")</f>
        <v>odklonit (v-w11377f1)</v>
      </c>
    </row>
    <row r="21644" customFormat="false" ht="12.8" hidden="false" customHeight="false" outlineLevel="0" collapsed="false">
      <c r="B21644" s="0" t="s">
        <v>1</v>
      </c>
    </row>
    <row r="21645" customFormat="false" ht="12.8" hidden="false" customHeight="false" outlineLevel="0" collapsed="false">
      <c r="B21645" s="0" t="s">
        <v>8</v>
      </c>
    </row>
    <row r="21646" customFormat="false" ht="12.8" hidden="false" customHeight="false" outlineLevel="0" collapsed="false">
      <c r="B21646" s="0" t="s">
        <v>1965</v>
      </c>
    </row>
    <row r="21648" customFormat="false" ht="12.8" hidden="false" customHeight="false" outlineLevel="0" collapsed="false">
      <c r="A21648" s="0" t="s">
        <v>8945</v>
      </c>
      <c r="B21648" s="0" t="str">
        <f aca="false">HYPERLINK("https://lindat.mff.cuni.cz/services/teitok/pdtc10/index.php?action=vallex&amp;frame=v-w11377f3", "odklonit (v-w11377f3)")</f>
        <v>odklonit (v-w11377f3)</v>
      </c>
      <c r="E21648" s="0" t="str">
        <f aca="false">HYPERLINK("https://lindat.mff.cuni.cz/services/SynSemClass40/SynSemClass40.html?veclass=vec00283#vec00283-ces-cm00004", "vec00283")</f>
        <v>vec00283</v>
      </c>
      <c r="F21648" s="0" t="s">
        <v>8946</v>
      </c>
    </row>
    <row r="21649" customFormat="false" ht="12.8" hidden="false" customHeight="false" outlineLevel="0" collapsed="false">
      <c r="B21649" s="0" t="s">
        <v>1</v>
      </c>
      <c r="C21649" s="0" t="s">
        <v>7911</v>
      </c>
      <c r="E21649" s="0" t="s">
        <v>2196</v>
      </c>
      <c r="F21649" s="0" t="s">
        <v>8947</v>
      </c>
    </row>
    <row r="21650" customFormat="false" ht="12.8" hidden="false" customHeight="false" outlineLevel="0" collapsed="false">
      <c r="B21650" s="0" t="s">
        <v>8</v>
      </c>
      <c r="C21650" s="0" t="s">
        <v>8948</v>
      </c>
      <c r="E21650" s="0" t="s">
        <v>2200</v>
      </c>
      <c r="F21650" s="0" t="s">
        <v>8949</v>
      </c>
    </row>
    <row r="21651" customFormat="false" ht="12.8" hidden="false" customHeight="false" outlineLevel="0" collapsed="false">
      <c r="B21651" s="0" t="s">
        <v>631</v>
      </c>
      <c r="E21651" s="0" t="s">
        <v>4096</v>
      </c>
      <c r="F21651" s="0" t="s">
        <v>4097</v>
      </c>
    </row>
    <row r="21653" customFormat="false" ht="12.8" hidden="false" customHeight="false" outlineLevel="0" collapsed="false">
      <c r="A21653" s="0" t="s">
        <v>8950</v>
      </c>
      <c r="B21653" s="0" t="str">
        <f aca="false">HYPERLINK("https://lindat.mff.cuni.cz/services/teitok/pdtc10/index.php?action=vallex&amp;frame=v-w11377f4", "odklonit (v-w11377f4)")</f>
        <v>odklonit (v-w11377f4)</v>
      </c>
      <c r="E21653" s="0" t="str">
        <f aca="false">HYPERLINK("https://lindat.mff.cuni.cz/services/SynSemClass40/SynSemClass40.html?veclass=vec00049#vec00049-ces-cm00001", "vec00049")</f>
        <v>vec00049</v>
      </c>
      <c r="F21653" s="0" t="s">
        <v>8951</v>
      </c>
    </row>
    <row r="21654" customFormat="false" ht="12.8" hidden="false" customHeight="false" outlineLevel="0" collapsed="false">
      <c r="B21654" s="0" t="s">
        <v>1</v>
      </c>
      <c r="C21654" s="0" t="s">
        <v>4695</v>
      </c>
      <c r="E21654" s="0" t="s">
        <v>31</v>
      </c>
      <c r="F21654" s="0" t="s">
        <v>460</v>
      </c>
    </row>
    <row r="21655" customFormat="false" ht="12.8" hidden="false" customHeight="false" outlineLevel="0" collapsed="false">
      <c r="B21655" s="0" t="s">
        <v>8</v>
      </c>
      <c r="C21655" s="0" t="s">
        <v>798</v>
      </c>
      <c r="E21655" s="0" t="s">
        <v>411</v>
      </c>
      <c r="F21655" s="0" t="s">
        <v>8952</v>
      </c>
    </row>
    <row r="21657" customFormat="false" ht="12.8" hidden="false" customHeight="false" outlineLevel="0" collapsed="false">
      <c r="A21657" s="0" t="s">
        <v>8953</v>
      </c>
      <c r="B21657" s="0" t="str">
        <f aca="false">HYPERLINK("https://lindat.mff.cuni.cz/services/teitok/pdtc10/index.php?action=vallex&amp;frame=v-w2744f1", "odklonit se (v-w2744f1)")</f>
        <v>odklonit se (v-w2744f1)</v>
      </c>
    </row>
    <row r="21658" customFormat="false" ht="12.8" hidden="false" customHeight="false" outlineLevel="0" collapsed="false">
      <c r="B21658" s="0" t="s">
        <v>1</v>
      </c>
    </row>
    <row r="21659" customFormat="false" ht="12.8" hidden="false" customHeight="false" outlineLevel="0" collapsed="false">
      <c r="B21659" s="0" t="s">
        <v>26</v>
      </c>
    </row>
    <row r="21661" customFormat="false" ht="12.8" hidden="false" customHeight="false" outlineLevel="0" collapsed="false">
      <c r="A21661" s="0" t="s">
        <v>8954</v>
      </c>
      <c r="B21661" s="0" t="str">
        <f aca="false">HYPERLINK("https://lindat.mff.cuni.cz/services/teitok/pdtc10/index.php?action=vallex&amp;frame=v-w2744f2_ZU", "odklonit se (v-w2744f2_ZU)")</f>
        <v>odklonit se (v-w2744f2_ZU)</v>
      </c>
    </row>
    <row r="21662" customFormat="false" ht="12.8" hidden="false" customHeight="false" outlineLevel="0" collapsed="false">
      <c r="B21662" s="0" t="s">
        <v>1</v>
      </c>
    </row>
    <row r="21663" customFormat="false" ht="12.8" hidden="false" customHeight="false" outlineLevel="0" collapsed="false">
      <c r="B21663" s="0" t="s">
        <v>6273</v>
      </c>
    </row>
    <row r="21665" customFormat="false" ht="12.8" hidden="false" customHeight="false" outlineLevel="0" collapsed="false">
      <c r="A21665" s="0" t="s">
        <v>8955</v>
      </c>
      <c r="B21665" s="0" t="str">
        <f aca="false">HYPERLINK("https://lindat.mff.cuni.cz/services/teitok/pdtc10/index.php?action=vallex&amp;frame=v-w12165_ZUf1_ZU", "odklusat (v-w12165_ZUf1_ZU)")</f>
        <v>odklusat (v-w12165_ZUf1_ZU)</v>
      </c>
    </row>
    <row r="21666" customFormat="false" ht="12.8" hidden="false" customHeight="false" outlineLevel="0" collapsed="false">
      <c r="B21666" s="0" t="s">
        <v>1</v>
      </c>
    </row>
    <row r="21667" customFormat="false" ht="12.8" hidden="false" customHeight="false" outlineLevel="0" collapsed="false">
      <c r="B21667" s="0" t="s">
        <v>6273</v>
      </c>
    </row>
    <row r="21669" customFormat="false" ht="12.8" hidden="false" customHeight="false" outlineLevel="0" collapsed="false">
      <c r="A21669" s="0" t="s">
        <v>8956</v>
      </c>
      <c r="B21669" s="0" t="str">
        <f aca="false">HYPERLINK("https://lindat.mff.cuni.cz/services/teitok/pdtc10/index.php?action=vallex&amp;frame=v-w2739f1", "odkládat (v-w2739f1)")</f>
        <v>odkládat (v-w2739f1)</v>
      </c>
      <c r="E21669" s="0" t="str">
        <f aca="false">HYPERLINK("https://lindat.mff.cuni.cz/services/SynSemClass40/SynSemClass40.html?veclass=vec00486#vec00486-ces-cm00003", "vec00486")</f>
        <v>vec00486</v>
      </c>
      <c r="F21669" s="0" t="s">
        <v>542</v>
      </c>
      <c r="H21669" s="0" t="str">
        <f aca="false">HYPERLINK("https://lindat.mff.cuni.cz/services/SynSemClass40/SynSemClass40.html?veclass=vec01284#vec01284-ces-cm00020", "vec01284")</f>
        <v>vec01284</v>
      </c>
      <c r="I21669" s="0" t="s">
        <v>8765</v>
      </c>
    </row>
    <row r="21670" customFormat="false" ht="12.8" hidden="false" customHeight="false" outlineLevel="0" collapsed="false">
      <c r="B21670" s="0" t="s">
        <v>1</v>
      </c>
      <c r="C21670" s="0" t="s">
        <v>8766</v>
      </c>
      <c r="E21670" s="0" t="s">
        <v>206</v>
      </c>
      <c r="F21670" s="0" t="s">
        <v>544</v>
      </c>
      <c r="H21670" s="0" t="s">
        <v>84</v>
      </c>
      <c r="I21670" s="0" t="s">
        <v>8767</v>
      </c>
    </row>
    <row r="21671" customFormat="false" ht="12.8" hidden="false" customHeight="false" outlineLevel="0" collapsed="false">
      <c r="B21671" s="0" t="s">
        <v>8</v>
      </c>
      <c r="C21671" s="0" t="s">
        <v>8768</v>
      </c>
      <c r="E21671" s="0" t="s">
        <v>79</v>
      </c>
      <c r="F21671" s="0" t="s">
        <v>546</v>
      </c>
      <c r="H21671" s="0" t="s">
        <v>87</v>
      </c>
      <c r="I21671" s="0" t="s">
        <v>8769</v>
      </c>
    </row>
    <row r="21673" customFormat="false" ht="12.8" hidden="false" customHeight="false" outlineLevel="0" collapsed="false">
      <c r="A21673" s="0" t="s">
        <v>8957</v>
      </c>
      <c r="B21673" s="0" t="str">
        <f aca="false">HYPERLINK("https://lindat.mff.cuni.cz/services/teitok/pdtc10/index.php?action=vallex&amp;frame=v-w2739f2", "odkládat (v-w2739f2)")</f>
        <v>odkládat (v-w2739f2)</v>
      </c>
    </row>
    <row r="21674" customFormat="false" ht="12.8" hidden="false" customHeight="false" outlineLevel="0" collapsed="false">
      <c r="B21674" s="0" t="s">
        <v>1</v>
      </c>
    </row>
    <row r="21675" customFormat="false" ht="12.8" hidden="false" customHeight="false" outlineLevel="0" collapsed="false">
      <c r="B21675" s="0" t="s">
        <v>8</v>
      </c>
    </row>
    <row r="21677" customFormat="false" ht="12.8" hidden="false" customHeight="false" outlineLevel="0" collapsed="false">
      <c r="A21677" s="0" t="s">
        <v>8958</v>
      </c>
      <c r="B21677" s="0" t="str">
        <f aca="false">HYPERLINK("https://lindat.mff.cuni.cz/services/teitok/pdtc10/index.php?action=vallex&amp;frame=v-w2739f6_ZU", "odkládat (v-w2739f6_ZU)")</f>
        <v>odkládat (v-w2739f6_ZU)</v>
      </c>
    </row>
    <row r="21678" customFormat="false" ht="12.8" hidden="false" customHeight="false" outlineLevel="0" collapsed="false">
      <c r="B21678" s="0" t="s">
        <v>1</v>
      </c>
    </row>
    <row r="21679" customFormat="false" ht="12.8" hidden="false" customHeight="false" outlineLevel="0" collapsed="false">
      <c r="B21679" s="0" t="s">
        <v>8</v>
      </c>
    </row>
    <row r="21681" customFormat="false" ht="12.8" hidden="false" customHeight="false" outlineLevel="0" collapsed="false">
      <c r="A21681" s="0" t="s">
        <v>8959</v>
      </c>
      <c r="B21681" s="0" t="str">
        <f aca="false">HYPERLINK("https://lindat.mff.cuni.cz/services/teitok/pdtc10/index.php?action=vallex&amp;frame=v-w2739hsa_457", "odkládat (v-w2739hsa_457)")</f>
        <v>odkládat (v-w2739hsa_457)</v>
      </c>
      <c r="E21681" s="0" t="str">
        <f aca="false">HYPERLINK("https://lindat.mff.cuni.cz/services/SynSemClass40/SynSemClass40.html?veclass=vec00850#vec00850-ces-cm00001", "vec00850")</f>
        <v>vec00850</v>
      </c>
      <c r="F21681" s="0" t="s">
        <v>8960</v>
      </c>
    </row>
    <row r="21682" customFormat="false" ht="12.8" hidden="false" customHeight="false" outlineLevel="0" collapsed="false">
      <c r="B21682" s="0" t="s">
        <v>1</v>
      </c>
      <c r="C21682" s="0" t="s">
        <v>825</v>
      </c>
      <c r="E21682" s="0" t="s">
        <v>334</v>
      </c>
      <c r="F21682" s="0" t="s">
        <v>8961</v>
      </c>
    </row>
    <row r="21683" customFormat="false" ht="12.8" hidden="false" customHeight="false" outlineLevel="0" collapsed="false">
      <c r="B21683" s="0" t="s">
        <v>8</v>
      </c>
      <c r="C21683" s="0" t="s">
        <v>639</v>
      </c>
      <c r="E21683" s="0" t="s">
        <v>2648</v>
      </c>
      <c r="F21683" s="0" t="s">
        <v>8962</v>
      </c>
    </row>
    <row r="21685" customFormat="false" ht="12.8" hidden="false" customHeight="false" outlineLevel="0" collapsed="false">
      <c r="A21685" s="0" t="s">
        <v>8963</v>
      </c>
      <c r="B21685" s="0" t="str">
        <f aca="false">HYPERLINK("https://lindat.mff.cuni.cz/services/teitok/pdtc10/index.php?action=vallex&amp;frame=v-w2739f5_ZU", "odkládat (v-w2739f5_ZU)")</f>
        <v>odkládat (v-w2739f5_ZU)</v>
      </c>
    </row>
    <row r="21686" customFormat="false" ht="12.8" hidden="false" customHeight="false" outlineLevel="0" collapsed="false">
      <c r="B21686" s="0" t="s">
        <v>1</v>
      </c>
    </row>
    <row r="21687" customFormat="false" ht="12.8" hidden="false" customHeight="false" outlineLevel="0" collapsed="false">
      <c r="B21687" s="0" t="s">
        <v>8</v>
      </c>
    </row>
    <row r="21688" customFormat="false" ht="12.8" hidden="false" customHeight="false" outlineLevel="0" collapsed="false">
      <c r="B21688" s="0" t="s">
        <v>454</v>
      </c>
    </row>
    <row r="21690" customFormat="false" ht="12.8" hidden="false" customHeight="false" outlineLevel="0" collapsed="false">
      <c r="A21690" s="0" t="s">
        <v>8963</v>
      </c>
      <c r="B21690" s="0" t="str">
        <f aca="false">HYPERLINK("https://lindat.mff.cuni.cz/services/teitok/pdtc10/index.php?action=vallex&amp;frame=v-w2739f3_ZU", "odkládat (v-w2739f3_ZU) - substituted with v-w2739f5_ZU")</f>
        <v>odkládat (v-w2739f3_ZU) - substituted with v-w2739f5_ZU</v>
      </c>
    </row>
    <row r="21691" customFormat="false" ht="12.8" hidden="false" customHeight="false" outlineLevel="0" collapsed="false">
      <c r="B21691" s="0" t="s">
        <v>1</v>
      </c>
    </row>
    <row r="21692" customFormat="false" ht="12.8" hidden="false" customHeight="false" outlineLevel="0" collapsed="false">
      <c r="B21692" s="0" t="s">
        <v>8</v>
      </c>
    </row>
    <row r="21693" customFormat="false" ht="12.8" hidden="false" customHeight="false" outlineLevel="0" collapsed="false">
      <c r="B21693" s="0" t="s">
        <v>454</v>
      </c>
    </row>
    <row r="21695" customFormat="false" ht="12.8" hidden="false" customHeight="false" outlineLevel="0" collapsed="false">
      <c r="A21695" s="0" t="s">
        <v>8963</v>
      </c>
      <c r="B21695" s="0" t="str">
        <f aca="false">HYPERLINK("https://lindat.mff.cuni.cz/services/teitok/pdtc10/index.php?action=vallex&amp;frame=v-w2739f4_ZU", "odkládat (v-w2739f4_ZU) - substituted with v-w2739f5_ZU")</f>
        <v>odkládat (v-w2739f4_ZU) - substituted with v-w2739f5_ZU</v>
      </c>
    </row>
    <row r="21696" customFormat="false" ht="12.8" hidden="false" customHeight="false" outlineLevel="0" collapsed="false">
      <c r="B21696" s="0" t="s">
        <v>1</v>
      </c>
    </row>
    <row r="21697" customFormat="false" ht="12.8" hidden="false" customHeight="false" outlineLevel="0" collapsed="false">
      <c r="B21697" s="0" t="s">
        <v>8</v>
      </c>
    </row>
    <row r="21698" customFormat="false" ht="12.8" hidden="false" customHeight="false" outlineLevel="0" collapsed="false">
      <c r="B21698" s="0" t="s">
        <v>454</v>
      </c>
    </row>
    <row r="21700" customFormat="false" ht="12.8" hidden="false" customHeight="false" outlineLevel="0" collapsed="false">
      <c r="A21700" s="0" t="s">
        <v>8964</v>
      </c>
      <c r="B21700" s="0" t="str">
        <f aca="false">HYPERLINK("https://lindat.mff.cuni.cz/services/teitok/pdtc10/index.php?action=vallex&amp;frame=v-w10921f2", "odklánět (v-w10921f2)")</f>
        <v>odklánět (v-w10921f2)</v>
      </c>
      <c r="E21700" s="0" t="str">
        <f aca="false">HYPERLINK("https://lindat.mff.cuni.cz/services/SynSemClass40/SynSemClass40.html?veclass=vec00283#vec00283-ces-cm00003", "vec00283")</f>
        <v>vec00283</v>
      </c>
      <c r="F21700" s="0" t="s">
        <v>8946</v>
      </c>
    </row>
    <row r="21701" customFormat="false" ht="12.8" hidden="false" customHeight="false" outlineLevel="0" collapsed="false">
      <c r="B21701" s="0" t="s">
        <v>1</v>
      </c>
      <c r="C21701" s="0" t="s">
        <v>7911</v>
      </c>
      <c r="E21701" s="0" t="s">
        <v>2196</v>
      </c>
      <c r="F21701" s="0" t="s">
        <v>8947</v>
      </c>
    </row>
    <row r="21702" customFormat="false" ht="12.8" hidden="false" customHeight="false" outlineLevel="0" collapsed="false">
      <c r="B21702" s="0" t="s">
        <v>8</v>
      </c>
      <c r="C21702" s="0" t="s">
        <v>8948</v>
      </c>
      <c r="E21702" s="0" t="s">
        <v>2200</v>
      </c>
      <c r="F21702" s="0" t="s">
        <v>8949</v>
      </c>
    </row>
    <row r="21703" customFormat="false" ht="12.8" hidden="false" customHeight="false" outlineLevel="0" collapsed="false">
      <c r="B21703" s="0" t="s">
        <v>631</v>
      </c>
      <c r="E21703" s="0" t="s">
        <v>4096</v>
      </c>
      <c r="F21703" s="0" t="s">
        <v>4097</v>
      </c>
    </row>
    <row r="21705" customFormat="false" ht="12.8" hidden="false" customHeight="false" outlineLevel="0" collapsed="false">
      <c r="A21705" s="0" t="s">
        <v>8965</v>
      </c>
      <c r="B21705" s="0" t="str">
        <f aca="false">HYPERLINK("https://lindat.mff.cuni.cz/services/teitok/pdtc10/index.php?action=vallex&amp;frame=v-w11532_ZUf1_ZU", "odklánět se (v-w11532_ZUf1_ZU)")</f>
        <v>odklánět se (v-w11532_ZUf1_ZU)</v>
      </c>
      <c r="E21705" s="0" t="str">
        <f aca="false">HYPERLINK("https://lindat.mff.cuni.cz/services/SynSemClass40/SynSemClass40.html?veclass=vec00849#vec00849-ces-cm00014", "vec00849")</f>
        <v>vec00849</v>
      </c>
      <c r="F21705" s="0" t="s">
        <v>8738</v>
      </c>
      <c r="H21705" s="0" t="str">
        <f aca="false">HYPERLINK("https://lindat.mff.cuni.cz/services/SynSemClass40/SynSemClass40.html?veclass=vec00942#vec00942-ces-cm00071", "vec00942")</f>
        <v>vec00942</v>
      </c>
      <c r="I21705" s="0" t="s">
        <v>1686</v>
      </c>
    </row>
    <row r="21706" customFormat="false" ht="12.8" hidden="false" customHeight="false" outlineLevel="0" collapsed="false">
      <c r="B21706" s="0" t="s">
        <v>1</v>
      </c>
      <c r="C21706" s="0" t="s">
        <v>8966</v>
      </c>
      <c r="E21706" s="0" t="s">
        <v>957</v>
      </c>
      <c r="F21706" s="0" t="s">
        <v>8739</v>
      </c>
      <c r="H21706" s="0" t="s">
        <v>11</v>
      </c>
      <c r="I21706" s="0" t="s">
        <v>1688</v>
      </c>
    </row>
    <row r="21707" customFormat="false" ht="12.8" hidden="false" customHeight="false" outlineLevel="0" collapsed="false">
      <c r="B21707" s="0" t="s">
        <v>26</v>
      </c>
      <c r="C21707" s="0" t="s">
        <v>8967</v>
      </c>
      <c r="E21707" s="0" t="s">
        <v>1823</v>
      </c>
      <c r="F21707" s="0" t="s">
        <v>8740</v>
      </c>
      <c r="H21707" s="0" t="s">
        <v>140</v>
      </c>
      <c r="I21707" s="0" t="s">
        <v>1691</v>
      </c>
    </row>
    <row r="21709" customFormat="false" ht="12.8" hidden="false" customHeight="false" outlineLevel="0" collapsed="false">
      <c r="A21709" s="0" t="s">
        <v>8968</v>
      </c>
      <c r="B21709" s="0" t="str">
        <f aca="false">HYPERLINK("https://lindat.mff.cuni.cz/services/teitok/pdtc10/index.php?action=vallex&amp;frame=v-whsa_1263hsa_1264", "odklízet (v-whsa_1263hsa_1264)")</f>
        <v>odklízet (v-whsa_1263hsa_1264)</v>
      </c>
    </row>
    <row r="21710" customFormat="false" ht="12.8" hidden="false" customHeight="false" outlineLevel="0" collapsed="false">
      <c r="B21710" s="0" t="s">
        <v>1</v>
      </c>
    </row>
    <row r="21711" customFormat="false" ht="12.8" hidden="false" customHeight="false" outlineLevel="0" collapsed="false">
      <c r="B21711" s="0" t="s">
        <v>8</v>
      </c>
    </row>
    <row r="21712" customFormat="false" ht="12.8" hidden="false" customHeight="false" outlineLevel="0" collapsed="false">
      <c r="B21712" s="0" t="s">
        <v>631</v>
      </c>
    </row>
    <row r="21714" customFormat="false" ht="12.8" hidden="false" customHeight="false" outlineLevel="0" collapsed="false">
      <c r="A21714" s="0" t="s">
        <v>8969</v>
      </c>
      <c r="B21714" s="0" t="str">
        <f aca="false">HYPERLINK("https://lindat.mff.cuni.cz/services/teitok/pdtc10/index.php?action=vallex&amp;frame=v-w10439f3", "odkopnout (v-w10439f3)")</f>
        <v>odkopnout (v-w10439f3)</v>
      </c>
    </row>
    <row r="21715" customFormat="false" ht="12.8" hidden="false" customHeight="false" outlineLevel="0" collapsed="false">
      <c r="B21715" s="0" t="s">
        <v>1</v>
      </c>
    </row>
    <row r="21716" customFormat="false" ht="12.8" hidden="false" customHeight="false" outlineLevel="0" collapsed="false">
      <c r="B21716" s="0" t="s">
        <v>8</v>
      </c>
    </row>
    <row r="21718" customFormat="false" ht="12.8" hidden="false" customHeight="false" outlineLevel="0" collapsed="false">
      <c r="A21718" s="0" t="s">
        <v>8970</v>
      </c>
      <c r="B21718" s="0" t="str">
        <f aca="false">HYPERLINK("https://lindat.mff.cuni.cz/services/teitok/pdtc10/index.php?action=vallex&amp;frame=v-w2746f1", "odkopávat (v-w2746f1)")</f>
        <v>odkopávat (v-w2746f1)</v>
      </c>
    </row>
    <row r="21719" customFormat="false" ht="12.8" hidden="false" customHeight="false" outlineLevel="0" collapsed="false">
      <c r="B21719" s="0" t="s">
        <v>1</v>
      </c>
    </row>
    <row r="21720" customFormat="false" ht="12.8" hidden="false" customHeight="false" outlineLevel="0" collapsed="false">
      <c r="B21720" s="0" t="s">
        <v>8</v>
      </c>
    </row>
    <row r="21722" customFormat="false" ht="12.8" hidden="false" customHeight="false" outlineLevel="0" collapsed="false">
      <c r="A21722" s="0" t="s">
        <v>8971</v>
      </c>
      <c r="B21722" s="0" t="str">
        <f aca="false">HYPERLINK("https://lindat.mff.cuni.cz/services/teitok/pdtc10/index.php?action=vallex&amp;frame=v-w2749f1", "odkoupit (v-w2749f1)")</f>
        <v>odkoupit (v-w2749f1)</v>
      </c>
      <c r="E21722" s="0" t="str">
        <f aca="false">HYPERLINK("https://lindat.mff.cuni.cz/services/SynSemClass40/SynSemClass40.html?veclass=vec00035#vec00035-ces-cm00007", "vec00035")</f>
        <v>vec00035</v>
      </c>
      <c r="F21722" s="0" t="s">
        <v>5701</v>
      </c>
    </row>
    <row r="21723" customFormat="false" ht="12.8" hidden="false" customHeight="false" outlineLevel="0" collapsed="false">
      <c r="B21723" s="0" t="s">
        <v>1</v>
      </c>
      <c r="C21723" s="0" t="s">
        <v>5702</v>
      </c>
      <c r="E21723" s="0" t="s">
        <v>5703</v>
      </c>
      <c r="F21723" s="0" t="s">
        <v>5704</v>
      </c>
    </row>
    <row r="21724" customFormat="false" ht="12.8" hidden="false" customHeight="false" outlineLevel="0" collapsed="false">
      <c r="B21724" s="0" t="s">
        <v>8</v>
      </c>
      <c r="C21724" s="0" t="s">
        <v>5705</v>
      </c>
      <c r="E21724" s="0" t="s">
        <v>3201</v>
      </c>
      <c r="F21724" s="0" t="s">
        <v>5706</v>
      </c>
    </row>
    <row r="21725" customFormat="false" ht="12.8" hidden="false" customHeight="false" outlineLevel="0" collapsed="false">
      <c r="B21725" s="0" t="s">
        <v>602</v>
      </c>
      <c r="C21725" s="0" t="s">
        <v>5709</v>
      </c>
      <c r="E21725" s="0" t="s">
        <v>5710</v>
      </c>
      <c r="F21725" s="0" t="s">
        <v>5711</v>
      </c>
    </row>
    <row r="21727" customFormat="false" ht="12.8" hidden="false" customHeight="false" outlineLevel="0" collapsed="false">
      <c r="A21727" s="0" t="s">
        <v>8972</v>
      </c>
      <c r="B21727" s="0" t="str">
        <f aca="false">HYPERLINK("https://lindat.mff.cuni.cz/services/teitok/pdtc10/index.php?action=vallex&amp;frame=v-w11215f2", "odkroutit (v-w11215f2)")</f>
        <v>odkroutit (v-w11215f2)</v>
      </c>
    </row>
    <row r="21728" customFormat="false" ht="12.8" hidden="false" customHeight="false" outlineLevel="0" collapsed="false">
      <c r="B21728" s="0" t="s">
        <v>1</v>
      </c>
    </row>
    <row r="21729" customFormat="false" ht="12.8" hidden="false" customHeight="false" outlineLevel="0" collapsed="false">
      <c r="B21729" s="0" t="s">
        <v>8</v>
      </c>
    </row>
    <row r="21731" customFormat="false" ht="12.8" hidden="false" customHeight="false" outlineLevel="0" collapsed="false">
      <c r="A21731" s="0" t="s">
        <v>8973</v>
      </c>
      <c r="B21731" s="0" t="str">
        <f aca="false">HYPERLINK("https://lindat.mff.cuni.cz/services/teitok/pdtc10/index.php?action=vallex&amp;frame=v-w11499f2", "odkroutit si (v-w11499f2)")</f>
        <v>odkroutit si (v-w11499f2)</v>
      </c>
    </row>
    <row r="21732" customFormat="false" ht="12.8" hidden="false" customHeight="false" outlineLevel="0" collapsed="false">
      <c r="B21732" s="0" t="s">
        <v>1</v>
      </c>
    </row>
    <row r="21733" customFormat="false" ht="12.8" hidden="false" customHeight="false" outlineLevel="0" collapsed="false">
      <c r="B21733" s="0" t="s">
        <v>8</v>
      </c>
    </row>
    <row r="21735" customFormat="false" ht="12.8" hidden="false" customHeight="false" outlineLevel="0" collapsed="false">
      <c r="A21735" s="0" t="s">
        <v>8974</v>
      </c>
      <c r="B21735" s="0" t="str">
        <f aca="false">HYPERLINK("https://lindat.mff.cuni.cz/services/teitok/pdtc10/index.php?action=vallex&amp;frame=v-w10062f2", "odkráglovat (v-w10062f2)")</f>
        <v>odkráglovat (v-w10062f2)</v>
      </c>
      <c r="E21735" s="0" t="str">
        <f aca="false">HYPERLINK("https://lindat.mff.cuni.cz/services/SynSemClass40/SynSemClass40.html?veclass=vec00365#vec00365-ces-cm00044", "vec00365")</f>
        <v>vec00365</v>
      </c>
      <c r="F21735" s="0" t="s">
        <v>8975</v>
      </c>
      <c r="H21735" s="0" t="str">
        <f aca="false">HYPERLINK("https://lindat.mff.cuni.cz/services/SynSemClass40/SynSemClass40.html?veclass=vec01502#vec01502-ces-cm00002", "vec01502")</f>
        <v>vec01502</v>
      </c>
      <c r="I21735" s="0" t="s">
        <v>8976</v>
      </c>
    </row>
    <row r="21736" customFormat="false" ht="12.8" hidden="false" customHeight="false" outlineLevel="0" collapsed="false">
      <c r="B21736" s="0" t="s">
        <v>1</v>
      </c>
      <c r="C21736" s="0" t="s">
        <v>5883</v>
      </c>
      <c r="E21736" s="0" t="s">
        <v>76</v>
      </c>
      <c r="F21736" s="0" t="s">
        <v>8977</v>
      </c>
      <c r="H21736" s="0" t="s">
        <v>1890</v>
      </c>
      <c r="I21736" s="0" t="s">
        <v>8978</v>
      </c>
    </row>
    <row r="21737" customFormat="false" ht="12.8" hidden="false" customHeight="false" outlineLevel="0" collapsed="false">
      <c r="B21737" s="0" t="s">
        <v>8</v>
      </c>
      <c r="C21737" s="0" t="s">
        <v>8979</v>
      </c>
      <c r="E21737" s="0" t="s">
        <v>199</v>
      </c>
      <c r="F21737" s="0" t="s">
        <v>8980</v>
      </c>
      <c r="H21737" s="0" t="s">
        <v>1893</v>
      </c>
      <c r="I21737" s="0" t="s">
        <v>8981</v>
      </c>
    </row>
    <row r="21739" customFormat="false" ht="12.8" hidden="false" customHeight="false" outlineLevel="0" collapsed="false">
      <c r="A21739" s="0" t="s">
        <v>8982</v>
      </c>
      <c r="B21739" s="0" t="str">
        <f aca="false">HYPERLINK("https://lindat.mff.cuni.cz/services/teitok/pdtc10/index.php?action=vallex&amp;frame=v-w2750f1", "odkrýt (v-w2750f1)")</f>
        <v>odkrýt (v-w2750f1)</v>
      </c>
      <c r="E21739" s="0" t="str">
        <f aca="false">HYPERLINK("https://lindat.mff.cuni.cz/services/SynSemClass40/SynSemClass40.html?veclass=vec00909#vec00909-ces-cm00175", "vec00909")</f>
        <v>vec00909</v>
      </c>
      <c r="F21739" s="0" t="s">
        <v>1954</v>
      </c>
      <c r="H21739" s="0" t="str">
        <f aca="false">HYPERLINK("https://lindat.mff.cuni.cz/services/SynSemClass40/SynSemClass40.html?veclass=vec01386#vec01386-ces-cm00007", "vec01386")</f>
        <v>vec01386</v>
      </c>
      <c r="I21739" s="0" t="s">
        <v>8897</v>
      </c>
    </row>
    <row r="21740" customFormat="false" ht="12.8" hidden="false" customHeight="false" outlineLevel="0" collapsed="false">
      <c r="B21740" s="0" t="s">
        <v>1</v>
      </c>
      <c r="C21740" s="0" t="s">
        <v>8898</v>
      </c>
      <c r="E21740" s="0" t="s">
        <v>621</v>
      </c>
      <c r="F21740" s="0" t="s">
        <v>1957</v>
      </c>
      <c r="H21740" s="0" t="s">
        <v>206</v>
      </c>
      <c r="I21740" s="0" t="s">
        <v>8899</v>
      </c>
    </row>
    <row r="21741" customFormat="false" ht="12.8" hidden="false" customHeight="false" outlineLevel="0" collapsed="false">
      <c r="B21741" s="0" t="s">
        <v>228</v>
      </c>
      <c r="C21741" s="0" t="s">
        <v>8900</v>
      </c>
      <c r="E21741" s="0" t="s">
        <v>180</v>
      </c>
      <c r="F21741" s="0" t="s">
        <v>1961</v>
      </c>
      <c r="H21741" s="0" t="s">
        <v>8901</v>
      </c>
      <c r="I21741" s="0" t="s">
        <v>8902</v>
      </c>
    </row>
    <row r="21743" customFormat="false" ht="12.8" hidden="false" customHeight="false" outlineLevel="0" collapsed="false">
      <c r="A21743" s="0" t="s">
        <v>8983</v>
      </c>
      <c r="B21743" s="0" t="str">
        <f aca="false">HYPERLINK("https://lindat.mff.cuni.cz/services/teitok/pdtc10/index.php?action=vallex&amp;frame=v-w2751f1", "odkrývat (v-w2751f1)")</f>
        <v>odkrývat (v-w2751f1)</v>
      </c>
    </row>
    <row r="21744" customFormat="false" ht="12.8" hidden="false" customHeight="false" outlineLevel="0" collapsed="false">
      <c r="B21744" s="0" t="s">
        <v>1</v>
      </c>
    </row>
    <row r="21745" customFormat="false" ht="12.8" hidden="false" customHeight="false" outlineLevel="0" collapsed="false">
      <c r="B21745" s="0" t="s">
        <v>228</v>
      </c>
    </row>
    <row r="21747" customFormat="false" ht="12.8" hidden="false" customHeight="false" outlineLevel="0" collapsed="false">
      <c r="A21747" s="0" t="s">
        <v>8984</v>
      </c>
      <c r="B21747" s="0" t="str">
        <f aca="false">HYPERLINK("https://lindat.mff.cuni.cz/services/teitok/pdtc10/index.php?action=vallex&amp;frame=v-w11533_ZUf1_ZU", "odkupovat (v-w11533_ZUf1_ZU)")</f>
        <v>odkupovat (v-w11533_ZUf1_ZU)</v>
      </c>
      <c r="E21747" s="0" t="str">
        <f aca="false">HYPERLINK("https://lindat.mff.cuni.cz/services/SynSemClass40/SynSemClass40.html?veclass=vec00035#vec00035-ces-cm00008", "vec00035")</f>
        <v>vec00035</v>
      </c>
      <c r="F21747" s="0" t="s">
        <v>5701</v>
      </c>
    </row>
    <row r="21748" customFormat="false" ht="12.8" hidden="false" customHeight="false" outlineLevel="0" collapsed="false">
      <c r="B21748" s="0" t="s">
        <v>1</v>
      </c>
      <c r="C21748" s="0" t="s">
        <v>5702</v>
      </c>
      <c r="E21748" s="0" t="s">
        <v>5703</v>
      </c>
      <c r="F21748" s="0" t="s">
        <v>5704</v>
      </c>
    </row>
    <row r="21749" customFormat="false" ht="12.8" hidden="false" customHeight="false" outlineLevel="0" collapsed="false">
      <c r="B21749" s="0" t="s">
        <v>8</v>
      </c>
      <c r="C21749" s="0" t="s">
        <v>5705</v>
      </c>
      <c r="E21749" s="0" t="s">
        <v>3201</v>
      </c>
      <c r="F21749" s="0" t="s">
        <v>5706</v>
      </c>
    </row>
    <row r="21750" customFormat="false" ht="12.8" hidden="false" customHeight="false" outlineLevel="0" collapsed="false">
      <c r="B21750" s="0" t="s">
        <v>602</v>
      </c>
      <c r="C21750" s="0" t="s">
        <v>5709</v>
      </c>
      <c r="E21750" s="0" t="s">
        <v>5710</v>
      </c>
      <c r="F21750" s="0" t="s">
        <v>5711</v>
      </c>
    </row>
    <row r="21752" customFormat="false" ht="12.8" hidden="false" customHeight="false" outlineLevel="0" collapsed="false">
      <c r="A21752" s="0" t="s">
        <v>8985</v>
      </c>
      <c r="B21752" s="0" t="str">
        <f aca="false">HYPERLINK("https://lindat.mff.cuni.cz/services/teitok/pdtc10/index.php?action=vallex&amp;frame=v-w11754_ZUf1_ZU", "odkvétat (v-w11754_ZUf1_ZU)")</f>
        <v>odkvétat (v-w11754_ZUf1_ZU)</v>
      </c>
    </row>
    <row r="21753" customFormat="false" ht="12.8" hidden="false" customHeight="false" outlineLevel="0" collapsed="false">
      <c r="B21753" s="0" t="s">
        <v>1</v>
      </c>
    </row>
    <row r="21755" customFormat="false" ht="12.8" hidden="false" customHeight="false" outlineLevel="0" collapsed="false">
      <c r="A21755" s="0" t="s">
        <v>8986</v>
      </c>
      <c r="B21755" s="0" t="str">
        <f aca="false">HYPERLINK("https://lindat.mff.cuni.cz/services/teitok/pdtc10/index.php?action=vallex&amp;frame=v-w2735f2", "odkázat (v-w2735f2)")</f>
        <v>odkázat (v-w2735f2)</v>
      </c>
      <c r="E21755" s="0" t="str">
        <f aca="false">HYPERLINK("https://lindat.mff.cuni.cz/services/SynSemClass40/SynSemClass40.html?veclass=vec00497#vec00497-ces-cm00063", "vec00497")</f>
        <v>vec00497</v>
      </c>
      <c r="F21755" s="0" t="s">
        <v>8865</v>
      </c>
    </row>
    <row r="21756" customFormat="false" ht="12.8" hidden="false" customHeight="false" outlineLevel="0" collapsed="false">
      <c r="B21756" s="0" t="s">
        <v>1</v>
      </c>
      <c r="C21756" s="0" t="s">
        <v>239</v>
      </c>
      <c r="E21756" s="0" t="s">
        <v>4416</v>
      </c>
      <c r="F21756" s="0" t="s">
        <v>8866</v>
      </c>
    </row>
    <row r="21757" customFormat="false" ht="12.8" hidden="false" customHeight="false" outlineLevel="0" collapsed="false">
      <c r="B21757" s="0" t="s">
        <v>8</v>
      </c>
      <c r="C21757" s="0" t="s">
        <v>3200</v>
      </c>
      <c r="E21757" s="0" t="s">
        <v>2111</v>
      </c>
      <c r="F21757" s="0" t="s">
        <v>8868</v>
      </c>
    </row>
    <row r="21758" customFormat="false" ht="12.8" hidden="false" customHeight="false" outlineLevel="0" collapsed="false">
      <c r="B21758" s="0" t="s">
        <v>52</v>
      </c>
      <c r="C21758" s="0" t="s">
        <v>8987</v>
      </c>
      <c r="E21758" s="0" t="s">
        <v>53</v>
      </c>
      <c r="F21758" s="0" t="s">
        <v>8870</v>
      </c>
    </row>
    <row r="21760" customFormat="false" ht="12.8" hidden="false" customHeight="false" outlineLevel="0" collapsed="false">
      <c r="A21760" s="0" t="s">
        <v>8988</v>
      </c>
      <c r="B21760" s="0" t="str">
        <f aca="false">HYPERLINK("https://lindat.mff.cuni.cz/services/teitok/pdtc10/index.php?action=vallex&amp;frame=v-w2735f1", "odkázat (v-w2735f1)")</f>
        <v>odkázat (v-w2735f1)</v>
      </c>
    </row>
    <row r="21761" customFormat="false" ht="12.8" hidden="false" customHeight="false" outlineLevel="0" collapsed="false">
      <c r="B21761" s="0" t="s">
        <v>1</v>
      </c>
    </row>
    <row r="21762" customFormat="false" ht="12.8" hidden="false" customHeight="false" outlineLevel="0" collapsed="false">
      <c r="B21762" s="0" t="s">
        <v>192</v>
      </c>
    </row>
    <row r="21763" customFormat="false" ht="12.8" hidden="false" customHeight="false" outlineLevel="0" collapsed="false">
      <c r="B21763" s="0" t="s">
        <v>98</v>
      </c>
    </row>
    <row r="21765" customFormat="false" ht="12.8" hidden="false" customHeight="false" outlineLevel="0" collapsed="false">
      <c r="A21765" s="0" t="s">
        <v>8989</v>
      </c>
      <c r="B21765" s="0" t="str">
        <f aca="false">HYPERLINK("https://lindat.mff.cuni.cz/services/teitok/pdtc10/index.php?action=vallex&amp;frame=v-w2735f3", "odkázat (v-w2735f3)")</f>
        <v>odkázat (v-w2735f3)</v>
      </c>
    </row>
    <row r="21766" customFormat="false" ht="12.8" hidden="false" customHeight="false" outlineLevel="0" collapsed="false">
      <c r="B21766" s="0" t="s">
        <v>1</v>
      </c>
    </row>
    <row r="21767" customFormat="false" ht="12.8" hidden="false" customHeight="false" outlineLevel="0" collapsed="false">
      <c r="B21767" s="0" t="s">
        <v>8</v>
      </c>
    </row>
    <row r="21768" customFormat="false" ht="12.8" hidden="false" customHeight="false" outlineLevel="0" collapsed="false">
      <c r="B21768" s="0" t="s">
        <v>164</v>
      </c>
    </row>
    <row r="21770" customFormat="false" ht="12.8" hidden="false" customHeight="false" outlineLevel="0" collapsed="false">
      <c r="A21770" s="0" t="s">
        <v>8990</v>
      </c>
      <c r="B21770" s="0" t="str">
        <f aca="false">HYPERLINK("https://lindat.mff.cuni.cz/services/teitok/pdtc10/index.php?action=vallex&amp;frame=v-w11790_ZUf1_ZU", "odkývat (v-w11790_ZUf1_ZU)")</f>
        <v>odkývat (v-w11790_ZUf1_ZU)</v>
      </c>
    </row>
    <row r="21771" customFormat="false" ht="12.8" hidden="false" customHeight="false" outlineLevel="0" collapsed="false">
      <c r="B21771" s="0" t="s">
        <v>1</v>
      </c>
    </row>
    <row r="21772" customFormat="false" ht="12.8" hidden="false" customHeight="false" outlineLevel="0" collapsed="false">
      <c r="B21772" s="0" t="s">
        <v>8</v>
      </c>
    </row>
    <row r="21773" customFormat="false" ht="12.8" hidden="false" customHeight="false" outlineLevel="0" collapsed="false">
      <c r="B21773" s="0" t="s">
        <v>132</v>
      </c>
    </row>
    <row r="21775" customFormat="false" ht="12.8" hidden="false" customHeight="false" outlineLevel="0" collapsed="false">
      <c r="A21775" s="0" t="s">
        <v>8991</v>
      </c>
      <c r="B21775" s="0" t="str">
        <f aca="false">HYPERLINK("https://lindat.mff.cuni.cz/services/teitok/pdtc10/index.php?action=vallex&amp;frame=v-w2755f1", "odlehčit (v-w2755f1)")</f>
        <v>odlehčit (v-w2755f1)</v>
      </c>
    </row>
    <row r="21776" customFormat="false" ht="12.8" hidden="false" customHeight="false" outlineLevel="0" collapsed="false">
      <c r="B21776" s="0" t="s">
        <v>1</v>
      </c>
    </row>
    <row r="21777" customFormat="false" ht="12.8" hidden="false" customHeight="false" outlineLevel="0" collapsed="false">
      <c r="B21777" s="0" t="s">
        <v>186</v>
      </c>
    </row>
    <row r="21779" customFormat="false" ht="12.8" hidden="false" customHeight="false" outlineLevel="0" collapsed="false">
      <c r="A21779" s="0" t="s">
        <v>8992</v>
      </c>
      <c r="B21779" s="0" t="str">
        <f aca="false">HYPERLINK("https://lindat.mff.cuni.cz/services/teitok/pdtc10/index.php?action=vallex&amp;frame=v-w2755hsa_1408", "odlehčit (v-w2755hsa_1408)")</f>
        <v>odlehčit (v-w2755hsa_1408)</v>
      </c>
    </row>
    <row r="21780" customFormat="false" ht="12.8" hidden="false" customHeight="false" outlineLevel="0" collapsed="false">
      <c r="B21780" s="0" t="s">
        <v>1</v>
      </c>
    </row>
    <row r="21781" customFormat="false" ht="12.8" hidden="false" customHeight="false" outlineLevel="0" collapsed="false">
      <c r="B21781" s="0" t="s">
        <v>8</v>
      </c>
    </row>
    <row r="21783" customFormat="false" ht="12.8" hidden="false" customHeight="false" outlineLevel="0" collapsed="false">
      <c r="A21783" s="0" t="s">
        <v>8993</v>
      </c>
      <c r="B21783" s="0" t="str">
        <f aca="false">HYPERLINK("https://lindat.mff.cuni.cz/services/teitok/pdtc10/index.php?action=vallex&amp;frame=v-w2756f1", "odlepit se (v-w2756f1)")</f>
        <v>odlepit se (v-w2756f1)</v>
      </c>
    </row>
    <row r="21784" customFormat="false" ht="12.8" hidden="false" customHeight="false" outlineLevel="0" collapsed="false">
      <c r="B21784" s="0" t="s">
        <v>1</v>
      </c>
    </row>
    <row r="21785" customFormat="false" ht="12.8" hidden="false" customHeight="false" outlineLevel="0" collapsed="false">
      <c r="B21785" s="0" t="s">
        <v>631</v>
      </c>
    </row>
    <row r="21787" customFormat="false" ht="12.8" hidden="false" customHeight="false" outlineLevel="0" collapsed="false">
      <c r="A21787" s="0" t="s">
        <v>8994</v>
      </c>
      <c r="B21787" s="0" t="str">
        <f aca="false">HYPERLINK("https://lindat.mff.cuni.cz/services/teitok/pdtc10/index.php?action=vallex&amp;frame=v-whsa_958hsa_959", "odlepkovávat (v-whsa_958hsa_959)")</f>
        <v>odlepkovávat (v-whsa_958hsa_959)</v>
      </c>
    </row>
    <row r="21788" customFormat="false" ht="12.8" hidden="false" customHeight="false" outlineLevel="0" collapsed="false">
      <c r="B21788" s="0" t="s">
        <v>1</v>
      </c>
    </row>
    <row r="21789" customFormat="false" ht="12.8" hidden="false" customHeight="false" outlineLevel="0" collapsed="false">
      <c r="B21789" s="0" t="s">
        <v>8</v>
      </c>
    </row>
    <row r="21791" customFormat="false" ht="12.8" hidden="false" customHeight="false" outlineLevel="0" collapsed="false">
      <c r="A21791" s="0" t="s">
        <v>8995</v>
      </c>
      <c r="B21791" s="0" t="str">
        <f aca="false">HYPERLINK("https://lindat.mff.cuni.cz/services/teitok/pdtc10/index.php?action=vallex&amp;frame=v-w2759f1", "odletět (v-w2759f1)")</f>
        <v>odletět (v-w2759f1)</v>
      </c>
      <c r="E21791" s="0" t="str">
        <f aca="false">HYPERLINK("https://lindat.mff.cuni.cz/services/SynSemClass40/SynSemClass40.html?veclass=vec00427#vec00427-ces-cm00006", "vec00427")</f>
        <v>vec00427</v>
      </c>
      <c r="F21791" s="0" t="s">
        <v>2444</v>
      </c>
    </row>
    <row r="21792" customFormat="false" ht="12.8" hidden="false" customHeight="false" outlineLevel="0" collapsed="false">
      <c r="B21792" s="0" t="s">
        <v>1</v>
      </c>
      <c r="C21792" s="0" t="s">
        <v>5981</v>
      </c>
      <c r="E21792" s="0" t="s">
        <v>334</v>
      </c>
      <c r="F21792" s="0" t="s">
        <v>2447</v>
      </c>
    </row>
    <row r="21793" customFormat="false" ht="12.8" hidden="false" customHeight="false" outlineLevel="0" collapsed="false">
      <c r="B21793" s="0" t="s">
        <v>631</v>
      </c>
      <c r="E21793" s="0" t="s">
        <v>1949</v>
      </c>
      <c r="F21793" s="0" t="s">
        <v>2896</v>
      </c>
    </row>
    <row r="21795" customFormat="false" ht="12.8" hidden="false" customHeight="false" outlineLevel="0" collapsed="false">
      <c r="A21795" s="0" t="s">
        <v>8996</v>
      </c>
      <c r="B21795" s="0" t="str">
        <f aca="false">HYPERLINK("https://lindat.mff.cuni.cz/services/teitok/pdtc10/index.php?action=vallex&amp;frame=v-w12393_MMf1_MM", "odležet se (v-w12393_MMf1_MM)")</f>
        <v>odležet se (v-w12393_MMf1_MM)</v>
      </c>
    </row>
    <row r="21796" customFormat="false" ht="12.8" hidden="false" customHeight="false" outlineLevel="0" collapsed="false">
      <c r="B21796" s="0" t="s">
        <v>1</v>
      </c>
    </row>
    <row r="21798" customFormat="false" ht="12.8" hidden="false" customHeight="false" outlineLevel="0" collapsed="false">
      <c r="A21798" s="0" t="s">
        <v>8997</v>
      </c>
      <c r="B21798" s="0" t="str">
        <f aca="false">HYPERLINK("https://lindat.mff.cuni.cz/services/teitok/pdtc10/index.php?action=vallex&amp;frame=v-w2761f1", "odlišit (v-w2761f1)")</f>
        <v>odlišit (v-w2761f1)</v>
      </c>
      <c r="E21798" s="0" t="str">
        <f aca="false">HYPERLINK("https://lindat.mff.cuni.cz/services/SynSemClass40/SynSemClass40.html?veclass=vec01102#vec01102-ces-cm00007", "vec01102")</f>
        <v>vec01102</v>
      </c>
      <c r="F21798" s="0" t="s">
        <v>1969</v>
      </c>
    </row>
    <row r="21799" customFormat="false" ht="12.8" hidden="false" customHeight="false" outlineLevel="0" collapsed="false">
      <c r="B21799" s="0" t="s">
        <v>1</v>
      </c>
      <c r="C21799" s="0" t="s">
        <v>459</v>
      </c>
      <c r="E21799" s="0" t="s">
        <v>8998</v>
      </c>
      <c r="F21799" s="0" t="s">
        <v>8999</v>
      </c>
    </row>
    <row r="21800" customFormat="false" ht="12.8" hidden="false" customHeight="false" outlineLevel="0" collapsed="false">
      <c r="B21800" s="0" t="s">
        <v>8</v>
      </c>
      <c r="C21800" s="0" t="s">
        <v>7131</v>
      </c>
      <c r="E21800" s="0" t="s">
        <v>5531</v>
      </c>
      <c r="F21800" s="0" t="s">
        <v>9000</v>
      </c>
    </row>
    <row r="21801" customFormat="false" ht="12.8" hidden="false" customHeight="false" outlineLevel="0" collapsed="false">
      <c r="B21801" s="0" t="s">
        <v>1965</v>
      </c>
      <c r="C21801" s="0" t="s">
        <v>9001</v>
      </c>
      <c r="E21801" s="0" t="s">
        <v>9002</v>
      </c>
      <c r="F21801" s="0" t="s">
        <v>9003</v>
      </c>
    </row>
    <row r="21803" customFormat="false" ht="12.8" hidden="false" customHeight="false" outlineLevel="0" collapsed="false">
      <c r="A21803" s="0" t="s">
        <v>9004</v>
      </c>
      <c r="B21803" s="0" t="str">
        <f aca="false">HYPERLINK("https://lindat.mff.cuni.cz/services/teitok/pdtc10/index.php?action=vallex&amp;frame=v-w11534_ZUf1_ZU", "odlišit se (v-w11534_ZUf1_ZU)")</f>
        <v>odlišit se (v-w11534_ZUf1_ZU)</v>
      </c>
      <c r="E21803" s="0" t="str">
        <f aca="false">HYPERLINK("https://lindat.mff.cuni.cz/services/SynSemClass40/SynSemClass40.html?veclass=vec00650#vec00650-ces-cm00001", "vec00650")</f>
        <v>vec00650</v>
      </c>
      <c r="F21803" s="0" t="s">
        <v>9005</v>
      </c>
    </row>
    <row r="21804" customFormat="false" ht="12.8" hidden="false" customHeight="false" outlineLevel="0" collapsed="false">
      <c r="B21804" s="0" t="s">
        <v>1</v>
      </c>
      <c r="C21804" s="0" t="s">
        <v>1664</v>
      </c>
      <c r="E21804" s="0" t="s">
        <v>1971</v>
      </c>
      <c r="F21804" s="0" t="s">
        <v>9006</v>
      </c>
    </row>
    <row r="21805" customFormat="false" ht="12.8" hidden="false" customHeight="false" outlineLevel="0" collapsed="false">
      <c r="B21805" s="0" t="s">
        <v>26</v>
      </c>
      <c r="C21805" s="0" t="s">
        <v>9007</v>
      </c>
      <c r="E21805" s="0" t="s">
        <v>1976</v>
      </c>
      <c r="F21805" s="0" t="s">
        <v>9008</v>
      </c>
    </row>
    <row r="21807" customFormat="false" ht="12.8" hidden="false" customHeight="false" outlineLevel="0" collapsed="false">
      <c r="A21807" s="0" t="s">
        <v>9009</v>
      </c>
      <c r="B21807" s="0" t="str">
        <f aca="false">HYPERLINK("https://lindat.mff.cuni.cz/services/teitok/pdtc10/index.php?action=vallex&amp;frame=v-w2764f1", "odlišovat (v-w2764f1)")</f>
        <v>odlišovat (v-w2764f1)</v>
      </c>
      <c r="E21807" s="0" t="str">
        <f aca="false">HYPERLINK("https://lindat.mff.cuni.cz/services/SynSemClass40/SynSemClass40.html?veclass=vec01102#vec01102-ces-cm00021", "vec01102")</f>
        <v>vec01102</v>
      </c>
      <c r="F21807" s="0" t="s">
        <v>1969</v>
      </c>
    </row>
    <row r="21808" customFormat="false" ht="12.8" hidden="false" customHeight="false" outlineLevel="0" collapsed="false">
      <c r="B21808" s="0" t="s">
        <v>1</v>
      </c>
      <c r="C21808" s="0" t="s">
        <v>459</v>
      </c>
      <c r="E21808" s="0" t="s">
        <v>8998</v>
      </c>
      <c r="F21808" s="0" t="s">
        <v>8999</v>
      </c>
    </row>
    <row r="21809" customFormat="false" ht="12.8" hidden="false" customHeight="false" outlineLevel="0" collapsed="false">
      <c r="B21809" s="0" t="s">
        <v>8</v>
      </c>
      <c r="C21809" s="0" t="s">
        <v>7131</v>
      </c>
      <c r="E21809" s="0" t="s">
        <v>5531</v>
      </c>
      <c r="F21809" s="0" t="s">
        <v>9000</v>
      </c>
    </row>
    <row r="21810" customFormat="false" ht="12.8" hidden="false" customHeight="false" outlineLevel="0" collapsed="false">
      <c r="B21810" s="0" t="s">
        <v>1965</v>
      </c>
      <c r="C21810" s="0" t="s">
        <v>9001</v>
      </c>
      <c r="E21810" s="0" t="s">
        <v>9002</v>
      </c>
      <c r="F21810" s="0" t="s">
        <v>9003</v>
      </c>
    </row>
    <row r="21812" customFormat="false" ht="12.8" hidden="false" customHeight="false" outlineLevel="0" collapsed="false">
      <c r="A21812" s="0" t="s">
        <v>9010</v>
      </c>
      <c r="B21812" s="0" t="str">
        <f aca="false">HYPERLINK("https://lindat.mff.cuni.cz/services/teitok/pdtc10/index.php?action=vallex&amp;frame=v-w2765f1", "odlišovat se (v-w2765f1)")</f>
        <v>odlišovat se (v-w2765f1)</v>
      </c>
      <c r="E21812" s="0" t="str">
        <f aca="false">HYPERLINK("https://lindat.mff.cuni.cz/services/SynSemClass40/SynSemClass40.html?veclass=vec00650#vec00650-ces-cm00002", "vec00650")</f>
        <v>vec00650</v>
      </c>
      <c r="F21812" s="0" t="s">
        <v>9005</v>
      </c>
    </row>
    <row r="21813" customFormat="false" ht="12.8" hidden="false" customHeight="false" outlineLevel="0" collapsed="false">
      <c r="B21813" s="0" t="s">
        <v>1</v>
      </c>
      <c r="C21813" s="0" t="s">
        <v>1664</v>
      </c>
      <c r="E21813" s="0" t="s">
        <v>1971</v>
      </c>
      <c r="F21813" s="0" t="s">
        <v>9006</v>
      </c>
    </row>
    <row r="21814" customFormat="false" ht="12.8" hidden="false" customHeight="false" outlineLevel="0" collapsed="false">
      <c r="B21814" s="0" t="s">
        <v>26</v>
      </c>
      <c r="C21814" s="0" t="s">
        <v>9007</v>
      </c>
      <c r="E21814" s="0" t="s">
        <v>1976</v>
      </c>
      <c r="F21814" s="0" t="s">
        <v>9008</v>
      </c>
    </row>
    <row r="21816" customFormat="false" ht="12.8" hidden="false" customHeight="false" outlineLevel="0" collapsed="false">
      <c r="A21816" s="0" t="s">
        <v>9011</v>
      </c>
      <c r="B21816" s="0" t="str">
        <f aca="false">HYPERLINK("https://lindat.mff.cuni.cz/services/teitok/pdtc10/index.php?action=vallex&amp;frame=v-w2769f2", "odloučit (v-w2769f2)")</f>
        <v>odloučit (v-w2769f2)</v>
      </c>
    </row>
    <row r="21817" customFormat="false" ht="12.8" hidden="false" customHeight="false" outlineLevel="0" collapsed="false">
      <c r="B21817" s="0" t="s">
        <v>1</v>
      </c>
    </row>
    <row r="21818" customFormat="false" ht="12.8" hidden="false" customHeight="false" outlineLevel="0" collapsed="false">
      <c r="B21818" s="0" t="s">
        <v>8</v>
      </c>
    </row>
    <row r="21819" customFormat="false" ht="12.8" hidden="false" customHeight="false" outlineLevel="0" collapsed="false">
      <c r="B21819" s="0" t="s">
        <v>1965</v>
      </c>
    </row>
    <row r="21821" customFormat="false" ht="12.8" hidden="false" customHeight="false" outlineLevel="0" collapsed="false">
      <c r="A21821" s="0" t="s">
        <v>9011</v>
      </c>
      <c r="B21821" s="0" t="str">
        <f aca="false">HYPERLINK("https://lindat.mff.cuni.cz/services/teitok/pdtc10/index.php?action=vallex&amp;frame=v-w2769f1", "odloučit (v-w2769f1) - substituted with v-w2769f2")</f>
        <v>odloučit (v-w2769f1) - substituted with v-w2769f2</v>
      </c>
    </row>
    <row r="21822" customFormat="false" ht="12.8" hidden="false" customHeight="false" outlineLevel="0" collapsed="false">
      <c r="B21822" s="0" t="s">
        <v>1</v>
      </c>
    </row>
    <row r="21823" customFormat="false" ht="12.8" hidden="false" customHeight="false" outlineLevel="0" collapsed="false">
      <c r="B21823" s="0" t="s">
        <v>8</v>
      </c>
    </row>
    <row r="21824" customFormat="false" ht="12.8" hidden="false" customHeight="false" outlineLevel="0" collapsed="false">
      <c r="B21824" s="0" t="s">
        <v>1965</v>
      </c>
    </row>
    <row r="21826" customFormat="false" ht="12.8" hidden="false" customHeight="false" outlineLevel="0" collapsed="false">
      <c r="A21826" s="0" t="s">
        <v>9012</v>
      </c>
      <c r="B21826" s="0" t="str">
        <f aca="false">HYPERLINK("https://lindat.mff.cuni.cz/services/teitok/pdtc10/index.php?action=vallex&amp;frame=v-w2771f1", "odložit (v-w2771f1)")</f>
        <v>odložit (v-w2771f1)</v>
      </c>
      <c r="E21826" s="0" t="str">
        <f aca="false">HYPERLINK("https://lindat.mff.cuni.cz/services/SynSemClass40/SynSemClass40.html?veclass=vec00486#vec00486-ces-cm00004", "vec00486")</f>
        <v>vec00486</v>
      </c>
      <c r="F21826" s="0" t="s">
        <v>542</v>
      </c>
      <c r="H21826" s="0" t="str">
        <f aca="false">HYPERLINK("https://lindat.mff.cuni.cz/services/SynSemClass40/SynSemClass40.html?veclass=vec01284#vec01284-ces-cm00005", "vec01284")</f>
        <v>vec01284</v>
      </c>
      <c r="I21826" s="0" t="s">
        <v>8765</v>
      </c>
    </row>
    <row r="21827" customFormat="false" ht="12.8" hidden="false" customHeight="false" outlineLevel="0" collapsed="false">
      <c r="B21827" s="0" t="s">
        <v>1</v>
      </c>
      <c r="C21827" s="0" t="s">
        <v>8766</v>
      </c>
      <c r="E21827" s="0" t="s">
        <v>206</v>
      </c>
      <c r="F21827" s="0" t="s">
        <v>544</v>
      </c>
      <c r="H21827" s="0" t="s">
        <v>84</v>
      </c>
      <c r="I21827" s="0" t="s">
        <v>8767</v>
      </c>
    </row>
    <row r="21828" customFormat="false" ht="12.8" hidden="false" customHeight="false" outlineLevel="0" collapsed="false">
      <c r="B21828" s="0" t="s">
        <v>8</v>
      </c>
      <c r="C21828" s="0" t="s">
        <v>8768</v>
      </c>
      <c r="E21828" s="0" t="s">
        <v>79</v>
      </c>
      <c r="F21828" s="0" t="s">
        <v>546</v>
      </c>
      <c r="H21828" s="0" t="s">
        <v>87</v>
      </c>
      <c r="I21828" s="0" t="s">
        <v>8769</v>
      </c>
    </row>
    <row r="21830" customFormat="false" ht="12.8" hidden="false" customHeight="false" outlineLevel="0" collapsed="false">
      <c r="A21830" s="0" t="s">
        <v>9013</v>
      </c>
      <c r="B21830" s="0" t="str">
        <f aca="false">HYPERLINK("https://lindat.mff.cuni.cz/services/teitok/pdtc10/index.php?action=vallex&amp;frame=v-w2771f2", "odložit (v-w2771f2)")</f>
        <v>odložit (v-w2771f2)</v>
      </c>
    </row>
    <row r="21831" customFormat="false" ht="12.8" hidden="false" customHeight="false" outlineLevel="0" collapsed="false">
      <c r="B21831" s="0" t="s">
        <v>1</v>
      </c>
    </row>
    <row r="21832" customFormat="false" ht="12.8" hidden="false" customHeight="false" outlineLevel="0" collapsed="false">
      <c r="B21832" s="0" t="s">
        <v>8</v>
      </c>
    </row>
    <row r="21834" customFormat="false" ht="12.8" hidden="false" customHeight="false" outlineLevel="0" collapsed="false">
      <c r="A21834" s="0" t="s">
        <v>9014</v>
      </c>
      <c r="B21834" s="0" t="str">
        <f aca="false">HYPERLINK("https://lindat.mff.cuni.cz/services/teitok/pdtc10/index.php?action=vallex&amp;frame=v-w2771f6_ZU", "odložit (v-w2771f6_ZU)")</f>
        <v>odložit (v-w2771f6_ZU)</v>
      </c>
    </row>
    <row r="21835" customFormat="false" ht="12.8" hidden="false" customHeight="false" outlineLevel="0" collapsed="false">
      <c r="B21835" s="0" t="s">
        <v>1</v>
      </c>
    </row>
    <row r="21836" customFormat="false" ht="12.8" hidden="false" customHeight="false" outlineLevel="0" collapsed="false">
      <c r="B21836" s="0" t="s">
        <v>8</v>
      </c>
    </row>
    <row r="21838" customFormat="false" ht="12.8" hidden="false" customHeight="false" outlineLevel="0" collapsed="false">
      <c r="A21838" s="0" t="s">
        <v>9014</v>
      </c>
      <c r="B21838" s="0" t="str">
        <f aca="false">HYPERLINK("https://lindat.mff.cuni.cz/services/teitok/pdtc10/index.php?action=vallex&amp;frame=v-w2771f3_ZU", "odložit (v-w2771f3_ZU) - substituted with v-w2771f6_ZU")</f>
        <v>odložit (v-w2771f3_ZU) - substituted with v-w2771f6_ZU</v>
      </c>
    </row>
    <row r="21839" customFormat="false" ht="12.8" hidden="false" customHeight="false" outlineLevel="0" collapsed="false">
      <c r="B21839" s="0" t="s">
        <v>1</v>
      </c>
    </row>
    <row r="21840" customFormat="false" ht="12.8" hidden="false" customHeight="false" outlineLevel="0" collapsed="false">
      <c r="B21840" s="0" t="s">
        <v>8</v>
      </c>
    </row>
    <row r="21842" customFormat="false" ht="12.8" hidden="false" customHeight="false" outlineLevel="0" collapsed="false">
      <c r="A21842" s="0" t="s">
        <v>9014</v>
      </c>
      <c r="B21842" s="0" t="str">
        <f aca="false">HYPERLINK("https://lindat.mff.cuni.cz/services/teitok/pdtc10/index.php?action=vallex&amp;frame=v-w2771f4_ZU", "odložit (v-w2771f4_ZU) - substituted with v-w2771f6_ZU")</f>
        <v>odložit (v-w2771f4_ZU) - substituted with v-w2771f6_ZU</v>
      </c>
    </row>
    <row r="21843" customFormat="false" ht="12.8" hidden="false" customHeight="false" outlineLevel="0" collapsed="false">
      <c r="B21843" s="0" t="s">
        <v>1</v>
      </c>
    </row>
    <row r="21844" customFormat="false" ht="12.8" hidden="false" customHeight="false" outlineLevel="0" collapsed="false">
      <c r="B21844" s="0" t="s">
        <v>8</v>
      </c>
    </row>
    <row r="21846" customFormat="false" ht="12.8" hidden="false" customHeight="false" outlineLevel="0" collapsed="false">
      <c r="A21846" s="0" t="s">
        <v>9014</v>
      </c>
      <c r="B21846" s="0" t="str">
        <f aca="false">HYPERLINK("https://lindat.mff.cuni.cz/services/teitok/pdtc10/index.php?action=vallex&amp;frame=v-w2771f5_ZU", "odložit (v-w2771f5_ZU) - substituted with v-w2771f6_ZU")</f>
        <v>odložit (v-w2771f5_ZU) - substituted with v-w2771f6_ZU</v>
      </c>
    </row>
    <row r="21847" customFormat="false" ht="12.8" hidden="false" customHeight="false" outlineLevel="0" collapsed="false">
      <c r="B21847" s="0" t="s">
        <v>1</v>
      </c>
    </row>
    <row r="21848" customFormat="false" ht="12.8" hidden="false" customHeight="false" outlineLevel="0" collapsed="false">
      <c r="B21848" s="0" t="s">
        <v>8</v>
      </c>
    </row>
    <row r="21850" customFormat="false" ht="12.8" hidden="false" customHeight="false" outlineLevel="0" collapsed="false">
      <c r="A21850" s="0" t="s">
        <v>9015</v>
      </c>
      <c r="B21850" s="0" t="str">
        <f aca="false">HYPERLINK("https://lindat.mff.cuni.cz/services/teitok/pdtc10/index.php?action=vallex&amp;frame=v-w2774f1", "odlupovat (v-w2774f1)")</f>
        <v>odlupovat (v-w2774f1)</v>
      </c>
      <c r="E21850" s="0" t="str">
        <f aca="false">HYPERLINK("https://lindat.mff.cuni.cz/services/SynSemClass40/SynSemClass40.html?veclass=vec00047#vec00047-ces-cm00042", "vec00047")</f>
        <v>vec00047</v>
      </c>
      <c r="F21850" s="0" t="s">
        <v>4894</v>
      </c>
    </row>
    <row r="21851" customFormat="false" ht="12.8" hidden="false" customHeight="false" outlineLevel="0" collapsed="false">
      <c r="B21851" s="0" t="s">
        <v>1</v>
      </c>
      <c r="C21851" s="0" t="s">
        <v>4895</v>
      </c>
      <c r="E21851" s="0" t="s">
        <v>31</v>
      </c>
      <c r="F21851" s="0" t="s">
        <v>4896</v>
      </c>
    </row>
    <row r="21852" customFormat="false" ht="12.8" hidden="false" customHeight="false" outlineLevel="0" collapsed="false">
      <c r="B21852" s="0" t="s">
        <v>8</v>
      </c>
      <c r="C21852" s="0" t="s">
        <v>4897</v>
      </c>
      <c r="E21852" s="0" t="s">
        <v>4852</v>
      </c>
      <c r="F21852" s="0" t="s">
        <v>4898</v>
      </c>
    </row>
    <row r="21853" customFormat="false" ht="12.8" hidden="false" customHeight="false" outlineLevel="0" collapsed="false">
      <c r="B21853" s="0" t="s">
        <v>602</v>
      </c>
      <c r="C21853" s="0" t="s">
        <v>4899</v>
      </c>
      <c r="E21853" s="0" t="s">
        <v>4900</v>
      </c>
      <c r="F21853" s="0" t="s">
        <v>4901</v>
      </c>
    </row>
    <row r="21855" customFormat="false" ht="12.8" hidden="false" customHeight="false" outlineLevel="0" collapsed="false">
      <c r="A21855" s="0" t="s">
        <v>9016</v>
      </c>
      <c r="B21855" s="0" t="str">
        <f aca="false">HYPERLINK("https://lindat.mff.cuni.cz/services/teitok/pdtc10/index.php?action=vallex&amp;frame=v-w2753f1", "odlákat (v-w2753f1)")</f>
        <v>odlákat (v-w2753f1)</v>
      </c>
    </row>
    <row r="21856" customFormat="false" ht="12.8" hidden="false" customHeight="false" outlineLevel="0" collapsed="false">
      <c r="B21856" s="0" t="s">
        <v>1</v>
      </c>
    </row>
    <row r="21857" customFormat="false" ht="12.8" hidden="false" customHeight="false" outlineLevel="0" collapsed="false">
      <c r="B21857" s="0" t="s">
        <v>8</v>
      </c>
    </row>
    <row r="21858" customFormat="false" ht="12.8" hidden="false" customHeight="false" outlineLevel="0" collapsed="false">
      <c r="B21858" s="0" t="s">
        <v>631</v>
      </c>
    </row>
    <row r="21860" customFormat="false" ht="12.8" hidden="false" customHeight="false" outlineLevel="0" collapsed="false">
      <c r="A21860" s="0" t="s">
        <v>9017</v>
      </c>
      <c r="B21860" s="0" t="str">
        <f aca="false">HYPERLINK("https://lindat.mff.cuni.cz/services/teitok/pdtc10/index.php?action=vallex&amp;frame=v-w10141f2", "odlákávat (v-w10141f2)")</f>
        <v>odlákávat (v-w10141f2)</v>
      </c>
    </row>
    <row r="21861" customFormat="false" ht="12.8" hidden="false" customHeight="false" outlineLevel="0" collapsed="false">
      <c r="B21861" s="0" t="s">
        <v>1</v>
      </c>
    </row>
    <row r="21862" customFormat="false" ht="12.8" hidden="false" customHeight="false" outlineLevel="0" collapsed="false">
      <c r="B21862" s="0" t="s">
        <v>8</v>
      </c>
    </row>
    <row r="21863" customFormat="false" ht="12.8" hidden="false" customHeight="false" outlineLevel="0" collapsed="false">
      <c r="B21863" s="0" t="s">
        <v>631</v>
      </c>
    </row>
    <row r="21865" customFormat="false" ht="12.8" hidden="false" customHeight="false" outlineLevel="0" collapsed="false">
      <c r="A21865" s="0" t="s">
        <v>9018</v>
      </c>
      <c r="B21865" s="0" t="str">
        <f aca="false">HYPERLINK("https://lindat.mff.cuni.cz/services/teitok/pdtc10/index.php?action=vallex&amp;frame=v-w2758f1", "odlétat (v-w2758f1)")</f>
        <v>odlétat (v-w2758f1)</v>
      </c>
    </row>
    <row r="21866" customFormat="false" ht="12.8" hidden="false" customHeight="false" outlineLevel="0" collapsed="false">
      <c r="B21866" s="0" t="s">
        <v>1</v>
      </c>
    </row>
    <row r="21867" customFormat="false" ht="12.8" hidden="false" customHeight="false" outlineLevel="0" collapsed="false">
      <c r="B21867" s="0" t="s">
        <v>631</v>
      </c>
    </row>
    <row r="21869" customFormat="false" ht="12.8" hidden="false" customHeight="false" outlineLevel="0" collapsed="false">
      <c r="A21869" s="0" t="s">
        <v>9019</v>
      </c>
      <c r="B21869" s="0" t="str">
        <f aca="false">HYPERLINK("https://lindat.mff.cuni.cz/services/teitok/pdtc10/index.php?action=vallex&amp;frame=v-w10151f2", "odlít (v-w10151f2)")</f>
        <v>odlít (v-w10151f2)</v>
      </c>
    </row>
    <row r="21870" customFormat="false" ht="12.8" hidden="false" customHeight="false" outlineLevel="0" collapsed="false">
      <c r="B21870" s="0" t="s">
        <v>1</v>
      </c>
    </row>
    <row r="21871" customFormat="false" ht="12.8" hidden="false" customHeight="false" outlineLevel="0" collapsed="false">
      <c r="B21871" s="0" t="s">
        <v>8</v>
      </c>
    </row>
    <row r="21873" customFormat="false" ht="12.8" hidden="false" customHeight="false" outlineLevel="0" collapsed="false">
      <c r="A21873" s="0" t="s">
        <v>9020</v>
      </c>
      <c r="B21873" s="0" t="str">
        <f aca="false">HYPERLINK("https://lindat.mff.cuni.cz/services/teitok/pdtc10/index.php?action=vallex&amp;frame=v-w10151hsa_2025", "odlít (v-w10151hsa_2025)")</f>
        <v>odlít (v-w10151hsa_2025)</v>
      </c>
    </row>
    <row r="21874" customFormat="false" ht="12.8" hidden="false" customHeight="false" outlineLevel="0" collapsed="false">
      <c r="B21874" s="0" t="s">
        <v>1</v>
      </c>
    </row>
    <row r="21875" customFormat="false" ht="12.8" hidden="false" customHeight="false" outlineLevel="0" collapsed="false">
      <c r="B21875" s="0" t="s">
        <v>8</v>
      </c>
    </row>
    <row r="21877" customFormat="false" ht="12.8" hidden="false" customHeight="false" outlineLevel="0" collapsed="false">
      <c r="A21877" s="0" t="s">
        <v>9021</v>
      </c>
      <c r="B21877" s="0" t="str">
        <f aca="false">HYPERLINK("https://lindat.mff.cuni.cz/services/teitok/pdtc10/index.php?action=vallex&amp;frame=v-whsa_1798hsa_1799", "odmalovat (v-whsa_1798hsa_1799)")</f>
        <v>odmalovat (v-whsa_1798hsa_1799)</v>
      </c>
    </row>
    <row r="21878" customFormat="false" ht="12.8" hidden="false" customHeight="false" outlineLevel="0" collapsed="false">
      <c r="B21878" s="0" t="s">
        <v>1</v>
      </c>
    </row>
    <row r="21879" customFormat="false" ht="12.8" hidden="false" customHeight="false" outlineLevel="0" collapsed="false">
      <c r="B21879" s="0" t="s">
        <v>8</v>
      </c>
    </row>
    <row r="21881" customFormat="false" ht="12.8" hidden="false" customHeight="false" outlineLevel="0" collapsed="false">
      <c r="A21881" s="0" t="s">
        <v>9022</v>
      </c>
      <c r="B21881" s="0" t="str">
        <f aca="false">HYPERLINK("https://lindat.mff.cuni.cz/services/teitok/pdtc10/index.php?action=vallex&amp;frame=v-w10103f2", "odmaturovat (v-w10103f2)")</f>
        <v>odmaturovat (v-w10103f2)</v>
      </c>
      <c r="E21881" s="0" t="str">
        <f aca="false">HYPERLINK("https://lindat.mff.cuni.cz/services/SynSemClass40/SynSemClass40.html?veclass=vec00601#vec00601-ces-cm00006", "vec00601")</f>
        <v>vec00601</v>
      </c>
      <c r="F21881" s="0" t="s">
        <v>9</v>
      </c>
    </row>
    <row r="21882" customFormat="false" ht="12.8" hidden="false" customHeight="false" outlineLevel="0" collapsed="false">
      <c r="B21882" s="0" t="s">
        <v>1</v>
      </c>
      <c r="C21882" s="0" t="s">
        <v>10</v>
      </c>
      <c r="E21882" s="0" t="s">
        <v>11</v>
      </c>
      <c r="F21882" s="0" t="s">
        <v>12</v>
      </c>
    </row>
    <row r="21883" customFormat="false" ht="12.8" hidden="false" customHeight="false" outlineLevel="0" collapsed="false">
      <c r="B21883" s="0" t="s">
        <v>763</v>
      </c>
      <c r="C21883" s="0" t="s">
        <v>13</v>
      </c>
      <c r="E21883" s="0" t="s">
        <v>14</v>
      </c>
      <c r="F21883" s="0" t="s">
        <v>15</v>
      </c>
    </row>
    <row r="21885" customFormat="false" ht="12.8" hidden="false" customHeight="false" outlineLevel="0" collapsed="false">
      <c r="A21885" s="0" t="s">
        <v>9023</v>
      </c>
      <c r="B21885" s="0" t="str">
        <f aca="false">HYPERLINK("https://lindat.mff.cuni.cz/services/teitok/pdtc10/index.php?action=vallex&amp;frame=v-w11897_ZUf1_ZU", "odmlouvat (v-w11897_ZUf1_ZU)")</f>
        <v>odmlouvat (v-w11897_ZUf1_ZU)</v>
      </c>
    </row>
    <row r="21886" customFormat="false" ht="12.8" hidden="false" customHeight="false" outlineLevel="0" collapsed="false">
      <c r="B21886" s="0" t="s">
        <v>1</v>
      </c>
    </row>
    <row r="21887" customFormat="false" ht="12.8" hidden="false" customHeight="false" outlineLevel="0" collapsed="false">
      <c r="B21887" s="0" t="s">
        <v>186</v>
      </c>
    </row>
    <row r="21889" customFormat="false" ht="12.8" hidden="false" customHeight="false" outlineLevel="0" collapsed="false">
      <c r="A21889" s="0" t="s">
        <v>9024</v>
      </c>
      <c r="B21889" s="0" t="str">
        <f aca="false">HYPERLINK("https://lindat.mff.cuni.cz/services/teitok/pdtc10/index.php?action=vallex&amp;frame=v-w2788f2_ZU", "odmlčet se (v-w2788f2_ZU)")</f>
        <v>odmlčet se (v-w2788f2_ZU)</v>
      </c>
    </row>
    <row r="21890" customFormat="false" ht="12.8" hidden="false" customHeight="false" outlineLevel="0" collapsed="false">
      <c r="B21890" s="0" t="s">
        <v>1</v>
      </c>
    </row>
    <row r="21892" customFormat="false" ht="12.8" hidden="false" customHeight="false" outlineLevel="0" collapsed="false">
      <c r="A21892" s="0" t="s">
        <v>9024</v>
      </c>
      <c r="B21892" s="0" t="str">
        <f aca="false">HYPERLINK("https://lindat.mff.cuni.cz/services/teitok/pdtc10/index.php?action=vallex&amp;frame=v-w2788f1", "odmlčet se (v-w2788f1) - substituted with v-w2788f2_ZU")</f>
        <v>odmlčet se (v-w2788f1) - substituted with v-w2788f2_ZU</v>
      </c>
    </row>
    <row r="21893" customFormat="false" ht="12.8" hidden="false" customHeight="false" outlineLevel="0" collapsed="false">
      <c r="B21893" s="0" t="s">
        <v>1</v>
      </c>
    </row>
    <row r="21895" customFormat="false" ht="12.8" hidden="false" customHeight="false" outlineLevel="0" collapsed="false">
      <c r="A21895" s="0" t="s">
        <v>9025</v>
      </c>
      <c r="B21895" s="0" t="str">
        <f aca="false">HYPERLINK("https://lindat.mff.cuni.cz/services/teitok/pdtc10/index.php?action=vallex&amp;frame=v-w2789f1", "odmontovat (v-w2789f1)")</f>
        <v>odmontovat (v-w2789f1)</v>
      </c>
    </row>
    <row r="21896" customFormat="false" ht="12.8" hidden="false" customHeight="false" outlineLevel="0" collapsed="false">
      <c r="B21896" s="0" t="s">
        <v>1</v>
      </c>
    </row>
    <row r="21897" customFormat="false" ht="12.8" hidden="false" customHeight="false" outlineLevel="0" collapsed="false">
      <c r="B21897" s="0" t="s">
        <v>8</v>
      </c>
    </row>
    <row r="21898" customFormat="false" ht="12.8" hidden="false" customHeight="false" outlineLevel="0" collapsed="false">
      <c r="B21898" s="0" t="s">
        <v>631</v>
      </c>
    </row>
    <row r="21900" customFormat="false" ht="12.8" hidden="false" customHeight="false" outlineLevel="0" collapsed="false">
      <c r="A21900" s="0" t="s">
        <v>9026</v>
      </c>
      <c r="B21900" s="0" t="str">
        <f aca="false">HYPERLINK("https://lindat.mff.cuni.cz/services/teitok/pdtc10/index.php?action=vallex&amp;frame=v-w2790f1", "odmrštit (v-w2790f1)")</f>
        <v>odmrštit (v-w2790f1)</v>
      </c>
    </row>
    <row r="21901" customFormat="false" ht="12.8" hidden="false" customHeight="false" outlineLevel="0" collapsed="false">
      <c r="B21901" s="0" t="s">
        <v>1</v>
      </c>
    </row>
    <row r="21902" customFormat="false" ht="12.8" hidden="false" customHeight="false" outlineLevel="0" collapsed="false">
      <c r="B21902" s="0" t="s">
        <v>8</v>
      </c>
    </row>
    <row r="21904" customFormat="false" ht="12.8" hidden="false" customHeight="false" outlineLevel="0" collapsed="false">
      <c r="A21904" s="0" t="s">
        <v>9027</v>
      </c>
      <c r="B21904" s="0" t="str">
        <f aca="false">HYPERLINK("https://lindat.mff.cuni.cz/services/teitok/pdtc10/index.php?action=vallex&amp;frame=v-w2791f1", "odmyslit si (v-w2791f1)")</f>
        <v>odmyslit si (v-w2791f1)</v>
      </c>
    </row>
    <row r="21905" customFormat="false" ht="12.8" hidden="false" customHeight="false" outlineLevel="0" collapsed="false">
      <c r="B21905" s="0" t="s">
        <v>1</v>
      </c>
    </row>
    <row r="21906" customFormat="false" ht="12.8" hidden="false" customHeight="false" outlineLevel="0" collapsed="false">
      <c r="B21906" s="0" t="s">
        <v>8</v>
      </c>
    </row>
    <row r="21908" customFormat="false" ht="12.8" hidden="false" customHeight="false" outlineLevel="0" collapsed="false">
      <c r="A21908" s="0" t="s">
        <v>9028</v>
      </c>
      <c r="B21908" s="0" t="str">
        <f aca="false">HYPERLINK("https://lindat.mff.cuni.cz/services/teitok/pdtc10/index.php?action=vallex&amp;frame=v-w2775f1", "odmávat (v-w2775f1)")</f>
        <v>odmávat (v-w2775f1)</v>
      </c>
    </row>
    <row r="21909" customFormat="false" ht="12.8" hidden="false" customHeight="false" outlineLevel="0" collapsed="false">
      <c r="B21909" s="0" t="s">
        <v>1</v>
      </c>
    </row>
    <row r="21910" customFormat="false" ht="12.8" hidden="false" customHeight="false" outlineLevel="0" collapsed="false">
      <c r="B21910" s="0" t="s">
        <v>8</v>
      </c>
    </row>
    <row r="21912" customFormat="false" ht="12.8" hidden="false" customHeight="false" outlineLevel="0" collapsed="false">
      <c r="A21912" s="0" t="s">
        <v>9029</v>
      </c>
      <c r="B21912" s="0" t="str">
        <f aca="false">HYPERLINK("https://lindat.mff.cuni.cz/services/teitok/pdtc10/index.php?action=vallex&amp;frame=v-w12228_ZUf1_ZU", "odmávnout (v-w12228_ZUf1_ZU)")</f>
        <v>odmávnout (v-w12228_ZUf1_ZU)</v>
      </c>
    </row>
    <row r="21913" customFormat="false" ht="12.8" hidden="false" customHeight="false" outlineLevel="0" collapsed="false">
      <c r="B21913" s="0" t="s">
        <v>1</v>
      </c>
    </row>
    <row r="21914" customFormat="false" ht="12.8" hidden="false" customHeight="false" outlineLevel="0" collapsed="false">
      <c r="B21914" s="0" t="s">
        <v>8</v>
      </c>
    </row>
    <row r="21916" customFormat="false" ht="12.8" hidden="false" customHeight="false" outlineLevel="0" collapsed="false">
      <c r="A21916" s="0" t="s">
        <v>9030</v>
      </c>
      <c r="B21916" s="0" t="str">
        <f aca="false">HYPERLINK("https://lindat.mff.cuni.cz/services/teitok/pdtc10/index.php?action=vallex&amp;frame=v-whsa_588hsa_589", "odmáčet (v-whsa_588hsa_589)")</f>
        <v>odmáčet (v-whsa_588hsa_589)</v>
      </c>
    </row>
    <row r="21917" customFormat="false" ht="12.8" hidden="false" customHeight="false" outlineLevel="0" collapsed="false">
      <c r="B21917" s="0" t="s">
        <v>1</v>
      </c>
    </row>
    <row r="21918" customFormat="false" ht="12.8" hidden="false" customHeight="false" outlineLevel="0" collapsed="false">
      <c r="B21918" s="0" t="s">
        <v>8</v>
      </c>
    </row>
    <row r="21920" customFormat="false" ht="12.8" hidden="false" customHeight="false" outlineLevel="0" collapsed="false">
      <c r="A21920" s="0" t="s">
        <v>9031</v>
      </c>
      <c r="B21920" s="0" t="str">
        <f aca="false">HYPERLINK("https://lindat.mff.cuni.cz/services/teitok/pdtc10/index.php?action=vallex&amp;frame=v-w2784f3", "odmítat (v-w2784f3)")</f>
        <v>odmítat (v-w2784f3)</v>
      </c>
    </row>
    <row r="21921" customFormat="false" ht="12.8" hidden="false" customHeight="false" outlineLevel="0" collapsed="false">
      <c r="B21921" s="0" t="s">
        <v>1</v>
      </c>
    </row>
    <row r="21922" customFormat="false" ht="12.8" hidden="false" customHeight="false" outlineLevel="0" collapsed="false">
      <c r="B21922" s="0" t="s">
        <v>8853</v>
      </c>
    </row>
    <row r="21923" customFormat="false" ht="12.8" hidden="false" customHeight="false" outlineLevel="0" collapsed="false">
      <c r="B21923" s="0" t="s">
        <v>52</v>
      </c>
    </row>
    <row r="21925" customFormat="false" ht="12.8" hidden="false" customHeight="false" outlineLevel="0" collapsed="false">
      <c r="A21925" s="0" t="s">
        <v>9032</v>
      </c>
      <c r="B21925" s="0" t="str">
        <f aca="false">HYPERLINK("https://lindat.mff.cuni.cz/services/teitok/pdtc10/index.php?action=vallex&amp;frame=v-w2784f2", "odmítat (v-w2784f2)")</f>
        <v>odmítat (v-w2784f2)</v>
      </c>
      <c r="E21925" s="0" t="str">
        <f aca="false">HYPERLINK("https://lindat.mff.cuni.cz/services/SynSemClass40/SynSemClass40.html?veclass=vec00050#vec00050-ces-cm00008", "vec00050")</f>
        <v>vec00050</v>
      </c>
      <c r="F21925" s="0" t="s">
        <v>399</v>
      </c>
    </row>
    <row r="21926" customFormat="false" ht="12.8" hidden="false" customHeight="false" outlineLevel="0" collapsed="false">
      <c r="B21926" s="0" t="s">
        <v>1</v>
      </c>
      <c r="C21926" s="0" t="s">
        <v>400</v>
      </c>
      <c r="E21926" s="0" t="s">
        <v>206</v>
      </c>
      <c r="F21926" s="0" t="s">
        <v>401</v>
      </c>
    </row>
    <row r="21927" customFormat="false" ht="12.8" hidden="false" customHeight="false" outlineLevel="0" collapsed="false">
      <c r="B21927" s="0" t="s">
        <v>9033</v>
      </c>
      <c r="C21927" s="0" t="s">
        <v>403</v>
      </c>
      <c r="E21927" s="0" t="s">
        <v>66</v>
      </c>
      <c r="F21927" s="0" t="s">
        <v>404</v>
      </c>
    </row>
    <row r="21929" customFormat="false" ht="12.8" hidden="false" customHeight="false" outlineLevel="0" collapsed="false">
      <c r="A21929" s="0" t="s">
        <v>9034</v>
      </c>
      <c r="B21929" s="0" t="str">
        <f aca="false">HYPERLINK("https://lindat.mff.cuni.cz/services/teitok/pdtc10/index.php?action=vallex&amp;frame=v-w2784f1", "odmítat (v-w2784f1)")</f>
        <v>odmítat (v-w2784f1)</v>
      </c>
      <c r="E21929" s="0" t="str">
        <f aca="false">HYPERLINK("https://lindat.mff.cuni.cz/services/SynSemClass40/SynSemClass40.html?veclass=vec00050#vec00050-ces-cm00007", "vec00050")</f>
        <v>vec00050</v>
      </c>
      <c r="F21929" s="0" t="s">
        <v>399</v>
      </c>
    </row>
    <row r="21930" customFormat="false" ht="12.8" hidden="false" customHeight="false" outlineLevel="0" collapsed="false">
      <c r="B21930" s="0" t="s">
        <v>1</v>
      </c>
      <c r="C21930" s="0" t="s">
        <v>400</v>
      </c>
      <c r="E21930" s="0" t="s">
        <v>206</v>
      </c>
      <c r="F21930" s="0" t="s">
        <v>401</v>
      </c>
    </row>
    <row r="21931" customFormat="false" ht="12.8" hidden="false" customHeight="false" outlineLevel="0" collapsed="false">
      <c r="B21931" s="0" t="s">
        <v>402</v>
      </c>
      <c r="C21931" s="0" t="s">
        <v>403</v>
      </c>
      <c r="E21931" s="0" t="s">
        <v>66</v>
      </c>
      <c r="F21931" s="0" t="s">
        <v>404</v>
      </c>
    </row>
    <row r="21933" customFormat="false" ht="12.8" hidden="false" customHeight="false" outlineLevel="0" collapsed="false">
      <c r="A21933" s="0" t="s">
        <v>9035</v>
      </c>
      <c r="B21933" s="0" t="str">
        <f aca="false">HYPERLINK("https://lindat.mff.cuni.cz/services/teitok/pdtc10/index.php?action=vallex&amp;frame=v-w2784hsa_1030", "odmítat (v-w2784hsa_1030)")</f>
        <v>odmítat (v-w2784hsa_1030)</v>
      </c>
      <c r="E21933" s="0" t="str">
        <f aca="false">HYPERLINK("https://lindat.mff.cuni.cz/services/SynSemClass40/SynSemClass40.html?veclass=vec00050#vec00050-ces-cm00009", "vec00050")</f>
        <v>vec00050</v>
      </c>
      <c r="F21933" s="0" t="s">
        <v>399</v>
      </c>
    </row>
    <row r="21934" customFormat="false" ht="12.8" hidden="false" customHeight="false" outlineLevel="0" collapsed="false">
      <c r="B21934" s="0" t="s">
        <v>1</v>
      </c>
      <c r="C21934" s="0" t="s">
        <v>400</v>
      </c>
      <c r="E21934" s="0" t="s">
        <v>206</v>
      </c>
      <c r="F21934" s="0" t="s">
        <v>401</v>
      </c>
    </row>
    <row r="21935" customFormat="false" ht="12.8" hidden="false" customHeight="false" outlineLevel="0" collapsed="false">
      <c r="B21935" s="0" t="s">
        <v>8</v>
      </c>
      <c r="C21935" s="0" t="s">
        <v>403</v>
      </c>
      <c r="E21935" s="0" t="s">
        <v>66</v>
      </c>
      <c r="F21935" s="0" t="s">
        <v>404</v>
      </c>
    </row>
    <row r="21937" customFormat="false" ht="12.8" hidden="false" customHeight="false" outlineLevel="0" collapsed="false">
      <c r="A21937" s="0" t="s">
        <v>9036</v>
      </c>
      <c r="B21937" s="0" t="str">
        <f aca="false">HYPERLINK("https://lindat.mff.cuni.cz/services/teitok/pdtc10/index.php?action=vallex&amp;frame=v-w2785f3", "odmítnout (v-w2785f3)")</f>
        <v>odmítnout (v-w2785f3)</v>
      </c>
    </row>
    <row r="21938" customFormat="false" ht="12.8" hidden="false" customHeight="false" outlineLevel="0" collapsed="false">
      <c r="B21938" s="0" t="s">
        <v>1</v>
      </c>
    </row>
    <row r="21939" customFormat="false" ht="12.8" hidden="false" customHeight="false" outlineLevel="0" collapsed="false">
      <c r="B21939" s="0" t="s">
        <v>8853</v>
      </c>
    </row>
    <row r="21940" customFormat="false" ht="12.8" hidden="false" customHeight="false" outlineLevel="0" collapsed="false">
      <c r="B21940" s="0" t="s">
        <v>52</v>
      </c>
    </row>
    <row r="21942" customFormat="false" ht="12.8" hidden="false" customHeight="false" outlineLevel="0" collapsed="false">
      <c r="A21942" s="0" t="s">
        <v>9037</v>
      </c>
      <c r="B21942" s="0" t="str">
        <f aca="false">HYPERLINK("https://lindat.mff.cuni.cz/services/teitok/pdtc10/index.php?action=vallex&amp;frame=v-w2785f2", "odmítnout (v-w2785f2)")</f>
        <v>odmítnout (v-w2785f2)</v>
      </c>
      <c r="E21942" s="0" t="str">
        <f aca="false">HYPERLINK("https://lindat.mff.cuni.cz/services/SynSemClass40/SynSemClass40.html?veclass=vec00050#vec00050-ces-cm00010", "vec00050")</f>
        <v>vec00050</v>
      </c>
      <c r="F21942" s="0" t="s">
        <v>399</v>
      </c>
    </row>
    <row r="21943" customFormat="false" ht="12.8" hidden="false" customHeight="false" outlineLevel="0" collapsed="false">
      <c r="B21943" s="0" t="s">
        <v>9038</v>
      </c>
      <c r="C21943" s="0" t="s">
        <v>400</v>
      </c>
      <c r="E21943" s="0" t="s">
        <v>206</v>
      </c>
      <c r="F21943" s="0" t="s">
        <v>401</v>
      </c>
    </row>
    <row r="21944" customFormat="false" ht="12.8" hidden="false" customHeight="false" outlineLevel="0" collapsed="false">
      <c r="B21944" s="0" t="s">
        <v>6636</v>
      </c>
      <c r="C21944" s="0" t="s">
        <v>403</v>
      </c>
      <c r="E21944" s="0" t="s">
        <v>66</v>
      </c>
      <c r="F21944" s="0" t="s">
        <v>404</v>
      </c>
    </row>
    <row r="21946" customFormat="false" ht="12.8" hidden="false" customHeight="false" outlineLevel="0" collapsed="false">
      <c r="A21946" s="0" t="s">
        <v>9039</v>
      </c>
      <c r="B21946" s="0" t="str">
        <f aca="false">HYPERLINK("https://lindat.mff.cuni.cz/services/teitok/pdtc10/index.php?action=vallex&amp;frame=v-w2785f1", "odmítnout (v-w2785f1)")</f>
        <v>odmítnout (v-w2785f1)</v>
      </c>
      <c r="E21946" s="0" t="str">
        <f aca="false">HYPERLINK("https://lindat.mff.cuni.cz/services/SynSemClass40/SynSemClass40.html?veclass=vec00050#vec00050-ces-cm00001", "vec00050")</f>
        <v>vec00050</v>
      </c>
      <c r="F21946" s="0" t="s">
        <v>399</v>
      </c>
    </row>
    <row r="21947" customFormat="false" ht="12.8" hidden="false" customHeight="false" outlineLevel="0" collapsed="false">
      <c r="B21947" s="0" t="s">
        <v>1</v>
      </c>
      <c r="C21947" s="0" t="s">
        <v>400</v>
      </c>
      <c r="E21947" s="0" t="s">
        <v>206</v>
      </c>
      <c r="F21947" s="0" t="s">
        <v>401</v>
      </c>
    </row>
    <row r="21948" customFormat="false" ht="12.8" hidden="false" customHeight="false" outlineLevel="0" collapsed="false">
      <c r="B21948" s="0" t="s">
        <v>402</v>
      </c>
      <c r="C21948" s="0" t="s">
        <v>403</v>
      </c>
      <c r="E21948" s="0" t="s">
        <v>66</v>
      </c>
      <c r="F21948" s="0" t="s">
        <v>404</v>
      </c>
    </row>
    <row r="21950" customFormat="false" ht="12.8" hidden="false" customHeight="false" outlineLevel="0" collapsed="false">
      <c r="A21950" s="0" t="s">
        <v>9040</v>
      </c>
      <c r="B21950" s="0" t="str">
        <f aca="false">HYPERLINK("https://lindat.mff.cuni.cz/services/teitok/pdtc10/index.php?action=vallex&amp;frame=v-w2785hsa_1036", "odmítnout (v-w2785hsa_1036)")</f>
        <v>odmítnout (v-w2785hsa_1036)</v>
      </c>
      <c r="E21950" s="0" t="str">
        <f aca="false">HYPERLINK("https://lindat.mff.cuni.cz/services/SynSemClass40/SynSemClass40.html?veclass=vec00050#vec00050-ces-cm00012", "vec00050")</f>
        <v>vec00050</v>
      </c>
      <c r="F21950" s="0" t="s">
        <v>399</v>
      </c>
    </row>
    <row r="21951" customFormat="false" ht="12.8" hidden="false" customHeight="false" outlineLevel="0" collapsed="false">
      <c r="B21951" s="0" t="s">
        <v>1</v>
      </c>
      <c r="C21951" s="0" t="s">
        <v>400</v>
      </c>
      <c r="E21951" s="0" t="s">
        <v>206</v>
      </c>
      <c r="F21951" s="0" t="s">
        <v>401</v>
      </c>
    </row>
    <row r="21952" customFormat="false" ht="12.8" hidden="false" customHeight="false" outlineLevel="0" collapsed="false">
      <c r="B21952" s="0" t="s">
        <v>8</v>
      </c>
      <c r="C21952" s="0" t="s">
        <v>403</v>
      </c>
      <c r="E21952" s="0" t="s">
        <v>66</v>
      </c>
      <c r="F21952" s="0" t="s">
        <v>404</v>
      </c>
    </row>
    <row r="21954" customFormat="false" ht="12.8" hidden="false" customHeight="false" outlineLevel="0" collapsed="false">
      <c r="A21954" s="0" t="s">
        <v>9041</v>
      </c>
      <c r="B21954" s="0" t="str">
        <f aca="false">HYPERLINK("https://lindat.mff.cuni.cz/services/teitok/pdtc10/index.php?action=vallex&amp;frame=v-w2777f1", "odměnit (v-w2777f1)")</f>
        <v>odměnit (v-w2777f1)</v>
      </c>
    </row>
    <row r="21955" customFormat="false" ht="12.8" hidden="false" customHeight="false" outlineLevel="0" collapsed="false">
      <c r="B21955" s="0" t="s">
        <v>1</v>
      </c>
    </row>
    <row r="21956" customFormat="false" ht="12.8" hidden="false" customHeight="false" outlineLevel="0" collapsed="false">
      <c r="B21956" s="0" t="s">
        <v>8</v>
      </c>
    </row>
    <row r="21958" customFormat="false" ht="12.8" hidden="false" customHeight="false" outlineLevel="0" collapsed="false">
      <c r="A21958" s="0" t="s">
        <v>9042</v>
      </c>
      <c r="B21958" s="0" t="str">
        <f aca="false">HYPERLINK("https://lindat.mff.cuni.cz/services/teitok/pdtc10/index.php?action=vallex&amp;frame=v-w2778f1", "odměnit se (v-w2778f1)")</f>
        <v>odměnit se (v-w2778f1)</v>
      </c>
    </row>
    <row r="21959" customFormat="false" ht="12.8" hidden="false" customHeight="false" outlineLevel="0" collapsed="false">
      <c r="B21959" s="0" t="s">
        <v>1</v>
      </c>
    </row>
    <row r="21960" customFormat="false" ht="12.8" hidden="false" customHeight="false" outlineLevel="0" collapsed="false">
      <c r="B21960" s="0" t="s">
        <v>186</v>
      </c>
    </row>
    <row r="21962" customFormat="false" ht="12.8" hidden="false" customHeight="false" outlineLevel="0" collapsed="false">
      <c r="A21962" s="0" t="s">
        <v>9043</v>
      </c>
      <c r="B21962" s="0" t="str">
        <f aca="false">HYPERLINK("https://lindat.mff.cuni.cz/services/teitok/pdtc10/index.php?action=vallex&amp;frame=v-w2780f1", "odměňovat (v-w2780f1)")</f>
        <v>odměňovat (v-w2780f1)</v>
      </c>
    </row>
    <row r="21963" customFormat="false" ht="12.8" hidden="false" customHeight="false" outlineLevel="0" collapsed="false">
      <c r="B21963" s="0" t="s">
        <v>1</v>
      </c>
    </row>
    <row r="21964" customFormat="false" ht="12.8" hidden="false" customHeight="false" outlineLevel="0" collapsed="false">
      <c r="B21964" s="0" t="s">
        <v>8</v>
      </c>
    </row>
    <row r="21966" customFormat="false" ht="12.8" hidden="false" customHeight="false" outlineLevel="0" collapsed="false">
      <c r="A21966" s="0" t="s">
        <v>9044</v>
      </c>
      <c r="B21966" s="0" t="str">
        <f aca="false">HYPERLINK("https://lindat.mff.cuni.cz/services/teitok/pdtc10/index.php?action=vallex&amp;frame=v-whsa_952hsa_953", "odměňovat se (v-whsa_952hsa_953)")</f>
        <v>odměňovat se (v-whsa_952hsa_953)</v>
      </c>
    </row>
    <row r="21967" customFormat="false" ht="12.8" hidden="false" customHeight="false" outlineLevel="0" collapsed="false">
      <c r="B21967" s="0" t="s">
        <v>1</v>
      </c>
    </row>
    <row r="21968" customFormat="false" ht="12.8" hidden="false" customHeight="false" outlineLevel="0" collapsed="false">
      <c r="B21968" s="0" t="s">
        <v>52</v>
      </c>
    </row>
    <row r="21969" customFormat="false" ht="12.8" hidden="false" customHeight="false" outlineLevel="0" collapsed="false">
      <c r="B21969" s="0" t="s">
        <v>2069</v>
      </c>
    </row>
    <row r="21971" customFormat="false" ht="12.8" hidden="false" customHeight="false" outlineLevel="0" collapsed="false">
      <c r="A21971" s="0" t="s">
        <v>9045</v>
      </c>
      <c r="B21971" s="0" t="str">
        <f aca="false">HYPERLINK("https://lindat.mff.cuni.cz/services/teitok/pdtc10/index.php?action=vallex&amp;frame=v-w2781f1", "odměřovat (v-w2781f1)")</f>
        <v>odměřovat (v-w2781f1)</v>
      </c>
    </row>
    <row r="21972" customFormat="false" ht="12.8" hidden="false" customHeight="false" outlineLevel="0" collapsed="false">
      <c r="B21972" s="0" t="s">
        <v>1</v>
      </c>
    </row>
    <row r="21973" customFormat="false" ht="12.8" hidden="false" customHeight="false" outlineLevel="0" collapsed="false">
      <c r="B21973" s="0" t="s">
        <v>8</v>
      </c>
    </row>
    <row r="21975" customFormat="false" ht="12.8" hidden="false" customHeight="false" outlineLevel="0" collapsed="false">
      <c r="A21975" s="0" t="s">
        <v>9046</v>
      </c>
      <c r="B21975" s="0" t="str">
        <f aca="false">HYPERLINK("https://lindat.mff.cuni.cz/services/teitok/pdtc10/index.php?action=vallex&amp;frame=v-w2793f1", "odnaučit (v-w2793f1)")</f>
        <v>odnaučit (v-w2793f1)</v>
      </c>
    </row>
    <row r="21976" customFormat="false" ht="12.8" hidden="false" customHeight="false" outlineLevel="0" collapsed="false">
      <c r="B21976" s="0" t="s">
        <v>1</v>
      </c>
    </row>
    <row r="21977" customFormat="false" ht="12.8" hidden="false" customHeight="false" outlineLevel="0" collapsed="false">
      <c r="B21977" s="0" t="s">
        <v>9047</v>
      </c>
    </row>
    <row r="21978" customFormat="false" ht="12.8" hidden="false" customHeight="false" outlineLevel="0" collapsed="false">
      <c r="B21978" s="0" t="s">
        <v>98</v>
      </c>
    </row>
    <row r="21980" customFormat="false" ht="12.8" hidden="false" customHeight="false" outlineLevel="0" collapsed="false">
      <c r="A21980" s="0" t="s">
        <v>9048</v>
      </c>
      <c r="B21980" s="0" t="str">
        <f aca="false">HYPERLINK("https://lindat.mff.cuni.cz/services/teitok/pdtc10/index.php?action=vallex&amp;frame=v-w2794f1", "odnaučit se (v-w2794f1)")</f>
        <v>odnaučit se (v-w2794f1)</v>
      </c>
    </row>
    <row r="21981" customFormat="false" ht="12.8" hidden="false" customHeight="false" outlineLevel="0" collapsed="false">
      <c r="B21981" s="0" t="s">
        <v>1</v>
      </c>
    </row>
    <row r="21982" customFormat="false" ht="12.8" hidden="false" customHeight="false" outlineLevel="0" collapsed="false">
      <c r="B21982" s="0" t="s">
        <v>9049</v>
      </c>
    </row>
    <row r="21984" customFormat="false" ht="12.8" hidden="false" customHeight="false" outlineLevel="0" collapsed="false">
      <c r="A21984" s="0" t="s">
        <v>9050</v>
      </c>
      <c r="B21984" s="0" t="str">
        <f aca="false">HYPERLINK("https://lindat.mff.cuni.cz/services/teitok/pdtc10/index.php?action=vallex&amp;frame=v-w10585f2", "odnárodnit (v-w10585f2)")</f>
        <v>odnárodnit (v-w10585f2)</v>
      </c>
    </row>
    <row r="21985" customFormat="false" ht="12.8" hidden="false" customHeight="false" outlineLevel="0" collapsed="false">
      <c r="B21985" s="0" t="s">
        <v>1</v>
      </c>
    </row>
    <row r="21986" customFormat="false" ht="12.8" hidden="false" customHeight="false" outlineLevel="0" collapsed="false">
      <c r="B21986" s="0" t="s">
        <v>8</v>
      </c>
    </row>
    <row r="21988" customFormat="false" ht="12.8" hidden="false" customHeight="false" outlineLevel="0" collapsed="false">
      <c r="A21988" s="0" t="s">
        <v>9051</v>
      </c>
      <c r="B21988" s="0" t="str">
        <f aca="false">HYPERLINK("https://lindat.mff.cuni.cz/services/teitok/pdtc10/index.php?action=vallex&amp;frame=v-w2792f3", "odnášet (v-w2792f3)")</f>
        <v>odnášet (v-w2792f3)</v>
      </c>
      <c r="E21988" s="0" t="str">
        <f aca="false">HYPERLINK("https://lindat.mff.cuni.cz/services/SynSemClass40/SynSemClass40.html?veclass=vec00011#vec00011-ces-cm00176", "vec00011")</f>
        <v>vec00011</v>
      </c>
      <c r="F21988" s="0" t="s">
        <v>2193</v>
      </c>
    </row>
    <row r="21989" customFormat="false" ht="12.8" hidden="false" customHeight="false" outlineLevel="0" collapsed="false">
      <c r="B21989" s="0" t="s">
        <v>1</v>
      </c>
      <c r="C21989" s="0" t="s">
        <v>2209</v>
      </c>
      <c r="E21989" s="0" t="s">
        <v>2196</v>
      </c>
      <c r="F21989" s="0" t="s">
        <v>2197</v>
      </c>
    </row>
    <row r="21990" customFormat="false" ht="12.8" hidden="false" customHeight="false" outlineLevel="0" collapsed="false">
      <c r="B21990" s="0" t="s">
        <v>8</v>
      </c>
      <c r="C21990" s="0" t="s">
        <v>2210</v>
      </c>
      <c r="E21990" s="0" t="s">
        <v>2200</v>
      </c>
      <c r="F21990" s="0" t="s">
        <v>2201</v>
      </c>
    </row>
    <row r="21991" customFormat="false" ht="12.8" hidden="false" customHeight="false" outlineLevel="0" collapsed="false">
      <c r="B21991" s="0" t="s">
        <v>3473</v>
      </c>
      <c r="C21991" s="0" t="s">
        <v>2511</v>
      </c>
      <c r="E21991" s="0" t="s">
        <v>53</v>
      </c>
      <c r="F21991" s="0" t="s">
        <v>2204</v>
      </c>
    </row>
    <row r="21993" customFormat="false" ht="12.8" hidden="false" customHeight="false" outlineLevel="0" collapsed="false">
      <c r="A21993" s="0" t="s">
        <v>9052</v>
      </c>
      <c r="B21993" s="0" t="str">
        <f aca="false">HYPERLINK("https://lindat.mff.cuni.cz/services/teitok/pdtc10/index.php?action=vallex&amp;frame=v-w2792f1", "odnášet (v-w2792f1)")</f>
        <v>odnášet (v-w2792f1)</v>
      </c>
      <c r="E21993" s="0" t="str">
        <f aca="false">HYPERLINK("https://lindat.mff.cuni.cz/services/SynSemClass40/SynSemClass40.html?veclass=vec00283#vec00283-ces-cm00078", "vec00283")</f>
        <v>vec00283</v>
      </c>
      <c r="F21993" s="0" t="s">
        <v>8946</v>
      </c>
    </row>
    <row r="21994" customFormat="false" ht="12.8" hidden="false" customHeight="false" outlineLevel="0" collapsed="false">
      <c r="B21994" s="0" t="s">
        <v>1</v>
      </c>
      <c r="C21994" s="0" t="s">
        <v>7911</v>
      </c>
      <c r="E21994" s="0" t="s">
        <v>2196</v>
      </c>
      <c r="F21994" s="0" t="s">
        <v>8947</v>
      </c>
    </row>
    <row r="21995" customFormat="false" ht="12.8" hidden="false" customHeight="false" outlineLevel="0" collapsed="false">
      <c r="B21995" s="0" t="s">
        <v>8</v>
      </c>
      <c r="C21995" s="0" t="s">
        <v>8948</v>
      </c>
      <c r="E21995" s="0" t="s">
        <v>2200</v>
      </c>
      <c r="F21995" s="0" t="s">
        <v>8949</v>
      </c>
    </row>
    <row r="21996" customFormat="false" ht="12.8" hidden="false" customHeight="false" outlineLevel="0" collapsed="false">
      <c r="B21996" s="0" t="s">
        <v>631</v>
      </c>
      <c r="E21996" s="0" t="s">
        <v>4096</v>
      </c>
      <c r="F21996" s="0" t="s">
        <v>4097</v>
      </c>
    </row>
    <row r="21998" customFormat="false" ht="12.8" hidden="false" customHeight="false" outlineLevel="0" collapsed="false">
      <c r="A21998" s="0" t="s">
        <v>9053</v>
      </c>
      <c r="B21998" s="0" t="str">
        <f aca="false">HYPERLINK("https://lindat.mff.cuni.cz/services/teitok/pdtc10/index.php?action=vallex&amp;frame=v-w2792f2", "odnášet (v-w2792f2)")</f>
        <v>odnášet (v-w2792f2)</v>
      </c>
    </row>
    <row r="21999" customFormat="false" ht="12.8" hidden="false" customHeight="false" outlineLevel="0" collapsed="false">
      <c r="B21999" s="0" t="s">
        <v>1</v>
      </c>
    </row>
    <row r="22000" customFormat="false" ht="12.8" hidden="false" customHeight="false" outlineLevel="0" collapsed="false">
      <c r="B22000" s="0" t="s">
        <v>8</v>
      </c>
    </row>
    <row r="22001" customFormat="false" ht="12.8" hidden="false" customHeight="false" outlineLevel="0" collapsed="false">
      <c r="B22001" s="0" t="s">
        <v>164</v>
      </c>
    </row>
    <row r="22003" customFormat="false" ht="12.8" hidden="false" customHeight="false" outlineLevel="0" collapsed="false">
      <c r="A22003" s="0" t="s">
        <v>9054</v>
      </c>
      <c r="B22003" s="0" t="str">
        <f aca="false">HYPERLINK("https://lindat.mff.cuni.cz/services/teitok/pdtc10/index.php?action=vallex&amp;frame=v-w2792f4_ZU", "odnášet (v-w2792f4_ZU)")</f>
        <v>odnášet (v-w2792f4_ZU)</v>
      </c>
    </row>
    <row r="22004" customFormat="false" ht="12.8" hidden="false" customHeight="false" outlineLevel="0" collapsed="false">
      <c r="B22004" s="0" t="s">
        <v>1</v>
      </c>
    </row>
    <row r="22005" customFormat="false" ht="12.8" hidden="false" customHeight="false" outlineLevel="0" collapsed="false">
      <c r="B22005" s="0" t="s">
        <v>8</v>
      </c>
    </row>
    <row r="22007" customFormat="false" ht="12.8" hidden="false" customHeight="false" outlineLevel="0" collapsed="false">
      <c r="A22007" s="0" t="s">
        <v>9055</v>
      </c>
      <c r="B22007" s="0" t="str">
        <f aca="false">HYPERLINK("https://lindat.mff.cuni.cz/services/teitok/pdtc10/index.php?action=vallex&amp;frame=v-w2796f4", "odnést (v-w2796f4)")</f>
        <v>odnést (v-w2796f4)</v>
      </c>
      <c r="E22007" s="0" t="str">
        <f aca="false">HYPERLINK("https://lindat.mff.cuni.cz/services/SynSemClass40/SynSemClass40.html?veclass=vec00011#vec00011-ces-cm00177", "vec00011")</f>
        <v>vec00011</v>
      </c>
      <c r="F22007" s="0" t="s">
        <v>2193</v>
      </c>
    </row>
    <row r="22008" customFormat="false" ht="12.8" hidden="false" customHeight="false" outlineLevel="0" collapsed="false">
      <c r="B22008" s="0" t="s">
        <v>1</v>
      </c>
      <c r="C22008" s="0" t="s">
        <v>2209</v>
      </c>
      <c r="E22008" s="0" t="s">
        <v>2196</v>
      </c>
      <c r="F22008" s="0" t="s">
        <v>2197</v>
      </c>
    </row>
    <row r="22009" customFormat="false" ht="12.8" hidden="false" customHeight="false" outlineLevel="0" collapsed="false">
      <c r="B22009" s="0" t="s">
        <v>8</v>
      </c>
      <c r="C22009" s="0" t="s">
        <v>2210</v>
      </c>
      <c r="E22009" s="0" t="s">
        <v>2200</v>
      </c>
      <c r="F22009" s="0" t="s">
        <v>2201</v>
      </c>
    </row>
    <row r="22010" customFormat="false" ht="12.8" hidden="false" customHeight="false" outlineLevel="0" collapsed="false">
      <c r="B22010" s="0" t="s">
        <v>3473</v>
      </c>
      <c r="C22010" s="0" t="s">
        <v>2511</v>
      </c>
      <c r="E22010" s="0" t="s">
        <v>53</v>
      </c>
      <c r="F22010" s="0" t="s">
        <v>2204</v>
      </c>
    </row>
    <row r="22012" customFormat="false" ht="12.8" hidden="false" customHeight="false" outlineLevel="0" collapsed="false">
      <c r="A22012" s="0" t="s">
        <v>9056</v>
      </c>
      <c r="B22012" s="0" t="str">
        <f aca="false">HYPERLINK("https://lindat.mff.cuni.cz/services/teitok/pdtc10/index.php?action=vallex&amp;frame=v-w2796f1", "odnést (v-w2796f1)")</f>
        <v>odnést (v-w2796f1)</v>
      </c>
      <c r="E22012" s="0" t="str">
        <f aca="false">HYPERLINK("https://lindat.mff.cuni.cz/services/SynSemClass40/SynSemClass40.html?veclass=vec00283#vec00283-ces-cm00070", "vec00283")</f>
        <v>vec00283</v>
      </c>
      <c r="F22012" s="0" t="s">
        <v>8946</v>
      </c>
    </row>
    <row r="22013" customFormat="false" ht="12.8" hidden="false" customHeight="false" outlineLevel="0" collapsed="false">
      <c r="B22013" s="0" t="s">
        <v>1</v>
      </c>
      <c r="C22013" s="0" t="s">
        <v>7911</v>
      </c>
      <c r="E22013" s="0" t="s">
        <v>2196</v>
      </c>
      <c r="F22013" s="0" t="s">
        <v>8947</v>
      </c>
    </row>
    <row r="22014" customFormat="false" ht="12.8" hidden="false" customHeight="false" outlineLevel="0" collapsed="false">
      <c r="B22014" s="0" t="s">
        <v>8</v>
      </c>
      <c r="C22014" s="0" t="s">
        <v>8948</v>
      </c>
      <c r="E22014" s="0" t="s">
        <v>2200</v>
      </c>
      <c r="F22014" s="0" t="s">
        <v>8949</v>
      </c>
    </row>
    <row r="22015" customFormat="false" ht="12.8" hidden="false" customHeight="false" outlineLevel="0" collapsed="false">
      <c r="B22015" s="0" t="s">
        <v>631</v>
      </c>
      <c r="E22015" s="0" t="s">
        <v>4096</v>
      </c>
      <c r="F22015" s="0" t="s">
        <v>4097</v>
      </c>
    </row>
    <row r="22017" customFormat="false" ht="12.8" hidden="false" customHeight="false" outlineLevel="0" collapsed="false">
      <c r="A22017" s="0" t="s">
        <v>9057</v>
      </c>
      <c r="B22017" s="0" t="str">
        <f aca="false">HYPERLINK("https://lindat.mff.cuni.cz/services/teitok/pdtc10/index.php?action=vallex&amp;frame=v-w2796f5", "odnést (v-w2796f5)")</f>
        <v>odnést (v-w2796f5)</v>
      </c>
      <c r="E22017" s="0" t="str">
        <f aca="false">HYPERLINK("https://lindat.mff.cuni.cz/services/SynSemClass40/SynSemClass40.html?veclass=vec00011#vec00011-ces-cm00178", "vec00011")</f>
        <v>vec00011</v>
      </c>
      <c r="F22017" s="0" t="s">
        <v>2193</v>
      </c>
    </row>
    <row r="22018" customFormat="false" ht="12.8" hidden="false" customHeight="false" outlineLevel="0" collapsed="false">
      <c r="B22018" s="0" t="s">
        <v>1</v>
      </c>
      <c r="C22018" s="0" t="s">
        <v>2209</v>
      </c>
      <c r="E22018" s="0" t="s">
        <v>2196</v>
      </c>
      <c r="F22018" s="0" t="s">
        <v>2197</v>
      </c>
    </row>
    <row r="22019" customFormat="false" ht="12.8" hidden="false" customHeight="false" outlineLevel="0" collapsed="false">
      <c r="B22019" s="0" t="s">
        <v>8</v>
      </c>
      <c r="C22019" s="0" t="s">
        <v>2210</v>
      </c>
      <c r="E22019" s="0" t="s">
        <v>2200</v>
      </c>
      <c r="F22019" s="0" t="s">
        <v>2201</v>
      </c>
    </row>
    <row r="22020" customFormat="false" ht="12.8" hidden="false" customHeight="false" outlineLevel="0" collapsed="false">
      <c r="B22020" s="0" t="s">
        <v>164</v>
      </c>
      <c r="C22020" s="0" t="s">
        <v>2211</v>
      </c>
      <c r="E22020" s="0" t="s">
        <v>2212</v>
      </c>
      <c r="F22020" s="0" t="s">
        <v>2213</v>
      </c>
    </row>
    <row r="22022" customFormat="false" ht="12.8" hidden="false" customHeight="false" outlineLevel="0" collapsed="false">
      <c r="A22022" s="0" t="s">
        <v>9058</v>
      </c>
      <c r="B22022" s="0" t="str">
        <f aca="false">HYPERLINK("https://lindat.mff.cuni.cz/services/teitok/pdtc10/index.php?action=vallex&amp;frame=v-w2796f2", "odnést (v-w2796f2)")</f>
        <v>odnést (v-w2796f2)</v>
      </c>
      <c r="E22022" s="0" t="str">
        <f aca="false">HYPERLINK("https://lindat.mff.cuni.cz/services/SynSemClass40/SynSemClass40.html?veclass=vec00372#vec00372-ces-cm00133", "vec00372")</f>
        <v>vec00372</v>
      </c>
      <c r="F22022" s="0" t="s">
        <v>2524</v>
      </c>
    </row>
    <row r="22023" customFormat="false" ht="12.8" hidden="false" customHeight="false" outlineLevel="0" collapsed="false">
      <c r="B22023" s="0" t="s">
        <v>1</v>
      </c>
      <c r="C22023" s="0" t="s">
        <v>9059</v>
      </c>
      <c r="E22023" s="0" t="s">
        <v>437</v>
      </c>
      <c r="F22023" s="0" t="s">
        <v>9060</v>
      </c>
    </row>
    <row r="22024" customFormat="false" ht="12.8" hidden="false" customHeight="false" outlineLevel="0" collapsed="false">
      <c r="B22024" s="0" t="s">
        <v>8</v>
      </c>
      <c r="C22024" s="0" t="s">
        <v>9061</v>
      </c>
      <c r="E22024" s="0" t="s">
        <v>532</v>
      </c>
      <c r="F22024" s="0" t="s">
        <v>9062</v>
      </c>
    </row>
    <row r="22026" customFormat="false" ht="12.8" hidden="false" customHeight="false" outlineLevel="0" collapsed="false">
      <c r="A22026" s="0" t="s">
        <v>9063</v>
      </c>
      <c r="B22026" s="0" t="str">
        <f aca="false">HYPERLINK("https://lindat.mff.cuni.cz/services/teitok/pdtc10/index.php?action=vallex&amp;frame=v-w2796f3", "odnést (v-w2796f3)")</f>
        <v>odnést (v-w2796f3)</v>
      </c>
    </row>
    <row r="22027" customFormat="false" ht="12.8" hidden="false" customHeight="false" outlineLevel="0" collapsed="false">
      <c r="B22027" s="0" t="s">
        <v>1</v>
      </c>
    </row>
    <row r="22028" customFormat="false" ht="12.8" hidden="false" customHeight="false" outlineLevel="0" collapsed="false">
      <c r="B22028" s="0" t="s">
        <v>8</v>
      </c>
    </row>
    <row r="22030" customFormat="false" ht="12.8" hidden="false" customHeight="false" outlineLevel="0" collapsed="false">
      <c r="A22030" s="0" t="s">
        <v>9064</v>
      </c>
      <c r="B22030" s="0" t="str">
        <f aca="false">HYPERLINK("https://lindat.mff.cuni.cz/services/teitok/pdtc10/index.php?action=vallex&amp;frame=v-w2797f1", "odnést si (v-w2797f1)")</f>
        <v>odnést si (v-w2797f1)</v>
      </c>
    </row>
    <row r="22031" customFormat="false" ht="12.8" hidden="false" customHeight="false" outlineLevel="0" collapsed="false">
      <c r="B22031" s="0" t="s">
        <v>1</v>
      </c>
    </row>
    <row r="22032" customFormat="false" ht="12.8" hidden="false" customHeight="false" outlineLevel="0" collapsed="false">
      <c r="B22032" s="0" t="s">
        <v>8</v>
      </c>
    </row>
    <row r="22034" customFormat="false" ht="12.8" hidden="false" customHeight="false" outlineLevel="0" collapsed="false">
      <c r="A22034" s="0" t="s">
        <v>9065</v>
      </c>
      <c r="B22034" s="0" t="str">
        <f aca="false">HYPERLINK("https://lindat.mff.cuni.cz/services/teitok/pdtc10/index.php?action=vallex&amp;frame=v-w2799f2_ZU", "odolat (v-w2799f2_ZU)")</f>
        <v>odolat (v-w2799f2_ZU)</v>
      </c>
    </row>
    <row r="22035" customFormat="false" ht="12.8" hidden="false" customHeight="false" outlineLevel="0" collapsed="false">
      <c r="B22035" s="0" t="s">
        <v>1</v>
      </c>
    </row>
    <row r="22036" customFormat="false" ht="12.8" hidden="false" customHeight="false" outlineLevel="0" collapsed="false">
      <c r="B22036" s="0" t="s">
        <v>9066</v>
      </c>
    </row>
    <row r="22038" customFormat="false" ht="12.8" hidden="false" customHeight="false" outlineLevel="0" collapsed="false">
      <c r="A22038" s="0" t="s">
        <v>9065</v>
      </c>
      <c r="B22038" s="0" t="str">
        <f aca="false">HYPERLINK("https://lindat.mff.cuni.cz/services/teitok/pdtc10/index.php?action=vallex&amp;frame=v-w2799f1", "odolat (v-w2799f1) - substituted with v-w2799f2_ZU")</f>
        <v>odolat (v-w2799f1) - substituted with v-w2799f2_ZU</v>
      </c>
      <c r="E22038" s="0" t="str">
        <f aca="false">HYPERLINK("https://lindat.mff.cuni.cz/services/SynSemClass40/SynSemClass40.html?veclass=vec00279#vec00279-ces-cm00005", "vec00279")</f>
        <v>vec00279</v>
      </c>
      <c r="F22038" s="0" t="s">
        <v>9067</v>
      </c>
    </row>
    <row r="22039" customFormat="false" ht="12.8" hidden="false" customHeight="false" outlineLevel="0" collapsed="false">
      <c r="B22039" s="0" t="s">
        <v>1</v>
      </c>
      <c r="C22039" s="0" t="s">
        <v>9068</v>
      </c>
      <c r="E22039" s="0" t="s">
        <v>11</v>
      </c>
      <c r="F22039" s="0" t="s">
        <v>9069</v>
      </c>
    </row>
    <row r="22040" customFormat="false" ht="12.8" hidden="false" customHeight="false" outlineLevel="0" collapsed="false">
      <c r="B22040" s="0" t="s">
        <v>9066</v>
      </c>
      <c r="C22040" s="0" t="s">
        <v>9070</v>
      </c>
      <c r="E22040" s="0" t="s">
        <v>7635</v>
      </c>
      <c r="F22040" s="0" t="s">
        <v>9071</v>
      </c>
    </row>
    <row r="22042" customFormat="false" ht="12.8" hidden="false" customHeight="false" outlineLevel="0" collapsed="false">
      <c r="A22042" s="0" t="s">
        <v>9072</v>
      </c>
      <c r="B22042" s="0" t="str">
        <f aca="false">HYPERLINK("https://lindat.mff.cuni.cz/services/teitok/pdtc10/index.php?action=vallex&amp;frame=v-w2800f1", "odolávat (v-w2800f1)")</f>
        <v>odolávat (v-w2800f1)</v>
      </c>
      <c r="E22042" s="0" t="str">
        <f aca="false">HYPERLINK("https://lindat.mff.cuni.cz/services/SynSemClass40/SynSemClass40.html?veclass=vec00279#vec00279-ces-cm00068", "vec00279")</f>
        <v>vec00279</v>
      </c>
      <c r="F22042" s="0" t="s">
        <v>9067</v>
      </c>
    </row>
    <row r="22043" customFormat="false" ht="12.8" hidden="false" customHeight="false" outlineLevel="0" collapsed="false">
      <c r="B22043" s="0" t="s">
        <v>1</v>
      </c>
      <c r="C22043" s="0" t="s">
        <v>9068</v>
      </c>
      <c r="E22043" s="0" t="s">
        <v>11</v>
      </c>
      <c r="F22043" s="0" t="s">
        <v>9069</v>
      </c>
    </row>
    <row r="22044" customFormat="false" ht="12.8" hidden="false" customHeight="false" outlineLevel="0" collapsed="false">
      <c r="B22044" s="0" t="s">
        <v>186</v>
      </c>
      <c r="C22044" s="0" t="s">
        <v>9070</v>
      </c>
      <c r="E22044" s="0" t="s">
        <v>7635</v>
      </c>
      <c r="F22044" s="0" t="s">
        <v>9071</v>
      </c>
    </row>
    <row r="22046" customFormat="false" ht="12.8" hidden="false" customHeight="false" outlineLevel="0" collapsed="false">
      <c r="A22046" s="0" t="s">
        <v>9073</v>
      </c>
      <c r="B22046" s="0" t="str">
        <f aca="false">HYPERLINK("https://lindat.mff.cuni.cz/services/teitok/pdtc10/index.php?action=vallex&amp;frame=v-w12261_ZUf1_ZU", "odoperovat (v-w12261_ZUf1_ZU)")</f>
        <v>odoperovat (v-w12261_ZUf1_ZU)</v>
      </c>
    </row>
    <row r="22047" customFormat="false" ht="12.8" hidden="false" customHeight="false" outlineLevel="0" collapsed="false">
      <c r="B22047" s="0" t="s">
        <v>1</v>
      </c>
    </row>
    <row r="22048" customFormat="false" ht="12.8" hidden="false" customHeight="false" outlineLevel="0" collapsed="false">
      <c r="B22048" s="0" t="s">
        <v>8</v>
      </c>
    </row>
    <row r="22050" customFormat="false" ht="12.8" hidden="false" customHeight="false" outlineLevel="0" collapsed="false">
      <c r="A22050" s="0" t="s">
        <v>9074</v>
      </c>
      <c r="B22050" s="0" t="str">
        <f aca="false">HYPERLINK("https://lindat.mff.cuni.cz/services/teitok/pdtc10/index.php?action=vallex&amp;frame=v-whsa_85hsa_86", "odorat (v-whsa_85hsa_86)")</f>
        <v>odorat (v-whsa_85hsa_86)</v>
      </c>
    </row>
    <row r="22051" customFormat="false" ht="12.8" hidden="false" customHeight="false" outlineLevel="0" collapsed="false">
      <c r="B22051" s="0" t="s">
        <v>1</v>
      </c>
    </row>
    <row r="22052" customFormat="false" ht="12.8" hidden="false" customHeight="false" outlineLevel="0" collapsed="false">
      <c r="B22052" s="0" t="s">
        <v>8</v>
      </c>
    </row>
    <row r="22054" customFormat="false" ht="12.8" hidden="false" customHeight="false" outlineLevel="0" collapsed="false">
      <c r="A22054" s="0" t="s">
        <v>9075</v>
      </c>
      <c r="B22054" s="0" t="str">
        <f aca="false">HYPERLINK("https://lindat.mff.cuni.cz/services/teitok/pdtc10/index.php?action=vallex&amp;frame=v-w2804f1", "odpadat (v-w2804f1)")</f>
        <v>odpadat (v-w2804f1)</v>
      </c>
    </row>
    <row r="22055" customFormat="false" ht="12.8" hidden="false" customHeight="false" outlineLevel="0" collapsed="false">
      <c r="B22055" s="0" t="s">
        <v>1</v>
      </c>
    </row>
    <row r="22057" customFormat="false" ht="12.8" hidden="false" customHeight="false" outlineLevel="0" collapsed="false">
      <c r="A22057" s="0" t="s">
        <v>9076</v>
      </c>
      <c r="B22057" s="0" t="str">
        <f aca="false">HYPERLINK("https://lindat.mff.cuni.cz/services/teitok/pdtc10/index.php?action=vallex&amp;frame=v-w2805f1", "odpadnout (v-w2805f1)")</f>
        <v>odpadnout (v-w2805f1)</v>
      </c>
    </row>
    <row r="22058" customFormat="false" ht="12.8" hidden="false" customHeight="false" outlineLevel="0" collapsed="false">
      <c r="B22058" s="0" t="s">
        <v>1</v>
      </c>
    </row>
    <row r="22060" customFormat="false" ht="12.8" hidden="false" customHeight="false" outlineLevel="0" collapsed="false">
      <c r="A22060" s="0" t="s">
        <v>9077</v>
      </c>
      <c r="B22060" s="0" t="str">
        <f aca="false">HYPERLINK("https://lindat.mff.cuni.cz/services/teitok/pdtc10/index.php?action=vallex&amp;frame=v-w2805f2", "odpadnout (v-w2805f2)")</f>
        <v>odpadnout (v-w2805f2)</v>
      </c>
    </row>
    <row r="22061" customFormat="false" ht="12.8" hidden="false" customHeight="false" outlineLevel="0" collapsed="false">
      <c r="B22061" s="0" t="s">
        <v>1</v>
      </c>
    </row>
    <row r="22063" customFormat="false" ht="12.8" hidden="false" customHeight="false" outlineLevel="0" collapsed="false">
      <c r="A22063" s="0" t="s">
        <v>9078</v>
      </c>
      <c r="B22063" s="0" t="str">
        <f aca="false">HYPERLINK("https://lindat.mff.cuni.cz/services/teitok/pdtc10/index.php?action=vallex&amp;frame=v-w12236_ZUf1_ZU", "odpadávat (v-w12236_ZUf1_ZU)")</f>
        <v>odpadávat (v-w12236_ZUf1_ZU)</v>
      </c>
    </row>
    <row r="22064" customFormat="false" ht="12.8" hidden="false" customHeight="false" outlineLevel="0" collapsed="false">
      <c r="B22064" s="0" t="s">
        <v>1</v>
      </c>
    </row>
    <row r="22066" customFormat="false" ht="12.8" hidden="false" customHeight="false" outlineLevel="0" collapsed="false">
      <c r="A22066" s="0" t="s">
        <v>9079</v>
      </c>
      <c r="B22066" s="0" t="str">
        <f aca="false">HYPERLINK("https://lindat.mff.cuni.cz/services/teitok/pdtc10/index.php?action=vallex&amp;frame=v-w11059f2", "odpalovat (v-w11059f2)")</f>
        <v>odpalovat (v-w11059f2)</v>
      </c>
    </row>
    <row r="22067" customFormat="false" ht="12.8" hidden="false" customHeight="false" outlineLevel="0" collapsed="false">
      <c r="B22067" s="0" t="s">
        <v>1</v>
      </c>
    </row>
    <row r="22068" customFormat="false" ht="12.8" hidden="false" customHeight="false" outlineLevel="0" collapsed="false">
      <c r="B22068" s="0" t="s">
        <v>8</v>
      </c>
    </row>
    <row r="22070" customFormat="false" ht="12.8" hidden="false" customHeight="false" outlineLevel="0" collapsed="false">
      <c r="A22070" s="0" t="s">
        <v>9080</v>
      </c>
      <c r="B22070" s="0" t="str">
        <f aca="false">HYPERLINK("https://lindat.mff.cuni.cz/services/teitok/pdtc10/index.php?action=vallex&amp;frame=v-w2813f1", "odplavit (v-w2813f1)")</f>
        <v>odplavit (v-w2813f1)</v>
      </c>
    </row>
    <row r="22071" customFormat="false" ht="12.8" hidden="false" customHeight="false" outlineLevel="0" collapsed="false">
      <c r="B22071" s="0" t="s">
        <v>1</v>
      </c>
    </row>
    <row r="22072" customFormat="false" ht="12.8" hidden="false" customHeight="false" outlineLevel="0" collapsed="false">
      <c r="B22072" s="0" t="s">
        <v>8</v>
      </c>
    </row>
    <row r="22074" customFormat="false" ht="12.8" hidden="false" customHeight="false" outlineLevel="0" collapsed="false">
      <c r="A22074" s="0" t="s">
        <v>9081</v>
      </c>
      <c r="B22074" s="0" t="str">
        <f aca="false">HYPERLINK("https://lindat.mff.cuni.cz/services/teitok/pdtc10/index.php?action=vallex&amp;frame=v-whsa_589hsa_590", "odplevelit (v-whsa_589hsa_590)")</f>
        <v>odplevelit (v-whsa_589hsa_590)</v>
      </c>
    </row>
    <row r="22075" customFormat="false" ht="12.8" hidden="false" customHeight="false" outlineLevel="0" collapsed="false">
      <c r="B22075" s="0" t="s">
        <v>1</v>
      </c>
    </row>
    <row r="22076" customFormat="false" ht="12.8" hidden="false" customHeight="false" outlineLevel="0" collapsed="false">
      <c r="B22076" s="0" t="s">
        <v>8</v>
      </c>
    </row>
    <row r="22078" customFormat="false" ht="12.8" hidden="false" customHeight="false" outlineLevel="0" collapsed="false">
      <c r="A22078" s="0" t="s">
        <v>9082</v>
      </c>
      <c r="B22078" s="0" t="str">
        <f aca="false">HYPERLINK("https://lindat.mff.cuni.cz/services/teitok/pdtc10/index.php?action=vallex&amp;frame=v-w2815f1", "odplout (v-w2815f1)")</f>
        <v>odplout (v-w2815f1)</v>
      </c>
    </row>
    <row r="22079" customFormat="false" ht="12.8" hidden="false" customHeight="false" outlineLevel="0" collapsed="false">
      <c r="B22079" s="0" t="s">
        <v>1</v>
      </c>
    </row>
    <row r="22080" customFormat="false" ht="12.8" hidden="false" customHeight="false" outlineLevel="0" collapsed="false">
      <c r="B22080" s="0" t="s">
        <v>631</v>
      </c>
    </row>
    <row r="22082" customFormat="false" ht="12.8" hidden="false" customHeight="false" outlineLevel="0" collapsed="false">
      <c r="A22082" s="0" t="s">
        <v>9083</v>
      </c>
      <c r="B22082" s="0" t="str">
        <f aca="false">HYPERLINK("https://lindat.mff.cuni.cz/services/teitok/pdtc10/index.php?action=vallex&amp;frame=v-w2816f1", "odplouvat (v-w2816f1)")</f>
        <v>odplouvat (v-w2816f1)</v>
      </c>
    </row>
    <row r="22083" customFormat="false" ht="12.8" hidden="false" customHeight="false" outlineLevel="0" collapsed="false">
      <c r="B22083" s="0" t="s">
        <v>1</v>
      </c>
    </row>
    <row r="22084" customFormat="false" ht="12.8" hidden="false" customHeight="false" outlineLevel="0" collapsed="false">
      <c r="B22084" s="0" t="s">
        <v>631</v>
      </c>
    </row>
    <row r="22086" customFormat="false" ht="12.8" hidden="false" customHeight="false" outlineLevel="0" collapsed="false">
      <c r="A22086" s="0" t="s">
        <v>9084</v>
      </c>
      <c r="B22086" s="0" t="str">
        <f aca="false">HYPERLINK("https://lindat.mff.cuni.cz/services/teitok/pdtc10/index.php?action=vallex&amp;frame=v-w11222f2", "odplynout (v-w11222f2)")</f>
        <v>odplynout (v-w11222f2)</v>
      </c>
    </row>
    <row r="22087" customFormat="false" ht="12.8" hidden="false" customHeight="false" outlineLevel="0" collapsed="false">
      <c r="B22087" s="0" t="s">
        <v>1</v>
      </c>
    </row>
    <row r="22089" customFormat="false" ht="12.8" hidden="false" customHeight="false" outlineLevel="0" collapsed="false">
      <c r="A22089" s="0" t="s">
        <v>9085</v>
      </c>
      <c r="B22089" s="0" t="str">
        <f aca="false">HYPERLINK("https://lindat.mff.cuni.cz/services/teitok/pdtc10/index.php?action=vallex&amp;frame=v-w2814f1", "odplížit se (v-w2814f1)")</f>
        <v>odplížit se (v-w2814f1)</v>
      </c>
    </row>
    <row r="22090" customFormat="false" ht="12.8" hidden="false" customHeight="false" outlineLevel="0" collapsed="false">
      <c r="B22090" s="0" t="s">
        <v>1</v>
      </c>
    </row>
    <row r="22091" customFormat="false" ht="12.8" hidden="false" customHeight="false" outlineLevel="0" collapsed="false">
      <c r="B22091" s="0" t="s">
        <v>631</v>
      </c>
    </row>
    <row r="22093" customFormat="false" ht="12.8" hidden="false" customHeight="false" outlineLevel="0" collapsed="false">
      <c r="A22093" s="0" t="s">
        <v>9086</v>
      </c>
      <c r="B22093" s="0" t="str">
        <f aca="false">HYPERLINK("https://lindat.mff.cuni.cz/services/teitok/pdtc10/index.php?action=vallex&amp;frame=v-w2821f2", "odpochodovat (v-w2821f2)")</f>
        <v>odpochodovat (v-w2821f2)</v>
      </c>
    </row>
    <row r="22094" customFormat="false" ht="12.8" hidden="false" customHeight="false" outlineLevel="0" collapsed="false">
      <c r="B22094" s="0" t="s">
        <v>1</v>
      </c>
    </row>
    <row r="22095" customFormat="false" ht="12.8" hidden="false" customHeight="false" outlineLevel="0" collapsed="false">
      <c r="B22095" s="0" t="s">
        <v>631</v>
      </c>
    </row>
    <row r="22097" customFormat="false" ht="12.8" hidden="false" customHeight="false" outlineLevel="0" collapsed="false">
      <c r="A22097" s="0" t="s">
        <v>9087</v>
      </c>
      <c r="B22097" s="0" t="str">
        <f aca="false">HYPERLINK("https://lindat.mff.cuni.cz/services/teitok/pdtc10/index.php?action=vallex&amp;frame=v-w2821f1", "odpochodovat (v-w2821f1)")</f>
        <v>odpochodovat (v-w2821f1)</v>
      </c>
    </row>
    <row r="22098" customFormat="false" ht="12.8" hidden="false" customHeight="false" outlineLevel="0" collapsed="false">
      <c r="B22098" s="0" t="s">
        <v>1</v>
      </c>
    </row>
    <row r="22100" customFormat="false" ht="12.8" hidden="false" customHeight="false" outlineLevel="0" collapsed="false">
      <c r="A22100" s="0" t="s">
        <v>9088</v>
      </c>
      <c r="B22100" s="0" t="str">
        <f aca="false">HYPERLINK("https://lindat.mff.cuni.cz/services/teitok/pdtc10/index.php?action=vallex&amp;frame=v-w10428f2", "odpojit (v-w10428f2)")</f>
        <v>odpojit (v-w10428f2)</v>
      </c>
      <c r="E22100" s="0" t="str">
        <f aca="false">HYPERLINK("https://lindat.mff.cuni.cz/services/SynSemClass40/SynSemClass40.html?veclass=vec00652#vec00652-ces-cm00001", "vec00652")</f>
        <v>vec00652</v>
      </c>
      <c r="F22100" s="0" t="s">
        <v>9089</v>
      </c>
    </row>
    <row r="22101" customFormat="false" ht="12.8" hidden="false" customHeight="false" outlineLevel="0" collapsed="false">
      <c r="B22101" s="0" t="s">
        <v>1</v>
      </c>
      <c r="C22101" s="0" t="s">
        <v>4695</v>
      </c>
      <c r="E22101" s="0" t="s">
        <v>31</v>
      </c>
      <c r="F22101" s="0" t="s">
        <v>460</v>
      </c>
    </row>
    <row r="22102" customFormat="false" ht="12.8" hidden="false" customHeight="false" outlineLevel="0" collapsed="false">
      <c r="B22102" s="0" t="s">
        <v>8</v>
      </c>
      <c r="C22102" s="0" t="s">
        <v>531</v>
      </c>
      <c r="E22102" s="0" t="s">
        <v>9090</v>
      </c>
      <c r="F22102" s="0" t="s">
        <v>9091</v>
      </c>
    </row>
    <row r="22104" customFormat="false" ht="12.8" hidden="false" customHeight="false" outlineLevel="0" collapsed="false">
      <c r="A22104" s="0" t="s">
        <v>9092</v>
      </c>
      <c r="B22104" s="0" t="str">
        <f aca="false">HYPERLINK("https://lindat.mff.cuni.cz/services/teitok/pdtc10/index.php?action=vallex&amp;frame=v-w10428hsa_220", "odpojit (v-w10428hsa_220)")</f>
        <v>odpojit (v-w10428hsa_220)</v>
      </c>
    </row>
    <row r="22105" customFormat="false" ht="12.8" hidden="false" customHeight="false" outlineLevel="0" collapsed="false">
      <c r="B22105" s="0" t="s">
        <v>1</v>
      </c>
    </row>
    <row r="22106" customFormat="false" ht="12.8" hidden="false" customHeight="false" outlineLevel="0" collapsed="false">
      <c r="B22106" s="0" t="s">
        <v>8</v>
      </c>
    </row>
    <row r="22107" customFormat="false" ht="12.8" hidden="false" customHeight="false" outlineLevel="0" collapsed="false">
      <c r="B22107" s="0" t="s">
        <v>631</v>
      </c>
    </row>
    <row r="22109" customFormat="false" ht="12.8" hidden="false" customHeight="false" outlineLevel="0" collapsed="false">
      <c r="A22109" s="0" t="s">
        <v>9093</v>
      </c>
      <c r="B22109" s="0" t="str">
        <f aca="false">HYPERLINK("https://lindat.mff.cuni.cz/services/teitok/pdtc10/index.php?action=vallex&amp;frame=v-w2823f1", "odpolitizovat (v-w2823f1)")</f>
        <v>odpolitizovat (v-w2823f1)</v>
      </c>
    </row>
    <row r="22110" customFormat="false" ht="12.8" hidden="false" customHeight="false" outlineLevel="0" collapsed="false">
      <c r="B22110" s="0" t="s">
        <v>1</v>
      </c>
    </row>
    <row r="22111" customFormat="false" ht="12.8" hidden="false" customHeight="false" outlineLevel="0" collapsed="false">
      <c r="B22111" s="0" t="s">
        <v>8</v>
      </c>
    </row>
    <row r="22113" customFormat="false" ht="12.8" hidden="false" customHeight="false" outlineLevel="0" collapsed="false">
      <c r="A22113" s="0" t="s">
        <v>9094</v>
      </c>
      <c r="B22113" s="0" t="str">
        <f aca="false">HYPERLINK("https://lindat.mff.cuni.cz/services/teitok/pdtc10/index.php?action=vallex&amp;frame=v-w2824f1", "odpomoci (v-w2824f1)")</f>
        <v>odpomoci (v-w2824f1)</v>
      </c>
    </row>
    <row r="22114" customFormat="false" ht="12.8" hidden="false" customHeight="false" outlineLevel="0" collapsed="false">
      <c r="B22114" s="0" t="s">
        <v>1181</v>
      </c>
    </row>
    <row r="22115" customFormat="false" ht="12.8" hidden="false" customHeight="false" outlineLevel="0" collapsed="false">
      <c r="B22115" s="0" t="s">
        <v>52</v>
      </c>
    </row>
    <row r="22116" customFormat="false" ht="12.8" hidden="false" customHeight="false" outlineLevel="0" collapsed="false">
      <c r="B22116" s="0" t="s">
        <v>9095</v>
      </c>
    </row>
    <row r="22118" customFormat="false" ht="12.8" hidden="false" customHeight="false" outlineLevel="0" collapsed="false">
      <c r="A22118" s="0" t="s">
        <v>9096</v>
      </c>
      <c r="B22118" s="0" t="str">
        <f aca="false">HYPERLINK("https://lindat.mff.cuni.cz/services/teitok/pdtc10/index.php?action=vallex&amp;frame=v-w2826f1", "odporovat (v-w2826f1)")</f>
        <v>odporovat (v-w2826f1)</v>
      </c>
      <c r="E22118" s="0" t="str">
        <f aca="false">HYPERLINK("https://lindat.mff.cuni.cz/services/SynSemClass40/SynSemClass40.html?veclass=vec00852#vec00852-ces-cm00001", "vec00852")</f>
        <v>vec00852</v>
      </c>
      <c r="F22118" s="0" t="s">
        <v>9097</v>
      </c>
    </row>
    <row r="22119" customFormat="false" ht="12.8" hidden="false" customHeight="false" outlineLevel="0" collapsed="false">
      <c r="B22119" s="0" t="s">
        <v>1</v>
      </c>
      <c r="C22119" s="0" t="s">
        <v>512</v>
      </c>
      <c r="E22119" s="0" t="s">
        <v>478</v>
      </c>
      <c r="F22119" s="0" t="s">
        <v>9098</v>
      </c>
    </row>
    <row r="22120" customFormat="false" ht="12.8" hidden="false" customHeight="false" outlineLevel="0" collapsed="false">
      <c r="B22120" s="0" t="s">
        <v>186</v>
      </c>
      <c r="C22120" s="0" t="s">
        <v>1940</v>
      </c>
      <c r="E22120" s="0" t="s">
        <v>9099</v>
      </c>
      <c r="F22120" s="0" t="s">
        <v>9100</v>
      </c>
    </row>
    <row r="22122" customFormat="false" ht="12.8" hidden="false" customHeight="false" outlineLevel="0" collapsed="false">
      <c r="A22122" s="0" t="s">
        <v>9101</v>
      </c>
      <c r="B22122" s="0" t="str">
        <f aca="false">HYPERLINK("https://lindat.mff.cuni.cz/services/teitok/pdtc10/index.php?action=vallex&amp;frame=v-w2826f2_ZU", "odporovat (v-w2826f2_ZU)")</f>
        <v>odporovat (v-w2826f2_ZU)</v>
      </c>
    </row>
    <row r="22123" customFormat="false" ht="12.8" hidden="false" customHeight="false" outlineLevel="0" collapsed="false">
      <c r="B22123" s="0" t="s">
        <v>1</v>
      </c>
    </row>
    <row r="22124" customFormat="false" ht="12.8" hidden="false" customHeight="false" outlineLevel="0" collapsed="false">
      <c r="B22124" s="0" t="s">
        <v>9102</v>
      </c>
    </row>
    <row r="22126" customFormat="false" ht="12.8" hidden="false" customHeight="false" outlineLevel="0" collapsed="false">
      <c r="A22126" s="0" t="s">
        <v>9103</v>
      </c>
      <c r="B22126" s="0" t="str">
        <f aca="false">HYPERLINK("https://lindat.mff.cuni.cz/services/teitok/pdtc10/index.php?action=vallex&amp;frame=v-w10898f2", "odposlechnout (v-w10898f2)")</f>
        <v>odposlechnout (v-w10898f2)</v>
      </c>
    </row>
    <row r="22127" customFormat="false" ht="12.8" hidden="false" customHeight="false" outlineLevel="0" collapsed="false">
      <c r="B22127" s="0" t="s">
        <v>1</v>
      </c>
    </row>
    <row r="22128" customFormat="false" ht="12.8" hidden="false" customHeight="false" outlineLevel="0" collapsed="false">
      <c r="B22128" s="0" t="s">
        <v>8</v>
      </c>
    </row>
    <row r="22130" customFormat="false" ht="12.8" hidden="false" customHeight="false" outlineLevel="0" collapsed="false">
      <c r="A22130" s="0" t="s">
        <v>9104</v>
      </c>
      <c r="B22130" s="0" t="str">
        <f aca="false">HYPERLINK("https://lindat.mff.cuni.cz/services/teitok/pdtc10/index.php?action=vallex&amp;frame=v-w12177_ZUf1_ZU", "odposlouchat (v-w12177_ZUf1_ZU)")</f>
        <v>odposlouchat (v-w12177_ZUf1_ZU)</v>
      </c>
    </row>
    <row r="22131" customFormat="false" ht="12.8" hidden="false" customHeight="false" outlineLevel="0" collapsed="false">
      <c r="B22131" s="0" t="s">
        <v>1</v>
      </c>
    </row>
    <row r="22132" customFormat="false" ht="12.8" hidden="false" customHeight="false" outlineLevel="0" collapsed="false">
      <c r="B22132" s="0" t="s">
        <v>8</v>
      </c>
    </row>
    <row r="22133" customFormat="false" ht="12.8" hidden="false" customHeight="false" outlineLevel="0" collapsed="false">
      <c r="B22133" s="0" t="s">
        <v>602</v>
      </c>
    </row>
    <row r="22135" customFormat="false" ht="12.8" hidden="false" customHeight="false" outlineLevel="0" collapsed="false">
      <c r="A22135" s="0" t="s">
        <v>9105</v>
      </c>
      <c r="B22135" s="0" t="str">
        <f aca="false">HYPERLINK("https://lindat.mff.cuni.cz/services/teitok/pdtc10/index.php?action=vallex&amp;frame=v-w10534f2", "odposlouchávat (v-w10534f2)")</f>
        <v>odposlouchávat (v-w10534f2)</v>
      </c>
    </row>
    <row r="22136" customFormat="false" ht="12.8" hidden="false" customHeight="false" outlineLevel="0" collapsed="false">
      <c r="B22136" s="0" t="s">
        <v>1</v>
      </c>
    </row>
    <row r="22137" customFormat="false" ht="12.8" hidden="false" customHeight="false" outlineLevel="0" collapsed="false">
      <c r="B22137" s="0" t="s">
        <v>8</v>
      </c>
    </row>
    <row r="22139" customFormat="false" ht="12.8" hidden="false" customHeight="false" outlineLevel="0" collapsed="false">
      <c r="A22139" s="0" t="s">
        <v>9106</v>
      </c>
      <c r="B22139" s="0" t="str">
        <f aca="false">HYPERLINK("https://lindat.mff.cuni.cz/services/teitok/pdtc10/index.php?action=vallex&amp;frame=v-w2830f1", "odpoutat (v-w2830f1)")</f>
        <v>odpoutat (v-w2830f1)</v>
      </c>
    </row>
    <row r="22140" customFormat="false" ht="12.8" hidden="false" customHeight="false" outlineLevel="0" collapsed="false">
      <c r="B22140" s="0" t="s">
        <v>1</v>
      </c>
    </row>
    <row r="22141" customFormat="false" ht="12.8" hidden="false" customHeight="false" outlineLevel="0" collapsed="false">
      <c r="B22141" s="0" t="s">
        <v>8</v>
      </c>
    </row>
    <row r="22142" customFormat="false" ht="12.8" hidden="false" customHeight="false" outlineLevel="0" collapsed="false">
      <c r="B22142" s="0" t="s">
        <v>602</v>
      </c>
    </row>
    <row r="22144" customFormat="false" ht="12.8" hidden="false" customHeight="false" outlineLevel="0" collapsed="false">
      <c r="A22144" s="0" t="s">
        <v>9107</v>
      </c>
      <c r="B22144" s="0" t="str">
        <f aca="false">HYPERLINK("https://lindat.mff.cuni.cz/services/teitok/pdtc10/index.php?action=vallex&amp;frame=v-w2830f2", "odpoutat (v-w2830f2)")</f>
        <v>odpoutat (v-w2830f2)</v>
      </c>
    </row>
    <row r="22145" customFormat="false" ht="12.8" hidden="false" customHeight="false" outlineLevel="0" collapsed="false">
      <c r="B22145" s="0" t="s">
        <v>1</v>
      </c>
    </row>
    <row r="22146" customFormat="false" ht="12.8" hidden="false" customHeight="false" outlineLevel="0" collapsed="false">
      <c r="B22146" s="0" t="s">
        <v>8</v>
      </c>
    </row>
    <row r="22147" customFormat="false" ht="12.8" hidden="false" customHeight="false" outlineLevel="0" collapsed="false">
      <c r="B22147" s="0" t="s">
        <v>631</v>
      </c>
    </row>
    <row r="22149" customFormat="false" ht="12.8" hidden="false" customHeight="false" outlineLevel="0" collapsed="false">
      <c r="A22149" s="0" t="s">
        <v>9108</v>
      </c>
      <c r="B22149" s="0" t="str">
        <f aca="false">HYPERLINK("https://lindat.mff.cuni.cz/services/teitok/pdtc10/index.php?action=vallex&amp;frame=v-w11291f1", "odpoutat se (v-w11291f1)")</f>
        <v>odpoutat se (v-w11291f1)</v>
      </c>
      <c r="E22149" s="0" t="str">
        <f aca="false">HYPERLINK("https://lindat.mff.cuni.cz/services/SynSemClass40/SynSemClass40.html?veclass=vec00905#vec00905-ces-cm00007", "vec00905")</f>
        <v>vec00905</v>
      </c>
      <c r="F22149" s="0" t="s">
        <v>8789</v>
      </c>
    </row>
    <row r="22150" customFormat="false" ht="12.8" hidden="false" customHeight="false" outlineLevel="0" collapsed="false">
      <c r="B22150" s="0" t="s">
        <v>1</v>
      </c>
      <c r="C22150" s="0" t="s">
        <v>5344</v>
      </c>
      <c r="E22150" s="0" t="s">
        <v>2241</v>
      </c>
      <c r="F22150" s="0" t="s">
        <v>8790</v>
      </c>
    </row>
    <row r="22151" customFormat="false" ht="12.8" hidden="false" customHeight="false" outlineLevel="0" collapsed="false">
      <c r="B22151" s="0" t="s">
        <v>26</v>
      </c>
      <c r="E22151" s="0" t="s">
        <v>2665</v>
      </c>
      <c r="F22151" s="0" t="s">
        <v>8791</v>
      </c>
    </row>
    <row r="22153" customFormat="false" ht="12.8" hidden="false" customHeight="false" outlineLevel="0" collapsed="false">
      <c r="A22153" s="0" t="s">
        <v>9109</v>
      </c>
      <c r="B22153" s="0" t="str">
        <f aca="false">HYPERLINK("https://lindat.mff.cuni.cz/services/teitok/pdtc10/index.php?action=vallex&amp;frame=v-w2832f1", "odpoutávat (v-w2832f1)")</f>
        <v>odpoutávat (v-w2832f1)</v>
      </c>
    </row>
    <row r="22154" customFormat="false" ht="12.8" hidden="false" customHeight="false" outlineLevel="0" collapsed="false">
      <c r="B22154" s="0" t="s">
        <v>1</v>
      </c>
    </row>
    <row r="22155" customFormat="false" ht="12.8" hidden="false" customHeight="false" outlineLevel="0" collapsed="false">
      <c r="B22155" s="0" t="s">
        <v>8</v>
      </c>
    </row>
    <row r="22156" customFormat="false" ht="12.8" hidden="false" customHeight="false" outlineLevel="0" collapsed="false">
      <c r="B22156" s="0" t="s">
        <v>602</v>
      </c>
    </row>
    <row r="22158" customFormat="false" ht="12.8" hidden="false" customHeight="false" outlineLevel="0" collapsed="false">
      <c r="A22158" s="0" t="s">
        <v>9110</v>
      </c>
      <c r="B22158" s="0" t="str">
        <f aca="false">HYPERLINK("https://lindat.mff.cuni.cz/services/teitok/pdtc10/index.php?action=vallex&amp;frame=v-w2832f2", "odpoutávat (v-w2832f2)")</f>
        <v>odpoutávat (v-w2832f2)</v>
      </c>
    </row>
    <row r="22159" customFormat="false" ht="12.8" hidden="false" customHeight="false" outlineLevel="0" collapsed="false">
      <c r="B22159" s="0" t="s">
        <v>1</v>
      </c>
    </row>
    <row r="22160" customFormat="false" ht="12.8" hidden="false" customHeight="false" outlineLevel="0" collapsed="false">
      <c r="B22160" s="0" t="s">
        <v>8</v>
      </c>
    </row>
    <row r="22161" customFormat="false" ht="12.8" hidden="false" customHeight="false" outlineLevel="0" collapsed="false">
      <c r="B22161" s="0" t="s">
        <v>631</v>
      </c>
    </row>
    <row r="22163" customFormat="false" ht="12.8" hidden="false" customHeight="false" outlineLevel="0" collapsed="false">
      <c r="A22163" s="0" t="s">
        <v>9111</v>
      </c>
      <c r="B22163" s="0" t="str">
        <f aca="false">HYPERLINK("https://lindat.mff.cuni.cz/services/teitok/pdtc10/index.php?action=vallex&amp;frame=v-w2829f1", "odpouštět (v-w2829f1)")</f>
        <v>odpouštět (v-w2829f1)</v>
      </c>
      <c r="E22163" s="0" t="str">
        <f aca="false">HYPERLINK("https://lindat.mff.cuni.cz/services/SynSemClass40/SynSemClass40.html?veclass=vec01058#vec01058-ces-cm00004", "vec01058")</f>
        <v>vec01058</v>
      </c>
      <c r="F22163" s="0" t="s">
        <v>9112</v>
      </c>
    </row>
    <row r="22164" customFormat="false" ht="12.8" hidden="false" customHeight="false" outlineLevel="0" collapsed="false">
      <c r="B22164" s="0" t="s">
        <v>1</v>
      </c>
      <c r="C22164" s="0" t="s">
        <v>459</v>
      </c>
      <c r="E22164" s="0" t="s">
        <v>9113</v>
      </c>
      <c r="F22164" s="0" t="s">
        <v>9114</v>
      </c>
    </row>
    <row r="22165" customFormat="false" ht="12.8" hidden="false" customHeight="false" outlineLevel="0" collapsed="false">
      <c r="B22165" s="0" t="s">
        <v>228</v>
      </c>
      <c r="C22165" s="0" t="s">
        <v>2293</v>
      </c>
      <c r="E22165" s="0" t="s">
        <v>9115</v>
      </c>
      <c r="F22165" s="0" t="s">
        <v>9116</v>
      </c>
    </row>
    <row r="22166" customFormat="false" ht="12.8" hidden="false" customHeight="false" outlineLevel="0" collapsed="false">
      <c r="B22166" s="0" t="s">
        <v>52</v>
      </c>
      <c r="C22166" s="0" t="s">
        <v>9117</v>
      </c>
      <c r="E22166" s="0" t="s">
        <v>9118</v>
      </c>
      <c r="F22166" s="0" t="s">
        <v>9119</v>
      </c>
    </row>
    <row r="22168" customFormat="false" ht="12.8" hidden="false" customHeight="false" outlineLevel="0" collapsed="false">
      <c r="A22168" s="0" t="s">
        <v>9120</v>
      </c>
      <c r="B22168" s="0" t="str">
        <f aca="false">HYPERLINK("https://lindat.mff.cuni.cz/services/teitok/pdtc10/index.php?action=vallex&amp;frame=v-w2829f2", "odpouštět (v-w2829f2)")</f>
        <v>odpouštět (v-w2829f2)</v>
      </c>
    </row>
    <row r="22169" customFormat="false" ht="12.8" hidden="false" customHeight="false" outlineLevel="0" collapsed="false">
      <c r="B22169" s="0" t="s">
        <v>1</v>
      </c>
    </row>
    <row r="22170" customFormat="false" ht="12.8" hidden="false" customHeight="false" outlineLevel="0" collapsed="false">
      <c r="B22170" s="0" t="s">
        <v>8</v>
      </c>
    </row>
    <row r="22172" customFormat="false" ht="12.8" hidden="false" customHeight="false" outlineLevel="0" collapsed="false">
      <c r="A22172" s="0" t="s">
        <v>9121</v>
      </c>
      <c r="B22172" s="0" t="str">
        <f aca="false">HYPERLINK("https://lindat.mff.cuni.cz/services/teitok/pdtc10/index.php?action=vallex&amp;frame=v-w12055_ZUf1_ZU", "odpouštět si (v-w12055_ZUf1_ZU)")</f>
        <v>odpouštět si (v-w12055_ZUf1_ZU)</v>
      </c>
    </row>
    <row r="22173" customFormat="false" ht="12.8" hidden="false" customHeight="false" outlineLevel="0" collapsed="false">
      <c r="B22173" s="0" t="s">
        <v>1</v>
      </c>
    </row>
    <row r="22174" customFormat="false" ht="12.8" hidden="false" customHeight="false" outlineLevel="0" collapsed="false">
      <c r="B22174" s="0" t="s">
        <v>8</v>
      </c>
    </row>
    <row r="22176" customFormat="false" ht="12.8" hidden="false" customHeight="false" outlineLevel="0" collapsed="false">
      <c r="A22176" s="0" t="s">
        <v>9122</v>
      </c>
      <c r="B22176" s="0" t="str">
        <f aca="false">HYPERLINK("https://lindat.mff.cuni.cz/services/teitok/pdtc10/index.php?action=vallex&amp;frame=v-w2839f3", "odpovídat (v-w2839f3)")</f>
        <v>odpovídat (v-w2839f3)</v>
      </c>
    </row>
    <row r="22177" customFormat="false" ht="12.8" hidden="false" customHeight="false" outlineLevel="0" collapsed="false">
      <c r="B22177" s="0" t="s">
        <v>1</v>
      </c>
    </row>
    <row r="22178" customFormat="false" ht="12.8" hidden="false" customHeight="false" outlineLevel="0" collapsed="false">
      <c r="B22178" s="0" t="s">
        <v>665</v>
      </c>
    </row>
    <row r="22179" customFormat="false" ht="12.8" hidden="false" customHeight="false" outlineLevel="0" collapsed="false">
      <c r="B22179" s="0" t="s">
        <v>132</v>
      </c>
    </row>
    <row r="22181" customFormat="false" ht="12.8" hidden="false" customHeight="false" outlineLevel="0" collapsed="false">
      <c r="A22181" s="0" t="s">
        <v>9123</v>
      </c>
      <c r="B22181" s="0" t="str">
        <f aca="false">HYPERLINK("https://lindat.mff.cuni.cz/services/teitok/pdtc10/index.php?action=vallex&amp;frame=v-w2839f1", "odpovídat (v-w2839f1)")</f>
        <v>odpovídat (v-w2839f1)</v>
      </c>
      <c r="E22181" s="0" t="str">
        <f aca="false">HYPERLINK("https://lindat.mff.cuni.cz/services/SynSemClass40/SynSemClass40.html?veclass=vec00250#vec00250-ces-cm00001", "vec00250")</f>
        <v>vec00250</v>
      </c>
      <c r="F22181" s="0" t="s">
        <v>9124</v>
      </c>
    </row>
    <row r="22182" customFormat="false" ht="12.8" hidden="false" customHeight="false" outlineLevel="0" collapsed="false">
      <c r="B22182" s="0" t="s">
        <v>843</v>
      </c>
      <c r="C22182" s="0" t="s">
        <v>9125</v>
      </c>
      <c r="E22182" s="0" t="s">
        <v>1971</v>
      </c>
      <c r="F22182" s="0" t="s">
        <v>9126</v>
      </c>
    </row>
    <row r="22183" customFormat="false" ht="12.8" hidden="false" customHeight="false" outlineLevel="0" collapsed="false">
      <c r="B22183" s="0" t="s">
        <v>186</v>
      </c>
      <c r="C22183" s="0" t="s">
        <v>9127</v>
      </c>
      <c r="E22183" s="0" t="s">
        <v>1976</v>
      </c>
      <c r="F22183" s="0" t="s">
        <v>9128</v>
      </c>
    </row>
    <row r="22185" customFormat="false" ht="12.8" hidden="false" customHeight="false" outlineLevel="0" collapsed="false">
      <c r="A22185" s="0" t="s">
        <v>9129</v>
      </c>
      <c r="B22185" s="0" t="str">
        <f aca="false">HYPERLINK("https://lindat.mff.cuni.cz/services/teitok/pdtc10/index.php?action=vallex&amp;frame=v-w2839f4", "odpovídat (v-w2839f4)")</f>
        <v>odpovídat (v-w2839f4)</v>
      </c>
      <c r="E22185" s="0" t="str">
        <f aca="false">HYPERLINK("https://lindat.mff.cuni.cz/services/SynSemClass40/SynSemClass40.html?veclass=vec00102#vec00102-ces-cm00016", "vec00102")</f>
        <v>vec00102</v>
      </c>
      <c r="F22185" s="0" t="s">
        <v>9130</v>
      </c>
    </row>
    <row r="22186" customFormat="false" ht="12.8" hidden="false" customHeight="false" outlineLevel="0" collapsed="false">
      <c r="B22186" s="0" t="s">
        <v>1</v>
      </c>
      <c r="C22186" s="0" t="s">
        <v>9131</v>
      </c>
      <c r="E22186" s="0" t="s">
        <v>11</v>
      </c>
      <c r="F22186" s="0" t="s">
        <v>9132</v>
      </c>
    </row>
    <row r="22187" customFormat="false" ht="12.8" hidden="false" customHeight="false" outlineLevel="0" collapsed="false">
      <c r="B22187" s="0" t="s">
        <v>45</v>
      </c>
      <c r="C22187" s="0" t="s">
        <v>9133</v>
      </c>
      <c r="E22187" s="0" t="s">
        <v>271</v>
      </c>
      <c r="F22187" s="0" t="s">
        <v>9134</v>
      </c>
    </row>
    <row r="22189" customFormat="false" ht="12.8" hidden="false" customHeight="false" outlineLevel="0" collapsed="false">
      <c r="A22189" s="0" t="s">
        <v>9135</v>
      </c>
      <c r="B22189" s="0" t="str">
        <f aca="false">HYPERLINK("https://lindat.mff.cuni.cz/services/teitok/pdtc10/index.php?action=vallex&amp;frame=v-w2839f5", "odpovídat (v-w2839f5)")</f>
        <v>odpovídat (v-w2839f5)</v>
      </c>
    </row>
    <row r="22190" customFormat="false" ht="12.8" hidden="false" customHeight="false" outlineLevel="0" collapsed="false">
      <c r="B22190" s="0" t="s">
        <v>1</v>
      </c>
    </row>
    <row r="22191" customFormat="false" ht="12.8" hidden="false" customHeight="false" outlineLevel="0" collapsed="false">
      <c r="B22191" s="0" t="s">
        <v>52</v>
      </c>
    </row>
    <row r="22192" customFormat="false" ht="12.8" hidden="false" customHeight="false" outlineLevel="0" collapsed="false">
      <c r="B22192" s="0" t="s">
        <v>69</v>
      </c>
    </row>
    <row r="22193" customFormat="false" ht="12.8" hidden="false" customHeight="false" outlineLevel="0" collapsed="false">
      <c r="B22193" s="0" t="s">
        <v>725</v>
      </c>
    </row>
    <row r="22194" customFormat="false" ht="12.8" hidden="false" customHeight="false" outlineLevel="0" collapsed="false">
      <c r="B22194" s="0" t="s">
        <v>642</v>
      </c>
    </row>
    <row r="22195" customFormat="false" ht="12.8" hidden="false" customHeight="false" outlineLevel="0" collapsed="false">
      <c r="B22195" s="0" t="s">
        <v>646</v>
      </c>
    </row>
    <row r="22196" customFormat="false" ht="12.8" hidden="false" customHeight="false" outlineLevel="0" collapsed="false">
      <c r="B22196" s="0" t="s">
        <v>648</v>
      </c>
    </row>
    <row r="22197" customFormat="false" ht="12.8" hidden="false" customHeight="false" outlineLevel="0" collapsed="false">
      <c r="B22197" s="0" t="s">
        <v>650</v>
      </c>
    </row>
    <row r="22198" customFormat="false" ht="12.8" hidden="false" customHeight="false" outlineLevel="0" collapsed="false">
      <c r="B22198" s="0" t="s">
        <v>652</v>
      </c>
    </row>
    <row r="22200" customFormat="false" ht="12.8" hidden="false" customHeight="false" outlineLevel="0" collapsed="false">
      <c r="A22200" s="0" t="s">
        <v>9136</v>
      </c>
      <c r="B22200" s="0" t="str">
        <f aca="false">HYPERLINK("https://lindat.mff.cuni.cz/services/teitok/pdtc10/index.php?action=vallex&amp;frame=v-w2839f2", "odpovídat (v-w2839f2)")</f>
        <v>odpovídat (v-w2839f2)</v>
      </c>
      <c r="E22200" s="0" t="str">
        <f aca="false">HYPERLINK("https://lindat.mff.cuni.cz/services/SynSemClass40/SynSemClass40.html?veclass=vec01060#vec01060-ces-cm00004", "vec01060")</f>
        <v>vec01060</v>
      </c>
      <c r="F22200" s="0" t="s">
        <v>9137</v>
      </c>
    </row>
    <row r="22201" customFormat="false" ht="12.8" hidden="false" customHeight="false" outlineLevel="0" collapsed="false">
      <c r="B22201" s="0" t="s">
        <v>1</v>
      </c>
      <c r="C22201" s="0" t="s">
        <v>9138</v>
      </c>
      <c r="E22201" s="0" t="s">
        <v>147</v>
      </c>
      <c r="F22201" s="0" t="s">
        <v>9139</v>
      </c>
    </row>
    <row r="22202" customFormat="false" ht="12.8" hidden="false" customHeight="false" outlineLevel="0" collapsed="false">
      <c r="B22202" s="0" t="s">
        <v>52</v>
      </c>
      <c r="C22202" s="0" t="s">
        <v>9140</v>
      </c>
      <c r="E22202" s="0" t="s">
        <v>221</v>
      </c>
      <c r="F22202" s="0" t="s">
        <v>9141</v>
      </c>
    </row>
    <row r="22203" customFormat="false" ht="12.8" hidden="false" customHeight="false" outlineLevel="0" collapsed="false">
      <c r="B22203" s="0" t="s">
        <v>9142</v>
      </c>
      <c r="C22203" s="0" t="s">
        <v>9143</v>
      </c>
      <c r="E22203" s="0" t="s">
        <v>2217</v>
      </c>
      <c r="F22203" s="0" t="s">
        <v>9144</v>
      </c>
    </row>
    <row r="22204" customFormat="false" ht="12.8" hidden="false" customHeight="false" outlineLevel="0" collapsed="false">
      <c r="B22204" s="0" t="s">
        <v>69</v>
      </c>
      <c r="C22204" s="0" t="s">
        <v>9145</v>
      </c>
      <c r="E22204" s="0" t="s">
        <v>218</v>
      </c>
      <c r="F22204" s="0" t="s">
        <v>9146</v>
      </c>
    </row>
    <row r="22206" customFormat="false" ht="12.8" hidden="false" customHeight="false" outlineLevel="0" collapsed="false">
      <c r="A22206" s="0" t="s">
        <v>9147</v>
      </c>
      <c r="B22206" s="0" t="str">
        <f aca="false">HYPERLINK("https://lindat.mff.cuni.cz/services/teitok/pdtc10/index.php?action=vallex&amp;frame=v-w2839f6_MM", "odpovídat (v-w2839f6_MM)")</f>
        <v>odpovídat (v-w2839f6_MM)</v>
      </c>
    </row>
    <row r="22207" customFormat="false" ht="12.8" hidden="false" customHeight="false" outlineLevel="0" collapsed="false">
      <c r="B22207" s="0" t="s">
        <v>1</v>
      </c>
    </row>
    <row r="22208" customFormat="false" ht="12.8" hidden="false" customHeight="false" outlineLevel="0" collapsed="false">
      <c r="B22208" s="0" t="s">
        <v>305</v>
      </c>
    </row>
    <row r="22209" customFormat="false" ht="12.8" hidden="false" customHeight="false" outlineLevel="0" collapsed="false">
      <c r="B22209" s="0" t="s">
        <v>52</v>
      </c>
    </row>
    <row r="22211" customFormat="false" ht="12.8" hidden="false" customHeight="false" outlineLevel="0" collapsed="false">
      <c r="A22211" s="0" t="s">
        <v>9148</v>
      </c>
      <c r="B22211" s="0" t="str">
        <f aca="false">HYPERLINK("https://lindat.mff.cuni.cz/services/teitok/pdtc10/index.php?action=vallex&amp;frame=v-w2840f1", "odpovídat se (v-w2840f1)")</f>
        <v>odpovídat se (v-w2840f1)</v>
      </c>
    </row>
    <row r="22212" customFormat="false" ht="12.8" hidden="false" customHeight="false" outlineLevel="0" collapsed="false">
      <c r="B22212" s="0" t="s">
        <v>1</v>
      </c>
    </row>
    <row r="22213" customFormat="false" ht="12.8" hidden="false" customHeight="false" outlineLevel="0" collapsed="false">
      <c r="B22213" s="0" t="s">
        <v>298</v>
      </c>
    </row>
    <row r="22214" customFormat="false" ht="12.8" hidden="false" customHeight="false" outlineLevel="0" collapsed="false">
      <c r="B22214" s="0" t="s">
        <v>52</v>
      </c>
    </row>
    <row r="22216" customFormat="false" ht="12.8" hidden="false" customHeight="false" outlineLevel="0" collapsed="false">
      <c r="A22216" s="0" t="s">
        <v>9149</v>
      </c>
      <c r="B22216" s="0" t="str">
        <f aca="false">HYPERLINK("https://lindat.mff.cuni.cz/services/teitok/pdtc10/index.php?action=vallex&amp;frame=v-w2834f2", "odpovědět (v-w2834f2)")</f>
        <v>odpovědět (v-w2834f2)</v>
      </c>
      <c r="E22216" s="0" t="str">
        <f aca="false">HYPERLINK("https://lindat.mff.cuni.cz/services/SynSemClass40/SynSemClass40.html?veclass=vec00102#vec00102-ces-cm00013", "vec00102")</f>
        <v>vec00102</v>
      </c>
      <c r="F22216" s="0" t="s">
        <v>9130</v>
      </c>
    </row>
    <row r="22217" customFormat="false" ht="12.8" hidden="false" customHeight="false" outlineLevel="0" collapsed="false">
      <c r="B22217" s="0" t="s">
        <v>1</v>
      </c>
      <c r="C22217" s="0" t="s">
        <v>9131</v>
      </c>
      <c r="E22217" s="0" t="s">
        <v>11</v>
      </c>
      <c r="F22217" s="0" t="s">
        <v>9132</v>
      </c>
    </row>
    <row r="22218" customFormat="false" ht="12.8" hidden="false" customHeight="false" outlineLevel="0" collapsed="false">
      <c r="B22218" s="0" t="s">
        <v>45</v>
      </c>
      <c r="C22218" s="0" t="s">
        <v>9133</v>
      </c>
      <c r="E22218" s="0" t="s">
        <v>271</v>
      </c>
      <c r="F22218" s="0" t="s">
        <v>9134</v>
      </c>
    </row>
    <row r="22220" customFormat="false" ht="12.8" hidden="false" customHeight="false" outlineLevel="0" collapsed="false">
      <c r="A22220" s="0" t="s">
        <v>9150</v>
      </c>
      <c r="B22220" s="0" t="str">
        <f aca="false">HYPERLINK("https://lindat.mff.cuni.cz/services/teitok/pdtc10/index.php?action=vallex&amp;frame=v-w2834f3", "odpovědět (v-w2834f3)")</f>
        <v>odpovědět (v-w2834f3)</v>
      </c>
    </row>
    <row r="22221" customFormat="false" ht="12.8" hidden="false" customHeight="false" outlineLevel="0" collapsed="false">
      <c r="B22221" s="0" t="s">
        <v>1</v>
      </c>
    </row>
    <row r="22222" customFormat="false" ht="12.8" hidden="false" customHeight="false" outlineLevel="0" collapsed="false">
      <c r="B22222" s="0" t="s">
        <v>52</v>
      </c>
    </row>
    <row r="22223" customFormat="false" ht="12.8" hidden="false" customHeight="false" outlineLevel="0" collapsed="false">
      <c r="B22223" s="0" t="s">
        <v>69</v>
      </c>
    </row>
    <row r="22224" customFormat="false" ht="12.8" hidden="false" customHeight="false" outlineLevel="0" collapsed="false">
      <c r="B22224" s="0" t="s">
        <v>642</v>
      </c>
    </row>
    <row r="22225" customFormat="false" ht="12.8" hidden="false" customHeight="false" outlineLevel="0" collapsed="false">
      <c r="B22225" s="0" t="s">
        <v>646</v>
      </c>
    </row>
    <row r="22226" customFormat="false" ht="12.8" hidden="false" customHeight="false" outlineLevel="0" collapsed="false">
      <c r="B22226" s="0" t="s">
        <v>648</v>
      </c>
    </row>
    <row r="22227" customFormat="false" ht="12.8" hidden="false" customHeight="false" outlineLevel="0" collapsed="false">
      <c r="B22227" s="0" t="s">
        <v>650</v>
      </c>
    </row>
    <row r="22228" customFormat="false" ht="12.8" hidden="false" customHeight="false" outlineLevel="0" collapsed="false">
      <c r="B22228" s="0" t="s">
        <v>652</v>
      </c>
    </row>
    <row r="22230" customFormat="false" ht="12.8" hidden="false" customHeight="false" outlineLevel="0" collapsed="false">
      <c r="A22230" s="0" t="s">
        <v>9151</v>
      </c>
      <c r="B22230" s="0" t="str">
        <f aca="false">HYPERLINK("https://lindat.mff.cuni.cz/services/teitok/pdtc10/index.php?action=vallex&amp;frame=v-w2834f1", "odpovědět (v-w2834f1)")</f>
        <v>odpovědět (v-w2834f1)</v>
      </c>
      <c r="E22230" s="0" t="str">
        <f aca="false">HYPERLINK("https://lindat.mff.cuni.cz/services/SynSemClass40/SynSemClass40.html?veclass=vec01060#vec01060-ces-cm00003", "vec01060")</f>
        <v>vec01060</v>
      </c>
      <c r="F22230" s="0" t="s">
        <v>9137</v>
      </c>
    </row>
    <row r="22231" customFormat="false" ht="12.8" hidden="false" customHeight="false" outlineLevel="0" collapsed="false">
      <c r="B22231" s="0" t="s">
        <v>1</v>
      </c>
      <c r="C22231" s="0" t="s">
        <v>9138</v>
      </c>
      <c r="E22231" s="0" t="s">
        <v>147</v>
      </c>
      <c r="F22231" s="0" t="s">
        <v>9139</v>
      </c>
    </row>
    <row r="22232" customFormat="false" ht="12.8" hidden="false" customHeight="false" outlineLevel="0" collapsed="false">
      <c r="B22232" s="0" t="s">
        <v>52</v>
      </c>
      <c r="C22232" s="0" t="s">
        <v>9140</v>
      </c>
      <c r="E22232" s="0" t="s">
        <v>221</v>
      </c>
      <c r="F22232" s="0" t="s">
        <v>9141</v>
      </c>
    </row>
    <row r="22233" customFormat="false" ht="12.8" hidden="false" customHeight="false" outlineLevel="0" collapsed="false">
      <c r="B22233" s="0" t="s">
        <v>9152</v>
      </c>
      <c r="C22233" s="0" t="s">
        <v>9143</v>
      </c>
      <c r="E22233" s="0" t="s">
        <v>2217</v>
      </c>
      <c r="F22233" s="0" t="s">
        <v>9144</v>
      </c>
    </row>
    <row r="22234" customFormat="false" ht="12.8" hidden="false" customHeight="false" outlineLevel="0" collapsed="false">
      <c r="B22234" s="0" t="s">
        <v>69</v>
      </c>
      <c r="C22234" s="0" t="s">
        <v>9145</v>
      </c>
      <c r="E22234" s="0" t="s">
        <v>218</v>
      </c>
      <c r="F22234" s="0" t="s">
        <v>9146</v>
      </c>
    </row>
    <row r="22236" customFormat="false" ht="12.8" hidden="false" customHeight="false" outlineLevel="0" collapsed="false">
      <c r="A22236" s="0" t="s">
        <v>9153</v>
      </c>
      <c r="B22236" s="0" t="str">
        <f aca="false">HYPERLINK("https://lindat.mff.cuni.cz/services/teitok/pdtc10/index.php?action=vallex&amp;frame=v-w2834f6_MM", "odpovědět (v-w2834f6_MM)")</f>
        <v>odpovědět (v-w2834f6_MM)</v>
      </c>
    </row>
    <row r="22237" customFormat="false" ht="12.8" hidden="false" customHeight="false" outlineLevel="0" collapsed="false">
      <c r="B22237" s="0" t="s">
        <v>1</v>
      </c>
    </row>
    <row r="22238" customFormat="false" ht="12.8" hidden="false" customHeight="false" outlineLevel="0" collapsed="false">
      <c r="B22238" s="0" t="s">
        <v>305</v>
      </c>
    </row>
    <row r="22239" customFormat="false" ht="12.8" hidden="false" customHeight="false" outlineLevel="0" collapsed="false">
      <c r="B22239" s="0" t="s">
        <v>52</v>
      </c>
    </row>
    <row r="22241" customFormat="false" ht="12.8" hidden="false" customHeight="false" outlineLevel="0" collapsed="false">
      <c r="A22241" s="0" t="s">
        <v>9153</v>
      </c>
      <c r="B22241" s="0" t="str">
        <f aca="false">HYPERLINK("https://lindat.mff.cuni.cz/services/teitok/pdtc10/index.php?action=vallex&amp;frame=v-w2834f4_ZU", "odpovědět (v-w2834f4_ZU) - substituted with v-w2834f6_MM")</f>
        <v>odpovědět (v-w2834f4_ZU) - substituted with v-w2834f6_MM</v>
      </c>
    </row>
    <row r="22242" customFormat="false" ht="12.8" hidden="false" customHeight="false" outlineLevel="0" collapsed="false">
      <c r="B22242" s="0" t="s">
        <v>1</v>
      </c>
    </row>
    <row r="22243" customFormat="false" ht="12.8" hidden="false" customHeight="false" outlineLevel="0" collapsed="false">
      <c r="B22243" s="0" t="s">
        <v>305</v>
      </c>
    </row>
    <row r="22244" customFormat="false" ht="12.8" hidden="false" customHeight="false" outlineLevel="0" collapsed="false">
      <c r="B22244" s="0" t="s">
        <v>52</v>
      </c>
    </row>
    <row r="22246" customFormat="false" ht="12.8" hidden="false" customHeight="false" outlineLevel="0" collapsed="false">
      <c r="A22246" s="0" t="s">
        <v>9153</v>
      </c>
      <c r="B22246" s="0" t="str">
        <f aca="false">HYPERLINK("https://lindat.mff.cuni.cz/services/teitok/pdtc10/index.php?action=vallex&amp;frame=v-w2834f5_ZU", "odpovědět (v-w2834f5_ZU) - substituted with v-w2834f6_MM")</f>
        <v>odpovědět (v-w2834f5_ZU) - substituted with v-w2834f6_MM</v>
      </c>
    </row>
    <row r="22247" customFormat="false" ht="12.8" hidden="false" customHeight="false" outlineLevel="0" collapsed="false">
      <c r="B22247" s="0" t="s">
        <v>1</v>
      </c>
    </row>
    <row r="22248" customFormat="false" ht="12.8" hidden="false" customHeight="false" outlineLevel="0" collapsed="false">
      <c r="B22248" s="0" t="s">
        <v>305</v>
      </c>
    </row>
    <row r="22249" customFormat="false" ht="12.8" hidden="false" customHeight="false" outlineLevel="0" collapsed="false">
      <c r="B22249" s="0" t="s">
        <v>52</v>
      </c>
    </row>
    <row r="22251" customFormat="false" ht="12.8" hidden="false" customHeight="false" outlineLevel="0" collapsed="false">
      <c r="A22251" s="0" t="s">
        <v>9154</v>
      </c>
      <c r="B22251" s="0" t="str">
        <f aca="false">HYPERLINK("https://lindat.mff.cuni.cz/services/teitok/pdtc10/index.php?action=vallex&amp;frame=v-w2818f1", "odpočinout si (v-w2818f1)")</f>
        <v>odpočinout si (v-w2818f1)</v>
      </c>
    </row>
    <row r="22252" customFormat="false" ht="12.8" hidden="false" customHeight="false" outlineLevel="0" collapsed="false">
      <c r="B22252" s="0" t="s">
        <v>1</v>
      </c>
    </row>
    <row r="22253" customFormat="false" ht="12.8" hidden="false" customHeight="false" outlineLevel="0" collapsed="false">
      <c r="B22253" s="0" t="s">
        <v>444</v>
      </c>
    </row>
    <row r="22255" customFormat="false" ht="12.8" hidden="false" customHeight="false" outlineLevel="0" collapsed="false">
      <c r="A22255" s="0" t="s">
        <v>9155</v>
      </c>
      <c r="B22255" s="0" t="str">
        <f aca="false">HYPERLINK("https://lindat.mff.cuni.cz/services/teitok/pdtc10/index.php?action=vallex&amp;frame=v-w11781_ZUf1_ZU", "odpočnout si (v-w11781_ZUf1_ZU)")</f>
        <v>odpočnout si (v-w11781_ZUf1_ZU)</v>
      </c>
    </row>
    <row r="22256" customFormat="false" ht="12.8" hidden="false" customHeight="false" outlineLevel="0" collapsed="false">
      <c r="B22256" s="0" t="s">
        <v>1</v>
      </c>
    </row>
    <row r="22257" customFormat="false" ht="12.8" hidden="false" customHeight="false" outlineLevel="0" collapsed="false">
      <c r="B22257" s="0" t="s">
        <v>444</v>
      </c>
    </row>
    <row r="22259" customFormat="false" ht="12.8" hidden="false" customHeight="false" outlineLevel="0" collapsed="false">
      <c r="A22259" s="0" t="s">
        <v>9156</v>
      </c>
      <c r="B22259" s="0" t="str">
        <f aca="false">HYPERLINK("https://lindat.mff.cuni.cz/services/teitok/pdtc10/index.php?action=vallex&amp;frame=v-w2819f2", "odpočíst (v-w2819f2)")</f>
        <v>odpočíst (v-w2819f2)</v>
      </c>
    </row>
    <row r="22260" customFormat="false" ht="12.8" hidden="false" customHeight="false" outlineLevel="0" collapsed="false">
      <c r="B22260" s="0" t="s">
        <v>1</v>
      </c>
    </row>
    <row r="22261" customFormat="false" ht="12.8" hidden="false" customHeight="false" outlineLevel="0" collapsed="false">
      <c r="B22261" s="0" t="s">
        <v>8</v>
      </c>
    </row>
    <row r="22262" customFormat="false" ht="12.8" hidden="false" customHeight="false" outlineLevel="0" collapsed="false">
      <c r="B22262" s="0" t="s">
        <v>631</v>
      </c>
    </row>
    <row r="22264" customFormat="false" ht="12.8" hidden="false" customHeight="false" outlineLevel="0" collapsed="false">
      <c r="A22264" s="0" t="s">
        <v>9157</v>
      </c>
      <c r="B22264" s="0" t="str">
        <f aca="false">HYPERLINK("https://lindat.mff.cuni.cz/services/teitok/pdtc10/index.php?action=vallex&amp;frame=v-w2819f1", "odpočíst (v-w2819f1)")</f>
        <v>odpočíst (v-w2819f1)</v>
      </c>
    </row>
    <row r="22265" customFormat="false" ht="12.8" hidden="false" customHeight="false" outlineLevel="0" collapsed="false">
      <c r="B22265" s="0" t="s">
        <v>1</v>
      </c>
    </row>
    <row r="22266" customFormat="false" ht="12.8" hidden="false" customHeight="false" outlineLevel="0" collapsed="false">
      <c r="B22266" s="0" t="s">
        <v>8</v>
      </c>
    </row>
    <row r="22268" customFormat="false" ht="12.8" hidden="false" customHeight="false" outlineLevel="0" collapsed="false">
      <c r="A22268" s="0" t="s">
        <v>9158</v>
      </c>
      <c r="B22268" s="0" t="str">
        <f aca="false">HYPERLINK("https://lindat.mff.cuni.cz/services/teitok/pdtc10/index.php?action=vallex&amp;frame=v-w10200f2", "odpočítávat (v-w10200f2)")</f>
        <v>odpočítávat (v-w10200f2)</v>
      </c>
      <c r="E22268" s="0" t="str">
        <f aca="false">HYPERLINK("https://lindat.mff.cuni.cz/services/SynSemClass40/SynSemClass40.html?veclass=vec00649#vec00649-ces-cm00007", "vec00649")</f>
        <v>vec00649</v>
      </c>
      <c r="F22268" s="0" t="s">
        <v>8879</v>
      </c>
    </row>
    <row r="22269" customFormat="false" ht="12.8" hidden="false" customHeight="false" outlineLevel="0" collapsed="false">
      <c r="B22269" s="0" t="s">
        <v>1</v>
      </c>
      <c r="C22269" s="0" t="s">
        <v>7518</v>
      </c>
      <c r="E22269" s="0" t="s">
        <v>31</v>
      </c>
      <c r="F22269" s="0" t="s">
        <v>7519</v>
      </c>
    </row>
    <row r="22270" customFormat="false" ht="12.8" hidden="false" customHeight="false" outlineLevel="0" collapsed="false">
      <c r="B22270" s="0" t="s">
        <v>8</v>
      </c>
      <c r="C22270" s="0" t="s">
        <v>2627</v>
      </c>
      <c r="E22270" s="0" t="s">
        <v>4094</v>
      </c>
      <c r="F22270" s="0" t="s">
        <v>8880</v>
      </c>
    </row>
    <row r="22271" customFormat="false" ht="12.8" hidden="false" customHeight="false" outlineLevel="0" collapsed="false">
      <c r="B22271" s="0" t="s">
        <v>631</v>
      </c>
      <c r="E22271" s="0" t="s">
        <v>8881</v>
      </c>
      <c r="F22271" s="0" t="s">
        <v>8882</v>
      </c>
    </row>
    <row r="22273" customFormat="false" ht="12.8" hidden="false" customHeight="false" outlineLevel="0" collapsed="false">
      <c r="A22273" s="0" t="s">
        <v>9159</v>
      </c>
      <c r="B22273" s="0" t="str">
        <f aca="false">HYPERLINK("https://lindat.mff.cuni.cz/services/teitok/pdtc10/index.php?action=vallex&amp;frame=v-w10200f3", "odpočítávat (v-w10200f3)")</f>
        <v>odpočítávat (v-w10200f3)</v>
      </c>
    </row>
    <row r="22274" customFormat="false" ht="12.8" hidden="false" customHeight="false" outlineLevel="0" collapsed="false">
      <c r="B22274" s="0" t="s">
        <v>1</v>
      </c>
    </row>
    <row r="22275" customFormat="false" ht="12.8" hidden="false" customHeight="false" outlineLevel="0" collapsed="false">
      <c r="B22275" s="0" t="s">
        <v>8</v>
      </c>
    </row>
    <row r="22277" customFormat="false" ht="12.8" hidden="false" customHeight="false" outlineLevel="0" collapsed="false">
      <c r="A22277" s="0" t="s">
        <v>9160</v>
      </c>
      <c r="B22277" s="0" t="str">
        <f aca="false">HYPERLINK("https://lindat.mff.cuni.cz/services/teitok/pdtc10/index.php?action=vallex&amp;frame=v-w2820f1", "odpočívat (v-w2820f1)")</f>
        <v>odpočívat (v-w2820f1)</v>
      </c>
    </row>
    <row r="22278" customFormat="false" ht="12.8" hidden="false" customHeight="false" outlineLevel="0" collapsed="false">
      <c r="B22278" s="0" t="s">
        <v>1</v>
      </c>
    </row>
    <row r="22280" customFormat="false" ht="12.8" hidden="false" customHeight="false" outlineLevel="0" collapsed="false">
      <c r="A22280" s="0" t="s">
        <v>9161</v>
      </c>
      <c r="B22280" s="0" t="str">
        <f aca="false">HYPERLINK("https://lindat.mff.cuni.cz/services/teitok/pdtc10/index.php?action=vallex&amp;frame=v-w2841f1", "odpracovat (v-w2841f1)")</f>
        <v>odpracovat (v-w2841f1)</v>
      </c>
    </row>
    <row r="22281" customFormat="false" ht="12.8" hidden="false" customHeight="false" outlineLevel="0" collapsed="false">
      <c r="B22281" s="0" t="s">
        <v>1</v>
      </c>
    </row>
    <row r="22282" customFormat="false" ht="12.8" hidden="false" customHeight="false" outlineLevel="0" collapsed="false">
      <c r="B22282" s="0" t="s">
        <v>8</v>
      </c>
    </row>
    <row r="22284" customFormat="false" ht="12.8" hidden="false" customHeight="false" outlineLevel="0" collapsed="false">
      <c r="A22284" s="0" t="s">
        <v>9162</v>
      </c>
      <c r="B22284" s="0" t="str">
        <f aca="false">HYPERLINK("https://lindat.mff.cuni.cz/services/teitok/pdtc10/index.php?action=vallex&amp;frame=v-w12271_ZUf1_ZU", "odpracovávat (v-w12271_ZUf1_ZU)")</f>
        <v>odpracovávat (v-w12271_ZUf1_ZU)</v>
      </c>
    </row>
    <row r="22285" customFormat="false" ht="12.8" hidden="false" customHeight="false" outlineLevel="0" collapsed="false">
      <c r="B22285" s="0" t="s">
        <v>1</v>
      </c>
    </row>
    <row r="22286" customFormat="false" ht="12.8" hidden="false" customHeight="false" outlineLevel="0" collapsed="false">
      <c r="B22286" s="0" t="s">
        <v>8</v>
      </c>
    </row>
    <row r="22288" customFormat="false" ht="12.8" hidden="false" customHeight="false" outlineLevel="0" collapsed="false">
      <c r="A22288" s="0" t="s">
        <v>9163</v>
      </c>
      <c r="B22288" s="0" t="str">
        <f aca="false">HYPERLINK("https://lindat.mff.cuni.cz/services/teitok/pdtc10/index.php?action=vallex&amp;frame=v-w11535_ZUf2_ZU", "odpravit (v-w11535_ZUf2_ZU)")</f>
        <v>odpravit (v-w11535_ZUf2_ZU)</v>
      </c>
      <c r="E22288" s="0" t="str">
        <f aca="false">HYPERLINK("https://lindat.mff.cuni.cz/services/SynSemClass40/SynSemClass40.html?veclass=vec00365#vec00365-ces-cm00003", "vec00365")</f>
        <v>vec00365</v>
      </c>
      <c r="F22288" s="0" t="s">
        <v>8975</v>
      </c>
    </row>
    <row r="22289" customFormat="false" ht="12.8" hidden="false" customHeight="false" outlineLevel="0" collapsed="false">
      <c r="B22289" s="0" t="s">
        <v>1</v>
      </c>
      <c r="C22289" s="0" t="s">
        <v>5883</v>
      </c>
      <c r="E22289" s="0" t="s">
        <v>76</v>
      </c>
      <c r="F22289" s="0" t="s">
        <v>8977</v>
      </c>
    </row>
    <row r="22290" customFormat="false" ht="12.8" hidden="false" customHeight="false" outlineLevel="0" collapsed="false">
      <c r="B22290" s="0" t="s">
        <v>8</v>
      </c>
      <c r="C22290" s="0" t="s">
        <v>8979</v>
      </c>
      <c r="E22290" s="0" t="s">
        <v>199</v>
      </c>
      <c r="F22290" s="0" t="s">
        <v>8980</v>
      </c>
    </row>
    <row r="22292" customFormat="false" ht="12.8" hidden="false" customHeight="false" outlineLevel="0" collapsed="false">
      <c r="A22292" s="0" t="s">
        <v>9163</v>
      </c>
      <c r="B22292" s="0" t="str">
        <f aca="false">HYPERLINK("https://lindat.mff.cuni.cz/services/teitok/pdtc10/index.php?action=vallex&amp;frame=v-w11535_ZUf1_ZU", "odpravit (v-w11535_ZUf1_ZU) - substituted with v-w11535_ZUf2_ZU")</f>
        <v>odpravit (v-w11535_ZUf1_ZU) - substituted with v-w11535_ZUf2_ZU</v>
      </c>
    </row>
    <row r="22293" customFormat="false" ht="12.8" hidden="false" customHeight="false" outlineLevel="0" collapsed="false">
      <c r="B22293" s="0" t="s">
        <v>1</v>
      </c>
    </row>
    <row r="22294" customFormat="false" ht="12.8" hidden="false" customHeight="false" outlineLevel="0" collapsed="false">
      <c r="B22294" s="0" t="s">
        <v>8</v>
      </c>
    </row>
    <row r="22296" customFormat="false" ht="12.8" hidden="false" customHeight="false" outlineLevel="0" collapsed="false">
      <c r="A22296" s="0" t="s">
        <v>9164</v>
      </c>
      <c r="B22296" s="0" t="str">
        <f aca="false">HYPERLINK("https://lindat.mff.cuni.cz/services/teitok/pdtc10/index.php?action=vallex&amp;frame=v-w2842f1", "odprodat (v-w2842f1)")</f>
        <v>odprodat (v-w2842f1)</v>
      </c>
      <c r="E22296" s="0" t="str">
        <f aca="false">HYPERLINK("https://lindat.mff.cuni.cz/services/SynSemClass40/SynSemClass40.html?veclass=vec00083#vec00083-ces-cm00007", "vec00083")</f>
        <v>vec00083</v>
      </c>
      <c r="F22296" s="0" t="s">
        <v>9165</v>
      </c>
    </row>
    <row r="22297" customFormat="false" ht="12.8" hidden="false" customHeight="false" outlineLevel="0" collapsed="false">
      <c r="B22297" s="0" t="s">
        <v>1</v>
      </c>
      <c r="C22297" s="0" t="s">
        <v>9166</v>
      </c>
      <c r="E22297" s="0" t="s">
        <v>3198</v>
      </c>
      <c r="F22297" s="0" t="s">
        <v>9167</v>
      </c>
    </row>
    <row r="22298" customFormat="false" ht="12.8" hidden="false" customHeight="false" outlineLevel="0" collapsed="false">
      <c r="B22298" s="0" t="s">
        <v>8</v>
      </c>
      <c r="C22298" s="0" t="s">
        <v>9168</v>
      </c>
      <c r="E22298" s="0" t="s">
        <v>3201</v>
      </c>
      <c r="F22298" s="0" t="s">
        <v>9169</v>
      </c>
    </row>
    <row r="22299" customFormat="false" ht="12.8" hidden="false" customHeight="false" outlineLevel="0" collapsed="false">
      <c r="B22299" s="0" t="s">
        <v>52</v>
      </c>
      <c r="C22299" s="0" t="s">
        <v>9170</v>
      </c>
      <c r="E22299" s="0" t="s">
        <v>8304</v>
      </c>
      <c r="F22299" s="0" t="s">
        <v>9171</v>
      </c>
    </row>
    <row r="22301" customFormat="false" ht="12.8" hidden="false" customHeight="false" outlineLevel="0" collapsed="false">
      <c r="A22301" s="0" t="s">
        <v>9172</v>
      </c>
      <c r="B22301" s="0" t="str">
        <f aca="false">HYPERLINK("https://lindat.mff.cuni.cz/services/teitok/pdtc10/index.php?action=vallex&amp;frame=v-w2843f1", "odprodávat (v-w2843f1)")</f>
        <v>odprodávat (v-w2843f1)</v>
      </c>
      <c r="E22301" s="0" t="str">
        <f aca="false">HYPERLINK("https://lindat.mff.cuni.cz/services/SynSemClass40/SynSemClass40.html?veclass=vec00083#vec00083-ces-cm00031", "vec00083")</f>
        <v>vec00083</v>
      </c>
      <c r="F22301" s="0" t="s">
        <v>9165</v>
      </c>
    </row>
    <row r="22302" customFormat="false" ht="12.8" hidden="false" customHeight="false" outlineLevel="0" collapsed="false">
      <c r="B22302" s="0" t="s">
        <v>1</v>
      </c>
      <c r="C22302" s="0" t="s">
        <v>9166</v>
      </c>
      <c r="E22302" s="0" t="s">
        <v>3198</v>
      </c>
      <c r="F22302" s="0" t="s">
        <v>9167</v>
      </c>
    </row>
    <row r="22303" customFormat="false" ht="12.8" hidden="false" customHeight="false" outlineLevel="0" collapsed="false">
      <c r="B22303" s="0" t="s">
        <v>8</v>
      </c>
      <c r="C22303" s="0" t="s">
        <v>9168</v>
      </c>
      <c r="E22303" s="0" t="s">
        <v>3201</v>
      </c>
      <c r="F22303" s="0" t="s">
        <v>9169</v>
      </c>
    </row>
    <row r="22304" customFormat="false" ht="12.8" hidden="false" customHeight="false" outlineLevel="0" collapsed="false">
      <c r="B22304" s="0" t="s">
        <v>52</v>
      </c>
      <c r="C22304" s="0" t="s">
        <v>9170</v>
      </c>
      <c r="E22304" s="0" t="s">
        <v>8304</v>
      </c>
      <c r="F22304" s="0" t="s">
        <v>9171</v>
      </c>
    </row>
    <row r="22306" customFormat="false" ht="12.8" hidden="false" customHeight="false" outlineLevel="0" collapsed="false">
      <c r="A22306" s="0" t="s">
        <v>9173</v>
      </c>
      <c r="B22306" s="0" t="str">
        <f aca="false">HYPERLINK("https://lindat.mff.cuni.cz/services/teitok/pdtc10/index.php?action=vallex&amp;frame=v-whsa_637hsa_638", "odpromovat (v-whsa_637hsa_638)")</f>
        <v>odpromovat (v-whsa_637hsa_638)</v>
      </c>
    </row>
    <row r="22307" customFormat="false" ht="12.8" hidden="false" customHeight="false" outlineLevel="0" collapsed="false">
      <c r="B22307" s="0" t="s">
        <v>1</v>
      </c>
    </row>
    <row r="22309" customFormat="false" ht="12.8" hidden="false" customHeight="false" outlineLevel="0" collapsed="false">
      <c r="A22309" s="0" t="s">
        <v>9174</v>
      </c>
      <c r="B22309" s="0" t="str">
        <f aca="false">HYPERLINK("https://lindat.mff.cuni.cz/services/teitok/pdtc10/index.php?action=vallex&amp;frame=v-w12357_MMf1_MM", "odprásknout se (v-w12357_MMf1_MM)")</f>
        <v>odprásknout se (v-w12357_MMf1_MM)</v>
      </c>
    </row>
    <row r="22310" customFormat="false" ht="12.8" hidden="false" customHeight="false" outlineLevel="0" collapsed="false">
      <c r="B22310" s="0" t="s">
        <v>1</v>
      </c>
    </row>
    <row r="22312" customFormat="false" ht="12.8" hidden="false" customHeight="false" outlineLevel="0" collapsed="false">
      <c r="A22312" s="0" t="s">
        <v>9175</v>
      </c>
      <c r="B22312" s="0" t="str">
        <f aca="false">HYPERLINK("https://lindat.mff.cuni.cz/services/teitok/pdtc10/index.php?action=vallex&amp;frame=v-w10303f3", "odpudit (v-w10303f3)")</f>
        <v>odpudit (v-w10303f3)</v>
      </c>
    </row>
    <row r="22313" customFormat="false" ht="12.8" hidden="false" customHeight="false" outlineLevel="0" collapsed="false">
      <c r="B22313" s="0" t="s">
        <v>1</v>
      </c>
    </row>
    <row r="22314" customFormat="false" ht="12.8" hidden="false" customHeight="false" outlineLevel="0" collapsed="false">
      <c r="B22314" s="0" t="s">
        <v>8</v>
      </c>
    </row>
    <row r="22316" customFormat="false" ht="12.8" hidden="false" customHeight="false" outlineLevel="0" collapsed="false">
      <c r="A22316" s="0" t="s">
        <v>9176</v>
      </c>
      <c r="B22316" s="0" t="str">
        <f aca="false">HYPERLINK("https://lindat.mff.cuni.cz/services/teitok/pdtc10/index.php?action=vallex&amp;frame=v-w2846f1", "odpustit (v-w2846f1)")</f>
        <v>odpustit (v-w2846f1)</v>
      </c>
      <c r="E22316" s="0" t="str">
        <f aca="false">HYPERLINK("https://lindat.mff.cuni.cz/services/SynSemClass40/SynSemClass40.html?veclass=vec01058#vec01058-ces-cm00001", "vec01058")</f>
        <v>vec01058</v>
      </c>
      <c r="F22316" s="0" t="s">
        <v>9112</v>
      </c>
    </row>
    <row r="22317" customFormat="false" ht="12.8" hidden="false" customHeight="false" outlineLevel="0" collapsed="false">
      <c r="B22317" s="0" t="s">
        <v>1</v>
      </c>
      <c r="C22317" s="0" t="s">
        <v>459</v>
      </c>
      <c r="E22317" s="0" t="s">
        <v>9113</v>
      </c>
      <c r="F22317" s="0" t="s">
        <v>9114</v>
      </c>
    </row>
    <row r="22318" customFormat="false" ht="12.8" hidden="false" customHeight="false" outlineLevel="0" collapsed="false">
      <c r="B22318" s="0" t="s">
        <v>228</v>
      </c>
      <c r="C22318" s="0" t="s">
        <v>2293</v>
      </c>
      <c r="E22318" s="0" t="s">
        <v>9115</v>
      </c>
      <c r="F22318" s="0" t="s">
        <v>9116</v>
      </c>
    </row>
    <row r="22319" customFormat="false" ht="12.8" hidden="false" customHeight="false" outlineLevel="0" collapsed="false">
      <c r="B22319" s="0" t="s">
        <v>52</v>
      </c>
      <c r="C22319" s="0" t="s">
        <v>9117</v>
      </c>
      <c r="E22319" s="0" t="s">
        <v>9118</v>
      </c>
      <c r="F22319" s="0" t="s">
        <v>9119</v>
      </c>
    </row>
    <row r="22321" customFormat="false" ht="12.8" hidden="false" customHeight="false" outlineLevel="0" collapsed="false">
      <c r="A22321" s="0" t="s">
        <v>9177</v>
      </c>
      <c r="B22321" s="0" t="str">
        <f aca="false">HYPERLINK("https://lindat.mff.cuni.cz/services/teitok/pdtc10/index.php?action=vallex&amp;frame=v-w2846f2", "odpustit (v-w2846f2)")</f>
        <v>odpustit (v-w2846f2)</v>
      </c>
    </row>
    <row r="22322" customFormat="false" ht="12.8" hidden="false" customHeight="false" outlineLevel="0" collapsed="false">
      <c r="B22322" s="0" t="s">
        <v>1</v>
      </c>
    </row>
    <row r="22323" customFormat="false" ht="12.8" hidden="false" customHeight="false" outlineLevel="0" collapsed="false">
      <c r="B22323" s="0" t="s">
        <v>8</v>
      </c>
    </row>
    <row r="22325" customFormat="false" ht="12.8" hidden="false" customHeight="false" outlineLevel="0" collapsed="false">
      <c r="A22325" s="0" t="s">
        <v>9178</v>
      </c>
      <c r="B22325" s="0" t="str">
        <f aca="false">HYPERLINK("https://lindat.mff.cuni.cz/services/teitok/pdtc10/index.php?action=vallex&amp;frame=v-whsa_1804hsa_1805", "odpustit si (v-whsa_1804hsa_1805)")</f>
        <v>odpustit si (v-whsa_1804hsa_1805)</v>
      </c>
    </row>
    <row r="22326" customFormat="false" ht="12.8" hidden="false" customHeight="false" outlineLevel="0" collapsed="false">
      <c r="B22326" s="0" t="s">
        <v>1</v>
      </c>
    </row>
    <row r="22327" customFormat="false" ht="12.8" hidden="false" customHeight="false" outlineLevel="0" collapsed="false">
      <c r="B22327" s="0" t="s">
        <v>8</v>
      </c>
    </row>
    <row r="22329" customFormat="false" ht="12.8" hidden="false" customHeight="false" outlineLevel="0" collapsed="false">
      <c r="A22329" s="0" t="s">
        <v>9179</v>
      </c>
      <c r="B22329" s="0" t="str">
        <f aca="false">HYPERLINK("https://lindat.mff.cuni.cz/services/teitok/pdtc10/index.php?action=vallex&amp;frame=v-w2848f1", "odpuzovat (v-w2848f1)")</f>
        <v>odpuzovat (v-w2848f1)</v>
      </c>
    </row>
    <row r="22330" customFormat="false" ht="12.8" hidden="false" customHeight="false" outlineLevel="0" collapsed="false">
      <c r="B22330" s="0" t="s">
        <v>1</v>
      </c>
    </row>
    <row r="22331" customFormat="false" ht="12.8" hidden="false" customHeight="false" outlineLevel="0" collapsed="false">
      <c r="B22331" s="0" t="s">
        <v>8</v>
      </c>
    </row>
    <row r="22333" customFormat="false" ht="12.8" hidden="false" customHeight="false" outlineLevel="0" collapsed="false">
      <c r="A22333" s="0" t="s">
        <v>9180</v>
      </c>
      <c r="B22333" s="0" t="str">
        <f aca="false">HYPERLINK("https://lindat.mff.cuni.cz/services/teitok/pdtc10/index.php?action=vallex&amp;frame=v-w2849f1", "odpykat si (v-w2849f1)")</f>
        <v>odpykat si (v-w2849f1)</v>
      </c>
      <c r="E22333" s="0" t="str">
        <f aca="false">HYPERLINK("https://lindat.mff.cuni.cz/services/SynSemClass40/SynSemClass40.html?veclass=vec01059#vec01059-ces-cm00003", "vec01059")</f>
        <v>vec01059</v>
      </c>
      <c r="F22333" s="0" t="s">
        <v>9181</v>
      </c>
    </row>
    <row r="22334" customFormat="false" ht="12.8" hidden="false" customHeight="false" outlineLevel="0" collapsed="false">
      <c r="B22334" s="0" t="s">
        <v>1</v>
      </c>
      <c r="E22334" s="0" t="s">
        <v>437</v>
      </c>
      <c r="F22334" s="0" t="s">
        <v>9182</v>
      </c>
    </row>
    <row r="22335" customFormat="false" ht="12.8" hidden="false" customHeight="false" outlineLevel="0" collapsed="false">
      <c r="B22335" s="0" t="s">
        <v>8</v>
      </c>
      <c r="E22335" s="0" t="s">
        <v>532</v>
      </c>
      <c r="F22335" s="0" t="s">
        <v>9183</v>
      </c>
    </row>
    <row r="22337" customFormat="false" ht="12.8" hidden="false" customHeight="false" outlineLevel="0" collapsed="false">
      <c r="A22337" s="0" t="s">
        <v>9184</v>
      </c>
      <c r="B22337" s="0" t="str">
        <f aca="false">HYPERLINK("https://lindat.mff.cuni.cz/services/teitok/pdtc10/index.php?action=vallex&amp;frame=v-w2850f1", "odpykávat si (v-w2850f1)")</f>
        <v>odpykávat si (v-w2850f1)</v>
      </c>
      <c r="E22337" s="0" t="str">
        <f aca="false">HYPERLINK("https://lindat.mff.cuni.cz/services/SynSemClass40/SynSemClass40.html?veclass=vec01059#vec01059-ces-cm00001", "vec01059")</f>
        <v>vec01059</v>
      </c>
      <c r="F22337" s="0" t="s">
        <v>9181</v>
      </c>
    </row>
    <row r="22338" customFormat="false" ht="12.8" hidden="false" customHeight="false" outlineLevel="0" collapsed="false">
      <c r="B22338" s="0" t="s">
        <v>1</v>
      </c>
      <c r="E22338" s="0" t="s">
        <v>437</v>
      </c>
      <c r="F22338" s="0" t="s">
        <v>9182</v>
      </c>
    </row>
    <row r="22339" customFormat="false" ht="12.8" hidden="false" customHeight="false" outlineLevel="0" collapsed="false">
      <c r="B22339" s="0" t="s">
        <v>8</v>
      </c>
      <c r="E22339" s="0" t="s">
        <v>532</v>
      </c>
      <c r="F22339" s="0" t="s">
        <v>9183</v>
      </c>
    </row>
    <row r="22341" customFormat="false" ht="12.8" hidden="false" customHeight="false" outlineLevel="0" collapsed="false">
      <c r="A22341" s="0" t="s">
        <v>9185</v>
      </c>
      <c r="B22341" s="0" t="str">
        <f aca="false">HYPERLINK("https://lindat.mff.cuni.cz/services/teitok/pdtc10/index.php?action=vallex&amp;frame=v-w2807f1", "odpálit (v-w2807f1)")</f>
        <v>odpálit (v-w2807f1)</v>
      </c>
      <c r="E22341" s="0" t="str">
        <f aca="false">HYPERLINK("https://lindat.mff.cuni.cz/services/SynSemClass40/SynSemClass40.html?veclass=vec00651#vec00651-ces-cm00001", "vec00651")</f>
        <v>vec00651</v>
      </c>
      <c r="F22341" s="0" t="s">
        <v>9186</v>
      </c>
    </row>
    <row r="22342" customFormat="false" ht="12.8" hidden="false" customHeight="false" outlineLevel="0" collapsed="false">
      <c r="B22342" s="0" t="s">
        <v>1</v>
      </c>
      <c r="E22342" s="0" t="s">
        <v>76</v>
      </c>
      <c r="F22342" s="0" t="s">
        <v>704</v>
      </c>
    </row>
    <row r="22343" customFormat="false" ht="12.8" hidden="false" customHeight="false" outlineLevel="0" collapsed="false">
      <c r="B22343" s="0" t="s">
        <v>8</v>
      </c>
      <c r="E22343" s="0" t="s">
        <v>34</v>
      </c>
      <c r="F22343" s="0" t="s">
        <v>2022</v>
      </c>
    </row>
    <row r="22345" customFormat="false" ht="12.8" hidden="false" customHeight="false" outlineLevel="0" collapsed="false">
      <c r="A22345" s="0" t="s">
        <v>9187</v>
      </c>
      <c r="B22345" s="0" t="str">
        <f aca="false">HYPERLINK("https://lindat.mff.cuni.cz/services/teitok/pdtc10/index.php?action=vallex&amp;frame=v-w2807f2", "odpálit (v-w2807f2)")</f>
        <v>odpálit (v-w2807f2)</v>
      </c>
    </row>
    <row r="22346" customFormat="false" ht="12.8" hidden="false" customHeight="false" outlineLevel="0" collapsed="false">
      <c r="B22346" s="0" t="s">
        <v>1</v>
      </c>
    </row>
    <row r="22347" customFormat="false" ht="12.8" hidden="false" customHeight="false" outlineLevel="0" collapsed="false">
      <c r="B22347" s="0" t="s">
        <v>8</v>
      </c>
    </row>
    <row r="22349" customFormat="false" ht="12.8" hidden="false" customHeight="false" outlineLevel="0" collapsed="false">
      <c r="A22349" s="0" t="s">
        <v>9188</v>
      </c>
      <c r="B22349" s="0" t="str">
        <f aca="false">HYPERLINK("https://lindat.mff.cuni.cz/services/teitok/pdtc10/index.php?action=vallex&amp;frame=v-w2807hsa_783", "odpálit (v-w2807hsa_783)")</f>
        <v>odpálit (v-w2807hsa_783)</v>
      </c>
    </row>
    <row r="22350" customFormat="false" ht="12.8" hidden="false" customHeight="false" outlineLevel="0" collapsed="false">
      <c r="B22350" s="0" t="s">
        <v>1</v>
      </c>
    </row>
    <row r="22351" customFormat="false" ht="12.8" hidden="false" customHeight="false" outlineLevel="0" collapsed="false">
      <c r="B22351" s="0" t="s">
        <v>8</v>
      </c>
    </row>
    <row r="22353" customFormat="false" ht="12.8" hidden="false" customHeight="false" outlineLevel="0" collapsed="false">
      <c r="A22353" s="0" t="s">
        <v>9189</v>
      </c>
      <c r="B22353" s="0" t="str">
        <f aca="false">HYPERLINK("https://lindat.mff.cuni.cz/services/teitok/pdtc10/index.php?action=vallex&amp;frame=v-whsa_272hsa_273", "odpálkovat (v-whsa_272hsa_273)")</f>
        <v>odpálkovat (v-whsa_272hsa_273)</v>
      </c>
      <c r="E22353" s="0" t="str">
        <f aca="false">HYPERLINK("https://lindat.mff.cuni.cz/services/SynSemClass40/SynSemClass40.html?veclass=vec00283#vec00283-ces-cm00113", "vec00283")</f>
        <v>vec00283</v>
      </c>
      <c r="F22353" s="0" t="s">
        <v>8946</v>
      </c>
    </row>
    <row r="22354" customFormat="false" ht="12.8" hidden="false" customHeight="false" outlineLevel="0" collapsed="false">
      <c r="B22354" s="0" t="s">
        <v>1</v>
      </c>
      <c r="C22354" s="0" t="s">
        <v>7911</v>
      </c>
      <c r="E22354" s="0" t="s">
        <v>2196</v>
      </c>
      <c r="F22354" s="0" t="s">
        <v>8947</v>
      </c>
    </row>
    <row r="22355" customFormat="false" ht="12.8" hidden="false" customHeight="false" outlineLevel="0" collapsed="false">
      <c r="B22355" s="0" t="s">
        <v>8</v>
      </c>
      <c r="C22355" s="0" t="s">
        <v>8948</v>
      </c>
      <c r="E22355" s="0" t="s">
        <v>2200</v>
      </c>
      <c r="F22355" s="0" t="s">
        <v>8949</v>
      </c>
    </row>
    <row r="22356" customFormat="false" ht="12.8" hidden="false" customHeight="false" outlineLevel="0" collapsed="false">
      <c r="B22356" s="0" t="s">
        <v>36</v>
      </c>
      <c r="E22356" s="0" t="s">
        <v>2176</v>
      </c>
      <c r="F22356" s="0" t="s">
        <v>2807</v>
      </c>
    </row>
    <row r="22357" customFormat="false" ht="12.8" hidden="false" customHeight="false" outlineLevel="0" collapsed="false">
      <c r="B22357" s="0" t="s">
        <v>101</v>
      </c>
      <c r="C22357" s="0" t="s">
        <v>9190</v>
      </c>
      <c r="E22357" s="0" t="s">
        <v>4630</v>
      </c>
      <c r="F22357" s="0" t="s">
        <v>9191</v>
      </c>
    </row>
    <row r="22359" customFormat="false" ht="12.8" hidden="false" customHeight="false" outlineLevel="0" collapsed="false">
      <c r="A22359" s="0" t="s">
        <v>9192</v>
      </c>
      <c r="B22359" s="0" t="str">
        <f aca="false">HYPERLINK("https://lindat.mff.cuni.cz/services/teitok/pdtc10/index.php?action=vallex&amp;frame=v-w11939_ZUf1_ZU", "odpárat (v-w11939_ZUf1_ZU)")</f>
        <v>odpárat (v-w11939_ZUf1_ZU)</v>
      </c>
    </row>
    <row r="22360" customFormat="false" ht="12.8" hidden="false" customHeight="false" outlineLevel="0" collapsed="false">
      <c r="B22360" s="0" t="s">
        <v>1</v>
      </c>
    </row>
    <row r="22361" customFormat="false" ht="12.8" hidden="false" customHeight="false" outlineLevel="0" collapsed="false">
      <c r="B22361" s="0" t="s">
        <v>8</v>
      </c>
    </row>
    <row r="22362" customFormat="false" ht="12.8" hidden="false" customHeight="false" outlineLevel="0" collapsed="false">
      <c r="B22362" s="0" t="s">
        <v>6273</v>
      </c>
    </row>
    <row r="22364" customFormat="false" ht="12.8" hidden="false" customHeight="false" outlineLevel="0" collapsed="false">
      <c r="A22364" s="0" t="s">
        <v>9193</v>
      </c>
      <c r="B22364" s="0" t="str">
        <f aca="false">HYPERLINK("https://lindat.mff.cuni.cz/services/teitok/pdtc10/index.php?action=vallex&amp;frame=v-w12213_ZUf1_ZU", "odpíchnout (v-w12213_ZUf1_ZU)")</f>
        <v>odpíchnout (v-w12213_ZUf1_ZU)</v>
      </c>
    </row>
    <row r="22365" customFormat="false" ht="12.8" hidden="false" customHeight="false" outlineLevel="0" collapsed="false">
      <c r="B22365" s="0" t="s">
        <v>1</v>
      </c>
    </row>
    <row r="22366" customFormat="false" ht="12.8" hidden="false" customHeight="false" outlineLevel="0" collapsed="false">
      <c r="B22366" s="0" t="s">
        <v>390</v>
      </c>
    </row>
    <row r="22368" customFormat="false" ht="12.8" hidden="false" customHeight="false" outlineLevel="0" collapsed="false">
      <c r="A22368" s="0" t="s">
        <v>9194</v>
      </c>
      <c r="B22368" s="0" t="str">
        <f aca="false">HYPERLINK("https://lindat.mff.cuni.cz/services/teitok/pdtc10/index.php?action=vallex&amp;frame=v-w2809f1", "odpírat (v-w2809f1)")</f>
        <v>odpírat (v-w2809f1)</v>
      </c>
      <c r="E22368" s="0" t="str">
        <f aca="false">HYPERLINK("https://lindat.mff.cuni.cz/services/SynSemClass40/SynSemClass40.html?veclass=vec00050#vec00050-ces-cm00044", "vec00050")</f>
        <v>vec00050</v>
      </c>
      <c r="F22368" s="0" t="s">
        <v>399</v>
      </c>
    </row>
    <row r="22369" customFormat="false" ht="12.8" hidden="false" customHeight="false" outlineLevel="0" collapsed="false">
      <c r="B22369" s="0" t="s">
        <v>1</v>
      </c>
      <c r="C22369" s="0" t="s">
        <v>400</v>
      </c>
      <c r="E22369" s="0" t="s">
        <v>206</v>
      </c>
      <c r="F22369" s="0" t="s">
        <v>401</v>
      </c>
    </row>
    <row r="22370" customFormat="false" ht="12.8" hidden="false" customHeight="false" outlineLevel="0" collapsed="false">
      <c r="B22370" s="0" t="s">
        <v>1682</v>
      </c>
      <c r="C22370" s="0" t="s">
        <v>403</v>
      </c>
      <c r="E22370" s="0" t="s">
        <v>66</v>
      </c>
      <c r="F22370" s="0" t="s">
        <v>404</v>
      </c>
    </row>
    <row r="22371" customFormat="false" ht="12.8" hidden="false" customHeight="false" outlineLevel="0" collapsed="false">
      <c r="B22371" s="0" t="s">
        <v>52</v>
      </c>
      <c r="C22371" s="0" t="s">
        <v>8855</v>
      </c>
      <c r="E22371" s="0" t="s">
        <v>8856</v>
      </c>
      <c r="F22371" s="0" t="s">
        <v>8857</v>
      </c>
    </row>
    <row r="22373" customFormat="false" ht="12.8" hidden="false" customHeight="false" outlineLevel="0" collapsed="false">
      <c r="A22373" s="0" t="s">
        <v>9195</v>
      </c>
      <c r="B22373" s="0" t="str">
        <f aca="false">HYPERLINK("https://lindat.mff.cuni.cz/services/teitok/pdtc10/index.php?action=vallex&amp;frame=v-w2811f1", "odpískat (v-w2811f1)")</f>
        <v>odpískat (v-w2811f1)</v>
      </c>
    </row>
    <row r="22374" customFormat="false" ht="12.8" hidden="false" customHeight="false" outlineLevel="0" collapsed="false">
      <c r="B22374" s="0" t="s">
        <v>1</v>
      </c>
    </row>
    <row r="22375" customFormat="false" ht="12.8" hidden="false" customHeight="false" outlineLevel="0" collapsed="false">
      <c r="B22375" s="0" t="s">
        <v>8</v>
      </c>
    </row>
    <row r="22377" customFormat="false" ht="12.8" hidden="false" customHeight="false" outlineLevel="0" collapsed="false">
      <c r="A22377" s="0" t="s">
        <v>9196</v>
      </c>
      <c r="B22377" s="0" t="str">
        <f aca="false">HYPERLINK("https://lindat.mff.cuni.cz/services/teitok/pdtc10/index.php?action=vallex&amp;frame=v-w11801_ZUf1_ZU", "odpřisáhnout (v-w11801_ZUf1_ZU)")</f>
        <v>odpřisáhnout (v-w11801_ZUf1_ZU)</v>
      </c>
    </row>
    <row r="22378" customFormat="false" ht="12.8" hidden="false" customHeight="false" outlineLevel="0" collapsed="false">
      <c r="B22378" s="0" t="s">
        <v>1</v>
      </c>
    </row>
    <row r="22379" customFormat="false" ht="12.8" hidden="false" customHeight="false" outlineLevel="0" collapsed="false">
      <c r="B22379" s="0" t="s">
        <v>8</v>
      </c>
    </row>
    <row r="22380" customFormat="false" ht="12.8" hidden="false" customHeight="false" outlineLevel="0" collapsed="false">
      <c r="B22380" s="0" t="s">
        <v>132</v>
      </c>
    </row>
    <row r="22382" customFormat="false" ht="12.8" hidden="false" customHeight="false" outlineLevel="0" collapsed="false">
      <c r="A22382" s="0" t="s">
        <v>9197</v>
      </c>
      <c r="B22382" s="0" t="str">
        <f aca="false">HYPERLINK("https://lindat.mff.cuni.cz/services/teitok/pdtc10/index.php?action=vallex&amp;frame=v-w2851f1", "odradit (v-w2851f1)")</f>
        <v>odradit (v-w2851f1)</v>
      </c>
      <c r="E22382" s="0" t="str">
        <f aca="false">HYPERLINK("https://lindat.mff.cuni.cz/services/SynSemClass40/SynSemClass40.html?veclass=vec00251#vec00251-ces-cm00001", "vec00251")</f>
        <v>vec00251</v>
      </c>
      <c r="F22382" s="0" t="s">
        <v>9198</v>
      </c>
    </row>
    <row r="22383" customFormat="false" ht="12.8" hidden="false" customHeight="false" outlineLevel="0" collapsed="false">
      <c r="B22383" s="0" t="s">
        <v>1</v>
      </c>
      <c r="C22383" s="0" t="s">
        <v>9199</v>
      </c>
      <c r="E22383" s="0" t="s">
        <v>11</v>
      </c>
      <c r="F22383" s="0" t="s">
        <v>9200</v>
      </c>
    </row>
    <row r="22384" customFormat="false" ht="12.8" hidden="false" customHeight="false" outlineLevel="0" collapsed="false">
      <c r="B22384" s="0" t="s">
        <v>98</v>
      </c>
      <c r="C22384" s="0" t="s">
        <v>9201</v>
      </c>
      <c r="E22384" s="0" t="s">
        <v>552</v>
      </c>
      <c r="F22384" s="0" t="s">
        <v>9202</v>
      </c>
    </row>
    <row r="22385" customFormat="false" ht="12.8" hidden="false" customHeight="false" outlineLevel="0" collapsed="false">
      <c r="B22385" s="0" t="s">
        <v>9203</v>
      </c>
      <c r="C22385" s="0" t="s">
        <v>9204</v>
      </c>
      <c r="E22385" s="0" t="s">
        <v>532</v>
      </c>
      <c r="F22385" s="0" t="s">
        <v>9205</v>
      </c>
    </row>
    <row r="22387" customFormat="false" ht="12.8" hidden="false" customHeight="false" outlineLevel="0" collapsed="false">
      <c r="A22387" s="0" t="s">
        <v>9206</v>
      </c>
      <c r="B22387" s="0" t="str">
        <f aca="false">HYPERLINK("https://lindat.mff.cuni.cz/services/teitok/pdtc10/index.php?action=vallex&amp;frame=v-w2853f1", "odrazit (v-w2853f1)")</f>
        <v>odrazit (v-w2853f1)</v>
      </c>
      <c r="E22387" s="0" t="str">
        <f aca="false">HYPERLINK("https://lindat.mff.cuni.cz/services/SynSemClass40/SynSemClass40.html?veclass=vec00456#vec00456-ces-cm00001", "vec00456")</f>
        <v>vec00456</v>
      </c>
      <c r="F22387" s="0" t="s">
        <v>9207</v>
      </c>
    </row>
    <row r="22388" customFormat="false" ht="12.8" hidden="false" customHeight="false" outlineLevel="0" collapsed="false">
      <c r="B22388" s="0" t="s">
        <v>1</v>
      </c>
      <c r="C22388" s="0" t="s">
        <v>1752</v>
      </c>
      <c r="E22388" s="0" t="s">
        <v>31</v>
      </c>
      <c r="F22388" s="0" t="s">
        <v>5293</v>
      </c>
    </row>
    <row r="22389" customFormat="false" ht="12.8" hidden="false" customHeight="false" outlineLevel="0" collapsed="false">
      <c r="B22389" s="0" t="s">
        <v>8</v>
      </c>
      <c r="C22389" s="0" t="s">
        <v>8841</v>
      </c>
      <c r="E22389" s="0" t="s">
        <v>384</v>
      </c>
      <c r="F22389" s="0" t="s">
        <v>9208</v>
      </c>
    </row>
    <row r="22391" customFormat="false" ht="12.8" hidden="false" customHeight="false" outlineLevel="0" collapsed="false">
      <c r="A22391" s="0" t="s">
        <v>9209</v>
      </c>
      <c r="B22391" s="0" t="str">
        <f aca="false">HYPERLINK("https://lindat.mff.cuni.cz/services/teitok/pdtc10/index.php?action=vallex&amp;frame=v-w2853hsa_1038", "odrazit (v-w2853hsa_1038)")</f>
        <v>odrazit (v-w2853hsa_1038)</v>
      </c>
      <c r="E22391" s="0" t="str">
        <f aca="false">HYPERLINK("https://lindat.mff.cuni.cz/services/SynSemClass40/SynSemClass40.html?veclass=vec00141#vec00141-ces-cm00050", "vec00141")</f>
        <v>vec00141</v>
      </c>
      <c r="F22391" s="0" t="s">
        <v>4796</v>
      </c>
    </row>
    <row r="22392" customFormat="false" ht="12.8" hidden="false" customHeight="false" outlineLevel="0" collapsed="false">
      <c r="B22392" s="0" t="s">
        <v>1</v>
      </c>
      <c r="C22392" s="0" t="s">
        <v>4797</v>
      </c>
      <c r="E22392" s="0" t="s">
        <v>4798</v>
      </c>
      <c r="F22392" s="0" t="s">
        <v>4799</v>
      </c>
    </row>
    <row r="22393" customFormat="false" ht="12.8" hidden="false" customHeight="false" outlineLevel="0" collapsed="false">
      <c r="B22393" s="0" t="s">
        <v>228</v>
      </c>
      <c r="C22393" s="0" t="s">
        <v>4800</v>
      </c>
      <c r="E22393" s="0" t="s">
        <v>4801</v>
      </c>
      <c r="F22393" s="0" t="s">
        <v>4802</v>
      </c>
    </row>
    <row r="22395" customFormat="false" ht="12.8" hidden="false" customHeight="false" outlineLevel="0" collapsed="false">
      <c r="A22395" s="0" t="s">
        <v>9210</v>
      </c>
      <c r="B22395" s="0" t="str">
        <f aca="false">HYPERLINK("https://lindat.mff.cuni.cz/services/teitok/pdtc10/index.php?action=vallex&amp;frame=v-w2853f2_ZU", "odrazit (v-w2853f2_ZU)")</f>
        <v>odrazit (v-w2853f2_ZU)</v>
      </c>
    </row>
    <row r="22396" customFormat="false" ht="12.8" hidden="false" customHeight="false" outlineLevel="0" collapsed="false">
      <c r="B22396" s="0" t="s">
        <v>1</v>
      </c>
    </row>
    <row r="22397" customFormat="false" ht="12.8" hidden="false" customHeight="false" outlineLevel="0" collapsed="false">
      <c r="B22397" s="0" t="s">
        <v>8</v>
      </c>
    </row>
    <row r="22399" customFormat="false" ht="12.8" hidden="false" customHeight="false" outlineLevel="0" collapsed="false">
      <c r="A22399" s="0" t="s">
        <v>9211</v>
      </c>
      <c r="B22399" s="0" t="str">
        <f aca="false">HYPERLINK("https://lindat.mff.cuni.cz/services/teitok/pdtc10/index.php?action=vallex&amp;frame=v-w2854f1", "odrazit se (v-w2854f1)")</f>
        <v>odrazit se (v-w2854f1)</v>
      </c>
      <c r="E22399" s="0" t="str">
        <f aca="false">HYPERLINK("https://lindat.mff.cuni.cz/services/SynSemClass40/SynSemClass40.html?veclass=vec00141#vec00141-ces-cm00077", "vec00141")</f>
        <v>vec00141</v>
      </c>
      <c r="F22399" s="0" t="s">
        <v>4796</v>
      </c>
    </row>
    <row r="22400" customFormat="false" ht="12.8" hidden="false" customHeight="false" outlineLevel="0" collapsed="false">
      <c r="B22400" s="0" t="s">
        <v>1</v>
      </c>
      <c r="C22400" s="0" t="s">
        <v>9212</v>
      </c>
      <c r="E22400" s="0" t="s">
        <v>9213</v>
      </c>
      <c r="F22400" s="0" t="s">
        <v>9214</v>
      </c>
    </row>
    <row r="22401" customFormat="false" ht="12.8" hidden="false" customHeight="false" outlineLevel="0" collapsed="false">
      <c r="B22401" s="0" t="s">
        <v>9215</v>
      </c>
      <c r="C22401" s="0" t="s">
        <v>9216</v>
      </c>
      <c r="E22401" s="0" t="s">
        <v>9217</v>
      </c>
      <c r="F22401" s="0" t="s">
        <v>9218</v>
      </c>
    </row>
    <row r="22403" customFormat="false" ht="12.8" hidden="false" customHeight="false" outlineLevel="0" collapsed="false">
      <c r="A22403" s="0" t="s">
        <v>9219</v>
      </c>
      <c r="B22403" s="0" t="str">
        <f aca="false">HYPERLINK("https://lindat.mff.cuni.cz/services/teitok/pdtc10/index.php?action=vallex&amp;frame=v-w2854f3", "odrazit se (v-w2854f3)")</f>
        <v>odrazit se (v-w2854f3)</v>
      </c>
    </row>
    <row r="22404" customFormat="false" ht="12.8" hidden="false" customHeight="false" outlineLevel="0" collapsed="false">
      <c r="B22404" s="0" t="s">
        <v>1</v>
      </c>
    </row>
    <row r="22405" customFormat="false" ht="12.8" hidden="false" customHeight="false" outlineLevel="0" collapsed="false">
      <c r="B22405" s="0" t="s">
        <v>5</v>
      </c>
    </row>
    <row r="22407" customFormat="false" ht="12.8" hidden="false" customHeight="false" outlineLevel="0" collapsed="false">
      <c r="A22407" s="0" t="s">
        <v>9220</v>
      </c>
      <c r="B22407" s="0" t="str">
        <f aca="false">HYPERLINK("https://lindat.mff.cuni.cz/services/teitok/pdtc10/index.php?action=vallex&amp;frame=v-w2854f2", "odrazit se (v-w2854f2)")</f>
        <v>odrazit se (v-w2854f2)</v>
      </c>
      <c r="E22407" s="0" t="str">
        <f aca="false">HYPERLINK("https://lindat.mff.cuni.cz/services/SynSemClass40/SynSemClass40.html?veclass=vec01240#vec01240-ces-cm00002", "vec01240")</f>
        <v>vec01240</v>
      </c>
      <c r="F22407" s="0" t="s">
        <v>9221</v>
      </c>
    </row>
    <row r="22408" customFormat="false" ht="12.8" hidden="false" customHeight="false" outlineLevel="0" collapsed="false">
      <c r="B22408" s="0" t="s">
        <v>1</v>
      </c>
      <c r="C22408" s="0" t="s">
        <v>9222</v>
      </c>
      <c r="E22408" s="0" t="s">
        <v>334</v>
      </c>
      <c r="F22408" s="0" t="s">
        <v>9223</v>
      </c>
    </row>
    <row r="22409" customFormat="false" ht="12.8" hidden="false" customHeight="false" outlineLevel="0" collapsed="false">
      <c r="B22409" s="0" t="s">
        <v>631</v>
      </c>
      <c r="C22409" s="0" t="s">
        <v>9224</v>
      </c>
      <c r="E22409" s="0" t="s">
        <v>9225</v>
      </c>
      <c r="F22409" s="0" t="s">
        <v>9226</v>
      </c>
    </row>
    <row r="22411" customFormat="false" ht="12.8" hidden="false" customHeight="false" outlineLevel="0" collapsed="false">
      <c r="A22411" s="0" t="s">
        <v>9227</v>
      </c>
      <c r="B22411" s="0" t="str">
        <f aca="false">HYPERLINK("https://lindat.mff.cuni.cz/services/teitok/pdtc10/index.php?action=vallex&amp;frame=v-w2854hsa_461", "odrazit se (v-w2854hsa_461)")</f>
        <v>odrazit se (v-w2854hsa_461)</v>
      </c>
      <c r="E22411" s="0" t="str">
        <f aca="false">HYPERLINK("https://lindat.mff.cuni.cz/services/SynSemClass40/SynSemClass40.html?veclass=vec00653#vec00653-ces-cm00001", "vec00653")</f>
        <v>vec00653</v>
      </c>
      <c r="F22411" s="0" t="s">
        <v>9228</v>
      </c>
      <c r="H22411" s="0" t="str">
        <f aca="false">HYPERLINK("https://lindat.mff.cuni.cz/services/SynSemClass40/SynSemClass40.html?veclass=vec01240#vec01240-ces-cm00003", "vec01240")</f>
        <v>vec01240</v>
      </c>
      <c r="I22411" s="0" t="s">
        <v>9221</v>
      </c>
    </row>
    <row r="22412" customFormat="false" ht="12.8" hidden="false" customHeight="false" outlineLevel="0" collapsed="false">
      <c r="B22412" s="0" t="s">
        <v>1</v>
      </c>
      <c r="C22412" s="0" t="s">
        <v>9229</v>
      </c>
      <c r="E22412" s="0" t="s">
        <v>957</v>
      </c>
      <c r="F22412" s="0" t="s">
        <v>9230</v>
      </c>
      <c r="H22412" s="0" t="s">
        <v>334</v>
      </c>
      <c r="I22412" s="0" t="s">
        <v>9223</v>
      </c>
    </row>
    <row r="22413" customFormat="false" ht="12.8" hidden="false" customHeight="false" outlineLevel="0" collapsed="false">
      <c r="B22413" s="0" t="s">
        <v>631</v>
      </c>
      <c r="C22413" s="0" t="s">
        <v>9231</v>
      </c>
      <c r="E22413" s="0" t="s">
        <v>9232</v>
      </c>
      <c r="F22413" s="0" t="s">
        <v>9233</v>
      </c>
      <c r="H22413" s="0" t="s">
        <v>9225</v>
      </c>
      <c r="I22413" s="0" t="s">
        <v>9226</v>
      </c>
    </row>
    <row r="22415" customFormat="false" ht="12.8" hidden="false" customHeight="false" outlineLevel="0" collapsed="false">
      <c r="A22415" s="0" t="s">
        <v>9234</v>
      </c>
      <c r="B22415" s="0" t="str">
        <f aca="false">HYPERLINK("https://lindat.mff.cuni.cz/services/teitok/pdtc10/index.php?action=vallex&amp;frame=v-w2856f1", "odrazovat (v-w2856f1)")</f>
        <v>odrazovat (v-w2856f1)</v>
      </c>
      <c r="E22415" s="0" t="str">
        <f aca="false">HYPERLINK("https://lindat.mff.cuni.cz/services/SynSemClass40/SynSemClass40.html?veclass=vec00251#vec00251-ces-cm00006", "vec00251")</f>
        <v>vec00251</v>
      </c>
      <c r="F22415" s="0" t="s">
        <v>9198</v>
      </c>
    </row>
    <row r="22416" customFormat="false" ht="12.8" hidden="false" customHeight="false" outlineLevel="0" collapsed="false">
      <c r="B22416" s="0" t="s">
        <v>1</v>
      </c>
      <c r="C22416" s="0" t="s">
        <v>9199</v>
      </c>
      <c r="E22416" s="0" t="s">
        <v>11</v>
      </c>
      <c r="F22416" s="0" t="s">
        <v>9200</v>
      </c>
    </row>
    <row r="22417" customFormat="false" ht="12.8" hidden="false" customHeight="false" outlineLevel="0" collapsed="false">
      <c r="B22417" s="0" t="s">
        <v>98</v>
      </c>
      <c r="C22417" s="0" t="s">
        <v>9201</v>
      </c>
      <c r="E22417" s="0" t="s">
        <v>552</v>
      </c>
      <c r="F22417" s="0" t="s">
        <v>9202</v>
      </c>
    </row>
    <row r="22418" customFormat="false" ht="12.8" hidden="false" customHeight="false" outlineLevel="0" collapsed="false">
      <c r="B22418" s="0" t="s">
        <v>444</v>
      </c>
      <c r="C22418" s="0" t="s">
        <v>9204</v>
      </c>
      <c r="E22418" s="0" t="s">
        <v>532</v>
      </c>
      <c r="F22418" s="0" t="s">
        <v>9205</v>
      </c>
    </row>
    <row r="22420" customFormat="false" ht="12.8" hidden="false" customHeight="false" outlineLevel="0" collapsed="false">
      <c r="A22420" s="0" t="s">
        <v>9235</v>
      </c>
      <c r="B22420" s="0" t="str">
        <f aca="false">HYPERLINK("https://lindat.mff.cuni.cz/services/teitok/pdtc10/index.php?action=vallex&amp;frame=v-w2861f2_MM", "odreagovat se (v-w2861f2_MM)")</f>
        <v>odreagovat se (v-w2861f2_MM)</v>
      </c>
    </row>
    <row r="22421" customFormat="false" ht="12.8" hidden="false" customHeight="false" outlineLevel="0" collapsed="false">
      <c r="B22421" s="0" t="s">
        <v>1</v>
      </c>
    </row>
    <row r="22422" customFormat="false" ht="12.8" hidden="false" customHeight="false" outlineLevel="0" collapsed="false">
      <c r="B22422" s="0" t="s">
        <v>444</v>
      </c>
    </row>
    <row r="22424" customFormat="false" ht="12.8" hidden="false" customHeight="false" outlineLevel="0" collapsed="false">
      <c r="A22424" s="0" t="s">
        <v>9235</v>
      </c>
      <c r="B22424" s="0" t="str">
        <f aca="false">HYPERLINK("https://lindat.mff.cuni.cz/services/teitok/pdtc10/index.php?action=vallex&amp;frame=v-w2861f1", "odreagovat se (v-w2861f1) - substituted with v-w2861f2_MM")</f>
        <v>odreagovat se (v-w2861f1) - substituted with v-w2861f2_MM</v>
      </c>
    </row>
    <row r="22425" customFormat="false" ht="12.8" hidden="false" customHeight="false" outlineLevel="0" collapsed="false">
      <c r="B22425" s="0" t="s">
        <v>1</v>
      </c>
    </row>
    <row r="22426" customFormat="false" ht="12.8" hidden="false" customHeight="false" outlineLevel="0" collapsed="false">
      <c r="B22426" s="0" t="s">
        <v>444</v>
      </c>
    </row>
    <row r="22428" customFormat="false" ht="12.8" hidden="false" customHeight="false" outlineLevel="0" collapsed="false">
      <c r="A22428" s="0" t="s">
        <v>9236</v>
      </c>
      <c r="B22428" s="0" t="str">
        <f aca="false">HYPERLINK("https://lindat.mff.cuni.cz/services/teitok/pdtc10/index.php?action=vallex&amp;frame=v-w12352_MMf1_MM", "odreagovávat (v-w12352_MMf1_MM)")</f>
        <v>odreagovávat (v-w12352_MMf1_MM)</v>
      </c>
    </row>
    <row r="22429" customFormat="false" ht="12.8" hidden="false" customHeight="false" outlineLevel="0" collapsed="false">
      <c r="B22429" s="0" t="s">
        <v>1</v>
      </c>
    </row>
    <row r="22430" customFormat="false" ht="12.8" hidden="false" customHeight="false" outlineLevel="0" collapsed="false">
      <c r="B22430" s="0" t="s">
        <v>8</v>
      </c>
    </row>
    <row r="22432" customFormat="false" ht="12.8" hidden="false" customHeight="false" outlineLevel="0" collapsed="false">
      <c r="A22432" s="0" t="s">
        <v>9237</v>
      </c>
      <c r="B22432" s="0" t="str">
        <f aca="false">HYPERLINK("https://lindat.mff.cuni.cz/services/teitok/pdtc10/index.php?action=vallex&amp;frame=v-w12354_MMf1_MM", "odrodit (v-w12354_MMf1_MM)")</f>
        <v>odrodit (v-w12354_MMf1_MM)</v>
      </c>
    </row>
    <row r="22433" customFormat="false" ht="12.8" hidden="false" customHeight="false" outlineLevel="0" collapsed="false">
      <c r="B22433" s="0" t="s">
        <v>1</v>
      </c>
    </row>
    <row r="22434" customFormat="false" ht="12.8" hidden="false" customHeight="false" outlineLevel="0" collapsed="false">
      <c r="B22434" s="0" t="s">
        <v>8</v>
      </c>
    </row>
    <row r="22436" customFormat="false" ht="12.8" hidden="false" customHeight="false" outlineLevel="0" collapsed="false">
      <c r="A22436" s="0" t="s">
        <v>9238</v>
      </c>
      <c r="B22436" s="0" t="str">
        <f aca="false">HYPERLINK("https://lindat.mff.cuni.cz/services/teitok/pdtc10/index.php?action=vallex&amp;frame=v-w10873f2", "odrovnat (v-w10873f2)")</f>
        <v>odrovnat (v-w10873f2)</v>
      </c>
    </row>
    <row r="22437" customFormat="false" ht="12.8" hidden="false" customHeight="false" outlineLevel="0" collapsed="false">
      <c r="B22437" s="0" t="s">
        <v>1</v>
      </c>
    </row>
    <row r="22438" customFormat="false" ht="12.8" hidden="false" customHeight="false" outlineLevel="0" collapsed="false">
      <c r="B22438" s="0" t="s">
        <v>8</v>
      </c>
    </row>
    <row r="22440" customFormat="false" ht="12.8" hidden="false" customHeight="false" outlineLevel="0" collapsed="false">
      <c r="A22440" s="0" t="s">
        <v>9239</v>
      </c>
      <c r="B22440" s="0" t="str">
        <f aca="false">HYPERLINK("https://lindat.mff.cuni.cz/services/teitok/pdtc10/index.php?action=vallex&amp;frame=v-w2862f1", "odročit (v-w2862f1)")</f>
        <v>odročit (v-w2862f1)</v>
      </c>
      <c r="E22440" s="0" t="str">
        <f aca="false">HYPERLINK("https://lindat.mff.cuni.cz/services/SynSemClass40/SynSemClass40.html?veclass=vec00486#vec00486-ces-cm00021", "vec00486")</f>
        <v>vec00486</v>
      </c>
      <c r="F22440" s="0" t="s">
        <v>542</v>
      </c>
      <c r="H22440" s="0" t="str">
        <f aca="false">HYPERLINK("https://lindat.mff.cuni.cz/services/SynSemClass40/SynSemClass40.html?veclass=vec01284#vec01284-ces-cm00006", "vec01284")</f>
        <v>vec01284</v>
      </c>
      <c r="I22440" s="0" t="s">
        <v>8765</v>
      </c>
    </row>
    <row r="22441" customFormat="false" ht="12.8" hidden="false" customHeight="false" outlineLevel="0" collapsed="false">
      <c r="B22441" s="0" t="s">
        <v>1</v>
      </c>
      <c r="C22441" s="0" t="s">
        <v>8766</v>
      </c>
      <c r="E22441" s="0" t="s">
        <v>206</v>
      </c>
      <c r="F22441" s="0" t="s">
        <v>544</v>
      </c>
      <c r="H22441" s="0" t="s">
        <v>84</v>
      </c>
      <c r="I22441" s="0" t="s">
        <v>8767</v>
      </c>
    </row>
    <row r="22442" customFormat="false" ht="12.8" hidden="false" customHeight="false" outlineLevel="0" collapsed="false">
      <c r="B22442" s="0" t="s">
        <v>8</v>
      </c>
      <c r="C22442" s="0" t="s">
        <v>8768</v>
      </c>
      <c r="E22442" s="0" t="s">
        <v>79</v>
      </c>
      <c r="F22442" s="0" t="s">
        <v>546</v>
      </c>
      <c r="H22442" s="0" t="s">
        <v>87</v>
      </c>
      <c r="I22442" s="0" t="s">
        <v>8769</v>
      </c>
    </row>
    <row r="22444" customFormat="false" ht="12.8" hidden="false" customHeight="false" outlineLevel="0" collapsed="false">
      <c r="A22444" s="0" t="s">
        <v>9240</v>
      </c>
      <c r="B22444" s="0" t="str">
        <f aca="false">HYPERLINK("https://lindat.mff.cuni.cz/services/teitok/pdtc10/index.php?action=vallex&amp;frame=v-w2858f1", "odrážet (v-w2858f1)")</f>
        <v>odrážet (v-w2858f1)</v>
      </c>
      <c r="E22444" s="0" t="str">
        <f aca="false">HYPERLINK("https://lindat.mff.cuni.cz/services/SynSemClass40/SynSemClass40.html?veclass=vec00141#vec00141-ces-cm00052", "vec00141")</f>
        <v>vec00141</v>
      </c>
      <c r="F22444" s="0" t="s">
        <v>4796</v>
      </c>
    </row>
    <row r="22445" customFormat="false" ht="12.8" hidden="false" customHeight="false" outlineLevel="0" collapsed="false">
      <c r="B22445" s="0" t="s">
        <v>1</v>
      </c>
      <c r="C22445" s="0" t="s">
        <v>4797</v>
      </c>
      <c r="E22445" s="0" t="s">
        <v>4798</v>
      </c>
      <c r="F22445" s="0" t="s">
        <v>4799</v>
      </c>
    </row>
    <row r="22446" customFormat="false" ht="12.8" hidden="false" customHeight="false" outlineLevel="0" collapsed="false">
      <c r="B22446" s="0" t="s">
        <v>228</v>
      </c>
      <c r="C22446" s="0" t="s">
        <v>4800</v>
      </c>
      <c r="E22446" s="0" t="s">
        <v>4801</v>
      </c>
      <c r="F22446" s="0" t="s">
        <v>4802</v>
      </c>
    </row>
    <row r="22448" customFormat="false" ht="12.8" hidden="false" customHeight="false" outlineLevel="0" collapsed="false">
      <c r="A22448" s="0" t="s">
        <v>9241</v>
      </c>
      <c r="B22448" s="0" t="str">
        <f aca="false">HYPERLINK("https://lindat.mff.cuni.cz/services/teitok/pdtc10/index.php?action=vallex&amp;frame=v-w2858f2_ZU", "odrážet (v-w2858f2_ZU)")</f>
        <v>odrážet (v-w2858f2_ZU)</v>
      </c>
      <c r="E22448" s="0" t="str">
        <f aca="false">HYPERLINK("https://lindat.mff.cuni.cz/services/SynSemClass40/SynSemClass40.html?veclass=vec00456#vec00456-ces-cm00019", "vec00456")</f>
        <v>vec00456</v>
      </c>
      <c r="F22448" s="0" t="s">
        <v>9207</v>
      </c>
    </row>
    <row r="22449" customFormat="false" ht="12.8" hidden="false" customHeight="false" outlineLevel="0" collapsed="false">
      <c r="B22449" s="0" t="s">
        <v>1</v>
      </c>
      <c r="C22449" s="0" t="s">
        <v>1752</v>
      </c>
      <c r="E22449" s="0" t="s">
        <v>31</v>
      </c>
      <c r="F22449" s="0" t="s">
        <v>5293</v>
      </c>
    </row>
    <row r="22450" customFormat="false" ht="12.8" hidden="false" customHeight="false" outlineLevel="0" collapsed="false">
      <c r="B22450" s="0" t="s">
        <v>8</v>
      </c>
      <c r="C22450" s="0" t="s">
        <v>8841</v>
      </c>
      <c r="E22450" s="0" t="s">
        <v>384</v>
      </c>
      <c r="F22450" s="0" t="s">
        <v>9208</v>
      </c>
    </row>
    <row r="22452" customFormat="false" ht="12.8" hidden="false" customHeight="false" outlineLevel="0" collapsed="false">
      <c r="A22452" s="0" t="s">
        <v>9242</v>
      </c>
      <c r="B22452" s="0" t="str">
        <f aca="false">HYPERLINK("https://lindat.mff.cuni.cz/services/teitok/pdtc10/index.php?action=vallex&amp;frame=v-w2859f1", "odrážet se (v-w2859f1)")</f>
        <v>odrážet se (v-w2859f1)</v>
      </c>
      <c r="E22452" s="0" t="str">
        <f aca="false">HYPERLINK("https://lindat.mff.cuni.cz/services/SynSemClass40/SynSemClass40.html?veclass=vec00141#vec00141-ces-cm00051", "vec00141")</f>
        <v>vec00141</v>
      </c>
      <c r="F22452" s="0" t="s">
        <v>4796</v>
      </c>
    </row>
    <row r="22453" customFormat="false" ht="12.8" hidden="false" customHeight="false" outlineLevel="0" collapsed="false">
      <c r="B22453" s="0" t="s">
        <v>1</v>
      </c>
      <c r="C22453" s="0" t="s">
        <v>9212</v>
      </c>
      <c r="E22453" s="0" t="s">
        <v>9213</v>
      </c>
      <c r="F22453" s="0" t="s">
        <v>9214</v>
      </c>
    </row>
    <row r="22454" customFormat="false" ht="12.8" hidden="false" customHeight="false" outlineLevel="0" collapsed="false">
      <c r="B22454" s="0" t="s">
        <v>9215</v>
      </c>
      <c r="C22454" s="0" t="s">
        <v>9216</v>
      </c>
      <c r="E22454" s="0" t="s">
        <v>9217</v>
      </c>
      <c r="F22454" s="0" t="s">
        <v>9218</v>
      </c>
    </row>
    <row r="22456" customFormat="false" ht="12.8" hidden="false" customHeight="false" outlineLevel="0" collapsed="false">
      <c r="A22456" s="0" t="s">
        <v>9243</v>
      </c>
      <c r="B22456" s="0" t="str">
        <f aca="false">HYPERLINK("https://lindat.mff.cuni.cz/services/teitok/pdtc10/index.php?action=vallex&amp;frame=v-w2859f2", "odrážet se (v-w2859f2)")</f>
        <v>odrážet se (v-w2859f2)</v>
      </c>
    </row>
    <row r="22457" customFormat="false" ht="12.8" hidden="false" customHeight="false" outlineLevel="0" collapsed="false">
      <c r="B22457" s="0" t="s">
        <v>1</v>
      </c>
    </row>
    <row r="22458" customFormat="false" ht="12.8" hidden="false" customHeight="false" outlineLevel="0" collapsed="false">
      <c r="B22458" s="0" t="s">
        <v>5</v>
      </c>
    </row>
    <row r="22460" customFormat="false" ht="12.8" hidden="false" customHeight="false" outlineLevel="0" collapsed="false">
      <c r="A22460" s="0" t="s">
        <v>9244</v>
      </c>
      <c r="B22460" s="0" t="str">
        <f aca="false">HYPERLINK("https://lindat.mff.cuni.cz/services/teitok/pdtc10/index.php?action=vallex&amp;frame=v-w2859f3", "odrážet se (v-w2859f3)")</f>
        <v>odrážet se (v-w2859f3)</v>
      </c>
    </row>
    <row r="22461" customFormat="false" ht="12.8" hidden="false" customHeight="false" outlineLevel="0" collapsed="false">
      <c r="B22461" s="0" t="s">
        <v>1</v>
      </c>
    </row>
    <row r="22462" customFormat="false" ht="12.8" hidden="false" customHeight="false" outlineLevel="0" collapsed="false">
      <c r="B22462" s="0" t="s">
        <v>631</v>
      </c>
    </row>
    <row r="22464" customFormat="false" ht="12.8" hidden="false" customHeight="false" outlineLevel="0" collapsed="false">
      <c r="A22464" s="0" t="s">
        <v>9245</v>
      </c>
      <c r="B22464" s="0" t="str">
        <f aca="false">HYPERLINK("https://lindat.mff.cuni.cz/services/teitok/pdtc10/index.php?action=vallex&amp;frame=v-w2859hsa_66", "odrážet se (v-w2859hsa_66)")</f>
        <v>odrážet se (v-w2859hsa_66)</v>
      </c>
      <c r="E22464" s="0" t="str">
        <f aca="false">HYPERLINK("https://lindat.mff.cuni.cz/services/SynSemClass40/SynSemClass40.html?veclass=vec00653#vec00653-ces-cm00021", "vec00653")</f>
        <v>vec00653</v>
      </c>
      <c r="F22464" s="0" t="s">
        <v>9228</v>
      </c>
    </row>
    <row r="22465" customFormat="false" ht="12.8" hidden="false" customHeight="false" outlineLevel="0" collapsed="false">
      <c r="B22465" s="0" t="s">
        <v>1</v>
      </c>
      <c r="C22465" s="0" t="s">
        <v>9222</v>
      </c>
      <c r="E22465" s="0" t="s">
        <v>957</v>
      </c>
      <c r="F22465" s="0" t="s">
        <v>9230</v>
      </c>
    </row>
    <row r="22466" customFormat="false" ht="12.8" hidden="false" customHeight="false" outlineLevel="0" collapsed="false">
      <c r="B22466" s="0" t="s">
        <v>631</v>
      </c>
      <c r="C22466" s="0" t="s">
        <v>9224</v>
      </c>
      <c r="E22466" s="0" t="s">
        <v>9232</v>
      </c>
      <c r="F22466" s="0" t="s">
        <v>9233</v>
      </c>
    </row>
    <row r="22468" customFormat="false" ht="12.8" hidden="false" customHeight="false" outlineLevel="0" collapsed="false">
      <c r="A22468" s="0" t="s">
        <v>9246</v>
      </c>
      <c r="B22468" s="0" t="str">
        <f aca="false">HYPERLINK("https://lindat.mff.cuni.cz/services/teitok/pdtc10/index.php?action=vallex&amp;frame=v-w2863f2", "odrůst (v-w2863f2)")</f>
        <v>odrůst (v-w2863f2)</v>
      </c>
    </row>
    <row r="22469" customFormat="false" ht="12.8" hidden="false" customHeight="false" outlineLevel="0" collapsed="false">
      <c r="B22469" s="0" t="s">
        <v>1</v>
      </c>
    </row>
    <row r="22470" customFormat="false" ht="12.8" hidden="false" customHeight="false" outlineLevel="0" collapsed="false">
      <c r="B22470" s="0" t="s">
        <v>186</v>
      </c>
    </row>
    <row r="22472" customFormat="false" ht="12.8" hidden="false" customHeight="false" outlineLevel="0" collapsed="false">
      <c r="A22472" s="0" t="s">
        <v>9247</v>
      </c>
      <c r="B22472" s="0" t="str">
        <f aca="false">HYPERLINK("https://lindat.mff.cuni.cz/services/teitok/pdtc10/index.php?action=vallex&amp;frame=v-w2863f1", "odrůst (v-w2863f1)")</f>
        <v>odrůst (v-w2863f1)</v>
      </c>
      <c r="E22472" s="0" t="str">
        <f aca="false">HYPERLINK("https://lindat.mff.cuni.cz/services/SynSemClass40/SynSemClass40.html?veclass=vec01380#vec01380-ces-cm00002", "vec01380")</f>
        <v>vec01380</v>
      </c>
      <c r="F22472" s="0" t="s">
        <v>2774</v>
      </c>
    </row>
    <row r="22473" customFormat="false" ht="12.8" hidden="false" customHeight="false" outlineLevel="0" collapsed="false">
      <c r="B22473" s="0" t="s">
        <v>1</v>
      </c>
      <c r="C22473" s="0" t="s">
        <v>9248</v>
      </c>
      <c r="E22473" s="0" t="s">
        <v>84</v>
      </c>
      <c r="F22473" s="0" t="s">
        <v>2778</v>
      </c>
    </row>
    <row r="22475" customFormat="false" ht="12.8" hidden="false" customHeight="false" outlineLevel="0" collapsed="false">
      <c r="A22475" s="0" t="s">
        <v>9249</v>
      </c>
      <c r="B22475" s="0" t="str">
        <f aca="false">HYPERLINK("https://lindat.mff.cuni.cz/services/teitok/pdtc10/index.php?action=vallex&amp;frame=v-whsa_8hsa_9", "odrůstat (v-whsa_8hsa_9)")</f>
        <v>odrůstat (v-whsa_8hsa_9)</v>
      </c>
    </row>
    <row r="22476" customFormat="false" ht="12.8" hidden="false" customHeight="false" outlineLevel="0" collapsed="false">
      <c r="B22476" s="0" t="s">
        <v>1</v>
      </c>
    </row>
    <row r="22478" customFormat="false" ht="12.8" hidden="false" customHeight="false" outlineLevel="0" collapsed="false">
      <c r="A22478" s="0" t="s">
        <v>9250</v>
      </c>
      <c r="B22478" s="0" t="str">
        <f aca="false">HYPERLINK("https://lindat.mff.cuni.cz/services/teitok/pdtc10/index.php?action=vallex&amp;frame=v-w2876f1", "odsednout si (v-w2876f1)")</f>
        <v>odsednout si (v-w2876f1)</v>
      </c>
      <c r="E22478" s="0" t="str">
        <f aca="false">HYPERLINK("https://lindat.mff.cuni.cz/services/SynSemClass40/SynSemClass40.html?veclass=vec00705#vec00705-ces-cm00016", "vec00705")</f>
        <v>vec00705</v>
      </c>
      <c r="F22478" s="0" t="s">
        <v>9251</v>
      </c>
    </row>
    <row r="22479" customFormat="false" ht="12.8" hidden="false" customHeight="false" outlineLevel="0" collapsed="false">
      <c r="B22479" s="0" t="s">
        <v>1</v>
      </c>
      <c r="C22479" s="0" t="s">
        <v>2789</v>
      </c>
      <c r="E22479" s="0" t="s">
        <v>11</v>
      </c>
      <c r="F22479" s="0" t="s">
        <v>9252</v>
      </c>
    </row>
    <row r="22480" customFormat="false" ht="12.8" hidden="false" customHeight="false" outlineLevel="0" collapsed="false">
      <c r="B22480" s="0" t="s">
        <v>631</v>
      </c>
    </row>
    <row r="22482" customFormat="false" ht="12.8" hidden="false" customHeight="false" outlineLevel="0" collapsed="false">
      <c r="A22482" s="0" t="s">
        <v>9253</v>
      </c>
      <c r="B22482" s="0" t="str">
        <f aca="false">HYPERLINK("https://lindat.mff.cuni.cz/services/teitok/pdtc10/index.php?action=vallex&amp;frame=v-w2875f1", "odsedět si (v-w2875f1)")</f>
        <v>odsedět si (v-w2875f1)</v>
      </c>
    </row>
    <row r="22483" customFormat="false" ht="12.8" hidden="false" customHeight="false" outlineLevel="0" collapsed="false">
      <c r="B22483" s="0" t="s">
        <v>1</v>
      </c>
    </row>
    <row r="22484" customFormat="false" ht="12.8" hidden="false" customHeight="false" outlineLevel="0" collapsed="false">
      <c r="B22484" s="0" t="s">
        <v>8</v>
      </c>
    </row>
    <row r="22486" customFormat="false" ht="12.8" hidden="false" customHeight="false" outlineLevel="0" collapsed="false">
      <c r="A22486" s="0" t="s">
        <v>9254</v>
      </c>
      <c r="B22486" s="0" t="str">
        <f aca="false">HYPERLINK("https://lindat.mff.cuni.cz/services/teitok/pdtc10/index.php?action=vallex&amp;frame=v-w10082f2", "odsekat (v-w10082f2)")</f>
        <v>odsekat (v-w10082f2)</v>
      </c>
    </row>
    <row r="22487" customFormat="false" ht="12.8" hidden="false" customHeight="false" outlineLevel="0" collapsed="false">
      <c r="B22487" s="0" t="s">
        <v>1</v>
      </c>
    </row>
    <row r="22488" customFormat="false" ht="12.8" hidden="false" customHeight="false" outlineLevel="0" collapsed="false">
      <c r="B22488" s="0" t="s">
        <v>8</v>
      </c>
    </row>
    <row r="22489" customFormat="false" ht="12.8" hidden="false" customHeight="false" outlineLevel="0" collapsed="false">
      <c r="B22489" s="0" t="s">
        <v>631</v>
      </c>
    </row>
    <row r="22491" customFormat="false" ht="12.8" hidden="false" customHeight="false" outlineLevel="0" collapsed="false">
      <c r="A22491" s="0" t="s">
        <v>9255</v>
      </c>
      <c r="B22491" s="0" t="str">
        <f aca="false">HYPERLINK("https://lindat.mff.cuni.cz/services/teitok/pdtc10/index.php?action=vallex&amp;frame=v-w2877f1", "odseknout (v-w2877f1)")</f>
        <v>odseknout (v-w2877f1)</v>
      </c>
      <c r="E22491" s="0" t="str">
        <f aca="false">HYPERLINK("https://lindat.mff.cuni.cz/services/SynSemClass40/SynSemClass40.html?veclass=vec01456#vec01456-ces-cm00004", "vec01456")</f>
        <v>vec01456</v>
      </c>
      <c r="F22491" s="0" t="s">
        <v>105</v>
      </c>
    </row>
    <row r="22492" customFormat="false" ht="12.8" hidden="false" customHeight="false" outlineLevel="0" collapsed="false">
      <c r="B22492" s="0" t="s">
        <v>1</v>
      </c>
      <c r="C22492" s="0" t="s">
        <v>106</v>
      </c>
      <c r="E22492" s="0" t="s">
        <v>107</v>
      </c>
      <c r="F22492" s="0" t="s">
        <v>108</v>
      </c>
    </row>
    <row r="22493" customFormat="false" ht="12.8" hidden="false" customHeight="false" outlineLevel="0" collapsed="false">
      <c r="B22493" s="0" t="s">
        <v>8</v>
      </c>
      <c r="C22493" s="0" t="s">
        <v>109</v>
      </c>
      <c r="E22493" s="0" t="s">
        <v>110</v>
      </c>
      <c r="F22493" s="0" t="s">
        <v>111</v>
      </c>
    </row>
    <row r="22494" customFormat="false" ht="12.8" hidden="false" customHeight="false" outlineLevel="0" collapsed="false">
      <c r="B22494" s="0" t="s">
        <v>631</v>
      </c>
      <c r="C22494" s="0" t="s">
        <v>9256</v>
      </c>
      <c r="E22494" s="0" t="s">
        <v>8802</v>
      </c>
      <c r="F22494" s="0" t="s">
        <v>9257</v>
      </c>
    </row>
    <row r="22496" customFormat="false" ht="12.8" hidden="false" customHeight="false" outlineLevel="0" collapsed="false">
      <c r="A22496" s="0" t="s">
        <v>9258</v>
      </c>
      <c r="B22496" s="0" t="str">
        <f aca="false">HYPERLINK("https://lindat.mff.cuni.cz/services/teitok/pdtc10/index.php?action=vallex&amp;frame=v-w2877hsa_191", "odseknout (v-w2877hsa_191)")</f>
        <v>odseknout (v-w2877hsa_191)</v>
      </c>
      <c r="E22496" s="0" t="str">
        <f aca="false">HYPERLINK("https://lindat.mff.cuni.cz/services/SynSemClass40/SynSemClass40.html?veclass=vec01060#vec01060-ces-cm00001", "vec01060")</f>
        <v>vec01060</v>
      </c>
      <c r="F22496" s="0" t="s">
        <v>9137</v>
      </c>
    </row>
    <row r="22497" customFormat="false" ht="12.8" hidden="false" customHeight="false" outlineLevel="0" collapsed="false">
      <c r="B22497" s="0" t="s">
        <v>1</v>
      </c>
      <c r="C22497" s="0" t="s">
        <v>9138</v>
      </c>
      <c r="E22497" s="0" t="s">
        <v>147</v>
      </c>
      <c r="F22497" s="0" t="s">
        <v>9139</v>
      </c>
    </row>
    <row r="22498" customFormat="false" ht="12.8" hidden="false" customHeight="false" outlineLevel="0" collapsed="false">
      <c r="B22498" s="0" t="s">
        <v>52</v>
      </c>
      <c r="C22498" s="0" t="s">
        <v>9140</v>
      </c>
      <c r="E22498" s="0" t="s">
        <v>221</v>
      </c>
      <c r="F22498" s="0" t="s">
        <v>9141</v>
      </c>
    </row>
    <row r="22499" customFormat="false" ht="12.8" hidden="false" customHeight="false" outlineLevel="0" collapsed="false">
      <c r="B22499" s="0" t="s">
        <v>4536</v>
      </c>
      <c r="C22499" s="0" t="s">
        <v>9143</v>
      </c>
      <c r="E22499" s="0" t="s">
        <v>2217</v>
      </c>
      <c r="F22499" s="0" t="s">
        <v>9144</v>
      </c>
    </row>
    <row r="22500" customFormat="false" ht="12.8" hidden="false" customHeight="false" outlineLevel="0" collapsed="false">
      <c r="B22500" s="0" t="s">
        <v>69</v>
      </c>
      <c r="C22500" s="0" t="s">
        <v>9145</v>
      </c>
      <c r="E22500" s="0" t="s">
        <v>218</v>
      </c>
      <c r="F22500" s="0" t="s">
        <v>9146</v>
      </c>
    </row>
    <row r="22502" customFormat="false" ht="12.8" hidden="false" customHeight="false" outlineLevel="0" collapsed="false">
      <c r="A22502" s="0" t="s">
        <v>9259</v>
      </c>
      <c r="B22502" s="0" t="str">
        <f aca="false">HYPERLINK("https://lindat.mff.cuni.cz/services/teitok/pdtc10/index.php?action=vallex&amp;frame=v-whsa_426hsa_427", "odskakovat (v-whsa_426hsa_427)")</f>
        <v>odskakovat (v-whsa_426hsa_427)</v>
      </c>
    </row>
    <row r="22503" customFormat="false" ht="12.8" hidden="false" customHeight="false" outlineLevel="0" collapsed="false">
      <c r="B22503" s="0" t="s">
        <v>1</v>
      </c>
    </row>
    <row r="22504" customFormat="false" ht="12.8" hidden="false" customHeight="false" outlineLevel="0" collapsed="false">
      <c r="B22504" s="0" t="s">
        <v>631</v>
      </c>
    </row>
    <row r="22506" customFormat="false" ht="12.8" hidden="false" customHeight="false" outlineLevel="0" collapsed="false">
      <c r="A22506" s="0" t="s">
        <v>9260</v>
      </c>
      <c r="B22506" s="0" t="str">
        <f aca="false">HYPERLINK("https://lindat.mff.cuni.cz/services/teitok/pdtc10/index.php?action=vallex&amp;frame=v-w2881f1", "odskakovat si (v-w2881f1)")</f>
        <v>odskakovat si (v-w2881f1)</v>
      </c>
    </row>
    <row r="22507" customFormat="false" ht="12.8" hidden="false" customHeight="false" outlineLevel="0" collapsed="false">
      <c r="B22507" s="0" t="s">
        <v>1</v>
      </c>
    </row>
    <row r="22509" customFormat="false" ht="12.8" hidden="false" customHeight="false" outlineLevel="0" collapsed="false">
      <c r="A22509" s="0" t="s">
        <v>9261</v>
      </c>
      <c r="B22509" s="0" t="str">
        <f aca="false">HYPERLINK("https://lindat.mff.cuni.cz/services/teitok/pdtc10/index.php?action=vallex&amp;frame=v-w2882f1", "odskočit (v-w2882f1)")</f>
        <v>odskočit (v-w2882f1)</v>
      </c>
    </row>
    <row r="22510" customFormat="false" ht="12.8" hidden="false" customHeight="false" outlineLevel="0" collapsed="false">
      <c r="B22510" s="0" t="s">
        <v>1</v>
      </c>
    </row>
    <row r="22511" customFormat="false" ht="12.8" hidden="false" customHeight="false" outlineLevel="0" collapsed="false">
      <c r="B22511" s="0" t="s">
        <v>631</v>
      </c>
    </row>
    <row r="22513" customFormat="false" ht="12.8" hidden="false" customHeight="false" outlineLevel="0" collapsed="false">
      <c r="A22513" s="0" t="s">
        <v>9262</v>
      </c>
      <c r="B22513" s="0" t="str">
        <f aca="false">HYPERLINK("https://lindat.mff.cuni.cz/services/teitok/pdtc10/index.php?action=vallex&amp;frame=v-w2883f1", "odskočit si (v-w2883f1)")</f>
        <v>odskočit si (v-w2883f1)</v>
      </c>
      <c r="E22513" s="0" t="str">
        <f aca="false">HYPERLINK("https://lindat.mff.cuni.cz/services/SynSemClass40/SynSemClass40.html?veclass=vec01241#vec01241-ces-cm00005", "vec01241")</f>
        <v>vec01241</v>
      </c>
      <c r="F22513" s="0" t="s">
        <v>9263</v>
      </c>
    </row>
    <row r="22514" customFormat="false" ht="12.8" hidden="false" customHeight="false" outlineLevel="0" collapsed="false">
      <c r="B22514" s="0" t="s">
        <v>1</v>
      </c>
      <c r="C22514" s="0" t="s">
        <v>9264</v>
      </c>
      <c r="E22514" s="0" t="s">
        <v>334</v>
      </c>
      <c r="F22514" s="0" t="s">
        <v>9265</v>
      </c>
    </row>
    <row r="22516" customFormat="false" ht="12.8" hidden="false" customHeight="false" outlineLevel="0" collapsed="false">
      <c r="A22516" s="0" t="s">
        <v>9266</v>
      </c>
      <c r="B22516" s="0" t="str">
        <f aca="false">HYPERLINK("https://lindat.mff.cuni.cz/services/teitok/pdtc10/index.php?action=vallex&amp;frame=v-w2880f1", "odskákat (v-w2880f1)")</f>
        <v>odskákat (v-w2880f1)</v>
      </c>
    </row>
    <row r="22517" customFormat="false" ht="12.8" hidden="false" customHeight="false" outlineLevel="0" collapsed="false">
      <c r="B22517" s="0" t="s">
        <v>1</v>
      </c>
    </row>
    <row r="22518" customFormat="false" ht="12.8" hidden="false" customHeight="false" outlineLevel="0" collapsed="false">
      <c r="B22518" s="0" t="s">
        <v>8</v>
      </c>
    </row>
    <row r="22520" customFormat="false" ht="12.8" hidden="false" customHeight="false" outlineLevel="0" collapsed="false">
      <c r="A22520" s="0" t="s">
        <v>9267</v>
      </c>
      <c r="B22520" s="0" t="str">
        <f aca="false">HYPERLINK("https://lindat.mff.cuni.cz/services/teitok/pdtc10/index.php?action=vallex&amp;frame=v-w2884f1", "odsloužit (v-w2884f1)")</f>
        <v>odsloužit (v-w2884f1)</v>
      </c>
    </row>
    <row r="22521" customFormat="false" ht="12.8" hidden="false" customHeight="false" outlineLevel="0" collapsed="false">
      <c r="B22521" s="0" t="s">
        <v>1</v>
      </c>
    </row>
    <row r="22522" customFormat="false" ht="12.8" hidden="false" customHeight="false" outlineLevel="0" collapsed="false">
      <c r="B22522" s="0" t="s">
        <v>8</v>
      </c>
    </row>
    <row r="22524" customFormat="false" ht="12.8" hidden="false" customHeight="false" outlineLevel="0" collapsed="false">
      <c r="A22524" s="0" t="s">
        <v>9268</v>
      </c>
      <c r="B22524" s="0" t="str">
        <f aca="false">HYPERLINK("https://lindat.mff.cuni.cz/services/teitok/pdtc10/index.php?action=vallex&amp;frame=v-w2885f1", "odsloužit si (v-w2885f1)")</f>
        <v>odsloužit si (v-w2885f1)</v>
      </c>
    </row>
    <row r="22525" customFormat="false" ht="12.8" hidden="false" customHeight="false" outlineLevel="0" collapsed="false">
      <c r="B22525" s="0" t="s">
        <v>1</v>
      </c>
    </row>
    <row r="22526" customFormat="false" ht="12.8" hidden="false" customHeight="false" outlineLevel="0" collapsed="false">
      <c r="B22526" s="0" t="s">
        <v>8</v>
      </c>
    </row>
    <row r="22528" customFormat="false" ht="12.8" hidden="false" customHeight="false" outlineLevel="0" collapsed="false">
      <c r="A22528" s="0" t="s">
        <v>9269</v>
      </c>
      <c r="B22528" s="0" t="str">
        <f aca="false">HYPERLINK("https://lindat.mff.cuni.cz/services/teitok/pdtc10/index.php?action=vallex&amp;frame=v-w2886hsa_4", "odsoudit (v-w2886hsa_4)")</f>
        <v>odsoudit (v-w2886hsa_4)</v>
      </c>
      <c r="E22528" s="0" t="str">
        <f aca="false">HYPERLINK("https://lindat.mff.cuni.cz/services/SynSemClass40/SynSemClass40.html?veclass=vec00541#vec00541-ces-cm00003", "vec00541")</f>
        <v>vec00541</v>
      </c>
      <c r="F22528" s="0" t="s">
        <v>9270</v>
      </c>
      <c r="H22528" s="0" t="str">
        <f aca="false">HYPERLINK("https://lindat.mff.cuni.cz/services/SynSemClass40/SynSemClass40.html?veclass=vec00544#vec00544-ces-cm00013", "vec00544")</f>
        <v>vec00544</v>
      </c>
      <c r="I22528" s="0" t="s">
        <v>9271</v>
      </c>
      <c r="K22528" s="0" t="str">
        <f aca="false">HYPERLINK("https://lindat.mff.cuni.cz/services/SynSemClass40/SynSemClass40.html?veclass=vec00720#vec00720-ces-cm00005", "vec00720")</f>
        <v>vec00720</v>
      </c>
      <c r="L22528" s="0" t="s">
        <v>9272</v>
      </c>
    </row>
    <row r="22529" customFormat="false" ht="12.8" hidden="false" customHeight="false" outlineLevel="0" collapsed="false">
      <c r="B22529" s="0" t="s">
        <v>1</v>
      </c>
      <c r="C22529" s="0" t="s">
        <v>9273</v>
      </c>
      <c r="E22529" s="0" t="s">
        <v>206</v>
      </c>
      <c r="F22529" s="0" t="s">
        <v>9274</v>
      </c>
      <c r="H22529" s="0" t="s">
        <v>206</v>
      </c>
      <c r="I22529" s="0" t="s">
        <v>9275</v>
      </c>
      <c r="K22529" s="0" t="s">
        <v>206</v>
      </c>
      <c r="L22529" s="0" t="s">
        <v>9276</v>
      </c>
    </row>
    <row r="22530" customFormat="false" ht="12.8" hidden="false" customHeight="false" outlineLevel="0" collapsed="false">
      <c r="B22530" s="0" t="s">
        <v>8</v>
      </c>
      <c r="C22530" s="0" t="s">
        <v>9277</v>
      </c>
      <c r="E22530" s="0" t="s">
        <v>9278</v>
      </c>
      <c r="F22530" s="0" t="s">
        <v>9279</v>
      </c>
      <c r="H22530" s="0" t="s">
        <v>4259</v>
      </c>
      <c r="I22530" s="0" t="s">
        <v>9280</v>
      </c>
      <c r="K22530" s="0" t="s">
        <v>4259</v>
      </c>
      <c r="L22530" s="0" t="s">
        <v>9281</v>
      </c>
    </row>
    <row r="22531" customFormat="false" ht="12.8" hidden="false" customHeight="false" outlineLevel="0" collapsed="false">
      <c r="B22531" s="0" t="s">
        <v>9282</v>
      </c>
    </row>
    <row r="22533" customFormat="false" ht="12.8" hidden="false" customHeight="false" outlineLevel="0" collapsed="false">
      <c r="A22533" s="0" t="s">
        <v>9269</v>
      </c>
      <c r="B22533" s="0" t="str">
        <f aca="false">HYPERLINK("https://lindat.mff.cuni.cz/services/teitok/pdtc10/index.php?action=vallex&amp;frame=v-w2886f1", "odsoudit (v-w2886f1) - substituted with v-w2886hsa_4")</f>
        <v>odsoudit (v-w2886f1) - substituted with v-w2886hsa_4</v>
      </c>
    </row>
    <row r="22534" customFormat="false" ht="12.8" hidden="false" customHeight="false" outlineLevel="0" collapsed="false">
      <c r="B22534" s="0" t="s">
        <v>1</v>
      </c>
    </row>
    <row r="22535" customFormat="false" ht="12.8" hidden="false" customHeight="false" outlineLevel="0" collapsed="false">
      <c r="B22535" s="0" t="s">
        <v>8</v>
      </c>
    </row>
    <row r="22536" customFormat="false" ht="12.8" hidden="false" customHeight="false" outlineLevel="0" collapsed="false">
      <c r="B22536" s="0" t="s">
        <v>9282</v>
      </c>
    </row>
    <row r="22538" customFormat="false" ht="12.8" hidden="false" customHeight="false" outlineLevel="0" collapsed="false">
      <c r="A22538" s="0" t="s">
        <v>9269</v>
      </c>
      <c r="B22538" s="0" t="str">
        <f aca="false">HYPERLINK("https://lindat.mff.cuni.cz/services/teitok/pdtc10/index.php?action=vallex&amp;frame=v-w2886f3_ZU", "odsoudit (v-w2886f3_ZU) - substituted with v-w2886hsa_4")</f>
        <v>odsoudit (v-w2886f3_ZU) - substituted with v-w2886hsa_4</v>
      </c>
    </row>
    <row r="22539" customFormat="false" ht="12.8" hidden="false" customHeight="false" outlineLevel="0" collapsed="false">
      <c r="B22539" s="0" t="s">
        <v>1</v>
      </c>
    </row>
    <row r="22540" customFormat="false" ht="12.8" hidden="false" customHeight="false" outlineLevel="0" collapsed="false">
      <c r="B22540" s="0" t="s">
        <v>8</v>
      </c>
    </row>
    <row r="22541" customFormat="false" ht="12.8" hidden="false" customHeight="false" outlineLevel="0" collapsed="false">
      <c r="B22541" s="0" t="s">
        <v>9282</v>
      </c>
    </row>
    <row r="22543" customFormat="false" ht="12.8" hidden="false" customHeight="false" outlineLevel="0" collapsed="false">
      <c r="A22543" s="0" t="s">
        <v>9283</v>
      </c>
      <c r="B22543" s="0" t="str">
        <f aca="false">HYPERLINK("https://lindat.mff.cuni.cz/services/teitok/pdtc10/index.php?action=vallex&amp;frame=v-w2886f2", "odsoudit (v-w2886f2)")</f>
        <v>odsoudit (v-w2886f2)</v>
      </c>
      <c r="E22543" s="0" t="str">
        <f aca="false">HYPERLINK("https://lindat.mff.cuni.cz/services/SynSemClass40/SynSemClass40.html?veclass=vec00230#vec00230-ces-cm00007", "vec00230")</f>
        <v>vec00230</v>
      </c>
      <c r="F22543" s="0" t="s">
        <v>4255</v>
      </c>
    </row>
    <row r="22544" customFormat="false" ht="12.8" hidden="false" customHeight="false" outlineLevel="0" collapsed="false">
      <c r="B22544" s="0" t="s">
        <v>1</v>
      </c>
      <c r="C22544" s="0" t="s">
        <v>5752</v>
      </c>
      <c r="E22544" s="0" t="s">
        <v>3750</v>
      </c>
      <c r="F22544" s="0" t="s">
        <v>4257</v>
      </c>
    </row>
    <row r="22545" customFormat="false" ht="12.8" hidden="false" customHeight="false" outlineLevel="0" collapsed="false">
      <c r="B22545" s="0" t="s">
        <v>59</v>
      </c>
      <c r="C22545" s="0" t="s">
        <v>5753</v>
      </c>
      <c r="E22545" s="0" t="s">
        <v>4259</v>
      </c>
      <c r="F22545" s="0" t="s">
        <v>4260</v>
      </c>
    </row>
    <row r="22547" customFormat="false" ht="12.8" hidden="false" customHeight="false" outlineLevel="0" collapsed="false">
      <c r="A22547" s="0" t="s">
        <v>9284</v>
      </c>
      <c r="B22547" s="0" t="str">
        <f aca="false">HYPERLINK("https://lindat.mff.cuni.cz/services/teitok/pdtc10/index.php?action=vallex&amp;frame=v-w2887f1", "odsouhlasit (v-w2887f1)")</f>
        <v>odsouhlasit (v-w2887f1)</v>
      </c>
      <c r="E22547" s="0" t="str">
        <f aca="false">HYPERLINK("https://lindat.mff.cuni.cz/services/SynSemClass40/SynSemClass40.html?veclass=vec00078#vec00078-ces-cm00005", "vec00078")</f>
        <v>vec00078</v>
      </c>
      <c r="F22547" s="0" t="s">
        <v>204</v>
      </c>
      <c r="H22547" s="0" t="str">
        <f aca="false">HYPERLINK("https://lindat.mff.cuni.cz/services/SynSemClass40/SynSemClass40.html?veclass=vec01320#vec01320-ces-cm00016", "vec01320")</f>
        <v>vec01320</v>
      </c>
      <c r="I22547" s="0" t="s">
        <v>912</v>
      </c>
    </row>
    <row r="22548" customFormat="false" ht="12.8" hidden="false" customHeight="false" outlineLevel="0" collapsed="false">
      <c r="B22548" s="0" t="s">
        <v>1</v>
      </c>
      <c r="C22548" s="0" t="s">
        <v>9285</v>
      </c>
      <c r="E22548" s="0" t="s">
        <v>206</v>
      </c>
      <c r="F22548" s="0" t="s">
        <v>207</v>
      </c>
      <c r="H22548" s="0" t="s">
        <v>155</v>
      </c>
      <c r="I22548" s="0" t="s">
        <v>916</v>
      </c>
    </row>
    <row r="22549" customFormat="false" ht="12.8" hidden="false" customHeight="false" outlineLevel="0" collapsed="false">
      <c r="B22549" s="0" t="s">
        <v>9286</v>
      </c>
      <c r="C22549" s="0" t="s">
        <v>9287</v>
      </c>
      <c r="E22549" s="0" t="s">
        <v>209</v>
      </c>
      <c r="F22549" s="0" t="s">
        <v>210</v>
      </c>
      <c r="H22549" s="0" t="s">
        <v>922</v>
      </c>
      <c r="I22549" s="0" t="s">
        <v>923</v>
      </c>
    </row>
    <row r="22550" customFormat="false" ht="12.8" hidden="false" customHeight="false" outlineLevel="0" collapsed="false">
      <c r="B22550" s="0" t="s">
        <v>132</v>
      </c>
      <c r="C22550" s="0" t="s">
        <v>9288</v>
      </c>
      <c r="E22550" s="0" t="s">
        <v>2305</v>
      </c>
      <c r="F22550" s="0" t="s">
        <v>2306</v>
      </c>
      <c r="H22550" s="0" t="s">
        <v>221</v>
      </c>
      <c r="I22550" s="0" t="s">
        <v>3501</v>
      </c>
    </row>
    <row r="22552" customFormat="false" ht="12.8" hidden="false" customHeight="false" outlineLevel="0" collapsed="false">
      <c r="A22552" s="0" t="s">
        <v>9289</v>
      </c>
      <c r="B22552" s="0" t="str">
        <f aca="false">HYPERLINK("https://lindat.mff.cuni.cz/services/teitok/pdtc10/index.php?action=vallex&amp;frame=v-w2888f1", "odsouvat (v-w2888f1)")</f>
        <v>odsouvat (v-w2888f1)</v>
      </c>
    </row>
    <row r="22553" customFormat="false" ht="12.8" hidden="false" customHeight="false" outlineLevel="0" collapsed="false">
      <c r="B22553" s="0" t="s">
        <v>1</v>
      </c>
    </row>
    <row r="22554" customFormat="false" ht="12.8" hidden="false" customHeight="false" outlineLevel="0" collapsed="false">
      <c r="B22554" s="0" t="s">
        <v>8</v>
      </c>
    </row>
    <row r="22555" customFormat="false" ht="12.8" hidden="false" customHeight="false" outlineLevel="0" collapsed="false">
      <c r="B22555" s="0" t="s">
        <v>361</v>
      </c>
    </row>
    <row r="22557" customFormat="false" ht="12.8" hidden="false" customHeight="false" outlineLevel="0" collapsed="false">
      <c r="A22557" s="0" t="s">
        <v>9290</v>
      </c>
      <c r="B22557" s="0" t="str">
        <f aca="false">HYPERLINK("https://lindat.mff.cuni.cz/services/teitok/pdtc10/index.php?action=vallex&amp;frame=v-w2888f2", "odsouvat (v-w2888f2)")</f>
        <v>odsouvat (v-w2888f2)</v>
      </c>
      <c r="E22557" s="0" t="str">
        <f aca="false">HYPERLINK("https://lindat.mff.cuni.cz/services/SynSemClass40/SynSemClass40.html?veclass=vec00486#vec00486-ces-cm00005", "vec00486")</f>
        <v>vec00486</v>
      </c>
      <c r="F22557" s="0" t="s">
        <v>542</v>
      </c>
      <c r="H22557" s="0" t="str">
        <f aca="false">HYPERLINK("https://lindat.mff.cuni.cz/services/SynSemClass40/SynSemClass40.html?veclass=vec01284#vec01284-ces-cm00021", "vec01284")</f>
        <v>vec01284</v>
      </c>
      <c r="I22557" s="0" t="s">
        <v>8765</v>
      </c>
    </row>
    <row r="22558" customFormat="false" ht="12.8" hidden="false" customHeight="false" outlineLevel="0" collapsed="false">
      <c r="B22558" s="0" t="s">
        <v>1</v>
      </c>
      <c r="C22558" s="0" t="s">
        <v>8766</v>
      </c>
      <c r="E22558" s="0" t="s">
        <v>206</v>
      </c>
      <c r="F22558" s="0" t="s">
        <v>544</v>
      </c>
      <c r="H22558" s="0" t="s">
        <v>84</v>
      </c>
      <c r="I22558" s="0" t="s">
        <v>8767</v>
      </c>
    </row>
    <row r="22559" customFormat="false" ht="12.8" hidden="false" customHeight="false" outlineLevel="0" collapsed="false">
      <c r="B22559" s="0" t="s">
        <v>8</v>
      </c>
      <c r="C22559" s="0" t="s">
        <v>8768</v>
      </c>
      <c r="E22559" s="0" t="s">
        <v>79</v>
      </c>
      <c r="F22559" s="0" t="s">
        <v>546</v>
      </c>
      <c r="H22559" s="0" t="s">
        <v>87</v>
      </c>
      <c r="I22559" s="0" t="s">
        <v>8769</v>
      </c>
    </row>
    <row r="22561" customFormat="false" ht="12.8" hidden="false" customHeight="false" outlineLevel="0" collapsed="false">
      <c r="A22561" s="0" t="s">
        <v>9291</v>
      </c>
      <c r="B22561" s="0" t="str">
        <f aca="false">HYPERLINK("https://lindat.mff.cuni.cz/services/teitok/pdtc10/index.php?action=vallex&amp;frame=v-w2892f1", "odstartovat (v-w2892f1)")</f>
        <v>odstartovat (v-w2892f1)</v>
      </c>
      <c r="E22561" s="0" t="str">
        <f aca="false">HYPERLINK("https://lindat.mff.cuni.cz/services/SynSemClass40/SynSemClass40.html?veclass=vec00038#vec00038-ces-cm00011", "vec00038")</f>
        <v>vec00038</v>
      </c>
      <c r="F22561" s="0" t="s">
        <v>74</v>
      </c>
    </row>
    <row r="22562" customFormat="false" ht="12.8" hidden="false" customHeight="false" outlineLevel="0" collapsed="false">
      <c r="B22562" s="0" t="s">
        <v>1</v>
      </c>
      <c r="C22562" s="0" t="s">
        <v>75</v>
      </c>
      <c r="E22562" s="0" t="s">
        <v>76</v>
      </c>
      <c r="F22562" s="0" t="s">
        <v>77</v>
      </c>
    </row>
    <row r="22563" customFormat="false" ht="12.8" hidden="false" customHeight="false" outlineLevel="0" collapsed="false">
      <c r="B22563" s="0" t="s">
        <v>8</v>
      </c>
      <c r="C22563" s="0" t="s">
        <v>78</v>
      </c>
      <c r="E22563" s="0" t="s">
        <v>79</v>
      </c>
      <c r="F22563" s="0" t="s">
        <v>80</v>
      </c>
    </row>
    <row r="22565" customFormat="false" ht="12.8" hidden="false" customHeight="false" outlineLevel="0" collapsed="false">
      <c r="A22565" s="0" t="s">
        <v>9292</v>
      </c>
      <c r="B22565" s="0" t="str">
        <f aca="false">HYPERLINK("https://lindat.mff.cuni.cz/services/teitok/pdtc10/index.php?action=vallex&amp;frame=v-w2892f2", "odstartovat (v-w2892f2)")</f>
        <v>odstartovat (v-w2892f2)</v>
      </c>
    </row>
    <row r="22566" customFormat="false" ht="12.8" hidden="false" customHeight="false" outlineLevel="0" collapsed="false">
      <c r="B22566" s="0" t="s">
        <v>1</v>
      </c>
    </row>
    <row r="22568" customFormat="false" ht="12.8" hidden="false" customHeight="false" outlineLevel="0" collapsed="false">
      <c r="A22568" s="0" t="s">
        <v>9293</v>
      </c>
      <c r="B22568" s="0" t="str">
        <f aca="false">HYPERLINK("https://lindat.mff.cuni.cz/services/teitok/pdtc10/index.php?action=vallex&amp;frame=v-w2892f3_ZU", "odstartovat (v-w2892f3_ZU)")</f>
        <v>odstartovat (v-w2892f3_ZU)</v>
      </c>
      <c r="E22568" s="0" t="str">
        <f aca="false">HYPERLINK("https://lindat.mff.cuni.cz/services/SynSemClass40/SynSemClass40.html?veclass=vec00097#vec00097-ces-cm00170", "vec00097")</f>
        <v>vec00097</v>
      </c>
      <c r="F22568" s="0" t="s">
        <v>373</v>
      </c>
    </row>
    <row r="22569" customFormat="false" ht="12.8" hidden="false" customHeight="false" outlineLevel="0" collapsed="false">
      <c r="B22569" s="0" t="s">
        <v>1</v>
      </c>
      <c r="C22569" s="0" t="s">
        <v>374</v>
      </c>
      <c r="E22569" s="0" t="s">
        <v>375</v>
      </c>
      <c r="F22569" s="0" t="s">
        <v>376</v>
      </c>
    </row>
    <row r="22571" customFormat="false" ht="12.8" hidden="false" customHeight="false" outlineLevel="0" collapsed="false">
      <c r="A22571" s="0" t="s">
        <v>9294</v>
      </c>
      <c r="B22571" s="0" t="str">
        <f aca="false">HYPERLINK("https://lindat.mff.cuni.cz/services/teitok/pdtc10/index.php?action=vallex&amp;frame=v-w2892f4_ZU", "odstartovat (v-w2892f4_ZU)")</f>
        <v>odstartovat (v-w2892f4_ZU)</v>
      </c>
      <c r="E22571" s="0" t="str">
        <f aca="false">HYPERLINK("https://lindat.mff.cuni.cz/services/SynSemClass40/SynSemClass40.html?veclass=vec00038#vec00038-ces-cm00012", "vec00038")</f>
        <v>vec00038</v>
      </c>
      <c r="F22571" s="0" t="s">
        <v>74</v>
      </c>
    </row>
    <row r="22572" customFormat="false" ht="12.8" hidden="false" customHeight="false" outlineLevel="0" collapsed="false">
      <c r="B22572" s="0" t="s">
        <v>1</v>
      </c>
      <c r="C22572" s="0" t="s">
        <v>75</v>
      </c>
      <c r="E22572" s="0" t="s">
        <v>76</v>
      </c>
      <c r="F22572" s="0" t="s">
        <v>77</v>
      </c>
    </row>
    <row r="22573" customFormat="false" ht="12.8" hidden="false" customHeight="false" outlineLevel="0" collapsed="false">
      <c r="B22573" s="0" t="s">
        <v>8</v>
      </c>
      <c r="C22573" s="0" t="s">
        <v>78</v>
      </c>
      <c r="E22573" s="0" t="s">
        <v>79</v>
      </c>
      <c r="F22573" s="0" t="s">
        <v>80</v>
      </c>
    </row>
    <row r="22575" customFormat="false" ht="12.8" hidden="false" customHeight="false" outlineLevel="0" collapsed="false">
      <c r="A22575" s="0" t="s">
        <v>9294</v>
      </c>
      <c r="B22575" s="0" t="str">
        <f aca="false">HYPERLINK("https://lindat.mff.cuni.cz/services/teitok/pdtc10/index.php?action=vallex&amp;frame=v-w2892hsa_863", "odstartovat (v-w2892hsa_863) - substituted with v-w2892f4_ZU")</f>
        <v>odstartovat (v-w2892hsa_863) - substituted with v-w2892f4_ZU</v>
      </c>
    </row>
    <row r="22576" customFormat="false" ht="12.8" hidden="false" customHeight="false" outlineLevel="0" collapsed="false">
      <c r="B22576" s="0" t="s">
        <v>1</v>
      </c>
    </row>
    <row r="22577" customFormat="false" ht="12.8" hidden="false" customHeight="false" outlineLevel="0" collapsed="false">
      <c r="B22577" s="0" t="s">
        <v>8</v>
      </c>
    </row>
    <row r="22579" customFormat="false" ht="12.8" hidden="false" customHeight="false" outlineLevel="0" collapsed="false">
      <c r="A22579" s="0" t="s">
        <v>9295</v>
      </c>
      <c r="B22579" s="0" t="str">
        <f aca="false">HYPERLINK("https://lindat.mff.cuni.cz/services/teitok/pdtc10/index.php?action=vallex&amp;frame=v-w2892hsa_864", "odstartovat (v-w2892hsa_864)")</f>
        <v>odstartovat (v-w2892hsa_864)</v>
      </c>
      <c r="E22579" s="0" t="str">
        <f aca="false">HYPERLINK("https://lindat.mff.cuni.cz/services/SynSemClass40/SynSemClass40.html?veclass=vec00059#vec00059-ces-cm00015", "vec00059")</f>
        <v>vec00059</v>
      </c>
      <c r="F22579" s="0" t="s">
        <v>9296</v>
      </c>
    </row>
    <row r="22580" customFormat="false" ht="12.8" hidden="false" customHeight="false" outlineLevel="0" collapsed="false">
      <c r="B22580" s="0" t="s">
        <v>1</v>
      </c>
      <c r="C22580" s="0" t="s">
        <v>9297</v>
      </c>
      <c r="E22580" s="0" t="s">
        <v>375</v>
      </c>
      <c r="F22580" s="0" t="s">
        <v>9298</v>
      </c>
    </row>
    <row r="22581" customFormat="false" ht="12.8" hidden="false" customHeight="false" outlineLevel="0" collapsed="false">
      <c r="B22581" s="0" t="s">
        <v>1773</v>
      </c>
      <c r="C22581" s="0" t="s">
        <v>9299</v>
      </c>
      <c r="E22581" s="0" t="s">
        <v>9300</v>
      </c>
      <c r="F22581" s="0" t="s">
        <v>9301</v>
      </c>
    </row>
    <row r="22582" customFormat="false" ht="12.8" hidden="false" customHeight="false" outlineLevel="0" collapsed="false">
      <c r="B22582" s="0" t="s">
        <v>642</v>
      </c>
      <c r="C22582" s="0" t="s">
        <v>9302</v>
      </c>
      <c r="E22582" s="0" t="s">
        <v>9300</v>
      </c>
      <c r="F22582" s="0" t="s">
        <v>9301</v>
      </c>
    </row>
    <row r="22583" customFormat="false" ht="12.8" hidden="false" customHeight="false" outlineLevel="0" collapsed="false">
      <c r="B22583" s="0" t="s">
        <v>648</v>
      </c>
      <c r="C22583" s="0" t="s">
        <v>9303</v>
      </c>
      <c r="E22583" s="0" t="s">
        <v>9300</v>
      </c>
      <c r="F22583" s="0" t="s">
        <v>9301</v>
      </c>
    </row>
    <row r="22585" customFormat="false" ht="12.8" hidden="false" customHeight="false" outlineLevel="0" collapsed="false">
      <c r="A22585" s="0" t="s">
        <v>9304</v>
      </c>
      <c r="B22585" s="0" t="str">
        <f aca="false">HYPERLINK("https://lindat.mff.cuni.cz/services/teitok/pdtc10/index.php?action=vallex&amp;frame=v-w12344_MMf1_MM", "odstaršit (v-w12344_MMf1_MM)")</f>
        <v>odstaršit (v-w12344_MMf1_MM)</v>
      </c>
    </row>
    <row r="22586" customFormat="false" ht="12.8" hidden="false" customHeight="false" outlineLevel="0" collapsed="false">
      <c r="B22586" s="0" t="s">
        <v>1</v>
      </c>
    </row>
    <row r="22587" customFormat="false" ht="12.8" hidden="false" customHeight="false" outlineLevel="0" collapsed="false">
      <c r="B22587" s="0" t="s">
        <v>8</v>
      </c>
    </row>
    <row r="22589" customFormat="false" ht="12.8" hidden="false" customHeight="false" outlineLevel="0" collapsed="false">
      <c r="A22589" s="0" t="s">
        <v>9305</v>
      </c>
      <c r="B22589" s="0" t="str">
        <f aca="false">HYPERLINK("https://lindat.mff.cuni.cz/services/teitok/pdtc10/index.php?action=vallex&amp;frame=v-w2895f1", "odstavit (v-w2895f1)")</f>
        <v>odstavit (v-w2895f1)</v>
      </c>
    </row>
    <row r="22590" customFormat="false" ht="12.8" hidden="false" customHeight="false" outlineLevel="0" collapsed="false">
      <c r="B22590" s="0" t="s">
        <v>1</v>
      </c>
    </row>
    <row r="22591" customFormat="false" ht="12.8" hidden="false" customHeight="false" outlineLevel="0" collapsed="false">
      <c r="B22591" s="0" t="s">
        <v>8</v>
      </c>
    </row>
    <row r="22592" customFormat="false" ht="12.8" hidden="false" customHeight="false" outlineLevel="0" collapsed="false">
      <c r="B22592" s="0" t="s">
        <v>631</v>
      </c>
    </row>
    <row r="22594" customFormat="false" ht="12.8" hidden="false" customHeight="false" outlineLevel="0" collapsed="false">
      <c r="A22594" s="0" t="s">
        <v>9306</v>
      </c>
      <c r="B22594" s="0" t="str">
        <f aca="false">HYPERLINK("https://lindat.mff.cuni.cz/services/teitok/pdtc10/index.php?action=vallex&amp;frame=v-w2895f2", "odstavit (v-w2895f2)")</f>
        <v>odstavit (v-w2895f2)</v>
      </c>
      <c r="E22594" s="0" t="str">
        <f aca="false">HYPERLINK("https://lindat.mff.cuni.cz/services/SynSemClass40/SynSemClass40.html?veclass=vec00923#vec00923-ces-cm00038", "vec00923")</f>
        <v>vec00923</v>
      </c>
      <c r="F22594" s="0" t="s">
        <v>9307</v>
      </c>
    </row>
    <row r="22595" customFormat="false" ht="12.8" hidden="false" customHeight="false" outlineLevel="0" collapsed="false">
      <c r="B22595" s="0" t="s">
        <v>1</v>
      </c>
      <c r="C22595" s="0" t="s">
        <v>459</v>
      </c>
      <c r="E22595" s="0" t="s">
        <v>76</v>
      </c>
      <c r="F22595" s="0" t="s">
        <v>743</v>
      </c>
    </row>
    <row r="22596" customFormat="false" ht="12.8" hidden="false" customHeight="false" outlineLevel="0" collapsed="false">
      <c r="B22596" s="0" t="s">
        <v>8</v>
      </c>
      <c r="C22596" s="0" t="s">
        <v>3252</v>
      </c>
      <c r="E22596" s="0" t="s">
        <v>4094</v>
      </c>
      <c r="F22596" s="0" t="s">
        <v>9308</v>
      </c>
    </row>
    <row r="22598" customFormat="false" ht="12.8" hidden="false" customHeight="false" outlineLevel="0" collapsed="false">
      <c r="A22598" s="0" t="s">
        <v>9309</v>
      </c>
      <c r="B22598" s="0" t="str">
        <f aca="false">HYPERLINK("https://lindat.mff.cuni.cz/services/teitok/pdtc10/index.php?action=vallex&amp;frame=v-w2895f3", "odstavit (v-w2895f3)")</f>
        <v>odstavit (v-w2895f3)</v>
      </c>
    </row>
    <row r="22599" customFormat="false" ht="12.8" hidden="false" customHeight="false" outlineLevel="0" collapsed="false">
      <c r="B22599" s="0" t="s">
        <v>1</v>
      </c>
    </row>
    <row r="22600" customFormat="false" ht="12.8" hidden="false" customHeight="false" outlineLevel="0" collapsed="false">
      <c r="B22600" s="0" t="s">
        <v>8</v>
      </c>
    </row>
    <row r="22602" customFormat="false" ht="12.8" hidden="false" customHeight="false" outlineLevel="0" collapsed="false">
      <c r="A22602" s="0" t="s">
        <v>9310</v>
      </c>
      <c r="B22602" s="0" t="str">
        <f aca="false">HYPERLINK("https://lindat.mff.cuni.cz/services/teitok/pdtc10/index.php?action=vallex&amp;frame=v-w2897f1", "odstavovat (v-w2897f1)")</f>
        <v>odstavovat (v-w2897f1)</v>
      </c>
    </row>
    <row r="22603" customFormat="false" ht="12.8" hidden="false" customHeight="false" outlineLevel="0" collapsed="false">
      <c r="B22603" s="0" t="s">
        <v>1</v>
      </c>
    </row>
    <row r="22604" customFormat="false" ht="12.8" hidden="false" customHeight="false" outlineLevel="0" collapsed="false">
      <c r="B22604" s="0" t="s">
        <v>8</v>
      </c>
    </row>
    <row r="22605" customFormat="false" ht="12.8" hidden="false" customHeight="false" outlineLevel="0" collapsed="false">
      <c r="B22605" s="0" t="s">
        <v>631</v>
      </c>
    </row>
    <row r="22607" customFormat="false" ht="12.8" hidden="false" customHeight="false" outlineLevel="0" collapsed="false">
      <c r="A22607" s="0" t="s">
        <v>9311</v>
      </c>
      <c r="B22607" s="0" t="str">
        <f aca="false">HYPERLINK("https://lindat.mff.cuni.cz/services/teitok/pdtc10/index.php?action=vallex&amp;frame=v-w2897f2", "odstavovat (v-w2897f2)")</f>
        <v>odstavovat (v-w2897f2)</v>
      </c>
    </row>
    <row r="22608" customFormat="false" ht="12.8" hidden="false" customHeight="false" outlineLevel="0" collapsed="false">
      <c r="B22608" s="0" t="s">
        <v>1</v>
      </c>
    </row>
    <row r="22609" customFormat="false" ht="12.8" hidden="false" customHeight="false" outlineLevel="0" collapsed="false">
      <c r="B22609" s="0" t="s">
        <v>8</v>
      </c>
    </row>
    <row r="22611" customFormat="false" ht="12.8" hidden="false" customHeight="false" outlineLevel="0" collapsed="false">
      <c r="A22611" s="0" t="s">
        <v>9312</v>
      </c>
      <c r="B22611" s="0" t="str">
        <f aca="false">HYPERLINK("https://lindat.mff.cuni.cz/services/teitok/pdtc10/index.php?action=vallex&amp;frame=v-w2903f2", "odstoupit (v-w2903f2)")</f>
        <v>odstoupit (v-w2903f2)</v>
      </c>
      <c r="E22611" s="0" t="str">
        <f aca="false">HYPERLINK("https://lindat.mff.cuni.cz/services/SynSemClass40/SynSemClass40.html?veclass=vec00942#vec00942-ces-cm00004", "vec00942")</f>
        <v>vec00942</v>
      </c>
      <c r="F22611" s="0" t="s">
        <v>1686</v>
      </c>
    </row>
    <row r="22612" customFormat="false" ht="12.8" hidden="false" customHeight="false" outlineLevel="0" collapsed="false">
      <c r="B22612" s="0" t="s">
        <v>1</v>
      </c>
      <c r="C22612" s="0" t="s">
        <v>1687</v>
      </c>
      <c r="E22612" s="0" t="s">
        <v>11</v>
      </c>
      <c r="F22612" s="0" t="s">
        <v>1688</v>
      </c>
    </row>
    <row r="22613" customFormat="false" ht="12.8" hidden="false" customHeight="false" outlineLevel="0" collapsed="false">
      <c r="B22613" s="0" t="s">
        <v>26</v>
      </c>
      <c r="C22613" s="0" t="s">
        <v>1690</v>
      </c>
      <c r="E22613" s="0" t="s">
        <v>140</v>
      </c>
      <c r="F22613" s="0" t="s">
        <v>1691</v>
      </c>
    </row>
    <row r="22615" customFormat="false" ht="12.8" hidden="false" customHeight="false" outlineLevel="0" collapsed="false">
      <c r="A22615" s="0" t="s">
        <v>9313</v>
      </c>
      <c r="B22615" s="0" t="str">
        <f aca="false">HYPERLINK("https://lindat.mff.cuni.cz/services/teitok/pdtc10/index.php?action=vallex&amp;frame=v-w2903f3", "odstoupit (v-w2903f3)")</f>
        <v>odstoupit (v-w2903f3)</v>
      </c>
    </row>
    <row r="22616" customFormat="false" ht="12.8" hidden="false" customHeight="false" outlineLevel="0" collapsed="false">
      <c r="B22616" s="0" t="s">
        <v>1</v>
      </c>
    </row>
    <row r="22617" customFormat="false" ht="12.8" hidden="false" customHeight="false" outlineLevel="0" collapsed="false">
      <c r="B22617" s="0" t="s">
        <v>631</v>
      </c>
    </row>
    <row r="22619" customFormat="false" ht="12.8" hidden="false" customHeight="false" outlineLevel="0" collapsed="false">
      <c r="A22619" s="0" t="s">
        <v>9314</v>
      </c>
      <c r="B22619" s="0" t="str">
        <f aca="false">HYPERLINK("https://lindat.mff.cuni.cz/services/teitok/pdtc10/index.php?action=vallex&amp;frame=v-w2903f1", "odstoupit (v-w2903f1)")</f>
        <v>odstoupit (v-w2903f1)</v>
      </c>
      <c r="E22619" s="0" t="str">
        <f aca="false">HYPERLINK("https://lindat.mff.cuni.cz/services/SynSemClass40/SynSemClass40.html?veclass=vec00113#vec00113-ces-cm00097", "vec00113")</f>
        <v>vec00113</v>
      </c>
      <c r="F22619" s="0" t="s">
        <v>2122</v>
      </c>
      <c r="H22619" s="0" t="str">
        <f aca="false">HYPERLINK("https://lindat.mff.cuni.cz/services/SynSemClass40/SynSemClass40.html?veclass=vec01140#vec01140-ces-cm00016", "vec01140")</f>
        <v>vec01140</v>
      </c>
      <c r="I22619" s="0" t="s">
        <v>9315</v>
      </c>
    </row>
    <row r="22620" customFormat="false" ht="12.8" hidden="false" customHeight="false" outlineLevel="0" collapsed="false">
      <c r="B22620" s="0" t="s">
        <v>1</v>
      </c>
      <c r="C22620" s="0" t="s">
        <v>9316</v>
      </c>
      <c r="E22620" s="0" t="s">
        <v>1084</v>
      </c>
      <c r="F22620" s="0" t="s">
        <v>2124</v>
      </c>
      <c r="H22620" s="0" t="s">
        <v>31</v>
      </c>
      <c r="I22620" s="0" t="s">
        <v>9317</v>
      </c>
    </row>
    <row r="22622" customFormat="false" ht="12.8" hidden="false" customHeight="false" outlineLevel="0" collapsed="false">
      <c r="A22622" s="0" t="s">
        <v>9318</v>
      </c>
      <c r="B22622" s="0" t="str">
        <f aca="false">HYPERLINK("https://lindat.mff.cuni.cz/services/teitok/pdtc10/index.php?action=vallex&amp;frame=v-w2905f2", "odstranit (v-w2905f2)")</f>
        <v>odstranit (v-w2905f2)</v>
      </c>
      <c r="E22622" s="0" t="str">
        <f aca="false">HYPERLINK("https://lindat.mff.cuni.cz/services/SynSemClass40/SynSemClass40.html?veclass=vec00962#vec00962-ces-cm00015", "vec00962")</f>
        <v>vec00962</v>
      </c>
      <c r="F22622" s="0" t="s">
        <v>9319</v>
      </c>
    </row>
    <row r="22623" customFormat="false" ht="12.8" hidden="false" customHeight="false" outlineLevel="0" collapsed="false">
      <c r="B22623" s="0" t="s">
        <v>1</v>
      </c>
      <c r="C22623" s="0" t="s">
        <v>106</v>
      </c>
      <c r="E22623" s="0" t="s">
        <v>11</v>
      </c>
      <c r="F22623" s="0" t="s">
        <v>9320</v>
      </c>
    </row>
    <row r="22624" customFormat="false" ht="12.8" hidden="false" customHeight="false" outlineLevel="0" collapsed="false">
      <c r="B22624" s="0" t="s">
        <v>8</v>
      </c>
      <c r="C22624" s="0" t="s">
        <v>4392</v>
      </c>
      <c r="E22624" s="0" t="s">
        <v>4094</v>
      </c>
      <c r="F22624" s="0" t="s">
        <v>9321</v>
      </c>
    </row>
    <row r="22625" customFormat="false" ht="12.8" hidden="false" customHeight="false" outlineLevel="0" collapsed="false">
      <c r="B22625" s="0" t="s">
        <v>631</v>
      </c>
      <c r="C22625" s="0" t="s">
        <v>9322</v>
      </c>
      <c r="E22625" s="0" t="s">
        <v>1924</v>
      </c>
      <c r="F22625" s="0" t="s">
        <v>9323</v>
      </c>
    </row>
    <row r="22627" customFormat="false" ht="12.8" hidden="false" customHeight="false" outlineLevel="0" collapsed="false">
      <c r="A22627" s="0" t="s">
        <v>9324</v>
      </c>
      <c r="B22627" s="0" t="str">
        <f aca="false">HYPERLINK("https://lindat.mff.cuni.cz/services/teitok/pdtc10/index.php?action=vallex&amp;frame=v-w2905f3", "odstranit (v-w2905f3)")</f>
        <v>odstranit (v-w2905f3)</v>
      </c>
    </row>
    <row r="22628" customFormat="false" ht="12.8" hidden="false" customHeight="false" outlineLevel="0" collapsed="false">
      <c r="B22628" s="0" t="s">
        <v>1</v>
      </c>
    </row>
    <row r="22629" customFormat="false" ht="12.8" hidden="false" customHeight="false" outlineLevel="0" collapsed="false">
      <c r="B22629" s="0" t="s">
        <v>8</v>
      </c>
    </row>
    <row r="22630" customFormat="false" ht="12.8" hidden="false" customHeight="false" outlineLevel="0" collapsed="false">
      <c r="B22630" s="0" t="s">
        <v>631</v>
      </c>
    </row>
    <row r="22632" customFormat="false" ht="12.8" hidden="false" customHeight="false" outlineLevel="0" collapsed="false">
      <c r="A22632" s="0" t="s">
        <v>9325</v>
      </c>
      <c r="B22632" s="0" t="str">
        <f aca="false">HYPERLINK("https://lindat.mff.cuni.cz/services/teitok/pdtc10/index.php?action=vallex&amp;frame=v-w2905f1", "odstranit (v-w2905f1)")</f>
        <v>odstranit (v-w2905f1)</v>
      </c>
      <c r="E22632" s="0" t="str">
        <f aca="false">HYPERLINK("https://lindat.mff.cuni.cz/services/SynSemClass40/SynSemClass40.html?veclass=vec00962#vec00962-ces-cm00002", "vec00962")</f>
        <v>vec00962</v>
      </c>
      <c r="F22632" s="0" t="s">
        <v>9319</v>
      </c>
    </row>
    <row r="22633" customFormat="false" ht="12.8" hidden="false" customHeight="false" outlineLevel="0" collapsed="false">
      <c r="B22633" s="0" t="s">
        <v>1</v>
      </c>
      <c r="C22633" s="0" t="s">
        <v>106</v>
      </c>
      <c r="E22633" s="0" t="s">
        <v>11</v>
      </c>
      <c r="F22633" s="0" t="s">
        <v>9320</v>
      </c>
    </row>
    <row r="22634" customFormat="false" ht="12.8" hidden="false" customHeight="false" outlineLevel="0" collapsed="false">
      <c r="B22634" s="0" t="s">
        <v>8</v>
      </c>
      <c r="C22634" s="0" t="s">
        <v>4392</v>
      </c>
      <c r="E22634" s="0" t="s">
        <v>4094</v>
      </c>
      <c r="F22634" s="0" t="s">
        <v>9321</v>
      </c>
    </row>
    <row r="22636" customFormat="false" ht="12.8" hidden="false" customHeight="false" outlineLevel="0" collapsed="false">
      <c r="A22636" s="0" t="s">
        <v>9326</v>
      </c>
      <c r="B22636" s="0" t="str">
        <f aca="false">HYPERLINK("https://lindat.mff.cuni.cz/services/teitok/pdtc10/index.php?action=vallex&amp;frame=v-w2907f1", "odstraňovat (v-w2907f1)")</f>
        <v>odstraňovat (v-w2907f1)</v>
      </c>
    </row>
    <row r="22637" customFormat="false" ht="12.8" hidden="false" customHeight="false" outlineLevel="0" collapsed="false">
      <c r="B22637" s="0" t="s">
        <v>1</v>
      </c>
    </row>
    <row r="22638" customFormat="false" ht="12.8" hidden="false" customHeight="false" outlineLevel="0" collapsed="false">
      <c r="B22638" s="0" t="s">
        <v>8</v>
      </c>
    </row>
    <row r="22639" customFormat="false" ht="12.8" hidden="false" customHeight="false" outlineLevel="0" collapsed="false">
      <c r="B22639" s="0" t="s">
        <v>631</v>
      </c>
    </row>
    <row r="22641" customFormat="false" ht="12.8" hidden="false" customHeight="false" outlineLevel="0" collapsed="false">
      <c r="A22641" s="0" t="s">
        <v>9327</v>
      </c>
      <c r="B22641" s="0" t="str">
        <f aca="false">HYPERLINK("https://lindat.mff.cuni.cz/services/teitok/pdtc10/index.php?action=vallex&amp;frame=v-w2907f3", "odstraňovat (v-w2907f3)")</f>
        <v>odstraňovat (v-w2907f3)</v>
      </c>
    </row>
    <row r="22642" customFormat="false" ht="12.8" hidden="false" customHeight="false" outlineLevel="0" collapsed="false">
      <c r="B22642" s="0" t="s">
        <v>1</v>
      </c>
    </row>
    <row r="22643" customFormat="false" ht="12.8" hidden="false" customHeight="false" outlineLevel="0" collapsed="false">
      <c r="B22643" s="0" t="s">
        <v>8</v>
      </c>
    </row>
    <row r="22644" customFormat="false" ht="12.8" hidden="false" customHeight="false" outlineLevel="0" collapsed="false">
      <c r="B22644" s="0" t="s">
        <v>631</v>
      </c>
    </row>
    <row r="22646" customFormat="false" ht="12.8" hidden="false" customHeight="false" outlineLevel="0" collapsed="false">
      <c r="A22646" s="0" t="s">
        <v>9328</v>
      </c>
      <c r="B22646" s="0" t="str">
        <f aca="false">HYPERLINK("https://lindat.mff.cuni.cz/services/teitok/pdtc10/index.php?action=vallex&amp;frame=v-w2907f2", "odstraňovat (v-w2907f2)")</f>
        <v>odstraňovat (v-w2907f2)</v>
      </c>
      <c r="E22646" s="0" t="str">
        <f aca="false">HYPERLINK("https://lindat.mff.cuni.cz/services/SynSemClass40/SynSemClass40.html?veclass=vec00923#vec00923-ces-cm00041", "vec00923")</f>
        <v>vec00923</v>
      </c>
      <c r="F22646" s="0" t="s">
        <v>9307</v>
      </c>
    </row>
    <row r="22647" customFormat="false" ht="12.8" hidden="false" customHeight="false" outlineLevel="0" collapsed="false">
      <c r="B22647" s="0" t="s">
        <v>1</v>
      </c>
      <c r="C22647" s="0" t="s">
        <v>459</v>
      </c>
      <c r="E22647" s="0" t="s">
        <v>76</v>
      </c>
      <c r="F22647" s="0" t="s">
        <v>743</v>
      </c>
    </row>
    <row r="22648" customFormat="false" ht="12.8" hidden="false" customHeight="false" outlineLevel="0" collapsed="false">
      <c r="B22648" s="0" t="s">
        <v>8</v>
      </c>
      <c r="C22648" s="0" t="s">
        <v>3252</v>
      </c>
      <c r="E22648" s="0" t="s">
        <v>4094</v>
      </c>
      <c r="F22648" s="0" t="s">
        <v>9308</v>
      </c>
    </row>
    <row r="22650" customFormat="false" ht="12.8" hidden="false" customHeight="false" outlineLevel="0" collapsed="false">
      <c r="A22650" s="0" t="s">
        <v>9329</v>
      </c>
      <c r="B22650" s="0" t="str">
        <f aca="false">HYPERLINK("https://lindat.mff.cuni.cz/services/teitok/pdtc10/index.php?action=vallex&amp;frame=v-w11176f2", "odstrašit (v-w11176f2)")</f>
        <v>odstrašit (v-w11176f2)</v>
      </c>
      <c r="E22650" s="0" t="str">
        <f aca="false">HYPERLINK("https://lindat.mff.cuni.cz/services/SynSemClass40/SynSemClass40.html?veclass=vec00251#vec00251-ces-cm00007", "vec00251")</f>
        <v>vec00251</v>
      </c>
      <c r="F22650" s="0" t="s">
        <v>9198</v>
      </c>
    </row>
    <row r="22651" customFormat="false" ht="12.8" hidden="false" customHeight="false" outlineLevel="0" collapsed="false">
      <c r="B22651" s="0" t="s">
        <v>1</v>
      </c>
      <c r="C22651" s="0" t="s">
        <v>9199</v>
      </c>
      <c r="E22651" s="0" t="s">
        <v>11</v>
      </c>
      <c r="F22651" s="0" t="s">
        <v>9200</v>
      </c>
    </row>
    <row r="22652" customFormat="false" ht="12.8" hidden="false" customHeight="false" outlineLevel="0" collapsed="false">
      <c r="B22652" s="0" t="s">
        <v>98</v>
      </c>
      <c r="C22652" s="0" t="s">
        <v>9201</v>
      </c>
      <c r="E22652" s="0" t="s">
        <v>552</v>
      </c>
      <c r="F22652" s="0" t="s">
        <v>9202</v>
      </c>
    </row>
    <row r="22653" customFormat="false" ht="12.8" hidden="false" customHeight="false" outlineLevel="0" collapsed="false">
      <c r="B22653" s="0" t="s">
        <v>9203</v>
      </c>
      <c r="C22653" s="0" t="s">
        <v>9204</v>
      </c>
      <c r="E22653" s="0" t="s">
        <v>532</v>
      </c>
      <c r="F22653" s="0" t="s">
        <v>9205</v>
      </c>
    </row>
    <row r="22655" customFormat="false" ht="12.8" hidden="false" customHeight="false" outlineLevel="0" collapsed="false">
      <c r="A22655" s="0" t="s">
        <v>9330</v>
      </c>
      <c r="B22655" s="0" t="str">
        <f aca="false">HYPERLINK("https://lindat.mff.cuni.cz/services/teitok/pdtc10/index.php?action=vallex&amp;frame=v-w2909f1", "odstrašovat (v-w2909f1)")</f>
        <v>odstrašovat (v-w2909f1)</v>
      </c>
      <c r="E22655" s="0" t="str">
        <f aca="false">HYPERLINK("https://lindat.mff.cuni.cz/services/SynSemClass40/SynSemClass40.html?veclass=vec00761#vec00761-ces-cm00004", "vec00761")</f>
        <v>vec00761</v>
      </c>
      <c r="F22655" s="0" t="s">
        <v>4014</v>
      </c>
    </row>
    <row r="22656" customFormat="false" ht="12.8" hidden="false" customHeight="false" outlineLevel="0" collapsed="false">
      <c r="B22656" s="0" t="s">
        <v>1</v>
      </c>
      <c r="C22656" s="0" t="s">
        <v>4015</v>
      </c>
      <c r="E22656" s="0" t="s">
        <v>1103</v>
      </c>
      <c r="F22656" s="0" t="s">
        <v>4016</v>
      </c>
    </row>
    <row r="22657" customFormat="false" ht="12.8" hidden="false" customHeight="false" outlineLevel="0" collapsed="false">
      <c r="B22657" s="0" t="s">
        <v>8</v>
      </c>
      <c r="C22657" s="0" t="s">
        <v>4017</v>
      </c>
      <c r="E22657" s="0" t="s">
        <v>199</v>
      </c>
      <c r="F22657" s="0" t="s">
        <v>4018</v>
      </c>
    </row>
    <row r="22659" customFormat="false" ht="12.8" hidden="false" customHeight="false" outlineLevel="0" collapsed="false">
      <c r="A22659" s="0" t="s">
        <v>9331</v>
      </c>
      <c r="B22659" s="0" t="str">
        <f aca="false">HYPERLINK("https://lindat.mff.cuni.cz/services/teitok/pdtc10/index.php?action=vallex&amp;frame=v-w2910f2", "odstrčit (v-w2910f2)")</f>
        <v>odstrčit (v-w2910f2)</v>
      </c>
    </row>
    <row r="22660" customFormat="false" ht="12.8" hidden="false" customHeight="false" outlineLevel="0" collapsed="false">
      <c r="B22660" s="0" t="s">
        <v>1</v>
      </c>
    </row>
    <row r="22661" customFormat="false" ht="12.8" hidden="false" customHeight="false" outlineLevel="0" collapsed="false">
      <c r="B22661" s="0" t="s">
        <v>8</v>
      </c>
    </row>
    <row r="22662" customFormat="false" ht="12.8" hidden="false" customHeight="false" outlineLevel="0" collapsed="false">
      <c r="B22662" s="0" t="s">
        <v>631</v>
      </c>
    </row>
    <row r="22664" customFormat="false" ht="12.8" hidden="false" customHeight="false" outlineLevel="0" collapsed="false">
      <c r="A22664" s="0" t="s">
        <v>9332</v>
      </c>
      <c r="B22664" s="0" t="str">
        <f aca="false">HYPERLINK("https://lindat.mff.cuni.cz/services/teitok/pdtc10/index.php?action=vallex&amp;frame=v-w2910f1", "odstrčit (v-w2910f1)")</f>
        <v>odstrčit (v-w2910f1)</v>
      </c>
    </row>
    <row r="22665" customFormat="false" ht="12.8" hidden="false" customHeight="false" outlineLevel="0" collapsed="false">
      <c r="B22665" s="0" t="s">
        <v>1</v>
      </c>
    </row>
    <row r="22666" customFormat="false" ht="12.8" hidden="false" customHeight="false" outlineLevel="0" collapsed="false">
      <c r="B22666" s="0" t="s">
        <v>8</v>
      </c>
    </row>
    <row r="22668" customFormat="false" ht="12.8" hidden="false" customHeight="false" outlineLevel="0" collapsed="false">
      <c r="A22668" s="0" t="s">
        <v>9333</v>
      </c>
      <c r="B22668" s="0" t="str">
        <f aca="false">HYPERLINK("https://lindat.mff.cuni.cz/services/teitok/pdtc10/index.php?action=vallex&amp;frame=v-w2917f2", "odstupovat (v-w2917f2)")</f>
        <v>odstupovat (v-w2917f2)</v>
      </c>
      <c r="E22668" s="0" t="str">
        <f aca="false">HYPERLINK("https://lindat.mff.cuni.cz/services/SynSemClass40/SynSemClass40.html?veclass=vec00942#vec00942-ces-cm00022", "vec00942")</f>
        <v>vec00942</v>
      </c>
      <c r="F22668" s="0" t="s">
        <v>1686</v>
      </c>
    </row>
    <row r="22669" customFormat="false" ht="12.8" hidden="false" customHeight="false" outlineLevel="0" collapsed="false">
      <c r="B22669" s="0" t="s">
        <v>1</v>
      </c>
      <c r="C22669" s="0" t="s">
        <v>1687</v>
      </c>
      <c r="E22669" s="0" t="s">
        <v>11</v>
      </c>
      <c r="F22669" s="0" t="s">
        <v>1688</v>
      </c>
    </row>
    <row r="22670" customFormat="false" ht="12.8" hidden="false" customHeight="false" outlineLevel="0" collapsed="false">
      <c r="B22670" s="0" t="s">
        <v>26</v>
      </c>
      <c r="C22670" s="0" t="s">
        <v>1690</v>
      </c>
      <c r="E22670" s="0" t="s">
        <v>140</v>
      </c>
      <c r="F22670" s="0" t="s">
        <v>1691</v>
      </c>
    </row>
    <row r="22672" customFormat="false" ht="12.8" hidden="false" customHeight="false" outlineLevel="0" collapsed="false">
      <c r="A22672" s="0" t="s">
        <v>9334</v>
      </c>
      <c r="B22672" s="0" t="str">
        <f aca="false">HYPERLINK("https://lindat.mff.cuni.cz/services/teitok/pdtc10/index.php?action=vallex&amp;frame=v-w2917f1", "odstupovat (v-w2917f1)")</f>
        <v>odstupovat (v-w2917f1)</v>
      </c>
      <c r="E22672" s="0" t="str">
        <f aca="false">HYPERLINK("https://lindat.mff.cuni.cz/services/SynSemClass40/SynSemClass40.html?veclass=vec01140#vec01140-ces-cm00029", "vec01140")</f>
        <v>vec01140</v>
      </c>
      <c r="F22672" s="0" t="s">
        <v>9315</v>
      </c>
    </row>
    <row r="22673" customFormat="false" ht="12.8" hidden="false" customHeight="false" outlineLevel="0" collapsed="false">
      <c r="B22673" s="0" t="s">
        <v>1</v>
      </c>
      <c r="C22673" s="0" t="s">
        <v>3288</v>
      </c>
      <c r="E22673" s="0" t="s">
        <v>31</v>
      </c>
      <c r="F22673" s="0" t="s">
        <v>9317</v>
      </c>
    </row>
    <row r="22675" customFormat="false" ht="12.8" hidden="false" customHeight="false" outlineLevel="0" collapsed="false">
      <c r="A22675" s="0" t="s">
        <v>9335</v>
      </c>
      <c r="B22675" s="0" t="str">
        <f aca="false">HYPERLINK("https://lindat.mff.cuni.cz/services/teitok/pdtc10/index.php?action=vallex&amp;frame=v-w2916f1", "odstupňovat (v-w2916f1)")</f>
        <v>odstupňovat (v-w2916f1)</v>
      </c>
    </row>
    <row r="22676" customFormat="false" ht="12.8" hidden="false" customHeight="false" outlineLevel="0" collapsed="false">
      <c r="B22676" s="0" t="s">
        <v>1</v>
      </c>
    </row>
    <row r="22677" customFormat="false" ht="12.8" hidden="false" customHeight="false" outlineLevel="0" collapsed="false">
      <c r="B22677" s="0" t="s">
        <v>8</v>
      </c>
    </row>
    <row r="22678" customFormat="false" ht="12.8" hidden="false" customHeight="false" outlineLevel="0" collapsed="false">
      <c r="B22678" s="0" t="s">
        <v>40</v>
      </c>
    </row>
    <row r="22680" customFormat="false" ht="12.8" hidden="false" customHeight="false" outlineLevel="0" collapsed="false">
      <c r="A22680" s="0" t="s">
        <v>9336</v>
      </c>
      <c r="B22680" s="0" t="str">
        <f aca="false">HYPERLINK("https://lindat.mff.cuni.cz/services/teitok/pdtc10/index.php?action=vallex&amp;frame=v-w10633f2", "odstínit (v-w10633f2)")</f>
        <v>odstínit (v-w10633f2)</v>
      </c>
      <c r="E22680" s="0" t="str">
        <f aca="false">HYPERLINK("https://lindat.mff.cuni.cz/services/SynSemClass40/SynSemClass40.html?veclass=vec01503#vec01503-ces-cm00002", "vec01503")</f>
        <v>vec01503</v>
      </c>
      <c r="F22680" s="0" t="s">
        <v>1470</v>
      </c>
    </row>
    <row r="22681" customFormat="false" ht="12.8" hidden="false" customHeight="false" outlineLevel="0" collapsed="false">
      <c r="B22681" s="0" t="s">
        <v>1</v>
      </c>
      <c r="C22681" s="0" t="s">
        <v>9337</v>
      </c>
      <c r="E22681" s="0" t="s">
        <v>569</v>
      </c>
      <c r="F22681" s="0" t="s">
        <v>1473</v>
      </c>
    </row>
    <row r="22682" customFormat="false" ht="12.8" hidden="false" customHeight="false" outlineLevel="0" collapsed="false">
      <c r="B22682" s="0" t="s">
        <v>8</v>
      </c>
      <c r="C22682" s="0" t="s">
        <v>9338</v>
      </c>
      <c r="E22682" s="0" t="s">
        <v>572</v>
      </c>
      <c r="F22682" s="0" t="s">
        <v>1476</v>
      </c>
    </row>
    <row r="22683" customFormat="false" ht="12.8" hidden="false" customHeight="false" outlineLevel="0" collapsed="false">
      <c r="B22683" s="0" t="s">
        <v>9339</v>
      </c>
      <c r="C22683" s="0" t="s">
        <v>9340</v>
      </c>
      <c r="E22683" s="0" t="s">
        <v>1480</v>
      </c>
      <c r="F22683" s="0" t="s">
        <v>1481</v>
      </c>
    </row>
    <row r="22685" customFormat="false" ht="12.8" hidden="false" customHeight="false" outlineLevel="0" collapsed="false">
      <c r="A22685" s="0" t="s">
        <v>9341</v>
      </c>
      <c r="B22685" s="0" t="str">
        <f aca="false">HYPERLINK("https://lindat.mff.cuni.cz/services/teitok/pdtc10/index.php?action=vallex&amp;frame=v-w2899f1", "odstěhovat (v-w2899f1)")</f>
        <v>odstěhovat (v-w2899f1)</v>
      </c>
    </row>
    <row r="22686" customFormat="false" ht="12.8" hidden="false" customHeight="false" outlineLevel="0" collapsed="false">
      <c r="B22686" s="0" t="s">
        <v>1</v>
      </c>
    </row>
    <row r="22687" customFormat="false" ht="12.8" hidden="false" customHeight="false" outlineLevel="0" collapsed="false">
      <c r="B22687" s="0" t="s">
        <v>8</v>
      </c>
    </row>
    <row r="22688" customFormat="false" ht="12.8" hidden="false" customHeight="false" outlineLevel="0" collapsed="false">
      <c r="B22688" s="0" t="s">
        <v>631</v>
      </c>
    </row>
    <row r="22690" customFormat="false" ht="12.8" hidden="false" customHeight="false" outlineLevel="0" collapsed="false">
      <c r="A22690" s="0" t="s">
        <v>9342</v>
      </c>
      <c r="B22690" s="0" t="str">
        <f aca="false">HYPERLINK("https://lindat.mff.cuni.cz/services/teitok/pdtc10/index.php?action=vallex&amp;frame=v-w2900f1", "odstěhovat se (v-w2900f1)")</f>
        <v>odstěhovat se (v-w2900f1)</v>
      </c>
      <c r="E22690" s="0" t="str">
        <f aca="false">HYPERLINK("https://lindat.mff.cuni.cz/services/SynSemClass40/SynSemClass40.html?veclass=vec00048#vec00048-ces-cm00061", "vec00048")</f>
        <v>vec00048</v>
      </c>
      <c r="F22690" s="0" t="s">
        <v>1945</v>
      </c>
    </row>
    <row r="22691" customFormat="false" ht="12.8" hidden="false" customHeight="false" outlineLevel="0" collapsed="false">
      <c r="B22691" s="0" t="s">
        <v>1</v>
      </c>
      <c r="C22691" s="0" t="s">
        <v>1946</v>
      </c>
      <c r="E22691" s="0" t="s">
        <v>334</v>
      </c>
      <c r="F22691" s="0" t="s">
        <v>1947</v>
      </c>
    </row>
    <row r="22692" customFormat="false" ht="12.8" hidden="false" customHeight="false" outlineLevel="0" collapsed="false">
      <c r="B22692" s="0" t="s">
        <v>631</v>
      </c>
      <c r="C22692" s="0" t="s">
        <v>1948</v>
      </c>
      <c r="E22692" s="0" t="s">
        <v>1949</v>
      </c>
      <c r="F22692" s="0" t="s">
        <v>1950</v>
      </c>
    </row>
    <row r="22694" customFormat="false" ht="12.8" hidden="false" customHeight="false" outlineLevel="0" collapsed="false">
      <c r="A22694" s="0" t="s">
        <v>9343</v>
      </c>
      <c r="B22694" s="0" t="str">
        <f aca="false">HYPERLINK("https://lindat.mff.cuni.cz/services/teitok/pdtc10/index.php?action=vallex&amp;frame=v-w2912f1", "odstřelit (v-w2912f1)")</f>
        <v>odstřelit (v-w2912f1)</v>
      </c>
    </row>
    <row r="22695" customFormat="false" ht="12.8" hidden="false" customHeight="false" outlineLevel="0" collapsed="false">
      <c r="B22695" s="0" t="s">
        <v>1</v>
      </c>
    </row>
    <row r="22696" customFormat="false" ht="12.8" hidden="false" customHeight="false" outlineLevel="0" collapsed="false">
      <c r="B22696" s="0" t="s">
        <v>8</v>
      </c>
    </row>
    <row r="22698" customFormat="false" ht="12.8" hidden="false" customHeight="false" outlineLevel="0" collapsed="false">
      <c r="A22698" s="0" t="s">
        <v>9344</v>
      </c>
      <c r="B22698" s="0" t="str">
        <f aca="false">HYPERLINK("https://lindat.mff.cuni.cz/services/teitok/pdtc10/index.php?action=vallex&amp;frame=v-w2912f3_ZU", "odstřelit (v-w2912f3_ZU)")</f>
        <v>odstřelit (v-w2912f3_ZU)</v>
      </c>
    </row>
    <row r="22699" customFormat="false" ht="12.8" hidden="false" customHeight="false" outlineLevel="0" collapsed="false">
      <c r="B22699" s="0" t="s">
        <v>1</v>
      </c>
    </row>
    <row r="22700" customFormat="false" ht="12.8" hidden="false" customHeight="false" outlineLevel="0" collapsed="false">
      <c r="B22700" s="0" t="s">
        <v>8</v>
      </c>
    </row>
    <row r="22702" customFormat="false" ht="12.8" hidden="false" customHeight="false" outlineLevel="0" collapsed="false">
      <c r="A22702" s="0" t="s">
        <v>9344</v>
      </c>
      <c r="B22702" s="0" t="str">
        <f aca="false">HYPERLINK("https://lindat.mff.cuni.cz/services/teitok/pdtc10/index.php?action=vallex&amp;frame=v-w2912f2_ZU", "odstřelit (v-w2912f2_ZU) - substituted with v-w2912f3_ZU")</f>
        <v>odstřelit (v-w2912f2_ZU) - substituted with v-w2912f3_ZU</v>
      </c>
    </row>
    <row r="22703" customFormat="false" ht="12.8" hidden="false" customHeight="false" outlineLevel="0" collapsed="false">
      <c r="B22703" s="0" t="s">
        <v>1</v>
      </c>
    </row>
    <row r="22704" customFormat="false" ht="12.8" hidden="false" customHeight="false" outlineLevel="0" collapsed="false">
      <c r="B22704" s="0" t="s">
        <v>8</v>
      </c>
    </row>
    <row r="22706" customFormat="false" ht="12.8" hidden="false" customHeight="false" outlineLevel="0" collapsed="false">
      <c r="A22706" s="0" t="s">
        <v>9345</v>
      </c>
      <c r="B22706" s="0" t="str">
        <f aca="false">HYPERLINK("https://lindat.mff.cuni.cz/services/teitok/pdtc10/index.php?action=vallex&amp;frame=v-w2913f1", "odstřelovat (v-w2913f1)")</f>
        <v>odstřelovat (v-w2913f1)</v>
      </c>
    </row>
    <row r="22707" customFormat="false" ht="12.8" hidden="false" customHeight="false" outlineLevel="0" collapsed="false">
      <c r="B22707" s="0" t="s">
        <v>1</v>
      </c>
    </row>
    <row r="22708" customFormat="false" ht="12.8" hidden="false" customHeight="false" outlineLevel="0" collapsed="false">
      <c r="B22708" s="0" t="s">
        <v>8</v>
      </c>
    </row>
    <row r="22710" customFormat="false" ht="12.8" hidden="false" customHeight="false" outlineLevel="0" collapsed="false">
      <c r="A22710" s="0" t="s">
        <v>9346</v>
      </c>
      <c r="B22710" s="0" t="str">
        <f aca="false">HYPERLINK("https://lindat.mff.cuni.cz/services/teitok/pdtc10/index.php?action=vallex&amp;frame=v-w10050f2", "odstřihnout (v-w10050f2)")</f>
        <v>odstřihnout (v-w10050f2)</v>
      </c>
      <c r="E22710" s="0" t="str">
        <f aca="false">HYPERLINK("https://lindat.mff.cuni.cz/services/SynSemClass40/SynSemClass40.html?veclass=vec00047#vec00047-ces-cm00039", "vec00047")</f>
        <v>vec00047</v>
      </c>
      <c r="F22710" s="0" t="s">
        <v>4894</v>
      </c>
    </row>
    <row r="22711" customFormat="false" ht="12.8" hidden="false" customHeight="false" outlineLevel="0" collapsed="false">
      <c r="B22711" s="0" t="s">
        <v>1</v>
      </c>
      <c r="C22711" s="0" t="s">
        <v>4895</v>
      </c>
      <c r="E22711" s="0" t="s">
        <v>31</v>
      </c>
      <c r="F22711" s="0" t="s">
        <v>4896</v>
      </c>
    </row>
    <row r="22712" customFormat="false" ht="12.8" hidden="false" customHeight="false" outlineLevel="0" collapsed="false">
      <c r="B22712" s="0" t="s">
        <v>8</v>
      </c>
      <c r="C22712" s="0" t="s">
        <v>4897</v>
      </c>
      <c r="E22712" s="0" t="s">
        <v>4852</v>
      </c>
      <c r="F22712" s="0" t="s">
        <v>4898</v>
      </c>
    </row>
    <row r="22713" customFormat="false" ht="12.8" hidden="false" customHeight="false" outlineLevel="0" collapsed="false">
      <c r="B22713" s="0" t="s">
        <v>631</v>
      </c>
      <c r="C22713" s="0" t="s">
        <v>9347</v>
      </c>
      <c r="E22713" s="0" t="s">
        <v>9348</v>
      </c>
      <c r="F22713" s="0" t="s">
        <v>9349</v>
      </c>
    </row>
    <row r="22715" customFormat="false" ht="12.8" hidden="false" customHeight="false" outlineLevel="0" collapsed="false">
      <c r="A22715" s="0" t="s">
        <v>9350</v>
      </c>
      <c r="B22715" s="0" t="str">
        <f aca="false">HYPERLINK("https://lindat.mff.cuni.cz/services/teitok/pdtc10/index.php?action=vallex&amp;frame=v-w10216f2", "odstřihávat (v-w10216f2)")</f>
        <v>odstřihávat (v-w10216f2)</v>
      </c>
      <c r="E22715" s="0" t="str">
        <f aca="false">HYPERLINK("https://lindat.mff.cuni.cz/services/SynSemClass40/SynSemClass40.html?veclass=vec01456#vec01456-ces-cm00005", "vec01456")</f>
        <v>vec01456</v>
      </c>
      <c r="F22715" s="0" t="s">
        <v>105</v>
      </c>
    </row>
    <row r="22716" customFormat="false" ht="12.8" hidden="false" customHeight="false" outlineLevel="0" collapsed="false">
      <c r="B22716" s="0" t="s">
        <v>1</v>
      </c>
      <c r="C22716" s="0" t="s">
        <v>106</v>
      </c>
      <c r="E22716" s="0" t="s">
        <v>107</v>
      </c>
      <c r="F22716" s="0" t="s">
        <v>108</v>
      </c>
    </row>
    <row r="22717" customFormat="false" ht="12.8" hidden="false" customHeight="false" outlineLevel="0" collapsed="false">
      <c r="B22717" s="0" t="s">
        <v>8</v>
      </c>
      <c r="C22717" s="0" t="s">
        <v>109</v>
      </c>
      <c r="E22717" s="0" t="s">
        <v>110</v>
      </c>
      <c r="F22717" s="0" t="s">
        <v>111</v>
      </c>
    </row>
    <row r="22718" customFormat="false" ht="12.8" hidden="false" customHeight="false" outlineLevel="0" collapsed="false">
      <c r="B22718" s="0" t="s">
        <v>631</v>
      </c>
      <c r="C22718" s="0" t="s">
        <v>9256</v>
      </c>
      <c r="E22718" s="0" t="s">
        <v>8802</v>
      </c>
      <c r="F22718" s="0" t="s">
        <v>9257</v>
      </c>
    </row>
    <row r="22720" customFormat="false" ht="12.8" hidden="false" customHeight="false" outlineLevel="0" collapsed="false">
      <c r="A22720" s="0" t="s">
        <v>9351</v>
      </c>
      <c r="B22720" s="0" t="str">
        <f aca="false">HYPERLINK("https://lindat.mff.cuni.cz/services/teitok/pdtc10/index.php?action=vallex&amp;frame=v-whsa_175hsa_176", "odstříknout (v-whsa_175hsa_176)")</f>
        <v>odstříknout (v-whsa_175hsa_176)</v>
      </c>
    </row>
    <row r="22721" customFormat="false" ht="12.8" hidden="false" customHeight="false" outlineLevel="0" collapsed="false">
      <c r="B22721" s="0" t="s">
        <v>1</v>
      </c>
    </row>
    <row r="22722" customFormat="false" ht="12.8" hidden="false" customHeight="false" outlineLevel="0" collapsed="false">
      <c r="B22722" s="0" t="s">
        <v>8</v>
      </c>
    </row>
    <row r="22723" customFormat="false" ht="12.8" hidden="false" customHeight="false" outlineLevel="0" collapsed="false">
      <c r="B22723" s="0" t="s">
        <v>631</v>
      </c>
    </row>
    <row r="22725" customFormat="false" ht="12.8" hidden="false" customHeight="false" outlineLevel="0" collapsed="false">
      <c r="A22725" s="0" t="s">
        <v>9352</v>
      </c>
      <c r="B22725" s="0" t="str">
        <f aca="false">HYPERLINK("https://lindat.mff.cuni.cz/services/teitok/pdtc10/index.php?action=vallex&amp;frame=v-whsa_175hsa_177", "odstříknout (v-whsa_175hsa_177)")</f>
        <v>odstříknout (v-whsa_175hsa_177)</v>
      </c>
    </row>
    <row r="22726" customFormat="false" ht="12.8" hidden="false" customHeight="false" outlineLevel="0" collapsed="false">
      <c r="B22726" s="0" t="s">
        <v>1</v>
      </c>
    </row>
    <row r="22727" customFormat="false" ht="12.8" hidden="false" customHeight="false" outlineLevel="0" collapsed="false">
      <c r="B22727" s="0" t="s">
        <v>8</v>
      </c>
    </row>
    <row r="22729" customFormat="false" ht="12.8" hidden="false" customHeight="false" outlineLevel="0" collapsed="false">
      <c r="A22729" s="0" t="s">
        <v>9353</v>
      </c>
      <c r="B22729" s="0" t="str">
        <f aca="false">HYPERLINK("https://lindat.mff.cuni.cz/services/teitok/pdtc10/index.php?action=vallex&amp;frame=v-w2919f3", "odsunout (v-w2919f3)")</f>
        <v>odsunout (v-w2919f3)</v>
      </c>
      <c r="E22729" s="0" t="str">
        <f aca="false">HYPERLINK("https://lindat.mff.cuni.cz/services/SynSemClass40/SynSemClass40.html?veclass=vec00321#vec00321-ces-cm00015", "vec00321")</f>
        <v>vec00321</v>
      </c>
      <c r="F22729" s="0" t="s">
        <v>9354</v>
      </c>
    </row>
    <row r="22730" customFormat="false" ht="12.8" hidden="false" customHeight="false" outlineLevel="0" collapsed="false">
      <c r="B22730" s="0" t="s">
        <v>1</v>
      </c>
      <c r="C22730" s="0" t="s">
        <v>4134</v>
      </c>
      <c r="E22730" s="0" t="s">
        <v>76</v>
      </c>
      <c r="F22730" s="0" t="s">
        <v>9355</v>
      </c>
    </row>
    <row r="22731" customFormat="false" ht="12.8" hidden="false" customHeight="false" outlineLevel="0" collapsed="false">
      <c r="B22731" s="0" t="s">
        <v>8</v>
      </c>
      <c r="C22731" s="0" t="s">
        <v>9356</v>
      </c>
      <c r="E22731" s="0" t="s">
        <v>2648</v>
      </c>
      <c r="F22731" s="0" t="s">
        <v>9357</v>
      </c>
    </row>
    <row r="22732" customFormat="false" ht="12.8" hidden="false" customHeight="false" outlineLevel="0" collapsed="false">
      <c r="B22732" s="0" t="s">
        <v>631</v>
      </c>
      <c r="E22732" s="0" t="s">
        <v>1924</v>
      </c>
      <c r="F22732" s="0" t="s">
        <v>9358</v>
      </c>
    </row>
    <row r="22734" customFormat="false" ht="12.8" hidden="false" customHeight="false" outlineLevel="0" collapsed="false">
      <c r="A22734" s="0" t="s">
        <v>9359</v>
      </c>
      <c r="B22734" s="0" t="str">
        <f aca="false">HYPERLINK("https://lindat.mff.cuni.cz/services/teitok/pdtc10/index.php?action=vallex&amp;frame=v-w2919f1", "odsunout (v-w2919f1)")</f>
        <v>odsunout (v-w2919f1)</v>
      </c>
      <c r="E22734" s="0" t="str">
        <f aca="false">HYPERLINK("https://lindat.mff.cuni.cz/services/SynSemClass40/SynSemClass40.html?veclass=vec00321#vec00321-ces-cm00071", "vec00321")</f>
        <v>vec00321</v>
      </c>
      <c r="F22734" s="0" t="s">
        <v>9354</v>
      </c>
    </row>
    <row r="22735" customFormat="false" ht="12.8" hidden="false" customHeight="false" outlineLevel="0" collapsed="false">
      <c r="B22735" s="0" t="s">
        <v>1</v>
      </c>
      <c r="C22735" s="0" t="s">
        <v>4134</v>
      </c>
      <c r="E22735" s="0" t="s">
        <v>76</v>
      </c>
      <c r="F22735" s="0" t="s">
        <v>9355</v>
      </c>
    </row>
    <row r="22736" customFormat="false" ht="12.8" hidden="false" customHeight="false" outlineLevel="0" collapsed="false">
      <c r="B22736" s="0" t="s">
        <v>8</v>
      </c>
      <c r="C22736" s="0" t="s">
        <v>9356</v>
      </c>
      <c r="E22736" s="0" t="s">
        <v>2648</v>
      </c>
      <c r="F22736" s="0" t="s">
        <v>9357</v>
      </c>
    </row>
    <row r="22737" customFormat="false" ht="12.8" hidden="false" customHeight="false" outlineLevel="0" collapsed="false">
      <c r="B22737" s="0" t="s">
        <v>9360</v>
      </c>
      <c r="E22737" s="0" t="s">
        <v>370</v>
      </c>
      <c r="F22737" s="0" t="s">
        <v>3041</v>
      </c>
    </row>
    <row r="22739" customFormat="false" ht="12.8" hidden="false" customHeight="false" outlineLevel="0" collapsed="false">
      <c r="A22739" s="0" t="s">
        <v>9361</v>
      </c>
      <c r="B22739" s="0" t="str">
        <f aca="false">HYPERLINK("https://lindat.mff.cuni.cz/services/teitok/pdtc10/index.php?action=vallex&amp;frame=v-w2919f2", "odsunout (v-w2919f2)")</f>
        <v>odsunout (v-w2919f2)</v>
      </c>
      <c r="E22739" s="0" t="str">
        <f aca="false">HYPERLINK("https://lindat.mff.cuni.cz/services/SynSemClass40/SynSemClass40.html?veclass=vec00486#vec00486-ces-cm00022", "vec00486")</f>
        <v>vec00486</v>
      </c>
      <c r="F22739" s="0" t="s">
        <v>542</v>
      </c>
      <c r="H22739" s="0" t="str">
        <f aca="false">HYPERLINK("https://lindat.mff.cuni.cz/services/SynSemClass40/SynSemClass40.html?veclass=vec01284#vec01284-ces-cm00023", "vec01284")</f>
        <v>vec01284</v>
      </c>
      <c r="I22739" s="0" t="s">
        <v>8765</v>
      </c>
    </row>
    <row r="22740" customFormat="false" ht="12.8" hidden="false" customHeight="false" outlineLevel="0" collapsed="false">
      <c r="B22740" s="0" t="s">
        <v>1</v>
      </c>
      <c r="C22740" s="0" t="s">
        <v>8766</v>
      </c>
      <c r="E22740" s="0" t="s">
        <v>206</v>
      </c>
      <c r="F22740" s="0" t="s">
        <v>544</v>
      </c>
      <c r="H22740" s="0" t="s">
        <v>84</v>
      </c>
      <c r="I22740" s="0" t="s">
        <v>8767</v>
      </c>
    </row>
    <row r="22741" customFormat="false" ht="12.8" hidden="false" customHeight="false" outlineLevel="0" collapsed="false">
      <c r="B22741" s="0" t="s">
        <v>8</v>
      </c>
      <c r="C22741" s="0" t="s">
        <v>8768</v>
      </c>
      <c r="E22741" s="0" t="s">
        <v>79</v>
      </c>
      <c r="F22741" s="0" t="s">
        <v>546</v>
      </c>
      <c r="H22741" s="0" t="s">
        <v>87</v>
      </c>
      <c r="I22741" s="0" t="s">
        <v>8769</v>
      </c>
    </row>
    <row r="22743" customFormat="false" ht="12.8" hidden="false" customHeight="false" outlineLevel="0" collapsed="false">
      <c r="A22743" s="0" t="s">
        <v>9362</v>
      </c>
      <c r="B22743" s="0" t="str">
        <f aca="false">HYPERLINK("https://lindat.mff.cuni.cz/services/teitok/pdtc10/index.php?action=vallex&amp;frame=v-w2919f5_ZU", "odsunout (v-w2919f5_ZU)")</f>
        <v>odsunout (v-w2919f5_ZU)</v>
      </c>
    </row>
    <row r="22744" customFormat="false" ht="12.8" hidden="false" customHeight="false" outlineLevel="0" collapsed="false">
      <c r="B22744" s="0" t="s">
        <v>1</v>
      </c>
    </row>
    <row r="22745" customFormat="false" ht="12.8" hidden="false" customHeight="false" outlineLevel="0" collapsed="false">
      <c r="B22745" s="0" t="s">
        <v>8</v>
      </c>
    </row>
    <row r="22746" customFormat="false" ht="12.8" hidden="false" customHeight="false" outlineLevel="0" collapsed="false">
      <c r="B22746" s="0" t="s">
        <v>454</v>
      </c>
    </row>
    <row r="22748" customFormat="false" ht="12.8" hidden="false" customHeight="false" outlineLevel="0" collapsed="false">
      <c r="A22748" s="0" t="s">
        <v>9362</v>
      </c>
      <c r="B22748" s="0" t="str">
        <f aca="false">HYPERLINK("https://lindat.mff.cuni.cz/services/teitok/pdtc10/index.php?action=vallex&amp;frame=v-w2919f4_ZU", "odsunout (v-w2919f4_ZU) - substituted with v-w2919f5_ZU")</f>
        <v>odsunout (v-w2919f4_ZU) - substituted with v-w2919f5_ZU</v>
      </c>
    </row>
    <row r="22749" customFormat="false" ht="12.8" hidden="false" customHeight="false" outlineLevel="0" collapsed="false">
      <c r="B22749" s="0" t="s">
        <v>1</v>
      </c>
    </row>
    <row r="22750" customFormat="false" ht="12.8" hidden="false" customHeight="false" outlineLevel="0" collapsed="false">
      <c r="B22750" s="0" t="s">
        <v>8</v>
      </c>
    </row>
    <row r="22751" customFormat="false" ht="12.8" hidden="false" customHeight="false" outlineLevel="0" collapsed="false">
      <c r="B22751" s="0" t="s">
        <v>454</v>
      </c>
    </row>
    <row r="22753" customFormat="false" ht="12.8" hidden="false" customHeight="false" outlineLevel="0" collapsed="false">
      <c r="A22753" s="0" t="s">
        <v>9363</v>
      </c>
      <c r="B22753" s="0" t="str">
        <f aca="false">HYPERLINK("https://lindat.mff.cuni.cz/services/teitok/pdtc10/index.php?action=vallex&amp;frame=v-w2920f1", "odsuzovat (v-w2920f1)")</f>
        <v>odsuzovat (v-w2920f1)</v>
      </c>
      <c r="E22753" s="0" t="str">
        <f aca="false">HYPERLINK("https://lindat.mff.cuni.cz/services/SynSemClass40/SynSemClass40.html?veclass=vec00230#vec00230-ces-cm00008", "vec00230")</f>
        <v>vec00230</v>
      </c>
      <c r="F22753" s="0" t="s">
        <v>4255</v>
      </c>
    </row>
    <row r="22754" customFormat="false" ht="12.8" hidden="false" customHeight="false" outlineLevel="0" collapsed="false">
      <c r="B22754" s="0" t="s">
        <v>1</v>
      </c>
      <c r="C22754" s="0" t="s">
        <v>5752</v>
      </c>
      <c r="E22754" s="0" t="s">
        <v>3750</v>
      </c>
      <c r="F22754" s="0" t="s">
        <v>4257</v>
      </c>
    </row>
    <row r="22755" customFormat="false" ht="12.8" hidden="false" customHeight="false" outlineLevel="0" collapsed="false">
      <c r="B22755" s="0" t="s">
        <v>59</v>
      </c>
      <c r="C22755" s="0" t="s">
        <v>5753</v>
      </c>
      <c r="E22755" s="0" t="s">
        <v>4259</v>
      </c>
      <c r="F22755" s="0" t="s">
        <v>4260</v>
      </c>
    </row>
    <row r="22757" customFormat="false" ht="12.8" hidden="false" customHeight="false" outlineLevel="0" collapsed="false">
      <c r="A22757" s="0" t="s">
        <v>9364</v>
      </c>
      <c r="B22757" s="0" t="str">
        <f aca="false">HYPERLINK("https://lindat.mff.cuni.cz/services/teitok/pdtc10/index.php?action=vallex&amp;frame=v-w2872f1", "odsát (v-w2872f1)")</f>
        <v>odsát (v-w2872f1)</v>
      </c>
    </row>
    <row r="22758" customFormat="false" ht="12.8" hidden="false" customHeight="false" outlineLevel="0" collapsed="false">
      <c r="B22758" s="0" t="s">
        <v>1</v>
      </c>
    </row>
    <row r="22759" customFormat="false" ht="12.8" hidden="false" customHeight="false" outlineLevel="0" collapsed="false">
      <c r="B22759" s="0" t="s">
        <v>8</v>
      </c>
    </row>
    <row r="22760" customFormat="false" ht="12.8" hidden="false" customHeight="false" outlineLevel="0" collapsed="false">
      <c r="B22760" s="0" t="s">
        <v>631</v>
      </c>
    </row>
    <row r="22762" customFormat="false" ht="12.8" hidden="false" customHeight="false" outlineLevel="0" collapsed="false">
      <c r="A22762" s="0" t="s">
        <v>9365</v>
      </c>
      <c r="B22762" s="0" t="str">
        <f aca="false">HYPERLINK("https://lindat.mff.cuni.cz/services/teitok/pdtc10/index.php?action=vallex&amp;frame=v-w2873f1", "odsávat (v-w2873f1)")</f>
        <v>odsávat (v-w2873f1)</v>
      </c>
    </row>
    <row r="22763" customFormat="false" ht="12.8" hidden="false" customHeight="false" outlineLevel="0" collapsed="false">
      <c r="B22763" s="0" t="s">
        <v>1</v>
      </c>
    </row>
    <row r="22764" customFormat="false" ht="12.8" hidden="false" customHeight="false" outlineLevel="0" collapsed="false">
      <c r="B22764" s="0" t="s">
        <v>8</v>
      </c>
    </row>
    <row r="22765" customFormat="false" ht="12.8" hidden="false" customHeight="false" outlineLevel="0" collapsed="false">
      <c r="B22765" s="0" t="s">
        <v>631</v>
      </c>
    </row>
    <row r="22767" customFormat="false" ht="12.8" hidden="false" customHeight="false" outlineLevel="0" collapsed="false">
      <c r="A22767" s="0" t="s">
        <v>9366</v>
      </c>
      <c r="B22767" s="0" t="str">
        <f aca="false">HYPERLINK("https://lindat.mff.cuni.cz/services/teitok/pdtc10/index.php?action=vallex&amp;frame=v-whsa_1251hsa_1252", "odtahovat se (v-whsa_1251hsa_1252)")</f>
        <v>odtahovat se (v-whsa_1251hsa_1252)</v>
      </c>
    </row>
    <row r="22768" customFormat="false" ht="12.8" hidden="false" customHeight="false" outlineLevel="0" collapsed="false">
      <c r="B22768" s="0" t="s">
        <v>1</v>
      </c>
    </row>
    <row r="22769" customFormat="false" ht="12.8" hidden="false" customHeight="false" outlineLevel="0" collapsed="false">
      <c r="B22769" s="0" t="s">
        <v>26</v>
      </c>
    </row>
    <row r="22771" customFormat="false" ht="12.8" hidden="false" customHeight="false" outlineLevel="0" collapsed="false">
      <c r="A22771" s="0" t="s">
        <v>9367</v>
      </c>
      <c r="B22771" s="0" t="str">
        <f aca="false">HYPERLINK("https://lindat.mff.cuni.cz/services/teitok/pdtc10/index.php?action=vallex&amp;frame=v-w2927f1", "odtajnit (v-w2927f1)")</f>
        <v>odtajnit (v-w2927f1)</v>
      </c>
    </row>
    <row r="22772" customFormat="false" ht="12.8" hidden="false" customHeight="false" outlineLevel="0" collapsed="false">
      <c r="B22772" s="0" t="s">
        <v>1</v>
      </c>
    </row>
    <row r="22773" customFormat="false" ht="12.8" hidden="false" customHeight="false" outlineLevel="0" collapsed="false">
      <c r="B22773" s="0" t="s">
        <v>228</v>
      </c>
    </row>
    <row r="22775" customFormat="false" ht="12.8" hidden="false" customHeight="false" outlineLevel="0" collapsed="false">
      <c r="A22775" s="0" t="s">
        <v>9368</v>
      </c>
      <c r="B22775" s="0" t="str">
        <f aca="false">HYPERLINK("https://lindat.mff.cuni.cz/services/teitok/pdtc10/index.php?action=vallex&amp;frame=v-w12041_ZUf1_ZU", "odtransportovat (v-w12041_ZUf1_ZU)")</f>
        <v>odtransportovat (v-w12041_ZUf1_ZU)</v>
      </c>
    </row>
    <row r="22776" customFormat="false" ht="12.8" hidden="false" customHeight="false" outlineLevel="0" collapsed="false">
      <c r="B22776" s="0" t="s">
        <v>1</v>
      </c>
    </row>
    <row r="22777" customFormat="false" ht="12.8" hidden="false" customHeight="false" outlineLevel="0" collapsed="false">
      <c r="B22777" s="0" t="s">
        <v>8</v>
      </c>
    </row>
    <row r="22778" customFormat="false" ht="12.8" hidden="false" customHeight="false" outlineLevel="0" collapsed="false">
      <c r="B22778" s="0" t="s">
        <v>6273</v>
      </c>
    </row>
    <row r="22780" customFormat="false" ht="12.8" hidden="false" customHeight="false" outlineLevel="0" collapsed="false">
      <c r="A22780" s="0" t="s">
        <v>9369</v>
      </c>
      <c r="B22780" s="0" t="str">
        <f aca="false">HYPERLINK("https://lindat.mff.cuni.cz/services/teitok/pdtc10/index.php?action=vallex&amp;frame=v-w10457f4", "odtrhnout (v-w10457f4)")</f>
        <v>odtrhnout (v-w10457f4)</v>
      </c>
    </row>
    <row r="22781" customFormat="false" ht="12.8" hidden="false" customHeight="false" outlineLevel="0" collapsed="false">
      <c r="B22781" s="0" t="s">
        <v>1</v>
      </c>
    </row>
    <row r="22782" customFormat="false" ht="12.8" hidden="false" customHeight="false" outlineLevel="0" collapsed="false">
      <c r="B22782" s="0" t="s">
        <v>8</v>
      </c>
    </row>
    <row r="22783" customFormat="false" ht="12.8" hidden="false" customHeight="false" outlineLevel="0" collapsed="false">
      <c r="B22783" s="0" t="s">
        <v>1965</v>
      </c>
    </row>
    <row r="22785" customFormat="false" ht="12.8" hidden="false" customHeight="false" outlineLevel="0" collapsed="false">
      <c r="A22785" s="0" t="s">
        <v>9370</v>
      </c>
      <c r="B22785" s="0" t="str">
        <f aca="false">HYPERLINK("https://lindat.mff.cuni.cz/services/teitok/pdtc10/index.php?action=vallex&amp;frame=v-w10457f3", "odtrhnout (v-w10457f3)")</f>
        <v>odtrhnout (v-w10457f3)</v>
      </c>
      <c r="E22785" s="0" t="str">
        <f aca="false">HYPERLINK("https://lindat.mff.cuni.cz/services/SynSemClass40/SynSemClass40.html?veclass=vec01456#vec01456-ces-cm00006", "vec01456")</f>
        <v>vec01456</v>
      </c>
      <c r="F22785" s="0" t="s">
        <v>105</v>
      </c>
    </row>
    <row r="22786" customFormat="false" ht="12.8" hidden="false" customHeight="false" outlineLevel="0" collapsed="false">
      <c r="B22786" s="0" t="s">
        <v>1</v>
      </c>
      <c r="C22786" s="0" t="s">
        <v>106</v>
      </c>
      <c r="E22786" s="0" t="s">
        <v>107</v>
      </c>
      <c r="F22786" s="0" t="s">
        <v>108</v>
      </c>
    </row>
    <row r="22787" customFormat="false" ht="12.8" hidden="false" customHeight="false" outlineLevel="0" collapsed="false">
      <c r="B22787" s="0" t="s">
        <v>8</v>
      </c>
      <c r="C22787" s="0" t="s">
        <v>109</v>
      </c>
      <c r="E22787" s="0" t="s">
        <v>110</v>
      </c>
      <c r="F22787" s="0" t="s">
        <v>111</v>
      </c>
    </row>
    <row r="22788" customFormat="false" ht="12.8" hidden="false" customHeight="false" outlineLevel="0" collapsed="false">
      <c r="B22788" s="0" t="s">
        <v>631</v>
      </c>
      <c r="C22788" s="0" t="s">
        <v>9256</v>
      </c>
      <c r="E22788" s="0" t="s">
        <v>8802</v>
      </c>
      <c r="F22788" s="0" t="s">
        <v>9257</v>
      </c>
    </row>
    <row r="22790" customFormat="false" ht="12.8" hidden="false" customHeight="false" outlineLevel="0" collapsed="false">
      <c r="A22790" s="0" t="s">
        <v>9371</v>
      </c>
      <c r="B22790" s="0" t="str">
        <f aca="false">HYPERLINK("https://lindat.mff.cuni.cz/services/teitok/pdtc10/index.php?action=vallex&amp;frame=v-w11320f2", "odtrhnout se (v-w11320f2)")</f>
        <v>odtrhnout se (v-w11320f2)</v>
      </c>
      <c r="E22790" s="0" t="str">
        <f aca="false">HYPERLINK("https://lindat.mff.cuni.cz/services/SynSemClass40/SynSemClass40.html?veclass=vec00905#vec00905-ces-cm00008", "vec00905")</f>
        <v>vec00905</v>
      </c>
      <c r="F22790" s="0" t="s">
        <v>8789</v>
      </c>
      <c r="H22790" s="0" t="str">
        <f aca="false">HYPERLINK("https://lindat.mff.cuni.cz/services/SynSemClass40/SynSemClass40.html?veclass=vec00942#vec00942-ces-cm00067", "vec00942")</f>
        <v>vec00942</v>
      </c>
      <c r="I22790" s="0" t="s">
        <v>1686</v>
      </c>
    </row>
    <row r="22791" customFormat="false" ht="12.8" hidden="false" customHeight="false" outlineLevel="0" collapsed="false">
      <c r="B22791" s="0" t="s">
        <v>1</v>
      </c>
      <c r="C22791" s="0" t="s">
        <v>9372</v>
      </c>
      <c r="E22791" s="0" t="s">
        <v>2241</v>
      </c>
      <c r="F22791" s="0" t="s">
        <v>8790</v>
      </c>
      <c r="H22791" s="0" t="s">
        <v>11</v>
      </c>
      <c r="I22791" s="0" t="s">
        <v>1688</v>
      </c>
    </row>
    <row r="22792" customFormat="false" ht="12.8" hidden="false" customHeight="false" outlineLevel="0" collapsed="false">
      <c r="B22792" s="0" t="s">
        <v>26</v>
      </c>
      <c r="C22792" s="0" t="s">
        <v>1690</v>
      </c>
      <c r="E22792" s="0" t="s">
        <v>2665</v>
      </c>
      <c r="F22792" s="0" t="s">
        <v>8791</v>
      </c>
      <c r="H22792" s="0" t="s">
        <v>140</v>
      </c>
      <c r="I22792" s="0" t="s">
        <v>1691</v>
      </c>
    </row>
    <row r="22794" customFormat="false" ht="12.8" hidden="false" customHeight="false" outlineLevel="0" collapsed="false">
      <c r="A22794" s="0" t="s">
        <v>9373</v>
      </c>
      <c r="B22794" s="0" t="str">
        <f aca="false">HYPERLINK("https://lindat.mff.cuni.cz/services/teitok/pdtc10/index.php?action=vallex&amp;frame=v-w11320f1", "odtrhnout se (v-w11320f1)")</f>
        <v>odtrhnout se (v-w11320f1)</v>
      </c>
      <c r="E22794" s="0" t="str">
        <f aca="false">HYPERLINK("https://lindat.mff.cuni.cz/services/SynSemClass40/SynSemClass40.html?veclass=vec01413#vec01413-ces-cm00002", "vec01413")</f>
        <v>vec01413</v>
      </c>
      <c r="F22794" s="0" t="s">
        <v>9374</v>
      </c>
    </row>
    <row r="22795" customFormat="false" ht="12.8" hidden="false" customHeight="false" outlineLevel="0" collapsed="false">
      <c r="B22795" s="0" t="s">
        <v>1</v>
      </c>
      <c r="E22795" s="0" t="s">
        <v>9375</v>
      </c>
      <c r="F22795" s="0" t="s">
        <v>9376</v>
      </c>
    </row>
    <row r="22796" customFormat="false" ht="12.8" hidden="false" customHeight="false" outlineLevel="0" collapsed="false">
      <c r="B22796" s="0" t="s">
        <v>631</v>
      </c>
      <c r="E22796" s="0" t="s">
        <v>8802</v>
      </c>
      <c r="F22796" s="0" t="s">
        <v>9377</v>
      </c>
    </row>
    <row r="22798" customFormat="false" ht="12.8" hidden="false" customHeight="false" outlineLevel="0" collapsed="false">
      <c r="A22798" s="0" t="s">
        <v>9378</v>
      </c>
      <c r="B22798" s="0" t="str">
        <f aca="false">HYPERLINK("https://lindat.mff.cuni.cz/services/teitok/pdtc10/index.php?action=vallex&amp;frame=v-w11014f4", "odtrhovat (v-w11014f4)")</f>
        <v>odtrhovat (v-w11014f4)</v>
      </c>
    </row>
    <row r="22799" customFormat="false" ht="12.8" hidden="false" customHeight="false" outlineLevel="0" collapsed="false">
      <c r="B22799" s="0" t="s">
        <v>1</v>
      </c>
    </row>
    <row r="22800" customFormat="false" ht="12.8" hidden="false" customHeight="false" outlineLevel="0" collapsed="false">
      <c r="B22800" s="0" t="s">
        <v>8</v>
      </c>
    </row>
    <row r="22801" customFormat="false" ht="12.8" hidden="false" customHeight="false" outlineLevel="0" collapsed="false">
      <c r="B22801" s="0" t="s">
        <v>1965</v>
      </c>
    </row>
    <row r="22803" customFormat="false" ht="12.8" hidden="false" customHeight="false" outlineLevel="0" collapsed="false">
      <c r="A22803" s="0" t="s">
        <v>9379</v>
      </c>
      <c r="B22803" s="0" t="str">
        <f aca="false">HYPERLINK("https://lindat.mff.cuni.cz/services/teitok/pdtc10/index.php?action=vallex&amp;frame=v-w11014f2", "odtrhovat (v-w11014f2)")</f>
        <v>odtrhovat (v-w11014f2)</v>
      </c>
      <c r="E22803" s="0" t="str">
        <f aca="false">HYPERLINK("https://lindat.mff.cuni.cz/services/SynSemClass40/SynSemClass40.html?veclass=vec01456#vec01456-ces-cm00007", "vec01456")</f>
        <v>vec01456</v>
      </c>
      <c r="F22803" s="0" t="s">
        <v>105</v>
      </c>
    </row>
    <row r="22804" customFormat="false" ht="12.8" hidden="false" customHeight="false" outlineLevel="0" collapsed="false">
      <c r="B22804" s="0" t="s">
        <v>1</v>
      </c>
      <c r="C22804" s="0" t="s">
        <v>106</v>
      </c>
      <c r="E22804" s="0" t="s">
        <v>107</v>
      </c>
      <c r="F22804" s="0" t="s">
        <v>108</v>
      </c>
    </row>
    <row r="22805" customFormat="false" ht="12.8" hidden="false" customHeight="false" outlineLevel="0" collapsed="false">
      <c r="B22805" s="0" t="s">
        <v>8</v>
      </c>
      <c r="C22805" s="0" t="s">
        <v>109</v>
      </c>
      <c r="E22805" s="0" t="s">
        <v>110</v>
      </c>
      <c r="F22805" s="0" t="s">
        <v>111</v>
      </c>
    </row>
    <row r="22806" customFormat="false" ht="12.8" hidden="false" customHeight="false" outlineLevel="0" collapsed="false">
      <c r="B22806" s="0" t="s">
        <v>631</v>
      </c>
      <c r="C22806" s="0" t="s">
        <v>9256</v>
      </c>
      <c r="E22806" s="0" t="s">
        <v>8802</v>
      </c>
      <c r="F22806" s="0" t="s">
        <v>9257</v>
      </c>
    </row>
    <row r="22808" customFormat="false" ht="12.8" hidden="false" customHeight="false" outlineLevel="0" collapsed="false">
      <c r="A22808" s="0" t="s">
        <v>9380</v>
      </c>
      <c r="B22808" s="0" t="str">
        <f aca="false">HYPERLINK("https://lindat.mff.cuni.cz/services/teitok/pdtc10/index.php?action=vallex&amp;frame=v-w11443f2", "odtrhovat si (v-w11443f2)")</f>
        <v>odtrhovat si (v-w11443f2)</v>
      </c>
    </row>
    <row r="22809" customFormat="false" ht="12.8" hidden="false" customHeight="false" outlineLevel="0" collapsed="false">
      <c r="B22809" s="0" t="s">
        <v>1</v>
      </c>
    </row>
    <row r="22810" customFormat="false" ht="12.8" hidden="false" customHeight="false" outlineLevel="0" collapsed="false">
      <c r="B22810" s="0" t="s">
        <v>9381</v>
      </c>
    </row>
    <row r="22812" customFormat="false" ht="12.8" hidden="false" customHeight="false" outlineLevel="0" collapsed="false">
      <c r="A22812" s="0" t="s">
        <v>9382</v>
      </c>
      <c r="B22812" s="0" t="str">
        <f aca="false">HYPERLINK("https://lindat.mff.cuni.cz/services/teitok/pdtc10/index.php?action=vallex&amp;frame=v-w11147f3", "odtrhávat (v-w11147f3)")</f>
        <v>odtrhávat (v-w11147f3)</v>
      </c>
      <c r="E22812" s="0" t="str">
        <f aca="false">HYPERLINK("https://lindat.mff.cuni.cz/services/SynSemClass40/SynSemClass40.html?veclass=vec00047#vec00047-ces-cm00040", "vec00047")</f>
        <v>vec00047</v>
      </c>
      <c r="F22812" s="0" t="s">
        <v>4894</v>
      </c>
    </row>
    <row r="22813" customFormat="false" ht="12.8" hidden="false" customHeight="false" outlineLevel="0" collapsed="false">
      <c r="B22813" s="0" t="s">
        <v>1</v>
      </c>
      <c r="C22813" s="0" t="s">
        <v>4895</v>
      </c>
      <c r="E22813" s="0" t="s">
        <v>31</v>
      </c>
      <c r="F22813" s="0" t="s">
        <v>4896</v>
      </c>
    </row>
    <row r="22814" customFormat="false" ht="12.8" hidden="false" customHeight="false" outlineLevel="0" collapsed="false">
      <c r="B22814" s="0" t="s">
        <v>8</v>
      </c>
      <c r="C22814" s="0" t="s">
        <v>4897</v>
      </c>
      <c r="E22814" s="0" t="s">
        <v>4852</v>
      </c>
      <c r="F22814" s="0" t="s">
        <v>4898</v>
      </c>
    </row>
    <row r="22815" customFormat="false" ht="12.8" hidden="false" customHeight="false" outlineLevel="0" collapsed="false">
      <c r="B22815" s="0" t="s">
        <v>1965</v>
      </c>
      <c r="C22815" s="0" t="s">
        <v>4899</v>
      </c>
      <c r="E22815" s="0" t="s">
        <v>4900</v>
      </c>
      <c r="F22815" s="0" t="s">
        <v>4901</v>
      </c>
    </row>
    <row r="22817" customFormat="false" ht="12.8" hidden="false" customHeight="false" outlineLevel="0" collapsed="false">
      <c r="A22817" s="0" t="s">
        <v>9383</v>
      </c>
      <c r="B22817" s="0" t="str">
        <f aca="false">HYPERLINK("https://lindat.mff.cuni.cz/services/teitok/pdtc10/index.php?action=vallex&amp;frame=v-w11475f1", "odtrhávat se (v-w11475f1)")</f>
        <v>odtrhávat se (v-w11475f1)</v>
      </c>
    </row>
    <row r="22818" customFormat="false" ht="12.8" hidden="false" customHeight="false" outlineLevel="0" collapsed="false">
      <c r="B22818" s="0" t="s">
        <v>1</v>
      </c>
    </row>
    <row r="22819" customFormat="false" ht="12.8" hidden="false" customHeight="false" outlineLevel="0" collapsed="false">
      <c r="B22819" s="0" t="s">
        <v>26</v>
      </c>
    </row>
    <row r="22821" customFormat="false" ht="12.8" hidden="false" customHeight="false" outlineLevel="0" collapsed="false">
      <c r="A22821" s="0" t="s">
        <v>9384</v>
      </c>
      <c r="B22821" s="0" t="str">
        <f aca="false">HYPERLINK("https://lindat.mff.cuni.cz/services/teitok/pdtc10/index.php?action=vallex&amp;frame=v-w11661_ZUf4_ZU", "odtáhnout (v-w11661_ZUf4_ZU)")</f>
        <v>odtáhnout (v-w11661_ZUf4_ZU)</v>
      </c>
    </row>
    <row r="22822" customFormat="false" ht="12.8" hidden="false" customHeight="false" outlineLevel="0" collapsed="false">
      <c r="B22822" s="0" t="s">
        <v>1</v>
      </c>
    </row>
    <row r="22823" customFormat="false" ht="12.8" hidden="false" customHeight="false" outlineLevel="0" collapsed="false">
      <c r="B22823" s="0" t="s">
        <v>8</v>
      </c>
    </row>
    <row r="22824" customFormat="false" ht="12.8" hidden="false" customHeight="false" outlineLevel="0" collapsed="false">
      <c r="B22824" s="0" t="s">
        <v>631</v>
      </c>
    </row>
    <row r="22826" customFormat="false" ht="12.8" hidden="false" customHeight="false" outlineLevel="0" collapsed="false">
      <c r="A22826" s="0" t="s">
        <v>9384</v>
      </c>
      <c r="B22826" s="0" t="str">
        <f aca="false">HYPERLINK("https://lindat.mff.cuni.cz/services/teitok/pdtc10/index.php?action=vallex&amp;frame=v-w11661_ZUf1_ZU", "odtáhnout (v-w11661_ZUf1_ZU) - substituted with v-w11661_ZUf4_ZU")</f>
        <v>odtáhnout (v-w11661_ZUf1_ZU) - substituted with v-w11661_ZUf4_ZU</v>
      </c>
      <c r="E22826" s="0" t="str">
        <f aca="false">HYPERLINK("https://lindat.mff.cuni.cz/services/SynSemClass40/SynSemClass40.html?veclass=vec01214#vec01214-ces-cm00004", "vec01214")</f>
        <v>vec01214</v>
      </c>
      <c r="F22826" s="0" t="s">
        <v>2816</v>
      </c>
    </row>
    <row r="22827" customFormat="false" ht="12.8" hidden="false" customHeight="false" outlineLevel="0" collapsed="false">
      <c r="B22827" s="0" t="s">
        <v>1</v>
      </c>
      <c r="E22827" s="0" t="s">
        <v>206</v>
      </c>
      <c r="F22827" s="0" t="s">
        <v>1359</v>
      </c>
    </row>
    <row r="22828" customFormat="false" ht="12.8" hidden="false" customHeight="false" outlineLevel="0" collapsed="false">
      <c r="B22828" s="0" t="s">
        <v>8</v>
      </c>
      <c r="C22828" s="0" t="s">
        <v>1910</v>
      </c>
      <c r="E22828" s="0" t="s">
        <v>2648</v>
      </c>
      <c r="F22828" s="0" t="s">
        <v>2817</v>
      </c>
    </row>
    <row r="22829" customFormat="false" ht="12.8" hidden="false" customHeight="false" outlineLevel="0" collapsed="false">
      <c r="B22829" s="0" t="s">
        <v>631</v>
      </c>
      <c r="E22829" s="0" t="s">
        <v>2818</v>
      </c>
      <c r="F22829" s="0" t="s">
        <v>2819</v>
      </c>
    </row>
    <row r="22831" customFormat="false" ht="12.8" hidden="false" customHeight="false" outlineLevel="0" collapsed="false">
      <c r="A22831" s="0" t="s">
        <v>9385</v>
      </c>
      <c r="B22831" s="0" t="str">
        <f aca="false">HYPERLINK("https://lindat.mff.cuni.cz/services/teitok/pdtc10/index.php?action=vallex&amp;frame=v-w11661_ZUf3_ZU", "odtáhnout (v-w11661_ZUf3_ZU)")</f>
        <v>odtáhnout (v-w11661_ZUf3_ZU)</v>
      </c>
    </row>
    <row r="22832" customFormat="false" ht="12.8" hidden="false" customHeight="false" outlineLevel="0" collapsed="false">
      <c r="B22832" s="0" t="s">
        <v>1</v>
      </c>
    </row>
    <row r="22833" customFormat="false" ht="12.8" hidden="false" customHeight="false" outlineLevel="0" collapsed="false">
      <c r="B22833" s="0" t="s">
        <v>8</v>
      </c>
    </row>
    <row r="22834" customFormat="false" ht="12.8" hidden="false" customHeight="false" outlineLevel="0" collapsed="false">
      <c r="B22834" s="0" t="s">
        <v>6273</v>
      </c>
    </row>
    <row r="22836" customFormat="false" ht="12.8" hidden="false" customHeight="false" outlineLevel="0" collapsed="false">
      <c r="A22836" s="0" t="s">
        <v>9385</v>
      </c>
      <c r="B22836" s="0" t="str">
        <f aca="false">HYPERLINK("https://lindat.mff.cuni.cz/services/teitok/pdtc10/index.php?action=vallex&amp;frame=v-w11661_ZUf2_ZU", "odtáhnout (v-w11661_ZUf2_ZU) - substituted with v-w11661_ZUf3_ZU")</f>
        <v>odtáhnout (v-w11661_ZUf2_ZU) - substituted with v-w11661_ZUf3_ZU</v>
      </c>
    </row>
    <row r="22837" customFormat="false" ht="12.8" hidden="false" customHeight="false" outlineLevel="0" collapsed="false">
      <c r="B22837" s="0" t="s">
        <v>1</v>
      </c>
    </row>
    <row r="22838" customFormat="false" ht="12.8" hidden="false" customHeight="false" outlineLevel="0" collapsed="false">
      <c r="B22838" s="0" t="s">
        <v>8</v>
      </c>
    </row>
    <row r="22839" customFormat="false" ht="12.8" hidden="false" customHeight="false" outlineLevel="0" collapsed="false">
      <c r="B22839" s="0" t="s">
        <v>6273</v>
      </c>
    </row>
    <row r="22841" customFormat="false" ht="12.8" hidden="false" customHeight="false" outlineLevel="0" collapsed="false">
      <c r="A22841" s="0" t="s">
        <v>9386</v>
      </c>
      <c r="B22841" s="0" t="str">
        <f aca="false">HYPERLINK("https://lindat.mff.cuni.cz/services/teitok/pdtc10/index.php?action=vallex&amp;frame=v-w11661_ZUf6_ZU", "odtáhnout (v-w11661_ZUf6_ZU)")</f>
        <v>odtáhnout (v-w11661_ZUf6_ZU)</v>
      </c>
    </row>
    <row r="22842" customFormat="false" ht="12.8" hidden="false" customHeight="false" outlineLevel="0" collapsed="false">
      <c r="B22842" s="0" t="s">
        <v>1</v>
      </c>
    </row>
    <row r="22843" customFormat="false" ht="12.8" hidden="false" customHeight="false" outlineLevel="0" collapsed="false">
      <c r="B22843" s="0" t="s">
        <v>6273</v>
      </c>
    </row>
    <row r="22845" customFormat="false" ht="12.8" hidden="false" customHeight="false" outlineLevel="0" collapsed="false">
      <c r="A22845" s="0" t="s">
        <v>9386</v>
      </c>
      <c r="B22845" s="0" t="str">
        <f aca="false">HYPERLINK("https://lindat.mff.cuni.cz/services/teitok/pdtc10/index.php?action=vallex&amp;frame=v-w11661_ZUf5_ZU", "odtáhnout (v-w11661_ZUf5_ZU) - substituted with v-w11661_ZUf6_ZU")</f>
        <v>odtáhnout (v-w11661_ZUf5_ZU) - substituted with v-w11661_ZUf6_ZU</v>
      </c>
    </row>
    <row r="22846" customFormat="false" ht="12.8" hidden="false" customHeight="false" outlineLevel="0" collapsed="false">
      <c r="B22846" s="0" t="s">
        <v>1</v>
      </c>
    </row>
    <row r="22847" customFormat="false" ht="12.8" hidden="false" customHeight="false" outlineLevel="0" collapsed="false">
      <c r="B22847" s="0" t="s">
        <v>6273</v>
      </c>
    </row>
    <row r="22849" customFormat="false" ht="12.8" hidden="false" customHeight="false" outlineLevel="0" collapsed="false">
      <c r="A22849" s="0" t="s">
        <v>9387</v>
      </c>
      <c r="B22849" s="0" t="str">
        <f aca="false">HYPERLINK("https://lindat.mff.cuni.cz/services/teitok/pdtc10/index.php?action=vallex&amp;frame=v-w11293f1", "odtáhnout se (v-w11293f1)")</f>
        <v>odtáhnout se (v-w11293f1)</v>
      </c>
    </row>
    <row r="22850" customFormat="false" ht="12.8" hidden="false" customHeight="false" outlineLevel="0" collapsed="false">
      <c r="B22850" s="0" t="s">
        <v>1</v>
      </c>
    </row>
    <row r="22851" customFormat="false" ht="12.8" hidden="false" customHeight="false" outlineLevel="0" collapsed="false">
      <c r="B22851" s="0" t="s">
        <v>26</v>
      </c>
    </row>
    <row r="22853" customFormat="false" ht="12.8" hidden="false" customHeight="false" outlineLevel="0" collapsed="false">
      <c r="A22853" s="0" t="s">
        <v>9388</v>
      </c>
      <c r="B22853" s="0" t="str">
        <f aca="false">HYPERLINK("https://lindat.mff.cuni.cz/services/teitok/pdtc10/index.php?action=vallex&amp;frame=v-w11536_ZUf2_ZU", "odtéci (v-w11536_ZUf2_ZU)")</f>
        <v>odtéci (v-w11536_ZUf2_ZU)</v>
      </c>
      <c r="E22853" s="0" t="str">
        <f aca="false">HYPERLINK("https://lindat.mff.cuni.cz/services/SynSemClass40/SynSemClass40.html?veclass=vec01242#vec01242-ces-cm00002", "vec01242")</f>
        <v>vec01242</v>
      </c>
      <c r="F22853" s="0" t="s">
        <v>9389</v>
      </c>
    </row>
    <row r="22854" customFormat="false" ht="12.8" hidden="false" customHeight="false" outlineLevel="0" collapsed="false">
      <c r="B22854" s="0" t="s">
        <v>1</v>
      </c>
      <c r="C22854" s="0" t="s">
        <v>1507</v>
      </c>
      <c r="E22854" s="0" t="s">
        <v>6270</v>
      </c>
      <c r="F22854" s="0" t="s">
        <v>9390</v>
      </c>
    </row>
    <row r="22855" customFormat="false" ht="12.8" hidden="false" customHeight="false" outlineLevel="0" collapsed="false">
      <c r="B22855" s="0" t="s">
        <v>6273</v>
      </c>
      <c r="E22855" s="0" t="s">
        <v>1949</v>
      </c>
      <c r="F22855" s="0" t="s">
        <v>2896</v>
      </c>
    </row>
    <row r="22857" customFormat="false" ht="12.8" hidden="false" customHeight="false" outlineLevel="0" collapsed="false">
      <c r="A22857" s="0" t="s">
        <v>9388</v>
      </c>
      <c r="B22857" s="0" t="str">
        <f aca="false">HYPERLINK("https://lindat.mff.cuni.cz/services/teitok/pdtc10/index.php?action=vallex&amp;frame=v-w11536_ZUf1_ZU", "odtéci (v-w11536_ZUf1_ZU) - substituted with v-w11536_ZUf2_ZU")</f>
        <v>odtéci (v-w11536_ZUf1_ZU) - substituted with v-w11536_ZUf2_ZU</v>
      </c>
    </row>
    <row r="22858" customFormat="false" ht="12.8" hidden="false" customHeight="false" outlineLevel="0" collapsed="false">
      <c r="B22858" s="0" t="s">
        <v>1</v>
      </c>
    </row>
    <row r="22859" customFormat="false" ht="12.8" hidden="false" customHeight="false" outlineLevel="0" collapsed="false">
      <c r="B22859" s="0" t="s">
        <v>6273</v>
      </c>
    </row>
    <row r="22861" customFormat="false" ht="12.8" hidden="false" customHeight="false" outlineLevel="0" collapsed="false">
      <c r="A22861" s="0" t="s">
        <v>9391</v>
      </c>
      <c r="B22861" s="0" t="str">
        <f aca="false">HYPERLINK("https://lindat.mff.cuni.cz/services/teitok/pdtc10/index.php?action=vallex&amp;frame=v-w2928f1", "odtékat (v-w2928f1)")</f>
        <v>odtékat (v-w2928f1)</v>
      </c>
    </row>
    <row r="22862" customFormat="false" ht="12.8" hidden="false" customHeight="false" outlineLevel="0" collapsed="false">
      <c r="B22862" s="0" t="s">
        <v>1</v>
      </c>
    </row>
    <row r="22863" customFormat="false" ht="12.8" hidden="false" customHeight="false" outlineLevel="0" collapsed="false">
      <c r="B22863" s="0" t="s">
        <v>631</v>
      </c>
    </row>
    <row r="22865" customFormat="false" ht="12.8" hidden="false" customHeight="false" outlineLevel="0" collapsed="false">
      <c r="A22865" s="0" t="s">
        <v>9392</v>
      </c>
      <c r="B22865" s="0" t="str">
        <f aca="false">HYPERLINK("https://lindat.mff.cuni.cz/services/teitok/pdtc10/index.php?action=vallex&amp;frame=v-w11537_ZUf2_ZU", "odumřít (v-w11537_ZUf2_ZU)")</f>
        <v>odumřít (v-w11537_ZUf2_ZU)</v>
      </c>
      <c r="E22865" s="0" t="str">
        <f aca="false">HYPERLINK("https://lindat.mff.cuni.cz/services/SynSemClass40/SynSemClass40.html?veclass=vec00755#vec00755-ces-cm00010", "vec00755")</f>
        <v>vec00755</v>
      </c>
      <c r="F22865" s="0" t="s">
        <v>6268</v>
      </c>
    </row>
    <row r="22866" customFormat="false" ht="12.8" hidden="false" customHeight="false" outlineLevel="0" collapsed="false">
      <c r="B22866" s="0" t="s">
        <v>1</v>
      </c>
      <c r="C22866" s="0" t="s">
        <v>6269</v>
      </c>
      <c r="E22866" s="0" t="s">
        <v>6270</v>
      </c>
      <c r="F22866" s="0" t="s">
        <v>6271</v>
      </c>
    </row>
    <row r="22868" customFormat="false" ht="12.8" hidden="false" customHeight="false" outlineLevel="0" collapsed="false">
      <c r="A22868" s="0" t="s">
        <v>9392</v>
      </c>
      <c r="B22868" s="0" t="str">
        <f aca="false">HYPERLINK("https://lindat.mff.cuni.cz/services/teitok/pdtc10/index.php?action=vallex&amp;frame=v-w11537_ZUf1_ZU", "odumřít (v-w11537_ZUf1_ZU) - substituted with v-w11537_ZUf2_ZU")</f>
        <v>odumřít (v-w11537_ZUf1_ZU) - substituted with v-w11537_ZUf2_ZU</v>
      </c>
    </row>
    <row r="22869" customFormat="false" ht="12.8" hidden="false" customHeight="false" outlineLevel="0" collapsed="false">
      <c r="B22869" s="0" t="s">
        <v>1</v>
      </c>
    </row>
    <row r="22871" customFormat="false" ht="12.8" hidden="false" customHeight="false" outlineLevel="0" collapsed="false">
      <c r="A22871" s="0" t="s">
        <v>9393</v>
      </c>
      <c r="B22871" s="0" t="str">
        <f aca="false">HYPERLINK("https://lindat.mff.cuni.cz/services/teitok/pdtc10/index.php?action=vallex&amp;frame=v-w12341_MMf1_MM", "odučit (v-w12341_MMf1_MM)")</f>
        <v>odučit (v-w12341_MMf1_MM)</v>
      </c>
    </row>
    <row r="22872" customFormat="false" ht="12.8" hidden="false" customHeight="false" outlineLevel="0" collapsed="false">
      <c r="B22872" s="0" t="s">
        <v>1</v>
      </c>
    </row>
    <row r="22873" customFormat="false" ht="12.8" hidden="false" customHeight="false" outlineLevel="0" collapsed="false">
      <c r="B22873" s="0" t="s">
        <v>390</v>
      </c>
    </row>
    <row r="22875" customFormat="false" ht="12.8" hidden="false" customHeight="false" outlineLevel="0" collapsed="false">
      <c r="A22875" s="0" t="s">
        <v>9394</v>
      </c>
      <c r="B22875" s="0" t="str">
        <f aca="false">HYPERLINK("https://lindat.mff.cuni.cz/services/teitok/pdtc10/index.php?action=vallex&amp;frame=v-w2939f1", "odvalit (v-w2939f1)")</f>
        <v>odvalit (v-w2939f1)</v>
      </c>
    </row>
    <row r="22876" customFormat="false" ht="12.8" hidden="false" customHeight="false" outlineLevel="0" collapsed="false">
      <c r="B22876" s="0" t="s">
        <v>1</v>
      </c>
    </row>
    <row r="22877" customFormat="false" ht="12.8" hidden="false" customHeight="false" outlineLevel="0" collapsed="false">
      <c r="B22877" s="0" t="s">
        <v>8</v>
      </c>
    </row>
    <row r="22879" customFormat="false" ht="12.8" hidden="false" customHeight="false" outlineLevel="0" collapsed="false">
      <c r="A22879" s="0" t="s">
        <v>9395</v>
      </c>
      <c r="B22879" s="0" t="str">
        <f aca="false">HYPERLINK("https://lindat.mff.cuni.cz/services/teitok/pdtc10/index.php?action=vallex&amp;frame=v-w2940f1", "odvanout (v-w2940f1)")</f>
        <v>odvanout (v-w2940f1)</v>
      </c>
    </row>
    <row r="22880" customFormat="false" ht="12.8" hidden="false" customHeight="false" outlineLevel="0" collapsed="false">
      <c r="B22880" s="0" t="s">
        <v>1</v>
      </c>
    </row>
    <row r="22881" customFormat="false" ht="12.8" hidden="false" customHeight="false" outlineLevel="0" collapsed="false">
      <c r="B22881" s="0" t="s">
        <v>8</v>
      </c>
    </row>
    <row r="22883" customFormat="false" ht="12.8" hidden="false" customHeight="false" outlineLevel="0" collapsed="false">
      <c r="A22883" s="0" t="s">
        <v>9396</v>
      </c>
      <c r="B22883" s="0" t="str">
        <f aca="false">HYPERLINK("https://lindat.mff.cuni.cz/services/teitok/pdtc10/index.php?action=vallex&amp;frame=v-w2945f1", "odvažovat se (v-w2945f1)")</f>
        <v>odvažovat se (v-w2945f1)</v>
      </c>
      <c r="E22883" s="0" t="str">
        <f aca="false">HYPERLINK("https://lindat.mff.cuni.cz/services/SynSemClass40/SynSemClass40.html?veclass=vec01061#vec01061-ces-cm00002", "vec01061")</f>
        <v>vec01061</v>
      </c>
      <c r="F22883" s="0" t="s">
        <v>9397</v>
      </c>
    </row>
    <row r="22884" customFormat="false" ht="12.8" hidden="false" customHeight="false" outlineLevel="0" collapsed="false">
      <c r="B22884" s="0" t="s">
        <v>1</v>
      </c>
      <c r="C22884" s="0" t="s">
        <v>9398</v>
      </c>
      <c r="E22884" s="0" t="s">
        <v>11</v>
      </c>
      <c r="F22884" s="0" t="s">
        <v>9399</v>
      </c>
    </row>
    <row r="22885" customFormat="false" ht="12.8" hidden="false" customHeight="false" outlineLevel="0" collapsed="false">
      <c r="B22885" s="0" t="s">
        <v>9400</v>
      </c>
      <c r="C22885" s="0" t="s">
        <v>9401</v>
      </c>
      <c r="E22885" s="0" t="s">
        <v>79</v>
      </c>
      <c r="F22885" s="0" t="s">
        <v>9402</v>
      </c>
    </row>
    <row r="22887" customFormat="false" ht="12.8" hidden="false" customHeight="false" outlineLevel="0" collapsed="false">
      <c r="A22887" s="0" t="s">
        <v>9403</v>
      </c>
      <c r="B22887" s="0" t="str">
        <f aca="false">HYPERLINK("https://lindat.mff.cuni.cz/services/teitok/pdtc10/index.php?action=vallex&amp;frame=v-w2946f1", "odvděčit se (v-w2946f1)")</f>
        <v>odvděčit se (v-w2946f1)</v>
      </c>
    </row>
    <row r="22888" customFormat="false" ht="12.8" hidden="false" customHeight="false" outlineLevel="0" collapsed="false">
      <c r="B22888" s="0" t="s">
        <v>1</v>
      </c>
    </row>
    <row r="22889" customFormat="false" ht="12.8" hidden="false" customHeight="false" outlineLevel="0" collapsed="false">
      <c r="B22889" s="0" t="s">
        <v>186</v>
      </c>
    </row>
    <row r="22891" customFormat="false" ht="12.8" hidden="false" customHeight="false" outlineLevel="0" collapsed="false">
      <c r="A22891" s="0" t="s">
        <v>9404</v>
      </c>
      <c r="B22891" s="0" t="str">
        <f aca="false">HYPERLINK("https://lindat.mff.cuni.cz/services/teitok/pdtc10/index.php?action=vallex&amp;frame=v-w2947f1", "odvděčovat se (v-w2947f1)")</f>
        <v>odvděčovat se (v-w2947f1)</v>
      </c>
    </row>
    <row r="22892" customFormat="false" ht="12.8" hidden="false" customHeight="false" outlineLevel="0" collapsed="false">
      <c r="B22892" s="0" t="s">
        <v>1</v>
      </c>
    </row>
    <row r="22893" customFormat="false" ht="12.8" hidden="false" customHeight="false" outlineLevel="0" collapsed="false">
      <c r="B22893" s="0" t="s">
        <v>186</v>
      </c>
    </row>
    <row r="22895" customFormat="false" ht="12.8" hidden="false" customHeight="false" outlineLevel="0" collapsed="false">
      <c r="A22895" s="0" t="s">
        <v>9405</v>
      </c>
      <c r="B22895" s="0" t="str">
        <f aca="false">HYPERLINK("https://lindat.mff.cuni.cz/services/teitok/pdtc10/index.php?action=vallex&amp;frame=v-w2948f1", "odvelet (v-w2948f1)")</f>
        <v>odvelet (v-w2948f1)</v>
      </c>
    </row>
    <row r="22896" customFormat="false" ht="12.8" hidden="false" customHeight="false" outlineLevel="0" collapsed="false">
      <c r="B22896" s="0" t="s">
        <v>1</v>
      </c>
    </row>
    <row r="22897" customFormat="false" ht="12.8" hidden="false" customHeight="false" outlineLevel="0" collapsed="false">
      <c r="B22897" s="0" t="s">
        <v>8</v>
      </c>
    </row>
    <row r="22898" customFormat="false" ht="12.8" hidden="false" customHeight="false" outlineLevel="0" collapsed="false">
      <c r="B22898" s="0" t="s">
        <v>164</v>
      </c>
    </row>
    <row r="22900" customFormat="false" ht="12.8" hidden="false" customHeight="false" outlineLevel="0" collapsed="false">
      <c r="A22900" s="0" t="s">
        <v>9406</v>
      </c>
      <c r="B22900" s="0" t="str">
        <f aca="false">HYPERLINK("https://lindat.mff.cuni.cz/services/teitok/pdtc10/index.php?action=vallex&amp;frame=v-w2956f1", "odvinit (v-w2956f1)")</f>
        <v>odvinit (v-w2956f1)</v>
      </c>
    </row>
    <row r="22901" customFormat="false" ht="12.8" hidden="false" customHeight="false" outlineLevel="0" collapsed="false">
      <c r="B22901" s="0" t="s">
        <v>1</v>
      </c>
    </row>
    <row r="22902" customFormat="false" ht="12.8" hidden="false" customHeight="false" outlineLevel="0" collapsed="false">
      <c r="B22902" s="0" t="s">
        <v>98</v>
      </c>
    </row>
    <row r="22903" customFormat="false" ht="12.8" hidden="false" customHeight="false" outlineLevel="0" collapsed="false">
      <c r="B22903" s="0" t="s">
        <v>444</v>
      </c>
    </row>
    <row r="22905" customFormat="false" ht="12.8" hidden="false" customHeight="false" outlineLevel="0" collapsed="false">
      <c r="A22905" s="0" t="s">
        <v>9407</v>
      </c>
      <c r="B22905" s="0" t="str">
        <f aca="false">HYPERLINK("https://lindat.mff.cuni.cz/services/teitok/pdtc10/index.php?action=vallex&amp;frame=v-w2957f1", "odvinout se (v-w2957f1)")</f>
        <v>odvinout se (v-w2957f1)</v>
      </c>
    </row>
    <row r="22906" customFormat="false" ht="12.8" hidden="false" customHeight="false" outlineLevel="0" collapsed="false">
      <c r="B22906" s="0" t="s">
        <v>1</v>
      </c>
    </row>
    <row r="22907" customFormat="false" ht="12.8" hidden="false" customHeight="false" outlineLevel="0" collapsed="false">
      <c r="B22907" s="0" t="s">
        <v>26</v>
      </c>
    </row>
    <row r="22909" customFormat="false" ht="12.8" hidden="false" customHeight="false" outlineLevel="0" collapsed="false">
      <c r="A22909" s="0" t="s">
        <v>9408</v>
      </c>
      <c r="B22909" s="0" t="str">
        <f aca="false">HYPERLINK("https://lindat.mff.cuni.cz/services/teitok/pdtc10/index.php?action=vallex&amp;frame=v-whsa_885hsa_886", "odvlíknout (v-whsa_885hsa_886)")</f>
        <v>odvlíknout (v-whsa_885hsa_886)</v>
      </c>
    </row>
    <row r="22910" customFormat="false" ht="12.8" hidden="false" customHeight="false" outlineLevel="0" collapsed="false">
      <c r="B22910" s="0" t="s">
        <v>1</v>
      </c>
    </row>
    <row r="22911" customFormat="false" ht="12.8" hidden="false" customHeight="false" outlineLevel="0" collapsed="false">
      <c r="B22911" s="0" t="s">
        <v>8</v>
      </c>
    </row>
    <row r="22912" customFormat="false" ht="12.8" hidden="false" customHeight="false" outlineLevel="0" collapsed="false">
      <c r="B22912" s="0" t="s">
        <v>164</v>
      </c>
    </row>
    <row r="22914" customFormat="false" ht="12.8" hidden="false" customHeight="false" outlineLevel="0" collapsed="false">
      <c r="A22914" s="0" t="s">
        <v>9409</v>
      </c>
      <c r="B22914" s="0" t="str">
        <f aca="false">HYPERLINK("https://lindat.mff.cuni.cz/services/teitok/pdtc10/index.php?action=vallex&amp;frame=v-w2959f1", "odvodit (v-w2959f1)")</f>
        <v>odvodit (v-w2959f1)</v>
      </c>
      <c r="E22914" s="0" t="str">
        <f aca="false">HYPERLINK("https://lindat.mff.cuni.cz/services/SynSemClass40/SynSemClass40.html?veclass=vec00855#vec00855-ces-cm00001", "vec00855")</f>
        <v>vec00855</v>
      </c>
      <c r="F22914" s="0" t="s">
        <v>9410</v>
      </c>
    </row>
    <row r="22915" customFormat="false" ht="12.8" hidden="false" customHeight="false" outlineLevel="0" collapsed="false">
      <c r="B22915" s="0" t="s">
        <v>1</v>
      </c>
      <c r="C22915" s="0" t="s">
        <v>9411</v>
      </c>
      <c r="E22915" s="0" t="s">
        <v>9412</v>
      </c>
      <c r="F22915" s="0" t="s">
        <v>9413</v>
      </c>
    </row>
    <row r="22916" customFormat="false" ht="12.8" hidden="false" customHeight="false" outlineLevel="0" collapsed="false">
      <c r="B22916" s="0" t="s">
        <v>59</v>
      </c>
      <c r="C22916" s="0" t="s">
        <v>5618</v>
      </c>
      <c r="E22916" s="0" t="s">
        <v>9414</v>
      </c>
      <c r="F22916" s="0" t="s">
        <v>9415</v>
      </c>
    </row>
    <row r="22917" customFormat="false" ht="12.8" hidden="false" customHeight="false" outlineLevel="0" collapsed="false">
      <c r="B22917" s="0" t="s">
        <v>9416</v>
      </c>
      <c r="C22917" s="0" t="s">
        <v>4899</v>
      </c>
      <c r="E22917" s="0" t="s">
        <v>9417</v>
      </c>
      <c r="F22917" s="0" t="s">
        <v>9418</v>
      </c>
    </row>
    <row r="22919" customFormat="false" ht="12.8" hidden="false" customHeight="false" outlineLevel="0" collapsed="false">
      <c r="A22919" s="0" t="s">
        <v>9419</v>
      </c>
      <c r="B22919" s="0" t="str">
        <f aca="false">HYPERLINK("https://lindat.mff.cuni.cz/services/teitok/pdtc10/index.php?action=vallex&amp;frame=v-w2959f2", "odvodit (v-w2959f2)")</f>
        <v>odvodit (v-w2959f2)</v>
      </c>
    </row>
    <row r="22920" customFormat="false" ht="12.8" hidden="false" customHeight="false" outlineLevel="0" collapsed="false">
      <c r="B22920" s="0" t="s">
        <v>1</v>
      </c>
    </row>
    <row r="22921" customFormat="false" ht="12.8" hidden="false" customHeight="false" outlineLevel="0" collapsed="false">
      <c r="B22921" s="0" t="s">
        <v>9420</v>
      </c>
    </row>
    <row r="22922" customFormat="false" ht="12.8" hidden="false" customHeight="false" outlineLevel="0" collapsed="false">
      <c r="B22922" s="0" t="s">
        <v>496</v>
      </c>
    </row>
    <row r="22924" customFormat="false" ht="12.8" hidden="false" customHeight="false" outlineLevel="0" collapsed="false">
      <c r="A22924" s="0" t="s">
        <v>9421</v>
      </c>
      <c r="B22924" s="0" t="str">
        <f aca="false">HYPERLINK("https://lindat.mff.cuni.cz/services/teitok/pdtc10/index.php?action=vallex&amp;frame=v-w2961f1", "odvolat (v-w2961f1)")</f>
        <v>odvolat (v-w2961f1)</v>
      </c>
      <c r="E22924" s="0" t="str">
        <f aca="false">HYPERLINK("https://lindat.mff.cuni.cz/services/SynSemClass40/SynSemClass40.html?veclass=vec00555#vec00555-ces-cm00014", "vec00555")</f>
        <v>vec00555</v>
      </c>
      <c r="F22924" s="0" t="s">
        <v>1918</v>
      </c>
    </row>
    <row r="22925" customFormat="false" ht="12.8" hidden="false" customHeight="false" outlineLevel="0" collapsed="false">
      <c r="B22925" s="0" t="s">
        <v>1</v>
      </c>
      <c r="C22925" s="0" t="s">
        <v>1919</v>
      </c>
      <c r="E22925" s="0" t="s">
        <v>31</v>
      </c>
      <c r="F22925" s="0" t="s">
        <v>1920</v>
      </c>
    </row>
    <row r="22926" customFormat="false" ht="12.8" hidden="false" customHeight="false" outlineLevel="0" collapsed="false">
      <c r="B22926" s="0" t="s">
        <v>8</v>
      </c>
      <c r="C22926" s="0" t="s">
        <v>1921</v>
      </c>
      <c r="E22926" s="0" t="s">
        <v>532</v>
      </c>
      <c r="F22926" s="0" t="s">
        <v>1922</v>
      </c>
    </row>
    <row r="22927" customFormat="false" ht="12.8" hidden="false" customHeight="false" outlineLevel="0" collapsed="false">
      <c r="B22927" s="0" t="s">
        <v>631</v>
      </c>
      <c r="C22927" s="0" t="s">
        <v>1923</v>
      </c>
      <c r="E22927" s="0" t="s">
        <v>1924</v>
      </c>
      <c r="F22927" s="0" t="s">
        <v>1925</v>
      </c>
    </row>
    <row r="22929" customFormat="false" ht="12.8" hidden="false" customHeight="false" outlineLevel="0" collapsed="false">
      <c r="A22929" s="0" t="s">
        <v>9422</v>
      </c>
      <c r="B22929" s="0" t="str">
        <f aca="false">HYPERLINK("https://lindat.mff.cuni.cz/services/teitok/pdtc10/index.php?action=vallex&amp;frame=v-w2961f3", "odvolat (v-w2961f3)")</f>
        <v>odvolat (v-w2961f3)</v>
      </c>
      <c r="E22929" s="0" t="str">
        <f aca="false">HYPERLINK("https://lindat.mff.cuni.cz/services/SynSemClass40/SynSemClass40.html?veclass=vec00555#vec00555-ces-cm00029", "vec00555")</f>
        <v>vec00555</v>
      </c>
      <c r="F22929" s="0" t="s">
        <v>1918</v>
      </c>
    </row>
    <row r="22930" customFormat="false" ht="12.8" hidden="false" customHeight="false" outlineLevel="0" collapsed="false">
      <c r="B22930" s="0" t="s">
        <v>1</v>
      </c>
      <c r="C22930" s="0" t="s">
        <v>1919</v>
      </c>
      <c r="E22930" s="0" t="s">
        <v>31</v>
      </c>
      <c r="F22930" s="0" t="s">
        <v>1920</v>
      </c>
    </row>
    <row r="22931" customFormat="false" ht="12.8" hidden="false" customHeight="false" outlineLevel="0" collapsed="false">
      <c r="B22931" s="0" t="s">
        <v>8</v>
      </c>
      <c r="C22931" s="0" t="s">
        <v>1921</v>
      </c>
      <c r="E22931" s="0" t="s">
        <v>532</v>
      </c>
      <c r="F22931" s="0" t="s">
        <v>1922</v>
      </c>
    </row>
    <row r="22932" customFormat="false" ht="12.8" hidden="false" customHeight="false" outlineLevel="0" collapsed="false">
      <c r="B22932" s="0" t="s">
        <v>631</v>
      </c>
      <c r="C22932" s="0" t="s">
        <v>1923</v>
      </c>
      <c r="E22932" s="0" t="s">
        <v>1924</v>
      </c>
      <c r="F22932" s="0" t="s">
        <v>1925</v>
      </c>
    </row>
    <row r="22934" customFormat="false" ht="12.8" hidden="false" customHeight="false" outlineLevel="0" collapsed="false">
      <c r="A22934" s="0" t="s">
        <v>9423</v>
      </c>
      <c r="B22934" s="0" t="str">
        <f aca="false">HYPERLINK("https://lindat.mff.cuni.cz/services/teitok/pdtc10/index.php?action=vallex&amp;frame=v-w2961f2", "odvolat (v-w2961f2)")</f>
        <v>odvolat (v-w2961f2)</v>
      </c>
      <c r="E22934" s="0" t="str">
        <f aca="false">HYPERLINK("https://lindat.mff.cuni.cz/services/SynSemClass40/SynSemClass40.html?veclass=vec00198#vec00198-ces-cm00035", "vec00198")</f>
        <v>vec00198</v>
      </c>
      <c r="F22934" s="0" t="s">
        <v>134</v>
      </c>
    </row>
    <row r="22935" customFormat="false" ht="12.8" hidden="false" customHeight="false" outlineLevel="0" collapsed="false">
      <c r="B22935" s="0" t="s">
        <v>1</v>
      </c>
      <c r="C22935" s="0" t="s">
        <v>8126</v>
      </c>
      <c r="E22935" s="0" t="s">
        <v>31</v>
      </c>
      <c r="F22935" s="0" t="s">
        <v>137</v>
      </c>
    </row>
    <row r="22936" customFormat="false" ht="12.8" hidden="false" customHeight="false" outlineLevel="0" collapsed="false">
      <c r="B22936" s="0" t="s">
        <v>59</v>
      </c>
      <c r="C22936" s="0" t="s">
        <v>8127</v>
      </c>
      <c r="E22936" s="0" t="s">
        <v>140</v>
      </c>
      <c r="F22936" s="0" t="s">
        <v>141</v>
      </c>
    </row>
    <row r="22938" customFormat="false" ht="12.8" hidden="false" customHeight="false" outlineLevel="0" collapsed="false">
      <c r="A22938" s="0" t="s">
        <v>9424</v>
      </c>
      <c r="B22938" s="0" t="str">
        <f aca="false">HYPERLINK("https://lindat.mff.cuni.cz/services/teitok/pdtc10/index.php?action=vallex&amp;frame=v-w2962f2", "odvolat se (v-w2962f2)")</f>
        <v>odvolat se (v-w2962f2)</v>
      </c>
    </row>
    <row r="22939" customFormat="false" ht="12.8" hidden="false" customHeight="false" outlineLevel="0" collapsed="false">
      <c r="B22939" s="0" t="s">
        <v>1</v>
      </c>
    </row>
    <row r="22940" customFormat="false" ht="12.8" hidden="false" customHeight="false" outlineLevel="0" collapsed="false">
      <c r="B22940" s="0" t="s">
        <v>45</v>
      </c>
    </row>
    <row r="22942" customFormat="false" ht="12.8" hidden="false" customHeight="false" outlineLevel="0" collapsed="false">
      <c r="A22942" s="0" t="s">
        <v>9425</v>
      </c>
      <c r="B22942" s="0" t="str">
        <f aca="false">HYPERLINK("https://lindat.mff.cuni.cz/services/teitok/pdtc10/index.php?action=vallex&amp;frame=v-w2962f1", "odvolat se (v-w2962f1)")</f>
        <v>odvolat se (v-w2962f1)</v>
      </c>
      <c r="E22942" s="0" t="str">
        <f aca="false">HYPERLINK("https://lindat.mff.cuni.cz/services/SynSemClass40/SynSemClass40.html?veclass=vec00457#vec00457-ces-cm00001", "vec00457")</f>
        <v>vec00457</v>
      </c>
      <c r="F22942" s="0" t="s">
        <v>9426</v>
      </c>
    </row>
    <row r="22943" customFormat="false" ht="12.8" hidden="false" customHeight="false" outlineLevel="0" collapsed="false">
      <c r="B22943" s="0" t="s">
        <v>1</v>
      </c>
      <c r="E22943" s="0" t="s">
        <v>63</v>
      </c>
      <c r="F22943" s="0" t="s">
        <v>8352</v>
      </c>
    </row>
    <row r="22944" customFormat="false" ht="12.8" hidden="false" customHeight="false" outlineLevel="0" collapsed="false">
      <c r="B22944" s="0" t="s">
        <v>1909</v>
      </c>
      <c r="E22944" s="0" t="s">
        <v>1840</v>
      </c>
      <c r="F22944" s="0" t="s">
        <v>9427</v>
      </c>
    </row>
    <row r="22946" customFormat="false" ht="12.8" hidden="false" customHeight="false" outlineLevel="0" collapsed="false">
      <c r="A22946" s="0" t="s">
        <v>9428</v>
      </c>
      <c r="B22946" s="0" t="str">
        <f aca="false">HYPERLINK("https://lindat.mff.cuni.cz/services/teitok/pdtc10/index.php?action=vallex&amp;frame=v-w2964f1", "odvolávat (v-w2964f1)")</f>
        <v>odvolávat (v-w2964f1)</v>
      </c>
    </row>
    <row r="22947" customFormat="false" ht="12.8" hidden="false" customHeight="false" outlineLevel="0" collapsed="false">
      <c r="B22947" s="0" t="s">
        <v>1</v>
      </c>
    </row>
    <row r="22948" customFormat="false" ht="12.8" hidden="false" customHeight="false" outlineLevel="0" collapsed="false">
      <c r="B22948" s="0" t="s">
        <v>8</v>
      </c>
    </row>
    <row r="22949" customFormat="false" ht="12.8" hidden="false" customHeight="false" outlineLevel="0" collapsed="false">
      <c r="B22949" s="0" t="s">
        <v>631</v>
      </c>
    </row>
    <row r="22951" customFormat="false" ht="12.8" hidden="false" customHeight="false" outlineLevel="0" collapsed="false">
      <c r="A22951" s="0" t="s">
        <v>9429</v>
      </c>
      <c r="B22951" s="0" t="str">
        <f aca="false">HYPERLINK("https://lindat.mff.cuni.cz/services/teitok/pdtc10/index.php?action=vallex&amp;frame=v-w2964f2", "odvolávat (v-w2964f2)")</f>
        <v>odvolávat (v-w2964f2)</v>
      </c>
      <c r="E22951" s="0" t="str">
        <f aca="false">HYPERLINK("https://lindat.mff.cuni.cz/services/SynSemClass40/SynSemClass40.html?veclass=vec00555#vec00555-ces-cm00031", "vec00555")</f>
        <v>vec00555</v>
      </c>
      <c r="F22951" s="0" t="s">
        <v>1918</v>
      </c>
    </row>
    <row r="22952" customFormat="false" ht="12.8" hidden="false" customHeight="false" outlineLevel="0" collapsed="false">
      <c r="B22952" s="0" t="s">
        <v>1</v>
      </c>
      <c r="C22952" s="0" t="s">
        <v>1919</v>
      </c>
      <c r="E22952" s="0" t="s">
        <v>31</v>
      </c>
      <c r="F22952" s="0" t="s">
        <v>1920</v>
      </c>
    </row>
    <row r="22953" customFormat="false" ht="12.8" hidden="false" customHeight="false" outlineLevel="0" collapsed="false">
      <c r="B22953" s="0" t="s">
        <v>8</v>
      </c>
      <c r="C22953" s="0" t="s">
        <v>1921</v>
      </c>
      <c r="E22953" s="0" t="s">
        <v>532</v>
      </c>
      <c r="F22953" s="0" t="s">
        <v>1922</v>
      </c>
    </row>
    <row r="22954" customFormat="false" ht="12.8" hidden="false" customHeight="false" outlineLevel="0" collapsed="false">
      <c r="B22954" s="0" t="s">
        <v>631</v>
      </c>
      <c r="C22954" s="0" t="s">
        <v>1923</v>
      </c>
      <c r="E22954" s="0" t="s">
        <v>1924</v>
      </c>
      <c r="F22954" s="0" t="s">
        <v>1925</v>
      </c>
    </row>
    <row r="22956" customFormat="false" ht="12.8" hidden="false" customHeight="false" outlineLevel="0" collapsed="false">
      <c r="A22956" s="0" t="s">
        <v>9430</v>
      </c>
      <c r="B22956" s="0" t="str">
        <f aca="false">HYPERLINK("https://lindat.mff.cuni.cz/services/teitok/pdtc10/index.php?action=vallex&amp;frame=v-w2964f3", "odvolávat (v-w2964f3)")</f>
        <v>odvolávat (v-w2964f3)</v>
      </c>
      <c r="E22956" s="0" t="str">
        <f aca="false">HYPERLINK("https://lindat.mff.cuni.cz/services/SynSemClass40/SynSemClass40.html?veclass=vec00198#vec00198-ces-cm00210", "vec00198")</f>
        <v>vec00198</v>
      </c>
      <c r="F22956" s="0" t="s">
        <v>134</v>
      </c>
    </row>
    <row r="22957" customFormat="false" ht="12.8" hidden="false" customHeight="false" outlineLevel="0" collapsed="false">
      <c r="B22957" s="0" t="s">
        <v>1</v>
      </c>
      <c r="C22957" s="0" t="s">
        <v>8126</v>
      </c>
      <c r="E22957" s="0" t="s">
        <v>31</v>
      </c>
      <c r="F22957" s="0" t="s">
        <v>137</v>
      </c>
    </row>
    <row r="22958" customFormat="false" ht="12.8" hidden="false" customHeight="false" outlineLevel="0" collapsed="false">
      <c r="B22958" s="0" t="s">
        <v>59</v>
      </c>
      <c r="C22958" s="0" t="s">
        <v>8127</v>
      </c>
      <c r="E22958" s="0" t="s">
        <v>140</v>
      </c>
      <c r="F22958" s="0" t="s">
        <v>141</v>
      </c>
    </row>
    <row r="22960" customFormat="false" ht="12.8" hidden="false" customHeight="false" outlineLevel="0" collapsed="false">
      <c r="A22960" s="0" t="s">
        <v>9431</v>
      </c>
      <c r="B22960" s="0" t="str">
        <f aca="false">HYPERLINK("https://lindat.mff.cuni.cz/services/teitok/pdtc10/index.php?action=vallex&amp;frame=v-w2965f1", "odvolávat se (v-w2965f1)")</f>
        <v>odvolávat se (v-w2965f1)</v>
      </c>
      <c r="E22960" s="0" t="str">
        <f aca="false">HYPERLINK("https://lindat.mff.cuni.cz/services/SynSemClass40/SynSemClass40.html?veclass=vec00201#vec00201-ces-cm00016", "vec00201")</f>
        <v>vec00201</v>
      </c>
      <c r="F22960" s="0" t="s">
        <v>174</v>
      </c>
    </row>
    <row r="22961" customFormat="false" ht="12.8" hidden="false" customHeight="false" outlineLevel="0" collapsed="false">
      <c r="B22961" s="0" t="s">
        <v>1</v>
      </c>
      <c r="C22961" s="0" t="s">
        <v>175</v>
      </c>
      <c r="E22961" s="0" t="s">
        <v>176</v>
      </c>
      <c r="F22961" s="0" t="s">
        <v>177</v>
      </c>
    </row>
    <row r="22962" customFormat="false" ht="12.8" hidden="false" customHeight="false" outlineLevel="0" collapsed="false">
      <c r="B22962" s="0" t="s">
        <v>45</v>
      </c>
      <c r="C22962" s="0" t="s">
        <v>179</v>
      </c>
      <c r="E22962" s="0" t="s">
        <v>180</v>
      </c>
      <c r="F22962" s="0" t="s">
        <v>181</v>
      </c>
    </row>
    <row r="22964" customFormat="false" ht="12.8" hidden="false" customHeight="false" outlineLevel="0" collapsed="false">
      <c r="A22964" s="0" t="s">
        <v>9432</v>
      </c>
      <c r="B22964" s="0" t="str">
        <f aca="false">HYPERLINK("https://lindat.mff.cuni.cz/services/teitok/pdtc10/index.php?action=vallex&amp;frame=v-w2965f2", "odvolávat se (v-w2965f2)")</f>
        <v>odvolávat se (v-w2965f2)</v>
      </c>
      <c r="E22964" s="0" t="str">
        <f aca="false">HYPERLINK("https://lindat.mff.cuni.cz/services/SynSemClass40/SynSemClass40.html?veclass=vec00457#vec00457-ces-cm00005", "vec00457")</f>
        <v>vec00457</v>
      </c>
      <c r="F22964" s="0" t="s">
        <v>9426</v>
      </c>
    </row>
    <row r="22965" customFormat="false" ht="12.8" hidden="false" customHeight="false" outlineLevel="0" collapsed="false">
      <c r="B22965" s="0" t="s">
        <v>1</v>
      </c>
      <c r="E22965" s="0" t="s">
        <v>63</v>
      </c>
      <c r="F22965" s="0" t="s">
        <v>8352</v>
      </c>
    </row>
    <row r="22966" customFormat="false" ht="12.8" hidden="false" customHeight="false" outlineLevel="0" collapsed="false">
      <c r="B22966" s="0" t="s">
        <v>1909</v>
      </c>
      <c r="E22966" s="0" t="s">
        <v>1840</v>
      </c>
      <c r="F22966" s="0" t="s">
        <v>9427</v>
      </c>
    </row>
    <row r="22968" customFormat="false" ht="12.8" hidden="false" customHeight="false" outlineLevel="0" collapsed="false">
      <c r="A22968" s="0" t="s">
        <v>9433</v>
      </c>
      <c r="B22968" s="0" t="str">
        <f aca="false">HYPERLINK("https://lindat.mff.cuni.cz/services/teitok/pdtc10/index.php?action=vallex&amp;frame=v-w2969f1", "odvozovat (v-w2969f1)")</f>
        <v>odvozovat (v-w2969f1)</v>
      </c>
      <c r="E22968" s="0" t="str">
        <f aca="false">HYPERLINK("https://lindat.mff.cuni.cz/services/SynSemClass40/SynSemClass40.html?veclass=vec00855#vec00855-ces-cm00004", "vec00855")</f>
        <v>vec00855</v>
      </c>
      <c r="F22968" s="0" t="s">
        <v>9410</v>
      </c>
    </row>
    <row r="22969" customFormat="false" ht="12.8" hidden="false" customHeight="false" outlineLevel="0" collapsed="false">
      <c r="B22969" s="0" t="s">
        <v>1</v>
      </c>
      <c r="C22969" s="0" t="s">
        <v>9411</v>
      </c>
      <c r="E22969" s="0" t="s">
        <v>9412</v>
      </c>
      <c r="F22969" s="0" t="s">
        <v>9413</v>
      </c>
    </row>
    <row r="22970" customFormat="false" ht="12.8" hidden="false" customHeight="false" outlineLevel="0" collapsed="false">
      <c r="B22970" s="0" t="s">
        <v>59</v>
      </c>
      <c r="C22970" s="0" t="s">
        <v>5618</v>
      </c>
      <c r="E22970" s="0" t="s">
        <v>9414</v>
      </c>
      <c r="F22970" s="0" t="s">
        <v>9415</v>
      </c>
    </row>
    <row r="22971" customFormat="false" ht="12.8" hidden="false" customHeight="false" outlineLevel="0" collapsed="false">
      <c r="B22971" s="0" t="s">
        <v>9416</v>
      </c>
      <c r="C22971" s="0" t="s">
        <v>4899</v>
      </c>
      <c r="E22971" s="0" t="s">
        <v>9417</v>
      </c>
      <c r="F22971" s="0" t="s">
        <v>9418</v>
      </c>
    </row>
    <row r="22973" customFormat="false" ht="12.8" hidden="false" customHeight="false" outlineLevel="0" collapsed="false">
      <c r="A22973" s="0" t="s">
        <v>9434</v>
      </c>
      <c r="B22973" s="0" t="str">
        <f aca="false">HYPERLINK("https://lindat.mff.cuni.cz/services/teitok/pdtc10/index.php?action=vallex&amp;frame=v-w2972f1", "odvracet (v-w2972f1)")</f>
        <v>odvracet (v-w2972f1)</v>
      </c>
      <c r="E22973" s="0" t="str">
        <f aca="false">HYPERLINK("https://lindat.mff.cuni.cz/services/SynSemClass40/SynSemClass40.html?veclass=vec00174#vec00174-ces-cm00113", "vec00174")</f>
        <v>vec00174</v>
      </c>
      <c r="F22973" s="0" t="s">
        <v>325</v>
      </c>
    </row>
    <row r="22974" customFormat="false" ht="12.8" hidden="false" customHeight="false" outlineLevel="0" collapsed="false">
      <c r="B22974" s="0" t="s">
        <v>1</v>
      </c>
      <c r="C22974" s="0" t="s">
        <v>326</v>
      </c>
      <c r="E22974" s="0" t="s">
        <v>76</v>
      </c>
      <c r="F22974" s="0" t="s">
        <v>327</v>
      </c>
    </row>
    <row r="22975" customFormat="false" ht="12.8" hidden="false" customHeight="false" outlineLevel="0" collapsed="false">
      <c r="B22975" s="0" t="s">
        <v>8</v>
      </c>
      <c r="C22975" s="0" t="s">
        <v>328</v>
      </c>
      <c r="E22975" s="0" t="s">
        <v>188</v>
      </c>
      <c r="F22975" s="0" t="s">
        <v>329</v>
      </c>
    </row>
    <row r="22977" customFormat="false" ht="12.8" hidden="false" customHeight="false" outlineLevel="0" collapsed="false">
      <c r="A22977" s="0" t="s">
        <v>9435</v>
      </c>
      <c r="B22977" s="0" t="str">
        <f aca="false">HYPERLINK("https://lindat.mff.cuni.cz/services/teitok/pdtc10/index.php?action=vallex&amp;frame=v-w2972hsa_865", "odvracet (v-w2972hsa_865)")</f>
        <v>odvracet (v-w2972hsa_865)</v>
      </c>
      <c r="E22977" s="0" t="str">
        <f aca="false">HYPERLINK("https://lindat.mff.cuni.cz/services/SynSemClass40/SynSemClass40.html?veclass=vec00854#vec00854-ces-cm00005", "vec00854")</f>
        <v>vec00854</v>
      </c>
      <c r="F22977" s="0" t="s">
        <v>9436</v>
      </c>
    </row>
    <row r="22978" customFormat="false" ht="12.8" hidden="false" customHeight="false" outlineLevel="0" collapsed="false">
      <c r="B22978" s="0" t="s">
        <v>1</v>
      </c>
      <c r="C22978" s="0" t="s">
        <v>106</v>
      </c>
      <c r="E22978" s="0" t="s">
        <v>4726</v>
      </c>
      <c r="F22978" s="0" t="s">
        <v>9437</v>
      </c>
    </row>
    <row r="22979" customFormat="false" ht="12.8" hidden="false" customHeight="false" outlineLevel="0" collapsed="false">
      <c r="B22979" s="0" t="s">
        <v>98</v>
      </c>
      <c r="C22979" s="0" t="s">
        <v>3880</v>
      </c>
      <c r="E22979" s="0" t="s">
        <v>9438</v>
      </c>
      <c r="F22979" s="0" t="s">
        <v>9439</v>
      </c>
    </row>
    <row r="22980" customFormat="false" ht="12.8" hidden="false" customHeight="false" outlineLevel="0" collapsed="false">
      <c r="B22980" s="0" t="s">
        <v>26</v>
      </c>
      <c r="C22980" s="0" t="s">
        <v>9440</v>
      </c>
      <c r="E22980" s="0" t="s">
        <v>532</v>
      </c>
      <c r="F22980" s="0" t="s">
        <v>9441</v>
      </c>
    </row>
    <row r="22982" customFormat="false" ht="12.8" hidden="false" customHeight="false" outlineLevel="0" collapsed="false">
      <c r="A22982" s="0" t="s">
        <v>9442</v>
      </c>
      <c r="B22982" s="0" t="str">
        <f aca="false">HYPERLINK("https://lindat.mff.cuni.cz/services/teitok/pdtc10/index.php?action=vallex&amp;frame=v-w2973f1", "odvracet se (v-w2973f1)")</f>
        <v>odvracet se (v-w2973f1)</v>
      </c>
    </row>
    <row r="22983" customFormat="false" ht="12.8" hidden="false" customHeight="false" outlineLevel="0" collapsed="false">
      <c r="B22983" s="0" t="s">
        <v>1</v>
      </c>
    </row>
    <row r="22984" customFormat="false" ht="12.8" hidden="false" customHeight="false" outlineLevel="0" collapsed="false">
      <c r="B22984" s="0" t="s">
        <v>26</v>
      </c>
    </row>
    <row r="22986" customFormat="false" ht="12.8" hidden="false" customHeight="false" outlineLevel="0" collapsed="false">
      <c r="A22986" s="0" t="s">
        <v>9443</v>
      </c>
      <c r="B22986" s="0" t="str">
        <f aca="false">HYPERLINK("https://lindat.mff.cuni.cz/services/teitok/pdtc10/index.php?action=vallex&amp;frame=v-w10418f2", "odvrhnout (v-w10418f2)")</f>
        <v>odvrhnout (v-w10418f2)</v>
      </c>
    </row>
    <row r="22987" customFormat="false" ht="12.8" hidden="false" customHeight="false" outlineLevel="0" collapsed="false">
      <c r="B22987" s="0" t="s">
        <v>1</v>
      </c>
    </row>
    <row r="22988" customFormat="false" ht="12.8" hidden="false" customHeight="false" outlineLevel="0" collapsed="false">
      <c r="B22988" s="0" t="s">
        <v>8</v>
      </c>
    </row>
    <row r="22990" customFormat="false" ht="12.8" hidden="false" customHeight="false" outlineLevel="0" collapsed="false">
      <c r="A22990" s="0" t="s">
        <v>9444</v>
      </c>
      <c r="B22990" s="0" t="str">
        <f aca="false">HYPERLINK("https://lindat.mff.cuni.cz/services/teitok/pdtc10/index.php?action=vallex&amp;frame=v-w2974f1", "odvrátit (v-w2974f1)")</f>
        <v>odvrátit (v-w2974f1)</v>
      </c>
      <c r="E22990" s="0" t="str">
        <f aca="false">HYPERLINK("https://lindat.mff.cuni.cz/services/SynSemClass40/SynSemClass40.html?veclass=vec00174#vec00174-ces-cm00009", "vec00174")</f>
        <v>vec00174</v>
      </c>
      <c r="F22990" s="0" t="s">
        <v>325</v>
      </c>
    </row>
    <row r="22991" customFormat="false" ht="12.8" hidden="false" customHeight="false" outlineLevel="0" collapsed="false">
      <c r="B22991" s="0" t="s">
        <v>1</v>
      </c>
      <c r="C22991" s="0" t="s">
        <v>326</v>
      </c>
      <c r="E22991" s="0" t="s">
        <v>76</v>
      </c>
      <c r="F22991" s="0" t="s">
        <v>327</v>
      </c>
    </row>
    <row r="22992" customFormat="false" ht="12.8" hidden="false" customHeight="false" outlineLevel="0" collapsed="false">
      <c r="B22992" s="0" t="s">
        <v>8</v>
      </c>
      <c r="C22992" s="0" t="s">
        <v>328</v>
      </c>
      <c r="E22992" s="0" t="s">
        <v>188</v>
      </c>
      <c r="F22992" s="0" t="s">
        <v>329</v>
      </c>
    </row>
    <row r="22994" customFormat="false" ht="12.8" hidden="false" customHeight="false" outlineLevel="0" collapsed="false">
      <c r="A22994" s="0" t="s">
        <v>9445</v>
      </c>
      <c r="B22994" s="0" t="str">
        <f aca="false">HYPERLINK("https://lindat.mff.cuni.cz/services/teitok/pdtc10/index.php?action=vallex&amp;frame=v-w2974f3_ZU", "odvrátit (v-w2974f3_ZU)")</f>
        <v>odvrátit (v-w2974f3_ZU)</v>
      </c>
    </row>
    <row r="22995" customFormat="false" ht="12.8" hidden="false" customHeight="false" outlineLevel="0" collapsed="false">
      <c r="B22995" s="0" t="s">
        <v>1</v>
      </c>
    </row>
    <row r="22996" customFormat="false" ht="12.8" hidden="false" customHeight="false" outlineLevel="0" collapsed="false">
      <c r="B22996" s="0" t="s">
        <v>8</v>
      </c>
    </row>
    <row r="22998" customFormat="false" ht="12.8" hidden="false" customHeight="false" outlineLevel="0" collapsed="false">
      <c r="A22998" s="0" t="s">
        <v>9446</v>
      </c>
      <c r="B22998" s="0" t="str">
        <f aca="false">HYPERLINK("https://lindat.mff.cuni.cz/services/teitok/pdtc10/index.php?action=vallex&amp;frame=v-w2974f2", "odvrátit (v-w2974f2)")</f>
        <v>odvrátit (v-w2974f2)</v>
      </c>
    </row>
    <row r="22999" customFormat="false" ht="12.8" hidden="false" customHeight="false" outlineLevel="0" collapsed="false">
      <c r="B22999" s="0" t="s">
        <v>1</v>
      </c>
    </row>
    <row r="23000" customFormat="false" ht="12.8" hidden="false" customHeight="false" outlineLevel="0" collapsed="false">
      <c r="B23000" s="0" t="s">
        <v>98</v>
      </c>
    </row>
    <row r="23001" customFormat="false" ht="12.8" hidden="false" customHeight="false" outlineLevel="0" collapsed="false">
      <c r="B23001" s="0" t="s">
        <v>444</v>
      </c>
    </row>
    <row r="23003" customFormat="false" ht="12.8" hidden="false" customHeight="false" outlineLevel="0" collapsed="false">
      <c r="A23003" s="0" t="s">
        <v>9447</v>
      </c>
      <c r="B23003" s="0" t="str">
        <f aca="false">HYPERLINK("https://lindat.mff.cuni.cz/services/teitok/pdtc10/index.php?action=vallex&amp;frame=v-w2975f1", "odvrátit se (v-w2975f1)")</f>
        <v>odvrátit se (v-w2975f1)</v>
      </c>
      <c r="E23003" s="0" t="str">
        <f aca="false">HYPERLINK("https://lindat.mff.cuni.cz/services/SynSemClass40/SynSemClass40.html?veclass=vec00849#vec00849-ces-cm00012", "vec00849")</f>
        <v>vec00849</v>
      </c>
      <c r="F23003" s="0" t="s">
        <v>8738</v>
      </c>
      <c r="H23003" s="0" t="str">
        <f aca="false">HYPERLINK("https://lindat.mff.cuni.cz/services/SynSemClass40/SynSemClass40.html?veclass=vec00942#vec00942-ces-cm00068", "vec00942")</f>
        <v>vec00942</v>
      </c>
      <c r="I23003" s="0" t="s">
        <v>1686</v>
      </c>
    </row>
    <row r="23004" customFormat="false" ht="12.8" hidden="false" customHeight="false" outlineLevel="0" collapsed="false">
      <c r="B23004" s="0" t="s">
        <v>1</v>
      </c>
      <c r="C23004" s="0" t="s">
        <v>8966</v>
      </c>
      <c r="E23004" s="0" t="s">
        <v>957</v>
      </c>
      <c r="F23004" s="0" t="s">
        <v>8739</v>
      </c>
      <c r="H23004" s="0" t="s">
        <v>11</v>
      </c>
      <c r="I23004" s="0" t="s">
        <v>1688</v>
      </c>
    </row>
    <row r="23005" customFormat="false" ht="12.8" hidden="false" customHeight="false" outlineLevel="0" collapsed="false">
      <c r="B23005" s="0" t="s">
        <v>26</v>
      </c>
      <c r="C23005" s="0" t="s">
        <v>8967</v>
      </c>
      <c r="E23005" s="0" t="s">
        <v>1823</v>
      </c>
      <c r="F23005" s="0" t="s">
        <v>8740</v>
      </c>
      <c r="H23005" s="0" t="s">
        <v>140</v>
      </c>
      <c r="I23005" s="0" t="s">
        <v>1691</v>
      </c>
    </row>
    <row r="23007" customFormat="false" ht="12.8" hidden="false" customHeight="false" outlineLevel="0" collapsed="false">
      <c r="A23007" s="0" t="s">
        <v>9448</v>
      </c>
      <c r="B23007" s="0" t="str">
        <f aca="false">HYPERLINK("https://lindat.mff.cuni.cz/services/teitok/pdtc10/index.php?action=vallex&amp;frame=v-whsa_1267hsa_1268", "odvykat (v-whsa_1267hsa_1268)")</f>
        <v>odvykat (v-whsa_1267hsa_1268)</v>
      </c>
    </row>
    <row r="23008" customFormat="false" ht="12.8" hidden="false" customHeight="false" outlineLevel="0" collapsed="false">
      <c r="B23008" s="0" t="s">
        <v>1</v>
      </c>
    </row>
    <row r="23009" customFormat="false" ht="12.8" hidden="false" customHeight="false" outlineLevel="0" collapsed="false">
      <c r="B23009" s="0" t="s">
        <v>186</v>
      </c>
    </row>
    <row r="23011" customFormat="false" ht="12.8" hidden="false" customHeight="false" outlineLevel="0" collapsed="false">
      <c r="A23011" s="0" t="s">
        <v>9449</v>
      </c>
      <c r="B23011" s="0" t="str">
        <f aca="false">HYPERLINK("https://lindat.mff.cuni.cz/services/teitok/pdtc10/index.php?action=vallex&amp;frame=v-w2976f1", "odvyknout (v-w2976f1)")</f>
        <v>odvyknout (v-w2976f1)</v>
      </c>
    </row>
    <row r="23012" customFormat="false" ht="12.8" hidden="false" customHeight="false" outlineLevel="0" collapsed="false">
      <c r="B23012" s="0" t="s">
        <v>1</v>
      </c>
    </row>
    <row r="23013" customFormat="false" ht="12.8" hidden="false" customHeight="false" outlineLevel="0" collapsed="false">
      <c r="B23013" s="0" t="s">
        <v>186</v>
      </c>
    </row>
    <row r="23015" customFormat="false" ht="12.8" hidden="false" customHeight="false" outlineLevel="0" collapsed="false">
      <c r="A23015" s="0" t="s">
        <v>9450</v>
      </c>
      <c r="B23015" s="0" t="str">
        <f aca="false">HYPERLINK("https://lindat.mff.cuni.cz/services/teitok/pdtc10/index.php?action=vallex&amp;frame=v-w2977f1", "odvyknout si (v-w2977f1)")</f>
        <v>odvyknout si (v-w2977f1)</v>
      </c>
    </row>
    <row r="23016" customFormat="false" ht="12.8" hidden="false" customHeight="false" outlineLevel="0" collapsed="false">
      <c r="B23016" s="0" t="s">
        <v>1</v>
      </c>
    </row>
    <row r="23017" customFormat="false" ht="12.8" hidden="false" customHeight="false" outlineLevel="0" collapsed="false">
      <c r="B23017" s="0" t="s">
        <v>9451</v>
      </c>
    </row>
    <row r="23019" customFormat="false" ht="12.8" hidden="false" customHeight="false" outlineLevel="0" collapsed="false">
      <c r="A23019" s="0" t="s">
        <v>9452</v>
      </c>
      <c r="B23019" s="0" t="str">
        <f aca="false">HYPERLINK("https://lindat.mff.cuni.cz/services/teitok/pdtc10/index.php?action=vallex&amp;frame=v-w2979f1", "odvysílat (v-w2979f1)")</f>
        <v>odvysílat (v-w2979f1)</v>
      </c>
      <c r="E23019" s="0" t="str">
        <f aca="false">HYPERLINK("https://lindat.mff.cuni.cz/services/SynSemClass40/SynSemClass40.html?veclass=vec00358#vec00358-ces-cm00009", "vec00358")</f>
        <v>vec00358</v>
      </c>
      <c r="F23019" s="0" t="s">
        <v>9453</v>
      </c>
    </row>
    <row r="23020" customFormat="false" ht="12.8" hidden="false" customHeight="false" outlineLevel="0" collapsed="false">
      <c r="B23020" s="0" t="s">
        <v>1</v>
      </c>
      <c r="C23020" s="0" t="s">
        <v>9454</v>
      </c>
      <c r="E23020" s="0" t="s">
        <v>9455</v>
      </c>
      <c r="F23020" s="0" t="s">
        <v>9456</v>
      </c>
    </row>
    <row r="23021" customFormat="false" ht="12.8" hidden="false" customHeight="false" outlineLevel="0" collapsed="false">
      <c r="B23021" s="0" t="s">
        <v>59</v>
      </c>
      <c r="C23021" s="0" t="s">
        <v>198</v>
      </c>
      <c r="E23021" s="0" t="s">
        <v>9457</v>
      </c>
      <c r="F23021" s="0" t="s">
        <v>9458</v>
      </c>
    </row>
    <row r="23023" customFormat="false" ht="12.8" hidden="false" customHeight="false" outlineLevel="0" collapsed="false">
      <c r="A23023" s="0" t="s">
        <v>9459</v>
      </c>
      <c r="B23023" s="0" t="str">
        <f aca="false">HYPERLINK("https://lindat.mff.cuni.cz/services/teitok/pdtc10/index.php?action=vallex&amp;frame=v-w2937f7", "odvádět (v-w2937f7)")</f>
        <v>odvádět (v-w2937f7)</v>
      </c>
    </row>
    <row r="23024" customFormat="false" ht="12.8" hidden="false" customHeight="false" outlineLevel="0" collapsed="false">
      <c r="B23024" s="0" t="s">
        <v>1</v>
      </c>
    </row>
    <row r="23025" customFormat="false" ht="12.8" hidden="false" customHeight="false" outlineLevel="0" collapsed="false">
      <c r="B23025" s="0" t="s">
        <v>8</v>
      </c>
    </row>
    <row r="23026" customFormat="false" ht="12.8" hidden="false" customHeight="false" outlineLevel="0" collapsed="false">
      <c r="B23026" s="0" t="s">
        <v>132</v>
      </c>
    </row>
    <row r="23027" customFormat="false" ht="12.8" hidden="false" customHeight="false" outlineLevel="0" collapsed="false">
      <c r="B23027" s="0" t="s">
        <v>723</v>
      </c>
    </row>
    <row r="23029" customFormat="false" ht="12.8" hidden="false" customHeight="false" outlineLevel="0" collapsed="false">
      <c r="A23029" s="0" t="s">
        <v>9460</v>
      </c>
      <c r="B23029" s="0" t="str">
        <f aca="false">HYPERLINK("https://lindat.mff.cuni.cz/services/teitok/pdtc10/index.php?action=vallex&amp;frame=v-w2937f1", "odvádět (v-w2937f1)")</f>
        <v>odvádět (v-w2937f1)</v>
      </c>
    </row>
    <row r="23030" customFormat="false" ht="12.8" hidden="false" customHeight="false" outlineLevel="0" collapsed="false">
      <c r="B23030" s="0" t="s">
        <v>1</v>
      </c>
    </row>
    <row r="23031" customFormat="false" ht="12.8" hidden="false" customHeight="false" outlineLevel="0" collapsed="false">
      <c r="B23031" s="0" t="s">
        <v>8</v>
      </c>
    </row>
    <row r="23032" customFormat="false" ht="12.8" hidden="false" customHeight="false" outlineLevel="0" collapsed="false">
      <c r="B23032" s="0" t="s">
        <v>132</v>
      </c>
    </row>
    <row r="23034" customFormat="false" ht="12.8" hidden="false" customHeight="false" outlineLevel="0" collapsed="false">
      <c r="A23034" s="0" t="s">
        <v>9461</v>
      </c>
      <c r="B23034" s="0" t="str">
        <f aca="false">HYPERLINK("https://lindat.mff.cuni.cz/services/teitok/pdtc10/index.php?action=vallex&amp;frame=v-w2937f2", "odvádět (v-w2937f2)")</f>
        <v>odvádět (v-w2937f2)</v>
      </c>
    </row>
    <row r="23035" customFormat="false" ht="12.8" hidden="false" customHeight="false" outlineLevel="0" collapsed="false">
      <c r="B23035" s="0" t="s">
        <v>1</v>
      </c>
    </row>
    <row r="23036" customFormat="false" ht="12.8" hidden="false" customHeight="false" outlineLevel="0" collapsed="false">
      <c r="B23036" s="0" t="s">
        <v>8</v>
      </c>
    </row>
    <row r="23037" customFormat="false" ht="12.8" hidden="false" customHeight="false" outlineLevel="0" collapsed="false">
      <c r="B23037" s="0" t="s">
        <v>631</v>
      </c>
    </row>
    <row r="23039" customFormat="false" ht="12.8" hidden="false" customHeight="false" outlineLevel="0" collapsed="false">
      <c r="A23039" s="0" t="s">
        <v>9462</v>
      </c>
      <c r="B23039" s="0" t="str">
        <f aca="false">HYPERLINK("https://lindat.mff.cuni.cz/services/teitok/pdtc10/index.php?action=vallex&amp;frame=v-w2937f4", "odvádět (v-w2937f4)")</f>
        <v>odvádět (v-w2937f4)</v>
      </c>
      <c r="E23039" s="0" t="str">
        <f aca="false">HYPERLINK("https://lindat.mff.cuni.cz/services/SynSemClass40/SynSemClass40.html?veclass=vec00854#vec00854-ces-cm00002", "vec00854")</f>
        <v>vec00854</v>
      </c>
      <c r="F23039" s="0" t="s">
        <v>9436</v>
      </c>
    </row>
    <row r="23040" customFormat="false" ht="12.8" hidden="false" customHeight="false" outlineLevel="0" collapsed="false">
      <c r="B23040" s="0" t="s">
        <v>1</v>
      </c>
      <c r="C23040" s="0" t="s">
        <v>106</v>
      </c>
      <c r="E23040" s="0" t="s">
        <v>4726</v>
      </c>
      <c r="F23040" s="0" t="s">
        <v>9437</v>
      </c>
    </row>
    <row r="23041" customFormat="false" ht="12.8" hidden="false" customHeight="false" outlineLevel="0" collapsed="false">
      <c r="B23041" s="0" t="s">
        <v>8</v>
      </c>
      <c r="C23041" s="0" t="s">
        <v>1940</v>
      </c>
      <c r="E23041" s="0" t="s">
        <v>1732</v>
      </c>
      <c r="F23041" s="0" t="s">
        <v>9463</v>
      </c>
    </row>
    <row r="23042" customFormat="false" ht="12.8" hidden="false" customHeight="false" outlineLevel="0" collapsed="false">
      <c r="B23042" s="0" t="s">
        <v>631</v>
      </c>
      <c r="C23042" s="0" t="s">
        <v>9347</v>
      </c>
      <c r="E23042" s="0" t="s">
        <v>4050</v>
      </c>
      <c r="F23042" s="0" t="s">
        <v>9464</v>
      </c>
    </row>
    <row r="23044" customFormat="false" ht="12.8" hidden="false" customHeight="false" outlineLevel="0" collapsed="false">
      <c r="A23044" s="0" t="s">
        <v>9465</v>
      </c>
      <c r="B23044" s="0" t="str">
        <f aca="false">HYPERLINK("https://lindat.mff.cuni.cz/services/teitok/pdtc10/index.php?action=vallex&amp;frame=v-w2937f5", "odvádět (v-w2937f5)")</f>
        <v>odvádět (v-w2937f5)</v>
      </c>
    </row>
    <row r="23045" customFormat="false" ht="12.8" hidden="false" customHeight="false" outlineLevel="0" collapsed="false">
      <c r="B23045" s="0" t="s">
        <v>1</v>
      </c>
    </row>
    <row r="23046" customFormat="false" ht="12.8" hidden="false" customHeight="false" outlineLevel="0" collapsed="false">
      <c r="B23046" s="0" t="s">
        <v>8</v>
      </c>
    </row>
    <row r="23047" customFormat="false" ht="12.8" hidden="false" customHeight="false" outlineLevel="0" collapsed="false">
      <c r="B23047" s="0" t="s">
        <v>164</v>
      </c>
    </row>
    <row r="23049" customFormat="false" ht="12.8" hidden="false" customHeight="false" outlineLevel="0" collapsed="false">
      <c r="A23049" s="0" t="s">
        <v>9466</v>
      </c>
      <c r="B23049" s="0" t="str">
        <f aca="false">HYPERLINK("https://lindat.mff.cuni.cz/services/teitok/pdtc10/index.php?action=vallex&amp;frame=v-w2937f3", "odvádět (v-w2937f3)")</f>
        <v>odvádět (v-w2937f3)</v>
      </c>
      <c r="E23049" s="0" t="str">
        <f aca="false">HYPERLINK("https://lindat.mff.cuni.cz/services/SynSemClass40/SynSemClass40.html?veclass=vec01414#vec01414-ces-cm00003", "vec01414")</f>
        <v>vec01414</v>
      </c>
      <c r="F23049" s="0" t="s">
        <v>5475</v>
      </c>
    </row>
    <row r="23050" customFormat="false" ht="12.8" hidden="false" customHeight="false" outlineLevel="0" collapsed="false">
      <c r="B23050" s="0" t="s">
        <v>1</v>
      </c>
      <c r="C23050" s="0" t="s">
        <v>5476</v>
      </c>
      <c r="E23050" s="0" t="s">
        <v>31</v>
      </c>
      <c r="F23050" s="0" t="s">
        <v>5477</v>
      </c>
    </row>
    <row r="23051" customFormat="false" ht="12.8" hidden="false" customHeight="false" outlineLevel="0" collapsed="false">
      <c r="B23051" s="0" t="s">
        <v>8</v>
      </c>
      <c r="C23051" s="0" t="s">
        <v>5478</v>
      </c>
      <c r="E23051" s="0" t="s">
        <v>14</v>
      </c>
      <c r="F23051" s="0" t="s">
        <v>5479</v>
      </c>
    </row>
    <row r="23053" customFormat="false" ht="12.8" hidden="false" customHeight="false" outlineLevel="0" collapsed="false">
      <c r="A23053" s="0" t="s">
        <v>9467</v>
      </c>
      <c r="B23053" s="0" t="str">
        <f aca="false">HYPERLINK("https://lindat.mff.cuni.cz/services/teitok/pdtc10/index.php?action=vallex&amp;frame=v-w2937f6", "odvádět (v-w2937f6)")</f>
        <v>odvádět (v-w2937f6)</v>
      </c>
    </row>
    <row r="23054" customFormat="false" ht="12.8" hidden="false" customHeight="false" outlineLevel="0" collapsed="false">
      <c r="B23054" s="0" t="s">
        <v>1</v>
      </c>
    </row>
    <row r="23055" customFormat="false" ht="12.8" hidden="false" customHeight="false" outlineLevel="0" collapsed="false">
      <c r="B23055" s="0" t="s">
        <v>865</v>
      </c>
    </row>
    <row r="23056" customFormat="false" ht="12.8" hidden="false" customHeight="false" outlineLevel="0" collapsed="false">
      <c r="B23056" s="0" t="s">
        <v>2069</v>
      </c>
    </row>
    <row r="23057" customFormat="false" ht="12.8" hidden="false" customHeight="false" outlineLevel="0" collapsed="false">
      <c r="B23057" s="0" t="s">
        <v>132</v>
      </c>
    </row>
    <row r="23059" customFormat="false" ht="12.8" hidden="false" customHeight="false" outlineLevel="0" collapsed="false">
      <c r="A23059" s="0" t="s">
        <v>9468</v>
      </c>
      <c r="B23059" s="0" t="str">
        <f aca="false">HYPERLINK("https://lindat.mff.cuni.cz/services/teitok/pdtc10/index.php?action=vallex&amp;frame=v-w2941f1", "odvát (v-w2941f1)")</f>
        <v>odvát (v-w2941f1)</v>
      </c>
      <c r="E23059" s="0" t="str">
        <f aca="false">HYPERLINK("https://lindat.mff.cuni.cz/services/SynSemClass40/SynSemClass40.html?veclass=vec00848#vec00848-ces-cm00011", "vec00848")</f>
        <v>vec00848</v>
      </c>
      <c r="F23059" s="0" t="s">
        <v>8813</v>
      </c>
    </row>
    <row r="23060" customFormat="false" ht="12.8" hidden="false" customHeight="false" outlineLevel="0" collapsed="false">
      <c r="B23060" s="0" t="s">
        <v>1</v>
      </c>
      <c r="C23060" s="0" t="s">
        <v>4695</v>
      </c>
      <c r="E23060" s="0" t="s">
        <v>31</v>
      </c>
      <c r="F23060" s="0" t="s">
        <v>460</v>
      </c>
    </row>
    <row r="23061" customFormat="false" ht="12.8" hidden="false" customHeight="false" outlineLevel="0" collapsed="false">
      <c r="B23061" s="0" t="s">
        <v>8</v>
      </c>
      <c r="C23061" s="0" t="s">
        <v>462</v>
      </c>
      <c r="E23061" s="0" t="s">
        <v>142</v>
      </c>
      <c r="F23061" s="0" t="s">
        <v>8814</v>
      </c>
    </row>
    <row r="23063" customFormat="false" ht="12.8" hidden="false" customHeight="false" outlineLevel="0" collapsed="false">
      <c r="A23063" s="0" t="s">
        <v>9469</v>
      </c>
      <c r="B23063" s="0" t="str">
        <f aca="false">HYPERLINK("https://lindat.mff.cuni.cz/services/teitok/pdtc10/index.php?action=vallex&amp;frame=v-whsa_612hsa_613", "odvázat se (v-whsa_612hsa_613)")</f>
        <v>odvázat se (v-whsa_612hsa_613)</v>
      </c>
    </row>
    <row r="23064" customFormat="false" ht="12.8" hidden="false" customHeight="false" outlineLevel="0" collapsed="false">
      <c r="B23064" s="0" t="s">
        <v>1</v>
      </c>
    </row>
    <row r="23066" customFormat="false" ht="12.8" hidden="false" customHeight="false" outlineLevel="0" collapsed="false">
      <c r="A23066" s="0" t="s">
        <v>9470</v>
      </c>
      <c r="B23066" s="0" t="str">
        <f aca="false">HYPERLINK("https://lindat.mff.cuni.cz/services/teitok/pdtc10/index.php?action=vallex&amp;frame=v-w2942f2", "odvážet (v-w2942f2)")</f>
        <v>odvážet (v-w2942f2)</v>
      </c>
      <c r="E23066" s="0" t="str">
        <f aca="false">HYPERLINK("https://lindat.mff.cuni.cz/services/SynSemClass40/SynSemClass40.html?veclass=vec00011#vec00011-ces-cm00172", "vec00011")</f>
        <v>vec00011</v>
      </c>
      <c r="F23066" s="0" t="s">
        <v>2193</v>
      </c>
    </row>
    <row r="23067" customFormat="false" ht="12.8" hidden="false" customHeight="false" outlineLevel="0" collapsed="false">
      <c r="B23067" s="0" t="s">
        <v>1</v>
      </c>
      <c r="C23067" s="0" t="s">
        <v>2209</v>
      </c>
      <c r="E23067" s="0" t="s">
        <v>2196</v>
      </c>
      <c r="F23067" s="0" t="s">
        <v>2197</v>
      </c>
    </row>
    <row r="23068" customFormat="false" ht="12.8" hidden="false" customHeight="false" outlineLevel="0" collapsed="false">
      <c r="B23068" s="0" t="s">
        <v>8</v>
      </c>
      <c r="C23068" s="0" t="s">
        <v>2210</v>
      </c>
      <c r="E23068" s="0" t="s">
        <v>2200</v>
      </c>
      <c r="F23068" s="0" t="s">
        <v>2201</v>
      </c>
    </row>
    <row r="23069" customFormat="false" ht="12.8" hidden="false" customHeight="false" outlineLevel="0" collapsed="false">
      <c r="B23069" s="0" t="s">
        <v>52</v>
      </c>
      <c r="C23069" s="0" t="s">
        <v>2511</v>
      </c>
      <c r="E23069" s="0" t="s">
        <v>53</v>
      </c>
      <c r="F23069" s="0" t="s">
        <v>2204</v>
      </c>
    </row>
    <row r="23071" customFormat="false" ht="12.8" hidden="false" customHeight="false" outlineLevel="0" collapsed="false">
      <c r="A23071" s="0" t="s">
        <v>9471</v>
      </c>
      <c r="B23071" s="0" t="str">
        <f aca="false">HYPERLINK("https://lindat.mff.cuni.cz/services/teitok/pdtc10/index.php?action=vallex&amp;frame=v-w2942f1", "odvážet (v-w2942f1)")</f>
        <v>odvážet (v-w2942f1)</v>
      </c>
    </row>
    <row r="23072" customFormat="false" ht="12.8" hidden="false" customHeight="false" outlineLevel="0" collapsed="false">
      <c r="B23072" s="0" t="s">
        <v>1</v>
      </c>
    </row>
    <row r="23073" customFormat="false" ht="12.8" hidden="false" customHeight="false" outlineLevel="0" collapsed="false">
      <c r="B23073" s="0" t="s">
        <v>8</v>
      </c>
    </row>
    <row r="23074" customFormat="false" ht="12.8" hidden="false" customHeight="false" outlineLevel="0" collapsed="false">
      <c r="B23074" s="0" t="s">
        <v>631</v>
      </c>
    </row>
    <row r="23076" customFormat="false" ht="12.8" hidden="false" customHeight="false" outlineLevel="0" collapsed="false">
      <c r="A23076" s="0" t="s">
        <v>9472</v>
      </c>
      <c r="B23076" s="0" t="str">
        <f aca="false">HYPERLINK("https://lindat.mff.cuni.cz/services/teitok/pdtc10/index.php?action=vallex&amp;frame=v-w2942f3", "odvážet (v-w2942f3)")</f>
        <v>odvážet (v-w2942f3)</v>
      </c>
      <c r="E23076" s="0" t="str">
        <f aca="false">HYPERLINK("https://lindat.mff.cuni.cz/services/SynSemClass40/SynSemClass40.html?veclass=vec00172#vec00172-ces-cm00026", "vec00172")</f>
        <v>vec00172</v>
      </c>
      <c r="F23076" s="0" t="s">
        <v>2513</v>
      </c>
    </row>
    <row r="23077" customFormat="false" ht="12.8" hidden="false" customHeight="false" outlineLevel="0" collapsed="false">
      <c r="B23077" s="0" t="s">
        <v>1</v>
      </c>
      <c r="C23077" s="0" t="s">
        <v>9473</v>
      </c>
      <c r="E23077" s="0" t="s">
        <v>2196</v>
      </c>
      <c r="F23077" s="0" t="s">
        <v>2515</v>
      </c>
    </row>
    <row r="23078" customFormat="false" ht="12.8" hidden="false" customHeight="false" outlineLevel="0" collapsed="false">
      <c r="B23078" s="0" t="s">
        <v>8</v>
      </c>
      <c r="C23078" s="0" t="s">
        <v>9474</v>
      </c>
      <c r="E23078" s="0" t="s">
        <v>2200</v>
      </c>
      <c r="F23078" s="0" t="s">
        <v>2517</v>
      </c>
    </row>
    <row r="23079" customFormat="false" ht="12.8" hidden="false" customHeight="false" outlineLevel="0" collapsed="false">
      <c r="B23079" s="0" t="s">
        <v>164</v>
      </c>
      <c r="E23079" s="0" t="s">
        <v>1315</v>
      </c>
      <c r="F23079" s="0" t="s">
        <v>1316</v>
      </c>
    </row>
    <row r="23081" customFormat="false" ht="12.8" hidden="false" customHeight="false" outlineLevel="0" collapsed="false">
      <c r="A23081" s="0" t="s">
        <v>9475</v>
      </c>
      <c r="B23081" s="0" t="str">
        <f aca="false">HYPERLINK("https://lindat.mff.cuni.cz/services/teitok/pdtc10/index.php?action=vallex&amp;frame=v-w2943f1", "odvážit (v-w2943f1)")</f>
        <v>odvážit (v-w2943f1)</v>
      </c>
    </row>
    <row r="23082" customFormat="false" ht="12.8" hidden="false" customHeight="false" outlineLevel="0" collapsed="false">
      <c r="B23082" s="0" t="s">
        <v>1</v>
      </c>
    </row>
    <row r="23083" customFormat="false" ht="12.8" hidden="false" customHeight="false" outlineLevel="0" collapsed="false">
      <c r="B23083" s="0" t="s">
        <v>8</v>
      </c>
    </row>
    <row r="23085" customFormat="false" ht="12.8" hidden="false" customHeight="false" outlineLevel="0" collapsed="false">
      <c r="A23085" s="0" t="s">
        <v>9476</v>
      </c>
      <c r="B23085" s="0" t="str">
        <f aca="false">HYPERLINK("https://lindat.mff.cuni.cz/services/teitok/pdtc10/index.php?action=vallex&amp;frame=v-w2944f1", "odvážit se (v-w2944f1)")</f>
        <v>odvážit se (v-w2944f1)</v>
      </c>
      <c r="E23085" s="0" t="str">
        <f aca="false">HYPERLINK("https://lindat.mff.cuni.cz/services/SynSemClass40/SynSemClass40.html?veclass=vec01061#vec01061-ces-cm00001", "vec01061")</f>
        <v>vec01061</v>
      </c>
      <c r="F23085" s="0" t="s">
        <v>9397</v>
      </c>
    </row>
    <row r="23086" customFormat="false" ht="12.8" hidden="false" customHeight="false" outlineLevel="0" collapsed="false">
      <c r="B23086" s="0" t="s">
        <v>1</v>
      </c>
      <c r="C23086" s="0" t="s">
        <v>9398</v>
      </c>
      <c r="E23086" s="0" t="s">
        <v>11</v>
      </c>
      <c r="F23086" s="0" t="s">
        <v>9399</v>
      </c>
    </row>
    <row r="23087" customFormat="false" ht="12.8" hidden="false" customHeight="false" outlineLevel="0" collapsed="false">
      <c r="B23087" s="0" t="s">
        <v>9477</v>
      </c>
      <c r="C23087" s="0" t="s">
        <v>9401</v>
      </c>
      <c r="E23087" s="0" t="s">
        <v>79</v>
      </c>
      <c r="F23087" s="0" t="s">
        <v>9402</v>
      </c>
    </row>
    <row r="23089" customFormat="false" ht="12.8" hidden="false" customHeight="false" outlineLevel="0" collapsed="false">
      <c r="A23089" s="0" t="s">
        <v>9478</v>
      </c>
      <c r="B23089" s="0" t="str">
        <f aca="false">HYPERLINK("https://lindat.mff.cuni.cz/services/teitok/pdtc10/index.php?action=vallex&amp;frame=v-w2944f2_ZU", "odvážit se (v-w2944f2_ZU)")</f>
        <v>odvážit se (v-w2944f2_ZU)</v>
      </c>
    </row>
    <row r="23090" customFormat="false" ht="12.8" hidden="false" customHeight="false" outlineLevel="0" collapsed="false">
      <c r="B23090" s="0" t="s">
        <v>1</v>
      </c>
    </row>
    <row r="23091" customFormat="false" ht="12.8" hidden="false" customHeight="false" outlineLevel="0" collapsed="false">
      <c r="B23091" s="0" t="s">
        <v>454</v>
      </c>
    </row>
    <row r="23093" customFormat="false" ht="12.8" hidden="false" customHeight="false" outlineLevel="0" collapsed="false">
      <c r="A23093" s="0" t="s">
        <v>9479</v>
      </c>
      <c r="B23093" s="0" t="str">
        <f aca="false">HYPERLINK("https://lindat.mff.cuni.cz/services/teitok/pdtc10/index.php?action=vallex&amp;frame=v-w2949f2", "odvést (v-w2949f2)")</f>
        <v>odvést (v-w2949f2)</v>
      </c>
      <c r="E23093" s="0" t="str">
        <f aca="false">HYPERLINK("https://lindat.mff.cuni.cz/services/SynSemClass40/SynSemClass40.html?veclass=vec00854#vec00854-ces-cm00001", "vec00854")</f>
        <v>vec00854</v>
      </c>
      <c r="F23093" s="0" t="s">
        <v>9436</v>
      </c>
    </row>
    <row r="23094" customFormat="false" ht="12.8" hidden="false" customHeight="false" outlineLevel="0" collapsed="false">
      <c r="B23094" s="0" t="s">
        <v>1</v>
      </c>
      <c r="C23094" s="0" t="s">
        <v>106</v>
      </c>
      <c r="E23094" s="0" t="s">
        <v>4726</v>
      </c>
      <c r="F23094" s="0" t="s">
        <v>9437</v>
      </c>
    </row>
    <row r="23095" customFormat="false" ht="12.8" hidden="false" customHeight="false" outlineLevel="0" collapsed="false">
      <c r="B23095" s="0" t="s">
        <v>8</v>
      </c>
      <c r="C23095" s="0" t="s">
        <v>1940</v>
      </c>
      <c r="E23095" s="0" t="s">
        <v>1732</v>
      </c>
      <c r="F23095" s="0" t="s">
        <v>9463</v>
      </c>
    </row>
    <row r="23096" customFormat="false" ht="12.8" hidden="false" customHeight="false" outlineLevel="0" collapsed="false">
      <c r="B23096" s="0" t="s">
        <v>631</v>
      </c>
      <c r="C23096" s="0" t="s">
        <v>9347</v>
      </c>
      <c r="E23096" s="0" t="s">
        <v>4050</v>
      </c>
      <c r="F23096" s="0" t="s">
        <v>9464</v>
      </c>
    </row>
    <row r="23098" customFormat="false" ht="12.8" hidden="false" customHeight="false" outlineLevel="0" collapsed="false">
      <c r="A23098" s="0" t="s">
        <v>9480</v>
      </c>
      <c r="B23098" s="0" t="str">
        <f aca="false">HYPERLINK("https://lindat.mff.cuni.cz/services/teitok/pdtc10/index.php?action=vallex&amp;frame=v-w2949f3", "odvést (v-w2949f3)")</f>
        <v>odvést (v-w2949f3)</v>
      </c>
      <c r="E23098" s="0" t="str">
        <f aca="false">HYPERLINK("https://lindat.mff.cuni.cz/services/SynSemClass40/SynSemClass40.html?veclass=vec01377#vec01377-ces-cm00002", "vec01377")</f>
        <v>vec01377</v>
      </c>
      <c r="F23098" s="0" t="s">
        <v>2643</v>
      </c>
      <c r="H23098" s="0" t="str">
        <f aca="false">HYPERLINK("https://lindat.mff.cuni.cz/services/SynSemClass40/SynSemClass40.html?veclass=vec01394#vec01394-ces-cm00005", "vec01394")</f>
        <v>vec01394</v>
      </c>
      <c r="I23098" s="0" t="s">
        <v>2660</v>
      </c>
    </row>
    <row r="23099" customFormat="false" ht="12.8" hidden="false" customHeight="false" outlineLevel="0" collapsed="false">
      <c r="B23099" s="0" t="s">
        <v>1</v>
      </c>
      <c r="C23099" s="0" t="s">
        <v>2514</v>
      </c>
      <c r="E23099" s="0" t="s">
        <v>2645</v>
      </c>
      <c r="F23099" s="0" t="s">
        <v>2646</v>
      </c>
      <c r="H23099" s="0" t="s">
        <v>2241</v>
      </c>
      <c r="I23099" s="0" t="s">
        <v>2663</v>
      </c>
    </row>
    <row r="23100" customFormat="false" ht="12.8" hidden="false" customHeight="false" outlineLevel="0" collapsed="false">
      <c r="B23100" s="0" t="s">
        <v>8</v>
      </c>
      <c r="C23100" s="0" t="s">
        <v>3117</v>
      </c>
      <c r="E23100" s="0" t="s">
        <v>2648</v>
      </c>
      <c r="F23100" s="0" t="s">
        <v>2649</v>
      </c>
      <c r="H23100" s="0" t="s">
        <v>2665</v>
      </c>
      <c r="I23100" s="0" t="s">
        <v>2667</v>
      </c>
    </row>
    <row r="23101" customFormat="false" ht="12.8" hidden="false" customHeight="false" outlineLevel="0" collapsed="false">
      <c r="B23101" s="0" t="s">
        <v>164</v>
      </c>
      <c r="C23101" s="0" t="s">
        <v>2211</v>
      </c>
      <c r="E23101" s="0" t="s">
        <v>370</v>
      </c>
      <c r="F23101" s="0" t="s">
        <v>2652</v>
      </c>
      <c r="H23101" s="0" t="s">
        <v>2365</v>
      </c>
      <c r="I23101" s="0" t="s">
        <v>3118</v>
      </c>
    </row>
    <row r="23103" customFormat="false" ht="12.8" hidden="false" customHeight="false" outlineLevel="0" collapsed="false">
      <c r="A23103" s="0" t="s">
        <v>9481</v>
      </c>
      <c r="B23103" s="0" t="str">
        <f aca="false">HYPERLINK("https://lindat.mff.cuni.cz/services/teitok/pdtc10/index.php?action=vallex&amp;frame=v-w2949f1", "odvést (v-w2949f1)")</f>
        <v>odvést (v-w2949f1)</v>
      </c>
      <c r="E23103" s="0" t="str">
        <f aca="false">HYPERLINK("https://lindat.mff.cuni.cz/services/SynSemClass40/SynSemClass40.html?veclass=vec01414#vec01414-ces-cm00004", "vec01414")</f>
        <v>vec01414</v>
      </c>
      <c r="F23103" s="0" t="s">
        <v>5475</v>
      </c>
    </row>
    <row r="23104" customFormat="false" ht="12.8" hidden="false" customHeight="false" outlineLevel="0" collapsed="false">
      <c r="B23104" s="0" t="s">
        <v>1</v>
      </c>
      <c r="C23104" s="0" t="s">
        <v>5476</v>
      </c>
      <c r="E23104" s="0" t="s">
        <v>31</v>
      </c>
      <c r="F23104" s="0" t="s">
        <v>5477</v>
      </c>
    </row>
    <row r="23105" customFormat="false" ht="12.8" hidden="false" customHeight="false" outlineLevel="0" collapsed="false">
      <c r="B23105" s="0" t="s">
        <v>8</v>
      </c>
      <c r="C23105" s="0" t="s">
        <v>5478</v>
      </c>
      <c r="E23105" s="0" t="s">
        <v>14</v>
      </c>
      <c r="F23105" s="0" t="s">
        <v>5479</v>
      </c>
    </row>
    <row r="23107" customFormat="false" ht="12.8" hidden="false" customHeight="false" outlineLevel="0" collapsed="false">
      <c r="A23107" s="0" t="s">
        <v>9482</v>
      </c>
      <c r="B23107" s="0" t="str">
        <f aca="false">HYPERLINK("https://lindat.mff.cuni.cz/services/teitok/pdtc10/index.php?action=vallex&amp;frame=v-w2949f4", "odvést (v-w2949f4)")</f>
        <v>odvést (v-w2949f4)</v>
      </c>
    </row>
    <row r="23108" customFormat="false" ht="12.8" hidden="false" customHeight="false" outlineLevel="0" collapsed="false">
      <c r="B23108" s="0" t="s">
        <v>1</v>
      </c>
    </row>
    <row r="23109" customFormat="false" ht="12.8" hidden="false" customHeight="false" outlineLevel="0" collapsed="false">
      <c r="B23109" s="0" t="s">
        <v>865</v>
      </c>
    </row>
    <row r="23110" customFormat="false" ht="12.8" hidden="false" customHeight="false" outlineLevel="0" collapsed="false">
      <c r="B23110" s="0" t="s">
        <v>2069</v>
      </c>
    </row>
    <row r="23111" customFormat="false" ht="12.8" hidden="false" customHeight="false" outlineLevel="0" collapsed="false">
      <c r="B23111" s="0" t="s">
        <v>132</v>
      </c>
    </row>
    <row r="23113" customFormat="false" ht="12.8" hidden="false" customHeight="false" outlineLevel="0" collapsed="false">
      <c r="A23113" s="0" t="s">
        <v>9483</v>
      </c>
      <c r="B23113" s="0" t="str">
        <f aca="false">HYPERLINK("https://lindat.mff.cuni.cz/services/teitok/pdtc10/index.php?action=vallex&amp;frame=v-w2949hsa_596", "odvést (v-w2949hsa_596)")</f>
        <v>odvést (v-w2949hsa_596)</v>
      </c>
    </row>
    <row r="23114" customFormat="false" ht="12.8" hidden="false" customHeight="false" outlineLevel="0" collapsed="false">
      <c r="B23114" s="0" t="s">
        <v>1</v>
      </c>
    </row>
    <row r="23115" customFormat="false" ht="12.8" hidden="false" customHeight="false" outlineLevel="0" collapsed="false">
      <c r="B23115" s="0" t="s">
        <v>8</v>
      </c>
    </row>
    <row r="23116" customFormat="false" ht="12.8" hidden="false" customHeight="false" outlineLevel="0" collapsed="false">
      <c r="B23116" s="0" t="s">
        <v>631</v>
      </c>
    </row>
    <row r="23118" customFormat="false" ht="12.8" hidden="false" customHeight="false" outlineLevel="0" collapsed="false">
      <c r="A23118" s="0" t="s">
        <v>9484</v>
      </c>
      <c r="B23118" s="0" t="str">
        <f aca="false">HYPERLINK("https://lindat.mff.cuni.cz/services/teitok/pdtc10/index.php?action=vallex&amp;frame=v-w2953f3", "odvézt (v-w2953f3)")</f>
        <v>odvézt (v-w2953f3)</v>
      </c>
      <c r="E23118" s="0" t="str">
        <f aca="false">HYPERLINK("https://lindat.mff.cuni.cz/services/SynSemClass40/SynSemClass40.html?veclass=vec00011#vec00011-ces-cm00179", "vec00011")</f>
        <v>vec00011</v>
      </c>
      <c r="F23118" s="0" t="s">
        <v>2193</v>
      </c>
    </row>
    <row r="23119" customFormat="false" ht="12.8" hidden="false" customHeight="false" outlineLevel="0" collapsed="false">
      <c r="B23119" s="0" t="s">
        <v>1</v>
      </c>
      <c r="C23119" s="0" t="s">
        <v>2209</v>
      </c>
      <c r="E23119" s="0" t="s">
        <v>2196</v>
      </c>
      <c r="F23119" s="0" t="s">
        <v>2197</v>
      </c>
    </row>
    <row r="23120" customFormat="false" ht="12.8" hidden="false" customHeight="false" outlineLevel="0" collapsed="false">
      <c r="B23120" s="0" t="s">
        <v>8</v>
      </c>
      <c r="C23120" s="0" t="s">
        <v>2210</v>
      </c>
      <c r="E23120" s="0" t="s">
        <v>2200</v>
      </c>
      <c r="F23120" s="0" t="s">
        <v>2201</v>
      </c>
    </row>
    <row r="23121" customFormat="false" ht="12.8" hidden="false" customHeight="false" outlineLevel="0" collapsed="false">
      <c r="B23121" s="0" t="s">
        <v>52</v>
      </c>
      <c r="C23121" s="0" t="s">
        <v>2511</v>
      </c>
      <c r="E23121" s="0" t="s">
        <v>53</v>
      </c>
      <c r="F23121" s="0" t="s">
        <v>2204</v>
      </c>
    </row>
    <row r="23123" customFormat="false" ht="12.8" hidden="false" customHeight="false" outlineLevel="0" collapsed="false">
      <c r="A23123" s="0" t="s">
        <v>9485</v>
      </c>
      <c r="B23123" s="0" t="str">
        <f aca="false">HYPERLINK("https://lindat.mff.cuni.cz/services/teitok/pdtc10/index.php?action=vallex&amp;frame=v-w2953f1", "odvézt (v-w2953f1)")</f>
        <v>odvézt (v-w2953f1)</v>
      </c>
    </row>
    <row r="23124" customFormat="false" ht="12.8" hidden="false" customHeight="false" outlineLevel="0" collapsed="false">
      <c r="B23124" s="0" t="s">
        <v>1</v>
      </c>
    </row>
    <row r="23125" customFormat="false" ht="12.8" hidden="false" customHeight="false" outlineLevel="0" collapsed="false">
      <c r="B23125" s="0" t="s">
        <v>8</v>
      </c>
    </row>
    <row r="23126" customFormat="false" ht="12.8" hidden="false" customHeight="false" outlineLevel="0" collapsed="false">
      <c r="B23126" s="0" t="s">
        <v>631</v>
      </c>
    </row>
    <row r="23128" customFormat="false" ht="12.8" hidden="false" customHeight="false" outlineLevel="0" collapsed="false">
      <c r="A23128" s="0" t="s">
        <v>9486</v>
      </c>
      <c r="B23128" s="0" t="str">
        <f aca="false">HYPERLINK("https://lindat.mff.cuni.cz/services/teitok/pdtc10/index.php?action=vallex&amp;frame=v-w2953f2", "odvézt (v-w2953f2)")</f>
        <v>odvézt (v-w2953f2)</v>
      </c>
      <c r="E23128" s="0" t="str">
        <f aca="false">HYPERLINK("https://lindat.mff.cuni.cz/services/SynSemClass40/SynSemClass40.html?veclass=vec00172#vec00172-ces-cm00008", "vec00172")</f>
        <v>vec00172</v>
      </c>
      <c r="F23128" s="0" t="s">
        <v>2513</v>
      </c>
      <c r="H23128" s="0" t="str">
        <f aca="false">HYPERLINK("https://lindat.mff.cuni.cz/services/SynSemClass40/SynSemClass40.html?veclass=vec01377#vec01377-ces-cm00023", "vec01377")</f>
        <v>vec01377</v>
      </c>
      <c r="I23128" s="0" t="s">
        <v>2643</v>
      </c>
    </row>
    <row r="23129" customFormat="false" ht="12.8" hidden="false" customHeight="false" outlineLevel="0" collapsed="false">
      <c r="B23129" s="0" t="s">
        <v>1</v>
      </c>
      <c r="C23129" s="0" t="s">
        <v>9487</v>
      </c>
      <c r="E23129" s="0" t="s">
        <v>2196</v>
      </c>
      <c r="F23129" s="0" t="s">
        <v>2515</v>
      </c>
      <c r="H23129" s="0" t="s">
        <v>2645</v>
      </c>
      <c r="I23129" s="0" t="s">
        <v>2646</v>
      </c>
    </row>
    <row r="23130" customFormat="false" ht="12.8" hidden="false" customHeight="false" outlineLevel="0" collapsed="false">
      <c r="B23130" s="0" t="s">
        <v>8</v>
      </c>
      <c r="C23130" s="0" t="s">
        <v>9488</v>
      </c>
      <c r="E23130" s="0" t="s">
        <v>2200</v>
      </c>
      <c r="F23130" s="0" t="s">
        <v>2517</v>
      </c>
      <c r="H23130" s="0" t="s">
        <v>2648</v>
      </c>
      <c r="I23130" s="0" t="s">
        <v>2649</v>
      </c>
    </row>
    <row r="23131" customFormat="false" ht="12.8" hidden="false" customHeight="false" outlineLevel="0" collapsed="false">
      <c r="B23131" s="0" t="s">
        <v>164</v>
      </c>
      <c r="C23131" s="0" t="s">
        <v>2211</v>
      </c>
      <c r="E23131" s="0" t="s">
        <v>1315</v>
      </c>
      <c r="F23131" s="0" t="s">
        <v>1316</v>
      </c>
      <c r="H23131" s="0" t="s">
        <v>370</v>
      </c>
      <c r="I23131" s="0" t="s">
        <v>2652</v>
      </c>
    </row>
    <row r="23133" customFormat="false" ht="12.8" hidden="false" customHeight="false" outlineLevel="0" collapsed="false">
      <c r="A23133" s="0" t="s">
        <v>9489</v>
      </c>
      <c r="B23133" s="0" t="str">
        <f aca="false">HYPERLINK("https://lindat.mff.cuni.cz/services/teitok/pdtc10/index.php?action=vallex&amp;frame=v-w2954f1", "odvíjet (v-w2954f1)")</f>
        <v>odvíjet (v-w2954f1)</v>
      </c>
    </row>
    <row r="23134" customFormat="false" ht="12.8" hidden="false" customHeight="false" outlineLevel="0" collapsed="false">
      <c r="B23134" s="0" t="s">
        <v>1</v>
      </c>
    </row>
    <row r="23135" customFormat="false" ht="12.8" hidden="false" customHeight="false" outlineLevel="0" collapsed="false">
      <c r="B23135" s="0" t="s">
        <v>8</v>
      </c>
    </row>
    <row r="23136" customFormat="false" ht="12.8" hidden="false" customHeight="false" outlineLevel="0" collapsed="false">
      <c r="B23136" s="0" t="s">
        <v>1259</v>
      </c>
    </row>
    <row r="23138" customFormat="false" ht="12.8" hidden="false" customHeight="false" outlineLevel="0" collapsed="false">
      <c r="A23138" s="0" t="s">
        <v>9490</v>
      </c>
      <c r="B23138" s="0" t="str">
        <f aca="false">HYPERLINK("https://lindat.mff.cuni.cz/services/teitok/pdtc10/index.php?action=vallex&amp;frame=v-w2955f1", "odvíjet se (v-w2955f1)")</f>
        <v>odvíjet se (v-w2955f1)</v>
      </c>
    </row>
    <row r="23139" customFormat="false" ht="12.8" hidden="false" customHeight="false" outlineLevel="0" collapsed="false">
      <c r="B23139" s="0" t="s">
        <v>1</v>
      </c>
    </row>
    <row r="23140" customFormat="false" ht="12.8" hidden="false" customHeight="false" outlineLevel="0" collapsed="false">
      <c r="B23140" s="0" t="s">
        <v>26</v>
      </c>
    </row>
    <row r="23142" customFormat="false" ht="12.8" hidden="false" customHeight="false" outlineLevel="0" collapsed="false">
      <c r="A23142" s="0" t="s">
        <v>9491</v>
      </c>
      <c r="B23142" s="0" t="str">
        <f aca="false">HYPERLINK("https://lindat.mff.cuni.cz/services/teitok/pdtc10/index.php?action=vallex&amp;frame=v-w2955f3_ZU", "odvíjet se (v-w2955f3_ZU)")</f>
        <v>odvíjet se (v-w2955f3_ZU)</v>
      </c>
    </row>
    <row r="23143" customFormat="false" ht="12.8" hidden="false" customHeight="false" outlineLevel="0" collapsed="false">
      <c r="B23143" s="0" t="s">
        <v>1</v>
      </c>
    </row>
    <row r="23145" customFormat="false" ht="12.8" hidden="false" customHeight="false" outlineLevel="0" collapsed="false">
      <c r="A23145" s="0" t="s">
        <v>9491</v>
      </c>
      <c r="B23145" s="0" t="str">
        <f aca="false">HYPERLINK("https://lindat.mff.cuni.cz/services/teitok/pdtc10/index.php?action=vallex&amp;frame=v-w2955f2", "odvíjet se (v-w2955f2) - substituted with v-w2955f3_ZU")</f>
        <v>odvíjet se (v-w2955f2) - substituted with v-w2955f3_ZU</v>
      </c>
      <c r="E23145" s="0" t="str">
        <f aca="false">HYPERLINK("https://lindat.mff.cuni.cz/services/SynSemClass40/SynSemClass40.html?veclass=vec00261#vec00261-ces-cm00070", "vec00261")</f>
        <v>vec00261</v>
      </c>
      <c r="F23145" s="0" t="s">
        <v>1318</v>
      </c>
    </row>
    <row r="23146" customFormat="false" ht="12.8" hidden="false" customHeight="false" outlineLevel="0" collapsed="false">
      <c r="B23146" s="0" t="s">
        <v>1</v>
      </c>
      <c r="C23146" s="0" t="s">
        <v>1319</v>
      </c>
      <c r="E23146" s="0" t="s">
        <v>375</v>
      </c>
      <c r="F23146" s="0" t="s">
        <v>1320</v>
      </c>
    </row>
    <row r="23148" customFormat="false" ht="12.8" hidden="false" customHeight="false" outlineLevel="0" collapsed="false">
      <c r="A23148" s="0" t="s">
        <v>9492</v>
      </c>
      <c r="B23148" s="0" t="str">
        <f aca="false">HYPERLINK("https://lindat.mff.cuni.cz/services/teitok/pdtc10/index.php?action=vallex&amp;frame=v-w2951f1", "odvětit (v-w2951f1)")</f>
        <v>odvětit (v-w2951f1)</v>
      </c>
      <c r="E23148" s="0" t="str">
        <f aca="false">HYPERLINK("https://lindat.mff.cuni.cz/services/SynSemClass40/SynSemClass40.html?veclass=vec01060#vec01060-ces-cm00005", "vec01060")</f>
        <v>vec01060</v>
      </c>
      <c r="F23148" s="0" t="s">
        <v>9137</v>
      </c>
    </row>
    <row r="23149" customFormat="false" ht="12.8" hidden="false" customHeight="false" outlineLevel="0" collapsed="false">
      <c r="B23149" s="0" t="s">
        <v>1</v>
      </c>
      <c r="C23149" s="0" t="s">
        <v>9138</v>
      </c>
      <c r="E23149" s="0" t="s">
        <v>147</v>
      </c>
      <c r="F23149" s="0" t="s">
        <v>9139</v>
      </c>
    </row>
    <row r="23150" customFormat="false" ht="12.8" hidden="false" customHeight="false" outlineLevel="0" collapsed="false">
      <c r="B23150" s="0" t="s">
        <v>52</v>
      </c>
      <c r="C23150" s="0" t="s">
        <v>9140</v>
      </c>
      <c r="E23150" s="0" t="s">
        <v>221</v>
      </c>
      <c r="F23150" s="0" t="s">
        <v>9141</v>
      </c>
    </row>
    <row r="23151" customFormat="false" ht="12.8" hidden="false" customHeight="false" outlineLevel="0" collapsed="false">
      <c r="B23151" s="0" t="s">
        <v>8848</v>
      </c>
      <c r="C23151" s="0" t="s">
        <v>9143</v>
      </c>
      <c r="E23151" s="0" t="s">
        <v>2217</v>
      </c>
      <c r="F23151" s="0" t="s">
        <v>9144</v>
      </c>
    </row>
    <row r="23152" customFormat="false" ht="12.8" hidden="false" customHeight="false" outlineLevel="0" collapsed="false">
      <c r="B23152" s="0" t="s">
        <v>69</v>
      </c>
      <c r="C23152" s="0" t="s">
        <v>9145</v>
      </c>
      <c r="E23152" s="0" t="s">
        <v>218</v>
      </c>
      <c r="F23152" s="0" t="s">
        <v>9146</v>
      </c>
    </row>
    <row r="23154" customFormat="false" ht="12.8" hidden="false" customHeight="false" outlineLevel="0" collapsed="false">
      <c r="A23154" s="0" t="s">
        <v>9493</v>
      </c>
      <c r="B23154" s="0" t="str">
        <f aca="false">HYPERLINK("https://lindat.mff.cuni.cz/services/teitok/pdtc10/index.php?action=vallex&amp;frame=v-w2981f1", "odzbrojit (v-w2981f1)")</f>
        <v>odzbrojit (v-w2981f1)</v>
      </c>
      <c r="E23154" s="0" t="str">
        <f aca="false">HYPERLINK("https://lindat.mff.cuni.cz/services/SynSemClass40/SynSemClass40.html?veclass=vec01244#vec01244-ces-cm00001", "vec01244")</f>
        <v>vec01244</v>
      </c>
      <c r="F23154" s="0" t="s">
        <v>9494</v>
      </c>
    </row>
    <row r="23155" customFormat="false" ht="12.8" hidden="false" customHeight="false" outlineLevel="0" collapsed="false">
      <c r="B23155" s="0" t="s">
        <v>1</v>
      </c>
      <c r="E23155" s="0" t="s">
        <v>206</v>
      </c>
      <c r="F23155" s="0" t="s">
        <v>1359</v>
      </c>
    </row>
    <row r="23156" customFormat="false" ht="12.8" hidden="false" customHeight="false" outlineLevel="0" collapsed="false">
      <c r="B23156" s="0" t="s">
        <v>8</v>
      </c>
      <c r="C23156" s="0" t="s">
        <v>744</v>
      </c>
      <c r="E23156" s="0" t="s">
        <v>9495</v>
      </c>
      <c r="F23156" s="0" t="s">
        <v>9496</v>
      </c>
    </row>
    <row r="23158" customFormat="false" ht="12.8" hidden="false" customHeight="false" outlineLevel="0" collapsed="false">
      <c r="A23158" s="0" t="s">
        <v>9497</v>
      </c>
      <c r="B23158" s="0" t="str">
        <f aca="false">HYPERLINK("https://lindat.mff.cuni.cz/services/teitok/pdtc10/index.php?action=vallex&amp;frame=v-w2981hsa_608", "odzbrojit (v-w2981hsa_608)")</f>
        <v>odzbrojit (v-w2981hsa_608)</v>
      </c>
      <c r="E23158" s="0" t="str">
        <f aca="false">HYPERLINK("https://lindat.mff.cuni.cz/services/SynSemClass40/SynSemClass40.html?veclass=vec01244#vec01244-ces-cm00002", "vec01244")</f>
        <v>vec01244</v>
      </c>
      <c r="F23158" s="0" t="s">
        <v>9494</v>
      </c>
      <c r="H23158" s="0" t="str">
        <f aca="false">HYPERLINK("https://lindat.mff.cuni.cz/services/SynSemClass40/SynSemClass40.html?veclass=vec01415#vec01415-ces-cm00002", "vec01415")</f>
        <v>vec01415</v>
      </c>
      <c r="I23158" s="0" t="s">
        <v>9498</v>
      </c>
    </row>
    <row r="23159" customFormat="false" ht="12.8" hidden="false" customHeight="false" outlineLevel="0" collapsed="false">
      <c r="B23159" s="0" t="s">
        <v>1</v>
      </c>
      <c r="C23159" s="0" t="s">
        <v>549</v>
      </c>
      <c r="E23159" s="0" t="s">
        <v>9499</v>
      </c>
      <c r="F23159" s="0" t="s">
        <v>9500</v>
      </c>
      <c r="H23159" s="0" t="s">
        <v>9501</v>
      </c>
      <c r="I23159" s="0" t="s">
        <v>9502</v>
      </c>
    </row>
    <row r="23161" customFormat="false" ht="12.8" hidden="false" customHeight="false" outlineLevel="0" collapsed="false">
      <c r="A23161" s="0" t="s">
        <v>9503</v>
      </c>
      <c r="B23161" s="0" t="str">
        <f aca="false">HYPERLINK("https://lindat.mff.cuni.cz/services/teitok/pdtc10/index.php?action=vallex&amp;frame=v-w2983f1", "odzbrojovat (v-w2983f1)")</f>
        <v>odzbrojovat (v-w2983f1)</v>
      </c>
      <c r="E23161" s="0" t="str">
        <f aca="false">HYPERLINK("https://lindat.mff.cuni.cz/services/SynSemClass40/SynSemClass40.html?veclass=vec01244#vec01244-ces-cm00003", "vec01244")</f>
        <v>vec01244</v>
      </c>
      <c r="F23161" s="0" t="s">
        <v>9494</v>
      </c>
    </row>
    <row r="23162" customFormat="false" ht="12.8" hidden="false" customHeight="false" outlineLevel="0" collapsed="false">
      <c r="B23162" s="0" t="s">
        <v>1</v>
      </c>
      <c r="E23162" s="0" t="s">
        <v>206</v>
      </c>
      <c r="F23162" s="0" t="s">
        <v>1359</v>
      </c>
    </row>
    <row r="23163" customFormat="false" ht="12.8" hidden="false" customHeight="false" outlineLevel="0" collapsed="false">
      <c r="B23163" s="0" t="s">
        <v>8</v>
      </c>
      <c r="C23163" s="0" t="s">
        <v>744</v>
      </c>
      <c r="E23163" s="0" t="s">
        <v>9495</v>
      </c>
      <c r="F23163" s="0" t="s">
        <v>9496</v>
      </c>
    </row>
    <row r="23165" customFormat="false" ht="12.8" hidden="false" customHeight="false" outlineLevel="0" collapsed="false">
      <c r="A23165" s="0" t="s">
        <v>9504</v>
      </c>
      <c r="B23165" s="0" t="str">
        <f aca="false">HYPERLINK("https://lindat.mff.cuni.cz/services/teitok/pdtc10/index.php?action=vallex&amp;frame=v-w11538_ZUf1_ZU", "odzvonit (v-w11538_ZUf1_ZU)")</f>
        <v>odzvonit (v-w11538_ZUf1_ZU)</v>
      </c>
    </row>
    <row r="23166" customFormat="false" ht="12.8" hidden="false" customHeight="false" outlineLevel="0" collapsed="false">
      <c r="B23166" s="0" t="s">
        <v>804</v>
      </c>
    </row>
    <row r="23168" customFormat="false" ht="12.8" hidden="false" customHeight="false" outlineLevel="0" collapsed="false">
      <c r="A23168" s="0" t="s">
        <v>9505</v>
      </c>
      <c r="B23168" s="0" t="str">
        <f aca="false">HYPERLINK("https://lindat.mff.cuni.cz/services/teitok/pdtc10/index.php?action=vallex&amp;frame=v-w11538_ZUhsa_490", "odzvonit (v-w11538_ZUhsa_490)")</f>
        <v>odzvonit (v-w11538_ZUhsa_490)</v>
      </c>
    </row>
    <row r="23169" customFormat="false" ht="12.8" hidden="false" customHeight="false" outlineLevel="0" collapsed="false">
      <c r="B23169" s="0" t="s">
        <v>1</v>
      </c>
    </row>
    <row r="23170" customFormat="false" ht="12.8" hidden="false" customHeight="false" outlineLevel="0" collapsed="false">
      <c r="B23170" s="0" t="s">
        <v>8</v>
      </c>
    </row>
    <row r="23172" customFormat="false" ht="12.8" hidden="false" customHeight="false" outlineLevel="0" collapsed="false">
      <c r="A23172" s="0" t="s">
        <v>9506</v>
      </c>
      <c r="B23172" s="0" t="str">
        <f aca="false">HYPERLINK("https://lindat.mff.cuni.cz/services/teitok/pdtc10/index.php?action=vallex&amp;frame=v-w2726f1", "odírat (v-w2726f1)")</f>
        <v>odírat (v-w2726f1)</v>
      </c>
    </row>
    <row r="23173" customFormat="false" ht="12.8" hidden="false" customHeight="false" outlineLevel="0" collapsed="false">
      <c r="B23173" s="0" t="s">
        <v>1</v>
      </c>
    </row>
    <row r="23174" customFormat="false" ht="12.8" hidden="false" customHeight="false" outlineLevel="0" collapsed="false">
      <c r="B23174" s="0" t="s">
        <v>98</v>
      </c>
    </row>
    <row r="23175" customFormat="false" ht="12.8" hidden="false" customHeight="false" outlineLevel="0" collapsed="false">
      <c r="B23175" s="0" t="s">
        <v>3152</v>
      </c>
    </row>
    <row r="23177" customFormat="false" ht="12.8" hidden="false" customHeight="false" outlineLevel="0" collapsed="false">
      <c r="A23177" s="0" t="s">
        <v>9507</v>
      </c>
      <c r="B23177" s="0" t="str">
        <f aca="false">HYPERLINK("https://lindat.mff.cuni.cz/services/teitok/pdtc10/index.php?action=vallex&amp;frame=v-w2727f1", "odít (v-w2727f1)")</f>
        <v>odít (v-w2727f1)</v>
      </c>
    </row>
    <row r="23178" customFormat="false" ht="12.8" hidden="false" customHeight="false" outlineLevel="0" collapsed="false">
      <c r="B23178" s="0" t="s">
        <v>1</v>
      </c>
    </row>
    <row r="23179" customFormat="false" ht="12.8" hidden="false" customHeight="false" outlineLevel="0" collapsed="false">
      <c r="B23179" s="0" t="s">
        <v>8</v>
      </c>
    </row>
    <row r="23181" customFormat="false" ht="12.8" hidden="false" customHeight="false" outlineLevel="0" collapsed="false">
      <c r="A23181" s="0" t="s">
        <v>9508</v>
      </c>
      <c r="B23181" s="0" t="str">
        <f aca="false">HYPERLINK("https://lindat.mff.cuni.cz/services/teitok/pdtc10/index.php?action=vallex&amp;frame=v-w2641f1", "odčarovat (v-w2641f1)")</f>
        <v>odčarovat (v-w2641f1)</v>
      </c>
    </row>
    <row r="23182" customFormat="false" ht="12.8" hidden="false" customHeight="false" outlineLevel="0" collapsed="false">
      <c r="B23182" s="0" t="s">
        <v>1</v>
      </c>
    </row>
    <row r="23183" customFormat="false" ht="12.8" hidden="false" customHeight="false" outlineLevel="0" collapsed="false">
      <c r="B23183" s="0" t="s">
        <v>8</v>
      </c>
    </row>
    <row r="23184" customFormat="false" ht="12.8" hidden="false" customHeight="false" outlineLevel="0" collapsed="false">
      <c r="B23184" s="0" t="s">
        <v>631</v>
      </c>
    </row>
    <row r="23186" customFormat="false" ht="12.8" hidden="false" customHeight="false" outlineLevel="0" collapsed="false">
      <c r="A23186" s="0" t="s">
        <v>9509</v>
      </c>
      <c r="B23186" s="0" t="str">
        <f aca="false">HYPERLINK("https://lindat.mff.cuni.cz/services/teitok/pdtc10/index.php?action=vallex&amp;frame=v-w2642f2", "odčerpat (v-w2642f2)")</f>
        <v>odčerpat (v-w2642f2)</v>
      </c>
      <c r="E23186" s="0" t="str">
        <f aca="false">HYPERLINK("https://lindat.mff.cuni.cz/services/SynSemClass40/SynSemClass40.html?veclass=vec00847#vec00847-ces-cm00004", "vec00847")</f>
        <v>vec00847</v>
      </c>
      <c r="F23186" s="0" t="s">
        <v>9510</v>
      </c>
    </row>
    <row r="23187" customFormat="false" ht="12.8" hidden="false" customHeight="false" outlineLevel="0" collapsed="false">
      <c r="B23187" s="0" t="s">
        <v>1</v>
      </c>
      <c r="C23187" s="0" t="s">
        <v>4695</v>
      </c>
      <c r="E23187" s="0" t="s">
        <v>92</v>
      </c>
      <c r="F23187" s="0" t="s">
        <v>9511</v>
      </c>
    </row>
    <row r="23188" customFormat="false" ht="12.8" hidden="false" customHeight="false" outlineLevel="0" collapsed="false">
      <c r="B23188" s="0" t="s">
        <v>8</v>
      </c>
      <c r="C23188" s="0" t="s">
        <v>9512</v>
      </c>
      <c r="E23188" s="0" t="s">
        <v>95</v>
      </c>
      <c r="F23188" s="0" t="s">
        <v>9513</v>
      </c>
    </row>
    <row r="23189" customFormat="false" ht="12.8" hidden="false" customHeight="false" outlineLevel="0" collapsed="false">
      <c r="B23189" s="0" t="s">
        <v>52</v>
      </c>
      <c r="E23189" s="0" t="s">
        <v>9514</v>
      </c>
      <c r="F23189" s="0" t="s">
        <v>9515</v>
      </c>
    </row>
    <row r="23191" customFormat="false" ht="12.8" hidden="false" customHeight="false" outlineLevel="0" collapsed="false">
      <c r="A23191" s="0" t="s">
        <v>9516</v>
      </c>
      <c r="B23191" s="0" t="str">
        <f aca="false">HYPERLINK("https://lindat.mff.cuni.cz/services/teitok/pdtc10/index.php?action=vallex&amp;frame=v-w2642f1", "odčerpat (v-w2642f1)")</f>
        <v>odčerpat (v-w2642f1)</v>
      </c>
    </row>
    <row r="23192" customFormat="false" ht="12.8" hidden="false" customHeight="false" outlineLevel="0" collapsed="false">
      <c r="B23192" s="0" t="s">
        <v>1</v>
      </c>
    </row>
    <row r="23193" customFormat="false" ht="12.8" hidden="false" customHeight="false" outlineLevel="0" collapsed="false">
      <c r="B23193" s="0" t="s">
        <v>8</v>
      </c>
    </row>
    <row r="23194" customFormat="false" ht="12.8" hidden="false" customHeight="false" outlineLevel="0" collapsed="false">
      <c r="B23194" s="0" t="s">
        <v>631</v>
      </c>
    </row>
    <row r="23196" customFormat="false" ht="12.8" hidden="false" customHeight="false" outlineLevel="0" collapsed="false">
      <c r="A23196" s="0" t="s">
        <v>9517</v>
      </c>
      <c r="B23196" s="0" t="str">
        <f aca="false">HYPERLINK("https://lindat.mff.cuni.cz/services/teitok/pdtc10/index.php?action=vallex&amp;frame=v-w2642f3", "odčerpat (v-w2642f3)")</f>
        <v>odčerpat (v-w2642f3)</v>
      </c>
    </row>
    <row r="23197" customFormat="false" ht="12.8" hidden="false" customHeight="false" outlineLevel="0" collapsed="false">
      <c r="B23197" s="0" t="s">
        <v>1</v>
      </c>
    </row>
    <row r="23198" customFormat="false" ht="12.8" hidden="false" customHeight="false" outlineLevel="0" collapsed="false">
      <c r="B23198" s="0" t="s">
        <v>8</v>
      </c>
    </row>
    <row r="23199" customFormat="false" ht="12.8" hidden="false" customHeight="false" outlineLevel="0" collapsed="false">
      <c r="B23199" s="0" t="s">
        <v>631</v>
      </c>
    </row>
    <row r="23201" customFormat="false" ht="12.8" hidden="false" customHeight="false" outlineLevel="0" collapsed="false">
      <c r="A23201" s="0" t="s">
        <v>9518</v>
      </c>
      <c r="B23201" s="0" t="str">
        <f aca="false">HYPERLINK("https://lindat.mff.cuni.cz/services/teitok/pdtc10/index.php?action=vallex&amp;frame=v-w2645f1", "odčerpávat (v-w2645f1)")</f>
        <v>odčerpávat (v-w2645f1)</v>
      </c>
      <c r="E23201" s="0" t="str">
        <f aca="false">HYPERLINK("https://lindat.mff.cuni.cz/services/SynSemClass40/SynSemClass40.html?veclass=vec00847#vec00847-ces-cm00001", "vec00847")</f>
        <v>vec00847</v>
      </c>
      <c r="F23201" s="0" t="s">
        <v>9510</v>
      </c>
    </row>
    <row r="23202" customFormat="false" ht="12.8" hidden="false" customHeight="false" outlineLevel="0" collapsed="false">
      <c r="B23202" s="0" t="s">
        <v>1</v>
      </c>
      <c r="C23202" s="0" t="s">
        <v>4695</v>
      </c>
      <c r="E23202" s="0" t="s">
        <v>92</v>
      </c>
      <c r="F23202" s="0" t="s">
        <v>9511</v>
      </c>
    </row>
    <row r="23203" customFormat="false" ht="12.8" hidden="false" customHeight="false" outlineLevel="0" collapsed="false">
      <c r="B23203" s="0" t="s">
        <v>8</v>
      </c>
      <c r="C23203" s="0" t="s">
        <v>9512</v>
      </c>
      <c r="E23203" s="0" t="s">
        <v>95</v>
      </c>
      <c r="F23203" s="0" t="s">
        <v>9513</v>
      </c>
    </row>
    <row r="23204" customFormat="false" ht="12.8" hidden="false" customHeight="false" outlineLevel="0" collapsed="false">
      <c r="B23204" s="0" t="s">
        <v>52</v>
      </c>
      <c r="E23204" s="0" t="s">
        <v>9514</v>
      </c>
      <c r="F23204" s="0" t="s">
        <v>9515</v>
      </c>
    </row>
    <row r="23206" customFormat="false" ht="12.8" hidden="false" customHeight="false" outlineLevel="0" collapsed="false">
      <c r="A23206" s="0" t="s">
        <v>9519</v>
      </c>
      <c r="B23206" s="0" t="str">
        <f aca="false">HYPERLINK("https://lindat.mff.cuni.cz/services/teitok/pdtc10/index.php?action=vallex&amp;frame=v-w2645f2", "odčerpávat (v-w2645f2)")</f>
        <v>odčerpávat (v-w2645f2)</v>
      </c>
    </row>
    <row r="23207" customFormat="false" ht="12.8" hidden="false" customHeight="false" outlineLevel="0" collapsed="false">
      <c r="B23207" s="0" t="s">
        <v>1</v>
      </c>
    </row>
    <row r="23208" customFormat="false" ht="12.8" hidden="false" customHeight="false" outlineLevel="0" collapsed="false">
      <c r="B23208" s="0" t="s">
        <v>8</v>
      </c>
    </row>
    <row r="23209" customFormat="false" ht="12.8" hidden="false" customHeight="false" outlineLevel="0" collapsed="false">
      <c r="B23209" s="0" t="s">
        <v>631</v>
      </c>
    </row>
    <row r="23211" customFormat="false" ht="12.8" hidden="false" customHeight="false" outlineLevel="0" collapsed="false">
      <c r="A23211" s="0" t="s">
        <v>9520</v>
      </c>
      <c r="B23211" s="0" t="str">
        <f aca="false">HYPERLINK("https://lindat.mff.cuni.cz/services/teitok/pdtc10/index.php?action=vallex&amp;frame=v-w2647f1", "odčinit (v-w2647f1)")</f>
        <v>odčinit (v-w2647f1)</v>
      </c>
    </row>
    <row r="23212" customFormat="false" ht="12.8" hidden="false" customHeight="false" outlineLevel="0" collapsed="false">
      <c r="B23212" s="0" t="s">
        <v>1</v>
      </c>
    </row>
    <row r="23213" customFormat="false" ht="12.8" hidden="false" customHeight="false" outlineLevel="0" collapsed="false">
      <c r="B23213" s="0" t="s">
        <v>8</v>
      </c>
    </row>
    <row r="23215" customFormat="false" ht="12.8" hidden="false" customHeight="false" outlineLevel="0" collapsed="false">
      <c r="A23215" s="0" t="s">
        <v>9521</v>
      </c>
      <c r="B23215" s="0" t="str">
        <f aca="false">HYPERLINK("https://lindat.mff.cuni.cz/services/teitok/pdtc10/index.php?action=vallex&amp;frame=v-whsa_758hsa_759", "odčítat (v-whsa_758hsa_759)")</f>
        <v>odčítat (v-whsa_758hsa_759)</v>
      </c>
      <c r="E23215" s="0" t="str">
        <f aca="false">HYPERLINK("https://lindat.mff.cuni.cz/services/SynSemClass40/SynSemClass40.html?veclass=vec00649#vec00649-ces-cm00003", "vec00649")</f>
        <v>vec00649</v>
      </c>
      <c r="F23215" s="0" t="s">
        <v>8879</v>
      </c>
    </row>
    <row r="23216" customFormat="false" ht="12.8" hidden="false" customHeight="false" outlineLevel="0" collapsed="false">
      <c r="B23216" s="0" t="s">
        <v>1</v>
      </c>
      <c r="C23216" s="0" t="s">
        <v>7518</v>
      </c>
      <c r="E23216" s="0" t="s">
        <v>31</v>
      </c>
      <c r="F23216" s="0" t="s">
        <v>7519</v>
      </c>
    </row>
    <row r="23217" customFormat="false" ht="12.8" hidden="false" customHeight="false" outlineLevel="0" collapsed="false">
      <c r="B23217" s="0" t="s">
        <v>8</v>
      </c>
      <c r="C23217" s="0" t="s">
        <v>2627</v>
      </c>
      <c r="E23217" s="0" t="s">
        <v>4094</v>
      </c>
      <c r="F23217" s="0" t="s">
        <v>8880</v>
      </c>
    </row>
    <row r="23219" customFormat="false" ht="12.8" hidden="false" customHeight="false" outlineLevel="0" collapsed="false">
      <c r="A23219" s="0" t="s">
        <v>9522</v>
      </c>
      <c r="B23219" s="0" t="str">
        <f aca="false">HYPERLINK("https://lindat.mff.cuni.cz/services/teitok/pdtc10/index.php?action=vallex&amp;frame=v-w11688_ZUf1_ZU", "odčítávat (v-w11688_ZUf1_ZU)")</f>
        <v>odčítávat (v-w11688_ZUf1_ZU)</v>
      </c>
    </row>
    <row r="23220" customFormat="false" ht="12.8" hidden="false" customHeight="false" outlineLevel="0" collapsed="false">
      <c r="B23220" s="0" t="s">
        <v>1</v>
      </c>
    </row>
    <row r="23221" customFormat="false" ht="12.8" hidden="false" customHeight="false" outlineLevel="0" collapsed="false">
      <c r="B23221" s="0" t="s">
        <v>8</v>
      </c>
    </row>
    <row r="23222" customFormat="false" ht="12.8" hidden="false" customHeight="false" outlineLevel="0" collapsed="false">
      <c r="B23222" s="0" t="s">
        <v>6273</v>
      </c>
    </row>
    <row r="23224" customFormat="false" ht="12.8" hidden="false" customHeight="false" outlineLevel="0" collapsed="false">
      <c r="A23224" s="0" t="s">
        <v>9523</v>
      </c>
      <c r="B23224" s="0" t="str">
        <f aca="false">HYPERLINK("https://lindat.mff.cuni.cz/services/teitok/pdtc10/index.php?action=vallex&amp;frame=v-w2865f2", "odřeknout (v-w2865f2)")</f>
        <v>odřeknout (v-w2865f2)</v>
      </c>
    </row>
    <row r="23225" customFormat="false" ht="12.8" hidden="false" customHeight="false" outlineLevel="0" collapsed="false">
      <c r="B23225" s="0" t="s">
        <v>1</v>
      </c>
    </row>
    <row r="23226" customFormat="false" ht="12.8" hidden="false" customHeight="false" outlineLevel="0" collapsed="false">
      <c r="B23226" s="0" t="s">
        <v>8853</v>
      </c>
    </row>
    <row r="23227" customFormat="false" ht="12.8" hidden="false" customHeight="false" outlineLevel="0" collapsed="false">
      <c r="B23227" s="0" t="s">
        <v>52</v>
      </c>
    </row>
    <row r="23229" customFormat="false" ht="12.8" hidden="false" customHeight="false" outlineLevel="0" collapsed="false">
      <c r="A23229" s="0" t="s">
        <v>9524</v>
      </c>
      <c r="B23229" s="0" t="str">
        <f aca="false">HYPERLINK("https://lindat.mff.cuni.cz/services/teitok/pdtc10/index.php?action=vallex&amp;frame=v-w2865f1", "odřeknout (v-w2865f1)")</f>
        <v>odřeknout (v-w2865f1)</v>
      </c>
    </row>
    <row r="23230" customFormat="false" ht="12.8" hidden="false" customHeight="false" outlineLevel="0" collapsed="false">
      <c r="B23230" s="0" t="s">
        <v>1</v>
      </c>
    </row>
    <row r="23231" customFormat="false" ht="12.8" hidden="false" customHeight="false" outlineLevel="0" collapsed="false">
      <c r="B23231" s="0" t="s">
        <v>8</v>
      </c>
    </row>
    <row r="23233" customFormat="false" ht="12.8" hidden="false" customHeight="false" outlineLevel="0" collapsed="false">
      <c r="A23233" s="0" t="s">
        <v>9525</v>
      </c>
      <c r="B23233" s="0" t="str">
        <f aca="false">HYPERLINK("https://lindat.mff.cuni.cz/services/teitok/pdtc10/index.php?action=vallex&amp;frame=v-w2866f1", "odřezávat (v-w2866f1)")</f>
        <v>odřezávat (v-w2866f1)</v>
      </c>
    </row>
    <row r="23234" customFormat="false" ht="12.8" hidden="false" customHeight="false" outlineLevel="0" collapsed="false">
      <c r="B23234" s="0" t="s">
        <v>1</v>
      </c>
    </row>
    <row r="23235" customFormat="false" ht="12.8" hidden="false" customHeight="false" outlineLevel="0" collapsed="false">
      <c r="B23235" s="0" t="s">
        <v>8</v>
      </c>
    </row>
    <row r="23236" customFormat="false" ht="12.8" hidden="false" customHeight="false" outlineLevel="0" collapsed="false">
      <c r="B23236" s="0" t="s">
        <v>1965</v>
      </c>
    </row>
    <row r="23238" customFormat="false" ht="12.8" hidden="false" customHeight="false" outlineLevel="0" collapsed="false">
      <c r="A23238" s="0" t="s">
        <v>9526</v>
      </c>
      <c r="B23238" s="0" t="str">
        <f aca="false">HYPERLINK("https://lindat.mff.cuni.cz/services/teitok/pdtc10/index.php?action=vallex&amp;frame=v-w2866f2", "odřezávat (v-w2866f2)")</f>
        <v>odřezávat (v-w2866f2)</v>
      </c>
      <c r="E23238" s="0" t="str">
        <f aca="false">HYPERLINK("https://lindat.mff.cuni.cz/services/SynSemClass40/SynSemClass40.html?veclass=vec01456#vec01456-ces-cm00002", "vec01456")</f>
        <v>vec01456</v>
      </c>
      <c r="F23238" s="0" t="s">
        <v>105</v>
      </c>
    </row>
    <row r="23239" customFormat="false" ht="12.8" hidden="false" customHeight="false" outlineLevel="0" collapsed="false">
      <c r="B23239" s="0" t="s">
        <v>1</v>
      </c>
      <c r="C23239" s="0" t="s">
        <v>106</v>
      </c>
      <c r="E23239" s="0" t="s">
        <v>107</v>
      </c>
      <c r="F23239" s="0" t="s">
        <v>108</v>
      </c>
    </row>
    <row r="23240" customFormat="false" ht="12.8" hidden="false" customHeight="false" outlineLevel="0" collapsed="false">
      <c r="B23240" s="0" t="s">
        <v>8</v>
      </c>
      <c r="C23240" s="0" t="s">
        <v>109</v>
      </c>
      <c r="E23240" s="0" t="s">
        <v>110</v>
      </c>
      <c r="F23240" s="0" t="s">
        <v>111</v>
      </c>
    </row>
    <row r="23241" customFormat="false" ht="12.8" hidden="false" customHeight="false" outlineLevel="0" collapsed="false">
      <c r="B23241" s="0" t="s">
        <v>631</v>
      </c>
      <c r="C23241" s="0" t="s">
        <v>9256</v>
      </c>
      <c r="E23241" s="0" t="s">
        <v>8802</v>
      </c>
      <c r="F23241" s="0" t="s">
        <v>9257</v>
      </c>
    </row>
    <row r="23243" customFormat="false" ht="12.8" hidden="false" customHeight="false" outlineLevel="0" collapsed="false">
      <c r="A23243" s="0" t="s">
        <v>9527</v>
      </c>
      <c r="B23243" s="0" t="str">
        <f aca="false">HYPERLINK("https://lindat.mff.cuni.cz/services/teitok/pdtc10/index.php?action=vallex&amp;frame=v-w12189_ZUf1_ZU", "odříci (v-w12189_ZUf1_ZU)")</f>
        <v>odříci (v-w12189_ZUf1_ZU)</v>
      </c>
    </row>
    <row r="23244" customFormat="false" ht="12.8" hidden="false" customHeight="false" outlineLevel="0" collapsed="false">
      <c r="B23244" s="0" t="s">
        <v>1</v>
      </c>
    </row>
    <row r="23245" customFormat="false" ht="12.8" hidden="false" customHeight="false" outlineLevel="0" collapsed="false">
      <c r="B23245" s="0" t="s">
        <v>8</v>
      </c>
    </row>
    <row r="23247" customFormat="false" ht="12.8" hidden="false" customHeight="false" outlineLevel="0" collapsed="false">
      <c r="A23247" s="0" t="s">
        <v>9528</v>
      </c>
      <c r="B23247" s="0" t="str">
        <f aca="false">HYPERLINK("https://lindat.mff.cuni.cz/services/teitok/pdtc10/index.php?action=vallex&amp;frame=v-w2867f1", "odříci si (v-w2867f1)")</f>
        <v>odříci si (v-w2867f1)</v>
      </c>
    </row>
    <row r="23248" customFormat="false" ht="12.8" hidden="false" customHeight="false" outlineLevel="0" collapsed="false">
      <c r="B23248" s="0" t="s">
        <v>1</v>
      </c>
    </row>
    <row r="23249" customFormat="false" ht="12.8" hidden="false" customHeight="false" outlineLevel="0" collapsed="false">
      <c r="B23249" s="0" t="s">
        <v>1356</v>
      </c>
    </row>
    <row r="23251" customFormat="false" ht="12.8" hidden="false" customHeight="false" outlineLevel="0" collapsed="false">
      <c r="A23251" s="0" t="s">
        <v>9529</v>
      </c>
      <c r="B23251" s="0" t="str">
        <f aca="false">HYPERLINK("https://lindat.mff.cuni.cz/services/teitok/pdtc10/index.php?action=vallex&amp;frame=v-w11812_ZUf1_ZU", "odříkat (v-w11812_ZUf1_ZU)")</f>
        <v>odříkat (v-w11812_ZUf1_ZU)</v>
      </c>
    </row>
    <row r="23252" customFormat="false" ht="12.8" hidden="false" customHeight="false" outlineLevel="0" collapsed="false">
      <c r="B23252" s="0" t="s">
        <v>1</v>
      </c>
    </row>
    <row r="23253" customFormat="false" ht="12.8" hidden="false" customHeight="false" outlineLevel="0" collapsed="false">
      <c r="B23253" s="0" t="s">
        <v>8</v>
      </c>
    </row>
    <row r="23255" customFormat="false" ht="12.8" hidden="false" customHeight="false" outlineLevel="0" collapsed="false">
      <c r="A23255" s="0" t="s">
        <v>9530</v>
      </c>
      <c r="B23255" s="0" t="str">
        <f aca="false">HYPERLINK("https://lindat.mff.cuni.cz/services/teitok/pdtc10/index.php?action=vallex&amp;frame=v-w2869f1", "odříkat se (v-w2869f1)")</f>
        <v>odříkat se (v-w2869f1)</v>
      </c>
    </row>
    <row r="23256" customFormat="false" ht="12.8" hidden="false" customHeight="false" outlineLevel="0" collapsed="false">
      <c r="B23256" s="0" t="s">
        <v>1</v>
      </c>
    </row>
    <row r="23257" customFormat="false" ht="12.8" hidden="false" customHeight="false" outlineLevel="0" collapsed="false">
      <c r="B23257" s="0" t="s">
        <v>1289</v>
      </c>
    </row>
    <row r="23259" customFormat="false" ht="12.8" hidden="false" customHeight="false" outlineLevel="0" collapsed="false">
      <c r="A23259" s="0" t="s">
        <v>9531</v>
      </c>
      <c r="B23259" s="0" t="str">
        <f aca="false">HYPERLINK("https://lindat.mff.cuni.cz/services/teitok/pdtc10/index.php?action=vallex&amp;frame=v-w2870f1", "odříkávat (v-w2870f1)")</f>
        <v>odříkávat (v-w2870f1)</v>
      </c>
      <c r="E23259" s="0" t="str">
        <f aca="false">HYPERLINK("https://lindat.mff.cuni.cz/services/SynSemClass40/SynSemClass40.html?veclass=vec00690#vec00690-ces-cm00018", "vec00690")</f>
        <v>vec00690</v>
      </c>
      <c r="F23259" s="0" t="s">
        <v>9532</v>
      </c>
      <c r="H23259" s="0" t="str">
        <f aca="false">HYPERLINK("https://lindat.mff.cuni.cz/services/SynSemClass40/SynSemClass40.html?veclass=vec01009#vec01009-ces-cm00052", "vec01009")</f>
        <v>vec01009</v>
      </c>
      <c r="I23259" s="0" t="s">
        <v>1672</v>
      </c>
      <c r="K23259" s="0" t="str">
        <f aca="false">HYPERLINK("https://lindat.mff.cuni.cz/services/SynSemClass40/SynSemClass40.html?veclass=vec01495#vec01495-ces-cm00021", "vec01495")</f>
        <v>vec01495</v>
      </c>
      <c r="L23259" s="0" t="s">
        <v>6335</v>
      </c>
    </row>
    <row r="23260" customFormat="false" ht="12.8" hidden="false" customHeight="false" outlineLevel="0" collapsed="false">
      <c r="B23260" s="0" t="s">
        <v>1</v>
      </c>
      <c r="C23260" s="0" t="s">
        <v>9533</v>
      </c>
      <c r="E23260" s="0" t="s">
        <v>147</v>
      </c>
      <c r="F23260" s="0" t="s">
        <v>9534</v>
      </c>
      <c r="H23260" s="0" t="s">
        <v>147</v>
      </c>
      <c r="I23260" s="0" t="s">
        <v>1674</v>
      </c>
      <c r="K23260" s="0" t="s">
        <v>147</v>
      </c>
      <c r="L23260" s="0" t="s">
        <v>6337</v>
      </c>
    </row>
    <row r="23261" customFormat="false" ht="12.8" hidden="false" customHeight="false" outlineLevel="0" collapsed="false">
      <c r="B23261" s="0" t="s">
        <v>8</v>
      </c>
      <c r="C23261" s="0" t="s">
        <v>9535</v>
      </c>
      <c r="E23261" s="0" t="s">
        <v>218</v>
      </c>
      <c r="F23261" s="0" t="s">
        <v>9536</v>
      </c>
      <c r="H23261" s="0" t="s">
        <v>50</v>
      </c>
      <c r="I23261" s="0" t="s">
        <v>1676</v>
      </c>
      <c r="K23261" s="0" t="s">
        <v>50</v>
      </c>
      <c r="L23261" s="0" t="s">
        <v>6339</v>
      </c>
    </row>
    <row r="23263" customFormat="false" ht="12.8" hidden="false" customHeight="false" outlineLevel="0" collapsed="false">
      <c r="A23263" s="0" t="s">
        <v>9537</v>
      </c>
      <c r="B23263" s="0" t="str">
        <f aca="false">HYPERLINK("https://lindat.mff.cuni.cz/services/teitok/pdtc10/index.php?action=vallex&amp;frame=v-w12394_MMf1_MM", "odřít (v-w12394_MMf1_MM)")</f>
        <v>odřít (v-w12394_MMf1_MM)</v>
      </c>
    </row>
    <row r="23264" customFormat="false" ht="12.8" hidden="false" customHeight="false" outlineLevel="0" collapsed="false">
      <c r="B23264" s="0" t="s">
        <v>1</v>
      </c>
    </row>
    <row r="23265" customFormat="false" ht="12.8" hidden="false" customHeight="false" outlineLevel="0" collapsed="false">
      <c r="B23265" s="0" t="s">
        <v>8</v>
      </c>
    </row>
    <row r="23267" customFormat="false" ht="12.8" hidden="false" customHeight="false" outlineLevel="0" collapsed="false">
      <c r="A23267" s="0" t="s">
        <v>9538</v>
      </c>
      <c r="B23267" s="0" t="str">
        <f aca="false">HYPERLINK("https://lindat.mff.cuni.cz/services/teitok/pdtc10/index.php?action=vallex&amp;frame=v-w2871f1", "odříznout (v-w2871f1)")</f>
        <v>odříznout (v-w2871f1)</v>
      </c>
      <c r="E23267" s="0" t="str">
        <f aca="false">HYPERLINK("https://lindat.mff.cuni.cz/services/SynSemClass40/SynSemClass40.html?veclass=vec00047#vec00047-ces-cm00029", "vec00047")</f>
        <v>vec00047</v>
      </c>
      <c r="F23267" s="0" t="s">
        <v>4894</v>
      </c>
    </row>
    <row r="23268" customFormat="false" ht="12.8" hidden="false" customHeight="false" outlineLevel="0" collapsed="false">
      <c r="B23268" s="0" t="s">
        <v>1</v>
      </c>
      <c r="C23268" s="0" t="s">
        <v>4895</v>
      </c>
      <c r="E23268" s="0" t="s">
        <v>31</v>
      </c>
      <c r="F23268" s="0" t="s">
        <v>4896</v>
      </c>
    </row>
    <row r="23269" customFormat="false" ht="12.8" hidden="false" customHeight="false" outlineLevel="0" collapsed="false">
      <c r="B23269" s="0" t="s">
        <v>8</v>
      </c>
      <c r="C23269" s="0" t="s">
        <v>4897</v>
      </c>
      <c r="E23269" s="0" t="s">
        <v>4852</v>
      </c>
      <c r="F23269" s="0" t="s">
        <v>4898</v>
      </c>
    </row>
    <row r="23270" customFormat="false" ht="12.8" hidden="false" customHeight="false" outlineLevel="0" collapsed="false">
      <c r="B23270" s="0" t="s">
        <v>1965</v>
      </c>
      <c r="C23270" s="0" t="s">
        <v>4899</v>
      </c>
      <c r="E23270" s="0" t="s">
        <v>4900</v>
      </c>
      <c r="F23270" s="0" t="s">
        <v>4901</v>
      </c>
    </row>
    <row r="23272" customFormat="false" ht="12.8" hidden="false" customHeight="false" outlineLevel="0" collapsed="false">
      <c r="A23272" s="0" t="s">
        <v>9539</v>
      </c>
      <c r="B23272" s="0" t="str">
        <f aca="false">HYPERLINK("https://lindat.mff.cuni.cz/services/teitok/pdtc10/index.php?action=vallex&amp;frame=v-w2871f2", "odříznout (v-w2871f2)")</f>
        <v>odříznout (v-w2871f2)</v>
      </c>
      <c r="E23272" s="0" t="str">
        <f aca="false">HYPERLINK("https://lindat.mff.cuni.cz/services/SynSemClass40/SynSemClass40.html?veclass=vec01456#vec01456-ces-cm00003", "vec01456")</f>
        <v>vec01456</v>
      </c>
      <c r="F23272" s="0" t="s">
        <v>105</v>
      </c>
    </row>
    <row r="23273" customFormat="false" ht="12.8" hidden="false" customHeight="false" outlineLevel="0" collapsed="false">
      <c r="B23273" s="0" t="s">
        <v>1</v>
      </c>
      <c r="C23273" s="0" t="s">
        <v>106</v>
      </c>
      <c r="E23273" s="0" t="s">
        <v>107</v>
      </c>
      <c r="F23273" s="0" t="s">
        <v>108</v>
      </c>
    </row>
    <row r="23274" customFormat="false" ht="12.8" hidden="false" customHeight="false" outlineLevel="0" collapsed="false">
      <c r="B23274" s="0" t="s">
        <v>8</v>
      </c>
      <c r="C23274" s="0" t="s">
        <v>109</v>
      </c>
      <c r="E23274" s="0" t="s">
        <v>110</v>
      </c>
      <c r="F23274" s="0" t="s">
        <v>111</v>
      </c>
    </row>
    <row r="23275" customFormat="false" ht="12.8" hidden="false" customHeight="false" outlineLevel="0" collapsed="false">
      <c r="B23275" s="0" t="s">
        <v>631</v>
      </c>
      <c r="C23275" s="0" t="s">
        <v>9256</v>
      </c>
      <c r="E23275" s="0" t="s">
        <v>8802</v>
      </c>
      <c r="F23275" s="0" t="s">
        <v>9257</v>
      </c>
    </row>
    <row r="23277" customFormat="false" ht="12.8" hidden="false" customHeight="false" outlineLevel="0" collapsed="false">
      <c r="A23277" s="0" t="s">
        <v>9540</v>
      </c>
      <c r="B23277" s="0" t="str">
        <f aca="false">HYPERLINK("https://lindat.mff.cuni.cz/services/teitok/pdtc10/index.php?action=vallex&amp;frame=v-w2871f3_ZU", "odříznout (v-w2871f3_ZU)")</f>
        <v>odříznout (v-w2871f3_ZU)</v>
      </c>
    </row>
    <row r="23278" customFormat="false" ht="12.8" hidden="false" customHeight="false" outlineLevel="0" collapsed="false">
      <c r="B23278" s="0" t="s">
        <v>1</v>
      </c>
    </row>
    <row r="23279" customFormat="false" ht="12.8" hidden="false" customHeight="false" outlineLevel="0" collapsed="false">
      <c r="B23279" s="0" t="s">
        <v>8</v>
      </c>
    </row>
    <row r="23280" customFormat="false" ht="12.8" hidden="false" customHeight="false" outlineLevel="0" collapsed="false">
      <c r="B23280" s="0" t="s">
        <v>52</v>
      </c>
    </row>
    <row r="23282" customFormat="false" ht="12.8" hidden="false" customHeight="false" outlineLevel="0" collapsed="false">
      <c r="A23282" s="0" t="s">
        <v>9541</v>
      </c>
      <c r="B23282" s="0" t="str">
        <f aca="false">HYPERLINK("https://lindat.mff.cuni.cz/services/teitok/pdtc10/index.php?action=vallex&amp;frame=v-w2922f1", "odškodnit (v-w2922f1)")</f>
        <v>odškodnit (v-w2922f1)</v>
      </c>
    </row>
    <row r="23283" customFormat="false" ht="12.8" hidden="false" customHeight="false" outlineLevel="0" collapsed="false">
      <c r="B23283" s="0" t="s">
        <v>1</v>
      </c>
    </row>
    <row r="23284" customFormat="false" ht="12.8" hidden="false" customHeight="false" outlineLevel="0" collapsed="false">
      <c r="B23284" s="0" t="s">
        <v>8</v>
      </c>
    </row>
    <row r="23286" customFormat="false" ht="12.8" hidden="false" customHeight="false" outlineLevel="0" collapsed="false">
      <c r="A23286" s="0" t="s">
        <v>9542</v>
      </c>
      <c r="B23286" s="0" t="str">
        <f aca="false">HYPERLINK("https://lindat.mff.cuni.cz/services/teitok/pdtc10/index.php?action=vallex&amp;frame=v-w11146f2", "odškodňovat (v-w11146f2)")</f>
        <v>odškodňovat (v-w11146f2)</v>
      </c>
    </row>
    <row r="23287" customFormat="false" ht="12.8" hidden="false" customHeight="false" outlineLevel="0" collapsed="false">
      <c r="B23287" s="0" t="s">
        <v>1</v>
      </c>
    </row>
    <row r="23288" customFormat="false" ht="12.8" hidden="false" customHeight="false" outlineLevel="0" collapsed="false">
      <c r="B23288" s="0" t="s">
        <v>8</v>
      </c>
    </row>
    <row r="23290" customFormat="false" ht="12.8" hidden="false" customHeight="false" outlineLevel="0" collapsed="false">
      <c r="A23290" s="0" t="s">
        <v>9543</v>
      </c>
      <c r="B23290" s="0" t="str">
        <f aca="false">HYPERLINK("https://lindat.mff.cuni.cz/services/teitok/pdtc10/index.php?action=vallex&amp;frame=v-w10926f2", "odškrtávat (v-w10926f2)")</f>
        <v>odškrtávat (v-w10926f2)</v>
      </c>
    </row>
    <row r="23291" customFormat="false" ht="12.8" hidden="false" customHeight="false" outlineLevel="0" collapsed="false">
      <c r="B23291" s="0" t="s">
        <v>1</v>
      </c>
    </row>
    <row r="23292" customFormat="false" ht="12.8" hidden="false" customHeight="false" outlineLevel="0" collapsed="false">
      <c r="B23292" s="0" t="s">
        <v>8</v>
      </c>
    </row>
    <row r="23294" customFormat="false" ht="12.8" hidden="false" customHeight="false" outlineLevel="0" collapsed="false">
      <c r="A23294" s="0" t="s">
        <v>9544</v>
      </c>
      <c r="B23294" s="0" t="str">
        <f aca="false">HYPERLINK("https://lindat.mff.cuni.cz/services/teitok/pdtc10/index.php?action=vallex&amp;frame=v-w11836_ZUf1_ZU", "odšroubovat (v-w11836_ZUf1_ZU)")</f>
        <v>odšroubovat (v-w11836_ZUf1_ZU)</v>
      </c>
    </row>
    <row r="23295" customFormat="false" ht="12.8" hidden="false" customHeight="false" outlineLevel="0" collapsed="false">
      <c r="B23295" s="0" t="s">
        <v>1</v>
      </c>
    </row>
    <row r="23296" customFormat="false" ht="12.8" hidden="false" customHeight="false" outlineLevel="0" collapsed="false">
      <c r="B23296" s="0" t="s">
        <v>8</v>
      </c>
    </row>
    <row r="23297" customFormat="false" ht="12.8" hidden="false" customHeight="false" outlineLevel="0" collapsed="false">
      <c r="B23297" s="0" t="s">
        <v>6273</v>
      </c>
    </row>
    <row r="23299" customFormat="false" ht="12.8" hidden="false" customHeight="false" outlineLevel="0" collapsed="false">
      <c r="A23299" s="0" t="s">
        <v>9545</v>
      </c>
      <c r="B23299" s="0" t="str">
        <f aca="false">HYPERLINK("https://lindat.mff.cuni.cz/services/teitok/pdtc10/index.php?action=vallex&amp;frame=v-whsa_291hsa_292", "odštípnout (v-whsa_291hsa_292)")</f>
        <v>odštípnout (v-whsa_291hsa_292)</v>
      </c>
      <c r="E23299" s="0" t="str">
        <f aca="false">HYPERLINK("https://lindat.mff.cuni.cz/services/SynSemClass40/SynSemClass40.html?veclass=vec00648#vec00648-ces-cm00039", "vec00648")</f>
        <v>vec00648</v>
      </c>
      <c r="F23299" s="0" t="s">
        <v>8797</v>
      </c>
      <c r="H23299" s="0" t="str">
        <f aca="false">HYPERLINK("https://lindat.mff.cuni.cz/services/SynSemClass40/SynSemClass40.html?veclass=vec00704#vec00704-ces-cm00069", "vec00704")</f>
        <v>vec00704</v>
      </c>
      <c r="I23299" s="0" t="s">
        <v>588</v>
      </c>
      <c r="K23299" s="0" t="str">
        <f aca="false">HYPERLINK("https://lindat.mff.cuni.cz/services/SynSemClass40/SynSemClass40.html?veclass=vec00962#vec00962-ces-cm00050", "vec00962")</f>
        <v>vec00962</v>
      </c>
      <c r="L23299" s="0" t="s">
        <v>9319</v>
      </c>
    </row>
    <row r="23300" customFormat="false" ht="12.8" hidden="false" customHeight="false" outlineLevel="0" collapsed="false">
      <c r="B23300" s="0" t="s">
        <v>1</v>
      </c>
      <c r="C23300" s="0" t="s">
        <v>9546</v>
      </c>
      <c r="E23300" s="0" t="s">
        <v>31</v>
      </c>
      <c r="F23300" s="0" t="s">
        <v>8798</v>
      </c>
      <c r="H23300" s="0" t="s">
        <v>31</v>
      </c>
      <c r="I23300" s="0" t="s">
        <v>591</v>
      </c>
      <c r="K23300" s="0" t="s">
        <v>11</v>
      </c>
      <c r="L23300" s="0" t="s">
        <v>9320</v>
      </c>
    </row>
    <row r="23301" customFormat="false" ht="12.8" hidden="false" customHeight="false" outlineLevel="0" collapsed="false">
      <c r="B23301" s="0" t="s">
        <v>8</v>
      </c>
      <c r="C23301" s="0" t="s">
        <v>9547</v>
      </c>
      <c r="E23301" s="0" t="s">
        <v>110</v>
      </c>
      <c r="F23301" s="0" t="s">
        <v>8800</v>
      </c>
      <c r="H23301" s="0" t="s">
        <v>594</v>
      </c>
      <c r="I23301" s="0" t="s">
        <v>595</v>
      </c>
      <c r="K23301" s="0" t="s">
        <v>4094</v>
      </c>
      <c r="L23301" s="0" t="s">
        <v>9321</v>
      </c>
    </row>
    <row r="23302" customFormat="false" ht="12.8" hidden="false" customHeight="false" outlineLevel="0" collapsed="false">
      <c r="B23302" s="0" t="s">
        <v>631</v>
      </c>
      <c r="C23302" s="0" t="s">
        <v>9548</v>
      </c>
      <c r="E23302" s="0" t="s">
        <v>8802</v>
      </c>
      <c r="F23302" s="0" t="s">
        <v>8803</v>
      </c>
      <c r="H23302" s="0" t="s">
        <v>9549</v>
      </c>
      <c r="I23302" s="0" t="s">
        <v>9550</v>
      </c>
      <c r="K23302" s="0" t="s">
        <v>1924</v>
      </c>
      <c r="L23302" s="0" t="s">
        <v>9323</v>
      </c>
    </row>
    <row r="23304" customFormat="false" ht="12.8" hidden="false" customHeight="false" outlineLevel="0" collapsed="false">
      <c r="A23304" s="0" t="s">
        <v>9551</v>
      </c>
      <c r="B23304" s="0" t="str">
        <f aca="false">HYPERLINK("https://lindat.mff.cuni.cz/services/teitok/pdtc10/index.php?action=vallex&amp;frame=v-w2924f1", "odštěpit se (v-w2924f1)")</f>
        <v>odštěpit se (v-w2924f1)</v>
      </c>
      <c r="E23304" s="0" t="str">
        <f aca="false">HYPERLINK("https://lindat.mff.cuni.cz/services/SynSemClass40/SynSemClass40.html?veclass=vec00047#vec00047-ces-cm00043", "vec00047")</f>
        <v>vec00047</v>
      </c>
      <c r="F23304" s="0" t="s">
        <v>4894</v>
      </c>
    </row>
    <row r="23305" customFormat="false" ht="12.8" hidden="false" customHeight="false" outlineLevel="0" collapsed="false">
      <c r="B23305" s="0" t="s">
        <v>1</v>
      </c>
      <c r="C23305" s="0" t="s">
        <v>9552</v>
      </c>
      <c r="E23305" s="0" t="s">
        <v>9553</v>
      </c>
      <c r="F23305" s="0" t="s">
        <v>9554</v>
      </c>
    </row>
    <row r="23306" customFormat="false" ht="12.8" hidden="false" customHeight="false" outlineLevel="0" collapsed="false">
      <c r="B23306" s="0" t="s">
        <v>444</v>
      </c>
      <c r="C23306" s="0" t="s">
        <v>9440</v>
      </c>
      <c r="E23306" s="0" t="s">
        <v>5824</v>
      </c>
      <c r="F23306" s="0" t="s">
        <v>9555</v>
      </c>
    </row>
    <row r="23308" customFormat="false" ht="12.8" hidden="false" customHeight="false" outlineLevel="0" collapsed="false">
      <c r="A23308" s="0" t="s">
        <v>9556</v>
      </c>
      <c r="B23308" s="0" t="str">
        <f aca="false">HYPERLINK("https://lindat.mff.cuni.cz/services/teitok/pdtc10/index.php?action=vallex&amp;frame=v-w2934f1", "odůvodnit (v-w2934f1)")</f>
        <v>odůvodnit (v-w2934f1)</v>
      </c>
    </row>
    <row r="23309" customFormat="false" ht="12.8" hidden="false" customHeight="false" outlineLevel="0" collapsed="false">
      <c r="B23309" s="0" t="s">
        <v>1</v>
      </c>
    </row>
    <row r="23310" customFormat="false" ht="12.8" hidden="false" customHeight="false" outlineLevel="0" collapsed="false">
      <c r="B23310" s="0" t="s">
        <v>228</v>
      </c>
    </row>
    <row r="23312" customFormat="false" ht="12.8" hidden="false" customHeight="false" outlineLevel="0" collapsed="false">
      <c r="A23312" s="0" t="s">
        <v>9557</v>
      </c>
      <c r="B23312" s="0" t="str">
        <f aca="false">HYPERLINK("https://lindat.mff.cuni.cz/services/teitok/pdtc10/index.php?action=vallex&amp;frame=v-w2935f1", "odůvodňovat (v-w2935f1)")</f>
        <v>odůvodňovat (v-w2935f1)</v>
      </c>
      <c r="E23312" s="0" t="str">
        <f aca="false">HYPERLINK("https://lindat.mff.cuni.cz/services/SynSemClass40/SynSemClass40.html?veclass=vec00201#vec00201-ces-cm00015", "vec00201")</f>
        <v>vec00201</v>
      </c>
      <c r="F23312" s="0" t="s">
        <v>174</v>
      </c>
      <c r="H23312" s="0" t="str">
        <f aca="false">HYPERLINK("https://lindat.mff.cuni.cz/services/SynSemClass40/SynSemClass40.html?veclass=vec00464#vec00464-ces-cm00003", "vec00464")</f>
        <v>vec00464</v>
      </c>
      <c r="I23312" s="0" t="s">
        <v>9558</v>
      </c>
    </row>
    <row r="23313" customFormat="false" ht="12.8" hidden="false" customHeight="false" outlineLevel="0" collapsed="false">
      <c r="B23313" s="0" t="s">
        <v>1</v>
      </c>
      <c r="C23313" s="0" t="s">
        <v>9559</v>
      </c>
      <c r="E23313" s="0" t="s">
        <v>176</v>
      </c>
      <c r="F23313" s="0" t="s">
        <v>177</v>
      </c>
      <c r="H23313" s="0" t="s">
        <v>569</v>
      </c>
      <c r="I23313" s="0" t="s">
        <v>9560</v>
      </c>
    </row>
    <row r="23314" customFormat="false" ht="12.8" hidden="false" customHeight="false" outlineLevel="0" collapsed="false">
      <c r="B23314" s="0" t="s">
        <v>228</v>
      </c>
      <c r="C23314" s="0" t="s">
        <v>9561</v>
      </c>
      <c r="E23314" s="0" t="s">
        <v>180</v>
      </c>
      <c r="F23314" s="0" t="s">
        <v>181</v>
      </c>
      <c r="H23314" s="0" t="s">
        <v>572</v>
      </c>
      <c r="I23314" s="0" t="s">
        <v>9562</v>
      </c>
    </row>
    <row r="23316" customFormat="false" ht="12.8" hidden="false" customHeight="false" outlineLevel="0" collapsed="false">
      <c r="A23316" s="0" t="s">
        <v>9563</v>
      </c>
      <c r="B23316" s="0" t="str">
        <f aca="false">HYPERLINK("https://lindat.mff.cuni.cz/services/teitok/pdtc10/index.php?action=vallex&amp;frame=v-w10544f2", "ofotit (v-w10544f2)")</f>
        <v>ofotit (v-w10544f2)</v>
      </c>
      <c r="E23316" s="0" t="str">
        <f aca="false">HYPERLINK("https://lindat.mff.cuni.cz/services/SynSemClass40/SynSemClass40.html?veclass=vec01246#vec01246-ces-cm00006", "vec01246")</f>
        <v>vec01246</v>
      </c>
      <c r="F23316" s="0" t="s">
        <v>5636</v>
      </c>
    </row>
    <row r="23317" customFormat="false" ht="12.8" hidden="false" customHeight="false" outlineLevel="0" collapsed="false">
      <c r="B23317" s="0" t="s">
        <v>1</v>
      </c>
      <c r="C23317" s="0" t="s">
        <v>447</v>
      </c>
      <c r="E23317" s="0" t="s">
        <v>768</v>
      </c>
      <c r="F23317" s="0" t="s">
        <v>5637</v>
      </c>
    </row>
    <row r="23318" customFormat="false" ht="12.8" hidden="false" customHeight="false" outlineLevel="0" collapsed="false">
      <c r="B23318" s="0" t="s">
        <v>8</v>
      </c>
      <c r="C23318" s="0" t="s">
        <v>827</v>
      </c>
      <c r="E23318" s="0" t="s">
        <v>1569</v>
      </c>
      <c r="F23318" s="0" t="s">
        <v>5638</v>
      </c>
    </row>
    <row r="23320" customFormat="false" ht="12.8" hidden="false" customHeight="false" outlineLevel="0" collapsed="false">
      <c r="A23320" s="0" t="s">
        <v>9564</v>
      </c>
      <c r="B23320" s="0" t="str">
        <f aca="false">HYPERLINK("https://lindat.mff.cuni.cz/services/teitok/pdtc10/index.php?action=vallex&amp;frame=v-w12235_ZUf1_ZU", "ofotografovat (v-w12235_ZUf1_ZU)")</f>
        <v>ofotografovat (v-w12235_ZUf1_ZU)</v>
      </c>
    </row>
    <row r="23321" customFormat="false" ht="12.8" hidden="false" customHeight="false" outlineLevel="0" collapsed="false">
      <c r="B23321" s="0" t="s">
        <v>1</v>
      </c>
    </row>
    <row r="23322" customFormat="false" ht="12.8" hidden="false" customHeight="false" outlineLevel="0" collapsed="false">
      <c r="B23322" s="0" t="s">
        <v>8</v>
      </c>
    </row>
    <row r="23324" customFormat="false" ht="12.8" hidden="false" customHeight="false" outlineLevel="0" collapsed="false">
      <c r="A23324" s="0" t="s">
        <v>9565</v>
      </c>
      <c r="B23324" s="0" t="str">
        <f aca="false">HYPERLINK("https://lindat.mff.cuni.cz/services/teitok/pdtc10/index.php?action=vallex&amp;frame=v-w11735_ZUf1_ZU", "ofouknout (v-w11735_ZUf1_ZU)")</f>
        <v>ofouknout (v-w11735_ZUf1_ZU)</v>
      </c>
    </row>
    <row r="23325" customFormat="false" ht="12.8" hidden="false" customHeight="false" outlineLevel="0" collapsed="false">
      <c r="B23325" s="0" t="s">
        <v>1</v>
      </c>
    </row>
    <row r="23326" customFormat="false" ht="12.8" hidden="false" customHeight="false" outlineLevel="0" collapsed="false">
      <c r="B23326" s="0" t="s">
        <v>8</v>
      </c>
    </row>
    <row r="23328" customFormat="false" ht="12.8" hidden="false" customHeight="false" outlineLevel="0" collapsed="false">
      <c r="A23328" s="0" t="s">
        <v>9566</v>
      </c>
      <c r="B23328" s="0" t="str">
        <f aca="false">HYPERLINK("https://lindat.mff.cuni.cz/services/teitok/pdtc10/index.php?action=vallex&amp;frame=v-w11806_ZUf1_ZU", "ogrilovat (v-w11806_ZUf1_ZU)")</f>
        <v>ogrilovat (v-w11806_ZUf1_ZU)</v>
      </c>
    </row>
    <row r="23329" customFormat="false" ht="12.8" hidden="false" customHeight="false" outlineLevel="0" collapsed="false">
      <c r="B23329" s="0" t="s">
        <v>1</v>
      </c>
    </row>
    <row r="23330" customFormat="false" ht="12.8" hidden="false" customHeight="false" outlineLevel="0" collapsed="false">
      <c r="B23330" s="0" t="s">
        <v>8</v>
      </c>
    </row>
    <row r="23332" customFormat="false" ht="12.8" hidden="false" customHeight="false" outlineLevel="0" collapsed="false">
      <c r="A23332" s="0" t="s">
        <v>9567</v>
      </c>
      <c r="B23332" s="0" t="str">
        <f aca="false">HYPERLINK("https://lindat.mff.cuni.cz/services/teitok/pdtc10/index.php?action=vallex&amp;frame=v-w2991f1", "ohlašovat (v-w2991f1)")</f>
        <v>ohlašovat (v-w2991f1)</v>
      </c>
      <c r="E23332" s="0" t="str">
        <f aca="false">HYPERLINK("https://lindat.mff.cuni.cz/services/SynSemClass40/SynSemClass40.html?veclass=vec00060#vec00060-ces-cm00051", "vec00060")</f>
        <v>vec00060</v>
      </c>
      <c r="F23332" s="0" t="s">
        <v>213</v>
      </c>
    </row>
    <row r="23333" customFormat="false" ht="12.8" hidden="false" customHeight="false" outlineLevel="0" collapsed="false">
      <c r="B23333" s="0" t="s">
        <v>1</v>
      </c>
      <c r="C23333" s="0" t="s">
        <v>214</v>
      </c>
      <c r="E23333" s="0" t="s">
        <v>147</v>
      </c>
      <c r="F23333" s="0" t="s">
        <v>215</v>
      </c>
    </row>
    <row r="23334" customFormat="false" ht="12.8" hidden="false" customHeight="false" outlineLevel="0" collapsed="false">
      <c r="B23334" s="0" t="s">
        <v>216</v>
      </c>
      <c r="C23334" s="0" t="s">
        <v>217</v>
      </c>
      <c r="E23334" s="0" t="s">
        <v>218</v>
      </c>
      <c r="F23334" s="0" t="s">
        <v>219</v>
      </c>
    </row>
    <row r="23335" customFormat="false" ht="12.8" hidden="false" customHeight="false" outlineLevel="0" collapsed="false">
      <c r="B23335" s="0" t="s">
        <v>52</v>
      </c>
      <c r="C23335" s="0" t="s">
        <v>220</v>
      </c>
      <c r="E23335" s="0" t="s">
        <v>221</v>
      </c>
      <c r="F23335" s="0" t="s">
        <v>222</v>
      </c>
    </row>
    <row r="23337" customFormat="false" ht="12.8" hidden="false" customHeight="false" outlineLevel="0" collapsed="false">
      <c r="A23337" s="0" t="s">
        <v>9568</v>
      </c>
      <c r="B23337" s="0" t="str">
        <f aca="false">HYPERLINK("https://lindat.mff.cuni.cz/services/teitok/pdtc10/index.php?action=vallex&amp;frame=v-w2991f2", "ohlašovat (v-w2991f2)")</f>
        <v>ohlašovat (v-w2991f2)</v>
      </c>
    </row>
    <row r="23338" customFormat="false" ht="12.8" hidden="false" customHeight="false" outlineLevel="0" collapsed="false">
      <c r="B23338" s="0" t="s">
        <v>1</v>
      </c>
    </row>
    <row r="23339" customFormat="false" ht="12.8" hidden="false" customHeight="false" outlineLevel="0" collapsed="false">
      <c r="B23339" s="0" t="s">
        <v>216</v>
      </c>
    </row>
    <row r="23340" customFormat="false" ht="12.8" hidden="false" customHeight="false" outlineLevel="0" collapsed="false">
      <c r="B23340" s="0" t="s">
        <v>164</v>
      </c>
    </row>
    <row r="23342" customFormat="false" ht="12.8" hidden="false" customHeight="false" outlineLevel="0" collapsed="false">
      <c r="A23342" s="0" t="s">
        <v>9569</v>
      </c>
      <c r="B23342" s="0" t="str">
        <f aca="false">HYPERLINK("https://lindat.mff.cuni.cz/services/teitok/pdtc10/index.php?action=vallex&amp;frame=v-w2994f1", "ohledat (v-w2994f1)")</f>
        <v>ohledat (v-w2994f1)</v>
      </c>
    </row>
    <row r="23343" customFormat="false" ht="12.8" hidden="false" customHeight="false" outlineLevel="0" collapsed="false">
      <c r="B23343" s="0" t="s">
        <v>1</v>
      </c>
    </row>
    <row r="23344" customFormat="false" ht="12.8" hidden="false" customHeight="false" outlineLevel="0" collapsed="false">
      <c r="B23344" s="0" t="s">
        <v>8</v>
      </c>
    </row>
    <row r="23346" customFormat="false" ht="12.8" hidden="false" customHeight="false" outlineLevel="0" collapsed="false">
      <c r="A23346" s="0" t="s">
        <v>9570</v>
      </c>
      <c r="B23346" s="0" t="str">
        <f aca="false">HYPERLINK("https://lindat.mff.cuni.cz/services/teitok/pdtc10/index.php?action=vallex&amp;frame=v-w10839f2", "ohlodat (v-w10839f2)")</f>
        <v>ohlodat (v-w10839f2)</v>
      </c>
    </row>
    <row r="23347" customFormat="false" ht="12.8" hidden="false" customHeight="false" outlineLevel="0" collapsed="false">
      <c r="B23347" s="0" t="s">
        <v>1</v>
      </c>
    </row>
    <row r="23348" customFormat="false" ht="12.8" hidden="false" customHeight="false" outlineLevel="0" collapsed="false">
      <c r="B23348" s="0" t="s">
        <v>8</v>
      </c>
    </row>
    <row r="23350" customFormat="false" ht="12.8" hidden="false" customHeight="false" outlineLevel="0" collapsed="false">
      <c r="A23350" s="0" t="s">
        <v>9571</v>
      </c>
      <c r="B23350" s="0" t="str">
        <f aca="false">HYPERLINK("https://lindat.mff.cuni.cz/services/teitok/pdtc10/index.php?action=vallex&amp;frame=v-w3000f1", "ohluchnout (v-w3000f1)")</f>
        <v>ohluchnout (v-w3000f1)</v>
      </c>
    </row>
    <row r="23351" customFormat="false" ht="12.8" hidden="false" customHeight="false" outlineLevel="0" collapsed="false">
      <c r="B23351" s="0" t="s">
        <v>1</v>
      </c>
    </row>
    <row r="23353" customFormat="false" ht="12.8" hidden="false" customHeight="false" outlineLevel="0" collapsed="false">
      <c r="A23353" s="0" t="s">
        <v>9572</v>
      </c>
      <c r="B23353" s="0" t="str">
        <f aca="false">HYPERLINK("https://lindat.mff.cuni.cz/services/teitok/pdtc10/index.php?action=vallex&amp;frame=v-whsb_419hsa_420", "ohlušit (v-whsb_419hsa_420)")</f>
        <v>ohlušit (v-whsb_419hsa_420)</v>
      </c>
    </row>
    <row r="23354" customFormat="false" ht="12.8" hidden="false" customHeight="false" outlineLevel="0" collapsed="false">
      <c r="B23354" s="0" t="s">
        <v>1</v>
      </c>
    </row>
    <row r="23355" customFormat="false" ht="12.8" hidden="false" customHeight="false" outlineLevel="0" collapsed="false">
      <c r="B23355" s="0" t="s">
        <v>8</v>
      </c>
    </row>
    <row r="23357" customFormat="false" ht="12.8" hidden="false" customHeight="false" outlineLevel="0" collapsed="false">
      <c r="A23357" s="0" t="s">
        <v>9573</v>
      </c>
      <c r="B23357" s="0" t="str">
        <f aca="false">HYPERLINK("https://lindat.mff.cuni.cz/services/teitok/pdtc10/index.php?action=vallex&amp;frame=v-w2988f1", "ohlásit (v-w2988f1)")</f>
        <v>ohlásit (v-w2988f1)</v>
      </c>
      <c r="E23357" s="0" t="str">
        <f aca="false">HYPERLINK("https://lindat.mff.cuni.cz/services/SynSemClass40/SynSemClass40.html?veclass=vec00060#vec00060-ces-cm00050", "vec00060")</f>
        <v>vec00060</v>
      </c>
      <c r="F23357" s="0" t="s">
        <v>213</v>
      </c>
    </row>
    <row r="23358" customFormat="false" ht="12.8" hidden="false" customHeight="false" outlineLevel="0" collapsed="false">
      <c r="B23358" s="0" t="s">
        <v>1</v>
      </c>
      <c r="C23358" s="0" t="s">
        <v>214</v>
      </c>
      <c r="E23358" s="0" t="s">
        <v>147</v>
      </c>
      <c r="F23358" s="0" t="s">
        <v>215</v>
      </c>
    </row>
    <row r="23359" customFormat="false" ht="12.8" hidden="false" customHeight="false" outlineLevel="0" collapsed="false">
      <c r="B23359" s="0" t="s">
        <v>216</v>
      </c>
      <c r="C23359" s="0" t="s">
        <v>217</v>
      </c>
      <c r="E23359" s="0" t="s">
        <v>218</v>
      </c>
      <c r="F23359" s="0" t="s">
        <v>219</v>
      </c>
    </row>
    <row r="23360" customFormat="false" ht="12.8" hidden="false" customHeight="false" outlineLevel="0" collapsed="false">
      <c r="B23360" s="0" t="s">
        <v>52</v>
      </c>
      <c r="C23360" s="0" t="s">
        <v>220</v>
      </c>
      <c r="E23360" s="0" t="s">
        <v>221</v>
      </c>
      <c r="F23360" s="0" t="s">
        <v>222</v>
      </c>
    </row>
    <row r="23362" customFormat="false" ht="12.8" hidden="false" customHeight="false" outlineLevel="0" collapsed="false">
      <c r="A23362" s="0" t="s">
        <v>9574</v>
      </c>
      <c r="B23362" s="0" t="str">
        <f aca="false">HYPERLINK("https://lindat.mff.cuni.cz/services/teitok/pdtc10/index.php?action=vallex&amp;frame=v-w2988f2", "ohlásit (v-w2988f2)")</f>
        <v>ohlásit (v-w2988f2)</v>
      </c>
    </row>
    <row r="23363" customFormat="false" ht="12.8" hidden="false" customHeight="false" outlineLevel="0" collapsed="false">
      <c r="B23363" s="0" t="s">
        <v>1</v>
      </c>
    </row>
    <row r="23364" customFormat="false" ht="12.8" hidden="false" customHeight="false" outlineLevel="0" collapsed="false">
      <c r="B23364" s="0" t="s">
        <v>216</v>
      </c>
    </row>
    <row r="23365" customFormat="false" ht="12.8" hidden="false" customHeight="false" outlineLevel="0" collapsed="false">
      <c r="B23365" s="0" t="s">
        <v>5</v>
      </c>
    </row>
    <row r="23367" customFormat="false" ht="12.8" hidden="false" customHeight="false" outlineLevel="0" collapsed="false">
      <c r="A23367" s="0" t="s">
        <v>9575</v>
      </c>
      <c r="B23367" s="0" t="str">
        <f aca="false">HYPERLINK("https://lindat.mff.cuni.cz/services/teitok/pdtc10/index.php?action=vallex&amp;frame=v-w2988f3", "ohlásit (v-w2988f3)")</f>
        <v>ohlásit (v-w2988f3)</v>
      </c>
    </row>
    <row r="23368" customFormat="false" ht="12.8" hidden="false" customHeight="false" outlineLevel="0" collapsed="false">
      <c r="B23368" s="0" t="s">
        <v>1</v>
      </c>
    </row>
    <row r="23369" customFormat="false" ht="12.8" hidden="false" customHeight="false" outlineLevel="0" collapsed="false">
      <c r="B23369" s="0" t="s">
        <v>216</v>
      </c>
    </row>
    <row r="23370" customFormat="false" ht="12.8" hidden="false" customHeight="false" outlineLevel="0" collapsed="false">
      <c r="B23370" s="0" t="s">
        <v>164</v>
      </c>
    </row>
    <row r="23372" customFormat="false" ht="12.8" hidden="false" customHeight="false" outlineLevel="0" collapsed="false">
      <c r="A23372" s="0" t="s">
        <v>9576</v>
      </c>
      <c r="B23372" s="0" t="str">
        <f aca="false">HYPERLINK("https://lindat.mff.cuni.cz/services/teitok/pdtc10/index.php?action=vallex&amp;frame=v-w2989f1", "ohlásit se (v-w2989f1)")</f>
        <v>ohlásit se (v-w2989f1)</v>
      </c>
      <c r="E23372" s="0" t="str">
        <f aca="false">HYPERLINK("https://lindat.mff.cuni.cz/services/SynSemClass40/SynSemClass40.html?veclass=vec01245#vec01245-ces-cm00003", "vec01245")</f>
        <v>vec01245</v>
      </c>
      <c r="F23372" s="0" t="s">
        <v>4343</v>
      </c>
    </row>
    <row r="23373" customFormat="false" ht="12.8" hidden="false" customHeight="false" outlineLevel="0" collapsed="false">
      <c r="B23373" s="0" t="s">
        <v>1</v>
      </c>
      <c r="C23373" s="0" t="s">
        <v>106</v>
      </c>
      <c r="E23373" s="0" t="s">
        <v>1413</v>
      </c>
      <c r="F23373" s="0" t="s">
        <v>4344</v>
      </c>
    </row>
    <row r="23374" customFormat="false" ht="12.8" hidden="false" customHeight="false" outlineLevel="0" collapsed="false">
      <c r="B23374" s="0" t="s">
        <v>186</v>
      </c>
      <c r="C23374" s="0" t="s">
        <v>4345</v>
      </c>
      <c r="E23374" s="0" t="s">
        <v>4346</v>
      </c>
      <c r="F23374" s="0" t="s">
        <v>4347</v>
      </c>
    </row>
    <row r="23376" customFormat="false" ht="12.8" hidden="false" customHeight="false" outlineLevel="0" collapsed="false">
      <c r="A23376" s="0" t="s">
        <v>9577</v>
      </c>
      <c r="B23376" s="0" t="str">
        <f aca="false">HYPERLINK("https://lindat.mff.cuni.cz/services/teitok/pdtc10/index.php?action=vallex&amp;frame=v-w2989f2_ZU", "ohlásit se (v-w2989f2_ZU)")</f>
        <v>ohlásit se (v-w2989f2_ZU)</v>
      </c>
    </row>
    <row r="23377" customFormat="false" ht="12.8" hidden="false" customHeight="false" outlineLevel="0" collapsed="false">
      <c r="B23377" s="0" t="s">
        <v>1</v>
      </c>
    </row>
    <row r="23378" customFormat="false" ht="12.8" hidden="false" customHeight="false" outlineLevel="0" collapsed="false">
      <c r="B23378" s="0" t="s">
        <v>1262</v>
      </c>
    </row>
    <row r="23380" customFormat="false" ht="12.8" hidden="false" customHeight="false" outlineLevel="0" collapsed="false">
      <c r="A23380" s="0" t="s">
        <v>9578</v>
      </c>
      <c r="B23380" s="0" t="str">
        <f aca="false">HYPERLINK("https://lindat.mff.cuni.cz/services/teitok/pdtc10/index.php?action=vallex&amp;frame=v-w2995f1", "ohlédnout se (v-w2995f1)")</f>
        <v>ohlédnout se (v-w2995f1)</v>
      </c>
      <c r="E23380" s="0" t="str">
        <f aca="false">HYPERLINK("https://lindat.mff.cuni.cz/services/SynSemClass40/SynSemClass40.html?veclass=vec01263#vec01263-ces-cm00005", "vec01263")</f>
        <v>vec01263</v>
      </c>
      <c r="F23380" s="0" t="s">
        <v>9579</v>
      </c>
    </row>
    <row r="23381" customFormat="false" ht="12.8" hidden="false" customHeight="false" outlineLevel="0" collapsed="false">
      <c r="B23381" s="0" t="s">
        <v>1</v>
      </c>
      <c r="C23381" s="0" t="s">
        <v>4695</v>
      </c>
      <c r="E23381" s="0" t="s">
        <v>3856</v>
      </c>
      <c r="F23381" s="0" t="s">
        <v>9580</v>
      </c>
    </row>
    <row r="23383" customFormat="false" ht="12.8" hidden="false" customHeight="false" outlineLevel="0" collapsed="false">
      <c r="A23383" s="0" t="s">
        <v>9581</v>
      </c>
      <c r="B23383" s="0" t="str">
        <f aca="false">HYPERLINK("https://lindat.mff.cuni.cz/services/teitok/pdtc10/index.php?action=vallex&amp;frame=v-w2998f1", "ohlídat (v-w2998f1)")</f>
        <v>ohlídat (v-w2998f1)</v>
      </c>
    </row>
    <row r="23384" customFormat="false" ht="12.8" hidden="false" customHeight="false" outlineLevel="0" collapsed="false">
      <c r="B23384" s="0" t="s">
        <v>1</v>
      </c>
    </row>
    <row r="23385" customFormat="false" ht="12.8" hidden="false" customHeight="false" outlineLevel="0" collapsed="false">
      <c r="B23385" s="0" t="s">
        <v>8</v>
      </c>
    </row>
    <row r="23387" customFormat="false" ht="12.8" hidden="false" customHeight="false" outlineLevel="0" collapsed="false">
      <c r="A23387" s="0" t="s">
        <v>9582</v>
      </c>
      <c r="B23387" s="0" t="str">
        <f aca="false">HYPERLINK("https://lindat.mff.cuni.cz/services/teitok/pdtc10/index.php?action=vallex&amp;frame=v-w2999hsa_678", "ohlížet se (v-w2999hsa_678)")</f>
        <v>ohlížet se (v-w2999hsa_678)</v>
      </c>
    </row>
    <row r="23388" customFormat="false" ht="12.8" hidden="false" customHeight="false" outlineLevel="0" collapsed="false">
      <c r="B23388" s="0" t="s">
        <v>1</v>
      </c>
    </row>
    <row r="23389" customFormat="false" ht="12.8" hidden="false" customHeight="false" outlineLevel="0" collapsed="false">
      <c r="B23389" s="0" t="s">
        <v>9583</v>
      </c>
    </row>
    <row r="23391" customFormat="false" ht="12.8" hidden="false" customHeight="false" outlineLevel="0" collapsed="false">
      <c r="A23391" s="0" t="s">
        <v>9582</v>
      </c>
      <c r="B23391" s="0" t="str">
        <f aca="false">HYPERLINK("https://lindat.mff.cuni.cz/services/teitok/pdtc10/index.php?action=vallex&amp;frame=v-w2999f2", "ohlížet se (v-w2999f2) - substituted with v-w2999hsa_678")</f>
        <v>ohlížet se (v-w2999f2) - substituted with v-w2999hsa_678</v>
      </c>
    </row>
    <row r="23392" customFormat="false" ht="12.8" hidden="false" customHeight="false" outlineLevel="0" collapsed="false">
      <c r="B23392" s="0" t="s">
        <v>1</v>
      </c>
    </row>
    <row r="23393" customFormat="false" ht="12.8" hidden="false" customHeight="false" outlineLevel="0" collapsed="false">
      <c r="B23393" s="0" t="s">
        <v>9583</v>
      </c>
    </row>
    <row r="23395" customFormat="false" ht="12.8" hidden="false" customHeight="false" outlineLevel="0" collapsed="false">
      <c r="A23395" s="0" t="s">
        <v>9584</v>
      </c>
      <c r="B23395" s="0" t="str">
        <f aca="false">HYPERLINK("https://lindat.mff.cuni.cz/services/teitok/pdtc10/index.php?action=vallex&amp;frame=v-w2999f3", "ohlížet se (v-w2999f3)")</f>
        <v>ohlížet se (v-w2999f3)</v>
      </c>
    </row>
    <row r="23396" customFormat="false" ht="12.8" hidden="false" customHeight="false" outlineLevel="0" collapsed="false">
      <c r="B23396" s="0" t="s">
        <v>1</v>
      </c>
    </row>
    <row r="23397" customFormat="false" ht="12.8" hidden="false" customHeight="false" outlineLevel="0" collapsed="false">
      <c r="B23397" s="0" t="s">
        <v>318</v>
      </c>
    </row>
    <row r="23399" customFormat="false" ht="12.8" hidden="false" customHeight="false" outlineLevel="0" collapsed="false">
      <c r="A23399" s="0" t="s">
        <v>9585</v>
      </c>
      <c r="B23399" s="0" t="str">
        <f aca="false">HYPERLINK("https://lindat.mff.cuni.cz/services/teitok/pdtc10/index.php?action=vallex&amp;frame=v-w2999f1", "ohlížet se (v-w2999f1)")</f>
        <v>ohlížet se (v-w2999f1)</v>
      </c>
    </row>
    <row r="23400" customFormat="false" ht="12.8" hidden="false" customHeight="false" outlineLevel="0" collapsed="false">
      <c r="B23400" s="0" t="s">
        <v>1</v>
      </c>
    </row>
    <row r="23402" customFormat="false" ht="12.8" hidden="false" customHeight="false" outlineLevel="0" collapsed="false">
      <c r="A23402" s="0" t="s">
        <v>9586</v>
      </c>
      <c r="B23402" s="0" t="str">
        <f aca="false">HYPERLINK("https://lindat.mff.cuni.cz/services/teitok/pdtc10/index.php?action=vallex&amp;frame=v-whsa_155hsa_156", "ohmatat (v-whsa_155hsa_156)")</f>
        <v>ohmatat (v-whsa_155hsa_156)</v>
      </c>
    </row>
    <row r="23403" customFormat="false" ht="12.8" hidden="false" customHeight="false" outlineLevel="0" collapsed="false">
      <c r="B23403" s="0" t="s">
        <v>1</v>
      </c>
    </row>
    <row r="23404" customFormat="false" ht="12.8" hidden="false" customHeight="false" outlineLevel="0" collapsed="false">
      <c r="B23404" s="0" t="s">
        <v>8</v>
      </c>
    </row>
    <row r="23406" customFormat="false" ht="12.8" hidden="false" customHeight="false" outlineLevel="0" collapsed="false">
      <c r="A23406" s="0" t="s">
        <v>9587</v>
      </c>
      <c r="B23406" s="0" t="str">
        <f aca="false">HYPERLINK("https://lindat.mff.cuni.cz/services/teitok/pdtc10/index.php?action=vallex&amp;frame=v-w10365f2", "ohmatávat (v-w10365f2)")</f>
        <v>ohmatávat (v-w10365f2)</v>
      </c>
    </row>
    <row r="23407" customFormat="false" ht="12.8" hidden="false" customHeight="false" outlineLevel="0" collapsed="false">
      <c r="B23407" s="0" t="s">
        <v>1</v>
      </c>
    </row>
    <row r="23408" customFormat="false" ht="12.8" hidden="false" customHeight="false" outlineLevel="0" collapsed="false">
      <c r="B23408" s="0" t="s">
        <v>8</v>
      </c>
    </row>
    <row r="23410" customFormat="false" ht="12.8" hidden="false" customHeight="false" outlineLevel="0" collapsed="false">
      <c r="A23410" s="0" t="s">
        <v>9588</v>
      </c>
      <c r="B23410" s="0" t="str">
        <f aca="false">HYPERLINK("https://lindat.mff.cuni.cz/services/teitok/pdtc10/index.php?action=vallex&amp;frame=v-w11946_ZUf1_ZU", "ohnout (v-w11946_ZUf1_ZU)")</f>
        <v>ohnout (v-w11946_ZUf1_ZU)</v>
      </c>
    </row>
    <row r="23411" customFormat="false" ht="12.8" hidden="false" customHeight="false" outlineLevel="0" collapsed="false">
      <c r="B23411" s="0" t="s">
        <v>1</v>
      </c>
    </row>
    <row r="23412" customFormat="false" ht="12.8" hidden="false" customHeight="false" outlineLevel="0" collapsed="false">
      <c r="B23412" s="0" t="s">
        <v>8</v>
      </c>
    </row>
    <row r="23414" customFormat="false" ht="12.8" hidden="false" customHeight="false" outlineLevel="0" collapsed="false">
      <c r="A23414" s="0" t="s">
        <v>9589</v>
      </c>
      <c r="B23414" s="0" t="str">
        <f aca="false">HYPERLINK("https://lindat.mff.cuni.cz/services/teitok/pdtc10/index.php?action=vallex&amp;frame=v-w11419f1", "ohnout se (v-w11419f1)")</f>
        <v>ohnout se (v-w11419f1)</v>
      </c>
      <c r="E23414" s="0" t="str">
        <f aca="false">HYPERLINK("https://lindat.mff.cuni.cz/services/SynSemClass40/SynSemClass40.html?veclass=vec00637#vec00637-ces-cm00016", "vec00637")</f>
        <v>vec00637</v>
      </c>
      <c r="F23414" s="0" t="s">
        <v>7311</v>
      </c>
      <c r="H23414" s="0" t="str">
        <f aca="false">HYPERLINK("https://lindat.mff.cuni.cz/services/SynSemClass40/SynSemClass40.html?veclass=vec00993#vec00993-ces-cm00005", "vec00993")</f>
        <v>vec00993</v>
      </c>
      <c r="I23414" s="0" t="s">
        <v>9590</v>
      </c>
    </row>
    <row r="23415" customFormat="false" ht="12.8" hidden="false" customHeight="false" outlineLevel="0" collapsed="false">
      <c r="B23415" s="0" t="s">
        <v>1</v>
      </c>
      <c r="C23415" s="0" t="s">
        <v>9591</v>
      </c>
      <c r="E23415" s="0" t="s">
        <v>334</v>
      </c>
      <c r="F23415" s="0" t="s">
        <v>7313</v>
      </c>
      <c r="H23415" s="0" t="s">
        <v>235</v>
      </c>
      <c r="I23415" s="0" t="s">
        <v>9592</v>
      </c>
    </row>
    <row r="23417" customFormat="false" ht="12.8" hidden="false" customHeight="false" outlineLevel="0" collapsed="false">
      <c r="A23417" s="0" t="s">
        <v>9593</v>
      </c>
      <c r="B23417" s="0" t="str">
        <f aca="false">HYPERLINK("https://lindat.mff.cuni.cz/services/teitok/pdtc10/index.php?action=vallex&amp;frame=v-w11419f3_ZU", "ohnout se (v-w11419f3_ZU)")</f>
        <v>ohnout se (v-w11419f3_ZU)</v>
      </c>
    </row>
    <row r="23418" customFormat="false" ht="12.8" hidden="false" customHeight="false" outlineLevel="0" collapsed="false">
      <c r="B23418" s="0" t="s">
        <v>1</v>
      </c>
    </row>
    <row r="23420" customFormat="false" ht="12.8" hidden="false" customHeight="false" outlineLevel="0" collapsed="false">
      <c r="A23420" s="0" t="s">
        <v>9593</v>
      </c>
      <c r="B23420" s="0" t="str">
        <f aca="false">HYPERLINK("https://lindat.mff.cuni.cz/services/teitok/pdtc10/index.php?action=vallex&amp;frame=v-w11419f2_ZU", "ohnout se (v-w11419f2_ZU) - substituted with v-w11419f3_ZU")</f>
        <v>ohnout se (v-w11419f2_ZU) - substituted with v-w11419f3_ZU</v>
      </c>
    </row>
    <row r="23421" customFormat="false" ht="12.8" hidden="false" customHeight="false" outlineLevel="0" collapsed="false">
      <c r="B23421" s="0" t="s">
        <v>1</v>
      </c>
    </row>
    <row r="23423" customFormat="false" ht="12.8" hidden="false" customHeight="false" outlineLevel="0" collapsed="false">
      <c r="A23423" s="0" t="s">
        <v>9594</v>
      </c>
      <c r="B23423" s="0" t="str">
        <f aca="false">HYPERLINK("https://lindat.mff.cuni.cz/services/teitok/pdtc10/index.php?action=vallex&amp;frame=v-w11785_ZUf1_ZU", "ohnít (v-w11785_ZUf1_ZU)")</f>
        <v>ohnít (v-w11785_ZUf1_ZU)</v>
      </c>
    </row>
    <row r="23424" customFormat="false" ht="12.8" hidden="false" customHeight="false" outlineLevel="0" collapsed="false">
      <c r="B23424" s="0" t="s">
        <v>1</v>
      </c>
    </row>
    <row r="23426" customFormat="false" ht="12.8" hidden="false" customHeight="false" outlineLevel="0" collapsed="false">
      <c r="A23426" s="0" t="s">
        <v>9595</v>
      </c>
      <c r="B23426" s="0" t="str">
        <f aca="false">HYPERLINK("https://lindat.mff.cuni.cz/services/teitok/pdtc10/index.php?action=vallex&amp;frame=v-w3003f1", "ohodnocovat (v-w3003f1)")</f>
        <v>ohodnocovat (v-w3003f1)</v>
      </c>
      <c r="E23426" s="0" t="str">
        <f aca="false">HYPERLINK("https://lindat.mff.cuni.cz/services/SynSemClass40/SynSemClass40.html?veclass=vec00322#vec00322-ces-cm00136", "vec00322")</f>
        <v>vec00322</v>
      </c>
      <c r="F23426" s="0" t="s">
        <v>1343</v>
      </c>
    </row>
    <row r="23427" customFormat="false" ht="12.8" hidden="false" customHeight="false" outlineLevel="0" collapsed="false">
      <c r="B23427" s="0" t="s">
        <v>1</v>
      </c>
      <c r="C23427" s="0" t="s">
        <v>1344</v>
      </c>
      <c r="E23427" s="0" t="s">
        <v>206</v>
      </c>
      <c r="F23427" s="0" t="s">
        <v>1345</v>
      </c>
    </row>
    <row r="23428" customFormat="false" ht="12.8" hidden="false" customHeight="false" outlineLevel="0" collapsed="false">
      <c r="B23428" s="0" t="s">
        <v>59</v>
      </c>
      <c r="C23428" s="0" t="s">
        <v>1346</v>
      </c>
      <c r="E23428" s="0" t="s">
        <v>1347</v>
      </c>
      <c r="F23428" s="0" t="s">
        <v>1348</v>
      </c>
    </row>
    <row r="23429" customFormat="false" ht="12.8" hidden="false" customHeight="false" outlineLevel="0" collapsed="false">
      <c r="B23429" s="0" t="s">
        <v>40</v>
      </c>
      <c r="C23429" s="0" t="s">
        <v>1349</v>
      </c>
      <c r="E23429" s="0" t="s">
        <v>1350</v>
      </c>
      <c r="F23429" s="0" t="s">
        <v>1351</v>
      </c>
    </row>
    <row r="23431" customFormat="false" ht="12.8" hidden="false" customHeight="false" outlineLevel="0" collapsed="false">
      <c r="A23431" s="0" t="s">
        <v>9596</v>
      </c>
      <c r="B23431" s="0" t="str">
        <f aca="false">HYPERLINK("https://lindat.mff.cuni.cz/services/teitok/pdtc10/index.php?action=vallex&amp;frame=v-w3004f1", "ohodnotit (v-w3004f1)")</f>
        <v>ohodnotit (v-w3004f1)</v>
      </c>
      <c r="E23431" s="0" t="str">
        <f aca="false">HYPERLINK("https://lindat.mff.cuni.cz/services/SynSemClass40/SynSemClass40.html?veclass=vec00916#vec00916-ces-cm00004", "vec00916")</f>
        <v>vec00916</v>
      </c>
      <c r="F23431" s="0" t="s">
        <v>5268</v>
      </c>
    </row>
    <row r="23432" customFormat="false" ht="12.8" hidden="false" customHeight="false" outlineLevel="0" collapsed="false">
      <c r="B23432" s="0" t="s">
        <v>1</v>
      </c>
      <c r="C23432" s="0" t="s">
        <v>767</v>
      </c>
      <c r="E23432" s="0" t="s">
        <v>206</v>
      </c>
      <c r="F23432" s="0" t="s">
        <v>5269</v>
      </c>
    </row>
    <row r="23433" customFormat="false" ht="12.8" hidden="false" customHeight="false" outlineLevel="0" collapsed="false">
      <c r="B23433" s="0" t="s">
        <v>8</v>
      </c>
      <c r="C23433" s="0" t="s">
        <v>4401</v>
      </c>
      <c r="E23433" s="0" t="s">
        <v>180</v>
      </c>
      <c r="F23433" s="0" t="s">
        <v>5270</v>
      </c>
    </row>
    <row r="23434" customFormat="false" ht="12.8" hidden="false" customHeight="false" outlineLevel="0" collapsed="false">
      <c r="B23434" s="0" t="s">
        <v>9597</v>
      </c>
      <c r="C23434" s="0" t="s">
        <v>5271</v>
      </c>
      <c r="E23434" s="0" t="s">
        <v>5272</v>
      </c>
      <c r="F23434" s="0" t="s">
        <v>5273</v>
      </c>
    </row>
    <row r="23436" customFormat="false" ht="12.8" hidden="false" customHeight="false" outlineLevel="0" collapsed="false">
      <c r="A23436" s="0" t="s">
        <v>9598</v>
      </c>
      <c r="B23436" s="0" t="str">
        <f aca="false">HYPERLINK("https://lindat.mff.cuni.cz/services/teitok/pdtc10/index.php?action=vallex&amp;frame=v-w3004f3_ZU", "ohodnotit (v-w3004f3_ZU)")</f>
        <v>ohodnotit (v-w3004f3_ZU)</v>
      </c>
      <c r="E23436" s="0" t="str">
        <f aca="false">HYPERLINK("https://lindat.mff.cuni.cz/services/SynSemClass40/SynSemClass40.html?veclass=vec00322#vec00322-ces-cm00137", "vec00322")</f>
        <v>vec00322</v>
      </c>
      <c r="F23436" s="0" t="s">
        <v>1343</v>
      </c>
    </row>
    <row r="23437" customFormat="false" ht="12.8" hidden="false" customHeight="false" outlineLevel="0" collapsed="false">
      <c r="B23437" s="0" t="s">
        <v>1</v>
      </c>
      <c r="C23437" s="0" t="s">
        <v>1344</v>
      </c>
      <c r="E23437" s="0" t="s">
        <v>206</v>
      </c>
      <c r="F23437" s="0" t="s">
        <v>1345</v>
      </c>
    </row>
    <row r="23438" customFormat="false" ht="12.8" hidden="false" customHeight="false" outlineLevel="0" collapsed="false">
      <c r="B23438" s="0" t="s">
        <v>8</v>
      </c>
      <c r="C23438" s="0" t="s">
        <v>1346</v>
      </c>
      <c r="E23438" s="0" t="s">
        <v>1347</v>
      </c>
      <c r="F23438" s="0" t="s">
        <v>1348</v>
      </c>
    </row>
    <row r="23439" customFormat="false" ht="12.8" hidden="false" customHeight="false" outlineLevel="0" collapsed="false">
      <c r="B23439" s="0" t="s">
        <v>101</v>
      </c>
      <c r="C23439" s="0" t="s">
        <v>1349</v>
      </c>
      <c r="E23439" s="0" t="s">
        <v>1350</v>
      </c>
      <c r="F23439" s="0" t="s">
        <v>1351</v>
      </c>
    </row>
    <row r="23441" customFormat="false" ht="12.8" hidden="false" customHeight="false" outlineLevel="0" collapsed="false">
      <c r="A23441" s="0" t="s">
        <v>9599</v>
      </c>
      <c r="B23441" s="0" t="str">
        <f aca="false">HYPERLINK("https://lindat.mff.cuni.cz/services/teitok/pdtc10/index.php?action=vallex&amp;frame=v-w3004f2", "ohodnotit (v-w3004f2)")</f>
        <v>ohodnotit (v-w3004f2)</v>
      </c>
      <c r="E23441" s="0" t="str">
        <f aca="false">HYPERLINK("https://lindat.mff.cuni.cz/services/SynSemClass40/SynSemClass40.html?veclass=vec00159#vec00159-ces-cm00010", "vec00159")</f>
        <v>vec00159</v>
      </c>
      <c r="F23441" s="0" t="s">
        <v>4454</v>
      </c>
    </row>
    <row r="23442" customFormat="false" ht="12.8" hidden="false" customHeight="false" outlineLevel="0" collapsed="false">
      <c r="B23442" s="0" t="s">
        <v>1</v>
      </c>
      <c r="C23442" s="0" t="s">
        <v>4134</v>
      </c>
      <c r="E23442" s="0" t="s">
        <v>4455</v>
      </c>
      <c r="F23442" s="0" t="s">
        <v>4456</v>
      </c>
    </row>
    <row r="23443" customFormat="false" ht="12.8" hidden="false" customHeight="false" outlineLevel="0" collapsed="false">
      <c r="B23443" s="0" t="s">
        <v>228</v>
      </c>
      <c r="C23443" s="0" t="s">
        <v>2380</v>
      </c>
      <c r="E23443" s="0" t="s">
        <v>180</v>
      </c>
      <c r="F23443" s="0" t="s">
        <v>4457</v>
      </c>
    </row>
    <row r="23445" customFormat="false" ht="12.8" hidden="false" customHeight="false" outlineLevel="0" collapsed="false">
      <c r="A23445" s="0" t="s">
        <v>9600</v>
      </c>
      <c r="B23445" s="0" t="str">
        <f aca="false">HYPERLINK("https://lindat.mff.cuni.cz/services/teitok/pdtc10/index.php?action=vallex&amp;frame=v-w3005f2", "oholit (v-w3005f2)")</f>
        <v>oholit (v-w3005f2)</v>
      </c>
    </row>
    <row r="23446" customFormat="false" ht="12.8" hidden="false" customHeight="false" outlineLevel="0" collapsed="false">
      <c r="B23446" s="0" t="s">
        <v>1</v>
      </c>
    </row>
    <row r="23447" customFormat="false" ht="12.8" hidden="false" customHeight="false" outlineLevel="0" collapsed="false">
      <c r="B23447" s="0" t="s">
        <v>8</v>
      </c>
    </row>
    <row r="23448" customFormat="false" ht="12.8" hidden="false" customHeight="false" outlineLevel="0" collapsed="false">
      <c r="B23448" s="0" t="s">
        <v>631</v>
      </c>
    </row>
    <row r="23450" customFormat="false" ht="12.8" hidden="false" customHeight="false" outlineLevel="0" collapsed="false">
      <c r="A23450" s="0" t="s">
        <v>9601</v>
      </c>
      <c r="B23450" s="0" t="str">
        <f aca="false">HYPERLINK("https://lindat.mff.cuni.cz/services/teitok/pdtc10/index.php?action=vallex&amp;frame=v-w3005f1", "oholit (v-w3005f1)")</f>
        <v>oholit (v-w3005f1)</v>
      </c>
    </row>
    <row r="23451" customFormat="false" ht="12.8" hidden="false" customHeight="false" outlineLevel="0" collapsed="false">
      <c r="B23451" s="0" t="s">
        <v>1</v>
      </c>
    </row>
    <row r="23452" customFormat="false" ht="12.8" hidden="false" customHeight="false" outlineLevel="0" collapsed="false">
      <c r="B23452" s="0" t="s">
        <v>8</v>
      </c>
    </row>
    <row r="23454" customFormat="false" ht="12.8" hidden="false" customHeight="false" outlineLevel="0" collapsed="false">
      <c r="A23454" s="0" t="s">
        <v>9602</v>
      </c>
      <c r="B23454" s="0" t="str">
        <f aca="false">HYPERLINK("https://lindat.mff.cuni.cz/services/teitok/pdtc10/index.php?action=vallex&amp;frame=v-w3006f1", "ohořet (v-w3006f1)")</f>
        <v>ohořet (v-w3006f1)</v>
      </c>
      <c r="E23454" s="0" t="str">
        <f aca="false">HYPERLINK("https://lindat.mff.cuni.cz/services/SynSemClass40/SynSemClass40.html?veclass=vec01215#vec01215-ces-cm00002", "vec01215")</f>
        <v>vec01215</v>
      </c>
      <c r="F23454" s="0" t="s">
        <v>4546</v>
      </c>
    </row>
    <row r="23455" customFormat="false" ht="12.8" hidden="false" customHeight="false" outlineLevel="0" collapsed="false">
      <c r="B23455" s="0" t="s">
        <v>1</v>
      </c>
      <c r="C23455" s="0" t="s">
        <v>1507</v>
      </c>
      <c r="E23455" s="0" t="s">
        <v>1590</v>
      </c>
      <c r="F23455" s="0" t="s">
        <v>4547</v>
      </c>
    </row>
    <row r="23457" customFormat="false" ht="12.8" hidden="false" customHeight="false" outlineLevel="0" collapsed="false">
      <c r="A23457" s="0" t="s">
        <v>9603</v>
      </c>
      <c r="B23457" s="0" t="str">
        <f aca="false">HYPERLINK("https://lindat.mff.cuni.cz/services/teitok/pdtc10/index.php?action=vallex&amp;frame=v-w3007f1", "ohradit (v-w3007f1)")</f>
        <v>ohradit (v-w3007f1)</v>
      </c>
    </row>
    <row r="23458" customFormat="false" ht="12.8" hidden="false" customHeight="false" outlineLevel="0" collapsed="false">
      <c r="B23458" s="0" t="s">
        <v>1</v>
      </c>
    </row>
    <row r="23459" customFormat="false" ht="12.8" hidden="false" customHeight="false" outlineLevel="0" collapsed="false">
      <c r="B23459" s="0" t="s">
        <v>8</v>
      </c>
    </row>
    <row r="23461" customFormat="false" ht="12.8" hidden="false" customHeight="false" outlineLevel="0" collapsed="false">
      <c r="A23461" s="0" t="s">
        <v>9604</v>
      </c>
      <c r="B23461" s="0" t="str">
        <f aca="false">HYPERLINK("https://lindat.mff.cuni.cz/services/teitok/pdtc10/index.php?action=vallex&amp;frame=v-w3008f1", "ohradit se (v-w3008f1)")</f>
        <v>ohradit se (v-w3008f1)</v>
      </c>
      <c r="E23461" s="0" t="str">
        <f aca="false">HYPERLINK("https://lindat.mff.cuni.cz/services/SynSemClass40/SynSemClass40.html?veclass=vec00461#vec00461-ces-cm00034", "vec00461")</f>
        <v>vec00461</v>
      </c>
      <c r="F23461" s="0" t="s">
        <v>476</v>
      </c>
    </row>
    <row r="23462" customFormat="false" ht="12.8" hidden="false" customHeight="false" outlineLevel="0" collapsed="false">
      <c r="B23462" s="0" t="s">
        <v>1</v>
      </c>
      <c r="C23462" s="0" t="s">
        <v>477</v>
      </c>
      <c r="E23462" s="0" t="s">
        <v>478</v>
      </c>
      <c r="F23462" s="0" t="s">
        <v>479</v>
      </c>
    </row>
    <row r="23463" customFormat="false" ht="12.8" hidden="false" customHeight="false" outlineLevel="0" collapsed="false">
      <c r="B23463" s="0" t="s">
        <v>9605</v>
      </c>
      <c r="C23463" s="0" t="s">
        <v>9606</v>
      </c>
      <c r="E23463" s="0" t="s">
        <v>9099</v>
      </c>
      <c r="F23463" s="0" t="s">
        <v>9607</v>
      </c>
    </row>
    <row r="23465" customFormat="false" ht="12.8" hidden="false" customHeight="false" outlineLevel="0" collapsed="false">
      <c r="A23465" s="0" t="s">
        <v>9608</v>
      </c>
      <c r="B23465" s="0" t="str">
        <f aca="false">HYPERLINK("https://lindat.mff.cuni.cz/services/teitok/pdtc10/index.php?action=vallex&amp;frame=v-w10166f2", "ohraničit (v-w10166f2)")</f>
        <v>ohraničit (v-w10166f2)</v>
      </c>
      <c r="E23465" s="0" t="str">
        <f aca="false">HYPERLINK("https://lindat.mff.cuni.cz/services/SynSemClass40/SynSemClass40.html?veclass=vec00053#vec00053-ces-cm00001", "vec00053")</f>
        <v>vec00053</v>
      </c>
      <c r="F23465" s="0" t="s">
        <v>5956</v>
      </c>
    </row>
    <row r="23466" customFormat="false" ht="12.8" hidden="false" customHeight="false" outlineLevel="0" collapsed="false">
      <c r="B23466" s="0" t="s">
        <v>1</v>
      </c>
      <c r="C23466" s="0" t="s">
        <v>1507</v>
      </c>
      <c r="E23466" s="0" t="s">
        <v>5959</v>
      </c>
      <c r="F23466" s="0" t="s">
        <v>5960</v>
      </c>
    </row>
    <row r="23467" customFormat="false" ht="12.8" hidden="false" customHeight="false" outlineLevel="0" collapsed="false">
      <c r="B23467" s="0" t="s">
        <v>305</v>
      </c>
      <c r="C23467" s="0" t="s">
        <v>1910</v>
      </c>
      <c r="E23467" s="0" t="s">
        <v>5964</v>
      </c>
      <c r="F23467" s="0" t="s">
        <v>5965</v>
      </c>
    </row>
    <row r="23469" customFormat="false" ht="12.8" hidden="false" customHeight="false" outlineLevel="0" collapsed="false">
      <c r="A23469" s="0" t="s">
        <v>9609</v>
      </c>
      <c r="B23469" s="0" t="str">
        <f aca="false">HYPERLINK("https://lindat.mff.cuni.cz/services/teitok/pdtc10/index.php?action=vallex&amp;frame=v-w10947f2", "ohraničovat (v-w10947f2)")</f>
        <v>ohraničovat (v-w10947f2)</v>
      </c>
      <c r="E23469" s="0" t="str">
        <f aca="false">HYPERLINK("https://lindat.mff.cuni.cz/services/SynSemClass40/SynSemClass40.html?veclass=vec00053#vec00053-ces-cm00003", "vec00053")</f>
        <v>vec00053</v>
      </c>
      <c r="F23469" s="0" t="s">
        <v>5956</v>
      </c>
    </row>
    <row r="23470" customFormat="false" ht="12.8" hidden="false" customHeight="false" outlineLevel="0" collapsed="false">
      <c r="B23470" s="0" t="s">
        <v>1</v>
      </c>
      <c r="C23470" s="0" t="s">
        <v>1507</v>
      </c>
      <c r="E23470" s="0" t="s">
        <v>5959</v>
      </c>
      <c r="F23470" s="0" t="s">
        <v>5960</v>
      </c>
    </row>
    <row r="23471" customFormat="false" ht="12.8" hidden="false" customHeight="false" outlineLevel="0" collapsed="false">
      <c r="B23471" s="0" t="s">
        <v>8</v>
      </c>
      <c r="C23471" s="0" t="s">
        <v>1910</v>
      </c>
      <c r="E23471" s="0" t="s">
        <v>5964</v>
      </c>
      <c r="F23471" s="0" t="s">
        <v>5965</v>
      </c>
    </row>
    <row r="23473" customFormat="false" ht="12.8" hidden="false" customHeight="false" outlineLevel="0" collapsed="false">
      <c r="A23473" s="0" t="s">
        <v>9610</v>
      </c>
      <c r="B23473" s="0" t="str">
        <f aca="false">HYPERLINK("https://lindat.mff.cuni.cz/services/teitok/pdtc10/index.php?action=vallex&amp;frame=v-w3013f1", "ohrazovat (v-w3013f1)")</f>
        <v>ohrazovat (v-w3013f1)</v>
      </c>
    </row>
    <row r="23474" customFormat="false" ht="12.8" hidden="false" customHeight="false" outlineLevel="0" collapsed="false">
      <c r="B23474" s="0" t="s">
        <v>1</v>
      </c>
    </row>
    <row r="23475" customFormat="false" ht="12.8" hidden="false" customHeight="false" outlineLevel="0" collapsed="false">
      <c r="B23475" s="0" t="s">
        <v>8</v>
      </c>
    </row>
    <row r="23477" customFormat="false" ht="12.8" hidden="false" customHeight="false" outlineLevel="0" collapsed="false">
      <c r="A23477" s="0" t="s">
        <v>9611</v>
      </c>
      <c r="B23477" s="0" t="str">
        <f aca="false">HYPERLINK("https://lindat.mff.cuni.cz/services/teitok/pdtc10/index.php?action=vallex&amp;frame=v-w3014f1", "ohrazovat se (v-w3014f1)")</f>
        <v>ohrazovat se (v-w3014f1)</v>
      </c>
      <c r="E23477" s="0" t="str">
        <f aca="false">HYPERLINK("https://lindat.mff.cuni.cz/services/SynSemClass40/SynSemClass40.html?veclass=vec00461#vec00461-ces-cm00026", "vec00461")</f>
        <v>vec00461</v>
      </c>
      <c r="F23477" s="0" t="s">
        <v>476</v>
      </c>
    </row>
    <row r="23478" customFormat="false" ht="12.8" hidden="false" customHeight="false" outlineLevel="0" collapsed="false">
      <c r="B23478" s="0" t="s">
        <v>1</v>
      </c>
      <c r="C23478" s="0" t="s">
        <v>477</v>
      </c>
      <c r="E23478" s="0" t="s">
        <v>478</v>
      </c>
      <c r="F23478" s="0" t="s">
        <v>479</v>
      </c>
    </row>
    <row r="23479" customFormat="false" ht="12.8" hidden="false" customHeight="false" outlineLevel="0" collapsed="false">
      <c r="B23479" s="0" t="s">
        <v>9605</v>
      </c>
      <c r="C23479" s="0" t="s">
        <v>9606</v>
      </c>
      <c r="E23479" s="0" t="s">
        <v>9099</v>
      </c>
      <c r="F23479" s="0" t="s">
        <v>9607</v>
      </c>
    </row>
    <row r="23481" customFormat="false" ht="12.8" hidden="false" customHeight="false" outlineLevel="0" collapsed="false">
      <c r="A23481" s="0" t="s">
        <v>9612</v>
      </c>
      <c r="B23481" s="0" t="str">
        <f aca="false">HYPERLINK("https://lindat.mff.cuni.cz/services/teitok/pdtc10/index.php?action=vallex&amp;frame=v-w10719f3", "ohrnout (v-w10719f3)")</f>
        <v>ohrnout (v-w10719f3)</v>
      </c>
    </row>
    <row r="23482" customFormat="false" ht="12.8" hidden="false" customHeight="false" outlineLevel="0" collapsed="false">
      <c r="B23482" s="0" t="s">
        <v>1</v>
      </c>
    </row>
    <row r="23483" customFormat="false" ht="12.8" hidden="false" customHeight="false" outlineLevel="0" collapsed="false">
      <c r="B23483" s="0" t="s">
        <v>8</v>
      </c>
    </row>
    <row r="23485" customFormat="false" ht="12.8" hidden="false" customHeight="false" outlineLevel="0" collapsed="false">
      <c r="A23485" s="0" t="s">
        <v>9613</v>
      </c>
      <c r="B23485" s="0" t="str">
        <f aca="false">HYPERLINK("https://lindat.mff.cuni.cz/services/teitok/pdtc10/index.php?action=vallex&amp;frame=v-w10719f2", "ohrnout (v-w10719f2)")</f>
        <v>ohrnout (v-w10719f2)</v>
      </c>
      <c r="E23485" s="0" t="str">
        <f aca="false">HYPERLINK("https://lindat.mff.cuni.cz/services/SynSemClass40/SynSemClass40.html?veclass=vec00674#vec00674-ces-cm00004", "vec00674")</f>
        <v>vec00674</v>
      </c>
      <c r="F23485" s="0" t="s">
        <v>9614</v>
      </c>
    </row>
    <row r="23486" customFormat="false" ht="12.8" hidden="false" customHeight="false" outlineLevel="0" collapsed="false">
      <c r="B23486" s="0" t="s">
        <v>1</v>
      </c>
      <c r="C23486" s="0" t="s">
        <v>106</v>
      </c>
      <c r="E23486" s="0" t="s">
        <v>155</v>
      </c>
      <c r="F23486" s="0" t="s">
        <v>9615</v>
      </c>
    </row>
    <row r="23487" customFormat="false" ht="12.8" hidden="false" customHeight="false" outlineLevel="0" collapsed="false">
      <c r="B23487" s="0" t="s">
        <v>9616</v>
      </c>
    </row>
    <row r="23489" customFormat="false" ht="12.8" hidden="false" customHeight="false" outlineLevel="0" collapsed="false">
      <c r="A23489" s="0" t="s">
        <v>9617</v>
      </c>
      <c r="B23489" s="0" t="str">
        <f aca="false">HYPERLINK("https://lindat.mff.cuni.cz/services/teitok/pdtc10/index.php?action=vallex&amp;frame=v-w10709f3", "ohrnovat (v-w10709f3)")</f>
        <v>ohrnovat (v-w10709f3)</v>
      </c>
      <c r="E23489" s="0" t="str">
        <f aca="false">HYPERLINK("https://lindat.mff.cuni.cz/services/SynSemClass40/SynSemClass40.html?veclass=vec00674#vec00674-ces-cm00005", "vec00674")</f>
        <v>vec00674</v>
      </c>
      <c r="F23489" s="0" t="s">
        <v>9614</v>
      </c>
    </row>
    <row r="23490" customFormat="false" ht="12.8" hidden="false" customHeight="false" outlineLevel="0" collapsed="false">
      <c r="B23490" s="0" t="s">
        <v>1</v>
      </c>
      <c r="C23490" s="0" t="s">
        <v>106</v>
      </c>
      <c r="E23490" s="0" t="s">
        <v>155</v>
      </c>
      <c r="F23490" s="0" t="s">
        <v>9615</v>
      </c>
    </row>
    <row r="23491" customFormat="false" ht="12.8" hidden="false" customHeight="false" outlineLevel="0" collapsed="false">
      <c r="B23491" s="0" t="s">
        <v>9616</v>
      </c>
    </row>
    <row r="23493" customFormat="false" ht="12.8" hidden="false" customHeight="false" outlineLevel="0" collapsed="false">
      <c r="A23493" s="0" t="s">
        <v>9618</v>
      </c>
      <c r="B23493" s="0" t="str">
        <f aca="false">HYPERLINK("https://lindat.mff.cuni.cz/services/teitok/pdtc10/index.php?action=vallex&amp;frame=v-w3015f1", "ohromit (v-w3015f1)")</f>
        <v>ohromit (v-w3015f1)</v>
      </c>
      <c r="E23493" s="0" t="str">
        <f aca="false">HYPERLINK("https://lindat.mff.cuni.cz/services/SynSemClass40/SynSemClass40.html?veclass=vec00094#vec00094-ces-cm00002", "vec00094")</f>
        <v>vec00094</v>
      </c>
      <c r="F23493" s="0" t="s">
        <v>9619</v>
      </c>
      <c r="H23493" s="0" t="str">
        <f aca="false">HYPERLINK("https://lindat.mff.cuni.cz/services/SynSemClass40/SynSemClass40.html?veclass=vec01506#vec01506-ces-cm00002", "vec01506")</f>
        <v>vec01506</v>
      </c>
      <c r="I23493" s="0" t="s">
        <v>5550</v>
      </c>
    </row>
    <row r="23494" customFormat="false" ht="12.8" hidden="false" customHeight="false" outlineLevel="0" collapsed="false">
      <c r="B23494" s="0" t="s">
        <v>9620</v>
      </c>
      <c r="C23494" s="0" t="s">
        <v>9621</v>
      </c>
      <c r="E23494" s="0" t="s">
        <v>1103</v>
      </c>
      <c r="F23494" s="0" t="s">
        <v>9622</v>
      </c>
      <c r="H23494" s="0" t="s">
        <v>266</v>
      </c>
      <c r="I23494" s="0" t="s">
        <v>5552</v>
      </c>
    </row>
    <row r="23495" customFormat="false" ht="12.8" hidden="false" customHeight="false" outlineLevel="0" collapsed="false">
      <c r="B23495" s="0" t="s">
        <v>8</v>
      </c>
      <c r="C23495" s="0" t="s">
        <v>9623</v>
      </c>
      <c r="E23495" s="0" t="s">
        <v>1399</v>
      </c>
      <c r="F23495" s="0" t="s">
        <v>9624</v>
      </c>
      <c r="H23495" s="0" t="s">
        <v>271</v>
      </c>
      <c r="I23495" s="0" t="s">
        <v>5554</v>
      </c>
    </row>
    <row r="23497" customFormat="false" ht="12.8" hidden="false" customHeight="false" outlineLevel="0" collapsed="false">
      <c r="A23497" s="0" t="s">
        <v>9625</v>
      </c>
      <c r="B23497" s="0" t="str">
        <f aca="false">HYPERLINK("https://lindat.mff.cuni.cz/services/teitok/pdtc10/index.php?action=vallex&amp;frame=v-w10380f2", "ohromovat (v-w10380f2)")</f>
        <v>ohromovat (v-w10380f2)</v>
      </c>
      <c r="E23497" s="0" t="str">
        <f aca="false">HYPERLINK("https://lindat.mff.cuni.cz/services/SynSemClass40/SynSemClass40.html?veclass=vec00094#vec00094-ces-cm00007", "vec00094")</f>
        <v>vec00094</v>
      </c>
      <c r="F23497" s="0" t="s">
        <v>9619</v>
      </c>
      <c r="H23497" s="0" t="str">
        <f aca="false">HYPERLINK("https://lindat.mff.cuni.cz/services/SynSemClass40/SynSemClass40.html?veclass=vec01506#vec01506-ces-cm00003", "vec01506")</f>
        <v>vec01506</v>
      </c>
      <c r="I23497" s="0" t="s">
        <v>5550</v>
      </c>
    </row>
    <row r="23498" customFormat="false" ht="12.8" hidden="false" customHeight="false" outlineLevel="0" collapsed="false">
      <c r="B23498" s="0" t="s">
        <v>1</v>
      </c>
      <c r="C23498" s="0" t="s">
        <v>9621</v>
      </c>
      <c r="E23498" s="0" t="s">
        <v>1103</v>
      </c>
      <c r="F23498" s="0" t="s">
        <v>9622</v>
      </c>
      <c r="H23498" s="0" t="s">
        <v>266</v>
      </c>
      <c r="I23498" s="0" t="s">
        <v>5552</v>
      </c>
    </row>
    <row r="23499" customFormat="false" ht="12.8" hidden="false" customHeight="false" outlineLevel="0" collapsed="false">
      <c r="B23499" s="0" t="s">
        <v>8</v>
      </c>
      <c r="C23499" s="0" t="s">
        <v>9623</v>
      </c>
      <c r="E23499" s="0" t="s">
        <v>1399</v>
      </c>
      <c r="F23499" s="0" t="s">
        <v>9624</v>
      </c>
      <c r="H23499" s="0" t="s">
        <v>271</v>
      </c>
      <c r="I23499" s="0" t="s">
        <v>5554</v>
      </c>
    </row>
    <row r="23501" customFormat="false" ht="12.8" hidden="false" customHeight="false" outlineLevel="0" collapsed="false">
      <c r="A23501" s="0" t="s">
        <v>9626</v>
      </c>
      <c r="B23501" s="0" t="str">
        <f aca="false">HYPERLINK("https://lindat.mff.cuni.cz/services/teitok/pdtc10/index.php?action=vallex&amp;frame=v-w3016f1", "ohrozit (v-w3016f1)")</f>
        <v>ohrozit (v-w3016f1)</v>
      </c>
      <c r="E23501" s="0" t="str">
        <f aca="false">HYPERLINK("https://lindat.mff.cuni.cz/services/SynSemClass40/SynSemClass40.html?veclass=vec00252#vec00252-ces-cm00001", "vec00252")</f>
        <v>vec00252</v>
      </c>
      <c r="F23501" s="0" t="s">
        <v>9627</v>
      </c>
    </row>
    <row r="23502" customFormat="false" ht="12.8" hidden="false" customHeight="false" outlineLevel="0" collapsed="false">
      <c r="B23502" s="0" t="s">
        <v>1</v>
      </c>
      <c r="C23502" s="0" t="s">
        <v>568</v>
      </c>
      <c r="E23502" s="0" t="s">
        <v>76</v>
      </c>
      <c r="F23502" s="0" t="s">
        <v>9628</v>
      </c>
    </row>
    <row r="23503" customFormat="false" ht="12.8" hidden="false" customHeight="false" outlineLevel="0" collapsed="false">
      <c r="B23503" s="0" t="s">
        <v>8</v>
      </c>
      <c r="C23503" s="0" t="s">
        <v>9629</v>
      </c>
      <c r="E23503" s="0" t="s">
        <v>3002</v>
      </c>
      <c r="F23503" s="0" t="s">
        <v>9630</v>
      </c>
    </row>
    <row r="23505" customFormat="false" ht="12.8" hidden="false" customHeight="false" outlineLevel="0" collapsed="false">
      <c r="A23505" s="0" t="s">
        <v>9631</v>
      </c>
      <c r="B23505" s="0" t="str">
        <f aca="false">HYPERLINK("https://lindat.mff.cuni.cz/services/teitok/pdtc10/index.php?action=vallex&amp;frame=v-w3020f1", "ohrožovat (v-w3020f1)")</f>
        <v>ohrožovat (v-w3020f1)</v>
      </c>
      <c r="E23505" s="0" t="str">
        <f aca="false">HYPERLINK("https://lindat.mff.cuni.cz/services/SynSemClass40/SynSemClass40.html?veclass=vec00252#vec00252-ces-cm00005", "vec00252")</f>
        <v>vec00252</v>
      </c>
      <c r="F23505" s="0" t="s">
        <v>9627</v>
      </c>
    </row>
    <row r="23506" customFormat="false" ht="12.8" hidden="false" customHeight="false" outlineLevel="0" collapsed="false">
      <c r="B23506" s="0" t="s">
        <v>1</v>
      </c>
      <c r="C23506" s="0" t="s">
        <v>568</v>
      </c>
      <c r="E23506" s="0" t="s">
        <v>76</v>
      </c>
      <c r="F23506" s="0" t="s">
        <v>9628</v>
      </c>
    </row>
    <row r="23507" customFormat="false" ht="12.8" hidden="false" customHeight="false" outlineLevel="0" collapsed="false">
      <c r="B23507" s="0" t="s">
        <v>8</v>
      </c>
      <c r="C23507" s="0" t="s">
        <v>9629</v>
      </c>
      <c r="E23507" s="0" t="s">
        <v>3002</v>
      </c>
      <c r="F23507" s="0" t="s">
        <v>9630</v>
      </c>
    </row>
    <row r="23509" customFormat="false" ht="12.8" hidden="false" customHeight="false" outlineLevel="0" collapsed="false">
      <c r="A23509" s="0" t="s">
        <v>9632</v>
      </c>
      <c r="B23509" s="0" t="str">
        <f aca="false">HYPERLINK("https://lindat.mff.cuni.cz/services/teitok/pdtc10/index.php?action=vallex&amp;frame=v-w3011f1", "ohrávat (v-w3011f1)")</f>
        <v>ohrávat (v-w3011f1)</v>
      </c>
    </row>
    <row r="23510" customFormat="false" ht="12.8" hidden="false" customHeight="false" outlineLevel="0" collapsed="false">
      <c r="B23510" s="0" t="s">
        <v>1</v>
      </c>
    </row>
    <row r="23511" customFormat="false" ht="12.8" hidden="false" customHeight="false" outlineLevel="0" collapsed="false">
      <c r="B23511" s="0" t="s">
        <v>8</v>
      </c>
    </row>
    <row r="23513" customFormat="false" ht="12.8" hidden="false" customHeight="false" outlineLevel="0" collapsed="false">
      <c r="A23513" s="0" t="s">
        <v>9633</v>
      </c>
      <c r="B23513" s="0" t="str">
        <f aca="false">HYPERLINK("https://lindat.mff.cuni.cz/services/teitok/pdtc10/index.php?action=vallex&amp;frame=v-w2986f1", "ohánět se (v-w2986f1)")</f>
        <v>ohánět se (v-w2986f1)</v>
      </c>
      <c r="E23513" s="0" t="str">
        <f aca="false">HYPERLINK("https://lindat.mff.cuni.cz/services/SynSemClass40/SynSemClass40.html?veclass=vec00418#vec00418-ces-cm00003", "vec00418")</f>
        <v>vec00418</v>
      </c>
      <c r="F23513" s="0" t="s">
        <v>1385</v>
      </c>
    </row>
    <row r="23514" customFormat="false" ht="12.8" hidden="false" customHeight="false" outlineLevel="0" collapsed="false">
      <c r="B23514" s="0" t="s">
        <v>1</v>
      </c>
      <c r="C23514" s="0" t="s">
        <v>255</v>
      </c>
      <c r="E23514" s="0" t="s">
        <v>1386</v>
      </c>
      <c r="F23514" s="0" t="s">
        <v>1387</v>
      </c>
    </row>
    <row r="23515" customFormat="false" ht="12.8" hidden="false" customHeight="false" outlineLevel="0" collapsed="false">
      <c r="B23515" s="0" t="s">
        <v>286</v>
      </c>
      <c r="C23515" s="0" t="s">
        <v>1388</v>
      </c>
      <c r="E23515" s="0" t="s">
        <v>1389</v>
      </c>
      <c r="F23515" s="0" t="s">
        <v>1390</v>
      </c>
    </row>
    <row r="23517" customFormat="false" ht="12.8" hidden="false" customHeight="false" outlineLevel="0" collapsed="false">
      <c r="A23517" s="0" t="s">
        <v>9634</v>
      </c>
      <c r="B23517" s="0" t="str">
        <f aca="false">HYPERLINK("https://lindat.mff.cuni.cz/services/teitok/pdtc10/index.php?action=vallex&amp;frame=v-w2986f2", "ohánět se (v-w2986f2)")</f>
        <v>ohánět se (v-w2986f2)</v>
      </c>
    </row>
    <row r="23518" customFormat="false" ht="12.8" hidden="false" customHeight="false" outlineLevel="0" collapsed="false">
      <c r="B23518" s="0" t="s">
        <v>1</v>
      </c>
    </row>
    <row r="23520" customFormat="false" ht="12.8" hidden="false" customHeight="false" outlineLevel="0" collapsed="false">
      <c r="A23520" s="0" t="s">
        <v>9635</v>
      </c>
      <c r="B23520" s="0" t="str">
        <f aca="false">HYPERLINK("https://lindat.mff.cuni.cz/services/teitok/pdtc10/index.php?action=vallex&amp;frame=v-w11466f1", "ohýbat (v-w11466f1)")</f>
        <v>ohýbat (v-w11466f1)</v>
      </c>
    </row>
    <row r="23521" customFormat="false" ht="12.8" hidden="false" customHeight="false" outlineLevel="0" collapsed="false">
      <c r="B23521" s="0" t="s">
        <v>1</v>
      </c>
    </row>
    <row r="23522" customFormat="false" ht="12.8" hidden="false" customHeight="false" outlineLevel="0" collapsed="false">
      <c r="B23522" s="0" t="s">
        <v>8</v>
      </c>
    </row>
    <row r="23524" customFormat="false" ht="12.8" hidden="false" customHeight="false" outlineLevel="0" collapsed="false">
      <c r="A23524" s="0" t="s">
        <v>9636</v>
      </c>
      <c r="B23524" s="0" t="str">
        <f aca="false">HYPERLINK("https://lindat.mff.cuni.cz/services/teitok/pdtc10/index.php?action=vallex&amp;frame=v-w3026f1", "ohýbat se (v-w3026f1)")</f>
        <v>ohýbat se (v-w3026f1)</v>
      </c>
    </row>
    <row r="23525" customFormat="false" ht="12.8" hidden="false" customHeight="false" outlineLevel="0" collapsed="false">
      <c r="B23525" s="0" t="s">
        <v>1</v>
      </c>
    </row>
    <row r="23527" customFormat="false" ht="12.8" hidden="false" customHeight="false" outlineLevel="0" collapsed="false">
      <c r="A23527" s="0" t="s">
        <v>9637</v>
      </c>
      <c r="B23527" s="0" t="str">
        <f aca="false">HYPERLINK("https://lindat.mff.cuni.cz/services/teitok/pdtc10/index.php?action=vallex&amp;frame=v-whsa_1443hsa_1444", "ohřát (v-whsa_1443hsa_1444)")</f>
        <v>ohřát (v-whsa_1443hsa_1444)</v>
      </c>
    </row>
    <row r="23528" customFormat="false" ht="12.8" hidden="false" customHeight="false" outlineLevel="0" collapsed="false">
      <c r="B23528" s="0" t="s">
        <v>1</v>
      </c>
    </row>
    <row r="23529" customFormat="false" ht="12.8" hidden="false" customHeight="false" outlineLevel="0" collapsed="false">
      <c r="B23529" s="0" t="s">
        <v>8</v>
      </c>
    </row>
    <row r="23531" customFormat="false" ht="12.8" hidden="false" customHeight="false" outlineLevel="0" collapsed="false">
      <c r="A23531" s="0" t="s">
        <v>9638</v>
      </c>
      <c r="B23531" s="0" t="str">
        <f aca="false">HYPERLINK("https://lindat.mff.cuni.cz/services/teitok/pdtc10/index.php?action=vallex&amp;frame=v-w3022f1", "ohřát se (v-w3022f1)")</f>
        <v>ohřát se (v-w3022f1)</v>
      </c>
    </row>
    <row r="23532" customFormat="false" ht="12.8" hidden="false" customHeight="false" outlineLevel="0" collapsed="false">
      <c r="B23532" s="0" t="s">
        <v>1</v>
      </c>
    </row>
    <row r="23534" customFormat="false" ht="12.8" hidden="false" customHeight="false" outlineLevel="0" collapsed="false">
      <c r="A23534" s="0" t="s">
        <v>9639</v>
      </c>
      <c r="B23534" s="0" t="str">
        <f aca="false">HYPERLINK("https://lindat.mff.cuni.cz/services/teitok/pdtc10/index.php?action=vallex&amp;frame=v-w10069f2", "ohřívat (v-w10069f2)")</f>
        <v>ohřívat (v-w10069f2)</v>
      </c>
    </row>
    <row r="23535" customFormat="false" ht="12.8" hidden="false" customHeight="false" outlineLevel="0" collapsed="false">
      <c r="B23535" s="0" t="s">
        <v>1</v>
      </c>
    </row>
    <row r="23536" customFormat="false" ht="12.8" hidden="false" customHeight="false" outlineLevel="0" collapsed="false">
      <c r="B23536" s="0" t="s">
        <v>8</v>
      </c>
    </row>
    <row r="23538" customFormat="false" ht="12.8" hidden="false" customHeight="false" outlineLevel="0" collapsed="false">
      <c r="A23538" s="0" t="s">
        <v>9640</v>
      </c>
      <c r="B23538" s="0" t="str">
        <f aca="false">HYPERLINK("https://lindat.mff.cuni.cz/services/teitok/pdtc10/index.php?action=vallex&amp;frame=v-w3048f1", "oklamat (v-w3048f1)")</f>
        <v>oklamat (v-w3048f1)</v>
      </c>
      <c r="E23538" s="0" t="str">
        <f aca="false">HYPERLINK("https://lindat.mff.cuni.cz/services/SynSemClass40/SynSemClass40.html?veclass=vec00589#vec00589-ces-cm00004", "vec00589")</f>
        <v>vec00589</v>
      </c>
      <c r="F23538" s="0" t="s">
        <v>5257</v>
      </c>
    </row>
    <row r="23539" customFormat="false" ht="12.8" hidden="false" customHeight="false" outlineLevel="0" collapsed="false">
      <c r="B23539" s="0" t="s">
        <v>1</v>
      </c>
      <c r="C23539" s="0" t="s">
        <v>5258</v>
      </c>
      <c r="E23539" s="0" t="s">
        <v>1103</v>
      </c>
      <c r="F23539" s="0" t="s">
        <v>5259</v>
      </c>
    </row>
    <row r="23540" customFormat="false" ht="12.8" hidden="false" customHeight="false" outlineLevel="0" collapsed="false">
      <c r="B23540" s="0" t="s">
        <v>8</v>
      </c>
      <c r="C23540" s="0" t="s">
        <v>5260</v>
      </c>
      <c r="E23540" s="0" t="s">
        <v>1399</v>
      </c>
      <c r="F23540" s="0" t="s">
        <v>5261</v>
      </c>
    </row>
    <row r="23542" customFormat="false" ht="12.8" hidden="false" customHeight="false" outlineLevel="0" collapsed="false">
      <c r="A23542" s="0" t="s">
        <v>9641</v>
      </c>
      <c r="B23542" s="0" t="str">
        <f aca="false">HYPERLINK("https://lindat.mff.cuni.cz/services/teitok/pdtc10/index.php?action=vallex&amp;frame=v-whsa_1971hsa_1972", "oklepat se (v-whsa_1971hsa_1972)")</f>
        <v>oklepat se (v-whsa_1971hsa_1972)</v>
      </c>
    </row>
    <row r="23543" customFormat="false" ht="12.8" hidden="false" customHeight="false" outlineLevel="0" collapsed="false">
      <c r="B23543" s="0" t="s">
        <v>1</v>
      </c>
    </row>
    <row r="23545" customFormat="false" ht="12.8" hidden="false" customHeight="false" outlineLevel="0" collapsed="false">
      <c r="A23545" s="0" t="s">
        <v>9642</v>
      </c>
      <c r="B23545" s="0" t="str">
        <f aca="false">HYPERLINK("https://lindat.mff.cuni.cz/services/teitok/pdtc10/index.php?action=vallex&amp;frame=v-w11388f1", "oklepávat se (v-w11388f1)")</f>
        <v>oklepávat se (v-w11388f1)</v>
      </c>
    </row>
    <row r="23546" customFormat="false" ht="12.8" hidden="false" customHeight="false" outlineLevel="0" collapsed="false">
      <c r="B23546" s="0" t="s">
        <v>1</v>
      </c>
    </row>
    <row r="23547" customFormat="false" ht="12.8" hidden="false" customHeight="false" outlineLevel="0" collapsed="false">
      <c r="B23547" s="0" t="s">
        <v>763</v>
      </c>
    </row>
    <row r="23549" customFormat="false" ht="12.8" hidden="false" customHeight="false" outlineLevel="0" collapsed="false">
      <c r="A23549" s="0" t="s">
        <v>9643</v>
      </c>
      <c r="B23549" s="0" t="str">
        <f aca="false">HYPERLINK("https://lindat.mff.cuni.cz/services/teitok/pdtc10/index.php?action=vallex&amp;frame=v-w11163f2", "oklestit (v-w11163f2)")</f>
        <v>oklestit (v-w11163f2)</v>
      </c>
      <c r="E23549" s="0" t="str">
        <f aca="false">HYPERLINK("https://lindat.mff.cuni.cz/services/SynSemClass40/SynSemClass40.html?veclass=vec00588#vec00588-ces-cm00005", "vec00588")</f>
        <v>vec00588</v>
      </c>
      <c r="F23549" s="0" t="s">
        <v>5785</v>
      </c>
      <c r="H23549" s="0" t="str">
        <f aca="false">HYPERLINK("https://lindat.mff.cuni.cz/services/SynSemClass40/SynSemClass40.html?veclass=vec01508#vec01508-ces-cm00005", "vec01508")</f>
        <v>vec01508</v>
      </c>
      <c r="I23549" s="0" t="s">
        <v>9644</v>
      </c>
    </row>
    <row r="23550" customFormat="false" ht="12.8" hidden="false" customHeight="false" outlineLevel="0" collapsed="false">
      <c r="B23550" s="0" t="s">
        <v>1</v>
      </c>
      <c r="C23550" s="0" t="s">
        <v>9645</v>
      </c>
      <c r="E23550" s="0" t="s">
        <v>31</v>
      </c>
      <c r="F23550" s="0" t="s">
        <v>5788</v>
      </c>
      <c r="H23550" s="0" t="s">
        <v>5401</v>
      </c>
      <c r="I23550" s="0" t="s">
        <v>9646</v>
      </c>
    </row>
    <row r="23551" customFormat="false" ht="12.8" hidden="false" customHeight="false" outlineLevel="0" collapsed="false">
      <c r="B23551" s="0" t="s">
        <v>8</v>
      </c>
      <c r="C23551" s="0" t="s">
        <v>9647</v>
      </c>
      <c r="E23551" s="0" t="s">
        <v>1569</v>
      </c>
      <c r="F23551" s="0" t="s">
        <v>5791</v>
      </c>
      <c r="H23551" s="0" t="s">
        <v>5405</v>
      </c>
      <c r="I23551" s="0" t="s">
        <v>9648</v>
      </c>
    </row>
    <row r="23553" customFormat="false" ht="12.8" hidden="false" customHeight="false" outlineLevel="0" collapsed="false">
      <c r="A23553" s="0" t="s">
        <v>9649</v>
      </c>
      <c r="B23553" s="0" t="str">
        <f aca="false">HYPERLINK("https://lindat.mff.cuni.cz/services/teitok/pdtc10/index.php?action=vallex&amp;frame=v-w3050f1", "oklešťovat (v-w3050f1)")</f>
        <v>oklešťovat (v-w3050f1)</v>
      </c>
      <c r="E23553" s="0" t="str">
        <f aca="false">HYPERLINK("https://lindat.mff.cuni.cz/services/SynSemClass40/SynSemClass40.html?veclass=vec01508#vec01508-ces-cm00006", "vec01508")</f>
        <v>vec01508</v>
      </c>
      <c r="F23553" s="0" t="s">
        <v>9644</v>
      </c>
    </row>
    <row r="23554" customFormat="false" ht="12.8" hidden="false" customHeight="false" outlineLevel="0" collapsed="false">
      <c r="B23554" s="0" t="s">
        <v>1</v>
      </c>
      <c r="C23554" s="0" t="s">
        <v>9650</v>
      </c>
      <c r="E23554" s="0" t="s">
        <v>5401</v>
      </c>
      <c r="F23554" s="0" t="s">
        <v>9646</v>
      </c>
    </row>
    <row r="23555" customFormat="false" ht="12.8" hidden="false" customHeight="false" outlineLevel="0" collapsed="false">
      <c r="B23555" s="0" t="s">
        <v>8</v>
      </c>
      <c r="C23555" s="0" t="s">
        <v>9651</v>
      </c>
      <c r="E23555" s="0" t="s">
        <v>5405</v>
      </c>
      <c r="F23555" s="0" t="s">
        <v>9648</v>
      </c>
    </row>
    <row r="23557" customFormat="false" ht="12.8" hidden="false" customHeight="false" outlineLevel="0" collapsed="false">
      <c r="A23557" s="0" t="s">
        <v>9652</v>
      </c>
      <c r="B23557" s="0" t="str">
        <f aca="false">HYPERLINK("https://lindat.mff.cuni.cz/services/teitok/pdtc10/index.php?action=vallex&amp;frame=v-whsa_1987hsa_1988", "okopat (v-whsa_1987hsa_1988)")</f>
        <v>okopat (v-whsa_1987hsa_1988)</v>
      </c>
    </row>
    <row r="23558" customFormat="false" ht="12.8" hidden="false" customHeight="false" outlineLevel="0" collapsed="false">
      <c r="B23558" s="0" t="s">
        <v>1</v>
      </c>
    </row>
    <row r="23559" customFormat="false" ht="12.8" hidden="false" customHeight="false" outlineLevel="0" collapsed="false">
      <c r="B23559" s="0" t="s">
        <v>8</v>
      </c>
    </row>
    <row r="23561" customFormat="false" ht="12.8" hidden="false" customHeight="false" outlineLevel="0" collapsed="false">
      <c r="A23561" s="0" t="s">
        <v>9653</v>
      </c>
      <c r="B23561" s="0" t="str">
        <f aca="false">HYPERLINK("https://lindat.mff.cuni.cz/services/teitok/pdtc10/index.php?action=vallex&amp;frame=v-whsa_1987hsa_1989", "okopat (v-whsa_1987hsa_1989)")</f>
        <v>okopat (v-whsa_1987hsa_1989)</v>
      </c>
    </row>
    <row r="23562" customFormat="false" ht="12.8" hidden="false" customHeight="false" outlineLevel="0" collapsed="false">
      <c r="B23562" s="0" t="s">
        <v>1</v>
      </c>
    </row>
    <row r="23563" customFormat="false" ht="12.8" hidden="false" customHeight="false" outlineLevel="0" collapsed="false">
      <c r="B23563" s="0" t="s">
        <v>8</v>
      </c>
    </row>
    <row r="23565" customFormat="false" ht="12.8" hidden="false" customHeight="false" outlineLevel="0" collapsed="false">
      <c r="A23565" s="0" t="s">
        <v>9654</v>
      </c>
      <c r="B23565" s="0" t="str">
        <f aca="false">HYPERLINK("https://lindat.mff.cuni.cz/services/teitok/pdtc10/index.php?action=vallex&amp;frame=v-w3052f1", "okopávat (v-w3052f1)")</f>
        <v>okopávat (v-w3052f1)</v>
      </c>
    </row>
    <row r="23566" customFormat="false" ht="12.8" hidden="false" customHeight="false" outlineLevel="0" collapsed="false">
      <c r="B23566" s="0" t="s">
        <v>1</v>
      </c>
    </row>
    <row r="23567" customFormat="false" ht="12.8" hidden="false" customHeight="false" outlineLevel="0" collapsed="false">
      <c r="B23567" s="0" t="s">
        <v>8</v>
      </c>
    </row>
    <row r="23569" customFormat="false" ht="12.8" hidden="false" customHeight="false" outlineLevel="0" collapsed="false">
      <c r="A23569" s="0" t="s">
        <v>9655</v>
      </c>
      <c r="B23569" s="0" t="str">
        <f aca="false">HYPERLINK("https://lindat.mff.cuni.cz/services/teitok/pdtc10/index.php?action=vallex&amp;frame=v-w3052f2", "okopávat (v-w3052f2)")</f>
        <v>okopávat (v-w3052f2)</v>
      </c>
    </row>
    <row r="23570" customFormat="false" ht="12.8" hidden="false" customHeight="false" outlineLevel="0" collapsed="false">
      <c r="B23570" s="0" t="s">
        <v>1</v>
      </c>
    </row>
    <row r="23571" customFormat="false" ht="12.8" hidden="false" customHeight="false" outlineLevel="0" collapsed="false">
      <c r="B23571" s="0" t="s">
        <v>8</v>
      </c>
    </row>
    <row r="23573" customFormat="false" ht="12.8" hidden="false" customHeight="false" outlineLevel="0" collapsed="false">
      <c r="A23573" s="0" t="s">
        <v>9656</v>
      </c>
      <c r="B23573" s="0" t="str">
        <f aca="false">HYPERLINK("https://lindat.mff.cuni.cz/services/teitok/pdtc10/index.php?action=vallex&amp;frame=v-w3054f1", "okopírovat (v-w3054f1)")</f>
        <v>okopírovat (v-w3054f1)</v>
      </c>
      <c r="E23573" s="0" t="str">
        <f aca="false">HYPERLINK("https://lindat.mff.cuni.cz/services/SynSemClass40/SynSemClass40.html?veclass=vec01246#vec01246-ces-cm00002", "vec01246")</f>
        <v>vec01246</v>
      </c>
      <c r="F23573" s="0" t="s">
        <v>5636</v>
      </c>
    </row>
    <row r="23574" customFormat="false" ht="12.8" hidden="false" customHeight="false" outlineLevel="0" collapsed="false">
      <c r="B23574" s="0" t="s">
        <v>1</v>
      </c>
      <c r="C23574" s="0" t="s">
        <v>447</v>
      </c>
      <c r="E23574" s="0" t="s">
        <v>768</v>
      </c>
      <c r="F23574" s="0" t="s">
        <v>5637</v>
      </c>
    </row>
    <row r="23575" customFormat="false" ht="12.8" hidden="false" customHeight="false" outlineLevel="0" collapsed="false">
      <c r="B23575" s="0" t="s">
        <v>8</v>
      </c>
      <c r="C23575" s="0" t="s">
        <v>827</v>
      </c>
      <c r="E23575" s="0" t="s">
        <v>1569</v>
      </c>
      <c r="F23575" s="0" t="s">
        <v>5638</v>
      </c>
    </row>
    <row r="23577" customFormat="false" ht="12.8" hidden="false" customHeight="false" outlineLevel="0" collapsed="false">
      <c r="A23577" s="0" t="s">
        <v>9657</v>
      </c>
      <c r="B23577" s="0" t="str">
        <f aca="false">HYPERLINK("https://lindat.mff.cuni.cz/services/teitok/pdtc10/index.php?action=vallex&amp;frame=v-w3054hsa_31", "okopírovat (v-w3054hsa_31)")</f>
        <v>okopírovat (v-w3054hsa_31)</v>
      </c>
    </row>
    <row r="23578" customFormat="false" ht="12.8" hidden="false" customHeight="false" outlineLevel="0" collapsed="false">
      <c r="B23578" s="0" t="s">
        <v>1</v>
      </c>
    </row>
    <row r="23579" customFormat="false" ht="12.8" hidden="false" customHeight="false" outlineLevel="0" collapsed="false">
      <c r="B23579" s="0" t="s">
        <v>8</v>
      </c>
    </row>
    <row r="23580" customFormat="false" ht="12.8" hidden="false" customHeight="false" outlineLevel="0" collapsed="false">
      <c r="B23580" s="0" t="s">
        <v>602</v>
      </c>
    </row>
    <row r="23582" customFormat="false" ht="12.8" hidden="false" customHeight="false" outlineLevel="0" collapsed="false">
      <c r="A23582" s="0" t="s">
        <v>9658</v>
      </c>
      <c r="B23582" s="0" t="str">
        <f aca="false">HYPERLINK("https://lindat.mff.cuni.cz/services/teitok/pdtc10/index.php?action=vallex&amp;frame=v-w3056f1", "okoukat (v-w3056f1)")</f>
        <v>okoukat (v-w3056f1)</v>
      </c>
    </row>
    <row r="23583" customFormat="false" ht="12.8" hidden="false" customHeight="false" outlineLevel="0" collapsed="false">
      <c r="B23583" s="0" t="s">
        <v>1</v>
      </c>
    </row>
    <row r="23584" customFormat="false" ht="12.8" hidden="false" customHeight="false" outlineLevel="0" collapsed="false">
      <c r="B23584" s="0" t="s">
        <v>8</v>
      </c>
    </row>
    <row r="23585" customFormat="false" ht="12.8" hidden="false" customHeight="false" outlineLevel="0" collapsed="false">
      <c r="B23585" s="0" t="s">
        <v>1633</v>
      </c>
    </row>
    <row r="23587" customFormat="false" ht="12.8" hidden="false" customHeight="false" outlineLevel="0" collapsed="false">
      <c r="A23587" s="0" t="s">
        <v>9659</v>
      </c>
      <c r="B23587" s="0" t="str">
        <f aca="false">HYPERLINK("https://lindat.mff.cuni.cz/services/teitok/pdtc10/index.php?action=vallex&amp;frame=v-w3057f1", "okoukat se (v-w3057f1)")</f>
        <v>okoukat se (v-w3057f1)</v>
      </c>
    </row>
    <row r="23588" customFormat="false" ht="12.8" hidden="false" customHeight="false" outlineLevel="0" collapsed="false">
      <c r="B23588" s="0" t="s">
        <v>1</v>
      </c>
    </row>
    <row r="23590" customFormat="false" ht="12.8" hidden="false" customHeight="false" outlineLevel="0" collapsed="false">
      <c r="A23590" s="0" t="s">
        <v>9660</v>
      </c>
      <c r="B23590" s="0" t="str">
        <f aca="false">HYPERLINK("https://lindat.mff.cuni.cz/services/teitok/pdtc10/index.php?action=vallex&amp;frame=v-w3058f1", "okouknout (v-w3058f1)")</f>
        <v>okouknout (v-w3058f1)</v>
      </c>
    </row>
    <row r="23591" customFormat="false" ht="12.8" hidden="false" customHeight="false" outlineLevel="0" collapsed="false">
      <c r="B23591" s="0" t="s">
        <v>1</v>
      </c>
    </row>
    <row r="23592" customFormat="false" ht="12.8" hidden="false" customHeight="false" outlineLevel="0" collapsed="false">
      <c r="B23592" s="0" t="s">
        <v>8</v>
      </c>
    </row>
    <row r="23594" customFormat="false" ht="12.8" hidden="false" customHeight="false" outlineLevel="0" collapsed="false">
      <c r="A23594" s="0" t="s">
        <v>9661</v>
      </c>
      <c r="B23594" s="0" t="str">
        <f aca="false">HYPERLINK("https://lindat.mff.cuni.cz/services/teitok/pdtc10/index.php?action=vallex&amp;frame=v-w3060f1", "okouzlit (v-w3060f1)")</f>
        <v>okouzlit (v-w3060f1)</v>
      </c>
    </row>
    <row r="23595" customFormat="false" ht="12.8" hidden="false" customHeight="false" outlineLevel="0" collapsed="false">
      <c r="B23595" s="0" t="s">
        <v>1</v>
      </c>
    </row>
    <row r="23596" customFormat="false" ht="12.8" hidden="false" customHeight="false" outlineLevel="0" collapsed="false">
      <c r="B23596" s="0" t="s">
        <v>8</v>
      </c>
    </row>
    <row r="23598" customFormat="false" ht="12.8" hidden="false" customHeight="false" outlineLevel="0" collapsed="false">
      <c r="A23598" s="0" t="s">
        <v>9662</v>
      </c>
      <c r="B23598" s="0" t="str">
        <f aca="false">HYPERLINK("https://lindat.mff.cuni.cz/services/teitok/pdtc10/index.php?action=vallex&amp;frame=v-w3061f1", "okouzlovat (v-w3061f1)")</f>
        <v>okouzlovat (v-w3061f1)</v>
      </c>
    </row>
    <row r="23599" customFormat="false" ht="12.8" hidden="false" customHeight="false" outlineLevel="0" collapsed="false">
      <c r="B23599" s="0" t="s">
        <v>1</v>
      </c>
    </row>
    <row r="23600" customFormat="false" ht="12.8" hidden="false" customHeight="false" outlineLevel="0" collapsed="false">
      <c r="B23600" s="0" t="s">
        <v>8</v>
      </c>
    </row>
    <row r="23602" customFormat="false" ht="12.8" hidden="false" customHeight="false" outlineLevel="0" collapsed="false">
      <c r="A23602" s="0" t="s">
        <v>9663</v>
      </c>
      <c r="B23602" s="0" t="str">
        <f aca="false">HYPERLINK("https://lindat.mff.cuni.cz/services/teitok/pdtc10/index.php?action=vallex&amp;frame=v-w3055f1", "okořenit (v-w3055f1)")</f>
        <v>okořenit (v-w3055f1)</v>
      </c>
    </row>
    <row r="23603" customFormat="false" ht="12.8" hidden="false" customHeight="false" outlineLevel="0" collapsed="false">
      <c r="B23603" s="0" t="s">
        <v>1</v>
      </c>
    </row>
    <row r="23604" customFormat="false" ht="12.8" hidden="false" customHeight="false" outlineLevel="0" collapsed="false">
      <c r="B23604" s="0" t="s">
        <v>8</v>
      </c>
    </row>
    <row r="23606" customFormat="false" ht="12.8" hidden="false" customHeight="false" outlineLevel="0" collapsed="false">
      <c r="A23606" s="0" t="s">
        <v>9664</v>
      </c>
      <c r="B23606" s="0" t="str">
        <f aca="false">HYPERLINK("https://lindat.mff.cuni.cz/services/teitok/pdtc10/index.php?action=vallex&amp;frame=v-w3063f1", "okrádat (v-w3063f1)")</f>
        <v>okrádat (v-w3063f1)</v>
      </c>
      <c r="E23606" s="0" t="str">
        <f aca="false">HYPERLINK("https://lindat.mff.cuni.cz/services/SynSemClass40/SynSemClass40.html?veclass=vec00657#vec00657-ces-cm00003", "vec00657")</f>
        <v>vec00657</v>
      </c>
      <c r="F23606" s="0" t="s">
        <v>8628</v>
      </c>
    </row>
    <row r="23607" customFormat="false" ht="12.8" hidden="false" customHeight="false" outlineLevel="0" collapsed="false">
      <c r="B23607" s="0" t="s">
        <v>1</v>
      </c>
      <c r="E23607" s="0" t="s">
        <v>1573</v>
      </c>
      <c r="F23607" s="0" t="s">
        <v>3191</v>
      </c>
    </row>
    <row r="23608" customFormat="false" ht="12.8" hidden="false" customHeight="false" outlineLevel="0" collapsed="false">
      <c r="B23608" s="0" t="s">
        <v>98</v>
      </c>
      <c r="C23608" s="0" t="s">
        <v>8629</v>
      </c>
      <c r="E23608" s="0" t="s">
        <v>8630</v>
      </c>
      <c r="F23608" s="0" t="s">
        <v>8631</v>
      </c>
    </row>
    <row r="23609" customFormat="false" ht="12.8" hidden="false" customHeight="false" outlineLevel="0" collapsed="false">
      <c r="B23609" s="0" t="s">
        <v>3152</v>
      </c>
      <c r="E23609" s="0" t="s">
        <v>594</v>
      </c>
      <c r="F23609" s="0" t="s">
        <v>8632</v>
      </c>
    </row>
    <row r="23611" customFormat="false" ht="12.8" hidden="false" customHeight="false" outlineLevel="0" collapsed="false">
      <c r="A23611" s="0" t="s">
        <v>9665</v>
      </c>
      <c r="B23611" s="0" t="str">
        <f aca="false">HYPERLINK("https://lindat.mff.cuni.cz/services/teitok/pdtc10/index.php?action=vallex&amp;frame=v-w3065f1", "okrást (v-w3065f1)")</f>
        <v>okrást (v-w3065f1)</v>
      </c>
      <c r="E23611" s="0" t="str">
        <f aca="false">HYPERLINK("https://lindat.mff.cuni.cz/services/SynSemClass40/SynSemClass40.html?veclass=vec00657#vec00657-ces-cm00001", "vec00657")</f>
        <v>vec00657</v>
      </c>
      <c r="F23611" s="0" t="s">
        <v>8628</v>
      </c>
    </row>
    <row r="23612" customFormat="false" ht="12.8" hidden="false" customHeight="false" outlineLevel="0" collapsed="false">
      <c r="B23612" s="0" t="s">
        <v>1</v>
      </c>
      <c r="E23612" s="0" t="s">
        <v>1573</v>
      </c>
      <c r="F23612" s="0" t="s">
        <v>3191</v>
      </c>
    </row>
    <row r="23613" customFormat="false" ht="12.8" hidden="false" customHeight="false" outlineLevel="0" collapsed="false">
      <c r="B23613" s="0" t="s">
        <v>98</v>
      </c>
      <c r="C23613" s="0" t="s">
        <v>8629</v>
      </c>
      <c r="E23613" s="0" t="s">
        <v>8630</v>
      </c>
      <c r="F23613" s="0" t="s">
        <v>8631</v>
      </c>
    </row>
    <row r="23614" customFormat="false" ht="12.8" hidden="false" customHeight="false" outlineLevel="0" collapsed="false">
      <c r="B23614" s="0" t="s">
        <v>3152</v>
      </c>
      <c r="E23614" s="0" t="s">
        <v>594</v>
      </c>
      <c r="F23614" s="0" t="s">
        <v>8632</v>
      </c>
    </row>
    <row r="23616" customFormat="false" ht="12.8" hidden="false" customHeight="false" outlineLevel="0" collapsed="false">
      <c r="A23616" s="0" t="s">
        <v>9666</v>
      </c>
      <c r="B23616" s="0" t="str">
        <f aca="false">HYPERLINK("https://lindat.mff.cuni.cz/services/teitok/pdtc10/index.php?action=vallex&amp;frame=v-w3066f1", "oktrojovat (v-w3066f1)")</f>
        <v>oktrojovat (v-w3066f1)</v>
      </c>
    </row>
    <row r="23617" customFormat="false" ht="12.8" hidden="false" customHeight="false" outlineLevel="0" collapsed="false">
      <c r="B23617" s="0" t="s">
        <v>1</v>
      </c>
    </row>
    <row r="23618" customFormat="false" ht="12.8" hidden="false" customHeight="false" outlineLevel="0" collapsed="false">
      <c r="B23618" s="0" t="s">
        <v>8</v>
      </c>
    </row>
    <row r="23619" customFormat="false" ht="12.8" hidden="false" customHeight="false" outlineLevel="0" collapsed="false">
      <c r="B23619" s="0" t="s">
        <v>132</v>
      </c>
    </row>
    <row r="23621" customFormat="false" ht="12.8" hidden="false" customHeight="false" outlineLevel="0" collapsed="false">
      <c r="A23621" s="0" t="s">
        <v>9667</v>
      </c>
      <c r="B23621" s="0" t="str">
        <f aca="false">HYPERLINK("https://lindat.mff.cuni.cz/services/teitok/pdtc10/index.php?action=vallex&amp;frame=v-w11915_ZUf1_ZU", "okukovat (v-w11915_ZUf1_ZU)")</f>
        <v>okukovat (v-w11915_ZUf1_ZU)</v>
      </c>
    </row>
    <row r="23622" customFormat="false" ht="12.8" hidden="false" customHeight="false" outlineLevel="0" collapsed="false">
      <c r="B23622" s="0" t="s">
        <v>1</v>
      </c>
    </row>
    <row r="23623" customFormat="false" ht="12.8" hidden="false" customHeight="false" outlineLevel="0" collapsed="false">
      <c r="B23623" s="0" t="s">
        <v>8</v>
      </c>
    </row>
    <row r="23625" customFormat="false" ht="12.8" hidden="false" customHeight="false" outlineLevel="0" collapsed="false">
      <c r="A23625" s="0" t="s">
        <v>9668</v>
      </c>
      <c r="B23625" s="0" t="str">
        <f aca="false">HYPERLINK("https://lindat.mff.cuni.cz/services/teitok/pdtc10/index.php?action=vallex&amp;frame=v-w3069f1", "okupovat (v-w3069f1)")</f>
        <v>okupovat (v-w3069f1)</v>
      </c>
      <c r="E23625" s="0" t="str">
        <f aca="false">HYPERLINK("https://lindat.mff.cuni.cz/services/SynSemClass40/SynSemClass40.html?veclass=vec00646#vec00646-ces-cm00009", "vec00646")</f>
        <v>vec00646</v>
      </c>
      <c r="F23625" s="0" t="s">
        <v>2103</v>
      </c>
    </row>
    <row r="23626" customFormat="false" ht="12.8" hidden="false" customHeight="false" outlineLevel="0" collapsed="false">
      <c r="B23626" s="0" t="s">
        <v>1</v>
      </c>
      <c r="C23626" s="0" t="s">
        <v>2114</v>
      </c>
      <c r="E23626" s="0" t="s">
        <v>206</v>
      </c>
      <c r="F23626" s="0" t="s">
        <v>2105</v>
      </c>
    </row>
    <row r="23627" customFormat="false" ht="12.8" hidden="false" customHeight="false" outlineLevel="0" collapsed="false">
      <c r="B23627" s="0" t="s">
        <v>8</v>
      </c>
      <c r="C23627" s="0" t="s">
        <v>2115</v>
      </c>
      <c r="E23627" s="0" t="s">
        <v>2109</v>
      </c>
      <c r="F23627" s="0" t="s">
        <v>2110</v>
      </c>
    </row>
    <row r="23629" customFormat="false" ht="12.8" hidden="false" customHeight="false" outlineLevel="0" collapsed="false">
      <c r="A23629" s="0" t="s">
        <v>9669</v>
      </c>
      <c r="B23629" s="0" t="str">
        <f aca="false">HYPERLINK("https://lindat.mff.cuni.cz/services/teitok/pdtc10/index.php?action=vallex&amp;frame=v-w3070f1", "okusit (v-w3070f1)")</f>
        <v>okusit (v-w3070f1)</v>
      </c>
    </row>
    <row r="23630" customFormat="false" ht="12.8" hidden="false" customHeight="false" outlineLevel="0" collapsed="false">
      <c r="B23630" s="0" t="s">
        <v>1</v>
      </c>
    </row>
    <row r="23631" customFormat="false" ht="12.8" hidden="false" customHeight="false" outlineLevel="0" collapsed="false">
      <c r="B23631" s="0" t="s">
        <v>8</v>
      </c>
    </row>
    <row r="23633" customFormat="false" ht="12.8" hidden="false" customHeight="false" outlineLevel="0" collapsed="false">
      <c r="A23633" s="0" t="s">
        <v>9670</v>
      </c>
      <c r="B23633" s="0" t="str">
        <f aca="false">HYPERLINK("https://lindat.mff.cuni.cz/services/teitok/pdtc10/index.php?action=vallex&amp;frame=v-w3070f2", "okusit (v-w3070f2)")</f>
        <v>okusit (v-w3070f2)</v>
      </c>
    </row>
    <row r="23634" customFormat="false" ht="12.8" hidden="false" customHeight="false" outlineLevel="0" collapsed="false">
      <c r="B23634" s="0" t="s">
        <v>1</v>
      </c>
    </row>
    <row r="23635" customFormat="false" ht="12.8" hidden="false" customHeight="false" outlineLevel="0" collapsed="false">
      <c r="B23635" s="0" t="s">
        <v>8</v>
      </c>
    </row>
    <row r="23637" customFormat="false" ht="12.8" hidden="false" customHeight="false" outlineLevel="0" collapsed="false">
      <c r="A23637" s="0" t="s">
        <v>9671</v>
      </c>
      <c r="B23637" s="0" t="str">
        <f aca="false">HYPERLINK("https://lindat.mff.cuni.cz/services/teitok/pdtc10/index.php?action=vallex&amp;frame=v-w12299_MMf1_MM", "okusovat (v-w12299_MMf1_MM)")</f>
        <v>okusovat (v-w12299_MMf1_MM)</v>
      </c>
    </row>
    <row r="23638" customFormat="false" ht="12.8" hidden="false" customHeight="false" outlineLevel="0" collapsed="false">
      <c r="B23638" s="0" t="s">
        <v>1</v>
      </c>
    </row>
    <row r="23639" customFormat="false" ht="12.8" hidden="false" customHeight="false" outlineLevel="0" collapsed="false">
      <c r="B23639" s="0" t="s">
        <v>8</v>
      </c>
    </row>
    <row r="23641" customFormat="false" ht="12.8" hidden="false" customHeight="false" outlineLevel="0" collapsed="false">
      <c r="A23641" s="0" t="s">
        <v>9672</v>
      </c>
      <c r="B23641" s="0" t="str">
        <f aca="false">HYPERLINK("https://lindat.mff.cuni.cz/services/teitok/pdtc10/index.php?action=vallex&amp;frame=v-w3047f1", "okázat se (v-w3047f1)")</f>
        <v>okázat se (v-w3047f1)</v>
      </c>
    </row>
    <row r="23642" customFormat="false" ht="12.8" hidden="false" customHeight="false" outlineLevel="0" collapsed="false">
      <c r="B23642" s="0" t="s">
        <v>1</v>
      </c>
    </row>
    <row r="23643" customFormat="false" ht="12.8" hidden="false" customHeight="false" outlineLevel="0" collapsed="false">
      <c r="B23643" s="0" t="s">
        <v>4277</v>
      </c>
    </row>
    <row r="23645" customFormat="false" ht="12.8" hidden="false" customHeight="false" outlineLevel="0" collapsed="false">
      <c r="A23645" s="0" t="s">
        <v>9673</v>
      </c>
      <c r="B23645" s="0" t="str">
        <f aca="false">HYPERLINK("https://lindat.mff.cuni.cz/services/teitok/pdtc10/index.php?action=vallex&amp;frame=v-whsb_694hsa_695", "olizovat (v-whsb_694hsa_695)")</f>
        <v>olizovat (v-whsb_694hsa_695)</v>
      </c>
    </row>
    <row r="23646" customFormat="false" ht="12.8" hidden="false" customHeight="false" outlineLevel="0" collapsed="false">
      <c r="B23646" s="0" t="s">
        <v>1</v>
      </c>
    </row>
    <row r="23647" customFormat="false" ht="12.8" hidden="false" customHeight="false" outlineLevel="0" collapsed="false">
      <c r="B23647" s="0" t="s">
        <v>8</v>
      </c>
    </row>
    <row r="23649" customFormat="false" ht="12.8" hidden="false" customHeight="false" outlineLevel="0" collapsed="false">
      <c r="A23649" s="0" t="s">
        <v>9674</v>
      </c>
      <c r="B23649" s="0" t="str">
        <f aca="false">HYPERLINK("https://lindat.mff.cuni.cz/services/teitok/pdtc10/index.php?action=vallex&amp;frame=v-w10113f2", "oloupat (v-w10113f2)")</f>
        <v>oloupat (v-w10113f2)</v>
      </c>
      <c r="E23649" s="0" t="str">
        <f aca="false">HYPERLINK("https://lindat.mff.cuni.cz/services/SynSemClass40/SynSemClass40.html?veclass=vec01538#vec01538-ces-cm00011", "vec01538")</f>
        <v>vec01538</v>
      </c>
      <c r="F23649" s="0" t="s">
        <v>9675</v>
      </c>
    </row>
    <row r="23650" customFormat="false" ht="12.8" hidden="false" customHeight="false" outlineLevel="0" collapsed="false">
      <c r="B23650" s="0" t="s">
        <v>1</v>
      </c>
      <c r="C23650" s="0" t="s">
        <v>3091</v>
      </c>
      <c r="E23650" s="0" t="s">
        <v>31</v>
      </c>
      <c r="F23650" s="0" t="s">
        <v>3092</v>
      </c>
    </row>
    <row r="23651" customFormat="false" ht="12.8" hidden="false" customHeight="false" outlineLevel="0" collapsed="false">
      <c r="B23651" s="0" t="s">
        <v>8</v>
      </c>
      <c r="C23651" s="0" t="s">
        <v>3882</v>
      </c>
      <c r="E23651" s="0" t="s">
        <v>7098</v>
      </c>
      <c r="F23651" s="0" t="s">
        <v>9676</v>
      </c>
    </row>
    <row r="23652" customFormat="false" ht="12.8" hidden="false" customHeight="false" outlineLevel="0" collapsed="false">
      <c r="B23652" s="0" t="s">
        <v>631</v>
      </c>
      <c r="C23652" s="0" t="s">
        <v>9677</v>
      </c>
      <c r="E23652" s="0" t="s">
        <v>9678</v>
      </c>
      <c r="F23652" s="0" t="s">
        <v>9679</v>
      </c>
    </row>
    <row r="23654" customFormat="false" ht="12.8" hidden="false" customHeight="false" outlineLevel="0" collapsed="false">
      <c r="A23654" s="0" t="s">
        <v>9680</v>
      </c>
      <c r="B23654" s="0" t="str">
        <f aca="false">HYPERLINK("https://lindat.mff.cuni.cz/services/teitok/pdtc10/index.php?action=vallex&amp;frame=v-w12008_ZUf1_ZU", "omakat si (v-w12008_ZUf1_ZU)")</f>
        <v>omakat si (v-w12008_ZUf1_ZU)</v>
      </c>
    </row>
    <row r="23655" customFormat="false" ht="12.8" hidden="false" customHeight="false" outlineLevel="0" collapsed="false">
      <c r="B23655" s="0" t="s">
        <v>1</v>
      </c>
    </row>
    <row r="23656" customFormat="false" ht="12.8" hidden="false" customHeight="false" outlineLevel="0" collapsed="false">
      <c r="B23656" s="0" t="s">
        <v>9681</v>
      </c>
    </row>
    <row r="23658" customFormat="false" ht="12.8" hidden="false" customHeight="false" outlineLevel="0" collapsed="false">
      <c r="A23658" s="0" t="s">
        <v>9682</v>
      </c>
      <c r="B23658" s="0" t="str">
        <f aca="false">HYPERLINK("https://lindat.mff.cuni.cz/services/teitok/pdtc10/index.php?action=vallex&amp;frame=v-w3073f1", "omalovat (v-w3073f1)")</f>
        <v>omalovat (v-w3073f1)</v>
      </c>
      <c r="E23658" s="0" t="str">
        <f aca="false">HYPERLINK("https://lindat.mff.cuni.cz/services/SynSemClass40/SynSemClass40.html?veclass=vec01363#vec01363-ces-cm00001", "vec01363")</f>
        <v>vec01363</v>
      </c>
      <c r="F23658" s="0" t="s">
        <v>7011</v>
      </c>
    </row>
    <row r="23659" customFormat="false" ht="12.8" hidden="false" customHeight="false" outlineLevel="0" collapsed="false">
      <c r="B23659" s="0" t="s">
        <v>1</v>
      </c>
      <c r="C23659" s="0" t="s">
        <v>3000</v>
      </c>
      <c r="E23659" s="0" t="s">
        <v>31</v>
      </c>
      <c r="F23659" s="0" t="s">
        <v>3001</v>
      </c>
    </row>
    <row r="23660" customFormat="false" ht="12.8" hidden="false" customHeight="false" outlineLevel="0" collapsed="false">
      <c r="B23660" s="0" t="s">
        <v>8</v>
      </c>
      <c r="C23660" s="0" t="s">
        <v>639</v>
      </c>
      <c r="E23660" s="0" t="s">
        <v>4782</v>
      </c>
      <c r="F23660" s="0" t="s">
        <v>7012</v>
      </c>
    </row>
    <row r="23662" customFormat="false" ht="12.8" hidden="false" customHeight="false" outlineLevel="0" collapsed="false">
      <c r="A23662" s="0" t="s">
        <v>9683</v>
      </c>
      <c r="B23662" s="0" t="str">
        <f aca="false">HYPERLINK("https://lindat.mff.cuni.cz/services/teitok/pdtc10/index.php?action=vallex&amp;frame=v-whsb_655hsa_656", "omarodit (v-whsb_655hsa_656)")</f>
        <v>omarodit (v-whsb_655hsa_656)</v>
      </c>
    </row>
    <row r="23663" customFormat="false" ht="12.8" hidden="false" customHeight="false" outlineLevel="0" collapsed="false">
      <c r="B23663" s="0" t="s">
        <v>1</v>
      </c>
    </row>
    <row r="23664" customFormat="false" ht="12.8" hidden="false" customHeight="false" outlineLevel="0" collapsed="false">
      <c r="B23664" s="0" t="s">
        <v>3321</v>
      </c>
    </row>
    <row r="23666" customFormat="false" ht="12.8" hidden="false" customHeight="false" outlineLevel="0" collapsed="false">
      <c r="A23666" s="0" t="s">
        <v>9684</v>
      </c>
      <c r="B23666" s="0" t="str">
        <f aca="false">HYPERLINK("https://lindat.mff.cuni.cz/services/teitok/pdtc10/index.php?action=vallex&amp;frame=v-w12042_ZUf1_ZU", "omarodit (v-w12042_ZUf1_ZU)")</f>
        <v>omarodit (v-w12042_ZUf1_ZU)</v>
      </c>
    </row>
    <row r="23667" customFormat="false" ht="12.8" hidden="false" customHeight="false" outlineLevel="0" collapsed="false">
      <c r="B23667" s="0" t="s">
        <v>1</v>
      </c>
    </row>
    <row r="23668" customFormat="false" ht="12.8" hidden="false" customHeight="false" outlineLevel="0" collapsed="false">
      <c r="B23668" s="0" t="s">
        <v>8</v>
      </c>
    </row>
    <row r="23670" customFormat="false" ht="12.8" hidden="false" customHeight="false" outlineLevel="0" collapsed="false">
      <c r="A23670" s="0" t="s">
        <v>9685</v>
      </c>
      <c r="B23670" s="0" t="str">
        <f aca="false">HYPERLINK("https://lindat.mff.cuni.cz/services/teitok/pdtc10/index.php?action=vallex&amp;frame=v-w11955_ZUf1_ZU", "omdlévat (v-w11955_ZUf1_ZU)")</f>
        <v>omdlévat (v-w11955_ZUf1_ZU)</v>
      </c>
    </row>
    <row r="23671" customFormat="false" ht="12.8" hidden="false" customHeight="false" outlineLevel="0" collapsed="false">
      <c r="B23671" s="0" t="s">
        <v>1</v>
      </c>
    </row>
    <row r="23673" customFormat="false" ht="12.8" hidden="false" customHeight="false" outlineLevel="0" collapsed="false">
      <c r="A23673" s="0" t="s">
        <v>9686</v>
      </c>
      <c r="B23673" s="0" t="str">
        <f aca="false">HYPERLINK("https://lindat.mff.cuni.cz/services/teitok/pdtc10/index.php?action=vallex&amp;frame=v-w3074f1", "omdlít (v-w3074f1)")</f>
        <v>omdlít (v-w3074f1)</v>
      </c>
    </row>
    <row r="23674" customFormat="false" ht="12.8" hidden="false" customHeight="false" outlineLevel="0" collapsed="false">
      <c r="B23674" s="0" t="s">
        <v>1</v>
      </c>
    </row>
    <row r="23676" customFormat="false" ht="12.8" hidden="false" customHeight="false" outlineLevel="0" collapsed="false">
      <c r="A23676" s="0" t="s">
        <v>9687</v>
      </c>
      <c r="B23676" s="0" t="str">
        <f aca="false">HYPERLINK("https://lindat.mff.cuni.cz/services/teitok/pdtc10/index.php?action=vallex&amp;frame=v-w3076f1", "omezit (v-w3076f1)")</f>
        <v>omezit (v-w3076f1)</v>
      </c>
      <c r="E23676" s="0" t="str">
        <f aca="false">HYPERLINK("https://lindat.mff.cuni.cz/services/SynSemClass40/SynSemClass40.html?veclass=vec00118#vec00118-ces-cm00099", "vec00118")</f>
        <v>vec00118</v>
      </c>
      <c r="F23676" s="0" t="s">
        <v>5784</v>
      </c>
      <c r="H23676" s="0" t="str">
        <f aca="false">HYPERLINK("https://lindat.mff.cuni.cz/services/SynSemClass40/SynSemClass40.html?veclass=vec01508#vec01508-ces-cm00007", "vec01508")</f>
        <v>vec01508</v>
      </c>
      <c r="I23676" s="0" t="s">
        <v>9644</v>
      </c>
    </row>
    <row r="23677" customFormat="false" ht="12.8" hidden="false" customHeight="false" outlineLevel="0" collapsed="false">
      <c r="B23677" s="0" t="s">
        <v>1</v>
      </c>
      <c r="C23677" s="0" t="s">
        <v>9688</v>
      </c>
      <c r="E23677" s="0" t="s">
        <v>31</v>
      </c>
      <c r="F23677" s="0" t="s">
        <v>5787</v>
      </c>
      <c r="H23677" s="0" t="s">
        <v>5401</v>
      </c>
      <c r="I23677" s="0" t="s">
        <v>9646</v>
      </c>
    </row>
    <row r="23678" customFormat="false" ht="12.8" hidden="false" customHeight="false" outlineLevel="0" collapsed="false">
      <c r="B23678" s="0" t="s">
        <v>8</v>
      </c>
      <c r="C23678" s="0" t="s">
        <v>9689</v>
      </c>
      <c r="E23678" s="0" t="s">
        <v>1569</v>
      </c>
      <c r="F23678" s="0" t="s">
        <v>5790</v>
      </c>
      <c r="H23678" s="0" t="s">
        <v>5405</v>
      </c>
      <c r="I23678" s="0" t="s">
        <v>9648</v>
      </c>
    </row>
    <row r="23679" customFormat="false" ht="12.8" hidden="false" customHeight="false" outlineLevel="0" collapsed="false">
      <c r="B23679" s="0" t="s">
        <v>36</v>
      </c>
      <c r="C23679" s="0" t="s">
        <v>9690</v>
      </c>
      <c r="E23679" s="0" t="s">
        <v>5152</v>
      </c>
      <c r="F23679" s="0" t="s">
        <v>5793</v>
      </c>
      <c r="H23679" s="0" t="s">
        <v>38</v>
      </c>
      <c r="I23679" s="0" t="s">
        <v>9691</v>
      </c>
    </row>
    <row r="23680" customFormat="false" ht="12.8" hidden="false" customHeight="false" outlineLevel="0" collapsed="false">
      <c r="B23680" s="0" t="s">
        <v>101</v>
      </c>
      <c r="C23680" s="0" t="s">
        <v>9692</v>
      </c>
      <c r="E23680" s="0" t="s">
        <v>5796</v>
      </c>
      <c r="F23680" s="0" t="s">
        <v>5797</v>
      </c>
      <c r="H23680" s="0" t="s">
        <v>42</v>
      </c>
      <c r="I23680" s="0" t="s">
        <v>9693</v>
      </c>
    </row>
    <row r="23682" customFormat="false" ht="12.8" hidden="false" customHeight="false" outlineLevel="0" collapsed="false">
      <c r="A23682" s="0" t="s">
        <v>9694</v>
      </c>
      <c r="B23682" s="0" t="str">
        <f aca="false">HYPERLINK("https://lindat.mff.cuni.cz/services/teitok/pdtc10/index.php?action=vallex&amp;frame=v-w3076hsa_241", "omezit (v-w3076hsa_241)")</f>
        <v>omezit (v-w3076hsa_241)</v>
      </c>
      <c r="E23682" s="0" t="str">
        <f aca="false">HYPERLINK("https://lindat.mff.cuni.cz/services/SynSemClass40/SynSemClass40.html?veclass=vec01247#vec01247-ces-cm00002", "vec01247")</f>
        <v>vec01247</v>
      </c>
      <c r="F23682" s="0" t="s">
        <v>6041</v>
      </c>
    </row>
    <row r="23683" customFormat="false" ht="12.8" hidden="false" customHeight="false" outlineLevel="0" collapsed="false">
      <c r="B23683" s="0" t="s">
        <v>1</v>
      </c>
      <c r="C23683" s="0" t="s">
        <v>5782</v>
      </c>
      <c r="E23683" s="0" t="s">
        <v>206</v>
      </c>
      <c r="F23683" s="0" t="s">
        <v>6042</v>
      </c>
    </row>
    <row r="23684" customFormat="false" ht="12.8" hidden="false" customHeight="false" outlineLevel="0" collapsed="false">
      <c r="B23684" s="0" t="s">
        <v>8</v>
      </c>
      <c r="C23684" s="0" t="s">
        <v>6043</v>
      </c>
      <c r="E23684" s="0" t="s">
        <v>142</v>
      </c>
      <c r="F23684" s="0" t="s">
        <v>6044</v>
      </c>
    </row>
    <row r="23685" customFormat="false" ht="12.8" hidden="false" customHeight="false" outlineLevel="0" collapsed="false">
      <c r="B23685" s="0" t="s">
        <v>2207</v>
      </c>
      <c r="C23685" s="0" t="s">
        <v>6045</v>
      </c>
      <c r="E23685" s="0" t="s">
        <v>6046</v>
      </c>
      <c r="F23685" s="0" t="s">
        <v>6047</v>
      </c>
    </row>
    <row r="23687" customFormat="false" ht="12.8" hidden="false" customHeight="false" outlineLevel="0" collapsed="false">
      <c r="A23687" s="0" t="s">
        <v>9695</v>
      </c>
      <c r="B23687" s="0" t="str">
        <f aca="false">HYPERLINK("https://lindat.mff.cuni.cz/services/teitok/pdtc10/index.php?action=vallex&amp;frame=v-w3077f1", "omezit se (v-w3077f1)")</f>
        <v>omezit se (v-w3077f1)</v>
      </c>
    </row>
    <row r="23688" customFormat="false" ht="12.8" hidden="false" customHeight="false" outlineLevel="0" collapsed="false">
      <c r="B23688" s="0" t="s">
        <v>1</v>
      </c>
    </row>
    <row r="23689" customFormat="false" ht="12.8" hidden="false" customHeight="false" outlineLevel="0" collapsed="false">
      <c r="B23689" s="0" t="s">
        <v>45</v>
      </c>
    </row>
    <row r="23691" customFormat="false" ht="12.8" hidden="false" customHeight="false" outlineLevel="0" collapsed="false">
      <c r="A23691" s="0" t="s">
        <v>9696</v>
      </c>
      <c r="B23691" s="0" t="str">
        <f aca="false">HYPERLINK("https://lindat.mff.cuni.cz/services/teitok/pdtc10/index.php?action=vallex&amp;frame=v-w3077f2", "omezit se (v-w3077f2)")</f>
        <v>omezit se (v-w3077f2)</v>
      </c>
    </row>
    <row r="23692" customFormat="false" ht="12.8" hidden="false" customHeight="false" outlineLevel="0" collapsed="false">
      <c r="B23692" s="0" t="s">
        <v>1</v>
      </c>
    </row>
    <row r="23694" customFormat="false" ht="12.8" hidden="false" customHeight="false" outlineLevel="0" collapsed="false">
      <c r="A23694" s="0" t="s">
        <v>9697</v>
      </c>
      <c r="B23694" s="0" t="str">
        <f aca="false">HYPERLINK("https://lindat.mff.cuni.cz/services/teitok/pdtc10/index.php?action=vallex&amp;frame=v-w3080f1", "omezovat (v-w3080f1)")</f>
        <v>omezovat (v-w3080f1)</v>
      </c>
      <c r="E23694" s="0" t="str">
        <f aca="false">HYPERLINK("https://lindat.mff.cuni.cz/services/SynSemClass40/SynSemClass40.html?veclass=vec00118#vec00118-ces-cm00100", "vec00118")</f>
        <v>vec00118</v>
      </c>
      <c r="F23694" s="0" t="s">
        <v>5784</v>
      </c>
      <c r="H23694" s="0" t="str">
        <f aca="false">HYPERLINK("https://lindat.mff.cuni.cz/services/SynSemClass40/SynSemClass40.html?veclass=vec01508#vec01508-ces-cm00011", "vec01508")</f>
        <v>vec01508</v>
      </c>
      <c r="I23694" s="0" t="s">
        <v>9644</v>
      </c>
    </row>
    <row r="23695" customFormat="false" ht="12.8" hidden="false" customHeight="false" outlineLevel="0" collapsed="false">
      <c r="B23695" s="0" t="s">
        <v>1</v>
      </c>
      <c r="C23695" s="0" t="s">
        <v>9688</v>
      </c>
      <c r="E23695" s="0" t="s">
        <v>31</v>
      </c>
      <c r="F23695" s="0" t="s">
        <v>5787</v>
      </c>
      <c r="H23695" s="0" t="s">
        <v>5401</v>
      </c>
      <c r="I23695" s="0" t="s">
        <v>9646</v>
      </c>
    </row>
    <row r="23696" customFormat="false" ht="12.8" hidden="false" customHeight="false" outlineLevel="0" collapsed="false">
      <c r="B23696" s="0" t="s">
        <v>8</v>
      </c>
      <c r="C23696" s="0" t="s">
        <v>9689</v>
      </c>
      <c r="E23696" s="0" t="s">
        <v>1569</v>
      </c>
      <c r="F23696" s="0" t="s">
        <v>5790</v>
      </c>
      <c r="H23696" s="0" t="s">
        <v>5405</v>
      </c>
      <c r="I23696" s="0" t="s">
        <v>9648</v>
      </c>
    </row>
    <row r="23697" customFormat="false" ht="12.8" hidden="false" customHeight="false" outlineLevel="0" collapsed="false">
      <c r="B23697" s="0" t="s">
        <v>36</v>
      </c>
      <c r="C23697" s="0" t="s">
        <v>9690</v>
      </c>
      <c r="E23697" s="0" t="s">
        <v>5152</v>
      </c>
      <c r="F23697" s="0" t="s">
        <v>5793</v>
      </c>
      <c r="H23697" s="0" t="s">
        <v>38</v>
      </c>
      <c r="I23697" s="0" t="s">
        <v>9691</v>
      </c>
    </row>
    <row r="23698" customFormat="false" ht="12.8" hidden="false" customHeight="false" outlineLevel="0" collapsed="false">
      <c r="B23698" s="0" t="s">
        <v>101</v>
      </c>
      <c r="C23698" s="0" t="s">
        <v>9692</v>
      </c>
      <c r="E23698" s="0" t="s">
        <v>5796</v>
      </c>
      <c r="F23698" s="0" t="s">
        <v>5797</v>
      </c>
      <c r="H23698" s="0" t="s">
        <v>42</v>
      </c>
      <c r="I23698" s="0" t="s">
        <v>9693</v>
      </c>
    </row>
    <row r="23700" customFormat="false" ht="12.8" hidden="false" customHeight="false" outlineLevel="0" collapsed="false">
      <c r="A23700" s="0" t="s">
        <v>9698</v>
      </c>
      <c r="B23700" s="0" t="str">
        <f aca="false">HYPERLINK("https://lindat.mff.cuni.cz/services/teitok/pdtc10/index.php?action=vallex&amp;frame=v-w3080hsa_633", "omezovat (v-w3080hsa_633)")</f>
        <v>omezovat (v-w3080hsa_633)</v>
      </c>
      <c r="E23700" s="0" t="str">
        <f aca="false">HYPERLINK("https://lindat.mff.cuni.cz/services/SynSemClass40/SynSemClass40.html?veclass=vec01247#vec01247-ces-cm00007", "vec01247")</f>
        <v>vec01247</v>
      </c>
      <c r="F23700" s="0" t="s">
        <v>6041</v>
      </c>
    </row>
    <row r="23701" customFormat="false" ht="12.8" hidden="false" customHeight="false" outlineLevel="0" collapsed="false">
      <c r="B23701" s="0" t="s">
        <v>1</v>
      </c>
      <c r="C23701" s="0" t="s">
        <v>5782</v>
      </c>
      <c r="E23701" s="0" t="s">
        <v>206</v>
      </c>
      <c r="F23701" s="0" t="s">
        <v>6042</v>
      </c>
    </row>
    <row r="23702" customFormat="false" ht="12.8" hidden="false" customHeight="false" outlineLevel="0" collapsed="false">
      <c r="B23702" s="0" t="s">
        <v>98</v>
      </c>
      <c r="C23702" s="0" t="s">
        <v>9699</v>
      </c>
      <c r="E23702" s="0" t="s">
        <v>2287</v>
      </c>
      <c r="F23702" s="0" t="s">
        <v>9700</v>
      </c>
    </row>
    <row r="23703" customFormat="false" ht="12.8" hidden="false" customHeight="false" outlineLevel="0" collapsed="false">
      <c r="B23703" s="0" t="s">
        <v>883</v>
      </c>
      <c r="C23703" s="0" t="s">
        <v>9701</v>
      </c>
      <c r="E23703" s="0" t="s">
        <v>9702</v>
      </c>
      <c r="F23703" s="0" t="s">
        <v>9703</v>
      </c>
    </row>
    <row r="23705" customFormat="false" ht="12.8" hidden="false" customHeight="false" outlineLevel="0" collapsed="false">
      <c r="A23705" s="0" t="s">
        <v>9704</v>
      </c>
      <c r="B23705" s="0" t="str">
        <f aca="false">HYPERLINK("https://lindat.mff.cuni.cz/services/teitok/pdtc10/index.php?action=vallex&amp;frame=v-w3081f1", "omezovat se (v-w3081f1)")</f>
        <v>omezovat se (v-w3081f1)</v>
      </c>
    </row>
    <row r="23706" customFormat="false" ht="12.8" hidden="false" customHeight="false" outlineLevel="0" collapsed="false">
      <c r="B23706" s="0" t="s">
        <v>1</v>
      </c>
    </row>
    <row r="23707" customFormat="false" ht="12.8" hidden="false" customHeight="false" outlineLevel="0" collapsed="false">
      <c r="B23707" s="0" t="s">
        <v>45</v>
      </c>
    </row>
    <row r="23709" customFormat="false" ht="12.8" hidden="false" customHeight="false" outlineLevel="0" collapsed="false">
      <c r="A23709" s="0" t="s">
        <v>9705</v>
      </c>
      <c r="B23709" s="0" t="str">
        <f aca="false">HYPERLINK("https://lindat.mff.cuni.cz/services/teitok/pdtc10/index.php?action=vallex&amp;frame=v-w3081hsa_651", "omezovat se (v-w3081hsa_651)")</f>
        <v>omezovat se (v-w3081hsa_651)</v>
      </c>
    </row>
    <row r="23710" customFormat="false" ht="12.8" hidden="false" customHeight="false" outlineLevel="0" collapsed="false">
      <c r="B23710" s="0" t="s">
        <v>1</v>
      </c>
    </row>
    <row r="23712" customFormat="false" ht="12.8" hidden="false" customHeight="false" outlineLevel="0" collapsed="false">
      <c r="A23712" s="0" t="s">
        <v>9706</v>
      </c>
      <c r="B23712" s="0" t="str">
        <f aca="false">HYPERLINK("https://lindat.mff.cuni.cz/services/teitok/pdtc10/index.php?action=vallex&amp;frame=v-w3084f1", "omilostnit (v-w3084f1)")</f>
        <v>omilostnit (v-w3084f1)</v>
      </c>
    </row>
    <row r="23713" customFormat="false" ht="12.8" hidden="false" customHeight="false" outlineLevel="0" collapsed="false">
      <c r="B23713" s="0" t="s">
        <v>1</v>
      </c>
    </row>
    <row r="23714" customFormat="false" ht="12.8" hidden="false" customHeight="false" outlineLevel="0" collapsed="false">
      <c r="B23714" s="0" t="s">
        <v>8</v>
      </c>
    </row>
    <row r="23715" customFormat="false" ht="12.8" hidden="false" customHeight="false" outlineLevel="0" collapsed="false">
      <c r="B23715" s="0" t="s">
        <v>9339</v>
      </c>
    </row>
    <row r="23717" customFormat="false" ht="12.8" hidden="false" customHeight="false" outlineLevel="0" collapsed="false">
      <c r="A23717" s="0" t="s">
        <v>9707</v>
      </c>
      <c r="B23717" s="0" t="str">
        <f aca="false">HYPERLINK("https://lindat.mff.cuni.cz/services/teitok/pdtc10/index.php?action=vallex&amp;frame=v-w3085f1", "omladit (v-w3085f1)")</f>
        <v>omladit (v-w3085f1)</v>
      </c>
      <c r="E23717" s="0" t="str">
        <f aca="false">HYPERLINK("https://lindat.mff.cuni.cz/services/SynSemClass40/SynSemClass40.html?veclass=vec01504#vec01504-ces-cm00002", "vec01504")</f>
        <v>vec01504</v>
      </c>
      <c r="F23717" s="0" t="s">
        <v>9708</v>
      </c>
    </row>
    <row r="23718" customFormat="false" ht="12.8" hidden="false" customHeight="false" outlineLevel="0" collapsed="false">
      <c r="B23718" s="0" t="s">
        <v>1</v>
      </c>
      <c r="E23718" s="0" t="s">
        <v>84</v>
      </c>
      <c r="F23718" s="0" t="s">
        <v>5431</v>
      </c>
    </row>
    <row r="23719" customFormat="false" ht="12.8" hidden="false" customHeight="false" outlineLevel="0" collapsed="false">
      <c r="B23719" s="0" t="s">
        <v>8</v>
      </c>
      <c r="E23719" s="0" t="s">
        <v>87</v>
      </c>
      <c r="F23719" s="0" t="s">
        <v>9709</v>
      </c>
    </row>
    <row r="23721" customFormat="false" ht="12.8" hidden="false" customHeight="false" outlineLevel="0" collapsed="false">
      <c r="A23721" s="0" t="s">
        <v>9710</v>
      </c>
      <c r="B23721" s="0" t="str">
        <f aca="false">HYPERLINK("https://lindat.mff.cuni.cz/services/teitok/pdtc10/index.php?action=vallex&amp;frame=v-w3088f1", "omlouvat (v-w3088f1)")</f>
        <v>omlouvat (v-w3088f1)</v>
      </c>
      <c r="E23721" s="0" t="str">
        <f aca="false">HYPERLINK("https://lindat.mff.cuni.cz/services/SynSemClass40/SynSemClass40.html?veclass=vec00658#vec00658-ces-cm00002", "vec00658")</f>
        <v>vec00658</v>
      </c>
      <c r="F23721" s="0" t="s">
        <v>9711</v>
      </c>
    </row>
    <row r="23722" customFormat="false" ht="12.8" hidden="false" customHeight="false" outlineLevel="0" collapsed="false">
      <c r="B23722" s="0" t="s">
        <v>1</v>
      </c>
      <c r="C23722" s="0" t="s">
        <v>512</v>
      </c>
      <c r="E23722" s="0" t="s">
        <v>31</v>
      </c>
      <c r="F23722" s="0" t="s">
        <v>513</v>
      </c>
    </row>
    <row r="23723" customFormat="false" ht="12.8" hidden="false" customHeight="false" outlineLevel="0" collapsed="false">
      <c r="B23723" s="0" t="s">
        <v>8</v>
      </c>
      <c r="C23723" s="0" t="s">
        <v>9712</v>
      </c>
      <c r="E23723" s="0" t="s">
        <v>5749</v>
      </c>
      <c r="F23723" s="0" t="s">
        <v>9713</v>
      </c>
    </row>
    <row r="23724" customFormat="false" ht="12.8" hidden="false" customHeight="false" outlineLevel="0" collapsed="false">
      <c r="B23724" s="0" t="s">
        <v>132</v>
      </c>
      <c r="C23724" s="0" t="s">
        <v>9117</v>
      </c>
      <c r="E23724" s="0" t="s">
        <v>221</v>
      </c>
      <c r="F23724" s="0" t="s">
        <v>9714</v>
      </c>
    </row>
    <row r="23726" customFormat="false" ht="12.8" hidden="false" customHeight="false" outlineLevel="0" collapsed="false">
      <c r="A23726" s="0" t="s">
        <v>9715</v>
      </c>
      <c r="B23726" s="0" t="str">
        <f aca="false">HYPERLINK("https://lindat.mff.cuni.cz/services/teitok/pdtc10/index.php?action=vallex&amp;frame=v-w3088f2", "omlouvat (v-w3088f2)")</f>
        <v>omlouvat (v-w3088f2)</v>
      </c>
      <c r="E23726" s="0" t="str">
        <f aca="false">HYPERLINK("https://lindat.mff.cuni.cz/services/SynSemClass40/SynSemClass40.html?veclass=vec01248#vec01248-ces-cm00003", "vec01248")</f>
        <v>vec01248</v>
      </c>
      <c r="F23726" s="0" t="s">
        <v>9716</v>
      </c>
    </row>
    <row r="23727" customFormat="false" ht="12.8" hidden="false" customHeight="false" outlineLevel="0" collapsed="false">
      <c r="B23727" s="0" t="s">
        <v>1</v>
      </c>
      <c r="E23727" s="0" t="s">
        <v>11</v>
      </c>
      <c r="F23727" s="0" t="s">
        <v>959</v>
      </c>
    </row>
    <row r="23728" customFormat="false" ht="12.8" hidden="false" customHeight="false" outlineLevel="0" collapsed="false">
      <c r="B23728" s="0" t="s">
        <v>8</v>
      </c>
      <c r="C23728" s="0" t="s">
        <v>1910</v>
      </c>
      <c r="E23728" s="0" t="s">
        <v>532</v>
      </c>
      <c r="F23728" s="0" t="s">
        <v>9717</v>
      </c>
    </row>
    <row r="23730" customFormat="false" ht="12.8" hidden="false" customHeight="false" outlineLevel="0" collapsed="false">
      <c r="A23730" s="0" t="s">
        <v>9718</v>
      </c>
      <c r="B23730" s="0" t="str">
        <f aca="false">HYPERLINK("https://lindat.mff.cuni.cz/services/teitok/pdtc10/index.php?action=vallex&amp;frame=v-whsb_683hsa_684", "omlouvat se (v-whsb_683hsa_684)")</f>
        <v>omlouvat se (v-whsb_683hsa_684)</v>
      </c>
    </row>
    <row r="23731" customFormat="false" ht="12.8" hidden="false" customHeight="false" outlineLevel="0" collapsed="false">
      <c r="B23731" s="0" t="s">
        <v>1</v>
      </c>
    </row>
    <row r="23732" customFormat="false" ht="12.8" hidden="false" customHeight="false" outlineLevel="0" collapsed="false">
      <c r="B23732" s="0" t="s">
        <v>186</v>
      </c>
    </row>
    <row r="23734" customFormat="false" ht="12.8" hidden="false" customHeight="false" outlineLevel="0" collapsed="false">
      <c r="A23734" s="0" t="s">
        <v>9719</v>
      </c>
      <c r="B23734" s="0" t="str">
        <f aca="false">HYPERLINK("https://lindat.mff.cuni.cz/services/teitok/pdtc10/index.php?action=vallex&amp;frame=v-w3090f1", "omluvit (v-w3090f1)")</f>
        <v>omluvit (v-w3090f1)</v>
      </c>
      <c r="E23734" s="0" t="str">
        <f aca="false">HYPERLINK("https://lindat.mff.cuni.cz/services/SynSemClass40/SynSemClass40.html?veclass=vec00658#vec00658-ces-cm00001", "vec00658")</f>
        <v>vec00658</v>
      </c>
      <c r="F23734" s="0" t="s">
        <v>9711</v>
      </c>
    </row>
    <row r="23735" customFormat="false" ht="12.8" hidden="false" customHeight="false" outlineLevel="0" collapsed="false">
      <c r="B23735" s="0" t="s">
        <v>1</v>
      </c>
      <c r="C23735" s="0" t="s">
        <v>512</v>
      </c>
      <c r="E23735" s="0" t="s">
        <v>31</v>
      </c>
      <c r="F23735" s="0" t="s">
        <v>513</v>
      </c>
    </row>
    <row r="23736" customFormat="false" ht="12.8" hidden="false" customHeight="false" outlineLevel="0" collapsed="false">
      <c r="B23736" s="0" t="s">
        <v>8</v>
      </c>
      <c r="C23736" s="0" t="s">
        <v>9712</v>
      </c>
      <c r="E23736" s="0" t="s">
        <v>5749</v>
      </c>
      <c r="F23736" s="0" t="s">
        <v>9713</v>
      </c>
    </row>
    <row r="23737" customFormat="false" ht="12.8" hidden="false" customHeight="false" outlineLevel="0" collapsed="false">
      <c r="B23737" s="0" t="s">
        <v>132</v>
      </c>
      <c r="C23737" s="0" t="s">
        <v>9117</v>
      </c>
      <c r="E23737" s="0" t="s">
        <v>221</v>
      </c>
      <c r="F23737" s="0" t="s">
        <v>9714</v>
      </c>
    </row>
    <row r="23739" customFormat="false" ht="12.8" hidden="false" customHeight="false" outlineLevel="0" collapsed="false">
      <c r="A23739" s="0" t="s">
        <v>9720</v>
      </c>
      <c r="B23739" s="0" t="str">
        <f aca="false">HYPERLINK("https://lindat.mff.cuni.cz/services/teitok/pdtc10/index.php?action=vallex&amp;frame=v-w3090f2", "omluvit (v-w3090f2)")</f>
        <v>omluvit (v-w3090f2)</v>
      </c>
      <c r="E23739" s="0" t="str">
        <f aca="false">HYPERLINK("https://lindat.mff.cuni.cz/services/SynSemClass40/SynSemClass40.html?veclass=vec01248#vec01248-ces-cm00005", "vec01248")</f>
        <v>vec01248</v>
      </c>
      <c r="F23739" s="0" t="s">
        <v>9716</v>
      </c>
    </row>
    <row r="23740" customFormat="false" ht="12.8" hidden="false" customHeight="false" outlineLevel="0" collapsed="false">
      <c r="B23740" s="0" t="s">
        <v>1</v>
      </c>
      <c r="E23740" s="0" t="s">
        <v>11</v>
      </c>
      <c r="F23740" s="0" t="s">
        <v>959</v>
      </c>
    </row>
    <row r="23741" customFormat="false" ht="12.8" hidden="false" customHeight="false" outlineLevel="0" collapsed="false">
      <c r="B23741" s="0" t="s">
        <v>8</v>
      </c>
      <c r="C23741" s="0" t="s">
        <v>1910</v>
      </c>
      <c r="E23741" s="0" t="s">
        <v>532</v>
      </c>
      <c r="F23741" s="0" t="s">
        <v>9717</v>
      </c>
    </row>
    <row r="23743" customFormat="false" ht="12.8" hidden="false" customHeight="false" outlineLevel="0" collapsed="false">
      <c r="A23743" s="0" t="s">
        <v>9721</v>
      </c>
      <c r="B23743" s="0" t="str">
        <f aca="false">HYPERLINK("https://lindat.mff.cuni.cz/services/teitok/pdtc10/index.php?action=vallex&amp;frame=v-whsa_579hsa_580", "omládnout (v-whsa_579hsa_580)")</f>
        <v>omládnout (v-whsa_579hsa_580)</v>
      </c>
    </row>
    <row r="23744" customFormat="false" ht="12.8" hidden="false" customHeight="false" outlineLevel="0" collapsed="false">
      <c r="B23744" s="0" t="s">
        <v>1</v>
      </c>
    </row>
    <row r="23746" customFormat="false" ht="12.8" hidden="false" customHeight="false" outlineLevel="0" collapsed="false">
      <c r="A23746" s="0" t="s">
        <v>9722</v>
      </c>
      <c r="B23746" s="0" t="str">
        <f aca="false">HYPERLINK("https://lindat.mff.cuni.cz/services/teitok/pdtc10/index.php?action=vallex&amp;frame=v-w3086f2", "omlátit (v-w3086f2)")</f>
        <v>omlátit (v-w3086f2)</v>
      </c>
    </row>
    <row r="23747" customFormat="false" ht="12.8" hidden="false" customHeight="false" outlineLevel="0" collapsed="false">
      <c r="B23747" s="0" t="s">
        <v>1</v>
      </c>
    </row>
    <row r="23748" customFormat="false" ht="12.8" hidden="false" customHeight="false" outlineLevel="0" collapsed="false">
      <c r="B23748" s="0" t="s">
        <v>8</v>
      </c>
    </row>
    <row r="23750" customFormat="false" ht="12.8" hidden="false" customHeight="false" outlineLevel="0" collapsed="false">
      <c r="A23750" s="0" t="s">
        <v>9723</v>
      </c>
      <c r="B23750" s="0" t="str">
        <f aca="false">HYPERLINK("https://lindat.mff.cuni.cz/services/teitok/pdtc10/index.php?action=vallex&amp;frame=v-w3086f1", "omlátit (v-w3086f1)")</f>
        <v>omlátit (v-w3086f1)</v>
      </c>
    </row>
    <row r="23751" customFormat="false" ht="12.8" hidden="false" customHeight="false" outlineLevel="0" collapsed="false">
      <c r="B23751" s="0" t="s">
        <v>1</v>
      </c>
    </row>
    <row r="23752" customFormat="false" ht="12.8" hidden="false" customHeight="false" outlineLevel="0" collapsed="false">
      <c r="B23752" s="0" t="s">
        <v>9724</v>
      </c>
    </row>
    <row r="23753" customFormat="false" ht="12.8" hidden="false" customHeight="false" outlineLevel="0" collapsed="false">
      <c r="B23753" s="0" t="s">
        <v>8</v>
      </c>
    </row>
    <row r="23754" customFormat="false" ht="12.8" hidden="false" customHeight="false" outlineLevel="0" collapsed="false">
      <c r="B23754" s="0" t="s">
        <v>52</v>
      </c>
    </row>
    <row r="23756" customFormat="false" ht="12.8" hidden="false" customHeight="false" outlineLevel="0" collapsed="false">
      <c r="A23756" s="0" t="s">
        <v>9725</v>
      </c>
      <c r="B23756" s="0" t="str">
        <f aca="false">HYPERLINK("https://lindat.mff.cuni.cz/services/teitok/pdtc10/index.php?action=vallex&amp;frame=v-w12128_ZUf1_ZU", "omrzet (v-w12128_ZUf1_ZU)")</f>
        <v>omrzet (v-w12128_ZUf1_ZU)</v>
      </c>
    </row>
    <row r="23757" customFormat="false" ht="12.8" hidden="false" customHeight="false" outlineLevel="0" collapsed="false">
      <c r="B23757" s="0" t="s">
        <v>264</v>
      </c>
    </row>
    <row r="23758" customFormat="false" ht="12.8" hidden="false" customHeight="false" outlineLevel="0" collapsed="false">
      <c r="B23758" s="0" t="s">
        <v>4945</v>
      </c>
    </row>
    <row r="23760" customFormat="false" ht="12.8" hidden="false" customHeight="false" outlineLevel="0" collapsed="false">
      <c r="A23760" s="0" t="s">
        <v>9726</v>
      </c>
      <c r="B23760" s="0" t="str">
        <f aca="false">HYPERLINK("https://lindat.mff.cuni.cz/services/teitok/pdtc10/index.php?action=vallex&amp;frame=v-w3091f1", "omráčit (v-w3091f1)")</f>
        <v>omráčit (v-w3091f1)</v>
      </c>
      <c r="E23760" s="0" t="str">
        <f aca="false">HYPERLINK("https://lindat.mff.cuni.cz/services/SynSemClass40/SynSemClass40.html?veclass=vec01505#vec01505-ces-cm00003", "vec01505")</f>
        <v>vec01505</v>
      </c>
      <c r="F23760" s="0" t="s">
        <v>5388</v>
      </c>
    </row>
    <row r="23761" customFormat="false" ht="12.8" hidden="false" customHeight="false" outlineLevel="0" collapsed="false">
      <c r="B23761" s="0" t="s">
        <v>1</v>
      </c>
      <c r="C23761" s="0" t="s">
        <v>1752</v>
      </c>
      <c r="E23761" s="0" t="s">
        <v>196</v>
      </c>
      <c r="F23761" s="0" t="s">
        <v>5390</v>
      </c>
    </row>
    <row r="23762" customFormat="false" ht="12.8" hidden="false" customHeight="false" outlineLevel="0" collapsed="false">
      <c r="B23762" s="0" t="s">
        <v>8</v>
      </c>
      <c r="C23762" s="0" t="s">
        <v>639</v>
      </c>
      <c r="E23762" s="0" t="s">
        <v>199</v>
      </c>
      <c r="F23762" s="0" t="s">
        <v>5394</v>
      </c>
    </row>
    <row r="23764" customFormat="false" ht="12.8" hidden="false" customHeight="false" outlineLevel="0" collapsed="false">
      <c r="A23764" s="0" t="s">
        <v>9727</v>
      </c>
      <c r="B23764" s="0" t="str">
        <f aca="false">HYPERLINK("https://lindat.mff.cuni.cz/services/teitok/pdtc10/index.php?action=vallex&amp;frame=v-w3091f2", "omráčit (v-w3091f2)")</f>
        <v>omráčit (v-w3091f2)</v>
      </c>
      <c r="E23764" s="0" t="str">
        <f aca="false">HYPERLINK("https://lindat.mff.cuni.cz/services/SynSemClass40/SynSemClass40.html?veclass=vec01506#vec01506-ces-cm00006", "vec01506")</f>
        <v>vec01506</v>
      </c>
      <c r="F23764" s="0" t="s">
        <v>5550</v>
      </c>
    </row>
    <row r="23765" customFormat="false" ht="12.8" hidden="false" customHeight="false" outlineLevel="0" collapsed="false">
      <c r="B23765" s="0" t="s">
        <v>1</v>
      </c>
      <c r="C23765" s="0" t="s">
        <v>5551</v>
      </c>
      <c r="E23765" s="0" t="s">
        <v>266</v>
      </c>
      <c r="F23765" s="0" t="s">
        <v>5552</v>
      </c>
    </row>
    <row r="23766" customFormat="false" ht="12.8" hidden="false" customHeight="false" outlineLevel="0" collapsed="false">
      <c r="B23766" s="0" t="s">
        <v>8</v>
      </c>
      <c r="C23766" s="0" t="s">
        <v>5553</v>
      </c>
      <c r="E23766" s="0" t="s">
        <v>271</v>
      </c>
      <c r="F23766" s="0" t="s">
        <v>5554</v>
      </c>
    </row>
    <row r="23768" customFormat="false" ht="12.8" hidden="false" customHeight="false" outlineLevel="0" collapsed="false">
      <c r="A23768" s="0" t="s">
        <v>9728</v>
      </c>
      <c r="B23768" s="0" t="str">
        <f aca="false">HYPERLINK("https://lindat.mff.cuni.cz/services/teitok/pdtc10/index.php?action=vallex&amp;frame=v-w10806f2", "omílat (v-w10806f2)")</f>
        <v>omílat (v-w10806f2)</v>
      </c>
      <c r="E23768" s="0" t="str">
        <f aca="false">HYPERLINK("https://lindat.mff.cuni.cz/services/SynSemClass40/SynSemClass40.html?veclass=vec00458#vec00458-ces-cm00017", "vec00458")</f>
        <v>vec00458</v>
      </c>
      <c r="F23768" s="0" t="s">
        <v>9729</v>
      </c>
    </row>
    <row r="23769" customFormat="false" ht="12.8" hidden="false" customHeight="false" outlineLevel="0" collapsed="false">
      <c r="B23769" s="0" t="s">
        <v>1</v>
      </c>
      <c r="C23769" s="0" t="s">
        <v>9730</v>
      </c>
      <c r="E23769" s="0" t="s">
        <v>147</v>
      </c>
      <c r="F23769" s="0" t="s">
        <v>9731</v>
      </c>
    </row>
    <row r="23770" customFormat="false" ht="12.8" hidden="false" customHeight="false" outlineLevel="0" collapsed="false">
      <c r="B23770" s="0" t="s">
        <v>9732</v>
      </c>
      <c r="C23770" s="0" t="s">
        <v>8691</v>
      </c>
      <c r="E23770" s="0" t="s">
        <v>9733</v>
      </c>
      <c r="F23770" s="0" t="s">
        <v>9734</v>
      </c>
    </row>
    <row r="23771" customFormat="false" ht="12.8" hidden="false" customHeight="false" outlineLevel="0" collapsed="false">
      <c r="B23771" s="0" t="s">
        <v>132</v>
      </c>
      <c r="E23771" s="0" t="s">
        <v>221</v>
      </c>
      <c r="F23771" s="0" t="s">
        <v>4699</v>
      </c>
    </row>
    <row r="23772" customFormat="false" ht="12.8" hidden="false" customHeight="false" outlineLevel="0" collapsed="false">
      <c r="B23772" s="0" t="s">
        <v>9735</v>
      </c>
      <c r="E23772" s="0" t="s">
        <v>2176</v>
      </c>
      <c r="F23772" s="0" t="s">
        <v>2807</v>
      </c>
    </row>
    <row r="23774" customFormat="false" ht="12.8" hidden="false" customHeight="false" outlineLevel="0" collapsed="false">
      <c r="A23774" s="0" t="s">
        <v>9736</v>
      </c>
      <c r="B23774" s="0" t="str">
        <f aca="false">HYPERLINK("https://lindat.mff.cuni.cz/services/teitok/pdtc10/index.php?action=vallex&amp;frame=v-w11539_ZUf1_ZU", "omítnout (v-w11539_ZUf1_ZU)")</f>
        <v>omítnout (v-w11539_ZUf1_ZU)</v>
      </c>
      <c r="E23774" s="0" t="str">
        <f aca="false">HYPERLINK("https://lindat.mff.cuni.cz/services/SynSemClass40/SynSemClass40.html?veclass=vec00462#vec00462-ces-cm00021", "vec00462")</f>
        <v>vec00462</v>
      </c>
      <c r="F23774" s="0" t="s">
        <v>9737</v>
      </c>
    </row>
    <row r="23775" customFormat="false" ht="12.8" hidden="false" customHeight="false" outlineLevel="0" collapsed="false">
      <c r="B23775" s="0" t="s">
        <v>1</v>
      </c>
      <c r="C23775" s="0" t="s">
        <v>106</v>
      </c>
      <c r="E23775" s="0" t="s">
        <v>9738</v>
      </c>
      <c r="F23775" s="0" t="s">
        <v>9739</v>
      </c>
    </row>
    <row r="23776" customFormat="false" ht="12.8" hidden="false" customHeight="false" outlineLevel="0" collapsed="false">
      <c r="B23776" s="0" t="s">
        <v>8</v>
      </c>
      <c r="C23776" s="0" t="s">
        <v>4627</v>
      </c>
      <c r="E23776" s="0" t="s">
        <v>1569</v>
      </c>
      <c r="F23776" s="0" t="s">
        <v>9740</v>
      </c>
    </row>
    <row r="23778" customFormat="false" ht="12.8" hidden="false" customHeight="false" outlineLevel="0" collapsed="false">
      <c r="A23778" s="0" t="s">
        <v>9741</v>
      </c>
      <c r="B23778" s="0" t="str">
        <f aca="false">HYPERLINK("https://lindat.mff.cuni.cz/services/teitok/pdtc10/index.php?action=vallex&amp;frame=v-w3093f1", "omývat (v-w3093f1)")</f>
        <v>omývat (v-w3093f1)</v>
      </c>
      <c r="E23778" s="0" t="str">
        <f aca="false">HYPERLINK("https://lindat.mff.cuni.cz/services/SynSemClass40/SynSemClass40.html?veclass=vec01525#vec01525-ces-cm00009", "vec01525")</f>
        <v>vec01525</v>
      </c>
      <c r="F23778" s="0" t="s">
        <v>5689</v>
      </c>
    </row>
    <row r="23779" customFormat="false" ht="12.8" hidden="false" customHeight="false" outlineLevel="0" collapsed="false">
      <c r="B23779" s="0" t="s">
        <v>1</v>
      </c>
      <c r="C23779" s="0" t="s">
        <v>4114</v>
      </c>
      <c r="E23779" s="0" t="s">
        <v>5690</v>
      </c>
      <c r="F23779" s="0" t="s">
        <v>5691</v>
      </c>
    </row>
    <row r="23780" customFormat="false" ht="12.8" hidden="false" customHeight="false" outlineLevel="0" collapsed="false">
      <c r="B23780" s="0" t="s">
        <v>8</v>
      </c>
      <c r="C23780" s="0" t="s">
        <v>5692</v>
      </c>
      <c r="E23780" s="0" t="s">
        <v>5693</v>
      </c>
      <c r="F23780" s="0" t="s">
        <v>5694</v>
      </c>
    </row>
    <row r="23782" customFormat="false" ht="12.8" hidden="false" customHeight="false" outlineLevel="0" collapsed="false">
      <c r="A23782" s="0" t="s">
        <v>9742</v>
      </c>
      <c r="B23782" s="0" t="str">
        <f aca="false">HYPERLINK("https://lindat.mff.cuni.cz/services/teitok/pdtc10/index.php?action=vallex&amp;frame=v-w3095f1", "onemocnět (v-w3095f1)")</f>
        <v>onemocnět (v-w3095f1)</v>
      </c>
    </row>
    <row r="23783" customFormat="false" ht="12.8" hidden="false" customHeight="false" outlineLevel="0" collapsed="false">
      <c r="B23783" s="0" t="s">
        <v>1</v>
      </c>
    </row>
    <row r="23784" customFormat="false" ht="12.8" hidden="false" customHeight="false" outlineLevel="0" collapsed="false">
      <c r="B23784" s="0" t="s">
        <v>4287</v>
      </c>
    </row>
    <row r="23786" customFormat="false" ht="12.8" hidden="false" customHeight="false" outlineLevel="0" collapsed="false">
      <c r="A23786" s="0" t="s">
        <v>9743</v>
      </c>
      <c r="B23786" s="0" t="str">
        <f aca="false">HYPERLINK("https://lindat.mff.cuni.cz/services/teitok/pdtc10/index.php?action=vallex&amp;frame=v-w12159_ZUf1_ZU", "onosit (v-w12159_ZUf1_ZU)")</f>
        <v>onosit (v-w12159_ZUf1_ZU)</v>
      </c>
    </row>
    <row r="23787" customFormat="false" ht="12.8" hidden="false" customHeight="false" outlineLevel="0" collapsed="false">
      <c r="B23787" s="0" t="s">
        <v>1</v>
      </c>
    </row>
    <row r="23788" customFormat="false" ht="12.8" hidden="false" customHeight="false" outlineLevel="0" collapsed="false">
      <c r="B23788" s="0" t="s">
        <v>8</v>
      </c>
    </row>
    <row r="23790" customFormat="false" ht="12.8" hidden="false" customHeight="false" outlineLevel="0" collapsed="false">
      <c r="A23790" s="0" t="s">
        <v>9744</v>
      </c>
      <c r="B23790" s="0" t="str">
        <f aca="false">HYPERLINK("https://lindat.mff.cuni.cz/services/teitok/pdtc10/index.php?action=vallex&amp;frame=v-w10092f2", "opadat (v-w10092f2)")</f>
        <v>opadat (v-w10092f2)</v>
      </c>
      <c r="E23790" s="0" t="str">
        <f aca="false">HYPERLINK("https://lindat.mff.cuni.cz/services/SynSemClass40/SynSemClass40.html?veclass=vec00467#vec00467-ces-cm00007", "vec00467")</f>
        <v>vec00467</v>
      </c>
      <c r="F23790" s="0" t="s">
        <v>2536</v>
      </c>
    </row>
    <row r="23791" customFormat="false" ht="12.8" hidden="false" customHeight="false" outlineLevel="0" collapsed="false">
      <c r="B23791" s="0" t="s">
        <v>1</v>
      </c>
      <c r="C23791" s="0" t="s">
        <v>2537</v>
      </c>
      <c r="E23791" s="0" t="s">
        <v>2538</v>
      </c>
      <c r="F23791" s="0" t="s">
        <v>2539</v>
      </c>
    </row>
    <row r="23793" customFormat="false" ht="12.8" hidden="false" customHeight="false" outlineLevel="0" collapsed="false">
      <c r="A23793" s="0" t="s">
        <v>9745</v>
      </c>
      <c r="B23793" s="0" t="str">
        <f aca="false">HYPERLINK("https://lindat.mff.cuni.cz/services/teitok/pdtc10/index.php?action=vallex&amp;frame=v-w10092f3_ZU", "opadat (v-w10092f3_ZU)")</f>
        <v>opadat (v-w10092f3_ZU)</v>
      </c>
      <c r="E23793" s="0" t="str">
        <f aca="false">HYPERLINK("https://lindat.mff.cuni.cz/services/SynSemClass40/SynSemClass40.html?veclass=vec00113#vec00113-ces-cm00275", "vec00113")</f>
        <v>vec00113</v>
      </c>
      <c r="F23793" s="0" t="s">
        <v>2122</v>
      </c>
    </row>
    <row r="23794" customFormat="false" ht="12.8" hidden="false" customHeight="false" outlineLevel="0" collapsed="false">
      <c r="B23794" s="0" t="s">
        <v>1</v>
      </c>
      <c r="C23794" s="0" t="s">
        <v>4146</v>
      </c>
      <c r="E23794" s="0" t="s">
        <v>1084</v>
      </c>
      <c r="F23794" s="0" t="s">
        <v>2124</v>
      </c>
    </row>
    <row r="23796" customFormat="false" ht="12.8" hidden="false" customHeight="false" outlineLevel="0" collapsed="false">
      <c r="A23796" s="0" t="s">
        <v>9746</v>
      </c>
      <c r="B23796" s="0" t="str">
        <f aca="false">HYPERLINK("https://lindat.mff.cuni.cz/services/teitok/pdtc10/index.php?action=vallex&amp;frame=v-w3096f1", "opadnout (v-w3096f1)")</f>
        <v>opadnout (v-w3096f1)</v>
      </c>
      <c r="E23796" s="0" t="str">
        <f aca="false">HYPERLINK("https://lindat.mff.cuni.cz/services/SynSemClass40/SynSemClass40.html?veclass=vec00793#vec00793-ces-cm00005", "vec00793")</f>
        <v>vec00793</v>
      </c>
      <c r="F23796" s="0" t="s">
        <v>8661</v>
      </c>
    </row>
    <row r="23797" customFormat="false" ht="12.8" hidden="false" customHeight="false" outlineLevel="0" collapsed="false">
      <c r="B23797" s="0" t="s">
        <v>1</v>
      </c>
      <c r="C23797" s="0" t="s">
        <v>8662</v>
      </c>
      <c r="E23797" s="0" t="s">
        <v>8663</v>
      </c>
      <c r="F23797" s="0" t="s">
        <v>8664</v>
      </c>
    </row>
    <row r="23799" customFormat="false" ht="12.8" hidden="false" customHeight="false" outlineLevel="0" collapsed="false">
      <c r="A23799" s="0" t="s">
        <v>9747</v>
      </c>
      <c r="B23799" s="0" t="str">
        <f aca="false">HYPERLINK("https://lindat.mff.cuni.cz/services/teitok/pdtc10/index.php?action=vallex&amp;frame=v-w3096f2_MM", "opadnout (v-w3096f2_MM)")</f>
        <v>opadnout (v-w3096f2_MM)</v>
      </c>
    </row>
    <row r="23800" customFormat="false" ht="12.8" hidden="false" customHeight="false" outlineLevel="0" collapsed="false">
      <c r="B23800" s="0" t="s">
        <v>1</v>
      </c>
    </row>
    <row r="23802" customFormat="false" ht="12.8" hidden="false" customHeight="false" outlineLevel="0" collapsed="false">
      <c r="A23802" s="0" t="s">
        <v>9748</v>
      </c>
      <c r="B23802" s="0" t="str">
        <f aca="false">HYPERLINK("https://lindat.mff.cuni.cz/services/teitok/pdtc10/index.php?action=vallex&amp;frame=v-whsa_694hsa_695", "opadávat (v-whsa_694hsa_695)")</f>
        <v>opadávat (v-whsa_694hsa_695)</v>
      </c>
      <c r="E23802" s="0" t="str">
        <f aca="false">HYPERLINK("https://lindat.mff.cuni.cz/services/SynSemClass40/SynSemClass40.html?veclass=vec00113#vec00113-ces-cm00330", "vec00113")</f>
        <v>vec00113</v>
      </c>
      <c r="F23802" s="0" t="s">
        <v>2122</v>
      </c>
    </row>
    <row r="23803" customFormat="false" ht="12.8" hidden="false" customHeight="false" outlineLevel="0" collapsed="false">
      <c r="B23803" s="0" t="s">
        <v>1</v>
      </c>
      <c r="C23803" s="0" t="s">
        <v>4146</v>
      </c>
      <c r="E23803" s="0" t="s">
        <v>1084</v>
      </c>
      <c r="F23803" s="0" t="s">
        <v>2124</v>
      </c>
    </row>
    <row r="23805" customFormat="false" ht="12.8" hidden="false" customHeight="false" outlineLevel="0" collapsed="false">
      <c r="A23805" s="0" t="s">
        <v>9749</v>
      </c>
      <c r="B23805" s="0" t="str">
        <f aca="false">HYPERLINK("https://lindat.mff.cuni.cz/services/teitok/pdtc10/index.php?action=vallex&amp;frame=v-whsa_694f1_ZU", "opadávat (v-whsa_694f1_ZU)")</f>
        <v>opadávat (v-whsa_694f1_ZU)</v>
      </c>
    </row>
    <row r="23806" customFormat="false" ht="12.8" hidden="false" customHeight="false" outlineLevel="0" collapsed="false">
      <c r="B23806" s="0" t="s">
        <v>1</v>
      </c>
    </row>
    <row r="23808" customFormat="false" ht="12.8" hidden="false" customHeight="false" outlineLevel="0" collapsed="false">
      <c r="A23808" s="0" t="s">
        <v>9750</v>
      </c>
      <c r="B23808" s="0" t="str">
        <f aca="false">HYPERLINK("https://lindat.mff.cuni.cz/services/teitok/pdtc10/index.php?action=vallex&amp;frame=v-w3099f1", "opakovat (v-w3099f1)")</f>
        <v>opakovat (v-w3099f1)</v>
      </c>
      <c r="E23808" s="0" t="str">
        <f aca="false">HYPERLINK("https://lindat.mff.cuni.cz/services/SynSemClass40/SynSemClass40.html?veclass=vec00458#vec00458-ces-cm00001", "vec00458")</f>
        <v>vec00458</v>
      </c>
      <c r="F23808" s="0" t="s">
        <v>9729</v>
      </c>
    </row>
    <row r="23809" customFormat="false" ht="12.8" hidden="false" customHeight="false" outlineLevel="0" collapsed="false">
      <c r="B23809" s="0" t="s">
        <v>1</v>
      </c>
      <c r="C23809" s="0" t="s">
        <v>9730</v>
      </c>
      <c r="E23809" s="0" t="s">
        <v>147</v>
      </c>
      <c r="F23809" s="0" t="s">
        <v>9731</v>
      </c>
    </row>
    <row r="23810" customFormat="false" ht="12.8" hidden="false" customHeight="false" outlineLevel="0" collapsed="false">
      <c r="B23810" s="0" t="s">
        <v>9732</v>
      </c>
      <c r="C23810" s="0" t="s">
        <v>8691</v>
      </c>
      <c r="E23810" s="0" t="s">
        <v>9733</v>
      </c>
      <c r="F23810" s="0" t="s">
        <v>9734</v>
      </c>
    </row>
    <row r="23811" customFormat="false" ht="12.8" hidden="false" customHeight="false" outlineLevel="0" collapsed="false">
      <c r="B23811" s="0" t="s">
        <v>132</v>
      </c>
      <c r="E23811" s="0" t="s">
        <v>221</v>
      </c>
      <c r="F23811" s="0" t="s">
        <v>4699</v>
      </c>
    </row>
    <row r="23812" customFormat="false" ht="12.8" hidden="false" customHeight="false" outlineLevel="0" collapsed="false">
      <c r="B23812" s="0" t="s">
        <v>9735</v>
      </c>
      <c r="E23812" s="0" t="s">
        <v>2176</v>
      </c>
      <c r="F23812" s="0" t="s">
        <v>2807</v>
      </c>
    </row>
    <row r="23814" customFormat="false" ht="12.8" hidden="false" customHeight="false" outlineLevel="0" collapsed="false">
      <c r="A23814" s="0" t="s">
        <v>9751</v>
      </c>
      <c r="B23814" s="0" t="str">
        <f aca="false">HYPERLINK("https://lindat.mff.cuni.cz/services/teitok/pdtc10/index.php?action=vallex&amp;frame=v-w3099f2", "opakovat (v-w3099f2)")</f>
        <v>opakovat (v-w3099f2)</v>
      </c>
    </row>
    <row r="23815" customFormat="false" ht="12.8" hidden="false" customHeight="false" outlineLevel="0" collapsed="false">
      <c r="B23815" s="0" t="s">
        <v>1</v>
      </c>
    </row>
    <row r="23816" customFormat="false" ht="12.8" hidden="false" customHeight="false" outlineLevel="0" collapsed="false">
      <c r="B23816" s="0" t="s">
        <v>9752</v>
      </c>
    </row>
    <row r="23817" customFormat="false" ht="12.8" hidden="false" customHeight="false" outlineLevel="0" collapsed="false">
      <c r="B23817" s="0" t="s">
        <v>3205</v>
      </c>
    </row>
    <row r="23819" customFormat="false" ht="12.8" hidden="false" customHeight="false" outlineLevel="0" collapsed="false">
      <c r="A23819" s="0" t="s">
        <v>9753</v>
      </c>
      <c r="B23819" s="0" t="str">
        <f aca="false">HYPERLINK("https://lindat.mff.cuni.cz/services/teitok/pdtc10/index.php?action=vallex&amp;frame=v-w3099f3", "opakovat (v-w3099f3)")</f>
        <v>opakovat (v-w3099f3)</v>
      </c>
    </row>
    <row r="23820" customFormat="false" ht="12.8" hidden="false" customHeight="false" outlineLevel="0" collapsed="false">
      <c r="B23820" s="0" t="s">
        <v>1</v>
      </c>
    </row>
    <row r="23821" customFormat="false" ht="12.8" hidden="false" customHeight="false" outlineLevel="0" collapsed="false">
      <c r="B23821" s="0" t="s">
        <v>6412</v>
      </c>
    </row>
    <row r="23822" customFormat="false" ht="12.8" hidden="false" customHeight="false" outlineLevel="0" collapsed="false">
      <c r="B23822" s="0" t="s">
        <v>496</v>
      </c>
    </row>
    <row r="23823" customFormat="false" ht="12.8" hidden="false" customHeight="false" outlineLevel="0" collapsed="false">
      <c r="B23823" s="0" t="s">
        <v>132</v>
      </c>
    </row>
    <row r="23825" customFormat="false" ht="12.8" hidden="false" customHeight="false" outlineLevel="0" collapsed="false">
      <c r="A23825" s="0" t="s">
        <v>9754</v>
      </c>
      <c r="B23825" s="0" t="str">
        <f aca="false">HYPERLINK("https://lindat.mff.cuni.cz/services/teitok/pdtc10/index.php?action=vallex&amp;frame=v-w3100f1", "opakovat se (v-w3100f1)")</f>
        <v>opakovat se (v-w3100f1)</v>
      </c>
      <c r="E23825" s="0" t="str">
        <f aca="false">HYPERLINK("https://lindat.mff.cuni.cz/services/SynSemClass40/SynSemClass40.html?veclass=vec00459#vec00459-ces-cm00001", "vec00459")</f>
        <v>vec00459</v>
      </c>
      <c r="F23825" s="0" t="s">
        <v>9755</v>
      </c>
    </row>
    <row r="23826" customFormat="false" ht="12.8" hidden="false" customHeight="false" outlineLevel="0" collapsed="false">
      <c r="B23826" s="0" t="s">
        <v>1</v>
      </c>
      <c r="E23826" s="0" t="s">
        <v>375</v>
      </c>
      <c r="F23826" s="0" t="s">
        <v>9756</v>
      </c>
    </row>
    <row r="23828" customFormat="false" ht="12.8" hidden="false" customHeight="false" outlineLevel="0" collapsed="false">
      <c r="A23828" s="0" t="s">
        <v>9757</v>
      </c>
      <c r="B23828" s="0" t="str">
        <f aca="false">HYPERLINK("https://lindat.mff.cuni.cz/services/teitok/pdtc10/index.php?action=vallex&amp;frame=v-w3100f2", "opakovat se (v-w3100f2)")</f>
        <v>opakovat se (v-w3100f2)</v>
      </c>
    </row>
    <row r="23829" customFormat="false" ht="12.8" hidden="false" customHeight="false" outlineLevel="0" collapsed="false">
      <c r="B23829" s="0" t="s">
        <v>1</v>
      </c>
    </row>
    <row r="23831" customFormat="false" ht="12.8" hidden="false" customHeight="false" outlineLevel="0" collapsed="false">
      <c r="A23831" s="0" t="s">
        <v>9758</v>
      </c>
      <c r="B23831" s="0" t="str">
        <f aca="false">HYPERLINK("https://lindat.mff.cuni.cz/services/teitok/pdtc10/index.php?action=vallex&amp;frame=v-w3101f1", "opakovat si (v-w3101f1)")</f>
        <v>opakovat si (v-w3101f1)</v>
      </c>
    </row>
    <row r="23832" customFormat="false" ht="12.8" hidden="false" customHeight="false" outlineLevel="0" collapsed="false">
      <c r="B23832" s="0" t="s">
        <v>1</v>
      </c>
    </row>
    <row r="23833" customFormat="false" ht="12.8" hidden="false" customHeight="false" outlineLevel="0" collapsed="false">
      <c r="B23833" s="0" t="s">
        <v>8</v>
      </c>
    </row>
    <row r="23835" customFormat="false" ht="12.8" hidden="false" customHeight="false" outlineLevel="0" collapsed="false">
      <c r="A23835" s="0" t="s">
        <v>9759</v>
      </c>
      <c r="B23835" s="0" t="str">
        <f aca="false">HYPERLINK("https://lindat.mff.cuni.cz/services/teitok/pdtc10/index.php?action=vallex&amp;frame=v-w11540_ZUf1_ZU", "opalovat (v-w11540_ZUf1_ZU)")</f>
        <v>opalovat (v-w11540_ZUf1_ZU)</v>
      </c>
    </row>
    <row r="23836" customFormat="false" ht="12.8" hidden="false" customHeight="false" outlineLevel="0" collapsed="false">
      <c r="B23836" s="0" t="s">
        <v>1</v>
      </c>
    </row>
    <row r="23837" customFormat="false" ht="12.8" hidden="false" customHeight="false" outlineLevel="0" collapsed="false">
      <c r="B23837" s="0" t="s">
        <v>8</v>
      </c>
    </row>
    <row r="23839" customFormat="false" ht="12.8" hidden="false" customHeight="false" outlineLevel="0" collapsed="false">
      <c r="A23839" s="0" t="s">
        <v>9760</v>
      </c>
      <c r="B23839" s="0" t="str">
        <f aca="false">HYPERLINK("https://lindat.mff.cuni.cz/services/teitok/pdtc10/index.php?action=vallex&amp;frame=v-w3103f1", "opalovat se (v-w3103f1)")</f>
        <v>opalovat se (v-w3103f1)</v>
      </c>
    </row>
    <row r="23840" customFormat="false" ht="12.8" hidden="false" customHeight="false" outlineLevel="0" collapsed="false">
      <c r="B23840" s="0" t="s">
        <v>1</v>
      </c>
    </row>
    <row r="23842" customFormat="false" ht="12.8" hidden="false" customHeight="false" outlineLevel="0" collapsed="false">
      <c r="A23842" s="0" t="s">
        <v>9761</v>
      </c>
      <c r="B23842" s="0" t="str">
        <f aca="false">HYPERLINK("https://lindat.mff.cuni.cz/services/teitok/pdtc10/index.php?action=vallex&amp;frame=v-w3109f1", "opatrovat (v-w3109f1)")</f>
        <v>opatrovat (v-w3109f1)</v>
      </c>
    </row>
    <row r="23843" customFormat="false" ht="12.8" hidden="false" customHeight="false" outlineLevel="0" collapsed="false">
      <c r="B23843" s="0" t="s">
        <v>1</v>
      </c>
    </row>
    <row r="23844" customFormat="false" ht="12.8" hidden="false" customHeight="false" outlineLevel="0" collapsed="false">
      <c r="B23844" s="0" t="s">
        <v>8</v>
      </c>
    </row>
    <row r="23845" customFormat="false" ht="12.8" hidden="false" customHeight="false" outlineLevel="0" collapsed="false">
      <c r="B23845" s="0" t="s">
        <v>574</v>
      </c>
    </row>
    <row r="23847" customFormat="false" ht="12.8" hidden="false" customHeight="false" outlineLevel="0" collapsed="false">
      <c r="A23847" s="0" t="s">
        <v>9762</v>
      </c>
      <c r="B23847" s="0" t="str">
        <f aca="false">HYPERLINK("https://lindat.mff.cuni.cz/services/teitok/pdtc10/index.php?action=vallex&amp;frame=v-w3109hsa_682", "opatrovat (v-w3109hsa_682)")</f>
        <v>opatrovat (v-w3109hsa_682)</v>
      </c>
    </row>
    <row r="23848" customFormat="false" ht="12.8" hidden="false" customHeight="false" outlineLevel="0" collapsed="false">
      <c r="B23848" s="0" t="s">
        <v>1</v>
      </c>
    </row>
    <row r="23849" customFormat="false" ht="12.8" hidden="false" customHeight="false" outlineLevel="0" collapsed="false">
      <c r="B23849" s="0" t="s">
        <v>8</v>
      </c>
    </row>
    <row r="23851" customFormat="false" ht="12.8" hidden="false" customHeight="false" outlineLevel="0" collapsed="false">
      <c r="A23851" s="0" t="s">
        <v>9763</v>
      </c>
      <c r="B23851" s="0" t="str">
        <f aca="false">HYPERLINK("https://lindat.mff.cuni.cz/services/teitok/pdtc10/index.php?action=vallex&amp;frame=v-w3113f1", "opatřit (v-w3113f1)")</f>
        <v>opatřit (v-w3113f1)</v>
      </c>
      <c r="E23851" s="0" t="str">
        <f aca="false">HYPERLINK("https://lindat.mff.cuni.cz/services/SynSemClass40/SynSemClass40.html?veclass=vec00752#vec00752-ces-cm00087", "vec00752")</f>
        <v>vec00752</v>
      </c>
      <c r="F23851" s="0" t="s">
        <v>9764</v>
      </c>
    </row>
    <row r="23852" customFormat="false" ht="12.8" hidden="false" customHeight="false" outlineLevel="0" collapsed="false">
      <c r="B23852" s="0" t="s">
        <v>1</v>
      </c>
      <c r="C23852" s="0" t="s">
        <v>9765</v>
      </c>
      <c r="E23852" s="0" t="s">
        <v>9766</v>
      </c>
      <c r="F23852" s="0" t="s">
        <v>9767</v>
      </c>
    </row>
    <row r="23853" customFormat="false" ht="12.8" hidden="false" customHeight="false" outlineLevel="0" collapsed="false">
      <c r="B23853" s="0" t="s">
        <v>8</v>
      </c>
      <c r="C23853" s="0" t="s">
        <v>9768</v>
      </c>
      <c r="E23853" s="0" t="s">
        <v>2588</v>
      </c>
      <c r="F23853" s="0" t="s">
        <v>9769</v>
      </c>
    </row>
    <row r="23854" customFormat="false" ht="12.8" hidden="false" customHeight="false" outlineLevel="0" collapsed="false">
      <c r="B23854" s="0" t="s">
        <v>1696</v>
      </c>
      <c r="C23854" s="0" t="s">
        <v>9770</v>
      </c>
      <c r="E23854" s="0" t="s">
        <v>9771</v>
      </c>
      <c r="F23854" s="0" t="s">
        <v>9772</v>
      </c>
    </row>
    <row r="23856" customFormat="false" ht="12.8" hidden="false" customHeight="false" outlineLevel="0" collapsed="false">
      <c r="A23856" s="0" t="s">
        <v>9773</v>
      </c>
      <c r="B23856" s="0" t="str">
        <f aca="false">HYPERLINK("https://lindat.mff.cuni.cz/services/teitok/pdtc10/index.php?action=vallex&amp;frame=v-w3113f3_ZU", "opatřit (v-w3113f3_ZU)")</f>
        <v>opatřit (v-w3113f3_ZU)</v>
      </c>
    </row>
    <row r="23857" customFormat="false" ht="12.8" hidden="false" customHeight="false" outlineLevel="0" collapsed="false">
      <c r="B23857" s="0" t="s">
        <v>1</v>
      </c>
    </row>
    <row r="23858" customFormat="false" ht="12.8" hidden="false" customHeight="false" outlineLevel="0" collapsed="false">
      <c r="B23858" s="0" t="s">
        <v>8</v>
      </c>
    </row>
    <row r="23859" customFormat="false" ht="12.8" hidden="false" customHeight="false" outlineLevel="0" collapsed="false">
      <c r="B23859" s="0" t="s">
        <v>602</v>
      </c>
    </row>
    <row r="23861" customFormat="false" ht="12.8" hidden="false" customHeight="false" outlineLevel="0" collapsed="false">
      <c r="A23861" s="0" t="s">
        <v>9773</v>
      </c>
      <c r="B23861" s="0" t="str">
        <f aca="false">HYPERLINK("https://lindat.mff.cuni.cz/services/teitok/pdtc10/index.php?action=vallex&amp;frame=v-w3113f2", "opatřit (v-w3113f2) - substituted with v-w3113f3_ZU")</f>
        <v>opatřit (v-w3113f2) - substituted with v-w3113f3_ZU</v>
      </c>
      <c r="E23861" s="0" t="str">
        <f aca="false">HYPERLINK("https://lindat.mff.cuni.cz/services/SynSemClass40/SynSemClass40.html?veclass=vec00178#vec00178-ces-cm00132", "vec00178")</f>
        <v>vec00178</v>
      </c>
      <c r="F23861" s="0" t="s">
        <v>8586</v>
      </c>
    </row>
    <row r="23862" customFormat="false" ht="12.8" hidden="false" customHeight="false" outlineLevel="0" collapsed="false">
      <c r="B23862" s="0" t="s">
        <v>1</v>
      </c>
      <c r="C23862" s="0" t="s">
        <v>5649</v>
      </c>
      <c r="E23862" s="0" t="s">
        <v>31</v>
      </c>
      <c r="F23862" s="0" t="s">
        <v>8587</v>
      </c>
    </row>
    <row r="23863" customFormat="false" ht="12.8" hidden="false" customHeight="false" outlineLevel="0" collapsed="false">
      <c r="B23863" s="0" t="s">
        <v>8</v>
      </c>
      <c r="C23863" s="0" t="s">
        <v>8588</v>
      </c>
      <c r="E23863" s="0" t="s">
        <v>34</v>
      </c>
      <c r="F23863" s="0" t="s">
        <v>8589</v>
      </c>
    </row>
    <row r="23864" customFormat="false" ht="12.8" hidden="false" customHeight="false" outlineLevel="0" collapsed="false">
      <c r="B23864" s="0" t="s">
        <v>602</v>
      </c>
    </row>
    <row r="23866" customFormat="false" ht="12.8" hidden="false" customHeight="false" outlineLevel="0" collapsed="false">
      <c r="A23866" s="0" t="s">
        <v>9774</v>
      </c>
      <c r="B23866" s="0" t="str">
        <f aca="false">HYPERLINK("https://lindat.mff.cuni.cz/services/teitok/pdtc10/index.php?action=vallex&amp;frame=v-w3113hsa_1247", "opatřit (v-w3113hsa_1247)")</f>
        <v>opatřit (v-w3113hsa_1247)</v>
      </c>
    </row>
    <row r="23867" customFormat="false" ht="12.8" hidden="false" customHeight="false" outlineLevel="0" collapsed="false">
      <c r="B23867" s="0" t="s">
        <v>1</v>
      </c>
    </row>
    <row r="23868" customFormat="false" ht="12.8" hidden="false" customHeight="false" outlineLevel="0" collapsed="false">
      <c r="B23868" s="0" t="s">
        <v>8</v>
      </c>
    </row>
    <row r="23870" customFormat="false" ht="12.8" hidden="false" customHeight="false" outlineLevel="0" collapsed="false">
      <c r="A23870" s="0" t="s">
        <v>9775</v>
      </c>
      <c r="B23870" s="0" t="str">
        <f aca="false">HYPERLINK("https://lindat.mff.cuni.cz/services/teitok/pdtc10/index.php?action=vallex&amp;frame=v-whsa_1558hsa_1559", "opatřovat (v-whsa_1558hsa_1559)")</f>
        <v>opatřovat (v-whsa_1558hsa_1559)</v>
      </c>
    </row>
    <row r="23871" customFormat="false" ht="12.8" hidden="false" customHeight="false" outlineLevel="0" collapsed="false">
      <c r="B23871" s="0" t="s">
        <v>1</v>
      </c>
    </row>
    <row r="23872" customFormat="false" ht="12.8" hidden="false" customHeight="false" outlineLevel="0" collapsed="false">
      <c r="B23872" s="0" t="s">
        <v>8</v>
      </c>
    </row>
    <row r="23874" customFormat="false" ht="12.8" hidden="false" customHeight="false" outlineLevel="0" collapsed="false">
      <c r="A23874" s="0" t="s">
        <v>9776</v>
      </c>
      <c r="B23874" s="0" t="str">
        <f aca="false">HYPERLINK("https://lindat.mff.cuni.cz/services/teitok/pdtc10/index.php?action=vallex&amp;frame=v-w3104f2", "opařit (v-w3104f2)")</f>
        <v>opařit (v-w3104f2)</v>
      </c>
    </row>
    <row r="23875" customFormat="false" ht="12.8" hidden="false" customHeight="false" outlineLevel="0" collapsed="false">
      <c r="B23875" s="0" t="s">
        <v>1</v>
      </c>
    </row>
    <row r="23876" customFormat="false" ht="12.8" hidden="false" customHeight="false" outlineLevel="0" collapsed="false">
      <c r="B23876" s="0" t="s">
        <v>8</v>
      </c>
    </row>
    <row r="23878" customFormat="false" ht="12.8" hidden="false" customHeight="false" outlineLevel="0" collapsed="false">
      <c r="A23878" s="0" t="s">
        <v>9777</v>
      </c>
      <c r="B23878" s="0" t="str">
        <f aca="false">HYPERLINK("https://lindat.mff.cuni.cz/services/teitok/pdtc10/index.php?action=vallex&amp;frame=v-w3104f1", "opařit (v-w3104f1)")</f>
        <v>opařit (v-w3104f1)</v>
      </c>
    </row>
    <row r="23879" customFormat="false" ht="12.8" hidden="false" customHeight="false" outlineLevel="0" collapsed="false">
      <c r="B23879" s="0" t="s">
        <v>1</v>
      </c>
    </row>
    <row r="23880" customFormat="false" ht="12.8" hidden="false" customHeight="false" outlineLevel="0" collapsed="false">
      <c r="B23880" s="0" t="s">
        <v>8</v>
      </c>
    </row>
    <row r="23882" customFormat="false" ht="12.8" hidden="false" customHeight="false" outlineLevel="0" collapsed="false">
      <c r="A23882" s="0" t="s">
        <v>9778</v>
      </c>
      <c r="B23882" s="0" t="str">
        <f aca="false">HYPERLINK("https://lindat.mff.cuni.cz/services/teitok/pdtc10/index.php?action=vallex&amp;frame=v-w3105f1", "opařit se (v-w3105f1)")</f>
        <v>opařit se (v-w3105f1)</v>
      </c>
    </row>
    <row r="23883" customFormat="false" ht="12.8" hidden="false" customHeight="false" outlineLevel="0" collapsed="false">
      <c r="B23883" s="0" t="s">
        <v>1</v>
      </c>
    </row>
    <row r="23885" customFormat="false" ht="12.8" hidden="false" customHeight="false" outlineLevel="0" collapsed="false">
      <c r="A23885" s="0" t="s">
        <v>9779</v>
      </c>
      <c r="B23885" s="0" t="str">
        <f aca="false">HYPERLINK("https://lindat.mff.cuni.cz/services/teitok/pdtc10/index.php?action=vallex&amp;frame=v-w11541_ZUf1_ZU", "opepřit (v-w11541_ZUf1_ZU)")</f>
        <v>opepřit (v-w11541_ZUf1_ZU)</v>
      </c>
    </row>
    <row r="23886" customFormat="false" ht="12.8" hidden="false" customHeight="false" outlineLevel="0" collapsed="false">
      <c r="B23886" s="0" t="s">
        <v>1</v>
      </c>
    </row>
    <row r="23887" customFormat="false" ht="12.8" hidden="false" customHeight="false" outlineLevel="0" collapsed="false">
      <c r="B23887" s="0" t="s">
        <v>8</v>
      </c>
    </row>
    <row r="23889" customFormat="false" ht="12.8" hidden="false" customHeight="false" outlineLevel="0" collapsed="false">
      <c r="A23889" s="0" t="s">
        <v>9780</v>
      </c>
      <c r="B23889" s="0" t="str">
        <f aca="false">HYPERLINK("https://lindat.mff.cuni.cz/services/teitok/pdtc10/index.php?action=vallex&amp;frame=v-w3117f1", "operovat (v-w3117f1)")</f>
        <v>operovat (v-w3117f1)</v>
      </c>
    </row>
    <row r="23890" customFormat="false" ht="12.8" hidden="false" customHeight="false" outlineLevel="0" collapsed="false">
      <c r="B23890" s="0" t="s">
        <v>1</v>
      </c>
    </row>
    <row r="23891" customFormat="false" ht="12.8" hidden="false" customHeight="false" outlineLevel="0" collapsed="false">
      <c r="B23891" s="0" t="s">
        <v>8</v>
      </c>
    </row>
    <row r="23893" customFormat="false" ht="12.8" hidden="false" customHeight="false" outlineLevel="0" collapsed="false">
      <c r="A23893" s="0" t="s">
        <v>9781</v>
      </c>
      <c r="B23893" s="0" t="str">
        <f aca="false">HYPERLINK("https://lindat.mff.cuni.cz/services/teitok/pdtc10/index.php?action=vallex&amp;frame=v-w3117f5_ZU", "operovat (v-w3117f5_ZU)")</f>
        <v>operovat (v-w3117f5_ZU)</v>
      </c>
      <c r="E23893" s="0" t="str">
        <f aca="false">HYPERLINK("https://lindat.mff.cuni.cz/services/SynSemClass40/SynSemClass40.html?veclass=vec01427#vec01427-ces-cm00003", "vec01427")</f>
        <v>vec01427</v>
      </c>
      <c r="F23893" s="0" t="s">
        <v>9782</v>
      </c>
    </row>
    <row r="23894" customFormat="false" ht="12.8" hidden="false" customHeight="false" outlineLevel="0" collapsed="false">
      <c r="B23894" s="0" t="s">
        <v>1</v>
      </c>
      <c r="C23894" s="0" t="s">
        <v>9783</v>
      </c>
      <c r="E23894" s="0" t="s">
        <v>31</v>
      </c>
      <c r="F23894" s="0" t="s">
        <v>9784</v>
      </c>
    </row>
    <row r="23895" customFormat="false" ht="12.8" hidden="false" customHeight="false" outlineLevel="0" collapsed="false">
      <c r="B23895" s="0" t="s">
        <v>2024</v>
      </c>
      <c r="C23895" s="0" t="s">
        <v>9785</v>
      </c>
      <c r="E23895" s="0" t="s">
        <v>34</v>
      </c>
      <c r="F23895" s="0" t="s">
        <v>9786</v>
      </c>
    </row>
    <row r="23897" customFormat="false" ht="12.8" hidden="false" customHeight="false" outlineLevel="0" collapsed="false">
      <c r="A23897" s="0" t="s">
        <v>9781</v>
      </c>
      <c r="B23897" s="0" t="str">
        <f aca="false">HYPERLINK("https://lindat.mff.cuni.cz/services/teitok/pdtc10/index.php?action=vallex&amp;frame=v-w3117f3", "operovat (v-w3117f3) - substituted with v-w3117f5_ZU")</f>
        <v>operovat (v-w3117f3) - substituted with v-w3117f5_ZU</v>
      </c>
    </row>
    <row r="23898" customFormat="false" ht="12.8" hidden="false" customHeight="false" outlineLevel="0" collapsed="false">
      <c r="B23898" s="0" t="s">
        <v>1</v>
      </c>
    </row>
    <row r="23899" customFormat="false" ht="12.8" hidden="false" customHeight="false" outlineLevel="0" collapsed="false">
      <c r="B23899" s="0" t="s">
        <v>2024</v>
      </c>
    </row>
    <row r="23901" customFormat="false" ht="12.8" hidden="false" customHeight="false" outlineLevel="0" collapsed="false">
      <c r="A23901" s="0" t="s">
        <v>9781</v>
      </c>
      <c r="B23901" s="0" t="str">
        <f aca="false">HYPERLINK("https://lindat.mff.cuni.cz/services/teitok/pdtc10/index.php?action=vallex&amp;frame=v-w3117f4_ZU", "operovat (v-w3117f4_ZU) - substituted with v-w3117f5_ZU")</f>
        <v>operovat (v-w3117f4_ZU) - substituted with v-w3117f5_ZU</v>
      </c>
    </row>
    <row r="23902" customFormat="false" ht="12.8" hidden="false" customHeight="false" outlineLevel="0" collapsed="false">
      <c r="B23902" s="0" t="s">
        <v>1</v>
      </c>
    </row>
    <row r="23903" customFormat="false" ht="12.8" hidden="false" customHeight="false" outlineLevel="0" collapsed="false">
      <c r="B23903" s="0" t="s">
        <v>2024</v>
      </c>
    </row>
    <row r="23905" customFormat="false" ht="12.8" hidden="false" customHeight="false" outlineLevel="0" collapsed="false">
      <c r="A23905" s="0" t="s">
        <v>9787</v>
      </c>
      <c r="B23905" s="0" t="str">
        <f aca="false">HYPERLINK("https://lindat.mff.cuni.cz/services/teitok/pdtc10/index.php?action=vallex&amp;frame=v-w3117f2", "operovat (v-w3117f2)")</f>
        <v>operovat (v-w3117f2)</v>
      </c>
      <c r="E23905" s="0" t="str">
        <f aca="false">HYPERLINK("https://lindat.mff.cuni.cz/services/SynSemClass40/SynSemClass40.html?veclass=vec00054#vec00054-ces-cm00001", "vec00054")</f>
        <v>vec00054</v>
      </c>
      <c r="F23905" s="0" t="s">
        <v>6203</v>
      </c>
    </row>
    <row r="23906" customFormat="false" ht="12.8" hidden="false" customHeight="false" outlineLevel="0" collapsed="false">
      <c r="B23906" s="0" t="s">
        <v>1</v>
      </c>
      <c r="C23906" s="0" t="s">
        <v>6204</v>
      </c>
      <c r="E23906" s="0" t="s">
        <v>11</v>
      </c>
      <c r="F23906" s="0" t="s">
        <v>6205</v>
      </c>
    </row>
    <row r="23907" customFormat="false" ht="12.8" hidden="false" customHeight="false" outlineLevel="0" collapsed="false">
      <c r="B23907" s="0" t="s">
        <v>5</v>
      </c>
      <c r="C23907" s="0" t="s">
        <v>6206</v>
      </c>
      <c r="E23907" s="0" t="s">
        <v>3254</v>
      </c>
      <c r="F23907" s="0" t="s">
        <v>6207</v>
      </c>
    </row>
    <row r="23909" customFormat="false" ht="12.8" hidden="false" customHeight="false" outlineLevel="0" collapsed="false">
      <c r="A23909" s="0" t="s">
        <v>9788</v>
      </c>
      <c r="B23909" s="0" t="str">
        <f aca="false">HYPERLINK("https://lindat.mff.cuni.cz/services/teitok/pdtc10/index.php?action=vallex&amp;frame=v-w3117f6_ZU", "operovat (v-w3117f6_ZU)")</f>
        <v>operovat (v-w3117f6_ZU)</v>
      </c>
      <c r="E23909" s="0" t="str">
        <f aca="false">HYPERLINK("https://lindat.mff.cuni.cz/services/SynSemClass40/SynSemClass40.html?veclass=vec00221#vec00221-ces-cm00013", "vec00221")</f>
        <v>vec00221</v>
      </c>
      <c r="F23909" s="0" t="s">
        <v>1051</v>
      </c>
    </row>
    <row r="23910" customFormat="false" ht="12.8" hidden="false" customHeight="false" outlineLevel="0" collapsed="false">
      <c r="B23910" s="0" t="s">
        <v>1</v>
      </c>
      <c r="C23910" s="0" t="s">
        <v>1052</v>
      </c>
      <c r="E23910" s="0" t="s">
        <v>1053</v>
      </c>
      <c r="F23910" s="0" t="s">
        <v>1054</v>
      </c>
    </row>
    <row r="23912" customFormat="false" ht="12.8" hidden="false" customHeight="false" outlineLevel="0" collapsed="false">
      <c r="A23912" s="0" t="s">
        <v>9789</v>
      </c>
      <c r="B23912" s="0" t="str">
        <f aca="false">HYPERLINK("https://lindat.mff.cuni.cz/services/teitok/pdtc10/index.php?action=vallex&amp;frame=v-w3117f8_ZU", "operovat (v-w3117f8_ZU)")</f>
        <v>operovat (v-w3117f8_ZU)</v>
      </c>
    </row>
    <row r="23913" customFormat="false" ht="12.8" hidden="false" customHeight="false" outlineLevel="0" collapsed="false">
      <c r="B23913" s="0" t="s">
        <v>1</v>
      </c>
    </row>
    <row r="23914" customFormat="false" ht="12.8" hidden="false" customHeight="false" outlineLevel="0" collapsed="false">
      <c r="B23914" s="0" t="s">
        <v>8</v>
      </c>
    </row>
    <row r="23916" customFormat="false" ht="12.8" hidden="false" customHeight="false" outlineLevel="0" collapsed="false">
      <c r="A23916" s="0" t="s">
        <v>9789</v>
      </c>
      <c r="B23916" s="0" t="str">
        <f aca="false">HYPERLINK("https://lindat.mff.cuni.cz/services/teitok/pdtc10/index.php?action=vallex&amp;frame=v-w3117f7_ZU", "operovat (v-w3117f7_ZU) - substituted with v-w3117f8_ZU")</f>
        <v>operovat (v-w3117f7_ZU) - substituted with v-w3117f8_ZU</v>
      </c>
    </row>
    <row r="23917" customFormat="false" ht="12.8" hidden="false" customHeight="false" outlineLevel="0" collapsed="false">
      <c r="B23917" s="0" t="s">
        <v>1</v>
      </c>
    </row>
    <row r="23918" customFormat="false" ht="12.8" hidden="false" customHeight="false" outlineLevel="0" collapsed="false">
      <c r="B23918" s="0" t="s">
        <v>8</v>
      </c>
    </row>
    <row r="23920" customFormat="false" ht="12.8" hidden="false" customHeight="false" outlineLevel="0" collapsed="false">
      <c r="A23920" s="0" t="s">
        <v>9790</v>
      </c>
      <c r="B23920" s="0" t="str">
        <f aca="false">HYPERLINK("https://lindat.mff.cuni.cz/services/teitok/pdtc10/index.php?action=vallex&amp;frame=v-w10094f2", "opevňovat (v-w10094f2)")</f>
        <v>opevňovat (v-w10094f2)</v>
      </c>
      <c r="E23920" s="0" t="str">
        <f aca="false">HYPERLINK("https://lindat.mff.cuni.cz/services/SynSemClass40/SynSemClass40.html?veclass=vec00024#vec00024-ces-cm00045", "vec00024")</f>
        <v>vec00024</v>
      </c>
      <c r="F23920" s="0" t="s">
        <v>580</v>
      </c>
      <c r="H23920" s="0" t="str">
        <f aca="false">HYPERLINK("https://lindat.mff.cuni.cz/services/SynSemClass40/SynSemClass40.html?veclass=vec00260#vec00260-ces-cm00015", "vec00260")</f>
        <v>vec00260</v>
      </c>
      <c r="I23920" s="0" t="s">
        <v>4985</v>
      </c>
    </row>
    <row r="23921" customFormat="false" ht="12.8" hidden="false" customHeight="false" outlineLevel="0" collapsed="false">
      <c r="B23921" s="0" t="s">
        <v>1</v>
      </c>
      <c r="C23921" s="0" t="s">
        <v>9791</v>
      </c>
      <c r="E23921" s="0" t="s">
        <v>569</v>
      </c>
      <c r="F23921" s="0" t="s">
        <v>1472</v>
      </c>
      <c r="H23921" s="0" t="s">
        <v>4987</v>
      </c>
      <c r="I23921" s="0" t="s">
        <v>4988</v>
      </c>
    </row>
    <row r="23922" customFormat="false" ht="12.8" hidden="false" customHeight="false" outlineLevel="0" collapsed="false">
      <c r="B23922" s="0" t="s">
        <v>8</v>
      </c>
      <c r="C23922" s="0" t="s">
        <v>9792</v>
      </c>
      <c r="E23922" s="0" t="s">
        <v>34</v>
      </c>
      <c r="F23922" s="0" t="s">
        <v>1475</v>
      </c>
      <c r="H23922" s="0" t="s">
        <v>594</v>
      </c>
      <c r="I23922" s="0" t="s">
        <v>4989</v>
      </c>
    </row>
    <row r="23923" customFormat="false" ht="12.8" hidden="false" customHeight="false" outlineLevel="0" collapsed="false">
      <c r="B23923" s="0" t="s">
        <v>574</v>
      </c>
      <c r="C23923" s="0" t="s">
        <v>9793</v>
      </c>
      <c r="E23923" s="0" t="s">
        <v>1478</v>
      </c>
      <c r="F23923" s="0" t="s">
        <v>1479</v>
      </c>
      <c r="H23923" s="0" t="s">
        <v>4991</v>
      </c>
      <c r="I23923" s="0" t="s">
        <v>4992</v>
      </c>
    </row>
    <row r="23925" customFormat="false" ht="12.8" hidden="false" customHeight="false" outlineLevel="0" collapsed="false">
      <c r="A23925" s="0" t="s">
        <v>9794</v>
      </c>
      <c r="B23925" s="0" t="str">
        <f aca="false">HYPERLINK("https://lindat.mff.cuni.cz/services/teitok/pdtc10/index.php?action=vallex&amp;frame=v-w10842f2", "opečovávat (v-w10842f2)")</f>
        <v>opečovávat (v-w10842f2)</v>
      </c>
    </row>
    <row r="23926" customFormat="false" ht="12.8" hidden="false" customHeight="false" outlineLevel="0" collapsed="false">
      <c r="B23926" s="0" t="s">
        <v>1</v>
      </c>
    </row>
    <row r="23927" customFormat="false" ht="12.8" hidden="false" customHeight="false" outlineLevel="0" collapsed="false">
      <c r="B23927" s="0" t="s">
        <v>8</v>
      </c>
    </row>
    <row r="23929" customFormat="false" ht="12.8" hidden="false" customHeight="false" outlineLevel="0" collapsed="false">
      <c r="A23929" s="0" t="s">
        <v>9795</v>
      </c>
      <c r="B23929" s="0" t="str">
        <f aca="false">HYPERLINK("https://lindat.mff.cuni.cz/services/teitok/pdtc10/index.php?action=vallex&amp;frame=v-w3127f1", "opisovat (v-w3127f1)")</f>
        <v>opisovat (v-w3127f1)</v>
      </c>
      <c r="E23929" s="0" t="str">
        <f aca="false">HYPERLINK("https://lindat.mff.cuni.cz/services/SynSemClass40/SynSemClass40.html?veclass=vec01246#vec01246-ces-cm00004", "vec01246")</f>
        <v>vec01246</v>
      </c>
      <c r="F23929" s="0" t="s">
        <v>5636</v>
      </c>
      <c r="H23929" s="0" t="str">
        <f aca="false">HYPERLINK("https://lindat.mff.cuni.cz/services/SynSemClass40/SynSemClass40.html?veclass=vec01249#vec01249-ces-cm00001", "vec01249")</f>
        <v>vec01249</v>
      </c>
      <c r="I23929" s="0" t="s">
        <v>9796</v>
      </c>
    </row>
    <row r="23930" customFormat="false" ht="12.8" hidden="false" customHeight="false" outlineLevel="0" collapsed="false">
      <c r="B23930" s="0" t="s">
        <v>1</v>
      </c>
      <c r="C23930" s="0" t="s">
        <v>767</v>
      </c>
      <c r="E23930" s="0" t="s">
        <v>768</v>
      </c>
      <c r="F23930" s="0" t="s">
        <v>5637</v>
      </c>
      <c r="H23930" s="0" t="s">
        <v>768</v>
      </c>
      <c r="I23930" s="0" t="s">
        <v>5637</v>
      </c>
    </row>
    <row r="23931" customFormat="false" ht="12.8" hidden="false" customHeight="false" outlineLevel="0" collapsed="false">
      <c r="B23931" s="0" t="s">
        <v>8</v>
      </c>
      <c r="C23931" s="0" t="s">
        <v>5583</v>
      </c>
      <c r="E23931" s="0" t="s">
        <v>1569</v>
      </c>
      <c r="F23931" s="0" t="s">
        <v>5638</v>
      </c>
      <c r="H23931" s="0" t="s">
        <v>9797</v>
      </c>
      <c r="I23931" s="0" t="s">
        <v>9798</v>
      </c>
    </row>
    <row r="23933" customFormat="false" ht="12.8" hidden="false" customHeight="false" outlineLevel="0" collapsed="false">
      <c r="A23933" s="0" t="s">
        <v>9799</v>
      </c>
      <c r="B23933" s="0" t="str">
        <f aca="false">HYPERLINK("https://lindat.mff.cuni.cz/services/teitok/pdtc10/index.php?action=vallex&amp;frame=v-w12193_ZUf1_ZU", "opičit se (v-w12193_ZUf1_ZU)")</f>
        <v>opičit se (v-w12193_ZUf1_ZU)</v>
      </c>
    </row>
    <row r="23934" customFormat="false" ht="12.8" hidden="false" customHeight="false" outlineLevel="0" collapsed="false">
      <c r="B23934" s="0" t="s">
        <v>1</v>
      </c>
    </row>
    <row r="23935" customFormat="false" ht="12.8" hidden="false" customHeight="false" outlineLevel="0" collapsed="false">
      <c r="B23935" s="0" t="s">
        <v>1659</v>
      </c>
    </row>
    <row r="23937" customFormat="false" ht="12.8" hidden="false" customHeight="false" outlineLevel="0" collapsed="false">
      <c r="A23937" s="0" t="s">
        <v>9800</v>
      </c>
      <c r="B23937" s="0" t="str">
        <f aca="false">HYPERLINK("https://lindat.mff.cuni.cz/services/teitok/pdtc10/index.php?action=vallex&amp;frame=v-whsa_887hsa_888", "oplakat (v-whsa_887hsa_888)")</f>
        <v>oplakat (v-whsa_887hsa_888)</v>
      </c>
    </row>
    <row r="23938" customFormat="false" ht="12.8" hidden="false" customHeight="false" outlineLevel="0" collapsed="false">
      <c r="B23938" s="0" t="s">
        <v>1</v>
      </c>
    </row>
    <row r="23939" customFormat="false" ht="12.8" hidden="false" customHeight="false" outlineLevel="0" collapsed="false">
      <c r="B23939" s="0" t="s">
        <v>8</v>
      </c>
    </row>
    <row r="23941" customFormat="false" ht="12.8" hidden="false" customHeight="false" outlineLevel="0" collapsed="false">
      <c r="A23941" s="0" t="s">
        <v>9801</v>
      </c>
      <c r="B23941" s="0" t="str">
        <f aca="false">HYPERLINK("https://lindat.mff.cuni.cz/services/teitok/pdtc10/index.php?action=vallex&amp;frame=v-w10467f2", "oplakávat (v-w10467f2)")</f>
        <v>oplakávat (v-w10467f2)</v>
      </c>
      <c r="E23941" s="0" t="str">
        <f aca="false">HYPERLINK("https://lindat.mff.cuni.cz/services/SynSemClass40/SynSemClass40.html?veclass=vec00867#vec00867-ces-cm00005", "vec00867")</f>
        <v>vec00867</v>
      </c>
      <c r="F23941" s="0" t="s">
        <v>1294</v>
      </c>
    </row>
    <row r="23942" customFormat="false" ht="12.8" hidden="false" customHeight="false" outlineLevel="0" collapsed="false">
      <c r="B23942" s="0" t="s">
        <v>1</v>
      </c>
      <c r="C23942" s="0" t="s">
        <v>9802</v>
      </c>
      <c r="E23942" s="0" t="s">
        <v>266</v>
      </c>
      <c r="F23942" s="0" t="s">
        <v>1296</v>
      </c>
    </row>
    <row r="23943" customFormat="false" ht="12.8" hidden="false" customHeight="false" outlineLevel="0" collapsed="false">
      <c r="B23943" s="0" t="s">
        <v>8</v>
      </c>
      <c r="C23943" s="0" t="s">
        <v>3252</v>
      </c>
      <c r="E23943" s="0" t="s">
        <v>271</v>
      </c>
      <c r="F23943" s="0" t="s">
        <v>1300</v>
      </c>
    </row>
    <row r="23945" customFormat="false" ht="12.8" hidden="false" customHeight="false" outlineLevel="0" collapsed="false">
      <c r="A23945" s="0" t="s">
        <v>9803</v>
      </c>
      <c r="B23945" s="0" t="str">
        <f aca="false">HYPERLINK("https://lindat.mff.cuni.cz/services/teitok/pdtc10/index.php?action=vallex&amp;frame=v-w3131f1", "oplatit (v-w3131f1)")</f>
        <v>oplatit (v-w3131f1)</v>
      </c>
    </row>
    <row r="23946" customFormat="false" ht="12.8" hidden="false" customHeight="false" outlineLevel="0" collapsed="false">
      <c r="B23946" s="0" t="s">
        <v>1</v>
      </c>
    </row>
    <row r="23947" customFormat="false" ht="12.8" hidden="false" customHeight="false" outlineLevel="0" collapsed="false">
      <c r="B23947" s="0" t="s">
        <v>8</v>
      </c>
    </row>
    <row r="23948" customFormat="false" ht="12.8" hidden="false" customHeight="false" outlineLevel="0" collapsed="false">
      <c r="B23948" s="0" t="s">
        <v>52</v>
      </c>
    </row>
    <row r="23950" customFormat="false" ht="12.8" hidden="false" customHeight="false" outlineLevel="0" collapsed="false">
      <c r="A23950" s="0" t="s">
        <v>9804</v>
      </c>
      <c r="B23950" s="0" t="str">
        <f aca="false">HYPERLINK("https://lindat.mff.cuni.cz/services/teitok/pdtc10/index.php?action=vallex&amp;frame=v-w10918f2", "oplodnit (v-w10918f2)")</f>
        <v>oplodnit (v-w10918f2)</v>
      </c>
      <c r="E23950" s="0" t="str">
        <f aca="false">HYPERLINK("https://lindat.mff.cuni.cz/services/SynSemClass40/SynSemClass40.html?veclass=vec00660#vec00660-ces-cm00001", "vec00660")</f>
        <v>vec00660</v>
      </c>
      <c r="F23950" s="0" t="s">
        <v>9805</v>
      </c>
    </row>
    <row r="23951" customFormat="false" ht="12.8" hidden="false" customHeight="false" outlineLevel="0" collapsed="false">
      <c r="B23951" s="0" t="s">
        <v>1</v>
      </c>
      <c r="C23951" s="0" t="s">
        <v>459</v>
      </c>
      <c r="E23951" s="0" t="s">
        <v>9806</v>
      </c>
      <c r="F23951" s="0" t="s">
        <v>9807</v>
      </c>
    </row>
    <row r="23952" customFormat="false" ht="12.8" hidden="false" customHeight="false" outlineLevel="0" collapsed="false">
      <c r="B23952" s="0" t="s">
        <v>8</v>
      </c>
      <c r="C23952" s="0" t="s">
        <v>1940</v>
      </c>
      <c r="E23952" s="0" t="s">
        <v>9808</v>
      </c>
      <c r="F23952" s="0" t="s">
        <v>9809</v>
      </c>
    </row>
    <row r="23954" customFormat="false" ht="12.8" hidden="false" customHeight="false" outlineLevel="0" collapsed="false">
      <c r="A23954" s="0" t="s">
        <v>9810</v>
      </c>
      <c r="B23954" s="0" t="str">
        <f aca="false">HYPERLINK("https://lindat.mff.cuni.cz/services/teitok/pdtc10/index.php?action=vallex&amp;frame=v-w3132f1", "oplotit (v-w3132f1)")</f>
        <v>oplotit (v-w3132f1)</v>
      </c>
    </row>
    <row r="23955" customFormat="false" ht="12.8" hidden="false" customHeight="false" outlineLevel="0" collapsed="false">
      <c r="B23955" s="0" t="s">
        <v>1</v>
      </c>
    </row>
    <row r="23956" customFormat="false" ht="12.8" hidden="false" customHeight="false" outlineLevel="0" collapsed="false">
      <c r="B23956" s="0" t="s">
        <v>8</v>
      </c>
    </row>
    <row r="23958" customFormat="false" ht="12.8" hidden="false" customHeight="false" outlineLevel="0" collapsed="false">
      <c r="A23958" s="0" t="s">
        <v>9811</v>
      </c>
      <c r="B23958" s="0" t="str">
        <f aca="false">HYPERLINK("https://lindat.mff.cuni.cz/services/teitok/pdtc10/index.php?action=vallex&amp;frame=v-whsa_1191f1_ZU", "oplácet (v-whsa_1191f1_ZU)")</f>
        <v>oplácet (v-whsa_1191f1_ZU)</v>
      </c>
    </row>
    <row r="23959" customFormat="false" ht="12.8" hidden="false" customHeight="false" outlineLevel="0" collapsed="false">
      <c r="B23959" s="0" t="s">
        <v>1</v>
      </c>
    </row>
    <row r="23960" customFormat="false" ht="12.8" hidden="false" customHeight="false" outlineLevel="0" collapsed="false">
      <c r="B23960" s="0" t="s">
        <v>8</v>
      </c>
    </row>
    <row r="23961" customFormat="false" ht="12.8" hidden="false" customHeight="false" outlineLevel="0" collapsed="false">
      <c r="B23961" s="0" t="s">
        <v>52</v>
      </c>
    </row>
    <row r="23963" customFormat="false" ht="12.8" hidden="false" customHeight="false" outlineLevel="0" collapsed="false">
      <c r="A23963" s="0" t="s">
        <v>9811</v>
      </c>
      <c r="B23963" s="0" t="str">
        <f aca="false">HYPERLINK("https://lindat.mff.cuni.cz/services/teitok/pdtc10/index.php?action=vallex&amp;frame=v-whsa_1191hsa_1192", "oplácet (v-whsa_1191hsa_1192) - substituted with v-whsa_1191f1_ZU")</f>
        <v>oplácet (v-whsa_1191hsa_1192) - substituted with v-whsa_1191f1_ZU</v>
      </c>
    </row>
    <row r="23964" customFormat="false" ht="12.8" hidden="false" customHeight="false" outlineLevel="0" collapsed="false">
      <c r="B23964" s="0" t="s">
        <v>1</v>
      </c>
    </row>
    <row r="23965" customFormat="false" ht="12.8" hidden="false" customHeight="false" outlineLevel="0" collapsed="false">
      <c r="B23965" s="0" t="s">
        <v>8</v>
      </c>
    </row>
    <row r="23966" customFormat="false" ht="12.8" hidden="false" customHeight="false" outlineLevel="0" collapsed="false">
      <c r="B23966" s="0" t="s">
        <v>52</v>
      </c>
    </row>
    <row r="23968" customFormat="false" ht="12.8" hidden="false" customHeight="false" outlineLevel="0" collapsed="false">
      <c r="A23968" s="0" t="s">
        <v>9812</v>
      </c>
      <c r="B23968" s="0" t="str">
        <f aca="false">HYPERLINK("https://lindat.mff.cuni.cz/services/teitok/pdtc10/index.php?action=vallex&amp;frame=v-whsb_606hsa_607", "opláchnout (v-whsb_606hsa_607)")</f>
        <v>opláchnout (v-whsb_606hsa_607)</v>
      </c>
    </row>
    <row r="23969" customFormat="false" ht="12.8" hidden="false" customHeight="false" outlineLevel="0" collapsed="false">
      <c r="B23969" s="0" t="s">
        <v>1</v>
      </c>
    </row>
    <row r="23970" customFormat="false" ht="12.8" hidden="false" customHeight="false" outlineLevel="0" collapsed="false">
      <c r="B23970" s="0" t="s">
        <v>8</v>
      </c>
    </row>
    <row r="23972" customFormat="false" ht="12.8" hidden="false" customHeight="false" outlineLevel="0" collapsed="false">
      <c r="A23972" s="0" t="s">
        <v>9813</v>
      </c>
      <c r="B23972" s="0" t="str">
        <f aca="false">HYPERLINK("https://lindat.mff.cuni.cz/services/teitok/pdtc10/index.php?action=vallex&amp;frame=v-w3134f1", "oplývat (v-w3134f1)")</f>
        <v>oplývat (v-w3134f1)</v>
      </c>
      <c r="E23972" s="0" t="str">
        <f aca="false">HYPERLINK("https://lindat.mff.cuni.cz/services/SynSemClass40/SynSemClass40.html?veclass=vec00857#vec00857-ces-cm00001", "vec00857")</f>
        <v>vec00857</v>
      </c>
      <c r="F23972" s="0" t="s">
        <v>9814</v>
      </c>
    </row>
    <row r="23973" customFormat="false" ht="12.8" hidden="false" customHeight="false" outlineLevel="0" collapsed="false">
      <c r="B23973" s="0" t="s">
        <v>1</v>
      </c>
      <c r="C23973" s="0" t="s">
        <v>9815</v>
      </c>
      <c r="E23973" s="0" t="s">
        <v>957</v>
      </c>
      <c r="F23973" s="0" t="s">
        <v>9816</v>
      </c>
    </row>
    <row r="23974" customFormat="false" ht="12.8" hidden="false" customHeight="false" outlineLevel="0" collapsed="false">
      <c r="B23974" s="0" t="s">
        <v>286</v>
      </c>
      <c r="C23974" s="0" t="s">
        <v>744</v>
      </c>
      <c r="E23974" s="0" t="s">
        <v>1544</v>
      </c>
      <c r="F23974" s="0" t="s">
        <v>9817</v>
      </c>
    </row>
    <row r="23976" customFormat="false" ht="12.8" hidden="false" customHeight="false" outlineLevel="0" collapsed="false">
      <c r="A23976" s="0" t="s">
        <v>9818</v>
      </c>
      <c r="B23976" s="0" t="str">
        <f aca="false">HYPERLINK("https://lindat.mff.cuni.cz/services/teitok/pdtc10/index.php?action=vallex&amp;frame=v-w3136f1", "opodstatňovat (v-w3136f1)")</f>
        <v>opodstatňovat (v-w3136f1)</v>
      </c>
    </row>
    <row r="23977" customFormat="false" ht="12.8" hidden="false" customHeight="false" outlineLevel="0" collapsed="false">
      <c r="B23977" s="0" t="s">
        <v>1</v>
      </c>
    </row>
    <row r="23978" customFormat="false" ht="12.8" hidden="false" customHeight="false" outlineLevel="0" collapsed="false">
      <c r="B23978" s="0" t="s">
        <v>228</v>
      </c>
    </row>
    <row r="23980" customFormat="false" ht="12.8" hidden="false" customHeight="false" outlineLevel="0" collapsed="false">
      <c r="A23980" s="0" t="s">
        <v>9819</v>
      </c>
      <c r="B23980" s="0" t="str">
        <f aca="false">HYPERLINK("https://lindat.mff.cuni.cz/services/teitok/pdtc10/index.php?action=vallex&amp;frame=v-w3138f1", "opomenout (v-w3138f1)")</f>
        <v>opomenout (v-w3138f1)</v>
      </c>
      <c r="E23980" s="0" t="str">
        <f aca="false">HYPERLINK("https://lindat.mff.cuni.cz/services/SynSemClass40/SynSemClass40.html?veclass=vec00460#vec00460-ces-cm00004", "vec00460")</f>
        <v>vec00460</v>
      </c>
      <c r="F23980" s="0" t="s">
        <v>4773</v>
      </c>
    </row>
    <row r="23981" customFormat="false" ht="12.8" hidden="false" customHeight="false" outlineLevel="0" collapsed="false">
      <c r="B23981" s="0" t="s">
        <v>1</v>
      </c>
      <c r="C23981" s="0" t="s">
        <v>4774</v>
      </c>
      <c r="E23981" s="0" t="s">
        <v>2034</v>
      </c>
      <c r="F23981" s="0" t="s">
        <v>4775</v>
      </c>
    </row>
    <row r="23982" customFormat="false" ht="12.8" hidden="false" customHeight="false" outlineLevel="0" collapsed="false">
      <c r="B23982" s="0" t="s">
        <v>9820</v>
      </c>
      <c r="C23982" s="0" t="s">
        <v>4776</v>
      </c>
      <c r="E23982" s="0" t="s">
        <v>2037</v>
      </c>
      <c r="F23982" s="0" t="s">
        <v>4777</v>
      </c>
    </row>
    <row r="23984" customFormat="false" ht="12.8" hidden="false" customHeight="false" outlineLevel="0" collapsed="false">
      <c r="A23984" s="0" t="s">
        <v>9821</v>
      </c>
      <c r="B23984" s="0" t="str">
        <f aca="false">HYPERLINK("https://lindat.mff.cuni.cz/services/teitok/pdtc10/index.php?action=vallex&amp;frame=v-w10578f2", "opominout (v-w10578f2)")</f>
        <v>opominout (v-w10578f2)</v>
      </c>
      <c r="E23984" s="0" t="str">
        <f aca="false">HYPERLINK("https://lindat.mff.cuni.cz/services/SynSemClass40/SynSemClass40.html?veclass=vec00460#vec00460-ces-cm00005", "vec00460")</f>
        <v>vec00460</v>
      </c>
      <c r="F23984" s="0" t="s">
        <v>4773</v>
      </c>
    </row>
    <row r="23985" customFormat="false" ht="12.8" hidden="false" customHeight="false" outlineLevel="0" collapsed="false">
      <c r="B23985" s="0" t="s">
        <v>1</v>
      </c>
      <c r="C23985" s="0" t="s">
        <v>4774</v>
      </c>
      <c r="E23985" s="0" t="s">
        <v>2034</v>
      </c>
      <c r="F23985" s="0" t="s">
        <v>4775</v>
      </c>
    </row>
    <row r="23986" customFormat="false" ht="12.8" hidden="false" customHeight="false" outlineLevel="0" collapsed="false">
      <c r="B23986" s="0" t="s">
        <v>9820</v>
      </c>
      <c r="C23986" s="0" t="s">
        <v>4776</v>
      </c>
      <c r="E23986" s="0" t="s">
        <v>2037</v>
      </c>
      <c r="F23986" s="0" t="s">
        <v>4777</v>
      </c>
    </row>
    <row r="23988" customFormat="false" ht="12.8" hidden="false" customHeight="false" outlineLevel="0" collapsed="false">
      <c r="A23988" s="0" t="s">
        <v>9822</v>
      </c>
      <c r="B23988" s="0" t="str">
        <f aca="false">HYPERLINK("https://lindat.mff.cuni.cz/services/teitok/pdtc10/index.php?action=vallex&amp;frame=v-w3140f1", "opomíjet (v-w3140f1)")</f>
        <v>opomíjet (v-w3140f1)</v>
      </c>
      <c r="E23988" s="0" t="str">
        <f aca="false">HYPERLINK("https://lindat.mff.cuni.cz/services/SynSemClass40/SynSemClass40.html?veclass=vec00460#vec00460-ces-cm00001", "vec00460")</f>
        <v>vec00460</v>
      </c>
      <c r="F23988" s="0" t="s">
        <v>4773</v>
      </c>
    </row>
    <row r="23989" customFormat="false" ht="12.8" hidden="false" customHeight="false" outlineLevel="0" collapsed="false">
      <c r="B23989" s="0" t="s">
        <v>1</v>
      </c>
      <c r="C23989" s="0" t="s">
        <v>4774</v>
      </c>
      <c r="E23989" s="0" t="s">
        <v>2034</v>
      </c>
      <c r="F23989" s="0" t="s">
        <v>4775</v>
      </c>
    </row>
    <row r="23990" customFormat="false" ht="12.8" hidden="false" customHeight="false" outlineLevel="0" collapsed="false">
      <c r="B23990" s="0" t="s">
        <v>9820</v>
      </c>
      <c r="C23990" s="0" t="s">
        <v>4776</v>
      </c>
      <c r="E23990" s="0" t="s">
        <v>2037</v>
      </c>
      <c r="F23990" s="0" t="s">
        <v>4777</v>
      </c>
    </row>
    <row r="23992" customFormat="false" ht="12.8" hidden="false" customHeight="false" outlineLevel="0" collapsed="false">
      <c r="A23992" s="0" t="s">
        <v>9823</v>
      </c>
      <c r="B23992" s="0" t="str">
        <f aca="false">HYPERLINK("https://lindat.mff.cuni.cz/services/teitok/pdtc10/index.php?action=vallex&amp;frame=v-w3141f1", "oponovat (v-w3141f1)")</f>
        <v>oponovat (v-w3141f1)</v>
      </c>
      <c r="E23992" s="0" t="str">
        <f aca="false">HYPERLINK("https://lindat.mff.cuni.cz/services/SynSemClass40/SynSemClass40.html?veclass=vec00461#vec00461-ces-cm00001", "vec00461")</f>
        <v>vec00461</v>
      </c>
      <c r="F23992" s="0" t="s">
        <v>476</v>
      </c>
    </row>
    <row r="23993" customFormat="false" ht="12.8" hidden="false" customHeight="false" outlineLevel="0" collapsed="false">
      <c r="B23993" s="0" t="s">
        <v>1</v>
      </c>
      <c r="C23993" s="0" t="s">
        <v>477</v>
      </c>
      <c r="E23993" s="0" t="s">
        <v>478</v>
      </c>
      <c r="F23993" s="0" t="s">
        <v>479</v>
      </c>
    </row>
    <row r="23994" customFormat="false" ht="12.8" hidden="false" customHeight="false" outlineLevel="0" collapsed="false">
      <c r="B23994" s="0" t="s">
        <v>9102</v>
      </c>
      <c r="C23994" s="0" t="s">
        <v>9606</v>
      </c>
      <c r="E23994" s="0" t="s">
        <v>9099</v>
      </c>
      <c r="F23994" s="0" t="s">
        <v>9607</v>
      </c>
    </row>
    <row r="23996" customFormat="false" ht="12.8" hidden="false" customHeight="false" outlineLevel="0" collapsed="false">
      <c r="A23996" s="0" t="s">
        <v>9824</v>
      </c>
      <c r="B23996" s="0" t="str">
        <f aca="false">HYPERLINK("https://lindat.mff.cuni.cz/services/teitok/pdtc10/index.php?action=vallex&amp;frame=v-w3141f2", "oponovat (v-w3141f2)")</f>
        <v>oponovat (v-w3141f2)</v>
      </c>
    </row>
    <row r="23997" customFormat="false" ht="12.8" hidden="false" customHeight="false" outlineLevel="0" collapsed="false">
      <c r="B23997" s="0" t="s">
        <v>1</v>
      </c>
    </row>
    <row r="23998" customFormat="false" ht="12.8" hidden="false" customHeight="false" outlineLevel="0" collapsed="false">
      <c r="B23998" s="0" t="s">
        <v>8</v>
      </c>
    </row>
    <row r="24000" customFormat="false" ht="12.8" hidden="false" customHeight="false" outlineLevel="0" collapsed="false">
      <c r="A24000" s="0" t="s">
        <v>9825</v>
      </c>
      <c r="B24000" s="0" t="str">
        <f aca="false">HYPERLINK("https://lindat.mff.cuni.cz/services/teitok/pdtc10/index.php?action=vallex&amp;frame=v-w10783f2", "opotřebovat (v-w10783f2)")</f>
        <v>opotřebovat (v-w10783f2)</v>
      </c>
    </row>
    <row r="24001" customFormat="false" ht="12.8" hidden="false" customHeight="false" outlineLevel="0" collapsed="false">
      <c r="B24001" s="0" t="s">
        <v>1</v>
      </c>
    </row>
    <row r="24002" customFormat="false" ht="12.8" hidden="false" customHeight="false" outlineLevel="0" collapsed="false">
      <c r="B24002" s="0" t="s">
        <v>8</v>
      </c>
    </row>
    <row r="24004" customFormat="false" ht="12.8" hidden="false" customHeight="false" outlineLevel="0" collapsed="false">
      <c r="A24004" s="0" t="s">
        <v>9826</v>
      </c>
      <c r="B24004" s="0" t="str">
        <f aca="false">HYPERLINK("https://lindat.mff.cuni.cz/services/teitok/pdtc10/index.php?action=vallex&amp;frame=v-w3143f1", "opouštět (v-w3143f1)")</f>
        <v>opouštět (v-w3143f1)</v>
      </c>
      <c r="E24004" s="0" t="str">
        <f aca="false">HYPERLINK("https://lindat.mff.cuni.cz/services/SynSemClass40/SynSemClass40.html?veclass=vec00048#vec00048-ces-cm00066", "vec00048")</f>
        <v>vec00048</v>
      </c>
      <c r="F24004" s="0" t="s">
        <v>1945</v>
      </c>
    </row>
    <row r="24005" customFormat="false" ht="12.8" hidden="false" customHeight="false" outlineLevel="0" collapsed="false">
      <c r="B24005" s="0" t="s">
        <v>1</v>
      </c>
      <c r="C24005" s="0" t="s">
        <v>1946</v>
      </c>
      <c r="E24005" s="0" t="s">
        <v>334</v>
      </c>
      <c r="F24005" s="0" t="s">
        <v>1947</v>
      </c>
    </row>
    <row r="24006" customFormat="false" ht="12.8" hidden="false" customHeight="false" outlineLevel="0" collapsed="false">
      <c r="B24006" s="0" t="s">
        <v>8</v>
      </c>
      <c r="C24006" s="0" t="s">
        <v>800</v>
      </c>
      <c r="E24006" s="0" t="s">
        <v>9827</v>
      </c>
      <c r="F24006" s="0" t="s">
        <v>9828</v>
      </c>
    </row>
    <row r="24008" customFormat="false" ht="12.8" hidden="false" customHeight="false" outlineLevel="0" collapsed="false">
      <c r="A24008" s="0" t="s">
        <v>9829</v>
      </c>
      <c r="B24008" s="0" t="str">
        <f aca="false">HYPERLINK("https://lindat.mff.cuni.cz/services/teitok/pdtc10/index.php?action=vallex&amp;frame=v-w3143f2_MM", "opouštět (v-w3143f2_MM)")</f>
        <v>opouštět (v-w3143f2_MM)</v>
      </c>
    </row>
    <row r="24009" customFormat="false" ht="12.8" hidden="false" customHeight="false" outlineLevel="0" collapsed="false">
      <c r="B24009" s="0" t="s">
        <v>1</v>
      </c>
    </row>
    <row r="24010" customFormat="false" ht="12.8" hidden="false" customHeight="false" outlineLevel="0" collapsed="false">
      <c r="B24010" s="0" t="s">
        <v>8</v>
      </c>
    </row>
    <row r="24012" customFormat="false" ht="12.8" hidden="false" customHeight="false" outlineLevel="0" collapsed="false">
      <c r="A24012" s="0" t="s">
        <v>9830</v>
      </c>
      <c r="B24012" s="0" t="str">
        <f aca="false">HYPERLINK("https://lindat.mff.cuni.cz/services/teitok/pdtc10/index.php?action=vallex&amp;frame=v-w12263_ZUf1_ZU", "opovrhnout (v-w12263_ZUf1_ZU)")</f>
        <v>opovrhnout (v-w12263_ZUf1_ZU)</v>
      </c>
    </row>
    <row r="24013" customFormat="false" ht="12.8" hidden="false" customHeight="false" outlineLevel="0" collapsed="false">
      <c r="B24013" s="0" t="s">
        <v>1</v>
      </c>
    </row>
    <row r="24014" customFormat="false" ht="12.8" hidden="false" customHeight="false" outlineLevel="0" collapsed="false">
      <c r="B24014" s="0" t="s">
        <v>286</v>
      </c>
    </row>
    <row r="24016" customFormat="false" ht="12.8" hidden="false" customHeight="false" outlineLevel="0" collapsed="false">
      <c r="A24016" s="0" t="s">
        <v>9831</v>
      </c>
      <c r="B24016" s="0" t="str">
        <f aca="false">HYPERLINK("https://lindat.mff.cuni.cz/services/teitok/pdtc10/index.php?action=vallex&amp;frame=v-w10539f2", "opovrhovat (v-w10539f2)")</f>
        <v>opovrhovat (v-w10539f2)</v>
      </c>
      <c r="E24016" s="0" t="str">
        <f aca="false">HYPERLINK("https://lindat.mff.cuni.cz/services/SynSemClass40/SynSemClass40.html?veclass=vec01063#vec01063-ces-cm00001", "vec01063")</f>
        <v>vec01063</v>
      </c>
      <c r="F24016" s="0" t="s">
        <v>9832</v>
      </c>
    </row>
    <row r="24017" customFormat="false" ht="12.8" hidden="false" customHeight="false" outlineLevel="0" collapsed="false">
      <c r="B24017" s="0" t="s">
        <v>1</v>
      </c>
      <c r="C24017" s="0" t="s">
        <v>4695</v>
      </c>
      <c r="E24017" s="0" t="s">
        <v>155</v>
      </c>
      <c r="F24017" s="0" t="s">
        <v>9833</v>
      </c>
    </row>
    <row r="24018" customFormat="false" ht="12.8" hidden="false" customHeight="false" outlineLevel="0" collapsed="false">
      <c r="B24018" s="0" t="s">
        <v>286</v>
      </c>
      <c r="C24018" s="0" t="s">
        <v>462</v>
      </c>
      <c r="E24018" s="0" t="s">
        <v>9834</v>
      </c>
      <c r="F24018" s="0" t="s">
        <v>9835</v>
      </c>
    </row>
    <row r="24020" customFormat="false" ht="12.8" hidden="false" customHeight="false" outlineLevel="0" collapsed="false">
      <c r="A24020" s="0" t="s">
        <v>9836</v>
      </c>
      <c r="B24020" s="0" t="str">
        <f aca="false">HYPERLINK("https://lindat.mff.cuni.cz/services/teitok/pdtc10/index.php?action=vallex&amp;frame=v-w10933f2", "opozdit (v-w10933f2)")</f>
        <v>opozdit (v-w10933f2)</v>
      </c>
      <c r="E24020" s="0" t="str">
        <f aca="false">HYPERLINK("https://lindat.mff.cuni.cz/services/SynSemClass40/SynSemClass40.html?veclass=vec00486#vec00486-ces-cm00006", "vec00486")</f>
        <v>vec00486</v>
      </c>
      <c r="F24020" s="0" t="s">
        <v>542</v>
      </c>
      <c r="H24020" s="0" t="str">
        <f aca="false">HYPERLINK("https://lindat.mff.cuni.cz/services/SynSemClass40/SynSemClass40.html?veclass=vec01284#vec01284-ces-cm00025", "vec01284")</f>
        <v>vec01284</v>
      </c>
      <c r="I24020" s="0" t="s">
        <v>8765</v>
      </c>
    </row>
    <row r="24021" customFormat="false" ht="12.8" hidden="false" customHeight="false" outlineLevel="0" collapsed="false">
      <c r="B24021" s="0" t="s">
        <v>1</v>
      </c>
      <c r="C24021" s="0" t="s">
        <v>8766</v>
      </c>
      <c r="E24021" s="0" t="s">
        <v>206</v>
      </c>
      <c r="F24021" s="0" t="s">
        <v>544</v>
      </c>
      <c r="H24021" s="0" t="s">
        <v>84</v>
      </c>
      <c r="I24021" s="0" t="s">
        <v>8767</v>
      </c>
    </row>
    <row r="24022" customFormat="false" ht="12.8" hidden="false" customHeight="false" outlineLevel="0" collapsed="false">
      <c r="B24022" s="0" t="s">
        <v>8</v>
      </c>
      <c r="C24022" s="0" t="s">
        <v>8768</v>
      </c>
      <c r="E24022" s="0" t="s">
        <v>79</v>
      </c>
      <c r="F24022" s="0" t="s">
        <v>546</v>
      </c>
      <c r="H24022" s="0" t="s">
        <v>87</v>
      </c>
      <c r="I24022" s="0" t="s">
        <v>8769</v>
      </c>
    </row>
    <row r="24024" customFormat="false" ht="12.8" hidden="false" customHeight="false" outlineLevel="0" collapsed="false">
      <c r="A24024" s="0" t="s">
        <v>9837</v>
      </c>
      <c r="B24024" s="0" t="str">
        <f aca="false">HYPERLINK("https://lindat.mff.cuni.cz/services/teitok/pdtc10/index.php?action=vallex&amp;frame=v-w11420f2", "opozdit se (v-w11420f2)")</f>
        <v>opozdit se (v-w11420f2)</v>
      </c>
    </row>
    <row r="24025" customFormat="false" ht="12.8" hidden="false" customHeight="false" outlineLevel="0" collapsed="false">
      <c r="B24025" s="0" t="s">
        <v>1</v>
      </c>
    </row>
    <row r="24026" customFormat="false" ht="12.8" hidden="false" customHeight="false" outlineLevel="0" collapsed="false">
      <c r="B24026" s="0" t="s">
        <v>9838</v>
      </c>
    </row>
    <row r="24028" customFormat="false" ht="12.8" hidden="false" customHeight="false" outlineLevel="0" collapsed="false">
      <c r="A24028" s="0" t="s">
        <v>9839</v>
      </c>
      <c r="B24028" s="0" t="str">
        <f aca="false">HYPERLINK("https://lindat.mff.cuni.cz/services/teitok/pdtc10/index.php?action=vallex&amp;frame=v-w11420hsa_378", "opozdit se (v-w11420hsa_378)")</f>
        <v>opozdit se (v-w11420hsa_378)</v>
      </c>
      <c r="E24028" s="0" t="str">
        <f aca="false">HYPERLINK("https://lindat.mff.cuni.cz/services/SynSemClass40/SynSemClass40.html?veclass=vec00370#vec00370-ces-cm00016", "vec00370")</f>
        <v>vec00370</v>
      </c>
      <c r="F24028" s="0" t="s">
        <v>9840</v>
      </c>
    </row>
    <row r="24029" customFormat="false" ht="12.8" hidden="false" customHeight="false" outlineLevel="0" collapsed="false">
      <c r="B24029" s="0" t="s">
        <v>1</v>
      </c>
      <c r="C24029" s="0" t="s">
        <v>3241</v>
      </c>
      <c r="E24029" s="0" t="s">
        <v>11</v>
      </c>
      <c r="F24029" s="0" t="s">
        <v>6122</v>
      </c>
    </row>
    <row r="24030" customFormat="false" ht="12.8" hidden="false" customHeight="false" outlineLevel="0" collapsed="false">
      <c r="B24030" s="0" t="s">
        <v>721</v>
      </c>
      <c r="C24030" s="0" t="s">
        <v>9841</v>
      </c>
      <c r="E24030" s="0" t="s">
        <v>34</v>
      </c>
      <c r="F24030" s="0" t="s">
        <v>9842</v>
      </c>
    </row>
    <row r="24032" customFormat="false" ht="12.8" hidden="false" customHeight="false" outlineLevel="0" collapsed="false">
      <c r="A24032" s="0" t="s">
        <v>9843</v>
      </c>
      <c r="B24032" s="0" t="str">
        <f aca="false">HYPERLINK("https://lindat.mff.cuni.cz/services/teitok/pdtc10/index.php?action=vallex&amp;frame=v-w11429f3_ZU", "opožďovat se (v-w11429f3_ZU)")</f>
        <v>opožďovat se (v-w11429f3_ZU)</v>
      </c>
      <c r="E24032" s="0" t="str">
        <f aca="false">HYPERLINK("https://lindat.mff.cuni.cz/services/SynSemClass40/SynSemClass40.html?veclass=vec00370#vec00370-ces-cm00005", "vec00370")</f>
        <v>vec00370</v>
      </c>
      <c r="F24032" s="0" t="s">
        <v>9840</v>
      </c>
    </row>
    <row r="24033" customFormat="false" ht="12.8" hidden="false" customHeight="false" outlineLevel="0" collapsed="false">
      <c r="B24033" s="0" t="s">
        <v>1</v>
      </c>
      <c r="C24033" s="0" t="s">
        <v>3241</v>
      </c>
      <c r="E24033" s="0" t="s">
        <v>11</v>
      </c>
      <c r="F24033" s="0" t="s">
        <v>6122</v>
      </c>
    </row>
    <row r="24034" customFormat="false" ht="12.8" hidden="false" customHeight="false" outlineLevel="0" collapsed="false">
      <c r="B24034" s="0" t="s">
        <v>9838</v>
      </c>
      <c r="C24034" s="0" t="s">
        <v>9841</v>
      </c>
      <c r="E24034" s="0" t="s">
        <v>34</v>
      </c>
      <c r="F24034" s="0" t="s">
        <v>9842</v>
      </c>
    </row>
    <row r="24036" customFormat="false" ht="12.8" hidden="false" customHeight="false" outlineLevel="0" collapsed="false">
      <c r="A24036" s="0" t="s">
        <v>9843</v>
      </c>
      <c r="B24036" s="0" t="str">
        <f aca="false">HYPERLINK("https://lindat.mff.cuni.cz/services/teitok/pdtc10/index.php?action=vallex&amp;frame=v-w11429f2", "opožďovat se (v-w11429f2) - substituted with v-w11429f3_ZU")</f>
        <v>opožďovat se (v-w11429f2) - substituted with v-w11429f3_ZU</v>
      </c>
    </row>
    <row r="24037" customFormat="false" ht="12.8" hidden="false" customHeight="false" outlineLevel="0" collapsed="false">
      <c r="B24037" s="0" t="s">
        <v>1</v>
      </c>
    </row>
    <row r="24038" customFormat="false" ht="12.8" hidden="false" customHeight="false" outlineLevel="0" collapsed="false">
      <c r="B24038" s="0" t="s">
        <v>9838</v>
      </c>
    </row>
    <row r="24040" customFormat="false" ht="12.8" hidden="false" customHeight="false" outlineLevel="0" collapsed="false">
      <c r="A24040" s="0" t="s">
        <v>9844</v>
      </c>
      <c r="B24040" s="0" t="str">
        <f aca="false">HYPERLINK("https://lindat.mff.cuni.cz/services/teitok/pdtc10/index.php?action=vallex&amp;frame=v-whsb_277hsa_278", "opracovat (v-whsb_277hsa_278)")</f>
        <v>opracovat (v-whsb_277hsa_278)</v>
      </c>
    </row>
    <row r="24041" customFormat="false" ht="12.8" hidden="false" customHeight="false" outlineLevel="0" collapsed="false">
      <c r="B24041" s="0" t="s">
        <v>1</v>
      </c>
    </row>
    <row r="24042" customFormat="false" ht="12.8" hidden="false" customHeight="false" outlineLevel="0" collapsed="false">
      <c r="B24042" s="0" t="s">
        <v>8</v>
      </c>
    </row>
    <row r="24044" customFormat="false" ht="12.8" hidden="false" customHeight="false" outlineLevel="0" collapsed="false">
      <c r="A24044" s="0" t="s">
        <v>9845</v>
      </c>
      <c r="B24044" s="0" t="str">
        <f aca="false">HYPERLINK("https://lindat.mff.cuni.cz/services/teitok/pdtc10/index.php?action=vallex&amp;frame=v-w10177f4", "opracovávat (v-w10177f4)")</f>
        <v>opracovávat (v-w10177f4)</v>
      </c>
      <c r="E24044" s="0" t="str">
        <f aca="false">HYPERLINK("https://lindat.mff.cuni.cz/services/SynSemClass40/SynSemClass40.html?veclass=vec01250#vec01250-ces-cm00001", "vec01250")</f>
        <v>vec01250</v>
      </c>
      <c r="F24044" s="0" t="s">
        <v>511</v>
      </c>
    </row>
    <row r="24045" customFormat="false" ht="12.8" hidden="false" customHeight="false" outlineLevel="0" collapsed="false">
      <c r="B24045" s="0" t="s">
        <v>1</v>
      </c>
      <c r="C24045" s="0" t="s">
        <v>512</v>
      </c>
      <c r="E24045" s="0" t="s">
        <v>31</v>
      </c>
      <c r="F24045" s="0" t="s">
        <v>513</v>
      </c>
    </row>
    <row r="24046" customFormat="false" ht="12.8" hidden="false" customHeight="false" outlineLevel="0" collapsed="false">
      <c r="B24046" s="0" t="s">
        <v>8</v>
      </c>
      <c r="C24046" s="0" t="s">
        <v>462</v>
      </c>
      <c r="E24046" s="0" t="s">
        <v>514</v>
      </c>
      <c r="F24046" s="0" t="s">
        <v>515</v>
      </c>
    </row>
    <row r="24048" customFormat="false" ht="12.8" hidden="false" customHeight="false" outlineLevel="0" collapsed="false">
      <c r="A24048" s="0" t="s">
        <v>9846</v>
      </c>
      <c r="B24048" s="0" t="str">
        <f aca="false">HYPERLINK("https://lindat.mff.cuni.cz/services/teitok/pdtc10/index.php?action=vallex&amp;frame=v-w3147f3_ZU", "opravit (v-w3147f3_ZU)")</f>
        <v>opravit (v-w3147f3_ZU)</v>
      </c>
      <c r="E24048" s="0" t="str">
        <f aca="false">HYPERLINK("https://lindat.mff.cuni.cz/services/SynSemClass40/SynSemClass40.html?veclass=vec00095#vec00095-ces-cm00046", "vec00095")</f>
        <v>vec00095</v>
      </c>
      <c r="F24048" s="0" t="s">
        <v>29</v>
      </c>
      <c r="H24048" s="0" t="str">
        <f aca="false">HYPERLINK("https://lindat.mff.cuni.cz/services/SynSemClass40/SynSemClass40.html?veclass=vec01416#vec01416-ces-cm00004", "vec01416")</f>
        <v>vec01416</v>
      </c>
      <c r="I24048" s="0" t="s">
        <v>5648</v>
      </c>
    </row>
    <row r="24049" customFormat="false" ht="12.8" hidden="false" customHeight="false" outlineLevel="0" collapsed="false">
      <c r="B24049" s="0" t="s">
        <v>1</v>
      </c>
      <c r="C24049" s="0" t="s">
        <v>9847</v>
      </c>
      <c r="E24049" s="0" t="s">
        <v>31</v>
      </c>
      <c r="F24049" s="0" t="s">
        <v>32</v>
      </c>
      <c r="H24049" s="0" t="s">
        <v>4581</v>
      </c>
      <c r="I24049" s="0" t="s">
        <v>5650</v>
      </c>
    </row>
    <row r="24050" customFormat="false" ht="12.8" hidden="false" customHeight="false" outlineLevel="0" collapsed="false">
      <c r="B24050" s="0" t="s">
        <v>8</v>
      </c>
      <c r="C24050" s="0" t="s">
        <v>9848</v>
      </c>
      <c r="E24050" s="0" t="s">
        <v>34</v>
      </c>
      <c r="F24050" s="0" t="s">
        <v>35</v>
      </c>
      <c r="H24050" s="0" t="s">
        <v>142</v>
      </c>
      <c r="I24050" s="0" t="s">
        <v>5652</v>
      </c>
    </row>
    <row r="24051" customFormat="false" ht="12.8" hidden="false" customHeight="false" outlineLevel="0" collapsed="false">
      <c r="B24051" s="0" t="s">
        <v>5653</v>
      </c>
      <c r="C24051" s="0" t="s">
        <v>41</v>
      </c>
      <c r="E24051" s="0" t="s">
        <v>42</v>
      </c>
      <c r="F24051" s="0" t="s">
        <v>43</v>
      </c>
      <c r="H24051" s="0" t="s">
        <v>5654</v>
      </c>
      <c r="I24051" s="0" t="s">
        <v>5655</v>
      </c>
    </row>
    <row r="24052" customFormat="false" ht="12.8" hidden="false" customHeight="false" outlineLevel="0" collapsed="false">
      <c r="B24052" s="0" t="s">
        <v>36</v>
      </c>
      <c r="C24052" s="0" t="s">
        <v>37</v>
      </c>
      <c r="E24052" s="0" t="s">
        <v>38</v>
      </c>
      <c r="F24052" s="0" t="s">
        <v>39</v>
      </c>
    </row>
    <row r="24054" customFormat="false" ht="12.8" hidden="false" customHeight="false" outlineLevel="0" collapsed="false">
      <c r="A24054" s="0" t="s">
        <v>9846</v>
      </c>
      <c r="B24054" s="0" t="str">
        <f aca="false">HYPERLINK("https://lindat.mff.cuni.cz/services/teitok/pdtc10/index.php?action=vallex&amp;frame=v-w3147f2", "opravit (v-w3147f2) - substituted with v-w3147f3_ZU")</f>
        <v>opravit (v-w3147f2) - substituted with v-w3147f3_ZU</v>
      </c>
    </row>
    <row r="24055" customFormat="false" ht="12.8" hidden="false" customHeight="false" outlineLevel="0" collapsed="false">
      <c r="B24055" s="0" t="s">
        <v>1</v>
      </c>
    </row>
    <row r="24056" customFormat="false" ht="12.8" hidden="false" customHeight="false" outlineLevel="0" collapsed="false">
      <c r="B24056" s="0" t="s">
        <v>8</v>
      </c>
    </row>
    <row r="24057" customFormat="false" ht="12.8" hidden="false" customHeight="false" outlineLevel="0" collapsed="false">
      <c r="B24057" s="0" t="s">
        <v>5653</v>
      </c>
    </row>
    <row r="24058" customFormat="false" ht="12.8" hidden="false" customHeight="false" outlineLevel="0" collapsed="false">
      <c r="B24058" s="0" t="s">
        <v>36</v>
      </c>
    </row>
    <row r="24060" customFormat="false" ht="12.8" hidden="false" customHeight="false" outlineLevel="0" collapsed="false">
      <c r="A24060" s="0" t="s">
        <v>9849</v>
      </c>
      <c r="B24060" s="0" t="str">
        <f aca="false">HYPERLINK("https://lindat.mff.cuni.cz/services/teitok/pdtc10/index.php?action=vallex&amp;frame=v-w3147f1", "opravit (v-w3147f1)")</f>
        <v>opravit (v-w3147f1)</v>
      </c>
      <c r="E24060" s="0" t="str">
        <f aca="false">HYPERLINK("https://lindat.mff.cuni.cz/services/SynSemClass40/SynSemClass40.html?veclass=vec00462#vec00462-ces-cm00001", "vec00462")</f>
        <v>vec00462</v>
      </c>
      <c r="F24060" s="0" t="s">
        <v>9737</v>
      </c>
    </row>
    <row r="24061" customFormat="false" ht="12.8" hidden="false" customHeight="false" outlineLevel="0" collapsed="false">
      <c r="B24061" s="0" t="s">
        <v>1</v>
      </c>
      <c r="C24061" s="0" t="s">
        <v>106</v>
      </c>
      <c r="E24061" s="0" t="s">
        <v>9738</v>
      </c>
      <c r="F24061" s="0" t="s">
        <v>9739</v>
      </c>
    </row>
    <row r="24062" customFormat="false" ht="12.8" hidden="false" customHeight="false" outlineLevel="0" collapsed="false">
      <c r="B24062" s="0" t="s">
        <v>8</v>
      </c>
      <c r="C24062" s="0" t="s">
        <v>4627</v>
      </c>
      <c r="E24062" s="0" t="s">
        <v>1569</v>
      </c>
      <c r="F24062" s="0" t="s">
        <v>9740</v>
      </c>
    </row>
    <row r="24064" customFormat="false" ht="12.8" hidden="false" customHeight="false" outlineLevel="0" collapsed="false">
      <c r="A24064" s="0" t="s">
        <v>9850</v>
      </c>
      <c r="B24064" s="0" t="str">
        <f aca="false">HYPERLINK("https://lindat.mff.cuni.cz/services/teitok/pdtc10/index.php?action=vallex&amp;frame=v-w3153f1", "opravovat (v-w3153f1)")</f>
        <v>opravovat (v-w3153f1)</v>
      </c>
      <c r="E24064" s="0" t="str">
        <f aca="false">HYPERLINK("https://lindat.mff.cuni.cz/services/SynSemClass40/SynSemClass40.html?veclass=vec01416#vec01416-ces-cm00005", "vec01416")</f>
        <v>vec01416</v>
      </c>
      <c r="F24064" s="0" t="s">
        <v>5648</v>
      </c>
    </row>
    <row r="24065" customFormat="false" ht="12.8" hidden="false" customHeight="false" outlineLevel="0" collapsed="false">
      <c r="B24065" s="0" t="s">
        <v>1</v>
      </c>
      <c r="C24065" s="0" t="s">
        <v>5649</v>
      </c>
      <c r="E24065" s="0" t="s">
        <v>4581</v>
      </c>
      <c r="F24065" s="0" t="s">
        <v>5650</v>
      </c>
    </row>
    <row r="24066" customFormat="false" ht="12.8" hidden="false" customHeight="false" outlineLevel="0" collapsed="false">
      <c r="B24066" s="0" t="s">
        <v>8</v>
      </c>
      <c r="C24066" s="0" t="s">
        <v>5651</v>
      </c>
      <c r="E24066" s="0" t="s">
        <v>142</v>
      </c>
      <c r="F24066" s="0" t="s">
        <v>5652</v>
      </c>
    </row>
    <row r="24067" customFormat="false" ht="12.8" hidden="false" customHeight="false" outlineLevel="0" collapsed="false">
      <c r="B24067" s="0" t="s">
        <v>5653</v>
      </c>
      <c r="E24067" s="0" t="s">
        <v>5654</v>
      </c>
      <c r="F24067" s="0" t="s">
        <v>5655</v>
      </c>
    </row>
    <row r="24069" customFormat="false" ht="12.8" hidden="false" customHeight="false" outlineLevel="0" collapsed="false">
      <c r="A24069" s="0" t="s">
        <v>9851</v>
      </c>
      <c r="B24069" s="0" t="str">
        <f aca="false">HYPERLINK("https://lindat.mff.cuni.cz/services/teitok/pdtc10/index.php?action=vallex&amp;frame=v-w3153f2", "opravovat (v-w3153f2)")</f>
        <v>opravovat (v-w3153f2)</v>
      </c>
      <c r="E24069" s="0" t="str">
        <f aca="false">HYPERLINK("https://lindat.mff.cuni.cz/services/SynSemClass40/SynSemClass40.html?veclass=vec00462#vec00462-ces-cm00008", "vec00462")</f>
        <v>vec00462</v>
      </c>
      <c r="F24069" s="0" t="s">
        <v>9737</v>
      </c>
    </row>
    <row r="24070" customFormat="false" ht="12.8" hidden="false" customHeight="false" outlineLevel="0" collapsed="false">
      <c r="B24070" s="0" t="s">
        <v>1</v>
      </c>
      <c r="C24070" s="0" t="s">
        <v>106</v>
      </c>
      <c r="E24070" s="0" t="s">
        <v>9738</v>
      </c>
      <c r="F24070" s="0" t="s">
        <v>9739</v>
      </c>
    </row>
    <row r="24071" customFormat="false" ht="12.8" hidden="false" customHeight="false" outlineLevel="0" collapsed="false">
      <c r="B24071" s="0" t="s">
        <v>8</v>
      </c>
      <c r="C24071" s="0" t="s">
        <v>4627</v>
      </c>
      <c r="E24071" s="0" t="s">
        <v>1569</v>
      </c>
      <c r="F24071" s="0" t="s">
        <v>9740</v>
      </c>
    </row>
    <row r="24073" customFormat="false" ht="12.8" hidden="false" customHeight="false" outlineLevel="0" collapsed="false">
      <c r="A24073" s="0" t="s">
        <v>9852</v>
      </c>
      <c r="B24073" s="0" t="str">
        <f aca="false">HYPERLINK("https://lindat.mff.cuni.cz/services/teitok/pdtc10/index.php?action=vallex&amp;frame=v-w3153hsa_366", "opravovat (v-w3153hsa_366)")</f>
        <v>opravovat (v-w3153hsa_366)</v>
      </c>
      <c r="E24073" s="0" t="str">
        <f aca="false">HYPERLINK("https://lindat.mff.cuni.cz/services/SynSemClass40/SynSemClass40.html?veclass=vec01416#vec01416-ces-cm00013", "vec01416")</f>
        <v>vec01416</v>
      </c>
      <c r="F24073" s="0" t="s">
        <v>5648</v>
      </c>
    </row>
    <row r="24074" customFormat="false" ht="12.8" hidden="false" customHeight="false" outlineLevel="0" collapsed="false">
      <c r="B24074" s="0" t="s">
        <v>1</v>
      </c>
      <c r="C24074" s="0" t="s">
        <v>5649</v>
      </c>
      <c r="E24074" s="0" t="s">
        <v>4581</v>
      </c>
      <c r="F24074" s="0" t="s">
        <v>5650</v>
      </c>
    </row>
    <row r="24075" customFormat="false" ht="12.8" hidden="false" customHeight="false" outlineLevel="0" collapsed="false">
      <c r="B24075" s="0" t="s">
        <v>8</v>
      </c>
      <c r="C24075" s="0" t="s">
        <v>5651</v>
      </c>
      <c r="E24075" s="0" t="s">
        <v>9853</v>
      </c>
      <c r="F24075" s="0" t="s">
        <v>9854</v>
      </c>
    </row>
    <row r="24077" customFormat="false" ht="12.8" hidden="false" customHeight="false" outlineLevel="0" collapsed="false">
      <c r="A24077" s="0" t="s">
        <v>9855</v>
      </c>
      <c r="B24077" s="0" t="str">
        <f aca="false">HYPERLINK("https://lindat.mff.cuni.cz/services/teitok/pdtc10/index.php?action=vallex&amp;frame=v-w3152f1", "opravňovat (v-w3152f1)")</f>
        <v>opravňovat (v-w3152f1)</v>
      </c>
      <c r="E24077" s="0" t="str">
        <f aca="false">HYPERLINK("https://lindat.mff.cuni.cz/services/SynSemClass40/SynSemClass40.html?veclass=vec00012#vec00012-ces-cm00061", "vec00012")</f>
        <v>vec00012</v>
      </c>
      <c r="F24077" s="0" t="s">
        <v>3078</v>
      </c>
      <c r="H24077" s="0" t="str">
        <f aca="false">HYPERLINK("https://lindat.mff.cuni.cz/services/SynSemClass40/SynSemClass40.html?veclass=vec01221#vec01221-ces-cm00005", "vec01221")</f>
        <v>vec01221</v>
      </c>
      <c r="I24077" s="0" t="s">
        <v>5845</v>
      </c>
    </row>
    <row r="24078" customFormat="false" ht="12.8" hidden="false" customHeight="false" outlineLevel="0" collapsed="false">
      <c r="B24078" s="0" t="s">
        <v>1</v>
      </c>
      <c r="C24078" s="0" t="s">
        <v>9856</v>
      </c>
      <c r="E24078" s="0" t="s">
        <v>206</v>
      </c>
      <c r="F24078" s="0" t="s">
        <v>3080</v>
      </c>
      <c r="H24078" s="0" t="s">
        <v>206</v>
      </c>
      <c r="I24078" s="0" t="s">
        <v>5847</v>
      </c>
    </row>
    <row r="24079" customFormat="false" ht="12.8" hidden="false" customHeight="false" outlineLevel="0" collapsed="false">
      <c r="B24079" s="0" t="s">
        <v>9857</v>
      </c>
      <c r="C24079" s="0" t="s">
        <v>9858</v>
      </c>
      <c r="E24079" s="0" t="s">
        <v>3083</v>
      </c>
      <c r="F24079" s="0" t="s">
        <v>3084</v>
      </c>
      <c r="H24079" s="0" t="s">
        <v>5055</v>
      </c>
      <c r="I24079" s="0" t="s">
        <v>5850</v>
      </c>
    </row>
    <row r="24080" customFormat="false" ht="12.8" hidden="false" customHeight="false" outlineLevel="0" collapsed="false">
      <c r="B24080" s="0" t="s">
        <v>98</v>
      </c>
      <c r="C24080" s="0" t="s">
        <v>9859</v>
      </c>
      <c r="E24080" s="0" t="s">
        <v>2287</v>
      </c>
      <c r="F24080" s="0" t="s">
        <v>3086</v>
      </c>
      <c r="H24080" s="0" t="s">
        <v>5852</v>
      </c>
      <c r="I24080" s="0" t="s">
        <v>5853</v>
      </c>
    </row>
    <row r="24082" customFormat="false" ht="12.8" hidden="false" customHeight="false" outlineLevel="0" collapsed="false">
      <c r="A24082" s="0" t="s">
        <v>9860</v>
      </c>
      <c r="B24082" s="0" t="str">
        <f aca="false">HYPERLINK("https://lindat.mff.cuni.cz/services/teitok/pdtc10/index.php?action=vallex&amp;frame=v-w3152f2", "opravňovat (v-w3152f2)")</f>
        <v>opravňovat (v-w3152f2)</v>
      </c>
    </row>
    <row r="24083" customFormat="false" ht="12.8" hidden="false" customHeight="false" outlineLevel="0" collapsed="false">
      <c r="B24083" s="0" t="s">
        <v>1</v>
      </c>
    </row>
    <row r="24084" customFormat="false" ht="12.8" hidden="false" customHeight="false" outlineLevel="0" collapsed="false">
      <c r="B24084" s="0" t="s">
        <v>8</v>
      </c>
    </row>
    <row r="24086" customFormat="false" ht="12.8" hidden="false" customHeight="false" outlineLevel="0" collapsed="false">
      <c r="A24086" s="0" t="s">
        <v>9861</v>
      </c>
      <c r="B24086" s="0" t="str">
        <f aca="false">HYPERLINK("https://lindat.mff.cuni.cz/services/teitok/pdtc10/index.php?action=vallex&amp;frame=v-w10959f2", "oprašovat (v-w10959f2)")</f>
        <v>oprašovat (v-w10959f2)</v>
      </c>
      <c r="E24086" s="0" t="str">
        <f aca="false">HYPERLINK("https://lindat.mff.cuni.cz/services/SynSemClass40/SynSemClass40.html?veclass=vec00246#vec00246-ces-cm00026", "vec00246")</f>
        <v>vec00246</v>
      </c>
      <c r="F24086" s="0" t="s">
        <v>8433</v>
      </c>
    </row>
    <row r="24087" customFormat="false" ht="12.8" hidden="false" customHeight="false" outlineLevel="0" collapsed="false">
      <c r="B24087" s="0" t="s">
        <v>1</v>
      </c>
      <c r="C24087" s="0" t="s">
        <v>8434</v>
      </c>
      <c r="E24087" s="0" t="s">
        <v>31</v>
      </c>
      <c r="F24087" s="0" t="s">
        <v>8435</v>
      </c>
    </row>
    <row r="24088" customFormat="false" ht="12.8" hidden="false" customHeight="false" outlineLevel="0" collapsed="false">
      <c r="B24088" s="0" t="s">
        <v>8</v>
      </c>
      <c r="C24088" s="0" t="s">
        <v>8436</v>
      </c>
      <c r="E24088" s="0" t="s">
        <v>79</v>
      </c>
      <c r="F24088" s="0" t="s">
        <v>8437</v>
      </c>
    </row>
    <row r="24090" customFormat="false" ht="12.8" hidden="false" customHeight="false" outlineLevel="0" collapsed="false">
      <c r="A24090" s="0" t="s">
        <v>9862</v>
      </c>
      <c r="B24090" s="0" t="str">
        <f aca="false">HYPERLINK("https://lindat.mff.cuni.cz/services/teitok/pdtc10/index.php?action=vallex&amp;frame=v-w3154f1", "oprostit (v-w3154f1)")</f>
        <v>oprostit (v-w3154f1)</v>
      </c>
      <c r="E24090" s="0" t="str">
        <f aca="false">HYPERLINK("https://lindat.mff.cuni.cz/services/SynSemClass40/SynSemClass40.html?veclass=vec00595#vec00595-ces-cm00024", "vec00595")</f>
        <v>vec00595</v>
      </c>
      <c r="F24090" s="0" t="s">
        <v>9863</v>
      </c>
    </row>
    <row r="24091" customFormat="false" ht="12.8" hidden="false" customHeight="false" outlineLevel="0" collapsed="false">
      <c r="B24091" s="0" t="s">
        <v>1</v>
      </c>
      <c r="C24091" s="0" t="s">
        <v>3288</v>
      </c>
      <c r="E24091" s="0" t="s">
        <v>206</v>
      </c>
      <c r="F24091" s="0" t="s">
        <v>9275</v>
      </c>
    </row>
    <row r="24092" customFormat="false" ht="12.8" hidden="false" customHeight="false" outlineLevel="0" collapsed="false">
      <c r="B24092" s="0" t="s">
        <v>8</v>
      </c>
      <c r="C24092" s="0" t="s">
        <v>9864</v>
      </c>
      <c r="E24092" s="0" t="s">
        <v>1847</v>
      </c>
      <c r="F24092" s="0" t="s">
        <v>9865</v>
      </c>
    </row>
    <row r="24093" customFormat="false" ht="12.8" hidden="false" customHeight="false" outlineLevel="0" collapsed="false">
      <c r="B24093" s="0" t="s">
        <v>1965</v>
      </c>
      <c r="C24093" s="0" t="s">
        <v>9866</v>
      </c>
      <c r="E24093" s="0" t="s">
        <v>9867</v>
      </c>
      <c r="F24093" s="0" t="s">
        <v>9868</v>
      </c>
    </row>
    <row r="24095" customFormat="false" ht="12.8" hidden="false" customHeight="false" outlineLevel="0" collapsed="false">
      <c r="A24095" s="0" t="s">
        <v>9869</v>
      </c>
      <c r="B24095" s="0" t="str">
        <f aca="false">HYPERLINK("https://lindat.mff.cuni.cz/services/teitok/pdtc10/index.php?action=vallex&amp;frame=v-w3151f1", "oprávnit (v-w3151f1)")</f>
        <v>oprávnit (v-w3151f1)</v>
      </c>
      <c r="E24095" s="0" t="str">
        <f aca="false">HYPERLINK("https://lindat.mff.cuni.cz/services/SynSemClass40/SynSemClass40.html?veclass=vec00012#vec00012-ces-cm00060", "vec00012")</f>
        <v>vec00012</v>
      </c>
      <c r="F24095" s="0" t="s">
        <v>3078</v>
      </c>
    </row>
    <row r="24096" customFormat="false" ht="12.8" hidden="false" customHeight="false" outlineLevel="0" collapsed="false">
      <c r="B24096" s="0" t="s">
        <v>1</v>
      </c>
      <c r="C24096" s="0" t="s">
        <v>3079</v>
      </c>
      <c r="E24096" s="0" t="s">
        <v>206</v>
      </c>
      <c r="F24096" s="0" t="s">
        <v>3080</v>
      </c>
    </row>
    <row r="24097" customFormat="false" ht="12.8" hidden="false" customHeight="false" outlineLevel="0" collapsed="false">
      <c r="B24097" s="0" t="s">
        <v>9870</v>
      </c>
      <c r="C24097" s="0" t="s">
        <v>3082</v>
      </c>
      <c r="E24097" s="0" t="s">
        <v>3083</v>
      </c>
      <c r="F24097" s="0" t="s">
        <v>3084</v>
      </c>
    </row>
    <row r="24098" customFormat="false" ht="12.8" hidden="false" customHeight="false" outlineLevel="0" collapsed="false">
      <c r="B24098" s="0" t="s">
        <v>98</v>
      </c>
      <c r="C24098" s="0" t="s">
        <v>3085</v>
      </c>
      <c r="E24098" s="0" t="s">
        <v>2287</v>
      </c>
      <c r="F24098" s="0" t="s">
        <v>3086</v>
      </c>
    </row>
    <row r="24100" customFormat="false" ht="12.8" hidden="false" customHeight="false" outlineLevel="0" collapsed="false">
      <c r="A24100" s="0" t="s">
        <v>9871</v>
      </c>
      <c r="B24100" s="0" t="str">
        <f aca="false">HYPERLINK("https://lindat.mff.cuni.cz/services/teitok/pdtc10/index.php?action=vallex&amp;frame=v-w3151hsa_797", "oprávnit (v-w3151hsa_797)")</f>
        <v>oprávnit (v-w3151hsa_797)</v>
      </c>
    </row>
    <row r="24101" customFormat="false" ht="12.8" hidden="false" customHeight="false" outlineLevel="0" collapsed="false">
      <c r="B24101" s="0" t="s">
        <v>1</v>
      </c>
    </row>
    <row r="24102" customFormat="false" ht="12.8" hidden="false" customHeight="false" outlineLevel="0" collapsed="false">
      <c r="B24102" s="0" t="s">
        <v>8</v>
      </c>
    </row>
    <row r="24104" customFormat="false" ht="12.8" hidden="false" customHeight="false" outlineLevel="0" collapsed="false">
      <c r="A24104" s="0" t="s">
        <v>9872</v>
      </c>
      <c r="B24104" s="0" t="str">
        <f aca="false">HYPERLINK("https://lindat.mff.cuni.cz/services/teitok/pdtc10/index.php?action=vallex&amp;frame=v-w3145f1", "oprášit (v-w3145f1)")</f>
        <v>oprášit (v-w3145f1)</v>
      </c>
    </row>
    <row r="24105" customFormat="false" ht="12.8" hidden="false" customHeight="false" outlineLevel="0" collapsed="false">
      <c r="B24105" s="0" t="s">
        <v>1</v>
      </c>
    </row>
    <row r="24106" customFormat="false" ht="12.8" hidden="false" customHeight="false" outlineLevel="0" collapsed="false">
      <c r="B24106" s="0" t="s">
        <v>8</v>
      </c>
    </row>
    <row r="24108" customFormat="false" ht="12.8" hidden="false" customHeight="false" outlineLevel="0" collapsed="false">
      <c r="A24108" s="0" t="s">
        <v>9873</v>
      </c>
      <c r="B24108" s="0" t="str">
        <f aca="false">HYPERLINK("https://lindat.mff.cuni.cz/services/teitok/pdtc10/index.php?action=vallex&amp;frame=v-w3145f2", "oprášit (v-w3145f2)")</f>
        <v>oprášit (v-w3145f2)</v>
      </c>
    </row>
    <row r="24109" customFormat="false" ht="12.8" hidden="false" customHeight="false" outlineLevel="0" collapsed="false">
      <c r="B24109" s="0" t="s">
        <v>1</v>
      </c>
    </row>
    <row r="24110" customFormat="false" ht="12.8" hidden="false" customHeight="false" outlineLevel="0" collapsed="false">
      <c r="B24110" s="0" t="s">
        <v>8</v>
      </c>
    </row>
    <row r="24112" customFormat="false" ht="12.8" hidden="false" customHeight="false" outlineLevel="0" collapsed="false">
      <c r="A24112" s="0" t="s">
        <v>9874</v>
      </c>
      <c r="B24112" s="0" t="str">
        <f aca="false">HYPERLINK("https://lindat.mff.cuni.cz/services/teitok/pdtc10/index.php?action=vallex&amp;frame=v-w11044f3", "opsat (v-w11044f3)")</f>
        <v>opsat (v-w11044f3)</v>
      </c>
    </row>
    <row r="24113" customFormat="false" ht="12.8" hidden="false" customHeight="false" outlineLevel="0" collapsed="false">
      <c r="B24113" s="0" t="s">
        <v>1</v>
      </c>
    </row>
    <row r="24114" customFormat="false" ht="12.8" hidden="false" customHeight="false" outlineLevel="0" collapsed="false">
      <c r="B24114" s="0" t="s">
        <v>8</v>
      </c>
    </row>
    <row r="24115" customFormat="false" ht="12.8" hidden="false" customHeight="false" outlineLevel="0" collapsed="false">
      <c r="B24115" s="0" t="s">
        <v>602</v>
      </c>
    </row>
    <row r="24117" customFormat="false" ht="12.8" hidden="false" customHeight="false" outlineLevel="0" collapsed="false">
      <c r="A24117" s="0" t="s">
        <v>9875</v>
      </c>
      <c r="B24117" s="0" t="str">
        <f aca="false">HYPERLINK("https://lindat.mff.cuni.cz/services/teitok/pdtc10/index.php?action=vallex&amp;frame=v-w11044f4", "opsat (v-w11044f4)")</f>
        <v>opsat (v-w11044f4)</v>
      </c>
      <c r="E24117" s="0" t="str">
        <f aca="false">HYPERLINK("https://lindat.mff.cuni.cz/services/SynSemClass40/SynSemClass40.html?veclass=vec01246#vec01246-ces-cm00007", "vec01246")</f>
        <v>vec01246</v>
      </c>
      <c r="F24117" s="0" t="s">
        <v>5636</v>
      </c>
      <c r="H24117" s="0" t="str">
        <f aca="false">HYPERLINK("https://lindat.mff.cuni.cz/services/SynSemClass40/SynSemClass40.html?veclass=vec01249#vec01249-ces-cm00002", "vec01249")</f>
        <v>vec01249</v>
      </c>
      <c r="I24117" s="0" t="s">
        <v>9796</v>
      </c>
    </row>
    <row r="24118" customFormat="false" ht="12.8" hidden="false" customHeight="false" outlineLevel="0" collapsed="false">
      <c r="B24118" s="0" t="s">
        <v>1</v>
      </c>
      <c r="C24118" s="0" t="s">
        <v>767</v>
      </c>
      <c r="E24118" s="0" t="s">
        <v>768</v>
      </c>
      <c r="F24118" s="0" t="s">
        <v>5637</v>
      </c>
      <c r="H24118" s="0" t="s">
        <v>768</v>
      </c>
      <c r="I24118" s="0" t="s">
        <v>5637</v>
      </c>
    </row>
    <row r="24119" customFormat="false" ht="12.8" hidden="false" customHeight="false" outlineLevel="0" collapsed="false">
      <c r="B24119" s="0" t="s">
        <v>8</v>
      </c>
      <c r="C24119" s="0" t="s">
        <v>5583</v>
      </c>
      <c r="E24119" s="0" t="s">
        <v>1569</v>
      </c>
      <c r="F24119" s="0" t="s">
        <v>5638</v>
      </c>
      <c r="H24119" s="0" t="s">
        <v>9797</v>
      </c>
      <c r="I24119" s="0" t="s">
        <v>9798</v>
      </c>
    </row>
    <row r="24121" customFormat="false" ht="12.8" hidden="false" customHeight="false" outlineLevel="0" collapsed="false">
      <c r="A24121" s="0" t="s">
        <v>9876</v>
      </c>
      <c r="B24121" s="0" t="str">
        <f aca="false">HYPERLINK("https://lindat.mff.cuni.cz/services/teitok/pdtc10/index.php?action=vallex&amp;frame=v-w3158f1", "optat se (v-w3158f1)")</f>
        <v>optat se (v-w3158f1)</v>
      </c>
      <c r="E24121" s="0" t="str">
        <f aca="false">HYPERLINK("https://lindat.mff.cuni.cz/services/SynSemClass40/SynSemClass40.html?veclass=vec00384#vec00384-ces-cm00020", "vec00384")</f>
        <v>vec00384</v>
      </c>
      <c r="F24121" s="0" t="s">
        <v>2985</v>
      </c>
    </row>
    <row r="24122" customFormat="false" ht="12.8" hidden="false" customHeight="false" outlineLevel="0" collapsed="false">
      <c r="B24122" s="0" t="s">
        <v>1</v>
      </c>
      <c r="C24122" s="0" t="s">
        <v>2986</v>
      </c>
      <c r="E24122" s="0" t="s">
        <v>147</v>
      </c>
      <c r="F24122" s="0" t="s">
        <v>2987</v>
      </c>
    </row>
    <row r="24123" customFormat="false" ht="12.8" hidden="false" customHeight="false" outlineLevel="0" collapsed="false">
      <c r="B24123" s="0" t="s">
        <v>9877</v>
      </c>
      <c r="C24123" s="0" t="s">
        <v>2989</v>
      </c>
      <c r="E24123" s="0" t="s">
        <v>218</v>
      </c>
      <c r="F24123" s="0" t="s">
        <v>2990</v>
      </c>
    </row>
    <row r="24124" customFormat="false" ht="12.8" hidden="false" customHeight="false" outlineLevel="0" collapsed="false">
      <c r="B24124" s="0" t="s">
        <v>98</v>
      </c>
      <c r="C24124" s="0" t="s">
        <v>2992</v>
      </c>
      <c r="E24124" s="0" t="s">
        <v>221</v>
      </c>
      <c r="F24124" s="0" t="s">
        <v>2993</v>
      </c>
    </row>
    <row r="24126" customFormat="false" ht="12.8" hidden="false" customHeight="false" outlineLevel="0" collapsed="false">
      <c r="A24126" s="0" t="s">
        <v>9878</v>
      </c>
      <c r="B24126" s="0" t="str">
        <f aca="false">HYPERLINK("https://lindat.mff.cuni.cz/services/teitok/pdtc10/index.php?action=vallex&amp;frame=v-w3160f1", "optimalizovat (v-w3160f1)")</f>
        <v>optimalizovat (v-w3160f1)</v>
      </c>
    </row>
    <row r="24127" customFormat="false" ht="12.8" hidden="false" customHeight="false" outlineLevel="0" collapsed="false">
      <c r="B24127" s="0" t="s">
        <v>1</v>
      </c>
    </row>
    <row r="24128" customFormat="false" ht="12.8" hidden="false" customHeight="false" outlineLevel="0" collapsed="false">
      <c r="B24128" s="0" t="s">
        <v>8</v>
      </c>
    </row>
    <row r="24130" customFormat="false" ht="12.8" hidden="false" customHeight="false" outlineLevel="0" collapsed="false">
      <c r="A24130" s="0" t="s">
        <v>9879</v>
      </c>
      <c r="B24130" s="0" t="str">
        <f aca="false">HYPERLINK("https://lindat.mff.cuni.cz/services/teitok/pdtc10/index.php?action=vallex&amp;frame=v-w3161f1", "opustit (v-w3161f1)")</f>
        <v>opustit (v-w3161f1)</v>
      </c>
      <c r="E24130" s="0" t="str">
        <f aca="false">HYPERLINK("https://lindat.mff.cuni.cz/services/SynSemClass40/SynSemClass40.html?veclass=vec00048#vec00048-ces-cm00067", "vec00048")</f>
        <v>vec00048</v>
      </c>
      <c r="F24130" s="0" t="s">
        <v>1945</v>
      </c>
    </row>
    <row r="24131" customFormat="false" ht="12.8" hidden="false" customHeight="false" outlineLevel="0" collapsed="false">
      <c r="B24131" s="0" t="s">
        <v>1</v>
      </c>
      <c r="C24131" s="0" t="s">
        <v>1946</v>
      </c>
      <c r="E24131" s="0" t="s">
        <v>334</v>
      </c>
      <c r="F24131" s="0" t="s">
        <v>1947</v>
      </c>
    </row>
    <row r="24132" customFormat="false" ht="12.8" hidden="false" customHeight="false" outlineLevel="0" collapsed="false">
      <c r="B24132" s="0" t="s">
        <v>8</v>
      </c>
      <c r="C24132" s="0" t="s">
        <v>800</v>
      </c>
      <c r="E24132" s="0" t="s">
        <v>9827</v>
      </c>
      <c r="F24132" s="0" t="s">
        <v>9828</v>
      </c>
    </row>
    <row r="24134" customFormat="false" ht="12.8" hidden="false" customHeight="false" outlineLevel="0" collapsed="false">
      <c r="A24134" s="0" t="s">
        <v>9880</v>
      </c>
      <c r="B24134" s="0" t="str">
        <f aca="false">HYPERLINK("https://lindat.mff.cuni.cz/services/teitok/pdtc10/index.php?action=vallex&amp;frame=v-w3161f2", "opustit (v-w3161f2)")</f>
        <v>opustit (v-w3161f2)</v>
      </c>
      <c r="E24134" s="0" t="str">
        <f aca="false">HYPERLINK("https://lindat.mff.cuni.cz/services/SynSemClass40/SynSemClass40.html?veclass=vec00942#vec00942-ces-cm00026", "vec00942")</f>
        <v>vec00942</v>
      </c>
      <c r="F24134" s="0" t="s">
        <v>1686</v>
      </c>
    </row>
    <row r="24135" customFormat="false" ht="12.8" hidden="false" customHeight="false" outlineLevel="0" collapsed="false">
      <c r="B24135" s="0" t="s">
        <v>1</v>
      </c>
      <c r="C24135" s="0" t="s">
        <v>1687</v>
      </c>
      <c r="E24135" s="0" t="s">
        <v>11</v>
      </c>
      <c r="F24135" s="0" t="s">
        <v>1688</v>
      </c>
    </row>
    <row r="24136" customFormat="false" ht="12.8" hidden="false" customHeight="false" outlineLevel="0" collapsed="false">
      <c r="B24136" s="0" t="s">
        <v>8</v>
      </c>
      <c r="C24136" s="0" t="s">
        <v>1690</v>
      </c>
      <c r="E24136" s="0" t="s">
        <v>140</v>
      </c>
      <c r="F24136" s="0" t="s">
        <v>1691</v>
      </c>
    </row>
    <row r="24138" customFormat="false" ht="12.8" hidden="false" customHeight="false" outlineLevel="0" collapsed="false">
      <c r="A24138" s="0" t="s">
        <v>9881</v>
      </c>
      <c r="B24138" s="0" t="str">
        <f aca="false">HYPERLINK("https://lindat.mff.cuni.cz/services/teitok/pdtc10/index.php?action=vallex&amp;frame=v-w3161f3_MM", "opustit (v-w3161f3_MM)")</f>
        <v>opustit (v-w3161f3_MM)</v>
      </c>
    </row>
    <row r="24139" customFormat="false" ht="12.8" hidden="false" customHeight="false" outlineLevel="0" collapsed="false">
      <c r="B24139" s="0" t="s">
        <v>1</v>
      </c>
    </row>
    <row r="24140" customFormat="false" ht="12.8" hidden="false" customHeight="false" outlineLevel="0" collapsed="false">
      <c r="B24140" s="0" t="s">
        <v>8</v>
      </c>
    </row>
    <row r="24142" customFormat="false" ht="12.8" hidden="false" customHeight="false" outlineLevel="0" collapsed="false">
      <c r="A24142" s="0" t="s">
        <v>9882</v>
      </c>
      <c r="B24142" s="0" t="str">
        <f aca="false">HYPERLINK("https://lindat.mff.cuni.cz/services/teitok/pdtc10/index.php?action=vallex&amp;frame=v-w3161hsa_1411", "opustit (v-w3161hsa_1411)")</f>
        <v>opustit (v-w3161hsa_1411)</v>
      </c>
    </row>
    <row r="24143" customFormat="false" ht="12.8" hidden="false" customHeight="false" outlineLevel="0" collapsed="false">
      <c r="B24143" s="0" t="s">
        <v>1</v>
      </c>
    </row>
    <row r="24144" customFormat="false" ht="12.8" hidden="false" customHeight="false" outlineLevel="0" collapsed="false">
      <c r="B24144" s="0" t="s">
        <v>8</v>
      </c>
    </row>
    <row r="24146" customFormat="false" ht="12.8" hidden="false" customHeight="false" outlineLevel="0" collapsed="false">
      <c r="A24146" s="0" t="s">
        <v>9883</v>
      </c>
      <c r="B24146" s="0" t="str">
        <f aca="false">HYPERLINK("https://lindat.mff.cuni.cz/services/teitok/pdtc10/index.php?action=vallex&amp;frame=v-w11156f2", "opylit (v-w11156f2)")</f>
        <v>opylit (v-w11156f2)</v>
      </c>
      <c r="E24146" s="0" t="str">
        <f aca="false">HYPERLINK("https://lindat.mff.cuni.cz/services/SynSemClass40/SynSemClass40.html?veclass=vec00660#vec00660-ces-cm00003", "vec00660")</f>
        <v>vec00660</v>
      </c>
      <c r="F24146" s="0" t="s">
        <v>9805</v>
      </c>
    </row>
    <row r="24147" customFormat="false" ht="12.8" hidden="false" customHeight="false" outlineLevel="0" collapsed="false">
      <c r="B24147" s="0" t="s">
        <v>1</v>
      </c>
      <c r="C24147" s="0" t="s">
        <v>459</v>
      </c>
      <c r="E24147" s="0" t="s">
        <v>9806</v>
      </c>
      <c r="F24147" s="0" t="s">
        <v>9807</v>
      </c>
    </row>
    <row r="24148" customFormat="false" ht="12.8" hidden="false" customHeight="false" outlineLevel="0" collapsed="false">
      <c r="B24148" s="0" t="s">
        <v>8</v>
      </c>
      <c r="C24148" s="0" t="s">
        <v>1940</v>
      </c>
      <c r="E24148" s="0" t="s">
        <v>9808</v>
      </c>
      <c r="F24148" s="0" t="s">
        <v>9809</v>
      </c>
    </row>
    <row r="24150" customFormat="false" ht="12.8" hidden="false" customHeight="false" outlineLevel="0" collapsed="false">
      <c r="A24150" s="0" t="s">
        <v>9884</v>
      </c>
      <c r="B24150" s="0" t="str">
        <f aca="false">HYPERLINK("https://lindat.mff.cuni.cz/services/teitok/pdtc10/index.php?action=vallex&amp;frame=v-w10372f2", "opylovat (v-w10372f2)")</f>
        <v>opylovat (v-w10372f2)</v>
      </c>
      <c r="E24150" s="0" t="str">
        <f aca="false">HYPERLINK("https://lindat.mff.cuni.cz/services/SynSemClass40/SynSemClass40.html?veclass=vec00660#vec00660-ces-cm00002", "vec00660")</f>
        <v>vec00660</v>
      </c>
      <c r="F24150" s="0" t="s">
        <v>9805</v>
      </c>
    </row>
    <row r="24151" customFormat="false" ht="12.8" hidden="false" customHeight="false" outlineLevel="0" collapsed="false">
      <c r="B24151" s="0" t="s">
        <v>1</v>
      </c>
      <c r="C24151" s="0" t="s">
        <v>459</v>
      </c>
      <c r="E24151" s="0" t="s">
        <v>9806</v>
      </c>
      <c r="F24151" s="0" t="s">
        <v>9807</v>
      </c>
    </row>
    <row r="24152" customFormat="false" ht="12.8" hidden="false" customHeight="false" outlineLevel="0" collapsed="false">
      <c r="B24152" s="0" t="s">
        <v>8</v>
      </c>
      <c r="C24152" s="0" t="s">
        <v>1940</v>
      </c>
      <c r="E24152" s="0" t="s">
        <v>9808</v>
      </c>
      <c r="F24152" s="0" t="s">
        <v>9809</v>
      </c>
    </row>
    <row r="24154" customFormat="false" ht="12.8" hidden="false" customHeight="false" outlineLevel="0" collapsed="false">
      <c r="A24154" s="0" t="s">
        <v>9885</v>
      </c>
      <c r="B24154" s="0" t="str">
        <f aca="false">HYPERLINK("https://lindat.mff.cuni.cz/services/teitok/pdtc10/index.php?action=vallex&amp;frame=v-w3102f1", "opálit (v-w3102f1)")</f>
        <v>opálit (v-w3102f1)</v>
      </c>
    </row>
    <row r="24155" customFormat="false" ht="12.8" hidden="false" customHeight="false" outlineLevel="0" collapsed="false">
      <c r="B24155" s="0" t="s">
        <v>1</v>
      </c>
    </row>
    <row r="24156" customFormat="false" ht="12.8" hidden="false" customHeight="false" outlineLevel="0" collapsed="false">
      <c r="B24156" s="0" t="s">
        <v>8</v>
      </c>
    </row>
    <row r="24158" customFormat="false" ht="12.8" hidden="false" customHeight="false" outlineLevel="0" collapsed="false">
      <c r="A24158" s="0" t="s">
        <v>9886</v>
      </c>
      <c r="B24158" s="0" t="str">
        <f aca="false">HYPERLINK("https://lindat.mff.cuni.cz/services/teitok/pdtc10/index.php?action=vallex&amp;frame=v-w3106f1", "opásat (v-w3106f1)")</f>
        <v>opásat (v-w3106f1)</v>
      </c>
    </row>
    <row r="24159" customFormat="false" ht="12.8" hidden="false" customHeight="false" outlineLevel="0" collapsed="false">
      <c r="B24159" s="0" t="s">
        <v>1</v>
      </c>
    </row>
    <row r="24160" customFormat="false" ht="12.8" hidden="false" customHeight="false" outlineLevel="0" collapsed="false">
      <c r="B24160" s="0" t="s">
        <v>8</v>
      </c>
    </row>
    <row r="24162" customFormat="false" ht="12.8" hidden="false" customHeight="false" outlineLevel="0" collapsed="false">
      <c r="A24162" s="0" t="s">
        <v>9887</v>
      </c>
      <c r="B24162" s="0" t="str">
        <f aca="false">HYPERLINK("https://lindat.mff.cuni.cz/services/teitok/pdtc10/index.php?action=vallex&amp;frame=v-w10925f2", "opáčit (v-w10925f2)")</f>
        <v>opáčit (v-w10925f2)</v>
      </c>
    </row>
    <row r="24163" customFormat="false" ht="12.8" hidden="false" customHeight="false" outlineLevel="0" collapsed="false">
      <c r="B24163" s="0" t="s">
        <v>1</v>
      </c>
    </row>
    <row r="24164" customFormat="false" ht="12.8" hidden="false" customHeight="false" outlineLevel="0" collapsed="false">
      <c r="B24164" s="0" t="s">
        <v>52</v>
      </c>
    </row>
    <row r="24165" customFormat="false" ht="12.8" hidden="false" customHeight="false" outlineLevel="0" collapsed="false">
      <c r="B24165" s="0" t="s">
        <v>8848</v>
      </c>
    </row>
    <row r="24166" customFormat="false" ht="12.8" hidden="false" customHeight="false" outlineLevel="0" collapsed="false">
      <c r="B24166" s="0" t="s">
        <v>69</v>
      </c>
    </row>
    <row r="24168" customFormat="false" ht="12.8" hidden="false" customHeight="false" outlineLevel="0" collapsed="false">
      <c r="A24168" s="0" t="s">
        <v>9888</v>
      </c>
      <c r="B24168" s="0" t="str">
        <f aca="false">HYPERLINK("https://lindat.mff.cuni.cz/services/teitok/pdtc10/index.php?action=vallex&amp;frame=v-whsb_724hsa_725", "opéci (v-whsb_724hsa_725)")</f>
        <v>opéci (v-whsb_724hsa_725)</v>
      </c>
    </row>
    <row r="24169" customFormat="false" ht="12.8" hidden="false" customHeight="false" outlineLevel="0" collapsed="false">
      <c r="B24169" s="0" t="s">
        <v>1</v>
      </c>
    </row>
    <row r="24170" customFormat="false" ht="12.8" hidden="false" customHeight="false" outlineLevel="0" collapsed="false">
      <c r="B24170" s="0" t="s">
        <v>8</v>
      </c>
    </row>
    <row r="24172" customFormat="false" ht="12.8" hidden="false" customHeight="false" outlineLevel="0" collapsed="false">
      <c r="A24172" s="0" t="s">
        <v>9889</v>
      </c>
      <c r="B24172" s="0" t="str">
        <f aca="false">HYPERLINK("https://lindat.mff.cuni.cz/services/teitok/pdtc10/index.php?action=vallex&amp;frame=v-whsa_1111hsa_1112", "opékat (v-whsa_1111hsa_1112)")</f>
        <v>opékat (v-whsa_1111hsa_1112)</v>
      </c>
    </row>
    <row r="24173" customFormat="false" ht="12.8" hidden="false" customHeight="false" outlineLevel="0" collapsed="false">
      <c r="B24173" s="0" t="s">
        <v>1</v>
      </c>
    </row>
    <row r="24174" customFormat="false" ht="12.8" hidden="false" customHeight="false" outlineLevel="0" collapsed="false">
      <c r="B24174" s="0" t="s">
        <v>8</v>
      </c>
    </row>
    <row r="24176" customFormat="false" ht="12.8" hidden="false" customHeight="false" outlineLevel="0" collapsed="false">
      <c r="A24176" s="0" t="s">
        <v>9890</v>
      </c>
      <c r="B24176" s="0" t="str">
        <f aca="false">HYPERLINK("https://lindat.mff.cuni.cz/services/teitok/pdtc10/index.php?action=vallex&amp;frame=v-w3119f1", "opíjet (v-w3119f1)")</f>
        <v>opíjet (v-w3119f1)</v>
      </c>
    </row>
    <row r="24177" customFormat="false" ht="12.8" hidden="false" customHeight="false" outlineLevel="0" collapsed="false">
      <c r="B24177" s="0" t="s">
        <v>1</v>
      </c>
    </row>
    <row r="24178" customFormat="false" ht="12.8" hidden="false" customHeight="false" outlineLevel="0" collapsed="false">
      <c r="B24178" s="0" t="s">
        <v>8</v>
      </c>
    </row>
    <row r="24180" customFormat="false" ht="12.8" hidden="false" customHeight="false" outlineLevel="0" collapsed="false">
      <c r="A24180" s="0" t="s">
        <v>9891</v>
      </c>
      <c r="B24180" s="0" t="str">
        <f aca="false">HYPERLINK("https://lindat.mff.cuni.cz/services/teitok/pdtc10/index.php?action=vallex&amp;frame=v-w3120f1", "opíjet se (v-w3120f1)")</f>
        <v>opíjet se (v-w3120f1)</v>
      </c>
    </row>
    <row r="24181" customFormat="false" ht="12.8" hidden="false" customHeight="false" outlineLevel="0" collapsed="false">
      <c r="B24181" s="0" t="s">
        <v>1</v>
      </c>
    </row>
    <row r="24183" customFormat="false" ht="12.8" hidden="false" customHeight="false" outlineLevel="0" collapsed="false">
      <c r="A24183" s="0" t="s">
        <v>9892</v>
      </c>
      <c r="B24183" s="0" t="str">
        <f aca="false">HYPERLINK("https://lindat.mff.cuni.cz/services/teitok/pdtc10/index.php?action=vallex&amp;frame=v-w3120f2", "opíjet se (v-w3120f2)")</f>
        <v>opíjet se (v-w3120f2)</v>
      </c>
    </row>
    <row r="24184" customFormat="false" ht="12.8" hidden="false" customHeight="false" outlineLevel="0" collapsed="false">
      <c r="B24184" s="0" t="s">
        <v>1</v>
      </c>
    </row>
    <row r="24186" customFormat="false" ht="12.8" hidden="false" customHeight="false" outlineLevel="0" collapsed="false">
      <c r="A24186" s="0" t="s">
        <v>9893</v>
      </c>
      <c r="B24186" s="0" t="str">
        <f aca="false">HYPERLINK("https://lindat.mff.cuni.cz/services/teitok/pdtc10/index.php?action=vallex&amp;frame=v-w3123f1", "opírat (v-w3123f1)")</f>
        <v>opírat (v-w3123f1)</v>
      </c>
    </row>
    <row r="24187" customFormat="false" ht="12.8" hidden="false" customHeight="false" outlineLevel="0" collapsed="false">
      <c r="B24187" s="0" t="s">
        <v>1</v>
      </c>
    </row>
    <row r="24188" customFormat="false" ht="12.8" hidden="false" customHeight="false" outlineLevel="0" collapsed="false">
      <c r="B24188" s="0" t="s">
        <v>8</v>
      </c>
    </row>
    <row r="24189" customFormat="false" ht="12.8" hidden="false" customHeight="false" outlineLevel="0" collapsed="false">
      <c r="B24189" s="0" t="s">
        <v>9894</v>
      </c>
    </row>
    <row r="24191" customFormat="false" ht="12.8" hidden="false" customHeight="false" outlineLevel="0" collapsed="false">
      <c r="A24191" s="0" t="s">
        <v>9895</v>
      </c>
      <c r="B24191" s="0" t="str">
        <f aca="false">HYPERLINK("https://lindat.mff.cuni.cz/services/teitok/pdtc10/index.php?action=vallex&amp;frame=v-w3123f2", "opírat (v-w3123f2)")</f>
        <v>opírat (v-w3123f2)</v>
      </c>
    </row>
    <row r="24192" customFormat="false" ht="12.8" hidden="false" customHeight="false" outlineLevel="0" collapsed="false">
      <c r="B24192" s="0" t="s">
        <v>1</v>
      </c>
    </row>
    <row r="24193" customFormat="false" ht="12.8" hidden="false" customHeight="false" outlineLevel="0" collapsed="false">
      <c r="B24193" s="0" t="s">
        <v>8</v>
      </c>
    </row>
    <row r="24194" customFormat="false" ht="12.8" hidden="false" customHeight="false" outlineLevel="0" collapsed="false">
      <c r="B24194" s="0" t="s">
        <v>164</v>
      </c>
    </row>
    <row r="24196" customFormat="false" ht="12.8" hidden="false" customHeight="false" outlineLevel="0" collapsed="false">
      <c r="A24196" s="0" t="s">
        <v>9896</v>
      </c>
      <c r="B24196" s="0" t="str">
        <f aca="false">HYPERLINK("https://lindat.mff.cuni.cz/services/teitok/pdtc10/index.php?action=vallex&amp;frame=v-w3124f1", "opírat se (v-w3124f1)")</f>
        <v>opírat se (v-w3124f1)</v>
      </c>
      <c r="E24196" s="0" t="str">
        <f aca="false">HYPERLINK("https://lindat.mff.cuni.cz/services/SynSemClass40/SynSemClass40.html?veclass=vec00520#vec00520-ces-cm00003", "vec00520")</f>
        <v>vec00520</v>
      </c>
      <c r="F24196" s="0" t="s">
        <v>9897</v>
      </c>
    </row>
    <row r="24197" customFormat="false" ht="12.8" hidden="false" customHeight="false" outlineLevel="0" collapsed="false">
      <c r="B24197" s="0" t="s">
        <v>1</v>
      </c>
      <c r="C24197" s="0" t="s">
        <v>9898</v>
      </c>
      <c r="E24197" s="0" t="s">
        <v>9899</v>
      </c>
      <c r="F24197" s="0" t="s">
        <v>9900</v>
      </c>
    </row>
    <row r="24198" customFormat="false" ht="12.8" hidden="false" customHeight="false" outlineLevel="0" collapsed="false">
      <c r="B24198" s="0" t="s">
        <v>814</v>
      </c>
      <c r="C24198" s="0" t="s">
        <v>9901</v>
      </c>
      <c r="E24198" s="0" t="s">
        <v>9902</v>
      </c>
      <c r="F24198" s="0" t="s">
        <v>9903</v>
      </c>
    </row>
    <row r="24200" customFormat="false" ht="12.8" hidden="false" customHeight="false" outlineLevel="0" collapsed="false">
      <c r="A24200" s="0" t="s">
        <v>9904</v>
      </c>
      <c r="B24200" s="0" t="str">
        <f aca="false">HYPERLINK("https://lindat.mff.cuni.cz/services/teitok/pdtc10/index.php?action=vallex&amp;frame=v-w3124f2", "opírat se (v-w3124f2)")</f>
        <v>opírat se (v-w3124f2)</v>
      </c>
    </row>
    <row r="24201" customFormat="false" ht="12.8" hidden="false" customHeight="false" outlineLevel="0" collapsed="false">
      <c r="B24201" s="0" t="s">
        <v>1</v>
      </c>
    </row>
    <row r="24203" customFormat="false" ht="12.8" hidden="false" customHeight="false" outlineLevel="0" collapsed="false">
      <c r="A24203" s="0" t="s">
        <v>9905</v>
      </c>
      <c r="B24203" s="0" t="str">
        <f aca="false">HYPERLINK("https://lindat.mff.cuni.cz/services/teitok/pdtc10/index.php?action=vallex&amp;frame=v-w3128f1", "opít (v-w3128f1)")</f>
        <v>opít (v-w3128f1)</v>
      </c>
    </row>
    <row r="24204" customFormat="false" ht="12.8" hidden="false" customHeight="false" outlineLevel="0" collapsed="false">
      <c r="B24204" s="0" t="s">
        <v>1</v>
      </c>
    </row>
    <row r="24205" customFormat="false" ht="12.8" hidden="false" customHeight="false" outlineLevel="0" collapsed="false">
      <c r="B24205" s="0" t="s">
        <v>8</v>
      </c>
    </row>
    <row r="24207" customFormat="false" ht="12.8" hidden="false" customHeight="false" outlineLevel="0" collapsed="false">
      <c r="A24207" s="0" t="s">
        <v>9906</v>
      </c>
      <c r="B24207" s="0" t="str">
        <f aca="false">HYPERLINK("https://lindat.mff.cuni.cz/services/teitok/pdtc10/index.php?action=vallex&amp;frame=v-w3128f2", "opít (v-w3128f2)")</f>
        <v>opít (v-w3128f2)</v>
      </c>
    </row>
    <row r="24208" customFormat="false" ht="12.8" hidden="false" customHeight="false" outlineLevel="0" collapsed="false">
      <c r="B24208" s="0" t="s">
        <v>1</v>
      </c>
    </row>
    <row r="24209" customFormat="false" ht="12.8" hidden="false" customHeight="false" outlineLevel="0" collapsed="false">
      <c r="B24209" s="0" t="s">
        <v>8</v>
      </c>
    </row>
    <row r="24211" customFormat="false" ht="12.8" hidden="false" customHeight="false" outlineLevel="0" collapsed="false">
      <c r="A24211" s="0" t="s">
        <v>9907</v>
      </c>
      <c r="B24211" s="0" t="str">
        <f aca="false">HYPERLINK("https://lindat.mff.cuni.cz/services/teitok/pdtc10/index.php?action=vallex&amp;frame=v-w3129f2_ZU", "opít se (v-w3129f2_ZU)")</f>
        <v>opít se (v-w3129f2_ZU)</v>
      </c>
    </row>
    <row r="24212" customFormat="false" ht="12.8" hidden="false" customHeight="false" outlineLevel="0" collapsed="false">
      <c r="B24212" s="0" t="s">
        <v>1</v>
      </c>
    </row>
    <row r="24214" customFormat="false" ht="12.8" hidden="false" customHeight="false" outlineLevel="0" collapsed="false">
      <c r="A24214" s="0" t="s">
        <v>9907</v>
      </c>
      <c r="B24214" s="0" t="str">
        <f aca="false">HYPERLINK("https://lindat.mff.cuni.cz/services/teitok/pdtc10/index.php?action=vallex&amp;frame=v-w3129f1", "opít se (v-w3129f1) - substituted with v-w3129f2_ZU")</f>
        <v>opít se (v-w3129f1) - substituted with v-w3129f2_ZU</v>
      </c>
    </row>
    <row r="24215" customFormat="false" ht="12.8" hidden="false" customHeight="false" outlineLevel="0" collapsed="false">
      <c r="B24215" s="0" t="s">
        <v>1</v>
      </c>
    </row>
    <row r="24217" customFormat="false" ht="12.8" hidden="false" customHeight="false" outlineLevel="0" collapsed="false">
      <c r="A24217" s="0" t="s">
        <v>9908</v>
      </c>
      <c r="B24217" s="0" t="str">
        <f aca="false">HYPERLINK("https://lindat.mff.cuni.cz/services/teitok/pdtc10/index.php?action=vallex&amp;frame=v-w10903f2", "opětovat (v-w10903f2)")</f>
        <v>opětovat (v-w10903f2)</v>
      </c>
      <c r="E24217" s="0" t="str">
        <f aca="false">HYPERLINK("https://lindat.mff.cuni.cz/services/SynSemClass40/SynSemClass40.html?veclass=vec00659#vec00659-ces-cm00001", "vec00659")</f>
        <v>vec00659</v>
      </c>
      <c r="F24217" s="0" t="s">
        <v>9909</v>
      </c>
    </row>
    <row r="24218" customFormat="false" ht="12.8" hidden="false" customHeight="false" outlineLevel="0" collapsed="false">
      <c r="B24218" s="0" t="s">
        <v>1</v>
      </c>
      <c r="C24218" s="0" t="s">
        <v>106</v>
      </c>
      <c r="E24218" s="0" t="s">
        <v>31</v>
      </c>
      <c r="F24218" s="0" t="s">
        <v>4600</v>
      </c>
    </row>
    <row r="24219" customFormat="false" ht="12.8" hidden="false" customHeight="false" outlineLevel="0" collapsed="false">
      <c r="B24219" s="0" t="s">
        <v>8</v>
      </c>
      <c r="C24219" s="0" t="s">
        <v>1575</v>
      </c>
      <c r="E24219" s="0" t="s">
        <v>9910</v>
      </c>
      <c r="F24219" s="0" t="s">
        <v>9911</v>
      </c>
    </row>
    <row r="24221" customFormat="false" ht="12.8" hidden="false" customHeight="false" outlineLevel="0" collapsed="false">
      <c r="A24221" s="0" t="s">
        <v>9912</v>
      </c>
      <c r="B24221" s="0" t="str">
        <f aca="false">HYPERLINK("https://lindat.mff.cuni.cz/services/teitok/pdtc10/index.php?action=vallex&amp;frame=v-w10774f2", "opěvovat (v-w10774f2)")</f>
        <v>opěvovat (v-w10774f2)</v>
      </c>
    </row>
    <row r="24222" customFormat="false" ht="12.8" hidden="false" customHeight="false" outlineLevel="0" collapsed="false">
      <c r="B24222" s="0" t="s">
        <v>1</v>
      </c>
    </row>
    <row r="24223" customFormat="false" ht="12.8" hidden="false" customHeight="false" outlineLevel="0" collapsed="false">
      <c r="B24223" s="0" t="s">
        <v>9913</v>
      </c>
    </row>
    <row r="24225" customFormat="false" ht="12.8" hidden="false" customHeight="false" outlineLevel="0" collapsed="false">
      <c r="A24225" s="0" t="s">
        <v>9914</v>
      </c>
      <c r="B24225" s="0" t="str">
        <f aca="false">HYPERLINK("https://lindat.mff.cuni.cz/services/teitok/pdtc10/index.php?action=vallex&amp;frame=v-w11662_ZUf1_ZU", "opřít (v-w11662_ZUf1_ZU)")</f>
        <v>opřít (v-w11662_ZUf1_ZU)</v>
      </c>
    </row>
    <row r="24226" customFormat="false" ht="12.8" hidden="false" customHeight="false" outlineLevel="0" collapsed="false">
      <c r="B24226" s="0" t="s">
        <v>1</v>
      </c>
    </row>
    <row r="24227" customFormat="false" ht="12.8" hidden="false" customHeight="false" outlineLevel="0" collapsed="false">
      <c r="B24227" s="0" t="s">
        <v>8</v>
      </c>
    </row>
    <row r="24228" customFormat="false" ht="12.8" hidden="false" customHeight="false" outlineLevel="0" collapsed="false">
      <c r="B24228" s="0" t="s">
        <v>2413</v>
      </c>
    </row>
    <row r="24230" customFormat="false" ht="12.8" hidden="false" customHeight="false" outlineLevel="0" collapsed="false">
      <c r="A24230" s="0" t="s">
        <v>9915</v>
      </c>
      <c r="B24230" s="0" t="str">
        <f aca="false">HYPERLINK("https://lindat.mff.cuni.cz/services/teitok/pdtc10/index.php?action=vallex&amp;frame=v-w3157f1", "opřít se (v-w3157f1)")</f>
        <v>opřít se (v-w3157f1)</v>
      </c>
      <c r="E24230" s="0" t="str">
        <f aca="false">HYPERLINK("https://lindat.mff.cuni.cz/services/SynSemClass40/SynSemClass40.html?veclass=vec00520#vec00520-ces-cm00015", "vec00520")</f>
        <v>vec00520</v>
      </c>
      <c r="F24230" s="0" t="s">
        <v>9897</v>
      </c>
    </row>
    <row r="24231" customFormat="false" ht="12.8" hidden="false" customHeight="false" outlineLevel="0" collapsed="false">
      <c r="B24231" s="0" t="s">
        <v>1</v>
      </c>
      <c r="C24231" s="0" t="s">
        <v>9898</v>
      </c>
      <c r="E24231" s="0" t="s">
        <v>9899</v>
      </c>
      <c r="F24231" s="0" t="s">
        <v>9900</v>
      </c>
    </row>
    <row r="24232" customFormat="false" ht="12.8" hidden="false" customHeight="false" outlineLevel="0" collapsed="false">
      <c r="B24232" s="0" t="s">
        <v>814</v>
      </c>
      <c r="C24232" s="0" t="s">
        <v>9901</v>
      </c>
      <c r="E24232" s="0" t="s">
        <v>9902</v>
      </c>
      <c r="F24232" s="0" t="s">
        <v>9903</v>
      </c>
    </row>
    <row r="24234" customFormat="false" ht="12.8" hidden="false" customHeight="false" outlineLevel="0" collapsed="false">
      <c r="A24234" s="0" t="s">
        <v>9916</v>
      </c>
      <c r="B24234" s="0" t="str">
        <f aca="false">HYPERLINK("https://lindat.mff.cuni.cz/services/teitok/pdtc10/index.php?action=vallex&amp;frame=v-w3157f2", "opřít se (v-w3157f2)")</f>
        <v>opřít se (v-w3157f2)</v>
      </c>
    </row>
    <row r="24235" customFormat="false" ht="12.8" hidden="false" customHeight="false" outlineLevel="0" collapsed="false">
      <c r="B24235" s="0" t="s">
        <v>629</v>
      </c>
    </row>
    <row r="24236" customFormat="false" ht="12.8" hidden="false" customHeight="false" outlineLevel="0" collapsed="false">
      <c r="B24236" s="0" t="s">
        <v>164</v>
      </c>
    </row>
    <row r="24238" customFormat="false" ht="12.8" hidden="false" customHeight="false" outlineLevel="0" collapsed="false">
      <c r="A24238" s="0" t="s">
        <v>9917</v>
      </c>
      <c r="B24238" s="0" t="str">
        <f aca="false">HYPERLINK("https://lindat.mff.cuni.cz/services/teitok/pdtc10/index.php?action=vallex&amp;frame=v-w3157f3", "opřít se (v-w3157f3)")</f>
        <v>opřít se (v-w3157f3)</v>
      </c>
    </row>
    <row r="24239" customFormat="false" ht="12.8" hidden="false" customHeight="false" outlineLevel="0" collapsed="false">
      <c r="B24239" s="0" t="s">
        <v>1</v>
      </c>
    </row>
    <row r="24241" customFormat="false" ht="12.8" hidden="false" customHeight="false" outlineLevel="0" collapsed="false">
      <c r="A24241" s="0" t="s">
        <v>9918</v>
      </c>
      <c r="B24241" s="0" t="str">
        <f aca="false">HYPERLINK("https://lindat.mff.cuni.cz/services/teitok/pdtc10/index.php?action=vallex&amp;frame=v-w3163f1", "orat (v-w3163f1)")</f>
        <v>orat (v-w3163f1)</v>
      </c>
    </row>
    <row r="24242" customFormat="false" ht="12.8" hidden="false" customHeight="false" outlineLevel="0" collapsed="false">
      <c r="B24242" s="0" t="s">
        <v>1</v>
      </c>
    </row>
    <row r="24243" customFormat="false" ht="12.8" hidden="false" customHeight="false" outlineLevel="0" collapsed="false">
      <c r="B24243" s="0" t="s">
        <v>8</v>
      </c>
    </row>
    <row r="24245" customFormat="false" ht="12.8" hidden="false" customHeight="false" outlineLevel="0" collapsed="false">
      <c r="A24245" s="0" t="s">
        <v>9919</v>
      </c>
      <c r="B24245" s="0" t="str">
        <f aca="false">HYPERLINK("https://lindat.mff.cuni.cz/services/teitok/pdtc10/index.php?action=vallex&amp;frame=v-w11009f2", "orazítkovat (v-w11009f2)")</f>
        <v>orazítkovat (v-w11009f2)</v>
      </c>
      <c r="E24245" s="0" t="str">
        <f aca="false">HYPERLINK("https://lindat.mff.cuni.cz/services/SynSemClass40/SynSemClass40.html?veclass=vec00858#vec00858-ces-cm00001", "vec00858")</f>
        <v>vec00858</v>
      </c>
      <c r="F24245" s="0" t="s">
        <v>9920</v>
      </c>
    </row>
    <row r="24246" customFormat="false" ht="12.8" hidden="false" customHeight="false" outlineLevel="0" collapsed="false">
      <c r="B24246" s="0" t="s">
        <v>1</v>
      </c>
      <c r="E24246" s="0" t="s">
        <v>206</v>
      </c>
      <c r="F24246" s="0" t="s">
        <v>1359</v>
      </c>
    </row>
    <row r="24247" customFormat="false" ht="12.8" hidden="false" customHeight="false" outlineLevel="0" collapsed="false">
      <c r="B24247" s="0" t="s">
        <v>8</v>
      </c>
      <c r="C24247" s="0" t="s">
        <v>462</v>
      </c>
      <c r="E24247" s="0" t="s">
        <v>9797</v>
      </c>
      <c r="F24247" s="0" t="s">
        <v>9921</v>
      </c>
    </row>
    <row r="24249" customFormat="false" ht="12.8" hidden="false" customHeight="false" outlineLevel="0" collapsed="false">
      <c r="A24249" s="0" t="s">
        <v>9922</v>
      </c>
      <c r="B24249" s="0" t="str">
        <f aca="false">HYPERLINK("https://lindat.mff.cuni.cz/services/teitok/pdtc10/index.php?action=vallex&amp;frame=v-w3164f1", "ordinovat (v-w3164f1)")</f>
        <v>ordinovat (v-w3164f1)</v>
      </c>
    </row>
    <row r="24250" customFormat="false" ht="12.8" hidden="false" customHeight="false" outlineLevel="0" collapsed="false">
      <c r="B24250" s="0" t="s">
        <v>1</v>
      </c>
    </row>
    <row r="24251" customFormat="false" ht="12.8" hidden="false" customHeight="false" outlineLevel="0" collapsed="false">
      <c r="B24251" s="0" t="s">
        <v>9923</v>
      </c>
    </row>
    <row r="24252" customFormat="false" ht="12.8" hidden="false" customHeight="false" outlineLevel="0" collapsed="false">
      <c r="B24252" s="0" t="s">
        <v>52</v>
      </c>
    </row>
    <row r="24254" customFormat="false" ht="12.8" hidden="false" customHeight="false" outlineLevel="0" collapsed="false">
      <c r="A24254" s="0" t="s">
        <v>9924</v>
      </c>
      <c r="B24254" s="0" t="str">
        <f aca="false">HYPERLINK("https://lindat.mff.cuni.cz/services/teitok/pdtc10/index.php?action=vallex&amp;frame=v-w3169f2_MM", "organizovat (v-w3169f2_MM)")</f>
        <v>organizovat (v-w3169f2_MM)</v>
      </c>
    </row>
    <row r="24255" customFormat="false" ht="12.8" hidden="false" customHeight="false" outlineLevel="0" collapsed="false">
      <c r="B24255" s="0" t="s">
        <v>1</v>
      </c>
    </row>
    <row r="24256" customFormat="false" ht="12.8" hidden="false" customHeight="false" outlineLevel="0" collapsed="false">
      <c r="B24256" s="0" t="s">
        <v>59</v>
      </c>
    </row>
    <row r="24258" customFormat="false" ht="12.8" hidden="false" customHeight="false" outlineLevel="0" collapsed="false">
      <c r="A24258" s="0" t="s">
        <v>9924</v>
      </c>
      <c r="B24258" s="0" t="str">
        <f aca="false">HYPERLINK("https://lindat.mff.cuni.cz/services/teitok/pdtc10/index.php?action=vallex&amp;frame=v-w3169f1", "organizovat (v-w3169f1) - substituted with v-w3169f2_MM")</f>
        <v>organizovat (v-w3169f1) - substituted with v-w3169f2_MM</v>
      </c>
      <c r="E24258" s="0" t="str">
        <f aca="false">HYPERLINK("https://lindat.mff.cuni.cz/services/SynSemClass40/SynSemClass40.html?veclass=vec00502#vec00502-ces-cm00007", "vec00502")</f>
        <v>vec00502</v>
      </c>
      <c r="F24258" s="0" t="s">
        <v>1552</v>
      </c>
    </row>
    <row r="24259" customFormat="false" ht="12.8" hidden="false" customHeight="false" outlineLevel="0" collapsed="false">
      <c r="B24259" s="0" t="s">
        <v>1</v>
      </c>
      <c r="C24259" s="0" t="s">
        <v>1553</v>
      </c>
      <c r="E24259" s="0" t="s">
        <v>31</v>
      </c>
      <c r="F24259" s="0" t="s">
        <v>1554</v>
      </c>
    </row>
    <row r="24260" customFormat="false" ht="12.8" hidden="false" customHeight="false" outlineLevel="0" collapsed="false">
      <c r="B24260" s="0" t="s">
        <v>59</v>
      </c>
      <c r="C24260" s="0" t="s">
        <v>1555</v>
      </c>
      <c r="E24260" s="0" t="s">
        <v>1556</v>
      </c>
      <c r="F24260" s="0" t="s">
        <v>1557</v>
      </c>
    </row>
    <row r="24262" customFormat="false" ht="12.8" hidden="false" customHeight="false" outlineLevel="0" collapsed="false">
      <c r="A24262" s="0" t="s">
        <v>9925</v>
      </c>
      <c r="B24262" s="0" t="str">
        <f aca="false">HYPERLINK("https://lindat.mff.cuni.cz/services/teitok/pdtc10/index.php?action=vallex&amp;frame=v-w3169hsa_470", "organizovat (v-w3169hsa_470)")</f>
        <v>organizovat (v-w3169hsa_470)</v>
      </c>
    </row>
    <row r="24263" customFormat="false" ht="12.8" hidden="false" customHeight="false" outlineLevel="0" collapsed="false">
      <c r="B24263" s="0" t="s">
        <v>1</v>
      </c>
    </row>
    <row r="24264" customFormat="false" ht="12.8" hidden="false" customHeight="false" outlineLevel="0" collapsed="false">
      <c r="B24264" s="0" t="s">
        <v>8</v>
      </c>
    </row>
    <row r="24266" customFormat="false" ht="12.8" hidden="false" customHeight="false" outlineLevel="0" collapsed="false">
      <c r="A24266" s="0" t="s">
        <v>9926</v>
      </c>
      <c r="B24266" s="0" t="str">
        <f aca="false">HYPERLINK("https://lindat.mff.cuni.cz/services/teitok/pdtc10/index.php?action=vallex&amp;frame=v-w3172f4", "orientovat (v-w3172f4)")</f>
        <v>orientovat (v-w3172f4)</v>
      </c>
      <c r="E24266" s="0" t="str">
        <f aca="false">HYPERLINK("https://lindat.mff.cuni.cz/services/SynSemClass40/SynSemClass40.html?veclass=vec00859#vec00859-ces-cm00001", "vec00859")</f>
        <v>vec00859</v>
      </c>
      <c r="F24266" s="0" t="s">
        <v>1728</v>
      </c>
    </row>
    <row r="24267" customFormat="false" ht="12.8" hidden="false" customHeight="false" outlineLevel="0" collapsed="false">
      <c r="B24267" s="0" t="s">
        <v>1</v>
      </c>
      <c r="C24267" s="0" t="s">
        <v>1729</v>
      </c>
      <c r="E24267" s="0" t="s">
        <v>206</v>
      </c>
      <c r="F24267" s="0" t="s">
        <v>1730</v>
      </c>
    </row>
    <row r="24268" customFormat="false" ht="12.8" hidden="false" customHeight="false" outlineLevel="0" collapsed="false">
      <c r="B24268" s="0" t="s">
        <v>8</v>
      </c>
      <c r="C24268" s="0" t="s">
        <v>1731</v>
      </c>
      <c r="E24268" s="0" t="s">
        <v>1732</v>
      </c>
      <c r="F24268" s="0" t="s">
        <v>1733</v>
      </c>
    </row>
    <row r="24269" customFormat="false" ht="12.8" hidden="false" customHeight="false" outlineLevel="0" collapsed="false">
      <c r="B24269" s="0" t="s">
        <v>1734</v>
      </c>
      <c r="C24269" s="0" t="s">
        <v>1735</v>
      </c>
      <c r="E24269" s="0" t="s">
        <v>1736</v>
      </c>
      <c r="F24269" s="0" t="s">
        <v>1737</v>
      </c>
    </row>
    <row r="24271" customFormat="false" ht="12.8" hidden="false" customHeight="false" outlineLevel="0" collapsed="false">
      <c r="A24271" s="0" t="s">
        <v>9927</v>
      </c>
      <c r="B24271" s="0" t="str">
        <f aca="false">HYPERLINK("https://lindat.mff.cuni.cz/services/teitok/pdtc10/index.php?action=vallex&amp;frame=v-w3172f2", "orientovat (v-w3172f2)")</f>
        <v>orientovat (v-w3172f2)</v>
      </c>
    </row>
    <row r="24272" customFormat="false" ht="12.8" hidden="false" customHeight="false" outlineLevel="0" collapsed="false">
      <c r="B24272" s="0" t="s">
        <v>1</v>
      </c>
    </row>
    <row r="24273" customFormat="false" ht="12.8" hidden="false" customHeight="false" outlineLevel="0" collapsed="false">
      <c r="B24273" s="0" t="s">
        <v>8</v>
      </c>
    </row>
    <row r="24274" customFormat="false" ht="12.8" hidden="false" customHeight="false" outlineLevel="0" collapsed="false">
      <c r="B24274" s="0" t="s">
        <v>164</v>
      </c>
    </row>
    <row r="24276" customFormat="false" ht="12.8" hidden="false" customHeight="false" outlineLevel="0" collapsed="false">
      <c r="A24276" s="0" t="s">
        <v>9928</v>
      </c>
      <c r="B24276" s="0" t="str">
        <f aca="false">HYPERLINK("https://lindat.mff.cuni.cz/services/teitok/pdtc10/index.php?action=vallex&amp;frame=v-w3172f3", "orientovat (v-w3172f3)")</f>
        <v>orientovat (v-w3172f3)</v>
      </c>
    </row>
    <row r="24277" customFormat="false" ht="12.8" hidden="false" customHeight="false" outlineLevel="0" collapsed="false">
      <c r="B24277" s="0" t="s">
        <v>1</v>
      </c>
    </row>
    <row r="24278" customFormat="false" ht="12.8" hidden="false" customHeight="false" outlineLevel="0" collapsed="false">
      <c r="B24278" s="0" t="s">
        <v>8</v>
      </c>
    </row>
    <row r="24279" customFormat="false" ht="12.8" hidden="false" customHeight="false" outlineLevel="0" collapsed="false">
      <c r="B24279" s="0" t="s">
        <v>164</v>
      </c>
    </row>
    <row r="24281" customFormat="false" ht="12.8" hidden="false" customHeight="false" outlineLevel="0" collapsed="false">
      <c r="A24281" s="0" t="s">
        <v>9928</v>
      </c>
      <c r="B24281" s="0" t="str">
        <f aca="false">HYPERLINK("https://lindat.mff.cuni.cz/services/teitok/pdtc10/index.php?action=vallex&amp;frame=v-w3172f1", "orientovat (v-w3172f1) - substituted with v-w3172f3")</f>
        <v>orientovat (v-w3172f1) - substituted with v-w3172f3</v>
      </c>
    </row>
    <row r="24282" customFormat="false" ht="12.8" hidden="false" customHeight="false" outlineLevel="0" collapsed="false">
      <c r="B24282" s="0" t="s">
        <v>1</v>
      </c>
    </row>
    <row r="24283" customFormat="false" ht="12.8" hidden="false" customHeight="false" outlineLevel="0" collapsed="false">
      <c r="B24283" s="0" t="s">
        <v>8</v>
      </c>
    </row>
    <row r="24284" customFormat="false" ht="12.8" hidden="false" customHeight="false" outlineLevel="0" collapsed="false">
      <c r="B24284" s="0" t="s">
        <v>164</v>
      </c>
    </row>
    <row r="24286" customFormat="false" ht="12.8" hidden="false" customHeight="false" outlineLevel="0" collapsed="false">
      <c r="A24286" s="0" t="s">
        <v>9929</v>
      </c>
      <c r="B24286" s="0" t="str">
        <f aca="false">HYPERLINK("https://lindat.mff.cuni.cz/services/teitok/pdtc10/index.php?action=vallex&amp;frame=v-w3173f3_ZU", "orientovat se (v-w3173f3_ZU)")</f>
        <v>orientovat se (v-w3173f3_ZU)</v>
      </c>
      <c r="E24286" s="0" t="str">
        <f aca="false">HYPERLINK("https://lindat.mff.cuni.cz/services/SynSemClass40/SynSemClass40.html?veclass=vec00115#vec00115-ces-cm00195", "vec00115")</f>
        <v>vec00115</v>
      </c>
      <c r="F24286" s="0" t="s">
        <v>5568</v>
      </c>
      <c r="H24286" s="0" t="str">
        <f aca="false">HYPERLINK("https://lindat.mff.cuni.cz/services/SynSemClass40/SynSemClass40.html?veclass=vec00859#vec00859-ces-cm00072", "vec00859")</f>
        <v>vec00859</v>
      </c>
      <c r="I24286" s="0" t="s">
        <v>1728</v>
      </c>
    </row>
    <row r="24287" customFormat="false" ht="12.8" hidden="false" customHeight="false" outlineLevel="0" collapsed="false">
      <c r="B24287" s="0" t="s">
        <v>1</v>
      </c>
      <c r="C24287" s="0" t="s">
        <v>9930</v>
      </c>
      <c r="E24287" s="0" t="s">
        <v>5570</v>
      </c>
      <c r="F24287" s="0" t="s">
        <v>5571</v>
      </c>
      <c r="H24287" s="0" t="s">
        <v>5494</v>
      </c>
      <c r="I24287" s="0" t="s">
        <v>5495</v>
      </c>
    </row>
    <row r="24288" customFormat="false" ht="12.8" hidden="false" customHeight="false" outlineLevel="0" collapsed="false">
      <c r="B24288" s="0" t="s">
        <v>9931</v>
      </c>
      <c r="C24288" s="0" t="s">
        <v>9932</v>
      </c>
      <c r="E24288" s="0" t="s">
        <v>180</v>
      </c>
      <c r="F24288" s="0" t="s">
        <v>5573</v>
      </c>
      <c r="H24288" s="0" t="s">
        <v>523</v>
      </c>
      <c r="I24288" s="0" t="s">
        <v>5497</v>
      </c>
    </row>
    <row r="24290" customFormat="false" ht="12.8" hidden="false" customHeight="false" outlineLevel="0" collapsed="false">
      <c r="A24290" s="0" t="s">
        <v>9929</v>
      </c>
      <c r="B24290" s="0" t="str">
        <f aca="false">HYPERLINK("https://lindat.mff.cuni.cz/services/teitok/pdtc10/index.php?action=vallex&amp;frame=v-w3173f1", "orientovat se (v-w3173f1) - substituted with v-w3173f3_ZU")</f>
        <v>orientovat se (v-w3173f1) - substituted with v-w3173f3_ZU</v>
      </c>
    </row>
    <row r="24291" customFormat="false" ht="12.8" hidden="false" customHeight="false" outlineLevel="0" collapsed="false">
      <c r="B24291" s="0" t="s">
        <v>1</v>
      </c>
    </row>
    <row r="24292" customFormat="false" ht="12.8" hidden="false" customHeight="false" outlineLevel="0" collapsed="false">
      <c r="B24292" s="0" t="s">
        <v>9931</v>
      </c>
    </row>
    <row r="24294" customFormat="false" ht="12.8" hidden="false" customHeight="false" outlineLevel="0" collapsed="false">
      <c r="A24294" s="0" t="s">
        <v>9933</v>
      </c>
      <c r="B24294" s="0" t="str">
        <f aca="false">HYPERLINK("https://lindat.mff.cuni.cz/services/teitok/pdtc10/index.php?action=vallex&amp;frame=v-w3173f2", "orientovat se (v-w3173f2)")</f>
        <v>orientovat se (v-w3173f2)</v>
      </c>
    </row>
    <row r="24295" customFormat="false" ht="12.8" hidden="false" customHeight="false" outlineLevel="0" collapsed="false">
      <c r="B24295" s="0" t="s">
        <v>1</v>
      </c>
    </row>
    <row r="24296" customFormat="false" ht="12.8" hidden="false" customHeight="false" outlineLevel="0" collapsed="false">
      <c r="B24296" s="0" t="s">
        <v>5</v>
      </c>
    </row>
    <row r="24298" customFormat="false" ht="12.8" hidden="false" customHeight="false" outlineLevel="0" collapsed="false">
      <c r="A24298" s="0" t="s">
        <v>9934</v>
      </c>
      <c r="B24298" s="0" t="str">
        <f aca="false">HYPERLINK("https://lindat.mff.cuni.cz/services/teitok/pdtc10/index.php?action=vallex&amp;frame=v-w3173hsa_735", "orientovat se (v-w3173hsa_735)")</f>
        <v>orientovat se (v-w3173hsa_735)</v>
      </c>
    </row>
    <row r="24299" customFormat="false" ht="12.8" hidden="false" customHeight="false" outlineLevel="0" collapsed="false">
      <c r="B24299" s="0" t="s">
        <v>1</v>
      </c>
    </row>
    <row r="24300" customFormat="false" ht="12.8" hidden="false" customHeight="false" outlineLevel="0" collapsed="false">
      <c r="B24300" s="0" t="s">
        <v>164</v>
      </c>
    </row>
    <row r="24302" customFormat="false" ht="12.8" hidden="false" customHeight="false" outlineLevel="0" collapsed="false">
      <c r="A24302" s="0" t="s">
        <v>9935</v>
      </c>
      <c r="B24302" s="0" t="str">
        <f aca="false">HYPERLINK("https://lindat.mff.cuni.cz/services/teitok/pdtc10/index.php?action=vallex&amp;frame=v-w12139_ZUf1_ZU", "orodovat (v-w12139_ZUf1_ZU)")</f>
        <v>orodovat (v-w12139_ZUf1_ZU)</v>
      </c>
    </row>
    <row r="24303" customFormat="false" ht="12.8" hidden="false" customHeight="false" outlineLevel="0" collapsed="false">
      <c r="B24303" s="0" t="s">
        <v>1</v>
      </c>
    </row>
    <row r="24304" customFormat="false" ht="12.8" hidden="false" customHeight="false" outlineLevel="0" collapsed="false">
      <c r="B24304" s="0" t="s">
        <v>2069</v>
      </c>
    </row>
    <row r="24306" customFormat="false" ht="12.8" hidden="false" customHeight="false" outlineLevel="0" collapsed="false">
      <c r="A24306" s="0" t="s">
        <v>9936</v>
      </c>
      <c r="B24306" s="0" t="str">
        <f aca="false">HYPERLINK("https://lindat.mff.cuni.cz/services/teitok/pdtc10/index.php?action=vallex&amp;frame=v-w3174f1", "orosit se (v-w3174f1)")</f>
        <v>orosit se (v-w3174f1)</v>
      </c>
      <c r="E24306" s="0" t="str">
        <f aca="false">HYPERLINK("https://lindat.mff.cuni.cz/services/SynSemClass40/SynSemClass40.html?veclass=vec01507#vec01507-ces-cm00002", "vec01507")</f>
        <v>vec01507</v>
      </c>
      <c r="F24306" s="0" t="s">
        <v>5428</v>
      </c>
    </row>
    <row r="24307" customFormat="false" ht="12.8" hidden="false" customHeight="false" outlineLevel="0" collapsed="false">
      <c r="B24307" s="0" t="s">
        <v>1</v>
      </c>
      <c r="E24307" s="0" t="s">
        <v>84</v>
      </c>
      <c r="F24307" s="0" t="s">
        <v>5431</v>
      </c>
    </row>
    <row r="24309" customFormat="false" ht="12.8" hidden="false" customHeight="false" outlineLevel="0" collapsed="false">
      <c r="A24309" s="0" t="s">
        <v>9937</v>
      </c>
      <c r="B24309" s="0" t="str">
        <f aca="false">HYPERLINK("https://lindat.mff.cuni.cz/services/teitok/pdtc10/index.php?action=vallex&amp;frame=v-w11232f1", "osahat (v-w11232f1)")</f>
        <v>osahat (v-w11232f1)</v>
      </c>
    </row>
    <row r="24310" customFormat="false" ht="12.8" hidden="false" customHeight="false" outlineLevel="0" collapsed="false">
      <c r="B24310" s="0" t="s">
        <v>1</v>
      </c>
    </row>
    <row r="24311" customFormat="false" ht="12.8" hidden="false" customHeight="false" outlineLevel="0" collapsed="false">
      <c r="B24311" s="0" t="s">
        <v>8</v>
      </c>
    </row>
    <row r="24313" customFormat="false" ht="12.8" hidden="false" customHeight="false" outlineLevel="0" collapsed="false">
      <c r="A24313" s="0" t="s">
        <v>9938</v>
      </c>
      <c r="B24313" s="0" t="str">
        <f aca="false">HYPERLINK("https://lindat.mff.cuni.cz/services/teitok/pdtc10/index.php?action=vallex&amp;frame=v-w3176f1", "osahat si (v-w3176f1)")</f>
        <v>osahat si (v-w3176f1)</v>
      </c>
    </row>
    <row r="24314" customFormat="false" ht="12.8" hidden="false" customHeight="false" outlineLevel="0" collapsed="false">
      <c r="B24314" s="0" t="s">
        <v>1</v>
      </c>
    </row>
    <row r="24315" customFormat="false" ht="12.8" hidden="false" customHeight="false" outlineLevel="0" collapsed="false">
      <c r="B24315" s="0" t="s">
        <v>8</v>
      </c>
    </row>
    <row r="24317" customFormat="false" ht="12.8" hidden="false" customHeight="false" outlineLevel="0" collapsed="false">
      <c r="A24317" s="0" t="s">
        <v>9939</v>
      </c>
      <c r="B24317" s="0" t="str">
        <f aca="false">HYPERLINK("https://lindat.mff.cuni.cz/services/teitok/pdtc10/index.php?action=vallex&amp;frame=v-w3177f1", "osahávat (v-w3177f1)")</f>
        <v>osahávat (v-w3177f1)</v>
      </c>
    </row>
    <row r="24318" customFormat="false" ht="12.8" hidden="false" customHeight="false" outlineLevel="0" collapsed="false">
      <c r="B24318" s="0" t="s">
        <v>1</v>
      </c>
    </row>
    <row r="24319" customFormat="false" ht="12.8" hidden="false" customHeight="false" outlineLevel="0" collapsed="false">
      <c r="B24319" s="0" t="s">
        <v>8</v>
      </c>
    </row>
    <row r="24321" customFormat="false" ht="12.8" hidden="false" customHeight="false" outlineLevel="0" collapsed="false">
      <c r="A24321" s="0" t="s">
        <v>9940</v>
      </c>
      <c r="B24321" s="0" t="str">
        <f aca="false">HYPERLINK("https://lindat.mff.cuni.cz/services/teitok/pdtc10/index.php?action=vallex&amp;frame=v-w3181f2", "osamostatnit se (v-w3181f2)")</f>
        <v>osamostatnit se (v-w3181f2)</v>
      </c>
    </row>
    <row r="24322" customFormat="false" ht="12.8" hidden="false" customHeight="false" outlineLevel="0" collapsed="false">
      <c r="B24322" s="0" t="s">
        <v>1</v>
      </c>
    </row>
    <row r="24323" customFormat="false" ht="12.8" hidden="false" customHeight="false" outlineLevel="0" collapsed="false">
      <c r="B24323" s="0" t="s">
        <v>26</v>
      </c>
    </row>
    <row r="24325" customFormat="false" ht="12.8" hidden="false" customHeight="false" outlineLevel="0" collapsed="false">
      <c r="A24325" s="0" t="s">
        <v>9941</v>
      </c>
      <c r="B24325" s="0" t="str">
        <f aca="false">HYPERLINK("https://lindat.mff.cuni.cz/services/teitok/pdtc10/index.php?action=vallex&amp;frame=v-w3181f1", "osamostatnit se (v-w3181f1)")</f>
        <v>osamostatnit se (v-w3181f1)</v>
      </c>
    </row>
    <row r="24326" customFormat="false" ht="12.8" hidden="false" customHeight="false" outlineLevel="0" collapsed="false">
      <c r="B24326" s="0" t="s">
        <v>1</v>
      </c>
    </row>
    <row r="24328" customFormat="false" ht="12.8" hidden="false" customHeight="false" outlineLevel="0" collapsed="false">
      <c r="A24328" s="0" t="s">
        <v>9942</v>
      </c>
      <c r="B24328" s="0" t="str">
        <f aca="false">HYPERLINK("https://lindat.mff.cuni.cz/services/teitok/pdtc10/index.php?action=vallex&amp;frame=v-w11700_ZUf1_ZU", "osamostatňovat se (v-w11700_ZUf1_ZU)")</f>
        <v>osamostatňovat se (v-w11700_ZUf1_ZU)</v>
      </c>
    </row>
    <row r="24329" customFormat="false" ht="12.8" hidden="false" customHeight="false" outlineLevel="0" collapsed="false">
      <c r="B24329" s="0" t="s">
        <v>1</v>
      </c>
    </row>
    <row r="24331" customFormat="false" ht="12.8" hidden="false" customHeight="false" outlineLevel="0" collapsed="false">
      <c r="A24331" s="0" t="s">
        <v>9943</v>
      </c>
      <c r="B24331" s="0" t="str">
        <f aca="false">HYPERLINK("https://lindat.mff.cuni.cz/services/teitok/pdtc10/index.php?action=vallex&amp;frame=v-w12052_ZUf1_ZU", "osazovat (v-w12052_ZUf1_ZU)")</f>
        <v>osazovat (v-w12052_ZUf1_ZU)</v>
      </c>
    </row>
    <row r="24332" customFormat="false" ht="12.8" hidden="false" customHeight="false" outlineLevel="0" collapsed="false">
      <c r="B24332" s="0" t="s">
        <v>1</v>
      </c>
    </row>
    <row r="24333" customFormat="false" ht="12.8" hidden="false" customHeight="false" outlineLevel="0" collapsed="false">
      <c r="B24333" s="0" t="s">
        <v>8</v>
      </c>
    </row>
    <row r="24335" customFormat="false" ht="12.8" hidden="false" customHeight="false" outlineLevel="0" collapsed="false">
      <c r="A24335" s="0" t="s">
        <v>9944</v>
      </c>
      <c r="B24335" s="0" t="str">
        <f aca="false">HYPERLINK("https://lindat.mff.cuni.cz/services/teitok/pdtc10/index.php?action=vallex&amp;frame=v-whsa_870f1_ZU", "oscilovat (v-whsa_870f1_ZU)")</f>
        <v>oscilovat (v-whsa_870f1_ZU)</v>
      </c>
    </row>
    <row r="24336" customFormat="false" ht="12.8" hidden="false" customHeight="false" outlineLevel="0" collapsed="false">
      <c r="B24336" s="0" t="s">
        <v>1</v>
      </c>
    </row>
    <row r="24338" customFormat="false" ht="12.8" hidden="false" customHeight="false" outlineLevel="0" collapsed="false">
      <c r="A24338" s="0" t="s">
        <v>9944</v>
      </c>
      <c r="B24338" s="0" t="str">
        <f aca="false">HYPERLINK("https://lindat.mff.cuni.cz/services/teitok/pdtc10/index.php?action=vallex&amp;frame=v-whsa_870hsa_871", "oscilovat (v-whsa_870hsa_871) - substituted with v-whsa_870f1_ZU")</f>
        <v>oscilovat (v-whsa_870hsa_871) - substituted with v-whsa_870f1_ZU</v>
      </c>
    </row>
    <row r="24339" customFormat="false" ht="12.8" hidden="false" customHeight="false" outlineLevel="0" collapsed="false">
      <c r="B24339" s="0" t="s">
        <v>1</v>
      </c>
    </row>
    <row r="24341" customFormat="false" ht="12.8" hidden="false" customHeight="false" outlineLevel="0" collapsed="false">
      <c r="A24341" s="0" t="s">
        <v>9945</v>
      </c>
      <c r="B24341" s="0" t="str">
        <f aca="false">HYPERLINK("https://lindat.mff.cuni.cz/services/teitok/pdtc10/index.php?action=vallex&amp;frame=v-w11542_ZUf1_ZU", "osedlat si (v-w11542_ZUf1_ZU)")</f>
        <v>osedlat si (v-w11542_ZUf1_ZU)</v>
      </c>
    </row>
    <row r="24342" customFormat="false" ht="12.8" hidden="false" customHeight="false" outlineLevel="0" collapsed="false">
      <c r="B24342" s="0" t="s">
        <v>1</v>
      </c>
    </row>
    <row r="24343" customFormat="false" ht="12.8" hidden="false" customHeight="false" outlineLevel="0" collapsed="false">
      <c r="B24343" s="0" t="s">
        <v>8</v>
      </c>
    </row>
    <row r="24345" customFormat="false" ht="12.8" hidden="false" customHeight="false" outlineLevel="0" collapsed="false">
      <c r="A24345" s="0" t="s">
        <v>9946</v>
      </c>
      <c r="B24345" s="0" t="str">
        <f aca="false">HYPERLINK("https://lindat.mff.cuni.cz/services/teitok/pdtc10/index.php?action=vallex&amp;frame=v-w10714f2", "osekat (v-w10714f2)")</f>
        <v>osekat (v-w10714f2)</v>
      </c>
      <c r="E24345" s="0" t="str">
        <f aca="false">HYPERLINK("https://lindat.mff.cuni.cz/services/SynSemClass40/SynSemClass40.html?veclass=vec00118#vec00118-ces-cm00339", "vec00118")</f>
        <v>vec00118</v>
      </c>
      <c r="F24345" s="0" t="s">
        <v>5784</v>
      </c>
      <c r="H24345" s="0" t="str">
        <f aca="false">HYPERLINK("https://lindat.mff.cuni.cz/services/SynSemClass40/SynSemClass40.html?veclass=vec01508#vec01508-ces-cm00018", "vec01508")</f>
        <v>vec01508</v>
      </c>
      <c r="I24345" s="0" t="s">
        <v>9644</v>
      </c>
    </row>
    <row r="24346" customFormat="false" ht="12.8" hidden="false" customHeight="false" outlineLevel="0" collapsed="false">
      <c r="B24346" s="0" t="s">
        <v>1</v>
      </c>
      <c r="C24346" s="0" t="s">
        <v>9688</v>
      </c>
      <c r="E24346" s="0" t="s">
        <v>31</v>
      </c>
      <c r="F24346" s="0" t="s">
        <v>5787</v>
      </c>
      <c r="H24346" s="0" t="s">
        <v>5401</v>
      </c>
      <c r="I24346" s="0" t="s">
        <v>9646</v>
      </c>
    </row>
    <row r="24347" customFormat="false" ht="12.8" hidden="false" customHeight="false" outlineLevel="0" collapsed="false">
      <c r="B24347" s="0" t="s">
        <v>8</v>
      </c>
      <c r="C24347" s="0" t="s">
        <v>9689</v>
      </c>
      <c r="E24347" s="0" t="s">
        <v>1569</v>
      </c>
      <c r="F24347" s="0" t="s">
        <v>5790</v>
      </c>
      <c r="H24347" s="0" t="s">
        <v>5405</v>
      </c>
      <c r="I24347" s="0" t="s">
        <v>9648</v>
      </c>
    </row>
    <row r="24348" customFormat="false" ht="12.8" hidden="false" customHeight="false" outlineLevel="0" collapsed="false">
      <c r="B24348" s="0" t="s">
        <v>36</v>
      </c>
      <c r="C24348" s="0" t="s">
        <v>9690</v>
      </c>
      <c r="E24348" s="0" t="s">
        <v>5152</v>
      </c>
      <c r="F24348" s="0" t="s">
        <v>5793</v>
      </c>
      <c r="H24348" s="0" t="s">
        <v>38</v>
      </c>
      <c r="I24348" s="0" t="s">
        <v>9691</v>
      </c>
    </row>
    <row r="24349" customFormat="false" ht="12.8" hidden="false" customHeight="false" outlineLevel="0" collapsed="false">
      <c r="B24349" s="0" t="s">
        <v>101</v>
      </c>
      <c r="C24349" s="0" t="s">
        <v>9692</v>
      </c>
      <c r="E24349" s="0" t="s">
        <v>5796</v>
      </c>
      <c r="F24349" s="0" t="s">
        <v>5797</v>
      </c>
      <c r="H24349" s="0" t="s">
        <v>42</v>
      </c>
      <c r="I24349" s="0" t="s">
        <v>9693</v>
      </c>
    </row>
    <row r="24351" customFormat="false" ht="12.8" hidden="false" customHeight="false" outlineLevel="0" collapsed="false">
      <c r="A24351" s="0" t="s">
        <v>9947</v>
      </c>
      <c r="B24351" s="0" t="str">
        <f aca="false">HYPERLINK("https://lindat.mff.cuni.cz/services/teitok/pdtc10/index.php?action=vallex&amp;frame=v-w10677f2", "oseknout (v-w10677f2)")</f>
        <v>oseknout (v-w10677f2)</v>
      </c>
    </row>
    <row r="24352" customFormat="false" ht="12.8" hidden="false" customHeight="false" outlineLevel="0" collapsed="false">
      <c r="B24352" s="0" t="s">
        <v>1</v>
      </c>
    </row>
    <row r="24353" customFormat="false" ht="12.8" hidden="false" customHeight="false" outlineLevel="0" collapsed="false">
      <c r="B24353" s="0" t="s">
        <v>8</v>
      </c>
    </row>
    <row r="24354" customFormat="false" ht="12.8" hidden="false" customHeight="false" outlineLevel="0" collapsed="false">
      <c r="B24354" s="0" t="s">
        <v>36</v>
      </c>
    </row>
    <row r="24355" customFormat="false" ht="12.8" hidden="false" customHeight="false" outlineLevel="0" collapsed="false">
      <c r="B24355" s="0" t="s">
        <v>101</v>
      </c>
    </row>
    <row r="24357" customFormat="false" ht="12.8" hidden="false" customHeight="false" outlineLevel="0" collapsed="false">
      <c r="A24357" s="0" t="s">
        <v>9948</v>
      </c>
      <c r="B24357" s="0" t="str">
        <f aca="false">HYPERLINK("https://lindat.mff.cuni.cz/services/teitok/pdtc10/index.php?action=vallex&amp;frame=v-w3186f1", "osiřet (v-w3186f1)")</f>
        <v>osiřet (v-w3186f1)</v>
      </c>
    </row>
    <row r="24358" customFormat="false" ht="12.8" hidden="false" customHeight="false" outlineLevel="0" collapsed="false">
      <c r="B24358" s="0" t="s">
        <v>1</v>
      </c>
    </row>
    <row r="24360" customFormat="false" ht="12.8" hidden="false" customHeight="false" outlineLevel="0" collapsed="false">
      <c r="A24360" s="0" t="s">
        <v>9949</v>
      </c>
      <c r="B24360" s="0" t="str">
        <f aca="false">HYPERLINK("https://lindat.mff.cuni.cz/services/teitok/pdtc10/index.php?action=vallex&amp;frame=v-whsa_616hsa_617", "oskenovat (v-whsa_616hsa_617)")</f>
        <v>oskenovat (v-whsa_616hsa_617)</v>
      </c>
    </row>
    <row r="24361" customFormat="false" ht="12.8" hidden="false" customHeight="false" outlineLevel="0" collapsed="false">
      <c r="B24361" s="0" t="s">
        <v>1</v>
      </c>
    </row>
    <row r="24362" customFormat="false" ht="12.8" hidden="false" customHeight="false" outlineLevel="0" collapsed="false">
      <c r="B24362" s="0" t="s">
        <v>8</v>
      </c>
    </row>
    <row r="24364" customFormat="false" ht="12.8" hidden="false" customHeight="false" outlineLevel="0" collapsed="false">
      <c r="A24364" s="0" t="s">
        <v>9950</v>
      </c>
      <c r="B24364" s="0" t="str">
        <f aca="false">HYPERLINK("https://lindat.mff.cuni.cz/services/teitok/pdtc10/index.php?action=vallex&amp;frame=v-w3188f1", "oslabit (v-w3188f1)")</f>
        <v>oslabit (v-w3188f1)</v>
      </c>
      <c r="E24364" s="0" t="str">
        <f aca="false">HYPERLINK("https://lindat.mff.cuni.cz/services/SynSemClass40/SynSemClass40.html?veclass=vec00118#vec00118-ces-cm00104", "vec00118")</f>
        <v>vec00118</v>
      </c>
      <c r="F24364" s="0" t="s">
        <v>5784</v>
      </c>
    </row>
    <row r="24365" customFormat="false" ht="12.8" hidden="false" customHeight="false" outlineLevel="0" collapsed="false">
      <c r="B24365" s="0" t="s">
        <v>1</v>
      </c>
      <c r="C24365" s="0" t="s">
        <v>9951</v>
      </c>
      <c r="E24365" s="0" t="s">
        <v>31</v>
      </c>
      <c r="F24365" s="0" t="s">
        <v>5787</v>
      </c>
    </row>
    <row r="24366" customFormat="false" ht="12.8" hidden="false" customHeight="false" outlineLevel="0" collapsed="false">
      <c r="B24366" s="0" t="s">
        <v>8</v>
      </c>
      <c r="C24366" s="0" t="s">
        <v>9952</v>
      </c>
      <c r="E24366" s="0" t="s">
        <v>1569</v>
      </c>
      <c r="F24366" s="0" t="s">
        <v>5790</v>
      </c>
    </row>
    <row r="24367" customFormat="false" ht="12.8" hidden="false" customHeight="false" outlineLevel="0" collapsed="false">
      <c r="B24367" s="0" t="s">
        <v>36</v>
      </c>
      <c r="C24367" s="0" t="s">
        <v>9953</v>
      </c>
      <c r="E24367" s="0" t="s">
        <v>5152</v>
      </c>
      <c r="F24367" s="0" t="s">
        <v>5793</v>
      </c>
    </row>
    <row r="24368" customFormat="false" ht="12.8" hidden="false" customHeight="false" outlineLevel="0" collapsed="false">
      <c r="B24368" s="0" t="s">
        <v>101</v>
      </c>
      <c r="C24368" s="0" t="s">
        <v>9954</v>
      </c>
      <c r="E24368" s="0" t="s">
        <v>5796</v>
      </c>
      <c r="F24368" s="0" t="s">
        <v>5797</v>
      </c>
    </row>
    <row r="24370" customFormat="false" ht="12.8" hidden="false" customHeight="false" outlineLevel="0" collapsed="false">
      <c r="A24370" s="0" t="s">
        <v>9955</v>
      </c>
      <c r="B24370" s="0" t="str">
        <f aca="false">HYPERLINK("https://lindat.mff.cuni.cz/services/teitok/pdtc10/index.php?action=vallex&amp;frame=v-w3188f3", "oslabit (v-w3188f3)")</f>
        <v>oslabit (v-w3188f3)</v>
      </c>
      <c r="E24370" s="0" t="str">
        <f aca="false">HYPERLINK("https://lindat.mff.cuni.cz/services/SynSemClass40/SynSemClass40.html?veclass=vec00055#vec00055-ces-cm00001", "vec00055")</f>
        <v>vec00055</v>
      </c>
      <c r="F24370" s="0" t="s">
        <v>9956</v>
      </c>
      <c r="H24370" s="0" t="str">
        <f aca="false">HYPERLINK("https://lindat.mff.cuni.cz/services/SynSemClass40/SynSemClass40.html?veclass=vec01510#vec01510-ces-cm00008", "vec01510")</f>
        <v>vec01510</v>
      </c>
      <c r="I24370" s="0" t="s">
        <v>7671</v>
      </c>
    </row>
    <row r="24371" customFormat="false" ht="12.8" hidden="false" customHeight="false" outlineLevel="0" collapsed="false">
      <c r="B24371" s="0" t="s">
        <v>1</v>
      </c>
      <c r="C24371" s="0" t="s">
        <v>9957</v>
      </c>
      <c r="E24371" s="0" t="s">
        <v>76</v>
      </c>
      <c r="F24371" s="0" t="s">
        <v>9958</v>
      </c>
      <c r="H24371" s="0" t="s">
        <v>76</v>
      </c>
      <c r="I24371" s="0" t="s">
        <v>7674</v>
      </c>
    </row>
    <row r="24372" customFormat="false" ht="12.8" hidden="false" customHeight="false" outlineLevel="0" collapsed="false">
      <c r="B24372" s="0" t="s">
        <v>8</v>
      </c>
      <c r="C24372" s="0" t="s">
        <v>9959</v>
      </c>
      <c r="E24372" s="0" t="s">
        <v>706</v>
      </c>
      <c r="F24372" s="0" t="s">
        <v>9960</v>
      </c>
      <c r="H24372" s="0" t="s">
        <v>706</v>
      </c>
      <c r="I24372" s="0" t="s">
        <v>7678</v>
      </c>
    </row>
    <row r="24374" customFormat="false" ht="12.8" hidden="false" customHeight="false" outlineLevel="0" collapsed="false">
      <c r="A24374" s="0" t="s">
        <v>9961</v>
      </c>
      <c r="B24374" s="0" t="str">
        <f aca="false">HYPERLINK("https://lindat.mff.cuni.cz/services/teitok/pdtc10/index.php?action=vallex&amp;frame=v-w3188f2", "oslabit (v-w3188f2)")</f>
        <v>oslabit (v-w3188f2)</v>
      </c>
      <c r="E24374" s="0" t="str">
        <f aca="false">HYPERLINK("https://lindat.mff.cuni.cz/services/SynSemClass40/SynSemClass40.html?veclass=vec00463#vec00463-ces-cm00001", "vec00463")</f>
        <v>vec00463</v>
      </c>
      <c r="F24374" s="0" t="s">
        <v>8671</v>
      </c>
    </row>
    <row r="24375" customFormat="false" ht="12.8" hidden="false" customHeight="false" outlineLevel="0" collapsed="false">
      <c r="B24375" s="0" t="s">
        <v>1</v>
      </c>
      <c r="C24375" s="0" t="s">
        <v>9962</v>
      </c>
      <c r="E24375" s="0" t="s">
        <v>8663</v>
      </c>
      <c r="F24375" s="0" t="s">
        <v>8673</v>
      </c>
    </row>
    <row r="24377" customFormat="false" ht="12.8" hidden="false" customHeight="false" outlineLevel="0" collapsed="false">
      <c r="A24377" s="0" t="s">
        <v>9963</v>
      </c>
      <c r="B24377" s="0" t="str">
        <f aca="false">HYPERLINK("https://lindat.mff.cuni.cz/services/teitok/pdtc10/index.php?action=vallex&amp;frame=v-w3188f4_ZU", "oslabit (v-w3188f4_ZU)")</f>
        <v>oslabit (v-w3188f4_ZU)</v>
      </c>
      <c r="E24377" s="0" t="str">
        <f aca="false">HYPERLINK("https://lindat.mff.cuni.cz/services/SynSemClass40/SynSemClass40.html?veclass=vec00028#vec00028-ces-cm00014", "vec00028")</f>
        <v>vec00028</v>
      </c>
      <c r="F24377" s="0" t="s">
        <v>5301</v>
      </c>
    </row>
    <row r="24378" customFormat="false" ht="12.8" hidden="false" customHeight="false" outlineLevel="0" collapsed="false">
      <c r="B24378" s="0" t="s">
        <v>1</v>
      </c>
      <c r="C24378" s="0" t="s">
        <v>9964</v>
      </c>
      <c r="E24378" s="0" t="s">
        <v>235</v>
      </c>
      <c r="F24378" s="0" t="s">
        <v>5304</v>
      </c>
    </row>
    <row r="24379" customFormat="false" ht="12.8" hidden="false" customHeight="false" outlineLevel="0" collapsed="false">
      <c r="B24379" s="0" t="s">
        <v>69</v>
      </c>
      <c r="C24379" s="0" t="s">
        <v>9965</v>
      </c>
      <c r="E24379" s="0" t="s">
        <v>5149</v>
      </c>
      <c r="F24379" s="0" t="s">
        <v>5307</v>
      </c>
    </row>
    <row r="24380" customFormat="false" ht="12.8" hidden="false" customHeight="false" outlineLevel="0" collapsed="false">
      <c r="B24380" s="0" t="s">
        <v>36</v>
      </c>
      <c r="C24380" s="0" t="s">
        <v>9966</v>
      </c>
      <c r="E24380" s="0" t="s">
        <v>5152</v>
      </c>
      <c r="F24380" s="0" t="s">
        <v>5311</v>
      </c>
    </row>
    <row r="24382" customFormat="false" ht="12.8" hidden="false" customHeight="false" outlineLevel="0" collapsed="false">
      <c r="A24382" s="0" t="s">
        <v>9963</v>
      </c>
      <c r="B24382" s="0" t="str">
        <f aca="false">HYPERLINK("https://lindat.mff.cuni.cz/services/teitok/pdtc10/index.php?action=vallex&amp;frame=v-w3188hsa_487", "oslabit (v-w3188hsa_487) - substituted with v-w3188f4_ZU")</f>
        <v>oslabit (v-w3188hsa_487) - substituted with v-w3188f4_ZU</v>
      </c>
    </row>
    <row r="24383" customFormat="false" ht="12.8" hidden="false" customHeight="false" outlineLevel="0" collapsed="false">
      <c r="B24383" s="0" t="s">
        <v>1</v>
      </c>
    </row>
    <row r="24384" customFormat="false" ht="12.8" hidden="false" customHeight="false" outlineLevel="0" collapsed="false">
      <c r="B24384" s="0" t="s">
        <v>69</v>
      </c>
    </row>
    <row r="24385" customFormat="false" ht="12.8" hidden="false" customHeight="false" outlineLevel="0" collapsed="false">
      <c r="B24385" s="0" t="s">
        <v>36</v>
      </c>
    </row>
    <row r="24387" customFormat="false" ht="12.8" hidden="false" customHeight="false" outlineLevel="0" collapsed="false">
      <c r="A24387" s="0" t="s">
        <v>9967</v>
      </c>
      <c r="B24387" s="0" t="str">
        <f aca="false">HYPERLINK("https://lindat.mff.cuni.cz/services/teitok/pdtc10/index.php?action=vallex&amp;frame=v-w3190f1", "oslabovat (v-w3190f1)")</f>
        <v>oslabovat (v-w3190f1)</v>
      </c>
      <c r="E24387" s="0" t="str">
        <f aca="false">HYPERLINK("https://lindat.mff.cuni.cz/services/SynSemClass40/SynSemClass40.html?veclass=vec00118#vec00118-ces-cm00337", "vec00118")</f>
        <v>vec00118</v>
      </c>
      <c r="F24387" s="0" t="s">
        <v>5784</v>
      </c>
    </row>
    <row r="24388" customFormat="false" ht="12.8" hidden="false" customHeight="false" outlineLevel="0" collapsed="false">
      <c r="B24388" s="0" t="s">
        <v>1</v>
      </c>
      <c r="C24388" s="0" t="s">
        <v>9951</v>
      </c>
      <c r="E24388" s="0" t="s">
        <v>31</v>
      </c>
      <c r="F24388" s="0" t="s">
        <v>5787</v>
      </c>
    </row>
    <row r="24389" customFormat="false" ht="12.8" hidden="false" customHeight="false" outlineLevel="0" collapsed="false">
      <c r="B24389" s="0" t="s">
        <v>8</v>
      </c>
      <c r="C24389" s="0" t="s">
        <v>9952</v>
      </c>
      <c r="E24389" s="0" t="s">
        <v>1569</v>
      </c>
      <c r="F24389" s="0" t="s">
        <v>5790</v>
      </c>
    </row>
    <row r="24390" customFormat="false" ht="12.8" hidden="false" customHeight="false" outlineLevel="0" collapsed="false">
      <c r="B24390" s="0" t="s">
        <v>36</v>
      </c>
      <c r="C24390" s="0" t="s">
        <v>9953</v>
      </c>
      <c r="E24390" s="0" t="s">
        <v>5152</v>
      </c>
      <c r="F24390" s="0" t="s">
        <v>5793</v>
      </c>
    </row>
    <row r="24391" customFormat="false" ht="12.8" hidden="false" customHeight="false" outlineLevel="0" collapsed="false">
      <c r="B24391" s="0" t="s">
        <v>101</v>
      </c>
      <c r="C24391" s="0" t="s">
        <v>9954</v>
      </c>
      <c r="E24391" s="0" t="s">
        <v>5796</v>
      </c>
      <c r="F24391" s="0" t="s">
        <v>5797</v>
      </c>
    </row>
    <row r="24393" customFormat="false" ht="12.8" hidden="false" customHeight="false" outlineLevel="0" collapsed="false">
      <c r="A24393" s="0" t="s">
        <v>9968</v>
      </c>
      <c r="B24393" s="0" t="str">
        <f aca="false">HYPERLINK("https://lindat.mff.cuni.cz/services/teitok/pdtc10/index.php?action=vallex&amp;frame=v-w3190f2", "oslabovat (v-w3190f2)")</f>
        <v>oslabovat (v-w3190f2)</v>
      </c>
      <c r="E24393" s="0" t="str">
        <f aca="false">HYPERLINK("https://lindat.mff.cuni.cz/services/SynSemClass40/SynSemClass40.html?veclass=vec00055#vec00055-ces-cm00004", "vec00055")</f>
        <v>vec00055</v>
      </c>
      <c r="F24393" s="0" t="s">
        <v>9956</v>
      </c>
      <c r="H24393" s="0" t="str">
        <f aca="false">HYPERLINK("https://lindat.mff.cuni.cz/services/SynSemClass40/SynSemClass40.html?veclass=vec01510#vec01510-ces-cm00011", "vec01510")</f>
        <v>vec01510</v>
      </c>
      <c r="I24393" s="0" t="s">
        <v>7671</v>
      </c>
    </row>
    <row r="24394" customFormat="false" ht="12.8" hidden="false" customHeight="false" outlineLevel="0" collapsed="false">
      <c r="B24394" s="0" t="s">
        <v>1</v>
      </c>
      <c r="C24394" s="0" t="s">
        <v>9957</v>
      </c>
      <c r="E24394" s="0" t="s">
        <v>76</v>
      </c>
      <c r="F24394" s="0" t="s">
        <v>9958</v>
      </c>
      <c r="H24394" s="0" t="s">
        <v>76</v>
      </c>
      <c r="I24394" s="0" t="s">
        <v>7674</v>
      </c>
    </row>
    <row r="24395" customFormat="false" ht="12.8" hidden="false" customHeight="false" outlineLevel="0" collapsed="false">
      <c r="B24395" s="0" t="s">
        <v>8</v>
      </c>
      <c r="C24395" s="0" t="s">
        <v>9959</v>
      </c>
      <c r="E24395" s="0" t="s">
        <v>706</v>
      </c>
      <c r="F24395" s="0" t="s">
        <v>9960</v>
      </c>
      <c r="H24395" s="0" t="s">
        <v>706</v>
      </c>
      <c r="I24395" s="0" t="s">
        <v>7678</v>
      </c>
    </row>
    <row r="24397" customFormat="false" ht="12.8" hidden="false" customHeight="false" outlineLevel="0" collapsed="false">
      <c r="A24397" s="0" t="s">
        <v>9969</v>
      </c>
      <c r="B24397" s="0" t="str">
        <f aca="false">HYPERLINK("https://lindat.mff.cuni.cz/services/teitok/pdtc10/index.php?action=vallex&amp;frame=v-w3190f4_ZU", "oslabovat (v-w3190f4_ZU)")</f>
        <v>oslabovat (v-w3190f4_ZU)</v>
      </c>
      <c r="E24397" s="0" t="str">
        <f aca="false">HYPERLINK("https://lindat.mff.cuni.cz/services/SynSemClass40/SynSemClass40.html?veclass=vec00463#vec00463-ces-cm00005", "vec00463")</f>
        <v>vec00463</v>
      </c>
      <c r="F24397" s="0" t="s">
        <v>8671</v>
      </c>
    </row>
    <row r="24398" customFormat="false" ht="12.8" hidden="false" customHeight="false" outlineLevel="0" collapsed="false">
      <c r="B24398" s="0" t="s">
        <v>1</v>
      </c>
      <c r="C24398" s="0" t="s">
        <v>9962</v>
      </c>
      <c r="E24398" s="0" t="s">
        <v>8663</v>
      </c>
      <c r="F24398" s="0" t="s">
        <v>8673</v>
      </c>
    </row>
    <row r="24400" customFormat="false" ht="12.8" hidden="false" customHeight="false" outlineLevel="0" collapsed="false">
      <c r="A24400" s="0" t="s">
        <v>9969</v>
      </c>
      <c r="B24400" s="0" t="str">
        <f aca="false">HYPERLINK("https://lindat.mff.cuni.cz/services/teitok/pdtc10/index.php?action=vallex&amp;frame=v-w3190f3_ZU", "oslabovat (v-w3190f3_ZU) - substituted with v-w3190f4_ZU")</f>
        <v>oslabovat (v-w3190f3_ZU) - substituted with v-w3190f4_ZU</v>
      </c>
    </row>
    <row r="24401" customFormat="false" ht="12.8" hidden="false" customHeight="false" outlineLevel="0" collapsed="false">
      <c r="B24401" s="0" t="s">
        <v>1</v>
      </c>
    </row>
    <row r="24403" customFormat="false" ht="12.8" hidden="false" customHeight="false" outlineLevel="0" collapsed="false">
      <c r="A24403" s="0" t="s">
        <v>9970</v>
      </c>
      <c r="B24403" s="0" t="str">
        <f aca="false">HYPERLINK("https://lindat.mff.cuni.cz/services/teitok/pdtc10/index.php?action=vallex&amp;frame=v-w3190hsa_1298", "oslabovat (v-w3190hsa_1298)")</f>
        <v>oslabovat (v-w3190hsa_1298)</v>
      </c>
    </row>
    <row r="24404" customFormat="false" ht="12.8" hidden="false" customHeight="false" outlineLevel="0" collapsed="false">
      <c r="B24404" s="0" t="s">
        <v>1</v>
      </c>
    </row>
    <row r="24406" customFormat="false" ht="12.8" hidden="false" customHeight="false" outlineLevel="0" collapsed="false">
      <c r="A24406" s="0" t="s">
        <v>9971</v>
      </c>
      <c r="B24406" s="0" t="str">
        <f aca="false">HYPERLINK("https://lindat.mff.cuni.cz/services/teitok/pdtc10/index.php?action=vallex&amp;frame=v-w3191f1", "oslabovat se (v-w3191f1)")</f>
        <v>oslabovat se (v-w3191f1)</v>
      </c>
    </row>
    <row r="24407" customFormat="false" ht="12.8" hidden="false" customHeight="false" outlineLevel="0" collapsed="false">
      <c r="B24407" s="0" t="s">
        <v>1</v>
      </c>
    </row>
    <row r="24409" customFormat="false" ht="12.8" hidden="false" customHeight="false" outlineLevel="0" collapsed="false">
      <c r="A24409" s="0" t="s">
        <v>9972</v>
      </c>
      <c r="B24409" s="0" t="str">
        <f aca="false">HYPERLINK("https://lindat.mff.cuni.cz/services/teitok/pdtc10/index.php?action=vallex&amp;frame=v-w11213f2", "osladit (v-w11213f2)")</f>
        <v>osladit (v-w11213f2)</v>
      </c>
      <c r="E24409" s="0" t="str">
        <f aca="false">HYPERLINK("https://lindat.mff.cuni.cz/services/SynSemClass40/SynSemClass40.html?veclass=vec01509#vec01509-ces-cm00001", "vec01509")</f>
        <v>vec01509</v>
      </c>
      <c r="F24409" s="0" t="s">
        <v>9973</v>
      </c>
    </row>
    <row r="24410" customFormat="false" ht="12.8" hidden="false" customHeight="false" outlineLevel="0" collapsed="false">
      <c r="B24410" s="0" t="s">
        <v>1</v>
      </c>
      <c r="C24410" s="0" t="s">
        <v>767</v>
      </c>
      <c r="E24410" s="0" t="s">
        <v>5401</v>
      </c>
      <c r="F24410" s="0" t="s">
        <v>9974</v>
      </c>
    </row>
    <row r="24411" customFormat="false" ht="12.8" hidden="false" customHeight="false" outlineLevel="0" collapsed="false">
      <c r="B24411" s="0" t="s">
        <v>8</v>
      </c>
      <c r="C24411" s="0" t="s">
        <v>5391</v>
      </c>
      <c r="E24411" s="0" t="s">
        <v>5405</v>
      </c>
      <c r="F24411" s="0" t="s">
        <v>9975</v>
      </c>
    </row>
    <row r="24413" customFormat="false" ht="12.8" hidden="false" customHeight="false" outlineLevel="0" collapsed="false">
      <c r="A24413" s="0" t="s">
        <v>9976</v>
      </c>
      <c r="B24413" s="0" t="str">
        <f aca="false">HYPERLINK("https://lindat.mff.cuni.cz/services/teitok/pdtc10/index.php?action=vallex&amp;frame=v-w11213f3_ZU", "osladit (v-w11213f3_ZU)")</f>
        <v>osladit (v-w11213f3_ZU)</v>
      </c>
    </row>
    <row r="24414" customFormat="false" ht="12.8" hidden="false" customHeight="false" outlineLevel="0" collapsed="false">
      <c r="B24414" s="0" t="s">
        <v>1</v>
      </c>
    </row>
    <row r="24415" customFormat="false" ht="12.8" hidden="false" customHeight="false" outlineLevel="0" collapsed="false">
      <c r="B24415" s="0" t="s">
        <v>8</v>
      </c>
    </row>
    <row r="24417" customFormat="false" ht="12.8" hidden="false" customHeight="false" outlineLevel="0" collapsed="false">
      <c r="A24417" s="0" t="s">
        <v>9977</v>
      </c>
      <c r="B24417" s="0" t="str">
        <f aca="false">HYPERLINK("https://lindat.mff.cuni.cz/services/teitok/pdtc10/index.php?action=vallex&amp;frame=v-w3193f1", "oslavit (v-w3193f1)")</f>
        <v>oslavit (v-w3193f1)</v>
      </c>
      <c r="E24417" s="0" t="str">
        <f aca="false">HYPERLINK("https://lindat.mff.cuni.cz/services/SynSemClass40/SynSemClass40.html?veclass=vec00663#vec00663-ces-cm00001", "vec00663")</f>
        <v>vec00663</v>
      </c>
      <c r="F24417" s="0" t="s">
        <v>9978</v>
      </c>
    </row>
    <row r="24418" customFormat="false" ht="12.8" hidden="false" customHeight="false" outlineLevel="0" collapsed="false">
      <c r="B24418" s="0" t="s">
        <v>1</v>
      </c>
      <c r="C24418" s="0" t="s">
        <v>4264</v>
      </c>
      <c r="E24418" s="0" t="s">
        <v>9979</v>
      </c>
      <c r="F24418" s="0" t="s">
        <v>9980</v>
      </c>
    </row>
    <row r="24419" customFormat="false" ht="12.8" hidden="false" customHeight="false" outlineLevel="0" collapsed="false">
      <c r="B24419" s="0" t="s">
        <v>1754</v>
      </c>
      <c r="C24419" s="0" t="s">
        <v>9981</v>
      </c>
      <c r="E24419" s="0" t="s">
        <v>9982</v>
      </c>
      <c r="F24419" s="0" t="s">
        <v>9983</v>
      </c>
    </row>
    <row r="24421" customFormat="false" ht="12.8" hidden="false" customHeight="false" outlineLevel="0" collapsed="false">
      <c r="A24421" s="0" t="s">
        <v>9984</v>
      </c>
      <c r="B24421" s="0" t="str">
        <f aca="false">HYPERLINK("https://lindat.mff.cuni.cz/services/teitok/pdtc10/index.php?action=vallex&amp;frame=v-w3194f1", "oslavovat (v-w3194f1)")</f>
        <v>oslavovat (v-w3194f1)</v>
      </c>
      <c r="E24421" s="0" t="str">
        <f aca="false">HYPERLINK("https://lindat.mff.cuni.cz/services/SynSemClass40/SynSemClass40.html?veclass=vec00663#vec00663-ces-cm00002", "vec00663")</f>
        <v>vec00663</v>
      </c>
      <c r="F24421" s="0" t="s">
        <v>9978</v>
      </c>
    </row>
    <row r="24422" customFormat="false" ht="12.8" hidden="false" customHeight="false" outlineLevel="0" collapsed="false">
      <c r="B24422" s="0" t="s">
        <v>1</v>
      </c>
      <c r="C24422" s="0" t="s">
        <v>4264</v>
      </c>
      <c r="E24422" s="0" t="s">
        <v>9979</v>
      </c>
      <c r="F24422" s="0" t="s">
        <v>9980</v>
      </c>
    </row>
    <row r="24423" customFormat="false" ht="12.8" hidden="false" customHeight="false" outlineLevel="0" collapsed="false">
      <c r="B24423" s="0" t="s">
        <v>228</v>
      </c>
      <c r="C24423" s="0" t="s">
        <v>9981</v>
      </c>
      <c r="E24423" s="0" t="s">
        <v>9982</v>
      </c>
      <c r="F24423" s="0" t="s">
        <v>9983</v>
      </c>
    </row>
    <row r="24425" customFormat="false" ht="12.8" hidden="false" customHeight="false" outlineLevel="0" collapsed="false">
      <c r="A24425" s="0" t="s">
        <v>9985</v>
      </c>
      <c r="B24425" s="0" t="str">
        <f aca="false">HYPERLINK("https://lindat.mff.cuni.cz/services/teitok/pdtc10/index.php?action=vallex&amp;frame=v-w3196f1", "oslepit (v-w3196f1)")</f>
        <v>oslepit (v-w3196f1)</v>
      </c>
    </row>
    <row r="24426" customFormat="false" ht="12.8" hidden="false" customHeight="false" outlineLevel="0" collapsed="false">
      <c r="B24426" s="0" t="s">
        <v>1</v>
      </c>
    </row>
    <row r="24427" customFormat="false" ht="12.8" hidden="false" customHeight="false" outlineLevel="0" collapsed="false">
      <c r="B24427" s="0" t="s">
        <v>8</v>
      </c>
    </row>
    <row r="24429" customFormat="false" ht="12.8" hidden="false" customHeight="false" outlineLevel="0" collapsed="false">
      <c r="A24429" s="0" t="s">
        <v>9986</v>
      </c>
      <c r="B24429" s="0" t="str">
        <f aca="false">HYPERLINK("https://lindat.mff.cuni.cz/services/teitok/pdtc10/index.php?action=vallex&amp;frame=v-w12142_ZUf1_ZU", "oslepnout (v-w12142_ZUf1_ZU)")</f>
        <v>oslepnout (v-w12142_ZUf1_ZU)</v>
      </c>
    </row>
    <row r="24430" customFormat="false" ht="12.8" hidden="false" customHeight="false" outlineLevel="0" collapsed="false">
      <c r="B24430" s="0" t="s">
        <v>1</v>
      </c>
    </row>
    <row r="24432" customFormat="false" ht="12.8" hidden="false" customHeight="false" outlineLevel="0" collapsed="false">
      <c r="A24432" s="0" t="s">
        <v>9987</v>
      </c>
      <c r="B24432" s="0" t="str">
        <f aca="false">HYPERLINK("https://lindat.mff.cuni.cz/services/teitok/pdtc10/index.php?action=vallex&amp;frame=v-w3197f1", "oslnit (v-w3197f1)")</f>
        <v>oslnit (v-w3197f1)</v>
      </c>
      <c r="E24432" s="0" t="str">
        <f aca="false">HYPERLINK("https://lindat.mff.cuni.cz/services/SynSemClass40/SynSemClass40.html?veclass=vec00094#vec00094-ces-cm00010", "vec00094")</f>
        <v>vec00094</v>
      </c>
      <c r="F24432" s="0" t="s">
        <v>9619</v>
      </c>
      <c r="H24432" s="0" t="str">
        <f aca="false">HYPERLINK("https://lindat.mff.cuni.cz/services/SynSemClass40/SynSemClass40.html?veclass=vec00609#vec00609-ces-cm00006", "vec00609")</f>
        <v>vec00609</v>
      </c>
      <c r="I24432" s="0" t="s">
        <v>263</v>
      </c>
    </row>
    <row r="24433" customFormat="false" ht="12.8" hidden="false" customHeight="false" outlineLevel="0" collapsed="false">
      <c r="B24433" s="0" t="s">
        <v>1</v>
      </c>
      <c r="C24433" s="0" t="s">
        <v>9988</v>
      </c>
      <c r="E24433" s="0" t="s">
        <v>1103</v>
      </c>
      <c r="F24433" s="0" t="s">
        <v>9622</v>
      </c>
      <c r="H24433" s="0" t="s">
        <v>1103</v>
      </c>
      <c r="I24433" s="0" t="s">
        <v>4115</v>
      </c>
    </row>
    <row r="24434" customFormat="false" ht="12.8" hidden="false" customHeight="false" outlineLevel="0" collapsed="false">
      <c r="B24434" s="0" t="s">
        <v>8</v>
      </c>
      <c r="C24434" s="0" t="s">
        <v>9989</v>
      </c>
      <c r="E24434" s="0" t="s">
        <v>1399</v>
      </c>
      <c r="F24434" s="0" t="s">
        <v>9624</v>
      </c>
      <c r="H24434" s="0" t="s">
        <v>1930</v>
      </c>
      <c r="I24434" s="0" t="s">
        <v>4116</v>
      </c>
    </row>
    <row r="24436" customFormat="false" ht="12.8" hidden="false" customHeight="false" outlineLevel="0" collapsed="false">
      <c r="A24436" s="0" t="s">
        <v>9990</v>
      </c>
      <c r="B24436" s="0" t="str">
        <f aca="false">HYPERLINK("https://lindat.mff.cuni.cz/services/teitok/pdtc10/index.php?action=vallex&amp;frame=v-w3199f2", "oslovit (v-w3199f2)")</f>
        <v>oslovit (v-w3199f2)</v>
      </c>
      <c r="E24436" s="0" t="str">
        <f aca="false">HYPERLINK("https://lindat.mff.cuni.cz/services/SynSemClass40/SynSemClass40.html?veclass=vec00043#vec00043-ces-cm00037", "vec00043")</f>
        <v>vec00043</v>
      </c>
      <c r="F24436" s="0" t="s">
        <v>5012</v>
      </c>
    </row>
    <row r="24437" customFormat="false" ht="12.8" hidden="false" customHeight="false" outlineLevel="0" collapsed="false">
      <c r="B24437" s="0" t="s">
        <v>1</v>
      </c>
      <c r="C24437" s="0" t="s">
        <v>2758</v>
      </c>
      <c r="E24437" s="0" t="s">
        <v>8022</v>
      </c>
      <c r="F24437" s="0" t="s">
        <v>8023</v>
      </c>
    </row>
    <row r="24438" customFormat="false" ht="12.8" hidden="false" customHeight="false" outlineLevel="0" collapsed="false">
      <c r="B24438" s="0" t="s">
        <v>8</v>
      </c>
      <c r="C24438" s="0" t="s">
        <v>8024</v>
      </c>
      <c r="E24438" s="0" t="s">
        <v>8025</v>
      </c>
      <c r="F24438" s="0" t="s">
        <v>8026</v>
      </c>
    </row>
    <row r="24439" customFormat="false" ht="12.8" hidden="false" customHeight="false" outlineLevel="0" collapsed="false">
      <c r="B24439" s="0" t="s">
        <v>9991</v>
      </c>
      <c r="C24439" s="0" t="s">
        <v>8028</v>
      </c>
      <c r="E24439" s="0" t="s">
        <v>8029</v>
      </c>
      <c r="F24439" s="0" t="s">
        <v>8030</v>
      </c>
    </row>
    <row r="24441" customFormat="false" ht="12.8" hidden="false" customHeight="false" outlineLevel="0" collapsed="false">
      <c r="A24441" s="0" t="s">
        <v>9992</v>
      </c>
      <c r="B24441" s="0" t="str">
        <f aca="false">HYPERLINK("https://lindat.mff.cuni.cz/services/teitok/pdtc10/index.php?action=vallex&amp;frame=v-w3199f5_ZU", "oslovit (v-w3199f5_ZU)")</f>
        <v>oslovit (v-w3199f5_ZU)</v>
      </c>
      <c r="E24441" s="0" t="str">
        <f aca="false">HYPERLINK("https://lindat.mff.cuni.cz/services/SynSemClass40/SynSemClass40.html?veclass=vec00057#vec00057-ces-cm00001", "vec00057")</f>
        <v>vec00057</v>
      </c>
      <c r="F24441" s="0" t="s">
        <v>145</v>
      </c>
    </row>
    <row r="24442" customFormat="false" ht="12.8" hidden="false" customHeight="false" outlineLevel="0" collapsed="false">
      <c r="B24442" s="0" t="s">
        <v>1</v>
      </c>
      <c r="C24442" s="0" t="s">
        <v>146</v>
      </c>
      <c r="E24442" s="0" t="s">
        <v>147</v>
      </c>
      <c r="F24442" s="0" t="s">
        <v>148</v>
      </c>
    </row>
    <row r="24443" customFormat="false" ht="12.8" hidden="false" customHeight="false" outlineLevel="0" collapsed="false">
      <c r="B24443" s="0" t="s">
        <v>8</v>
      </c>
      <c r="C24443" s="0" t="s">
        <v>149</v>
      </c>
      <c r="E24443" s="0" t="s">
        <v>150</v>
      </c>
      <c r="F24443" s="0" t="s">
        <v>151</v>
      </c>
    </row>
    <row r="24444" customFormat="false" ht="12.8" hidden="false" customHeight="false" outlineLevel="0" collapsed="false">
      <c r="B24444" s="0" t="s">
        <v>9993</v>
      </c>
      <c r="C24444" s="0" t="s">
        <v>9994</v>
      </c>
      <c r="E24444" s="0" t="s">
        <v>9995</v>
      </c>
      <c r="F24444" s="0" t="s">
        <v>9996</v>
      </c>
    </row>
    <row r="24446" customFormat="false" ht="12.8" hidden="false" customHeight="false" outlineLevel="0" collapsed="false">
      <c r="A24446" s="0" t="s">
        <v>9992</v>
      </c>
      <c r="B24446" s="0" t="str">
        <f aca="false">HYPERLINK("https://lindat.mff.cuni.cz/services/teitok/pdtc10/index.php?action=vallex&amp;frame=v-w3199f1", "oslovit (v-w3199f1) - substituted with v-w3199f5_ZU")</f>
        <v>oslovit (v-w3199f1) - substituted with v-w3199f5_ZU</v>
      </c>
    </row>
    <row r="24447" customFormat="false" ht="12.8" hidden="false" customHeight="false" outlineLevel="0" collapsed="false">
      <c r="B24447" s="0" t="s">
        <v>1</v>
      </c>
    </row>
    <row r="24448" customFormat="false" ht="12.8" hidden="false" customHeight="false" outlineLevel="0" collapsed="false">
      <c r="B24448" s="0" t="s">
        <v>8</v>
      </c>
    </row>
    <row r="24449" customFormat="false" ht="12.8" hidden="false" customHeight="false" outlineLevel="0" collapsed="false">
      <c r="B24449" s="0" t="s">
        <v>9993</v>
      </c>
    </row>
    <row r="24451" customFormat="false" ht="12.8" hidden="false" customHeight="false" outlineLevel="0" collapsed="false">
      <c r="A24451" s="0" t="s">
        <v>9997</v>
      </c>
      <c r="B24451" s="0" t="str">
        <f aca="false">HYPERLINK("https://lindat.mff.cuni.cz/services/teitok/pdtc10/index.php?action=vallex&amp;frame=v-w3199f4_ZU", "oslovit (v-w3199f4_ZU)")</f>
        <v>oslovit (v-w3199f4_ZU)</v>
      </c>
      <c r="E24451" s="0" t="str">
        <f aca="false">HYPERLINK("https://lindat.mff.cuni.cz/services/SynSemClass40/SynSemClass40.html?veclass=vec00188#vec00188-ces-cm00070", "vec00188")</f>
        <v>vec00188</v>
      </c>
      <c r="F24451" s="0" t="s">
        <v>7128</v>
      </c>
    </row>
    <row r="24452" customFormat="false" ht="12.8" hidden="false" customHeight="false" outlineLevel="0" collapsed="false">
      <c r="B24452" s="0" t="s">
        <v>1</v>
      </c>
      <c r="C24452" s="0" t="s">
        <v>9998</v>
      </c>
      <c r="E24452" s="0" t="s">
        <v>1567</v>
      </c>
      <c r="F24452" s="0" t="s">
        <v>7130</v>
      </c>
    </row>
    <row r="24453" customFormat="false" ht="12.8" hidden="false" customHeight="false" outlineLevel="0" collapsed="false">
      <c r="B24453" s="0" t="s">
        <v>8</v>
      </c>
      <c r="C24453" s="0" t="s">
        <v>1575</v>
      </c>
      <c r="E24453" s="0" t="s">
        <v>3388</v>
      </c>
      <c r="F24453" s="0" t="s">
        <v>7132</v>
      </c>
    </row>
    <row r="24455" customFormat="false" ht="12.8" hidden="false" customHeight="false" outlineLevel="0" collapsed="false">
      <c r="A24455" s="0" t="s">
        <v>9997</v>
      </c>
      <c r="B24455" s="0" t="str">
        <f aca="false">HYPERLINK("https://lindat.mff.cuni.cz/services/teitok/pdtc10/index.php?action=vallex&amp;frame=v-w3199f3_ZU", "oslovit (v-w3199f3_ZU) - substituted with v-w3199f4_ZU")</f>
        <v>oslovit (v-w3199f3_ZU) - substituted with v-w3199f4_ZU</v>
      </c>
    </row>
    <row r="24456" customFormat="false" ht="12.8" hidden="false" customHeight="false" outlineLevel="0" collapsed="false">
      <c r="B24456" s="0" t="s">
        <v>1</v>
      </c>
    </row>
    <row r="24457" customFormat="false" ht="12.8" hidden="false" customHeight="false" outlineLevel="0" collapsed="false">
      <c r="B24457" s="0" t="s">
        <v>8</v>
      </c>
    </row>
    <row r="24459" customFormat="false" ht="12.8" hidden="false" customHeight="false" outlineLevel="0" collapsed="false">
      <c r="A24459" s="0" t="s">
        <v>9997</v>
      </c>
      <c r="B24459" s="0" t="str">
        <f aca="false">HYPERLINK("https://lindat.mff.cuni.cz/services/teitok/pdtc10/index.php?action=vallex&amp;frame=v-w3199hsa_152", "oslovit (v-w3199hsa_152) - substituted with v-w3199f4_ZU")</f>
        <v>oslovit (v-w3199hsa_152) - substituted with v-w3199f4_ZU</v>
      </c>
    </row>
    <row r="24460" customFormat="false" ht="12.8" hidden="false" customHeight="false" outlineLevel="0" collapsed="false">
      <c r="B24460" s="0" t="s">
        <v>1</v>
      </c>
    </row>
    <row r="24461" customFormat="false" ht="12.8" hidden="false" customHeight="false" outlineLevel="0" collapsed="false">
      <c r="B24461" s="0" t="s">
        <v>8</v>
      </c>
    </row>
    <row r="24463" customFormat="false" ht="12.8" hidden="false" customHeight="false" outlineLevel="0" collapsed="false">
      <c r="A24463" s="0" t="s">
        <v>9999</v>
      </c>
      <c r="B24463" s="0" t="str">
        <f aca="false">HYPERLINK("https://lindat.mff.cuni.cz/services/teitok/pdtc10/index.php?action=vallex&amp;frame=v-w3200f1", "oslovovat (v-w3200f1)")</f>
        <v>oslovovat (v-w3200f1)</v>
      </c>
    </row>
    <row r="24464" customFormat="false" ht="12.8" hidden="false" customHeight="false" outlineLevel="0" collapsed="false">
      <c r="B24464" s="0" t="s">
        <v>1</v>
      </c>
    </row>
    <row r="24465" customFormat="false" ht="12.8" hidden="false" customHeight="false" outlineLevel="0" collapsed="false">
      <c r="B24465" s="0" t="s">
        <v>8</v>
      </c>
    </row>
    <row r="24467" customFormat="false" ht="12.8" hidden="false" customHeight="false" outlineLevel="0" collapsed="false">
      <c r="A24467" s="0" t="s">
        <v>10000</v>
      </c>
      <c r="B24467" s="0" t="str">
        <f aca="false">HYPERLINK("https://lindat.mff.cuni.cz/services/teitok/pdtc10/index.php?action=vallex&amp;frame=v-w3200f2_ZU", "oslovovat (v-w3200f2_ZU)")</f>
        <v>oslovovat (v-w3200f2_ZU)</v>
      </c>
    </row>
    <row r="24468" customFormat="false" ht="12.8" hidden="false" customHeight="false" outlineLevel="0" collapsed="false">
      <c r="B24468" s="0" t="s">
        <v>1</v>
      </c>
    </row>
    <row r="24469" customFormat="false" ht="12.8" hidden="false" customHeight="false" outlineLevel="0" collapsed="false">
      <c r="B24469" s="0" t="s">
        <v>8</v>
      </c>
    </row>
    <row r="24470" customFormat="false" ht="12.8" hidden="false" customHeight="false" outlineLevel="0" collapsed="false">
      <c r="B24470" s="0" t="s">
        <v>10001</v>
      </c>
    </row>
    <row r="24472" customFormat="false" ht="12.8" hidden="false" customHeight="false" outlineLevel="0" collapsed="false">
      <c r="A24472" s="0" t="s">
        <v>10000</v>
      </c>
      <c r="B24472" s="0" t="str">
        <f aca="false">HYPERLINK("https://lindat.mff.cuni.cz/services/teitok/pdtc10/index.php?action=vallex&amp;frame=v-w3200hsa_963", "oslovovat (v-w3200hsa_963) - substituted with v-w3200f2_ZU")</f>
        <v>oslovovat (v-w3200hsa_963) - substituted with v-w3200f2_ZU</v>
      </c>
      <c r="E24472" s="0" t="str">
        <f aca="false">HYPERLINK("https://lindat.mff.cuni.cz/services/SynSemClass40/SynSemClass40.html?veclass=vec00043#vec00043-ces-cm00011", "vec00043")</f>
        <v>vec00043</v>
      </c>
      <c r="F24472" s="0" t="s">
        <v>5012</v>
      </c>
    </row>
    <row r="24473" customFormat="false" ht="12.8" hidden="false" customHeight="false" outlineLevel="0" collapsed="false">
      <c r="B24473" s="0" t="s">
        <v>1</v>
      </c>
      <c r="C24473" s="0" t="s">
        <v>2758</v>
      </c>
      <c r="E24473" s="0" t="s">
        <v>8022</v>
      </c>
      <c r="F24473" s="0" t="s">
        <v>8023</v>
      </c>
    </row>
    <row r="24474" customFormat="false" ht="12.8" hidden="false" customHeight="false" outlineLevel="0" collapsed="false">
      <c r="B24474" s="0" t="s">
        <v>8</v>
      </c>
      <c r="C24474" s="0" t="s">
        <v>8024</v>
      </c>
      <c r="E24474" s="0" t="s">
        <v>8025</v>
      </c>
      <c r="F24474" s="0" t="s">
        <v>8026</v>
      </c>
    </row>
    <row r="24475" customFormat="false" ht="12.8" hidden="false" customHeight="false" outlineLevel="0" collapsed="false">
      <c r="B24475" s="0" t="s">
        <v>10001</v>
      </c>
      <c r="C24475" s="0" t="s">
        <v>8028</v>
      </c>
      <c r="E24475" s="0" t="s">
        <v>8029</v>
      </c>
      <c r="F24475" s="0" t="s">
        <v>8030</v>
      </c>
    </row>
    <row r="24477" customFormat="false" ht="12.8" hidden="false" customHeight="false" outlineLevel="0" collapsed="false">
      <c r="A24477" s="0" t="s">
        <v>10002</v>
      </c>
      <c r="B24477" s="0" t="str">
        <f aca="false">HYPERLINK("https://lindat.mff.cuni.cz/services/teitok/pdtc10/index.php?action=vallex&amp;frame=v-w3201f1", "oslyšet (v-w3201f1)")</f>
        <v>oslyšet (v-w3201f1)</v>
      </c>
    </row>
    <row r="24478" customFormat="false" ht="12.8" hidden="false" customHeight="false" outlineLevel="0" collapsed="false">
      <c r="B24478" s="0" t="s">
        <v>1</v>
      </c>
    </row>
    <row r="24479" customFormat="false" ht="12.8" hidden="false" customHeight="false" outlineLevel="0" collapsed="false">
      <c r="B24479" s="0" t="s">
        <v>8</v>
      </c>
    </row>
    <row r="24481" customFormat="false" ht="12.8" hidden="false" customHeight="false" outlineLevel="0" collapsed="false">
      <c r="A24481" s="0" t="s">
        <v>10003</v>
      </c>
      <c r="B24481" s="0" t="str">
        <f aca="false">HYPERLINK("https://lindat.mff.cuni.cz/services/teitok/pdtc10/index.php?action=vallex&amp;frame=v-w10420f2", "osnovat (v-w10420f2)")</f>
        <v>osnovat (v-w10420f2)</v>
      </c>
    </row>
    <row r="24482" customFormat="false" ht="12.8" hidden="false" customHeight="false" outlineLevel="0" collapsed="false">
      <c r="B24482" s="0" t="s">
        <v>1</v>
      </c>
    </row>
    <row r="24483" customFormat="false" ht="12.8" hidden="false" customHeight="false" outlineLevel="0" collapsed="false">
      <c r="B24483" s="0" t="s">
        <v>8</v>
      </c>
    </row>
    <row r="24485" customFormat="false" ht="12.8" hidden="false" customHeight="false" outlineLevel="0" collapsed="false">
      <c r="A24485" s="0" t="s">
        <v>10004</v>
      </c>
      <c r="B24485" s="0" t="str">
        <f aca="false">HYPERLINK("https://lindat.mff.cuni.cz/services/teitok/pdtc10/index.php?action=vallex&amp;frame=v-w3202f1", "osobovat si (v-w3202f1)")</f>
        <v>osobovat si (v-w3202f1)</v>
      </c>
    </row>
    <row r="24486" customFormat="false" ht="12.8" hidden="false" customHeight="false" outlineLevel="0" collapsed="false">
      <c r="B24486" s="0" t="s">
        <v>1</v>
      </c>
    </row>
    <row r="24487" customFormat="false" ht="12.8" hidden="false" customHeight="false" outlineLevel="0" collapsed="false">
      <c r="B24487" s="0" t="s">
        <v>8</v>
      </c>
    </row>
    <row r="24489" customFormat="false" ht="12.8" hidden="false" customHeight="false" outlineLevel="0" collapsed="false">
      <c r="A24489" s="0" t="s">
        <v>10005</v>
      </c>
      <c r="B24489" s="0" t="str">
        <f aca="false">HYPERLINK("https://lindat.mff.cuni.cz/services/teitok/pdtc10/index.php?action=vallex&amp;frame=v-w3206f1", "osolit (v-w3206f1)")</f>
        <v>osolit (v-w3206f1)</v>
      </c>
    </row>
    <row r="24490" customFormat="false" ht="12.8" hidden="false" customHeight="false" outlineLevel="0" collapsed="false">
      <c r="B24490" s="0" t="s">
        <v>1</v>
      </c>
    </row>
    <row r="24491" customFormat="false" ht="12.8" hidden="false" customHeight="false" outlineLevel="0" collapsed="false">
      <c r="B24491" s="0" t="s">
        <v>8</v>
      </c>
    </row>
    <row r="24493" customFormat="false" ht="12.8" hidden="false" customHeight="false" outlineLevel="0" collapsed="false">
      <c r="A24493" s="0" t="s">
        <v>10006</v>
      </c>
      <c r="B24493" s="0" t="str">
        <f aca="false">HYPERLINK("https://lindat.mff.cuni.cz/services/teitok/pdtc10/index.php?action=vallex&amp;frame=v-whsa_1324f1_ZU", "osopit se (v-whsa_1324f1_ZU)")</f>
        <v>osopit se (v-whsa_1324f1_ZU)</v>
      </c>
    </row>
    <row r="24494" customFormat="false" ht="12.8" hidden="false" customHeight="false" outlineLevel="0" collapsed="false">
      <c r="B24494" s="0" t="s">
        <v>1</v>
      </c>
    </row>
    <row r="24495" customFormat="false" ht="12.8" hidden="false" customHeight="false" outlineLevel="0" collapsed="false">
      <c r="B24495" s="0" t="s">
        <v>162</v>
      </c>
    </row>
    <row r="24496" customFormat="false" ht="12.8" hidden="false" customHeight="false" outlineLevel="0" collapsed="false">
      <c r="B24496" s="0" t="s">
        <v>10007</v>
      </c>
    </row>
    <row r="24498" customFormat="false" ht="12.8" hidden="false" customHeight="false" outlineLevel="0" collapsed="false">
      <c r="A24498" s="0" t="s">
        <v>10006</v>
      </c>
      <c r="B24498" s="0" t="str">
        <f aca="false">HYPERLINK("https://lindat.mff.cuni.cz/services/teitok/pdtc10/index.php?action=vallex&amp;frame=v-whsb_1324hsa_1325", "osopit se (v-whsb_1324hsa_1325) - substituted with v-whsa_1324f1_ZU")</f>
        <v>osopit se (v-whsb_1324hsa_1325) - substituted with v-whsa_1324f1_ZU</v>
      </c>
    </row>
    <row r="24499" customFormat="false" ht="12.8" hidden="false" customHeight="false" outlineLevel="0" collapsed="false">
      <c r="B24499" s="0" t="s">
        <v>1</v>
      </c>
    </row>
    <row r="24500" customFormat="false" ht="12.8" hidden="false" customHeight="false" outlineLevel="0" collapsed="false">
      <c r="B24500" s="0" t="s">
        <v>162</v>
      </c>
    </row>
    <row r="24501" customFormat="false" ht="12.8" hidden="false" customHeight="false" outlineLevel="0" collapsed="false">
      <c r="B24501" s="0" t="s">
        <v>10007</v>
      </c>
    </row>
    <row r="24503" customFormat="false" ht="12.8" hidden="false" customHeight="false" outlineLevel="0" collapsed="false">
      <c r="A24503" s="0" t="s">
        <v>10008</v>
      </c>
      <c r="B24503" s="0" t="str">
        <f aca="false">HYPERLINK("https://lindat.mff.cuni.cz/services/teitok/pdtc10/index.php?action=vallex&amp;frame=v-w3205f1", "osočovat (v-w3205f1)")</f>
        <v>osočovat (v-w3205f1)</v>
      </c>
    </row>
    <row r="24504" customFormat="false" ht="12.8" hidden="false" customHeight="false" outlineLevel="0" collapsed="false">
      <c r="B24504" s="0" t="s">
        <v>1</v>
      </c>
    </row>
    <row r="24505" customFormat="false" ht="12.8" hidden="false" customHeight="false" outlineLevel="0" collapsed="false">
      <c r="B24505" s="0" t="s">
        <v>98</v>
      </c>
    </row>
    <row r="24506" customFormat="false" ht="12.8" hidden="false" customHeight="false" outlineLevel="0" collapsed="false">
      <c r="B24506" s="0" t="s">
        <v>8069</v>
      </c>
    </row>
    <row r="24508" customFormat="false" ht="12.8" hidden="false" customHeight="false" outlineLevel="0" collapsed="false">
      <c r="A24508" s="0" t="s">
        <v>10009</v>
      </c>
      <c r="B24508" s="0" t="str">
        <f aca="false">HYPERLINK("https://lindat.mff.cuni.cz/services/teitok/pdtc10/index.php?action=vallex&amp;frame=v-w3208f1", "ospravedlnit (v-w3208f1)")</f>
        <v>ospravedlnit (v-w3208f1)</v>
      </c>
      <c r="E24508" s="0" t="str">
        <f aca="false">HYPERLINK("https://lindat.mff.cuni.cz/services/SynSemClass40/SynSemClass40.html?veclass=vec00464#vec00464-ces-cm00007", "vec00464")</f>
        <v>vec00464</v>
      </c>
      <c r="F24508" s="0" t="s">
        <v>9558</v>
      </c>
    </row>
    <row r="24509" customFormat="false" ht="12.8" hidden="false" customHeight="false" outlineLevel="0" collapsed="false">
      <c r="B24509" s="0" t="s">
        <v>1</v>
      </c>
      <c r="C24509" s="0" t="s">
        <v>4471</v>
      </c>
      <c r="E24509" s="0" t="s">
        <v>569</v>
      </c>
      <c r="F24509" s="0" t="s">
        <v>9560</v>
      </c>
    </row>
    <row r="24510" customFormat="false" ht="12.8" hidden="false" customHeight="false" outlineLevel="0" collapsed="false">
      <c r="B24510" s="0" t="s">
        <v>59</v>
      </c>
      <c r="C24510" s="0" t="s">
        <v>22</v>
      </c>
      <c r="E24510" s="0" t="s">
        <v>572</v>
      </c>
      <c r="F24510" s="0" t="s">
        <v>9562</v>
      </c>
    </row>
    <row r="24512" customFormat="false" ht="12.8" hidden="false" customHeight="false" outlineLevel="0" collapsed="false">
      <c r="A24512" s="0" t="s">
        <v>10010</v>
      </c>
      <c r="B24512" s="0" t="str">
        <f aca="false">HYPERLINK("https://lindat.mff.cuni.cz/services/teitok/pdtc10/index.php?action=vallex&amp;frame=v-w3209f1", "ospravedlňovat (v-w3209f1)")</f>
        <v>ospravedlňovat (v-w3209f1)</v>
      </c>
      <c r="E24512" s="0" t="str">
        <f aca="false">HYPERLINK("https://lindat.mff.cuni.cz/services/SynSemClass40/SynSemClass40.html?veclass=vec00464#vec00464-ces-cm00001", "vec00464")</f>
        <v>vec00464</v>
      </c>
      <c r="F24512" s="0" t="s">
        <v>9558</v>
      </c>
    </row>
    <row r="24513" customFormat="false" ht="12.8" hidden="false" customHeight="false" outlineLevel="0" collapsed="false">
      <c r="B24513" s="0" t="s">
        <v>1</v>
      </c>
      <c r="C24513" s="0" t="s">
        <v>4471</v>
      </c>
      <c r="E24513" s="0" t="s">
        <v>569</v>
      </c>
      <c r="F24513" s="0" t="s">
        <v>9560</v>
      </c>
    </row>
    <row r="24514" customFormat="false" ht="12.8" hidden="false" customHeight="false" outlineLevel="0" collapsed="false">
      <c r="B24514" s="0" t="s">
        <v>59</v>
      </c>
      <c r="C24514" s="0" t="s">
        <v>22</v>
      </c>
      <c r="E24514" s="0" t="s">
        <v>572</v>
      </c>
      <c r="F24514" s="0" t="s">
        <v>9562</v>
      </c>
    </row>
    <row r="24516" customFormat="false" ht="12.8" hidden="false" customHeight="false" outlineLevel="0" collapsed="false">
      <c r="A24516" s="0" t="s">
        <v>10011</v>
      </c>
      <c r="B24516" s="0" t="str">
        <f aca="false">HYPERLINK("https://lindat.mff.cuni.cz/services/teitok/pdtc10/index.php?action=vallex&amp;frame=v-w11793_ZUf1_ZU", "osprchovat (v-w11793_ZUf1_ZU)")</f>
        <v>osprchovat (v-w11793_ZUf1_ZU)</v>
      </c>
    </row>
    <row r="24517" customFormat="false" ht="12.8" hidden="false" customHeight="false" outlineLevel="0" collapsed="false">
      <c r="B24517" s="0" t="s">
        <v>1</v>
      </c>
    </row>
    <row r="24518" customFormat="false" ht="12.8" hidden="false" customHeight="false" outlineLevel="0" collapsed="false">
      <c r="B24518" s="0" t="s">
        <v>8</v>
      </c>
    </row>
    <row r="24520" customFormat="false" ht="12.8" hidden="false" customHeight="false" outlineLevel="0" collapsed="false">
      <c r="A24520" s="0" t="s">
        <v>10012</v>
      </c>
      <c r="B24520" s="0" t="str">
        <f aca="false">HYPERLINK("https://lindat.mff.cuni.cz/services/teitok/pdtc10/index.php?action=vallex&amp;frame=v-w3215f1", "ostýchat se (v-w3215f1)")</f>
        <v>ostýchat se (v-w3215f1)</v>
      </c>
    </row>
    <row r="24521" customFormat="false" ht="12.8" hidden="false" customHeight="false" outlineLevel="0" collapsed="false">
      <c r="B24521" s="0" t="s">
        <v>1</v>
      </c>
    </row>
    <row r="24522" customFormat="false" ht="12.8" hidden="false" customHeight="false" outlineLevel="0" collapsed="false">
      <c r="B24522" s="0" t="s">
        <v>10013</v>
      </c>
    </row>
    <row r="24524" customFormat="false" ht="12.8" hidden="false" customHeight="false" outlineLevel="0" collapsed="false">
      <c r="A24524" s="0" t="s">
        <v>10014</v>
      </c>
      <c r="B24524" s="0" t="str">
        <f aca="false">HYPERLINK("https://lindat.mff.cuni.cz/services/teitok/pdtc10/index.php?action=vallex&amp;frame=v-w3212f1", "ostřelovat (v-w3212f1)")</f>
        <v>ostřelovat (v-w3212f1)</v>
      </c>
      <c r="E24524" s="0" t="str">
        <f aca="false">HYPERLINK("https://lindat.mff.cuni.cz/services/SynSemClass40/SynSemClass40.html?veclass=vec00604#vec00604-ces-cm00003", "vec00604")</f>
        <v>vec00604</v>
      </c>
      <c r="F24524" s="0" t="s">
        <v>446</v>
      </c>
    </row>
    <row r="24525" customFormat="false" ht="12.8" hidden="false" customHeight="false" outlineLevel="0" collapsed="false">
      <c r="B24525" s="0" t="s">
        <v>1</v>
      </c>
      <c r="C24525" s="0" t="s">
        <v>447</v>
      </c>
      <c r="E24525" s="0" t="s">
        <v>196</v>
      </c>
      <c r="F24525" s="0" t="s">
        <v>448</v>
      </c>
    </row>
    <row r="24526" customFormat="false" ht="12.8" hidden="false" customHeight="false" outlineLevel="0" collapsed="false">
      <c r="B24526" s="0" t="s">
        <v>8</v>
      </c>
      <c r="C24526" s="0" t="s">
        <v>449</v>
      </c>
      <c r="E24526" s="0" t="s">
        <v>450</v>
      </c>
      <c r="F24526" s="0" t="s">
        <v>451</v>
      </c>
    </row>
    <row r="24528" customFormat="false" ht="12.8" hidden="false" customHeight="false" outlineLevel="0" collapsed="false">
      <c r="A24528" s="0" t="s">
        <v>10015</v>
      </c>
      <c r="B24528" s="0" t="str">
        <f aca="false">HYPERLINK("https://lindat.mff.cuni.cz/services/teitok/pdtc10/index.php?action=vallex&amp;frame=v-w3213f1", "ostřit (v-w3213f1)")</f>
        <v>ostřit (v-w3213f1)</v>
      </c>
    </row>
    <row r="24529" customFormat="false" ht="12.8" hidden="false" customHeight="false" outlineLevel="0" collapsed="false">
      <c r="B24529" s="0" t="s">
        <v>1</v>
      </c>
    </row>
    <row r="24530" customFormat="false" ht="12.8" hidden="false" customHeight="false" outlineLevel="0" collapsed="false">
      <c r="B24530" s="0" t="s">
        <v>8</v>
      </c>
    </row>
    <row r="24532" customFormat="false" ht="12.8" hidden="false" customHeight="false" outlineLevel="0" collapsed="false">
      <c r="A24532" s="0" t="s">
        <v>10016</v>
      </c>
      <c r="B24532" s="0" t="str">
        <f aca="false">HYPERLINK("https://lindat.mff.cuni.cz/services/teitok/pdtc10/index.php?action=vallex&amp;frame=v-whsa_480hsa_481", "ostříhat (v-whsa_480hsa_481)")</f>
        <v>ostříhat (v-whsa_480hsa_481)</v>
      </c>
    </row>
    <row r="24533" customFormat="false" ht="12.8" hidden="false" customHeight="false" outlineLevel="0" collapsed="false">
      <c r="B24533" s="0" t="s">
        <v>1</v>
      </c>
    </row>
    <row r="24534" customFormat="false" ht="12.8" hidden="false" customHeight="false" outlineLevel="0" collapsed="false">
      <c r="B24534" s="0" t="s">
        <v>8</v>
      </c>
    </row>
    <row r="24536" customFormat="false" ht="12.8" hidden="false" customHeight="false" outlineLevel="0" collapsed="false">
      <c r="A24536" s="0" t="s">
        <v>10017</v>
      </c>
      <c r="B24536" s="0" t="str">
        <f aca="false">HYPERLINK("https://lindat.mff.cuni.cz/services/teitok/pdtc10/index.php?action=vallex&amp;frame=v-w12329_MMf1_MM", "osušit (v-w12329_MMf1_MM)")</f>
        <v>osušit (v-w12329_MMf1_MM)</v>
      </c>
    </row>
    <row r="24537" customFormat="false" ht="12.8" hidden="false" customHeight="false" outlineLevel="0" collapsed="false">
      <c r="B24537" s="0" t="s">
        <v>1</v>
      </c>
    </row>
    <row r="24538" customFormat="false" ht="12.8" hidden="false" customHeight="false" outlineLevel="0" collapsed="false">
      <c r="B24538" s="0" t="s">
        <v>8</v>
      </c>
    </row>
    <row r="24540" customFormat="false" ht="12.8" hidden="false" customHeight="false" outlineLevel="0" collapsed="false">
      <c r="A24540" s="0" t="s">
        <v>10018</v>
      </c>
      <c r="B24540" s="0" t="str">
        <f aca="false">HYPERLINK("https://lindat.mff.cuni.cz/services/teitok/pdtc10/index.php?action=vallex&amp;frame=v-w3230hsa_934", "osvobodit (v-w3230hsa_934)")</f>
        <v>osvobodit (v-w3230hsa_934)</v>
      </c>
      <c r="E24540" s="0" t="str">
        <f aca="false">HYPERLINK("https://lindat.mff.cuni.cz/services/SynSemClass40/SynSemClass40.html?veclass=vec00595#vec00595-ces-cm00005", "vec00595")</f>
        <v>vec00595</v>
      </c>
      <c r="F24540" s="0" t="s">
        <v>9863</v>
      </c>
    </row>
    <row r="24541" customFormat="false" ht="12.8" hidden="false" customHeight="false" outlineLevel="0" collapsed="false">
      <c r="B24541" s="0" t="s">
        <v>1</v>
      </c>
      <c r="C24541" s="0" t="s">
        <v>3288</v>
      </c>
      <c r="E24541" s="0" t="s">
        <v>206</v>
      </c>
      <c r="F24541" s="0" t="s">
        <v>9275</v>
      </c>
    </row>
    <row r="24542" customFormat="false" ht="12.8" hidden="false" customHeight="false" outlineLevel="0" collapsed="false">
      <c r="B24542" s="0" t="s">
        <v>8</v>
      </c>
      <c r="C24542" s="0" t="s">
        <v>9864</v>
      </c>
      <c r="E24542" s="0" t="s">
        <v>1847</v>
      </c>
      <c r="F24542" s="0" t="s">
        <v>9865</v>
      </c>
    </row>
    <row r="24543" customFormat="false" ht="12.8" hidden="false" customHeight="false" outlineLevel="0" collapsed="false">
      <c r="B24543" s="0" t="s">
        <v>10019</v>
      </c>
      <c r="C24543" s="0" t="s">
        <v>9866</v>
      </c>
      <c r="E24543" s="0" t="s">
        <v>9867</v>
      </c>
      <c r="F24543" s="0" t="s">
        <v>9868</v>
      </c>
    </row>
    <row r="24545" customFormat="false" ht="12.8" hidden="false" customHeight="false" outlineLevel="0" collapsed="false">
      <c r="A24545" s="0" t="s">
        <v>10018</v>
      </c>
      <c r="B24545" s="0" t="str">
        <f aca="false">HYPERLINK("https://lindat.mff.cuni.cz/services/teitok/pdtc10/index.php?action=vallex&amp;frame=v-w3230f1", "osvobodit (v-w3230f1) - substituted with v-w3230hsa_934")</f>
        <v>osvobodit (v-w3230f1) - substituted with v-w3230hsa_934</v>
      </c>
    </row>
    <row r="24546" customFormat="false" ht="12.8" hidden="false" customHeight="false" outlineLevel="0" collapsed="false">
      <c r="B24546" s="0" t="s">
        <v>1</v>
      </c>
    </row>
    <row r="24547" customFormat="false" ht="12.8" hidden="false" customHeight="false" outlineLevel="0" collapsed="false">
      <c r="B24547" s="0" t="s">
        <v>8</v>
      </c>
    </row>
    <row r="24548" customFormat="false" ht="12.8" hidden="false" customHeight="false" outlineLevel="0" collapsed="false">
      <c r="B24548" s="0" t="s">
        <v>10019</v>
      </c>
    </row>
    <row r="24550" customFormat="false" ht="12.8" hidden="false" customHeight="false" outlineLevel="0" collapsed="false">
      <c r="A24550" s="0" t="s">
        <v>10020</v>
      </c>
      <c r="B24550" s="0" t="str">
        <f aca="false">HYPERLINK("https://lindat.mff.cuni.cz/services/teitok/pdtc10/index.php?action=vallex&amp;frame=v-w3230f2", "osvobodit (v-w3230f2)")</f>
        <v>osvobodit (v-w3230f2)</v>
      </c>
    </row>
    <row r="24551" customFormat="false" ht="12.8" hidden="false" customHeight="false" outlineLevel="0" collapsed="false">
      <c r="B24551" s="0" t="s">
        <v>1</v>
      </c>
    </row>
    <row r="24552" customFormat="false" ht="12.8" hidden="false" customHeight="false" outlineLevel="0" collapsed="false">
      <c r="B24552" s="0" t="s">
        <v>8</v>
      </c>
    </row>
    <row r="24553" customFormat="false" ht="12.8" hidden="false" customHeight="false" outlineLevel="0" collapsed="false">
      <c r="B24553" s="0" t="s">
        <v>9339</v>
      </c>
    </row>
    <row r="24555" customFormat="false" ht="12.8" hidden="false" customHeight="false" outlineLevel="0" collapsed="false">
      <c r="A24555" s="0" t="s">
        <v>10021</v>
      </c>
      <c r="B24555" s="0" t="str">
        <f aca="false">HYPERLINK("https://lindat.mff.cuni.cz/services/teitok/pdtc10/index.php?action=vallex&amp;frame=v-w3233f1", "osvobozovat (v-w3233f1)")</f>
        <v>osvobozovat (v-w3233f1)</v>
      </c>
      <c r="E24555" s="0" t="str">
        <f aca="false">HYPERLINK("https://lindat.mff.cuni.cz/services/SynSemClass40/SynSemClass40.html?veclass=vec00595#vec00595-ces-cm00009", "vec00595")</f>
        <v>vec00595</v>
      </c>
      <c r="F24555" s="0" t="s">
        <v>9863</v>
      </c>
    </row>
    <row r="24556" customFormat="false" ht="12.8" hidden="false" customHeight="false" outlineLevel="0" collapsed="false">
      <c r="B24556" s="0" t="s">
        <v>1</v>
      </c>
      <c r="C24556" s="0" t="s">
        <v>3288</v>
      </c>
      <c r="E24556" s="0" t="s">
        <v>206</v>
      </c>
      <c r="F24556" s="0" t="s">
        <v>9275</v>
      </c>
    </row>
    <row r="24557" customFormat="false" ht="12.8" hidden="false" customHeight="false" outlineLevel="0" collapsed="false">
      <c r="B24557" s="0" t="s">
        <v>8</v>
      </c>
      <c r="C24557" s="0" t="s">
        <v>9864</v>
      </c>
      <c r="E24557" s="0" t="s">
        <v>1847</v>
      </c>
      <c r="F24557" s="0" t="s">
        <v>9865</v>
      </c>
    </row>
    <row r="24558" customFormat="false" ht="12.8" hidden="false" customHeight="false" outlineLevel="0" collapsed="false">
      <c r="B24558" s="0" t="s">
        <v>1965</v>
      </c>
      <c r="C24558" s="0" t="s">
        <v>9866</v>
      </c>
      <c r="E24558" s="0" t="s">
        <v>9867</v>
      </c>
      <c r="F24558" s="0" t="s">
        <v>9868</v>
      </c>
    </row>
    <row r="24560" customFormat="false" ht="12.8" hidden="false" customHeight="false" outlineLevel="0" collapsed="false">
      <c r="A24560" s="0" t="s">
        <v>10022</v>
      </c>
      <c r="B24560" s="0" t="str">
        <f aca="false">HYPERLINK("https://lindat.mff.cuni.cz/services/teitok/pdtc10/index.php?action=vallex&amp;frame=v-w3233f2", "osvobozovat (v-w3233f2)")</f>
        <v>osvobozovat (v-w3233f2)</v>
      </c>
    </row>
    <row r="24561" customFormat="false" ht="12.8" hidden="false" customHeight="false" outlineLevel="0" collapsed="false">
      <c r="B24561" s="0" t="s">
        <v>1</v>
      </c>
    </row>
    <row r="24562" customFormat="false" ht="12.8" hidden="false" customHeight="false" outlineLevel="0" collapsed="false">
      <c r="B24562" s="0" t="s">
        <v>8</v>
      </c>
    </row>
    <row r="24563" customFormat="false" ht="12.8" hidden="false" customHeight="false" outlineLevel="0" collapsed="false">
      <c r="B24563" s="0" t="s">
        <v>574</v>
      </c>
    </row>
    <row r="24565" customFormat="false" ht="12.8" hidden="false" customHeight="false" outlineLevel="0" collapsed="false">
      <c r="A24565" s="0" t="s">
        <v>10023</v>
      </c>
      <c r="B24565" s="0" t="str">
        <f aca="false">HYPERLINK("https://lindat.mff.cuni.cz/services/teitok/pdtc10/index.php?action=vallex&amp;frame=v-w3235f1", "osvojit si (v-w3235f1)")</f>
        <v>osvojit si (v-w3235f1)</v>
      </c>
    </row>
    <row r="24566" customFormat="false" ht="12.8" hidden="false" customHeight="false" outlineLevel="0" collapsed="false">
      <c r="B24566" s="0" t="s">
        <v>1</v>
      </c>
    </row>
    <row r="24567" customFormat="false" ht="12.8" hidden="false" customHeight="false" outlineLevel="0" collapsed="false">
      <c r="B24567" s="0" t="s">
        <v>228</v>
      </c>
    </row>
    <row r="24569" customFormat="false" ht="12.8" hidden="false" customHeight="false" outlineLevel="0" collapsed="false">
      <c r="A24569" s="0" t="s">
        <v>10024</v>
      </c>
      <c r="B24569" s="0" t="str">
        <f aca="false">HYPERLINK("https://lindat.mff.cuni.cz/services/teitok/pdtc10/index.php?action=vallex&amp;frame=v-w3235f2_ZU", "osvojit si (v-w3235f2_ZU)")</f>
        <v>osvojit si (v-w3235f2_ZU)</v>
      </c>
    </row>
    <row r="24570" customFormat="false" ht="12.8" hidden="false" customHeight="false" outlineLevel="0" collapsed="false">
      <c r="B24570" s="0" t="s">
        <v>1</v>
      </c>
    </row>
    <row r="24571" customFormat="false" ht="12.8" hidden="false" customHeight="false" outlineLevel="0" collapsed="false">
      <c r="B24571" s="0" t="s">
        <v>8</v>
      </c>
    </row>
    <row r="24573" customFormat="false" ht="12.8" hidden="false" customHeight="false" outlineLevel="0" collapsed="false">
      <c r="A24573" s="0" t="s">
        <v>10025</v>
      </c>
      <c r="B24573" s="0" t="str">
        <f aca="false">HYPERLINK("https://lindat.mff.cuni.cz/services/teitok/pdtc10/index.php?action=vallex&amp;frame=v-w3236f1", "osvojovat si (v-w3236f1)")</f>
        <v>osvojovat si (v-w3236f1)</v>
      </c>
    </row>
    <row r="24574" customFormat="false" ht="12.8" hidden="false" customHeight="false" outlineLevel="0" collapsed="false">
      <c r="B24574" s="0" t="s">
        <v>1</v>
      </c>
    </row>
    <row r="24575" customFormat="false" ht="12.8" hidden="false" customHeight="false" outlineLevel="0" collapsed="false">
      <c r="B24575" s="0" t="s">
        <v>228</v>
      </c>
    </row>
    <row r="24577" customFormat="false" ht="12.8" hidden="false" customHeight="false" outlineLevel="0" collapsed="false">
      <c r="A24577" s="0" t="s">
        <v>10026</v>
      </c>
      <c r="B24577" s="0" t="str">
        <f aca="false">HYPERLINK("https://lindat.mff.cuni.cz/services/teitok/pdtc10/index.php?action=vallex&amp;frame=v-w11082f2", "osvítit (v-w11082f2)")</f>
        <v>osvítit (v-w11082f2)</v>
      </c>
      <c r="E24577" s="0" t="str">
        <f aca="false">HYPERLINK("https://lindat.mff.cuni.cz/services/SynSemClass40/SynSemClass40.html?veclass=vec01417#vec01417-ces-cm00002", "vec01417")</f>
        <v>vec01417</v>
      </c>
      <c r="F24577" s="0" t="s">
        <v>10027</v>
      </c>
    </row>
    <row r="24578" customFormat="false" ht="12.8" hidden="false" customHeight="false" outlineLevel="0" collapsed="false">
      <c r="B24578" s="0" t="s">
        <v>1</v>
      </c>
      <c r="E24578" s="0" t="s">
        <v>4581</v>
      </c>
      <c r="F24578" s="0" t="s">
        <v>10028</v>
      </c>
    </row>
    <row r="24579" customFormat="false" ht="12.8" hidden="false" customHeight="false" outlineLevel="0" collapsed="false">
      <c r="B24579" s="0" t="s">
        <v>8</v>
      </c>
      <c r="E24579" s="0" t="s">
        <v>142</v>
      </c>
      <c r="F24579" s="0" t="s">
        <v>6348</v>
      </c>
    </row>
    <row r="24581" customFormat="false" ht="12.8" hidden="false" customHeight="false" outlineLevel="0" collapsed="false">
      <c r="A24581" s="0" t="s">
        <v>10029</v>
      </c>
      <c r="B24581" s="0" t="str">
        <f aca="false">HYPERLINK("https://lindat.mff.cuni.cz/services/teitok/pdtc10/index.php?action=vallex&amp;frame=v-w11695_ZUf1_ZU", "osvěcovat (v-w11695_ZUf1_ZU)")</f>
        <v>osvěcovat (v-w11695_ZUf1_ZU)</v>
      </c>
    </row>
    <row r="24582" customFormat="false" ht="12.8" hidden="false" customHeight="false" outlineLevel="0" collapsed="false">
      <c r="B24582" s="0" t="s">
        <v>1</v>
      </c>
    </row>
    <row r="24583" customFormat="false" ht="12.8" hidden="false" customHeight="false" outlineLevel="0" collapsed="false">
      <c r="B24583" s="0" t="s">
        <v>8</v>
      </c>
    </row>
    <row r="24585" customFormat="false" ht="12.8" hidden="false" customHeight="false" outlineLevel="0" collapsed="false">
      <c r="A24585" s="0" t="s">
        <v>10030</v>
      </c>
      <c r="B24585" s="0" t="str">
        <f aca="false">HYPERLINK("https://lindat.mff.cuni.cz/services/teitok/pdtc10/index.php?action=vallex&amp;frame=v-w3219f1", "osvědčit (v-w3219f1)")</f>
        <v>osvědčit (v-w3219f1)</v>
      </c>
    </row>
    <row r="24586" customFormat="false" ht="12.8" hidden="false" customHeight="false" outlineLevel="0" collapsed="false">
      <c r="B24586" s="0" t="s">
        <v>1</v>
      </c>
    </row>
    <row r="24587" customFormat="false" ht="12.8" hidden="false" customHeight="false" outlineLevel="0" collapsed="false">
      <c r="B24587" s="0" t="s">
        <v>8</v>
      </c>
    </row>
    <row r="24588" customFormat="false" ht="12.8" hidden="false" customHeight="false" outlineLevel="0" collapsed="false">
      <c r="B24588" s="0" t="s">
        <v>132</v>
      </c>
    </row>
    <row r="24590" customFormat="false" ht="12.8" hidden="false" customHeight="false" outlineLevel="0" collapsed="false">
      <c r="A24590" s="0" t="s">
        <v>10031</v>
      </c>
      <c r="B24590" s="0" t="str">
        <f aca="false">HYPERLINK("https://lindat.mff.cuni.cz/services/teitok/pdtc10/index.php?action=vallex&amp;frame=v-w3220f1", "osvědčit se (v-w3220f1)")</f>
        <v>osvědčit se (v-w3220f1)</v>
      </c>
      <c r="E24590" s="0" t="str">
        <f aca="false">HYPERLINK("https://lindat.mff.cuni.cz/services/SynSemClass40/SynSemClass40.html?veclass=vec00757#vec00757-ces-cm00007", "vec00757")</f>
        <v>vec00757</v>
      </c>
      <c r="F24590" s="0" t="s">
        <v>10032</v>
      </c>
    </row>
    <row r="24591" customFormat="false" ht="12.8" hidden="false" customHeight="false" outlineLevel="0" collapsed="false">
      <c r="B24591" s="0" t="s">
        <v>7049</v>
      </c>
      <c r="C24591" s="0" t="s">
        <v>10033</v>
      </c>
      <c r="E24591" s="0" t="s">
        <v>2151</v>
      </c>
      <c r="F24591" s="0" t="s">
        <v>10034</v>
      </c>
    </row>
    <row r="24592" customFormat="false" ht="12.8" hidden="false" customHeight="false" outlineLevel="0" collapsed="false">
      <c r="B24592" s="0" t="s">
        <v>157</v>
      </c>
      <c r="E24592" s="0" t="s">
        <v>4438</v>
      </c>
      <c r="F24592" s="0" t="s">
        <v>10035</v>
      </c>
    </row>
    <row r="24594" customFormat="false" ht="12.8" hidden="false" customHeight="false" outlineLevel="0" collapsed="false">
      <c r="A24594" s="0" t="s">
        <v>10036</v>
      </c>
      <c r="B24594" s="0" t="str">
        <f aca="false">HYPERLINK("https://lindat.mff.cuni.cz/services/teitok/pdtc10/index.php?action=vallex&amp;frame=v-w3221f1", "osvědčovat (v-w3221f1)")</f>
        <v>osvědčovat (v-w3221f1)</v>
      </c>
    </row>
    <row r="24595" customFormat="false" ht="12.8" hidden="false" customHeight="false" outlineLevel="0" collapsed="false">
      <c r="B24595" s="0" t="s">
        <v>1</v>
      </c>
    </row>
    <row r="24596" customFormat="false" ht="12.8" hidden="false" customHeight="false" outlineLevel="0" collapsed="false">
      <c r="B24596" s="0" t="s">
        <v>8</v>
      </c>
    </row>
    <row r="24597" customFormat="false" ht="12.8" hidden="false" customHeight="false" outlineLevel="0" collapsed="false">
      <c r="B24597" s="0" t="s">
        <v>132</v>
      </c>
    </row>
    <row r="24599" customFormat="false" ht="12.8" hidden="false" customHeight="false" outlineLevel="0" collapsed="false">
      <c r="A24599" s="0" t="s">
        <v>10037</v>
      </c>
      <c r="B24599" s="0" t="str">
        <f aca="false">HYPERLINK("https://lindat.mff.cuni.cz/services/teitok/pdtc10/index.php?action=vallex&amp;frame=v-w3222f1", "osvědčovat se (v-w3222f1)")</f>
        <v>osvědčovat se (v-w3222f1)</v>
      </c>
    </row>
    <row r="24600" customFormat="false" ht="12.8" hidden="false" customHeight="false" outlineLevel="0" collapsed="false">
      <c r="B24600" s="0" t="s">
        <v>7049</v>
      </c>
    </row>
    <row r="24601" customFormat="false" ht="12.8" hidden="false" customHeight="false" outlineLevel="0" collapsed="false">
      <c r="B24601" s="0" t="s">
        <v>157</v>
      </c>
    </row>
    <row r="24603" customFormat="false" ht="12.8" hidden="false" customHeight="false" outlineLevel="0" collapsed="false">
      <c r="A24603" s="0" t="s">
        <v>10038</v>
      </c>
      <c r="B24603" s="0" t="str">
        <f aca="false">HYPERLINK("https://lindat.mff.cuni.cz/services/teitok/pdtc10/index.php?action=vallex&amp;frame=v-w3225f1", "osvětlit (v-w3225f1)")</f>
        <v>osvětlit (v-w3225f1)</v>
      </c>
    </row>
    <row r="24604" customFormat="false" ht="12.8" hidden="false" customHeight="false" outlineLevel="0" collapsed="false">
      <c r="B24604" s="0" t="s">
        <v>1</v>
      </c>
    </row>
    <row r="24605" customFormat="false" ht="12.8" hidden="false" customHeight="false" outlineLevel="0" collapsed="false">
      <c r="B24605" s="0" t="s">
        <v>8373</v>
      </c>
    </row>
    <row r="24606" customFormat="false" ht="12.8" hidden="false" customHeight="false" outlineLevel="0" collapsed="false">
      <c r="B24606" s="0" t="s">
        <v>52</v>
      </c>
    </row>
    <row r="24608" customFormat="false" ht="12.8" hidden="false" customHeight="false" outlineLevel="0" collapsed="false">
      <c r="A24608" s="0" t="s">
        <v>10039</v>
      </c>
      <c r="B24608" s="0" t="str">
        <f aca="false">HYPERLINK("https://lindat.mff.cuni.cz/services/teitok/pdtc10/index.php?action=vallex&amp;frame=v-w3225f2", "osvětlit (v-w3225f2)")</f>
        <v>osvětlit (v-w3225f2)</v>
      </c>
      <c r="E24608" s="0" t="str">
        <f aca="false">HYPERLINK("https://lindat.mff.cuni.cz/services/SynSemClass40/SynSemClass40.html?veclass=vec01417#vec01417-ces-cm00001", "vec01417")</f>
        <v>vec01417</v>
      </c>
      <c r="F24608" s="0" t="s">
        <v>10027</v>
      </c>
    </row>
    <row r="24609" customFormat="false" ht="12.8" hidden="false" customHeight="false" outlineLevel="0" collapsed="false">
      <c r="B24609" s="0" t="s">
        <v>1</v>
      </c>
      <c r="E24609" s="0" t="s">
        <v>4581</v>
      </c>
      <c r="F24609" s="0" t="s">
        <v>10028</v>
      </c>
    </row>
    <row r="24610" customFormat="false" ht="12.8" hidden="false" customHeight="false" outlineLevel="0" collapsed="false">
      <c r="B24610" s="0" t="s">
        <v>8</v>
      </c>
      <c r="E24610" s="0" t="s">
        <v>142</v>
      </c>
      <c r="F24610" s="0" t="s">
        <v>6348</v>
      </c>
    </row>
    <row r="24612" customFormat="false" ht="12.8" hidden="false" customHeight="false" outlineLevel="0" collapsed="false">
      <c r="A24612" s="0" t="s">
        <v>10040</v>
      </c>
      <c r="B24612" s="0" t="str">
        <f aca="false">HYPERLINK("https://lindat.mff.cuni.cz/services/teitok/pdtc10/index.php?action=vallex&amp;frame=v-w3226f1", "osvětlovat (v-w3226f1)")</f>
        <v>osvětlovat (v-w3226f1)</v>
      </c>
      <c r="E24612" s="0" t="str">
        <f aca="false">HYPERLINK("https://lindat.mff.cuni.cz/services/SynSemClass40/SynSemClass40.html?veclass=vec00450#vec00450-ces-cm00030", "vec00450")</f>
        <v>vec00450</v>
      </c>
      <c r="F24612" s="0" t="s">
        <v>8366</v>
      </c>
    </row>
    <row r="24613" customFormat="false" ht="12.8" hidden="false" customHeight="false" outlineLevel="0" collapsed="false">
      <c r="B24613" s="0" t="s">
        <v>1</v>
      </c>
      <c r="C24613" s="0" t="s">
        <v>8367</v>
      </c>
      <c r="E24613" s="0" t="s">
        <v>63</v>
      </c>
      <c r="F24613" s="0" t="s">
        <v>8368</v>
      </c>
    </row>
    <row r="24614" customFormat="false" ht="12.8" hidden="false" customHeight="false" outlineLevel="0" collapsed="false">
      <c r="B24614" s="0" t="s">
        <v>8373</v>
      </c>
      <c r="C24614" s="0" t="s">
        <v>8369</v>
      </c>
      <c r="E24614" s="0" t="s">
        <v>230</v>
      </c>
      <c r="F24614" s="0" t="s">
        <v>8370</v>
      </c>
    </row>
    <row r="24615" customFormat="false" ht="12.8" hidden="false" customHeight="false" outlineLevel="0" collapsed="false">
      <c r="B24615" s="0" t="s">
        <v>52</v>
      </c>
      <c r="C24615" s="0" t="s">
        <v>3733</v>
      </c>
      <c r="E24615" s="0" t="s">
        <v>221</v>
      </c>
      <c r="F24615" s="0" t="s">
        <v>8371</v>
      </c>
    </row>
    <row r="24617" customFormat="false" ht="12.8" hidden="false" customHeight="false" outlineLevel="0" collapsed="false">
      <c r="A24617" s="0" t="s">
        <v>10041</v>
      </c>
      <c r="B24617" s="0" t="str">
        <f aca="false">HYPERLINK("https://lindat.mff.cuni.cz/services/teitok/pdtc10/index.php?action=vallex&amp;frame=v-w3226f2_ZU", "osvětlovat (v-w3226f2_ZU)")</f>
        <v>osvětlovat (v-w3226f2_ZU)</v>
      </c>
      <c r="E24617" s="0" t="str">
        <f aca="false">HYPERLINK("https://lindat.mff.cuni.cz/services/SynSemClass40/SynSemClass40.html?veclass=vec00450#vec00450-ces-cm00031", "vec00450")</f>
        <v>vec00450</v>
      </c>
      <c r="F24617" s="0" t="s">
        <v>8366</v>
      </c>
    </row>
    <row r="24618" customFormat="false" ht="12.8" hidden="false" customHeight="false" outlineLevel="0" collapsed="false">
      <c r="B24618" s="0" t="s">
        <v>1</v>
      </c>
      <c r="C24618" s="0" t="s">
        <v>8367</v>
      </c>
      <c r="E24618" s="0" t="s">
        <v>63</v>
      </c>
      <c r="F24618" s="0" t="s">
        <v>8368</v>
      </c>
    </row>
    <row r="24619" customFormat="false" ht="12.8" hidden="false" customHeight="false" outlineLevel="0" collapsed="false">
      <c r="B24619" s="0" t="s">
        <v>132</v>
      </c>
      <c r="C24619" s="0" t="s">
        <v>3733</v>
      </c>
      <c r="E24619" s="0" t="s">
        <v>221</v>
      </c>
      <c r="F24619" s="0" t="s">
        <v>8371</v>
      </c>
    </row>
    <row r="24620" customFormat="false" ht="12.8" hidden="false" customHeight="false" outlineLevel="0" collapsed="false">
      <c r="B24620" s="0" t="s">
        <v>8</v>
      </c>
      <c r="C24620" s="0" t="s">
        <v>8369</v>
      </c>
      <c r="E24620" s="0" t="s">
        <v>230</v>
      </c>
      <c r="F24620" s="0" t="s">
        <v>8370</v>
      </c>
    </row>
    <row r="24622" customFormat="false" ht="12.8" hidden="false" customHeight="false" outlineLevel="0" collapsed="false">
      <c r="A24622" s="0" t="s">
        <v>10042</v>
      </c>
      <c r="B24622" s="0" t="str">
        <f aca="false">HYPERLINK("https://lindat.mff.cuni.cz/services/teitok/pdtc10/index.php?action=vallex&amp;frame=v-w3228f2_ZU", "osvěžit (v-w3228f2_ZU)")</f>
        <v>osvěžit (v-w3228f2_ZU)</v>
      </c>
    </row>
    <row r="24623" customFormat="false" ht="12.8" hidden="false" customHeight="false" outlineLevel="0" collapsed="false">
      <c r="B24623" s="0" t="s">
        <v>1</v>
      </c>
    </row>
    <row r="24624" customFormat="false" ht="12.8" hidden="false" customHeight="false" outlineLevel="0" collapsed="false">
      <c r="B24624" s="0" t="s">
        <v>59</v>
      </c>
    </row>
    <row r="24626" customFormat="false" ht="12.8" hidden="false" customHeight="false" outlineLevel="0" collapsed="false">
      <c r="A24626" s="0" t="s">
        <v>10042</v>
      </c>
      <c r="B24626" s="0" t="str">
        <f aca="false">HYPERLINK("https://lindat.mff.cuni.cz/services/teitok/pdtc10/index.php?action=vallex&amp;frame=v-w3228f1", "osvěžit (v-w3228f1) - substituted with v-w3228f2_ZU")</f>
        <v>osvěžit (v-w3228f1) - substituted with v-w3228f2_ZU</v>
      </c>
      <c r="E24626" s="0" t="str">
        <f aca="false">HYPERLINK("https://lindat.mff.cuni.cz/services/SynSemClass40/SynSemClass40.html?veclass=vec00246#vec00246-ces-cm00027", "vec00246")</f>
        <v>vec00246</v>
      </c>
      <c r="F24626" s="0" t="s">
        <v>8433</v>
      </c>
    </row>
    <row r="24627" customFormat="false" ht="12.8" hidden="false" customHeight="false" outlineLevel="0" collapsed="false">
      <c r="B24627" s="0" t="s">
        <v>1</v>
      </c>
      <c r="C24627" s="0" t="s">
        <v>8434</v>
      </c>
      <c r="E24627" s="0" t="s">
        <v>31</v>
      </c>
      <c r="F24627" s="0" t="s">
        <v>8435</v>
      </c>
    </row>
    <row r="24628" customFormat="false" ht="12.8" hidden="false" customHeight="false" outlineLevel="0" collapsed="false">
      <c r="B24628" s="0" t="s">
        <v>59</v>
      </c>
      <c r="C24628" s="0" t="s">
        <v>8436</v>
      </c>
      <c r="E24628" s="0" t="s">
        <v>79</v>
      </c>
      <c r="F24628" s="0" t="s">
        <v>8437</v>
      </c>
    </row>
    <row r="24630" customFormat="false" ht="12.8" hidden="false" customHeight="false" outlineLevel="0" collapsed="false">
      <c r="A24630" s="0" t="s">
        <v>10043</v>
      </c>
      <c r="B24630" s="0" t="str">
        <f aca="false">HYPERLINK("https://lindat.mff.cuni.cz/services/teitok/pdtc10/index.php?action=vallex&amp;frame=v-whsa_2052hsa_2053", "osvěžit se (v-whsa_2052hsa_2053)")</f>
        <v>osvěžit se (v-whsa_2052hsa_2053)</v>
      </c>
    </row>
    <row r="24631" customFormat="false" ht="12.8" hidden="false" customHeight="false" outlineLevel="0" collapsed="false">
      <c r="B24631" s="0" t="s">
        <v>1</v>
      </c>
    </row>
    <row r="24633" customFormat="false" ht="12.8" hidden="false" customHeight="false" outlineLevel="0" collapsed="false">
      <c r="A24633" s="0" t="s">
        <v>10044</v>
      </c>
      <c r="B24633" s="0" t="str">
        <f aca="false">HYPERLINK("https://lindat.mff.cuni.cz/services/teitok/pdtc10/index.php?action=vallex&amp;frame=v-whsa_1530hsa_1531", "osázet (v-whsa_1530hsa_1531)")</f>
        <v>osázet (v-whsa_1530hsa_1531)</v>
      </c>
    </row>
    <row r="24634" customFormat="false" ht="12.8" hidden="false" customHeight="false" outlineLevel="0" collapsed="false">
      <c r="B24634" s="0" t="s">
        <v>1</v>
      </c>
    </row>
    <row r="24635" customFormat="false" ht="12.8" hidden="false" customHeight="false" outlineLevel="0" collapsed="false">
      <c r="B24635" s="0" t="s">
        <v>8</v>
      </c>
    </row>
    <row r="24637" customFormat="false" ht="12.8" hidden="false" customHeight="false" outlineLevel="0" collapsed="false">
      <c r="A24637" s="0" t="s">
        <v>10045</v>
      </c>
      <c r="B24637" s="0" t="str">
        <f aca="false">HYPERLINK("https://lindat.mff.cuni.cz/services/teitok/pdtc10/index.php?action=vallex&amp;frame=v-w3184f1", "osídlit (v-w3184f1)")</f>
        <v>osídlit (v-w3184f1)</v>
      </c>
    </row>
    <row r="24638" customFormat="false" ht="12.8" hidden="false" customHeight="false" outlineLevel="0" collapsed="false">
      <c r="B24638" s="0" t="s">
        <v>1</v>
      </c>
    </row>
    <row r="24639" customFormat="false" ht="12.8" hidden="false" customHeight="false" outlineLevel="0" collapsed="false">
      <c r="B24639" s="0" t="s">
        <v>8</v>
      </c>
    </row>
    <row r="24641" customFormat="false" ht="12.8" hidden="false" customHeight="false" outlineLevel="0" collapsed="false">
      <c r="A24641" s="0" t="s">
        <v>10046</v>
      </c>
      <c r="B24641" s="0" t="str">
        <f aca="false">HYPERLINK("https://lindat.mff.cuni.cz/services/teitok/pdtc10/index.php?action=vallex&amp;frame=v-w12073_ZUf1_ZU", "osídlovat (v-w12073_ZUf1_ZU)")</f>
        <v>osídlovat (v-w12073_ZUf1_ZU)</v>
      </c>
    </row>
    <row r="24642" customFormat="false" ht="12.8" hidden="false" customHeight="false" outlineLevel="0" collapsed="false">
      <c r="B24642" s="0" t="s">
        <v>1</v>
      </c>
    </row>
    <row r="24643" customFormat="false" ht="12.8" hidden="false" customHeight="false" outlineLevel="0" collapsed="false">
      <c r="B24643" s="0" t="s">
        <v>8</v>
      </c>
    </row>
    <row r="24645" customFormat="false" ht="12.8" hidden="false" customHeight="false" outlineLevel="0" collapsed="false">
      <c r="A24645" s="0" t="s">
        <v>10047</v>
      </c>
      <c r="B24645" s="0" t="str">
        <f aca="false">HYPERLINK("https://lindat.mff.cuni.cz/services/teitok/pdtc10/index.php?action=vallex&amp;frame=v-w3255f1", "oteplit se (v-w3255f1)")</f>
        <v>oteplit se (v-w3255f1)</v>
      </c>
    </row>
    <row r="24647" customFormat="false" ht="12.8" hidden="false" customHeight="false" outlineLevel="0" collapsed="false">
      <c r="A24647" s="0" t="s">
        <v>10048</v>
      </c>
      <c r="B24647" s="0" t="str">
        <f aca="false">HYPERLINK("https://lindat.mff.cuni.cz/services/teitok/pdtc10/index.php?action=vallex&amp;frame=v-w3256f1", "oteplovat (v-w3256f1)")</f>
        <v>oteplovat (v-w3256f1)</v>
      </c>
    </row>
    <row r="24648" customFormat="false" ht="12.8" hidden="false" customHeight="false" outlineLevel="0" collapsed="false">
      <c r="B24648" s="0" t="s">
        <v>1</v>
      </c>
    </row>
    <row r="24649" customFormat="false" ht="12.8" hidden="false" customHeight="false" outlineLevel="0" collapsed="false">
      <c r="B24649" s="0" t="s">
        <v>8</v>
      </c>
    </row>
    <row r="24651" customFormat="false" ht="12.8" hidden="false" customHeight="false" outlineLevel="0" collapsed="false">
      <c r="A24651" s="0" t="s">
        <v>10049</v>
      </c>
      <c r="B24651" s="0" t="str">
        <f aca="false">HYPERLINK("https://lindat.mff.cuni.cz/services/teitok/pdtc10/index.php?action=vallex&amp;frame=v-w3257f2", "oteplovat se (v-w3257f2)")</f>
        <v>oteplovat se (v-w3257f2)</v>
      </c>
      <c r="E24651" s="0" t="str">
        <f aca="false">HYPERLINK("https://lindat.mff.cuni.cz/services/SynSemClass40/SynSemClass40.html?veclass=vec01064#vec01064-ces-cm00001", "vec01064")</f>
        <v>vec01064</v>
      </c>
      <c r="F24651" s="0" t="s">
        <v>10050</v>
      </c>
    </row>
    <row r="24652" customFormat="false" ht="12.8" hidden="false" customHeight="false" outlineLevel="0" collapsed="false">
      <c r="B24652" s="0" t="s">
        <v>1</v>
      </c>
      <c r="C24652" s="0" t="s">
        <v>549</v>
      </c>
      <c r="E24652" s="0" t="s">
        <v>84</v>
      </c>
      <c r="F24652" s="0" t="s">
        <v>10051</v>
      </c>
    </row>
    <row r="24654" customFormat="false" ht="12.8" hidden="false" customHeight="false" outlineLevel="0" collapsed="false">
      <c r="A24654" s="0" t="s">
        <v>10052</v>
      </c>
      <c r="B24654" s="0" t="str">
        <f aca="false">HYPERLINK("https://lindat.mff.cuni.cz/services/teitok/pdtc10/index.php?action=vallex&amp;frame=v-w3257f1", "oteplovat se (v-w3257f1)")</f>
        <v>oteplovat se (v-w3257f1)</v>
      </c>
    </row>
    <row r="24656" customFormat="false" ht="12.8" hidden="false" customHeight="false" outlineLevel="0" collapsed="false">
      <c r="A24656" s="0" t="s">
        <v>10053</v>
      </c>
      <c r="B24656" s="0" t="str">
        <f aca="false">HYPERLINK("https://lindat.mff.cuni.cz/services/teitok/pdtc10/index.php?action=vallex&amp;frame=v-w11543_ZUf1_ZU", "otesat (v-w11543_ZUf1_ZU)")</f>
        <v>otesat (v-w11543_ZUf1_ZU)</v>
      </c>
      <c r="E24656" s="0" t="str">
        <f aca="false">HYPERLINK("https://lindat.mff.cuni.cz/services/SynSemClass40/SynSemClass40.html?veclass=vec01418#vec01418-ces-cm00006", "vec01418")</f>
        <v>vec01418</v>
      </c>
      <c r="F24656" s="0" t="s">
        <v>10054</v>
      </c>
    </row>
    <row r="24657" customFormat="false" ht="12.8" hidden="false" customHeight="false" outlineLevel="0" collapsed="false">
      <c r="B24657" s="0" t="s">
        <v>1</v>
      </c>
      <c r="E24657" s="0" t="s">
        <v>5401</v>
      </c>
      <c r="F24657" s="0" t="s">
        <v>10055</v>
      </c>
    </row>
    <row r="24658" customFormat="false" ht="12.8" hidden="false" customHeight="false" outlineLevel="0" collapsed="false">
      <c r="B24658" s="0" t="s">
        <v>8</v>
      </c>
      <c r="C24658" s="0" t="s">
        <v>462</v>
      </c>
      <c r="E24658" s="0" t="s">
        <v>5405</v>
      </c>
      <c r="F24658" s="0" t="s">
        <v>10056</v>
      </c>
    </row>
    <row r="24660" customFormat="false" ht="12.8" hidden="false" customHeight="false" outlineLevel="0" collapsed="false">
      <c r="A24660" s="0" t="s">
        <v>10057</v>
      </c>
      <c r="B24660" s="0" t="str">
        <f aca="false">HYPERLINK("https://lindat.mff.cuni.cz/services/teitok/pdtc10/index.php?action=vallex&amp;frame=v-w3258f1", "otestovat (v-w3258f1)")</f>
        <v>otestovat (v-w3258f1)</v>
      </c>
      <c r="E24660" s="0" t="str">
        <f aca="false">HYPERLINK("https://lindat.mff.cuni.cz/services/SynSemClass40/SynSemClass40.html?veclass=vec00058#vec00058-ces-cm00001", "vec00058")</f>
        <v>vec00058</v>
      </c>
      <c r="F24660" s="0" t="s">
        <v>8689</v>
      </c>
    </row>
    <row r="24661" customFormat="false" ht="12.8" hidden="false" customHeight="false" outlineLevel="0" collapsed="false">
      <c r="B24661" s="0" t="s">
        <v>1</v>
      </c>
      <c r="C24661" s="0" t="s">
        <v>1322</v>
      </c>
      <c r="E24661" s="0" t="s">
        <v>4455</v>
      </c>
      <c r="F24661" s="0" t="s">
        <v>8690</v>
      </c>
    </row>
    <row r="24662" customFormat="false" ht="12.8" hidden="false" customHeight="false" outlineLevel="0" collapsed="false">
      <c r="B24662" s="0" t="s">
        <v>2493</v>
      </c>
      <c r="C24662" s="0" t="s">
        <v>8691</v>
      </c>
      <c r="E24662" s="0" t="s">
        <v>180</v>
      </c>
      <c r="F24662" s="0" t="s">
        <v>8692</v>
      </c>
    </row>
    <row r="24664" customFormat="false" ht="12.8" hidden="false" customHeight="false" outlineLevel="0" collapsed="false">
      <c r="A24664" s="0" t="s">
        <v>10058</v>
      </c>
      <c r="B24664" s="0" t="str">
        <f aca="false">HYPERLINK("https://lindat.mff.cuni.cz/services/teitok/pdtc10/index.php?action=vallex&amp;frame=v-w3261f1", "otevírat (v-w3261f1)")</f>
        <v>otevírat (v-w3261f1)</v>
      </c>
      <c r="E24664" s="0" t="str">
        <f aca="false">HYPERLINK("https://lindat.mff.cuni.cz/services/SynSemClass40/SynSemClass40.html?veclass=vec00038#vec00038-ces-cm00092", "vec00038")</f>
        <v>vec00038</v>
      </c>
      <c r="F24664" s="0" t="s">
        <v>74</v>
      </c>
    </row>
    <row r="24665" customFormat="false" ht="12.8" hidden="false" customHeight="false" outlineLevel="0" collapsed="false">
      <c r="B24665" s="0" t="s">
        <v>1</v>
      </c>
      <c r="C24665" s="0" t="s">
        <v>75</v>
      </c>
      <c r="E24665" s="0" t="s">
        <v>76</v>
      </c>
      <c r="F24665" s="0" t="s">
        <v>77</v>
      </c>
    </row>
    <row r="24666" customFormat="false" ht="12.8" hidden="false" customHeight="false" outlineLevel="0" collapsed="false">
      <c r="B24666" s="0" t="s">
        <v>8</v>
      </c>
      <c r="C24666" s="0" t="s">
        <v>78</v>
      </c>
      <c r="E24666" s="0" t="s">
        <v>79</v>
      </c>
      <c r="F24666" s="0" t="s">
        <v>80</v>
      </c>
    </row>
    <row r="24668" customFormat="false" ht="12.8" hidden="false" customHeight="false" outlineLevel="0" collapsed="false">
      <c r="A24668" s="0" t="s">
        <v>10059</v>
      </c>
      <c r="B24668" s="0" t="str">
        <f aca="false">HYPERLINK("https://lindat.mff.cuni.cz/services/teitok/pdtc10/index.php?action=vallex&amp;frame=v-w3261f3", "otevírat (v-w3261f3)")</f>
        <v>otevírat (v-w3261f3)</v>
      </c>
      <c r="E24668" s="0" t="str">
        <f aca="false">HYPERLINK("https://lindat.mff.cuni.cz/services/SynSemClass40/SynSemClass40.html?veclass=vec00465#vec00465-ces-cm00003", "vec00465")</f>
        <v>vec00465</v>
      </c>
      <c r="F24668" s="0" t="s">
        <v>8828</v>
      </c>
      <c r="H24668" s="0" t="str">
        <f aca="false">HYPERLINK("https://lindat.mff.cuni.cz/services/SynSemClass40/SynSemClass40.html?veclass=vec01342#vec01342-ces-cm00002", "vec01342")</f>
        <v>vec01342</v>
      </c>
      <c r="I24668" s="0" t="s">
        <v>8829</v>
      </c>
      <c r="K24668" s="0" t="str">
        <f aca="false">HYPERLINK("https://lindat.mff.cuni.cz/services/SynSemClass40/SynSemClass40.html?veclass=vec01537#vec01537-ces-cm00004", "vec01537")</f>
        <v>vec01537</v>
      </c>
      <c r="L24668" s="0" t="s">
        <v>8830</v>
      </c>
    </row>
    <row r="24669" customFormat="false" ht="12.8" hidden="false" customHeight="false" outlineLevel="0" collapsed="false">
      <c r="B24669" s="0" t="s">
        <v>1</v>
      </c>
      <c r="C24669" s="0" t="s">
        <v>8831</v>
      </c>
      <c r="E24669" s="0" t="s">
        <v>31</v>
      </c>
      <c r="F24669" s="0" t="s">
        <v>8832</v>
      </c>
      <c r="H24669" s="0" t="s">
        <v>31</v>
      </c>
      <c r="I24669" s="0" t="s">
        <v>8833</v>
      </c>
      <c r="K24669" s="0" t="s">
        <v>31</v>
      </c>
      <c r="L24669" s="0" t="s">
        <v>5293</v>
      </c>
    </row>
    <row r="24670" customFormat="false" ht="12.8" hidden="false" customHeight="false" outlineLevel="0" collapsed="false">
      <c r="B24670" s="0" t="s">
        <v>8</v>
      </c>
      <c r="C24670" s="0" t="s">
        <v>8834</v>
      </c>
      <c r="E24670" s="0" t="s">
        <v>8835</v>
      </c>
      <c r="F24670" s="0" t="s">
        <v>8836</v>
      </c>
      <c r="H24670" s="0" t="s">
        <v>34</v>
      </c>
      <c r="I24670" s="0" t="s">
        <v>8837</v>
      </c>
      <c r="K24670" s="0" t="s">
        <v>8835</v>
      </c>
      <c r="L24670" s="0" t="s">
        <v>8838</v>
      </c>
    </row>
    <row r="24672" customFormat="false" ht="12.8" hidden="false" customHeight="false" outlineLevel="0" collapsed="false">
      <c r="A24672" s="0" t="s">
        <v>10060</v>
      </c>
      <c r="B24672" s="0" t="str">
        <f aca="false">HYPERLINK("https://lindat.mff.cuni.cz/services/teitok/pdtc10/index.php?action=vallex&amp;frame=v-w3261f4", "otevírat (v-w3261f4)")</f>
        <v>otevírat (v-w3261f4)</v>
      </c>
    </row>
    <row r="24673" customFormat="false" ht="12.8" hidden="false" customHeight="false" outlineLevel="0" collapsed="false">
      <c r="B24673" s="0" t="s">
        <v>1</v>
      </c>
    </row>
    <row r="24674" customFormat="false" ht="12.8" hidden="false" customHeight="false" outlineLevel="0" collapsed="false">
      <c r="B24674" s="0" t="s">
        <v>8</v>
      </c>
    </row>
    <row r="24676" customFormat="false" ht="12.8" hidden="false" customHeight="false" outlineLevel="0" collapsed="false">
      <c r="A24676" s="0" t="s">
        <v>10061</v>
      </c>
      <c r="B24676" s="0" t="str">
        <f aca="false">HYPERLINK("https://lindat.mff.cuni.cz/services/teitok/pdtc10/index.php?action=vallex&amp;frame=v-w3261f5", "otevírat (v-w3261f5)")</f>
        <v>otevírat (v-w3261f5)</v>
      </c>
      <c r="E24676" s="0" t="str">
        <f aca="false">HYPERLINK("https://lindat.mff.cuni.cz/services/SynSemClass40/SynSemClass40.html?veclass=vec00861#vec00861-ces-cm00005", "vec00861")</f>
        <v>vec00861</v>
      </c>
      <c r="F24676" s="0" t="s">
        <v>10062</v>
      </c>
    </row>
    <row r="24677" customFormat="false" ht="12.8" hidden="false" customHeight="false" outlineLevel="0" collapsed="false">
      <c r="B24677" s="0" t="s">
        <v>1</v>
      </c>
      <c r="C24677" s="0" t="s">
        <v>10063</v>
      </c>
      <c r="E24677" s="0" t="s">
        <v>10064</v>
      </c>
      <c r="F24677" s="0" t="s">
        <v>10065</v>
      </c>
    </row>
    <row r="24679" customFormat="false" ht="12.8" hidden="false" customHeight="false" outlineLevel="0" collapsed="false">
      <c r="A24679" s="0" t="s">
        <v>10066</v>
      </c>
      <c r="B24679" s="0" t="str">
        <f aca="false">HYPERLINK("https://lindat.mff.cuni.cz/services/teitok/pdtc10/index.php?action=vallex&amp;frame=v-w3261f2", "otevírat (v-w3261f2)")</f>
        <v>otevírat (v-w3261f2)</v>
      </c>
      <c r="E24679" s="0" t="str">
        <f aca="false">HYPERLINK("https://lindat.mff.cuni.cz/services/SynSemClass40/SynSemClass40.html?veclass=vec01419#vec01419-ces-cm00010", "vec01419")</f>
        <v>vec01419</v>
      </c>
      <c r="F24679" s="0" t="s">
        <v>3428</v>
      </c>
    </row>
    <row r="24680" customFormat="false" ht="12.8" hidden="false" customHeight="false" outlineLevel="0" collapsed="false">
      <c r="B24680" s="0" t="s">
        <v>1</v>
      </c>
      <c r="C24680" s="0" t="s">
        <v>3503</v>
      </c>
      <c r="E24680" s="0" t="s">
        <v>206</v>
      </c>
      <c r="F24680" s="0" t="s">
        <v>3430</v>
      </c>
    </row>
    <row r="24681" customFormat="false" ht="12.8" hidden="false" customHeight="false" outlineLevel="0" collapsed="false">
      <c r="B24681" s="0" t="s">
        <v>10067</v>
      </c>
      <c r="C24681" s="0" t="s">
        <v>3477</v>
      </c>
      <c r="E24681" s="0" t="s">
        <v>3478</v>
      </c>
      <c r="F24681" s="0" t="s">
        <v>3479</v>
      </c>
    </row>
    <row r="24682" customFormat="false" ht="12.8" hidden="false" customHeight="false" outlineLevel="0" collapsed="false">
      <c r="B24682" s="0" t="s">
        <v>3473</v>
      </c>
      <c r="C24682" s="0" t="s">
        <v>3435</v>
      </c>
      <c r="E24682" s="0" t="s">
        <v>2287</v>
      </c>
      <c r="F24682" s="0" t="s">
        <v>3436</v>
      </c>
    </row>
    <row r="24684" customFormat="false" ht="12.8" hidden="false" customHeight="false" outlineLevel="0" collapsed="false">
      <c r="A24684" s="0" t="s">
        <v>10068</v>
      </c>
      <c r="B24684" s="0" t="str">
        <f aca="false">HYPERLINK("https://lindat.mff.cuni.cz/services/teitok/pdtc10/index.php?action=vallex&amp;frame=v-w3261hsa_928", "otevírat (v-w3261hsa_928)")</f>
        <v>otevírat (v-w3261hsa_928)</v>
      </c>
      <c r="E24684" s="0" t="str">
        <f aca="false">HYPERLINK("https://lindat.mff.cuni.cz/services/SynSemClass40/SynSemClass40.html?veclass=vec01419#vec01419-ces-cm00011", "vec01419")</f>
        <v>vec01419</v>
      </c>
      <c r="F24684" s="0" t="s">
        <v>3428</v>
      </c>
    </row>
    <row r="24685" customFormat="false" ht="12.8" hidden="false" customHeight="false" outlineLevel="0" collapsed="false">
      <c r="B24685" s="0" t="s">
        <v>1</v>
      </c>
      <c r="C24685" s="0" t="s">
        <v>3503</v>
      </c>
      <c r="E24685" s="0" t="s">
        <v>206</v>
      </c>
      <c r="F24685" s="0" t="s">
        <v>3430</v>
      </c>
    </row>
    <row r="24686" customFormat="false" ht="12.8" hidden="false" customHeight="false" outlineLevel="0" collapsed="false">
      <c r="B24686" s="0" t="s">
        <v>8</v>
      </c>
      <c r="C24686" s="0" t="s">
        <v>3667</v>
      </c>
      <c r="E24686" s="0" t="s">
        <v>523</v>
      </c>
      <c r="F24686" s="0" t="s">
        <v>3434</v>
      </c>
    </row>
    <row r="24687" customFormat="false" ht="12.8" hidden="false" customHeight="false" outlineLevel="0" collapsed="false">
      <c r="B24687" s="0" t="s">
        <v>52</v>
      </c>
      <c r="C24687" s="0" t="s">
        <v>3435</v>
      </c>
      <c r="E24687" s="0" t="s">
        <v>2287</v>
      </c>
      <c r="F24687" s="0" t="s">
        <v>3436</v>
      </c>
    </row>
    <row r="24689" customFormat="false" ht="12.8" hidden="false" customHeight="false" outlineLevel="0" collapsed="false">
      <c r="A24689" s="0" t="s">
        <v>10069</v>
      </c>
      <c r="B24689" s="0" t="str">
        <f aca="false">HYPERLINK("https://lindat.mff.cuni.cz/services/teitok/pdtc10/index.php?action=vallex&amp;frame=v-w3261hsa_929", "otevírat (v-w3261hsa_929)")</f>
        <v>otevírat (v-w3261hsa_929)</v>
      </c>
      <c r="E24689" s="0" t="str">
        <f aca="false">HYPERLINK("https://lindat.mff.cuni.cz/services/SynSemClass40/SynSemClass40.html?veclass=vec00059#vec00059-ces-cm00003", "vec00059")</f>
        <v>vec00059</v>
      </c>
      <c r="F24689" s="0" t="s">
        <v>9296</v>
      </c>
    </row>
    <row r="24690" customFormat="false" ht="12.8" hidden="false" customHeight="false" outlineLevel="0" collapsed="false">
      <c r="B24690" s="0" t="s">
        <v>1</v>
      </c>
      <c r="C24690" s="0" t="s">
        <v>9297</v>
      </c>
      <c r="E24690" s="0" t="s">
        <v>375</v>
      </c>
      <c r="F24690" s="0" t="s">
        <v>9298</v>
      </c>
    </row>
    <row r="24691" customFormat="false" ht="12.8" hidden="false" customHeight="false" outlineLevel="0" collapsed="false">
      <c r="B24691" s="0" t="s">
        <v>642</v>
      </c>
      <c r="C24691" s="0" t="s">
        <v>9302</v>
      </c>
      <c r="E24691" s="0" t="s">
        <v>10070</v>
      </c>
      <c r="F24691" s="0" t="s">
        <v>10071</v>
      </c>
    </row>
    <row r="24692" customFormat="false" ht="12.8" hidden="false" customHeight="false" outlineLevel="0" collapsed="false">
      <c r="B24692" s="0" t="s">
        <v>1773</v>
      </c>
      <c r="C24692" s="0" t="s">
        <v>9299</v>
      </c>
      <c r="E24692" s="0" t="s">
        <v>10070</v>
      </c>
      <c r="F24692" s="0" t="s">
        <v>10071</v>
      </c>
    </row>
    <row r="24694" customFormat="false" ht="12.8" hidden="false" customHeight="false" outlineLevel="0" collapsed="false">
      <c r="A24694" s="0" t="s">
        <v>10072</v>
      </c>
      <c r="B24694" s="0" t="str">
        <f aca="false">HYPERLINK("https://lindat.mff.cuni.cz/services/teitok/pdtc10/index.php?action=vallex&amp;frame=v-w3261f6_ZU", "otevírat (v-w3261f6_ZU)")</f>
        <v>otevírat (v-w3261f6_ZU)</v>
      </c>
    </row>
    <row r="24695" customFormat="false" ht="12.8" hidden="false" customHeight="false" outlineLevel="0" collapsed="false">
      <c r="B24695" s="0" t="s">
        <v>1</v>
      </c>
    </row>
    <row r="24696" customFormat="false" ht="12.8" hidden="false" customHeight="false" outlineLevel="0" collapsed="false">
      <c r="B24696" s="0" t="s">
        <v>10073</v>
      </c>
    </row>
    <row r="24697" customFormat="false" ht="12.8" hidden="false" customHeight="false" outlineLevel="0" collapsed="false">
      <c r="B24697" s="0" t="s">
        <v>10074</v>
      </c>
    </row>
    <row r="24699" customFormat="false" ht="12.8" hidden="false" customHeight="false" outlineLevel="0" collapsed="false">
      <c r="A24699" s="0" t="s">
        <v>10072</v>
      </c>
      <c r="B24699" s="0" t="str">
        <f aca="false">HYPERLINK("https://lindat.mff.cuni.cz/services/teitok/pdtc10/index.php?action=vallex&amp;frame=v-w3261hsa_930", "otevírat (v-w3261hsa_930) - substituted with v-w3261f6_ZU")</f>
        <v>otevírat (v-w3261hsa_930) - substituted with v-w3261f6_ZU</v>
      </c>
    </row>
    <row r="24700" customFormat="false" ht="12.8" hidden="false" customHeight="false" outlineLevel="0" collapsed="false">
      <c r="B24700" s="0" t="s">
        <v>1</v>
      </c>
    </row>
    <row r="24701" customFormat="false" ht="12.8" hidden="false" customHeight="false" outlineLevel="0" collapsed="false">
      <c r="B24701" s="0" t="s">
        <v>10073</v>
      </c>
    </row>
    <row r="24702" customFormat="false" ht="12.8" hidden="false" customHeight="false" outlineLevel="0" collapsed="false">
      <c r="B24702" s="0" t="s">
        <v>10074</v>
      </c>
    </row>
    <row r="24704" customFormat="false" ht="12.8" hidden="false" customHeight="false" outlineLevel="0" collapsed="false">
      <c r="A24704" s="0" t="s">
        <v>10075</v>
      </c>
      <c r="B24704" s="0" t="str">
        <f aca="false">HYPERLINK("https://lindat.mff.cuni.cz/services/teitok/pdtc10/index.php?action=vallex&amp;frame=v-w3262f1", "otevírat se (v-w3262f1)")</f>
        <v>otevírat se (v-w3262f1)</v>
      </c>
    </row>
    <row r="24705" customFormat="false" ht="12.8" hidden="false" customHeight="false" outlineLevel="0" collapsed="false">
      <c r="B24705" s="0" t="s">
        <v>1</v>
      </c>
    </row>
    <row r="24707" customFormat="false" ht="12.8" hidden="false" customHeight="false" outlineLevel="0" collapsed="false">
      <c r="A24707" s="0" t="s">
        <v>10076</v>
      </c>
      <c r="B24707" s="0" t="str">
        <f aca="false">HYPERLINK("https://lindat.mff.cuni.cz/services/teitok/pdtc10/index.php?action=vallex&amp;frame=v-w3262hsa_178", "otevírat se (v-w3262hsa_178)")</f>
        <v>otevírat se (v-w3262hsa_178)</v>
      </c>
      <c r="E24707" s="0" t="str">
        <f aca="false">HYPERLINK("https://lindat.mff.cuni.cz/services/SynSemClass40/SynSemClass40.html?veclass=vec01252#vec01252-ces-cm00002", "vec01252")</f>
        <v>vec01252</v>
      </c>
      <c r="F24707" s="0" t="s">
        <v>10077</v>
      </c>
    </row>
    <row r="24708" customFormat="false" ht="12.8" hidden="false" customHeight="false" outlineLevel="0" collapsed="false">
      <c r="B24708" s="0" t="s">
        <v>1</v>
      </c>
      <c r="C24708" s="0" t="s">
        <v>549</v>
      </c>
      <c r="E24708" s="0" t="s">
        <v>11</v>
      </c>
      <c r="F24708" s="0" t="s">
        <v>10078</v>
      </c>
    </row>
    <row r="24709" customFormat="false" ht="12.8" hidden="false" customHeight="false" outlineLevel="0" collapsed="false">
      <c r="B24709" s="0" t="s">
        <v>186</v>
      </c>
      <c r="C24709" s="0" t="s">
        <v>10079</v>
      </c>
      <c r="E24709" s="0" t="s">
        <v>180</v>
      </c>
      <c r="F24709" s="0" t="s">
        <v>10080</v>
      </c>
    </row>
    <row r="24711" customFormat="false" ht="12.8" hidden="false" customHeight="false" outlineLevel="0" collapsed="false">
      <c r="A24711" s="0" t="s">
        <v>10081</v>
      </c>
      <c r="B24711" s="0" t="str">
        <f aca="false">HYPERLINK("https://lindat.mff.cuni.cz/services/teitok/pdtc10/index.php?action=vallex&amp;frame=v-w3262f2_ZU", "otevírat se (v-w3262f2_ZU)")</f>
        <v>otevírat se (v-w3262f2_ZU)</v>
      </c>
    </row>
    <row r="24712" customFormat="false" ht="12.8" hidden="false" customHeight="false" outlineLevel="0" collapsed="false">
      <c r="B24712" s="0" t="s">
        <v>1</v>
      </c>
    </row>
    <row r="24714" customFormat="false" ht="12.8" hidden="false" customHeight="false" outlineLevel="0" collapsed="false">
      <c r="A24714" s="0" t="s">
        <v>10082</v>
      </c>
      <c r="B24714" s="0" t="str">
        <f aca="false">HYPERLINK("https://lindat.mff.cuni.cz/services/teitok/pdtc10/index.php?action=vallex&amp;frame=v-w3265f10_ZU", "otevřít (v-w3265f10_ZU)")</f>
        <v>otevřít (v-w3265f10_ZU)</v>
      </c>
    </row>
    <row r="24715" customFormat="false" ht="12.8" hidden="false" customHeight="false" outlineLevel="0" collapsed="false">
      <c r="B24715" s="0" t="s">
        <v>1</v>
      </c>
    </row>
    <row r="24716" customFormat="false" ht="12.8" hidden="false" customHeight="false" outlineLevel="0" collapsed="false">
      <c r="B24716" s="0" t="s">
        <v>8</v>
      </c>
    </row>
    <row r="24718" customFormat="false" ht="12.8" hidden="false" customHeight="false" outlineLevel="0" collapsed="false">
      <c r="A24718" s="0" t="s">
        <v>10082</v>
      </c>
      <c r="B24718" s="0" t="str">
        <f aca="false">HYPERLINK("https://lindat.mff.cuni.cz/services/teitok/pdtc10/index.php?action=vallex&amp;frame=v-w3265f1", "otevřít (v-w3265f1) - substituted with v-w3265f10_ZU")</f>
        <v>otevřít (v-w3265f1) - substituted with v-w3265f10_ZU</v>
      </c>
      <c r="E24718" s="0" t="str">
        <f aca="false">HYPERLINK("https://lindat.mff.cuni.cz/services/SynSemClass40/SynSemClass40.html?veclass=vec00038#vec00038-ces-cm00013", "vec00038")</f>
        <v>vec00038</v>
      </c>
      <c r="F24718" s="0" t="s">
        <v>74</v>
      </c>
      <c r="H24718" s="0" t="str">
        <f aca="false">HYPERLINK("https://lindat.mff.cuni.cz/services/SynSemClass40/SynSemClass40.html?veclass=vec01386#vec01386-ces-cm00010", "vec01386")</f>
        <v>vec01386</v>
      </c>
      <c r="I24718" s="0" t="s">
        <v>8897</v>
      </c>
    </row>
    <row r="24719" customFormat="false" ht="12.8" hidden="false" customHeight="false" outlineLevel="0" collapsed="false">
      <c r="B24719" s="0" t="s">
        <v>1</v>
      </c>
      <c r="C24719" s="0" t="s">
        <v>10083</v>
      </c>
      <c r="E24719" s="0" t="s">
        <v>76</v>
      </c>
      <c r="F24719" s="0" t="s">
        <v>77</v>
      </c>
      <c r="H24719" s="0" t="s">
        <v>206</v>
      </c>
      <c r="I24719" s="0" t="s">
        <v>8899</v>
      </c>
    </row>
    <row r="24720" customFormat="false" ht="12.8" hidden="false" customHeight="false" outlineLevel="0" collapsed="false">
      <c r="B24720" s="0" t="s">
        <v>8</v>
      </c>
      <c r="C24720" s="0" t="s">
        <v>10084</v>
      </c>
      <c r="E24720" s="0" t="s">
        <v>79</v>
      </c>
      <c r="F24720" s="0" t="s">
        <v>80</v>
      </c>
      <c r="H24720" s="0" t="s">
        <v>8901</v>
      </c>
      <c r="I24720" s="0" t="s">
        <v>8902</v>
      </c>
    </row>
    <row r="24722" customFormat="false" ht="12.8" hidden="false" customHeight="false" outlineLevel="0" collapsed="false">
      <c r="A24722" s="0" t="s">
        <v>10085</v>
      </c>
      <c r="B24722" s="0" t="str">
        <f aca="false">HYPERLINK("https://lindat.mff.cuni.cz/services/teitok/pdtc10/index.php?action=vallex&amp;frame=v-w3265f2", "otevřít (v-w3265f2)")</f>
        <v>otevřít (v-w3265f2)</v>
      </c>
      <c r="E24722" s="0" t="str">
        <f aca="false">HYPERLINK("https://lindat.mff.cuni.cz/services/SynSemClass40/SynSemClass40.html?veclass=vec00465#vec00465-ces-cm00001", "vec00465")</f>
        <v>vec00465</v>
      </c>
      <c r="F24722" s="0" t="s">
        <v>8828</v>
      </c>
      <c r="H24722" s="0" t="str">
        <f aca="false">HYPERLINK("https://lindat.mff.cuni.cz/services/SynSemClass40/SynSemClass40.html?veclass=vec01342#vec01342-ces-cm00011", "vec01342")</f>
        <v>vec01342</v>
      </c>
      <c r="I24722" s="0" t="s">
        <v>8829</v>
      </c>
      <c r="K24722" s="0" t="str">
        <f aca="false">HYPERLINK("https://lindat.mff.cuni.cz/services/SynSemClass40/SynSemClass40.html?veclass=vec01537#vec01537-ces-cm00013", "vec01537")</f>
        <v>vec01537</v>
      </c>
      <c r="L24722" s="0" t="s">
        <v>8830</v>
      </c>
    </row>
    <row r="24723" customFormat="false" ht="12.8" hidden="false" customHeight="false" outlineLevel="0" collapsed="false">
      <c r="B24723" s="0" t="s">
        <v>1</v>
      </c>
      <c r="C24723" s="0" t="s">
        <v>8831</v>
      </c>
      <c r="E24723" s="0" t="s">
        <v>31</v>
      </c>
      <c r="F24723" s="0" t="s">
        <v>8832</v>
      </c>
      <c r="H24723" s="0" t="s">
        <v>31</v>
      </c>
      <c r="I24723" s="0" t="s">
        <v>8833</v>
      </c>
      <c r="K24723" s="0" t="s">
        <v>31</v>
      </c>
      <c r="L24723" s="0" t="s">
        <v>5293</v>
      </c>
    </row>
    <row r="24724" customFormat="false" ht="12.8" hidden="false" customHeight="false" outlineLevel="0" collapsed="false">
      <c r="B24724" s="0" t="s">
        <v>8</v>
      </c>
      <c r="C24724" s="0" t="s">
        <v>8834</v>
      </c>
      <c r="E24724" s="0" t="s">
        <v>8835</v>
      </c>
      <c r="F24724" s="0" t="s">
        <v>8836</v>
      </c>
      <c r="H24724" s="0" t="s">
        <v>34</v>
      </c>
      <c r="I24724" s="0" t="s">
        <v>8837</v>
      </c>
      <c r="K24724" s="0" t="s">
        <v>8835</v>
      </c>
      <c r="L24724" s="0" t="s">
        <v>8838</v>
      </c>
    </row>
    <row r="24726" customFormat="false" ht="12.8" hidden="false" customHeight="false" outlineLevel="0" collapsed="false">
      <c r="A24726" s="0" t="s">
        <v>10086</v>
      </c>
      <c r="B24726" s="0" t="str">
        <f aca="false">HYPERLINK("https://lindat.mff.cuni.cz/services/teitok/pdtc10/index.php?action=vallex&amp;frame=v-w3265f5", "otevřít (v-w3265f5)")</f>
        <v>otevřít (v-w3265f5)</v>
      </c>
      <c r="E24726" s="0" t="str">
        <f aca="false">HYPERLINK("https://lindat.mff.cuni.cz/services/SynSemClass40/SynSemClass40.html?veclass=vec00465#vec00465-ces-cm00006", "vec00465")</f>
        <v>vec00465</v>
      </c>
      <c r="F24726" s="0" t="s">
        <v>8828</v>
      </c>
    </row>
    <row r="24727" customFormat="false" ht="12.8" hidden="false" customHeight="false" outlineLevel="0" collapsed="false">
      <c r="B24727" s="0" t="s">
        <v>1</v>
      </c>
      <c r="C24727" s="0" t="s">
        <v>10087</v>
      </c>
      <c r="E24727" s="0" t="s">
        <v>31</v>
      </c>
      <c r="F24727" s="0" t="s">
        <v>8832</v>
      </c>
    </row>
    <row r="24728" customFormat="false" ht="12.8" hidden="false" customHeight="false" outlineLevel="0" collapsed="false">
      <c r="B24728" s="0" t="s">
        <v>8</v>
      </c>
      <c r="C24728" s="0" t="s">
        <v>10088</v>
      </c>
      <c r="E24728" s="0" t="s">
        <v>8835</v>
      </c>
      <c r="F24728" s="0" t="s">
        <v>8836</v>
      </c>
    </row>
    <row r="24730" customFormat="false" ht="12.8" hidden="false" customHeight="false" outlineLevel="0" collapsed="false">
      <c r="A24730" s="0" t="s">
        <v>10089</v>
      </c>
      <c r="B24730" s="0" t="str">
        <f aca="false">HYPERLINK("https://lindat.mff.cuni.cz/services/teitok/pdtc10/index.php?action=vallex&amp;frame=v-w3265f9_ZU", "otevřít (v-w3265f9_ZU)")</f>
        <v>otevřít (v-w3265f9_ZU)</v>
      </c>
      <c r="E24730" s="0" t="str">
        <f aca="false">HYPERLINK("https://lindat.mff.cuni.cz/services/SynSemClass40/SynSemClass40.html?veclass=vec00059#vec00059-ces-cm00001", "vec00059")</f>
        <v>vec00059</v>
      </c>
      <c r="F24730" s="0" t="s">
        <v>9296</v>
      </c>
    </row>
    <row r="24731" customFormat="false" ht="12.8" hidden="false" customHeight="false" outlineLevel="0" collapsed="false">
      <c r="B24731" s="0" t="s">
        <v>1</v>
      </c>
      <c r="C24731" s="0" t="s">
        <v>9297</v>
      </c>
      <c r="E24731" s="0" t="s">
        <v>375</v>
      </c>
      <c r="F24731" s="0" t="s">
        <v>9298</v>
      </c>
    </row>
    <row r="24732" customFormat="false" ht="12.8" hidden="false" customHeight="false" outlineLevel="0" collapsed="false">
      <c r="B24732" s="0" t="s">
        <v>10090</v>
      </c>
      <c r="C24732" s="0" t="s">
        <v>9299</v>
      </c>
      <c r="E24732" s="0" t="s">
        <v>10070</v>
      </c>
      <c r="F24732" s="0" t="s">
        <v>10071</v>
      </c>
    </row>
    <row r="24733" customFormat="false" ht="12.8" hidden="false" customHeight="false" outlineLevel="0" collapsed="false">
      <c r="B24733" s="0" t="s">
        <v>4656</v>
      </c>
      <c r="C24733" s="0" t="s">
        <v>9302</v>
      </c>
      <c r="E24733" s="0" t="s">
        <v>10070</v>
      </c>
      <c r="F24733" s="0" t="s">
        <v>10071</v>
      </c>
    </row>
    <row r="24735" customFormat="false" ht="12.8" hidden="false" customHeight="false" outlineLevel="0" collapsed="false">
      <c r="A24735" s="0" t="s">
        <v>10089</v>
      </c>
      <c r="B24735" s="0" t="str">
        <f aca="false">HYPERLINK("https://lindat.mff.cuni.cz/services/teitok/pdtc10/index.php?action=vallex&amp;frame=v-w3265f6_ZU", "otevřít (v-w3265f6_ZU) - substituted with v-w3265f9_ZU")</f>
        <v>otevřít (v-w3265f6_ZU) - substituted with v-w3265f9_ZU</v>
      </c>
    </row>
    <row r="24736" customFormat="false" ht="12.8" hidden="false" customHeight="false" outlineLevel="0" collapsed="false">
      <c r="B24736" s="0" t="s">
        <v>1</v>
      </c>
    </row>
    <row r="24737" customFormat="false" ht="12.8" hidden="false" customHeight="false" outlineLevel="0" collapsed="false">
      <c r="B24737" s="0" t="s">
        <v>10090</v>
      </c>
    </row>
    <row r="24738" customFormat="false" ht="12.8" hidden="false" customHeight="false" outlineLevel="0" collapsed="false">
      <c r="B24738" s="0" t="s">
        <v>4656</v>
      </c>
    </row>
    <row r="24740" customFormat="false" ht="12.8" hidden="false" customHeight="false" outlineLevel="0" collapsed="false">
      <c r="A24740" s="0" t="s">
        <v>10089</v>
      </c>
      <c r="B24740" s="0" t="str">
        <f aca="false">HYPERLINK("https://lindat.mff.cuni.cz/services/teitok/pdtc10/index.php?action=vallex&amp;frame=v-w3265f7_ZU", "otevřít (v-w3265f7_ZU) - substituted with v-w3265f9_ZU")</f>
        <v>otevřít (v-w3265f7_ZU) - substituted with v-w3265f9_ZU</v>
      </c>
    </row>
    <row r="24741" customFormat="false" ht="12.8" hidden="false" customHeight="false" outlineLevel="0" collapsed="false">
      <c r="B24741" s="0" t="s">
        <v>1</v>
      </c>
    </row>
    <row r="24742" customFormat="false" ht="12.8" hidden="false" customHeight="false" outlineLevel="0" collapsed="false">
      <c r="B24742" s="0" t="s">
        <v>10090</v>
      </c>
    </row>
    <row r="24743" customFormat="false" ht="12.8" hidden="false" customHeight="false" outlineLevel="0" collapsed="false">
      <c r="B24743" s="0" t="s">
        <v>4656</v>
      </c>
    </row>
    <row r="24745" customFormat="false" ht="12.8" hidden="false" customHeight="false" outlineLevel="0" collapsed="false">
      <c r="A24745" s="0" t="s">
        <v>10091</v>
      </c>
      <c r="B24745" s="0" t="str">
        <f aca="false">HYPERLINK("https://lindat.mff.cuni.cz/services/teitok/pdtc10/index.php?action=vallex&amp;frame=v-w3265f4", "otevřít (v-w3265f4)")</f>
        <v>otevřít (v-w3265f4)</v>
      </c>
      <c r="E24745" s="0" t="str">
        <f aca="false">HYPERLINK("https://lindat.mff.cuni.cz/services/SynSemClass40/SynSemClass40.html?veclass=vec00861#vec00861-ces-cm00001", "vec00861")</f>
        <v>vec00861</v>
      </c>
      <c r="F24745" s="0" t="s">
        <v>10062</v>
      </c>
    </row>
    <row r="24746" customFormat="false" ht="12.8" hidden="false" customHeight="false" outlineLevel="0" collapsed="false">
      <c r="B24746" s="0" t="s">
        <v>1</v>
      </c>
      <c r="C24746" s="0" t="s">
        <v>10063</v>
      </c>
      <c r="E24746" s="0" t="s">
        <v>10064</v>
      </c>
      <c r="F24746" s="0" t="s">
        <v>10065</v>
      </c>
    </row>
    <row r="24748" customFormat="false" ht="12.8" hidden="false" customHeight="false" outlineLevel="0" collapsed="false">
      <c r="A24748" s="0" t="s">
        <v>10092</v>
      </c>
      <c r="B24748" s="0" t="str">
        <f aca="false">HYPERLINK("https://lindat.mff.cuni.cz/services/teitok/pdtc10/index.php?action=vallex&amp;frame=v-w3265hsa_303", "otevřít (v-w3265hsa_303)")</f>
        <v>otevřít (v-w3265hsa_303)</v>
      </c>
      <c r="E24748" s="0" t="str">
        <f aca="false">HYPERLINK("https://lindat.mff.cuni.cz/services/SynSemClass40/SynSemClass40.html?veclass=vec01386#vec01386-ces-cm00013", "vec01386")</f>
        <v>vec01386</v>
      </c>
      <c r="F24748" s="0" t="s">
        <v>8897</v>
      </c>
      <c r="H24748" s="0" t="str">
        <f aca="false">HYPERLINK("https://lindat.mff.cuni.cz/services/SynSemClass40/SynSemClass40.html?veclass=vec01419#vec01419-ces-cm00013", "vec01419")</f>
        <v>vec01419</v>
      </c>
      <c r="I24748" s="0" t="s">
        <v>3428</v>
      </c>
    </row>
    <row r="24749" customFormat="false" ht="12.8" hidden="false" customHeight="false" outlineLevel="0" collapsed="false">
      <c r="B24749" s="0" t="s">
        <v>1</v>
      </c>
      <c r="C24749" s="0" t="s">
        <v>10093</v>
      </c>
      <c r="E24749" s="0" t="s">
        <v>206</v>
      </c>
      <c r="F24749" s="0" t="s">
        <v>8899</v>
      </c>
      <c r="H24749" s="0" t="s">
        <v>206</v>
      </c>
      <c r="I24749" s="0" t="s">
        <v>3430</v>
      </c>
    </row>
    <row r="24750" customFormat="false" ht="12.8" hidden="false" customHeight="false" outlineLevel="0" collapsed="false">
      <c r="B24750" s="0" t="s">
        <v>10094</v>
      </c>
      <c r="C24750" s="0" t="s">
        <v>10095</v>
      </c>
      <c r="E24750" s="0" t="s">
        <v>10096</v>
      </c>
      <c r="F24750" s="0" t="s">
        <v>10097</v>
      </c>
      <c r="H24750" s="0" t="s">
        <v>3478</v>
      </c>
      <c r="I24750" s="0" t="s">
        <v>3479</v>
      </c>
    </row>
    <row r="24751" customFormat="false" ht="12.8" hidden="false" customHeight="false" outlineLevel="0" collapsed="false">
      <c r="B24751" s="0" t="s">
        <v>3473</v>
      </c>
      <c r="C24751" s="0" t="s">
        <v>10098</v>
      </c>
      <c r="E24751" s="0" t="s">
        <v>221</v>
      </c>
      <c r="F24751" s="0" t="s">
        <v>10099</v>
      </c>
      <c r="H24751" s="0" t="s">
        <v>2287</v>
      </c>
      <c r="I24751" s="0" t="s">
        <v>3436</v>
      </c>
    </row>
    <row r="24753" customFormat="false" ht="12.8" hidden="false" customHeight="false" outlineLevel="0" collapsed="false">
      <c r="A24753" s="0" t="s">
        <v>10092</v>
      </c>
      <c r="B24753" s="0" t="str">
        <f aca="false">HYPERLINK("https://lindat.mff.cuni.cz/services/teitok/pdtc10/index.php?action=vallex&amp;frame=v-w3265f3", "otevřít (v-w3265f3) - substituted with v-w3265hsa_303")</f>
        <v>otevřít (v-w3265f3) - substituted with v-w3265hsa_303</v>
      </c>
    </row>
    <row r="24754" customFormat="false" ht="12.8" hidden="false" customHeight="false" outlineLevel="0" collapsed="false">
      <c r="B24754" s="0" t="s">
        <v>1</v>
      </c>
    </row>
    <row r="24755" customFormat="false" ht="12.8" hidden="false" customHeight="false" outlineLevel="0" collapsed="false">
      <c r="B24755" s="0" t="s">
        <v>10094</v>
      </c>
    </row>
    <row r="24756" customFormat="false" ht="12.8" hidden="false" customHeight="false" outlineLevel="0" collapsed="false">
      <c r="B24756" s="0" t="s">
        <v>3473</v>
      </c>
    </row>
    <row r="24758" customFormat="false" ht="12.8" hidden="false" customHeight="false" outlineLevel="0" collapsed="false">
      <c r="A24758" s="0" t="s">
        <v>10100</v>
      </c>
      <c r="B24758" s="0" t="str">
        <f aca="false">HYPERLINK("https://lindat.mff.cuni.cz/services/teitok/pdtc10/index.php?action=vallex&amp;frame=v-w3265f8_ZU", "otevřít (v-w3265f8_ZU)")</f>
        <v>otevřít (v-w3265f8_ZU)</v>
      </c>
      <c r="E24758" s="0" t="str">
        <f aca="false">HYPERLINK("https://lindat.mff.cuni.cz/services/SynSemClass40/SynSemClass40.html?veclass=vec01386#vec01386-ces-cm00012", "vec01386")</f>
        <v>vec01386</v>
      </c>
      <c r="F24758" s="0" t="s">
        <v>8897</v>
      </c>
      <c r="H24758" s="0" t="str">
        <f aca="false">HYPERLINK("https://lindat.mff.cuni.cz/services/SynSemClass40/SynSemClass40.html?veclass=vec01419#vec01419-ces-cm00012", "vec01419")</f>
        <v>vec01419</v>
      </c>
      <c r="I24758" s="0" t="s">
        <v>3428</v>
      </c>
    </row>
    <row r="24759" customFormat="false" ht="12.8" hidden="false" customHeight="false" outlineLevel="0" collapsed="false">
      <c r="B24759" s="0" t="s">
        <v>1</v>
      </c>
      <c r="C24759" s="0" t="s">
        <v>10093</v>
      </c>
      <c r="E24759" s="0" t="s">
        <v>206</v>
      </c>
      <c r="F24759" s="0" t="s">
        <v>8899</v>
      </c>
      <c r="H24759" s="0" t="s">
        <v>206</v>
      </c>
      <c r="I24759" s="0" t="s">
        <v>3430</v>
      </c>
    </row>
    <row r="24760" customFormat="false" ht="12.8" hidden="false" customHeight="false" outlineLevel="0" collapsed="false">
      <c r="B24760" s="0" t="s">
        <v>10073</v>
      </c>
    </row>
    <row r="24761" customFormat="false" ht="12.8" hidden="false" customHeight="false" outlineLevel="0" collapsed="false">
      <c r="B24761" s="0" t="s">
        <v>52</v>
      </c>
      <c r="C24761" s="0" t="s">
        <v>10098</v>
      </c>
      <c r="E24761" s="0" t="s">
        <v>221</v>
      </c>
      <c r="F24761" s="0" t="s">
        <v>10099</v>
      </c>
      <c r="H24761" s="0" t="s">
        <v>2287</v>
      </c>
      <c r="I24761" s="0" t="s">
        <v>3436</v>
      </c>
    </row>
    <row r="24762" customFormat="false" ht="12.8" hidden="false" customHeight="false" outlineLevel="0" collapsed="false">
      <c r="B24762" s="0" t="s">
        <v>10101</v>
      </c>
      <c r="C24762" s="0" t="s">
        <v>10102</v>
      </c>
      <c r="E24762" s="0" t="s">
        <v>8901</v>
      </c>
      <c r="F24762" s="0" t="s">
        <v>8902</v>
      </c>
      <c r="H24762" s="0" t="s">
        <v>523</v>
      </c>
      <c r="I24762" s="0" t="s">
        <v>3434</v>
      </c>
    </row>
    <row r="24764" customFormat="false" ht="12.8" hidden="false" customHeight="false" outlineLevel="0" collapsed="false">
      <c r="A24764" s="0" t="s">
        <v>10100</v>
      </c>
      <c r="B24764" s="0" t="str">
        <f aca="false">HYPERLINK("https://lindat.mff.cuni.cz/services/teitok/pdtc10/index.php?action=vallex&amp;frame=v-w3265hsa_304", "otevřít (v-w3265hsa_304) - substituted with v-w3265f8_ZU")</f>
        <v>otevřít (v-w3265hsa_304) - substituted with v-w3265f8_ZU</v>
      </c>
    </row>
    <row r="24765" customFormat="false" ht="12.8" hidden="false" customHeight="false" outlineLevel="0" collapsed="false">
      <c r="B24765" s="0" t="s">
        <v>1</v>
      </c>
    </row>
    <row r="24766" customFormat="false" ht="12.8" hidden="false" customHeight="false" outlineLevel="0" collapsed="false">
      <c r="B24766" s="0" t="s">
        <v>10073</v>
      </c>
    </row>
    <row r="24767" customFormat="false" ht="12.8" hidden="false" customHeight="false" outlineLevel="0" collapsed="false">
      <c r="B24767" s="0" t="s">
        <v>52</v>
      </c>
    </row>
    <row r="24768" customFormat="false" ht="12.8" hidden="false" customHeight="false" outlineLevel="0" collapsed="false">
      <c r="B24768" s="0" t="s">
        <v>10101</v>
      </c>
    </row>
    <row r="24770" customFormat="false" ht="12.8" hidden="false" customHeight="false" outlineLevel="0" collapsed="false">
      <c r="A24770" s="0" t="s">
        <v>10103</v>
      </c>
      <c r="B24770" s="0" t="str">
        <f aca="false">HYPERLINK("https://lindat.mff.cuni.cz/services/teitok/pdtc10/index.php?action=vallex&amp;frame=v-w3266f3", "otevřít se (v-w3266f3)")</f>
        <v>otevřít se (v-w3266f3)</v>
      </c>
      <c r="E24770" s="0" t="str">
        <f aca="false">HYPERLINK("https://lindat.mff.cuni.cz/services/SynSemClass40/SynSemClass40.html?veclass=vec01252#vec01252-ces-cm00003", "vec01252")</f>
        <v>vec01252</v>
      </c>
      <c r="F24770" s="0" t="s">
        <v>10077</v>
      </c>
    </row>
    <row r="24771" customFormat="false" ht="12.8" hidden="false" customHeight="false" outlineLevel="0" collapsed="false">
      <c r="B24771" s="0" t="s">
        <v>1</v>
      </c>
      <c r="C24771" s="0" t="s">
        <v>549</v>
      </c>
      <c r="E24771" s="0" t="s">
        <v>11</v>
      </c>
      <c r="F24771" s="0" t="s">
        <v>10078</v>
      </c>
    </row>
    <row r="24772" customFormat="false" ht="12.8" hidden="false" customHeight="false" outlineLevel="0" collapsed="false">
      <c r="B24772" s="0" t="s">
        <v>10104</v>
      </c>
      <c r="C24772" s="0" t="s">
        <v>10079</v>
      </c>
      <c r="E24772" s="0" t="s">
        <v>180</v>
      </c>
      <c r="F24772" s="0" t="s">
        <v>10080</v>
      </c>
    </row>
    <row r="24774" customFormat="false" ht="12.8" hidden="false" customHeight="false" outlineLevel="0" collapsed="false">
      <c r="A24774" s="0" t="s">
        <v>10105</v>
      </c>
      <c r="B24774" s="0" t="str">
        <f aca="false">HYPERLINK("https://lindat.mff.cuni.cz/services/teitok/pdtc10/index.php?action=vallex&amp;frame=v-w3266f1", "otevřít se (v-w3266f1)")</f>
        <v>otevřít se (v-w3266f1)</v>
      </c>
      <c r="E24774" s="0" t="str">
        <f aca="false">HYPERLINK("https://lindat.mff.cuni.cz/services/SynSemClass40/SynSemClass40.html?veclass=vec00861#vec00861-ces-cm00011", "vec00861")</f>
        <v>vec00861</v>
      </c>
      <c r="F24774" s="0" t="s">
        <v>10062</v>
      </c>
    </row>
    <row r="24775" customFormat="false" ht="12.8" hidden="false" customHeight="false" outlineLevel="0" collapsed="false">
      <c r="B24775" s="0" t="s">
        <v>1</v>
      </c>
      <c r="C24775" s="0" t="s">
        <v>10063</v>
      </c>
      <c r="E24775" s="0" t="s">
        <v>10064</v>
      </c>
      <c r="F24775" s="0" t="s">
        <v>10065</v>
      </c>
    </row>
    <row r="24777" customFormat="false" ht="12.8" hidden="false" customHeight="false" outlineLevel="0" collapsed="false">
      <c r="A24777" s="0" t="s">
        <v>10106</v>
      </c>
      <c r="B24777" s="0" t="str">
        <f aca="false">HYPERLINK("https://lindat.mff.cuni.cz/services/teitok/pdtc10/index.php?action=vallex&amp;frame=v-w3266f2", "otevřít se (v-w3266f2)")</f>
        <v>otevřít se (v-w3266f2)</v>
      </c>
      <c r="E24777" s="0" t="str">
        <f aca="false">HYPERLINK("https://lindat.mff.cuni.cz/services/SynSemClass40/SynSemClass40.html?veclass=vec00862#vec00862-ces-cm00001", "vec00862")</f>
        <v>vec00862</v>
      </c>
      <c r="F24777" s="0" t="s">
        <v>10107</v>
      </c>
    </row>
    <row r="24778" customFormat="false" ht="12.8" hidden="false" customHeight="false" outlineLevel="0" collapsed="false">
      <c r="B24778" s="0" t="s">
        <v>1</v>
      </c>
      <c r="C24778" s="0" t="s">
        <v>10108</v>
      </c>
      <c r="E24778" s="0" t="s">
        <v>10109</v>
      </c>
      <c r="F24778" s="0" t="s">
        <v>10110</v>
      </c>
    </row>
    <row r="24780" customFormat="false" ht="12.8" hidden="false" customHeight="false" outlineLevel="0" collapsed="false">
      <c r="A24780" s="0" t="s">
        <v>10111</v>
      </c>
      <c r="B24780" s="0" t="str">
        <f aca="false">HYPERLINK("https://lindat.mff.cuni.cz/services/teitok/pdtc10/index.php?action=vallex&amp;frame=v-w3267f1", "otipovat (v-w3267f1)")</f>
        <v>otipovat (v-w3267f1)</v>
      </c>
    </row>
    <row r="24781" customFormat="false" ht="12.8" hidden="false" customHeight="false" outlineLevel="0" collapsed="false">
      <c r="B24781" s="0" t="s">
        <v>1</v>
      </c>
    </row>
    <row r="24782" customFormat="false" ht="12.8" hidden="false" customHeight="false" outlineLevel="0" collapsed="false">
      <c r="B24782" s="0" t="s">
        <v>59</v>
      </c>
    </row>
    <row r="24783" customFormat="false" ht="12.8" hidden="false" customHeight="false" outlineLevel="0" collapsed="false">
      <c r="B24783" s="0" t="s">
        <v>40</v>
      </c>
    </row>
    <row r="24785" customFormat="false" ht="12.8" hidden="false" customHeight="false" outlineLevel="0" collapsed="false">
      <c r="A24785" s="0" t="s">
        <v>10112</v>
      </c>
      <c r="B24785" s="0" t="str">
        <f aca="false">HYPERLINK("https://lindat.mff.cuni.cz/services/teitok/pdtc10/index.php?action=vallex&amp;frame=v-w3268f1", "otisknout (v-w3268f1)")</f>
        <v>otisknout (v-w3268f1)</v>
      </c>
      <c r="E24785" s="0" t="str">
        <f aca="false">HYPERLINK("https://lindat.mff.cuni.cz/services/SynSemClass40/SynSemClass40.html?veclass=vec00060#vec00060-ces-cm00053", "vec00060")</f>
        <v>vec00060</v>
      </c>
      <c r="F24785" s="0" t="s">
        <v>213</v>
      </c>
    </row>
    <row r="24786" customFormat="false" ht="12.8" hidden="false" customHeight="false" outlineLevel="0" collapsed="false">
      <c r="B24786" s="0" t="s">
        <v>1</v>
      </c>
      <c r="C24786" s="0" t="s">
        <v>214</v>
      </c>
      <c r="E24786" s="0" t="s">
        <v>147</v>
      </c>
      <c r="F24786" s="0" t="s">
        <v>215</v>
      </c>
    </row>
    <row r="24787" customFormat="false" ht="12.8" hidden="false" customHeight="false" outlineLevel="0" collapsed="false">
      <c r="B24787" s="0" t="s">
        <v>1838</v>
      </c>
      <c r="C24787" s="0" t="s">
        <v>217</v>
      </c>
      <c r="E24787" s="0" t="s">
        <v>218</v>
      </c>
      <c r="F24787" s="0" t="s">
        <v>219</v>
      </c>
    </row>
    <row r="24789" customFormat="false" ht="12.8" hidden="false" customHeight="false" outlineLevel="0" collapsed="false">
      <c r="A24789" s="0" t="s">
        <v>10113</v>
      </c>
      <c r="B24789" s="0" t="str">
        <f aca="false">HYPERLINK("https://lindat.mff.cuni.cz/services/teitok/pdtc10/index.php?action=vallex&amp;frame=v-w3268f2", "otisknout (v-w3268f2)")</f>
        <v>otisknout (v-w3268f2)</v>
      </c>
    </row>
    <row r="24790" customFormat="false" ht="12.8" hidden="false" customHeight="false" outlineLevel="0" collapsed="false">
      <c r="B24790" s="0" t="s">
        <v>1</v>
      </c>
    </row>
    <row r="24791" customFormat="false" ht="12.8" hidden="false" customHeight="false" outlineLevel="0" collapsed="false">
      <c r="B24791" s="0" t="s">
        <v>6412</v>
      </c>
    </row>
    <row r="24792" customFormat="false" ht="12.8" hidden="false" customHeight="false" outlineLevel="0" collapsed="false">
      <c r="B24792" s="0" t="s">
        <v>496</v>
      </c>
    </row>
    <row r="24794" customFormat="false" ht="12.8" hidden="false" customHeight="false" outlineLevel="0" collapsed="false">
      <c r="A24794" s="0" t="s">
        <v>10114</v>
      </c>
      <c r="B24794" s="0" t="str">
        <f aca="false">HYPERLINK("https://lindat.mff.cuni.cz/services/teitok/pdtc10/index.php?action=vallex&amp;frame=v-w3269f1", "otiskovat (v-w3269f1)")</f>
        <v>otiskovat (v-w3269f1)</v>
      </c>
      <c r="E24794" s="0" t="str">
        <f aca="false">HYPERLINK("https://lindat.mff.cuni.cz/services/SynSemClass40/SynSemClass40.html?veclass=vec00060#vec00060-ces-cm00439", "vec00060")</f>
        <v>vec00060</v>
      </c>
      <c r="F24794" s="0" t="s">
        <v>213</v>
      </c>
    </row>
    <row r="24795" customFormat="false" ht="12.8" hidden="false" customHeight="false" outlineLevel="0" collapsed="false">
      <c r="B24795" s="0" t="s">
        <v>1</v>
      </c>
      <c r="C24795" s="0" t="s">
        <v>214</v>
      </c>
      <c r="E24795" s="0" t="s">
        <v>147</v>
      </c>
      <c r="F24795" s="0" t="s">
        <v>215</v>
      </c>
    </row>
    <row r="24796" customFormat="false" ht="12.8" hidden="false" customHeight="false" outlineLevel="0" collapsed="false">
      <c r="B24796" s="0" t="s">
        <v>1838</v>
      </c>
      <c r="C24796" s="0" t="s">
        <v>217</v>
      </c>
      <c r="E24796" s="0" t="s">
        <v>218</v>
      </c>
      <c r="F24796" s="0" t="s">
        <v>219</v>
      </c>
    </row>
    <row r="24798" customFormat="false" ht="12.8" hidden="false" customHeight="false" outlineLevel="0" collapsed="false">
      <c r="A24798" s="0" t="s">
        <v>10115</v>
      </c>
      <c r="B24798" s="0" t="str">
        <f aca="false">HYPERLINK("https://lindat.mff.cuni.cz/services/teitok/pdtc10/index.php?action=vallex&amp;frame=v-w3269f2", "otiskovat (v-w3269f2)")</f>
        <v>otiskovat (v-w3269f2)</v>
      </c>
    </row>
    <row r="24799" customFormat="false" ht="12.8" hidden="false" customHeight="false" outlineLevel="0" collapsed="false">
      <c r="B24799" s="0" t="s">
        <v>1</v>
      </c>
    </row>
    <row r="24800" customFormat="false" ht="12.8" hidden="false" customHeight="false" outlineLevel="0" collapsed="false">
      <c r="B24800" s="0" t="s">
        <v>6412</v>
      </c>
    </row>
    <row r="24801" customFormat="false" ht="12.8" hidden="false" customHeight="false" outlineLevel="0" collapsed="false">
      <c r="B24801" s="0" t="s">
        <v>496</v>
      </c>
    </row>
    <row r="24803" customFormat="false" ht="12.8" hidden="false" customHeight="false" outlineLevel="0" collapsed="false">
      <c r="A24803" s="0" t="s">
        <v>10116</v>
      </c>
      <c r="B24803" s="0" t="str">
        <f aca="false">HYPERLINK("https://lindat.mff.cuni.cz/services/teitok/pdtc10/index.php?action=vallex&amp;frame=v-w11877_ZUf1_ZU", "otlačit se (v-w11877_ZUf1_ZU)")</f>
        <v>otlačit se (v-w11877_ZUf1_ZU)</v>
      </c>
    </row>
    <row r="24804" customFormat="false" ht="12.8" hidden="false" customHeight="false" outlineLevel="0" collapsed="false">
      <c r="B24804" s="0" t="s">
        <v>1</v>
      </c>
    </row>
    <row r="24806" customFormat="false" ht="12.8" hidden="false" customHeight="false" outlineLevel="0" collapsed="false">
      <c r="A24806" s="0" t="s">
        <v>10117</v>
      </c>
      <c r="B24806" s="0" t="str">
        <f aca="false">HYPERLINK("https://lindat.mff.cuni.cz/services/teitok/pdtc10/index.php?action=vallex&amp;frame=v-w12150_ZUf1_ZU", "otlouci (v-w12150_ZUf1_ZU)")</f>
        <v>otlouci (v-w12150_ZUf1_ZU)</v>
      </c>
    </row>
    <row r="24807" customFormat="false" ht="12.8" hidden="false" customHeight="false" outlineLevel="0" collapsed="false">
      <c r="B24807" s="0" t="s">
        <v>1</v>
      </c>
    </row>
    <row r="24808" customFormat="false" ht="12.8" hidden="false" customHeight="false" outlineLevel="0" collapsed="false">
      <c r="B24808" s="0" t="s">
        <v>8</v>
      </c>
    </row>
    <row r="24810" customFormat="false" ht="12.8" hidden="false" customHeight="false" outlineLevel="0" collapsed="false">
      <c r="A24810" s="0" t="s">
        <v>10118</v>
      </c>
      <c r="B24810" s="0" t="str">
        <f aca="false">HYPERLINK("https://lindat.mff.cuni.cz/services/teitok/pdtc10/index.php?action=vallex&amp;frame=v-whsa_392hsa_393", "otloukat (v-whsa_392hsa_393)")</f>
        <v>otloukat (v-whsa_392hsa_393)</v>
      </c>
    </row>
    <row r="24811" customFormat="false" ht="12.8" hidden="false" customHeight="false" outlineLevel="0" collapsed="false">
      <c r="B24811" s="0" t="s">
        <v>1</v>
      </c>
    </row>
    <row r="24812" customFormat="false" ht="12.8" hidden="false" customHeight="false" outlineLevel="0" collapsed="false">
      <c r="B24812" s="0" t="s">
        <v>8</v>
      </c>
    </row>
    <row r="24814" customFormat="false" ht="12.8" hidden="false" customHeight="false" outlineLevel="0" collapsed="false">
      <c r="A24814" s="0" t="s">
        <v>10119</v>
      </c>
      <c r="B24814" s="0" t="str">
        <f aca="false">HYPERLINK("https://lindat.mff.cuni.cz/services/teitok/pdtc10/index.php?action=vallex&amp;frame=v-w3271f1", "otočit (v-w3271f1)")</f>
        <v>otočit (v-w3271f1)</v>
      </c>
      <c r="E24814" s="0" t="str">
        <f aca="false">HYPERLINK("https://lindat.mff.cuni.cz/services/SynSemClass40/SynSemClass40.html?veclass=vec01197#vec01197-ces-cm00031", "vec01197")</f>
        <v>vec01197</v>
      </c>
      <c r="F24814" s="0" t="s">
        <v>10120</v>
      </c>
    </row>
    <row r="24815" customFormat="false" ht="12.8" hidden="false" customHeight="false" outlineLevel="0" collapsed="false">
      <c r="B24815" s="0" t="s">
        <v>1</v>
      </c>
      <c r="C24815" s="0" t="s">
        <v>91</v>
      </c>
      <c r="E24815" s="0" t="s">
        <v>84</v>
      </c>
      <c r="F24815" s="0" t="s">
        <v>10121</v>
      </c>
    </row>
    <row r="24816" customFormat="false" ht="12.8" hidden="false" customHeight="false" outlineLevel="0" collapsed="false">
      <c r="B24816" s="0" t="s">
        <v>8</v>
      </c>
      <c r="C24816" s="0" t="s">
        <v>4776</v>
      </c>
      <c r="E24816" s="0" t="s">
        <v>87</v>
      </c>
      <c r="F24816" s="0" t="s">
        <v>10122</v>
      </c>
    </row>
    <row r="24817" customFormat="false" ht="12.8" hidden="false" customHeight="false" outlineLevel="0" collapsed="false">
      <c r="B24817" s="0" t="s">
        <v>36</v>
      </c>
      <c r="E24817" s="0" t="s">
        <v>38</v>
      </c>
      <c r="F24817" s="0" t="s">
        <v>8255</v>
      </c>
    </row>
    <row r="24818" customFormat="false" ht="12.8" hidden="false" customHeight="false" outlineLevel="0" collapsed="false">
      <c r="B24818" s="0" t="s">
        <v>101</v>
      </c>
      <c r="C24818" s="0" t="s">
        <v>6045</v>
      </c>
      <c r="E24818" s="0" t="s">
        <v>42</v>
      </c>
      <c r="F24818" s="0" t="s">
        <v>10123</v>
      </c>
    </row>
    <row r="24820" customFormat="false" ht="12.8" hidden="false" customHeight="false" outlineLevel="0" collapsed="false">
      <c r="A24820" s="0" t="s">
        <v>10124</v>
      </c>
      <c r="B24820" s="0" t="str">
        <f aca="false">HYPERLINK("https://lindat.mff.cuni.cz/services/teitok/pdtc10/index.php?action=vallex&amp;frame=v-w3271f2", "otočit (v-w3271f2)")</f>
        <v>otočit (v-w3271f2)</v>
      </c>
      <c r="E24820" s="0" t="str">
        <f aca="false">HYPERLINK("https://lindat.mff.cuni.cz/services/SynSemClass40/SynSemClass40.html?veclass=vec01251#vec01251-ces-cm00006", "vec01251")</f>
        <v>vec01251</v>
      </c>
      <c r="F24820" s="0" t="s">
        <v>5767</v>
      </c>
    </row>
    <row r="24821" customFormat="false" ht="12.8" hidden="false" customHeight="false" outlineLevel="0" collapsed="false">
      <c r="B24821" s="0" t="s">
        <v>1</v>
      </c>
      <c r="C24821" s="0" t="s">
        <v>4695</v>
      </c>
      <c r="E24821" s="0" t="s">
        <v>334</v>
      </c>
      <c r="F24821" s="0" t="s">
        <v>5245</v>
      </c>
    </row>
    <row r="24822" customFormat="false" ht="12.8" hidden="false" customHeight="false" outlineLevel="0" collapsed="false">
      <c r="B24822" s="0" t="s">
        <v>2299</v>
      </c>
      <c r="C24822" s="0" t="s">
        <v>462</v>
      </c>
      <c r="E24822" s="0" t="s">
        <v>2648</v>
      </c>
      <c r="F24822" s="0" t="s">
        <v>5246</v>
      </c>
    </row>
    <row r="24824" customFormat="false" ht="12.8" hidden="false" customHeight="false" outlineLevel="0" collapsed="false">
      <c r="A24824" s="0" t="s">
        <v>10125</v>
      </c>
      <c r="B24824" s="0" t="str">
        <f aca="false">HYPERLINK("https://lindat.mff.cuni.cz/services/teitok/pdtc10/index.php?action=vallex&amp;frame=v-w3271f3", "otočit (v-w3271f3)")</f>
        <v>otočit (v-w3271f3)</v>
      </c>
      <c r="E24824" s="0" t="str">
        <f aca="false">HYPERLINK("https://lindat.mff.cuni.cz/services/SynSemClass40/SynSemClass40.html?veclass=vec01236#vec01236-ces-cm00003", "vec01236")</f>
        <v>vec01236</v>
      </c>
      <c r="F24824" s="0" t="s">
        <v>8516</v>
      </c>
    </row>
    <row r="24825" customFormat="false" ht="12.8" hidden="false" customHeight="false" outlineLevel="0" collapsed="false">
      <c r="B24825" s="0" t="s">
        <v>1</v>
      </c>
      <c r="E24825" s="0" t="s">
        <v>31</v>
      </c>
      <c r="F24825" s="0" t="s">
        <v>49</v>
      </c>
    </row>
    <row r="24826" customFormat="false" ht="12.8" hidden="false" customHeight="false" outlineLevel="0" collapsed="false">
      <c r="B24826" s="0" t="s">
        <v>8</v>
      </c>
      <c r="E24826" s="0" t="s">
        <v>2648</v>
      </c>
      <c r="F24826" s="0" t="s">
        <v>8517</v>
      </c>
    </row>
    <row r="24828" customFormat="false" ht="12.8" hidden="false" customHeight="false" outlineLevel="0" collapsed="false">
      <c r="A24828" s="0" t="s">
        <v>10126</v>
      </c>
      <c r="B24828" s="0" t="str">
        <f aca="false">HYPERLINK("https://lindat.mff.cuni.cz/services/teitok/pdtc10/index.php?action=vallex&amp;frame=v-w3271hsa_533", "otočit (v-w3271hsa_533)")</f>
        <v>otočit (v-w3271hsa_533)</v>
      </c>
    </row>
    <row r="24829" customFormat="false" ht="12.8" hidden="false" customHeight="false" outlineLevel="0" collapsed="false">
      <c r="B24829" s="0" t="s">
        <v>1</v>
      </c>
    </row>
    <row r="24831" customFormat="false" ht="12.8" hidden="false" customHeight="false" outlineLevel="0" collapsed="false">
      <c r="A24831" s="0" t="s">
        <v>10127</v>
      </c>
      <c r="B24831" s="0" t="str">
        <f aca="false">HYPERLINK("https://lindat.mff.cuni.cz/services/teitok/pdtc10/index.php?action=vallex&amp;frame=v-w3271f4_ZU", "otočit (v-w3271f4_ZU)")</f>
        <v>otočit (v-w3271f4_ZU)</v>
      </c>
    </row>
    <row r="24832" customFormat="false" ht="12.8" hidden="false" customHeight="false" outlineLevel="0" collapsed="false">
      <c r="B24832" s="0" t="s">
        <v>1</v>
      </c>
    </row>
    <row r="24833" customFormat="false" ht="12.8" hidden="false" customHeight="false" outlineLevel="0" collapsed="false">
      <c r="B24833" s="0" t="s">
        <v>8</v>
      </c>
    </row>
    <row r="24835" customFormat="false" ht="12.8" hidden="false" customHeight="false" outlineLevel="0" collapsed="false">
      <c r="A24835" s="0" t="s">
        <v>10128</v>
      </c>
      <c r="B24835" s="0" t="str">
        <f aca="false">HYPERLINK("https://lindat.mff.cuni.cz/services/teitok/pdtc10/index.php?action=vallex&amp;frame=v-w3271hsa_534", "otočit (v-w3271hsa_534)")</f>
        <v>otočit (v-w3271hsa_534)</v>
      </c>
    </row>
    <row r="24836" customFormat="false" ht="12.8" hidden="false" customHeight="false" outlineLevel="0" collapsed="false">
      <c r="B24836" s="0" t="s">
        <v>1</v>
      </c>
    </row>
    <row r="24837" customFormat="false" ht="12.8" hidden="false" customHeight="false" outlineLevel="0" collapsed="false">
      <c r="B24837" s="0" t="s">
        <v>8</v>
      </c>
    </row>
    <row r="24838" customFormat="false" ht="12.8" hidden="false" customHeight="false" outlineLevel="0" collapsed="false">
      <c r="B24838" s="0" t="s">
        <v>8472</v>
      </c>
    </row>
    <row r="24840" customFormat="false" ht="12.8" hidden="false" customHeight="false" outlineLevel="0" collapsed="false">
      <c r="A24840" s="0" t="s">
        <v>10129</v>
      </c>
      <c r="B24840" s="0" t="str">
        <f aca="false">HYPERLINK("https://lindat.mff.cuni.cz/services/teitok/pdtc10/index.php?action=vallex&amp;frame=v-w3272f2", "otočit se (v-w3272f2)")</f>
        <v>otočit se (v-w3272f2)</v>
      </c>
    </row>
    <row r="24841" customFormat="false" ht="12.8" hidden="false" customHeight="false" outlineLevel="0" collapsed="false">
      <c r="B24841" s="0" t="s">
        <v>1</v>
      </c>
    </row>
    <row r="24842" customFormat="false" ht="12.8" hidden="false" customHeight="false" outlineLevel="0" collapsed="false">
      <c r="B24842" s="0" t="s">
        <v>6127</v>
      </c>
    </row>
    <row r="24843" customFormat="false" ht="12.8" hidden="false" customHeight="false" outlineLevel="0" collapsed="false">
      <c r="B24843" s="0" t="s">
        <v>36</v>
      </c>
    </row>
    <row r="24845" customFormat="false" ht="12.8" hidden="false" customHeight="false" outlineLevel="0" collapsed="false">
      <c r="A24845" s="0" t="s">
        <v>10130</v>
      </c>
      <c r="B24845" s="0" t="str">
        <f aca="false">HYPERLINK("https://lindat.mff.cuni.cz/services/teitok/pdtc10/index.php?action=vallex&amp;frame=v-w3272f1", "otočit se (v-w3272f1)")</f>
        <v>otočit se (v-w3272f1)</v>
      </c>
    </row>
    <row r="24846" customFormat="false" ht="12.8" hidden="false" customHeight="false" outlineLevel="0" collapsed="false">
      <c r="B24846" s="0" t="s">
        <v>1</v>
      </c>
    </row>
    <row r="24848" customFormat="false" ht="12.8" hidden="false" customHeight="false" outlineLevel="0" collapsed="false">
      <c r="A24848" s="0" t="s">
        <v>10131</v>
      </c>
      <c r="B24848" s="0" t="str">
        <f aca="false">HYPERLINK("https://lindat.mff.cuni.cz/services/teitok/pdtc10/index.php?action=vallex&amp;frame=v-w3272f3_ZU", "otočit se (v-w3272f3_ZU)")</f>
        <v>otočit se (v-w3272f3_ZU)</v>
      </c>
      <c r="E24848" s="0" t="str">
        <f aca="false">HYPERLINK("https://lindat.mff.cuni.cz/services/SynSemClass40/SynSemClass40.html?veclass=vec00574#vec00574-ces-cm00042", "vec00574")</f>
        <v>vec00574</v>
      </c>
      <c r="F24848" s="0" t="s">
        <v>5067</v>
      </c>
    </row>
    <row r="24849" customFormat="false" ht="12.8" hidden="false" customHeight="false" outlineLevel="0" collapsed="false">
      <c r="B24849" s="0" t="s">
        <v>1</v>
      </c>
      <c r="C24849" s="0" t="s">
        <v>5068</v>
      </c>
      <c r="E24849" s="0" t="s">
        <v>621</v>
      </c>
      <c r="F24849" s="0" t="s">
        <v>5069</v>
      </c>
    </row>
    <row r="24850" customFormat="false" ht="12.8" hidden="false" customHeight="false" outlineLevel="0" collapsed="false">
      <c r="B24850" s="0" t="s">
        <v>8501</v>
      </c>
    </row>
    <row r="24851" customFormat="false" ht="12.8" hidden="false" customHeight="false" outlineLevel="0" collapsed="false">
      <c r="B24851" s="0" t="s">
        <v>311</v>
      </c>
      <c r="C24851" s="0" t="s">
        <v>5070</v>
      </c>
      <c r="E24851" s="0" t="s">
        <v>1732</v>
      </c>
      <c r="F24851" s="0" t="s">
        <v>5071</v>
      </c>
    </row>
    <row r="24853" customFormat="false" ht="12.8" hidden="false" customHeight="false" outlineLevel="0" collapsed="false">
      <c r="A24853" s="0" t="s">
        <v>10132</v>
      </c>
      <c r="B24853" s="0" t="str">
        <f aca="false">HYPERLINK("https://lindat.mff.cuni.cz/services/teitok/pdtc10/index.php?action=vallex&amp;frame=v-w3272f4_ZU", "otočit se (v-w3272f4_ZU)")</f>
        <v>otočit se (v-w3272f4_ZU)</v>
      </c>
    </row>
    <row r="24854" customFormat="false" ht="12.8" hidden="false" customHeight="false" outlineLevel="0" collapsed="false">
      <c r="B24854" s="0" t="s">
        <v>1</v>
      </c>
    </row>
    <row r="24856" customFormat="false" ht="12.8" hidden="false" customHeight="false" outlineLevel="0" collapsed="false">
      <c r="A24856" s="0" t="s">
        <v>10133</v>
      </c>
      <c r="B24856" s="0" t="str">
        <f aca="false">HYPERLINK("https://lindat.mff.cuni.cz/services/teitok/pdtc10/index.php?action=vallex&amp;frame=v-w3277f1", "otravovat (v-w3277f1)")</f>
        <v>otravovat (v-w3277f1)</v>
      </c>
      <c r="E24856" s="0" t="str">
        <f aca="false">HYPERLINK("https://lindat.mff.cuni.cz/services/SynSemClass40/SynSemClass40.html?veclass=vec01183#vec01183-ces-cm00003", "vec01183")</f>
        <v>vec01183</v>
      </c>
      <c r="F24856" s="0" t="s">
        <v>4189</v>
      </c>
    </row>
    <row r="24857" customFormat="false" ht="12.8" hidden="false" customHeight="false" outlineLevel="0" collapsed="false">
      <c r="B24857" s="0" t="s">
        <v>1</v>
      </c>
      <c r="C24857" s="0" t="s">
        <v>4190</v>
      </c>
      <c r="E24857" s="0" t="s">
        <v>76</v>
      </c>
      <c r="F24857" s="0" t="s">
        <v>4191</v>
      </c>
    </row>
    <row r="24858" customFormat="false" ht="12.8" hidden="false" customHeight="false" outlineLevel="0" collapsed="false">
      <c r="B24858" s="0" t="s">
        <v>8</v>
      </c>
      <c r="C24858" s="0" t="s">
        <v>4192</v>
      </c>
      <c r="E24858" s="0" t="s">
        <v>1930</v>
      </c>
      <c r="F24858" s="0" t="s">
        <v>4193</v>
      </c>
    </row>
    <row r="24860" customFormat="false" ht="12.8" hidden="false" customHeight="false" outlineLevel="0" collapsed="false">
      <c r="A24860" s="0" t="s">
        <v>10134</v>
      </c>
      <c r="B24860" s="0" t="str">
        <f aca="false">HYPERLINK("https://lindat.mff.cuni.cz/services/teitok/pdtc10/index.php?action=vallex&amp;frame=v-w3277hsa_281", "otravovat (v-w3277hsa_281)")</f>
        <v>otravovat (v-w3277hsa_281)</v>
      </c>
    </row>
    <row r="24861" customFormat="false" ht="12.8" hidden="false" customHeight="false" outlineLevel="0" collapsed="false">
      <c r="B24861" s="0" t="s">
        <v>1</v>
      </c>
    </row>
    <row r="24862" customFormat="false" ht="12.8" hidden="false" customHeight="false" outlineLevel="0" collapsed="false">
      <c r="B24862" s="0" t="s">
        <v>8</v>
      </c>
    </row>
    <row r="24864" customFormat="false" ht="12.8" hidden="false" customHeight="false" outlineLevel="0" collapsed="false">
      <c r="A24864" s="0" t="s">
        <v>10135</v>
      </c>
      <c r="B24864" s="0" t="str">
        <f aca="false">HYPERLINK("https://lindat.mff.cuni.cz/services/teitok/pdtc10/index.php?action=vallex&amp;frame=v-whsa_441hsa_442", "otrhat (v-whsa_441hsa_442)")</f>
        <v>otrhat (v-whsa_441hsa_442)</v>
      </c>
    </row>
    <row r="24865" customFormat="false" ht="12.8" hidden="false" customHeight="false" outlineLevel="0" collapsed="false">
      <c r="B24865" s="0" t="s">
        <v>1</v>
      </c>
    </row>
    <row r="24866" customFormat="false" ht="12.8" hidden="false" customHeight="false" outlineLevel="0" collapsed="false">
      <c r="B24866" s="0" t="s">
        <v>8</v>
      </c>
    </row>
    <row r="24868" customFormat="false" ht="12.8" hidden="false" customHeight="false" outlineLevel="0" collapsed="false">
      <c r="A24868" s="0" t="s">
        <v>10136</v>
      </c>
      <c r="B24868" s="0" t="str">
        <f aca="false">HYPERLINK("https://lindat.mff.cuni.cz/services/teitok/pdtc10/index.php?action=vallex&amp;frame=v-w3278f1", "otrkat se (v-w3278f1)")</f>
        <v>otrkat se (v-w3278f1)</v>
      </c>
    </row>
    <row r="24869" customFormat="false" ht="12.8" hidden="false" customHeight="false" outlineLevel="0" collapsed="false">
      <c r="B24869" s="0" t="s">
        <v>1</v>
      </c>
    </row>
    <row r="24871" customFormat="false" ht="12.8" hidden="false" customHeight="false" outlineLevel="0" collapsed="false">
      <c r="A24871" s="0" t="s">
        <v>10137</v>
      </c>
      <c r="B24871" s="0" t="str">
        <f aca="false">HYPERLINK("https://lindat.mff.cuni.cz/services/teitok/pdtc10/index.php?action=vallex&amp;frame=v-w3279f1", "otrnout (v-w3279f1)")</f>
        <v>otrnout (v-w3279f1)</v>
      </c>
    </row>
    <row r="24872" customFormat="false" ht="12.8" hidden="false" customHeight="false" outlineLevel="0" collapsed="false">
      <c r="B24872" s="0" t="s">
        <v>804</v>
      </c>
    </row>
    <row r="24874" customFormat="false" ht="12.8" hidden="false" customHeight="false" outlineLevel="0" collapsed="false">
      <c r="A24874" s="0" t="s">
        <v>10138</v>
      </c>
      <c r="B24874" s="0" t="str">
        <f aca="false">HYPERLINK("https://lindat.mff.cuni.cz/services/teitok/pdtc10/index.php?action=vallex&amp;frame=v-w3275f1", "otrávit (v-w3275f1)")</f>
        <v>otrávit (v-w3275f1)</v>
      </c>
      <c r="E24874" s="0" t="str">
        <f aca="false">HYPERLINK("https://lindat.mff.cuni.cz/services/SynSemClass40/SynSemClass40.html?veclass=vec01183#vec01183-ces-cm00007", "vec01183")</f>
        <v>vec01183</v>
      </c>
      <c r="F24874" s="0" t="s">
        <v>4189</v>
      </c>
      <c r="H24874" s="0" t="str">
        <f aca="false">HYPERLINK("https://lindat.mff.cuni.cz/services/SynSemClass40/SynSemClass40.html?veclass=vec01514#vec01514-ces-cm00001", "vec01514")</f>
        <v>vec01514</v>
      </c>
      <c r="I24874" s="0" t="s">
        <v>10139</v>
      </c>
    </row>
    <row r="24875" customFormat="false" ht="12.8" hidden="false" customHeight="false" outlineLevel="0" collapsed="false">
      <c r="B24875" s="0" t="s">
        <v>1</v>
      </c>
      <c r="C24875" s="0" t="s">
        <v>10140</v>
      </c>
      <c r="E24875" s="0" t="s">
        <v>76</v>
      </c>
      <c r="F24875" s="0" t="s">
        <v>4191</v>
      </c>
      <c r="H24875" s="0" t="s">
        <v>206</v>
      </c>
      <c r="I24875" s="0" t="s">
        <v>10141</v>
      </c>
    </row>
    <row r="24876" customFormat="false" ht="12.8" hidden="false" customHeight="false" outlineLevel="0" collapsed="false">
      <c r="B24876" s="0" t="s">
        <v>8</v>
      </c>
      <c r="C24876" s="0" t="s">
        <v>242</v>
      </c>
      <c r="E24876" s="0" t="s">
        <v>1930</v>
      </c>
      <c r="F24876" s="0" t="s">
        <v>4193</v>
      </c>
      <c r="H24876" s="0" t="s">
        <v>10142</v>
      </c>
      <c r="I24876" s="0" t="s">
        <v>10143</v>
      </c>
    </row>
    <row r="24878" customFormat="false" ht="12.8" hidden="false" customHeight="false" outlineLevel="0" collapsed="false">
      <c r="A24878" s="0" t="s">
        <v>10144</v>
      </c>
      <c r="B24878" s="0" t="str">
        <f aca="false">HYPERLINK("https://lindat.mff.cuni.cz/services/teitok/pdtc10/index.php?action=vallex&amp;frame=v-w3276f1", "otrávit se (v-w3276f1)")</f>
        <v>otrávit se (v-w3276f1)</v>
      </c>
      <c r="E24878" s="0" t="str">
        <f aca="false">HYPERLINK("https://lindat.mff.cuni.cz/services/SynSemClass40/SynSemClass40.html?veclass=vec01514#vec01514-ces-cm00002", "vec01514")</f>
        <v>vec01514</v>
      </c>
      <c r="F24878" s="0" t="s">
        <v>10139</v>
      </c>
    </row>
    <row r="24879" customFormat="false" ht="12.8" hidden="false" customHeight="false" outlineLevel="0" collapsed="false">
      <c r="B24879" s="0" t="s">
        <v>1</v>
      </c>
      <c r="C24879" s="0" t="s">
        <v>10145</v>
      </c>
      <c r="E24879" s="0" t="s">
        <v>10146</v>
      </c>
      <c r="F24879" s="0" t="s">
        <v>10147</v>
      </c>
    </row>
    <row r="24881" customFormat="false" ht="12.8" hidden="false" customHeight="false" outlineLevel="0" collapsed="false">
      <c r="A24881" s="0" t="s">
        <v>10148</v>
      </c>
      <c r="B24881" s="0" t="str">
        <f aca="false">HYPERLINK("https://lindat.mff.cuni.cz/services/teitok/pdtc10/index.php?action=vallex&amp;frame=v-w10983f2", "otupit (v-w10983f2)")</f>
        <v>otupit (v-w10983f2)</v>
      </c>
      <c r="E24881" s="0" t="str">
        <f aca="false">HYPERLINK("https://lindat.mff.cuni.cz/services/SynSemClass40/SynSemClass40.html?veclass=vec00055#vec00055-ces-cm00005", "vec00055")</f>
        <v>vec00055</v>
      </c>
      <c r="F24881" s="0" t="s">
        <v>9956</v>
      </c>
    </row>
    <row r="24882" customFormat="false" ht="12.8" hidden="false" customHeight="false" outlineLevel="0" collapsed="false">
      <c r="B24882" s="0" t="s">
        <v>1</v>
      </c>
      <c r="C24882" s="0" t="s">
        <v>7911</v>
      </c>
      <c r="E24882" s="0" t="s">
        <v>76</v>
      </c>
      <c r="F24882" s="0" t="s">
        <v>9958</v>
      </c>
    </row>
    <row r="24883" customFormat="false" ht="12.8" hidden="false" customHeight="false" outlineLevel="0" collapsed="false">
      <c r="B24883" s="0" t="s">
        <v>8</v>
      </c>
      <c r="C24883" s="0" t="s">
        <v>10149</v>
      </c>
      <c r="E24883" s="0" t="s">
        <v>706</v>
      </c>
      <c r="F24883" s="0" t="s">
        <v>9960</v>
      </c>
    </row>
    <row r="24885" customFormat="false" ht="12.8" hidden="false" customHeight="false" outlineLevel="0" collapsed="false">
      <c r="A24885" s="0" t="s">
        <v>10150</v>
      </c>
      <c r="B24885" s="0" t="str">
        <f aca="false">HYPERLINK("https://lindat.mff.cuni.cz/services/teitok/pdtc10/index.php?action=vallex&amp;frame=v-w3284f1", "otupovat (v-w3284f1)")</f>
        <v>otupovat (v-w3284f1)</v>
      </c>
      <c r="E24885" s="0" t="str">
        <f aca="false">HYPERLINK("https://lindat.mff.cuni.cz/services/SynSemClass40/SynSemClass40.html?veclass=vec00055#vec00055-ces-cm00036", "vec00055")</f>
        <v>vec00055</v>
      </c>
      <c r="F24885" s="0" t="s">
        <v>9956</v>
      </c>
    </row>
    <row r="24886" customFormat="false" ht="12.8" hidden="false" customHeight="false" outlineLevel="0" collapsed="false">
      <c r="B24886" s="0" t="s">
        <v>1</v>
      </c>
      <c r="C24886" s="0" t="s">
        <v>7911</v>
      </c>
      <c r="E24886" s="0" t="s">
        <v>76</v>
      </c>
      <c r="F24886" s="0" t="s">
        <v>9958</v>
      </c>
    </row>
    <row r="24887" customFormat="false" ht="12.8" hidden="false" customHeight="false" outlineLevel="0" collapsed="false">
      <c r="B24887" s="0" t="s">
        <v>8</v>
      </c>
      <c r="C24887" s="0" t="s">
        <v>10149</v>
      </c>
      <c r="E24887" s="0" t="s">
        <v>706</v>
      </c>
      <c r="F24887" s="0" t="s">
        <v>9960</v>
      </c>
    </row>
    <row r="24889" customFormat="false" ht="12.8" hidden="false" customHeight="false" outlineLevel="0" collapsed="false">
      <c r="A24889" s="0" t="s">
        <v>10151</v>
      </c>
      <c r="B24889" s="0" t="str">
        <f aca="false">HYPERLINK("https://lindat.mff.cuni.cz/services/teitok/pdtc10/index.php?action=vallex&amp;frame=v-w10049f2", "otupět (v-w10049f2)")</f>
        <v>otupět (v-w10049f2)</v>
      </c>
      <c r="E24889" s="0" t="str">
        <f aca="false">HYPERLINK("https://lindat.mff.cuni.cz/services/SynSemClass40/SynSemClass40.html?veclass=vec00055#vec00055-ces-cm00043", "vec00055")</f>
        <v>vec00055</v>
      </c>
      <c r="F24889" s="0" t="s">
        <v>9956</v>
      </c>
    </row>
    <row r="24890" customFormat="false" ht="12.8" hidden="false" customHeight="false" outlineLevel="0" collapsed="false">
      <c r="B24890" s="0" t="s">
        <v>1</v>
      </c>
      <c r="C24890" s="0" t="s">
        <v>7911</v>
      </c>
      <c r="E24890" s="0" t="s">
        <v>76</v>
      </c>
      <c r="F24890" s="0" t="s">
        <v>9958</v>
      </c>
    </row>
    <row r="24891" customFormat="false" ht="12.8" hidden="false" customHeight="false" outlineLevel="0" collapsed="false">
      <c r="B24891" s="0" t="s">
        <v>8</v>
      </c>
      <c r="C24891" s="0" t="s">
        <v>10149</v>
      </c>
      <c r="E24891" s="0" t="s">
        <v>706</v>
      </c>
      <c r="F24891" s="0" t="s">
        <v>9960</v>
      </c>
    </row>
    <row r="24893" customFormat="false" ht="12.8" hidden="false" customHeight="false" outlineLevel="0" collapsed="false">
      <c r="A24893" s="0" t="s">
        <v>10152</v>
      </c>
      <c r="B24893" s="0" t="str">
        <f aca="false">HYPERLINK("https://lindat.mff.cuni.cz/services/teitok/pdtc10/index.php?action=vallex&amp;frame=v-w3286f1", "otužovat (v-w3286f1)")</f>
        <v>otužovat (v-w3286f1)</v>
      </c>
    </row>
    <row r="24894" customFormat="false" ht="12.8" hidden="false" customHeight="false" outlineLevel="0" collapsed="false">
      <c r="B24894" s="0" t="s">
        <v>1</v>
      </c>
    </row>
    <row r="24895" customFormat="false" ht="12.8" hidden="false" customHeight="false" outlineLevel="0" collapsed="false">
      <c r="B24895" s="0" t="s">
        <v>8</v>
      </c>
    </row>
    <row r="24897" customFormat="false" ht="12.8" hidden="false" customHeight="false" outlineLevel="0" collapsed="false">
      <c r="A24897" s="0" t="s">
        <v>10153</v>
      </c>
      <c r="B24897" s="0" t="str">
        <f aca="false">HYPERLINK("https://lindat.mff.cuni.cz/services/teitok/pdtc10/index.php?action=vallex&amp;frame=v-w3288f1", "otvírat (v-w3288f1)")</f>
        <v>otvírat (v-w3288f1)</v>
      </c>
      <c r="E24897" s="0" t="str">
        <f aca="false">HYPERLINK("https://lindat.mff.cuni.cz/services/SynSemClass40/SynSemClass40.html?veclass=vec00465#vec00465-ces-cm00013", "vec00465")</f>
        <v>vec00465</v>
      </c>
      <c r="F24897" s="0" t="s">
        <v>8828</v>
      </c>
      <c r="H24897" s="0" t="str">
        <f aca="false">HYPERLINK("https://lindat.mff.cuni.cz/services/SynSemClass40/SynSemClass40.html?veclass=vec01537#vec01537-ces-cm00022", "vec01537")</f>
        <v>vec01537</v>
      </c>
      <c r="I24897" s="0" t="s">
        <v>8830</v>
      </c>
    </row>
    <row r="24898" customFormat="false" ht="12.8" hidden="false" customHeight="false" outlineLevel="0" collapsed="false">
      <c r="B24898" s="0" t="s">
        <v>1</v>
      </c>
      <c r="C24898" s="0" t="s">
        <v>10154</v>
      </c>
      <c r="E24898" s="0" t="s">
        <v>31</v>
      </c>
      <c r="F24898" s="0" t="s">
        <v>8832</v>
      </c>
      <c r="H24898" s="0" t="s">
        <v>31</v>
      </c>
      <c r="I24898" s="0" t="s">
        <v>5293</v>
      </c>
    </row>
    <row r="24899" customFormat="false" ht="12.8" hidden="false" customHeight="false" outlineLevel="0" collapsed="false">
      <c r="B24899" s="0" t="s">
        <v>8</v>
      </c>
      <c r="C24899" s="0" t="s">
        <v>10155</v>
      </c>
      <c r="E24899" s="0" t="s">
        <v>8835</v>
      </c>
      <c r="F24899" s="0" t="s">
        <v>8836</v>
      </c>
      <c r="H24899" s="0" t="s">
        <v>8835</v>
      </c>
      <c r="I24899" s="0" t="s">
        <v>8838</v>
      </c>
    </row>
    <row r="24901" customFormat="false" ht="12.8" hidden="false" customHeight="false" outlineLevel="0" collapsed="false">
      <c r="A24901" s="0" t="s">
        <v>10156</v>
      </c>
      <c r="B24901" s="0" t="str">
        <f aca="false">HYPERLINK("https://lindat.mff.cuni.cz/services/teitok/pdtc10/index.php?action=vallex&amp;frame=v-w3288f3", "otvírat (v-w3288f3)")</f>
        <v>otvírat (v-w3288f3)</v>
      </c>
      <c r="E24901" s="0" t="str">
        <f aca="false">HYPERLINK("https://lindat.mff.cuni.cz/services/SynSemClass40/SynSemClass40.html?veclass=vec00038#vec00038-ces-cm00319", "vec00038")</f>
        <v>vec00038</v>
      </c>
      <c r="F24901" s="0" t="s">
        <v>74</v>
      </c>
    </row>
    <row r="24902" customFormat="false" ht="12.8" hidden="false" customHeight="false" outlineLevel="0" collapsed="false">
      <c r="B24902" s="0" t="s">
        <v>1</v>
      </c>
      <c r="C24902" s="0" t="s">
        <v>75</v>
      </c>
      <c r="E24902" s="0" t="s">
        <v>76</v>
      </c>
      <c r="F24902" s="0" t="s">
        <v>77</v>
      </c>
    </row>
    <row r="24903" customFormat="false" ht="12.8" hidden="false" customHeight="false" outlineLevel="0" collapsed="false">
      <c r="B24903" s="0" t="s">
        <v>8</v>
      </c>
      <c r="C24903" s="0" t="s">
        <v>78</v>
      </c>
      <c r="E24903" s="0" t="s">
        <v>79</v>
      </c>
      <c r="F24903" s="0" t="s">
        <v>80</v>
      </c>
    </row>
    <row r="24905" customFormat="false" ht="12.8" hidden="false" customHeight="false" outlineLevel="0" collapsed="false">
      <c r="A24905" s="0" t="s">
        <v>10157</v>
      </c>
      <c r="B24905" s="0" t="str">
        <f aca="false">HYPERLINK("https://lindat.mff.cuni.cz/services/teitok/pdtc10/index.php?action=vallex&amp;frame=v-w3288f5_ZU", "otvírat (v-w3288f5_ZU)")</f>
        <v>otvírat (v-w3288f5_ZU)</v>
      </c>
    </row>
    <row r="24906" customFormat="false" ht="12.8" hidden="false" customHeight="false" outlineLevel="0" collapsed="false">
      <c r="B24906" s="0" t="s">
        <v>1</v>
      </c>
    </row>
    <row r="24907" customFormat="false" ht="12.8" hidden="false" customHeight="false" outlineLevel="0" collapsed="false">
      <c r="B24907" s="0" t="s">
        <v>1262</v>
      </c>
    </row>
    <row r="24909" customFormat="false" ht="12.8" hidden="false" customHeight="false" outlineLevel="0" collapsed="false">
      <c r="A24909" s="0" t="s">
        <v>10158</v>
      </c>
      <c r="B24909" s="0" t="str">
        <f aca="false">HYPERLINK("https://lindat.mff.cuni.cz/services/teitok/pdtc10/index.php?action=vallex&amp;frame=v-w3288f4", "otvírat (v-w3288f4)")</f>
        <v>otvírat (v-w3288f4)</v>
      </c>
    </row>
    <row r="24910" customFormat="false" ht="12.8" hidden="false" customHeight="false" outlineLevel="0" collapsed="false">
      <c r="B24910" s="0" t="s">
        <v>1</v>
      </c>
    </row>
    <row r="24912" customFormat="false" ht="12.8" hidden="false" customHeight="false" outlineLevel="0" collapsed="false">
      <c r="A24912" s="0" t="s">
        <v>10159</v>
      </c>
      <c r="B24912" s="0" t="str">
        <f aca="false">HYPERLINK("https://lindat.mff.cuni.cz/services/teitok/pdtc10/index.php?action=vallex&amp;frame=v-w3288f2", "otvírat (v-w3288f2)")</f>
        <v>otvírat (v-w3288f2)</v>
      </c>
    </row>
    <row r="24913" customFormat="false" ht="12.8" hidden="false" customHeight="false" outlineLevel="0" collapsed="false">
      <c r="B24913" s="0" t="s">
        <v>1</v>
      </c>
    </row>
    <row r="24914" customFormat="false" ht="12.8" hidden="false" customHeight="false" outlineLevel="0" collapsed="false">
      <c r="B24914" s="0" t="s">
        <v>10160</v>
      </c>
    </row>
    <row r="24915" customFormat="false" ht="12.8" hidden="false" customHeight="false" outlineLevel="0" collapsed="false">
      <c r="B24915" s="0" t="s">
        <v>3473</v>
      </c>
    </row>
    <row r="24917" customFormat="false" ht="12.8" hidden="false" customHeight="false" outlineLevel="0" collapsed="false">
      <c r="A24917" s="0" t="s">
        <v>10161</v>
      </c>
      <c r="B24917" s="0" t="str">
        <f aca="false">HYPERLINK("https://lindat.mff.cuni.cz/services/teitok/pdtc10/index.php?action=vallex&amp;frame=v-w3288f6_ZU", "otvírat (v-w3288f6_ZU)")</f>
        <v>otvírat (v-w3288f6_ZU)</v>
      </c>
    </row>
    <row r="24918" customFormat="false" ht="12.8" hidden="false" customHeight="false" outlineLevel="0" collapsed="false">
      <c r="B24918" s="0" t="s">
        <v>1</v>
      </c>
    </row>
    <row r="24919" customFormat="false" ht="12.8" hidden="false" customHeight="false" outlineLevel="0" collapsed="false">
      <c r="B24919" s="0" t="s">
        <v>10073</v>
      </c>
    </row>
    <row r="24920" customFormat="false" ht="12.8" hidden="false" customHeight="false" outlineLevel="0" collapsed="false">
      <c r="B24920" s="0" t="s">
        <v>52</v>
      </c>
    </row>
    <row r="24921" customFormat="false" ht="12.8" hidden="false" customHeight="false" outlineLevel="0" collapsed="false">
      <c r="B24921" s="0" t="s">
        <v>10101</v>
      </c>
    </row>
    <row r="24923" customFormat="false" ht="12.8" hidden="false" customHeight="false" outlineLevel="0" collapsed="false">
      <c r="A24923" s="0" t="s">
        <v>10162</v>
      </c>
      <c r="B24923" s="0" t="str">
        <f aca="false">HYPERLINK("https://lindat.mff.cuni.cz/services/teitok/pdtc10/index.php?action=vallex&amp;frame=v-w3289f2", "otvírat se (v-w3289f2)")</f>
        <v>otvírat se (v-w3289f2)</v>
      </c>
      <c r="E24923" s="0" t="str">
        <f aca="false">HYPERLINK("https://lindat.mff.cuni.cz/services/SynSemClass40/SynSemClass40.html?veclass=vec01252#vec01252-ces-cm00004", "vec01252")</f>
        <v>vec01252</v>
      </c>
      <c r="F24923" s="0" t="s">
        <v>10077</v>
      </c>
    </row>
    <row r="24924" customFormat="false" ht="12.8" hidden="false" customHeight="false" outlineLevel="0" collapsed="false">
      <c r="B24924" s="0" t="s">
        <v>1</v>
      </c>
      <c r="C24924" s="0" t="s">
        <v>549</v>
      </c>
      <c r="E24924" s="0" t="s">
        <v>11</v>
      </c>
      <c r="F24924" s="0" t="s">
        <v>10078</v>
      </c>
    </row>
    <row r="24925" customFormat="false" ht="12.8" hidden="false" customHeight="false" outlineLevel="0" collapsed="false">
      <c r="B24925" s="0" t="s">
        <v>186</v>
      </c>
      <c r="C24925" s="0" t="s">
        <v>10079</v>
      </c>
      <c r="E24925" s="0" t="s">
        <v>180</v>
      </c>
      <c r="F24925" s="0" t="s">
        <v>10080</v>
      </c>
    </row>
    <row r="24927" customFormat="false" ht="12.8" hidden="false" customHeight="false" outlineLevel="0" collapsed="false">
      <c r="A24927" s="0" t="s">
        <v>10163</v>
      </c>
      <c r="B24927" s="0" t="str">
        <f aca="false">HYPERLINK("https://lindat.mff.cuni.cz/services/teitok/pdtc10/index.php?action=vallex&amp;frame=v-w3289f1", "otvírat se (v-w3289f1)")</f>
        <v>otvírat se (v-w3289f1)</v>
      </c>
    </row>
    <row r="24928" customFormat="false" ht="12.8" hidden="false" customHeight="false" outlineLevel="0" collapsed="false">
      <c r="B24928" s="0" t="s">
        <v>1</v>
      </c>
    </row>
    <row r="24930" customFormat="false" ht="12.8" hidden="false" customHeight="false" outlineLevel="0" collapsed="false">
      <c r="A24930" s="0" t="s">
        <v>10164</v>
      </c>
      <c r="B24930" s="0" t="str">
        <f aca="false">HYPERLINK("https://lindat.mff.cuni.cz/services/teitok/pdtc10/index.php?action=vallex&amp;frame=v-w3247f1", "otálet (v-w3247f1)")</f>
        <v>otálet (v-w3247f1)</v>
      </c>
    </row>
    <row r="24931" customFormat="false" ht="12.8" hidden="false" customHeight="false" outlineLevel="0" collapsed="false">
      <c r="B24931" s="0" t="s">
        <v>1</v>
      </c>
    </row>
    <row r="24932" customFormat="false" ht="12.8" hidden="false" customHeight="false" outlineLevel="0" collapsed="false">
      <c r="B24932" s="0" t="s">
        <v>3321</v>
      </c>
    </row>
    <row r="24934" customFormat="false" ht="12.8" hidden="false" customHeight="false" outlineLevel="0" collapsed="false">
      <c r="A24934" s="0" t="s">
        <v>10165</v>
      </c>
      <c r="B24934" s="0" t="str">
        <f aca="false">HYPERLINK("https://lindat.mff.cuni.cz/services/teitok/pdtc10/index.php?action=vallex&amp;frame=v-w3248f1", "otázat se (v-w3248f1)")</f>
        <v>otázat se (v-w3248f1)</v>
      </c>
    </row>
    <row r="24935" customFormat="false" ht="12.8" hidden="false" customHeight="false" outlineLevel="0" collapsed="false">
      <c r="B24935" s="0" t="s">
        <v>1</v>
      </c>
    </row>
    <row r="24936" customFormat="false" ht="12.8" hidden="false" customHeight="false" outlineLevel="0" collapsed="false">
      <c r="B24936" s="0" t="s">
        <v>10166</v>
      </c>
    </row>
    <row r="24937" customFormat="false" ht="12.8" hidden="false" customHeight="false" outlineLevel="0" collapsed="false">
      <c r="B24937" s="0" t="s">
        <v>2991</v>
      </c>
    </row>
    <row r="24939" customFormat="false" ht="12.8" hidden="false" customHeight="false" outlineLevel="0" collapsed="false">
      <c r="A24939" s="0" t="s">
        <v>10167</v>
      </c>
      <c r="B24939" s="0" t="str">
        <f aca="false">HYPERLINK("https://lindat.mff.cuni.cz/services/teitok/pdtc10/index.php?action=vallex&amp;frame=v-w11042hsa_640", "otáčet (v-w11042hsa_640)")</f>
        <v>otáčet (v-w11042hsa_640)</v>
      </c>
      <c r="E24939" s="0" t="str">
        <f aca="false">HYPERLINK("https://lindat.mff.cuni.cz/services/SynSemClass40/SynSemClass40.html?veclass=vec01251#vec01251-ces-cm00005", "vec01251")</f>
        <v>vec01251</v>
      </c>
      <c r="F24939" s="0" t="s">
        <v>5767</v>
      </c>
    </row>
    <row r="24940" customFormat="false" ht="12.8" hidden="false" customHeight="false" outlineLevel="0" collapsed="false">
      <c r="B24940" s="0" t="s">
        <v>1</v>
      </c>
      <c r="C24940" s="0" t="s">
        <v>4695</v>
      </c>
      <c r="E24940" s="0" t="s">
        <v>334</v>
      </c>
      <c r="F24940" s="0" t="s">
        <v>5245</v>
      </c>
    </row>
    <row r="24941" customFormat="false" ht="12.8" hidden="false" customHeight="false" outlineLevel="0" collapsed="false">
      <c r="B24941" s="0" t="s">
        <v>10168</v>
      </c>
      <c r="C24941" s="0" t="s">
        <v>462</v>
      </c>
      <c r="E24941" s="0" t="s">
        <v>2648</v>
      </c>
      <c r="F24941" s="0" t="s">
        <v>5246</v>
      </c>
    </row>
    <row r="24943" customFormat="false" ht="12.8" hidden="false" customHeight="false" outlineLevel="0" collapsed="false">
      <c r="A24943" s="0" t="s">
        <v>10167</v>
      </c>
      <c r="B24943" s="0" t="str">
        <f aca="false">HYPERLINK("https://lindat.mff.cuni.cz/services/teitok/pdtc10/index.php?action=vallex&amp;frame=v-w11042f2", "otáčet (v-w11042f2) - substituted with v-w11042hsa_640")</f>
        <v>otáčet (v-w11042f2) - substituted with v-w11042hsa_640</v>
      </c>
    </row>
    <row r="24944" customFormat="false" ht="12.8" hidden="false" customHeight="false" outlineLevel="0" collapsed="false">
      <c r="B24944" s="0" t="s">
        <v>1</v>
      </c>
    </row>
    <row r="24945" customFormat="false" ht="12.8" hidden="false" customHeight="false" outlineLevel="0" collapsed="false">
      <c r="B24945" s="0" t="s">
        <v>10168</v>
      </c>
    </row>
    <row r="24947" customFormat="false" ht="12.8" hidden="false" customHeight="false" outlineLevel="0" collapsed="false">
      <c r="A24947" s="0" t="s">
        <v>10169</v>
      </c>
      <c r="B24947" s="0" t="str">
        <f aca="false">HYPERLINK("https://lindat.mff.cuni.cz/services/teitok/pdtc10/index.php?action=vallex&amp;frame=v-whsa_1974hsa_1975", "otáčet se (v-whsa_1974hsa_1975)")</f>
        <v>otáčet se (v-whsa_1974hsa_1975)</v>
      </c>
    </row>
    <row r="24948" customFormat="false" ht="12.8" hidden="false" customHeight="false" outlineLevel="0" collapsed="false">
      <c r="B24948" s="0" t="s">
        <v>1</v>
      </c>
    </row>
    <row r="24950" customFormat="false" ht="12.8" hidden="false" customHeight="false" outlineLevel="0" collapsed="false">
      <c r="A24950" s="0" t="s">
        <v>10170</v>
      </c>
      <c r="B24950" s="0" t="str">
        <f aca="false">HYPERLINK("https://lindat.mff.cuni.cz/services/teitok/pdtc10/index.php?action=vallex&amp;frame=v-whsa_1974hsa_1976", "otáčet se (v-whsa_1974hsa_1976)")</f>
        <v>otáčet se (v-whsa_1974hsa_1976)</v>
      </c>
    </row>
    <row r="24951" customFormat="false" ht="12.8" hidden="false" customHeight="false" outlineLevel="0" collapsed="false">
      <c r="B24951" s="0" t="s">
        <v>1</v>
      </c>
    </row>
    <row r="24953" customFormat="false" ht="12.8" hidden="false" customHeight="false" outlineLevel="0" collapsed="false">
      <c r="A24953" s="0" t="s">
        <v>10171</v>
      </c>
      <c r="B24953" s="0" t="str">
        <f aca="false">HYPERLINK("https://lindat.mff.cuni.cz/services/teitok/pdtc10/index.php?action=vallex&amp;frame=v-w3251f1", "otéci (v-w3251f1)")</f>
        <v>otéci (v-w3251f1)</v>
      </c>
    </row>
    <row r="24954" customFormat="false" ht="12.8" hidden="false" customHeight="false" outlineLevel="0" collapsed="false">
      <c r="B24954" s="0" t="s">
        <v>1</v>
      </c>
    </row>
    <row r="24956" customFormat="false" ht="12.8" hidden="false" customHeight="false" outlineLevel="0" collapsed="false">
      <c r="A24956" s="0" t="s">
        <v>10172</v>
      </c>
      <c r="B24956" s="0" t="str">
        <f aca="false">HYPERLINK("https://lindat.mff.cuni.cz/services/teitok/pdtc10/index.php?action=vallex&amp;frame=v-whsa_810hsa_811", "otékat (v-whsa_810hsa_811)")</f>
        <v>otékat (v-whsa_810hsa_811)</v>
      </c>
    </row>
    <row r="24957" customFormat="false" ht="12.8" hidden="false" customHeight="false" outlineLevel="0" collapsed="false">
      <c r="B24957" s="0" t="s">
        <v>1</v>
      </c>
    </row>
    <row r="24959" customFormat="false" ht="12.8" hidden="false" customHeight="false" outlineLevel="0" collapsed="false">
      <c r="A24959" s="0" t="s">
        <v>10173</v>
      </c>
      <c r="B24959" s="0" t="str">
        <f aca="false">HYPERLINK("https://lindat.mff.cuni.cz/services/teitok/pdtc10/index.php?action=vallex&amp;frame=v-w3253f1", "otěhotnět (v-w3253f1)")</f>
        <v>otěhotnět (v-w3253f1)</v>
      </c>
      <c r="E24959" s="0" t="str">
        <f aca="false">HYPERLINK("https://lindat.mff.cuni.cz/services/SynSemClass40/SynSemClass40.html?veclass=vec00660#vec00660-ces-cm00004", "vec00660")</f>
        <v>vec00660</v>
      </c>
      <c r="F24959" s="0" t="s">
        <v>9805</v>
      </c>
    </row>
    <row r="24960" customFormat="false" ht="12.8" hidden="false" customHeight="false" outlineLevel="0" collapsed="false">
      <c r="B24960" s="0" t="s">
        <v>1</v>
      </c>
      <c r="C24960" s="0" t="s">
        <v>2802</v>
      </c>
      <c r="E24960" s="0" t="s">
        <v>10174</v>
      </c>
      <c r="F24960" s="0" t="s">
        <v>10175</v>
      </c>
    </row>
    <row r="24962" customFormat="false" ht="12.8" hidden="false" customHeight="false" outlineLevel="0" collapsed="false">
      <c r="A24962" s="0" t="s">
        <v>10176</v>
      </c>
      <c r="B24962" s="0" t="str">
        <f aca="false">HYPERLINK("https://lindat.mff.cuni.cz/services/teitok/pdtc10/index.php?action=vallex&amp;frame=v-w11427f1", "otřepávat se (v-w11427f1)")</f>
        <v>otřepávat se (v-w11427f1)</v>
      </c>
      <c r="E24962" s="0" t="str">
        <f aca="false">HYPERLINK("https://lindat.mff.cuni.cz/services/SynSemClass40/SynSemClass40.html?veclass=vec00390#vec00390-ces-cm00004", "vec00390")</f>
        <v>vec00390</v>
      </c>
      <c r="F24962" s="0" t="s">
        <v>1595</v>
      </c>
    </row>
    <row r="24963" customFormat="false" ht="12.8" hidden="false" customHeight="false" outlineLevel="0" collapsed="false">
      <c r="B24963" s="0" t="s">
        <v>1</v>
      </c>
      <c r="C24963" s="0" t="s">
        <v>1596</v>
      </c>
      <c r="E24963" s="0" t="s">
        <v>1597</v>
      </c>
      <c r="F24963" s="0" t="s">
        <v>1598</v>
      </c>
    </row>
    <row r="24964" customFormat="false" ht="12.8" hidden="false" customHeight="false" outlineLevel="0" collapsed="false">
      <c r="B24964" s="0" t="s">
        <v>763</v>
      </c>
      <c r="E24964" s="0" t="s">
        <v>2885</v>
      </c>
      <c r="F24964" s="0" t="s">
        <v>2886</v>
      </c>
    </row>
    <row r="24966" customFormat="false" ht="12.8" hidden="false" customHeight="false" outlineLevel="0" collapsed="false">
      <c r="A24966" s="0" t="s">
        <v>10177</v>
      </c>
      <c r="B24966" s="0" t="str">
        <f aca="false">HYPERLINK("https://lindat.mff.cuni.cz/services/teitok/pdtc10/index.php?action=vallex&amp;frame=v-w3280f3", "otřásat (v-w3280f3)")</f>
        <v>otřásat (v-w3280f3)</v>
      </c>
    </row>
    <row r="24967" customFormat="false" ht="12.8" hidden="false" customHeight="false" outlineLevel="0" collapsed="false">
      <c r="B24967" s="0" t="s">
        <v>1</v>
      </c>
    </row>
    <row r="24968" customFormat="false" ht="12.8" hidden="false" customHeight="false" outlineLevel="0" collapsed="false">
      <c r="B24968" s="0" t="s">
        <v>8</v>
      </c>
    </row>
    <row r="24969" customFormat="false" ht="12.8" hidden="false" customHeight="false" outlineLevel="0" collapsed="false">
      <c r="B24969" s="0" t="s">
        <v>631</v>
      </c>
    </row>
    <row r="24971" customFormat="false" ht="12.8" hidden="false" customHeight="false" outlineLevel="0" collapsed="false">
      <c r="A24971" s="0" t="s">
        <v>10178</v>
      </c>
      <c r="B24971" s="0" t="str">
        <f aca="false">HYPERLINK("https://lindat.mff.cuni.cz/services/teitok/pdtc10/index.php?action=vallex&amp;frame=v-w3280f1", "otřásat (v-w3280f1)")</f>
        <v>otřásat (v-w3280f1)</v>
      </c>
      <c r="E24971" s="0" t="str">
        <f aca="false">HYPERLINK("https://lindat.mff.cuni.cz/services/SynSemClass40/SynSemClass40.html?veclass=vec00466#vec00466-ces-cm00003", "vec00466")</f>
        <v>vec00466</v>
      </c>
      <c r="F24971" s="0" t="s">
        <v>10179</v>
      </c>
      <c r="H24971" s="0" t="str">
        <f aca="false">HYPERLINK("https://lindat.mff.cuni.cz/services/SynSemClass40/SynSemClass40.html?veclass=vec01510#vec01510-ces-cm00014", "vec01510")</f>
        <v>vec01510</v>
      </c>
      <c r="I24971" s="0" t="s">
        <v>7671</v>
      </c>
    </row>
    <row r="24972" customFormat="false" ht="12.8" hidden="false" customHeight="false" outlineLevel="0" collapsed="false">
      <c r="B24972" s="0" t="s">
        <v>1</v>
      </c>
      <c r="C24972" s="0" t="s">
        <v>10180</v>
      </c>
      <c r="E24972" s="0" t="s">
        <v>375</v>
      </c>
      <c r="F24972" s="0" t="s">
        <v>10181</v>
      </c>
      <c r="H24972" s="0" t="s">
        <v>76</v>
      </c>
      <c r="I24972" s="0" t="s">
        <v>7674</v>
      </c>
    </row>
    <row r="24973" customFormat="false" ht="12.8" hidden="false" customHeight="false" outlineLevel="0" collapsed="false">
      <c r="B24973" s="0" t="s">
        <v>286</v>
      </c>
      <c r="C24973" s="0" t="s">
        <v>10182</v>
      </c>
      <c r="E24973" s="0" t="s">
        <v>142</v>
      </c>
      <c r="F24973" s="0" t="s">
        <v>10183</v>
      </c>
      <c r="H24973" s="0" t="s">
        <v>706</v>
      </c>
      <c r="I24973" s="0" t="s">
        <v>7678</v>
      </c>
    </row>
    <row r="24975" customFormat="false" ht="12.8" hidden="false" customHeight="false" outlineLevel="0" collapsed="false">
      <c r="A24975" s="0" t="s">
        <v>10184</v>
      </c>
      <c r="B24975" s="0" t="str">
        <f aca="false">HYPERLINK("https://lindat.mff.cuni.cz/services/teitok/pdtc10/index.php?action=vallex&amp;frame=v-w3280f2", "otřásat (v-w3280f2)")</f>
        <v>otřásat (v-w3280f2)</v>
      </c>
      <c r="E24975" s="0" t="str">
        <f aca="false">HYPERLINK("https://lindat.mff.cuni.cz/services/SynSemClass40/SynSemClass40.html?veclass=vec00466#vec00466-ces-cm00004", "vec00466")</f>
        <v>vec00466</v>
      </c>
      <c r="F24975" s="0" t="s">
        <v>10179</v>
      </c>
    </row>
    <row r="24976" customFormat="false" ht="12.8" hidden="false" customHeight="false" outlineLevel="0" collapsed="false">
      <c r="B24976" s="0" t="s">
        <v>1</v>
      </c>
      <c r="C24976" s="0" t="s">
        <v>3241</v>
      </c>
      <c r="E24976" s="0" t="s">
        <v>375</v>
      </c>
      <c r="F24976" s="0" t="s">
        <v>10181</v>
      </c>
    </row>
    <row r="24977" customFormat="false" ht="12.8" hidden="false" customHeight="false" outlineLevel="0" collapsed="false">
      <c r="B24977" s="0" t="s">
        <v>286</v>
      </c>
      <c r="C24977" s="0" t="s">
        <v>10185</v>
      </c>
      <c r="E24977" s="0" t="s">
        <v>142</v>
      </c>
      <c r="F24977" s="0" t="s">
        <v>10183</v>
      </c>
    </row>
    <row r="24979" customFormat="false" ht="12.8" hidden="false" customHeight="false" outlineLevel="0" collapsed="false">
      <c r="A24979" s="0" t="s">
        <v>10186</v>
      </c>
      <c r="B24979" s="0" t="str">
        <f aca="false">HYPERLINK("https://lindat.mff.cuni.cz/services/teitok/pdtc10/index.php?action=vallex&amp;frame=v-w11327f1", "otřásat se (v-w11327f1)")</f>
        <v>otřásat se (v-w11327f1)</v>
      </c>
      <c r="E24979" s="0" t="str">
        <f aca="false">HYPERLINK("https://lindat.mff.cuni.cz/services/SynSemClass40/SynSemClass40.html?veclass=vec00937#vec00937-ces-cm00004", "vec00937")</f>
        <v>vec00937</v>
      </c>
      <c r="F24979" s="0" t="s">
        <v>10187</v>
      </c>
    </row>
    <row r="24980" customFormat="false" ht="12.8" hidden="false" customHeight="false" outlineLevel="0" collapsed="false">
      <c r="B24980" s="0" t="s">
        <v>1</v>
      </c>
      <c r="C24980" s="0" t="s">
        <v>10188</v>
      </c>
      <c r="E24980" s="0" t="s">
        <v>266</v>
      </c>
      <c r="F24980" s="0" t="s">
        <v>10189</v>
      </c>
    </row>
    <row r="24982" customFormat="false" ht="12.8" hidden="false" customHeight="false" outlineLevel="0" collapsed="false">
      <c r="A24982" s="0" t="s">
        <v>10190</v>
      </c>
      <c r="B24982" s="0" t="str">
        <f aca="false">HYPERLINK("https://lindat.mff.cuni.cz/services/teitok/pdtc10/index.php?action=vallex&amp;frame=v-w3281f3", "otřást (v-w3281f3)")</f>
        <v>otřást (v-w3281f3)</v>
      </c>
    </row>
    <row r="24983" customFormat="false" ht="12.8" hidden="false" customHeight="false" outlineLevel="0" collapsed="false">
      <c r="B24983" s="0" t="s">
        <v>1</v>
      </c>
    </row>
    <row r="24984" customFormat="false" ht="12.8" hidden="false" customHeight="false" outlineLevel="0" collapsed="false">
      <c r="B24984" s="0" t="s">
        <v>8</v>
      </c>
    </row>
    <row r="24985" customFormat="false" ht="12.8" hidden="false" customHeight="false" outlineLevel="0" collapsed="false">
      <c r="B24985" s="0" t="s">
        <v>631</v>
      </c>
    </row>
    <row r="24987" customFormat="false" ht="12.8" hidden="false" customHeight="false" outlineLevel="0" collapsed="false">
      <c r="A24987" s="0" t="s">
        <v>10191</v>
      </c>
      <c r="B24987" s="0" t="str">
        <f aca="false">HYPERLINK("https://lindat.mff.cuni.cz/services/teitok/pdtc10/index.php?action=vallex&amp;frame=v-w3281f1", "otřást (v-w3281f1)")</f>
        <v>otřást (v-w3281f1)</v>
      </c>
      <c r="E24987" s="0" t="str">
        <f aca="false">HYPERLINK("https://lindat.mff.cuni.cz/services/SynSemClass40/SynSemClass40.html?veclass=vec00466#vec00466-ces-cm00001", "vec00466")</f>
        <v>vec00466</v>
      </c>
      <c r="F24987" s="0" t="s">
        <v>10179</v>
      </c>
      <c r="H24987" s="0" t="str">
        <f aca="false">HYPERLINK("https://lindat.mff.cuni.cz/services/SynSemClass40/SynSemClass40.html?veclass=vec01510#vec01510-ces-cm00018", "vec01510")</f>
        <v>vec01510</v>
      </c>
      <c r="I24987" s="0" t="s">
        <v>7671</v>
      </c>
    </row>
    <row r="24988" customFormat="false" ht="12.8" hidden="false" customHeight="false" outlineLevel="0" collapsed="false">
      <c r="B24988" s="0" t="s">
        <v>1</v>
      </c>
      <c r="C24988" s="0" t="s">
        <v>10180</v>
      </c>
      <c r="E24988" s="0" t="s">
        <v>375</v>
      </c>
      <c r="F24988" s="0" t="s">
        <v>10181</v>
      </c>
      <c r="H24988" s="0" t="s">
        <v>76</v>
      </c>
      <c r="I24988" s="0" t="s">
        <v>7674</v>
      </c>
    </row>
    <row r="24989" customFormat="false" ht="12.8" hidden="false" customHeight="false" outlineLevel="0" collapsed="false">
      <c r="B24989" s="0" t="s">
        <v>286</v>
      </c>
      <c r="C24989" s="0" t="s">
        <v>10182</v>
      </c>
      <c r="E24989" s="0" t="s">
        <v>142</v>
      </c>
      <c r="F24989" s="0" t="s">
        <v>10183</v>
      </c>
      <c r="H24989" s="0" t="s">
        <v>706</v>
      </c>
      <c r="I24989" s="0" t="s">
        <v>7678</v>
      </c>
    </row>
    <row r="24991" customFormat="false" ht="12.8" hidden="false" customHeight="false" outlineLevel="0" collapsed="false">
      <c r="A24991" s="0" t="s">
        <v>10192</v>
      </c>
      <c r="B24991" s="0" t="str">
        <f aca="false">HYPERLINK("https://lindat.mff.cuni.cz/services/teitok/pdtc10/index.php?action=vallex&amp;frame=v-w3281f2", "otřást (v-w3281f2)")</f>
        <v>otřást (v-w3281f2)</v>
      </c>
      <c r="E24991" s="0" t="str">
        <f aca="false">HYPERLINK("https://lindat.mff.cuni.cz/services/SynSemClass40/SynSemClass40.html?veclass=vec00466#vec00466-ces-cm00006", "vec00466")</f>
        <v>vec00466</v>
      </c>
      <c r="F24991" s="0" t="s">
        <v>10179</v>
      </c>
    </row>
    <row r="24992" customFormat="false" ht="12.8" hidden="false" customHeight="false" outlineLevel="0" collapsed="false">
      <c r="B24992" s="0" t="s">
        <v>1</v>
      </c>
      <c r="C24992" s="0" t="s">
        <v>3241</v>
      </c>
      <c r="E24992" s="0" t="s">
        <v>375</v>
      </c>
      <c r="F24992" s="0" t="s">
        <v>10181</v>
      </c>
    </row>
    <row r="24993" customFormat="false" ht="12.8" hidden="false" customHeight="false" outlineLevel="0" collapsed="false">
      <c r="B24993" s="0" t="s">
        <v>286</v>
      </c>
      <c r="C24993" s="0" t="s">
        <v>10185</v>
      </c>
      <c r="E24993" s="0" t="s">
        <v>142</v>
      </c>
      <c r="F24993" s="0" t="s">
        <v>10183</v>
      </c>
    </row>
    <row r="24995" customFormat="false" ht="12.8" hidden="false" customHeight="false" outlineLevel="0" collapsed="false">
      <c r="A24995" s="0" t="s">
        <v>10193</v>
      </c>
      <c r="B24995" s="0" t="str">
        <f aca="false">HYPERLINK("https://lindat.mff.cuni.cz/services/teitok/pdtc10/index.php?action=vallex&amp;frame=v-w3281f5_ZU", "otřást (v-w3281f5_ZU)")</f>
        <v>otřást (v-w3281f5_ZU)</v>
      </c>
    </row>
    <row r="24996" customFormat="false" ht="12.8" hidden="false" customHeight="false" outlineLevel="0" collapsed="false">
      <c r="B24996" s="0" t="s">
        <v>1</v>
      </c>
    </row>
    <row r="24997" customFormat="false" ht="12.8" hidden="false" customHeight="false" outlineLevel="0" collapsed="false">
      <c r="B24997" s="0" t="s">
        <v>286</v>
      </c>
    </row>
    <row r="24999" customFormat="false" ht="12.8" hidden="false" customHeight="false" outlineLevel="0" collapsed="false">
      <c r="A24999" s="0" t="s">
        <v>10193</v>
      </c>
      <c r="B24999" s="0" t="str">
        <f aca="false">HYPERLINK("https://lindat.mff.cuni.cz/services/teitok/pdtc10/index.php?action=vallex&amp;frame=v-w3281f4_ZU", "otřást (v-w3281f4_ZU) - substituted with v-w3281f5_ZU")</f>
        <v>otřást (v-w3281f4_ZU) - substituted with v-w3281f5_ZU</v>
      </c>
    </row>
    <row r="25000" customFormat="false" ht="12.8" hidden="false" customHeight="false" outlineLevel="0" collapsed="false">
      <c r="B25000" s="0" t="s">
        <v>1</v>
      </c>
    </row>
    <row r="25001" customFormat="false" ht="12.8" hidden="false" customHeight="false" outlineLevel="0" collapsed="false">
      <c r="B25001" s="0" t="s">
        <v>286</v>
      </c>
    </row>
    <row r="25003" customFormat="false" ht="12.8" hidden="false" customHeight="false" outlineLevel="0" collapsed="false">
      <c r="A25003" s="0" t="s">
        <v>10194</v>
      </c>
      <c r="B25003" s="0" t="str">
        <f aca="false">HYPERLINK("https://lindat.mff.cuni.cz/services/teitok/pdtc10/index.php?action=vallex&amp;frame=v-w11544_ZUf1_ZU", "otřást se (v-w11544_ZUf1_ZU)")</f>
        <v>otřást se (v-w11544_ZUf1_ZU)</v>
      </c>
      <c r="E25003" s="0" t="str">
        <f aca="false">HYPERLINK("https://lindat.mff.cuni.cz/services/SynSemClass40/SynSemClass40.html?veclass=vec00937#vec00937-ces-cm00002", "vec00937")</f>
        <v>vec00937</v>
      </c>
      <c r="F25003" s="0" t="s">
        <v>10187</v>
      </c>
    </row>
    <row r="25004" customFormat="false" ht="12.8" hidden="false" customHeight="false" outlineLevel="0" collapsed="false">
      <c r="B25004" s="0" t="s">
        <v>1</v>
      </c>
      <c r="C25004" s="0" t="s">
        <v>10188</v>
      </c>
      <c r="E25004" s="0" t="s">
        <v>266</v>
      </c>
      <c r="F25004" s="0" t="s">
        <v>10189</v>
      </c>
    </row>
    <row r="25006" customFormat="false" ht="12.8" hidden="false" customHeight="false" outlineLevel="0" collapsed="false">
      <c r="A25006" s="0" t="s">
        <v>10195</v>
      </c>
      <c r="B25006" s="0" t="str">
        <f aca="false">HYPERLINK("https://lindat.mff.cuni.cz/services/teitok/pdtc10/index.php?action=vallex&amp;frame=v-w11115f2", "otřít (v-w11115f2)")</f>
        <v>otřít (v-w11115f2)</v>
      </c>
      <c r="E25006" s="0" t="str">
        <f aca="false">HYPERLINK("https://lindat.mff.cuni.cz/services/SynSemClass40/SynSemClass40.html?veclass=vec00552#vec00552-ces-cm00014", "vec00552")</f>
        <v>vec00552</v>
      </c>
      <c r="F25006" s="0" t="s">
        <v>5992</v>
      </c>
    </row>
    <row r="25007" customFormat="false" ht="12.8" hidden="false" customHeight="false" outlineLevel="0" collapsed="false">
      <c r="B25007" s="0" t="s">
        <v>1</v>
      </c>
      <c r="C25007" s="0" t="s">
        <v>239</v>
      </c>
      <c r="E25007" s="0" t="s">
        <v>31</v>
      </c>
      <c r="F25007" s="0" t="s">
        <v>5993</v>
      </c>
    </row>
    <row r="25008" customFormat="false" ht="12.8" hidden="false" customHeight="false" outlineLevel="0" collapsed="false">
      <c r="B25008" s="0" t="s">
        <v>8</v>
      </c>
      <c r="C25008" s="0" t="s">
        <v>5994</v>
      </c>
      <c r="E25008" s="0" t="s">
        <v>34</v>
      </c>
      <c r="F25008" s="0" t="s">
        <v>5995</v>
      </c>
    </row>
    <row r="25010" customFormat="false" ht="12.8" hidden="false" customHeight="false" outlineLevel="0" collapsed="false">
      <c r="A25010" s="0" t="s">
        <v>10196</v>
      </c>
      <c r="B25010" s="0" t="str">
        <f aca="false">HYPERLINK("https://lindat.mff.cuni.cz/services/teitok/pdtc10/index.php?action=vallex&amp;frame=v-w11332f1", "ovdovět (v-w11332f1)")</f>
        <v>ovdovět (v-w11332f1)</v>
      </c>
    </row>
    <row r="25011" customFormat="false" ht="12.8" hidden="false" customHeight="false" outlineLevel="0" collapsed="false">
      <c r="B25011" s="0" t="s">
        <v>1</v>
      </c>
    </row>
    <row r="25013" customFormat="false" ht="12.8" hidden="false" customHeight="false" outlineLevel="0" collapsed="false">
      <c r="A25013" s="0" t="s">
        <v>10197</v>
      </c>
      <c r="B25013" s="0" t="str">
        <f aca="false">HYPERLINK("https://lindat.mff.cuni.cz/services/teitok/pdtc10/index.php?action=vallex&amp;frame=v-w3305f1", "ovlivnit (v-w3305f1)")</f>
        <v>ovlivnit (v-w3305f1)</v>
      </c>
      <c r="E25013" s="0" t="str">
        <f aca="false">HYPERLINK("https://lindat.mff.cuni.cz/services/SynSemClass40/SynSemClass40.html?veclass=vec00254#vec00254-ces-cm00001", "vec00254")</f>
        <v>vec00254</v>
      </c>
      <c r="F25013" s="0" t="s">
        <v>3007</v>
      </c>
    </row>
    <row r="25014" customFormat="false" ht="12.8" hidden="false" customHeight="false" outlineLevel="0" collapsed="false">
      <c r="B25014" s="0" t="s">
        <v>1</v>
      </c>
      <c r="C25014" s="0" t="s">
        <v>6199</v>
      </c>
      <c r="E25014" s="0" t="s">
        <v>3010</v>
      </c>
      <c r="F25014" s="0" t="s">
        <v>3011</v>
      </c>
    </row>
    <row r="25015" customFormat="false" ht="12.8" hidden="false" customHeight="false" outlineLevel="0" collapsed="false">
      <c r="B25015" s="0" t="s">
        <v>10198</v>
      </c>
      <c r="C25015" s="0" t="s">
        <v>6200</v>
      </c>
      <c r="E25015" s="0" t="s">
        <v>142</v>
      </c>
      <c r="F25015" s="0" t="s">
        <v>3014</v>
      </c>
    </row>
    <row r="25017" customFormat="false" ht="12.8" hidden="false" customHeight="false" outlineLevel="0" collapsed="false">
      <c r="A25017" s="0" t="s">
        <v>10199</v>
      </c>
      <c r="B25017" s="0" t="str">
        <f aca="false">HYPERLINK("https://lindat.mff.cuni.cz/services/teitok/pdtc10/index.php?action=vallex&amp;frame=v-w3309f1", "ovlivňovat (v-w3309f1)")</f>
        <v>ovlivňovat (v-w3309f1)</v>
      </c>
      <c r="E25017" s="0" t="str">
        <f aca="false">HYPERLINK("https://lindat.mff.cuni.cz/services/SynSemClass40/SynSemClass40.html?veclass=vec00254#vec00254-ces-cm00010", "vec00254")</f>
        <v>vec00254</v>
      </c>
      <c r="F25017" s="0" t="s">
        <v>3007</v>
      </c>
    </row>
    <row r="25018" customFormat="false" ht="12.8" hidden="false" customHeight="false" outlineLevel="0" collapsed="false">
      <c r="B25018" s="0" t="s">
        <v>1</v>
      </c>
      <c r="C25018" s="0" t="s">
        <v>6199</v>
      </c>
      <c r="E25018" s="0" t="s">
        <v>3010</v>
      </c>
      <c r="F25018" s="0" t="s">
        <v>3011</v>
      </c>
    </row>
    <row r="25019" customFormat="false" ht="12.8" hidden="false" customHeight="false" outlineLevel="0" collapsed="false">
      <c r="B25019" s="0" t="s">
        <v>10198</v>
      </c>
      <c r="C25019" s="0" t="s">
        <v>6200</v>
      </c>
      <c r="E25019" s="0" t="s">
        <v>142</v>
      </c>
      <c r="F25019" s="0" t="s">
        <v>3014</v>
      </c>
    </row>
    <row r="25021" customFormat="false" ht="12.8" hidden="false" customHeight="false" outlineLevel="0" collapsed="false">
      <c r="A25021" s="0" t="s">
        <v>10200</v>
      </c>
      <c r="B25021" s="0" t="str">
        <f aca="false">HYPERLINK("https://lindat.mff.cuni.cz/services/teitok/pdtc10/index.php?action=vallex&amp;frame=v-w3299f1", "ovládat (v-w3299f1)")</f>
        <v>ovládat (v-w3299f1)</v>
      </c>
      <c r="E25021" s="0" t="str">
        <f aca="false">HYPERLINK("https://lindat.mff.cuni.cz/services/SynSemClass40/SynSemClass40.html?veclass=vec01455#vec01455-ces-cm00005", "vec01455")</f>
        <v>vec01455</v>
      </c>
      <c r="F25021" s="0" t="s">
        <v>888</v>
      </c>
    </row>
    <row r="25022" customFormat="false" ht="12.8" hidden="false" customHeight="false" outlineLevel="0" collapsed="false">
      <c r="B25022" s="0" t="s">
        <v>1</v>
      </c>
      <c r="C25022" s="0" t="s">
        <v>889</v>
      </c>
      <c r="E25022" s="0" t="s">
        <v>11</v>
      </c>
      <c r="F25022" s="0" t="s">
        <v>890</v>
      </c>
    </row>
    <row r="25023" customFormat="false" ht="12.8" hidden="false" customHeight="false" outlineLevel="0" collapsed="false">
      <c r="B25023" s="0" t="s">
        <v>8</v>
      </c>
      <c r="C25023" s="0" t="s">
        <v>892</v>
      </c>
      <c r="E25023" s="0" t="s">
        <v>893</v>
      </c>
      <c r="F25023" s="0" t="s">
        <v>894</v>
      </c>
    </row>
    <row r="25025" customFormat="false" ht="12.8" hidden="false" customHeight="false" outlineLevel="0" collapsed="false">
      <c r="A25025" s="0" t="s">
        <v>10201</v>
      </c>
      <c r="B25025" s="0" t="str">
        <f aca="false">HYPERLINK("https://lindat.mff.cuni.cz/services/teitok/pdtc10/index.php?action=vallex&amp;frame=v-w3299f2", "ovládat (v-w3299f2)")</f>
        <v>ovládat (v-w3299f2)</v>
      </c>
      <c r="E25025" s="0" t="str">
        <f aca="false">HYPERLINK("https://lindat.mff.cuni.cz/services/SynSemClass40/SynSemClass40.html?veclass=vec00302#vec00302-ces-cm00022", "vec00302")</f>
        <v>vec00302</v>
      </c>
      <c r="F25025" s="0" t="s">
        <v>1991</v>
      </c>
    </row>
    <row r="25026" customFormat="false" ht="12.8" hidden="false" customHeight="false" outlineLevel="0" collapsed="false">
      <c r="B25026" s="0" t="s">
        <v>1</v>
      </c>
      <c r="C25026" s="0" t="s">
        <v>1992</v>
      </c>
      <c r="E25026" s="0" t="s">
        <v>206</v>
      </c>
      <c r="F25026" s="0" t="s">
        <v>1993</v>
      </c>
    </row>
    <row r="25027" customFormat="false" ht="12.8" hidden="false" customHeight="false" outlineLevel="0" collapsed="false">
      <c r="B25027" s="0" t="s">
        <v>8</v>
      </c>
      <c r="C25027" s="0" t="s">
        <v>1994</v>
      </c>
      <c r="E25027" s="0" t="s">
        <v>1995</v>
      </c>
      <c r="F25027" s="0" t="s">
        <v>1996</v>
      </c>
    </row>
    <row r="25029" customFormat="false" ht="12.8" hidden="false" customHeight="false" outlineLevel="0" collapsed="false">
      <c r="A25029" s="0" t="s">
        <v>10202</v>
      </c>
      <c r="B25029" s="0" t="str">
        <f aca="false">HYPERLINK("https://lindat.mff.cuni.cz/services/teitok/pdtc10/index.php?action=vallex&amp;frame=v-w3299f3", "ovládat (v-w3299f3)")</f>
        <v>ovládat (v-w3299f3)</v>
      </c>
      <c r="E25029" s="0" t="str">
        <f aca="false">HYPERLINK("https://lindat.mff.cuni.cz/services/SynSemClass40/SynSemClass40.html?veclass=vec00302#vec00302-ces-cm00023", "vec00302")</f>
        <v>vec00302</v>
      </c>
      <c r="F25029" s="0" t="s">
        <v>1991</v>
      </c>
    </row>
    <row r="25030" customFormat="false" ht="12.8" hidden="false" customHeight="false" outlineLevel="0" collapsed="false">
      <c r="B25030" s="0" t="s">
        <v>1</v>
      </c>
      <c r="C25030" s="0" t="s">
        <v>1992</v>
      </c>
      <c r="E25030" s="0" t="s">
        <v>206</v>
      </c>
      <c r="F25030" s="0" t="s">
        <v>1993</v>
      </c>
    </row>
    <row r="25031" customFormat="false" ht="12.8" hidden="false" customHeight="false" outlineLevel="0" collapsed="false">
      <c r="B25031" s="0" t="s">
        <v>8</v>
      </c>
      <c r="C25031" s="0" t="s">
        <v>1994</v>
      </c>
      <c r="E25031" s="0" t="s">
        <v>1995</v>
      </c>
      <c r="F25031" s="0" t="s">
        <v>1996</v>
      </c>
    </row>
    <row r="25033" customFormat="false" ht="12.8" hidden="false" customHeight="false" outlineLevel="0" collapsed="false">
      <c r="A25033" s="0" t="s">
        <v>10203</v>
      </c>
      <c r="B25033" s="0" t="str">
        <f aca="false">HYPERLINK("https://lindat.mff.cuni.cz/services/teitok/pdtc10/index.php?action=vallex&amp;frame=v-w3301f1", "ovládnout (v-w3301f1)")</f>
        <v>ovládnout (v-w3301f1)</v>
      </c>
      <c r="E25033" s="0" t="str">
        <f aca="false">HYPERLINK("https://lindat.mff.cuni.cz/services/SynSemClass40/SynSemClass40.html?veclass=vec01065#vec01065-ces-cm00001", "vec01065")</f>
        <v>vec01065</v>
      </c>
      <c r="F25033" s="0" t="s">
        <v>10204</v>
      </c>
    </row>
    <row r="25034" customFormat="false" ht="12.8" hidden="false" customHeight="false" outlineLevel="0" collapsed="false">
      <c r="B25034" s="0" t="s">
        <v>1</v>
      </c>
      <c r="C25034" s="0" t="s">
        <v>825</v>
      </c>
      <c r="E25034" s="0" t="s">
        <v>621</v>
      </c>
      <c r="F25034" s="0" t="s">
        <v>10205</v>
      </c>
    </row>
    <row r="25035" customFormat="false" ht="12.8" hidden="false" customHeight="false" outlineLevel="0" collapsed="false">
      <c r="B25035" s="0" t="s">
        <v>8</v>
      </c>
      <c r="C25035" s="0" t="s">
        <v>639</v>
      </c>
      <c r="E25035" s="0" t="s">
        <v>7874</v>
      </c>
      <c r="F25035" s="0" t="s">
        <v>10206</v>
      </c>
    </row>
    <row r="25037" customFormat="false" ht="12.8" hidden="false" customHeight="false" outlineLevel="0" collapsed="false">
      <c r="A25037" s="0" t="s">
        <v>10207</v>
      </c>
      <c r="B25037" s="0" t="str">
        <f aca="false">HYPERLINK("https://lindat.mff.cuni.cz/services/teitok/pdtc10/index.php?action=vallex&amp;frame=v-w3301f3", "ovládnout (v-w3301f3)")</f>
        <v>ovládnout (v-w3301f3)</v>
      </c>
    </row>
    <row r="25038" customFormat="false" ht="12.8" hidden="false" customHeight="false" outlineLevel="0" collapsed="false">
      <c r="B25038" s="0" t="s">
        <v>1</v>
      </c>
    </row>
    <row r="25039" customFormat="false" ht="12.8" hidden="false" customHeight="false" outlineLevel="0" collapsed="false">
      <c r="B25039" s="0" t="s">
        <v>8</v>
      </c>
    </row>
    <row r="25041" customFormat="false" ht="12.8" hidden="false" customHeight="false" outlineLevel="0" collapsed="false">
      <c r="A25041" s="0" t="s">
        <v>10208</v>
      </c>
      <c r="B25041" s="0" t="str">
        <f aca="false">HYPERLINK("https://lindat.mff.cuni.cz/services/teitok/pdtc10/index.php?action=vallex&amp;frame=v-w3301f2", "ovládnout (v-w3301f2)")</f>
        <v>ovládnout (v-w3301f2)</v>
      </c>
      <c r="E25041" s="0" t="str">
        <f aca="false">HYPERLINK("https://lindat.mff.cuni.cz/services/SynSemClass40/SynSemClass40.html?veclass=vec00302#vec00302-ces-cm00025", "vec00302")</f>
        <v>vec00302</v>
      </c>
      <c r="F25041" s="0" t="s">
        <v>1991</v>
      </c>
    </row>
    <row r="25042" customFormat="false" ht="12.8" hidden="false" customHeight="false" outlineLevel="0" collapsed="false">
      <c r="B25042" s="0" t="s">
        <v>1</v>
      </c>
      <c r="C25042" s="0" t="s">
        <v>1992</v>
      </c>
      <c r="E25042" s="0" t="s">
        <v>206</v>
      </c>
      <c r="F25042" s="0" t="s">
        <v>1993</v>
      </c>
    </row>
    <row r="25043" customFormat="false" ht="12.8" hidden="false" customHeight="false" outlineLevel="0" collapsed="false">
      <c r="B25043" s="0" t="s">
        <v>8</v>
      </c>
      <c r="C25043" s="0" t="s">
        <v>1994</v>
      </c>
      <c r="E25043" s="0" t="s">
        <v>1995</v>
      </c>
      <c r="F25043" s="0" t="s">
        <v>1996</v>
      </c>
    </row>
    <row r="25045" customFormat="false" ht="12.8" hidden="false" customHeight="false" outlineLevel="0" collapsed="false">
      <c r="A25045" s="0" t="s">
        <v>10209</v>
      </c>
      <c r="B25045" s="0" t="str">
        <f aca="false">HYPERLINK("https://lindat.mff.cuni.cz/services/teitok/pdtc10/index.php?action=vallex&amp;frame=v-w3295f1", "ověsit (v-w3295f1)")</f>
        <v>ověsit (v-w3295f1)</v>
      </c>
    </row>
    <row r="25046" customFormat="false" ht="12.8" hidden="false" customHeight="false" outlineLevel="0" collapsed="false">
      <c r="B25046" s="0" t="s">
        <v>1</v>
      </c>
    </row>
    <row r="25047" customFormat="false" ht="12.8" hidden="false" customHeight="false" outlineLevel="0" collapsed="false">
      <c r="B25047" s="0" t="s">
        <v>8</v>
      </c>
    </row>
    <row r="25049" customFormat="false" ht="12.8" hidden="false" customHeight="false" outlineLevel="0" collapsed="false">
      <c r="A25049" s="0" t="s">
        <v>10210</v>
      </c>
      <c r="B25049" s="0" t="str">
        <f aca="false">HYPERLINK("https://lindat.mff.cuni.cz/services/teitok/pdtc10/index.php?action=vallex&amp;frame=v-w3291f1", "ověřit (v-w3291f1)")</f>
        <v>ověřit (v-w3291f1)</v>
      </c>
      <c r="E25049" s="0" t="str">
        <f aca="false">HYPERLINK("https://lindat.mff.cuni.cz/services/SynSemClass40/SynSemClass40.html?veclass=vec00090#vec00090-ces-cm00064", "vec00090")</f>
        <v>vec00090</v>
      </c>
      <c r="F25049" s="0" t="s">
        <v>113</v>
      </c>
      <c r="H25049" s="0" t="str">
        <f aca="false">HYPERLINK("https://lindat.mff.cuni.cz/services/SynSemClass40/SynSemClass40.html?veclass=vec01436#vec01436-ces-cm00001", "vec01436")</f>
        <v>vec01436</v>
      </c>
      <c r="I25049" s="0" t="s">
        <v>10211</v>
      </c>
    </row>
    <row r="25050" customFormat="false" ht="12.8" hidden="false" customHeight="false" outlineLevel="0" collapsed="false">
      <c r="B25050" s="0" t="s">
        <v>1</v>
      </c>
      <c r="C25050" s="0" t="s">
        <v>10212</v>
      </c>
      <c r="E25050" s="0" t="s">
        <v>115</v>
      </c>
      <c r="F25050" s="0" t="s">
        <v>116</v>
      </c>
      <c r="H25050" s="0" t="s">
        <v>621</v>
      </c>
      <c r="I25050" s="0" t="s">
        <v>10213</v>
      </c>
    </row>
    <row r="25051" customFormat="false" ht="12.8" hidden="false" customHeight="false" outlineLevel="0" collapsed="false">
      <c r="B25051" s="0" t="s">
        <v>10214</v>
      </c>
      <c r="C25051" s="0" t="s">
        <v>10215</v>
      </c>
      <c r="E25051" s="0" t="s">
        <v>119</v>
      </c>
      <c r="F25051" s="0" t="s">
        <v>120</v>
      </c>
      <c r="H25051" s="0" t="s">
        <v>218</v>
      </c>
      <c r="I25051" s="0" t="s">
        <v>10216</v>
      </c>
    </row>
    <row r="25053" customFormat="false" ht="12.8" hidden="false" customHeight="false" outlineLevel="0" collapsed="false">
      <c r="A25053" s="0" t="s">
        <v>10217</v>
      </c>
      <c r="B25053" s="0" t="str">
        <f aca="false">HYPERLINK("https://lindat.mff.cuni.cz/services/teitok/pdtc10/index.php?action=vallex&amp;frame=v-w3293f1", "ověřovat (v-w3293f1)")</f>
        <v>ověřovat (v-w3293f1)</v>
      </c>
      <c r="E25053" s="0" t="str">
        <f aca="false">HYPERLINK("https://lindat.mff.cuni.cz/services/SynSemClass40/SynSemClass40.html?veclass=vec00090#vec00090-ces-cm00093", "vec00090")</f>
        <v>vec00090</v>
      </c>
      <c r="F25053" s="0" t="s">
        <v>113</v>
      </c>
      <c r="H25053" s="0" t="str">
        <f aca="false">HYPERLINK("https://lindat.mff.cuni.cz/services/SynSemClass40/SynSemClass40.html?veclass=vec01436#vec01436-ces-cm00007", "vec01436")</f>
        <v>vec01436</v>
      </c>
      <c r="I25053" s="0" t="s">
        <v>10211</v>
      </c>
    </row>
    <row r="25054" customFormat="false" ht="12.8" hidden="false" customHeight="false" outlineLevel="0" collapsed="false">
      <c r="B25054" s="0" t="s">
        <v>1</v>
      </c>
      <c r="C25054" s="0" t="s">
        <v>10212</v>
      </c>
      <c r="E25054" s="0" t="s">
        <v>115</v>
      </c>
      <c r="F25054" s="0" t="s">
        <v>116</v>
      </c>
      <c r="H25054" s="0" t="s">
        <v>621</v>
      </c>
      <c r="I25054" s="0" t="s">
        <v>10213</v>
      </c>
    </row>
    <row r="25055" customFormat="false" ht="12.8" hidden="false" customHeight="false" outlineLevel="0" collapsed="false">
      <c r="B25055" s="0" t="s">
        <v>10214</v>
      </c>
      <c r="C25055" s="0" t="s">
        <v>10215</v>
      </c>
      <c r="E25055" s="0" t="s">
        <v>119</v>
      </c>
      <c r="F25055" s="0" t="s">
        <v>120</v>
      </c>
      <c r="H25055" s="0" t="s">
        <v>218</v>
      </c>
      <c r="I25055" s="0" t="s">
        <v>10216</v>
      </c>
    </row>
    <row r="25057" customFormat="false" ht="12.8" hidden="false" customHeight="false" outlineLevel="0" collapsed="false">
      <c r="A25057" s="0" t="s">
        <v>10218</v>
      </c>
      <c r="B25057" s="0" t="str">
        <f aca="false">HYPERLINK("https://lindat.mff.cuni.cz/services/teitok/pdtc10/index.php?action=vallex&amp;frame=v-w12368_MMf1_MM", "oxeroxovat (v-w12368_MMf1_MM)")</f>
        <v>oxeroxovat (v-w12368_MMf1_MM)</v>
      </c>
    </row>
    <row r="25058" customFormat="false" ht="12.8" hidden="false" customHeight="false" outlineLevel="0" collapsed="false">
      <c r="B25058" s="0" t="s">
        <v>1</v>
      </c>
    </row>
    <row r="25059" customFormat="false" ht="12.8" hidden="false" customHeight="false" outlineLevel="0" collapsed="false">
      <c r="B25059" s="0" t="s">
        <v>8</v>
      </c>
    </row>
    <row r="25061" customFormat="false" ht="12.8" hidden="false" customHeight="false" outlineLevel="0" collapsed="false">
      <c r="A25061" s="0" t="s">
        <v>10219</v>
      </c>
      <c r="B25061" s="0" t="str">
        <f aca="false">HYPERLINK("https://lindat.mff.cuni.cz/services/teitok/pdtc10/index.php?action=vallex&amp;frame=v-w3313f1", "ozbrojit (v-w3313f1)")</f>
        <v>ozbrojit (v-w3313f1)</v>
      </c>
    </row>
    <row r="25062" customFormat="false" ht="12.8" hidden="false" customHeight="false" outlineLevel="0" collapsed="false">
      <c r="B25062" s="0" t="s">
        <v>1</v>
      </c>
    </row>
    <row r="25063" customFormat="false" ht="12.8" hidden="false" customHeight="false" outlineLevel="0" collapsed="false">
      <c r="B25063" s="0" t="s">
        <v>8</v>
      </c>
    </row>
    <row r="25064" customFormat="false" ht="12.8" hidden="false" customHeight="false" outlineLevel="0" collapsed="false">
      <c r="B25064" s="0" t="s">
        <v>7045</v>
      </c>
    </row>
    <row r="25066" customFormat="false" ht="12.8" hidden="false" customHeight="false" outlineLevel="0" collapsed="false">
      <c r="A25066" s="0" t="s">
        <v>10220</v>
      </c>
      <c r="B25066" s="0" t="str">
        <f aca="false">HYPERLINK("https://lindat.mff.cuni.cz/services/teitok/pdtc10/index.php?action=vallex&amp;frame=v-w3316f1", "ozdobit (v-w3316f1)")</f>
        <v>ozdobit (v-w3316f1)</v>
      </c>
      <c r="E25066" s="0" t="str">
        <f aca="false">HYPERLINK("https://lindat.mff.cuni.cz/services/SynSemClass40/SynSemClass40.html?veclass=vec00972#vec00972-ces-cm00002", "vec00972")</f>
        <v>vec00972</v>
      </c>
      <c r="F25066" s="0" t="s">
        <v>10221</v>
      </c>
      <c r="H25066" s="0" t="str">
        <f aca="false">HYPERLINK("https://lindat.mff.cuni.cz/services/SynSemClass40/SynSemClass40.html?veclass=vec01363#vec01363-ces-cm00002", "vec01363")</f>
        <v>vec01363</v>
      </c>
      <c r="I25066" s="0" t="s">
        <v>7011</v>
      </c>
    </row>
    <row r="25067" customFormat="false" ht="12.8" hidden="false" customHeight="false" outlineLevel="0" collapsed="false">
      <c r="B25067" s="0" t="s">
        <v>1</v>
      </c>
      <c r="C25067" s="0" t="s">
        <v>825</v>
      </c>
      <c r="E25067" s="0" t="s">
        <v>31</v>
      </c>
      <c r="F25067" s="0" t="s">
        <v>2437</v>
      </c>
      <c r="H25067" s="0" t="s">
        <v>31</v>
      </c>
      <c r="I25067" s="0" t="s">
        <v>3001</v>
      </c>
    </row>
    <row r="25068" customFormat="false" ht="12.8" hidden="false" customHeight="false" outlineLevel="0" collapsed="false">
      <c r="B25068" s="0" t="s">
        <v>8</v>
      </c>
      <c r="C25068" s="0" t="s">
        <v>2627</v>
      </c>
      <c r="E25068" s="0" t="s">
        <v>4782</v>
      </c>
      <c r="F25068" s="0" t="s">
        <v>10222</v>
      </c>
      <c r="H25068" s="0" t="s">
        <v>4782</v>
      </c>
      <c r="I25068" s="0" t="s">
        <v>7012</v>
      </c>
    </row>
    <row r="25070" customFormat="false" ht="12.8" hidden="false" customHeight="false" outlineLevel="0" collapsed="false">
      <c r="A25070" s="0" t="s">
        <v>10223</v>
      </c>
      <c r="B25070" s="0" t="str">
        <f aca="false">HYPERLINK("https://lindat.mff.cuni.cz/services/teitok/pdtc10/index.php?action=vallex&amp;frame=v-whsa_563hsa_564", "ozdravět (v-whsa_563hsa_564)")</f>
        <v>ozdravět (v-whsa_563hsa_564)</v>
      </c>
    </row>
    <row r="25071" customFormat="false" ht="12.8" hidden="false" customHeight="false" outlineLevel="0" collapsed="false">
      <c r="B25071" s="0" t="s">
        <v>1</v>
      </c>
    </row>
    <row r="25073" customFormat="false" ht="12.8" hidden="false" customHeight="false" outlineLevel="0" collapsed="false">
      <c r="A25073" s="0" t="s">
        <v>10224</v>
      </c>
      <c r="B25073" s="0" t="str">
        <f aca="false">HYPERLINK("https://lindat.mff.cuni.cz/services/teitok/pdtc10/index.php?action=vallex&amp;frame=v-w10841f2", "ozkoušet (v-w10841f2)")</f>
        <v>ozkoušet (v-w10841f2)</v>
      </c>
    </row>
    <row r="25074" customFormat="false" ht="12.8" hidden="false" customHeight="false" outlineLevel="0" collapsed="false">
      <c r="B25074" s="0" t="s">
        <v>1</v>
      </c>
    </row>
    <row r="25075" customFormat="false" ht="12.8" hidden="false" customHeight="false" outlineLevel="0" collapsed="false">
      <c r="B25075" s="0" t="s">
        <v>1838</v>
      </c>
    </row>
    <row r="25077" customFormat="false" ht="12.8" hidden="false" customHeight="false" outlineLevel="0" collapsed="false">
      <c r="A25077" s="0" t="s">
        <v>10225</v>
      </c>
      <c r="B25077" s="0" t="str">
        <f aca="false">HYPERLINK("https://lindat.mff.cuni.cz/services/teitok/pdtc10/index.php?action=vallex&amp;frame=v-w3330f2", "oznamovat (v-w3330f2)")</f>
        <v>oznamovat (v-w3330f2)</v>
      </c>
      <c r="E25077" s="0" t="str">
        <f aca="false">HYPERLINK("https://lindat.mff.cuni.cz/services/SynSemClass40/SynSemClass40.html?veclass=vec00060#vec00060-ces-cm00058", "vec00060")</f>
        <v>vec00060</v>
      </c>
      <c r="F25077" s="0" t="s">
        <v>213</v>
      </c>
    </row>
    <row r="25078" customFormat="false" ht="12.8" hidden="false" customHeight="false" outlineLevel="0" collapsed="false">
      <c r="B25078" s="0" t="s">
        <v>1</v>
      </c>
      <c r="C25078" s="0" t="s">
        <v>214</v>
      </c>
      <c r="E25078" s="0" t="s">
        <v>147</v>
      </c>
      <c r="F25078" s="0" t="s">
        <v>215</v>
      </c>
    </row>
    <row r="25079" customFormat="false" ht="12.8" hidden="false" customHeight="false" outlineLevel="0" collapsed="false">
      <c r="B25079" s="0" t="s">
        <v>216</v>
      </c>
      <c r="C25079" s="0" t="s">
        <v>217</v>
      </c>
      <c r="E25079" s="0" t="s">
        <v>218</v>
      </c>
      <c r="F25079" s="0" t="s">
        <v>219</v>
      </c>
    </row>
    <row r="25080" customFormat="false" ht="12.8" hidden="false" customHeight="false" outlineLevel="0" collapsed="false">
      <c r="B25080" s="0" t="s">
        <v>132</v>
      </c>
      <c r="C25080" s="0" t="s">
        <v>220</v>
      </c>
      <c r="E25080" s="0" t="s">
        <v>221</v>
      </c>
      <c r="F25080" s="0" t="s">
        <v>222</v>
      </c>
    </row>
    <row r="25082" customFormat="false" ht="12.8" hidden="false" customHeight="false" outlineLevel="0" collapsed="false">
      <c r="A25082" s="0" t="s">
        <v>10226</v>
      </c>
      <c r="B25082" s="0" t="str">
        <f aca="false">HYPERLINK("https://lindat.mff.cuni.cz/services/teitok/pdtc10/index.php?action=vallex&amp;frame=v-w3330f1", "oznamovat (v-w3330f1)")</f>
        <v>oznamovat (v-w3330f1)</v>
      </c>
      <c r="E25082" s="0" t="str">
        <f aca="false">HYPERLINK("https://lindat.mff.cuni.cz/services/SynSemClass40/SynSemClass40.html?veclass=vec00060#vec00060-ces-cm00057", "vec00060")</f>
        <v>vec00060</v>
      </c>
      <c r="F25082" s="0" t="s">
        <v>213</v>
      </c>
      <c r="H25082" s="0" t="str">
        <f aca="false">HYPERLINK("https://lindat.mff.cuni.cz/services/SynSemClass40/SynSemClass40.html?veclass=vec01529#vec01529-ces-cm00011", "vec01529")</f>
        <v>vec01529</v>
      </c>
      <c r="I25082" s="0" t="s">
        <v>10227</v>
      </c>
    </row>
    <row r="25083" customFormat="false" ht="12.8" hidden="false" customHeight="false" outlineLevel="0" collapsed="false">
      <c r="B25083" s="0" t="s">
        <v>1</v>
      </c>
      <c r="C25083" s="0" t="s">
        <v>10228</v>
      </c>
      <c r="E25083" s="0" t="s">
        <v>147</v>
      </c>
      <c r="F25083" s="0" t="s">
        <v>215</v>
      </c>
      <c r="H25083" s="0" t="s">
        <v>147</v>
      </c>
      <c r="I25083" s="0" t="s">
        <v>10229</v>
      </c>
    </row>
    <row r="25084" customFormat="false" ht="12.8" hidden="false" customHeight="false" outlineLevel="0" collapsed="false">
      <c r="B25084" s="0" t="s">
        <v>52</v>
      </c>
      <c r="C25084" s="0" t="s">
        <v>10230</v>
      </c>
      <c r="E25084" s="0" t="s">
        <v>221</v>
      </c>
      <c r="F25084" s="0" t="s">
        <v>222</v>
      </c>
      <c r="H25084" s="0" t="s">
        <v>221</v>
      </c>
      <c r="I25084" s="0" t="s">
        <v>10231</v>
      </c>
    </row>
    <row r="25085" customFormat="false" ht="12.8" hidden="false" customHeight="false" outlineLevel="0" collapsed="false">
      <c r="B25085" s="0" t="s">
        <v>6412</v>
      </c>
      <c r="C25085" s="0" t="s">
        <v>10232</v>
      </c>
      <c r="E25085" s="0" t="s">
        <v>2217</v>
      </c>
      <c r="F25085" s="0" t="s">
        <v>2218</v>
      </c>
      <c r="H25085" s="0" t="s">
        <v>2217</v>
      </c>
      <c r="I25085" s="0" t="s">
        <v>10233</v>
      </c>
    </row>
    <row r="25086" customFormat="false" ht="12.8" hidden="false" customHeight="false" outlineLevel="0" collapsed="false">
      <c r="B25086" s="0" t="s">
        <v>496</v>
      </c>
      <c r="C25086" s="0" t="s">
        <v>217</v>
      </c>
      <c r="E25086" s="0" t="s">
        <v>218</v>
      </c>
      <c r="F25086" s="0" t="s">
        <v>219</v>
      </c>
    </row>
    <row r="25088" customFormat="false" ht="12.8" hidden="false" customHeight="false" outlineLevel="0" collapsed="false">
      <c r="A25088" s="0" t="s">
        <v>10234</v>
      </c>
      <c r="B25088" s="0" t="str">
        <f aca="false">HYPERLINK("https://lindat.mff.cuni.cz/services/teitok/pdtc10/index.php?action=vallex&amp;frame=v-w3330f3", "oznamovat (v-w3330f3)")</f>
        <v>oznamovat (v-w3330f3)</v>
      </c>
      <c r="E25088" s="0" t="str">
        <f aca="false">HYPERLINK("https://lindat.mff.cuni.cz/services/SynSemClass40/SynSemClass40.html?veclass=vec00060#vec00060-ces-cm00441", "vec00060")</f>
        <v>vec00060</v>
      </c>
      <c r="F25088" s="0" t="s">
        <v>213</v>
      </c>
    </row>
    <row r="25089" customFormat="false" ht="12.8" hidden="false" customHeight="false" outlineLevel="0" collapsed="false">
      <c r="B25089" s="0" t="s">
        <v>1</v>
      </c>
      <c r="C25089" s="0" t="s">
        <v>214</v>
      </c>
      <c r="E25089" s="0" t="s">
        <v>147</v>
      </c>
      <c r="F25089" s="0" t="s">
        <v>215</v>
      </c>
    </row>
    <row r="25090" customFormat="false" ht="12.8" hidden="false" customHeight="false" outlineLevel="0" collapsed="false">
      <c r="B25090" s="0" t="s">
        <v>52</v>
      </c>
      <c r="C25090" s="0" t="s">
        <v>220</v>
      </c>
      <c r="E25090" s="0" t="s">
        <v>221</v>
      </c>
      <c r="F25090" s="0" t="s">
        <v>222</v>
      </c>
    </row>
    <row r="25091" customFormat="false" ht="12.8" hidden="false" customHeight="false" outlineLevel="0" collapsed="false">
      <c r="B25091" s="0" t="s">
        <v>10235</v>
      </c>
      <c r="C25091" s="0" t="s">
        <v>2216</v>
      </c>
      <c r="E25091" s="0" t="s">
        <v>2217</v>
      </c>
      <c r="F25091" s="0" t="s">
        <v>2218</v>
      </c>
    </row>
    <row r="25092" customFormat="false" ht="12.8" hidden="false" customHeight="false" outlineLevel="0" collapsed="false">
      <c r="B25092" s="0" t="s">
        <v>69</v>
      </c>
      <c r="C25092" s="0" t="s">
        <v>217</v>
      </c>
      <c r="E25092" s="0" t="s">
        <v>218</v>
      </c>
      <c r="F25092" s="0" t="s">
        <v>219</v>
      </c>
    </row>
    <row r="25094" customFormat="false" ht="12.8" hidden="false" customHeight="false" outlineLevel="0" collapsed="false">
      <c r="A25094" s="0" t="s">
        <v>10236</v>
      </c>
      <c r="B25094" s="0" t="str">
        <f aca="false">HYPERLINK("https://lindat.mff.cuni.cz/services/teitok/pdtc10/index.php?action=vallex&amp;frame=v-w3330f4", "oznamovat (v-w3330f4)")</f>
        <v>oznamovat (v-w3330f4)</v>
      </c>
      <c r="E25094" s="0" t="str">
        <f aca="false">HYPERLINK("https://lindat.mff.cuni.cz/services/SynSemClass40/SynSemClass40.html?veclass=vec00060#vec00060-ces-cm00442", "vec00060")</f>
        <v>vec00060</v>
      </c>
      <c r="F25094" s="0" t="s">
        <v>213</v>
      </c>
    </row>
    <row r="25095" customFormat="false" ht="12.8" hidden="false" customHeight="false" outlineLevel="0" collapsed="false">
      <c r="B25095" s="0" t="s">
        <v>1</v>
      </c>
      <c r="C25095" s="0" t="s">
        <v>214</v>
      </c>
      <c r="E25095" s="0" t="s">
        <v>147</v>
      </c>
      <c r="F25095" s="0" t="s">
        <v>215</v>
      </c>
    </row>
    <row r="25096" customFormat="false" ht="12.8" hidden="false" customHeight="false" outlineLevel="0" collapsed="false">
      <c r="B25096" s="0" t="s">
        <v>10235</v>
      </c>
      <c r="C25096" s="0" t="s">
        <v>2216</v>
      </c>
      <c r="E25096" s="0" t="s">
        <v>2217</v>
      </c>
      <c r="F25096" s="0" t="s">
        <v>2218</v>
      </c>
    </row>
    <row r="25097" customFormat="false" ht="12.8" hidden="false" customHeight="false" outlineLevel="0" collapsed="false">
      <c r="B25097" s="0" t="s">
        <v>5</v>
      </c>
      <c r="C25097" s="0" t="s">
        <v>10237</v>
      </c>
      <c r="E25097" s="0" t="s">
        <v>10238</v>
      </c>
      <c r="F25097" s="0" t="s">
        <v>10239</v>
      </c>
    </row>
    <row r="25098" customFormat="false" ht="12.8" hidden="false" customHeight="false" outlineLevel="0" collapsed="false">
      <c r="B25098" s="0" t="s">
        <v>69</v>
      </c>
      <c r="C25098" s="0" t="s">
        <v>217</v>
      </c>
      <c r="E25098" s="0" t="s">
        <v>218</v>
      </c>
      <c r="F25098" s="0" t="s">
        <v>219</v>
      </c>
    </row>
    <row r="25100" customFormat="false" ht="12.8" hidden="false" customHeight="false" outlineLevel="0" collapsed="false">
      <c r="A25100" s="0" t="s">
        <v>10240</v>
      </c>
      <c r="B25100" s="0" t="str">
        <f aca="false">HYPERLINK("https://lindat.mff.cuni.cz/services/teitok/pdtc10/index.php?action=vallex&amp;frame=v-w3321f1", "označit (v-w3321f1)")</f>
        <v>označit (v-w3321f1)</v>
      </c>
      <c r="E25100" s="0" t="str">
        <f aca="false">HYPERLINK("https://lindat.mff.cuni.cz/services/SynSemClass40/SynSemClass40.html?veclass=vec00417#vec00417-ces-cm00003", "vec00417")</f>
        <v>vec00417</v>
      </c>
      <c r="F25100" s="0" t="s">
        <v>1372</v>
      </c>
    </row>
    <row r="25101" customFormat="false" ht="12.8" hidden="false" customHeight="false" outlineLevel="0" collapsed="false">
      <c r="B25101" s="0" t="s">
        <v>1</v>
      </c>
      <c r="C25101" s="0" t="s">
        <v>1373</v>
      </c>
      <c r="E25101" s="0" t="s">
        <v>63</v>
      </c>
      <c r="F25101" s="0" t="s">
        <v>1374</v>
      </c>
    </row>
    <row r="25102" customFormat="false" ht="12.8" hidden="false" customHeight="false" outlineLevel="0" collapsed="false">
      <c r="B25102" s="0" t="s">
        <v>402</v>
      </c>
      <c r="C25102" s="0" t="s">
        <v>1375</v>
      </c>
      <c r="E25102" s="0" t="s">
        <v>1376</v>
      </c>
      <c r="F25102" s="0" t="s">
        <v>1377</v>
      </c>
    </row>
    <row r="25103" customFormat="false" ht="12.8" hidden="false" customHeight="false" outlineLevel="0" collapsed="false">
      <c r="B25103" s="0" t="s">
        <v>1336</v>
      </c>
      <c r="C25103" s="0" t="s">
        <v>10241</v>
      </c>
      <c r="E25103" s="0" t="s">
        <v>626</v>
      </c>
      <c r="F25103" s="0" t="s">
        <v>10242</v>
      </c>
    </row>
    <row r="25105" customFormat="false" ht="12.8" hidden="false" customHeight="false" outlineLevel="0" collapsed="false">
      <c r="A25105" s="0" t="s">
        <v>10243</v>
      </c>
      <c r="B25105" s="0" t="str">
        <f aca="false">HYPERLINK("https://lindat.mff.cuni.cz/services/teitok/pdtc10/index.php?action=vallex&amp;frame=v-w3321f3", "označit (v-w3321f3)")</f>
        <v>označit (v-w3321f3)</v>
      </c>
      <c r="E25105" s="0" t="str">
        <f aca="false">HYPERLINK("https://lindat.mff.cuni.cz/services/SynSemClass40/SynSemClass40.html?veclass=vec00127#vec00127-ces-cm00123", "vec00127")</f>
        <v>vec00127</v>
      </c>
      <c r="F25105" s="0" t="s">
        <v>1835</v>
      </c>
    </row>
    <row r="25106" customFormat="false" ht="12.8" hidden="false" customHeight="false" outlineLevel="0" collapsed="false">
      <c r="B25106" s="0" t="s">
        <v>1</v>
      </c>
      <c r="C25106" s="0" t="s">
        <v>3461</v>
      </c>
      <c r="E25106" s="0" t="s">
        <v>11</v>
      </c>
      <c r="F25106" s="0" t="s">
        <v>1837</v>
      </c>
    </row>
    <row r="25107" customFormat="false" ht="12.8" hidden="false" customHeight="false" outlineLevel="0" collapsed="false">
      <c r="B25107" s="0" t="s">
        <v>8893</v>
      </c>
      <c r="C25107" s="0" t="s">
        <v>3463</v>
      </c>
      <c r="E25107" s="0" t="s">
        <v>1840</v>
      </c>
      <c r="F25107" s="0" t="s">
        <v>1841</v>
      </c>
    </row>
    <row r="25109" customFormat="false" ht="12.8" hidden="false" customHeight="false" outlineLevel="0" collapsed="false">
      <c r="A25109" s="0" t="s">
        <v>10244</v>
      </c>
      <c r="B25109" s="0" t="str">
        <f aca="false">HYPERLINK("https://lindat.mff.cuni.cz/services/teitok/pdtc10/index.php?action=vallex&amp;frame=v-w3321f2", "označit (v-w3321f2)")</f>
        <v>označit (v-w3321f2)</v>
      </c>
      <c r="E25109" s="0" t="str">
        <f aca="false">HYPERLINK("https://lindat.mff.cuni.cz/services/SynSemClass40/SynSemClass40.html?veclass=vec01420#vec01420-ces-cm00001", "vec01420")</f>
        <v>vec01420</v>
      </c>
      <c r="F25109" s="0" t="s">
        <v>10245</v>
      </c>
    </row>
    <row r="25110" customFormat="false" ht="12.8" hidden="false" customHeight="false" outlineLevel="0" collapsed="false">
      <c r="B25110" s="0" t="s">
        <v>1</v>
      </c>
      <c r="C25110" s="0" t="s">
        <v>459</v>
      </c>
      <c r="E25110" s="0" t="s">
        <v>4581</v>
      </c>
      <c r="F25110" s="0" t="s">
        <v>7850</v>
      </c>
    </row>
    <row r="25111" customFormat="false" ht="12.8" hidden="false" customHeight="false" outlineLevel="0" collapsed="false">
      <c r="B25111" s="0" t="s">
        <v>8</v>
      </c>
      <c r="C25111" s="0" t="s">
        <v>7654</v>
      </c>
      <c r="E25111" s="0" t="s">
        <v>142</v>
      </c>
      <c r="F25111" s="0" t="s">
        <v>10246</v>
      </c>
    </row>
    <row r="25113" customFormat="false" ht="12.8" hidden="false" customHeight="false" outlineLevel="0" collapsed="false">
      <c r="A25113" s="0" t="s">
        <v>10247</v>
      </c>
      <c r="B25113" s="0" t="str">
        <f aca="false">HYPERLINK("https://lindat.mff.cuni.cz/services/teitok/pdtc10/index.php?action=vallex&amp;frame=v-w3325f1", "označovat (v-w3325f1)")</f>
        <v>označovat (v-w3325f1)</v>
      </c>
      <c r="E25113" s="0" t="str">
        <f aca="false">HYPERLINK("https://lindat.mff.cuni.cz/services/SynSemClass40/SynSemClass40.html?veclass=vec00417#vec00417-ces-cm00004", "vec00417")</f>
        <v>vec00417</v>
      </c>
      <c r="F25113" s="0" t="s">
        <v>1372</v>
      </c>
    </row>
    <row r="25114" customFormat="false" ht="12.8" hidden="false" customHeight="false" outlineLevel="0" collapsed="false">
      <c r="B25114" s="0" t="s">
        <v>1</v>
      </c>
      <c r="C25114" s="0" t="s">
        <v>1373</v>
      </c>
      <c r="E25114" s="0" t="s">
        <v>63</v>
      </c>
      <c r="F25114" s="0" t="s">
        <v>1374</v>
      </c>
    </row>
    <row r="25115" customFormat="false" ht="12.8" hidden="false" customHeight="false" outlineLevel="0" collapsed="false">
      <c r="B25115" s="0" t="s">
        <v>8</v>
      </c>
      <c r="C25115" s="0" t="s">
        <v>1375</v>
      </c>
      <c r="E25115" s="0" t="s">
        <v>1376</v>
      </c>
      <c r="F25115" s="0" t="s">
        <v>1377</v>
      </c>
    </row>
    <row r="25116" customFormat="false" ht="12.8" hidden="false" customHeight="false" outlineLevel="0" collapsed="false">
      <c r="B25116" s="0" t="s">
        <v>1336</v>
      </c>
      <c r="C25116" s="0" t="s">
        <v>10241</v>
      </c>
      <c r="E25116" s="0" t="s">
        <v>626</v>
      </c>
      <c r="F25116" s="0" t="s">
        <v>10242</v>
      </c>
    </row>
    <row r="25118" customFormat="false" ht="12.8" hidden="false" customHeight="false" outlineLevel="0" collapsed="false">
      <c r="A25118" s="0" t="s">
        <v>10248</v>
      </c>
      <c r="B25118" s="0" t="str">
        <f aca="false">HYPERLINK("https://lindat.mff.cuni.cz/services/teitok/pdtc10/index.php?action=vallex&amp;frame=v-w3325f3", "označovat (v-w3325f3)")</f>
        <v>označovat (v-w3325f3)</v>
      </c>
      <c r="E25118" s="0" t="str">
        <f aca="false">HYPERLINK("https://lindat.mff.cuni.cz/services/SynSemClass40/SynSemClass40.html?veclass=vec00127#vec00127-ces-cm00206", "vec00127")</f>
        <v>vec00127</v>
      </c>
      <c r="F25118" s="0" t="s">
        <v>1835</v>
      </c>
    </row>
    <row r="25119" customFormat="false" ht="12.8" hidden="false" customHeight="false" outlineLevel="0" collapsed="false">
      <c r="B25119" s="0" t="s">
        <v>1</v>
      </c>
      <c r="C25119" s="0" t="s">
        <v>3461</v>
      </c>
      <c r="E25119" s="0" t="s">
        <v>11</v>
      </c>
      <c r="F25119" s="0" t="s">
        <v>1837</v>
      </c>
    </row>
    <row r="25120" customFormat="false" ht="12.8" hidden="false" customHeight="false" outlineLevel="0" collapsed="false">
      <c r="B25120" s="0" t="s">
        <v>8893</v>
      </c>
      <c r="C25120" s="0" t="s">
        <v>3463</v>
      </c>
      <c r="E25120" s="0" t="s">
        <v>1840</v>
      </c>
      <c r="F25120" s="0" t="s">
        <v>1841</v>
      </c>
    </row>
    <row r="25122" customFormat="false" ht="12.8" hidden="false" customHeight="false" outlineLevel="0" collapsed="false">
      <c r="A25122" s="0" t="s">
        <v>10249</v>
      </c>
      <c r="B25122" s="0" t="str">
        <f aca="false">HYPERLINK("https://lindat.mff.cuni.cz/services/teitok/pdtc10/index.php?action=vallex&amp;frame=v-w3325f2", "označovat (v-w3325f2)")</f>
        <v>označovat (v-w3325f2)</v>
      </c>
      <c r="E25122" s="0" t="str">
        <f aca="false">HYPERLINK("https://lindat.mff.cuni.cz/services/SynSemClass40/SynSemClass40.html?veclass=vec01420#vec01420-ces-cm00002", "vec01420")</f>
        <v>vec01420</v>
      </c>
      <c r="F25122" s="0" t="s">
        <v>10245</v>
      </c>
    </row>
    <row r="25123" customFormat="false" ht="12.8" hidden="false" customHeight="false" outlineLevel="0" collapsed="false">
      <c r="B25123" s="0" t="s">
        <v>1</v>
      </c>
      <c r="C25123" s="0" t="s">
        <v>459</v>
      </c>
      <c r="E25123" s="0" t="s">
        <v>4581</v>
      </c>
      <c r="F25123" s="0" t="s">
        <v>7850</v>
      </c>
    </row>
    <row r="25124" customFormat="false" ht="12.8" hidden="false" customHeight="false" outlineLevel="0" collapsed="false">
      <c r="B25124" s="0" t="s">
        <v>8</v>
      </c>
      <c r="C25124" s="0" t="s">
        <v>7654</v>
      </c>
      <c r="E25124" s="0" t="s">
        <v>142</v>
      </c>
      <c r="F25124" s="0" t="s">
        <v>10246</v>
      </c>
    </row>
    <row r="25126" customFormat="false" ht="12.8" hidden="false" customHeight="false" outlineLevel="0" collapsed="false">
      <c r="A25126" s="0" t="s">
        <v>10250</v>
      </c>
      <c r="B25126" s="0" t="str">
        <f aca="false">HYPERLINK("https://lindat.mff.cuni.cz/services/teitok/pdtc10/index.php?action=vallex&amp;frame=v-w3328f5_ZU", "oznámit (v-w3328f5_ZU)")</f>
        <v>oznámit (v-w3328f5_ZU)</v>
      </c>
      <c r="E25126" s="0" t="str">
        <f aca="false">HYPERLINK("https://lindat.mff.cuni.cz/services/SynSemClass40/SynSemClass40.html?veclass=vec00060#vec00060-ces-cm00001", "vec00060")</f>
        <v>vec00060</v>
      </c>
      <c r="F25126" s="0" t="s">
        <v>213</v>
      </c>
    </row>
    <row r="25127" customFormat="false" ht="12.8" hidden="false" customHeight="false" outlineLevel="0" collapsed="false">
      <c r="B25127" s="0" t="s">
        <v>1</v>
      </c>
      <c r="C25127" s="0" t="s">
        <v>214</v>
      </c>
      <c r="E25127" s="0" t="s">
        <v>147</v>
      </c>
      <c r="F25127" s="0" t="s">
        <v>215</v>
      </c>
    </row>
    <row r="25128" customFormat="false" ht="12.8" hidden="false" customHeight="false" outlineLevel="0" collapsed="false">
      <c r="B25128" s="0" t="s">
        <v>10251</v>
      </c>
      <c r="C25128" s="0" t="s">
        <v>217</v>
      </c>
      <c r="E25128" s="0" t="s">
        <v>218</v>
      </c>
      <c r="F25128" s="0" t="s">
        <v>219</v>
      </c>
    </row>
    <row r="25129" customFormat="false" ht="12.8" hidden="false" customHeight="false" outlineLevel="0" collapsed="false">
      <c r="B25129" s="0" t="s">
        <v>132</v>
      </c>
      <c r="C25129" s="0" t="s">
        <v>220</v>
      </c>
      <c r="E25129" s="0" t="s">
        <v>221</v>
      </c>
      <c r="F25129" s="0" t="s">
        <v>222</v>
      </c>
    </row>
    <row r="25131" customFormat="false" ht="12.8" hidden="false" customHeight="false" outlineLevel="0" collapsed="false">
      <c r="A25131" s="0" t="s">
        <v>10250</v>
      </c>
      <c r="B25131" s="0" t="str">
        <f aca="false">HYPERLINK("https://lindat.mff.cuni.cz/services/teitok/pdtc10/index.php?action=vallex&amp;frame=v-w3328f2", "oznámit (v-w3328f2) - substituted with v-w3328f5_ZU")</f>
        <v>oznámit (v-w3328f2) - substituted with v-w3328f5_ZU</v>
      </c>
    </row>
    <row r="25132" customFormat="false" ht="12.8" hidden="false" customHeight="false" outlineLevel="0" collapsed="false">
      <c r="B25132" s="0" t="s">
        <v>1</v>
      </c>
    </row>
    <row r="25133" customFormat="false" ht="12.8" hidden="false" customHeight="false" outlineLevel="0" collapsed="false">
      <c r="B25133" s="0" t="s">
        <v>10251</v>
      </c>
    </row>
    <row r="25134" customFormat="false" ht="12.8" hidden="false" customHeight="false" outlineLevel="0" collapsed="false">
      <c r="B25134" s="0" t="s">
        <v>132</v>
      </c>
    </row>
    <row r="25136" customFormat="false" ht="12.8" hidden="false" customHeight="false" outlineLevel="0" collapsed="false">
      <c r="A25136" s="0" t="s">
        <v>10252</v>
      </c>
      <c r="B25136" s="0" t="str">
        <f aca="false">HYPERLINK("https://lindat.mff.cuni.cz/services/teitok/pdtc10/index.php?action=vallex&amp;frame=v-w3328f6_ZU", "oznámit (v-w3328f6_ZU)")</f>
        <v>oznámit (v-w3328f6_ZU)</v>
      </c>
      <c r="E25136" s="0" t="str">
        <f aca="false">HYPERLINK("https://lindat.mff.cuni.cz/services/SynSemClass40/SynSemClass40.html?veclass=vec00060#vec00060-ces-cm00056", "vec00060")</f>
        <v>vec00060</v>
      </c>
      <c r="F25136" s="0" t="s">
        <v>213</v>
      </c>
    </row>
    <row r="25137" customFormat="false" ht="12.8" hidden="false" customHeight="false" outlineLevel="0" collapsed="false">
      <c r="B25137" s="0" t="s">
        <v>1</v>
      </c>
      <c r="C25137" s="0" t="s">
        <v>214</v>
      </c>
      <c r="E25137" s="0" t="s">
        <v>147</v>
      </c>
      <c r="F25137" s="0" t="s">
        <v>215</v>
      </c>
    </row>
    <row r="25138" customFormat="false" ht="12.8" hidden="false" customHeight="false" outlineLevel="0" collapsed="false">
      <c r="B25138" s="0" t="s">
        <v>52</v>
      </c>
      <c r="C25138" s="0" t="s">
        <v>220</v>
      </c>
      <c r="E25138" s="0" t="s">
        <v>221</v>
      </c>
      <c r="F25138" s="0" t="s">
        <v>222</v>
      </c>
    </row>
    <row r="25139" customFormat="false" ht="12.8" hidden="false" customHeight="false" outlineLevel="0" collapsed="false">
      <c r="B25139" s="0" t="s">
        <v>6407</v>
      </c>
      <c r="C25139" s="0" t="s">
        <v>2216</v>
      </c>
      <c r="E25139" s="0" t="s">
        <v>2217</v>
      </c>
      <c r="F25139" s="0" t="s">
        <v>2218</v>
      </c>
    </row>
    <row r="25140" customFormat="false" ht="12.8" hidden="false" customHeight="false" outlineLevel="0" collapsed="false">
      <c r="B25140" s="0" t="s">
        <v>496</v>
      </c>
      <c r="C25140" s="0" t="s">
        <v>217</v>
      </c>
      <c r="E25140" s="0" t="s">
        <v>218</v>
      </c>
      <c r="F25140" s="0" t="s">
        <v>219</v>
      </c>
    </row>
    <row r="25142" customFormat="false" ht="12.8" hidden="false" customHeight="false" outlineLevel="0" collapsed="false">
      <c r="A25142" s="0" t="s">
        <v>10252</v>
      </c>
      <c r="B25142" s="0" t="str">
        <f aca="false">HYPERLINK("https://lindat.mff.cuni.cz/services/teitok/pdtc10/index.php?action=vallex&amp;frame=v-w3328f1", "oznámit (v-w3328f1) - substituted with v-w3328f6_ZU")</f>
        <v>oznámit (v-w3328f1) - substituted with v-w3328f6_ZU</v>
      </c>
    </row>
    <row r="25143" customFormat="false" ht="12.8" hidden="false" customHeight="false" outlineLevel="0" collapsed="false">
      <c r="B25143" s="0" t="s">
        <v>1</v>
      </c>
    </row>
    <row r="25144" customFormat="false" ht="12.8" hidden="false" customHeight="false" outlineLevel="0" collapsed="false">
      <c r="B25144" s="0" t="s">
        <v>52</v>
      </c>
    </row>
    <row r="25145" customFormat="false" ht="12.8" hidden="false" customHeight="false" outlineLevel="0" collapsed="false">
      <c r="B25145" s="0" t="s">
        <v>6407</v>
      </c>
    </row>
    <row r="25146" customFormat="false" ht="12.8" hidden="false" customHeight="false" outlineLevel="0" collapsed="false">
      <c r="B25146" s="0" t="s">
        <v>496</v>
      </c>
    </row>
    <row r="25148" customFormat="false" ht="12.8" hidden="false" customHeight="false" outlineLevel="0" collapsed="false">
      <c r="A25148" s="0" t="s">
        <v>10253</v>
      </c>
      <c r="B25148" s="0" t="str">
        <f aca="false">HYPERLINK("https://lindat.mff.cuni.cz/services/teitok/pdtc10/index.php?action=vallex&amp;frame=v-w3328f3", "oznámit (v-w3328f3)")</f>
        <v>oznámit (v-w3328f3)</v>
      </c>
      <c r="E25148" s="0" t="str">
        <f aca="false">HYPERLINK("https://lindat.mff.cuni.cz/services/SynSemClass40/SynSemClass40.html?veclass=vec00060#vec00060-ces-cm00440", "vec00060")</f>
        <v>vec00060</v>
      </c>
      <c r="F25148" s="0" t="s">
        <v>213</v>
      </c>
    </row>
    <row r="25149" customFormat="false" ht="12.8" hidden="false" customHeight="false" outlineLevel="0" collapsed="false">
      <c r="B25149" s="0" t="s">
        <v>1</v>
      </c>
      <c r="C25149" s="0" t="s">
        <v>214</v>
      </c>
      <c r="E25149" s="0" t="s">
        <v>147</v>
      </c>
      <c r="F25149" s="0" t="s">
        <v>215</v>
      </c>
    </row>
    <row r="25150" customFormat="false" ht="12.8" hidden="false" customHeight="false" outlineLevel="0" collapsed="false">
      <c r="B25150" s="0" t="s">
        <v>52</v>
      </c>
      <c r="C25150" s="0" t="s">
        <v>220</v>
      </c>
      <c r="E25150" s="0" t="s">
        <v>221</v>
      </c>
      <c r="F25150" s="0" t="s">
        <v>222</v>
      </c>
    </row>
    <row r="25151" customFormat="false" ht="12.8" hidden="false" customHeight="false" outlineLevel="0" collapsed="false">
      <c r="B25151" s="0" t="s">
        <v>10235</v>
      </c>
      <c r="C25151" s="0" t="s">
        <v>2216</v>
      </c>
      <c r="E25151" s="0" t="s">
        <v>2217</v>
      </c>
      <c r="F25151" s="0" t="s">
        <v>2218</v>
      </c>
    </row>
    <row r="25152" customFormat="false" ht="12.8" hidden="false" customHeight="false" outlineLevel="0" collapsed="false">
      <c r="B25152" s="0" t="s">
        <v>69</v>
      </c>
      <c r="C25152" s="0" t="s">
        <v>217</v>
      </c>
      <c r="E25152" s="0" t="s">
        <v>218</v>
      </c>
      <c r="F25152" s="0" t="s">
        <v>219</v>
      </c>
    </row>
    <row r="25154" customFormat="false" ht="12.8" hidden="false" customHeight="false" outlineLevel="0" collapsed="false">
      <c r="A25154" s="0" t="s">
        <v>10254</v>
      </c>
      <c r="B25154" s="0" t="str">
        <f aca="false">HYPERLINK("https://lindat.mff.cuni.cz/services/teitok/pdtc10/index.php?action=vallex&amp;frame=v-w3328f4", "oznámit (v-w3328f4)")</f>
        <v>oznámit (v-w3328f4)</v>
      </c>
      <c r="E25154" s="0" t="str">
        <f aca="false">HYPERLINK("https://lindat.mff.cuni.cz/services/SynSemClass40/SynSemClass40.html?veclass=vec00060#vec00060-ces-cm00055", "vec00060")</f>
        <v>vec00060</v>
      </c>
      <c r="F25154" s="0" t="s">
        <v>213</v>
      </c>
    </row>
    <row r="25155" customFormat="false" ht="12.8" hidden="false" customHeight="false" outlineLevel="0" collapsed="false">
      <c r="B25155" s="0" t="s">
        <v>1</v>
      </c>
      <c r="C25155" s="0" t="s">
        <v>214</v>
      </c>
      <c r="E25155" s="0" t="s">
        <v>147</v>
      </c>
      <c r="F25155" s="0" t="s">
        <v>215</v>
      </c>
    </row>
    <row r="25156" customFormat="false" ht="12.8" hidden="false" customHeight="false" outlineLevel="0" collapsed="false">
      <c r="B25156" s="0" t="s">
        <v>10235</v>
      </c>
      <c r="C25156" s="0" t="s">
        <v>2216</v>
      </c>
      <c r="E25156" s="0" t="s">
        <v>2217</v>
      </c>
      <c r="F25156" s="0" t="s">
        <v>2218</v>
      </c>
    </row>
    <row r="25157" customFormat="false" ht="12.8" hidden="false" customHeight="false" outlineLevel="0" collapsed="false">
      <c r="B25157" s="0" t="s">
        <v>5</v>
      </c>
      <c r="C25157" s="0" t="s">
        <v>10237</v>
      </c>
      <c r="E25157" s="0" t="s">
        <v>10238</v>
      </c>
      <c r="F25157" s="0" t="s">
        <v>10239</v>
      </c>
    </row>
    <row r="25158" customFormat="false" ht="12.8" hidden="false" customHeight="false" outlineLevel="0" collapsed="false">
      <c r="B25158" s="0" t="s">
        <v>69</v>
      </c>
      <c r="C25158" s="0" t="s">
        <v>217</v>
      </c>
      <c r="E25158" s="0" t="s">
        <v>218</v>
      </c>
      <c r="F25158" s="0" t="s">
        <v>219</v>
      </c>
    </row>
    <row r="25160" customFormat="false" ht="12.8" hidden="false" customHeight="false" outlineLevel="0" collapsed="false">
      <c r="A25160" s="0" t="s">
        <v>10255</v>
      </c>
      <c r="B25160" s="0" t="str">
        <f aca="false">HYPERLINK("https://lindat.mff.cuni.cz/services/teitok/pdtc10/index.php?action=vallex&amp;frame=v-w3333f2", "ozvat se (v-w3333f2)")</f>
        <v>ozvat se (v-w3333f2)</v>
      </c>
      <c r="E25160" s="0" t="str">
        <f aca="false">HYPERLINK("https://lindat.mff.cuni.cz/services/SynSemClass40/SynSemClass40.html?veclass=vec00581#vec00581-ces-cm00018", "vec00581")</f>
        <v>vec00581</v>
      </c>
      <c r="F25160" s="0" t="s">
        <v>10256</v>
      </c>
    </row>
    <row r="25161" customFormat="false" ht="12.8" hidden="false" customHeight="false" outlineLevel="0" collapsed="false">
      <c r="B25161" s="0" t="s">
        <v>1</v>
      </c>
      <c r="C25161" s="0" t="s">
        <v>3241</v>
      </c>
      <c r="E25161" s="0" t="s">
        <v>147</v>
      </c>
      <c r="F25161" s="0" t="s">
        <v>10257</v>
      </c>
    </row>
    <row r="25162" customFormat="false" ht="12.8" hidden="false" customHeight="false" outlineLevel="0" collapsed="false">
      <c r="B25162" s="0" t="s">
        <v>186</v>
      </c>
      <c r="C25162" s="0" t="s">
        <v>8691</v>
      </c>
      <c r="E25162" s="0" t="s">
        <v>150</v>
      </c>
      <c r="F25162" s="0" t="s">
        <v>10258</v>
      </c>
    </row>
    <row r="25164" customFormat="false" ht="12.8" hidden="false" customHeight="false" outlineLevel="0" collapsed="false">
      <c r="A25164" s="0" t="s">
        <v>10259</v>
      </c>
      <c r="B25164" s="0" t="str">
        <f aca="false">HYPERLINK("https://lindat.mff.cuni.cz/services/teitok/pdtc10/index.php?action=vallex&amp;frame=v-w3333f3", "ozvat se (v-w3333f3)")</f>
        <v>ozvat se (v-w3333f3)</v>
      </c>
    </row>
    <row r="25165" customFormat="false" ht="12.8" hidden="false" customHeight="false" outlineLevel="0" collapsed="false">
      <c r="B25165" s="0" t="s">
        <v>1</v>
      </c>
    </row>
    <row r="25166" customFormat="false" ht="12.8" hidden="false" customHeight="false" outlineLevel="0" collapsed="false">
      <c r="B25166" s="0" t="s">
        <v>5061</v>
      </c>
    </row>
    <row r="25168" customFormat="false" ht="12.8" hidden="false" customHeight="false" outlineLevel="0" collapsed="false">
      <c r="A25168" s="0" t="s">
        <v>10260</v>
      </c>
      <c r="B25168" s="0" t="str">
        <f aca="false">HYPERLINK("https://lindat.mff.cuni.cz/services/teitok/pdtc10/index.php?action=vallex&amp;frame=v-w3333f4_ZU", "ozvat se (v-w3333f4_ZU)")</f>
        <v>ozvat se (v-w3333f4_ZU)</v>
      </c>
    </row>
    <row r="25169" customFormat="false" ht="12.8" hidden="false" customHeight="false" outlineLevel="0" collapsed="false">
      <c r="B25169" s="0" t="s">
        <v>10261</v>
      </c>
    </row>
    <row r="25171" customFormat="false" ht="12.8" hidden="false" customHeight="false" outlineLevel="0" collapsed="false">
      <c r="A25171" s="0" t="s">
        <v>10260</v>
      </c>
      <c r="B25171" s="0" t="str">
        <f aca="false">HYPERLINK("https://lindat.mff.cuni.cz/services/teitok/pdtc10/index.php?action=vallex&amp;frame=v-w3333f1", "ozvat se (v-w3333f1) - substituted with v-w3333f4_ZU")</f>
        <v>ozvat se (v-w3333f1) - substituted with v-w3333f4_ZU</v>
      </c>
      <c r="E25171" s="0" t="str">
        <f aca="false">HYPERLINK("https://lindat.mff.cuni.cz/services/SynSemClass40/SynSemClass40.html?veclass=vec01254#vec01254-ces-cm00001", "vec01254")</f>
        <v>vec01254</v>
      </c>
      <c r="F25171" s="0" t="s">
        <v>10262</v>
      </c>
    </row>
    <row r="25172" customFormat="false" ht="12.8" hidden="false" customHeight="false" outlineLevel="0" collapsed="false">
      <c r="B25172" s="0" t="s">
        <v>10261</v>
      </c>
      <c r="C25172" s="0" t="s">
        <v>1507</v>
      </c>
      <c r="E25172" s="0" t="s">
        <v>957</v>
      </c>
      <c r="F25172" s="0" t="s">
        <v>10263</v>
      </c>
    </row>
    <row r="25174" customFormat="false" ht="12.8" hidden="false" customHeight="false" outlineLevel="0" collapsed="false">
      <c r="A25174" s="0" t="s">
        <v>10264</v>
      </c>
      <c r="B25174" s="0" t="str">
        <f aca="false">HYPERLINK("https://lindat.mff.cuni.cz/services/teitok/pdtc10/index.php?action=vallex&amp;frame=v-w3312f1", "ozářit (v-w3312f1)")</f>
        <v>ozářit (v-w3312f1)</v>
      </c>
      <c r="E25174" s="0" t="str">
        <f aca="false">HYPERLINK("https://lindat.mff.cuni.cz/services/SynSemClass40/SynSemClass40.html?veclass=vec01417#vec01417-ces-cm00003", "vec01417")</f>
        <v>vec01417</v>
      </c>
      <c r="F25174" s="0" t="s">
        <v>10027</v>
      </c>
    </row>
    <row r="25175" customFormat="false" ht="12.8" hidden="false" customHeight="false" outlineLevel="0" collapsed="false">
      <c r="B25175" s="0" t="s">
        <v>1</v>
      </c>
      <c r="E25175" s="0" t="s">
        <v>4581</v>
      </c>
      <c r="F25175" s="0" t="s">
        <v>10028</v>
      </c>
    </row>
    <row r="25176" customFormat="false" ht="12.8" hidden="false" customHeight="false" outlineLevel="0" collapsed="false">
      <c r="B25176" s="0" t="s">
        <v>8</v>
      </c>
      <c r="E25176" s="0" t="s">
        <v>142</v>
      </c>
      <c r="F25176" s="0" t="s">
        <v>6348</v>
      </c>
    </row>
    <row r="25178" customFormat="false" ht="12.8" hidden="false" customHeight="false" outlineLevel="0" collapsed="false">
      <c r="A25178" s="0" t="s">
        <v>10265</v>
      </c>
      <c r="B25178" s="0" t="str">
        <f aca="false">HYPERLINK("https://lindat.mff.cuni.cz/services/teitok/pdtc10/index.php?action=vallex&amp;frame=v-w3312f2", "ozářit (v-w3312f2)")</f>
        <v>ozářit (v-w3312f2)</v>
      </c>
    </row>
    <row r="25179" customFormat="false" ht="12.8" hidden="false" customHeight="false" outlineLevel="0" collapsed="false">
      <c r="B25179" s="0" t="s">
        <v>1</v>
      </c>
    </row>
    <row r="25180" customFormat="false" ht="12.8" hidden="false" customHeight="false" outlineLevel="0" collapsed="false">
      <c r="B25180" s="0" t="s">
        <v>8</v>
      </c>
    </row>
    <row r="25182" customFormat="false" ht="12.8" hidden="false" customHeight="false" outlineLevel="0" collapsed="false">
      <c r="A25182" s="0" t="s">
        <v>10266</v>
      </c>
      <c r="B25182" s="0" t="str">
        <f aca="false">HYPERLINK("https://lindat.mff.cuni.cz/services/teitok/pdtc10/index.php?action=vallex&amp;frame=v-w3336f3", "ozývat se (v-w3336f3)")</f>
        <v>ozývat se (v-w3336f3)</v>
      </c>
    </row>
    <row r="25183" customFormat="false" ht="12.8" hidden="false" customHeight="false" outlineLevel="0" collapsed="false">
      <c r="B25183" s="0" t="s">
        <v>1</v>
      </c>
    </row>
    <row r="25184" customFormat="false" ht="12.8" hidden="false" customHeight="false" outlineLevel="0" collapsed="false">
      <c r="B25184" s="0" t="s">
        <v>186</v>
      </c>
    </row>
    <row r="25186" customFormat="false" ht="12.8" hidden="false" customHeight="false" outlineLevel="0" collapsed="false">
      <c r="A25186" s="0" t="s">
        <v>10267</v>
      </c>
      <c r="B25186" s="0" t="str">
        <f aca="false">HYPERLINK("https://lindat.mff.cuni.cz/services/teitok/pdtc10/index.php?action=vallex&amp;frame=v-w3336f5_ZU", "ozývat se (v-w3336f5_ZU)")</f>
        <v>ozývat se (v-w3336f5_ZU)</v>
      </c>
    </row>
    <row r="25187" customFormat="false" ht="12.8" hidden="false" customHeight="false" outlineLevel="0" collapsed="false">
      <c r="B25187" s="0" t="s">
        <v>1</v>
      </c>
    </row>
    <row r="25188" customFormat="false" ht="12.8" hidden="false" customHeight="false" outlineLevel="0" collapsed="false">
      <c r="B25188" s="0" t="s">
        <v>9605</v>
      </c>
    </row>
    <row r="25190" customFormat="false" ht="12.8" hidden="false" customHeight="false" outlineLevel="0" collapsed="false">
      <c r="A25190" s="0" t="s">
        <v>10267</v>
      </c>
      <c r="B25190" s="0" t="str">
        <f aca="false">HYPERLINK("https://lindat.mff.cuni.cz/services/teitok/pdtc10/index.php?action=vallex&amp;frame=v-w3336f2", "ozývat se (v-w3336f2) - substituted with v-w3336f5_ZU")</f>
        <v>ozývat se (v-w3336f2) - substituted with v-w3336f5_ZU</v>
      </c>
    </row>
    <row r="25191" customFormat="false" ht="12.8" hidden="false" customHeight="false" outlineLevel="0" collapsed="false">
      <c r="B25191" s="0" t="s">
        <v>1</v>
      </c>
    </row>
    <row r="25192" customFormat="false" ht="12.8" hidden="false" customHeight="false" outlineLevel="0" collapsed="false">
      <c r="B25192" s="0" t="s">
        <v>9605</v>
      </c>
    </row>
    <row r="25194" customFormat="false" ht="12.8" hidden="false" customHeight="false" outlineLevel="0" collapsed="false">
      <c r="A25194" s="0" t="s">
        <v>10268</v>
      </c>
      <c r="B25194" s="0" t="str">
        <f aca="false">HYPERLINK("https://lindat.mff.cuni.cz/services/teitok/pdtc10/index.php?action=vallex&amp;frame=v-w3336f4_ZU", "ozývat se (v-w3336f4_ZU)")</f>
        <v>ozývat se (v-w3336f4_ZU)</v>
      </c>
      <c r="E25194" s="0" t="str">
        <f aca="false">HYPERLINK("https://lindat.mff.cuni.cz/services/SynSemClass40/SynSemClass40.html?veclass=vec01254#vec01254-ces-cm00002", "vec01254")</f>
        <v>vec01254</v>
      </c>
      <c r="F25194" s="0" t="s">
        <v>10262</v>
      </c>
    </row>
    <row r="25195" customFormat="false" ht="12.8" hidden="false" customHeight="false" outlineLevel="0" collapsed="false">
      <c r="B25195" s="0" t="s">
        <v>10261</v>
      </c>
      <c r="C25195" s="0" t="s">
        <v>1507</v>
      </c>
      <c r="E25195" s="0" t="s">
        <v>957</v>
      </c>
      <c r="F25195" s="0" t="s">
        <v>10263</v>
      </c>
    </row>
    <row r="25197" customFormat="false" ht="12.8" hidden="false" customHeight="false" outlineLevel="0" collapsed="false">
      <c r="A25197" s="0" t="s">
        <v>10268</v>
      </c>
      <c r="B25197" s="0" t="str">
        <f aca="false">HYPERLINK("https://lindat.mff.cuni.cz/services/teitok/pdtc10/index.php?action=vallex&amp;frame=v-w3336f1", "ozývat se (v-w3336f1) - substituted with v-w3336f4_ZU")</f>
        <v>ozývat se (v-w3336f1) - substituted with v-w3336f4_ZU</v>
      </c>
    </row>
    <row r="25198" customFormat="false" ht="12.8" hidden="false" customHeight="false" outlineLevel="0" collapsed="false">
      <c r="B25198" s="0" t="s">
        <v>10261</v>
      </c>
    </row>
    <row r="25200" customFormat="false" ht="12.8" hidden="false" customHeight="false" outlineLevel="0" collapsed="false">
      <c r="A25200" s="0" t="s">
        <v>10269</v>
      </c>
      <c r="B25200" s="0" t="str">
        <f aca="false">HYPERLINK("https://lindat.mff.cuni.cz/services/teitok/pdtc10/index.php?action=vallex&amp;frame=v-w3332f1", "ozřejmit (v-w3332f1)")</f>
        <v>ozřejmit (v-w3332f1)</v>
      </c>
    </row>
    <row r="25201" customFormat="false" ht="12.8" hidden="false" customHeight="false" outlineLevel="0" collapsed="false">
      <c r="B25201" s="0" t="s">
        <v>1</v>
      </c>
    </row>
    <row r="25202" customFormat="false" ht="12.8" hidden="false" customHeight="false" outlineLevel="0" collapsed="false">
      <c r="B25202" s="0" t="s">
        <v>10270</v>
      </c>
    </row>
    <row r="25203" customFormat="false" ht="12.8" hidden="false" customHeight="false" outlineLevel="0" collapsed="false">
      <c r="B25203" s="0" t="s">
        <v>52</v>
      </c>
    </row>
    <row r="25205" customFormat="false" ht="12.8" hidden="false" customHeight="false" outlineLevel="0" collapsed="false">
      <c r="A25205" s="0" t="s">
        <v>10271</v>
      </c>
      <c r="B25205" s="0" t="str">
        <f aca="false">HYPERLINK("https://lindat.mff.cuni.cz/services/teitok/pdtc10/index.php?action=vallex&amp;frame=v-w10669f2", "ozřejmovat (v-w10669f2)")</f>
        <v>ozřejmovat (v-w10669f2)</v>
      </c>
    </row>
    <row r="25206" customFormat="false" ht="12.8" hidden="false" customHeight="false" outlineLevel="0" collapsed="false">
      <c r="B25206" s="0" t="s">
        <v>1</v>
      </c>
    </row>
    <row r="25207" customFormat="false" ht="12.8" hidden="false" customHeight="false" outlineLevel="0" collapsed="false">
      <c r="B25207" s="0" t="s">
        <v>10270</v>
      </c>
    </row>
    <row r="25208" customFormat="false" ht="12.8" hidden="false" customHeight="false" outlineLevel="0" collapsed="false">
      <c r="B25208" s="0" t="s">
        <v>52</v>
      </c>
    </row>
    <row r="25210" customFormat="false" ht="12.8" hidden="false" customHeight="false" outlineLevel="0" collapsed="false">
      <c r="A25210" s="0" t="s">
        <v>10272</v>
      </c>
      <c r="B25210" s="0" t="str">
        <f aca="false">HYPERLINK("https://lindat.mff.cuni.cz/services/teitok/pdtc10/index.php?action=vallex&amp;frame=v-w10304f2", "očarovávat (v-w10304f2)")</f>
        <v>očarovávat (v-w10304f2)</v>
      </c>
    </row>
    <row r="25211" customFormat="false" ht="12.8" hidden="false" customHeight="false" outlineLevel="0" collapsed="false">
      <c r="B25211" s="0" t="s">
        <v>1</v>
      </c>
    </row>
    <row r="25212" customFormat="false" ht="12.8" hidden="false" customHeight="false" outlineLevel="0" collapsed="false">
      <c r="B25212" s="0" t="s">
        <v>8</v>
      </c>
    </row>
    <row r="25214" customFormat="false" ht="12.8" hidden="false" customHeight="false" outlineLevel="0" collapsed="false">
      <c r="A25214" s="0" t="s">
        <v>10273</v>
      </c>
      <c r="B25214" s="0" t="str">
        <f aca="false">HYPERLINK("https://lindat.mff.cuni.cz/services/teitok/pdtc10/index.php?action=vallex&amp;frame=v-w2608f1", "očekávat (v-w2608f1)")</f>
        <v>očekávat (v-w2608f1)</v>
      </c>
      <c r="E25214" s="0" t="str">
        <f aca="false">HYPERLINK("https://lindat.mff.cuni.cz/services/SynSemClass40/SynSemClass40.html?veclass=vec00002#vec00002-ces-cm00009", "vec00002")</f>
        <v>vec00002</v>
      </c>
      <c r="F25214" s="0" t="s">
        <v>10274</v>
      </c>
    </row>
    <row r="25215" customFormat="false" ht="12.8" hidden="false" customHeight="false" outlineLevel="0" collapsed="false">
      <c r="B25215" s="0" t="s">
        <v>1</v>
      </c>
      <c r="C25215" s="0" t="s">
        <v>447</v>
      </c>
      <c r="E25215" s="0" t="s">
        <v>621</v>
      </c>
      <c r="F25215" s="0" t="s">
        <v>10275</v>
      </c>
    </row>
    <row r="25216" customFormat="false" ht="12.8" hidden="false" customHeight="false" outlineLevel="0" collapsed="false">
      <c r="B25216" s="0" t="s">
        <v>8893</v>
      </c>
      <c r="C25216" s="0" t="s">
        <v>449</v>
      </c>
      <c r="E25216" s="0" t="s">
        <v>180</v>
      </c>
      <c r="F25216" s="0" t="s">
        <v>10276</v>
      </c>
    </row>
    <row r="25217" customFormat="false" ht="12.8" hidden="false" customHeight="false" outlineLevel="0" collapsed="false">
      <c r="B25217" s="0" t="s">
        <v>602</v>
      </c>
      <c r="C25217" s="0" t="s">
        <v>10277</v>
      </c>
      <c r="E25217" s="0" t="s">
        <v>2176</v>
      </c>
      <c r="F25217" s="0" t="s">
        <v>10278</v>
      </c>
    </row>
    <row r="25219" customFormat="false" ht="12.8" hidden="false" customHeight="false" outlineLevel="0" collapsed="false">
      <c r="A25219" s="0" t="s">
        <v>10279</v>
      </c>
      <c r="B25219" s="0" t="str">
        <f aca="false">HYPERLINK("https://lindat.mff.cuni.cz/services/teitok/pdtc10/index.php?action=vallex&amp;frame=v-w2608f2", "očekávat (v-w2608f2)")</f>
        <v>očekávat (v-w2608f2)</v>
      </c>
      <c r="E25219" s="0" t="str">
        <f aca="false">HYPERLINK("https://lindat.mff.cuni.cz/services/SynSemClass40/SynSemClass40.html?veclass=vec00003#vec00003-ces-cm00006", "vec00003")</f>
        <v>vec00003</v>
      </c>
      <c r="F25219" s="0" t="s">
        <v>10280</v>
      </c>
    </row>
    <row r="25220" customFormat="false" ht="12.8" hidden="false" customHeight="false" outlineLevel="0" collapsed="false">
      <c r="B25220" s="0" t="s">
        <v>1</v>
      </c>
      <c r="C25220" s="0" t="s">
        <v>10281</v>
      </c>
      <c r="E25220" s="0" t="s">
        <v>11</v>
      </c>
      <c r="F25220" s="0" t="s">
        <v>10282</v>
      </c>
    </row>
    <row r="25221" customFormat="false" ht="12.8" hidden="false" customHeight="false" outlineLevel="0" collapsed="false">
      <c r="B25221" s="0" t="s">
        <v>10283</v>
      </c>
      <c r="C25221" s="0" t="s">
        <v>10284</v>
      </c>
      <c r="E25221" s="0" t="s">
        <v>3054</v>
      </c>
      <c r="F25221" s="0" t="s">
        <v>10285</v>
      </c>
    </row>
    <row r="25223" customFormat="false" ht="12.8" hidden="false" customHeight="false" outlineLevel="0" collapsed="false">
      <c r="A25223" s="0" t="s">
        <v>10286</v>
      </c>
      <c r="B25223" s="0" t="str">
        <f aca="false">HYPERLINK("https://lindat.mff.cuni.cz/services/teitok/pdtc10/index.php?action=vallex&amp;frame=v-w2608hsa_1088", "očekávat (v-w2608hsa_1088)")</f>
        <v>očekávat (v-w2608hsa_1088)</v>
      </c>
    </row>
    <row r="25224" customFormat="false" ht="12.8" hidden="false" customHeight="false" outlineLevel="0" collapsed="false">
      <c r="B25224" s="0" t="s">
        <v>1</v>
      </c>
    </row>
    <row r="25225" customFormat="false" ht="12.8" hidden="false" customHeight="false" outlineLevel="0" collapsed="false">
      <c r="B25225" s="0" t="s">
        <v>3057</v>
      </c>
    </row>
    <row r="25226" customFormat="false" ht="12.8" hidden="false" customHeight="false" outlineLevel="0" collapsed="false">
      <c r="B25226" s="0" t="s">
        <v>496</v>
      </c>
    </row>
    <row r="25228" customFormat="false" ht="12.8" hidden="false" customHeight="false" outlineLevel="0" collapsed="false">
      <c r="A25228" s="0" t="s">
        <v>10287</v>
      </c>
      <c r="B25228" s="0" t="str">
        <f aca="false">HYPERLINK("https://lindat.mff.cuni.cz/services/teitok/pdtc10/index.php?action=vallex&amp;frame=v-w2608f3_ZU", "očekávat (v-w2608f3_ZU)")</f>
        <v>očekávat (v-w2608f3_ZU)</v>
      </c>
    </row>
    <row r="25229" customFormat="false" ht="12.8" hidden="false" customHeight="false" outlineLevel="0" collapsed="false">
      <c r="B25229" s="0" t="s">
        <v>1</v>
      </c>
    </row>
    <row r="25230" customFormat="false" ht="12.8" hidden="false" customHeight="false" outlineLevel="0" collapsed="false">
      <c r="B25230" s="0" t="s">
        <v>8</v>
      </c>
    </row>
    <row r="25232" customFormat="false" ht="12.8" hidden="false" customHeight="false" outlineLevel="0" collapsed="false">
      <c r="A25232" s="0" t="s">
        <v>10288</v>
      </c>
      <c r="B25232" s="0" t="str">
        <f aca="false">HYPERLINK("https://lindat.mff.cuni.cz/services/teitok/pdtc10/index.php?action=vallex&amp;frame=v-w10762f2", "očernit (v-w10762f2)")</f>
        <v>očernit (v-w10762f2)</v>
      </c>
      <c r="E25232" s="0" t="str">
        <f aca="false">HYPERLINK("https://lindat.mff.cuni.cz/services/SynSemClass40/SynSemClass40.html?veclass=vec00230#vec00230-ces-cm00040", "vec00230")</f>
        <v>vec00230</v>
      </c>
      <c r="F25232" s="0" t="s">
        <v>4255</v>
      </c>
    </row>
    <row r="25233" customFormat="false" ht="12.8" hidden="false" customHeight="false" outlineLevel="0" collapsed="false">
      <c r="B25233" s="0" t="s">
        <v>1</v>
      </c>
      <c r="C25233" s="0" t="s">
        <v>5752</v>
      </c>
      <c r="E25233" s="0" t="s">
        <v>3750</v>
      </c>
      <c r="F25233" s="0" t="s">
        <v>4257</v>
      </c>
    </row>
    <row r="25234" customFormat="false" ht="12.8" hidden="false" customHeight="false" outlineLevel="0" collapsed="false">
      <c r="B25234" s="0" t="s">
        <v>8</v>
      </c>
      <c r="C25234" s="0" t="s">
        <v>5753</v>
      </c>
      <c r="E25234" s="0" t="s">
        <v>4259</v>
      </c>
      <c r="F25234" s="0" t="s">
        <v>4260</v>
      </c>
    </row>
    <row r="25236" customFormat="false" ht="12.8" hidden="false" customHeight="false" outlineLevel="0" collapsed="false">
      <c r="A25236" s="0" t="s">
        <v>10289</v>
      </c>
      <c r="B25236" s="0" t="str">
        <f aca="false">HYPERLINK("https://lindat.mff.cuni.cz/services/teitok/pdtc10/index.php?action=vallex&amp;frame=v-w11529_ZUf1_ZU", "očerňovat (v-w11529_ZUf1_ZU)")</f>
        <v>očerňovat (v-w11529_ZUf1_ZU)</v>
      </c>
      <c r="E25236" s="0" t="str">
        <f aca="false">HYPERLINK("https://lindat.mff.cuni.cz/services/SynSemClass40/SynSemClass40.html?veclass=vec00230#vec00230-ces-cm00041", "vec00230")</f>
        <v>vec00230</v>
      </c>
      <c r="F25236" s="0" t="s">
        <v>4255</v>
      </c>
    </row>
    <row r="25237" customFormat="false" ht="12.8" hidden="false" customHeight="false" outlineLevel="0" collapsed="false">
      <c r="B25237" s="0" t="s">
        <v>1</v>
      </c>
      <c r="C25237" s="0" t="s">
        <v>5752</v>
      </c>
      <c r="E25237" s="0" t="s">
        <v>3750</v>
      </c>
      <c r="F25237" s="0" t="s">
        <v>4257</v>
      </c>
    </row>
    <row r="25238" customFormat="false" ht="12.8" hidden="false" customHeight="false" outlineLevel="0" collapsed="false">
      <c r="B25238" s="0" t="s">
        <v>8</v>
      </c>
      <c r="C25238" s="0" t="s">
        <v>5753</v>
      </c>
      <c r="E25238" s="0" t="s">
        <v>4259</v>
      </c>
      <c r="F25238" s="0" t="s">
        <v>4260</v>
      </c>
    </row>
    <row r="25240" customFormat="false" ht="12.8" hidden="false" customHeight="false" outlineLevel="0" collapsed="false">
      <c r="A25240" s="0" t="s">
        <v>10290</v>
      </c>
      <c r="B25240" s="0" t="str">
        <f aca="false">HYPERLINK("https://lindat.mff.cuni.cz/services/teitok/pdtc10/index.php?action=vallex&amp;frame=v-w11530_ZUf1_ZU", "očesat (v-w11530_ZUf1_ZU)")</f>
        <v>očesat (v-w11530_ZUf1_ZU)</v>
      </c>
      <c r="E25240" s="0" t="str">
        <f aca="false">HYPERLINK("https://lindat.mff.cuni.cz/services/SynSemClass40/SynSemClass40.html?veclass=vec00712#vec00712-ces-cm00003", "vec00712")</f>
        <v>vec00712</v>
      </c>
      <c r="F25240" s="0" t="s">
        <v>10291</v>
      </c>
    </row>
    <row r="25241" customFormat="false" ht="12.8" hidden="false" customHeight="false" outlineLevel="0" collapsed="false">
      <c r="B25241" s="0" t="s">
        <v>1</v>
      </c>
      <c r="C25241" s="0" t="s">
        <v>512</v>
      </c>
      <c r="E25241" s="0" t="s">
        <v>10292</v>
      </c>
      <c r="F25241" s="0" t="s">
        <v>10293</v>
      </c>
    </row>
    <row r="25242" customFormat="false" ht="12.8" hidden="false" customHeight="false" outlineLevel="0" collapsed="false">
      <c r="B25242" s="0" t="s">
        <v>8</v>
      </c>
      <c r="C25242" s="0" t="s">
        <v>10294</v>
      </c>
      <c r="E25242" s="0" t="s">
        <v>10295</v>
      </c>
      <c r="F25242" s="0" t="s">
        <v>10296</v>
      </c>
    </row>
    <row r="25244" customFormat="false" ht="12.8" hidden="false" customHeight="false" outlineLevel="0" collapsed="false">
      <c r="A25244" s="0" t="s">
        <v>10297</v>
      </c>
      <c r="B25244" s="0" t="str">
        <f aca="false">HYPERLINK("https://lindat.mff.cuni.cz/services/teitok/pdtc10/index.php?action=vallex&amp;frame=v-w10761f2", "očesávat (v-w10761f2)")</f>
        <v>očesávat (v-w10761f2)</v>
      </c>
      <c r="E25244" s="0" t="str">
        <f aca="false">HYPERLINK("https://lindat.mff.cuni.cz/services/SynSemClass40/SynSemClass40.html?veclass=vec00712#vec00712-ces-cm00008", "vec00712")</f>
        <v>vec00712</v>
      </c>
      <c r="F25244" s="0" t="s">
        <v>10291</v>
      </c>
    </row>
    <row r="25245" customFormat="false" ht="12.8" hidden="false" customHeight="false" outlineLevel="0" collapsed="false">
      <c r="B25245" s="0" t="s">
        <v>1</v>
      </c>
      <c r="C25245" s="0" t="s">
        <v>512</v>
      </c>
      <c r="E25245" s="0" t="s">
        <v>10292</v>
      </c>
      <c r="F25245" s="0" t="s">
        <v>10293</v>
      </c>
    </row>
    <row r="25246" customFormat="false" ht="12.8" hidden="false" customHeight="false" outlineLevel="0" collapsed="false">
      <c r="B25246" s="0" t="s">
        <v>8</v>
      </c>
      <c r="C25246" s="0" t="s">
        <v>10294</v>
      </c>
      <c r="E25246" s="0" t="s">
        <v>10295</v>
      </c>
      <c r="F25246" s="0" t="s">
        <v>10296</v>
      </c>
    </row>
    <row r="25248" customFormat="false" ht="12.8" hidden="false" customHeight="false" outlineLevel="0" collapsed="false">
      <c r="A25248" s="0" t="s">
        <v>10298</v>
      </c>
      <c r="B25248" s="0" t="str">
        <f aca="false">HYPERLINK("https://lindat.mff.cuni.cz/services/teitok/pdtc10/index.php?action=vallex&amp;frame=v-w10761f3_ZU", "očesávat (v-w10761f3_ZU)")</f>
        <v>očesávat (v-w10761f3_ZU)</v>
      </c>
    </row>
    <row r="25249" customFormat="false" ht="12.8" hidden="false" customHeight="false" outlineLevel="0" collapsed="false">
      <c r="B25249" s="0" t="s">
        <v>1</v>
      </c>
    </row>
    <row r="25250" customFormat="false" ht="12.8" hidden="false" customHeight="false" outlineLevel="0" collapsed="false">
      <c r="B25250" s="0" t="s">
        <v>8</v>
      </c>
    </row>
    <row r="25252" customFormat="false" ht="12.8" hidden="false" customHeight="false" outlineLevel="0" collapsed="false">
      <c r="A25252" s="0" t="s">
        <v>10299</v>
      </c>
      <c r="B25252" s="0" t="str">
        <f aca="false">HYPERLINK("https://lindat.mff.cuni.cz/services/teitok/pdtc10/index.php?action=vallex&amp;frame=v-w2612f3_ZU", "očistit (v-w2612f3_ZU)")</f>
        <v>očistit (v-w2612f3_ZU)</v>
      </c>
    </row>
    <row r="25253" customFormat="false" ht="12.8" hidden="false" customHeight="false" outlineLevel="0" collapsed="false">
      <c r="B25253" s="0" t="s">
        <v>1</v>
      </c>
    </row>
    <row r="25254" customFormat="false" ht="12.8" hidden="false" customHeight="false" outlineLevel="0" collapsed="false">
      <c r="B25254" s="0" t="s">
        <v>8</v>
      </c>
    </row>
    <row r="25255" customFormat="false" ht="12.8" hidden="false" customHeight="false" outlineLevel="0" collapsed="false">
      <c r="B25255" s="0" t="s">
        <v>602</v>
      </c>
    </row>
    <row r="25257" customFormat="false" ht="12.8" hidden="false" customHeight="false" outlineLevel="0" collapsed="false">
      <c r="A25257" s="0" t="s">
        <v>10299</v>
      </c>
      <c r="B25257" s="0" t="str">
        <f aca="false">HYPERLINK("https://lindat.mff.cuni.cz/services/teitok/pdtc10/index.php?action=vallex&amp;frame=v-w2612f1", "očistit (v-w2612f1) - substituted with v-w2612f3_ZU")</f>
        <v>očistit (v-w2612f1) - substituted with v-w2612f3_ZU</v>
      </c>
      <c r="E25257" s="0" t="str">
        <f aca="false">HYPERLINK("https://lindat.mff.cuni.cz/services/SynSemClass40/SynSemClass40.html?veclass=vec00552#vec00552-ces-cm00005", "vec00552")</f>
        <v>vec00552</v>
      </c>
      <c r="F25257" s="0" t="s">
        <v>5992</v>
      </c>
      <c r="H25257" s="0" t="str">
        <f aca="false">HYPERLINK("https://lindat.mff.cuni.cz/services/SynSemClass40/SynSemClass40.html?veclass=vec00595#vec00595-ces-cm00002", "vec00595")</f>
        <v>vec00595</v>
      </c>
      <c r="I25257" s="0" t="s">
        <v>9863</v>
      </c>
      <c r="K25257" s="0" t="str">
        <f aca="false">HYPERLINK("https://lindat.mff.cuni.cz/services/SynSemClass40/SynSemClass40.html?veclass=vec01525#vec01525-ces-cm00006", "vec01525")</f>
        <v>vec01525</v>
      </c>
      <c r="L25257" s="0" t="s">
        <v>5689</v>
      </c>
    </row>
    <row r="25258" customFormat="false" ht="12.8" hidden="false" customHeight="false" outlineLevel="0" collapsed="false">
      <c r="B25258" s="0" t="s">
        <v>1</v>
      </c>
      <c r="C25258" s="0" t="s">
        <v>5538</v>
      </c>
      <c r="E25258" s="0" t="s">
        <v>31</v>
      </c>
      <c r="F25258" s="0" t="s">
        <v>5993</v>
      </c>
      <c r="H25258" s="0" t="s">
        <v>206</v>
      </c>
      <c r="I25258" s="0" t="s">
        <v>9275</v>
      </c>
      <c r="K25258" s="0" t="s">
        <v>5690</v>
      </c>
      <c r="L25258" s="0" t="s">
        <v>5691</v>
      </c>
    </row>
    <row r="25259" customFormat="false" ht="12.8" hidden="false" customHeight="false" outlineLevel="0" collapsed="false">
      <c r="B25259" s="0" t="s">
        <v>8</v>
      </c>
      <c r="C25259" s="0" t="s">
        <v>10300</v>
      </c>
      <c r="E25259" s="0" t="s">
        <v>34</v>
      </c>
      <c r="F25259" s="0" t="s">
        <v>5995</v>
      </c>
      <c r="H25259" s="0" t="s">
        <v>1847</v>
      </c>
      <c r="I25259" s="0" t="s">
        <v>9865</v>
      </c>
      <c r="K25259" s="0" t="s">
        <v>5693</v>
      </c>
      <c r="L25259" s="0" t="s">
        <v>5694</v>
      </c>
    </row>
    <row r="25260" customFormat="false" ht="12.8" hidden="false" customHeight="false" outlineLevel="0" collapsed="false">
      <c r="B25260" s="0" t="s">
        <v>602</v>
      </c>
      <c r="C25260" s="0" t="s">
        <v>10301</v>
      </c>
      <c r="E25260" s="0" t="s">
        <v>9867</v>
      </c>
      <c r="F25260" s="0" t="s">
        <v>10302</v>
      </c>
      <c r="H25260" s="0" t="s">
        <v>9867</v>
      </c>
      <c r="I25260" s="0" t="s">
        <v>9868</v>
      </c>
    </row>
    <row r="25262" customFormat="false" ht="12.8" hidden="false" customHeight="false" outlineLevel="0" collapsed="false">
      <c r="A25262" s="0" t="s">
        <v>10303</v>
      </c>
      <c r="B25262" s="0" t="str">
        <f aca="false">HYPERLINK("https://lindat.mff.cuni.cz/services/teitok/pdtc10/index.php?action=vallex&amp;frame=v-w2612f2_ZU", "očistit (v-w2612f2_ZU)")</f>
        <v>očistit (v-w2612f2_ZU)</v>
      </c>
      <c r="E25262" s="0" t="str">
        <f aca="false">HYPERLINK("https://lindat.mff.cuni.cz/services/SynSemClass40/SynSemClass40.html?veclass=vec00595#vec00595-ces-cm00003", "vec00595")</f>
        <v>vec00595</v>
      </c>
      <c r="F25262" s="0" t="s">
        <v>9863</v>
      </c>
    </row>
    <row r="25263" customFormat="false" ht="12.8" hidden="false" customHeight="false" outlineLevel="0" collapsed="false">
      <c r="B25263" s="0" t="s">
        <v>1</v>
      </c>
      <c r="C25263" s="0" t="s">
        <v>3288</v>
      </c>
      <c r="E25263" s="0" t="s">
        <v>206</v>
      </c>
      <c r="F25263" s="0" t="s">
        <v>9275</v>
      </c>
    </row>
    <row r="25264" customFormat="false" ht="12.8" hidden="false" customHeight="false" outlineLevel="0" collapsed="false">
      <c r="B25264" s="0" t="s">
        <v>8</v>
      </c>
      <c r="C25264" s="0" t="s">
        <v>9864</v>
      </c>
      <c r="E25264" s="0" t="s">
        <v>1847</v>
      </c>
      <c r="F25264" s="0" t="s">
        <v>9865</v>
      </c>
    </row>
    <row r="25265" customFormat="false" ht="12.8" hidden="false" customHeight="false" outlineLevel="0" collapsed="false">
      <c r="B25265" s="0" t="s">
        <v>602</v>
      </c>
      <c r="C25265" s="0" t="s">
        <v>9866</v>
      </c>
      <c r="E25265" s="0" t="s">
        <v>9867</v>
      </c>
      <c r="F25265" s="0" t="s">
        <v>9868</v>
      </c>
    </row>
    <row r="25267" customFormat="false" ht="12.8" hidden="false" customHeight="false" outlineLevel="0" collapsed="false">
      <c r="A25267" s="0" t="s">
        <v>10304</v>
      </c>
      <c r="B25267" s="0" t="str">
        <f aca="false">HYPERLINK("https://lindat.mff.cuni.cz/services/teitok/pdtc10/index.php?action=vallex&amp;frame=v-w2612hsa_891", "očistit (v-w2612hsa_891)")</f>
        <v>očistit (v-w2612hsa_891)</v>
      </c>
    </row>
    <row r="25268" customFormat="false" ht="12.8" hidden="false" customHeight="false" outlineLevel="0" collapsed="false">
      <c r="B25268" s="0" t="s">
        <v>1</v>
      </c>
    </row>
    <row r="25269" customFormat="false" ht="12.8" hidden="false" customHeight="false" outlineLevel="0" collapsed="false">
      <c r="B25269" s="0" t="s">
        <v>8</v>
      </c>
    </row>
    <row r="25271" customFormat="false" ht="12.8" hidden="false" customHeight="false" outlineLevel="0" collapsed="false">
      <c r="A25271" s="0" t="s">
        <v>10305</v>
      </c>
      <c r="B25271" s="0" t="str">
        <f aca="false">HYPERLINK("https://lindat.mff.cuni.cz/services/teitok/pdtc10/index.php?action=vallex&amp;frame=v-w2612hsa_892", "očistit (v-w2612hsa_892)")</f>
        <v>očistit (v-w2612hsa_892)</v>
      </c>
    </row>
    <row r="25272" customFormat="false" ht="12.8" hidden="false" customHeight="false" outlineLevel="0" collapsed="false">
      <c r="B25272" s="0" t="s">
        <v>1</v>
      </c>
    </row>
    <row r="25273" customFormat="false" ht="12.8" hidden="false" customHeight="false" outlineLevel="0" collapsed="false">
      <c r="B25273" s="0" t="s">
        <v>8</v>
      </c>
    </row>
    <row r="25275" customFormat="false" ht="12.8" hidden="false" customHeight="false" outlineLevel="0" collapsed="false">
      <c r="A25275" s="0" t="s">
        <v>10306</v>
      </c>
      <c r="B25275" s="0" t="str">
        <f aca="false">HYPERLINK("https://lindat.mff.cuni.cz/services/teitok/pdtc10/index.php?action=vallex&amp;frame=v-w11531_ZUf1_ZU", "očišťovat (v-w11531_ZUf1_ZU)")</f>
        <v>očišťovat (v-w11531_ZUf1_ZU)</v>
      </c>
      <c r="E25275" s="0" t="str">
        <f aca="false">HYPERLINK("https://lindat.mff.cuni.cz/services/SynSemClass40/SynSemClass40.html?veclass=vec00552#vec00552-ces-cm00017", "vec00552")</f>
        <v>vec00552</v>
      </c>
      <c r="F25275" s="0" t="s">
        <v>5992</v>
      </c>
      <c r="H25275" s="0" t="str">
        <f aca="false">HYPERLINK("https://lindat.mff.cuni.cz/services/SynSemClass40/SynSemClass40.html?veclass=vec00595#vec00595-ces-cm00004", "vec00595")</f>
        <v>vec00595</v>
      </c>
      <c r="I25275" s="0" t="s">
        <v>9863</v>
      </c>
    </row>
    <row r="25276" customFormat="false" ht="12.8" hidden="false" customHeight="false" outlineLevel="0" collapsed="false">
      <c r="B25276" s="0" t="s">
        <v>1</v>
      </c>
      <c r="C25276" s="0" t="s">
        <v>255</v>
      </c>
      <c r="E25276" s="0" t="s">
        <v>31</v>
      </c>
      <c r="F25276" s="0" t="s">
        <v>5993</v>
      </c>
      <c r="H25276" s="0" t="s">
        <v>206</v>
      </c>
      <c r="I25276" s="0" t="s">
        <v>9275</v>
      </c>
    </row>
    <row r="25277" customFormat="false" ht="12.8" hidden="false" customHeight="false" outlineLevel="0" collapsed="false">
      <c r="B25277" s="0" t="s">
        <v>8</v>
      </c>
      <c r="C25277" s="0" t="s">
        <v>10307</v>
      </c>
      <c r="E25277" s="0" t="s">
        <v>34</v>
      </c>
      <c r="F25277" s="0" t="s">
        <v>5995</v>
      </c>
      <c r="H25277" s="0" t="s">
        <v>1847</v>
      </c>
      <c r="I25277" s="0" t="s">
        <v>9865</v>
      </c>
    </row>
    <row r="25278" customFormat="false" ht="12.8" hidden="false" customHeight="false" outlineLevel="0" collapsed="false">
      <c r="B25278" s="0" t="s">
        <v>602</v>
      </c>
      <c r="C25278" s="0" t="s">
        <v>10301</v>
      </c>
      <c r="E25278" s="0" t="s">
        <v>9867</v>
      </c>
      <c r="F25278" s="0" t="s">
        <v>10302</v>
      </c>
      <c r="H25278" s="0" t="s">
        <v>9867</v>
      </c>
      <c r="I25278" s="0" t="s">
        <v>9868</v>
      </c>
    </row>
    <row r="25280" customFormat="false" ht="12.8" hidden="false" customHeight="false" outlineLevel="0" collapsed="false">
      <c r="A25280" s="0" t="s">
        <v>10308</v>
      </c>
      <c r="B25280" s="0" t="str">
        <f aca="false">HYPERLINK("https://lindat.mff.cuni.cz/services/teitok/pdtc10/index.php?action=vallex&amp;frame=v-w2615f1", "očkovat (v-w2615f1)")</f>
        <v>očkovat (v-w2615f1)</v>
      </c>
    </row>
    <row r="25281" customFormat="false" ht="12.8" hidden="false" customHeight="false" outlineLevel="0" collapsed="false">
      <c r="B25281" s="0" t="s">
        <v>1</v>
      </c>
    </row>
    <row r="25282" customFormat="false" ht="12.8" hidden="false" customHeight="false" outlineLevel="0" collapsed="false">
      <c r="B25282" s="0" t="s">
        <v>8</v>
      </c>
    </row>
    <row r="25284" customFormat="false" ht="12.8" hidden="false" customHeight="false" outlineLevel="0" collapsed="false">
      <c r="A25284" s="0" t="s">
        <v>10309</v>
      </c>
      <c r="B25284" s="0" t="str">
        <f aca="false">HYPERLINK("https://lindat.mff.cuni.cz/services/teitok/pdtc10/index.php?action=vallex&amp;frame=v-w11777_ZUf1_ZU", "očuchávat (v-w11777_ZUf1_ZU)")</f>
        <v>očuchávat (v-w11777_ZUf1_ZU)</v>
      </c>
    </row>
    <row r="25285" customFormat="false" ht="12.8" hidden="false" customHeight="false" outlineLevel="0" collapsed="false">
      <c r="B25285" s="0" t="s">
        <v>1</v>
      </c>
    </row>
    <row r="25286" customFormat="false" ht="12.8" hidden="false" customHeight="false" outlineLevel="0" collapsed="false">
      <c r="B25286" s="0" t="s">
        <v>8</v>
      </c>
    </row>
    <row r="25288" customFormat="false" ht="12.8" hidden="false" customHeight="false" outlineLevel="0" collapsed="false">
      <c r="A25288" s="0" t="s">
        <v>10310</v>
      </c>
      <c r="B25288" s="0" t="str">
        <f aca="false">HYPERLINK("https://lindat.mff.cuni.cz/services/teitok/pdtc10/index.php?action=vallex&amp;frame=v-w2610f1", "očíslovat (v-w2610f1)")</f>
        <v>očíslovat (v-w2610f1)</v>
      </c>
    </row>
    <row r="25289" customFormat="false" ht="12.8" hidden="false" customHeight="false" outlineLevel="0" collapsed="false">
      <c r="B25289" s="0" t="s">
        <v>1</v>
      </c>
    </row>
    <row r="25290" customFormat="false" ht="12.8" hidden="false" customHeight="false" outlineLevel="0" collapsed="false">
      <c r="B25290" s="0" t="s">
        <v>8</v>
      </c>
    </row>
    <row r="25292" customFormat="false" ht="12.8" hidden="false" customHeight="false" outlineLevel="0" collapsed="false">
      <c r="A25292" s="0" t="s">
        <v>10311</v>
      </c>
      <c r="B25292" s="0" t="str">
        <f aca="false">HYPERLINK("https://lindat.mff.cuni.cz/services/teitok/pdtc10/index.php?action=vallex&amp;frame=v-w10292f3", "ořezat (v-w10292f3)")</f>
        <v>ořezat (v-w10292f3)</v>
      </c>
    </row>
    <row r="25293" customFormat="false" ht="12.8" hidden="false" customHeight="false" outlineLevel="0" collapsed="false">
      <c r="B25293" s="0" t="s">
        <v>1</v>
      </c>
    </row>
    <row r="25294" customFormat="false" ht="12.8" hidden="false" customHeight="false" outlineLevel="0" collapsed="false">
      <c r="B25294" s="0" t="s">
        <v>814</v>
      </c>
    </row>
    <row r="25295" customFormat="false" ht="12.8" hidden="false" customHeight="false" outlineLevel="0" collapsed="false">
      <c r="B25295" s="0" t="s">
        <v>98</v>
      </c>
    </row>
    <row r="25297" customFormat="false" ht="12.8" hidden="false" customHeight="false" outlineLevel="0" collapsed="false">
      <c r="A25297" s="0" t="s">
        <v>10312</v>
      </c>
      <c r="B25297" s="0" t="str">
        <f aca="false">HYPERLINK("https://lindat.mff.cuni.cz/services/teitok/pdtc10/index.php?action=vallex&amp;frame=v-w10292f6", "ořezat (v-w10292f6)")</f>
        <v>ořezat (v-w10292f6)</v>
      </c>
      <c r="E25297" s="0" t="str">
        <f aca="false">HYPERLINK("https://lindat.mff.cuni.cz/services/SynSemClass40/SynSemClass40.html?veclass=vec01508#vec01508-ces-cm00016", "vec01508")</f>
        <v>vec01508</v>
      </c>
      <c r="F25297" s="0" t="s">
        <v>9644</v>
      </c>
    </row>
    <row r="25298" customFormat="false" ht="12.8" hidden="false" customHeight="false" outlineLevel="0" collapsed="false">
      <c r="B25298" s="0" t="s">
        <v>1</v>
      </c>
      <c r="C25298" s="0" t="s">
        <v>9650</v>
      </c>
      <c r="E25298" s="0" t="s">
        <v>5401</v>
      </c>
      <c r="F25298" s="0" t="s">
        <v>9646</v>
      </c>
    </row>
    <row r="25299" customFormat="false" ht="12.8" hidden="false" customHeight="false" outlineLevel="0" collapsed="false">
      <c r="B25299" s="0" t="s">
        <v>8</v>
      </c>
      <c r="C25299" s="0" t="s">
        <v>9651</v>
      </c>
      <c r="E25299" s="0" t="s">
        <v>5405</v>
      </c>
      <c r="F25299" s="0" t="s">
        <v>9648</v>
      </c>
    </row>
    <row r="25300" customFormat="false" ht="12.8" hidden="false" customHeight="false" outlineLevel="0" collapsed="false">
      <c r="B25300" s="0" t="s">
        <v>36</v>
      </c>
      <c r="C25300" s="0" t="s">
        <v>10313</v>
      </c>
      <c r="E25300" s="0" t="s">
        <v>38</v>
      </c>
      <c r="F25300" s="0" t="s">
        <v>9691</v>
      </c>
    </row>
    <row r="25301" customFormat="false" ht="12.8" hidden="false" customHeight="false" outlineLevel="0" collapsed="false">
      <c r="B25301" s="0" t="s">
        <v>10314</v>
      </c>
      <c r="C25301" s="0" t="s">
        <v>10315</v>
      </c>
      <c r="E25301" s="0" t="s">
        <v>42</v>
      </c>
      <c r="F25301" s="0" t="s">
        <v>9693</v>
      </c>
    </row>
    <row r="25303" customFormat="false" ht="12.8" hidden="false" customHeight="false" outlineLevel="0" collapsed="false">
      <c r="A25303" s="0" t="s">
        <v>10316</v>
      </c>
      <c r="B25303" s="0" t="str">
        <f aca="false">HYPERLINK("https://lindat.mff.cuni.cz/services/teitok/pdtc10/index.php?action=vallex&amp;frame=v-w10292f5", "ořezat (v-w10292f5)")</f>
        <v>ořezat (v-w10292f5)</v>
      </c>
    </row>
    <row r="25304" customFormat="false" ht="12.8" hidden="false" customHeight="false" outlineLevel="0" collapsed="false">
      <c r="B25304" s="0" t="s">
        <v>1</v>
      </c>
    </row>
    <row r="25305" customFormat="false" ht="12.8" hidden="false" customHeight="false" outlineLevel="0" collapsed="false">
      <c r="B25305" s="0" t="s">
        <v>8</v>
      </c>
    </row>
    <row r="25307" customFormat="false" ht="12.8" hidden="false" customHeight="false" outlineLevel="0" collapsed="false">
      <c r="A25307" s="0" t="s">
        <v>10317</v>
      </c>
      <c r="B25307" s="0" t="str">
        <f aca="false">HYPERLINK("https://lindat.mff.cuni.cz/services/teitok/pdtc10/index.php?action=vallex&amp;frame=v-whsa_1162hsa_1163", "ořezávat (v-whsa_1162hsa_1163)")</f>
        <v>ořezávat (v-whsa_1162hsa_1163)</v>
      </c>
      <c r="E25307" s="0" t="str">
        <f aca="false">HYPERLINK("https://lindat.mff.cuni.cz/services/SynSemClass40/SynSemClass40.html?veclass=vec01508#vec01508-ces-cm00017", "vec01508")</f>
        <v>vec01508</v>
      </c>
      <c r="F25307" s="0" t="s">
        <v>9644</v>
      </c>
    </row>
    <row r="25308" customFormat="false" ht="12.8" hidden="false" customHeight="false" outlineLevel="0" collapsed="false">
      <c r="B25308" s="0" t="s">
        <v>1</v>
      </c>
      <c r="C25308" s="0" t="s">
        <v>9650</v>
      </c>
      <c r="E25308" s="0" t="s">
        <v>5401</v>
      </c>
      <c r="F25308" s="0" t="s">
        <v>9646</v>
      </c>
    </row>
    <row r="25309" customFormat="false" ht="12.8" hidden="false" customHeight="false" outlineLevel="0" collapsed="false">
      <c r="B25309" s="0" t="s">
        <v>8</v>
      </c>
      <c r="C25309" s="0" t="s">
        <v>9651</v>
      </c>
      <c r="E25309" s="0" t="s">
        <v>5405</v>
      </c>
      <c r="F25309" s="0" t="s">
        <v>9648</v>
      </c>
    </row>
    <row r="25311" customFormat="false" ht="12.8" hidden="false" customHeight="false" outlineLevel="0" collapsed="false">
      <c r="A25311" s="0" t="s">
        <v>10318</v>
      </c>
      <c r="B25311" s="0" t="str">
        <f aca="false">HYPERLINK("https://lindat.mff.cuni.cz/services/teitok/pdtc10/index.php?action=vallex&amp;frame=v-w11153f2", "oříznout (v-w11153f2)")</f>
        <v>oříznout (v-w11153f2)</v>
      </c>
    </row>
    <row r="25312" customFormat="false" ht="12.8" hidden="false" customHeight="false" outlineLevel="0" collapsed="false">
      <c r="B25312" s="0" t="s">
        <v>1</v>
      </c>
    </row>
    <row r="25313" customFormat="false" ht="12.8" hidden="false" customHeight="false" outlineLevel="0" collapsed="false">
      <c r="B25313" s="0" t="s">
        <v>8</v>
      </c>
    </row>
    <row r="25314" customFormat="false" ht="12.8" hidden="false" customHeight="false" outlineLevel="0" collapsed="false">
      <c r="B25314" s="0" t="s">
        <v>101</v>
      </c>
    </row>
    <row r="25316" customFormat="false" ht="12.8" hidden="false" customHeight="false" outlineLevel="0" collapsed="false">
      <c r="A25316" s="0" t="s">
        <v>10319</v>
      </c>
      <c r="B25316" s="0" t="str">
        <f aca="false">HYPERLINK("https://lindat.mff.cuni.cz/services/teitok/pdtc10/index.php?action=vallex&amp;frame=v-w3238f2_ZU", "ošetřit (v-w3238f2_ZU)")</f>
        <v>ošetřit (v-w3238f2_ZU)</v>
      </c>
    </row>
    <row r="25317" customFormat="false" ht="12.8" hidden="false" customHeight="false" outlineLevel="0" collapsed="false">
      <c r="B25317" s="0" t="s">
        <v>1</v>
      </c>
    </row>
    <row r="25318" customFormat="false" ht="12.8" hidden="false" customHeight="false" outlineLevel="0" collapsed="false">
      <c r="B25318" s="0" t="s">
        <v>8</v>
      </c>
    </row>
    <row r="25320" customFormat="false" ht="12.8" hidden="false" customHeight="false" outlineLevel="0" collapsed="false">
      <c r="A25320" s="0" t="s">
        <v>10319</v>
      </c>
      <c r="B25320" s="0" t="str">
        <f aca="false">HYPERLINK("https://lindat.mff.cuni.cz/services/teitok/pdtc10/index.php?action=vallex&amp;frame=v-w3238f1", "ošetřit (v-w3238f1) - substituted with v-w3238f2_ZU")</f>
        <v>ošetřit (v-w3238f1) - substituted with v-w3238f2_ZU</v>
      </c>
      <c r="E25320" s="0" t="str">
        <f aca="false">HYPERLINK("https://lindat.mff.cuni.cz/services/SynSemClass40/SynSemClass40.html?veclass=vec00664#vec00664-ces-cm00004", "vec00664")</f>
        <v>vec00664</v>
      </c>
      <c r="F25320" s="0" t="s">
        <v>6151</v>
      </c>
    </row>
    <row r="25321" customFormat="false" ht="12.8" hidden="false" customHeight="false" outlineLevel="0" collapsed="false">
      <c r="B25321" s="0" t="s">
        <v>1</v>
      </c>
      <c r="C25321" s="0" t="s">
        <v>459</v>
      </c>
      <c r="E25321" s="0" t="s">
        <v>3021</v>
      </c>
      <c r="F25321" s="0" t="s">
        <v>6152</v>
      </c>
    </row>
    <row r="25322" customFormat="false" ht="12.8" hidden="false" customHeight="false" outlineLevel="0" collapsed="false">
      <c r="B25322" s="0" t="s">
        <v>8</v>
      </c>
      <c r="C25322" s="0" t="s">
        <v>7654</v>
      </c>
      <c r="E25322" s="0" t="s">
        <v>4438</v>
      </c>
      <c r="F25322" s="0" t="s">
        <v>10320</v>
      </c>
    </row>
    <row r="25324" customFormat="false" ht="12.8" hidden="false" customHeight="false" outlineLevel="0" collapsed="false">
      <c r="A25324" s="0" t="s">
        <v>10321</v>
      </c>
      <c r="B25324" s="0" t="str">
        <f aca="false">HYPERLINK("https://lindat.mff.cuni.cz/services/teitok/pdtc10/index.php?action=vallex&amp;frame=v-w3238hsa_941", "ošetřit (v-w3238hsa_941)")</f>
        <v>ošetřit (v-w3238hsa_941)</v>
      </c>
      <c r="E25324" s="0" t="str">
        <f aca="false">HYPERLINK("https://lindat.mff.cuni.cz/services/SynSemClass40/SynSemClass40.html?veclass=vec00301#vec00301-ces-cm00028", "vec00301")</f>
        <v>vec00301</v>
      </c>
      <c r="F25324" s="0" t="s">
        <v>3165</v>
      </c>
    </row>
    <row r="25325" customFormat="false" ht="12.8" hidden="false" customHeight="false" outlineLevel="0" collapsed="false">
      <c r="B25325" s="0" t="s">
        <v>1</v>
      </c>
      <c r="C25325" s="0" t="s">
        <v>10322</v>
      </c>
      <c r="E25325" s="0" t="s">
        <v>31</v>
      </c>
      <c r="F25325" s="0" t="s">
        <v>3167</v>
      </c>
    </row>
    <row r="25326" customFormat="false" ht="12.8" hidden="false" customHeight="false" outlineLevel="0" collapsed="false">
      <c r="B25326" s="0" t="s">
        <v>8</v>
      </c>
      <c r="C25326" s="0" t="s">
        <v>10323</v>
      </c>
      <c r="E25326" s="0" t="s">
        <v>230</v>
      </c>
      <c r="F25326" s="0" t="s">
        <v>3170</v>
      </c>
    </row>
    <row r="25328" customFormat="false" ht="12.8" hidden="false" customHeight="false" outlineLevel="0" collapsed="false">
      <c r="A25328" s="0" t="s">
        <v>10324</v>
      </c>
      <c r="B25328" s="0" t="str">
        <f aca="false">HYPERLINK("https://lindat.mff.cuni.cz/services/teitok/pdtc10/index.php?action=vallex&amp;frame=v-w3240f1", "ošetřovat (v-w3240f1)")</f>
        <v>ošetřovat (v-w3240f1)</v>
      </c>
      <c r="E25328" s="0" t="str">
        <f aca="false">HYPERLINK("https://lindat.mff.cuni.cz/services/SynSemClass40/SynSemClass40.html?veclass=vec00664#vec00664-ces-cm00001", "vec00664")</f>
        <v>vec00664</v>
      </c>
      <c r="F25328" s="0" t="s">
        <v>6151</v>
      </c>
    </row>
    <row r="25329" customFormat="false" ht="12.8" hidden="false" customHeight="false" outlineLevel="0" collapsed="false">
      <c r="B25329" s="0" t="s">
        <v>1</v>
      </c>
      <c r="C25329" s="0" t="s">
        <v>459</v>
      </c>
      <c r="E25329" s="0" t="s">
        <v>3021</v>
      </c>
      <c r="F25329" s="0" t="s">
        <v>6152</v>
      </c>
    </row>
    <row r="25330" customFormat="false" ht="12.8" hidden="false" customHeight="false" outlineLevel="0" collapsed="false">
      <c r="B25330" s="0" t="s">
        <v>8</v>
      </c>
      <c r="C25330" s="0" t="s">
        <v>7654</v>
      </c>
      <c r="E25330" s="0" t="s">
        <v>4438</v>
      </c>
      <c r="F25330" s="0" t="s">
        <v>10320</v>
      </c>
    </row>
    <row r="25332" customFormat="false" ht="12.8" hidden="false" customHeight="false" outlineLevel="0" collapsed="false">
      <c r="A25332" s="0" t="s">
        <v>10325</v>
      </c>
      <c r="B25332" s="0" t="str">
        <f aca="false">HYPERLINK("https://lindat.mff.cuni.cz/services/teitok/pdtc10/index.php?action=vallex&amp;frame=v-w3242f2_ZU", "ošidit (v-w3242f2_ZU)")</f>
        <v>ošidit (v-w3242f2_ZU)</v>
      </c>
    </row>
    <row r="25333" customFormat="false" ht="12.8" hidden="false" customHeight="false" outlineLevel="0" collapsed="false">
      <c r="B25333" s="0" t="s">
        <v>1</v>
      </c>
    </row>
    <row r="25334" customFormat="false" ht="12.8" hidden="false" customHeight="false" outlineLevel="0" collapsed="false">
      <c r="B25334" s="0" t="s">
        <v>8</v>
      </c>
    </row>
    <row r="25336" customFormat="false" ht="12.8" hidden="false" customHeight="false" outlineLevel="0" collapsed="false">
      <c r="A25336" s="0" t="s">
        <v>10325</v>
      </c>
      <c r="B25336" s="0" t="str">
        <f aca="false">HYPERLINK("https://lindat.mff.cuni.cz/services/teitok/pdtc10/index.php?action=vallex&amp;frame=v-w3242f1", "ošidit (v-w3242f1) - substituted with v-w3242f2_ZU")</f>
        <v>ošidit (v-w3242f1) - substituted with v-w3242f2_ZU</v>
      </c>
      <c r="E25336" s="0" t="str">
        <f aca="false">HYPERLINK("https://lindat.mff.cuni.cz/services/SynSemClass40/SynSemClass40.html?veclass=vec00671#vec00671-ces-cm00006", "vec00671")</f>
        <v>vec00671</v>
      </c>
      <c r="F25336" s="0" t="s">
        <v>8286</v>
      </c>
    </row>
    <row r="25337" customFormat="false" ht="12.8" hidden="false" customHeight="false" outlineLevel="0" collapsed="false">
      <c r="B25337" s="0" t="s">
        <v>1</v>
      </c>
      <c r="C25337" s="0" t="s">
        <v>4695</v>
      </c>
      <c r="E25337" s="0" t="s">
        <v>4726</v>
      </c>
      <c r="F25337" s="0" t="s">
        <v>8287</v>
      </c>
    </row>
    <row r="25338" customFormat="false" ht="12.8" hidden="false" customHeight="false" outlineLevel="0" collapsed="false">
      <c r="B25338" s="0" t="s">
        <v>8</v>
      </c>
      <c r="C25338" s="0" t="s">
        <v>2082</v>
      </c>
      <c r="E25338" s="0" t="s">
        <v>199</v>
      </c>
      <c r="F25338" s="0" t="s">
        <v>8288</v>
      </c>
    </row>
    <row r="25340" customFormat="false" ht="12.8" hidden="false" customHeight="false" outlineLevel="0" collapsed="false">
      <c r="A25340" s="0" t="s">
        <v>10326</v>
      </c>
      <c r="B25340" s="0" t="str">
        <f aca="false">HYPERLINK("https://lindat.mff.cuni.cz/services/teitok/pdtc10/index.php?action=vallex&amp;frame=v-whsa_1591hsa_1592", "ošklíbat se (v-whsa_1591hsa_1592)")</f>
        <v>ošklíbat se (v-whsa_1591hsa_1592)</v>
      </c>
    </row>
    <row r="25341" customFormat="false" ht="12.8" hidden="false" customHeight="false" outlineLevel="0" collapsed="false">
      <c r="B25341" s="0" t="s">
        <v>1</v>
      </c>
    </row>
    <row r="25342" customFormat="false" ht="12.8" hidden="false" customHeight="false" outlineLevel="0" collapsed="false">
      <c r="B25342" s="0" t="s">
        <v>10327</v>
      </c>
    </row>
    <row r="25344" customFormat="false" ht="12.8" hidden="false" customHeight="false" outlineLevel="0" collapsed="false">
      <c r="A25344" s="0" t="s">
        <v>10328</v>
      </c>
      <c r="B25344" s="0" t="str">
        <f aca="false">HYPERLINK("https://lindat.mff.cuni.cz/services/teitok/pdtc10/index.php?action=vallex&amp;frame=v-whsa_96hsa_97", "oškrábat (v-whsa_96hsa_97)")</f>
        <v>oškrábat (v-whsa_96hsa_97)</v>
      </c>
    </row>
    <row r="25345" customFormat="false" ht="12.8" hidden="false" customHeight="false" outlineLevel="0" collapsed="false">
      <c r="B25345" s="0" t="s">
        <v>1</v>
      </c>
    </row>
    <row r="25346" customFormat="false" ht="12.8" hidden="false" customHeight="false" outlineLevel="0" collapsed="false">
      <c r="B25346" s="0" t="s">
        <v>8</v>
      </c>
    </row>
    <row r="25348" customFormat="false" ht="12.8" hidden="false" customHeight="false" outlineLevel="0" collapsed="false">
      <c r="A25348" s="0" t="s">
        <v>10329</v>
      </c>
      <c r="B25348" s="0" t="str">
        <f aca="false">HYPERLINK("https://lindat.mff.cuni.cz/services/teitok/pdtc10/index.php?action=vallex&amp;frame=v-w11129f2", "oškubat (v-w11129f2)")</f>
        <v>oškubat (v-w11129f2)</v>
      </c>
    </row>
    <row r="25349" customFormat="false" ht="12.8" hidden="false" customHeight="false" outlineLevel="0" collapsed="false">
      <c r="B25349" s="0" t="s">
        <v>1</v>
      </c>
    </row>
    <row r="25350" customFormat="false" ht="12.8" hidden="false" customHeight="false" outlineLevel="0" collapsed="false">
      <c r="B25350" s="0" t="s">
        <v>98</v>
      </c>
    </row>
    <row r="25351" customFormat="false" ht="12.8" hidden="false" customHeight="false" outlineLevel="0" collapsed="false">
      <c r="B25351" s="0" t="s">
        <v>3152</v>
      </c>
    </row>
    <row r="25353" customFormat="false" ht="12.8" hidden="false" customHeight="false" outlineLevel="0" collapsed="false">
      <c r="A25353" s="0" t="s">
        <v>10330</v>
      </c>
      <c r="B25353" s="0" t="str">
        <f aca="false">HYPERLINK("https://lindat.mff.cuni.cz/services/teitok/pdtc10/index.php?action=vallex&amp;frame=v-w3243f1", "ošlapat (v-w3243f1)")</f>
        <v>ošlapat (v-w3243f1)</v>
      </c>
    </row>
    <row r="25354" customFormat="false" ht="12.8" hidden="false" customHeight="false" outlineLevel="0" collapsed="false">
      <c r="B25354" s="0" t="s">
        <v>1</v>
      </c>
    </row>
    <row r="25355" customFormat="false" ht="12.8" hidden="false" customHeight="false" outlineLevel="0" collapsed="false">
      <c r="B25355" s="0" t="s">
        <v>8</v>
      </c>
    </row>
    <row r="25357" customFormat="false" ht="12.8" hidden="false" customHeight="false" outlineLevel="0" collapsed="false">
      <c r="A25357" s="0" t="s">
        <v>10331</v>
      </c>
      <c r="B25357" s="0" t="str">
        <f aca="false">HYPERLINK("https://lindat.mff.cuni.cz/services/teitok/pdtc10/index.php?action=vallex&amp;frame=v-w3244f1", "ošoustat (v-w3244f1)")</f>
        <v>ošoustat (v-w3244f1)</v>
      </c>
    </row>
    <row r="25358" customFormat="false" ht="12.8" hidden="false" customHeight="false" outlineLevel="0" collapsed="false">
      <c r="B25358" s="0" t="s">
        <v>1</v>
      </c>
    </row>
    <row r="25359" customFormat="false" ht="12.8" hidden="false" customHeight="false" outlineLevel="0" collapsed="false">
      <c r="B25359" s="0" t="s">
        <v>8</v>
      </c>
    </row>
    <row r="25361" customFormat="false" ht="12.8" hidden="false" customHeight="false" outlineLevel="0" collapsed="false">
      <c r="A25361" s="0" t="s">
        <v>10332</v>
      </c>
      <c r="B25361" s="0" t="str">
        <f aca="false">HYPERLINK("https://lindat.mff.cuni.cz/services/teitok/pdtc10/index.php?action=vallex&amp;frame=v-w12192_ZUf1_ZU", "ošplouchnout (v-w12192_ZUf1_ZU)")</f>
        <v>ošplouchnout (v-w12192_ZUf1_ZU)</v>
      </c>
    </row>
    <row r="25362" customFormat="false" ht="12.8" hidden="false" customHeight="false" outlineLevel="0" collapsed="false">
      <c r="B25362" s="0" t="s">
        <v>1</v>
      </c>
    </row>
    <row r="25363" customFormat="false" ht="12.8" hidden="false" customHeight="false" outlineLevel="0" collapsed="false">
      <c r="B25363" s="0" t="s">
        <v>8</v>
      </c>
    </row>
    <row r="25365" customFormat="false" ht="12.8" hidden="false" customHeight="false" outlineLevel="0" collapsed="false">
      <c r="A25365" s="0" t="s">
        <v>10333</v>
      </c>
      <c r="B25365" s="0" t="str">
        <f aca="false">HYPERLINK("https://lindat.mff.cuni.cz/services/teitok/pdtc10/index.php?action=vallex&amp;frame=v-w11795_ZUf1_ZU", "oštipovat (v-w11795_ZUf1_ZU)")</f>
        <v>oštipovat (v-w11795_ZUf1_ZU)</v>
      </c>
    </row>
    <row r="25366" customFormat="false" ht="12.8" hidden="false" customHeight="false" outlineLevel="0" collapsed="false">
      <c r="B25366" s="0" t="s">
        <v>1</v>
      </c>
    </row>
    <row r="25367" customFormat="false" ht="12.8" hidden="false" customHeight="false" outlineLevel="0" collapsed="false">
      <c r="B25367" s="0" t="s">
        <v>8</v>
      </c>
    </row>
    <row r="25369" customFormat="false" ht="12.8" hidden="false" customHeight="false" outlineLevel="0" collapsed="false">
      <c r="A25369" s="0" t="s">
        <v>10334</v>
      </c>
      <c r="B25369" s="0" t="str">
        <f aca="false">HYPERLINK("https://lindat.mff.cuni.cz/services/teitok/pdtc10/index.php?action=vallex&amp;frame=v-whsa_1456hsa_1457", "ošukat (v-whsa_1456hsa_1457)")</f>
        <v>ošukat (v-whsa_1456hsa_1457)</v>
      </c>
    </row>
    <row r="25370" customFormat="false" ht="12.8" hidden="false" customHeight="false" outlineLevel="0" collapsed="false">
      <c r="B25370" s="0" t="s">
        <v>1</v>
      </c>
    </row>
    <row r="25371" customFormat="false" ht="12.8" hidden="false" customHeight="false" outlineLevel="0" collapsed="false">
      <c r="B25371" s="0" t="s">
        <v>8</v>
      </c>
    </row>
    <row r="25373" customFormat="false" ht="12.8" hidden="false" customHeight="false" outlineLevel="0" collapsed="false">
      <c r="A25373" s="0" t="s">
        <v>10335</v>
      </c>
      <c r="B25373" s="0" t="str">
        <f aca="false">HYPERLINK("https://lindat.mff.cuni.cz/services/teitok/pdtc10/index.php?action=vallex&amp;frame=v-w11185f2", "ošálit (v-w11185f2)")</f>
        <v>ošálit (v-w11185f2)</v>
      </c>
      <c r="E25373" s="0" t="str">
        <f aca="false">HYPERLINK("https://lindat.mff.cuni.cz/services/SynSemClass40/SynSemClass40.html?veclass=vec00860#vec00860-ces-cm00001", "vec00860")</f>
        <v>vec00860</v>
      </c>
      <c r="F25373" s="0" t="s">
        <v>10336</v>
      </c>
    </row>
    <row r="25374" customFormat="false" ht="12.8" hidden="false" customHeight="false" outlineLevel="0" collapsed="false">
      <c r="B25374" s="0" t="s">
        <v>1</v>
      </c>
      <c r="C25374" s="0" t="s">
        <v>4695</v>
      </c>
      <c r="E25374" s="0" t="s">
        <v>4726</v>
      </c>
      <c r="F25374" s="0" t="s">
        <v>8287</v>
      </c>
    </row>
    <row r="25375" customFormat="false" ht="12.8" hidden="false" customHeight="false" outlineLevel="0" collapsed="false">
      <c r="B25375" s="0" t="s">
        <v>8</v>
      </c>
      <c r="C25375" s="0" t="s">
        <v>744</v>
      </c>
      <c r="E25375" s="0" t="s">
        <v>199</v>
      </c>
      <c r="F25375" s="0" t="s">
        <v>5727</v>
      </c>
    </row>
    <row r="25377" customFormat="false" ht="12.8" hidden="false" customHeight="false" outlineLevel="0" collapsed="false">
      <c r="A25377" s="0" t="s">
        <v>10337</v>
      </c>
      <c r="B25377" s="0" t="str">
        <f aca="false">HYPERLINK("https://lindat.mff.cuni.cz/services/teitok/pdtc10/index.php?action=vallex&amp;frame=v-w3283f1", "oťukat (v-w3283f1)")</f>
        <v>oťukat (v-w3283f1)</v>
      </c>
    </row>
    <row r="25378" customFormat="false" ht="12.8" hidden="false" customHeight="false" outlineLevel="0" collapsed="false">
      <c r="B25378" s="0" t="s">
        <v>1</v>
      </c>
    </row>
    <row r="25379" customFormat="false" ht="12.8" hidden="false" customHeight="false" outlineLevel="0" collapsed="false">
      <c r="B25379" s="0" t="s">
        <v>10338</v>
      </c>
    </row>
    <row r="25381" customFormat="false" ht="12.8" hidden="false" customHeight="false" outlineLevel="0" collapsed="false">
      <c r="A25381" s="0" t="s">
        <v>10339</v>
      </c>
      <c r="B25381" s="0" t="str">
        <f aca="false">HYPERLINK("https://lindat.mff.cuni.cz/services/teitok/pdtc10/index.php?action=vallex&amp;frame=v-w11663_ZUf2_ZU", "ožebračit (v-w11663_ZUf2_ZU)")</f>
        <v>ožebračit (v-w11663_ZUf2_ZU)</v>
      </c>
    </row>
    <row r="25382" customFormat="false" ht="12.8" hidden="false" customHeight="false" outlineLevel="0" collapsed="false">
      <c r="B25382" s="0" t="s">
        <v>1</v>
      </c>
    </row>
    <row r="25383" customFormat="false" ht="12.8" hidden="false" customHeight="false" outlineLevel="0" collapsed="false">
      <c r="B25383" s="0" t="s">
        <v>814</v>
      </c>
    </row>
    <row r="25384" customFormat="false" ht="12.8" hidden="false" customHeight="false" outlineLevel="0" collapsed="false">
      <c r="B25384" s="0" t="s">
        <v>98</v>
      </c>
    </row>
    <row r="25386" customFormat="false" ht="12.8" hidden="false" customHeight="false" outlineLevel="0" collapsed="false">
      <c r="A25386" s="0" t="s">
        <v>10339</v>
      </c>
      <c r="B25386" s="0" t="str">
        <f aca="false">HYPERLINK("https://lindat.mff.cuni.cz/services/teitok/pdtc10/index.php?action=vallex&amp;frame=v-w11663_ZUf1_ZU", "ožebračit (v-w11663_ZUf1_ZU) - substituted with v-w11663_ZUf2_ZU")</f>
        <v>ožebračit (v-w11663_ZUf1_ZU) - substituted with v-w11663_ZUf2_ZU</v>
      </c>
    </row>
    <row r="25387" customFormat="false" ht="12.8" hidden="false" customHeight="false" outlineLevel="0" collapsed="false">
      <c r="B25387" s="0" t="s">
        <v>1</v>
      </c>
    </row>
    <row r="25388" customFormat="false" ht="12.8" hidden="false" customHeight="false" outlineLevel="0" collapsed="false">
      <c r="B25388" s="0" t="s">
        <v>814</v>
      </c>
    </row>
    <row r="25389" customFormat="false" ht="12.8" hidden="false" customHeight="false" outlineLevel="0" collapsed="false">
      <c r="B25389" s="0" t="s">
        <v>98</v>
      </c>
    </row>
    <row r="25391" customFormat="false" ht="12.8" hidden="false" customHeight="false" outlineLevel="0" collapsed="false">
      <c r="A25391" s="0" t="s">
        <v>10340</v>
      </c>
      <c r="B25391" s="0" t="str">
        <f aca="false">HYPERLINK("https://lindat.mff.cuni.cz/services/teitok/pdtc10/index.php?action=vallex&amp;frame=v-w3337f1", "ožebračovat (v-w3337f1)")</f>
        <v>ožebračovat (v-w3337f1)</v>
      </c>
    </row>
    <row r="25392" customFormat="false" ht="12.8" hidden="false" customHeight="false" outlineLevel="0" collapsed="false">
      <c r="B25392" s="0" t="s">
        <v>1</v>
      </c>
    </row>
    <row r="25393" customFormat="false" ht="12.8" hidden="false" customHeight="false" outlineLevel="0" collapsed="false">
      <c r="B25393" s="0" t="s">
        <v>814</v>
      </c>
    </row>
    <row r="25394" customFormat="false" ht="12.8" hidden="false" customHeight="false" outlineLevel="0" collapsed="false">
      <c r="B25394" s="0" t="s">
        <v>98</v>
      </c>
    </row>
    <row r="25396" customFormat="false" ht="12.8" hidden="false" customHeight="false" outlineLevel="0" collapsed="false">
      <c r="A25396" s="0" t="s">
        <v>10341</v>
      </c>
      <c r="B25396" s="0" t="str">
        <f aca="false">HYPERLINK("https://lindat.mff.cuni.cz/services/teitok/pdtc10/index.php?action=vallex&amp;frame=v-w3338f1", "oženit (v-w3338f1)")</f>
        <v>oženit (v-w3338f1)</v>
      </c>
    </row>
    <row r="25397" customFormat="false" ht="12.8" hidden="false" customHeight="false" outlineLevel="0" collapsed="false">
      <c r="B25397" s="0" t="s">
        <v>1</v>
      </c>
    </row>
    <row r="25398" customFormat="false" ht="12.8" hidden="false" customHeight="false" outlineLevel="0" collapsed="false">
      <c r="B25398" s="0" t="s">
        <v>8</v>
      </c>
    </row>
    <row r="25399" customFormat="false" ht="12.8" hidden="false" customHeight="false" outlineLevel="0" collapsed="false">
      <c r="B25399" s="0" t="s">
        <v>3205</v>
      </c>
    </row>
    <row r="25401" customFormat="false" ht="12.8" hidden="false" customHeight="false" outlineLevel="0" collapsed="false">
      <c r="A25401" s="0" t="s">
        <v>10342</v>
      </c>
      <c r="B25401" s="0" t="str">
        <f aca="false">HYPERLINK("https://lindat.mff.cuni.cz/services/teitok/pdtc10/index.php?action=vallex&amp;frame=v-w3339f1", "oženit se (v-w3339f1)")</f>
        <v>oženit se (v-w3339f1)</v>
      </c>
      <c r="E25401" s="0" t="str">
        <f aca="false">HYPERLINK("https://lindat.mff.cuni.cz/services/SynSemClass40/SynSemClass40.html?veclass=vec00863#vec00863-ces-cm00001", "vec00863")</f>
        <v>vec00863</v>
      </c>
      <c r="F25401" s="0" t="s">
        <v>10343</v>
      </c>
    </row>
    <row r="25402" customFormat="false" ht="12.8" hidden="false" customHeight="false" outlineLevel="0" collapsed="false">
      <c r="B25402" s="0" t="s">
        <v>1</v>
      </c>
      <c r="C25402" s="0" t="s">
        <v>10344</v>
      </c>
      <c r="E25402" s="0" t="s">
        <v>2241</v>
      </c>
      <c r="F25402" s="0" t="s">
        <v>10345</v>
      </c>
    </row>
    <row r="25403" customFormat="false" ht="12.8" hidden="false" customHeight="false" outlineLevel="0" collapsed="false">
      <c r="B25403" s="0" t="s">
        <v>3321</v>
      </c>
      <c r="C25403" s="0" t="s">
        <v>5643</v>
      </c>
      <c r="E25403" s="0" t="s">
        <v>2665</v>
      </c>
      <c r="F25403" s="0" t="s">
        <v>10346</v>
      </c>
    </row>
    <row r="25405" customFormat="false" ht="12.8" hidden="false" customHeight="false" outlineLevel="0" collapsed="false">
      <c r="A25405" s="0" t="s">
        <v>10347</v>
      </c>
      <c r="B25405" s="0" t="str">
        <f aca="false">HYPERLINK("https://lindat.mff.cuni.cz/services/teitok/pdtc10/index.php?action=vallex&amp;frame=v-w3344f1", "oživit (v-w3344f1)")</f>
        <v>oživit (v-w3344f1)</v>
      </c>
      <c r="E25405" s="0" t="str">
        <f aca="false">HYPERLINK("https://lindat.mff.cuni.cz/services/SynSemClass40/SynSemClass40.html?veclass=vec00038#vec00038-ces-cm00015", "vec00038")</f>
        <v>vec00038</v>
      </c>
      <c r="F25405" s="0" t="s">
        <v>74</v>
      </c>
      <c r="H25405" s="0" t="str">
        <f aca="false">HYPERLINK("https://lindat.mff.cuni.cz/services/SynSemClass40/SynSemClass40.html?veclass=vec00246#vec00246-ces-cm00006", "vec00246")</f>
        <v>vec00246</v>
      </c>
      <c r="I25405" s="0" t="s">
        <v>8433</v>
      </c>
    </row>
    <row r="25406" customFormat="false" ht="12.8" hidden="false" customHeight="false" outlineLevel="0" collapsed="false">
      <c r="B25406" s="0" t="s">
        <v>1</v>
      </c>
      <c r="C25406" s="0" t="s">
        <v>10348</v>
      </c>
      <c r="E25406" s="0" t="s">
        <v>76</v>
      </c>
      <c r="F25406" s="0" t="s">
        <v>77</v>
      </c>
      <c r="H25406" s="0" t="s">
        <v>31</v>
      </c>
      <c r="I25406" s="0" t="s">
        <v>8435</v>
      </c>
    </row>
    <row r="25407" customFormat="false" ht="12.8" hidden="false" customHeight="false" outlineLevel="0" collapsed="false">
      <c r="B25407" s="0" t="s">
        <v>8</v>
      </c>
      <c r="C25407" s="0" t="s">
        <v>10349</v>
      </c>
      <c r="E25407" s="0" t="s">
        <v>79</v>
      </c>
      <c r="F25407" s="0" t="s">
        <v>80</v>
      </c>
      <c r="H25407" s="0" t="s">
        <v>79</v>
      </c>
      <c r="I25407" s="0" t="s">
        <v>8437</v>
      </c>
    </row>
    <row r="25409" customFormat="false" ht="12.8" hidden="false" customHeight="false" outlineLevel="0" collapsed="false">
      <c r="A25409" s="0" t="s">
        <v>10350</v>
      </c>
      <c r="B25409" s="0" t="str">
        <f aca="false">HYPERLINK("https://lindat.mff.cuni.cz/services/teitok/pdtc10/index.php?action=vallex&amp;frame=v-w3344f2_ZU", "oživit (v-w3344f2_ZU)")</f>
        <v>oživit (v-w3344f2_ZU)</v>
      </c>
    </row>
    <row r="25410" customFormat="false" ht="12.8" hidden="false" customHeight="false" outlineLevel="0" collapsed="false">
      <c r="B25410" s="0" t="s">
        <v>1</v>
      </c>
    </row>
    <row r="25412" customFormat="false" ht="12.8" hidden="false" customHeight="false" outlineLevel="0" collapsed="false">
      <c r="A25412" s="0" t="s">
        <v>10351</v>
      </c>
      <c r="B25412" s="0" t="str">
        <f aca="false">HYPERLINK("https://lindat.mff.cuni.cz/services/teitok/pdtc10/index.php?action=vallex&amp;frame=v-w3344f3_ZU", "oživit (v-w3344f3_ZU)")</f>
        <v>oživit (v-w3344f3_ZU)</v>
      </c>
    </row>
    <row r="25413" customFormat="false" ht="12.8" hidden="false" customHeight="false" outlineLevel="0" collapsed="false">
      <c r="B25413" s="0" t="s">
        <v>1</v>
      </c>
    </row>
    <row r="25414" customFormat="false" ht="12.8" hidden="false" customHeight="false" outlineLevel="0" collapsed="false">
      <c r="B25414" s="0" t="s">
        <v>8</v>
      </c>
    </row>
    <row r="25416" customFormat="false" ht="12.8" hidden="false" customHeight="false" outlineLevel="0" collapsed="false">
      <c r="A25416" s="0" t="s">
        <v>10352</v>
      </c>
      <c r="B25416" s="0" t="str">
        <f aca="false">HYPERLINK("https://lindat.mff.cuni.cz/services/teitok/pdtc10/index.php?action=vallex&amp;frame=v-whsa_267hsa_268", "oživnout (v-whsa_267hsa_268)")</f>
        <v>oživnout (v-whsa_267hsa_268)</v>
      </c>
    </row>
    <row r="25417" customFormat="false" ht="12.8" hidden="false" customHeight="false" outlineLevel="0" collapsed="false">
      <c r="B25417" s="0" t="s">
        <v>1</v>
      </c>
    </row>
    <row r="25419" customFormat="false" ht="12.8" hidden="false" customHeight="false" outlineLevel="0" collapsed="false">
      <c r="A25419" s="0" t="s">
        <v>10353</v>
      </c>
      <c r="B25419" s="0" t="str">
        <f aca="false">HYPERLINK("https://lindat.mff.cuni.cz/services/teitok/pdtc10/index.php?action=vallex&amp;frame=v-w3346f1", "oživovat (v-w3346f1)")</f>
        <v>oživovat (v-w3346f1)</v>
      </c>
      <c r="E25419" s="0" t="str">
        <f aca="false">HYPERLINK("https://lindat.mff.cuni.cz/services/SynSemClass40/SynSemClass40.html?veclass=vec00246#vec00246-ces-cm00007", "vec00246")</f>
        <v>vec00246</v>
      </c>
      <c r="F25419" s="0" t="s">
        <v>8433</v>
      </c>
    </row>
    <row r="25420" customFormat="false" ht="12.8" hidden="false" customHeight="false" outlineLevel="0" collapsed="false">
      <c r="B25420" s="0" t="s">
        <v>1</v>
      </c>
      <c r="C25420" s="0" t="s">
        <v>8434</v>
      </c>
      <c r="E25420" s="0" t="s">
        <v>31</v>
      </c>
      <c r="F25420" s="0" t="s">
        <v>8435</v>
      </c>
    </row>
    <row r="25421" customFormat="false" ht="12.8" hidden="false" customHeight="false" outlineLevel="0" collapsed="false">
      <c r="B25421" s="0" t="s">
        <v>8</v>
      </c>
      <c r="C25421" s="0" t="s">
        <v>8436</v>
      </c>
      <c r="E25421" s="0" t="s">
        <v>79</v>
      </c>
      <c r="F25421" s="0" t="s">
        <v>8437</v>
      </c>
    </row>
    <row r="25423" customFormat="false" ht="12.8" hidden="false" customHeight="false" outlineLevel="0" collapsed="false">
      <c r="A25423" s="0" t="s">
        <v>10354</v>
      </c>
      <c r="B25423" s="0" t="str">
        <f aca="false">HYPERLINK("https://lindat.mff.cuni.cz/services/teitok/pdtc10/index.php?action=vallex&amp;frame=v-w3346f2", "oživovat (v-w3346f2)")</f>
        <v>oživovat (v-w3346f2)</v>
      </c>
    </row>
    <row r="25424" customFormat="false" ht="12.8" hidden="false" customHeight="false" outlineLevel="0" collapsed="false">
      <c r="B25424" s="0" t="s">
        <v>1</v>
      </c>
    </row>
    <row r="25425" customFormat="false" ht="12.8" hidden="false" customHeight="false" outlineLevel="0" collapsed="false">
      <c r="B25425" s="0" t="s">
        <v>8</v>
      </c>
    </row>
    <row r="25427" customFormat="false" ht="12.8" hidden="false" customHeight="false" outlineLevel="0" collapsed="false">
      <c r="A25427" s="0" t="s">
        <v>10355</v>
      </c>
      <c r="B25427" s="0" t="str">
        <f aca="false">HYPERLINK("https://lindat.mff.cuni.cz/services/teitok/pdtc10/index.php?action=vallex&amp;frame=v-w3346hsa_1933", "oživovat (v-w3346hsa_1933)")</f>
        <v>oživovat (v-w3346hsa_1933)</v>
      </c>
    </row>
    <row r="25428" customFormat="false" ht="12.8" hidden="false" customHeight="false" outlineLevel="0" collapsed="false">
      <c r="B25428" s="0" t="s">
        <v>1</v>
      </c>
    </row>
    <row r="25429" customFormat="false" ht="12.8" hidden="false" customHeight="false" outlineLevel="0" collapsed="false">
      <c r="B25429" s="0" t="s">
        <v>8</v>
      </c>
    </row>
    <row r="25431" customFormat="false" ht="12.8" hidden="false" customHeight="false" outlineLevel="0" collapsed="false">
      <c r="A25431" s="0" t="s">
        <v>10356</v>
      </c>
      <c r="B25431" s="0" t="str">
        <f aca="false">HYPERLINK("https://lindat.mff.cuni.cz/services/teitok/pdtc10/index.php?action=vallex&amp;frame=v-w12198_ZUf1_ZU", "ožrat (v-w12198_ZUf1_ZU)")</f>
        <v>ožrat (v-w12198_ZUf1_ZU)</v>
      </c>
    </row>
    <row r="25432" customFormat="false" ht="12.8" hidden="false" customHeight="false" outlineLevel="0" collapsed="false">
      <c r="B25432" s="0" t="s">
        <v>1</v>
      </c>
    </row>
    <row r="25433" customFormat="false" ht="12.8" hidden="false" customHeight="false" outlineLevel="0" collapsed="false">
      <c r="B25433" s="0" t="s">
        <v>8</v>
      </c>
    </row>
    <row r="25435" customFormat="false" ht="12.8" hidden="false" customHeight="false" outlineLevel="0" collapsed="false">
      <c r="A25435" s="0" t="s">
        <v>10357</v>
      </c>
      <c r="B25435" s="0" t="str">
        <f aca="false">HYPERLINK("https://lindat.mff.cuni.cz/services/teitok/pdtc10/index.php?action=vallex&amp;frame=v-w12199_ZUf1_ZU", "ožírat (v-w12199_ZUf1_ZU)")</f>
        <v>ožírat (v-w12199_ZUf1_ZU)</v>
      </c>
    </row>
    <row r="25436" customFormat="false" ht="12.8" hidden="false" customHeight="false" outlineLevel="0" collapsed="false">
      <c r="B25436" s="0" t="s">
        <v>1</v>
      </c>
    </row>
    <row r="25437" customFormat="false" ht="12.8" hidden="false" customHeight="false" outlineLevel="0" collapsed="false">
      <c r="B25437" s="0" t="s">
        <v>8</v>
      </c>
    </row>
    <row r="25439" customFormat="false" ht="12.8" hidden="false" customHeight="false" outlineLevel="0" collapsed="false">
      <c r="A25439" s="0" t="s">
        <v>10358</v>
      </c>
      <c r="B25439" s="0" t="str">
        <f aca="false">HYPERLINK("https://lindat.mff.cuni.cz/services/teitok/pdtc10/index.php?action=vallex&amp;frame=v-w3341f1", "ožít (v-w3341f1)")</f>
        <v>ožít (v-w3341f1)</v>
      </c>
      <c r="E25439" s="0" t="str">
        <f aca="false">HYPERLINK("https://lindat.mff.cuni.cz/services/SynSemClass40/SynSemClass40.html?veclass=vec00510#vec00510-ces-cm00063", "vec00510")</f>
        <v>vec00510</v>
      </c>
      <c r="F25439" s="0" t="s">
        <v>4074</v>
      </c>
    </row>
    <row r="25440" customFormat="false" ht="12.8" hidden="false" customHeight="false" outlineLevel="0" collapsed="false">
      <c r="B25440" s="0" t="s">
        <v>1</v>
      </c>
      <c r="C25440" s="0" t="s">
        <v>5871</v>
      </c>
      <c r="E25440" s="0" t="s">
        <v>84</v>
      </c>
      <c r="F25440" s="0" t="s">
        <v>4077</v>
      </c>
    </row>
    <row r="25442" customFormat="false" ht="12.8" hidden="false" customHeight="false" outlineLevel="0" collapsed="false">
      <c r="A25442" s="0" t="s">
        <v>10359</v>
      </c>
      <c r="B25442" s="0" t="str">
        <f aca="false">HYPERLINK("https://lindat.mff.cuni.cz/services/teitok/pdtc10/index.php?action=vallex&amp;frame=v-w3341hsa_163", "ožít (v-w3341hsa_163)")</f>
        <v>ožít (v-w3341hsa_163)</v>
      </c>
    </row>
    <row r="25443" customFormat="false" ht="12.8" hidden="false" customHeight="false" outlineLevel="0" collapsed="false">
      <c r="B25443" s="0" t="s">
        <v>1</v>
      </c>
    </row>
    <row r="25445" customFormat="false" ht="12.8" hidden="false" customHeight="false" outlineLevel="0" collapsed="false">
      <c r="A25445" s="0" t="s">
        <v>10360</v>
      </c>
      <c r="B25445" s="0" t="str">
        <f aca="false">HYPERLINK("https://lindat.mff.cuni.cz/services/teitok/pdtc10/index.php?action=vallex&amp;frame=v-w3342f1", "ožívat (v-w3342f1)")</f>
        <v>ožívat (v-w3342f1)</v>
      </c>
    </row>
    <row r="25446" customFormat="false" ht="12.8" hidden="false" customHeight="false" outlineLevel="0" collapsed="false">
      <c r="B25446" s="0" t="s">
        <v>1</v>
      </c>
    </row>
    <row r="25448" customFormat="false" ht="12.8" hidden="false" customHeight="false" outlineLevel="0" collapsed="false">
      <c r="A25448" s="0" t="s">
        <v>10361</v>
      </c>
      <c r="B25448" s="0" t="str">
        <f aca="false">HYPERLINK("https://lindat.mff.cuni.cz/services/teitok/pdtc10/index.php?action=vallex&amp;frame=v-w3342f2", "ožívat (v-w3342f2)")</f>
        <v>ožívat (v-w3342f2)</v>
      </c>
      <c r="E25448" s="0" t="str">
        <f aca="false">HYPERLINK("https://lindat.mff.cuni.cz/services/SynSemClass40/SynSemClass40.html?veclass=vec00390#vec00390-ces-cm00038", "vec00390")</f>
        <v>vec00390</v>
      </c>
      <c r="F25448" s="0" t="s">
        <v>1595</v>
      </c>
    </row>
    <row r="25449" customFormat="false" ht="12.8" hidden="false" customHeight="false" outlineLevel="0" collapsed="false">
      <c r="B25449" s="0" t="s">
        <v>1</v>
      </c>
      <c r="C25449" s="0" t="s">
        <v>1596</v>
      </c>
      <c r="E25449" s="0" t="s">
        <v>1597</v>
      </c>
      <c r="F25449" s="0" t="s">
        <v>1598</v>
      </c>
    </row>
    <row r="25451" customFormat="false" ht="12.8" hidden="false" customHeight="false" outlineLevel="0" collapsed="false">
      <c r="A25451" s="0" t="s">
        <v>10362</v>
      </c>
      <c r="B25451" s="0" t="str">
        <f aca="false">HYPERLINK("https://lindat.mff.cuni.cz/services/teitok/pdtc10/index.php?action=vallex&amp;frame=v-w11355f3_ZU", "pachtit se (v-w11355f3_ZU)")</f>
        <v>pachtit se (v-w11355f3_ZU)</v>
      </c>
    </row>
    <row r="25452" customFormat="false" ht="12.8" hidden="false" customHeight="false" outlineLevel="0" collapsed="false">
      <c r="B25452" s="0" t="s">
        <v>1</v>
      </c>
    </row>
    <row r="25453" customFormat="false" ht="12.8" hidden="false" customHeight="false" outlineLevel="0" collapsed="false">
      <c r="B25453" s="0" t="s">
        <v>4480</v>
      </c>
    </row>
    <row r="25455" customFormat="false" ht="12.8" hidden="false" customHeight="false" outlineLevel="0" collapsed="false">
      <c r="A25455" s="0" t="s">
        <v>10362</v>
      </c>
      <c r="B25455" s="0" t="str">
        <f aca="false">HYPERLINK("https://lindat.mff.cuni.cz/services/teitok/pdtc10/index.php?action=vallex&amp;frame=v-w11355f2_ZU", "pachtit se (v-w11355f2_ZU) - substituted with v-w11355f3_ZU")</f>
        <v>pachtit se (v-w11355f2_ZU) - substituted with v-w11355f3_ZU</v>
      </c>
    </row>
    <row r="25456" customFormat="false" ht="12.8" hidden="false" customHeight="false" outlineLevel="0" collapsed="false">
      <c r="B25456" s="0" t="s">
        <v>1</v>
      </c>
    </row>
    <row r="25457" customFormat="false" ht="12.8" hidden="false" customHeight="false" outlineLevel="0" collapsed="false">
      <c r="B25457" s="0" t="s">
        <v>4480</v>
      </c>
    </row>
    <row r="25459" customFormat="false" ht="12.8" hidden="false" customHeight="false" outlineLevel="0" collapsed="false">
      <c r="A25459" s="0" t="s">
        <v>10363</v>
      </c>
      <c r="B25459" s="0" t="str">
        <f aca="false">HYPERLINK("https://lindat.mff.cuni.cz/services/teitok/pdtc10/index.php?action=vallex&amp;frame=v-w11355f1", "pachtit se (v-w11355f1)")</f>
        <v>pachtit se (v-w11355f1)</v>
      </c>
      <c r="E25459" s="0" t="str">
        <f aca="false">HYPERLINK("https://lindat.mff.cuni.cz/services/SynSemClass40/SynSemClass40.html?veclass=vec00273#vec00273-ces-cm00028", "vec00273")</f>
        <v>vec00273</v>
      </c>
      <c r="F25459" s="0" t="s">
        <v>4024</v>
      </c>
    </row>
    <row r="25460" customFormat="false" ht="12.8" hidden="false" customHeight="false" outlineLevel="0" collapsed="false">
      <c r="B25460" s="0" t="s">
        <v>1</v>
      </c>
      <c r="C25460" s="0" t="s">
        <v>4031</v>
      </c>
      <c r="E25460" s="0" t="s">
        <v>11</v>
      </c>
      <c r="F25460" s="0" t="s">
        <v>4027</v>
      </c>
    </row>
    <row r="25462" customFormat="false" ht="12.8" hidden="false" customHeight="false" outlineLevel="0" collapsed="false">
      <c r="A25462" s="0" t="s">
        <v>10364</v>
      </c>
      <c r="B25462" s="0" t="str">
        <f aca="false">HYPERLINK("https://lindat.mff.cuni.cz/services/teitok/pdtc10/index.php?action=vallex&amp;frame=v-w3348f1", "pacifikovat (v-w3348f1)")</f>
        <v>pacifikovat (v-w3348f1)</v>
      </c>
      <c r="E25462" s="0" t="str">
        <f aca="false">HYPERLINK("https://lindat.mff.cuni.cz/services/SynSemClass40/SynSemClass40.html?veclass=vec00536#vec00536-ces-cm00025", "vec00536")</f>
        <v>vec00536</v>
      </c>
      <c r="F25462" s="0" t="s">
        <v>1395</v>
      </c>
    </row>
    <row r="25463" customFormat="false" ht="12.8" hidden="false" customHeight="false" outlineLevel="0" collapsed="false">
      <c r="B25463" s="0" t="s">
        <v>1</v>
      </c>
      <c r="C25463" s="0" t="s">
        <v>1396</v>
      </c>
      <c r="E25463" s="0" t="s">
        <v>1103</v>
      </c>
      <c r="F25463" s="0" t="s">
        <v>1397</v>
      </c>
    </row>
    <row r="25464" customFormat="false" ht="12.8" hidden="false" customHeight="false" outlineLevel="0" collapsed="false">
      <c r="B25464" s="0" t="s">
        <v>8</v>
      </c>
      <c r="C25464" s="0" t="s">
        <v>1398</v>
      </c>
      <c r="E25464" s="0" t="s">
        <v>1399</v>
      </c>
      <c r="F25464" s="0" t="s">
        <v>1400</v>
      </c>
    </row>
    <row r="25466" customFormat="false" ht="12.8" hidden="false" customHeight="false" outlineLevel="0" collapsed="false">
      <c r="A25466" s="0" t="s">
        <v>10365</v>
      </c>
      <c r="B25466" s="0" t="str">
        <f aca="false">HYPERLINK("https://lindat.mff.cuni.cz/services/teitok/pdtc10/index.php?action=vallex&amp;frame=v-w3351f3", "padat (v-w3351f3)")</f>
        <v>padat (v-w3351f3)</v>
      </c>
      <c r="E25466" s="0" t="str">
        <f aca="false">HYPERLINK("https://lindat.mff.cuni.cz/services/SynSemClass40/SynSemClass40.html?veclass=vec00028#vec00028-ces-cm00016", "vec00028")</f>
        <v>vec00028</v>
      </c>
      <c r="F25466" s="0" t="s">
        <v>5301</v>
      </c>
    </row>
    <row r="25467" customFormat="false" ht="12.8" hidden="false" customHeight="false" outlineLevel="0" collapsed="false">
      <c r="B25467" s="0" t="s">
        <v>1</v>
      </c>
      <c r="C25467" s="0" t="s">
        <v>9964</v>
      </c>
      <c r="E25467" s="0" t="s">
        <v>235</v>
      </c>
      <c r="F25467" s="0" t="s">
        <v>5304</v>
      </c>
    </row>
    <row r="25468" customFormat="false" ht="12.8" hidden="false" customHeight="false" outlineLevel="0" collapsed="false">
      <c r="B25468" s="0" t="s">
        <v>69</v>
      </c>
      <c r="C25468" s="0" t="s">
        <v>9965</v>
      </c>
      <c r="E25468" s="0" t="s">
        <v>5149</v>
      </c>
      <c r="F25468" s="0" t="s">
        <v>5307</v>
      </c>
    </row>
    <row r="25469" customFormat="false" ht="12.8" hidden="false" customHeight="false" outlineLevel="0" collapsed="false">
      <c r="B25469" s="0" t="s">
        <v>36</v>
      </c>
      <c r="C25469" s="0" t="s">
        <v>9966</v>
      </c>
      <c r="E25469" s="0" t="s">
        <v>5152</v>
      </c>
      <c r="F25469" s="0" t="s">
        <v>5311</v>
      </c>
    </row>
    <row r="25471" customFormat="false" ht="12.8" hidden="false" customHeight="false" outlineLevel="0" collapsed="false">
      <c r="A25471" s="0" t="s">
        <v>10366</v>
      </c>
      <c r="B25471" s="0" t="str">
        <f aca="false">HYPERLINK("https://lindat.mff.cuni.cz/services/teitok/pdtc10/index.php?action=vallex&amp;frame=v-w3351f4", "padat (v-w3351f4)")</f>
        <v>padat (v-w3351f4)</v>
      </c>
    </row>
    <row r="25472" customFormat="false" ht="12.8" hidden="false" customHeight="false" outlineLevel="0" collapsed="false">
      <c r="B25472" s="0" t="s">
        <v>1</v>
      </c>
    </row>
    <row r="25473" customFormat="false" ht="12.8" hidden="false" customHeight="false" outlineLevel="0" collapsed="false">
      <c r="B25473" s="0" t="s">
        <v>721</v>
      </c>
    </row>
    <row r="25475" customFormat="false" ht="12.8" hidden="false" customHeight="false" outlineLevel="0" collapsed="false">
      <c r="A25475" s="0" t="s">
        <v>10367</v>
      </c>
      <c r="B25475" s="0" t="str">
        <f aca="false">HYPERLINK("https://lindat.mff.cuni.cz/services/teitok/pdtc10/index.php?action=vallex&amp;frame=v-w3351f5_ZU", "padat (v-w3351f5_ZU)")</f>
        <v>padat (v-w3351f5_ZU)</v>
      </c>
    </row>
    <row r="25476" customFormat="false" ht="12.8" hidden="false" customHeight="false" outlineLevel="0" collapsed="false">
      <c r="B25476" s="0" t="s">
        <v>1</v>
      </c>
    </row>
    <row r="25477" customFormat="false" ht="12.8" hidden="false" customHeight="false" outlineLevel="0" collapsed="false">
      <c r="B25477" s="0" t="s">
        <v>454</v>
      </c>
    </row>
    <row r="25479" customFormat="false" ht="12.8" hidden="false" customHeight="false" outlineLevel="0" collapsed="false">
      <c r="A25479" s="0" t="s">
        <v>10368</v>
      </c>
      <c r="B25479" s="0" t="str">
        <f aca="false">HYPERLINK("https://lindat.mff.cuni.cz/services/teitok/pdtc10/index.php?action=vallex&amp;frame=v-w3351f1", "padat (v-w3351f1)")</f>
        <v>padat (v-w3351f1)</v>
      </c>
      <c r="E25479" s="0" t="str">
        <f aca="false">HYPERLINK("https://lindat.mff.cuni.cz/services/SynSemClass40/SynSemClass40.html?veclass=vec00467#vec00467-ces-cm00001", "vec00467")</f>
        <v>vec00467</v>
      </c>
      <c r="F25479" s="0" t="s">
        <v>2536</v>
      </c>
    </row>
    <row r="25480" customFormat="false" ht="12.8" hidden="false" customHeight="false" outlineLevel="0" collapsed="false">
      <c r="B25480" s="0" t="s">
        <v>1</v>
      </c>
      <c r="C25480" s="0" t="s">
        <v>2537</v>
      </c>
      <c r="E25480" s="0" t="s">
        <v>2538</v>
      </c>
      <c r="F25480" s="0" t="s">
        <v>2539</v>
      </c>
    </row>
    <row r="25482" customFormat="false" ht="12.8" hidden="false" customHeight="false" outlineLevel="0" collapsed="false">
      <c r="A25482" s="0" t="s">
        <v>10369</v>
      </c>
      <c r="B25482" s="0" t="str">
        <f aca="false">HYPERLINK("https://lindat.mff.cuni.cz/services/teitok/pdtc10/index.php?action=vallex&amp;frame=v-w3351f2", "padat (v-w3351f2)")</f>
        <v>padat (v-w3351f2)</v>
      </c>
    </row>
    <row r="25483" customFormat="false" ht="12.8" hidden="false" customHeight="false" outlineLevel="0" collapsed="false">
      <c r="B25483" s="0" t="s">
        <v>1</v>
      </c>
    </row>
    <row r="25485" customFormat="false" ht="12.8" hidden="false" customHeight="false" outlineLevel="0" collapsed="false">
      <c r="A25485" s="0" t="s">
        <v>10370</v>
      </c>
      <c r="B25485" s="0" t="str">
        <f aca="false">HYPERLINK("https://lindat.mff.cuni.cz/services/teitok/pdtc10/index.php?action=vallex&amp;frame=v-w3351f6_ZU", "padat (v-w3351f6_ZU)")</f>
        <v>padat (v-w3351f6_ZU)</v>
      </c>
    </row>
    <row r="25486" customFormat="false" ht="12.8" hidden="false" customHeight="false" outlineLevel="0" collapsed="false">
      <c r="B25486" s="0" t="s">
        <v>10371</v>
      </c>
    </row>
    <row r="25488" customFormat="false" ht="12.8" hidden="false" customHeight="false" outlineLevel="0" collapsed="false">
      <c r="A25488" s="0" t="s">
        <v>10372</v>
      </c>
      <c r="B25488" s="0" t="str">
        <f aca="false">HYPERLINK("https://lindat.mff.cuni.cz/services/teitok/pdtc10/index.php?action=vallex&amp;frame=v-w3351f7_ZU", "padat (v-w3351f7_ZU)")</f>
        <v>padat (v-w3351f7_ZU)</v>
      </c>
    </row>
    <row r="25489" customFormat="false" ht="12.8" hidden="false" customHeight="false" outlineLevel="0" collapsed="false">
      <c r="B25489" s="0" t="s">
        <v>1</v>
      </c>
    </row>
    <row r="25491" customFormat="false" ht="12.8" hidden="false" customHeight="false" outlineLevel="0" collapsed="false">
      <c r="A25491" s="0" t="s">
        <v>10373</v>
      </c>
      <c r="B25491" s="0" t="str">
        <f aca="false">HYPERLINK("https://lindat.mff.cuni.cz/services/teitok/pdtc10/index.php?action=vallex&amp;frame=v-w3351f8_ZU", "padat (v-w3351f8_ZU)")</f>
        <v>padat (v-w3351f8_ZU)</v>
      </c>
    </row>
    <row r="25492" customFormat="false" ht="12.8" hidden="false" customHeight="false" outlineLevel="0" collapsed="false">
      <c r="B25492" s="0" t="s">
        <v>1</v>
      </c>
    </row>
    <row r="25494" customFormat="false" ht="12.8" hidden="false" customHeight="false" outlineLevel="0" collapsed="false">
      <c r="A25494" s="0" t="s">
        <v>10374</v>
      </c>
      <c r="B25494" s="0" t="str">
        <f aca="false">HYPERLINK("https://lindat.mff.cuni.cz/services/teitok/pdtc10/index.php?action=vallex&amp;frame=v-w3356f20", "padnout (v-w3356f20)")</f>
        <v>padnout (v-w3356f20)</v>
      </c>
      <c r="E25494" s="0" t="str">
        <f aca="false">HYPERLINK("https://lindat.mff.cuni.cz/services/SynSemClass40/SynSemClass40.html?veclass=vec00028#vec00028-ces-cm00017", "vec00028")</f>
        <v>vec00028</v>
      </c>
      <c r="F25494" s="0" t="s">
        <v>5301</v>
      </c>
    </row>
    <row r="25495" customFormat="false" ht="12.8" hidden="false" customHeight="false" outlineLevel="0" collapsed="false">
      <c r="B25495" s="0" t="s">
        <v>1</v>
      </c>
      <c r="C25495" s="0" t="s">
        <v>9964</v>
      </c>
      <c r="E25495" s="0" t="s">
        <v>235</v>
      </c>
      <c r="F25495" s="0" t="s">
        <v>5304</v>
      </c>
    </row>
    <row r="25496" customFormat="false" ht="12.8" hidden="false" customHeight="false" outlineLevel="0" collapsed="false">
      <c r="B25496" s="0" t="s">
        <v>69</v>
      </c>
      <c r="C25496" s="0" t="s">
        <v>9965</v>
      </c>
      <c r="E25496" s="0" t="s">
        <v>5149</v>
      </c>
      <c r="F25496" s="0" t="s">
        <v>5307</v>
      </c>
    </row>
    <row r="25497" customFormat="false" ht="12.8" hidden="false" customHeight="false" outlineLevel="0" collapsed="false">
      <c r="B25497" s="0" t="s">
        <v>36</v>
      </c>
      <c r="C25497" s="0" t="s">
        <v>9966</v>
      </c>
      <c r="E25497" s="0" t="s">
        <v>5152</v>
      </c>
      <c r="F25497" s="0" t="s">
        <v>5311</v>
      </c>
    </row>
    <row r="25499" customFormat="false" ht="12.8" hidden="false" customHeight="false" outlineLevel="0" collapsed="false">
      <c r="A25499" s="0" t="s">
        <v>10375</v>
      </c>
      <c r="B25499" s="0" t="str">
        <f aca="false">HYPERLINK("https://lindat.mff.cuni.cz/services/teitok/pdtc10/index.php?action=vallex&amp;frame=v-w3356f16", "padnout (v-w3356f16)")</f>
        <v>padnout (v-w3356f16)</v>
      </c>
    </row>
    <row r="25500" customFormat="false" ht="12.8" hidden="false" customHeight="false" outlineLevel="0" collapsed="false">
      <c r="B25500" s="0" t="s">
        <v>7546</v>
      </c>
    </row>
    <row r="25501" customFormat="false" ht="12.8" hidden="false" customHeight="false" outlineLevel="0" collapsed="false">
      <c r="B25501" s="0" t="s">
        <v>186</v>
      </c>
    </row>
    <row r="25503" customFormat="false" ht="12.8" hidden="false" customHeight="false" outlineLevel="0" collapsed="false">
      <c r="A25503" s="0" t="s">
        <v>10376</v>
      </c>
      <c r="B25503" s="0" t="str">
        <f aca="false">HYPERLINK("https://lindat.mff.cuni.cz/services/teitok/pdtc10/index.php?action=vallex&amp;frame=v-w3356f7", "padnout (v-w3356f7)")</f>
        <v>padnout (v-w3356f7)</v>
      </c>
      <c r="E25503" s="0" t="str">
        <f aca="false">HYPERLINK("https://lindat.mff.cuni.cz/services/SynSemClass40/SynSemClass40.html?veclass=vec00372#vec00372-ces-cm00134", "vec00372")</f>
        <v>vec00372</v>
      </c>
      <c r="F25503" s="0" t="s">
        <v>2524</v>
      </c>
    </row>
    <row r="25504" customFormat="false" ht="12.8" hidden="false" customHeight="false" outlineLevel="0" collapsed="false">
      <c r="B25504" s="0" t="s">
        <v>1</v>
      </c>
      <c r="C25504" s="0" t="s">
        <v>2525</v>
      </c>
      <c r="E25504" s="0" t="s">
        <v>2526</v>
      </c>
      <c r="F25504" s="0" t="s">
        <v>2527</v>
      </c>
    </row>
    <row r="25505" customFormat="false" ht="12.8" hidden="false" customHeight="false" outlineLevel="0" collapsed="false">
      <c r="B25505" s="0" t="s">
        <v>45</v>
      </c>
      <c r="C25505" s="0" t="s">
        <v>2528</v>
      </c>
      <c r="E25505" s="0" t="s">
        <v>142</v>
      </c>
      <c r="F25505" s="0" t="s">
        <v>2529</v>
      </c>
    </row>
    <row r="25507" customFormat="false" ht="12.8" hidden="false" customHeight="false" outlineLevel="0" collapsed="false">
      <c r="A25507" s="0" t="s">
        <v>10377</v>
      </c>
      <c r="B25507" s="0" t="str">
        <f aca="false">HYPERLINK("https://lindat.mff.cuni.cz/services/teitok/pdtc10/index.php?action=vallex&amp;frame=v-w3356f10", "padnout (v-w3356f10)")</f>
        <v>padnout (v-w3356f10)</v>
      </c>
    </row>
    <row r="25508" customFormat="false" ht="12.8" hidden="false" customHeight="false" outlineLevel="0" collapsed="false">
      <c r="B25508" s="0" t="s">
        <v>1</v>
      </c>
    </row>
    <row r="25509" customFormat="false" ht="12.8" hidden="false" customHeight="false" outlineLevel="0" collapsed="false">
      <c r="B25509" s="0" t="s">
        <v>45</v>
      </c>
    </row>
    <row r="25511" customFormat="false" ht="12.8" hidden="false" customHeight="false" outlineLevel="0" collapsed="false">
      <c r="A25511" s="0" t="s">
        <v>10378</v>
      </c>
      <c r="B25511" s="0" t="str">
        <f aca="false">HYPERLINK("https://lindat.mff.cuni.cz/services/teitok/pdtc10/index.php?action=vallex&amp;frame=v-w3356f18", "padnout (v-w3356f18)")</f>
        <v>padnout (v-w3356f18)</v>
      </c>
    </row>
    <row r="25512" customFormat="false" ht="12.8" hidden="false" customHeight="false" outlineLevel="0" collapsed="false">
      <c r="B25512" s="0" t="s">
        <v>1</v>
      </c>
    </row>
    <row r="25513" customFormat="false" ht="12.8" hidden="false" customHeight="false" outlineLevel="0" collapsed="false">
      <c r="B25513" s="0" t="s">
        <v>45</v>
      </c>
    </row>
    <row r="25515" customFormat="false" ht="12.8" hidden="false" customHeight="false" outlineLevel="0" collapsed="false">
      <c r="A25515" s="0" t="s">
        <v>10379</v>
      </c>
      <c r="B25515" s="0" t="str">
        <f aca="false">HYPERLINK("https://lindat.mff.cuni.cz/services/teitok/pdtc10/index.php?action=vallex&amp;frame=v-w3356f17", "padnout (v-w3356f17)")</f>
        <v>padnout (v-w3356f17)</v>
      </c>
    </row>
    <row r="25516" customFormat="false" ht="12.8" hidden="false" customHeight="false" outlineLevel="0" collapsed="false">
      <c r="B25516" s="0" t="s">
        <v>1</v>
      </c>
    </row>
    <row r="25517" customFormat="false" ht="12.8" hidden="false" customHeight="false" outlineLevel="0" collapsed="false">
      <c r="B25517" s="0" t="s">
        <v>45</v>
      </c>
    </row>
    <row r="25519" customFormat="false" ht="12.8" hidden="false" customHeight="false" outlineLevel="0" collapsed="false">
      <c r="A25519" s="0" t="s">
        <v>10380</v>
      </c>
      <c r="B25519" s="0" t="str">
        <f aca="false">HYPERLINK("https://lindat.mff.cuni.cz/services/teitok/pdtc10/index.php?action=vallex&amp;frame=v-w3356f8", "padnout (v-w3356f8)")</f>
        <v>padnout (v-w3356f8)</v>
      </c>
    </row>
    <row r="25520" customFormat="false" ht="12.8" hidden="false" customHeight="false" outlineLevel="0" collapsed="false">
      <c r="B25520" s="0" t="s">
        <v>1</v>
      </c>
    </row>
    <row r="25521" customFormat="false" ht="12.8" hidden="false" customHeight="false" outlineLevel="0" collapsed="false">
      <c r="B25521" s="0" t="s">
        <v>361</v>
      </c>
    </row>
    <row r="25523" customFormat="false" ht="12.8" hidden="false" customHeight="false" outlineLevel="0" collapsed="false">
      <c r="A25523" s="0" t="s">
        <v>10381</v>
      </c>
      <c r="B25523" s="0" t="str">
        <f aca="false">HYPERLINK("https://lindat.mff.cuni.cz/services/teitok/pdtc10/index.php?action=vallex&amp;frame=v-w3356f2", "padnout (v-w3356f2)")</f>
        <v>padnout (v-w3356f2)</v>
      </c>
    </row>
    <row r="25524" customFormat="false" ht="12.8" hidden="false" customHeight="false" outlineLevel="0" collapsed="false">
      <c r="B25524" s="0" t="s">
        <v>1</v>
      </c>
    </row>
    <row r="25526" customFormat="false" ht="12.8" hidden="false" customHeight="false" outlineLevel="0" collapsed="false">
      <c r="A25526" s="0" t="s">
        <v>10382</v>
      </c>
      <c r="B25526" s="0" t="str">
        <f aca="false">HYPERLINK("https://lindat.mff.cuni.cz/services/teitok/pdtc10/index.php?action=vallex&amp;frame=v-w3356f3", "padnout (v-w3356f3)")</f>
        <v>padnout (v-w3356f3)</v>
      </c>
      <c r="E25526" s="0" t="str">
        <f aca="false">HYPERLINK("https://lindat.mff.cuni.cz/services/SynSemClass40/SynSemClass40.html?veclass=vec00599#vec00599-ces-cm00003", "vec00599")</f>
        <v>vec00599</v>
      </c>
      <c r="F25526" s="0" t="s">
        <v>4593</v>
      </c>
      <c r="H25526" s="0" t="str">
        <f aca="false">HYPERLINK("https://lindat.mff.cuni.cz/services/SynSemClass40/SynSemClass40.html?veclass=vec01272#vec01272-ces-cm00014", "vec01272")</f>
        <v>vec01272</v>
      </c>
      <c r="I25526" s="0" t="s">
        <v>10383</v>
      </c>
    </row>
    <row r="25527" customFormat="false" ht="12.8" hidden="false" customHeight="false" outlineLevel="0" collapsed="false">
      <c r="B25527" s="0" t="s">
        <v>1</v>
      </c>
      <c r="C25527" s="0" t="s">
        <v>10384</v>
      </c>
      <c r="E25527" s="0" t="s">
        <v>4595</v>
      </c>
      <c r="F25527" s="0" t="s">
        <v>4596</v>
      </c>
      <c r="H25527" s="0" t="s">
        <v>957</v>
      </c>
      <c r="I25527" s="0" t="s">
        <v>10385</v>
      </c>
    </row>
    <row r="25529" customFormat="false" ht="12.8" hidden="false" customHeight="false" outlineLevel="0" collapsed="false">
      <c r="A25529" s="0" t="s">
        <v>10386</v>
      </c>
      <c r="B25529" s="0" t="str">
        <f aca="false">HYPERLINK("https://lindat.mff.cuni.cz/services/teitok/pdtc10/index.php?action=vallex&amp;frame=v-w3356f4", "padnout (v-w3356f4)")</f>
        <v>padnout (v-w3356f4)</v>
      </c>
      <c r="E25529" s="0" t="str">
        <f aca="false">HYPERLINK("https://lindat.mff.cuni.cz/services/SynSemClass40/SynSemClass40.html?veclass=vec00599#vec00599-ces-cm00004", "vec00599")</f>
        <v>vec00599</v>
      </c>
      <c r="F25529" s="0" t="s">
        <v>4593</v>
      </c>
    </row>
    <row r="25530" customFormat="false" ht="12.8" hidden="false" customHeight="false" outlineLevel="0" collapsed="false">
      <c r="B25530" s="0" t="s">
        <v>1</v>
      </c>
      <c r="C25530" s="0" t="s">
        <v>4594</v>
      </c>
      <c r="E25530" s="0" t="s">
        <v>4595</v>
      </c>
      <c r="F25530" s="0" t="s">
        <v>4596</v>
      </c>
    </row>
    <row r="25532" customFormat="false" ht="12.8" hidden="false" customHeight="false" outlineLevel="0" collapsed="false">
      <c r="A25532" s="0" t="s">
        <v>10387</v>
      </c>
      <c r="B25532" s="0" t="str">
        <f aca="false">HYPERLINK("https://lindat.mff.cuni.cz/services/teitok/pdtc10/index.php?action=vallex&amp;frame=v-w3356f5", "padnout (v-w3356f5)")</f>
        <v>padnout (v-w3356f5)</v>
      </c>
    </row>
    <row r="25533" customFormat="false" ht="12.8" hidden="false" customHeight="false" outlineLevel="0" collapsed="false">
      <c r="B25533" s="0" t="s">
        <v>1</v>
      </c>
    </row>
    <row r="25535" customFormat="false" ht="12.8" hidden="false" customHeight="false" outlineLevel="0" collapsed="false">
      <c r="A25535" s="0" t="s">
        <v>10388</v>
      </c>
      <c r="B25535" s="0" t="str">
        <f aca="false">HYPERLINK("https://lindat.mff.cuni.cz/services/teitok/pdtc10/index.php?action=vallex&amp;frame=v-w3356f6", "padnout (v-w3356f6)")</f>
        <v>padnout (v-w3356f6)</v>
      </c>
    </row>
    <row r="25536" customFormat="false" ht="12.8" hidden="false" customHeight="false" outlineLevel="0" collapsed="false">
      <c r="B25536" s="0" t="s">
        <v>1</v>
      </c>
    </row>
    <row r="25538" customFormat="false" ht="12.8" hidden="false" customHeight="false" outlineLevel="0" collapsed="false">
      <c r="A25538" s="0" t="s">
        <v>10389</v>
      </c>
      <c r="B25538" s="0" t="str">
        <f aca="false">HYPERLINK("https://lindat.mff.cuni.cz/services/teitok/pdtc10/index.php?action=vallex&amp;frame=v-w3356f9", "padnout (v-w3356f9)")</f>
        <v>padnout (v-w3356f9)</v>
      </c>
      <c r="E25538" s="0" t="str">
        <f aca="false">HYPERLINK("https://lindat.mff.cuni.cz/services/SynSemClass40/SynSemClass40.html?veclass=vec00383#vec00383-ces-cm00010", "vec00383")</f>
        <v>vec00383</v>
      </c>
      <c r="F25538" s="0" t="s">
        <v>10390</v>
      </c>
    </row>
    <row r="25539" customFormat="false" ht="12.8" hidden="false" customHeight="false" outlineLevel="0" collapsed="false">
      <c r="B25539" s="0" t="s">
        <v>1</v>
      </c>
      <c r="C25539" s="0" t="s">
        <v>10391</v>
      </c>
      <c r="E25539" s="0" t="s">
        <v>11</v>
      </c>
      <c r="F25539" s="0" t="s">
        <v>10392</v>
      </c>
    </row>
    <row r="25541" customFormat="false" ht="12.8" hidden="false" customHeight="false" outlineLevel="0" collapsed="false">
      <c r="A25541" s="0" t="s">
        <v>10393</v>
      </c>
      <c r="B25541" s="0" t="str">
        <f aca="false">HYPERLINK("https://lindat.mff.cuni.cz/services/teitok/pdtc10/index.php?action=vallex&amp;frame=v-w3356f14", "padnout (v-w3356f14)")</f>
        <v>padnout (v-w3356f14)</v>
      </c>
    </row>
    <row r="25542" customFormat="false" ht="12.8" hidden="false" customHeight="false" outlineLevel="0" collapsed="false">
      <c r="B25542" s="0" t="s">
        <v>1</v>
      </c>
    </row>
    <row r="25544" customFormat="false" ht="12.8" hidden="false" customHeight="false" outlineLevel="0" collapsed="false">
      <c r="A25544" s="0" t="s">
        <v>10394</v>
      </c>
      <c r="B25544" s="0" t="str">
        <f aca="false">HYPERLINK("https://lindat.mff.cuni.cz/services/teitok/pdtc10/index.php?action=vallex&amp;frame=v-w3356f1", "padnout (v-w3356f1)")</f>
        <v>padnout (v-w3356f1)</v>
      </c>
    </row>
    <row r="25545" customFormat="false" ht="12.8" hidden="false" customHeight="false" outlineLevel="0" collapsed="false">
      <c r="B25545" s="0" t="s">
        <v>10395</v>
      </c>
    </row>
    <row r="25547" customFormat="false" ht="12.8" hidden="false" customHeight="false" outlineLevel="0" collapsed="false">
      <c r="A25547" s="0" t="s">
        <v>10396</v>
      </c>
      <c r="B25547" s="0" t="str">
        <f aca="false">HYPERLINK("https://lindat.mff.cuni.cz/services/teitok/pdtc10/index.php?action=vallex&amp;frame=v-w3356f12", "padnout (v-w3356f12)")</f>
        <v>padnout (v-w3356f12)</v>
      </c>
    </row>
    <row r="25548" customFormat="false" ht="12.8" hidden="false" customHeight="false" outlineLevel="0" collapsed="false">
      <c r="B25548" s="0" t="s">
        <v>843</v>
      </c>
    </row>
    <row r="25549" customFormat="false" ht="12.8" hidden="false" customHeight="false" outlineLevel="0" collapsed="false">
      <c r="B25549" s="0" t="s">
        <v>10397</v>
      </c>
    </row>
    <row r="25550" customFormat="false" ht="12.8" hidden="false" customHeight="false" outlineLevel="0" collapsed="false">
      <c r="B25550" s="0" t="s">
        <v>186</v>
      </c>
    </row>
    <row r="25552" customFormat="false" ht="12.8" hidden="false" customHeight="false" outlineLevel="0" collapsed="false">
      <c r="A25552" s="0" t="s">
        <v>10398</v>
      </c>
      <c r="B25552" s="0" t="str">
        <f aca="false">HYPERLINK("https://lindat.mff.cuni.cz/services/teitok/pdtc10/index.php?action=vallex&amp;frame=v-w3356f19", "padnout (v-w3356f19)")</f>
        <v>padnout (v-w3356f19)</v>
      </c>
    </row>
    <row r="25553" customFormat="false" ht="12.8" hidden="false" customHeight="false" outlineLevel="0" collapsed="false">
      <c r="B25553" s="0" t="s">
        <v>1</v>
      </c>
    </row>
    <row r="25554" customFormat="false" ht="12.8" hidden="false" customHeight="false" outlineLevel="0" collapsed="false">
      <c r="B25554" s="0" t="s">
        <v>4639</v>
      </c>
    </row>
    <row r="25555" customFormat="false" ht="12.8" hidden="false" customHeight="false" outlineLevel="0" collapsed="false">
      <c r="B25555" s="0" t="s">
        <v>186</v>
      </c>
    </row>
    <row r="25557" customFormat="false" ht="12.8" hidden="false" customHeight="false" outlineLevel="0" collapsed="false">
      <c r="A25557" s="0" t="s">
        <v>10399</v>
      </c>
      <c r="B25557" s="0" t="str">
        <f aca="false">HYPERLINK("https://lindat.mff.cuni.cz/services/teitok/pdtc10/index.php?action=vallex&amp;frame=v-w3356f15", "padnout (v-w3356f15)")</f>
        <v>padnout (v-w3356f15)</v>
      </c>
    </row>
    <row r="25558" customFormat="false" ht="12.8" hidden="false" customHeight="false" outlineLevel="0" collapsed="false">
      <c r="B25558" s="0" t="s">
        <v>1</v>
      </c>
    </row>
    <row r="25559" customFormat="false" ht="12.8" hidden="false" customHeight="false" outlineLevel="0" collapsed="false">
      <c r="B25559" s="0" t="s">
        <v>10400</v>
      </c>
    </row>
    <row r="25560" customFormat="false" ht="12.8" hidden="false" customHeight="false" outlineLevel="0" collapsed="false">
      <c r="B25560" s="0" t="s">
        <v>10401</v>
      </c>
    </row>
    <row r="25562" customFormat="false" ht="12.8" hidden="false" customHeight="false" outlineLevel="0" collapsed="false">
      <c r="A25562" s="0" t="s">
        <v>10402</v>
      </c>
      <c r="B25562" s="0" t="str">
        <f aca="false">HYPERLINK("https://lindat.mff.cuni.cz/services/teitok/pdtc10/index.php?action=vallex&amp;frame=v-w3356f11", "padnout (v-w3356f11)")</f>
        <v>padnout (v-w3356f11)</v>
      </c>
      <c r="E25562" s="0" t="str">
        <f aca="false">HYPERLINK("https://lindat.mff.cuni.cz/services/SynSemClass40/SynSemClass40.html?veclass=vec01071#vec01071-ces-cm00004", "vec01071")</f>
        <v>vec01071</v>
      </c>
      <c r="F25562" s="0" t="s">
        <v>10403</v>
      </c>
    </row>
    <row r="25563" customFormat="false" ht="12.8" hidden="false" customHeight="false" outlineLevel="0" collapsed="false">
      <c r="B25563" s="0" t="s">
        <v>1</v>
      </c>
      <c r="C25563" s="0" t="s">
        <v>4695</v>
      </c>
      <c r="E25563" s="0" t="s">
        <v>10404</v>
      </c>
      <c r="F25563" s="0" t="s">
        <v>10405</v>
      </c>
    </row>
    <row r="25564" customFormat="false" ht="12.8" hidden="false" customHeight="false" outlineLevel="0" collapsed="false">
      <c r="B25564" s="0" t="s">
        <v>10406</v>
      </c>
    </row>
    <row r="25565" customFormat="false" ht="12.8" hidden="false" customHeight="false" outlineLevel="0" collapsed="false">
      <c r="B25565" s="0" t="s">
        <v>186</v>
      </c>
      <c r="C25565" s="0" t="s">
        <v>462</v>
      </c>
      <c r="E25565" s="0" t="s">
        <v>10407</v>
      </c>
      <c r="F25565" s="0" t="s">
        <v>10408</v>
      </c>
    </row>
    <row r="25567" customFormat="false" ht="12.8" hidden="false" customHeight="false" outlineLevel="0" collapsed="false">
      <c r="A25567" s="0" t="s">
        <v>10409</v>
      </c>
      <c r="B25567" s="0" t="str">
        <f aca="false">HYPERLINK("https://lindat.mff.cuni.cz/services/teitok/pdtc10/index.php?action=vallex&amp;frame=v-w3356f13", "padnout (v-w3356f13)")</f>
        <v>padnout (v-w3356f13)</v>
      </c>
    </row>
    <row r="25568" customFormat="false" ht="12.8" hidden="false" customHeight="false" outlineLevel="0" collapsed="false">
      <c r="B25568" s="0" t="s">
        <v>10410</v>
      </c>
    </row>
    <row r="25570" customFormat="false" ht="12.8" hidden="false" customHeight="false" outlineLevel="0" collapsed="false">
      <c r="A25570" s="0" t="s">
        <v>10411</v>
      </c>
      <c r="B25570" s="0" t="str">
        <f aca="false">HYPERLINK("https://lindat.mff.cuni.cz/services/teitok/pdtc10/index.php?action=vallex&amp;frame=v-w3356f21_ZU", "padnout (v-w3356f21_ZU)")</f>
        <v>padnout (v-w3356f21_ZU)</v>
      </c>
    </row>
    <row r="25571" customFormat="false" ht="12.8" hidden="false" customHeight="false" outlineLevel="0" collapsed="false">
      <c r="B25571" s="0" t="s">
        <v>1</v>
      </c>
    </row>
    <row r="25572" customFormat="false" ht="12.8" hidden="false" customHeight="false" outlineLevel="0" collapsed="false">
      <c r="B25572" s="0" t="s">
        <v>10412</v>
      </c>
    </row>
    <row r="25573" customFormat="false" ht="12.8" hidden="false" customHeight="false" outlineLevel="0" collapsed="false">
      <c r="B25573" s="0" t="s">
        <v>186</v>
      </c>
    </row>
    <row r="25575" customFormat="false" ht="12.8" hidden="false" customHeight="false" outlineLevel="0" collapsed="false">
      <c r="A25575" s="0" t="s">
        <v>10411</v>
      </c>
      <c r="B25575" s="0" t="str">
        <f aca="false">HYPERLINK("https://lindat.mff.cuni.cz/services/teitok/pdtc10/index.php?action=vallex&amp;frame=v-w3356hsa_1100", "padnout (v-w3356hsa_1100) - substituted with v-w3356f21_ZU")</f>
        <v>padnout (v-w3356hsa_1100) - substituted with v-w3356f21_ZU</v>
      </c>
    </row>
    <row r="25576" customFormat="false" ht="12.8" hidden="false" customHeight="false" outlineLevel="0" collapsed="false">
      <c r="B25576" s="0" t="s">
        <v>1</v>
      </c>
    </row>
    <row r="25577" customFormat="false" ht="12.8" hidden="false" customHeight="false" outlineLevel="0" collapsed="false">
      <c r="B25577" s="0" t="s">
        <v>10412</v>
      </c>
    </row>
    <row r="25578" customFormat="false" ht="12.8" hidden="false" customHeight="false" outlineLevel="0" collapsed="false">
      <c r="B25578" s="0" t="s">
        <v>186</v>
      </c>
    </row>
    <row r="25580" customFormat="false" ht="12.8" hidden="false" customHeight="false" outlineLevel="0" collapsed="false">
      <c r="A25580" s="0" t="s">
        <v>10413</v>
      </c>
      <c r="B25580" s="0" t="str">
        <f aca="false">HYPERLINK("https://lindat.mff.cuni.cz/services/teitok/pdtc10/index.php?action=vallex&amp;frame=v-w3356f22_ZU", "padnout (v-w3356f22_ZU)")</f>
        <v>padnout (v-w3356f22_ZU)</v>
      </c>
    </row>
    <row r="25581" customFormat="false" ht="12.8" hidden="false" customHeight="false" outlineLevel="0" collapsed="false">
      <c r="B25581" s="0" t="s">
        <v>1</v>
      </c>
    </row>
    <row r="25583" customFormat="false" ht="12.8" hidden="false" customHeight="false" outlineLevel="0" collapsed="false">
      <c r="A25583" s="0" t="s">
        <v>10414</v>
      </c>
      <c r="B25583" s="0" t="str">
        <f aca="false">HYPERLINK("https://lindat.mff.cuni.cz/services/teitok/pdtc10/index.php?action=vallex&amp;frame=v-whsa_1630f1_ZU", "padnout si (v-whsa_1630f1_ZU)")</f>
        <v>padnout si (v-whsa_1630f1_ZU)</v>
      </c>
    </row>
    <row r="25584" customFormat="false" ht="12.8" hidden="false" customHeight="false" outlineLevel="0" collapsed="false">
      <c r="B25584" s="0" t="s">
        <v>1</v>
      </c>
    </row>
    <row r="25585" customFormat="false" ht="12.8" hidden="false" customHeight="false" outlineLevel="0" collapsed="false">
      <c r="B25585" s="0" t="s">
        <v>10397</v>
      </c>
    </row>
    <row r="25586" customFormat="false" ht="12.8" hidden="false" customHeight="false" outlineLevel="0" collapsed="false">
      <c r="B25586" s="0" t="s">
        <v>721</v>
      </c>
    </row>
    <row r="25588" customFormat="false" ht="12.8" hidden="false" customHeight="false" outlineLevel="0" collapsed="false">
      <c r="A25588" s="0" t="s">
        <v>10414</v>
      </c>
      <c r="B25588" s="0" t="str">
        <f aca="false">HYPERLINK("https://lindat.mff.cuni.cz/services/teitok/pdtc10/index.php?action=vallex&amp;frame=v-whsa_1630hsa_1631", "padnout si (v-whsa_1630hsa_1631) - substituted with v-whsa_1630f1_ZU")</f>
        <v>padnout si (v-whsa_1630hsa_1631) - substituted with v-whsa_1630f1_ZU</v>
      </c>
    </row>
    <row r="25589" customFormat="false" ht="12.8" hidden="false" customHeight="false" outlineLevel="0" collapsed="false">
      <c r="B25589" s="0" t="s">
        <v>1</v>
      </c>
    </row>
    <row r="25590" customFormat="false" ht="12.8" hidden="false" customHeight="false" outlineLevel="0" collapsed="false">
      <c r="B25590" s="0" t="s">
        <v>10397</v>
      </c>
    </row>
    <row r="25591" customFormat="false" ht="12.8" hidden="false" customHeight="false" outlineLevel="0" collapsed="false">
      <c r="B25591" s="0" t="s">
        <v>721</v>
      </c>
    </row>
    <row r="25593" customFormat="false" ht="12.8" hidden="false" customHeight="false" outlineLevel="0" collapsed="false">
      <c r="A25593" s="0" t="s">
        <v>10415</v>
      </c>
      <c r="B25593" s="0" t="str">
        <f aca="false">HYPERLINK("https://lindat.mff.cuni.cz/services/teitok/pdtc10/index.php?action=vallex&amp;frame=v-w3353f1", "padělat (v-w3353f1)")</f>
        <v>padělat (v-w3353f1)</v>
      </c>
      <c r="E25593" s="0" t="str">
        <f aca="false">HYPERLINK("https://lindat.mff.cuni.cz/services/SynSemClass40/SynSemClass40.html?veclass=vec01381#vec01381-ces-cm00002", "vec01381")</f>
        <v>vec01381</v>
      </c>
      <c r="F25593" s="0" t="s">
        <v>4104</v>
      </c>
    </row>
    <row r="25594" customFormat="false" ht="12.8" hidden="false" customHeight="false" outlineLevel="0" collapsed="false">
      <c r="B25594" s="0" t="s">
        <v>1</v>
      </c>
      <c r="C25594" s="0" t="s">
        <v>239</v>
      </c>
      <c r="E25594" s="0" t="s">
        <v>1573</v>
      </c>
      <c r="F25594" s="0" t="s">
        <v>2626</v>
      </c>
    </row>
    <row r="25595" customFormat="false" ht="12.8" hidden="false" customHeight="false" outlineLevel="0" collapsed="false">
      <c r="B25595" s="0" t="s">
        <v>8</v>
      </c>
      <c r="C25595" s="0" t="s">
        <v>4105</v>
      </c>
      <c r="E25595" s="0" t="s">
        <v>142</v>
      </c>
      <c r="F25595" s="0" t="s">
        <v>4106</v>
      </c>
    </row>
    <row r="25597" customFormat="false" ht="12.8" hidden="false" customHeight="false" outlineLevel="0" collapsed="false">
      <c r="A25597" s="0" t="s">
        <v>10416</v>
      </c>
      <c r="B25597" s="0" t="str">
        <f aca="false">HYPERLINK("https://lindat.mff.cuni.cz/services/teitok/pdtc10/index.php?action=vallex&amp;frame=v-whsa_1518hsa_1519", "pakovat (v-whsa_1518hsa_1519)")</f>
        <v>pakovat (v-whsa_1518hsa_1519)</v>
      </c>
    </row>
    <row r="25598" customFormat="false" ht="12.8" hidden="false" customHeight="false" outlineLevel="0" collapsed="false">
      <c r="B25598" s="0" t="s">
        <v>1</v>
      </c>
    </row>
    <row r="25599" customFormat="false" ht="12.8" hidden="false" customHeight="false" outlineLevel="0" collapsed="false">
      <c r="B25599" s="0" t="s">
        <v>8</v>
      </c>
    </row>
    <row r="25601" customFormat="false" ht="12.8" hidden="false" customHeight="false" outlineLevel="0" collapsed="false">
      <c r="A25601" s="0" t="s">
        <v>10417</v>
      </c>
      <c r="B25601" s="0" t="str">
        <f aca="false">HYPERLINK("https://lindat.mff.cuni.cz/services/teitok/pdtc10/index.php?action=vallex&amp;frame=v-whsa_1514hsa_1515", "pakovat se (v-whsa_1514hsa_1515)")</f>
        <v>pakovat se (v-whsa_1514hsa_1515)</v>
      </c>
    </row>
    <row r="25602" customFormat="false" ht="12.8" hidden="false" customHeight="false" outlineLevel="0" collapsed="false">
      <c r="B25602" s="0" t="s">
        <v>1</v>
      </c>
    </row>
    <row r="25604" customFormat="false" ht="12.8" hidden="false" customHeight="false" outlineLevel="0" collapsed="false">
      <c r="A25604" s="0" t="s">
        <v>10418</v>
      </c>
      <c r="B25604" s="0" t="str">
        <f aca="false">HYPERLINK("https://lindat.mff.cuni.cz/services/teitok/pdtc10/index.php?action=vallex&amp;frame=v-w12079_ZUf1_ZU", "paličkovat (v-w12079_ZUf1_ZU)")</f>
        <v>paličkovat (v-w12079_ZUf1_ZU)</v>
      </c>
    </row>
    <row r="25605" customFormat="false" ht="12.8" hidden="false" customHeight="false" outlineLevel="0" collapsed="false">
      <c r="B25605" s="0" t="s">
        <v>1</v>
      </c>
    </row>
    <row r="25606" customFormat="false" ht="12.8" hidden="false" customHeight="false" outlineLevel="0" collapsed="false">
      <c r="B25606" s="0" t="s">
        <v>8</v>
      </c>
    </row>
    <row r="25607" customFormat="false" ht="12.8" hidden="false" customHeight="false" outlineLevel="0" collapsed="false">
      <c r="B25607" s="0" t="s">
        <v>36</v>
      </c>
    </row>
    <row r="25609" customFormat="false" ht="12.8" hidden="false" customHeight="false" outlineLevel="0" collapsed="false">
      <c r="A25609" s="0" t="s">
        <v>10419</v>
      </c>
      <c r="B25609" s="0" t="str">
        <f aca="false">HYPERLINK("https://lindat.mff.cuni.cz/services/teitok/pdtc10/index.php?action=vallex&amp;frame=v-w3367f5_ZU", "pamatovat (v-w3367f5_ZU)")</f>
        <v>pamatovat (v-w3367f5_ZU)</v>
      </c>
    </row>
    <row r="25610" customFormat="false" ht="12.8" hidden="false" customHeight="false" outlineLevel="0" collapsed="false">
      <c r="B25610" s="0" t="s">
        <v>1</v>
      </c>
    </row>
    <row r="25611" customFormat="false" ht="12.8" hidden="false" customHeight="false" outlineLevel="0" collapsed="false">
      <c r="B25611" s="0" t="s">
        <v>10420</v>
      </c>
    </row>
    <row r="25613" customFormat="false" ht="12.8" hidden="false" customHeight="false" outlineLevel="0" collapsed="false">
      <c r="A25613" s="0" t="s">
        <v>10419</v>
      </c>
      <c r="B25613" s="0" t="str">
        <f aca="false">HYPERLINK("https://lindat.mff.cuni.cz/services/teitok/pdtc10/index.php?action=vallex&amp;frame=v-w3367f1", "pamatovat (v-w3367f1) - substituted with v-w3367f5_ZU")</f>
        <v>pamatovat (v-w3367f1) - substituted with v-w3367f5_ZU</v>
      </c>
    </row>
    <row r="25614" customFormat="false" ht="12.8" hidden="false" customHeight="false" outlineLevel="0" collapsed="false">
      <c r="B25614" s="0" t="s">
        <v>1</v>
      </c>
    </row>
    <row r="25615" customFormat="false" ht="12.8" hidden="false" customHeight="false" outlineLevel="0" collapsed="false">
      <c r="B25615" s="0" t="s">
        <v>10420</v>
      </c>
    </row>
    <row r="25617" customFormat="false" ht="12.8" hidden="false" customHeight="false" outlineLevel="0" collapsed="false">
      <c r="A25617" s="0" t="s">
        <v>10419</v>
      </c>
      <c r="B25617" s="0" t="str">
        <f aca="false">HYPERLINK("https://lindat.mff.cuni.cz/services/teitok/pdtc10/index.php?action=vallex&amp;frame=v-w3367f2_ZU", "pamatovat (v-w3367f2_ZU) - substituted with v-w3367f5_ZU")</f>
        <v>pamatovat (v-w3367f2_ZU) - substituted with v-w3367f5_ZU</v>
      </c>
      <c r="E25617" s="0" t="str">
        <f aca="false">HYPERLINK("https://lindat.mff.cuni.cz/services/SynSemClass40/SynSemClass40.html?veclass=vec00364#vec00364-ces-cm00002", "vec00364")</f>
        <v>vec00364</v>
      </c>
      <c r="F25617" s="0" t="s">
        <v>10421</v>
      </c>
    </row>
    <row r="25618" customFormat="false" ht="12.8" hidden="false" customHeight="false" outlineLevel="0" collapsed="false">
      <c r="B25618" s="0" t="s">
        <v>1</v>
      </c>
      <c r="C25618" s="0" t="s">
        <v>5883</v>
      </c>
      <c r="E25618" s="0" t="s">
        <v>621</v>
      </c>
      <c r="F25618" s="0" t="s">
        <v>10422</v>
      </c>
    </row>
    <row r="25619" customFormat="false" ht="12.8" hidden="false" customHeight="false" outlineLevel="0" collapsed="false">
      <c r="B25619" s="0" t="s">
        <v>10420</v>
      </c>
      <c r="C25619" s="0" t="s">
        <v>10423</v>
      </c>
      <c r="E25619" s="0" t="s">
        <v>180</v>
      </c>
      <c r="F25619" s="0" t="s">
        <v>10424</v>
      </c>
    </row>
    <row r="25621" customFormat="false" ht="12.8" hidden="false" customHeight="false" outlineLevel="0" collapsed="false">
      <c r="A25621" s="0" t="s">
        <v>10419</v>
      </c>
      <c r="B25621" s="0" t="str">
        <f aca="false">HYPERLINK("https://lindat.mff.cuni.cz/services/teitok/pdtc10/index.php?action=vallex&amp;frame=v-w3367f3_ZU", "pamatovat (v-w3367f3_ZU) - substituted with v-w3367f5_ZU")</f>
        <v>pamatovat (v-w3367f3_ZU) - substituted with v-w3367f5_ZU</v>
      </c>
    </row>
    <row r="25622" customFormat="false" ht="12.8" hidden="false" customHeight="false" outlineLevel="0" collapsed="false">
      <c r="B25622" s="0" t="s">
        <v>1</v>
      </c>
    </row>
    <row r="25623" customFormat="false" ht="12.8" hidden="false" customHeight="false" outlineLevel="0" collapsed="false">
      <c r="B25623" s="0" t="s">
        <v>10420</v>
      </c>
    </row>
    <row r="25625" customFormat="false" ht="12.8" hidden="false" customHeight="false" outlineLevel="0" collapsed="false">
      <c r="A25625" s="0" t="s">
        <v>10419</v>
      </c>
      <c r="B25625" s="0" t="str">
        <f aca="false">HYPERLINK("https://lindat.mff.cuni.cz/services/teitok/pdtc10/index.php?action=vallex&amp;frame=v-w3367f4_ZU", "pamatovat (v-w3367f4_ZU) - substituted with v-w3367f5_ZU")</f>
        <v>pamatovat (v-w3367f4_ZU) - substituted with v-w3367f5_ZU</v>
      </c>
    </row>
    <row r="25626" customFormat="false" ht="12.8" hidden="false" customHeight="false" outlineLevel="0" collapsed="false">
      <c r="B25626" s="0" t="s">
        <v>1</v>
      </c>
    </row>
    <row r="25627" customFormat="false" ht="12.8" hidden="false" customHeight="false" outlineLevel="0" collapsed="false">
      <c r="B25627" s="0" t="s">
        <v>10420</v>
      </c>
    </row>
    <row r="25629" customFormat="false" ht="12.8" hidden="false" customHeight="false" outlineLevel="0" collapsed="false">
      <c r="A25629" s="0" t="s">
        <v>10425</v>
      </c>
      <c r="B25629" s="0" t="str">
        <f aca="false">HYPERLINK("https://lindat.mff.cuni.cz/services/teitok/pdtc10/index.php?action=vallex&amp;frame=v-w3367hsa_326", "pamatovat (v-w3367hsa_326)")</f>
        <v>pamatovat (v-w3367hsa_326)</v>
      </c>
      <c r="E25629" s="0" t="str">
        <f aca="false">HYPERLINK("https://lindat.mff.cuni.cz/services/SynSemClass40/SynSemClass40.html?veclass=vec01255#vec01255-ces-cm00003", "vec01255")</f>
        <v>vec01255</v>
      </c>
      <c r="F25629" s="0" t="s">
        <v>10426</v>
      </c>
    </row>
    <row r="25630" customFormat="false" ht="12.8" hidden="false" customHeight="false" outlineLevel="0" collapsed="false">
      <c r="B25630" s="0" t="s">
        <v>1</v>
      </c>
      <c r="E25630" s="0" t="s">
        <v>11</v>
      </c>
      <c r="F25630" s="0" t="s">
        <v>959</v>
      </c>
    </row>
    <row r="25631" customFormat="false" ht="12.8" hidden="false" customHeight="false" outlineLevel="0" collapsed="false">
      <c r="B25631" s="0" t="s">
        <v>162</v>
      </c>
      <c r="E25631" s="0" t="s">
        <v>53</v>
      </c>
      <c r="F25631" s="0" t="s">
        <v>54</v>
      </c>
    </row>
    <row r="25632" customFormat="false" ht="12.8" hidden="false" customHeight="false" outlineLevel="0" collapsed="false">
      <c r="B25632" s="0" t="s">
        <v>3321</v>
      </c>
      <c r="E25632" s="0" t="s">
        <v>1875</v>
      </c>
      <c r="F25632" s="0" t="s">
        <v>10427</v>
      </c>
    </row>
    <row r="25634" customFormat="false" ht="12.8" hidden="false" customHeight="false" outlineLevel="0" collapsed="false">
      <c r="A25634" s="0" t="s">
        <v>10428</v>
      </c>
      <c r="B25634" s="0" t="str">
        <f aca="false">HYPERLINK("https://lindat.mff.cuni.cz/services/teitok/pdtc10/index.php?action=vallex&amp;frame=v-w3368f2_ZU", "pamatovat se (v-w3368f2_ZU)")</f>
        <v>pamatovat se (v-w3368f2_ZU)</v>
      </c>
    </row>
    <row r="25635" customFormat="false" ht="12.8" hidden="false" customHeight="false" outlineLevel="0" collapsed="false">
      <c r="B25635" s="0" t="s">
        <v>1</v>
      </c>
    </row>
    <row r="25636" customFormat="false" ht="12.8" hidden="false" customHeight="false" outlineLevel="0" collapsed="false">
      <c r="B25636" s="0" t="s">
        <v>10429</v>
      </c>
    </row>
    <row r="25638" customFormat="false" ht="12.8" hidden="false" customHeight="false" outlineLevel="0" collapsed="false">
      <c r="A25638" s="0" t="s">
        <v>10428</v>
      </c>
      <c r="B25638" s="0" t="str">
        <f aca="false">HYPERLINK("https://lindat.mff.cuni.cz/services/teitok/pdtc10/index.php?action=vallex&amp;frame=v-w3368f1", "pamatovat se (v-w3368f1) - substituted with v-w3368f2_ZU")</f>
        <v>pamatovat se (v-w3368f1) - substituted with v-w3368f2_ZU</v>
      </c>
      <c r="E25638" s="0" t="str">
        <f aca="false">HYPERLINK("https://lindat.mff.cuni.cz/services/SynSemClass40/SynSemClass40.html?veclass=vec00364#vec00364-ces-cm00003", "vec00364")</f>
        <v>vec00364</v>
      </c>
      <c r="F25638" s="0" t="s">
        <v>10421</v>
      </c>
    </row>
    <row r="25639" customFormat="false" ht="12.8" hidden="false" customHeight="false" outlineLevel="0" collapsed="false">
      <c r="B25639" s="0" t="s">
        <v>1</v>
      </c>
      <c r="C25639" s="0" t="s">
        <v>5883</v>
      </c>
      <c r="E25639" s="0" t="s">
        <v>621</v>
      </c>
      <c r="F25639" s="0" t="s">
        <v>10422</v>
      </c>
    </row>
    <row r="25640" customFormat="false" ht="12.8" hidden="false" customHeight="false" outlineLevel="0" collapsed="false">
      <c r="B25640" s="0" t="s">
        <v>10429</v>
      </c>
      <c r="C25640" s="0" t="s">
        <v>10423</v>
      </c>
      <c r="E25640" s="0" t="s">
        <v>180</v>
      </c>
      <c r="F25640" s="0" t="s">
        <v>10424</v>
      </c>
    </row>
    <row r="25642" customFormat="false" ht="12.8" hidden="false" customHeight="false" outlineLevel="0" collapsed="false">
      <c r="A25642" s="0" t="s">
        <v>10428</v>
      </c>
      <c r="B25642" s="0" t="str">
        <f aca="false">HYPERLINK("https://lindat.mff.cuni.cz/services/teitok/pdtc10/index.php?action=vallex&amp;frame=v-w3368hsa_1899", "pamatovat se (v-w3368hsa_1899) - substituted with v-w3368f2_ZU")</f>
        <v>pamatovat se (v-w3368hsa_1899) - substituted with v-w3368f2_ZU</v>
      </c>
    </row>
    <row r="25643" customFormat="false" ht="12.8" hidden="false" customHeight="false" outlineLevel="0" collapsed="false">
      <c r="B25643" s="0" t="s">
        <v>1</v>
      </c>
    </row>
    <row r="25644" customFormat="false" ht="12.8" hidden="false" customHeight="false" outlineLevel="0" collapsed="false">
      <c r="B25644" s="0" t="s">
        <v>10429</v>
      </c>
    </row>
    <row r="25646" customFormat="false" ht="12.8" hidden="false" customHeight="false" outlineLevel="0" collapsed="false">
      <c r="A25646" s="0" t="s">
        <v>10430</v>
      </c>
      <c r="B25646" s="0" t="str">
        <f aca="false">HYPERLINK("https://lindat.mff.cuni.cz/services/teitok/pdtc10/index.php?action=vallex&amp;frame=v-w3369f4_MM", "pamatovat si (v-w3369f4_MM)")</f>
        <v>pamatovat si (v-w3369f4_MM)</v>
      </c>
    </row>
    <row r="25647" customFormat="false" ht="12.8" hidden="false" customHeight="false" outlineLevel="0" collapsed="false">
      <c r="B25647" s="0" t="s">
        <v>1</v>
      </c>
    </row>
    <row r="25648" customFormat="false" ht="12.8" hidden="false" customHeight="false" outlineLevel="0" collapsed="false">
      <c r="B25648" s="0" t="s">
        <v>10431</v>
      </c>
    </row>
    <row r="25650" customFormat="false" ht="12.8" hidden="false" customHeight="false" outlineLevel="0" collapsed="false">
      <c r="A25650" s="0" t="s">
        <v>10430</v>
      </c>
      <c r="B25650" s="0" t="str">
        <f aca="false">HYPERLINK("https://lindat.mff.cuni.cz/services/teitok/pdtc10/index.php?action=vallex&amp;frame=v-w3369f1", "pamatovat si (v-w3369f1) - substituted with v-w3369f4_MM")</f>
        <v>pamatovat si (v-w3369f1) - substituted with v-w3369f4_MM</v>
      </c>
      <c r="E25650" s="0" t="str">
        <f aca="false">HYPERLINK("https://lindat.mff.cuni.cz/services/SynSemClass40/SynSemClass40.html?veclass=vec00364#vec00364-ces-cm00004", "vec00364")</f>
        <v>vec00364</v>
      </c>
      <c r="F25650" s="0" t="s">
        <v>10421</v>
      </c>
    </row>
    <row r="25651" customFormat="false" ht="12.8" hidden="false" customHeight="false" outlineLevel="0" collapsed="false">
      <c r="B25651" s="0" t="s">
        <v>1</v>
      </c>
      <c r="C25651" s="0" t="s">
        <v>5883</v>
      </c>
      <c r="E25651" s="0" t="s">
        <v>621</v>
      </c>
      <c r="F25651" s="0" t="s">
        <v>10422</v>
      </c>
    </row>
    <row r="25652" customFormat="false" ht="12.8" hidden="false" customHeight="false" outlineLevel="0" collapsed="false">
      <c r="B25652" s="0" t="s">
        <v>10431</v>
      </c>
      <c r="C25652" s="0" t="s">
        <v>10423</v>
      </c>
      <c r="E25652" s="0" t="s">
        <v>180</v>
      </c>
      <c r="F25652" s="0" t="s">
        <v>10424</v>
      </c>
    </row>
    <row r="25654" customFormat="false" ht="12.8" hidden="false" customHeight="false" outlineLevel="0" collapsed="false">
      <c r="A25654" s="0" t="s">
        <v>10430</v>
      </c>
      <c r="B25654" s="0" t="str">
        <f aca="false">HYPERLINK("https://lindat.mff.cuni.cz/services/teitok/pdtc10/index.php?action=vallex&amp;frame=v-w3369f3_MM", "pamatovat si (v-w3369f3_MM) - substituted with v-w3369f4_MM")</f>
        <v>pamatovat si (v-w3369f3_MM) - substituted with v-w3369f4_MM</v>
      </c>
    </row>
    <row r="25655" customFormat="false" ht="12.8" hidden="false" customHeight="false" outlineLevel="0" collapsed="false">
      <c r="B25655" s="0" t="s">
        <v>1</v>
      </c>
    </row>
    <row r="25656" customFormat="false" ht="12.8" hidden="false" customHeight="false" outlineLevel="0" collapsed="false">
      <c r="B25656" s="0" t="s">
        <v>10431</v>
      </c>
    </row>
    <row r="25658" customFormat="false" ht="12.8" hidden="false" customHeight="false" outlineLevel="0" collapsed="false">
      <c r="A25658" s="0" t="s">
        <v>10432</v>
      </c>
      <c r="B25658" s="0" t="str">
        <f aca="false">HYPERLINK("https://lindat.mff.cuni.cz/services/teitok/pdtc10/index.php?action=vallex&amp;frame=v-w3369f2", "pamatovat si (v-w3369f2)")</f>
        <v>pamatovat si (v-w3369f2)</v>
      </c>
    </row>
    <row r="25659" customFormat="false" ht="12.8" hidden="false" customHeight="false" outlineLevel="0" collapsed="false">
      <c r="B25659" s="0" t="s">
        <v>1</v>
      </c>
    </row>
    <row r="25660" customFormat="false" ht="12.8" hidden="false" customHeight="false" outlineLevel="0" collapsed="false">
      <c r="B25660" s="0" t="s">
        <v>6407</v>
      </c>
    </row>
    <row r="25661" customFormat="false" ht="12.8" hidden="false" customHeight="false" outlineLevel="0" collapsed="false">
      <c r="B25661" s="0" t="s">
        <v>496</v>
      </c>
    </row>
    <row r="25663" customFormat="false" ht="12.8" hidden="false" customHeight="false" outlineLevel="0" collapsed="false">
      <c r="A25663" s="0" t="s">
        <v>10433</v>
      </c>
      <c r="B25663" s="0" t="str">
        <f aca="false">HYPERLINK("https://lindat.mff.cuni.cz/services/teitok/pdtc10/index.php?action=vallex&amp;frame=v-w11139f2", "panikařit (v-w11139f2)")</f>
        <v>panikařit (v-w11139f2)</v>
      </c>
      <c r="E25663" s="0" t="str">
        <f aca="false">HYPERLINK("https://lindat.mff.cuni.cz/services/SynSemClass40/SynSemClass40.html?veclass=vec00864#vec00864-ces-cm00001", "vec00864")</f>
        <v>vec00864</v>
      </c>
      <c r="F25663" s="0" t="s">
        <v>10434</v>
      </c>
    </row>
    <row r="25664" customFormat="false" ht="12.8" hidden="false" customHeight="false" outlineLevel="0" collapsed="false">
      <c r="B25664" s="0" t="s">
        <v>1</v>
      </c>
      <c r="C25664" s="0" t="s">
        <v>10435</v>
      </c>
      <c r="E25664" s="0" t="s">
        <v>621</v>
      </c>
      <c r="F25664" s="0" t="s">
        <v>10436</v>
      </c>
    </row>
    <row r="25666" customFormat="false" ht="12.8" hidden="false" customHeight="false" outlineLevel="0" collapsed="false">
      <c r="A25666" s="0" t="s">
        <v>10437</v>
      </c>
      <c r="B25666" s="0" t="str">
        <f aca="false">HYPERLINK("https://lindat.mff.cuni.cz/services/teitok/pdtc10/index.php?action=vallex&amp;frame=v-w3374f1", "panovat (v-w3374f1)")</f>
        <v>panovat (v-w3374f1)</v>
      </c>
      <c r="E25666" s="0" t="str">
        <f aca="false">HYPERLINK("https://lindat.mff.cuni.cz/services/SynSemClass40/SynSemClass40.html?veclass=vec00017#vec00017-ces-cm00094", "vec00017")</f>
        <v>vec00017</v>
      </c>
      <c r="F25666" s="0" t="s">
        <v>954</v>
      </c>
    </row>
    <row r="25667" customFormat="false" ht="12.8" hidden="false" customHeight="false" outlineLevel="0" collapsed="false">
      <c r="B25667" s="0" t="s">
        <v>1</v>
      </c>
      <c r="C25667" s="0" t="s">
        <v>956</v>
      </c>
      <c r="E25667" s="0" t="s">
        <v>957</v>
      </c>
      <c r="F25667" s="0" t="s">
        <v>958</v>
      </c>
    </row>
    <row r="25669" customFormat="false" ht="12.8" hidden="false" customHeight="false" outlineLevel="0" collapsed="false">
      <c r="A25669" s="0" t="s">
        <v>10438</v>
      </c>
      <c r="B25669" s="0" t="str">
        <f aca="false">HYPERLINK("https://lindat.mff.cuni.cz/services/teitok/pdtc10/index.php?action=vallex&amp;frame=v-w3378f1", "parafovat (v-w3378f1)")</f>
        <v>parafovat (v-w3378f1)</v>
      </c>
    </row>
    <row r="25670" customFormat="false" ht="12.8" hidden="false" customHeight="false" outlineLevel="0" collapsed="false">
      <c r="B25670" s="0" t="s">
        <v>1</v>
      </c>
    </row>
    <row r="25671" customFormat="false" ht="12.8" hidden="false" customHeight="false" outlineLevel="0" collapsed="false">
      <c r="B25671" s="0" t="s">
        <v>228</v>
      </c>
    </row>
    <row r="25673" customFormat="false" ht="12.8" hidden="false" customHeight="false" outlineLevel="0" collapsed="false">
      <c r="A25673" s="0" t="s">
        <v>10439</v>
      </c>
      <c r="B25673" s="0" t="str">
        <f aca="false">HYPERLINK("https://lindat.mff.cuni.cz/services/teitok/pdtc10/index.php?action=vallex&amp;frame=v-w3381f1", "paralyzovat (v-w3381f1)")</f>
        <v>paralyzovat (v-w3381f1)</v>
      </c>
      <c r="E25673" s="0" t="str">
        <f aca="false">HYPERLINK("https://lindat.mff.cuni.cz/services/SynSemClass40/SynSemClass40.html?veclass=vec00656#vec00656-ces-cm00002", "vec00656")</f>
        <v>vec00656</v>
      </c>
      <c r="F25673" s="0" t="s">
        <v>7670</v>
      </c>
      <c r="H25673" s="0" t="str">
        <f aca="false">HYPERLINK("https://lindat.mff.cuni.cz/services/SynSemClass40/SynSemClass40.html?veclass=vec01505#vec01505-ces-cm00005", "vec01505")</f>
        <v>vec01505</v>
      </c>
      <c r="I25673" s="0" t="s">
        <v>5388</v>
      </c>
    </row>
    <row r="25674" customFormat="false" ht="12.8" hidden="false" customHeight="false" outlineLevel="0" collapsed="false">
      <c r="B25674" s="0" t="s">
        <v>1</v>
      </c>
      <c r="C25674" s="0" t="s">
        <v>10440</v>
      </c>
      <c r="E25674" s="0" t="s">
        <v>76</v>
      </c>
      <c r="F25674" s="0" t="s">
        <v>7673</v>
      </c>
      <c r="H25674" s="0" t="s">
        <v>196</v>
      </c>
      <c r="I25674" s="0" t="s">
        <v>5390</v>
      </c>
    </row>
    <row r="25675" customFormat="false" ht="12.8" hidden="false" customHeight="false" outlineLevel="0" collapsed="false">
      <c r="B25675" s="0" t="s">
        <v>8</v>
      </c>
      <c r="C25675" s="0" t="s">
        <v>10441</v>
      </c>
      <c r="E25675" s="0" t="s">
        <v>7676</v>
      </c>
      <c r="F25675" s="0" t="s">
        <v>7677</v>
      </c>
      <c r="H25675" s="0" t="s">
        <v>199</v>
      </c>
      <c r="I25675" s="0" t="s">
        <v>5394</v>
      </c>
    </row>
    <row r="25677" customFormat="false" ht="12.8" hidden="false" customHeight="false" outlineLevel="0" collapsed="false">
      <c r="A25677" s="0" t="s">
        <v>10442</v>
      </c>
      <c r="B25677" s="0" t="str">
        <f aca="false">HYPERLINK("https://lindat.mff.cuni.cz/services/teitok/pdtc10/index.php?action=vallex&amp;frame=v-w3382f2", "parazitovat (v-w3382f2)")</f>
        <v>parazitovat (v-w3382f2)</v>
      </c>
    </row>
    <row r="25678" customFormat="false" ht="12.8" hidden="false" customHeight="false" outlineLevel="0" collapsed="false">
      <c r="B25678" s="0" t="s">
        <v>1</v>
      </c>
    </row>
    <row r="25679" customFormat="false" ht="12.8" hidden="false" customHeight="false" outlineLevel="0" collapsed="false">
      <c r="B25679" s="0" t="s">
        <v>298</v>
      </c>
    </row>
    <row r="25681" customFormat="false" ht="12.8" hidden="false" customHeight="false" outlineLevel="0" collapsed="false">
      <c r="A25681" s="0" t="s">
        <v>10443</v>
      </c>
      <c r="B25681" s="0" t="str">
        <f aca="false">HYPERLINK("https://lindat.mff.cuni.cz/services/teitok/pdtc10/index.php?action=vallex&amp;frame=v-w3382f1", "parazitovat (v-w3382f1)")</f>
        <v>parazitovat (v-w3382f1)</v>
      </c>
    </row>
    <row r="25682" customFormat="false" ht="12.8" hidden="false" customHeight="false" outlineLevel="0" collapsed="false">
      <c r="B25682" s="0" t="s">
        <v>1</v>
      </c>
    </row>
    <row r="25684" customFormat="false" ht="12.8" hidden="false" customHeight="false" outlineLevel="0" collapsed="false">
      <c r="A25684" s="0" t="s">
        <v>10444</v>
      </c>
      <c r="B25684" s="0" t="str">
        <f aca="false">HYPERLINK("https://lindat.mff.cuni.cz/services/teitok/pdtc10/index.php?action=vallex&amp;frame=v-w3384f1", "parkovat (v-w3384f1)")</f>
        <v>parkovat (v-w3384f1)</v>
      </c>
    </row>
    <row r="25685" customFormat="false" ht="12.8" hidden="false" customHeight="false" outlineLevel="0" collapsed="false">
      <c r="B25685" s="0" t="s">
        <v>1</v>
      </c>
    </row>
    <row r="25686" customFormat="false" ht="12.8" hidden="false" customHeight="false" outlineLevel="0" collapsed="false">
      <c r="B25686" s="0" t="s">
        <v>8</v>
      </c>
    </row>
    <row r="25688" customFormat="false" ht="12.8" hidden="false" customHeight="false" outlineLevel="0" collapsed="false">
      <c r="A25688" s="0" t="s">
        <v>10445</v>
      </c>
      <c r="B25688" s="0" t="str">
        <f aca="false">HYPERLINK("https://lindat.mff.cuni.cz/services/teitok/pdtc10/index.php?action=vallex&amp;frame=v-w3384f2", "parkovat (v-w3384f2)")</f>
        <v>parkovat (v-w3384f2)</v>
      </c>
    </row>
    <row r="25689" customFormat="false" ht="12.8" hidden="false" customHeight="false" outlineLevel="0" collapsed="false">
      <c r="B25689" s="0" t="s">
        <v>1</v>
      </c>
    </row>
    <row r="25691" customFormat="false" ht="12.8" hidden="false" customHeight="false" outlineLevel="0" collapsed="false">
      <c r="A25691" s="0" t="s">
        <v>10446</v>
      </c>
      <c r="B25691" s="0" t="str">
        <f aca="false">HYPERLINK("https://lindat.mff.cuni.cz/services/teitok/pdtc10/index.php?action=vallex&amp;frame=v-w3386f1", "parodovat (v-w3386f1)")</f>
        <v>parodovat (v-w3386f1)</v>
      </c>
    </row>
    <row r="25692" customFormat="false" ht="12.8" hidden="false" customHeight="false" outlineLevel="0" collapsed="false">
      <c r="B25692" s="0" t="s">
        <v>1</v>
      </c>
    </row>
    <row r="25693" customFormat="false" ht="12.8" hidden="false" customHeight="false" outlineLevel="0" collapsed="false">
      <c r="B25693" s="0" t="s">
        <v>8</v>
      </c>
    </row>
    <row r="25695" customFormat="false" ht="12.8" hidden="false" customHeight="false" outlineLevel="0" collapsed="false">
      <c r="A25695" s="0" t="s">
        <v>10447</v>
      </c>
      <c r="B25695" s="0" t="str">
        <f aca="false">HYPERLINK("https://lindat.mff.cuni.cz/services/teitok/pdtc10/index.php?action=vallex&amp;frame=v-w3389f1", "participovat (v-w3389f1)")</f>
        <v>participovat (v-w3389f1)</v>
      </c>
    </row>
    <row r="25696" customFormat="false" ht="12.8" hidden="false" customHeight="false" outlineLevel="0" collapsed="false">
      <c r="B25696" s="0" t="s">
        <v>1</v>
      </c>
    </row>
    <row r="25697" customFormat="false" ht="12.8" hidden="false" customHeight="false" outlineLevel="0" collapsed="false">
      <c r="B25697" s="0" t="s">
        <v>291</v>
      </c>
    </row>
    <row r="25699" customFormat="false" ht="12.8" hidden="false" customHeight="false" outlineLevel="0" collapsed="false">
      <c r="A25699" s="0" t="s">
        <v>10448</v>
      </c>
      <c r="B25699" s="0" t="str">
        <f aca="false">HYPERLINK("https://lindat.mff.cuni.cz/services/teitok/pdtc10/index.php?action=vallex&amp;frame=v-w3397f1", "pasovat (v-w3397f1)")</f>
        <v>pasovat (v-w3397f1)</v>
      </c>
    </row>
    <row r="25700" customFormat="false" ht="12.8" hidden="false" customHeight="false" outlineLevel="0" collapsed="false">
      <c r="B25700" s="0" t="s">
        <v>1</v>
      </c>
    </row>
    <row r="25701" customFormat="false" ht="12.8" hidden="false" customHeight="false" outlineLevel="0" collapsed="false">
      <c r="B25701" s="0" t="s">
        <v>8</v>
      </c>
    </row>
    <row r="25702" customFormat="false" ht="12.8" hidden="false" customHeight="false" outlineLevel="0" collapsed="false">
      <c r="B25702" s="0" t="s">
        <v>10449</v>
      </c>
    </row>
    <row r="25704" customFormat="false" ht="12.8" hidden="false" customHeight="false" outlineLevel="0" collapsed="false">
      <c r="A25704" s="0" t="s">
        <v>10450</v>
      </c>
      <c r="B25704" s="0" t="str">
        <f aca="false">HYPERLINK("https://lindat.mff.cuni.cz/services/teitok/pdtc10/index.php?action=vallex&amp;frame=v-w3397f3", "pasovat (v-w3397f3)")</f>
        <v>pasovat (v-w3397f3)</v>
      </c>
    </row>
    <row r="25705" customFormat="false" ht="12.8" hidden="false" customHeight="false" outlineLevel="0" collapsed="false">
      <c r="B25705" s="0" t="s">
        <v>345</v>
      </c>
    </row>
    <row r="25706" customFormat="false" ht="12.8" hidden="false" customHeight="false" outlineLevel="0" collapsed="false">
      <c r="B25706" s="0" t="s">
        <v>186</v>
      </c>
    </row>
    <row r="25708" customFormat="false" ht="12.8" hidden="false" customHeight="false" outlineLevel="0" collapsed="false">
      <c r="A25708" s="0" t="s">
        <v>10451</v>
      </c>
      <c r="B25708" s="0" t="str">
        <f aca="false">HYPERLINK("https://lindat.mff.cuni.cz/services/teitok/pdtc10/index.php?action=vallex&amp;frame=v-w3397f2", "pasovat (v-w3397f2)")</f>
        <v>pasovat (v-w3397f2)</v>
      </c>
    </row>
    <row r="25709" customFormat="false" ht="12.8" hidden="false" customHeight="false" outlineLevel="0" collapsed="false">
      <c r="B25709" s="0" t="s">
        <v>1</v>
      </c>
    </row>
    <row r="25710" customFormat="false" ht="12.8" hidden="false" customHeight="false" outlineLevel="0" collapsed="false">
      <c r="B25710" s="0" t="s">
        <v>164</v>
      </c>
    </row>
    <row r="25712" customFormat="false" ht="12.8" hidden="false" customHeight="false" outlineLevel="0" collapsed="false">
      <c r="A25712" s="0" t="s">
        <v>10452</v>
      </c>
      <c r="B25712" s="0" t="str">
        <f aca="false">HYPERLINK("https://lindat.mff.cuni.cz/services/teitok/pdtc10/index.php?action=vallex&amp;frame=v-w3397f4_ZU", "pasovat (v-w3397f4_ZU)")</f>
        <v>pasovat (v-w3397f4_ZU)</v>
      </c>
    </row>
    <row r="25713" customFormat="false" ht="12.8" hidden="false" customHeight="false" outlineLevel="0" collapsed="false">
      <c r="B25713" s="0" t="s">
        <v>1</v>
      </c>
    </row>
    <row r="25715" customFormat="false" ht="12.8" hidden="false" customHeight="false" outlineLevel="0" collapsed="false">
      <c r="A25715" s="0" t="s">
        <v>10453</v>
      </c>
      <c r="B25715" s="0" t="str">
        <f aca="false">HYPERLINK("https://lindat.mff.cuni.cz/services/teitok/pdtc10/index.php?action=vallex&amp;frame=v-w3397hsa_1357", "pasovat (v-w3397hsa_1357)")</f>
        <v>pasovat (v-w3397hsa_1357)</v>
      </c>
    </row>
    <row r="25716" customFormat="false" ht="12.8" hidden="false" customHeight="false" outlineLevel="0" collapsed="false">
      <c r="B25716" s="0" t="s">
        <v>1</v>
      </c>
    </row>
    <row r="25717" customFormat="false" ht="12.8" hidden="false" customHeight="false" outlineLevel="0" collapsed="false">
      <c r="B25717" s="0" t="s">
        <v>8</v>
      </c>
    </row>
    <row r="25718" customFormat="false" ht="12.8" hidden="false" customHeight="false" outlineLevel="0" collapsed="false">
      <c r="B25718" s="0" t="s">
        <v>164</v>
      </c>
    </row>
    <row r="25720" customFormat="false" ht="12.8" hidden="false" customHeight="false" outlineLevel="0" collapsed="false">
      <c r="A25720" s="0" t="s">
        <v>10454</v>
      </c>
      <c r="B25720" s="0" t="str">
        <f aca="false">HYPERLINK("https://lindat.mff.cuni.cz/services/teitok/pdtc10/index.php?action=vallex&amp;frame=v-w10221f2", "patentovat (v-w10221f2)")</f>
        <v>patentovat (v-w10221f2)</v>
      </c>
      <c r="E25720" s="0" t="str">
        <f aca="false">HYPERLINK("https://lindat.mff.cuni.cz/services/SynSemClass40/SynSemClass40.html?veclass=vec01117#vec01117-ces-cm00004", "vec01117")</f>
        <v>vec01117</v>
      </c>
      <c r="F25720" s="0" t="s">
        <v>5398</v>
      </c>
    </row>
    <row r="25721" customFormat="false" ht="12.8" hidden="false" customHeight="false" outlineLevel="0" collapsed="false">
      <c r="B25721" s="0" t="s">
        <v>1</v>
      </c>
      <c r="C25721" s="0" t="s">
        <v>6035</v>
      </c>
      <c r="E25721" s="0" t="s">
        <v>5401</v>
      </c>
      <c r="F25721" s="0" t="s">
        <v>5402</v>
      </c>
    </row>
    <row r="25722" customFormat="false" ht="12.8" hidden="false" customHeight="false" outlineLevel="0" collapsed="false">
      <c r="B25722" s="0" t="s">
        <v>8</v>
      </c>
      <c r="C25722" s="0" t="s">
        <v>827</v>
      </c>
      <c r="E25722" s="0" t="s">
        <v>5405</v>
      </c>
      <c r="F25722" s="0" t="s">
        <v>5406</v>
      </c>
    </row>
    <row r="25724" customFormat="false" ht="12.8" hidden="false" customHeight="false" outlineLevel="0" collapsed="false">
      <c r="A25724" s="0" t="s">
        <v>10455</v>
      </c>
      <c r="B25724" s="0" t="str">
        <f aca="false">HYPERLINK("https://lindat.mff.cuni.cz/services/teitok/pdtc10/index.php?action=vallex&amp;frame=v-w3411f6_ZU", "patřit (v-w3411f6_ZU)")</f>
        <v>patřit (v-w3411f6_ZU)</v>
      </c>
    </row>
    <row r="25725" customFormat="false" ht="12.8" hidden="false" customHeight="false" outlineLevel="0" collapsed="false">
      <c r="B25725" s="0" t="s">
        <v>1</v>
      </c>
    </row>
    <row r="25726" customFormat="false" ht="12.8" hidden="false" customHeight="false" outlineLevel="0" collapsed="false">
      <c r="B25726" s="0" t="s">
        <v>10456</v>
      </c>
    </row>
    <row r="25728" customFormat="false" ht="12.8" hidden="false" customHeight="false" outlineLevel="0" collapsed="false">
      <c r="A25728" s="0" t="s">
        <v>10455</v>
      </c>
      <c r="B25728" s="0" t="str">
        <f aca="false">HYPERLINK("https://lindat.mff.cuni.cz/services/teitok/pdtc10/index.php?action=vallex&amp;frame=v-w3411f2", "patřit (v-w3411f2) - substituted with v-w3411f6_ZU")</f>
        <v>patřit (v-w3411f2) - substituted with v-w3411f6_ZU</v>
      </c>
      <c r="E25728" s="0" t="str">
        <f aca="false">HYPERLINK("https://lindat.mff.cuni.cz/services/SynSemClass40/SynSemClass40.html?veclass=vec00348#vec00348-ces-cm00033", "vec00348")</f>
        <v>vec00348</v>
      </c>
      <c r="F25728" s="0" t="s">
        <v>3263</v>
      </c>
    </row>
    <row r="25729" customFormat="false" ht="12.8" hidden="false" customHeight="false" outlineLevel="0" collapsed="false">
      <c r="B25729" s="0" t="s">
        <v>1</v>
      </c>
      <c r="C25729" s="0" t="s">
        <v>10457</v>
      </c>
      <c r="E25729" s="0" t="s">
        <v>10458</v>
      </c>
      <c r="F25729" s="0" t="s">
        <v>10459</v>
      </c>
    </row>
    <row r="25730" customFormat="false" ht="12.8" hidden="false" customHeight="false" outlineLevel="0" collapsed="false">
      <c r="B25730" s="0" t="s">
        <v>10456</v>
      </c>
      <c r="C25730" s="0" t="s">
        <v>10460</v>
      </c>
      <c r="E25730" s="0" t="s">
        <v>10461</v>
      </c>
      <c r="F25730" s="0" t="s">
        <v>10462</v>
      </c>
    </row>
    <row r="25732" customFormat="false" ht="12.8" hidden="false" customHeight="false" outlineLevel="0" collapsed="false">
      <c r="A25732" s="0" t="s">
        <v>10455</v>
      </c>
      <c r="B25732" s="0" t="str">
        <f aca="false">HYPERLINK("https://lindat.mff.cuni.cz/services/teitok/pdtc10/index.php?action=vallex&amp;frame=v-w3411f5_ZU", "patřit (v-w3411f5_ZU) - substituted with v-w3411f6_ZU")</f>
        <v>patřit (v-w3411f5_ZU) - substituted with v-w3411f6_ZU</v>
      </c>
    </row>
    <row r="25733" customFormat="false" ht="12.8" hidden="false" customHeight="false" outlineLevel="0" collapsed="false">
      <c r="B25733" s="0" t="s">
        <v>1</v>
      </c>
    </row>
    <row r="25734" customFormat="false" ht="12.8" hidden="false" customHeight="false" outlineLevel="0" collapsed="false">
      <c r="B25734" s="0" t="s">
        <v>10456</v>
      </c>
    </row>
    <row r="25736" customFormat="false" ht="12.8" hidden="false" customHeight="false" outlineLevel="0" collapsed="false">
      <c r="A25736" s="0" t="s">
        <v>10463</v>
      </c>
      <c r="B25736" s="0" t="str">
        <f aca="false">HYPERLINK("https://lindat.mff.cuni.cz/services/teitok/pdtc10/index.php?action=vallex&amp;frame=v-w3411f3", "patřit (v-w3411f3)")</f>
        <v>patřit (v-w3411f3)</v>
      </c>
    </row>
    <row r="25737" customFormat="false" ht="12.8" hidden="false" customHeight="false" outlineLevel="0" collapsed="false">
      <c r="B25737" s="0" t="s">
        <v>1</v>
      </c>
    </row>
    <row r="25738" customFormat="false" ht="12.8" hidden="false" customHeight="false" outlineLevel="0" collapsed="false">
      <c r="B25738" s="0" t="s">
        <v>186</v>
      </c>
    </row>
    <row r="25740" customFormat="false" ht="12.8" hidden="false" customHeight="false" outlineLevel="0" collapsed="false">
      <c r="A25740" s="0" t="s">
        <v>10464</v>
      </c>
      <c r="B25740" s="0" t="str">
        <f aca="false">HYPERLINK("https://lindat.mff.cuni.cz/services/teitok/pdtc10/index.php?action=vallex&amp;frame=v-w3411f1", "patřit (v-w3411f1)")</f>
        <v>patřit (v-w3411f1)</v>
      </c>
      <c r="E25740" s="0" t="str">
        <f aca="false">HYPERLINK("https://lindat.mff.cuni.cz/services/SynSemClass40/SynSemClass40.html?veclass=vec00865#vec00865-ces-cm00001", "vec00865")</f>
        <v>vec00865</v>
      </c>
      <c r="F25740" s="0" t="s">
        <v>8232</v>
      </c>
    </row>
    <row r="25741" customFormat="false" ht="12.8" hidden="false" customHeight="false" outlineLevel="0" collapsed="false">
      <c r="B25741" s="0" t="s">
        <v>947</v>
      </c>
      <c r="C25741" s="0" t="s">
        <v>8233</v>
      </c>
      <c r="E25741" s="0" t="s">
        <v>957</v>
      </c>
      <c r="F25741" s="0" t="s">
        <v>8234</v>
      </c>
    </row>
    <row r="25742" customFormat="false" ht="12.8" hidden="false" customHeight="false" outlineLevel="0" collapsed="false">
      <c r="B25742" s="0" t="s">
        <v>164</v>
      </c>
      <c r="C25742" s="0" t="s">
        <v>8235</v>
      </c>
      <c r="E25742" s="0" t="s">
        <v>8236</v>
      </c>
      <c r="F25742" s="0" t="s">
        <v>8237</v>
      </c>
    </row>
    <row r="25744" customFormat="false" ht="12.8" hidden="false" customHeight="false" outlineLevel="0" collapsed="false">
      <c r="A25744" s="0" t="s">
        <v>10465</v>
      </c>
      <c r="B25744" s="0" t="str">
        <f aca="false">HYPERLINK("https://lindat.mff.cuni.cz/services/teitok/pdtc10/index.php?action=vallex&amp;frame=v-w3411f4", "patřit (v-w3411f4)")</f>
        <v>patřit (v-w3411f4)</v>
      </c>
    </row>
    <row r="25745" customFormat="false" ht="12.8" hidden="false" customHeight="false" outlineLevel="0" collapsed="false">
      <c r="B25745" s="0" t="s">
        <v>1</v>
      </c>
    </row>
    <row r="25746" customFormat="false" ht="12.8" hidden="false" customHeight="false" outlineLevel="0" collapsed="false">
      <c r="B25746" s="0" t="s">
        <v>164</v>
      </c>
    </row>
    <row r="25748" customFormat="false" ht="12.8" hidden="false" customHeight="false" outlineLevel="0" collapsed="false">
      <c r="A25748" s="0" t="s">
        <v>10466</v>
      </c>
      <c r="B25748" s="0" t="str">
        <f aca="false">HYPERLINK("https://lindat.mff.cuni.cz/services/teitok/pdtc10/index.php?action=vallex&amp;frame=v-w3411f7_ZU", "patřit (v-w3411f7_ZU)")</f>
        <v>patřit (v-w3411f7_ZU)</v>
      </c>
    </row>
    <row r="25749" customFormat="false" ht="12.8" hidden="false" customHeight="false" outlineLevel="0" collapsed="false">
      <c r="B25749" s="0" t="s">
        <v>1</v>
      </c>
    </row>
    <row r="25750" customFormat="false" ht="12.8" hidden="false" customHeight="false" outlineLevel="0" collapsed="false">
      <c r="B25750" s="0" t="s">
        <v>45</v>
      </c>
    </row>
    <row r="25752" customFormat="false" ht="12.8" hidden="false" customHeight="false" outlineLevel="0" collapsed="false">
      <c r="A25752" s="0" t="s">
        <v>10467</v>
      </c>
      <c r="B25752" s="0" t="str">
        <f aca="false">HYPERLINK("https://lindat.mff.cuni.cz/services/teitok/pdtc10/index.php?action=vallex&amp;frame=v-w3412f1", "patřit se (v-w3412f1)")</f>
        <v>patřit se (v-w3412f1)</v>
      </c>
      <c r="E25752" s="0" t="str">
        <f aca="false">HYPERLINK("https://lindat.mff.cuni.cz/services/SynSemClass40/SynSemClass40.html?veclass=vec01523#vec01523-ces-cm00007", "vec01523")</f>
        <v>vec01523</v>
      </c>
      <c r="F25752" s="0" t="s">
        <v>4430</v>
      </c>
    </row>
    <row r="25753" customFormat="false" ht="12.8" hidden="false" customHeight="false" outlineLevel="0" collapsed="false">
      <c r="B25753" s="0" t="s">
        <v>6527</v>
      </c>
      <c r="C25753" s="0" t="s">
        <v>4441</v>
      </c>
      <c r="E25753" s="0" t="s">
        <v>4434</v>
      </c>
      <c r="F25753" s="0" t="s">
        <v>4435</v>
      </c>
    </row>
    <row r="25754" customFormat="false" ht="12.8" hidden="false" customHeight="false" outlineLevel="0" collapsed="false">
      <c r="B25754" s="0" t="s">
        <v>10468</v>
      </c>
      <c r="C25754" s="0" t="s">
        <v>10469</v>
      </c>
      <c r="E25754" s="0" t="s">
        <v>4438</v>
      </c>
      <c r="F25754" s="0" t="s">
        <v>4439</v>
      </c>
    </row>
    <row r="25756" customFormat="false" ht="12.8" hidden="false" customHeight="false" outlineLevel="0" collapsed="false">
      <c r="A25756" s="0" t="s">
        <v>10470</v>
      </c>
      <c r="B25756" s="0" t="str">
        <f aca="false">HYPERLINK("https://lindat.mff.cuni.cz/services/teitok/pdtc10/index.php?action=vallex&amp;frame=v-w3402f1", "pašovat (v-w3402f1)")</f>
        <v>pašovat (v-w3402f1)</v>
      </c>
      <c r="E25756" s="0" t="str">
        <f aca="false">HYPERLINK("https://lindat.mff.cuni.cz/services/SynSemClass40/SynSemClass40.html?veclass=vec00566#vec00566-ces-cm00011", "vec00566")</f>
        <v>vec00566</v>
      </c>
      <c r="F25756" s="0" t="s">
        <v>7991</v>
      </c>
    </row>
    <row r="25757" customFormat="false" ht="12.8" hidden="false" customHeight="false" outlineLevel="0" collapsed="false">
      <c r="B25757" s="0" t="s">
        <v>1</v>
      </c>
      <c r="C25757" s="0" t="s">
        <v>255</v>
      </c>
      <c r="E25757" s="0" t="s">
        <v>2196</v>
      </c>
      <c r="F25757" s="0" t="s">
        <v>4400</v>
      </c>
    </row>
    <row r="25758" customFormat="false" ht="12.8" hidden="false" customHeight="false" outlineLevel="0" collapsed="false">
      <c r="B25758" s="0" t="s">
        <v>8</v>
      </c>
      <c r="C25758" s="0" t="s">
        <v>10471</v>
      </c>
      <c r="E25758" s="0" t="s">
        <v>2200</v>
      </c>
      <c r="F25758" s="0" t="s">
        <v>7993</v>
      </c>
    </row>
    <row r="25760" customFormat="false" ht="12.8" hidden="false" customHeight="false" outlineLevel="0" collapsed="false">
      <c r="A25760" s="0" t="s">
        <v>10472</v>
      </c>
      <c r="B25760" s="0" t="str">
        <f aca="false">HYPERLINK("https://lindat.mff.cuni.cz/services/teitok/pdtc10/index.php?action=vallex&amp;frame=v-w10122f2", "pelášit (v-w10122f2)")</f>
        <v>pelášit (v-w10122f2)</v>
      </c>
      <c r="E25760" s="0" t="str">
        <f aca="false">HYPERLINK("https://lindat.mff.cuni.cz/services/SynSemClass40/SynSemClass40.html?veclass=vec00048#vec00048-ces-cm00070", "vec00048")</f>
        <v>vec00048</v>
      </c>
      <c r="F25760" s="0" t="s">
        <v>1945</v>
      </c>
    </row>
    <row r="25761" customFormat="false" ht="12.8" hidden="false" customHeight="false" outlineLevel="0" collapsed="false">
      <c r="B25761" s="0" t="s">
        <v>1</v>
      </c>
      <c r="C25761" s="0" t="s">
        <v>1946</v>
      </c>
      <c r="E25761" s="0" t="s">
        <v>334</v>
      </c>
      <c r="F25761" s="0" t="s">
        <v>1947</v>
      </c>
    </row>
    <row r="25763" customFormat="false" ht="12.8" hidden="false" customHeight="false" outlineLevel="0" collapsed="false">
      <c r="A25763" s="0" t="s">
        <v>10473</v>
      </c>
      <c r="B25763" s="0" t="str">
        <f aca="false">HYPERLINK("https://lindat.mff.cuni.cz/services/teitok/pdtc10/index.php?action=vallex&amp;frame=v-w3419f1", "penalizovat (v-w3419f1)")</f>
        <v>penalizovat (v-w3419f1)</v>
      </c>
      <c r="E25763" s="0" t="str">
        <f aca="false">HYPERLINK("https://lindat.mff.cuni.cz/services/SynSemClass40/SynSemClass40.html?veclass=vec00484#vec00484-ces-cm00005", "vec00484")</f>
        <v>vec00484</v>
      </c>
      <c r="F25763" s="0" t="s">
        <v>10474</v>
      </c>
    </row>
    <row r="25764" customFormat="false" ht="12.8" hidden="false" customHeight="false" outlineLevel="0" collapsed="false">
      <c r="B25764" s="0" t="s">
        <v>1</v>
      </c>
      <c r="C25764" s="0" t="s">
        <v>333</v>
      </c>
      <c r="E25764" s="0" t="s">
        <v>206</v>
      </c>
      <c r="F25764" s="0" t="s">
        <v>10475</v>
      </c>
    </row>
    <row r="25765" customFormat="false" ht="12.8" hidden="false" customHeight="false" outlineLevel="0" collapsed="false">
      <c r="B25765" s="0" t="s">
        <v>8</v>
      </c>
      <c r="C25765" s="0" t="s">
        <v>10476</v>
      </c>
      <c r="E25765" s="0" t="s">
        <v>9278</v>
      </c>
      <c r="F25765" s="0" t="s">
        <v>10477</v>
      </c>
    </row>
    <row r="25767" customFormat="false" ht="12.8" hidden="false" customHeight="false" outlineLevel="0" collapsed="false">
      <c r="A25767" s="0" t="s">
        <v>10478</v>
      </c>
      <c r="B25767" s="0" t="str">
        <f aca="false">HYPERLINK("https://lindat.mff.cuni.cz/services/teitok/pdtc10/index.php?action=vallex&amp;frame=v-w11969_ZUf1_ZU", "pendlovat (v-w11969_ZUf1_ZU)")</f>
        <v>pendlovat (v-w11969_ZUf1_ZU)</v>
      </c>
    </row>
    <row r="25768" customFormat="false" ht="12.8" hidden="false" customHeight="false" outlineLevel="0" collapsed="false">
      <c r="B25768" s="0" t="s">
        <v>1</v>
      </c>
    </row>
    <row r="25770" customFormat="false" ht="12.8" hidden="false" customHeight="false" outlineLevel="0" collapsed="false">
      <c r="A25770" s="0" t="s">
        <v>10479</v>
      </c>
      <c r="B25770" s="0" t="str">
        <f aca="false">HYPERLINK("https://lindat.mff.cuni.cz/services/teitok/pdtc10/index.php?action=vallex&amp;frame=v-w3422f1", "penzionovat (v-w3422f1)")</f>
        <v>penzionovat (v-w3422f1)</v>
      </c>
    </row>
    <row r="25771" customFormat="false" ht="12.8" hidden="false" customHeight="false" outlineLevel="0" collapsed="false">
      <c r="B25771" s="0" t="s">
        <v>1</v>
      </c>
    </row>
    <row r="25772" customFormat="false" ht="12.8" hidden="false" customHeight="false" outlineLevel="0" collapsed="false">
      <c r="B25772" s="0" t="s">
        <v>8</v>
      </c>
    </row>
    <row r="25774" customFormat="false" ht="12.8" hidden="false" customHeight="false" outlineLevel="0" collapsed="false">
      <c r="A25774" s="0" t="s">
        <v>10480</v>
      </c>
      <c r="B25774" s="0" t="str">
        <f aca="false">HYPERLINK("https://lindat.mff.cuni.cz/services/teitok/pdtc10/index.php?action=vallex&amp;frame=v-w11913_ZUf1_ZU", "persekuovat (v-w11913_ZUf1_ZU)")</f>
        <v>persekuovat (v-w11913_ZUf1_ZU)</v>
      </c>
    </row>
    <row r="25775" customFormat="false" ht="12.8" hidden="false" customHeight="false" outlineLevel="0" collapsed="false">
      <c r="B25775" s="0" t="s">
        <v>1</v>
      </c>
    </row>
    <row r="25776" customFormat="false" ht="12.8" hidden="false" customHeight="false" outlineLevel="0" collapsed="false">
      <c r="B25776" s="0" t="s">
        <v>8</v>
      </c>
    </row>
    <row r="25778" customFormat="false" ht="12.8" hidden="false" customHeight="false" outlineLevel="0" collapsed="false">
      <c r="A25778" s="0" t="s">
        <v>10481</v>
      </c>
      <c r="B25778" s="0" t="str">
        <f aca="false">HYPERLINK("https://lindat.mff.cuni.cz/services/teitok/pdtc10/index.php?action=vallex&amp;frame=v-w3426f1", "perzekuovat (v-w3426f1)")</f>
        <v>perzekuovat (v-w3426f1)</v>
      </c>
    </row>
    <row r="25779" customFormat="false" ht="12.8" hidden="false" customHeight="false" outlineLevel="0" collapsed="false">
      <c r="B25779" s="0" t="s">
        <v>1</v>
      </c>
    </row>
    <row r="25780" customFormat="false" ht="12.8" hidden="false" customHeight="false" outlineLevel="0" collapsed="false">
      <c r="B25780" s="0" t="s">
        <v>8</v>
      </c>
    </row>
    <row r="25782" customFormat="false" ht="12.8" hidden="false" customHeight="false" outlineLevel="0" collapsed="false">
      <c r="A25782" s="0" t="s">
        <v>10482</v>
      </c>
      <c r="B25782" s="0" t="str">
        <f aca="false">HYPERLINK("https://lindat.mff.cuni.cz/services/teitok/pdtc10/index.php?action=vallex&amp;frame=v-w3427f1", "perzekvovat (v-w3427f1)")</f>
        <v>perzekvovat (v-w3427f1)</v>
      </c>
    </row>
    <row r="25783" customFormat="false" ht="12.8" hidden="false" customHeight="false" outlineLevel="0" collapsed="false">
      <c r="B25783" s="0" t="s">
        <v>1</v>
      </c>
    </row>
    <row r="25784" customFormat="false" ht="12.8" hidden="false" customHeight="false" outlineLevel="0" collapsed="false">
      <c r="B25784" s="0" t="s">
        <v>8</v>
      </c>
    </row>
    <row r="25786" customFormat="false" ht="12.8" hidden="false" customHeight="false" outlineLevel="0" collapsed="false">
      <c r="A25786" s="0" t="s">
        <v>10483</v>
      </c>
      <c r="B25786" s="0" t="str">
        <f aca="false">HYPERLINK("https://lindat.mff.cuni.cz/services/teitok/pdtc10/index.php?action=vallex&amp;frame=v-w3428f1", "peskovat (v-w3428f1)")</f>
        <v>peskovat (v-w3428f1)</v>
      </c>
    </row>
    <row r="25787" customFormat="false" ht="12.8" hidden="false" customHeight="false" outlineLevel="0" collapsed="false">
      <c r="B25787" s="0" t="s">
        <v>1</v>
      </c>
    </row>
    <row r="25788" customFormat="false" ht="12.8" hidden="false" customHeight="false" outlineLevel="0" collapsed="false">
      <c r="B25788" s="0" t="s">
        <v>8</v>
      </c>
    </row>
    <row r="25790" customFormat="false" ht="12.8" hidden="false" customHeight="false" outlineLevel="0" collapsed="false">
      <c r="A25790" s="0" t="s">
        <v>10484</v>
      </c>
      <c r="B25790" s="0" t="str">
        <f aca="false">HYPERLINK("https://lindat.mff.cuni.cz/services/teitok/pdtc10/index.php?action=vallex&amp;frame=v-w3416f1", "pečovat (v-w3416f1)")</f>
        <v>pečovat (v-w3416f1)</v>
      </c>
    </row>
    <row r="25791" customFormat="false" ht="12.8" hidden="false" customHeight="false" outlineLevel="0" collapsed="false">
      <c r="B25791" s="0" t="s">
        <v>1</v>
      </c>
    </row>
    <row r="25792" customFormat="false" ht="12.8" hidden="false" customHeight="false" outlineLevel="0" collapsed="false">
      <c r="B25792" s="0" t="s">
        <v>814</v>
      </c>
    </row>
    <row r="25794" customFormat="false" ht="12.8" hidden="false" customHeight="false" outlineLevel="0" collapsed="false">
      <c r="A25794" s="0" t="s">
        <v>10485</v>
      </c>
      <c r="B25794" s="0" t="str">
        <f aca="false">HYPERLINK("https://lindat.mff.cuni.cz/services/teitok/pdtc10/index.php?action=vallex&amp;frame=v-w11827_ZUf1_ZU", "pilovat (v-w11827_ZUf1_ZU)")</f>
        <v>pilovat (v-w11827_ZUf1_ZU)</v>
      </c>
    </row>
    <row r="25795" customFormat="false" ht="12.8" hidden="false" customHeight="false" outlineLevel="0" collapsed="false">
      <c r="B25795" s="0" t="s">
        <v>1</v>
      </c>
    </row>
    <row r="25796" customFormat="false" ht="12.8" hidden="false" customHeight="false" outlineLevel="0" collapsed="false">
      <c r="B25796" s="0" t="s">
        <v>8</v>
      </c>
    </row>
    <row r="25798" customFormat="false" ht="12.8" hidden="false" customHeight="false" outlineLevel="0" collapsed="false">
      <c r="A25798" s="0" t="s">
        <v>10486</v>
      </c>
      <c r="B25798" s="0" t="str">
        <f aca="false">HYPERLINK("https://lindat.mff.cuni.cz/services/teitok/pdtc10/index.php?action=vallex&amp;frame=v-w11827_ZUf2_MM", "pilovat (v-w11827_ZUf2_MM)")</f>
        <v>pilovat (v-w11827_ZUf2_MM)</v>
      </c>
    </row>
    <row r="25799" customFormat="false" ht="12.8" hidden="false" customHeight="false" outlineLevel="0" collapsed="false">
      <c r="B25799" s="0" t="s">
        <v>1</v>
      </c>
    </row>
    <row r="25800" customFormat="false" ht="12.8" hidden="false" customHeight="false" outlineLevel="0" collapsed="false">
      <c r="B25800" s="0" t="s">
        <v>8</v>
      </c>
    </row>
    <row r="25802" customFormat="false" ht="12.8" hidden="false" customHeight="false" outlineLevel="0" collapsed="false">
      <c r="A25802" s="0" t="s">
        <v>10487</v>
      </c>
      <c r="B25802" s="0" t="str">
        <f aca="false">HYPERLINK("https://lindat.mff.cuni.cz/services/teitok/pdtc10/index.php?action=vallex&amp;frame=v-w3442f1", "pinkat si (v-w3442f1)")</f>
        <v>pinkat si (v-w3442f1)</v>
      </c>
    </row>
    <row r="25803" customFormat="false" ht="12.8" hidden="false" customHeight="false" outlineLevel="0" collapsed="false">
      <c r="B25803" s="0" t="s">
        <v>1</v>
      </c>
    </row>
    <row r="25804" customFormat="false" ht="12.8" hidden="false" customHeight="false" outlineLevel="0" collapsed="false">
      <c r="B25804" s="0" t="s">
        <v>3321</v>
      </c>
    </row>
    <row r="25806" customFormat="false" ht="12.8" hidden="false" customHeight="false" outlineLevel="0" collapsed="false">
      <c r="A25806" s="0" t="s">
        <v>10488</v>
      </c>
      <c r="B25806" s="0" t="str">
        <f aca="false">HYPERLINK("https://lindat.mff.cuni.cz/services/teitok/pdtc10/index.php?action=vallex&amp;frame=v-w3443f1", "piplat (v-w3443f1)")</f>
        <v>piplat (v-w3443f1)</v>
      </c>
    </row>
    <row r="25807" customFormat="false" ht="12.8" hidden="false" customHeight="false" outlineLevel="0" collapsed="false">
      <c r="B25807" s="0" t="s">
        <v>1</v>
      </c>
    </row>
    <row r="25808" customFormat="false" ht="12.8" hidden="false" customHeight="false" outlineLevel="0" collapsed="false">
      <c r="B25808" s="0" t="s">
        <v>8</v>
      </c>
    </row>
    <row r="25810" customFormat="false" ht="12.8" hidden="false" customHeight="false" outlineLevel="0" collapsed="false">
      <c r="A25810" s="0" t="s">
        <v>10489</v>
      </c>
      <c r="B25810" s="0" t="str">
        <f aca="false">HYPERLINK("https://lindat.mff.cuni.cz/services/teitok/pdtc10/index.php?action=vallex&amp;frame=v-whsa_760hsa_761", "pitvat (v-whsa_760hsa_761)")</f>
        <v>pitvat (v-whsa_760hsa_761)</v>
      </c>
      <c r="E25810" s="0" t="str">
        <f aca="false">HYPERLINK("https://lindat.mff.cuni.cz/services/SynSemClass40/SynSemClass40.html?veclass=vec00090#vec00090-ces-cm00107", "vec00090")</f>
        <v>vec00090</v>
      </c>
      <c r="F25810" s="0" t="s">
        <v>113</v>
      </c>
    </row>
    <row r="25811" customFormat="false" ht="12.8" hidden="false" customHeight="false" outlineLevel="0" collapsed="false">
      <c r="B25811" s="0" t="s">
        <v>1</v>
      </c>
      <c r="C25811" s="0" t="s">
        <v>114</v>
      </c>
      <c r="E25811" s="0" t="s">
        <v>115</v>
      </c>
      <c r="F25811" s="0" t="s">
        <v>116</v>
      </c>
    </row>
    <row r="25812" customFormat="false" ht="12.8" hidden="false" customHeight="false" outlineLevel="0" collapsed="false">
      <c r="B25812" s="0" t="s">
        <v>8</v>
      </c>
      <c r="C25812" s="0" t="s">
        <v>118</v>
      </c>
      <c r="E25812" s="0" t="s">
        <v>119</v>
      </c>
      <c r="F25812" s="0" t="s">
        <v>120</v>
      </c>
    </row>
    <row r="25814" customFormat="false" ht="12.8" hidden="false" customHeight="false" outlineLevel="0" collapsed="false">
      <c r="A25814" s="0" t="s">
        <v>10490</v>
      </c>
      <c r="B25814" s="0" t="str">
        <f aca="false">HYPERLINK("https://lindat.mff.cuni.cz/services/teitok/pdtc10/index.php?action=vallex&amp;frame=v-whsa_760f1_ZU", "pitvat (v-whsa_760f1_ZU)")</f>
        <v>pitvat (v-whsa_760f1_ZU)</v>
      </c>
    </row>
    <row r="25815" customFormat="false" ht="12.8" hidden="false" customHeight="false" outlineLevel="0" collapsed="false">
      <c r="B25815" s="0" t="s">
        <v>1</v>
      </c>
    </row>
    <row r="25816" customFormat="false" ht="12.8" hidden="false" customHeight="false" outlineLevel="0" collapsed="false">
      <c r="B25816" s="0" t="s">
        <v>8</v>
      </c>
    </row>
    <row r="25818" customFormat="false" ht="12.8" hidden="false" customHeight="false" outlineLevel="0" collapsed="false">
      <c r="A25818" s="0" t="s">
        <v>10491</v>
      </c>
      <c r="B25818" s="0" t="str">
        <f aca="false">HYPERLINK("https://lindat.mff.cuni.cz/services/teitok/pdtc10/index.php?action=vallex&amp;frame=v-w11487f1", "pitvořit se (v-w11487f1)")</f>
        <v>pitvořit se (v-w11487f1)</v>
      </c>
      <c r="E25818" s="0" t="str">
        <f aca="false">HYPERLINK("https://lindat.mff.cuni.cz/services/SynSemClass40/SynSemClass40.html?veclass=vec00145#vec00145-ces-cm00002", "vec00145")</f>
        <v>vec00145</v>
      </c>
      <c r="F25818" s="0" t="s">
        <v>10492</v>
      </c>
    </row>
    <row r="25819" customFormat="false" ht="12.8" hidden="false" customHeight="false" outlineLevel="0" collapsed="false">
      <c r="B25819" s="0" t="s">
        <v>1</v>
      </c>
      <c r="C25819" s="0" t="s">
        <v>459</v>
      </c>
      <c r="E25819" s="0" t="s">
        <v>155</v>
      </c>
      <c r="F25819" s="0" t="s">
        <v>4232</v>
      </c>
    </row>
    <row r="25820" customFormat="false" ht="12.8" hidden="false" customHeight="false" outlineLevel="0" collapsed="false">
      <c r="B25820" s="0" t="s">
        <v>69</v>
      </c>
      <c r="C25820" s="0" t="s">
        <v>462</v>
      </c>
      <c r="E25820" s="0" t="s">
        <v>4947</v>
      </c>
      <c r="F25820" s="0" t="s">
        <v>10493</v>
      </c>
    </row>
    <row r="25822" customFormat="false" ht="12.8" hidden="false" customHeight="false" outlineLevel="0" collapsed="false">
      <c r="A25822" s="0" t="s">
        <v>10494</v>
      </c>
      <c r="B25822" s="0" t="str">
        <f aca="false">HYPERLINK("https://lindat.mff.cuni.cz/services/teitok/pdtc10/index.php?action=vallex&amp;frame=v-w10986f2", "plachtit (v-w10986f2)")</f>
        <v>plachtit (v-w10986f2)</v>
      </c>
    </row>
    <row r="25823" customFormat="false" ht="12.8" hidden="false" customHeight="false" outlineLevel="0" collapsed="false">
      <c r="B25823" s="0" t="s">
        <v>1</v>
      </c>
    </row>
    <row r="25825" customFormat="false" ht="12.8" hidden="false" customHeight="false" outlineLevel="0" collapsed="false">
      <c r="A25825" s="0" t="s">
        <v>10495</v>
      </c>
      <c r="B25825" s="0" t="str">
        <f aca="false">HYPERLINK("https://lindat.mff.cuni.cz/services/teitok/pdtc10/index.php?action=vallex&amp;frame=v-w10986hsa_379", "plachtit (v-w10986hsa_379)")</f>
        <v>plachtit (v-w10986hsa_379)</v>
      </c>
    </row>
    <row r="25826" customFormat="false" ht="12.8" hidden="false" customHeight="false" outlineLevel="0" collapsed="false">
      <c r="B25826" s="0" t="s">
        <v>1</v>
      </c>
    </row>
    <row r="25828" customFormat="false" ht="12.8" hidden="false" customHeight="false" outlineLevel="0" collapsed="false">
      <c r="A25828" s="0" t="s">
        <v>10496</v>
      </c>
      <c r="B25828" s="0" t="str">
        <f aca="false">HYPERLINK("https://lindat.mff.cuni.cz/services/teitok/pdtc10/index.php?action=vallex&amp;frame=v-w12221_ZUf1_ZU", "plahočit se (v-w12221_ZUf1_ZU)")</f>
        <v>plahočit se (v-w12221_ZUf1_ZU)</v>
      </c>
    </row>
    <row r="25829" customFormat="false" ht="12.8" hidden="false" customHeight="false" outlineLevel="0" collapsed="false">
      <c r="B25829" s="0" t="s">
        <v>1</v>
      </c>
    </row>
    <row r="25831" customFormat="false" ht="12.8" hidden="false" customHeight="false" outlineLevel="0" collapsed="false">
      <c r="A25831" s="0" t="s">
        <v>10497</v>
      </c>
      <c r="B25831" s="0" t="str">
        <f aca="false">HYPERLINK("https://lindat.mff.cuni.cz/services/teitok/pdtc10/index.php?action=vallex&amp;frame=v-w3457f1", "plakat (v-w3457f1)")</f>
        <v>plakat (v-w3457f1)</v>
      </c>
      <c r="E25831" s="0" t="str">
        <f aca="false">HYPERLINK("https://lindat.mff.cuni.cz/services/SynSemClass40/SynSemClass40.html?veclass=vec00867#vec00867-ces-cm00001", "vec00867")</f>
        <v>vec00867</v>
      </c>
      <c r="F25831" s="0" t="s">
        <v>1294</v>
      </c>
    </row>
    <row r="25832" customFormat="false" ht="12.8" hidden="false" customHeight="false" outlineLevel="0" collapsed="false">
      <c r="B25832" s="0" t="s">
        <v>1</v>
      </c>
      <c r="C25832" s="0" t="s">
        <v>9802</v>
      </c>
      <c r="E25832" s="0" t="s">
        <v>266</v>
      </c>
      <c r="F25832" s="0" t="s">
        <v>1296</v>
      </c>
    </row>
    <row r="25834" customFormat="false" ht="12.8" hidden="false" customHeight="false" outlineLevel="0" collapsed="false">
      <c r="A25834" s="0" t="s">
        <v>10498</v>
      </c>
      <c r="B25834" s="0" t="str">
        <f aca="false">HYPERLINK("https://lindat.mff.cuni.cz/services/teitok/pdtc10/index.php?action=vallex&amp;frame=v-w3457f2_ZU", "plakat (v-w3457f2_ZU)")</f>
        <v>plakat (v-w3457f2_ZU)</v>
      </c>
    </row>
    <row r="25835" customFormat="false" ht="12.8" hidden="false" customHeight="false" outlineLevel="0" collapsed="false">
      <c r="B25835" s="0" t="s">
        <v>1</v>
      </c>
    </row>
    <row r="25836" customFormat="false" ht="12.8" hidden="false" customHeight="false" outlineLevel="0" collapsed="false">
      <c r="B25836" s="0" t="s">
        <v>10499</v>
      </c>
    </row>
    <row r="25838" customFormat="false" ht="12.8" hidden="false" customHeight="false" outlineLevel="0" collapsed="false">
      <c r="A25838" s="0" t="s">
        <v>10498</v>
      </c>
      <c r="B25838" s="0" t="str">
        <f aca="false">HYPERLINK("https://lindat.mff.cuni.cz/services/teitok/pdtc10/index.php?action=vallex&amp;frame=v-w3457hsa_228", "plakat (v-w3457hsa_228) - substituted with v-w3457f2_ZU")</f>
        <v>plakat (v-w3457hsa_228) - substituted with v-w3457f2_ZU</v>
      </c>
    </row>
    <row r="25839" customFormat="false" ht="12.8" hidden="false" customHeight="false" outlineLevel="0" collapsed="false">
      <c r="B25839" s="0" t="s">
        <v>1</v>
      </c>
    </row>
    <row r="25840" customFormat="false" ht="12.8" hidden="false" customHeight="false" outlineLevel="0" collapsed="false">
      <c r="B25840" s="0" t="s">
        <v>10499</v>
      </c>
    </row>
    <row r="25842" customFormat="false" ht="12.8" hidden="false" customHeight="false" outlineLevel="0" collapsed="false">
      <c r="A25842" s="0" t="s">
        <v>10500</v>
      </c>
      <c r="B25842" s="0" t="str">
        <f aca="false">HYPERLINK("https://lindat.mff.cuni.cz/services/teitok/pdtc10/index.php?action=vallex&amp;frame=v-w12134_ZUf1_ZU", "plandat (v-w12134_ZUf1_ZU)")</f>
        <v>plandat (v-w12134_ZUf1_ZU)</v>
      </c>
    </row>
    <row r="25843" customFormat="false" ht="12.8" hidden="false" customHeight="false" outlineLevel="0" collapsed="false">
      <c r="B25843" s="0" t="s">
        <v>1</v>
      </c>
    </row>
    <row r="25845" customFormat="false" ht="12.8" hidden="false" customHeight="false" outlineLevel="0" collapsed="false">
      <c r="A25845" s="0" t="s">
        <v>10501</v>
      </c>
      <c r="B25845" s="0" t="str">
        <f aca="false">HYPERLINK("https://lindat.mff.cuni.cz/services/teitok/pdtc10/index.php?action=vallex&amp;frame=v-w3459f1", "planout (v-w3459f1)")</f>
        <v>planout (v-w3459f1)</v>
      </c>
    </row>
    <row r="25846" customFormat="false" ht="12.8" hidden="false" customHeight="false" outlineLevel="0" collapsed="false">
      <c r="B25846" s="0" t="s">
        <v>1</v>
      </c>
    </row>
    <row r="25848" customFormat="false" ht="12.8" hidden="false" customHeight="false" outlineLevel="0" collapsed="false">
      <c r="A25848" s="0" t="s">
        <v>10502</v>
      </c>
      <c r="B25848" s="0" t="str">
        <f aca="false">HYPERLINK("https://lindat.mff.cuni.cz/services/teitok/pdtc10/index.php?action=vallex&amp;frame=v-w3459f2", "planout (v-w3459f2)")</f>
        <v>planout (v-w3459f2)</v>
      </c>
    </row>
    <row r="25849" customFormat="false" ht="12.8" hidden="false" customHeight="false" outlineLevel="0" collapsed="false">
      <c r="B25849" s="0" t="s">
        <v>1</v>
      </c>
    </row>
    <row r="25850" customFormat="false" ht="12.8" hidden="false" customHeight="false" outlineLevel="0" collapsed="false">
      <c r="B25850" s="0" t="s">
        <v>4551</v>
      </c>
    </row>
    <row r="25852" customFormat="false" ht="12.8" hidden="false" customHeight="false" outlineLevel="0" collapsed="false">
      <c r="A25852" s="0" t="s">
        <v>10503</v>
      </c>
      <c r="B25852" s="0" t="str">
        <f aca="false">HYPERLINK("https://lindat.mff.cuni.cz/services/teitok/pdtc10/index.php?action=vallex&amp;frame=v-w3468f1", "platit (v-w3468f1)")</f>
        <v>platit (v-w3468f1)</v>
      </c>
      <c r="E25852" s="0" t="str">
        <f aca="false">HYPERLINK("https://lindat.mff.cuni.cz/services/SynSemClass40/SynSemClass40.html?veclass=vec00125#vec00125-ces-cm00024", "vec00125")</f>
        <v>vec00125</v>
      </c>
      <c r="F25852" s="0" t="s">
        <v>2552</v>
      </c>
      <c r="H25852" s="0" t="str">
        <f aca="false">HYPERLINK("https://lindat.mff.cuni.cz/services/SynSemClass40/SynSemClass40.html?veclass=vec01356#vec01356-ces-cm00009", "vec01356")</f>
        <v>vec01356</v>
      </c>
      <c r="I25852" s="0" t="s">
        <v>4139</v>
      </c>
    </row>
    <row r="25853" customFormat="false" ht="12.8" hidden="false" customHeight="false" outlineLevel="0" collapsed="false">
      <c r="B25853" s="0" t="s">
        <v>1</v>
      </c>
      <c r="C25853" s="0" t="s">
        <v>4563</v>
      </c>
      <c r="E25853" s="0" t="s">
        <v>2554</v>
      </c>
      <c r="F25853" s="0" t="s">
        <v>2555</v>
      </c>
      <c r="H25853" s="0" t="s">
        <v>2554</v>
      </c>
      <c r="I25853" s="0" t="s">
        <v>4141</v>
      </c>
    </row>
    <row r="25854" customFormat="false" ht="12.8" hidden="false" customHeight="false" outlineLevel="0" collapsed="false">
      <c r="B25854" s="0" t="s">
        <v>8</v>
      </c>
      <c r="C25854" s="0" t="s">
        <v>4564</v>
      </c>
      <c r="E25854" s="0" t="s">
        <v>2557</v>
      </c>
      <c r="F25854" s="0" t="s">
        <v>2558</v>
      </c>
      <c r="H25854" s="0" t="s">
        <v>4565</v>
      </c>
      <c r="I25854" s="0" t="s">
        <v>4566</v>
      </c>
    </row>
    <row r="25855" customFormat="false" ht="12.8" hidden="false" customHeight="false" outlineLevel="0" collapsed="false">
      <c r="B25855" s="0" t="s">
        <v>132</v>
      </c>
      <c r="C25855" s="0" t="s">
        <v>4567</v>
      </c>
      <c r="E25855" s="0" t="s">
        <v>2560</v>
      </c>
      <c r="F25855" s="0" t="s">
        <v>2561</v>
      </c>
      <c r="H25855" s="0" t="s">
        <v>2560</v>
      </c>
      <c r="I25855" s="0" t="s">
        <v>4568</v>
      </c>
    </row>
    <row r="25856" customFormat="false" ht="12.8" hidden="false" customHeight="false" outlineLevel="0" collapsed="false">
      <c r="B25856" s="0" t="s">
        <v>723</v>
      </c>
    </row>
    <row r="25858" customFormat="false" ht="12.8" hidden="false" customHeight="false" outlineLevel="0" collapsed="false">
      <c r="A25858" s="0" t="s">
        <v>10504</v>
      </c>
      <c r="B25858" s="0" t="str">
        <f aca="false">HYPERLINK("https://lindat.mff.cuni.cz/services/teitok/pdtc10/index.php?action=vallex&amp;frame=v-w3468f5", "platit (v-w3468f5)")</f>
        <v>platit (v-w3468f5)</v>
      </c>
    </row>
    <row r="25859" customFormat="false" ht="12.8" hidden="false" customHeight="false" outlineLevel="0" collapsed="false">
      <c r="B25859" s="0" t="s">
        <v>843</v>
      </c>
    </row>
    <row r="25860" customFormat="false" ht="12.8" hidden="false" customHeight="false" outlineLevel="0" collapsed="false">
      <c r="B25860" s="0" t="s">
        <v>318</v>
      </c>
    </row>
    <row r="25862" customFormat="false" ht="12.8" hidden="false" customHeight="false" outlineLevel="0" collapsed="false">
      <c r="A25862" s="0" t="s">
        <v>10505</v>
      </c>
      <c r="B25862" s="0" t="str">
        <f aca="false">HYPERLINK("https://lindat.mff.cuni.cz/services/teitok/pdtc10/index.php?action=vallex&amp;frame=v-w3468f8", "platit (v-w3468f8)")</f>
        <v>platit (v-w3468f8)</v>
      </c>
    </row>
    <row r="25863" customFormat="false" ht="12.8" hidden="false" customHeight="false" outlineLevel="0" collapsed="false">
      <c r="B25863" s="0" t="s">
        <v>1</v>
      </c>
    </row>
    <row r="25864" customFormat="false" ht="12.8" hidden="false" customHeight="false" outlineLevel="0" collapsed="false">
      <c r="B25864" s="0" t="s">
        <v>186</v>
      </c>
    </row>
    <row r="25866" customFormat="false" ht="12.8" hidden="false" customHeight="false" outlineLevel="0" collapsed="false">
      <c r="A25866" s="0" t="s">
        <v>10506</v>
      </c>
      <c r="B25866" s="0" t="str">
        <f aca="false">HYPERLINK("https://lindat.mff.cuni.cz/services/teitok/pdtc10/index.php?action=vallex&amp;frame=v-w3468f4", "platit (v-w3468f4)")</f>
        <v>platit (v-w3468f4)</v>
      </c>
      <c r="E25866" s="0" t="str">
        <f aca="false">HYPERLINK("https://lindat.mff.cuni.cz/services/SynSemClass40/SynSemClass40.html?veclass=vec01356#vec01356-ces-cm00011", "vec01356")</f>
        <v>vec01356</v>
      </c>
      <c r="F25866" s="0" t="s">
        <v>4139</v>
      </c>
    </row>
    <row r="25867" customFormat="false" ht="12.8" hidden="false" customHeight="false" outlineLevel="0" collapsed="false">
      <c r="B25867" s="0" t="s">
        <v>1</v>
      </c>
      <c r="C25867" s="0" t="s">
        <v>10507</v>
      </c>
      <c r="E25867" s="0" t="s">
        <v>2554</v>
      </c>
      <c r="F25867" s="0" t="s">
        <v>4141</v>
      </c>
    </row>
    <row r="25868" customFormat="false" ht="12.8" hidden="false" customHeight="false" outlineLevel="0" collapsed="false">
      <c r="B25868" s="0" t="s">
        <v>8</v>
      </c>
      <c r="C25868" s="0" t="s">
        <v>10508</v>
      </c>
      <c r="E25868" s="0" t="s">
        <v>4143</v>
      </c>
      <c r="F25868" s="0" t="s">
        <v>4144</v>
      </c>
    </row>
    <row r="25870" customFormat="false" ht="12.8" hidden="false" customHeight="false" outlineLevel="0" collapsed="false">
      <c r="A25870" s="0" t="s">
        <v>10509</v>
      </c>
      <c r="B25870" s="0" t="str">
        <f aca="false">HYPERLINK("https://lindat.mff.cuni.cz/services/teitok/pdtc10/index.php?action=vallex&amp;frame=v-w3468f9", "platit (v-w3468f9)")</f>
        <v>platit (v-w3468f9)</v>
      </c>
    </row>
    <row r="25871" customFormat="false" ht="12.8" hidden="false" customHeight="false" outlineLevel="0" collapsed="false">
      <c r="B25871" s="0" t="s">
        <v>1</v>
      </c>
    </row>
    <row r="25872" customFormat="false" ht="12.8" hidden="false" customHeight="false" outlineLevel="0" collapsed="false">
      <c r="B25872" s="0" t="s">
        <v>45</v>
      </c>
    </row>
    <row r="25874" customFormat="false" ht="12.8" hidden="false" customHeight="false" outlineLevel="0" collapsed="false">
      <c r="A25874" s="0" t="s">
        <v>10510</v>
      </c>
      <c r="B25874" s="0" t="str">
        <f aca="false">HYPERLINK("https://lindat.mff.cuni.cz/services/teitok/pdtc10/index.php?action=vallex&amp;frame=v-w3468f6", "platit (v-w3468f6)")</f>
        <v>platit (v-w3468f6)</v>
      </c>
    </row>
    <row r="25875" customFormat="false" ht="12.8" hidden="false" customHeight="false" outlineLevel="0" collapsed="false">
      <c r="B25875" s="0" t="s">
        <v>1</v>
      </c>
    </row>
    <row r="25876" customFormat="false" ht="12.8" hidden="false" customHeight="false" outlineLevel="0" collapsed="false">
      <c r="B25876" s="0" t="s">
        <v>665</v>
      </c>
    </row>
    <row r="25878" customFormat="false" ht="12.8" hidden="false" customHeight="false" outlineLevel="0" collapsed="false">
      <c r="A25878" s="0" t="s">
        <v>10511</v>
      </c>
      <c r="B25878" s="0" t="str">
        <f aca="false">HYPERLINK("https://lindat.mff.cuni.cz/services/teitok/pdtc10/index.php?action=vallex&amp;frame=v-w3468f10_ZU", "platit (v-w3468f10_ZU)")</f>
        <v>platit (v-w3468f10_ZU)</v>
      </c>
    </row>
    <row r="25879" customFormat="false" ht="12.8" hidden="false" customHeight="false" outlineLevel="0" collapsed="false">
      <c r="B25879" s="0" t="s">
        <v>1</v>
      </c>
    </row>
    <row r="25880" customFormat="false" ht="12.8" hidden="false" customHeight="false" outlineLevel="0" collapsed="false">
      <c r="B25880" s="0" t="s">
        <v>1408</v>
      </c>
    </row>
    <row r="25882" customFormat="false" ht="12.8" hidden="false" customHeight="false" outlineLevel="0" collapsed="false">
      <c r="A25882" s="0" t="s">
        <v>10511</v>
      </c>
      <c r="B25882" s="0" t="str">
        <f aca="false">HYPERLINK("https://lindat.mff.cuni.cz/services/teitok/pdtc10/index.php?action=vallex&amp;frame=v-w3468f7", "platit (v-w3468f7) - substituted with v-w3468f10_ZU")</f>
        <v>platit (v-w3468f7) - substituted with v-w3468f10_ZU</v>
      </c>
    </row>
    <row r="25883" customFormat="false" ht="12.8" hidden="false" customHeight="false" outlineLevel="0" collapsed="false">
      <c r="B25883" s="0" t="s">
        <v>1</v>
      </c>
    </row>
    <row r="25884" customFormat="false" ht="12.8" hidden="false" customHeight="false" outlineLevel="0" collapsed="false">
      <c r="B25884" s="0" t="s">
        <v>1408</v>
      </c>
    </row>
    <row r="25886" customFormat="false" ht="12.8" hidden="false" customHeight="false" outlineLevel="0" collapsed="false">
      <c r="A25886" s="0" t="s">
        <v>10512</v>
      </c>
      <c r="B25886" s="0" t="str">
        <f aca="false">HYPERLINK("https://lindat.mff.cuni.cz/services/teitok/pdtc10/index.php?action=vallex&amp;frame=v-w3468f3", "platit (v-w3468f3)")</f>
        <v>platit (v-w3468f3)</v>
      </c>
      <c r="E25886" s="0" t="str">
        <f aca="false">HYPERLINK("https://lindat.mff.cuni.cz/services/SynSemClass40/SynSemClass40.html?veclass=vec00125#vec00125-ces-cm00025", "vec00125")</f>
        <v>vec00125</v>
      </c>
      <c r="F25886" s="0" t="s">
        <v>2552</v>
      </c>
      <c r="H25886" s="0" t="str">
        <f aca="false">HYPERLINK("https://lindat.mff.cuni.cz/services/SynSemClass40/SynSemClass40.html?veclass=vec01356#vec01356-ces-cm00010", "vec01356")</f>
        <v>vec01356</v>
      </c>
      <c r="I25886" s="0" t="s">
        <v>4139</v>
      </c>
    </row>
    <row r="25887" customFormat="false" ht="12.8" hidden="false" customHeight="false" outlineLevel="0" collapsed="false">
      <c r="B25887" s="0" t="s">
        <v>1</v>
      </c>
      <c r="C25887" s="0" t="s">
        <v>4563</v>
      </c>
      <c r="E25887" s="0" t="s">
        <v>2554</v>
      </c>
      <c r="F25887" s="0" t="s">
        <v>2555</v>
      </c>
      <c r="H25887" s="0" t="s">
        <v>2554</v>
      </c>
      <c r="I25887" s="0" t="s">
        <v>4141</v>
      </c>
    </row>
    <row r="25888" customFormat="false" ht="12.8" hidden="false" customHeight="false" outlineLevel="0" collapsed="false">
      <c r="B25888" s="0" t="s">
        <v>865</v>
      </c>
      <c r="C25888" s="0" t="s">
        <v>10513</v>
      </c>
      <c r="E25888" s="0" t="s">
        <v>2572</v>
      </c>
      <c r="F25888" s="0" t="s">
        <v>2573</v>
      </c>
      <c r="H25888" s="0" t="s">
        <v>10514</v>
      </c>
      <c r="I25888" s="0" t="s">
        <v>10515</v>
      </c>
    </row>
    <row r="25889" customFormat="false" ht="12.8" hidden="false" customHeight="false" outlineLevel="0" collapsed="false">
      <c r="B25889" s="0" t="s">
        <v>2069</v>
      </c>
    </row>
    <row r="25890" customFormat="false" ht="12.8" hidden="false" customHeight="false" outlineLevel="0" collapsed="false">
      <c r="B25890" s="0" t="s">
        <v>132</v>
      </c>
      <c r="C25890" s="0" t="s">
        <v>4567</v>
      </c>
      <c r="E25890" s="0" t="s">
        <v>2560</v>
      </c>
      <c r="F25890" s="0" t="s">
        <v>2561</v>
      </c>
      <c r="H25890" s="0" t="s">
        <v>2560</v>
      </c>
      <c r="I25890" s="0" t="s">
        <v>4568</v>
      </c>
    </row>
    <row r="25892" customFormat="false" ht="12.8" hidden="false" customHeight="false" outlineLevel="0" collapsed="false">
      <c r="A25892" s="0" t="s">
        <v>10516</v>
      </c>
      <c r="B25892" s="0" t="str">
        <f aca="false">HYPERLINK("https://lindat.mff.cuni.cz/services/teitok/pdtc10/index.php?action=vallex&amp;frame=v-w3468f11_ZU", "platit (v-w3468f11_ZU)")</f>
        <v>platit (v-w3468f11_ZU)</v>
      </c>
    </row>
    <row r="25893" customFormat="false" ht="12.8" hidden="false" customHeight="false" outlineLevel="0" collapsed="false">
      <c r="B25893" s="0" t="s">
        <v>843</v>
      </c>
    </row>
    <row r="25895" customFormat="false" ht="12.8" hidden="false" customHeight="false" outlineLevel="0" collapsed="false">
      <c r="A25895" s="0" t="s">
        <v>10516</v>
      </c>
      <c r="B25895" s="0" t="str">
        <f aca="false">HYPERLINK("https://lindat.mff.cuni.cz/services/teitok/pdtc10/index.php?action=vallex&amp;frame=v-w3468f2", "platit (v-w3468f2) - substituted with v-w3468f11_ZU")</f>
        <v>platit (v-w3468f2) - substituted with v-w3468f11_ZU</v>
      </c>
      <c r="E25895" s="0" t="str">
        <f aca="false">HYPERLINK("https://lindat.mff.cuni.cz/services/SynSemClass40/SynSemClass40.html?veclass=vec00469#vec00469-ces-cm00001", "vec00469")</f>
        <v>vec00469</v>
      </c>
      <c r="F25895" s="0" t="s">
        <v>10517</v>
      </c>
    </row>
    <row r="25896" customFormat="false" ht="12.8" hidden="false" customHeight="false" outlineLevel="0" collapsed="false">
      <c r="B25896" s="0" t="s">
        <v>843</v>
      </c>
      <c r="C25896" s="0" t="s">
        <v>3718</v>
      </c>
      <c r="E25896" s="0" t="s">
        <v>957</v>
      </c>
      <c r="F25896" s="0" t="s">
        <v>10518</v>
      </c>
    </row>
    <row r="25898" customFormat="false" ht="12.8" hidden="false" customHeight="false" outlineLevel="0" collapsed="false">
      <c r="A25898" s="0" t="s">
        <v>10519</v>
      </c>
      <c r="B25898" s="0" t="str">
        <f aca="false">HYPERLINK("https://lindat.mff.cuni.cz/services/teitok/pdtc10/index.php?action=vallex&amp;frame=v-w10506f3", "platívat (v-w10506f3)")</f>
        <v>platívat (v-w10506f3)</v>
      </c>
      <c r="E25898" s="0" t="str">
        <f aca="false">HYPERLINK("https://lindat.mff.cuni.cz/services/SynSemClass40/SynSemClass40.html?veclass=vec00125#vec00125-ces-cm00027", "vec00125")</f>
        <v>vec00125</v>
      </c>
      <c r="F25898" s="0" t="s">
        <v>2552</v>
      </c>
      <c r="H25898" s="0" t="str">
        <f aca="false">HYPERLINK("https://lindat.mff.cuni.cz/services/SynSemClass40/SynSemClass40.html?veclass=vec01356#vec01356-ces-cm00012", "vec01356")</f>
        <v>vec01356</v>
      </c>
      <c r="I25898" s="0" t="s">
        <v>4139</v>
      </c>
    </row>
    <row r="25899" customFormat="false" ht="12.8" hidden="false" customHeight="false" outlineLevel="0" collapsed="false">
      <c r="B25899" s="0" t="s">
        <v>1</v>
      </c>
      <c r="C25899" s="0" t="s">
        <v>4563</v>
      </c>
      <c r="E25899" s="0" t="s">
        <v>2554</v>
      </c>
      <c r="F25899" s="0" t="s">
        <v>2555</v>
      </c>
      <c r="H25899" s="0" t="s">
        <v>2554</v>
      </c>
      <c r="I25899" s="0" t="s">
        <v>4141</v>
      </c>
    </row>
    <row r="25900" customFormat="false" ht="12.8" hidden="false" customHeight="false" outlineLevel="0" collapsed="false">
      <c r="B25900" s="0" t="s">
        <v>865</v>
      </c>
      <c r="C25900" s="0" t="s">
        <v>10513</v>
      </c>
      <c r="E25900" s="0" t="s">
        <v>2572</v>
      </c>
      <c r="F25900" s="0" t="s">
        <v>2573</v>
      </c>
      <c r="H25900" s="0" t="s">
        <v>10514</v>
      </c>
      <c r="I25900" s="0" t="s">
        <v>10515</v>
      </c>
    </row>
    <row r="25901" customFormat="false" ht="12.8" hidden="false" customHeight="false" outlineLevel="0" collapsed="false">
      <c r="B25901" s="0" t="s">
        <v>2069</v>
      </c>
    </row>
    <row r="25902" customFormat="false" ht="12.8" hidden="false" customHeight="false" outlineLevel="0" collapsed="false">
      <c r="B25902" s="0" t="s">
        <v>132</v>
      </c>
      <c r="C25902" s="0" t="s">
        <v>4567</v>
      </c>
      <c r="E25902" s="0" t="s">
        <v>2560</v>
      </c>
      <c r="F25902" s="0" t="s">
        <v>2561</v>
      </c>
      <c r="H25902" s="0" t="s">
        <v>2560</v>
      </c>
      <c r="I25902" s="0" t="s">
        <v>4568</v>
      </c>
    </row>
    <row r="25904" customFormat="false" ht="12.8" hidden="false" customHeight="false" outlineLevel="0" collapsed="false">
      <c r="A25904" s="0" t="s">
        <v>10520</v>
      </c>
      <c r="B25904" s="0" t="str">
        <f aca="false">HYPERLINK("https://lindat.mff.cuni.cz/services/teitok/pdtc10/index.php?action=vallex&amp;frame=v-w3471f1", "plavat (v-w3471f1)")</f>
        <v>plavat (v-w3471f1)</v>
      </c>
    </row>
    <row r="25905" customFormat="false" ht="12.8" hidden="false" customHeight="false" outlineLevel="0" collapsed="false">
      <c r="B25905" s="0" t="s">
        <v>1</v>
      </c>
    </row>
    <row r="25906" customFormat="false" ht="12.8" hidden="false" customHeight="false" outlineLevel="0" collapsed="false">
      <c r="B25906" s="0" t="s">
        <v>8</v>
      </c>
    </row>
    <row r="25908" customFormat="false" ht="12.8" hidden="false" customHeight="false" outlineLevel="0" collapsed="false">
      <c r="A25908" s="0" t="s">
        <v>10521</v>
      </c>
      <c r="B25908" s="0" t="str">
        <f aca="false">HYPERLINK("https://lindat.mff.cuni.cz/services/teitok/pdtc10/index.php?action=vallex&amp;frame=v-w3471f2", "plavat (v-w3471f2)")</f>
        <v>plavat (v-w3471f2)</v>
      </c>
      <c r="E25908" s="0" t="str">
        <f aca="false">HYPERLINK("https://lindat.mff.cuni.cz/services/SynSemClass40/SynSemClass40.html?veclass=vec01069#vec01069-ces-cm00001", "vec01069")</f>
        <v>vec01069</v>
      </c>
      <c r="F25908" s="0" t="s">
        <v>10522</v>
      </c>
    </row>
    <row r="25909" customFormat="false" ht="12.8" hidden="false" customHeight="false" outlineLevel="0" collapsed="false">
      <c r="B25909" s="0" t="s">
        <v>1</v>
      </c>
      <c r="C25909" s="0" t="s">
        <v>459</v>
      </c>
      <c r="E25909" s="0" t="s">
        <v>334</v>
      </c>
      <c r="F25909" s="0" t="s">
        <v>10523</v>
      </c>
    </row>
    <row r="25911" customFormat="false" ht="12.8" hidden="false" customHeight="false" outlineLevel="0" collapsed="false">
      <c r="A25911" s="0" t="s">
        <v>10524</v>
      </c>
      <c r="B25911" s="0" t="str">
        <f aca="false">HYPERLINK("https://lindat.mff.cuni.cz/services/teitok/pdtc10/index.php?action=vallex&amp;frame=v-w3471f3_ZU", "plavat (v-w3471f3_ZU)")</f>
        <v>plavat (v-w3471f3_ZU)</v>
      </c>
    </row>
    <row r="25912" customFormat="false" ht="12.8" hidden="false" customHeight="false" outlineLevel="0" collapsed="false">
      <c r="B25912" s="0" t="s">
        <v>1</v>
      </c>
    </row>
    <row r="25913" customFormat="false" ht="12.8" hidden="false" customHeight="false" outlineLevel="0" collapsed="false">
      <c r="B25913" s="0" t="s">
        <v>536</v>
      </c>
    </row>
    <row r="25915" customFormat="false" ht="12.8" hidden="false" customHeight="false" outlineLevel="0" collapsed="false">
      <c r="A25915" s="0" t="s">
        <v>10525</v>
      </c>
      <c r="B25915" s="0" t="str">
        <f aca="false">HYPERLINK("https://lindat.mff.cuni.cz/services/teitok/pdtc10/index.php?action=vallex&amp;frame=v-w3471hsa_133", "plavat (v-w3471hsa_133)")</f>
        <v>plavat (v-w3471hsa_133)</v>
      </c>
    </row>
    <row r="25916" customFormat="false" ht="12.8" hidden="false" customHeight="false" outlineLevel="0" collapsed="false">
      <c r="B25916" s="0" t="s">
        <v>1</v>
      </c>
    </row>
    <row r="25917" customFormat="false" ht="12.8" hidden="false" customHeight="false" outlineLevel="0" collapsed="false">
      <c r="B25917" s="0" t="s">
        <v>8</v>
      </c>
    </row>
    <row r="25919" customFormat="false" ht="12.8" hidden="false" customHeight="false" outlineLevel="0" collapsed="false">
      <c r="A25919" s="0" t="s">
        <v>10526</v>
      </c>
      <c r="B25919" s="0" t="str">
        <f aca="false">HYPERLINK("https://lindat.mff.cuni.cz/services/teitok/pdtc10/index.php?action=vallex&amp;frame=v-w3473f1", "plavit se (v-w3473f1)")</f>
        <v>plavit se (v-w3473f1)</v>
      </c>
      <c r="E25919" s="0" t="str">
        <f aca="false">HYPERLINK("https://lindat.mff.cuni.cz/services/SynSemClass40/SynSemClass40.html?veclass=vec00063#vec00063-ces-cm00012", "vec00063")</f>
        <v>vec00063</v>
      </c>
      <c r="F25919" s="0" t="s">
        <v>10527</v>
      </c>
    </row>
    <row r="25920" customFormat="false" ht="12.8" hidden="false" customHeight="false" outlineLevel="0" collapsed="false">
      <c r="B25920" s="0" t="s">
        <v>1</v>
      </c>
      <c r="C25920" s="0" t="s">
        <v>825</v>
      </c>
      <c r="E25920" s="0" t="s">
        <v>334</v>
      </c>
      <c r="F25920" s="0" t="s">
        <v>8961</v>
      </c>
    </row>
    <row r="25922" customFormat="false" ht="12.8" hidden="false" customHeight="false" outlineLevel="0" collapsed="false">
      <c r="A25922" s="0" t="s">
        <v>10528</v>
      </c>
      <c r="B25922" s="0" t="str">
        <f aca="false">HYPERLINK("https://lindat.mff.cuni.cz/services/teitok/pdtc10/index.php?action=vallex&amp;frame=v-w3475f1", "plazit se (v-w3475f1)")</f>
        <v>plazit se (v-w3475f1)</v>
      </c>
      <c r="E25922" s="0" t="str">
        <f aca="false">HYPERLINK("https://lindat.mff.cuni.cz/services/SynSemClass40/SynSemClass40.html?veclass=vec00665#vec00665-ces-cm00001", "vec00665")</f>
        <v>vec00665</v>
      </c>
      <c r="F25922" s="0" t="s">
        <v>10529</v>
      </c>
    </row>
    <row r="25923" customFormat="false" ht="12.8" hidden="false" customHeight="false" outlineLevel="0" collapsed="false">
      <c r="B25923" s="0" t="s">
        <v>1</v>
      </c>
      <c r="C25923" s="0" t="s">
        <v>3288</v>
      </c>
      <c r="E25923" s="0" t="s">
        <v>334</v>
      </c>
      <c r="F25923" s="0" t="s">
        <v>10530</v>
      </c>
    </row>
    <row r="25925" customFormat="false" ht="12.8" hidden="false" customHeight="false" outlineLevel="0" collapsed="false">
      <c r="A25925" s="0" t="s">
        <v>10531</v>
      </c>
      <c r="B25925" s="0" t="str">
        <f aca="false">HYPERLINK("https://lindat.mff.cuni.cz/services/teitok/pdtc10/index.php?action=vallex&amp;frame=v-whsa_504hsa_505", "plašit (v-whsa_504hsa_505)")</f>
        <v>plašit (v-whsa_504hsa_505)</v>
      </c>
    </row>
    <row r="25926" customFormat="false" ht="12.8" hidden="false" customHeight="false" outlineLevel="0" collapsed="false">
      <c r="B25926" s="0" t="s">
        <v>1</v>
      </c>
    </row>
    <row r="25927" customFormat="false" ht="12.8" hidden="false" customHeight="false" outlineLevel="0" collapsed="false">
      <c r="B25927" s="0" t="s">
        <v>8</v>
      </c>
    </row>
    <row r="25929" customFormat="false" ht="12.8" hidden="false" customHeight="false" outlineLevel="0" collapsed="false">
      <c r="A25929" s="0" t="s">
        <v>10532</v>
      </c>
      <c r="B25929" s="0" t="str">
        <f aca="false">HYPERLINK("https://lindat.mff.cuni.cz/services/teitok/pdtc10/index.php?action=vallex&amp;frame=v-w3465f1", "plašit se (v-w3465f1)")</f>
        <v>plašit se (v-w3465f1)</v>
      </c>
    </row>
    <row r="25930" customFormat="false" ht="12.8" hidden="false" customHeight="false" outlineLevel="0" collapsed="false">
      <c r="B25930" s="0" t="s">
        <v>1</v>
      </c>
    </row>
    <row r="25932" customFormat="false" ht="12.8" hidden="false" customHeight="false" outlineLevel="0" collapsed="false">
      <c r="A25932" s="0" t="s">
        <v>10533</v>
      </c>
      <c r="B25932" s="0" t="str">
        <f aca="false">HYPERLINK("https://lindat.mff.cuni.cz/services/teitok/pdtc10/index.php?action=vallex&amp;frame=v-w11546_ZUf1_ZU", "plenit (v-w11546_ZUf1_ZU)")</f>
        <v>plenit (v-w11546_ZUf1_ZU)</v>
      </c>
    </row>
    <row r="25933" customFormat="false" ht="12.8" hidden="false" customHeight="false" outlineLevel="0" collapsed="false">
      <c r="B25933" s="0" t="s">
        <v>1</v>
      </c>
    </row>
    <row r="25934" customFormat="false" ht="12.8" hidden="false" customHeight="false" outlineLevel="0" collapsed="false">
      <c r="B25934" s="0" t="s">
        <v>8</v>
      </c>
    </row>
    <row r="25936" customFormat="false" ht="12.8" hidden="false" customHeight="false" outlineLevel="0" collapsed="false">
      <c r="A25936" s="0" t="s">
        <v>10534</v>
      </c>
      <c r="B25936" s="0" t="str">
        <f aca="false">HYPERLINK("https://lindat.mff.cuni.cz/services/teitok/pdtc10/index.php?action=vallex&amp;frame=v-w12098_ZUf1_ZU", "plesknout (v-w12098_ZUf1_ZU)")</f>
        <v>plesknout (v-w12098_ZUf1_ZU)</v>
      </c>
    </row>
    <row r="25937" customFormat="false" ht="12.8" hidden="false" customHeight="false" outlineLevel="0" collapsed="false">
      <c r="B25937" s="0" t="s">
        <v>1</v>
      </c>
    </row>
    <row r="25938" customFormat="false" ht="12.8" hidden="false" customHeight="false" outlineLevel="0" collapsed="false">
      <c r="B25938" s="0" t="s">
        <v>52</v>
      </c>
    </row>
    <row r="25939" customFormat="false" ht="12.8" hidden="false" customHeight="false" outlineLevel="0" collapsed="false">
      <c r="B25939" s="0" t="s">
        <v>8</v>
      </c>
    </row>
    <row r="25941" customFormat="false" ht="12.8" hidden="false" customHeight="false" outlineLevel="0" collapsed="false">
      <c r="A25941" s="0" t="s">
        <v>10535</v>
      </c>
      <c r="B25941" s="0" t="str">
        <f aca="false">HYPERLINK("https://lindat.mff.cuni.cz/services/teitok/pdtc10/index.php?action=vallex&amp;frame=v-w3482f1", "plešatět (v-w3482f1)")</f>
        <v>plešatět (v-w3482f1)</v>
      </c>
    </row>
    <row r="25942" customFormat="false" ht="12.8" hidden="false" customHeight="false" outlineLevel="0" collapsed="false">
      <c r="B25942" s="0" t="s">
        <v>1</v>
      </c>
    </row>
    <row r="25944" customFormat="false" ht="12.8" hidden="false" customHeight="false" outlineLevel="0" collapsed="false">
      <c r="A25944" s="0" t="s">
        <v>10536</v>
      </c>
      <c r="B25944" s="0" t="str">
        <f aca="false">HYPERLINK("https://lindat.mff.cuni.cz/services/teitok/pdtc10/index.php?action=vallex&amp;frame=v-w3483f1", "plivat (v-w3483f1)")</f>
        <v>plivat (v-w3483f1)</v>
      </c>
    </row>
    <row r="25945" customFormat="false" ht="12.8" hidden="false" customHeight="false" outlineLevel="0" collapsed="false">
      <c r="B25945" s="0" t="s">
        <v>1</v>
      </c>
    </row>
    <row r="25947" customFormat="false" ht="12.8" hidden="false" customHeight="false" outlineLevel="0" collapsed="false">
      <c r="A25947" s="0" t="s">
        <v>10537</v>
      </c>
      <c r="B25947" s="0" t="str">
        <f aca="false">HYPERLINK("https://lindat.mff.cuni.cz/services/teitok/pdtc10/index.php?action=vallex&amp;frame=v-w11868_ZUf1_ZU", "plivnout (v-w11868_ZUf1_ZU)")</f>
        <v>plivnout (v-w11868_ZUf1_ZU)</v>
      </c>
    </row>
    <row r="25948" customFormat="false" ht="12.8" hidden="false" customHeight="false" outlineLevel="0" collapsed="false">
      <c r="B25948" s="0" t="s">
        <v>1</v>
      </c>
    </row>
    <row r="25950" customFormat="false" ht="12.8" hidden="false" customHeight="false" outlineLevel="0" collapsed="false">
      <c r="A25950" s="0" t="s">
        <v>10538</v>
      </c>
      <c r="B25950" s="0" t="str">
        <f aca="false">HYPERLINK("https://lindat.mff.cuni.cz/services/teitok/pdtc10/index.php?action=vallex&amp;frame=v-w3486f2", "plnit (v-w3486f2)")</f>
        <v>plnit (v-w3486f2)</v>
      </c>
      <c r="E25950" s="0" t="str">
        <f aca="false">HYPERLINK("https://lindat.mff.cuni.cz/services/SynSemClass40/SynSemClass40.html?veclass=vec00577#vec00577-ces-cm00007", "vec00577")</f>
        <v>vec00577</v>
      </c>
      <c r="F25950" s="0" t="s">
        <v>7484</v>
      </c>
    </row>
    <row r="25951" customFormat="false" ht="12.8" hidden="false" customHeight="false" outlineLevel="0" collapsed="false">
      <c r="B25951" s="0" t="s">
        <v>1</v>
      </c>
      <c r="C25951" s="0" t="s">
        <v>7485</v>
      </c>
      <c r="E25951" s="0" t="s">
        <v>31</v>
      </c>
      <c r="F25951" s="0" t="s">
        <v>7486</v>
      </c>
    </row>
    <row r="25952" customFormat="false" ht="12.8" hidden="false" customHeight="false" outlineLevel="0" collapsed="false">
      <c r="B25952" s="0" t="s">
        <v>8</v>
      </c>
      <c r="C25952" s="0" t="s">
        <v>7487</v>
      </c>
      <c r="E25952" s="0" t="s">
        <v>7098</v>
      </c>
      <c r="F25952" s="0" t="s">
        <v>7488</v>
      </c>
    </row>
    <row r="25953" customFormat="false" ht="12.8" hidden="false" customHeight="false" outlineLevel="0" collapsed="false">
      <c r="B25953" s="0" t="s">
        <v>1696</v>
      </c>
      <c r="C25953" s="0" t="s">
        <v>7489</v>
      </c>
      <c r="E25953" s="0" t="s">
        <v>7101</v>
      </c>
      <c r="F25953" s="0" t="s">
        <v>7490</v>
      </c>
    </row>
    <row r="25955" customFormat="false" ht="12.8" hidden="false" customHeight="false" outlineLevel="0" collapsed="false">
      <c r="A25955" s="0" t="s">
        <v>10539</v>
      </c>
      <c r="B25955" s="0" t="str">
        <f aca="false">HYPERLINK("https://lindat.mff.cuni.cz/services/teitok/pdtc10/index.php?action=vallex&amp;frame=v-w3486f1", "plnit (v-w3486f1)")</f>
        <v>plnit (v-w3486f1)</v>
      </c>
      <c r="E25955" s="0" t="str">
        <f aca="false">HYPERLINK("https://lindat.mff.cuni.cz/services/SynSemClass40/SynSemClass40.html?veclass=vec00316#vec00316-ces-cm00020", "vec00316")</f>
        <v>vec00316</v>
      </c>
      <c r="F25955" s="0" t="s">
        <v>2221</v>
      </c>
      <c r="H25955" s="0" t="str">
        <f aca="false">HYPERLINK("https://lindat.mff.cuni.cz/services/SynSemClass40/SynSemClass40.html?veclass=vec01414#vec01414-ces-cm00029", "vec01414")</f>
        <v>vec01414</v>
      </c>
      <c r="I25955" s="0" t="s">
        <v>5475</v>
      </c>
    </row>
    <row r="25956" customFormat="false" ht="12.8" hidden="false" customHeight="false" outlineLevel="0" collapsed="false">
      <c r="B25956" s="0" t="s">
        <v>1</v>
      </c>
      <c r="C25956" s="0" t="s">
        <v>10540</v>
      </c>
      <c r="E25956" s="0" t="s">
        <v>11</v>
      </c>
      <c r="F25956" s="0" t="s">
        <v>2223</v>
      </c>
      <c r="H25956" s="0" t="s">
        <v>31</v>
      </c>
      <c r="I25956" s="0" t="s">
        <v>5477</v>
      </c>
    </row>
    <row r="25957" customFormat="false" ht="12.8" hidden="false" customHeight="false" outlineLevel="0" collapsed="false">
      <c r="B25957" s="0" t="s">
        <v>305</v>
      </c>
      <c r="C25957" s="0" t="s">
        <v>10541</v>
      </c>
      <c r="E25957" s="0" t="s">
        <v>2225</v>
      </c>
      <c r="F25957" s="0" t="s">
        <v>2226</v>
      </c>
      <c r="H25957" s="0" t="s">
        <v>14</v>
      </c>
      <c r="I25957" s="0" t="s">
        <v>5479</v>
      </c>
    </row>
    <row r="25959" customFormat="false" ht="12.8" hidden="false" customHeight="false" outlineLevel="0" collapsed="false">
      <c r="A25959" s="0" t="s">
        <v>10542</v>
      </c>
      <c r="B25959" s="0" t="str">
        <f aca="false">HYPERLINK("https://lindat.mff.cuni.cz/services/teitok/pdtc10/index.php?action=vallex&amp;frame=v-w3487f1", "plnit si (v-w3487f1)")</f>
        <v>plnit si (v-w3487f1)</v>
      </c>
    </row>
    <row r="25960" customFormat="false" ht="12.8" hidden="false" customHeight="false" outlineLevel="0" collapsed="false">
      <c r="B25960" s="0" t="s">
        <v>1</v>
      </c>
    </row>
    <row r="25961" customFormat="false" ht="12.8" hidden="false" customHeight="false" outlineLevel="0" collapsed="false">
      <c r="B25961" s="0" t="s">
        <v>8</v>
      </c>
    </row>
    <row r="25963" customFormat="false" ht="12.8" hidden="false" customHeight="false" outlineLevel="0" collapsed="false">
      <c r="A25963" s="0" t="s">
        <v>10543</v>
      </c>
      <c r="B25963" s="0" t="str">
        <f aca="false">HYPERLINK("https://lindat.mff.cuni.cz/services/teitok/pdtc10/index.php?action=vallex&amp;frame=v-w3489f1", "plodit (v-w3489f1)")</f>
        <v>plodit (v-w3489f1)</v>
      </c>
    </row>
    <row r="25964" customFormat="false" ht="12.8" hidden="false" customHeight="false" outlineLevel="0" collapsed="false">
      <c r="B25964" s="0" t="s">
        <v>1</v>
      </c>
    </row>
    <row r="25965" customFormat="false" ht="12.8" hidden="false" customHeight="false" outlineLevel="0" collapsed="false">
      <c r="B25965" s="0" t="s">
        <v>8</v>
      </c>
    </row>
    <row r="25967" customFormat="false" ht="12.8" hidden="false" customHeight="false" outlineLevel="0" collapsed="false">
      <c r="A25967" s="0" t="s">
        <v>10544</v>
      </c>
      <c r="B25967" s="0" t="str">
        <f aca="false">HYPERLINK("https://lindat.mff.cuni.cz/services/teitok/pdtc10/index.php?action=vallex&amp;frame=v-w3489f3", "plodit (v-w3489f3)")</f>
        <v>plodit (v-w3489f3)</v>
      </c>
    </row>
    <row r="25968" customFormat="false" ht="12.8" hidden="false" customHeight="false" outlineLevel="0" collapsed="false">
      <c r="B25968" s="0" t="s">
        <v>1</v>
      </c>
    </row>
    <row r="25969" customFormat="false" ht="12.8" hidden="false" customHeight="false" outlineLevel="0" collapsed="false">
      <c r="B25969" s="0" t="s">
        <v>8</v>
      </c>
    </row>
    <row r="25971" customFormat="false" ht="12.8" hidden="false" customHeight="false" outlineLevel="0" collapsed="false">
      <c r="A25971" s="0" t="s">
        <v>10545</v>
      </c>
      <c r="B25971" s="0" t="str">
        <f aca="false">HYPERLINK("https://lindat.mff.cuni.cz/services/teitok/pdtc10/index.php?action=vallex&amp;frame=v-w3489f2", "plodit (v-w3489f2)")</f>
        <v>plodit (v-w3489f2)</v>
      </c>
    </row>
    <row r="25972" customFormat="false" ht="12.8" hidden="false" customHeight="false" outlineLevel="0" collapsed="false">
      <c r="B25972" s="0" t="s">
        <v>1</v>
      </c>
    </row>
    <row r="25973" customFormat="false" ht="12.8" hidden="false" customHeight="false" outlineLevel="0" collapsed="false">
      <c r="B25973" s="0" t="s">
        <v>8</v>
      </c>
    </row>
    <row r="25975" customFormat="false" ht="12.8" hidden="false" customHeight="false" outlineLevel="0" collapsed="false">
      <c r="A25975" s="0" t="s">
        <v>10546</v>
      </c>
      <c r="B25975" s="0" t="str">
        <f aca="false">HYPERLINK("https://lindat.mff.cuni.cz/services/teitok/pdtc10/index.php?action=vallex&amp;frame=v-w3490f1", "plout (v-w3490f1)")</f>
        <v>plout (v-w3490f1)</v>
      </c>
      <c r="E25975" s="0" t="str">
        <f aca="false">HYPERLINK("https://lindat.mff.cuni.cz/services/SynSemClass40/SynSemClass40.html?veclass=vec00063#vec00063-ces-cm00001", "vec00063")</f>
        <v>vec00063</v>
      </c>
      <c r="F25975" s="0" t="s">
        <v>10527</v>
      </c>
    </row>
    <row r="25976" customFormat="false" ht="12.8" hidden="false" customHeight="false" outlineLevel="0" collapsed="false">
      <c r="B25976" s="0" t="s">
        <v>1</v>
      </c>
      <c r="C25976" s="0" t="s">
        <v>825</v>
      </c>
      <c r="E25976" s="0" t="s">
        <v>334</v>
      </c>
      <c r="F25976" s="0" t="s">
        <v>8961</v>
      </c>
    </row>
    <row r="25978" customFormat="false" ht="12.8" hidden="false" customHeight="false" outlineLevel="0" collapsed="false">
      <c r="A25978" s="0" t="s">
        <v>10547</v>
      </c>
      <c r="B25978" s="0" t="str">
        <f aca="false">HYPERLINK("https://lindat.mff.cuni.cz/services/teitok/pdtc10/index.php?action=vallex&amp;frame=v-w3490f4_ZU", "plout (v-w3490f4_ZU)")</f>
        <v>plout (v-w3490f4_ZU)</v>
      </c>
    </row>
    <row r="25979" customFormat="false" ht="12.8" hidden="false" customHeight="false" outlineLevel="0" collapsed="false">
      <c r="B25979" s="0" t="s">
        <v>1</v>
      </c>
    </row>
    <row r="25981" customFormat="false" ht="12.8" hidden="false" customHeight="false" outlineLevel="0" collapsed="false">
      <c r="A25981" s="0" t="s">
        <v>10547</v>
      </c>
      <c r="B25981" s="0" t="str">
        <f aca="false">HYPERLINK("https://lindat.mff.cuni.cz/services/teitok/pdtc10/index.php?action=vallex&amp;frame=v-w3490f2_ZU", "plout (v-w3490f2_ZU) - substituted with v-w3490f4_ZU")</f>
        <v>plout (v-w3490f2_ZU) - substituted with v-w3490f4_ZU</v>
      </c>
    </row>
    <row r="25982" customFormat="false" ht="12.8" hidden="false" customHeight="false" outlineLevel="0" collapsed="false">
      <c r="B25982" s="0" t="s">
        <v>1</v>
      </c>
    </row>
    <row r="25984" customFormat="false" ht="12.8" hidden="false" customHeight="false" outlineLevel="0" collapsed="false">
      <c r="A25984" s="0" t="s">
        <v>10547</v>
      </c>
      <c r="B25984" s="0" t="str">
        <f aca="false">HYPERLINK("https://lindat.mff.cuni.cz/services/teitok/pdtc10/index.php?action=vallex&amp;frame=v-w3490f3_ZU", "plout (v-w3490f3_ZU) - substituted with v-w3490f4_ZU")</f>
        <v>plout (v-w3490f3_ZU) - substituted with v-w3490f4_ZU</v>
      </c>
    </row>
    <row r="25985" customFormat="false" ht="12.8" hidden="false" customHeight="false" outlineLevel="0" collapsed="false">
      <c r="B25985" s="0" t="s">
        <v>1</v>
      </c>
    </row>
    <row r="25987" customFormat="false" ht="12.8" hidden="false" customHeight="false" outlineLevel="0" collapsed="false">
      <c r="A25987" s="0" t="s">
        <v>10548</v>
      </c>
      <c r="B25987" s="0" t="str">
        <f aca="false">HYPERLINK("https://lindat.mff.cuni.cz/services/teitok/pdtc10/index.php?action=vallex&amp;frame=v-whsa_1960hsa_1961", "ploužit se (v-whsa_1960hsa_1961)")</f>
        <v>ploužit se (v-whsa_1960hsa_1961)</v>
      </c>
    </row>
    <row r="25988" customFormat="false" ht="12.8" hidden="false" customHeight="false" outlineLevel="0" collapsed="false">
      <c r="B25988" s="0" t="s">
        <v>1</v>
      </c>
    </row>
    <row r="25990" customFormat="false" ht="12.8" hidden="false" customHeight="false" outlineLevel="0" collapsed="false">
      <c r="A25990" s="0" t="s">
        <v>10549</v>
      </c>
      <c r="B25990" s="0" t="str">
        <f aca="false">HYPERLINK("https://lindat.mff.cuni.cz/services/teitok/pdtc10/index.php?action=vallex&amp;frame=v-w10426f2", "plužit (v-w10426f2)")</f>
        <v>plužit (v-w10426f2)</v>
      </c>
    </row>
    <row r="25991" customFormat="false" ht="12.8" hidden="false" customHeight="false" outlineLevel="0" collapsed="false">
      <c r="B25991" s="0" t="s">
        <v>1</v>
      </c>
    </row>
    <row r="25993" customFormat="false" ht="12.8" hidden="false" customHeight="false" outlineLevel="0" collapsed="false">
      <c r="A25993" s="0" t="s">
        <v>10550</v>
      </c>
      <c r="B25993" s="0" t="str">
        <f aca="false">HYPERLINK("https://lindat.mff.cuni.cz/services/teitok/pdtc10/index.php?action=vallex&amp;frame=v-w3493f1", "plynout (v-w3493f1)")</f>
        <v>plynout (v-w3493f1)</v>
      </c>
    </row>
    <row r="25994" customFormat="false" ht="12.8" hidden="false" customHeight="false" outlineLevel="0" collapsed="false">
      <c r="B25994" s="0" t="s">
        <v>944</v>
      </c>
    </row>
    <row r="25995" customFormat="false" ht="12.8" hidden="false" customHeight="false" outlineLevel="0" collapsed="false">
      <c r="B25995" s="0" t="s">
        <v>298</v>
      </c>
    </row>
    <row r="25997" customFormat="false" ht="12.8" hidden="false" customHeight="false" outlineLevel="0" collapsed="false">
      <c r="A25997" s="0" t="s">
        <v>10551</v>
      </c>
      <c r="B25997" s="0" t="str">
        <f aca="false">HYPERLINK("https://lindat.mff.cuni.cz/services/teitok/pdtc10/index.php?action=vallex&amp;frame=v-w3493f2", "plynout (v-w3493f2)")</f>
        <v>plynout (v-w3493f2)</v>
      </c>
    </row>
    <row r="25998" customFormat="false" ht="12.8" hidden="false" customHeight="false" outlineLevel="0" collapsed="false">
      <c r="B25998" s="0" t="s">
        <v>1</v>
      </c>
    </row>
    <row r="26000" customFormat="false" ht="12.8" hidden="false" customHeight="false" outlineLevel="0" collapsed="false">
      <c r="A26000" s="0" t="s">
        <v>10552</v>
      </c>
      <c r="B26000" s="0" t="str">
        <f aca="false">HYPERLINK("https://lindat.mff.cuni.cz/services/teitok/pdtc10/index.php?action=vallex&amp;frame=v-w3493f3", "plynout (v-w3493f3)")</f>
        <v>plynout (v-w3493f3)</v>
      </c>
    </row>
    <row r="26001" customFormat="false" ht="12.8" hidden="false" customHeight="false" outlineLevel="0" collapsed="false">
      <c r="B26001" s="0" t="s">
        <v>1</v>
      </c>
    </row>
    <row r="26003" customFormat="false" ht="12.8" hidden="false" customHeight="false" outlineLevel="0" collapsed="false">
      <c r="A26003" s="0" t="s">
        <v>10553</v>
      </c>
      <c r="B26003" s="0" t="str">
        <f aca="false">HYPERLINK("https://lindat.mff.cuni.cz/services/teitok/pdtc10/index.php?action=vallex&amp;frame=v-w11697_ZUf2_ZU", "plynovat (v-w11697_ZUf2_ZU)")</f>
        <v>plynovat (v-w11697_ZUf2_ZU)</v>
      </c>
    </row>
    <row r="26004" customFormat="false" ht="12.8" hidden="false" customHeight="false" outlineLevel="0" collapsed="false">
      <c r="B26004" s="0" t="s">
        <v>1</v>
      </c>
    </row>
    <row r="26005" customFormat="false" ht="12.8" hidden="false" customHeight="false" outlineLevel="0" collapsed="false">
      <c r="B26005" s="0" t="s">
        <v>8</v>
      </c>
    </row>
    <row r="26007" customFormat="false" ht="12.8" hidden="false" customHeight="false" outlineLevel="0" collapsed="false">
      <c r="A26007" s="0" t="s">
        <v>10553</v>
      </c>
      <c r="B26007" s="0" t="str">
        <f aca="false">HYPERLINK("https://lindat.mff.cuni.cz/services/teitok/pdtc10/index.php?action=vallex&amp;frame=v-w11697_ZUf1_ZU", "plynovat (v-w11697_ZUf1_ZU) - substituted with v-w11697_ZUf2_ZU")</f>
        <v>plynovat (v-w11697_ZUf1_ZU) - substituted with v-w11697_ZUf2_ZU</v>
      </c>
    </row>
    <row r="26008" customFormat="false" ht="12.8" hidden="false" customHeight="false" outlineLevel="0" collapsed="false">
      <c r="B26008" s="0" t="s">
        <v>1</v>
      </c>
    </row>
    <row r="26009" customFormat="false" ht="12.8" hidden="false" customHeight="false" outlineLevel="0" collapsed="false">
      <c r="B26009" s="0" t="s">
        <v>8</v>
      </c>
    </row>
    <row r="26011" customFormat="false" ht="12.8" hidden="false" customHeight="false" outlineLevel="0" collapsed="false">
      <c r="A26011" s="0" t="s">
        <v>10554</v>
      </c>
      <c r="B26011" s="0" t="str">
        <f aca="false">HYPERLINK("https://lindat.mff.cuni.cz/services/teitok/pdtc10/index.php?action=vallex&amp;frame=v-whsb_1142f2_MM", "plácat (v-whsb_1142f2_MM)")</f>
        <v>plácat (v-whsb_1142f2_MM)</v>
      </c>
    </row>
    <row r="26012" customFormat="false" ht="12.8" hidden="false" customHeight="false" outlineLevel="0" collapsed="false">
      <c r="B26012" s="0" t="s">
        <v>1</v>
      </c>
    </row>
    <row r="26013" customFormat="false" ht="12.8" hidden="false" customHeight="false" outlineLevel="0" collapsed="false">
      <c r="B26013" s="0" t="s">
        <v>10555</v>
      </c>
    </row>
    <row r="26015" customFormat="false" ht="12.8" hidden="false" customHeight="false" outlineLevel="0" collapsed="false">
      <c r="A26015" s="0" t="s">
        <v>10554</v>
      </c>
      <c r="B26015" s="0" t="str">
        <f aca="false">HYPERLINK("https://lindat.mff.cuni.cz/services/teitok/pdtc10/index.php?action=vallex&amp;frame=v-whsa_1142f1_ZU", "plácat (v-whsa_1142f1_ZU) - substituted with v-whsb_1142f2_MM")</f>
        <v>plácat (v-whsa_1142f1_ZU) - substituted with v-whsb_1142f2_MM</v>
      </c>
    </row>
    <row r="26016" customFormat="false" ht="12.8" hidden="false" customHeight="false" outlineLevel="0" collapsed="false">
      <c r="B26016" s="0" t="s">
        <v>1</v>
      </c>
    </row>
    <row r="26017" customFormat="false" ht="12.8" hidden="false" customHeight="false" outlineLevel="0" collapsed="false">
      <c r="B26017" s="0" t="s">
        <v>10555</v>
      </c>
    </row>
    <row r="26019" customFormat="false" ht="12.8" hidden="false" customHeight="false" outlineLevel="0" collapsed="false">
      <c r="A26019" s="0" t="s">
        <v>10554</v>
      </c>
      <c r="B26019" s="0" t="str">
        <f aca="false">HYPERLINK("https://lindat.mff.cuni.cz/services/teitok/pdtc10/index.php?action=vallex&amp;frame=v-whsa_1142hsa_1143", "plácat (v-whsa_1142hsa_1143) - substituted with v-whsb_1142f2_MM")</f>
        <v>plácat (v-whsa_1142hsa_1143) - substituted with v-whsb_1142f2_MM</v>
      </c>
    </row>
    <row r="26020" customFormat="false" ht="12.8" hidden="false" customHeight="false" outlineLevel="0" collapsed="false">
      <c r="B26020" s="0" t="s">
        <v>1</v>
      </c>
    </row>
    <row r="26021" customFormat="false" ht="12.8" hidden="false" customHeight="false" outlineLevel="0" collapsed="false">
      <c r="B26021" s="0" t="s">
        <v>10555</v>
      </c>
    </row>
    <row r="26023" customFormat="false" ht="12.8" hidden="false" customHeight="false" outlineLevel="0" collapsed="false">
      <c r="A26023" s="0" t="s">
        <v>10556</v>
      </c>
      <c r="B26023" s="0" t="str">
        <f aca="false">HYPERLINK("https://lindat.mff.cuni.cz/services/teitok/pdtc10/index.php?action=vallex&amp;frame=v-w3452f1", "plácat se (v-w3452f1)")</f>
        <v>plácat se (v-w3452f1)</v>
      </c>
    </row>
    <row r="26024" customFormat="false" ht="12.8" hidden="false" customHeight="false" outlineLevel="0" collapsed="false">
      <c r="B26024" s="0" t="s">
        <v>1</v>
      </c>
    </row>
    <row r="26025" customFormat="false" ht="12.8" hidden="false" customHeight="false" outlineLevel="0" collapsed="false">
      <c r="B26025" s="0" t="s">
        <v>5</v>
      </c>
    </row>
    <row r="26027" customFormat="false" ht="12.8" hidden="false" customHeight="false" outlineLevel="0" collapsed="false">
      <c r="A26027" s="0" t="s">
        <v>10557</v>
      </c>
      <c r="B26027" s="0" t="str">
        <f aca="false">HYPERLINK("https://lindat.mff.cuni.cz/services/teitok/pdtc10/index.php?action=vallex&amp;frame=v-w3455f3", "plácnout (v-w3455f3)")</f>
        <v>plácnout (v-w3455f3)</v>
      </c>
      <c r="E26027" s="0" t="str">
        <f aca="false">HYPERLINK("https://lindat.mff.cuni.cz/services/SynSemClass40/SynSemClass40.html?veclass=vec01068#vec01068-ces-cm00001", "vec01068")</f>
        <v>vec01068</v>
      </c>
      <c r="F26027" s="0" t="s">
        <v>10558</v>
      </c>
    </row>
    <row r="26028" customFormat="false" ht="12.8" hidden="false" customHeight="false" outlineLevel="0" collapsed="false">
      <c r="B26028" s="0" t="s">
        <v>1</v>
      </c>
      <c r="C26028" s="0" t="s">
        <v>512</v>
      </c>
      <c r="E26028" s="0" t="s">
        <v>196</v>
      </c>
      <c r="F26028" s="0" t="s">
        <v>8397</v>
      </c>
    </row>
    <row r="26029" customFormat="false" ht="12.8" hidden="false" customHeight="false" outlineLevel="0" collapsed="false">
      <c r="B26029" s="0" t="s">
        <v>8</v>
      </c>
      <c r="C26029" s="0" t="s">
        <v>1940</v>
      </c>
      <c r="E26029" s="0" t="s">
        <v>142</v>
      </c>
      <c r="F26029" s="0" t="s">
        <v>1941</v>
      </c>
    </row>
    <row r="26031" customFormat="false" ht="12.8" hidden="false" customHeight="false" outlineLevel="0" collapsed="false">
      <c r="A26031" s="0" t="s">
        <v>10559</v>
      </c>
      <c r="B26031" s="0" t="str">
        <f aca="false">HYPERLINK("https://lindat.mff.cuni.cz/services/teitok/pdtc10/index.php?action=vallex&amp;frame=v-w3455f1", "plácnout (v-w3455f1)")</f>
        <v>plácnout (v-w3455f1)</v>
      </c>
    </row>
    <row r="26032" customFormat="false" ht="12.8" hidden="false" customHeight="false" outlineLevel="0" collapsed="false">
      <c r="B26032" s="0" t="s">
        <v>1</v>
      </c>
    </row>
    <row r="26033" customFormat="false" ht="12.8" hidden="false" customHeight="false" outlineLevel="0" collapsed="false">
      <c r="B26033" s="0" t="s">
        <v>6412</v>
      </c>
    </row>
    <row r="26034" customFormat="false" ht="12.8" hidden="false" customHeight="false" outlineLevel="0" collapsed="false">
      <c r="B26034" s="0" t="s">
        <v>496</v>
      </c>
    </row>
    <row r="26036" customFormat="false" ht="12.8" hidden="false" customHeight="false" outlineLevel="0" collapsed="false">
      <c r="A26036" s="0" t="s">
        <v>10560</v>
      </c>
      <c r="B26036" s="0" t="str">
        <f aca="false">HYPERLINK("https://lindat.mff.cuni.cz/services/teitok/pdtc10/index.php?action=vallex&amp;frame=v-w3455hsa_1581", "plácnout (v-w3455hsa_1581)")</f>
        <v>plácnout (v-w3455hsa_1581)</v>
      </c>
    </row>
    <row r="26037" customFormat="false" ht="12.8" hidden="false" customHeight="false" outlineLevel="0" collapsed="false">
      <c r="B26037" s="0" t="s">
        <v>1</v>
      </c>
    </row>
    <row r="26038" customFormat="false" ht="12.8" hidden="false" customHeight="false" outlineLevel="0" collapsed="false">
      <c r="B26038" s="0" t="s">
        <v>286</v>
      </c>
    </row>
    <row r="26040" customFormat="false" ht="12.8" hidden="false" customHeight="false" outlineLevel="0" collapsed="false">
      <c r="A26040" s="0" t="s">
        <v>10561</v>
      </c>
      <c r="B26040" s="0" t="str">
        <f aca="false">HYPERLINK("https://lindat.mff.cuni.cz/services/teitok/pdtc10/index.php?action=vallex&amp;frame=v-w3462f1", "plánovat (v-w3462f1)")</f>
        <v>plánovat (v-w3462f1)</v>
      </c>
      <c r="E26040" s="0" t="str">
        <f aca="false">HYPERLINK("https://lindat.mff.cuni.cz/services/SynSemClass40/SynSemClass40.html?veclass=vec00256#vec00256-ces-cm00001", "vec00256")</f>
        <v>vec00256</v>
      </c>
      <c r="F26040" s="0" t="s">
        <v>993</v>
      </c>
    </row>
    <row r="26041" customFormat="false" ht="12.8" hidden="false" customHeight="false" outlineLevel="0" collapsed="false">
      <c r="B26041" s="0" t="s">
        <v>1</v>
      </c>
      <c r="C26041" s="0" t="s">
        <v>6482</v>
      </c>
      <c r="E26041" s="0" t="s">
        <v>31</v>
      </c>
      <c r="F26041" s="0" t="s">
        <v>6483</v>
      </c>
    </row>
    <row r="26042" customFormat="false" ht="12.8" hidden="false" customHeight="false" outlineLevel="0" collapsed="false">
      <c r="B26042" s="0" t="s">
        <v>10562</v>
      </c>
      <c r="C26042" s="0" t="s">
        <v>6484</v>
      </c>
      <c r="E26042" s="0" t="s">
        <v>1556</v>
      </c>
      <c r="F26042" s="0" t="s">
        <v>6485</v>
      </c>
    </row>
    <row r="26044" customFormat="false" ht="12.8" hidden="false" customHeight="false" outlineLevel="0" collapsed="false">
      <c r="A26044" s="0" t="s">
        <v>10563</v>
      </c>
      <c r="B26044" s="0" t="str">
        <f aca="false">HYPERLINK("https://lindat.mff.cuni.cz/services/teitok/pdtc10/index.php?action=vallex&amp;frame=v-w3477f1", "plédovat (v-w3477f1)")</f>
        <v>plédovat (v-w3477f1)</v>
      </c>
    </row>
    <row r="26045" customFormat="false" ht="12.8" hidden="false" customHeight="false" outlineLevel="0" collapsed="false">
      <c r="B26045" s="0" t="s">
        <v>629</v>
      </c>
    </row>
    <row r="26046" customFormat="false" ht="12.8" hidden="false" customHeight="false" outlineLevel="0" collapsed="false">
      <c r="B26046" s="0" t="s">
        <v>2119</v>
      </c>
    </row>
    <row r="26048" customFormat="false" ht="12.8" hidden="false" customHeight="false" outlineLevel="0" collapsed="false">
      <c r="A26048" s="0" t="s">
        <v>10564</v>
      </c>
      <c r="B26048" s="0" t="str">
        <f aca="false">HYPERLINK("https://lindat.mff.cuni.cz/services/teitok/pdtc10/index.php?action=vallex&amp;frame=v-w3479f2", "plést (v-w3479f2)")</f>
        <v>plést (v-w3479f2)</v>
      </c>
    </row>
    <row r="26049" customFormat="false" ht="12.8" hidden="false" customHeight="false" outlineLevel="0" collapsed="false">
      <c r="B26049" s="0" t="s">
        <v>1</v>
      </c>
    </row>
    <row r="26050" customFormat="false" ht="12.8" hidden="false" customHeight="false" outlineLevel="0" collapsed="false">
      <c r="B26050" s="0" t="s">
        <v>8</v>
      </c>
    </row>
    <row r="26051" customFormat="false" ht="12.8" hidden="false" customHeight="false" outlineLevel="0" collapsed="false">
      <c r="B26051" s="0" t="s">
        <v>10565</v>
      </c>
    </row>
    <row r="26053" customFormat="false" ht="12.8" hidden="false" customHeight="false" outlineLevel="0" collapsed="false">
      <c r="A26053" s="0" t="s">
        <v>10566</v>
      </c>
      <c r="B26053" s="0" t="str">
        <f aca="false">HYPERLINK("https://lindat.mff.cuni.cz/services/teitok/pdtc10/index.php?action=vallex&amp;frame=v-w3479f1", "plést (v-w3479f1)")</f>
        <v>plést (v-w3479f1)</v>
      </c>
    </row>
    <row r="26054" customFormat="false" ht="12.8" hidden="false" customHeight="false" outlineLevel="0" collapsed="false">
      <c r="B26054" s="0" t="s">
        <v>843</v>
      </c>
    </row>
    <row r="26055" customFormat="false" ht="12.8" hidden="false" customHeight="false" outlineLevel="0" collapsed="false">
      <c r="B26055" s="0" t="s">
        <v>8</v>
      </c>
    </row>
    <row r="26057" customFormat="false" ht="12.8" hidden="false" customHeight="false" outlineLevel="0" collapsed="false">
      <c r="A26057" s="0" t="s">
        <v>10567</v>
      </c>
      <c r="B26057" s="0" t="str">
        <f aca="false">HYPERLINK("https://lindat.mff.cuni.cz/services/teitok/pdtc10/index.php?action=vallex&amp;frame=v-w3479f3_ZU", "plést (v-w3479f3_ZU)")</f>
        <v>plést (v-w3479f3_ZU)</v>
      </c>
    </row>
    <row r="26058" customFormat="false" ht="12.8" hidden="false" customHeight="false" outlineLevel="0" collapsed="false">
      <c r="B26058" s="0" t="s">
        <v>1</v>
      </c>
    </row>
    <row r="26059" customFormat="false" ht="12.8" hidden="false" customHeight="false" outlineLevel="0" collapsed="false">
      <c r="B26059" s="0" t="s">
        <v>8</v>
      </c>
    </row>
    <row r="26060" customFormat="false" ht="12.8" hidden="false" customHeight="false" outlineLevel="0" collapsed="false">
      <c r="B26060" s="0" t="s">
        <v>454</v>
      </c>
    </row>
    <row r="26062" customFormat="false" ht="12.8" hidden="false" customHeight="false" outlineLevel="0" collapsed="false">
      <c r="A26062" s="0" t="s">
        <v>10568</v>
      </c>
      <c r="B26062" s="0" t="str">
        <f aca="false">HYPERLINK("https://lindat.mff.cuni.cz/services/teitok/pdtc10/index.php?action=vallex&amp;frame=v-w3479hsa_537", "plést (v-w3479hsa_537)")</f>
        <v>plést (v-w3479hsa_537)</v>
      </c>
    </row>
    <row r="26063" customFormat="false" ht="12.8" hidden="false" customHeight="false" outlineLevel="0" collapsed="false">
      <c r="B26063" s="0" t="s">
        <v>1</v>
      </c>
    </row>
    <row r="26064" customFormat="false" ht="12.8" hidden="false" customHeight="false" outlineLevel="0" collapsed="false">
      <c r="B26064" s="0" t="s">
        <v>8</v>
      </c>
    </row>
    <row r="26065" customFormat="false" ht="12.8" hidden="false" customHeight="false" outlineLevel="0" collapsed="false">
      <c r="B26065" s="0" t="s">
        <v>36</v>
      </c>
    </row>
    <row r="26067" customFormat="false" ht="12.8" hidden="false" customHeight="false" outlineLevel="0" collapsed="false">
      <c r="A26067" s="0" t="s">
        <v>10569</v>
      </c>
      <c r="B26067" s="0" t="str">
        <f aca="false">HYPERLINK("https://lindat.mff.cuni.cz/services/teitok/pdtc10/index.php?action=vallex&amp;frame=v-w3480f1", "plést se (v-w3480f1)")</f>
        <v>plést se (v-w3480f1)</v>
      </c>
    </row>
    <row r="26068" customFormat="false" ht="12.8" hidden="false" customHeight="false" outlineLevel="0" collapsed="false">
      <c r="B26068" s="0" t="s">
        <v>1</v>
      </c>
    </row>
    <row r="26069" customFormat="false" ht="12.8" hidden="false" customHeight="false" outlineLevel="0" collapsed="false">
      <c r="B26069" s="0" t="s">
        <v>721</v>
      </c>
    </row>
    <row r="26070" customFormat="false" ht="12.8" hidden="false" customHeight="false" outlineLevel="0" collapsed="false">
      <c r="B26070" s="0" t="s">
        <v>3026</v>
      </c>
    </row>
    <row r="26072" customFormat="false" ht="12.8" hidden="false" customHeight="false" outlineLevel="0" collapsed="false">
      <c r="A26072" s="0" t="s">
        <v>10570</v>
      </c>
      <c r="B26072" s="0" t="str">
        <f aca="false">HYPERLINK("https://lindat.mff.cuni.cz/services/teitok/pdtc10/index.php?action=vallex&amp;frame=v-w3480f2", "plést se (v-w3480f2)")</f>
        <v>plést se (v-w3480f2)</v>
      </c>
      <c r="E26072" s="0" t="str">
        <f aca="false">HYPERLINK("https://lindat.mff.cuni.cz/services/SynSemClass40/SynSemClass40.html?veclass=vec00775#vec00775-ces-cm00005", "vec00775")</f>
        <v>vec00775</v>
      </c>
      <c r="F26072" s="0" t="s">
        <v>6457</v>
      </c>
    </row>
    <row r="26073" customFormat="false" ht="12.8" hidden="false" customHeight="false" outlineLevel="0" collapsed="false">
      <c r="B26073" s="0" t="s">
        <v>1</v>
      </c>
      <c r="C26073" s="0" t="s">
        <v>6619</v>
      </c>
      <c r="E26073" s="0" t="s">
        <v>3010</v>
      </c>
      <c r="F26073" s="0" t="s">
        <v>6459</v>
      </c>
    </row>
    <row r="26074" customFormat="false" ht="12.8" hidden="false" customHeight="false" outlineLevel="0" collapsed="false">
      <c r="B26074" s="0" t="s">
        <v>1187</v>
      </c>
      <c r="C26074" s="0" t="s">
        <v>6621</v>
      </c>
      <c r="E26074" s="0" t="s">
        <v>4202</v>
      </c>
      <c r="F26074" s="0" t="s">
        <v>6461</v>
      </c>
    </row>
    <row r="26076" customFormat="false" ht="12.8" hidden="false" customHeight="false" outlineLevel="0" collapsed="false">
      <c r="A26076" s="0" t="s">
        <v>10571</v>
      </c>
      <c r="B26076" s="0" t="str">
        <f aca="false">HYPERLINK("https://lindat.mff.cuni.cz/services/teitok/pdtc10/index.php?action=vallex&amp;frame=v-w3480f3", "plést se (v-w3480f3)")</f>
        <v>plést se (v-w3480f3)</v>
      </c>
    </row>
    <row r="26077" customFormat="false" ht="12.8" hidden="false" customHeight="false" outlineLevel="0" collapsed="false">
      <c r="B26077" s="0" t="s">
        <v>1</v>
      </c>
    </row>
    <row r="26079" customFormat="false" ht="12.8" hidden="false" customHeight="false" outlineLevel="0" collapsed="false">
      <c r="A26079" s="0" t="s">
        <v>10572</v>
      </c>
      <c r="B26079" s="0" t="str">
        <f aca="false">HYPERLINK("https://lindat.mff.cuni.cz/services/teitok/pdtc10/index.php?action=vallex&amp;frame=v-w3480f4_ZU", "plést se (v-w3480f4_ZU)")</f>
        <v>plést se (v-w3480f4_ZU)</v>
      </c>
    </row>
    <row r="26080" customFormat="false" ht="12.8" hidden="false" customHeight="false" outlineLevel="0" collapsed="false">
      <c r="B26080" s="0" t="s">
        <v>1</v>
      </c>
    </row>
    <row r="26081" customFormat="false" ht="12.8" hidden="false" customHeight="false" outlineLevel="0" collapsed="false">
      <c r="B26081" s="0" t="s">
        <v>157</v>
      </c>
    </row>
    <row r="26083" customFormat="false" ht="12.8" hidden="false" customHeight="false" outlineLevel="0" collapsed="false">
      <c r="A26083" s="0" t="s">
        <v>10573</v>
      </c>
      <c r="B26083" s="0" t="str">
        <f aca="false">HYPERLINK("https://lindat.mff.cuni.cz/services/teitok/pdtc10/index.php?action=vallex&amp;frame=v-w3481f1", "plést si (v-w3481f1)")</f>
        <v>plést si (v-w3481f1)</v>
      </c>
      <c r="E26083" s="0" t="str">
        <f aca="false">HYPERLINK("https://lindat.mff.cuni.cz/services/SynSemClass40/SynSemClass40.html?veclass=vec01170#vec01170-ces-cm00002", "vec01170")</f>
        <v>vec01170</v>
      </c>
      <c r="F26083" s="0" t="s">
        <v>10574</v>
      </c>
    </row>
    <row r="26084" customFormat="false" ht="12.8" hidden="false" customHeight="false" outlineLevel="0" collapsed="false">
      <c r="B26084" s="0" t="s">
        <v>1</v>
      </c>
      <c r="C26084" s="0" t="s">
        <v>1507</v>
      </c>
      <c r="E26084" s="0" t="s">
        <v>10575</v>
      </c>
      <c r="F26084" s="0" t="s">
        <v>10576</v>
      </c>
    </row>
    <row r="26085" customFormat="false" ht="12.8" hidden="false" customHeight="false" outlineLevel="0" collapsed="false">
      <c r="B26085" s="0" t="s">
        <v>8</v>
      </c>
      <c r="C26085" s="0" t="s">
        <v>10577</v>
      </c>
      <c r="E26085" s="0" t="s">
        <v>4852</v>
      </c>
      <c r="F26085" s="0" t="s">
        <v>10578</v>
      </c>
    </row>
    <row r="26086" customFormat="false" ht="12.8" hidden="false" customHeight="false" outlineLevel="0" collapsed="false">
      <c r="B26086" s="0" t="s">
        <v>3537</v>
      </c>
      <c r="C26086" s="0" t="s">
        <v>10579</v>
      </c>
      <c r="E26086" s="0" t="s">
        <v>5445</v>
      </c>
      <c r="F26086" s="0" t="s">
        <v>10580</v>
      </c>
    </row>
    <row r="26088" customFormat="false" ht="12.8" hidden="false" customHeight="false" outlineLevel="0" collapsed="false">
      <c r="A26088" s="0" t="s">
        <v>10581</v>
      </c>
      <c r="B26088" s="0" t="str">
        <f aca="false">HYPERLINK("https://lindat.mff.cuni.cz/services/teitok/pdtc10/index.php?action=vallex&amp;frame=v-w3481f2", "plést si (v-w3481f2)")</f>
        <v>plést si (v-w3481f2)</v>
      </c>
    </row>
    <row r="26089" customFormat="false" ht="12.8" hidden="false" customHeight="false" outlineLevel="0" collapsed="false">
      <c r="B26089" s="0" t="s">
        <v>1</v>
      </c>
    </row>
    <row r="26090" customFormat="false" ht="12.8" hidden="false" customHeight="false" outlineLevel="0" collapsed="false">
      <c r="B26090" s="0" t="s">
        <v>305</v>
      </c>
    </row>
    <row r="26092" customFormat="false" ht="12.8" hidden="false" customHeight="false" outlineLevel="0" collapsed="false">
      <c r="A26092" s="0" t="s">
        <v>10582</v>
      </c>
      <c r="B26092" s="0" t="str">
        <f aca="false">HYPERLINK("https://lindat.mff.cuni.cz/services/teitok/pdtc10/index.php?action=vallex&amp;frame=v-w11030f2", "plísnit (v-w11030f2)")</f>
        <v>plísnit (v-w11030f2)</v>
      </c>
    </row>
    <row r="26093" customFormat="false" ht="12.8" hidden="false" customHeight="false" outlineLevel="0" collapsed="false">
      <c r="B26093" s="0" t="s">
        <v>1</v>
      </c>
    </row>
    <row r="26094" customFormat="false" ht="12.8" hidden="false" customHeight="false" outlineLevel="0" collapsed="false">
      <c r="B26094" s="0" t="s">
        <v>8</v>
      </c>
    </row>
    <row r="26096" customFormat="false" ht="12.8" hidden="false" customHeight="false" outlineLevel="0" collapsed="false">
      <c r="A26096" s="0" t="s">
        <v>10583</v>
      </c>
      <c r="B26096" s="0" t="str">
        <f aca="false">HYPERLINK("https://lindat.mff.cuni.cz/services/teitok/pdtc10/index.php?action=vallex&amp;frame=v-whsa_1668hsa_1669", "plít (v-whsa_1668hsa_1669)")</f>
        <v>plít (v-whsa_1668hsa_1669)</v>
      </c>
    </row>
    <row r="26097" customFormat="false" ht="12.8" hidden="false" customHeight="false" outlineLevel="0" collapsed="false">
      <c r="B26097" s="0" t="s">
        <v>1</v>
      </c>
    </row>
    <row r="26098" customFormat="false" ht="12.8" hidden="false" customHeight="false" outlineLevel="0" collapsed="false">
      <c r="B26098" s="0" t="s">
        <v>8</v>
      </c>
    </row>
    <row r="26100" customFormat="false" ht="12.8" hidden="false" customHeight="false" outlineLevel="0" collapsed="false">
      <c r="A26100" s="0" t="s">
        <v>10584</v>
      </c>
      <c r="B26100" s="0" t="str">
        <f aca="false">HYPERLINK("https://lindat.mff.cuni.cz/services/teitok/pdtc10/index.php?action=vallex&amp;frame=v-w11312f1", "plížit se (v-w11312f1)")</f>
        <v>plížit se (v-w11312f1)</v>
      </c>
      <c r="E26100" s="0" t="str">
        <f aca="false">HYPERLINK("https://lindat.mff.cuni.cz/services/SynSemClass40/SynSemClass40.html?veclass=vec00665#vec00665-ces-cm00003", "vec00665")</f>
        <v>vec00665</v>
      </c>
      <c r="F26100" s="0" t="s">
        <v>10529</v>
      </c>
    </row>
    <row r="26101" customFormat="false" ht="12.8" hidden="false" customHeight="false" outlineLevel="0" collapsed="false">
      <c r="B26101" s="0" t="s">
        <v>1</v>
      </c>
      <c r="C26101" s="0" t="s">
        <v>3288</v>
      </c>
      <c r="E26101" s="0" t="s">
        <v>334</v>
      </c>
      <c r="F26101" s="0" t="s">
        <v>10530</v>
      </c>
    </row>
    <row r="26103" customFormat="false" ht="12.8" hidden="false" customHeight="false" outlineLevel="0" collapsed="false">
      <c r="A26103" s="0" t="s">
        <v>10585</v>
      </c>
      <c r="B26103" s="0" t="str">
        <f aca="false">HYPERLINK("https://lindat.mff.cuni.cz/services/teitok/pdtc10/index.php?action=vallex&amp;frame=v-w3495f2_ZU", "plýtvat (v-w3495f2_ZU)")</f>
        <v>plýtvat (v-w3495f2_ZU)</v>
      </c>
      <c r="E26103" s="0" t="str">
        <f aca="false">HYPERLINK("https://lindat.mff.cuni.cz/services/SynSemClass40/SynSemClass40.html?veclass=vec00886#vec00886-ces-cm00002", "vec00886")</f>
        <v>vec00886</v>
      </c>
      <c r="F26103" s="0" t="s">
        <v>10586</v>
      </c>
    </row>
    <row r="26104" customFormat="false" ht="12.8" hidden="false" customHeight="false" outlineLevel="0" collapsed="false">
      <c r="B26104" s="0" t="s">
        <v>1</v>
      </c>
      <c r="C26104" s="0" t="s">
        <v>4264</v>
      </c>
      <c r="E26104" s="0" t="s">
        <v>10587</v>
      </c>
      <c r="F26104" s="0" t="s">
        <v>10588</v>
      </c>
    </row>
    <row r="26105" customFormat="false" ht="12.8" hidden="false" customHeight="false" outlineLevel="0" collapsed="false">
      <c r="B26105" s="0" t="s">
        <v>6452</v>
      </c>
      <c r="C26105" s="0" t="s">
        <v>7124</v>
      </c>
      <c r="E26105" s="0" t="s">
        <v>10589</v>
      </c>
      <c r="F26105" s="0" t="s">
        <v>10590</v>
      </c>
    </row>
    <row r="26107" customFormat="false" ht="12.8" hidden="false" customHeight="false" outlineLevel="0" collapsed="false">
      <c r="A26107" s="0" t="s">
        <v>10585</v>
      </c>
      <c r="B26107" s="0" t="str">
        <f aca="false">HYPERLINK("https://lindat.mff.cuni.cz/services/teitok/pdtc10/index.php?action=vallex&amp;frame=v-w3495f1", "plýtvat (v-w3495f1) - substituted with v-w3495f2_ZU")</f>
        <v>plýtvat (v-w3495f1) - substituted with v-w3495f2_ZU</v>
      </c>
    </row>
    <row r="26108" customFormat="false" ht="12.8" hidden="false" customHeight="false" outlineLevel="0" collapsed="false">
      <c r="B26108" s="0" t="s">
        <v>1</v>
      </c>
    </row>
    <row r="26109" customFormat="false" ht="12.8" hidden="false" customHeight="false" outlineLevel="0" collapsed="false">
      <c r="B26109" s="0" t="s">
        <v>6452</v>
      </c>
    </row>
    <row r="26111" customFormat="false" ht="12.8" hidden="false" customHeight="false" outlineLevel="0" collapsed="false">
      <c r="A26111" s="0" t="s">
        <v>10591</v>
      </c>
      <c r="B26111" s="0" t="str">
        <f aca="false">HYPERLINK("https://lindat.mff.cuni.cz/services/teitok/pdtc10/index.php?action=vallex&amp;frame=v-whsa_1205hsa_1206", "pobabit se (v-whsa_1205hsa_1206)")</f>
        <v>pobabit se (v-whsa_1205hsa_1206)</v>
      </c>
    </row>
    <row r="26112" customFormat="false" ht="12.8" hidden="false" customHeight="false" outlineLevel="0" collapsed="false">
      <c r="B26112" s="0" t="s">
        <v>1</v>
      </c>
    </row>
    <row r="26114" customFormat="false" ht="12.8" hidden="false" customHeight="false" outlineLevel="0" collapsed="false">
      <c r="A26114" s="0" t="s">
        <v>10592</v>
      </c>
      <c r="B26114" s="0" t="str">
        <f aca="false">HYPERLINK("https://lindat.mff.cuni.cz/services/teitok/pdtc10/index.php?action=vallex&amp;frame=v-w11865_ZUf1_ZU", "pobalit (v-w11865_ZUf1_ZU)")</f>
        <v>pobalit (v-w11865_ZUf1_ZU)</v>
      </c>
    </row>
    <row r="26115" customFormat="false" ht="12.8" hidden="false" customHeight="false" outlineLevel="0" collapsed="false">
      <c r="B26115" s="0" t="s">
        <v>1</v>
      </c>
    </row>
    <row r="26116" customFormat="false" ht="12.8" hidden="false" customHeight="false" outlineLevel="0" collapsed="false">
      <c r="B26116" s="0" t="s">
        <v>8</v>
      </c>
    </row>
    <row r="26117" customFormat="false" ht="12.8" hidden="false" customHeight="false" outlineLevel="0" collapsed="false">
      <c r="B26117" s="0" t="s">
        <v>245</v>
      </c>
    </row>
    <row r="26119" customFormat="false" ht="12.8" hidden="false" customHeight="false" outlineLevel="0" collapsed="false">
      <c r="A26119" s="0" t="s">
        <v>10593</v>
      </c>
      <c r="B26119" s="0" t="str">
        <f aca="false">HYPERLINK("https://lindat.mff.cuni.cz/services/teitok/pdtc10/index.php?action=vallex&amp;frame=v-w3498hsa_1539", "pobavit (v-w3498hsa_1539)")</f>
        <v>pobavit (v-w3498hsa_1539)</v>
      </c>
    </row>
    <row r="26120" customFormat="false" ht="12.8" hidden="false" customHeight="false" outlineLevel="0" collapsed="false">
      <c r="B26120" s="0" t="s">
        <v>843</v>
      </c>
    </row>
    <row r="26121" customFormat="false" ht="12.8" hidden="false" customHeight="false" outlineLevel="0" collapsed="false">
      <c r="B26121" s="0" t="s">
        <v>8</v>
      </c>
    </row>
    <row r="26123" customFormat="false" ht="12.8" hidden="false" customHeight="false" outlineLevel="0" collapsed="false">
      <c r="A26123" s="0" t="s">
        <v>10593</v>
      </c>
      <c r="B26123" s="0" t="str">
        <f aca="false">HYPERLINK("https://lindat.mff.cuni.cz/services/teitok/pdtc10/index.php?action=vallex&amp;frame=v-w3498f1", "pobavit (v-w3498f1) - substituted with v-w3498hsa_1539")</f>
        <v>pobavit (v-w3498f1) - substituted with v-w3498hsa_1539</v>
      </c>
      <c r="E26123" s="0" t="str">
        <f aca="false">HYPERLINK("https://lindat.mff.cuni.cz/services/SynSemClass40/SynSemClass40.html?veclass=vec01070#vec01070-ces-cm00001", "vec01070")</f>
        <v>vec01070</v>
      </c>
      <c r="F26123" s="0" t="s">
        <v>10594</v>
      </c>
    </row>
    <row r="26124" customFormat="false" ht="12.8" hidden="false" customHeight="false" outlineLevel="0" collapsed="false">
      <c r="B26124" s="0" t="s">
        <v>843</v>
      </c>
      <c r="C26124" s="0" t="s">
        <v>459</v>
      </c>
      <c r="E26124" s="0" t="s">
        <v>1103</v>
      </c>
      <c r="F26124" s="0" t="s">
        <v>4068</v>
      </c>
    </row>
    <row r="26125" customFormat="false" ht="12.8" hidden="false" customHeight="false" outlineLevel="0" collapsed="false">
      <c r="B26125" s="0" t="s">
        <v>8</v>
      </c>
      <c r="C26125" s="0" t="s">
        <v>462</v>
      </c>
      <c r="E26125" s="0" t="s">
        <v>1930</v>
      </c>
      <c r="F26125" s="0" t="s">
        <v>10595</v>
      </c>
    </row>
    <row r="26127" customFormat="false" ht="12.8" hidden="false" customHeight="false" outlineLevel="0" collapsed="false">
      <c r="A26127" s="0" t="s">
        <v>10596</v>
      </c>
      <c r="B26127" s="0" t="str">
        <f aca="false">HYPERLINK("https://lindat.mff.cuni.cz/services/teitok/pdtc10/index.php?action=vallex&amp;frame=v-w3499f1", "pobavit se (v-w3499f1)")</f>
        <v>pobavit se (v-w3499f1)</v>
      </c>
    </row>
    <row r="26128" customFormat="false" ht="12.8" hidden="false" customHeight="false" outlineLevel="0" collapsed="false">
      <c r="B26128" s="0" t="s">
        <v>1</v>
      </c>
    </row>
    <row r="26130" customFormat="false" ht="12.8" hidden="false" customHeight="false" outlineLevel="0" collapsed="false">
      <c r="A26130" s="0" t="s">
        <v>10597</v>
      </c>
      <c r="B26130" s="0" t="str">
        <f aca="false">HYPERLINK("https://lindat.mff.cuni.cz/services/teitok/pdtc10/index.php?action=vallex&amp;frame=v-w11963_ZUf1_ZU", "poblahopřát (v-w11963_ZUf1_ZU)")</f>
        <v>poblahopřát (v-w11963_ZUf1_ZU)</v>
      </c>
    </row>
    <row r="26131" customFormat="false" ht="12.8" hidden="false" customHeight="false" outlineLevel="0" collapsed="false">
      <c r="B26131" s="0" t="s">
        <v>1</v>
      </c>
    </row>
    <row r="26132" customFormat="false" ht="12.8" hidden="false" customHeight="false" outlineLevel="0" collapsed="false">
      <c r="B26132" s="0" t="s">
        <v>311</v>
      </c>
    </row>
    <row r="26133" customFormat="false" ht="12.8" hidden="false" customHeight="false" outlineLevel="0" collapsed="false">
      <c r="B26133" s="0" t="s">
        <v>52</v>
      </c>
    </row>
    <row r="26135" customFormat="false" ht="12.8" hidden="false" customHeight="false" outlineLevel="0" collapsed="false">
      <c r="A26135" s="0" t="s">
        <v>10598</v>
      </c>
      <c r="B26135" s="0" t="str">
        <f aca="false">HYPERLINK("https://lindat.mff.cuni.cz/services/teitok/pdtc10/index.php?action=vallex&amp;frame=v-w10390f2", "pobláznit (v-w10390f2)")</f>
        <v>pobláznit (v-w10390f2)</v>
      </c>
      <c r="E26135" s="0" t="str">
        <f aca="false">HYPERLINK("https://lindat.mff.cuni.cz/services/SynSemClass40/SynSemClass40.html?veclass=vec00188#vec00188-ces-cm00089", "vec00188")</f>
        <v>vec00188</v>
      </c>
      <c r="F26135" s="0" t="s">
        <v>7128</v>
      </c>
    </row>
    <row r="26136" customFormat="false" ht="12.8" hidden="false" customHeight="false" outlineLevel="0" collapsed="false">
      <c r="B26136" s="0" t="s">
        <v>1</v>
      </c>
      <c r="C26136" s="0" t="s">
        <v>9998</v>
      </c>
      <c r="E26136" s="0" t="s">
        <v>1567</v>
      </c>
      <c r="F26136" s="0" t="s">
        <v>7130</v>
      </c>
    </row>
    <row r="26137" customFormat="false" ht="12.8" hidden="false" customHeight="false" outlineLevel="0" collapsed="false">
      <c r="B26137" s="0" t="s">
        <v>8</v>
      </c>
      <c r="C26137" s="0" t="s">
        <v>1575</v>
      </c>
      <c r="E26137" s="0" t="s">
        <v>3388</v>
      </c>
      <c r="F26137" s="0" t="s">
        <v>7132</v>
      </c>
    </row>
    <row r="26139" customFormat="false" ht="12.8" hidden="false" customHeight="false" outlineLevel="0" collapsed="false">
      <c r="A26139" s="0" t="s">
        <v>10599</v>
      </c>
      <c r="B26139" s="0" t="str">
        <f aca="false">HYPERLINK("https://lindat.mff.cuni.cz/services/teitok/pdtc10/index.php?action=vallex&amp;frame=v-w3505f1", "pobodat (v-w3505f1)")</f>
        <v>pobodat (v-w3505f1)</v>
      </c>
      <c r="E26139" s="0" t="str">
        <f aca="false">HYPERLINK("https://lindat.mff.cuni.cz/services/SynSemClass40/SynSemClass40.html?veclass=vec00365#vec00365-ces-cm00036", "vec00365")</f>
        <v>vec00365</v>
      </c>
      <c r="F26139" s="0" t="s">
        <v>8975</v>
      </c>
    </row>
    <row r="26140" customFormat="false" ht="12.8" hidden="false" customHeight="false" outlineLevel="0" collapsed="false">
      <c r="B26140" s="0" t="s">
        <v>1</v>
      </c>
      <c r="C26140" s="0" t="s">
        <v>5883</v>
      </c>
      <c r="E26140" s="0" t="s">
        <v>76</v>
      </c>
      <c r="F26140" s="0" t="s">
        <v>8977</v>
      </c>
    </row>
    <row r="26141" customFormat="false" ht="12.8" hidden="false" customHeight="false" outlineLevel="0" collapsed="false">
      <c r="B26141" s="0" t="s">
        <v>8</v>
      </c>
      <c r="C26141" s="0" t="s">
        <v>8979</v>
      </c>
      <c r="E26141" s="0" t="s">
        <v>199</v>
      </c>
      <c r="F26141" s="0" t="s">
        <v>8980</v>
      </c>
    </row>
    <row r="26143" customFormat="false" ht="12.8" hidden="false" customHeight="false" outlineLevel="0" collapsed="false">
      <c r="A26143" s="0" t="s">
        <v>10600</v>
      </c>
      <c r="B26143" s="0" t="str">
        <f aca="false">HYPERLINK("https://lindat.mff.cuni.cz/services/teitok/pdtc10/index.php?action=vallex&amp;frame=v-w11017f2", "pobouřit (v-w11017f2)")</f>
        <v>pobouřit (v-w11017f2)</v>
      </c>
      <c r="E26143" s="0" t="str">
        <f aca="false">HYPERLINK("https://lindat.mff.cuni.cz/services/SynSemClass40/SynSemClass40.html?veclass=vec00667#vec00667-ces-cm00001", "vec00667")</f>
        <v>vec00667</v>
      </c>
      <c r="F26143" s="0" t="s">
        <v>10601</v>
      </c>
    </row>
    <row r="26144" customFormat="false" ht="12.8" hidden="false" customHeight="false" outlineLevel="0" collapsed="false">
      <c r="B26144" s="0" t="s">
        <v>1</v>
      </c>
      <c r="C26144" s="0" t="s">
        <v>459</v>
      </c>
      <c r="E26144" s="0" t="s">
        <v>1103</v>
      </c>
      <c r="F26144" s="0" t="s">
        <v>4068</v>
      </c>
    </row>
    <row r="26145" customFormat="false" ht="12.8" hidden="false" customHeight="false" outlineLevel="0" collapsed="false">
      <c r="B26145" s="0" t="s">
        <v>8</v>
      </c>
      <c r="C26145" s="0" t="s">
        <v>744</v>
      </c>
      <c r="E26145" s="0" t="s">
        <v>142</v>
      </c>
      <c r="F26145" s="0" t="s">
        <v>745</v>
      </c>
    </row>
    <row r="26147" customFormat="false" ht="12.8" hidden="false" customHeight="false" outlineLevel="0" collapsed="false">
      <c r="A26147" s="0" t="s">
        <v>10602</v>
      </c>
      <c r="B26147" s="0" t="str">
        <f aca="false">HYPERLINK("https://lindat.mff.cuni.cz/services/teitok/pdtc10/index.php?action=vallex&amp;frame=v-w3507f1", "pobrat (v-w3507f1)")</f>
        <v>pobrat (v-w3507f1)</v>
      </c>
    </row>
    <row r="26148" customFormat="false" ht="12.8" hidden="false" customHeight="false" outlineLevel="0" collapsed="false">
      <c r="B26148" s="0" t="s">
        <v>1</v>
      </c>
    </row>
    <row r="26149" customFormat="false" ht="12.8" hidden="false" customHeight="false" outlineLevel="0" collapsed="false">
      <c r="B26149" s="0" t="s">
        <v>8</v>
      </c>
    </row>
    <row r="26151" customFormat="false" ht="12.8" hidden="false" customHeight="false" outlineLevel="0" collapsed="false">
      <c r="A26151" s="0" t="s">
        <v>10603</v>
      </c>
      <c r="B26151" s="0" t="str">
        <f aca="false">HYPERLINK("https://lindat.mff.cuni.cz/services/teitok/pdtc10/index.php?action=vallex&amp;frame=v-w3507f2", "pobrat (v-w3507f2)")</f>
        <v>pobrat (v-w3507f2)</v>
      </c>
    </row>
    <row r="26152" customFormat="false" ht="12.8" hidden="false" customHeight="false" outlineLevel="0" collapsed="false">
      <c r="B26152" s="0" t="s">
        <v>1</v>
      </c>
    </row>
    <row r="26153" customFormat="false" ht="12.8" hidden="false" customHeight="false" outlineLevel="0" collapsed="false">
      <c r="B26153" s="0" t="s">
        <v>8</v>
      </c>
    </row>
    <row r="26155" customFormat="false" ht="12.8" hidden="false" customHeight="false" outlineLevel="0" collapsed="false">
      <c r="A26155" s="0" t="s">
        <v>10604</v>
      </c>
      <c r="B26155" s="0" t="str">
        <f aca="false">HYPERLINK("https://lindat.mff.cuni.cz/services/teitok/pdtc10/index.php?action=vallex&amp;frame=v-w3507f4_MM", "pobrat (v-w3507f4_MM)")</f>
        <v>pobrat (v-w3507f4_MM)</v>
      </c>
    </row>
    <row r="26156" customFormat="false" ht="12.8" hidden="false" customHeight="false" outlineLevel="0" collapsed="false">
      <c r="B26156" s="0" t="s">
        <v>1</v>
      </c>
    </row>
    <row r="26157" customFormat="false" ht="12.8" hidden="false" customHeight="false" outlineLevel="0" collapsed="false">
      <c r="B26157" s="0" t="s">
        <v>8</v>
      </c>
    </row>
    <row r="26159" customFormat="false" ht="12.8" hidden="false" customHeight="false" outlineLevel="0" collapsed="false">
      <c r="A26159" s="0" t="s">
        <v>10604</v>
      </c>
      <c r="B26159" s="0" t="str">
        <f aca="false">HYPERLINK("https://lindat.mff.cuni.cz/services/teitok/pdtc10/index.php?action=vallex&amp;frame=v-w3507f3_MM", "pobrat (v-w3507f3_MM) - substituted with v-w3507f4_MM")</f>
        <v>pobrat (v-w3507f3_MM) - substituted with v-w3507f4_MM</v>
      </c>
    </row>
    <row r="26160" customFormat="false" ht="12.8" hidden="false" customHeight="false" outlineLevel="0" collapsed="false">
      <c r="B26160" s="0" t="s">
        <v>1</v>
      </c>
    </row>
    <row r="26161" customFormat="false" ht="12.8" hidden="false" customHeight="false" outlineLevel="0" collapsed="false">
      <c r="B26161" s="0" t="s">
        <v>8</v>
      </c>
    </row>
    <row r="26163" customFormat="false" ht="12.8" hidden="false" customHeight="false" outlineLevel="0" collapsed="false">
      <c r="A26163" s="0" t="s">
        <v>10605</v>
      </c>
      <c r="B26163" s="0" t="str">
        <f aca="false">HYPERLINK("https://lindat.mff.cuni.cz/services/teitok/pdtc10/index.php?action=vallex&amp;frame=v-w3507hsa_734", "pobrat (v-w3507hsa_734)")</f>
        <v>pobrat (v-w3507hsa_734)</v>
      </c>
    </row>
    <row r="26164" customFormat="false" ht="12.8" hidden="false" customHeight="false" outlineLevel="0" collapsed="false">
      <c r="B26164" s="0" t="s">
        <v>1</v>
      </c>
    </row>
    <row r="26165" customFormat="false" ht="12.8" hidden="false" customHeight="false" outlineLevel="0" collapsed="false">
      <c r="B26165" s="0" t="s">
        <v>8</v>
      </c>
    </row>
    <row r="26167" customFormat="false" ht="12.8" hidden="false" customHeight="false" outlineLevel="0" collapsed="false">
      <c r="A26167" s="0" t="s">
        <v>10606</v>
      </c>
      <c r="B26167" s="0" t="str">
        <f aca="false">HYPERLINK("https://lindat.mff.cuni.cz/services/teitok/pdtc10/index.php?action=vallex&amp;frame=v-w3508f1", "pobrukovat si (v-w3508f1)")</f>
        <v>pobrukovat si (v-w3508f1)</v>
      </c>
      <c r="E26167" s="0" t="str">
        <f aca="false">HYPERLINK("https://lindat.mff.cuni.cz/services/SynSemClass40/SynSemClass40.html?veclass=vec00794#vec00794-ces-cm00008", "vec00794")</f>
        <v>vec00794</v>
      </c>
      <c r="F26167" s="0" t="s">
        <v>506</v>
      </c>
    </row>
    <row r="26168" customFormat="false" ht="12.8" hidden="false" customHeight="false" outlineLevel="0" collapsed="false">
      <c r="B26168" s="0" t="s">
        <v>1</v>
      </c>
      <c r="C26168" s="0" t="s">
        <v>428</v>
      </c>
      <c r="E26168" s="0" t="s">
        <v>147</v>
      </c>
      <c r="F26168" s="0" t="s">
        <v>507</v>
      </c>
    </row>
    <row r="26169" customFormat="false" ht="12.8" hidden="false" customHeight="false" outlineLevel="0" collapsed="false">
      <c r="B26169" s="0" t="s">
        <v>6407</v>
      </c>
      <c r="C26169" s="0" t="s">
        <v>10607</v>
      </c>
      <c r="E26169" s="0" t="s">
        <v>2217</v>
      </c>
      <c r="F26169" s="0" t="s">
        <v>10608</v>
      </c>
    </row>
    <row r="26170" customFormat="false" ht="12.8" hidden="false" customHeight="false" outlineLevel="0" collapsed="false">
      <c r="B26170" s="0" t="s">
        <v>496</v>
      </c>
      <c r="C26170" s="0" t="s">
        <v>158</v>
      </c>
      <c r="E26170" s="0" t="s">
        <v>218</v>
      </c>
      <c r="F26170" s="0" t="s">
        <v>509</v>
      </c>
    </row>
    <row r="26172" customFormat="false" ht="12.8" hidden="false" customHeight="false" outlineLevel="0" collapsed="false">
      <c r="A26172" s="0" t="s">
        <v>10609</v>
      </c>
      <c r="B26172" s="0" t="str">
        <f aca="false">HYPERLINK("https://lindat.mff.cuni.cz/services/teitok/pdtc10/index.php?action=vallex&amp;frame=v-w3509f1", "pobuřovat (v-w3509f1)")</f>
        <v>pobuřovat (v-w3509f1)</v>
      </c>
      <c r="E26172" s="0" t="str">
        <f aca="false">HYPERLINK("https://lindat.mff.cuni.cz/services/SynSemClass40/SynSemClass40.html?veclass=vec00667#vec00667-ces-cm00011", "vec00667")</f>
        <v>vec00667</v>
      </c>
      <c r="F26172" s="0" t="s">
        <v>10601</v>
      </c>
    </row>
    <row r="26173" customFormat="false" ht="12.8" hidden="false" customHeight="false" outlineLevel="0" collapsed="false">
      <c r="B26173" s="0" t="s">
        <v>1</v>
      </c>
      <c r="C26173" s="0" t="s">
        <v>459</v>
      </c>
      <c r="E26173" s="0" t="s">
        <v>1103</v>
      </c>
      <c r="F26173" s="0" t="s">
        <v>4068</v>
      </c>
    </row>
    <row r="26174" customFormat="false" ht="12.8" hidden="false" customHeight="false" outlineLevel="0" collapsed="false">
      <c r="B26174" s="0" t="s">
        <v>8</v>
      </c>
      <c r="C26174" s="0" t="s">
        <v>744</v>
      </c>
      <c r="E26174" s="0" t="s">
        <v>142</v>
      </c>
      <c r="F26174" s="0" t="s">
        <v>745</v>
      </c>
    </row>
    <row r="26176" customFormat="false" ht="12.8" hidden="false" customHeight="false" outlineLevel="0" collapsed="false">
      <c r="A26176" s="0" t="s">
        <v>10610</v>
      </c>
      <c r="B26176" s="0" t="str">
        <f aca="false">HYPERLINK("https://lindat.mff.cuni.cz/services/teitok/pdtc10/index.php?action=vallex&amp;frame=v-w11505_ZUf3_ZU", "pobídnout (v-w11505_ZUf3_ZU)")</f>
        <v>pobídnout (v-w11505_ZUf3_ZU)</v>
      </c>
      <c r="E26176" s="0" t="str">
        <f aca="false">HYPERLINK("https://lindat.mff.cuni.cz/services/SynSemClass40/SynSemClass40.html?veclass=vec00361#vec00361-ces-cm00014", "vec00361")</f>
        <v>vec00361</v>
      </c>
      <c r="F26176" s="0" t="s">
        <v>7548</v>
      </c>
    </row>
    <row r="26177" customFormat="false" ht="12.8" hidden="false" customHeight="false" outlineLevel="0" collapsed="false">
      <c r="B26177" s="0" t="s">
        <v>1</v>
      </c>
      <c r="C26177" s="0" t="s">
        <v>4725</v>
      </c>
      <c r="E26177" s="0" t="s">
        <v>31</v>
      </c>
      <c r="F26177" s="0" t="s">
        <v>7550</v>
      </c>
    </row>
    <row r="26178" customFormat="false" ht="12.8" hidden="false" customHeight="false" outlineLevel="0" collapsed="false">
      <c r="B26178" s="0" t="s">
        <v>10611</v>
      </c>
      <c r="C26178" s="0" t="s">
        <v>10612</v>
      </c>
      <c r="E26178" s="0" t="s">
        <v>523</v>
      </c>
      <c r="F26178" s="0" t="s">
        <v>10613</v>
      </c>
    </row>
    <row r="26179" customFormat="false" ht="12.8" hidden="false" customHeight="false" outlineLevel="0" collapsed="false">
      <c r="B26179" s="0" t="s">
        <v>98</v>
      </c>
      <c r="C26179" s="0" t="s">
        <v>10614</v>
      </c>
      <c r="E26179" s="0" t="s">
        <v>564</v>
      </c>
      <c r="F26179" s="0" t="s">
        <v>10615</v>
      </c>
    </row>
    <row r="26181" customFormat="false" ht="12.8" hidden="false" customHeight="false" outlineLevel="0" collapsed="false">
      <c r="A26181" s="0" t="s">
        <v>10610</v>
      </c>
      <c r="B26181" s="0" t="str">
        <f aca="false">HYPERLINK("https://lindat.mff.cuni.cz/services/teitok/pdtc10/index.php?action=vallex&amp;frame=v-w11505_ZUf1_ZU", "pobídnout (v-w11505_ZUf1_ZU) - substituted with v-w11505_ZUf3_ZU")</f>
        <v>pobídnout (v-w11505_ZUf1_ZU) - substituted with v-w11505_ZUf3_ZU</v>
      </c>
    </row>
    <row r="26182" customFormat="false" ht="12.8" hidden="false" customHeight="false" outlineLevel="0" collapsed="false">
      <c r="B26182" s="0" t="s">
        <v>1</v>
      </c>
    </row>
    <row r="26183" customFormat="false" ht="12.8" hidden="false" customHeight="false" outlineLevel="0" collapsed="false">
      <c r="B26183" s="0" t="s">
        <v>10611</v>
      </c>
    </row>
    <row r="26184" customFormat="false" ht="12.8" hidden="false" customHeight="false" outlineLevel="0" collapsed="false">
      <c r="B26184" s="0" t="s">
        <v>98</v>
      </c>
    </row>
    <row r="26186" customFormat="false" ht="12.8" hidden="false" customHeight="false" outlineLevel="0" collapsed="false">
      <c r="A26186" s="0" t="s">
        <v>10610</v>
      </c>
      <c r="B26186" s="0" t="str">
        <f aca="false">HYPERLINK("https://lindat.mff.cuni.cz/services/teitok/pdtc10/index.php?action=vallex&amp;frame=v-w11505_ZUf2_ZU", "pobídnout (v-w11505_ZUf2_ZU) - substituted with v-w11505_ZUf3_ZU")</f>
        <v>pobídnout (v-w11505_ZUf2_ZU) - substituted with v-w11505_ZUf3_ZU</v>
      </c>
    </row>
    <row r="26187" customFormat="false" ht="12.8" hidden="false" customHeight="false" outlineLevel="0" collapsed="false">
      <c r="B26187" s="0" t="s">
        <v>1</v>
      </c>
    </row>
    <row r="26188" customFormat="false" ht="12.8" hidden="false" customHeight="false" outlineLevel="0" collapsed="false">
      <c r="B26188" s="0" t="s">
        <v>10611</v>
      </c>
    </row>
    <row r="26189" customFormat="false" ht="12.8" hidden="false" customHeight="false" outlineLevel="0" collapsed="false">
      <c r="B26189" s="0" t="s">
        <v>98</v>
      </c>
    </row>
    <row r="26191" customFormat="false" ht="12.8" hidden="false" customHeight="false" outlineLevel="0" collapsed="false">
      <c r="A26191" s="0" t="s">
        <v>10616</v>
      </c>
      <c r="B26191" s="0" t="str">
        <f aca="false">HYPERLINK("https://lindat.mff.cuni.cz/services/teitok/pdtc10/index.php?action=vallex&amp;frame=v-w3501f1", "pobíhat (v-w3501f1)")</f>
        <v>pobíhat (v-w3501f1)</v>
      </c>
      <c r="E26191" s="0" t="str">
        <f aca="false">HYPERLINK("https://lindat.mff.cuni.cz/services/SynSemClass40/SynSemClass40.html?veclass=vec00227#vec00227-ces-cm00124", "vec00227")</f>
        <v>vec00227</v>
      </c>
      <c r="F26191" s="0" t="s">
        <v>1313</v>
      </c>
      <c r="H26191" s="0" t="str">
        <f aca="false">HYPERLINK("https://lindat.mff.cuni.cz/services/SynSemClass40/SynSemClass40.html?veclass=vec01085#vec01085-ces-cm00014", "vec01085")</f>
        <v>vec01085</v>
      </c>
      <c r="I26191" s="0" t="s">
        <v>1303</v>
      </c>
    </row>
    <row r="26192" customFormat="false" ht="12.8" hidden="false" customHeight="false" outlineLevel="0" collapsed="false">
      <c r="B26192" s="0" t="s">
        <v>1</v>
      </c>
      <c r="C26192" s="0" t="s">
        <v>1322</v>
      </c>
      <c r="E26192" s="0" t="s">
        <v>334</v>
      </c>
      <c r="F26192" s="0" t="s">
        <v>1314</v>
      </c>
      <c r="H26192" s="0" t="s">
        <v>334</v>
      </c>
      <c r="I26192" s="0" t="s">
        <v>1304</v>
      </c>
    </row>
    <row r="26194" customFormat="false" ht="12.8" hidden="false" customHeight="false" outlineLevel="0" collapsed="false">
      <c r="A26194" s="0" t="s">
        <v>10617</v>
      </c>
      <c r="B26194" s="0" t="str">
        <f aca="false">HYPERLINK("https://lindat.mff.cuni.cz/services/teitok/pdtc10/index.php?action=vallex&amp;frame=v-w3503f1", "pobírat (v-w3503f1)")</f>
        <v>pobírat (v-w3503f1)</v>
      </c>
    </row>
    <row r="26195" customFormat="false" ht="12.8" hidden="false" customHeight="false" outlineLevel="0" collapsed="false">
      <c r="B26195" s="0" t="s">
        <v>1</v>
      </c>
    </row>
    <row r="26196" customFormat="false" ht="12.8" hidden="false" customHeight="false" outlineLevel="0" collapsed="false">
      <c r="B26196" s="0" t="s">
        <v>8</v>
      </c>
    </row>
    <row r="26197" customFormat="false" ht="12.8" hidden="false" customHeight="false" outlineLevel="0" collapsed="false">
      <c r="B26197" s="0" t="s">
        <v>602</v>
      </c>
    </row>
    <row r="26199" customFormat="false" ht="12.8" hidden="false" customHeight="false" outlineLevel="0" collapsed="false">
      <c r="A26199" s="0" t="s">
        <v>10618</v>
      </c>
      <c r="B26199" s="0" t="str">
        <f aca="false">HYPERLINK("https://lindat.mff.cuni.cz/services/teitok/pdtc10/index.php?action=vallex&amp;frame=v-w10651f2", "pobít (v-w10651f2)")</f>
        <v>pobít (v-w10651f2)</v>
      </c>
    </row>
    <row r="26200" customFormat="false" ht="12.8" hidden="false" customHeight="false" outlineLevel="0" collapsed="false">
      <c r="B26200" s="0" t="s">
        <v>1</v>
      </c>
    </row>
    <row r="26201" customFormat="false" ht="12.8" hidden="false" customHeight="false" outlineLevel="0" collapsed="false">
      <c r="B26201" s="0" t="s">
        <v>8</v>
      </c>
    </row>
    <row r="26203" customFormat="false" ht="12.8" hidden="false" customHeight="false" outlineLevel="0" collapsed="false">
      <c r="A26203" s="0" t="s">
        <v>10619</v>
      </c>
      <c r="B26203" s="0" t="str">
        <f aca="false">HYPERLINK("https://lindat.mff.cuni.cz/services/teitok/pdtc10/index.php?action=vallex&amp;frame=v-w10651f3_ZU", "pobít (v-w10651f3_ZU)")</f>
        <v>pobít (v-w10651f3_ZU)</v>
      </c>
    </row>
    <row r="26204" customFormat="false" ht="12.8" hidden="false" customHeight="false" outlineLevel="0" collapsed="false">
      <c r="B26204" s="0" t="s">
        <v>1</v>
      </c>
    </row>
    <row r="26205" customFormat="false" ht="12.8" hidden="false" customHeight="false" outlineLevel="0" collapsed="false">
      <c r="B26205" s="0" t="s">
        <v>8</v>
      </c>
    </row>
    <row r="26207" customFormat="false" ht="12.8" hidden="false" customHeight="false" outlineLevel="0" collapsed="false">
      <c r="A26207" s="0" t="s">
        <v>10620</v>
      </c>
      <c r="B26207" s="0" t="str">
        <f aca="false">HYPERLINK("https://lindat.mff.cuni.cz/services/teitok/pdtc10/index.php?action=vallex&amp;frame=v-w10651f4_ZU", "pobít (v-w10651f4_ZU)")</f>
        <v>pobít (v-w10651f4_ZU)</v>
      </c>
    </row>
    <row r="26208" customFormat="false" ht="12.8" hidden="false" customHeight="false" outlineLevel="0" collapsed="false">
      <c r="B26208" s="0" t="s">
        <v>1</v>
      </c>
    </row>
    <row r="26209" customFormat="false" ht="12.8" hidden="false" customHeight="false" outlineLevel="0" collapsed="false">
      <c r="B26209" s="0" t="s">
        <v>8</v>
      </c>
    </row>
    <row r="26211" customFormat="false" ht="12.8" hidden="false" customHeight="false" outlineLevel="0" collapsed="false">
      <c r="A26211" s="0" t="s">
        <v>10620</v>
      </c>
      <c r="B26211" s="0" t="str">
        <f aca="false">HYPERLINK("https://lindat.mff.cuni.cz/services/teitok/pdtc10/index.php?action=vallex&amp;frame=v-w10651hsa_11", "pobít (v-w10651hsa_11) - substituted with v-w10651f4_ZU")</f>
        <v>pobít (v-w10651hsa_11) - substituted with v-w10651f4_ZU</v>
      </c>
    </row>
    <row r="26212" customFormat="false" ht="12.8" hidden="false" customHeight="false" outlineLevel="0" collapsed="false">
      <c r="B26212" s="0" t="s">
        <v>1</v>
      </c>
    </row>
    <row r="26213" customFormat="false" ht="12.8" hidden="false" customHeight="false" outlineLevel="0" collapsed="false">
      <c r="B26213" s="0" t="s">
        <v>8</v>
      </c>
    </row>
    <row r="26215" customFormat="false" ht="12.8" hidden="false" customHeight="false" outlineLevel="0" collapsed="false">
      <c r="A26215" s="0" t="s">
        <v>10621</v>
      </c>
      <c r="B26215" s="0" t="str">
        <f aca="false">HYPERLINK("https://lindat.mff.cuni.cz/services/teitok/pdtc10/index.php?action=vallex&amp;frame=v-w10704f2", "pobízet (v-w10704f2)")</f>
        <v>pobízet (v-w10704f2)</v>
      </c>
      <c r="E26215" s="0" t="str">
        <f aca="false">HYPERLINK("https://lindat.mff.cuni.cz/services/SynSemClass40/SynSemClass40.html?veclass=vec00361#vec00361-ces-cm00073", "vec00361")</f>
        <v>vec00361</v>
      </c>
      <c r="F26215" s="0" t="s">
        <v>7548</v>
      </c>
    </row>
    <row r="26216" customFormat="false" ht="12.8" hidden="false" customHeight="false" outlineLevel="0" collapsed="false">
      <c r="B26216" s="0" t="s">
        <v>1</v>
      </c>
      <c r="C26216" s="0" t="s">
        <v>4725</v>
      </c>
      <c r="E26216" s="0" t="s">
        <v>31</v>
      </c>
      <c r="F26216" s="0" t="s">
        <v>7550</v>
      </c>
    </row>
    <row r="26217" customFormat="false" ht="12.8" hidden="false" customHeight="false" outlineLevel="0" collapsed="false">
      <c r="B26217" s="0" t="s">
        <v>10622</v>
      </c>
      <c r="C26217" s="0" t="s">
        <v>10612</v>
      </c>
      <c r="E26217" s="0" t="s">
        <v>523</v>
      </c>
      <c r="F26217" s="0" t="s">
        <v>10613</v>
      </c>
    </row>
    <row r="26218" customFormat="false" ht="12.8" hidden="false" customHeight="false" outlineLevel="0" collapsed="false">
      <c r="B26218" s="0" t="s">
        <v>98</v>
      </c>
      <c r="C26218" s="0" t="s">
        <v>10614</v>
      </c>
      <c r="E26218" s="0" t="s">
        <v>564</v>
      </c>
      <c r="F26218" s="0" t="s">
        <v>10615</v>
      </c>
    </row>
    <row r="26220" customFormat="false" ht="12.8" hidden="false" customHeight="false" outlineLevel="0" collapsed="false">
      <c r="A26220" s="0" t="s">
        <v>10623</v>
      </c>
      <c r="B26220" s="0" t="str">
        <f aca="false">HYPERLINK("https://lindat.mff.cuni.cz/services/teitok/pdtc10/index.php?action=vallex&amp;frame=v-w3511f2", "pobýt (v-w3511f2)")</f>
        <v>pobýt (v-w3511f2)</v>
      </c>
    </row>
    <row r="26221" customFormat="false" ht="12.8" hidden="false" customHeight="false" outlineLevel="0" collapsed="false">
      <c r="B26221" s="0" t="s">
        <v>1</v>
      </c>
    </row>
    <row r="26222" customFormat="false" ht="12.8" hidden="false" customHeight="false" outlineLevel="0" collapsed="false">
      <c r="B26222" s="0" t="s">
        <v>3245</v>
      </c>
    </row>
    <row r="26224" customFormat="false" ht="12.8" hidden="false" customHeight="false" outlineLevel="0" collapsed="false">
      <c r="A26224" s="0" t="s">
        <v>10624</v>
      </c>
      <c r="B26224" s="0" t="str">
        <f aca="false">HYPERLINK("https://lindat.mff.cuni.cz/services/teitok/pdtc10/index.php?action=vallex&amp;frame=v-w3511f1", "pobýt (v-w3511f1)")</f>
        <v>pobýt (v-w3511f1)</v>
      </c>
    </row>
    <row r="26225" customFormat="false" ht="12.8" hidden="false" customHeight="false" outlineLevel="0" collapsed="false">
      <c r="B26225" s="0" t="s">
        <v>1</v>
      </c>
    </row>
    <row r="26226" customFormat="false" ht="12.8" hidden="false" customHeight="false" outlineLevel="0" collapsed="false">
      <c r="B26226" s="0" t="s">
        <v>5</v>
      </c>
    </row>
    <row r="26228" customFormat="false" ht="12.8" hidden="false" customHeight="false" outlineLevel="0" collapsed="false">
      <c r="A26228" s="0" t="s">
        <v>10625</v>
      </c>
      <c r="B26228" s="0" t="str">
        <f aca="false">HYPERLINK("https://lindat.mff.cuni.cz/services/teitok/pdtc10/index.php?action=vallex&amp;frame=v-w3513f1", "pobývat (v-w3513f1)")</f>
        <v>pobývat (v-w3513f1)</v>
      </c>
    </row>
    <row r="26229" customFormat="false" ht="12.8" hidden="false" customHeight="false" outlineLevel="0" collapsed="false">
      <c r="B26229" s="0" t="s">
        <v>1</v>
      </c>
    </row>
    <row r="26230" customFormat="false" ht="12.8" hidden="false" customHeight="false" outlineLevel="0" collapsed="false">
      <c r="B26230" s="0" t="s">
        <v>5</v>
      </c>
    </row>
    <row r="26232" customFormat="false" ht="12.8" hidden="false" customHeight="false" outlineLevel="0" collapsed="false">
      <c r="A26232" s="0" t="s">
        <v>10626</v>
      </c>
      <c r="B26232" s="0" t="str">
        <f aca="false">HYPERLINK("https://lindat.mff.cuni.cz/services/teitok/pdtc10/index.php?action=vallex&amp;frame=v-w3704hsa_1318", "pochlubit se (v-w3704hsa_1318)")</f>
        <v>pochlubit se (v-w3704hsa_1318)</v>
      </c>
    </row>
    <row r="26233" customFormat="false" ht="12.8" hidden="false" customHeight="false" outlineLevel="0" collapsed="false">
      <c r="B26233" s="0" t="s">
        <v>1</v>
      </c>
    </row>
    <row r="26234" customFormat="false" ht="12.8" hidden="false" customHeight="false" outlineLevel="0" collapsed="false">
      <c r="B26234" s="0" t="s">
        <v>10627</v>
      </c>
    </row>
    <row r="26235" customFormat="false" ht="12.8" hidden="false" customHeight="false" outlineLevel="0" collapsed="false">
      <c r="B26235" s="0" t="s">
        <v>381</v>
      </c>
    </row>
    <row r="26237" customFormat="false" ht="12.8" hidden="false" customHeight="false" outlineLevel="0" collapsed="false">
      <c r="A26237" s="0" t="s">
        <v>10626</v>
      </c>
      <c r="B26237" s="0" t="str">
        <f aca="false">HYPERLINK("https://lindat.mff.cuni.cz/services/teitok/pdtc10/index.php?action=vallex&amp;frame=v-w3704f1", "pochlubit se (v-w3704f1) - substituted with v-w3704hsa_1318")</f>
        <v>pochlubit se (v-w3704f1) - substituted with v-w3704hsa_1318</v>
      </c>
    </row>
    <row r="26238" customFormat="false" ht="12.8" hidden="false" customHeight="false" outlineLevel="0" collapsed="false">
      <c r="B26238" s="0" t="s">
        <v>1</v>
      </c>
    </row>
    <row r="26239" customFormat="false" ht="12.8" hidden="false" customHeight="false" outlineLevel="0" collapsed="false">
      <c r="B26239" s="0" t="s">
        <v>10627</v>
      </c>
    </row>
    <row r="26240" customFormat="false" ht="12.8" hidden="false" customHeight="false" outlineLevel="0" collapsed="false">
      <c r="B26240" s="0" t="s">
        <v>381</v>
      </c>
    </row>
    <row r="26242" customFormat="false" ht="12.8" hidden="false" customHeight="false" outlineLevel="0" collapsed="false">
      <c r="A26242" s="0" t="s">
        <v>10626</v>
      </c>
      <c r="B26242" s="0" t="str">
        <f aca="false">HYPERLINK("https://lindat.mff.cuni.cz/services/teitok/pdtc10/index.php?action=vallex&amp;frame=v-w3704f2_ZU", "pochlubit se (v-w3704f2_ZU) - substituted with v-w3704hsa_1318")</f>
        <v>pochlubit se (v-w3704f2_ZU) - substituted with v-w3704hsa_1318</v>
      </c>
      <c r="E26242" s="0" t="str">
        <f aca="false">HYPERLINK("https://lindat.mff.cuni.cz/services/SynSemClass40/SynSemClass40.html?veclass=vec00418#vec00418-ces-cm00004", "vec00418")</f>
        <v>vec00418</v>
      </c>
      <c r="F26242" s="0" t="s">
        <v>1385</v>
      </c>
    </row>
    <row r="26243" customFormat="false" ht="12.8" hidden="false" customHeight="false" outlineLevel="0" collapsed="false">
      <c r="B26243" s="0" t="s">
        <v>1</v>
      </c>
      <c r="C26243" s="0" t="s">
        <v>255</v>
      </c>
      <c r="E26243" s="0" t="s">
        <v>1386</v>
      </c>
      <c r="F26243" s="0" t="s">
        <v>1387</v>
      </c>
    </row>
    <row r="26244" customFormat="false" ht="12.8" hidden="false" customHeight="false" outlineLevel="0" collapsed="false">
      <c r="B26244" s="0" t="s">
        <v>10627</v>
      </c>
      <c r="C26244" s="0" t="s">
        <v>1388</v>
      </c>
      <c r="E26244" s="0" t="s">
        <v>1389</v>
      </c>
      <c r="F26244" s="0" t="s">
        <v>1390</v>
      </c>
    </row>
    <row r="26245" customFormat="false" ht="12.8" hidden="false" customHeight="false" outlineLevel="0" collapsed="false">
      <c r="B26245" s="0" t="s">
        <v>381</v>
      </c>
      <c r="C26245" s="0" t="s">
        <v>1391</v>
      </c>
      <c r="E26245" s="0" t="s">
        <v>1392</v>
      </c>
      <c r="F26245" s="0" t="s">
        <v>1393</v>
      </c>
    </row>
    <row r="26247" customFormat="false" ht="12.8" hidden="false" customHeight="false" outlineLevel="0" collapsed="false">
      <c r="A26247" s="0" t="s">
        <v>10628</v>
      </c>
      <c r="B26247" s="0" t="str">
        <f aca="false">HYPERLINK("https://lindat.mff.cuni.cz/services/teitok/pdtc10/index.php?action=vallex&amp;frame=v-w3706f2", "pochodit (v-w3706f2)")</f>
        <v>pochodit (v-w3706f2)</v>
      </c>
    </row>
    <row r="26248" customFormat="false" ht="12.8" hidden="false" customHeight="false" outlineLevel="0" collapsed="false">
      <c r="B26248" s="0" t="s">
        <v>1</v>
      </c>
    </row>
    <row r="26249" customFormat="false" ht="12.8" hidden="false" customHeight="false" outlineLevel="0" collapsed="false">
      <c r="B26249" s="0" t="s">
        <v>721</v>
      </c>
    </row>
    <row r="26251" customFormat="false" ht="12.8" hidden="false" customHeight="false" outlineLevel="0" collapsed="false">
      <c r="A26251" s="0" t="s">
        <v>10629</v>
      </c>
      <c r="B26251" s="0" t="str">
        <f aca="false">HYPERLINK("https://lindat.mff.cuni.cz/services/teitok/pdtc10/index.php?action=vallex&amp;frame=v-w3706f1", "pochodit (v-w3706f1)")</f>
        <v>pochodit (v-w3706f1)</v>
      </c>
    </row>
    <row r="26252" customFormat="false" ht="12.8" hidden="false" customHeight="false" outlineLevel="0" collapsed="false">
      <c r="B26252" s="0" t="s">
        <v>1</v>
      </c>
    </row>
    <row r="26253" customFormat="false" ht="12.8" hidden="false" customHeight="false" outlineLevel="0" collapsed="false">
      <c r="B26253" s="0" t="s">
        <v>298</v>
      </c>
    </row>
    <row r="26255" customFormat="false" ht="12.8" hidden="false" customHeight="false" outlineLevel="0" collapsed="false">
      <c r="A26255" s="0" t="s">
        <v>10630</v>
      </c>
      <c r="B26255" s="0" t="str">
        <f aca="false">HYPERLINK("https://lindat.mff.cuni.cz/services/teitok/pdtc10/index.php?action=vallex&amp;frame=v-w3706f3_ZU", "pochodit (v-w3706f3_ZU)")</f>
        <v>pochodit (v-w3706f3_ZU)</v>
      </c>
      <c r="E26255" s="0" t="str">
        <f aca="false">HYPERLINK("https://lindat.mff.cuni.cz/services/SynSemClass40/SynSemClass40.html?veclass=vec00309#vec00309-ces-cm00042", "vec00309")</f>
        <v>vec00309</v>
      </c>
      <c r="F26255" s="0" t="s">
        <v>1081</v>
      </c>
    </row>
    <row r="26256" customFormat="false" ht="12.8" hidden="false" customHeight="false" outlineLevel="0" collapsed="false">
      <c r="B26256" s="0" t="s">
        <v>1</v>
      </c>
      <c r="C26256" s="0" t="s">
        <v>2542</v>
      </c>
      <c r="E26256" s="0" t="s">
        <v>1084</v>
      </c>
      <c r="F26256" s="0" t="s">
        <v>1085</v>
      </c>
    </row>
    <row r="26257" customFormat="false" ht="12.8" hidden="false" customHeight="false" outlineLevel="0" collapsed="false">
      <c r="B26257" s="0" t="s">
        <v>725</v>
      </c>
      <c r="C26257" s="0" t="s">
        <v>2543</v>
      </c>
      <c r="E26257" s="0" t="s">
        <v>2544</v>
      </c>
      <c r="F26257" s="0" t="s">
        <v>2545</v>
      </c>
    </row>
    <row r="26258" customFormat="false" ht="12.8" hidden="false" customHeight="false" outlineLevel="0" collapsed="false">
      <c r="B26258" s="0" t="s">
        <v>642</v>
      </c>
      <c r="C26258" s="0" t="s">
        <v>2546</v>
      </c>
      <c r="E26258" s="0" t="s">
        <v>2544</v>
      </c>
      <c r="F26258" s="0" t="s">
        <v>2545</v>
      </c>
    </row>
    <row r="26259" customFormat="false" ht="12.8" hidden="false" customHeight="false" outlineLevel="0" collapsed="false">
      <c r="B26259" s="0" t="s">
        <v>648</v>
      </c>
      <c r="C26259" s="0" t="s">
        <v>2547</v>
      </c>
      <c r="E26259" s="0" t="s">
        <v>2544</v>
      </c>
      <c r="F26259" s="0" t="s">
        <v>2545</v>
      </c>
    </row>
    <row r="26260" customFormat="false" ht="12.8" hidden="false" customHeight="false" outlineLevel="0" collapsed="false">
      <c r="B26260" s="0" t="s">
        <v>650</v>
      </c>
      <c r="C26260" s="0" t="s">
        <v>2548</v>
      </c>
      <c r="E26260" s="0" t="s">
        <v>2544</v>
      </c>
      <c r="F26260" s="0" t="s">
        <v>2545</v>
      </c>
    </row>
    <row r="26262" customFormat="false" ht="12.8" hidden="false" customHeight="false" outlineLevel="0" collapsed="false">
      <c r="A26262" s="0" t="s">
        <v>10630</v>
      </c>
      <c r="B26262" s="0" t="str">
        <f aca="false">HYPERLINK("https://lindat.mff.cuni.cz/services/teitok/pdtc10/index.php?action=vallex&amp;frame=v-w3706hsa_271", "pochodit (v-w3706hsa_271) - substituted with v-w3706f3_ZU")</f>
        <v>pochodit (v-w3706hsa_271) - substituted with v-w3706f3_ZU</v>
      </c>
    </row>
    <row r="26263" customFormat="false" ht="12.8" hidden="false" customHeight="false" outlineLevel="0" collapsed="false">
      <c r="B26263" s="0" t="s">
        <v>1</v>
      </c>
    </row>
    <row r="26264" customFormat="false" ht="12.8" hidden="false" customHeight="false" outlineLevel="0" collapsed="false">
      <c r="B26264" s="0" t="s">
        <v>725</v>
      </c>
    </row>
    <row r="26265" customFormat="false" ht="12.8" hidden="false" customHeight="false" outlineLevel="0" collapsed="false">
      <c r="B26265" s="0" t="s">
        <v>642</v>
      </c>
    </row>
    <row r="26266" customFormat="false" ht="12.8" hidden="false" customHeight="false" outlineLevel="0" collapsed="false">
      <c r="B26266" s="0" t="s">
        <v>648</v>
      </c>
    </row>
    <row r="26267" customFormat="false" ht="12.8" hidden="false" customHeight="false" outlineLevel="0" collapsed="false">
      <c r="B26267" s="0" t="s">
        <v>650</v>
      </c>
    </row>
    <row r="26269" customFormat="false" ht="12.8" hidden="false" customHeight="false" outlineLevel="0" collapsed="false">
      <c r="A26269" s="0" t="s">
        <v>10631</v>
      </c>
      <c r="B26269" s="0" t="str">
        <f aca="false">HYPERLINK("https://lindat.mff.cuni.cz/services/teitok/pdtc10/index.php?action=vallex&amp;frame=v-w3707f1", "pochodovat (v-w3707f1)")</f>
        <v>pochodovat (v-w3707f1)</v>
      </c>
      <c r="E26269" s="0" t="str">
        <f aca="false">HYPERLINK("https://lindat.mff.cuni.cz/services/SynSemClass40/SynSemClass40.html?veclass=vec01025#vec01025-ces-cm00036", "vec01025")</f>
        <v>vec01025</v>
      </c>
      <c r="F26269" s="0" t="s">
        <v>332</v>
      </c>
    </row>
    <row r="26270" customFormat="false" ht="12.8" hidden="false" customHeight="false" outlineLevel="0" collapsed="false">
      <c r="B26270" s="0" t="s">
        <v>1</v>
      </c>
      <c r="C26270" s="0" t="s">
        <v>333</v>
      </c>
      <c r="E26270" s="0" t="s">
        <v>334</v>
      </c>
      <c r="F26270" s="0" t="s">
        <v>335</v>
      </c>
    </row>
    <row r="26272" customFormat="false" ht="12.8" hidden="false" customHeight="false" outlineLevel="0" collapsed="false">
      <c r="A26272" s="0" t="s">
        <v>10632</v>
      </c>
      <c r="B26272" s="0" t="str">
        <f aca="false">HYPERLINK("https://lindat.mff.cuni.cz/services/teitok/pdtc10/index.php?action=vallex&amp;frame=v-w3709f1", "pochopit (v-w3709f1)")</f>
        <v>pochopit (v-w3709f1)</v>
      </c>
      <c r="E26272" s="0" t="str">
        <f aca="false">HYPERLINK("https://lindat.mff.cuni.cz/services/SynSemClass40/SynSemClass40.html?veclass=vec00107#vec00107-ces-cm00065", "vec00107")</f>
        <v>vec00107</v>
      </c>
      <c r="F26272" s="0" t="s">
        <v>1644</v>
      </c>
      <c r="H26272" s="0" t="str">
        <f aca="false">HYPERLINK("https://lindat.mff.cuni.cz/services/SynSemClass40/SynSemClass40.html?veclass=vec01446#vec01446-ces-cm00007", "vec01446")</f>
        <v>vec01446</v>
      </c>
      <c r="I26272" s="0" t="s">
        <v>1645</v>
      </c>
    </row>
    <row r="26273" customFormat="false" ht="12.8" hidden="false" customHeight="false" outlineLevel="0" collapsed="false">
      <c r="B26273" s="0" t="s">
        <v>1</v>
      </c>
      <c r="C26273" s="0" t="s">
        <v>1646</v>
      </c>
      <c r="E26273" s="0" t="s">
        <v>621</v>
      </c>
      <c r="F26273" s="0" t="s">
        <v>1647</v>
      </c>
      <c r="H26273" s="0" t="s">
        <v>155</v>
      </c>
      <c r="I26273" s="0" t="s">
        <v>1648</v>
      </c>
    </row>
    <row r="26274" customFormat="false" ht="12.8" hidden="false" customHeight="false" outlineLevel="0" collapsed="false">
      <c r="B26274" s="0" t="s">
        <v>10633</v>
      </c>
      <c r="C26274" s="0" t="s">
        <v>1650</v>
      </c>
      <c r="E26274" s="0" t="s">
        <v>180</v>
      </c>
      <c r="F26274" s="0" t="s">
        <v>1651</v>
      </c>
      <c r="H26274" s="0" t="s">
        <v>142</v>
      </c>
      <c r="I26274" s="0" t="s">
        <v>1652</v>
      </c>
    </row>
    <row r="26276" customFormat="false" ht="12.8" hidden="false" customHeight="false" outlineLevel="0" collapsed="false">
      <c r="A26276" s="0" t="s">
        <v>10634</v>
      </c>
      <c r="B26276" s="0" t="str">
        <f aca="false">HYPERLINK("https://lindat.mff.cuni.cz/services/teitok/pdtc10/index.php?action=vallex&amp;frame=v-whsa_712hsa_713", "pochovat (v-whsa_712hsa_713)")</f>
        <v>pochovat (v-whsa_712hsa_713)</v>
      </c>
    </row>
    <row r="26277" customFormat="false" ht="12.8" hidden="false" customHeight="false" outlineLevel="0" collapsed="false">
      <c r="B26277" s="0" t="s">
        <v>1</v>
      </c>
    </row>
    <row r="26278" customFormat="false" ht="12.8" hidden="false" customHeight="false" outlineLevel="0" collapsed="false">
      <c r="B26278" s="0" t="s">
        <v>8</v>
      </c>
    </row>
    <row r="26280" customFormat="false" ht="12.8" hidden="false" customHeight="false" outlineLevel="0" collapsed="false">
      <c r="A26280" s="0" t="s">
        <v>10635</v>
      </c>
      <c r="B26280" s="0" t="str">
        <f aca="false">HYPERLINK("https://lindat.mff.cuni.cz/services/teitok/pdtc10/index.php?action=vallex&amp;frame=v-whsa_712hsa_714", "pochovat (v-whsa_712hsa_714)")</f>
        <v>pochovat (v-whsa_712hsa_714)</v>
      </c>
    </row>
    <row r="26281" customFormat="false" ht="12.8" hidden="false" customHeight="false" outlineLevel="0" collapsed="false">
      <c r="B26281" s="0" t="s">
        <v>1</v>
      </c>
    </row>
    <row r="26282" customFormat="false" ht="12.8" hidden="false" customHeight="false" outlineLevel="0" collapsed="false">
      <c r="B26282" s="0" t="s">
        <v>8</v>
      </c>
    </row>
    <row r="26284" customFormat="false" ht="12.8" hidden="false" customHeight="false" outlineLevel="0" collapsed="false">
      <c r="A26284" s="0" t="s">
        <v>10636</v>
      </c>
      <c r="B26284" s="0" t="str">
        <f aca="false">HYPERLINK("https://lindat.mff.cuni.cz/services/teitok/pdtc10/index.php?action=vallex&amp;frame=v-w12251_ZUf1_ZU", "pochovávat (v-w12251_ZUf1_ZU)")</f>
        <v>pochovávat (v-w12251_ZUf1_ZU)</v>
      </c>
    </row>
    <row r="26285" customFormat="false" ht="12.8" hidden="false" customHeight="false" outlineLevel="0" collapsed="false">
      <c r="B26285" s="0" t="s">
        <v>1</v>
      </c>
    </row>
    <row r="26286" customFormat="false" ht="12.8" hidden="false" customHeight="false" outlineLevel="0" collapsed="false">
      <c r="B26286" s="0" t="s">
        <v>8</v>
      </c>
    </row>
    <row r="26288" customFormat="false" ht="12.8" hidden="false" customHeight="false" outlineLevel="0" collapsed="false">
      <c r="A26288" s="0" t="s">
        <v>10637</v>
      </c>
      <c r="B26288" s="0" t="str">
        <f aca="false">HYPERLINK("https://lindat.mff.cuni.cz/services/teitok/pdtc10/index.php?action=vallex&amp;frame=v-w3711f1", "pochroumat (v-w3711f1)")</f>
        <v>pochroumat (v-w3711f1)</v>
      </c>
    </row>
    <row r="26289" customFormat="false" ht="12.8" hidden="false" customHeight="false" outlineLevel="0" collapsed="false">
      <c r="B26289" s="0" t="s">
        <v>1</v>
      </c>
    </row>
    <row r="26290" customFormat="false" ht="12.8" hidden="false" customHeight="false" outlineLevel="0" collapsed="false">
      <c r="B26290" s="0" t="s">
        <v>8</v>
      </c>
    </row>
    <row r="26292" customFormat="false" ht="12.8" hidden="false" customHeight="false" outlineLevel="0" collapsed="false">
      <c r="A26292" s="0" t="s">
        <v>10638</v>
      </c>
      <c r="B26292" s="0" t="str">
        <f aca="false">HYPERLINK("https://lindat.mff.cuni.cz/services/teitok/pdtc10/index.php?action=vallex&amp;frame=v-w3712f1", "pochutnat si (v-w3712f1)")</f>
        <v>pochutnat si (v-w3712f1)</v>
      </c>
    </row>
    <row r="26293" customFormat="false" ht="12.8" hidden="false" customHeight="false" outlineLevel="0" collapsed="false">
      <c r="B26293" s="0" t="s">
        <v>1</v>
      </c>
    </row>
    <row r="26294" customFormat="false" ht="12.8" hidden="false" customHeight="false" outlineLevel="0" collapsed="false">
      <c r="B26294" s="0" t="s">
        <v>3642</v>
      </c>
    </row>
    <row r="26296" customFormat="false" ht="12.8" hidden="false" customHeight="false" outlineLevel="0" collapsed="false">
      <c r="A26296" s="0" t="s">
        <v>10639</v>
      </c>
      <c r="B26296" s="0" t="str">
        <f aca="false">HYPERLINK("https://lindat.mff.cuni.cz/services/teitok/pdtc10/index.php?action=vallex&amp;frame=v-w11747_ZUf2_ZU", "pochutnávat si (v-w11747_ZUf2_ZU)")</f>
        <v>pochutnávat si (v-w11747_ZUf2_ZU)</v>
      </c>
    </row>
    <row r="26297" customFormat="false" ht="12.8" hidden="false" customHeight="false" outlineLevel="0" collapsed="false">
      <c r="B26297" s="0" t="s">
        <v>1</v>
      </c>
    </row>
    <row r="26298" customFormat="false" ht="12.8" hidden="false" customHeight="false" outlineLevel="0" collapsed="false">
      <c r="B26298" s="0" t="s">
        <v>3642</v>
      </c>
    </row>
    <row r="26300" customFormat="false" ht="12.8" hidden="false" customHeight="false" outlineLevel="0" collapsed="false">
      <c r="A26300" s="0" t="s">
        <v>10639</v>
      </c>
      <c r="B26300" s="0" t="str">
        <f aca="false">HYPERLINK("https://lindat.mff.cuni.cz/services/teitok/pdtc10/index.php?action=vallex&amp;frame=v-w11747_ZUf1_ZU", "pochutnávat si (v-w11747_ZUf1_ZU) - substituted with v-w11747_ZUf2_ZU")</f>
        <v>pochutnávat si (v-w11747_ZUf1_ZU) - substituted with v-w11747_ZUf2_ZU</v>
      </c>
    </row>
    <row r="26301" customFormat="false" ht="12.8" hidden="false" customHeight="false" outlineLevel="0" collapsed="false">
      <c r="B26301" s="0" t="s">
        <v>1</v>
      </c>
    </row>
    <row r="26302" customFormat="false" ht="12.8" hidden="false" customHeight="false" outlineLevel="0" collapsed="false">
      <c r="B26302" s="0" t="s">
        <v>3642</v>
      </c>
    </row>
    <row r="26304" customFormat="false" ht="12.8" hidden="false" customHeight="false" outlineLevel="0" collapsed="false">
      <c r="A26304" s="0" t="s">
        <v>10640</v>
      </c>
      <c r="B26304" s="0" t="str">
        <f aca="false">HYPERLINK("https://lindat.mff.cuni.cz/services/teitok/pdtc10/index.php?action=vallex&amp;frame=v-w3715f1", "pochvalovat si (v-w3715f1)")</f>
        <v>pochvalovat si (v-w3715f1)</v>
      </c>
    </row>
    <row r="26305" customFormat="false" ht="12.8" hidden="false" customHeight="false" outlineLevel="0" collapsed="false">
      <c r="B26305" s="0" t="s">
        <v>1</v>
      </c>
    </row>
    <row r="26306" customFormat="false" ht="12.8" hidden="false" customHeight="false" outlineLevel="0" collapsed="false">
      <c r="B26306" s="0" t="s">
        <v>228</v>
      </c>
    </row>
    <row r="26308" customFormat="false" ht="12.8" hidden="false" customHeight="false" outlineLevel="0" collapsed="false">
      <c r="A26308" s="0" t="s">
        <v>10641</v>
      </c>
      <c r="B26308" s="0" t="str">
        <f aca="false">HYPERLINK("https://lindat.mff.cuni.cz/services/teitok/pdtc10/index.php?action=vallex&amp;frame=v-w3714f1", "pochválit (v-w3714f1)")</f>
        <v>pochválit (v-w3714f1)</v>
      </c>
      <c r="E26308" s="0" t="str">
        <f aca="false">HYPERLINK("https://lindat.mff.cuni.cz/services/SynSemClass40/SynSemClass40.html?veclass=vec00675#vec00675-ces-cm00001", "vec00675")</f>
        <v>vec00675</v>
      </c>
      <c r="F26308" s="0" t="s">
        <v>1516</v>
      </c>
    </row>
    <row r="26309" customFormat="false" ht="12.8" hidden="false" customHeight="false" outlineLevel="0" collapsed="false">
      <c r="B26309" s="0" t="s">
        <v>1</v>
      </c>
      <c r="C26309" s="0" t="s">
        <v>1517</v>
      </c>
      <c r="E26309" s="0" t="s">
        <v>206</v>
      </c>
      <c r="F26309" s="0" t="s">
        <v>1518</v>
      </c>
    </row>
    <row r="26310" customFormat="false" ht="12.8" hidden="false" customHeight="false" outlineLevel="0" collapsed="false">
      <c r="B26310" s="0" t="s">
        <v>500</v>
      </c>
      <c r="C26310" s="0" t="s">
        <v>1519</v>
      </c>
      <c r="E26310" s="0" t="s">
        <v>159</v>
      </c>
      <c r="F26310" s="0" t="s">
        <v>1520</v>
      </c>
    </row>
    <row r="26312" customFormat="false" ht="12.8" hidden="false" customHeight="false" outlineLevel="0" collapsed="false">
      <c r="A26312" s="0" t="s">
        <v>10642</v>
      </c>
      <c r="B26312" s="0" t="str">
        <f aca="false">HYPERLINK("https://lindat.mff.cuni.cz/services/teitok/pdtc10/index.php?action=vallex&amp;frame=v-w3718f1", "pochybit (v-w3718f1)")</f>
        <v>pochybit (v-w3718f1)</v>
      </c>
      <c r="E26312" s="0" t="str">
        <f aca="false">HYPERLINK("https://lindat.mff.cuni.cz/services/SynSemClass40/SynSemClass40.html?veclass=vec00839#vec00839-ces-cm00003", "vec00839")</f>
        <v>vec00839</v>
      </c>
      <c r="F26312" s="0" t="s">
        <v>1526</v>
      </c>
    </row>
    <row r="26313" customFormat="false" ht="12.8" hidden="false" customHeight="false" outlineLevel="0" collapsed="false">
      <c r="B26313" s="0" t="s">
        <v>1</v>
      </c>
      <c r="C26313" s="0" t="s">
        <v>447</v>
      </c>
      <c r="E26313" s="0" t="s">
        <v>1527</v>
      </c>
      <c r="F26313" s="0" t="s">
        <v>1528</v>
      </c>
    </row>
    <row r="26315" customFormat="false" ht="12.8" hidden="false" customHeight="false" outlineLevel="0" collapsed="false">
      <c r="A26315" s="0" t="s">
        <v>10643</v>
      </c>
      <c r="B26315" s="0" t="str">
        <f aca="false">HYPERLINK("https://lindat.mff.cuni.cz/services/teitok/pdtc10/index.php?action=vallex&amp;frame=v-w3721f1", "pochybovat (v-w3721f1)")</f>
        <v>pochybovat (v-w3721f1)</v>
      </c>
      <c r="E26315" s="0" t="str">
        <f aca="false">HYPERLINK("https://lindat.mff.cuni.cz/services/SynSemClass40/SynSemClass40.html?veclass=vec00391#vec00391-ces-cm00010", "vec00391")</f>
        <v>vec00391</v>
      </c>
      <c r="F26315" s="0" t="s">
        <v>7472</v>
      </c>
    </row>
    <row r="26316" customFormat="false" ht="12.8" hidden="false" customHeight="false" outlineLevel="0" collapsed="false">
      <c r="B26316" s="0" t="s">
        <v>1</v>
      </c>
      <c r="C26316" s="0" t="s">
        <v>7473</v>
      </c>
      <c r="E26316" s="0" t="s">
        <v>621</v>
      </c>
      <c r="F26316" s="0" t="s">
        <v>7474</v>
      </c>
    </row>
    <row r="26317" customFormat="false" ht="12.8" hidden="false" customHeight="false" outlineLevel="0" collapsed="false">
      <c r="B26317" s="0" t="s">
        <v>10644</v>
      </c>
      <c r="C26317" s="0" t="s">
        <v>7475</v>
      </c>
      <c r="E26317" s="0" t="s">
        <v>180</v>
      </c>
      <c r="F26317" s="0" t="s">
        <v>7476</v>
      </c>
    </row>
    <row r="26319" customFormat="false" ht="12.8" hidden="false" customHeight="false" outlineLevel="0" collapsed="false">
      <c r="A26319" s="0" t="s">
        <v>10645</v>
      </c>
      <c r="B26319" s="0" t="str">
        <f aca="false">HYPERLINK("https://lindat.mff.cuni.cz/services/teitok/pdtc10/index.php?action=vallex&amp;frame=v-w3722f1", "pochytat (v-w3722f1)")</f>
        <v>pochytat (v-w3722f1)</v>
      </c>
    </row>
    <row r="26320" customFormat="false" ht="12.8" hidden="false" customHeight="false" outlineLevel="0" collapsed="false">
      <c r="B26320" s="0" t="s">
        <v>1</v>
      </c>
    </row>
    <row r="26321" customFormat="false" ht="12.8" hidden="false" customHeight="false" outlineLevel="0" collapsed="false">
      <c r="B26321" s="0" t="s">
        <v>8</v>
      </c>
    </row>
    <row r="26323" customFormat="false" ht="12.8" hidden="false" customHeight="false" outlineLevel="0" collapsed="false">
      <c r="A26323" s="0" t="s">
        <v>10646</v>
      </c>
      <c r="B26323" s="0" t="str">
        <f aca="false">HYPERLINK("https://lindat.mff.cuni.cz/services/teitok/pdtc10/index.php?action=vallex&amp;frame=v-w11212f2", "pochytit (v-w11212f2)")</f>
        <v>pochytit (v-w11212f2)</v>
      </c>
    </row>
    <row r="26324" customFormat="false" ht="12.8" hidden="false" customHeight="false" outlineLevel="0" collapsed="false">
      <c r="B26324" s="0" t="s">
        <v>1</v>
      </c>
    </row>
    <row r="26325" customFormat="false" ht="12.8" hidden="false" customHeight="false" outlineLevel="0" collapsed="false">
      <c r="B26325" s="0" t="s">
        <v>8</v>
      </c>
    </row>
    <row r="26327" customFormat="false" ht="12.8" hidden="false" customHeight="false" outlineLevel="0" collapsed="false">
      <c r="A26327" s="0" t="s">
        <v>10647</v>
      </c>
      <c r="B26327" s="0" t="str">
        <f aca="false">HYPERLINK("https://lindat.mff.cuni.cz/services/teitok/pdtc10/index.php?action=vallex&amp;frame=v-w11212f3_ZU", "pochytit (v-w11212f3_ZU)")</f>
        <v>pochytit (v-w11212f3_ZU)</v>
      </c>
    </row>
    <row r="26328" customFormat="false" ht="12.8" hidden="false" customHeight="false" outlineLevel="0" collapsed="false">
      <c r="B26328" s="0" t="s">
        <v>1</v>
      </c>
    </row>
    <row r="26329" customFormat="false" ht="12.8" hidden="false" customHeight="false" outlineLevel="0" collapsed="false">
      <c r="B26329" s="0" t="s">
        <v>8</v>
      </c>
    </row>
    <row r="26331" customFormat="false" ht="12.8" hidden="false" customHeight="false" outlineLevel="0" collapsed="false">
      <c r="A26331" s="0" t="s">
        <v>10648</v>
      </c>
      <c r="B26331" s="0" t="str">
        <f aca="false">HYPERLINK("https://lindat.mff.cuni.cz/services/teitok/pdtc10/index.php?action=vallex&amp;frame=v-w3703f2", "pocházet (v-w3703f2)")</f>
        <v>pocházet (v-w3703f2)</v>
      </c>
      <c r="E26331" s="0" t="str">
        <f aca="false">HYPERLINK("https://lindat.mff.cuni.cz/services/SynSemClass40/SynSemClass40.html?veclass=vec00258#vec00258-ces-cm00001", "vec00258")</f>
        <v>vec00258</v>
      </c>
      <c r="F26331" s="0" t="s">
        <v>10649</v>
      </c>
    </row>
    <row r="26332" customFormat="false" ht="12.8" hidden="false" customHeight="false" outlineLevel="0" collapsed="false">
      <c r="B26332" s="0" t="s">
        <v>1</v>
      </c>
      <c r="C26332" s="0" t="s">
        <v>10650</v>
      </c>
      <c r="E26332" s="0" t="s">
        <v>957</v>
      </c>
      <c r="F26332" s="0" t="s">
        <v>10651</v>
      </c>
    </row>
    <row r="26333" customFormat="false" ht="12.8" hidden="false" customHeight="false" outlineLevel="0" collapsed="false">
      <c r="B26333" s="0" t="s">
        <v>1795</v>
      </c>
      <c r="C26333" s="0" t="s">
        <v>10652</v>
      </c>
      <c r="E26333" s="0" t="s">
        <v>6001</v>
      </c>
      <c r="F26333" s="0" t="s">
        <v>10653</v>
      </c>
    </row>
    <row r="26335" customFormat="false" ht="12.8" hidden="false" customHeight="false" outlineLevel="0" collapsed="false">
      <c r="A26335" s="0" t="s">
        <v>10654</v>
      </c>
      <c r="B26335" s="0" t="str">
        <f aca="false">HYPERLINK("https://lindat.mff.cuni.cz/services/teitok/pdtc10/index.php?action=vallex&amp;frame=v-w3703f1", "pocházet (v-w3703f1)")</f>
        <v>pocházet (v-w3703f1)</v>
      </c>
      <c r="E26335" s="0" t="str">
        <f aca="false">HYPERLINK("https://lindat.mff.cuni.cz/services/SynSemClass40/SynSemClass40.html?veclass=vec00071#vec00071-ces-cm00001", "vec00071")</f>
        <v>vec00071</v>
      </c>
      <c r="F26335" s="0" t="s">
        <v>10655</v>
      </c>
    </row>
    <row r="26336" customFormat="false" ht="12.8" hidden="false" customHeight="false" outlineLevel="0" collapsed="false">
      <c r="B26336" s="0" t="s">
        <v>1</v>
      </c>
      <c r="C26336" s="0" t="s">
        <v>10656</v>
      </c>
      <c r="E26336" s="0" t="s">
        <v>957</v>
      </c>
      <c r="F26336" s="0" t="s">
        <v>10657</v>
      </c>
    </row>
    <row r="26337" customFormat="false" ht="12.8" hidden="false" customHeight="false" outlineLevel="0" collapsed="false">
      <c r="B26337" s="0" t="s">
        <v>631</v>
      </c>
      <c r="E26337" s="0" t="s">
        <v>10658</v>
      </c>
      <c r="F26337" s="0" t="s">
        <v>10659</v>
      </c>
    </row>
    <row r="26339" customFormat="false" ht="12.8" hidden="false" customHeight="false" outlineLevel="0" collapsed="false">
      <c r="A26339" s="0" t="s">
        <v>10660</v>
      </c>
      <c r="B26339" s="0" t="str">
        <f aca="false">HYPERLINK("https://lindat.mff.cuni.cz/services/teitok/pdtc10/index.php?action=vallex&amp;frame=v-w3703f3", "pocházet (v-w3703f3)")</f>
        <v>pocházet (v-w3703f3)</v>
      </c>
      <c r="E26339" s="0" t="str">
        <f aca="false">HYPERLINK("https://lindat.mff.cuni.cz/services/SynSemClass40/SynSemClass40.html?veclass=vec00005#vec00005-ces-cm00003", "vec00005")</f>
        <v>vec00005</v>
      </c>
      <c r="F26339" s="0" t="s">
        <v>1797</v>
      </c>
    </row>
    <row r="26340" customFormat="false" ht="12.8" hidden="false" customHeight="false" outlineLevel="0" collapsed="false">
      <c r="B26340" s="0" t="s">
        <v>1</v>
      </c>
      <c r="C26340" s="0" t="s">
        <v>10</v>
      </c>
      <c r="E26340" s="0" t="s">
        <v>957</v>
      </c>
      <c r="F26340" s="0" t="s">
        <v>1798</v>
      </c>
    </row>
    <row r="26341" customFormat="false" ht="12.8" hidden="false" customHeight="false" outlineLevel="0" collapsed="false">
      <c r="B26341" s="0" t="s">
        <v>10661</v>
      </c>
      <c r="C26341" s="0" t="s">
        <v>10662</v>
      </c>
      <c r="E26341" s="0" t="s">
        <v>10663</v>
      </c>
      <c r="F26341" s="0" t="s">
        <v>10664</v>
      </c>
    </row>
    <row r="26343" customFormat="false" ht="12.8" hidden="false" customHeight="false" outlineLevel="0" collapsed="false">
      <c r="A26343" s="0" t="s">
        <v>10665</v>
      </c>
      <c r="B26343" s="0" t="str">
        <f aca="false">HYPERLINK("https://lindat.mff.cuni.cz/services/teitok/pdtc10/index.php?action=vallex&amp;frame=v-w3516f5_ZU", "pociťovat (v-w3516f5_ZU)")</f>
        <v>pociťovat (v-w3516f5_ZU)</v>
      </c>
    </row>
    <row r="26344" customFormat="false" ht="12.8" hidden="false" customHeight="false" outlineLevel="0" collapsed="false">
      <c r="B26344" s="0" t="s">
        <v>1</v>
      </c>
    </row>
    <row r="26345" customFormat="false" ht="12.8" hidden="false" customHeight="false" outlineLevel="0" collapsed="false">
      <c r="B26345" s="0" t="s">
        <v>1741</v>
      </c>
    </row>
    <row r="26346" customFormat="false" ht="12.8" hidden="false" customHeight="false" outlineLevel="0" collapsed="false">
      <c r="B26346" s="0" t="s">
        <v>10666</v>
      </c>
    </row>
    <row r="26348" customFormat="false" ht="12.8" hidden="false" customHeight="false" outlineLevel="0" collapsed="false">
      <c r="A26348" s="0" t="s">
        <v>10665</v>
      </c>
      <c r="B26348" s="0" t="str">
        <f aca="false">HYPERLINK("https://lindat.mff.cuni.cz/services/teitok/pdtc10/index.php?action=vallex&amp;frame=v-w3516f2", "pociťovat (v-w3516f2) - substituted with v-w3516f5_ZU")</f>
        <v>pociťovat (v-w3516f2) - substituted with v-w3516f5_ZU</v>
      </c>
    </row>
    <row r="26349" customFormat="false" ht="12.8" hidden="false" customHeight="false" outlineLevel="0" collapsed="false">
      <c r="B26349" s="0" t="s">
        <v>1</v>
      </c>
    </row>
    <row r="26350" customFormat="false" ht="12.8" hidden="false" customHeight="false" outlineLevel="0" collapsed="false">
      <c r="B26350" s="0" t="s">
        <v>1741</v>
      </c>
    </row>
    <row r="26351" customFormat="false" ht="12.8" hidden="false" customHeight="false" outlineLevel="0" collapsed="false">
      <c r="B26351" s="0" t="s">
        <v>10666</v>
      </c>
    </row>
    <row r="26353" customFormat="false" ht="12.8" hidden="false" customHeight="false" outlineLevel="0" collapsed="false">
      <c r="A26353" s="0" t="s">
        <v>10667</v>
      </c>
      <c r="B26353" s="0" t="str">
        <f aca="false">HYPERLINK("https://lindat.mff.cuni.cz/services/teitok/pdtc10/index.php?action=vallex&amp;frame=v-w3516f4", "pociťovat (v-w3516f4)")</f>
        <v>pociťovat (v-w3516f4)</v>
      </c>
    </row>
    <row r="26354" customFormat="false" ht="12.8" hidden="false" customHeight="false" outlineLevel="0" collapsed="false">
      <c r="B26354" s="0" t="s">
        <v>1</v>
      </c>
    </row>
    <row r="26355" customFormat="false" ht="12.8" hidden="false" customHeight="false" outlineLevel="0" collapsed="false">
      <c r="B26355" s="0" t="s">
        <v>8322</v>
      </c>
    </row>
    <row r="26357" customFormat="false" ht="12.8" hidden="false" customHeight="false" outlineLevel="0" collapsed="false">
      <c r="A26357" s="0" t="s">
        <v>10668</v>
      </c>
      <c r="B26357" s="0" t="str">
        <f aca="false">HYPERLINK("https://lindat.mff.cuni.cz/services/teitok/pdtc10/index.php?action=vallex&amp;frame=v-w3516f1", "pociťovat (v-w3516f1)")</f>
        <v>pociťovat (v-w3516f1)</v>
      </c>
      <c r="E26357" s="0" t="str">
        <f aca="false">HYPERLINK("https://lindat.mff.cuni.cz/services/SynSemClass40/SynSemClass40.html?veclass=vec00470#vec00470-ces-cm00001", "vec00470")</f>
        <v>vec00470</v>
      </c>
      <c r="F26357" s="0" t="s">
        <v>1744</v>
      </c>
    </row>
    <row r="26358" customFormat="false" ht="12.8" hidden="false" customHeight="false" outlineLevel="0" collapsed="false">
      <c r="B26358" s="0" t="s">
        <v>1</v>
      </c>
      <c r="C26358" s="0" t="s">
        <v>1745</v>
      </c>
      <c r="E26358" s="0" t="s">
        <v>266</v>
      </c>
      <c r="F26358" s="0" t="s">
        <v>1746</v>
      </c>
    </row>
    <row r="26359" customFormat="false" ht="12.8" hidden="false" customHeight="false" outlineLevel="0" collapsed="false">
      <c r="B26359" s="0" t="s">
        <v>59</v>
      </c>
      <c r="C26359" s="0" t="s">
        <v>1747</v>
      </c>
      <c r="E26359" s="0" t="s">
        <v>1748</v>
      </c>
      <c r="F26359" s="0" t="s">
        <v>1749</v>
      </c>
    </row>
    <row r="26361" customFormat="false" ht="12.8" hidden="false" customHeight="false" outlineLevel="0" collapsed="false">
      <c r="A26361" s="0" t="s">
        <v>10669</v>
      </c>
      <c r="B26361" s="0" t="str">
        <f aca="false">HYPERLINK("https://lindat.mff.cuni.cz/services/teitok/pdtc10/index.php?action=vallex&amp;frame=v-w3516hsa_1155", "pociťovat (v-w3516hsa_1155)")</f>
        <v>pociťovat (v-w3516hsa_1155)</v>
      </c>
      <c r="E26361" s="0" t="str">
        <f aca="false">HYPERLINK("https://lindat.mff.cuni.cz/services/SynSemClass40/SynSemClass40.html?veclass=vec00470#vec00470-ces-cm00016", "vec00470")</f>
        <v>vec00470</v>
      </c>
      <c r="F26361" s="0" t="s">
        <v>1744</v>
      </c>
    </row>
    <row r="26362" customFormat="false" ht="12.8" hidden="false" customHeight="false" outlineLevel="0" collapsed="false">
      <c r="B26362" s="0" t="s">
        <v>1</v>
      </c>
      <c r="C26362" s="0" t="s">
        <v>1745</v>
      </c>
      <c r="E26362" s="0" t="s">
        <v>266</v>
      </c>
      <c r="F26362" s="0" t="s">
        <v>1746</v>
      </c>
    </row>
    <row r="26363" customFormat="false" ht="12.8" hidden="false" customHeight="false" outlineLevel="0" collapsed="false">
      <c r="B26363" s="0" t="s">
        <v>10670</v>
      </c>
      <c r="C26363" s="0" t="s">
        <v>1759</v>
      </c>
      <c r="E26363" s="0" t="s">
        <v>1760</v>
      </c>
      <c r="F26363" s="0" t="s">
        <v>1761</v>
      </c>
    </row>
    <row r="26365" customFormat="false" ht="12.8" hidden="false" customHeight="false" outlineLevel="0" collapsed="false">
      <c r="A26365" s="0" t="s">
        <v>10669</v>
      </c>
      <c r="B26365" s="0" t="str">
        <f aca="false">HYPERLINK("https://lindat.mff.cuni.cz/services/teitok/pdtc10/index.php?action=vallex&amp;frame=v-w3516f3", "pociťovat (v-w3516f3) - substituted with v-w3516hsa_1155")</f>
        <v>pociťovat (v-w3516f3) - substituted with v-w3516hsa_1155</v>
      </c>
    </row>
    <row r="26366" customFormat="false" ht="12.8" hidden="false" customHeight="false" outlineLevel="0" collapsed="false">
      <c r="B26366" s="0" t="s">
        <v>1</v>
      </c>
    </row>
    <row r="26367" customFormat="false" ht="12.8" hidden="false" customHeight="false" outlineLevel="0" collapsed="false">
      <c r="B26367" s="0" t="s">
        <v>10670</v>
      </c>
    </row>
    <row r="26369" customFormat="false" ht="12.8" hidden="false" customHeight="false" outlineLevel="0" collapsed="false">
      <c r="A26369" s="0" t="s">
        <v>10671</v>
      </c>
      <c r="B26369" s="0" t="str">
        <f aca="false">HYPERLINK("https://lindat.mff.cuni.cz/services/teitok/pdtc10/index.php?action=vallex&amp;frame=v-w11028f2", "poctít (v-w11028f2)")</f>
        <v>poctít (v-w11028f2)</v>
      </c>
    </row>
    <row r="26370" customFormat="false" ht="12.8" hidden="false" customHeight="false" outlineLevel="0" collapsed="false">
      <c r="B26370" s="0" t="s">
        <v>1</v>
      </c>
    </row>
    <row r="26371" customFormat="false" ht="12.8" hidden="false" customHeight="false" outlineLevel="0" collapsed="false">
      <c r="B26371" s="0" t="s">
        <v>98</v>
      </c>
    </row>
    <row r="26372" customFormat="false" ht="12.8" hidden="false" customHeight="false" outlineLevel="0" collapsed="false">
      <c r="B26372" s="0" t="s">
        <v>4287</v>
      </c>
    </row>
    <row r="26374" customFormat="false" ht="12.8" hidden="false" customHeight="false" outlineLevel="0" collapsed="false">
      <c r="A26374" s="0" t="s">
        <v>10672</v>
      </c>
      <c r="B26374" s="0" t="str">
        <f aca="false">HYPERLINK("https://lindat.mff.cuni.cz/services/teitok/pdtc10/index.php?action=vallex&amp;frame=v-w3515f2", "pocítit (v-w3515f2)")</f>
        <v>pocítit (v-w3515f2)</v>
      </c>
    </row>
    <row r="26375" customFormat="false" ht="12.8" hidden="false" customHeight="false" outlineLevel="0" collapsed="false">
      <c r="B26375" s="0" t="s">
        <v>1</v>
      </c>
    </row>
    <row r="26376" customFormat="false" ht="12.8" hidden="false" customHeight="false" outlineLevel="0" collapsed="false">
      <c r="B26376" s="0" t="s">
        <v>228</v>
      </c>
    </row>
    <row r="26378" customFormat="false" ht="12.8" hidden="false" customHeight="false" outlineLevel="0" collapsed="false">
      <c r="A26378" s="0" t="s">
        <v>10673</v>
      </c>
      <c r="B26378" s="0" t="str">
        <f aca="false">HYPERLINK("https://lindat.mff.cuni.cz/services/teitok/pdtc10/index.php?action=vallex&amp;frame=v-w3515f5_ZU", "pocítit (v-w3515f5_ZU)")</f>
        <v>pocítit (v-w3515f5_ZU)</v>
      </c>
    </row>
    <row r="26379" customFormat="false" ht="12.8" hidden="false" customHeight="false" outlineLevel="0" collapsed="false">
      <c r="B26379" s="0" t="s">
        <v>1</v>
      </c>
    </row>
    <row r="26380" customFormat="false" ht="12.8" hidden="false" customHeight="false" outlineLevel="0" collapsed="false">
      <c r="B26380" s="0" t="s">
        <v>10674</v>
      </c>
    </row>
    <row r="26382" customFormat="false" ht="12.8" hidden="false" customHeight="false" outlineLevel="0" collapsed="false">
      <c r="A26382" s="0" t="s">
        <v>10673</v>
      </c>
      <c r="B26382" s="0" t="str">
        <f aca="false">HYPERLINK("https://lindat.mff.cuni.cz/services/teitok/pdtc10/index.php?action=vallex&amp;frame=v-w3515f3", "pocítit (v-w3515f3) - substituted with v-w3515f5_ZU")</f>
        <v>pocítit (v-w3515f3) - substituted with v-w3515f5_ZU</v>
      </c>
    </row>
    <row r="26383" customFormat="false" ht="12.8" hidden="false" customHeight="false" outlineLevel="0" collapsed="false">
      <c r="B26383" s="0" t="s">
        <v>1</v>
      </c>
    </row>
    <row r="26384" customFormat="false" ht="12.8" hidden="false" customHeight="false" outlineLevel="0" collapsed="false">
      <c r="B26384" s="0" t="s">
        <v>10674</v>
      </c>
    </row>
    <row r="26386" customFormat="false" ht="12.8" hidden="false" customHeight="false" outlineLevel="0" collapsed="false">
      <c r="A26386" s="0" t="s">
        <v>10673</v>
      </c>
      <c r="B26386" s="0" t="str">
        <f aca="false">HYPERLINK("https://lindat.mff.cuni.cz/services/teitok/pdtc10/index.php?action=vallex&amp;frame=v-w3515hsa_283", "pocítit (v-w3515hsa_283) - substituted with v-w3515f5_ZU")</f>
        <v>pocítit (v-w3515hsa_283) - substituted with v-w3515f5_ZU</v>
      </c>
    </row>
    <row r="26387" customFormat="false" ht="12.8" hidden="false" customHeight="false" outlineLevel="0" collapsed="false">
      <c r="B26387" s="0" t="s">
        <v>1</v>
      </c>
    </row>
    <row r="26388" customFormat="false" ht="12.8" hidden="false" customHeight="false" outlineLevel="0" collapsed="false">
      <c r="B26388" s="0" t="s">
        <v>10674</v>
      </c>
    </row>
    <row r="26390" customFormat="false" ht="12.8" hidden="false" customHeight="false" outlineLevel="0" collapsed="false">
      <c r="A26390" s="0" t="s">
        <v>10673</v>
      </c>
      <c r="B26390" s="0" t="str">
        <f aca="false">HYPERLINK("https://lindat.mff.cuni.cz/services/teitok/pdtc10/index.php?action=vallex&amp;frame=v-w3515hsa_284", "pocítit (v-w3515hsa_284) - substituted with v-w3515f5_ZU")</f>
        <v>pocítit (v-w3515hsa_284) - substituted with v-w3515f5_ZU</v>
      </c>
      <c r="E26390" s="0" t="str">
        <f aca="false">HYPERLINK("https://lindat.mff.cuni.cz/services/SynSemClass40/SynSemClass40.html?veclass=vec00470#vec00470-ces-cm00041", "vec00470")</f>
        <v>vec00470</v>
      </c>
      <c r="F26390" s="0" t="s">
        <v>1744</v>
      </c>
    </row>
    <row r="26391" customFormat="false" ht="12.8" hidden="false" customHeight="false" outlineLevel="0" collapsed="false">
      <c r="B26391" s="0" t="s">
        <v>1</v>
      </c>
      <c r="C26391" s="0" t="s">
        <v>1745</v>
      </c>
      <c r="E26391" s="0" t="s">
        <v>266</v>
      </c>
      <c r="F26391" s="0" t="s">
        <v>1746</v>
      </c>
    </row>
    <row r="26392" customFormat="false" ht="12.8" hidden="false" customHeight="false" outlineLevel="0" collapsed="false">
      <c r="B26392" s="0" t="s">
        <v>10674</v>
      </c>
      <c r="C26392" s="0" t="s">
        <v>1759</v>
      </c>
      <c r="E26392" s="0" t="s">
        <v>1760</v>
      </c>
      <c r="F26392" s="0" t="s">
        <v>1761</v>
      </c>
    </row>
    <row r="26394" customFormat="false" ht="12.8" hidden="false" customHeight="false" outlineLevel="0" collapsed="false">
      <c r="A26394" s="0" t="s">
        <v>10675</v>
      </c>
      <c r="B26394" s="0" t="str">
        <f aca="false">HYPERLINK("https://lindat.mff.cuni.cz/services/teitok/pdtc10/index.php?action=vallex&amp;frame=v-w3515hsa_285", "pocítit (v-w3515hsa_285)")</f>
        <v>pocítit (v-w3515hsa_285)</v>
      </c>
      <c r="E26394" s="0" t="str">
        <f aca="false">HYPERLINK("https://lindat.mff.cuni.cz/services/SynSemClass40/SynSemClass40.html?veclass=vec00470#vec00470-ces-cm00015", "vec00470")</f>
        <v>vec00470</v>
      </c>
      <c r="F26394" s="0" t="s">
        <v>1744</v>
      </c>
    </row>
    <row r="26395" customFormat="false" ht="12.8" hidden="false" customHeight="false" outlineLevel="0" collapsed="false">
      <c r="B26395" s="0" t="s">
        <v>1</v>
      </c>
      <c r="C26395" s="0" t="s">
        <v>1745</v>
      </c>
      <c r="E26395" s="0" t="s">
        <v>266</v>
      </c>
      <c r="F26395" s="0" t="s">
        <v>1746</v>
      </c>
    </row>
    <row r="26396" customFormat="false" ht="12.8" hidden="false" customHeight="false" outlineLevel="0" collapsed="false">
      <c r="B26396" s="0" t="s">
        <v>10676</v>
      </c>
      <c r="C26396" s="0" t="s">
        <v>1759</v>
      </c>
      <c r="E26396" s="0" t="s">
        <v>1760</v>
      </c>
      <c r="F26396" s="0" t="s">
        <v>1761</v>
      </c>
    </row>
    <row r="26398" customFormat="false" ht="12.8" hidden="false" customHeight="false" outlineLevel="0" collapsed="false">
      <c r="A26398" s="0" t="s">
        <v>10675</v>
      </c>
      <c r="B26398" s="0" t="str">
        <f aca="false">HYPERLINK("https://lindat.mff.cuni.cz/services/teitok/pdtc10/index.php?action=vallex&amp;frame=v-w3515f4_ZU", "pocítit (v-w3515f4_ZU) - substituted with v-w3515hsa_285")</f>
        <v>pocítit (v-w3515f4_ZU) - substituted with v-w3515hsa_285</v>
      </c>
    </row>
    <row r="26399" customFormat="false" ht="12.8" hidden="false" customHeight="false" outlineLevel="0" collapsed="false">
      <c r="B26399" s="0" t="s">
        <v>1</v>
      </c>
    </row>
    <row r="26400" customFormat="false" ht="12.8" hidden="false" customHeight="false" outlineLevel="0" collapsed="false">
      <c r="B26400" s="0" t="s">
        <v>10676</v>
      </c>
    </row>
    <row r="26402" customFormat="false" ht="12.8" hidden="false" customHeight="false" outlineLevel="0" collapsed="false">
      <c r="A26402" s="0" t="s">
        <v>10677</v>
      </c>
      <c r="B26402" s="0" t="str">
        <f aca="false">HYPERLINK("https://lindat.mff.cuni.cz/services/teitok/pdtc10/index.php?action=vallex&amp;frame=v-w3515f1", "pocítit (v-w3515f1)")</f>
        <v>pocítit (v-w3515f1)</v>
      </c>
    </row>
    <row r="26403" customFormat="false" ht="12.8" hidden="false" customHeight="false" outlineLevel="0" collapsed="false">
      <c r="B26403" s="0" t="s">
        <v>1</v>
      </c>
    </row>
    <row r="26404" customFormat="false" ht="12.8" hidden="false" customHeight="false" outlineLevel="0" collapsed="false">
      <c r="B26404" s="0" t="s">
        <v>228</v>
      </c>
    </row>
    <row r="26405" customFormat="false" ht="12.8" hidden="false" customHeight="false" outlineLevel="0" collapsed="false">
      <c r="B26405" s="0" t="s">
        <v>10678</v>
      </c>
    </row>
    <row r="26407" customFormat="false" ht="12.8" hidden="false" customHeight="false" outlineLevel="0" collapsed="false">
      <c r="A26407" s="0" t="s">
        <v>10679</v>
      </c>
      <c r="B26407" s="0" t="str">
        <f aca="false">HYPERLINK("https://lindat.mff.cuni.cz/services/teitok/pdtc10/index.php?action=vallex&amp;frame=v-w10548f2", "podarovat (v-w10548f2)")</f>
        <v>podarovat (v-w10548f2)</v>
      </c>
    </row>
    <row r="26408" customFormat="false" ht="12.8" hidden="false" customHeight="false" outlineLevel="0" collapsed="false">
      <c r="B26408" s="0" t="s">
        <v>1</v>
      </c>
    </row>
    <row r="26409" customFormat="false" ht="12.8" hidden="false" customHeight="false" outlineLevel="0" collapsed="false">
      <c r="B26409" s="0" t="s">
        <v>8</v>
      </c>
    </row>
    <row r="26411" customFormat="false" ht="12.8" hidden="false" customHeight="false" outlineLevel="0" collapsed="false">
      <c r="A26411" s="0" t="s">
        <v>10680</v>
      </c>
      <c r="B26411" s="0" t="str">
        <f aca="false">HYPERLINK("https://lindat.mff.cuni.cz/services/teitok/pdtc10/index.php?action=vallex&amp;frame=v-w3541f9", "podat (v-w3541f9)")</f>
        <v>podat (v-w3541f9)</v>
      </c>
      <c r="E26411" s="0" t="str">
        <f aca="false">HYPERLINK("https://lindat.mff.cuni.cz/services/SynSemClass40/SynSemClass40.html?veclass=vec00557#vec00557-ces-cm00044", "vec00557")</f>
        <v>vec00557</v>
      </c>
      <c r="F26411" s="0" t="s">
        <v>10681</v>
      </c>
    </row>
    <row r="26412" customFormat="false" ht="12.8" hidden="false" customHeight="false" outlineLevel="0" collapsed="false">
      <c r="B26412" s="0" t="s">
        <v>1</v>
      </c>
      <c r="C26412" s="0" t="s">
        <v>6310</v>
      </c>
      <c r="E26412" s="0" t="s">
        <v>147</v>
      </c>
      <c r="F26412" s="0" t="s">
        <v>10682</v>
      </c>
    </row>
    <row r="26413" customFormat="false" ht="12.8" hidden="false" customHeight="false" outlineLevel="0" collapsed="false">
      <c r="B26413" s="0" t="s">
        <v>500</v>
      </c>
      <c r="C26413" s="0" t="s">
        <v>4627</v>
      </c>
      <c r="E26413" s="0" t="s">
        <v>218</v>
      </c>
      <c r="F26413" s="0" t="s">
        <v>4978</v>
      </c>
    </row>
    <row r="26414" customFormat="false" ht="12.8" hidden="false" customHeight="false" outlineLevel="0" collapsed="false">
      <c r="B26414" s="0" t="s">
        <v>52</v>
      </c>
      <c r="C26414" s="0" t="s">
        <v>10683</v>
      </c>
      <c r="E26414" s="0" t="s">
        <v>221</v>
      </c>
      <c r="F26414" s="0" t="s">
        <v>10684</v>
      </c>
    </row>
    <row r="26416" customFormat="false" ht="12.8" hidden="false" customHeight="false" outlineLevel="0" collapsed="false">
      <c r="A26416" s="0" t="s">
        <v>10685</v>
      </c>
      <c r="B26416" s="0" t="str">
        <f aca="false">HYPERLINK("https://lindat.mff.cuni.cz/services/teitok/pdtc10/index.php?action=vallex&amp;frame=v-w3541f2", "podat (v-w3541f2)")</f>
        <v>podat (v-w3541f2)</v>
      </c>
    </row>
    <row r="26417" customFormat="false" ht="12.8" hidden="false" customHeight="false" outlineLevel="0" collapsed="false">
      <c r="B26417" s="0" t="s">
        <v>1</v>
      </c>
    </row>
    <row r="26418" customFormat="false" ht="12.8" hidden="false" customHeight="false" outlineLevel="0" collapsed="false">
      <c r="B26418" s="0" t="s">
        <v>8</v>
      </c>
    </row>
    <row r="26419" customFormat="false" ht="12.8" hidden="false" customHeight="false" outlineLevel="0" collapsed="false">
      <c r="B26419" s="0" t="s">
        <v>52</v>
      </c>
    </row>
    <row r="26421" customFormat="false" ht="12.8" hidden="false" customHeight="false" outlineLevel="0" collapsed="false">
      <c r="A26421" s="0" t="s">
        <v>10686</v>
      </c>
      <c r="B26421" s="0" t="str">
        <f aca="false">HYPERLINK("https://lindat.mff.cuni.cz/services/teitok/pdtc10/index.php?action=vallex&amp;frame=v-w3541f10", "podat (v-w3541f10)")</f>
        <v>podat (v-w3541f10)</v>
      </c>
      <c r="E26421" s="0" t="str">
        <f aca="false">HYPERLINK("https://lindat.mff.cuni.cz/services/SynSemClass40/SynSemClass40.html?veclass=vec01256#vec01256-ces-cm00003", "vec01256")</f>
        <v>vec01256</v>
      </c>
      <c r="F26421" s="0" t="s">
        <v>2194</v>
      </c>
    </row>
    <row r="26422" customFormat="false" ht="12.8" hidden="false" customHeight="false" outlineLevel="0" collapsed="false">
      <c r="B26422" s="0" t="s">
        <v>1</v>
      </c>
      <c r="C26422" s="0" t="s">
        <v>3675</v>
      </c>
      <c r="E26422" s="0" t="s">
        <v>31</v>
      </c>
      <c r="F26422" s="0" t="s">
        <v>2198</v>
      </c>
    </row>
    <row r="26423" customFormat="false" ht="12.8" hidden="false" customHeight="false" outlineLevel="0" collapsed="false">
      <c r="B26423" s="0" t="s">
        <v>8</v>
      </c>
      <c r="C26423" s="0" t="s">
        <v>3676</v>
      </c>
      <c r="E26423" s="0" t="s">
        <v>1875</v>
      </c>
      <c r="F26423" s="0" t="s">
        <v>2202</v>
      </c>
    </row>
    <row r="26424" customFormat="false" ht="12.8" hidden="false" customHeight="false" outlineLevel="0" collapsed="false">
      <c r="B26424" s="0" t="s">
        <v>52</v>
      </c>
      <c r="C26424" s="0" t="s">
        <v>3677</v>
      </c>
      <c r="E26424" s="0" t="s">
        <v>53</v>
      </c>
      <c r="F26424" s="0" t="s">
        <v>2205</v>
      </c>
    </row>
    <row r="26426" customFormat="false" ht="12.8" hidden="false" customHeight="false" outlineLevel="0" collapsed="false">
      <c r="A26426" s="0" t="s">
        <v>10687</v>
      </c>
      <c r="B26426" s="0" t="str">
        <f aca="false">HYPERLINK("https://lindat.mff.cuni.cz/services/teitok/pdtc10/index.php?action=vallex&amp;frame=v-w3541f12", "podat (v-w3541f12)")</f>
        <v>podat (v-w3541f12)</v>
      </c>
    </row>
    <row r="26427" customFormat="false" ht="12.8" hidden="false" customHeight="false" outlineLevel="0" collapsed="false">
      <c r="B26427" s="0" t="s">
        <v>1</v>
      </c>
    </row>
    <row r="26428" customFormat="false" ht="12.8" hidden="false" customHeight="false" outlineLevel="0" collapsed="false">
      <c r="B26428" s="0" t="s">
        <v>8</v>
      </c>
    </row>
    <row r="26429" customFormat="false" ht="12.8" hidden="false" customHeight="false" outlineLevel="0" collapsed="false">
      <c r="B26429" s="0" t="s">
        <v>52</v>
      </c>
    </row>
    <row r="26431" customFormat="false" ht="12.8" hidden="false" customHeight="false" outlineLevel="0" collapsed="false">
      <c r="A26431" s="0" t="s">
        <v>10688</v>
      </c>
      <c r="B26431" s="0" t="str">
        <f aca="false">HYPERLINK("https://lindat.mff.cuni.cz/services/teitok/pdtc10/index.php?action=vallex&amp;frame=v-w3541f5", "podat (v-w3541f5)")</f>
        <v>podat (v-w3541f5)</v>
      </c>
    </row>
    <row r="26432" customFormat="false" ht="12.8" hidden="false" customHeight="false" outlineLevel="0" collapsed="false">
      <c r="B26432" s="0" t="s">
        <v>1</v>
      </c>
    </row>
    <row r="26433" customFormat="false" ht="12.8" hidden="false" customHeight="false" outlineLevel="0" collapsed="false">
      <c r="B26433" s="0" t="s">
        <v>8</v>
      </c>
    </row>
    <row r="26434" customFormat="false" ht="12.8" hidden="false" customHeight="false" outlineLevel="0" collapsed="false">
      <c r="B26434" s="0" t="s">
        <v>5</v>
      </c>
    </row>
    <row r="26436" customFormat="false" ht="12.8" hidden="false" customHeight="false" outlineLevel="0" collapsed="false">
      <c r="A26436" s="0" t="s">
        <v>10689</v>
      </c>
      <c r="B26436" s="0" t="str">
        <f aca="false">HYPERLINK("https://lindat.mff.cuni.cz/services/teitok/pdtc10/index.php?action=vallex&amp;frame=v-w3541f7", "podat (v-w3541f7)")</f>
        <v>podat (v-w3541f7)</v>
      </c>
    </row>
    <row r="26437" customFormat="false" ht="12.8" hidden="false" customHeight="false" outlineLevel="0" collapsed="false">
      <c r="B26437" s="0" t="s">
        <v>1</v>
      </c>
    </row>
    <row r="26438" customFormat="false" ht="12.8" hidden="false" customHeight="false" outlineLevel="0" collapsed="false">
      <c r="B26438" s="0" t="s">
        <v>8</v>
      </c>
    </row>
    <row r="26439" customFormat="false" ht="12.8" hidden="false" customHeight="false" outlineLevel="0" collapsed="false">
      <c r="B26439" s="0" t="s">
        <v>164</v>
      </c>
    </row>
    <row r="26441" customFormat="false" ht="12.8" hidden="false" customHeight="false" outlineLevel="0" collapsed="false">
      <c r="A26441" s="0" t="s">
        <v>10690</v>
      </c>
      <c r="B26441" s="0" t="str">
        <f aca="false">HYPERLINK("https://lindat.mff.cuni.cz/services/teitok/pdtc10/index.php?action=vallex&amp;frame=v-w3541f11", "podat (v-w3541f11)")</f>
        <v>podat (v-w3541f11)</v>
      </c>
    </row>
    <row r="26442" customFormat="false" ht="12.8" hidden="false" customHeight="false" outlineLevel="0" collapsed="false">
      <c r="B26442" s="0" t="s">
        <v>1</v>
      </c>
    </row>
    <row r="26444" customFormat="false" ht="12.8" hidden="false" customHeight="false" outlineLevel="0" collapsed="false">
      <c r="A26444" s="0" t="s">
        <v>10691</v>
      </c>
      <c r="B26444" s="0" t="str">
        <f aca="false">HYPERLINK("https://lindat.mff.cuni.cz/services/teitok/pdtc10/index.php?action=vallex&amp;frame=v-w3541f18_ZU", "podat (v-w3541f18_ZU)")</f>
        <v>podat (v-w3541f18_ZU)</v>
      </c>
    </row>
    <row r="26445" customFormat="false" ht="12.8" hidden="false" customHeight="false" outlineLevel="0" collapsed="false">
      <c r="B26445" s="0" t="s">
        <v>1</v>
      </c>
    </row>
    <row r="26446" customFormat="false" ht="12.8" hidden="false" customHeight="false" outlineLevel="0" collapsed="false">
      <c r="B26446" s="0" t="s">
        <v>10692</v>
      </c>
    </row>
    <row r="26447" customFormat="false" ht="12.8" hidden="false" customHeight="false" outlineLevel="0" collapsed="false">
      <c r="B26447" s="0" t="s">
        <v>52</v>
      </c>
    </row>
    <row r="26449" customFormat="false" ht="12.8" hidden="false" customHeight="false" outlineLevel="0" collapsed="false">
      <c r="A26449" s="0" t="s">
        <v>10691</v>
      </c>
      <c r="B26449" s="0" t="str">
        <f aca="false">HYPERLINK("https://lindat.mff.cuni.cz/services/teitok/pdtc10/index.php?action=vallex&amp;frame=v-w3541f1", "podat (v-w3541f1) - substituted with v-w3541f18_ZU")</f>
        <v>podat (v-w3541f1) - substituted with v-w3541f18_ZU</v>
      </c>
    </row>
    <row r="26450" customFormat="false" ht="12.8" hidden="false" customHeight="false" outlineLevel="0" collapsed="false">
      <c r="B26450" s="0" t="s">
        <v>1</v>
      </c>
    </row>
    <row r="26451" customFormat="false" ht="12.8" hidden="false" customHeight="false" outlineLevel="0" collapsed="false">
      <c r="B26451" s="0" t="s">
        <v>10692</v>
      </c>
    </row>
    <row r="26452" customFormat="false" ht="12.8" hidden="false" customHeight="false" outlineLevel="0" collapsed="false">
      <c r="B26452" s="0" t="s">
        <v>52</v>
      </c>
    </row>
    <row r="26454" customFormat="false" ht="12.8" hidden="false" customHeight="false" outlineLevel="0" collapsed="false">
      <c r="A26454" s="0" t="s">
        <v>10691</v>
      </c>
      <c r="B26454" s="0" t="str">
        <f aca="false">HYPERLINK("https://lindat.mff.cuni.cz/services/teitok/pdtc10/index.php?action=vallex&amp;frame=v-w3541f13_ZU", "podat (v-w3541f13_ZU) - substituted with v-w3541f18_ZU")</f>
        <v>podat (v-w3541f13_ZU) - substituted with v-w3541f18_ZU</v>
      </c>
    </row>
    <row r="26455" customFormat="false" ht="12.8" hidden="false" customHeight="false" outlineLevel="0" collapsed="false">
      <c r="B26455" s="0" t="s">
        <v>1</v>
      </c>
    </row>
    <row r="26456" customFormat="false" ht="12.8" hidden="false" customHeight="false" outlineLevel="0" collapsed="false">
      <c r="B26456" s="0" t="s">
        <v>10692</v>
      </c>
    </row>
    <row r="26457" customFormat="false" ht="12.8" hidden="false" customHeight="false" outlineLevel="0" collapsed="false">
      <c r="B26457" s="0" t="s">
        <v>52</v>
      </c>
    </row>
    <row r="26459" customFormat="false" ht="12.8" hidden="false" customHeight="false" outlineLevel="0" collapsed="false">
      <c r="A26459" s="0" t="s">
        <v>10691</v>
      </c>
      <c r="B26459" s="0" t="str">
        <f aca="false">HYPERLINK("https://lindat.mff.cuni.cz/services/teitok/pdtc10/index.php?action=vallex&amp;frame=v-w3541f14_ZU", "podat (v-w3541f14_ZU) - substituted with v-w3541f18_ZU")</f>
        <v>podat (v-w3541f14_ZU) - substituted with v-w3541f18_ZU</v>
      </c>
    </row>
    <row r="26460" customFormat="false" ht="12.8" hidden="false" customHeight="false" outlineLevel="0" collapsed="false">
      <c r="B26460" s="0" t="s">
        <v>1</v>
      </c>
    </row>
    <row r="26461" customFormat="false" ht="12.8" hidden="false" customHeight="false" outlineLevel="0" collapsed="false">
      <c r="B26461" s="0" t="s">
        <v>10692</v>
      </c>
    </row>
    <row r="26462" customFormat="false" ht="12.8" hidden="false" customHeight="false" outlineLevel="0" collapsed="false">
      <c r="B26462" s="0" t="s">
        <v>52</v>
      </c>
    </row>
    <row r="26464" customFormat="false" ht="12.8" hidden="false" customHeight="false" outlineLevel="0" collapsed="false">
      <c r="A26464" s="0" t="s">
        <v>10691</v>
      </c>
      <c r="B26464" s="0" t="str">
        <f aca="false">HYPERLINK("https://lindat.mff.cuni.cz/services/teitok/pdtc10/index.php?action=vallex&amp;frame=v-w3541f15_ZU", "podat (v-w3541f15_ZU) - substituted with v-w3541f18_ZU")</f>
        <v>podat (v-w3541f15_ZU) - substituted with v-w3541f18_ZU</v>
      </c>
    </row>
    <row r="26465" customFormat="false" ht="12.8" hidden="false" customHeight="false" outlineLevel="0" collapsed="false">
      <c r="B26465" s="0" t="s">
        <v>1</v>
      </c>
    </row>
    <row r="26466" customFormat="false" ht="12.8" hidden="false" customHeight="false" outlineLevel="0" collapsed="false">
      <c r="B26466" s="0" t="s">
        <v>10692</v>
      </c>
    </row>
    <row r="26467" customFormat="false" ht="12.8" hidden="false" customHeight="false" outlineLevel="0" collapsed="false">
      <c r="B26467" s="0" t="s">
        <v>52</v>
      </c>
    </row>
    <row r="26469" customFormat="false" ht="12.8" hidden="false" customHeight="false" outlineLevel="0" collapsed="false">
      <c r="A26469" s="0" t="s">
        <v>10691</v>
      </c>
      <c r="B26469" s="0" t="str">
        <f aca="false">HYPERLINK("https://lindat.mff.cuni.cz/services/teitok/pdtc10/index.php?action=vallex&amp;frame=v-w3541f16_ZU", "podat (v-w3541f16_ZU) - substituted with v-w3541f18_ZU")</f>
        <v>podat (v-w3541f16_ZU) - substituted with v-w3541f18_ZU</v>
      </c>
    </row>
    <row r="26470" customFormat="false" ht="12.8" hidden="false" customHeight="false" outlineLevel="0" collapsed="false">
      <c r="B26470" s="0" t="s">
        <v>1</v>
      </c>
    </row>
    <row r="26471" customFormat="false" ht="12.8" hidden="false" customHeight="false" outlineLevel="0" collapsed="false">
      <c r="B26471" s="0" t="s">
        <v>10692</v>
      </c>
    </row>
    <row r="26472" customFormat="false" ht="12.8" hidden="false" customHeight="false" outlineLevel="0" collapsed="false">
      <c r="B26472" s="0" t="s">
        <v>52</v>
      </c>
    </row>
    <row r="26474" customFormat="false" ht="12.8" hidden="false" customHeight="false" outlineLevel="0" collapsed="false">
      <c r="A26474" s="0" t="s">
        <v>10691</v>
      </c>
      <c r="B26474" s="0" t="str">
        <f aca="false">HYPERLINK("https://lindat.mff.cuni.cz/services/teitok/pdtc10/index.php?action=vallex&amp;frame=v-w3541f17_ZU", "podat (v-w3541f17_ZU) - substituted with v-w3541f18_ZU")</f>
        <v>podat (v-w3541f17_ZU) - substituted with v-w3541f18_ZU</v>
      </c>
    </row>
    <row r="26475" customFormat="false" ht="12.8" hidden="false" customHeight="false" outlineLevel="0" collapsed="false">
      <c r="B26475" s="0" t="s">
        <v>1</v>
      </c>
    </row>
    <row r="26476" customFormat="false" ht="12.8" hidden="false" customHeight="false" outlineLevel="0" collapsed="false">
      <c r="B26476" s="0" t="s">
        <v>10692</v>
      </c>
    </row>
    <row r="26477" customFormat="false" ht="12.8" hidden="false" customHeight="false" outlineLevel="0" collapsed="false">
      <c r="B26477" s="0" t="s">
        <v>52</v>
      </c>
    </row>
    <row r="26479" customFormat="false" ht="12.8" hidden="false" customHeight="false" outlineLevel="0" collapsed="false">
      <c r="A26479" s="0" t="s">
        <v>10691</v>
      </c>
      <c r="B26479" s="0" t="str">
        <f aca="false">HYPERLINK("https://lindat.mff.cuni.cz/services/teitok/pdtc10/index.php?action=vallex&amp;frame=v-w3541hsa_1049", "podat (v-w3541hsa_1049) - substituted with v-w3541f18_ZU")</f>
        <v>podat (v-w3541hsa_1049) - substituted with v-w3541f18_ZU</v>
      </c>
      <c r="E26479" s="0" t="str">
        <f aca="false">HYPERLINK("https://lindat.mff.cuni.cz/services/SynSemClass40/SynSemClass40.html?veclass=vec00033#vec00033-ces-cm00050", "vec00033")</f>
        <v>vec00033</v>
      </c>
      <c r="F26479" s="0" t="s">
        <v>3408</v>
      </c>
      <c r="H26479" s="0" t="str">
        <f aca="false">HYPERLINK("https://lindat.mff.cuni.cz/services/SynSemClass40/SynSemClass40.html?veclass=vec00272#vec00272-ces-cm00108", "vec00272")</f>
        <v>vec00272</v>
      </c>
      <c r="I26479" s="0" t="s">
        <v>1490</v>
      </c>
    </row>
    <row r="26480" customFormat="false" ht="12.8" hidden="false" customHeight="false" outlineLevel="0" collapsed="false">
      <c r="B26480" s="0" t="s">
        <v>1</v>
      </c>
      <c r="C26480" s="0" t="s">
        <v>10693</v>
      </c>
      <c r="E26480" s="0" t="s">
        <v>3410</v>
      </c>
      <c r="F26480" s="0" t="s">
        <v>3411</v>
      </c>
      <c r="H26480" s="0" t="s">
        <v>1492</v>
      </c>
      <c r="I26480" s="0" t="s">
        <v>1493</v>
      </c>
    </row>
    <row r="26481" customFormat="false" ht="12.8" hidden="false" customHeight="false" outlineLevel="0" collapsed="false">
      <c r="B26481" s="0" t="s">
        <v>10692</v>
      </c>
      <c r="C26481" s="0" t="s">
        <v>10694</v>
      </c>
      <c r="E26481" s="0" t="s">
        <v>3471</v>
      </c>
      <c r="F26481" s="0" t="s">
        <v>3472</v>
      </c>
      <c r="H26481" s="0" t="s">
        <v>10695</v>
      </c>
      <c r="I26481" s="0" t="s">
        <v>10696</v>
      </c>
    </row>
    <row r="26482" customFormat="false" ht="12.8" hidden="false" customHeight="false" outlineLevel="0" collapsed="false">
      <c r="B26482" s="0" t="s">
        <v>52</v>
      </c>
      <c r="C26482" s="0" t="s">
        <v>10697</v>
      </c>
      <c r="E26482" s="0" t="s">
        <v>53</v>
      </c>
      <c r="F26482" s="0" t="s">
        <v>3416</v>
      </c>
      <c r="H26482" s="0" t="s">
        <v>564</v>
      </c>
      <c r="I26482" s="0" t="s">
        <v>10698</v>
      </c>
    </row>
    <row r="26484" customFormat="false" ht="12.8" hidden="false" customHeight="false" outlineLevel="0" collapsed="false">
      <c r="A26484" s="0" t="s">
        <v>10699</v>
      </c>
      <c r="B26484" s="0" t="str">
        <f aca="false">HYPERLINK("https://lindat.mff.cuni.cz/services/teitok/pdtc10/index.php?action=vallex&amp;frame=v-w3541hsa_1052", "podat (v-w3541hsa_1052)")</f>
        <v>podat (v-w3541hsa_1052)</v>
      </c>
      <c r="E26484" s="0" t="str">
        <f aca="false">HYPERLINK("https://lindat.mff.cuni.cz/services/SynSemClass40/SynSemClass40.html?veclass=vec00033#vec00033-ces-cm00158", "vec00033")</f>
        <v>vec00033</v>
      </c>
      <c r="F26484" s="0" t="s">
        <v>3408</v>
      </c>
      <c r="H26484" s="0" t="str">
        <f aca="false">HYPERLINK("https://lindat.mff.cuni.cz/services/SynSemClass40/SynSemClass40.html?veclass=vec00272#vec00272-ces-cm00109", "vec00272")</f>
        <v>vec00272</v>
      </c>
      <c r="I26484" s="0" t="s">
        <v>1490</v>
      </c>
    </row>
    <row r="26485" customFormat="false" ht="12.8" hidden="false" customHeight="false" outlineLevel="0" collapsed="false">
      <c r="B26485" s="0" t="s">
        <v>1</v>
      </c>
      <c r="C26485" s="0" t="s">
        <v>10693</v>
      </c>
      <c r="E26485" s="0" t="s">
        <v>3410</v>
      </c>
      <c r="F26485" s="0" t="s">
        <v>3411</v>
      </c>
      <c r="H26485" s="0" t="s">
        <v>1492</v>
      </c>
      <c r="I26485" s="0" t="s">
        <v>1493</v>
      </c>
    </row>
    <row r="26486" customFormat="false" ht="12.8" hidden="false" customHeight="false" outlineLevel="0" collapsed="false">
      <c r="B26486" s="0" t="s">
        <v>10700</v>
      </c>
      <c r="C26486" s="0" t="s">
        <v>10694</v>
      </c>
      <c r="E26486" s="0" t="s">
        <v>3471</v>
      </c>
      <c r="F26486" s="0" t="s">
        <v>3472</v>
      </c>
      <c r="H26486" s="0" t="s">
        <v>10695</v>
      </c>
      <c r="I26486" s="0" t="s">
        <v>10696</v>
      </c>
    </row>
    <row r="26487" customFormat="false" ht="12.8" hidden="false" customHeight="false" outlineLevel="0" collapsed="false">
      <c r="B26487" s="0" t="s">
        <v>5</v>
      </c>
      <c r="C26487" s="0" t="s">
        <v>10701</v>
      </c>
      <c r="E26487" s="0" t="s">
        <v>10702</v>
      </c>
      <c r="F26487" s="0" t="s">
        <v>10703</v>
      </c>
      <c r="H26487" s="0" t="s">
        <v>10704</v>
      </c>
      <c r="I26487" s="0" t="s">
        <v>10705</v>
      </c>
    </row>
    <row r="26489" customFormat="false" ht="12.8" hidden="false" customHeight="false" outlineLevel="0" collapsed="false">
      <c r="A26489" s="0" t="s">
        <v>10699</v>
      </c>
      <c r="B26489" s="0" t="str">
        <f aca="false">HYPERLINK("https://lindat.mff.cuni.cz/services/teitok/pdtc10/index.php?action=vallex&amp;frame=v-w3541f8", "podat (v-w3541f8) - substituted with v-w3541hsa_1052")</f>
        <v>podat (v-w3541f8) - substituted with v-w3541hsa_1052</v>
      </c>
    </row>
    <row r="26490" customFormat="false" ht="12.8" hidden="false" customHeight="false" outlineLevel="0" collapsed="false">
      <c r="B26490" s="0" t="s">
        <v>1</v>
      </c>
    </row>
    <row r="26491" customFormat="false" ht="12.8" hidden="false" customHeight="false" outlineLevel="0" collapsed="false">
      <c r="B26491" s="0" t="s">
        <v>10700</v>
      </c>
    </row>
    <row r="26492" customFormat="false" ht="12.8" hidden="false" customHeight="false" outlineLevel="0" collapsed="false">
      <c r="B26492" s="0" t="s">
        <v>5</v>
      </c>
    </row>
    <row r="26494" customFormat="false" ht="12.8" hidden="false" customHeight="false" outlineLevel="0" collapsed="false">
      <c r="A26494" s="0" t="s">
        <v>10699</v>
      </c>
      <c r="B26494" s="0" t="str">
        <f aca="false">HYPERLINK("https://lindat.mff.cuni.cz/services/teitok/pdtc10/index.php?action=vallex&amp;frame=v-w3541hsa_1050", "podat (v-w3541hsa_1050) - substituted with v-w3541hsa_1052")</f>
        <v>podat (v-w3541hsa_1050) - substituted with v-w3541hsa_1052</v>
      </c>
    </row>
    <row r="26495" customFormat="false" ht="12.8" hidden="false" customHeight="false" outlineLevel="0" collapsed="false">
      <c r="B26495" s="0" t="s">
        <v>1</v>
      </c>
    </row>
    <row r="26496" customFormat="false" ht="12.8" hidden="false" customHeight="false" outlineLevel="0" collapsed="false">
      <c r="B26496" s="0" t="s">
        <v>10700</v>
      </c>
    </row>
    <row r="26497" customFormat="false" ht="12.8" hidden="false" customHeight="false" outlineLevel="0" collapsed="false">
      <c r="B26497" s="0" t="s">
        <v>5</v>
      </c>
    </row>
    <row r="26499" customFormat="false" ht="12.8" hidden="false" customHeight="false" outlineLevel="0" collapsed="false">
      <c r="A26499" s="0" t="s">
        <v>10706</v>
      </c>
      <c r="B26499" s="0" t="str">
        <f aca="false">HYPERLINK("https://lindat.mff.cuni.cz/services/teitok/pdtc10/index.php?action=vallex&amp;frame=v-w3541hsa_1051", "podat (v-w3541hsa_1051)")</f>
        <v>podat (v-w3541hsa_1051)</v>
      </c>
    </row>
    <row r="26500" customFormat="false" ht="12.8" hidden="false" customHeight="false" outlineLevel="0" collapsed="false">
      <c r="B26500" s="0" t="s">
        <v>1</v>
      </c>
    </row>
    <row r="26501" customFormat="false" ht="12.8" hidden="false" customHeight="false" outlineLevel="0" collapsed="false">
      <c r="B26501" s="0" t="s">
        <v>10707</v>
      </c>
    </row>
    <row r="26502" customFormat="false" ht="12.8" hidden="false" customHeight="false" outlineLevel="0" collapsed="false">
      <c r="B26502" s="0" t="s">
        <v>164</v>
      </c>
    </row>
    <row r="26504" customFormat="false" ht="12.8" hidden="false" customHeight="false" outlineLevel="0" collapsed="false">
      <c r="A26504" s="0" t="s">
        <v>10706</v>
      </c>
      <c r="B26504" s="0" t="str">
        <f aca="false">HYPERLINK("https://lindat.mff.cuni.cz/services/teitok/pdtc10/index.php?action=vallex&amp;frame=v-w3541f6", "podat (v-w3541f6) - substituted with v-w3541hsa_1051")</f>
        <v>podat (v-w3541f6) - substituted with v-w3541hsa_1051</v>
      </c>
    </row>
    <row r="26505" customFormat="false" ht="12.8" hidden="false" customHeight="false" outlineLevel="0" collapsed="false">
      <c r="B26505" s="0" t="s">
        <v>1</v>
      </c>
    </row>
    <row r="26506" customFormat="false" ht="12.8" hidden="false" customHeight="false" outlineLevel="0" collapsed="false">
      <c r="B26506" s="0" t="s">
        <v>10707</v>
      </c>
    </row>
    <row r="26507" customFormat="false" ht="12.8" hidden="false" customHeight="false" outlineLevel="0" collapsed="false">
      <c r="B26507" s="0" t="s">
        <v>164</v>
      </c>
    </row>
    <row r="26509" customFormat="false" ht="12.8" hidden="false" customHeight="false" outlineLevel="0" collapsed="false">
      <c r="A26509" s="0" t="s">
        <v>10708</v>
      </c>
      <c r="B26509" s="0" t="str">
        <f aca="false">HYPERLINK("https://lindat.mff.cuni.cz/services/teitok/pdtc10/index.php?action=vallex&amp;frame=v-w3541f4", "podat (v-w3541f4)")</f>
        <v>podat (v-w3541f4)</v>
      </c>
    </row>
    <row r="26510" customFormat="false" ht="12.8" hidden="false" customHeight="false" outlineLevel="0" collapsed="false">
      <c r="B26510" s="0" t="s">
        <v>1</v>
      </c>
    </row>
    <row r="26511" customFormat="false" ht="12.8" hidden="false" customHeight="false" outlineLevel="0" collapsed="false">
      <c r="B26511" s="0" t="s">
        <v>10709</v>
      </c>
    </row>
    <row r="26513" customFormat="false" ht="12.8" hidden="false" customHeight="false" outlineLevel="0" collapsed="false">
      <c r="A26513" s="0" t="s">
        <v>10710</v>
      </c>
      <c r="B26513" s="0" t="str">
        <f aca="false">HYPERLINK("https://lindat.mff.cuni.cz/services/teitok/pdtc10/index.php?action=vallex&amp;frame=v-w3541f3", "podat (v-w3541f3)")</f>
        <v>podat (v-w3541f3)</v>
      </c>
    </row>
    <row r="26514" customFormat="false" ht="12.8" hidden="false" customHeight="false" outlineLevel="0" collapsed="false">
      <c r="B26514" s="0" t="s">
        <v>1</v>
      </c>
    </row>
    <row r="26515" customFormat="false" ht="12.8" hidden="false" customHeight="false" outlineLevel="0" collapsed="false">
      <c r="B26515" s="0" t="s">
        <v>10711</v>
      </c>
    </row>
    <row r="26517" customFormat="false" ht="12.8" hidden="false" customHeight="false" outlineLevel="0" collapsed="false">
      <c r="A26517" s="0" t="s">
        <v>10712</v>
      </c>
      <c r="B26517" s="0" t="str">
        <f aca="false">HYPERLINK("https://lindat.mff.cuni.cz/services/teitok/pdtc10/index.php?action=vallex&amp;frame=v-w3542f1", "podat si (v-w3542f1)")</f>
        <v>podat si (v-w3542f1)</v>
      </c>
    </row>
    <row r="26518" customFormat="false" ht="12.8" hidden="false" customHeight="false" outlineLevel="0" collapsed="false">
      <c r="B26518" s="0" t="s">
        <v>1</v>
      </c>
    </row>
    <row r="26519" customFormat="false" ht="12.8" hidden="false" customHeight="false" outlineLevel="0" collapsed="false">
      <c r="B26519" s="0" t="s">
        <v>8</v>
      </c>
    </row>
    <row r="26521" customFormat="false" ht="12.8" hidden="false" customHeight="false" outlineLevel="0" collapsed="false">
      <c r="A26521" s="0" t="s">
        <v>10713</v>
      </c>
      <c r="B26521" s="0" t="str">
        <f aca="false">HYPERLINK("https://lindat.mff.cuni.cz/services/teitok/pdtc10/index.php?action=vallex&amp;frame=v-w3542f3_ZU", "podat si (v-w3542f3_ZU)")</f>
        <v>podat si (v-w3542f3_ZU)</v>
      </c>
    </row>
    <row r="26522" customFormat="false" ht="12.8" hidden="false" customHeight="false" outlineLevel="0" collapsed="false">
      <c r="B26522" s="0" t="s">
        <v>1</v>
      </c>
    </row>
    <row r="26523" customFormat="false" ht="12.8" hidden="false" customHeight="false" outlineLevel="0" collapsed="false">
      <c r="B26523" s="0" t="s">
        <v>10714</v>
      </c>
    </row>
    <row r="26524" customFormat="false" ht="12.8" hidden="false" customHeight="false" outlineLevel="0" collapsed="false">
      <c r="B26524" s="0" t="s">
        <v>721</v>
      </c>
    </row>
    <row r="26526" customFormat="false" ht="12.8" hidden="false" customHeight="false" outlineLevel="0" collapsed="false">
      <c r="A26526" s="0" t="s">
        <v>10713</v>
      </c>
      <c r="B26526" s="0" t="str">
        <f aca="false">HYPERLINK("https://lindat.mff.cuni.cz/services/teitok/pdtc10/index.php?action=vallex&amp;frame=v-w3542f2_ZU", "podat si (v-w3542f2_ZU) - substituted with v-w3542f3_ZU")</f>
        <v>podat si (v-w3542f2_ZU) - substituted with v-w3542f3_ZU</v>
      </c>
    </row>
    <row r="26527" customFormat="false" ht="12.8" hidden="false" customHeight="false" outlineLevel="0" collapsed="false">
      <c r="B26527" s="0" t="s">
        <v>1</v>
      </c>
    </row>
    <row r="26528" customFormat="false" ht="12.8" hidden="false" customHeight="false" outlineLevel="0" collapsed="false">
      <c r="B26528" s="0" t="s">
        <v>10714</v>
      </c>
    </row>
    <row r="26529" customFormat="false" ht="12.8" hidden="false" customHeight="false" outlineLevel="0" collapsed="false">
      <c r="B26529" s="0" t="s">
        <v>721</v>
      </c>
    </row>
    <row r="26531" customFormat="false" ht="12.8" hidden="false" customHeight="false" outlineLevel="0" collapsed="false">
      <c r="A26531" s="0" t="s">
        <v>10715</v>
      </c>
      <c r="B26531" s="0" t="str">
        <f aca="false">HYPERLINK("https://lindat.mff.cuni.cz/services/teitok/pdtc10/index.php?action=vallex&amp;frame=v-w3540f1", "podařit se (v-w3540f1)")</f>
        <v>podařit se (v-w3540f1)</v>
      </c>
      <c r="E26531" s="0" t="str">
        <f aca="false">HYPERLINK("https://lindat.mff.cuni.cz/services/SynSemClass40/SynSemClass40.html?veclass=vec00257#vec00257-ces-cm00001", "vec00257")</f>
        <v>vec00257</v>
      </c>
      <c r="F26531" s="0" t="s">
        <v>1804</v>
      </c>
      <c r="H26531" s="0" t="str">
        <f aca="false">HYPERLINK("https://lindat.mff.cuni.cz/services/SynSemClass40/SynSemClass40.html?veclass=vec01393#vec01393-ces-cm00022", "vec01393")</f>
        <v>vec01393</v>
      </c>
      <c r="I26531" s="0" t="s">
        <v>2162</v>
      </c>
      <c r="K26531" s="0" t="str">
        <f aca="false">HYPERLINK("https://lindat.mff.cuni.cz/services/SynSemClass40/SynSemClass40.html?veclass=vec01455#vec01455-ces-cm00022", "vec01455")</f>
        <v>vec01455</v>
      </c>
      <c r="L26531" s="0" t="s">
        <v>888</v>
      </c>
    </row>
    <row r="26532" customFormat="false" ht="12.8" hidden="false" customHeight="false" outlineLevel="0" collapsed="false">
      <c r="B26532" s="0" t="s">
        <v>804</v>
      </c>
      <c r="C26532" s="0" t="s">
        <v>10716</v>
      </c>
      <c r="E26532" s="0" t="s">
        <v>11</v>
      </c>
      <c r="F26532" s="0" t="s">
        <v>1806</v>
      </c>
      <c r="H26532" s="0" t="s">
        <v>11</v>
      </c>
      <c r="I26532" s="0" t="s">
        <v>2164</v>
      </c>
      <c r="K26532" s="0" t="s">
        <v>11</v>
      </c>
      <c r="L26532" s="0" t="s">
        <v>890</v>
      </c>
    </row>
    <row r="26533" customFormat="false" ht="12.8" hidden="false" customHeight="false" outlineLevel="0" collapsed="false">
      <c r="B26533" s="0" t="s">
        <v>10717</v>
      </c>
      <c r="C26533" s="0" t="s">
        <v>10718</v>
      </c>
      <c r="E26533" s="0" t="s">
        <v>1809</v>
      </c>
      <c r="F26533" s="0" t="s">
        <v>1810</v>
      </c>
      <c r="H26533" s="0" t="s">
        <v>1809</v>
      </c>
      <c r="I26533" s="0" t="s">
        <v>2166</v>
      </c>
      <c r="K26533" s="0" t="s">
        <v>893</v>
      </c>
      <c r="L26533" s="0" t="s">
        <v>894</v>
      </c>
    </row>
    <row r="26535" customFormat="false" ht="12.8" hidden="false" customHeight="false" outlineLevel="0" collapsed="false">
      <c r="A26535" s="0" t="s">
        <v>10719</v>
      </c>
      <c r="B26535" s="0" t="str">
        <f aca="false">HYPERLINK("https://lindat.mff.cuni.cz/services/teitok/pdtc10/index.php?action=vallex&amp;frame=v-w11172f2", "podbarvit (v-w11172f2)")</f>
        <v>podbarvit (v-w11172f2)</v>
      </c>
    </row>
    <row r="26536" customFormat="false" ht="12.8" hidden="false" customHeight="false" outlineLevel="0" collapsed="false">
      <c r="B26536" s="0" t="s">
        <v>1</v>
      </c>
    </row>
    <row r="26537" customFormat="false" ht="12.8" hidden="false" customHeight="false" outlineLevel="0" collapsed="false">
      <c r="B26537" s="0" t="s">
        <v>8</v>
      </c>
    </row>
    <row r="26539" customFormat="false" ht="12.8" hidden="false" customHeight="false" outlineLevel="0" collapsed="false">
      <c r="A26539" s="0" t="s">
        <v>10720</v>
      </c>
      <c r="B26539" s="0" t="str">
        <f aca="false">HYPERLINK("https://lindat.mff.cuni.cz/services/teitok/pdtc10/index.php?action=vallex&amp;frame=v-whsb_205f1_ZU", "podbíjet (v-whsb_205f1_ZU)")</f>
        <v>podbíjet (v-whsb_205f1_ZU)</v>
      </c>
    </row>
    <row r="26540" customFormat="false" ht="12.8" hidden="false" customHeight="false" outlineLevel="0" collapsed="false">
      <c r="B26540" s="0" t="s">
        <v>1</v>
      </c>
    </row>
    <row r="26541" customFormat="false" ht="12.8" hidden="false" customHeight="false" outlineLevel="0" collapsed="false">
      <c r="B26541" s="0" t="s">
        <v>8</v>
      </c>
    </row>
    <row r="26543" customFormat="false" ht="12.8" hidden="false" customHeight="false" outlineLevel="0" collapsed="false">
      <c r="A26543" s="0" t="s">
        <v>10720</v>
      </c>
      <c r="B26543" s="0" t="str">
        <f aca="false">HYPERLINK("https://lindat.mff.cuni.cz/services/teitok/pdtc10/index.php?action=vallex&amp;frame=v-whsb_205hsa_206", "podbíjet (v-whsb_205hsa_206) - substituted with v-whsb_205f1_ZU")</f>
        <v>podbíjet (v-whsb_205hsa_206) - substituted with v-whsb_205f1_ZU</v>
      </c>
    </row>
    <row r="26544" customFormat="false" ht="12.8" hidden="false" customHeight="false" outlineLevel="0" collapsed="false">
      <c r="B26544" s="0" t="s">
        <v>1</v>
      </c>
    </row>
    <row r="26545" customFormat="false" ht="12.8" hidden="false" customHeight="false" outlineLevel="0" collapsed="false">
      <c r="B26545" s="0" t="s">
        <v>8</v>
      </c>
    </row>
    <row r="26547" customFormat="false" ht="12.8" hidden="false" customHeight="false" outlineLevel="0" collapsed="false">
      <c r="A26547" s="0" t="s">
        <v>10721</v>
      </c>
      <c r="B26547" s="0" t="str">
        <f aca="false">HYPERLINK("https://lindat.mff.cuni.cz/services/teitok/pdtc10/index.php?action=vallex&amp;frame=v-w3547f1", "podbízet se (v-w3547f1)")</f>
        <v>podbízet se (v-w3547f1)</v>
      </c>
    </row>
    <row r="26548" customFormat="false" ht="12.8" hidden="false" customHeight="false" outlineLevel="0" collapsed="false">
      <c r="B26548" s="0" t="s">
        <v>1</v>
      </c>
    </row>
    <row r="26549" customFormat="false" ht="12.8" hidden="false" customHeight="false" outlineLevel="0" collapsed="false">
      <c r="B26549" s="0" t="s">
        <v>186</v>
      </c>
    </row>
    <row r="26551" customFormat="false" ht="12.8" hidden="false" customHeight="false" outlineLevel="0" collapsed="false">
      <c r="A26551" s="0" t="s">
        <v>10722</v>
      </c>
      <c r="B26551" s="0" t="str">
        <f aca="false">HYPERLINK("https://lindat.mff.cuni.cz/services/teitok/pdtc10/index.php?action=vallex&amp;frame=v-w3548f1", "podcenit (v-w3548f1)")</f>
        <v>podcenit (v-w3548f1)</v>
      </c>
      <c r="E26551" s="0" t="str">
        <f aca="false">HYPERLINK("https://lindat.mff.cuni.cz/services/SynSemClass40/SynSemClass40.html?veclass=vec00801#vec00801-ces-cm00006", "vec00801")</f>
        <v>vec00801</v>
      </c>
      <c r="F26551" s="0" t="s">
        <v>225</v>
      </c>
    </row>
    <row r="26552" customFormat="false" ht="12.8" hidden="false" customHeight="false" outlineLevel="0" collapsed="false">
      <c r="B26552" s="0" t="s">
        <v>1</v>
      </c>
      <c r="C26552" s="0" t="s">
        <v>226</v>
      </c>
      <c r="E26552" s="0" t="s">
        <v>31</v>
      </c>
      <c r="F26552" s="0" t="s">
        <v>227</v>
      </c>
    </row>
    <row r="26553" customFormat="false" ht="12.8" hidden="false" customHeight="false" outlineLevel="0" collapsed="false">
      <c r="B26553" s="0" t="s">
        <v>228</v>
      </c>
      <c r="C26553" s="0" t="s">
        <v>229</v>
      </c>
      <c r="E26553" s="0" t="s">
        <v>230</v>
      </c>
      <c r="F26553" s="0" t="s">
        <v>231</v>
      </c>
    </row>
    <row r="26555" customFormat="false" ht="12.8" hidden="false" customHeight="false" outlineLevel="0" collapsed="false">
      <c r="A26555" s="0" t="s">
        <v>10723</v>
      </c>
      <c r="B26555" s="0" t="str">
        <f aca="false">HYPERLINK("https://lindat.mff.cuni.cz/services/teitok/pdtc10/index.php?action=vallex&amp;frame=v-w3550f1", "podceňovat (v-w3550f1)")</f>
        <v>podceňovat (v-w3550f1)</v>
      </c>
      <c r="E26555" s="0" t="str">
        <f aca="false">HYPERLINK("https://lindat.mff.cuni.cz/services/SynSemClass40/SynSemClass40.html?veclass=vec00801#vec00801-ces-cm00007", "vec00801")</f>
        <v>vec00801</v>
      </c>
      <c r="F26555" s="0" t="s">
        <v>225</v>
      </c>
    </row>
    <row r="26556" customFormat="false" ht="12.8" hidden="false" customHeight="false" outlineLevel="0" collapsed="false">
      <c r="B26556" s="0" t="s">
        <v>1</v>
      </c>
      <c r="C26556" s="0" t="s">
        <v>226</v>
      </c>
      <c r="E26556" s="0" t="s">
        <v>31</v>
      </c>
      <c r="F26556" s="0" t="s">
        <v>227</v>
      </c>
    </row>
    <row r="26557" customFormat="false" ht="12.8" hidden="false" customHeight="false" outlineLevel="0" collapsed="false">
      <c r="B26557" s="0" t="s">
        <v>228</v>
      </c>
      <c r="C26557" s="0" t="s">
        <v>229</v>
      </c>
      <c r="E26557" s="0" t="s">
        <v>230</v>
      </c>
      <c r="F26557" s="0" t="s">
        <v>231</v>
      </c>
    </row>
    <row r="26559" customFormat="false" ht="12.8" hidden="false" customHeight="false" outlineLevel="0" collapsed="false">
      <c r="A26559" s="0" t="s">
        <v>10724</v>
      </c>
      <c r="B26559" s="0" t="str">
        <f aca="false">HYPERLINK("https://lindat.mff.cuni.cz/services/teitok/pdtc10/index.php?action=vallex&amp;frame=v-w10101f2", "podchytit (v-w10101f2)")</f>
        <v>podchytit (v-w10101f2)</v>
      </c>
    </row>
    <row r="26560" customFormat="false" ht="12.8" hidden="false" customHeight="false" outlineLevel="0" collapsed="false">
      <c r="B26560" s="0" t="s">
        <v>1</v>
      </c>
    </row>
    <row r="26561" customFormat="false" ht="12.8" hidden="false" customHeight="false" outlineLevel="0" collapsed="false">
      <c r="B26561" s="0" t="s">
        <v>8</v>
      </c>
    </row>
    <row r="26563" customFormat="false" ht="12.8" hidden="false" customHeight="false" outlineLevel="0" collapsed="false">
      <c r="A26563" s="0" t="s">
        <v>10725</v>
      </c>
      <c r="B26563" s="0" t="str">
        <f aca="false">HYPERLINK("https://lindat.mff.cuni.cz/services/teitok/pdtc10/index.php?action=vallex&amp;frame=v-w11278f1", "poddat se (v-w11278f1)")</f>
        <v>poddat se (v-w11278f1)</v>
      </c>
      <c r="E26563" s="0" t="str">
        <f aca="false">HYPERLINK("https://lindat.mff.cuni.cz/services/SynSemClass40/SynSemClass40.html?veclass=vec00739#vec00739-ces-cm00004", "vec00739")</f>
        <v>vec00739</v>
      </c>
      <c r="F26563" s="0" t="s">
        <v>5232</v>
      </c>
    </row>
    <row r="26564" customFormat="false" ht="12.8" hidden="false" customHeight="false" outlineLevel="0" collapsed="false">
      <c r="B26564" s="0" t="s">
        <v>1</v>
      </c>
      <c r="C26564" s="0" t="s">
        <v>5233</v>
      </c>
      <c r="E26564" s="0" t="s">
        <v>5234</v>
      </c>
      <c r="F26564" s="0" t="s">
        <v>5235</v>
      </c>
    </row>
    <row r="26565" customFormat="false" ht="12.8" hidden="false" customHeight="false" outlineLevel="0" collapsed="false">
      <c r="B26565" s="0" t="s">
        <v>186</v>
      </c>
      <c r="C26565" s="0" t="s">
        <v>5236</v>
      </c>
      <c r="E26565" s="0" t="s">
        <v>5237</v>
      </c>
      <c r="F26565" s="0" t="s">
        <v>5238</v>
      </c>
    </row>
    <row r="26567" customFormat="false" ht="12.8" hidden="false" customHeight="false" outlineLevel="0" collapsed="false">
      <c r="A26567" s="0" t="s">
        <v>10726</v>
      </c>
      <c r="B26567" s="0" t="str">
        <f aca="false">HYPERLINK("https://lindat.mff.cuni.cz/services/teitok/pdtc10/index.php?action=vallex&amp;frame=v-w11244f2", "poddávat se (v-w11244f2)")</f>
        <v>poddávat se (v-w11244f2)</v>
      </c>
      <c r="E26567" s="0" t="str">
        <f aca="false">HYPERLINK("https://lindat.mff.cuni.cz/services/SynSemClass40/SynSemClass40.html?veclass=vec00739#vec00739-ces-cm00021", "vec00739")</f>
        <v>vec00739</v>
      </c>
      <c r="F26567" s="0" t="s">
        <v>5232</v>
      </c>
    </row>
    <row r="26568" customFormat="false" ht="12.8" hidden="false" customHeight="false" outlineLevel="0" collapsed="false">
      <c r="B26568" s="0" t="s">
        <v>1</v>
      </c>
      <c r="C26568" s="0" t="s">
        <v>5233</v>
      </c>
      <c r="E26568" s="0" t="s">
        <v>5234</v>
      </c>
      <c r="F26568" s="0" t="s">
        <v>5235</v>
      </c>
    </row>
    <row r="26569" customFormat="false" ht="12.8" hidden="false" customHeight="false" outlineLevel="0" collapsed="false">
      <c r="B26569" s="0" t="s">
        <v>186</v>
      </c>
      <c r="C26569" s="0" t="s">
        <v>5236</v>
      </c>
      <c r="E26569" s="0" t="s">
        <v>5237</v>
      </c>
      <c r="F26569" s="0" t="s">
        <v>5238</v>
      </c>
    </row>
    <row r="26571" customFormat="false" ht="12.8" hidden="false" customHeight="false" outlineLevel="0" collapsed="false">
      <c r="A26571" s="0" t="s">
        <v>10727</v>
      </c>
      <c r="B26571" s="0" t="str">
        <f aca="false">HYPERLINK("https://lindat.mff.cuni.cz/services/teitok/pdtc10/index.php?action=vallex&amp;frame=v-w11825_ZUf1_ZU", "podebatovat (v-w11825_ZUf1_ZU)")</f>
        <v>podebatovat (v-w11825_ZUf1_ZU)</v>
      </c>
    </row>
    <row r="26572" customFormat="false" ht="12.8" hidden="false" customHeight="false" outlineLevel="0" collapsed="false">
      <c r="B26572" s="0" t="s">
        <v>1</v>
      </c>
    </row>
    <row r="26573" customFormat="false" ht="12.8" hidden="false" customHeight="false" outlineLevel="0" collapsed="false">
      <c r="B26573" s="0" t="s">
        <v>1826</v>
      </c>
    </row>
    <row r="26574" customFormat="false" ht="12.8" hidden="false" customHeight="false" outlineLevel="0" collapsed="false">
      <c r="B26574" s="0" t="s">
        <v>276</v>
      </c>
    </row>
    <row r="26576" customFormat="false" ht="12.8" hidden="false" customHeight="false" outlineLevel="0" collapsed="false">
      <c r="A26576" s="0" t="s">
        <v>10728</v>
      </c>
      <c r="B26576" s="0" t="str">
        <f aca="false">HYPERLINK("https://lindat.mff.cuni.cz/services/teitok/pdtc10/index.php?action=vallex&amp;frame=v-w3554f1", "podepisovat (v-w3554f1)")</f>
        <v>podepisovat (v-w3554f1)</v>
      </c>
      <c r="E26576" s="0" t="str">
        <f aca="false">HYPERLINK("https://lindat.mff.cuni.cz/services/SynSemClass40/SynSemClass40.html?veclass=vec00078#vec00078-ces-cm00042", "vec00078")</f>
        <v>vec00078</v>
      </c>
      <c r="F26576" s="0" t="s">
        <v>204</v>
      </c>
    </row>
    <row r="26577" customFormat="false" ht="12.8" hidden="false" customHeight="false" outlineLevel="0" collapsed="false">
      <c r="B26577" s="0" t="s">
        <v>1</v>
      </c>
      <c r="C26577" s="0" t="s">
        <v>205</v>
      </c>
      <c r="E26577" s="0" t="s">
        <v>206</v>
      </c>
      <c r="F26577" s="0" t="s">
        <v>207</v>
      </c>
    </row>
    <row r="26578" customFormat="false" ht="12.8" hidden="false" customHeight="false" outlineLevel="0" collapsed="false">
      <c r="B26578" s="0" t="s">
        <v>8</v>
      </c>
      <c r="C26578" s="0" t="s">
        <v>208</v>
      </c>
      <c r="E26578" s="0" t="s">
        <v>209</v>
      </c>
      <c r="F26578" s="0" t="s">
        <v>210</v>
      </c>
    </row>
    <row r="26580" customFormat="false" ht="12.8" hidden="false" customHeight="false" outlineLevel="0" collapsed="false">
      <c r="A26580" s="0" t="s">
        <v>10729</v>
      </c>
      <c r="B26580" s="0" t="str">
        <f aca="false">HYPERLINK("https://lindat.mff.cuni.cz/services/teitok/pdtc10/index.php?action=vallex&amp;frame=v-w3554f2", "podepisovat (v-w3554f2)")</f>
        <v>podepisovat (v-w3554f2)</v>
      </c>
    </row>
    <row r="26581" customFormat="false" ht="12.8" hidden="false" customHeight="false" outlineLevel="0" collapsed="false">
      <c r="B26581" s="0" t="s">
        <v>1</v>
      </c>
    </row>
    <row r="26582" customFormat="false" ht="12.8" hidden="false" customHeight="false" outlineLevel="0" collapsed="false">
      <c r="B26582" s="0" t="s">
        <v>8</v>
      </c>
    </row>
    <row r="26584" customFormat="false" ht="12.8" hidden="false" customHeight="false" outlineLevel="0" collapsed="false">
      <c r="A26584" s="0" t="s">
        <v>10730</v>
      </c>
      <c r="B26584" s="0" t="str">
        <f aca="false">HYPERLINK("https://lindat.mff.cuni.cz/services/teitok/pdtc10/index.php?action=vallex&amp;frame=v-w3555f1", "podepisovat se (v-w3555f1)")</f>
        <v>podepisovat se (v-w3555f1)</v>
      </c>
    </row>
    <row r="26585" customFormat="false" ht="12.8" hidden="false" customHeight="false" outlineLevel="0" collapsed="false">
      <c r="B26585" s="0" t="s">
        <v>1</v>
      </c>
    </row>
    <row r="26586" customFormat="false" ht="12.8" hidden="false" customHeight="false" outlineLevel="0" collapsed="false">
      <c r="B26586" s="0" t="s">
        <v>291</v>
      </c>
    </row>
    <row r="26588" customFormat="false" ht="12.8" hidden="false" customHeight="false" outlineLevel="0" collapsed="false">
      <c r="A26588" s="0" t="s">
        <v>10731</v>
      </c>
      <c r="B26588" s="0" t="str">
        <f aca="false">HYPERLINK("https://lindat.mff.cuni.cz/services/teitok/pdtc10/index.php?action=vallex&amp;frame=v-w3559hsa_301", "podepsat (v-w3559hsa_301)")</f>
        <v>podepsat (v-w3559hsa_301)</v>
      </c>
    </row>
    <row r="26589" customFormat="false" ht="12.8" hidden="false" customHeight="false" outlineLevel="0" collapsed="false">
      <c r="B26589" s="0" t="s">
        <v>1</v>
      </c>
    </row>
    <row r="26590" customFormat="false" ht="12.8" hidden="false" customHeight="false" outlineLevel="0" collapsed="false">
      <c r="B26590" s="0" t="s">
        <v>59</v>
      </c>
    </row>
    <row r="26592" customFormat="false" ht="12.8" hidden="false" customHeight="false" outlineLevel="0" collapsed="false">
      <c r="A26592" s="0" t="s">
        <v>10731</v>
      </c>
      <c r="B26592" s="0" t="str">
        <f aca="false">HYPERLINK("https://lindat.mff.cuni.cz/services/teitok/pdtc10/index.php?action=vallex&amp;frame=v-w3559f1", "podepsat (v-w3559f1) - substituted with v-w3559hsa_301")</f>
        <v>podepsat (v-w3559f1) - substituted with v-w3559hsa_301</v>
      </c>
      <c r="E26592" s="0" t="str">
        <f aca="false">HYPERLINK("https://lindat.mff.cuni.cz/services/SynSemClass40/SynSemClass40.html?veclass=vec00078#vec00078-ces-cm00007", "vec00078")</f>
        <v>vec00078</v>
      </c>
      <c r="F26592" s="0" t="s">
        <v>204</v>
      </c>
    </row>
    <row r="26593" customFormat="false" ht="12.8" hidden="false" customHeight="false" outlineLevel="0" collapsed="false">
      <c r="B26593" s="0" t="s">
        <v>1</v>
      </c>
      <c r="C26593" s="0" t="s">
        <v>205</v>
      </c>
      <c r="E26593" s="0" t="s">
        <v>206</v>
      </c>
      <c r="F26593" s="0" t="s">
        <v>207</v>
      </c>
    </row>
    <row r="26594" customFormat="false" ht="12.8" hidden="false" customHeight="false" outlineLevel="0" collapsed="false">
      <c r="B26594" s="0" t="s">
        <v>59</v>
      </c>
      <c r="C26594" s="0" t="s">
        <v>208</v>
      </c>
      <c r="E26594" s="0" t="s">
        <v>209</v>
      </c>
      <c r="F26594" s="0" t="s">
        <v>210</v>
      </c>
    </row>
    <row r="26596" customFormat="false" ht="12.8" hidden="false" customHeight="false" outlineLevel="0" collapsed="false">
      <c r="A26596" s="0" t="s">
        <v>10732</v>
      </c>
      <c r="B26596" s="0" t="str">
        <f aca="false">HYPERLINK("https://lindat.mff.cuni.cz/services/teitok/pdtc10/index.php?action=vallex&amp;frame=v-w3559f2", "podepsat (v-w3559f2)")</f>
        <v>podepsat (v-w3559f2)</v>
      </c>
      <c r="E26596" s="0" t="str">
        <f aca="false">HYPERLINK("https://lindat.mff.cuni.cz/services/SynSemClass40/SynSemClass40.html?veclass=vec00375#vec00375-ces-cm00010_SL", "vec00375")</f>
        <v>vec00375</v>
      </c>
      <c r="F26596" s="0" t="s">
        <v>10733</v>
      </c>
    </row>
    <row r="26597" customFormat="false" ht="12.8" hidden="false" customHeight="false" outlineLevel="0" collapsed="false">
      <c r="B26597" s="0" t="s">
        <v>1</v>
      </c>
      <c r="C26597" s="0" t="s">
        <v>10734</v>
      </c>
      <c r="E26597" s="0" t="s">
        <v>10735</v>
      </c>
      <c r="F26597" s="0" t="s">
        <v>10736</v>
      </c>
    </row>
    <row r="26598" customFormat="false" ht="12.8" hidden="false" customHeight="false" outlineLevel="0" collapsed="false">
      <c r="B26598" s="0" t="s">
        <v>8</v>
      </c>
      <c r="C26598" s="0" t="s">
        <v>10737</v>
      </c>
      <c r="E26598" s="0" t="s">
        <v>10738</v>
      </c>
      <c r="F26598" s="0" t="s">
        <v>10739</v>
      </c>
    </row>
    <row r="26600" customFormat="false" ht="12.8" hidden="false" customHeight="false" outlineLevel="0" collapsed="false">
      <c r="A26600" s="0" t="s">
        <v>10740</v>
      </c>
      <c r="B26600" s="0" t="str">
        <f aca="false">HYPERLINK("https://lindat.mff.cuni.cz/services/teitok/pdtc10/index.php?action=vallex&amp;frame=v-w3560f2_MM", "podepsat se (v-w3560f2_MM)")</f>
        <v>podepsat se (v-w3560f2_MM)</v>
      </c>
    </row>
    <row r="26601" customFormat="false" ht="12.8" hidden="false" customHeight="false" outlineLevel="0" collapsed="false">
      <c r="B26601" s="0" t="s">
        <v>843</v>
      </c>
    </row>
    <row r="26602" customFormat="false" ht="12.8" hidden="false" customHeight="false" outlineLevel="0" collapsed="false">
      <c r="B26602" s="0" t="s">
        <v>291</v>
      </c>
    </row>
    <row r="26604" customFormat="false" ht="12.8" hidden="false" customHeight="false" outlineLevel="0" collapsed="false">
      <c r="A26604" s="0" t="s">
        <v>10740</v>
      </c>
      <c r="B26604" s="0" t="str">
        <f aca="false">HYPERLINK("https://lindat.mff.cuni.cz/services/teitok/pdtc10/index.php?action=vallex&amp;frame=v-w3560f1", "podepsat se (v-w3560f1) - substituted with v-w3560f2_MM")</f>
        <v>podepsat se (v-w3560f1) - substituted with v-w3560f2_MM</v>
      </c>
    </row>
    <row r="26605" customFormat="false" ht="12.8" hidden="false" customHeight="false" outlineLevel="0" collapsed="false">
      <c r="B26605" s="0" t="s">
        <v>843</v>
      </c>
    </row>
    <row r="26606" customFormat="false" ht="12.8" hidden="false" customHeight="false" outlineLevel="0" collapsed="false">
      <c r="B26606" s="0" t="s">
        <v>291</v>
      </c>
    </row>
    <row r="26608" customFormat="false" ht="12.8" hidden="false" customHeight="false" outlineLevel="0" collapsed="false">
      <c r="A26608" s="0" t="s">
        <v>10741</v>
      </c>
      <c r="B26608" s="0" t="str">
        <f aca="false">HYPERLINK("https://lindat.mff.cuni.cz/services/teitok/pdtc10/index.php?action=vallex&amp;frame=v-w3556f1", "podepřít (v-w3556f1)")</f>
        <v>podepřít (v-w3556f1)</v>
      </c>
      <c r="E26608" s="0" t="str">
        <f aca="false">HYPERLINK("https://lindat.mff.cuni.cz/services/SynSemClass40/SynSemClass40.html?veclass=vec00069#vec00069-ces-cm00027", "vec00069")</f>
        <v>vec00069</v>
      </c>
      <c r="F26608" s="0" t="s">
        <v>4300</v>
      </c>
    </row>
    <row r="26609" customFormat="false" ht="12.8" hidden="false" customHeight="false" outlineLevel="0" collapsed="false">
      <c r="B26609" s="0" t="s">
        <v>1</v>
      </c>
      <c r="C26609" s="0" t="s">
        <v>7530</v>
      </c>
      <c r="E26609" s="0" t="s">
        <v>3021</v>
      </c>
      <c r="F26609" s="0" t="s">
        <v>4302</v>
      </c>
    </row>
    <row r="26610" customFormat="false" ht="12.8" hidden="false" customHeight="false" outlineLevel="0" collapsed="false">
      <c r="B26610" s="0" t="s">
        <v>8</v>
      </c>
      <c r="C26610" s="0" t="s">
        <v>7531</v>
      </c>
      <c r="E26610" s="0" t="s">
        <v>3023</v>
      </c>
      <c r="F26610" s="0" t="s">
        <v>4305</v>
      </c>
    </row>
    <row r="26612" customFormat="false" ht="12.8" hidden="false" customHeight="false" outlineLevel="0" collapsed="false">
      <c r="A26612" s="0" t="s">
        <v>10742</v>
      </c>
      <c r="B26612" s="0" t="str">
        <f aca="false">HYPERLINK("https://lindat.mff.cuni.cz/services/teitok/pdtc10/index.php?action=vallex&amp;frame=v-w3556hsa_912", "podepřít (v-w3556hsa_912)")</f>
        <v>podepřít (v-w3556hsa_912)</v>
      </c>
    </row>
    <row r="26613" customFormat="false" ht="12.8" hidden="false" customHeight="false" outlineLevel="0" collapsed="false">
      <c r="B26613" s="0" t="s">
        <v>1</v>
      </c>
    </row>
    <row r="26614" customFormat="false" ht="12.8" hidden="false" customHeight="false" outlineLevel="0" collapsed="false">
      <c r="B26614" s="0" t="s">
        <v>8</v>
      </c>
    </row>
    <row r="26616" customFormat="false" ht="12.8" hidden="false" customHeight="false" outlineLevel="0" collapsed="false">
      <c r="A26616" s="0" t="s">
        <v>10743</v>
      </c>
      <c r="B26616" s="0" t="str">
        <f aca="false">HYPERLINK("https://lindat.mff.cuni.cz/services/teitok/pdtc10/index.php?action=vallex&amp;frame=v-whsa_463f1_ZU", "podestlat (v-whsa_463f1_ZU)")</f>
        <v>podestlat (v-whsa_463f1_ZU)</v>
      </c>
    </row>
    <row r="26617" customFormat="false" ht="12.8" hidden="false" customHeight="false" outlineLevel="0" collapsed="false">
      <c r="B26617" s="0" t="s">
        <v>1</v>
      </c>
    </row>
    <row r="26618" customFormat="false" ht="12.8" hidden="false" customHeight="false" outlineLevel="0" collapsed="false">
      <c r="B26618" s="0" t="s">
        <v>8</v>
      </c>
    </row>
    <row r="26620" customFormat="false" ht="12.8" hidden="false" customHeight="false" outlineLevel="0" collapsed="false">
      <c r="A26620" s="0" t="s">
        <v>10743</v>
      </c>
      <c r="B26620" s="0" t="str">
        <f aca="false">HYPERLINK("https://lindat.mff.cuni.cz/services/teitok/pdtc10/index.php?action=vallex&amp;frame=v-whsa_463hsa_464", "podestlat (v-whsa_463hsa_464) - substituted with v-whsa_463f1_ZU")</f>
        <v>podestlat (v-whsa_463hsa_464) - substituted with v-whsa_463f1_ZU</v>
      </c>
    </row>
    <row r="26621" customFormat="false" ht="12.8" hidden="false" customHeight="false" outlineLevel="0" collapsed="false">
      <c r="B26621" s="0" t="s">
        <v>1</v>
      </c>
    </row>
    <row r="26622" customFormat="false" ht="12.8" hidden="false" customHeight="false" outlineLevel="0" collapsed="false">
      <c r="B26622" s="0" t="s">
        <v>8</v>
      </c>
    </row>
    <row r="26624" customFormat="false" ht="12.8" hidden="false" customHeight="false" outlineLevel="0" collapsed="false">
      <c r="A26624" s="0" t="s">
        <v>10744</v>
      </c>
      <c r="B26624" s="0" t="str">
        <f aca="false">HYPERLINK("https://lindat.mff.cuni.cz/services/teitok/pdtc10/index.php?action=vallex&amp;frame=v-whsa_463f2_ZU", "podestlat (v-whsa_463f2_ZU)")</f>
        <v>podestlat (v-whsa_463f2_ZU)</v>
      </c>
    </row>
    <row r="26625" customFormat="false" ht="12.8" hidden="false" customHeight="false" outlineLevel="0" collapsed="false">
      <c r="B26625" s="0" t="s">
        <v>1</v>
      </c>
    </row>
    <row r="26626" customFormat="false" ht="12.8" hidden="false" customHeight="false" outlineLevel="0" collapsed="false">
      <c r="B26626" s="0" t="s">
        <v>8</v>
      </c>
    </row>
    <row r="26628" customFormat="false" ht="12.8" hidden="false" customHeight="false" outlineLevel="0" collapsed="false">
      <c r="A26628" s="0" t="s">
        <v>10744</v>
      </c>
      <c r="B26628" s="0" t="str">
        <f aca="false">HYPERLINK("https://lindat.mff.cuni.cz/services/teitok/pdtc10/index.php?action=vallex&amp;frame=v-whsa_463hsa_465", "podestlat (v-whsa_463hsa_465) - substituted with v-whsa_463f2_ZU")</f>
        <v>podestlat (v-whsa_463hsa_465) - substituted with v-whsa_463f2_ZU</v>
      </c>
    </row>
    <row r="26629" customFormat="false" ht="12.8" hidden="false" customHeight="false" outlineLevel="0" collapsed="false">
      <c r="B26629" s="0" t="s">
        <v>1</v>
      </c>
    </row>
    <row r="26630" customFormat="false" ht="12.8" hidden="false" customHeight="false" outlineLevel="0" collapsed="false">
      <c r="B26630" s="0" t="s">
        <v>8</v>
      </c>
    </row>
    <row r="26632" customFormat="false" ht="12.8" hidden="false" customHeight="false" outlineLevel="0" collapsed="false">
      <c r="A26632" s="0" t="s">
        <v>10745</v>
      </c>
      <c r="B26632" s="0" t="str">
        <f aca="false">HYPERLINK("https://lindat.mff.cuni.cz/services/teitok/pdtc10/index.php?action=vallex&amp;frame=v-w3562f1", "podezírat (v-w3562f1)")</f>
        <v>podezírat (v-w3562f1)</v>
      </c>
      <c r="E26632" s="0" t="str">
        <f aca="false">HYPERLINK("https://lindat.mff.cuni.cz/services/SynSemClass40/SynSemClass40.html?veclass=vec00347#vec00347-ces-cm00028", "vec00347")</f>
        <v>vec00347</v>
      </c>
      <c r="F26632" s="0" t="s">
        <v>3748</v>
      </c>
    </row>
    <row r="26633" customFormat="false" ht="12.8" hidden="false" customHeight="false" outlineLevel="0" collapsed="false">
      <c r="B26633" s="0" t="s">
        <v>1</v>
      </c>
      <c r="C26633" s="0" t="s">
        <v>3749</v>
      </c>
      <c r="E26633" s="0" t="s">
        <v>3750</v>
      </c>
      <c r="F26633" s="0" t="s">
        <v>3751</v>
      </c>
    </row>
    <row r="26634" customFormat="false" ht="12.8" hidden="false" customHeight="false" outlineLevel="0" collapsed="false">
      <c r="B26634" s="0" t="s">
        <v>98</v>
      </c>
      <c r="C26634" s="0" t="s">
        <v>3755</v>
      </c>
      <c r="E26634" s="0" t="s">
        <v>3756</v>
      </c>
      <c r="F26634" s="0" t="s">
        <v>3757</v>
      </c>
    </row>
    <row r="26635" customFormat="false" ht="12.8" hidden="false" customHeight="false" outlineLevel="0" collapsed="false">
      <c r="B26635" s="0" t="s">
        <v>8069</v>
      </c>
      <c r="C26635" s="0" t="s">
        <v>3753</v>
      </c>
      <c r="E26635" s="0" t="s">
        <v>2568</v>
      </c>
      <c r="F26635" s="0" t="s">
        <v>3754</v>
      </c>
    </row>
    <row r="26637" customFormat="false" ht="12.8" hidden="false" customHeight="false" outlineLevel="0" collapsed="false">
      <c r="A26637" s="0" t="s">
        <v>10746</v>
      </c>
      <c r="B26637" s="0" t="str">
        <f aca="false">HYPERLINK("https://lindat.mff.cuni.cz/services/teitok/pdtc10/index.php?action=vallex&amp;frame=v-w3565f1", "podezřívat (v-w3565f1)")</f>
        <v>podezřívat (v-w3565f1)</v>
      </c>
      <c r="E26637" s="0" t="str">
        <f aca="false">HYPERLINK("https://lindat.mff.cuni.cz/services/SynSemClass40/SynSemClass40.html?veclass=vec00347#vec00347-ces-cm00029", "vec00347")</f>
        <v>vec00347</v>
      </c>
      <c r="F26637" s="0" t="s">
        <v>3748</v>
      </c>
    </row>
    <row r="26638" customFormat="false" ht="12.8" hidden="false" customHeight="false" outlineLevel="0" collapsed="false">
      <c r="B26638" s="0" t="s">
        <v>1</v>
      </c>
      <c r="C26638" s="0" t="s">
        <v>3749</v>
      </c>
      <c r="E26638" s="0" t="s">
        <v>3750</v>
      </c>
      <c r="F26638" s="0" t="s">
        <v>3751</v>
      </c>
    </row>
    <row r="26639" customFormat="false" ht="12.8" hidden="false" customHeight="false" outlineLevel="0" collapsed="false">
      <c r="B26639" s="0" t="s">
        <v>98</v>
      </c>
      <c r="C26639" s="0" t="s">
        <v>3755</v>
      </c>
      <c r="E26639" s="0" t="s">
        <v>3756</v>
      </c>
      <c r="F26639" s="0" t="s">
        <v>3757</v>
      </c>
    </row>
    <row r="26640" customFormat="false" ht="12.8" hidden="false" customHeight="false" outlineLevel="0" collapsed="false">
      <c r="B26640" s="0" t="s">
        <v>8069</v>
      </c>
      <c r="C26640" s="0" t="s">
        <v>3753</v>
      </c>
      <c r="E26640" s="0" t="s">
        <v>2568</v>
      </c>
      <c r="F26640" s="0" t="s">
        <v>3754</v>
      </c>
    </row>
    <row r="26642" customFormat="false" ht="12.8" hidden="false" customHeight="false" outlineLevel="0" collapsed="false">
      <c r="A26642" s="0" t="s">
        <v>10747</v>
      </c>
      <c r="B26642" s="0" t="str">
        <f aca="false">HYPERLINK("https://lindat.mff.cuni.cz/services/teitok/pdtc10/index.php?action=vallex&amp;frame=v-whsa_1237hsa_1238", "podhlodat (v-whsa_1237hsa_1238)")</f>
        <v>podhlodat (v-whsa_1237hsa_1238)</v>
      </c>
    </row>
    <row r="26643" customFormat="false" ht="12.8" hidden="false" customHeight="false" outlineLevel="0" collapsed="false">
      <c r="B26643" s="0" t="s">
        <v>1</v>
      </c>
    </row>
    <row r="26644" customFormat="false" ht="12.8" hidden="false" customHeight="false" outlineLevel="0" collapsed="false">
      <c r="B26644" s="0" t="s">
        <v>8</v>
      </c>
    </row>
    <row r="26646" customFormat="false" ht="12.8" hidden="false" customHeight="false" outlineLevel="0" collapsed="false">
      <c r="A26646" s="0" t="s">
        <v>10748</v>
      </c>
      <c r="B26646" s="0" t="str">
        <f aca="false">HYPERLINK("https://lindat.mff.cuni.cz/services/teitok/pdtc10/index.php?action=vallex&amp;frame=v-whsa_567hsa_568", "podhodnocovat (v-whsa_567hsa_568)")</f>
        <v>podhodnocovat (v-whsa_567hsa_568)</v>
      </c>
      <c r="E26646" s="0" t="str">
        <f aca="false">HYPERLINK("https://lindat.mff.cuni.cz/services/SynSemClass40/SynSemClass40.html?veclass=vec00472#vec00472-ces-cm00004", "vec00472")</f>
        <v>vec00472</v>
      </c>
      <c r="F26646" s="0" t="s">
        <v>10749</v>
      </c>
    </row>
    <row r="26647" customFormat="false" ht="12.8" hidden="false" customHeight="false" outlineLevel="0" collapsed="false">
      <c r="B26647" s="0" t="s">
        <v>1</v>
      </c>
      <c r="C26647" s="0" t="s">
        <v>767</v>
      </c>
      <c r="E26647" s="0" t="s">
        <v>4455</v>
      </c>
      <c r="F26647" s="0" t="s">
        <v>10750</v>
      </c>
    </row>
    <row r="26648" customFormat="false" ht="12.8" hidden="false" customHeight="false" outlineLevel="0" collapsed="false">
      <c r="B26648" s="0" t="s">
        <v>8</v>
      </c>
      <c r="C26648" s="0" t="s">
        <v>5583</v>
      </c>
      <c r="E26648" s="0" t="s">
        <v>1347</v>
      </c>
      <c r="F26648" s="0" t="s">
        <v>10751</v>
      </c>
    </row>
    <row r="26650" customFormat="false" ht="12.8" hidden="false" customHeight="false" outlineLevel="0" collapsed="false">
      <c r="A26650" s="0" t="s">
        <v>10752</v>
      </c>
      <c r="B26650" s="0" t="str">
        <f aca="false">HYPERLINK("https://lindat.mff.cuni.cz/services/teitok/pdtc10/index.php?action=vallex&amp;frame=v-w3567f1", "podhodnotit (v-w3567f1)")</f>
        <v>podhodnotit (v-w3567f1)</v>
      </c>
      <c r="E26650" s="0" t="str">
        <f aca="false">HYPERLINK("https://lindat.mff.cuni.cz/services/SynSemClass40/SynSemClass40.html?veclass=vec00472#vec00472-ces-cm00001", "vec00472")</f>
        <v>vec00472</v>
      </c>
      <c r="F26650" s="0" t="s">
        <v>10749</v>
      </c>
    </row>
    <row r="26651" customFormat="false" ht="12.8" hidden="false" customHeight="false" outlineLevel="0" collapsed="false">
      <c r="B26651" s="0" t="s">
        <v>1</v>
      </c>
      <c r="C26651" s="0" t="s">
        <v>767</v>
      </c>
      <c r="E26651" s="0" t="s">
        <v>4455</v>
      </c>
      <c r="F26651" s="0" t="s">
        <v>10750</v>
      </c>
    </row>
    <row r="26652" customFormat="false" ht="12.8" hidden="false" customHeight="false" outlineLevel="0" collapsed="false">
      <c r="B26652" s="0" t="s">
        <v>8</v>
      </c>
      <c r="C26652" s="0" t="s">
        <v>5583</v>
      </c>
      <c r="E26652" s="0" t="s">
        <v>1347</v>
      </c>
      <c r="F26652" s="0" t="s">
        <v>10751</v>
      </c>
    </row>
    <row r="26654" customFormat="false" ht="12.8" hidden="false" customHeight="false" outlineLevel="0" collapsed="false">
      <c r="A26654" s="0" t="s">
        <v>10753</v>
      </c>
      <c r="B26654" s="0" t="str">
        <f aca="false">HYPERLINK("https://lindat.mff.cuni.cz/services/teitok/pdtc10/index.php?action=vallex&amp;frame=v-w3575f2", "podivit se (v-w3575f2)")</f>
        <v>podivit se (v-w3575f2)</v>
      </c>
    </row>
    <row r="26655" customFormat="false" ht="12.8" hidden="false" customHeight="false" outlineLevel="0" collapsed="false">
      <c r="B26655" s="0" t="s">
        <v>1</v>
      </c>
    </row>
    <row r="26656" customFormat="false" ht="12.8" hidden="false" customHeight="false" outlineLevel="0" collapsed="false">
      <c r="B26656" s="0" t="s">
        <v>10754</v>
      </c>
    </row>
    <row r="26658" customFormat="false" ht="12.8" hidden="false" customHeight="false" outlineLevel="0" collapsed="false">
      <c r="A26658" s="0" t="s">
        <v>10755</v>
      </c>
      <c r="B26658" s="0" t="str">
        <f aca="false">HYPERLINK("https://lindat.mff.cuni.cz/services/teitok/pdtc10/index.php?action=vallex&amp;frame=v-w3576f2", "podivovat se (v-w3576f2)")</f>
        <v>podivovat se (v-w3576f2)</v>
      </c>
      <c r="E26658" s="0" t="str">
        <f aca="false">HYPERLINK("https://lindat.mff.cuni.cz/services/SynSemClass40/SynSemClass40.html?veclass=vec01209#vec01209-ces-cm00003", "vec01209")</f>
        <v>vec01209</v>
      </c>
      <c r="F26658" s="0" t="s">
        <v>1101</v>
      </c>
    </row>
    <row r="26659" customFormat="false" ht="12.8" hidden="false" customHeight="false" outlineLevel="0" collapsed="false">
      <c r="B26659" s="0" t="s">
        <v>1</v>
      </c>
      <c r="E26659" s="0" t="s">
        <v>266</v>
      </c>
      <c r="F26659" s="0" t="s">
        <v>2052</v>
      </c>
    </row>
    <row r="26660" customFormat="false" ht="12.8" hidden="false" customHeight="false" outlineLevel="0" collapsed="false">
      <c r="B26660" s="0" t="s">
        <v>10754</v>
      </c>
      <c r="E26660" s="0" t="s">
        <v>271</v>
      </c>
      <c r="F26660" s="0" t="s">
        <v>2053</v>
      </c>
    </row>
    <row r="26662" customFormat="false" ht="12.8" hidden="false" customHeight="false" outlineLevel="0" collapsed="false">
      <c r="A26662" s="0" t="s">
        <v>10755</v>
      </c>
      <c r="B26662" s="0" t="str">
        <f aca="false">HYPERLINK("https://lindat.mff.cuni.cz/services/teitok/pdtc10/index.php?action=vallex&amp;frame=v-w3576f1", "podivovat se (v-w3576f1) - substituted with v-w3576f2")</f>
        <v>podivovat se (v-w3576f1) - substituted with v-w3576f2</v>
      </c>
    </row>
    <row r="26663" customFormat="false" ht="12.8" hidden="false" customHeight="false" outlineLevel="0" collapsed="false">
      <c r="B26663" s="0" t="s">
        <v>1</v>
      </c>
    </row>
    <row r="26664" customFormat="false" ht="12.8" hidden="false" customHeight="false" outlineLevel="0" collapsed="false">
      <c r="B26664" s="0" t="s">
        <v>10754</v>
      </c>
    </row>
    <row r="26666" customFormat="false" ht="12.8" hidden="false" customHeight="false" outlineLevel="0" collapsed="false">
      <c r="A26666" s="0" t="s">
        <v>10756</v>
      </c>
      <c r="B26666" s="0" t="str">
        <f aca="false">HYPERLINK("https://lindat.mff.cuni.cz/services/teitok/pdtc10/index.php?action=vallex&amp;frame=v-w3577f2", "podjet (v-w3577f2)")</f>
        <v>podjet (v-w3577f2)</v>
      </c>
    </row>
    <row r="26667" customFormat="false" ht="12.8" hidden="false" customHeight="false" outlineLevel="0" collapsed="false">
      <c r="B26667" s="0" t="s">
        <v>1</v>
      </c>
    </row>
    <row r="26668" customFormat="false" ht="12.8" hidden="false" customHeight="false" outlineLevel="0" collapsed="false">
      <c r="B26668" s="0" t="s">
        <v>8</v>
      </c>
    </row>
    <row r="26670" customFormat="false" ht="12.8" hidden="false" customHeight="false" outlineLevel="0" collapsed="false">
      <c r="A26670" s="0" t="s">
        <v>10757</v>
      </c>
      <c r="B26670" s="0" t="str">
        <f aca="false">HYPERLINK("https://lindat.mff.cuni.cz/services/teitok/pdtc10/index.php?action=vallex&amp;frame=v-w3577f1", "podjet (v-w3577f1)")</f>
        <v>podjet (v-w3577f1)</v>
      </c>
    </row>
    <row r="26671" customFormat="false" ht="12.8" hidden="false" customHeight="false" outlineLevel="0" collapsed="false">
      <c r="B26671" s="0" t="s">
        <v>1</v>
      </c>
    </row>
    <row r="26673" customFormat="false" ht="12.8" hidden="false" customHeight="false" outlineLevel="0" collapsed="false">
      <c r="A26673" s="0" t="s">
        <v>10758</v>
      </c>
      <c r="B26673" s="0" t="str">
        <f aca="false">HYPERLINK("https://lindat.mff.cuni.cz/services/teitok/pdtc10/index.php?action=vallex&amp;frame=v-w11749_ZUf1_ZU", "podkluzovat (v-w11749_ZUf1_ZU)")</f>
        <v>podkluzovat (v-w11749_ZUf1_ZU)</v>
      </c>
    </row>
    <row r="26674" customFormat="false" ht="12.8" hidden="false" customHeight="false" outlineLevel="0" collapsed="false">
      <c r="B26674" s="0" t="s">
        <v>1</v>
      </c>
    </row>
    <row r="26676" customFormat="false" ht="12.8" hidden="false" customHeight="false" outlineLevel="0" collapsed="false">
      <c r="A26676" s="0" t="s">
        <v>10759</v>
      </c>
      <c r="B26676" s="0" t="str">
        <f aca="false">HYPERLINK("https://lindat.mff.cuni.cz/services/teitok/pdtc10/index.php?action=vallex&amp;frame=v-w3579f1", "podkládat (v-w3579f1)")</f>
        <v>podkládat (v-w3579f1)</v>
      </c>
      <c r="E26676" s="0" t="str">
        <f aca="false">HYPERLINK("https://lindat.mff.cuni.cz/services/SynSemClass40/SynSemClass40.html?veclass=vec00291#vec00291-ces-cm00038", "vec00291")</f>
        <v>vec00291</v>
      </c>
      <c r="F26676" s="0" t="s">
        <v>10760</v>
      </c>
    </row>
    <row r="26677" customFormat="false" ht="12.8" hidden="false" customHeight="false" outlineLevel="0" collapsed="false">
      <c r="B26677" s="0" t="s">
        <v>1</v>
      </c>
      <c r="C26677" s="0" t="s">
        <v>2240</v>
      </c>
      <c r="E26677" s="0" t="s">
        <v>10761</v>
      </c>
      <c r="F26677" s="0" t="s">
        <v>10762</v>
      </c>
    </row>
    <row r="26678" customFormat="false" ht="12.8" hidden="false" customHeight="false" outlineLevel="0" collapsed="false">
      <c r="B26678" s="0" t="s">
        <v>59</v>
      </c>
      <c r="C26678" s="0" t="s">
        <v>10763</v>
      </c>
      <c r="E26678" s="0" t="s">
        <v>1544</v>
      </c>
      <c r="F26678" s="0" t="s">
        <v>10764</v>
      </c>
    </row>
    <row r="26679" customFormat="false" ht="12.8" hidden="false" customHeight="false" outlineLevel="0" collapsed="false">
      <c r="B26679" s="0" t="s">
        <v>52</v>
      </c>
      <c r="C26679" s="0" t="s">
        <v>10765</v>
      </c>
      <c r="E26679" s="0" t="s">
        <v>53</v>
      </c>
      <c r="F26679" s="0" t="s">
        <v>10766</v>
      </c>
    </row>
    <row r="26681" customFormat="false" ht="12.8" hidden="false" customHeight="false" outlineLevel="0" collapsed="false">
      <c r="A26681" s="0" t="s">
        <v>10767</v>
      </c>
      <c r="B26681" s="0" t="str">
        <f aca="false">HYPERLINK("https://lindat.mff.cuni.cz/services/teitok/pdtc10/index.php?action=vallex&amp;frame=v-w3579f2_ZU", "podkládat (v-w3579f2_ZU)")</f>
        <v>podkládat (v-w3579f2_ZU)</v>
      </c>
    </row>
    <row r="26682" customFormat="false" ht="12.8" hidden="false" customHeight="false" outlineLevel="0" collapsed="false">
      <c r="B26682" s="0" t="s">
        <v>1</v>
      </c>
    </row>
    <row r="26683" customFormat="false" ht="12.8" hidden="false" customHeight="false" outlineLevel="0" collapsed="false">
      <c r="B26683" s="0" t="s">
        <v>8</v>
      </c>
    </row>
    <row r="26685" customFormat="false" ht="12.8" hidden="false" customHeight="false" outlineLevel="0" collapsed="false">
      <c r="A26685" s="0" t="s">
        <v>10768</v>
      </c>
      <c r="B26685" s="0" t="str">
        <f aca="false">HYPERLINK("https://lindat.mff.cuni.cz/services/teitok/pdtc10/index.php?action=vallex&amp;frame=v-w3580f1", "podkopat (v-w3580f1)")</f>
        <v>podkopat (v-w3580f1)</v>
      </c>
      <c r="E26685" s="0" t="str">
        <f aca="false">HYPERLINK("https://lindat.mff.cuni.cz/services/SynSemClass40/SynSemClass40.html?veclass=vec01510#vec01510-ces-cm00023", "vec01510")</f>
        <v>vec01510</v>
      </c>
      <c r="F26685" s="0" t="s">
        <v>7671</v>
      </c>
    </row>
    <row r="26686" customFormat="false" ht="12.8" hidden="false" customHeight="false" outlineLevel="0" collapsed="false">
      <c r="B26686" s="0" t="s">
        <v>1</v>
      </c>
      <c r="C26686" s="0" t="s">
        <v>10769</v>
      </c>
      <c r="E26686" s="0" t="s">
        <v>76</v>
      </c>
      <c r="F26686" s="0" t="s">
        <v>7674</v>
      </c>
    </row>
    <row r="26687" customFormat="false" ht="12.8" hidden="false" customHeight="false" outlineLevel="0" collapsed="false">
      <c r="B26687" s="0" t="s">
        <v>8</v>
      </c>
      <c r="C26687" s="0" t="s">
        <v>2043</v>
      </c>
      <c r="E26687" s="0" t="s">
        <v>706</v>
      </c>
      <c r="F26687" s="0" t="s">
        <v>7678</v>
      </c>
    </row>
    <row r="26689" customFormat="false" ht="12.8" hidden="false" customHeight="false" outlineLevel="0" collapsed="false">
      <c r="A26689" s="0" t="s">
        <v>10770</v>
      </c>
      <c r="B26689" s="0" t="str">
        <f aca="false">HYPERLINK("https://lindat.mff.cuni.cz/services/teitok/pdtc10/index.php?action=vallex&amp;frame=v-w3581f1", "podkopávat (v-w3581f1)")</f>
        <v>podkopávat (v-w3581f1)</v>
      </c>
      <c r="E26689" s="0" t="str">
        <f aca="false">HYPERLINK("https://lindat.mff.cuni.cz/services/SynSemClass40/SynSemClass40.html?veclass=vec00055#vec00055-ces-cm00044", "vec00055")</f>
        <v>vec00055</v>
      </c>
      <c r="F26689" s="0" t="s">
        <v>9956</v>
      </c>
      <c r="H26689" s="0" t="str">
        <f aca="false">HYPERLINK("https://lindat.mff.cuni.cz/services/SynSemClass40/SynSemClass40.html?veclass=vec01510#vec01510-ces-cm00024", "vec01510")</f>
        <v>vec01510</v>
      </c>
      <c r="I26689" s="0" t="s">
        <v>7671</v>
      </c>
    </row>
    <row r="26690" customFormat="false" ht="12.8" hidden="false" customHeight="false" outlineLevel="0" collapsed="false">
      <c r="B26690" s="0" t="s">
        <v>1</v>
      </c>
      <c r="C26690" s="0" t="s">
        <v>9957</v>
      </c>
      <c r="E26690" s="0" t="s">
        <v>76</v>
      </c>
      <c r="F26690" s="0" t="s">
        <v>9958</v>
      </c>
      <c r="H26690" s="0" t="s">
        <v>76</v>
      </c>
      <c r="I26690" s="0" t="s">
        <v>7674</v>
      </c>
    </row>
    <row r="26691" customFormat="false" ht="12.8" hidden="false" customHeight="false" outlineLevel="0" collapsed="false">
      <c r="B26691" s="0" t="s">
        <v>8</v>
      </c>
      <c r="C26691" s="0" t="s">
        <v>9959</v>
      </c>
      <c r="E26691" s="0" t="s">
        <v>706</v>
      </c>
      <c r="F26691" s="0" t="s">
        <v>9960</v>
      </c>
      <c r="H26691" s="0" t="s">
        <v>706</v>
      </c>
      <c r="I26691" s="0" t="s">
        <v>7678</v>
      </c>
    </row>
    <row r="26693" customFormat="false" ht="12.8" hidden="false" customHeight="false" outlineLevel="0" collapsed="false">
      <c r="A26693" s="0" t="s">
        <v>10771</v>
      </c>
      <c r="B26693" s="0" t="str">
        <f aca="false">HYPERLINK("https://lindat.mff.cuni.cz/services/teitok/pdtc10/index.php?action=vallex&amp;frame=v-w12070_ZUf1_ZU", "podlamovat se (v-w12070_ZUf1_ZU)")</f>
        <v>podlamovat se (v-w12070_ZUf1_ZU)</v>
      </c>
    </row>
    <row r="26694" customFormat="false" ht="12.8" hidden="false" customHeight="false" outlineLevel="0" collapsed="false">
      <c r="B26694" s="0" t="s">
        <v>1</v>
      </c>
    </row>
    <row r="26696" customFormat="false" ht="12.8" hidden="false" customHeight="false" outlineLevel="0" collapsed="false">
      <c r="A26696" s="0" t="s">
        <v>10772</v>
      </c>
      <c r="B26696" s="0" t="str">
        <f aca="false">HYPERLINK("https://lindat.mff.cuni.cz/services/teitok/pdtc10/index.php?action=vallex&amp;frame=v-w3583f1", "podlehnout (v-w3583f1)")</f>
        <v>podlehnout (v-w3583f1)</v>
      </c>
      <c r="E26696" s="0" t="str">
        <f aca="false">HYPERLINK("https://lindat.mff.cuni.cz/services/SynSemClass40/SynSemClass40.html?veclass=vec01071#vec01071-ces-cm00001", "vec01071")</f>
        <v>vec01071</v>
      </c>
      <c r="F26696" s="0" t="s">
        <v>10403</v>
      </c>
    </row>
    <row r="26697" customFormat="false" ht="12.8" hidden="false" customHeight="false" outlineLevel="0" collapsed="false">
      <c r="B26697" s="0" t="s">
        <v>1</v>
      </c>
      <c r="C26697" s="0" t="s">
        <v>4695</v>
      </c>
      <c r="E26697" s="0" t="s">
        <v>10404</v>
      </c>
      <c r="F26697" s="0" t="s">
        <v>10405</v>
      </c>
    </row>
    <row r="26698" customFormat="false" ht="12.8" hidden="false" customHeight="false" outlineLevel="0" collapsed="false">
      <c r="B26698" s="0" t="s">
        <v>186</v>
      </c>
      <c r="C26698" s="0" t="s">
        <v>462</v>
      </c>
      <c r="E26698" s="0" t="s">
        <v>10407</v>
      </c>
      <c r="F26698" s="0" t="s">
        <v>10408</v>
      </c>
    </row>
    <row r="26700" customFormat="false" ht="12.8" hidden="false" customHeight="false" outlineLevel="0" collapsed="false">
      <c r="A26700" s="0" t="s">
        <v>10773</v>
      </c>
      <c r="B26700" s="0" t="str">
        <f aca="false">HYPERLINK("https://lindat.mff.cuni.cz/services/teitok/pdtc10/index.php?action=vallex&amp;frame=v-w3583f2", "podlehnout (v-w3583f2)")</f>
        <v>podlehnout (v-w3583f2)</v>
      </c>
      <c r="E26700" s="0" t="str">
        <f aca="false">HYPERLINK("https://lindat.mff.cuni.cz/services/SynSemClass40/SynSemClass40.html?veclass=vec00870#vec00870-ces-cm00001", "vec00870")</f>
        <v>vec00870</v>
      </c>
      <c r="F26700" s="0" t="s">
        <v>10774</v>
      </c>
    </row>
    <row r="26701" customFormat="false" ht="12.8" hidden="false" customHeight="false" outlineLevel="0" collapsed="false">
      <c r="B26701" s="0" t="s">
        <v>1</v>
      </c>
      <c r="E26701" s="0" t="s">
        <v>5234</v>
      </c>
      <c r="F26701" s="0" t="s">
        <v>10775</v>
      </c>
    </row>
    <row r="26702" customFormat="false" ht="12.8" hidden="false" customHeight="false" outlineLevel="0" collapsed="false">
      <c r="B26702" s="0" t="s">
        <v>186</v>
      </c>
      <c r="E26702" s="0" t="s">
        <v>5237</v>
      </c>
      <c r="F26702" s="0" t="s">
        <v>10776</v>
      </c>
    </row>
    <row r="26704" customFormat="false" ht="12.8" hidden="false" customHeight="false" outlineLevel="0" collapsed="false">
      <c r="A26704" s="0" t="s">
        <v>10777</v>
      </c>
      <c r="B26704" s="0" t="str">
        <f aca="false">HYPERLINK("https://lindat.mff.cuni.cz/services/teitok/pdtc10/index.php?action=vallex&amp;frame=v-w3584f1", "podlomit (v-w3584f1)")</f>
        <v>podlomit (v-w3584f1)</v>
      </c>
      <c r="E26704" s="0" t="str">
        <f aca="false">HYPERLINK("https://lindat.mff.cuni.cz/services/SynSemClass40/SynSemClass40.html?veclass=vec01510#vec01510-ces-cm00025", "vec01510")</f>
        <v>vec01510</v>
      </c>
      <c r="F26704" s="0" t="s">
        <v>7671</v>
      </c>
    </row>
    <row r="26705" customFormat="false" ht="12.8" hidden="false" customHeight="false" outlineLevel="0" collapsed="false">
      <c r="B26705" s="0" t="s">
        <v>1</v>
      </c>
      <c r="C26705" s="0" t="s">
        <v>10769</v>
      </c>
      <c r="E26705" s="0" t="s">
        <v>76</v>
      </c>
      <c r="F26705" s="0" t="s">
        <v>7674</v>
      </c>
    </row>
    <row r="26706" customFormat="false" ht="12.8" hidden="false" customHeight="false" outlineLevel="0" collapsed="false">
      <c r="B26706" s="0" t="s">
        <v>8</v>
      </c>
      <c r="C26706" s="0" t="s">
        <v>2043</v>
      </c>
      <c r="E26706" s="0" t="s">
        <v>706</v>
      </c>
      <c r="F26706" s="0" t="s">
        <v>7678</v>
      </c>
    </row>
    <row r="26708" customFormat="false" ht="12.8" hidden="false" customHeight="false" outlineLevel="0" collapsed="false">
      <c r="A26708" s="0" t="s">
        <v>10778</v>
      </c>
      <c r="B26708" s="0" t="str">
        <f aca="false">HYPERLINK("https://lindat.mff.cuni.cz/services/teitok/pdtc10/index.php?action=vallex&amp;frame=v-w3586f2", "podložit (v-w3586f2)")</f>
        <v>podložit (v-w3586f2)</v>
      </c>
      <c r="E26708" s="0" t="str">
        <f aca="false">HYPERLINK("https://lindat.mff.cuni.cz/services/SynSemClass40/SynSemClass40.html?veclass=vec00291#vec00291-ces-cm00039", "vec00291")</f>
        <v>vec00291</v>
      </c>
      <c r="F26708" s="0" t="s">
        <v>10760</v>
      </c>
    </row>
    <row r="26709" customFormat="false" ht="12.8" hidden="false" customHeight="false" outlineLevel="0" collapsed="false">
      <c r="B26709" s="0" t="s">
        <v>1</v>
      </c>
      <c r="C26709" s="0" t="s">
        <v>2240</v>
      </c>
      <c r="E26709" s="0" t="s">
        <v>10761</v>
      </c>
      <c r="F26709" s="0" t="s">
        <v>10762</v>
      </c>
    </row>
    <row r="26710" customFormat="false" ht="12.8" hidden="false" customHeight="false" outlineLevel="0" collapsed="false">
      <c r="B26710" s="0" t="s">
        <v>59</v>
      </c>
      <c r="C26710" s="0" t="s">
        <v>10763</v>
      </c>
      <c r="E26710" s="0" t="s">
        <v>1544</v>
      </c>
      <c r="F26710" s="0" t="s">
        <v>10764</v>
      </c>
    </row>
    <row r="26711" customFormat="false" ht="12.8" hidden="false" customHeight="false" outlineLevel="0" collapsed="false">
      <c r="B26711" s="0" t="s">
        <v>52</v>
      </c>
      <c r="C26711" s="0" t="s">
        <v>10765</v>
      </c>
      <c r="E26711" s="0" t="s">
        <v>53</v>
      </c>
      <c r="F26711" s="0" t="s">
        <v>10766</v>
      </c>
    </row>
    <row r="26713" customFormat="false" ht="12.8" hidden="false" customHeight="false" outlineLevel="0" collapsed="false">
      <c r="A26713" s="0" t="s">
        <v>10779</v>
      </c>
      <c r="B26713" s="0" t="str">
        <f aca="false">HYPERLINK("https://lindat.mff.cuni.cz/services/teitok/pdtc10/index.php?action=vallex&amp;frame=v-w3586f1", "podložit (v-w3586f1)")</f>
        <v>podložit (v-w3586f1)</v>
      </c>
    </row>
    <row r="26714" customFormat="false" ht="12.8" hidden="false" customHeight="false" outlineLevel="0" collapsed="false">
      <c r="B26714" s="0" t="s">
        <v>1</v>
      </c>
    </row>
    <row r="26715" customFormat="false" ht="12.8" hidden="false" customHeight="false" outlineLevel="0" collapsed="false">
      <c r="B26715" s="0" t="s">
        <v>8</v>
      </c>
    </row>
    <row r="26717" customFormat="false" ht="12.8" hidden="false" customHeight="false" outlineLevel="0" collapsed="false">
      <c r="A26717" s="0" t="s">
        <v>10780</v>
      </c>
      <c r="B26717" s="0" t="str">
        <f aca="false">HYPERLINK("https://lindat.mff.cuni.cz/services/teitok/pdtc10/index.php?action=vallex&amp;frame=v-w3582f1", "podléhat (v-w3582f1)")</f>
        <v>podléhat (v-w3582f1)</v>
      </c>
    </row>
    <row r="26718" customFormat="false" ht="12.8" hidden="false" customHeight="false" outlineLevel="0" collapsed="false">
      <c r="B26718" s="0" t="s">
        <v>1</v>
      </c>
    </row>
    <row r="26719" customFormat="false" ht="12.8" hidden="false" customHeight="false" outlineLevel="0" collapsed="false">
      <c r="B26719" s="0" t="s">
        <v>186</v>
      </c>
    </row>
    <row r="26721" customFormat="false" ht="12.8" hidden="false" customHeight="false" outlineLevel="0" collapsed="false">
      <c r="A26721" s="0" t="s">
        <v>10781</v>
      </c>
      <c r="B26721" s="0" t="str">
        <f aca="false">HYPERLINK("https://lindat.mff.cuni.cz/services/teitok/pdtc10/index.php?action=vallex&amp;frame=v-w3582f2_ZU", "podléhat (v-w3582f2_ZU)")</f>
        <v>podléhat (v-w3582f2_ZU)</v>
      </c>
    </row>
    <row r="26722" customFormat="false" ht="12.8" hidden="false" customHeight="false" outlineLevel="0" collapsed="false">
      <c r="B26722" s="0" t="s">
        <v>1</v>
      </c>
    </row>
    <row r="26723" customFormat="false" ht="12.8" hidden="false" customHeight="false" outlineLevel="0" collapsed="false">
      <c r="B26723" s="0" t="s">
        <v>186</v>
      </c>
    </row>
    <row r="26725" customFormat="false" ht="12.8" hidden="false" customHeight="false" outlineLevel="0" collapsed="false">
      <c r="A26725" s="0" t="s">
        <v>10782</v>
      </c>
      <c r="B26725" s="0" t="str">
        <f aca="false">HYPERLINK("https://lindat.mff.cuni.cz/services/teitok/pdtc10/index.php?action=vallex&amp;frame=v-w10367f2", "podlézat (v-w10367f2)")</f>
        <v>podlézat (v-w10367f2)</v>
      </c>
      <c r="E26725" s="0" t="str">
        <f aca="false">HYPERLINK("https://lindat.mff.cuni.cz/services/SynSemClass40/SynSemClass40.html?veclass=vec00668#vec00668-ces-cm00001", "vec00668")</f>
        <v>vec00668</v>
      </c>
      <c r="F26725" s="0" t="s">
        <v>7116</v>
      </c>
    </row>
    <row r="26726" customFormat="false" ht="12.8" hidden="false" customHeight="false" outlineLevel="0" collapsed="false">
      <c r="B26726" s="0" t="s">
        <v>1</v>
      </c>
      <c r="C26726" s="0" t="s">
        <v>10783</v>
      </c>
      <c r="E26726" s="0" t="s">
        <v>11</v>
      </c>
      <c r="F26726" s="0" t="s">
        <v>7118</v>
      </c>
    </row>
    <row r="26727" customFormat="false" ht="12.8" hidden="false" customHeight="false" outlineLevel="0" collapsed="false">
      <c r="B26727" s="0" t="s">
        <v>186</v>
      </c>
      <c r="C26727" s="0" t="s">
        <v>10784</v>
      </c>
      <c r="E26727" s="0" t="s">
        <v>7120</v>
      </c>
      <c r="F26727" s="0" t="s">
        <v>7121</v>
      </c>
    </row>
    <row r="26729" customFormat="false" ht="12.8" hidden="false" customHeight="false" outlineLevel="0" collapsed="false">
      <c r="A26729" s="0" t="s">
        <v>10785</v>
      </c>
      <c r="B26729" s="0" t="str">
        <f aca="false">HYPERLINK("https://lindat.mff.cuni.cz/services/teitok/pdtc10/index.php?action=vallex&amp;frame=v-whsb_1054hsa_1055", "podlézt (v-whsb_1054hsa_1055)")</f>
        <v>podlézt (v-whsb_1054hsa_1055)</v>
      </c>
    </row>
    <row r="26730" customFormat="false" ht="12.8" hidden="false" customHeight="false" outlineLevel="0" collapsed="false">
      <c r="B26730" s="0" t="s">
        <v>1</v>
      </c>
    </row>
    <row r="26731" customFormat="false" ht="12.8" hidden="false" customHeight="false" outlineLevel="0" collapsed="false">
      <c r="B26731" s="0" t="s">
        <v>8</v>
      </c>
    </row>
    <row r="26733" customFormat="false" ht="12.8" hidden="false" customHeight="false" outlineLevel="0" collapsed="false">
      <c r="A26733" s="0" t="s">
        <v>10786</v>
      </c>
      <c r="B26733" s="0" t="str">
        <f aca="false">HYPERLINK("https://lindat.mff.cuni.cz/services/teitok/pdtc10/index.php?action=vallex&amp;frame=v-w3587f1", "podmalovávat (v-w3587f1)")</f>
        <v>podmalovávat (v-w3587f1)</v>
      </c>
    </row>
    <row r="26734" customFormat="false" ht="12.8" hidden="false" customHeight="false" outlineLevel="0" collapsed="false">
      <c r="B26734" s="0" t="s">
        <v>1</v>
      </c>
    </row>
    <row r="26735" customFormat="false" ht="12.8" hidden="false" customHeight="false" outlineLevel="0" collapsed="false">
      <c r="B26735" s="0" t="s">
        <v>8</v>
      </c>
    </row>
    <row r="26737" customFormat="false" ht="12.8" hidden="false" customHeight="false" outlineLevel="0" collapsed="false">
      <c r="A26737" s="0" t="s">
        <v>10787</v>
      </c>
      <c r="B26737" s="0" t="str">
        <f aca="false">HYPERLINK("https://lindat.mff.cuni.cz/services/teitok/pdtc10/index.php?action=vallex&amp;frame=v-w3588f1", "podmanit si (v-w3588f1)")</f>
        <v>podmanit si (v-w3588f1)</v>
      </c>
    </row>
    <row r="26738" customFormat="false" ht="12.8" hidden="false" customHeight="false" outlineLevel="0" collapsed="false">
      <c r="B26738" s="0" t="s">
        <v>1</v>
      </c>
    </row>
    <row r="26739" customFormat="false" ht="12.8" hidden="false" customHeight="false" outlineLevel="0" collapsed="false">
      <c r="B26739" s="0" t="s">
        <v>8</v>
      </c>
    </row>
    <row r="26741" customFormat="false" ht="12.8" hidden="false" customHeight="false" outlineLevel="0" collapsed="false">
      <c r="A26741" s="0" t="s">
        <v>10788</v>
      </c>
      <c r="B26741" s="0" t="str">
        <f aca="false">HYPERLINK("https://lindat.mff.cuni.cz/services/teitok/pdtc10/index.php?action=vallex&amp;frame=v-w11411f1", "podmaňovat si (v-w11411f1)")</f>
        <v>podmaňovat si (v-w11411f1)</v>
      </c>
    </row>
    <row r="26742" customFormat="false" ht="12.8" hidden="false" customHeight="false" outlineLevel="0" collapsed="false">
      <c r="B26742" s="0" t="s">
        <v>1</v>
      </c>
    </row>
    <row r="26743" customFormat="false" ht="12.8" hidden="false" customHeight="false" outlineLevel="0" collapsed="false">
      <c r="B26743" s="0" t="s">
        <v>8</v>
      </c>
    </row>
    <row r="26745" customFormat="false" ht="12.8" hidden="false" customHeight="false" outlineLevel="0" collapsed="false">
      <c r="A26745" s="0" t="s">
        <v>10789</v>
      </c>
      <c r="B26745" s="0" t="str">
        <f aca="false">HYPERLINK("https://lindat.mff.cuni.cz/services/teitok/pdtc10/index.php?action=vallex&amp;frame=v-w3592f1", "podminovat (v-w3592f1)")</f>
        <v>podminovat (v-w3592f1)</v>
      </c>
    </row>
    <row r="26746" customFormat="false" ht="12.8" hidden="false" customHeight="false" outlineLevel="0" collapsed="false">
      <c r="B26746" s="0" t="s">
        <v>1</v>
      </c>
    </row>
    <row r="26747" customFormat="false" ht="12.8" hidden="false" customHeight="false" outlineLevel="0" collapsed="false">
      <c r="B26747" s="0" t="s">
        <v>8</v>
      </c>
    </row>
    <row r="26749" customFormat="false" ht="12.8" hidden="false" customHeight="false" outlineLevel="0" collapsed="false">
      <c r="A26749" s="0" t="s">
        <v>10790</v>
      </c>
      <c r="B26749" s="0" t="str">
        <f aca="false">HYPERLINK("https://lindat.mff.cuni.cz/services/teitok/pdtc10/index.php?action=vallex&amp;frame=v-w3593f1", "podmiňovat (v-w3593f1)")</f>
        <v>podmiňovat (v-w3593f1)</v>
      </c>
      <c r="E26749" s="0" t="str">
        <f aca="false">HYPERLINK("https://lindat.mff.cuni.cz/services/SynSemClass40/SynSemClass40.html?veclass=vec01258#vec01258-ces-cm00002", "vec01258")</f>
        <v>vec01258</v>
      </c>
      <c r="F26749" s="0" t="s">
        <v>10791</v>
      </c>
    </row>
    <row r="26750" customFormat="false" ht="12.8" hidden="false" customHeight="false" outlineLevel="0" collapsed="false">
      <c r="B26750" s="0" t="s">
        <v>1</v>
      </c>
      <c r="E26750" s="0" t="s">
        <v>206</v>
      </c>
      <c r="F26750" s="0" t="s">
        <v>1359</v>
      </c>
    </row>
    <row r="26751" customFormat="false" ht="12.8" hidden="false" customHeight="false" outlineLevel="0" collapsed="false">
      <c r="B26751" s="0" t="s">
        <v>8</v>
      </c>
      <c r="C26751" s="0" t="s">
        <v>798</v>
      </c>
      <c r="E26751" s="0" t="s">
        <v>188</v>
      </c>
      <c r="F26751" s="0" t="s">
        <v>10792</v>
      </c>
    </row>
    <row r="26752" customFormat="false" ht="12.8" hidden="false" customHeight="false" outlineLevel="0" collapsed="false">
      <c r="B26752" s="0" t="s">
        <v>1696</v>
      </c>
      <c r="C26752" s="0" t="s">
        <v>1851</v>
      </c>
      <c r="E26752" s="0" t="s">
        <v>10793</v>
      </c>
      <c r="F26752" s="0" t="s">
        <v>10794</v>
      </c>
    </row>
    <row r="26754" customFormat="false" ht="12.8" hidden="false" customHeight="false" outlineLevel="0" collapsed="false">
      <c r="A26754" s="0" t="s">
        <v>10795</v>
      </c>
      <c r="B26754" s="0" t="str">
        <f aca="false">HYPERLINK("https://lindat.mff.cuni.cz/services/teitok/pdtc10/index.php?action=vallex&amp;frame=v-w3593f2", "podmiňovat (v-w3593f2)")</f>
        <v>podmiňovat (v-w3593f2)</v>
      </c>
    </row>
    <row r="26755" customFormat="false" ht="12.8" hidden="false" customHeight="false" outlineLevel="0" collapsed="false">
      <c r="B26755" s="0" t="s">
        <v>843</v>
      </c>
    </row>
    <row r="26756" customFormat="false" ht="12.8" hidden="false" customHeight="false" outlineLevel="0" collapsed="false">
      <c r="B26756" s="0" t="s">
        <v>59</v>
      </c>
    </row>
    <row r="26758" customFormat="false" ht="12.8" hidden="false" customHeight="false" outlineLevel="0" collapsed="false">
      <c r="A26758" s="0" t="s">
        <v>10796</v>
      </c>
      <c r="B26758" s="0" t="str">
        <f aca="false">HYPERLINK("https://lindat.mff.cuni.cz/services/teitok/pdtc10/index.php?action=vallex&amp;frame=v-w3590f1", "podmínit (v-w3590f1)")</f>
        <v>podmínit (v-w3590f1)</v>
      </c>
      <c r="E26758" s="0" t="str">
        <f aca="false">HYPERLINK("https://lindat.mff.cuni.cz/services/SynSemClass40/SynSemClass40.html?veclass=vec01258#vec01258-ces-cm00001", "vec01258")</f>
        <v>vec01258</v>
      </c>
      <c r="F26758" s="0" t="s">
        <v>10791</v>
      </c>
    </row>
    <row r="26759" customFormat="false" ht="12.8" hidden="false" customHeight="false" outlineLevel="0" collapsed="false">
      <c r="B26759" s="0" t="s">
        <v>1</v>
      </c>
      <c r="E26759" s="0" t="s">
        <v>206</v>
      </c>
      <c r="F26759" s="0" t="s">
        <v>1359</v>
      </c>
    </row>
    <row r="26760" customFormat="false" ht="12.8" hidden="false" customHeight="false" outlineLevel="0" collapsed="false">
      <c r="B26760" s="0" t="s">
        <v>8</v>
      </c>
      <c r="C26760" s="0" t="s">
        <v>798</v>
      </c>
      <c r="E26760" s="0" t="s">
        <v>188</v>
      </c>
      <c r="F26760" s="0" t="s">
        <v>10792</v>
      </c>
    </row>
    <row r="26761" customFormat="false" ht="12.8" hidden="false" customHeight="false" outlineLevel="0" collapsed="false">
      <c r="B26761" s="0" t="s">
        <v>1696</v>
      </c>
      <c r="C26761" s="0" t="s">
        <v>1851</v>
      </c>
      <c r="E26761" s="0" t="s">
        <v>10793</v>
      </c>
      <c r="F26761" s="0" t="s">
        <v>10794</v>
      </c>
    </row>
    <row r="26763" customFormat="false" ht="12.8" hidden="false" customHeight="false" outlineLevel="0" collapsed="false">
      <c r="A26763" s="0" t="s">
        <v>10797</v>
      </c>
      <c r="B26763" s="0" t="str">
        <f aca="false">HYPERLINK("https://lindat.mff.cuni.cz/services/teitok/pdtc10/index.php?action=vallex&amp;frame=v-w3590f2", "podmínit (v-w3590f2)")</f>
        <v>podmínit (v-w3590f2)</v>
      </c>
    </row>
    <row r="26764" customFormat="false" ht="12.8" hidden="false" customHeight="false" outlineLevel="0" collapsed="false">
      <c r="B26764" s="0" t="s">
        <v>843</v>
      </c>
    </row>
    <row r="26765" customFormat="false" ht="12.8" hidden="false" customHeight="false" outlineLevel="0" collapsed="false">
      <c r="B26765" s="0" t="s">
        <v>59</v>
      </c>
    </row>
    <row r="26767" customFormat="false" ht="12.8" hidden="false" customHeight="false" outlineLevel="0" collapsed="false">
      <c r="A26767" s="0" t="s">
        <v>10798</v>
      </c>
      <c r="B26767" s="0" t="str">
        <f aca="false">HYPERLINK("https://lindat.mff.cuni.cz/services/teitok/pdtc10/index.php?action=vallex&amp;frame=v-w3601f2", "podnikat (v-w3601f2)")</f>
        <v>podnikat (v-w3601f2)</v>
      </c>
    </row>
    <row r="26768" customFormat="false" ht="12.8" hidden="false" customHeight="false" outlineLevel="0" collapsed="false">
      <c r="B26768" s="0" t="s">
        <v>1</v>
      </c>
    </row>
    <row r="26769" customFormat="false" ht="12.8" hidden="false" customHeight="false" outlineLevel="0" collapsed="false">
      <c r="B26769" s="0" t="s">
        <v>8</v>
      </c>
    </row>
    <row r="26771" customFormat="false" ht="12.8" hidden="false" customHeight="false" outlineLevel="0" collapsed="false">
      <c r="A26771" s="0" t="s">
        <v>10799</v>
      </c>
      <c r="B26771" s="0" t="str">
        <f aca="false">HYPERLINK("https://lindat.mff.cuni.cz/services/teitok/pdtc10/index.php?action=vallex&amp;frame=v-w3601f1", "podnikat (v-w3601f1)")</f>
        <v>podnikat (v-w3601f1)</v>
      </c>
      <c r="E26771" s="0" t="str">
        <f aca="false">HYPERLINK("https://lindat.mff.cuni.cz/services/SynSemClass40/SynSemClass40.html?veclass=vec00054#vec00054-ces-cm00032", "vec00054")</f>
        <v>vec00054</v>
      </c>
      <c r="F26771" s="0" t="s">
        <v>6203</v>
      </c>
      <c r="H26771" s="0" t="str">
        <f aca="false">HYPERLINK("https://lindat.mff.cuni.cz/services/SynSemClass40/SynSemClass40.html?veclass=vec00273#vec00273-ces-cm00030", "vec00273")</f>
        <v>vec00273</v>
      </c>
      <c r="I26771" s="0" t="s">
        <v>4024</v>
      </c>
    </row>
    <row r="26772" customFormat="false" ht="12.8" hidden="false" customHeight="false" outlineLevel="0" collapsed="false">
      <c r="B26772" s="0" t="s">
        <v>1</v>
      </c>
      <c r="C26772" s="0" t="s">
        <v>10800</v>
      </c>
      <c r="E26772" s="0" t="s">
        <v>11</v>
      </c>
      <c r="F26772" s="0" t="s">
        <v>6205</v>
      </c>
      <c r="H26772" s="0" t="s">
        <v>11</v>
      </c>
      <c r="I26772" s="0" t="s">
        <v>4027</v>
      </c>
    </row>
    <row r="26774" customFormat="false" ht="12.8" hidden="false" customHeight="false" outlineLevel="0" collapsed="false">
      <c r="A26774" s="0" t="s">
        <v>10801</v>
      </c>
      <c r="B26774" s="0" t="str">
        <f aca="false">HYPERLINK("https://lindat.mff.cuni.cz/services/teitok/pdtc10/index.php?action=vallex&amp;frame=v-w3601f3", "podnikat (v-w3601f3)")</f>
        <v>podnikat (v-w3601f3)</v>
      </c>
      <c r="E26774" s="0" t="str">
        <f aca="false">HYPERLINK("https://lindat.mff.cuni.cz/services/SynSemClass40/SynSemClass40.html?veclass=vec01188#vec01188-ces-cm00081", "vec01188")</f>
        <v>vec01188</v>
      </c>
      <c r="F26774" s="0" t="s">
        <v>5481</v>
      </c>
    </row>
    <row r="26775" customFormat="false" ht="12.8" hidden="false" customHeight="false" outlineLevel="0" collapsed="false">
      <c r="B26775" s="0" t="s">
        <v>1</v>
      </c>
      <c r="C26775" s="0" t="s">
        <v>10802</v>
      </c>
      <c r="E26775" s="0" t="s">
        <v>31</v>
      </c>
      <c r="F26775" s="0" t="s">
        <v>5483</v>
      </c>
    </row>
    <row r="26776" customFormat="false" ht="12.8" hidden="false" customHeight="false" outlineLevel="0" collapsed="false">
      <c r="B26776" s="0" t="s">
        <v>10803</v>
      </c>
      <c r="C26776" s="0" t="s">
        <v>10804</v>
      </c>
      <c r="E26776" s="0" t="s">
        <v>3478</v>
      </c>
      <c r="F26776" s="0" t="s">
        <v>5488</v>
      </c>
    </row>
    <row r="26778" customFormat="false" ht="12.8" hidden="false" customHeight="false" outlineLevel="0" collapsed="false">
      <c r="A26778" s="0" t="s">
        <v>10805</v>
      </c>
      <c r="B26778" s="0" t="str">
        <f aca="false">HYPERLINK("https://lindat.mff.cuni.cz/services/teitok/pdtc10/index.php?action=vallex&amp;frame=v-w3601f4_ZU", "podnikat (v-w3601f4_ZU)")</f>
        <v>podnikat (v-w3601f4_ZU)</v>
      </c>
    </row>
    <row r="26779" customFormat="false" ht="12.8" hidden="false" customHeight="false" outlineLevel="0" collapsed="false">
      <c r="B26779" s="0" t="s">
        <v>1</v>
      </c>
    </row>
    <row r="26780" customFormat="false" ht="12.8" hidden="false" customHeight="false" outlineLevel="0" collapsed="false">
      <c r="B26780" s="0" t="s">
        <v>10806</v>
      </c>
    </row>
    <row r="26782" customFormat="false" ht="12.8" hidden="false" customHeight="false" outlineLevel="0" collapsed="false">
      <c r="A26782" s="0" t="s">
        <v>10805</v>
      </c>
      <c r="B26782" s="0" t="str">
        <f aca="false">HYPERLINK("https://lindat.mff.cuni.cz/services/teitok/pdtc10/index.php?action=vallex&amp;frame=v-w3601hsa_1618", "podnikat (v-w3601hsa_1618) - substituted with v-w3601f4_ZU")</f>
        <v>podnikat (v-w3601hsa_1618) - substituted with v-w3601f4_ZU</v>
      </c>
    </row>
    <row r="26783" customFormat="false" ht="12.8" hidden="false" customHeight="false" outlineLevel="0" collapsed="false">
      <c r="B26783" s="0" t="s">
        <v>1</v>
      </c>
    </row>
    <row r="26784" customFormat="false" ht="12.8" hidden="false" customHeight="false" outlineLevel="0" collapsed="false">
      <c r="B26784" s="0" t="s">
        <v>10806</v>
      </c>
    </row>
    <row r="26786" customFormat="false" ht="12.8" hidden="false" customHeight="false" outlineLevel="0" collapsed="false">
      <c r="A26786" s="0" t="s">
        <v>10807</v>
      </c>
      <c r="B26786" s="0" t="str">
        <f aca="false">HYPERLINK("https://lindat.mff.cuni.cz/services/teitok/pdtc10/index.php?action=vallex&amp;frame=v-w3603f3", "podniknout (v-w3603f3)")</f>
        <v>podniknout (v-w3603f3)</v>
      </c>
      <c r="E26786" s="0" t="str">
        <f aca="false">HYPERLINK("https://lindat.mff.cuni.cz/services/SynSemClass40/SynSemClass40.html?veclass=vec00089#vec00089-ces-cm00063", "vec00089")</f>
        <v>vec00089</v>
      </c>
      <c r="F26786" s="0" t="s">
        <v>3959</v>
      </c>
      <c r="H26786" s="0" t="str">
        <f aca="false">HYPERLINK("https://lindat.mff.cuni.cz/services/SynSemClass40/SynSemClass40.html?veclass=vec00533#vec00533-ces-cm00006", "vec00533")</f>
        <v>vec00533</v>
      </c>
      <c r="I26786" s="0" t="s">
        <v>10808</v>
      </c>
      <c r="K26786" s="0" t="str">
        <f aca="false">HYPERLINK("https://lindat.mff.cuni.cz/services/SynSemClass40/SynSemClass40.html?veclass=vec01188#vec01188-ces-cm00082", "vec01188")</f>
        <v>vec01188</v>
      </c>
      <c r="L26786" s="0" t="s">
        <v>5481</v>
      </c>
    </row>
    <row r="26787" customFormat="false" ht="12.8" hidden="false" customHeight="false" outlineLevel="0" collapsed="false">
      <c r="B26787" s="0" t="s">
        <v>1</v>
      </c>
      <c r="C26787" s="0" t="s">
        <v>10809</v>
      </c>
      <c r="E26787" s="0" t="s">
        <v>31</v>
      </c>
      <c r="F26787" s="0" t="s">
        <v>3960</v>
      </c>
      <c r="H26787" s="0" t="s">
        <v>31</v>
      </c>
      <c r="I26787" s="0" t="s">
        <v>10810</v>
      </c>
      <c r="K26787" s="0" t="s">
        <v>31</v>
      </c>
      <c r="L26787" s="0" t="s">
        <v>5483</v>
      </c>
    </row>
    <row r="26788" customFormat="false" ht="12.8" hidden="false" customHeight="false" outlineLevel="0" collapsed="false">
      <c r="B26788" s="0" t="s">
        <v>8</v>
      </c>
      <c r="C26788" s="0" t="s">
        <v>10811</v>
      </c>
      <c r="E26788" s="0" t="s">
        <v>2628</v>
      </c>
      <c r="F26788" s="0" t="s">
        <v>3961</v>
      </c>
      <c r="H26788" s="0" t="s">
        <v>1732</v>
      </c>
      <c r="I26788" s="0" t="s">
        <v>10812</v>
      </c>
      <c r="K26788" s="0" t="s">
        <v>523</v>
      </c>
      <c r="L26788" s="0" t="s">
        <v>10813</v>
      </c>
    </row>
    <row r="26790" customFormat="false" ht="12.8" hidden="false" customHeight="false" outlineLevel="0" collapsed="false">
      <c r="A26790" s="0" t="s">
        <v>10814</v>
      </c>
      <c r="B26790" s="0" t="str">
        <f aca="false">HYPERLINK("https://lindat.mff.cuni.cz/services/teitok/pdtc10/index.php?action=vallex&amp;frame=v-w3603hsa_1363", "podniknout (v-w3603hsa_1363)")</f>
        <v>podniknout (v-w3603hsa_1363)</v>
      </c>
    </row>
    <row r="26791" customFormat="false" ht="12.8" hidden="false" customHeight="false" outlineLevel="0" collapsed="false">
      <c r="B26791" s="0" t="s">
        <v>1</v>
      </c>
    </row>
    <row r="26792" customFormat="false" ht="12.8" hidden="false" customHeight="false" outlineLevel="0" collapsed="false">
      <c r="B26792" s="0" t="s">
        <v>10815</v>
      </c>
    </row>
    <row r="26794" customFormat="false" ht="12.8" hidden="false" customHeight="false" outlineLevel="0" collapsed="false">
      <c r="A26794" s="0" t="s">
        <v>10814</v>
      </c>
      <c r="B26794" s="0" t="str">
        <f aca="false">HYPERLINK("https://lindat.mff.cuni.cz/services/teitok/pdtc10/index.php?action=vallex&amp;frame=v-w3603f2", "podniknout (v-w3603f2) - substituted with v-w3603hsa_1363")</f>
        <v>podniknout (v-w3603f2) - substituted with v-w3603hsa_1363</v>
      </c>
    </row>
    <row r="26795" customFormat="false" ht="12.8" hidden="false" customHeight="false" outlineLevel="0" collapsed="false">
      <c r="B26795" s="0" t="s">
        <v>1</v>
      </c>
    </row>
    <row r="26796" customFormat="false" ht="12.8" hidden="false" customHeight="false" outlineLevel="0" collapsed="false">
      <c r="B26796" s="0" t="s">
        <v>10815</v>
      </c>
    </row>
    <row r="26798" customFormat="false" ht="12.8" hidden="false" customHeight="false" outlineLevel="0" collapsed="false">
      <c r="A26798" s="0" t="s">
        <v>10814</v>
      </c>
      <c r="B26798" s="0" t="str">
        <f aca="false">HYPERLINK("https://lindat.mff.cuni.cz/services/teitok/pdtc10/index.php?action=vallex&amp;frame=v-w3603hsa_350", "podniknout (v-w3603hsa_350) - substituted with v-w3603hsa_1363")</f>
        <v>podniknout (v-w3603hsa_350) - substituted with v-w3603hsa_1363</v>
      </c>
      <c r="E26798" s="0" t="str">
        <f aca="false">HYPERLINK("https://lindat.mff.cuni.cz/services/SynSemClass40/SynSemClass40.html?veclass=vec01188#vec01188-ces-cm00083", "vec01188")</f>
        <v>vec01188</v>
      </c>
      <c r="F26798" s="0" t="s">
        <v>5481</v>
      </c>
    </row>
    <row r="26799" customFormat="false" ht="12.8" hidden="false" customHeight="false" outlineLevel="0" collapsed="false">
      <c r="B26799" s="0" t="s">
        <v>1</v>
      </c>
      <c r="C26799" s="0" t="s">
        <v>10802</v>
      </c>
      <c r="E26799" s="0" t="s">
        <v>31</v>
      </c>
      <c r="F26799" s="0" t="s">
        <v>5483</v>
      </c>
    </row>
    <row r="26800" customFormat="false" ht="12.8" hidden="false" customHeight="false" outlineLevel="0" collapsed="false">
      <c r="B26800" s="0" t="s">
        <v>10815</v>
      </c>
      <c r="C26800" s="0" t="s">
        <v>10804</v>
      </c>
      <c r="E26800" s="0" t="s">
        <v>3478</v>
      </c>
      <c r="F26800" s="0" t="s">
        <v>5488</v>
      </c>
    </row>
    <row r="26802" customFormat="false" ht="12.8" hidden="false" customHeight="false" outlineLevel="0" collapsed="false">
      <c r="A26802" s="0" t="s">
        <v>10816</v>
      </c>
      <c r="B26802" s="0" t="str">
        <f aca="false">HYPERLINK("https://lindat.mff.cuni.cz/services/teitok/pdtc10/index.php?action=vallex&amp;frame=v-w3603hsa_351", "podniknout (v-w3603hsa_351)")</f>
        <v>podniknout (v-w3603hsa_351)</v>
      </c>
      <c r="E26802" s="0" t="str">
        <f aca="false">HYPERLINK("https://lindat.mff.cuni.cz/services/SynSemClass40/SynSemClass40.html?veclass=vec01188#vec01188-ces-cm00084", "vec01188")</f>
        <v>vec01188</v>
      </c>
      <c r="F26802" s="0" t="s">
        <v>5481</v>
      </c>
    </row>
    <row r="26803" customFormat="false" ht="12.8" hidden="false" customHeight="false" outlineLevel="0" collapsed="false">
      <c r="B26803" s="0" t="s">
        <v>1</v>
      </c>
      <c r="C26803" s="0" t="s">
        <v>10802</v>
      </c>
      <c r="E26803" s="0" t="s">
        <v>31</v>
      </c>
      <c r="F26803" s="0" t="s">
        <v>5483</v>
      </c>
    </row>
    <row r="26804" customFormat="false" ht="12.8" hidden="false" customHeight="false" outlineLevel="0" collapsed="false">
      <c r="B26804" s="0" t="s">
        <v>10817</v>
      </c>
      <c r="C26804" s="0" t="s">
        <v>10804</v>
      </c>
      <c r="E26804" s="0" t="s">
        <v>3478</v>
      </c>
      <c r="F26804" s="0" t="s">
        <v>5488</v>
      </c>
    </row>
    <row r="26806" customFormat="false" ht="12.8" hidden="false" customHeight="false" outlineLevel="0" collapsed="false">
      <c r="A26806" s="0" t="s">
        <v>10816</v>
      </c>
      <c r="B26806" s="0" t="str">
        <f aca="false">HYPERLINK("https://lindat.mff.cuni.cz/services/teitok/pdtc10/index.php?action=vallex&amp;frame=v-w3603f1", "podniknout (v-w3603f1) - substituted with v-w3603hsa_351")</f>
        <v>podniknout (v-w3603f1) - substituted with v-w3603hsa_351</v>
      </c>
    </row>
    <row r="26807" customFormat="false" ht="12.8" hidden="false" customHeight="false" outlineLevel="0" collapsed="false">
      <c r="B26807" s="0" t="s">
        <v>1</v>
      </c>
    </row>
    <row r="26808" customFormat="false" ht="12.8" hidden="false" customHeight="false" outlineLevel="0" collapsed="false">
      <c r="B26808" s="0" t="s">
        <v>10817</v>
      </c>
    </row>
    <row r="26810" customFormat="false" ht="12.8" hidden="false" customHeight="false" outlineLevel="0" collapsed="false">
      <c r="A26810" s="0" t="s">
        <v>10816</v>
      </c>
      <c r="B26810" s="0" t="str">
        <f aca="false">HYPERLINK("https://lindat.mff.cuni.cz/services/teitok/pdtc10/index.php?action=vallex&amp;frame=v-w3603f4_ZU", "podniknout (v-w3603f4_ZU) - substituted with v-w3603hsa_351")</f>
        <v>podniknout (v-w3603f4_ZU) - substituted with v-w3603hsa_351</v>
      </c>
    </row>
    <row r="26811" customFormat="false" ht="12.8" hidden="false" customHeight="false" outlineLevel="0" collapsed="false">
      <c r="B26811" s="0" t="s">
        <v>1</v>
      </c>
    </row>
    <row r="26812" customFormat="false" ht="12.8" hidden="false" customHeight="false" outlineLevel="0" collapsed="false">
      <c r="B26812" s="0" t="s">
        <v>10817</v>
      </c>
    </row>
    <row r="26814" customFormat="false" ht="12.8" hidden="false" customHeight="false" outlineLevel="0" collapsed="false">
      <c r="A26814" s="0" t="s">
        <v>10818</v>
      </c>
      <c r="B26814" s="0" t="str">
        <f aca="false">HYPERLINK("https://lindat.mff.cuni.cz/services/teitok/pdtc10/index.php?action=vallex&amp;frame=v-w3604f2", "podnítit (v-w3604f2)")</f>
        <v>podnítit (v-w3604f2)</v>
      </c>
      <c r="E26814" s="0" t="str">
        <f aca="false">HYPERLINK("https://lindat.mff.cuni.cz/services/SynSemClass40/SynSemClass40.html?veclass=vec00098#vec00098-ces-cm00034", "vec00098")</f>
        <v>vec00098</v>
      </c>
      <c r="F26814" s="0" t="s">
        <v>2500</v>
      </c>
    </row>
    <row r="26815" customFormat="false" ht="12.8" hidden="false" customHeight="false" outlineLevel="0" collapsed="false">
      <c r="B26815" s="0" t="s">
        <v>1</v>
      </c>
      <c r="C26815" s="0" t="s">
        <v>2501</v>
      </c>
      <c r="E26815" s="0" t="s">
        <v>1665</v>
      </c>
      <c r="F26815" s="0" t="s">
        <v>2502</v>
      </c>
    </row>
    <row r="26816" customFormat="false" ht="12.8" hidden="false" customHeight="false" outlineLevel="0" collapsed="false">
      <c r="B26816" s="0" t="s">
        <v>10819</v>
      </c>
      <c r="C26816" s="0" t="s">
        <v>2503</v>
      </c>
      <c r="E26816" s="0" t="s">
        <v>79</v>
      </c>
      <c r="F26816" s="0" t="s">
        <v>2504</v>
      </c>
    </row>
    <row r="26817" customFormat="false" ht="12.8" hidden="false" customHeight="false" outlineLevel="0" collapsed="false">
      <c r="B26817" s="0" t="s">
        <v>98</v>
      </c>
      <c r="C26817" s="0" t="s">
        <v>2505</v>
      </c>
      <c r="E26817" s="0" t="s">
        <v>2287</v>
      </c>
      <c r="F26817" s="0" t="s">
        <v>2506</v>
      </c>
    </row>
    <row r="26819" customFormat="false" ht="12.8" hidden="false" customHeight="false" outlineLevel="0" collapsed="false">
      <c r="A26819" s="0" t="s">
        <v>10820</v>
      </c>
      <c r="B26819" s="0" t="str">
        <f aca="false">HYPERLINK("https://lindat.mff.cuni.cz/services/teitok/pdtc10/index.php?action=vallex&amp;frame=v-w3604f3", "podnítit (v-w3604f3)")</f>
        <v>podnítit (v-w3604f3)</v>
      </c>
      <c r="E26819" s="0" t="str">
        <f aca="false">HYPERLINK("https://lindat.mff.cuni.cz/services/SynSemClass40/SynSemClass40.html?veclass=vec00038#vec00038-ces-cm00018", "vec00038")</f>
        <v>vec00038</v>
      </c>
      <c r="F26819" s="0" t="s">
        <v>74</v>
      </c>
    </row>
    <row r="26820" customFormat="false" ht="12.8" hidden="false" customHeight="false" outlineLevel="0" collapsed="false">
      <c r="B26820" s="0" t="s">
        <v>1</v>
      </c>
      <c r="C26820" s="0" t="s">
        <v>75</v>
      </c>
      <c r="E26820" s="0" t="s">
        <v>76</v>
      </c>
      <c r="F26820" s="0" t="s">
        <v>77</v>
      </c>
    </row>
    <row r="26821" customFormat="false" ht="12.8" hidden="false" customHeight="false" outlineLevel="0" collapsed="false">
      <c r="B26821" s="0" t="s">
        <v>8</v>
      </c>
      <c r="C26821" s="0" t="s">
        <v>78</v>
      </c>
      <c r="E26821" s="0" t="s">
        <v>79</v>
      </c>
      <c r="F26821" s="0" t="s">
        <v>80</v>
      </c>
    </row>
    <row r="26823" customFormat="false" ht="12.8" hidden="false" customHeight="false" outlineLevel="0" collapsed="false">
      <c r="A26823" s="0" t="s">
        <v>10820</v>
      </c>
      <c r="B26823" s="0" t="str">
        <f aca="false">HYPERLINK("https://lindat.mff.cuni.cz/services/teitok/pdtc10/index.php?action=vallex&amp;frame=v-w3604f1", "podnítit (v-w3604f1) - substituted with v-w3604f3")</f>
        <v>podnítit (v-w3604f1) - substituted with v-w3604f3</v>
      </c>
    </row>
    <row r="26824" customFormat="false" ht="12.8" hidden="false" customHeight="false" outlineLevel="0" collapsed="false">
      <c r="B26824" s="0" t="s">
        <v>1</v>
      </c>
    </row>
    <row r="26825" customFormat="false" ht="12.8" hidden="false" customHeight="false" outlineLevel="0" collapsed="false">
      <c r="B26825" s="0" t="s">
        <v>8</v>
      </c>
    </row>
    <row r="26827" customFormat="false" ht="12.8" hidden="false" customHeight="false" outlineLevel="0" collapsed="false">
      <c r="A26827" s="0" t="s">
        <v>10821</v>
      </c>
      <c r="B26827" s="0" t="str">
        <f aca="false">HYPERLINK("https://lindat.mff.cuni.cz/services/teitok/pdtc10/index.php?action=vallex&amp;frame=v-w3604hsa_452", "podnítit (v-w3604hsa_452)")</f>
        <v>podnítit (v-w3604hsa_452)</v>
      </c>
    </row>
    <row r="26828" customFormat="false" ht="12.8" hidden="false" customHeight="false" outlineLevel="0" collapsed="false">
      <c r="B26828" s="0" t="s">
        <v>1</v>
      </c>
    </row>
    <row r="26829" customFormat="false" ht="12.8" hidden="false" customHeight="false" outlineLevel="0" collapsed="false">
      <c r="B26829" s="0" t="s">
        <v>8</v>
      </c>
    </row>
    <row r="26830" customFormat="false" ht="12.8" hidden="false" customHeight="false" outlineLevel="0" collapsed="false">
      <c r="B26830" s="0" t="s">
        <v>101</v>
      </c>
    </row>
    <row r="26832" customFormat="false" ht="12.8" hidden="false" customHeight="false" outlineLevel="0" collapsed="false">
      <c r="A26832" s="0" t="s">
        <v>10822</v>
      </c>
      <c r="B26832" s="0" t="str">
        <f aca="false">HYPERLINK("https://lindat.mff.cuni.cz/services/teitok/pdtc10/index.php?action=vallex&amp;frame=v-w3596f1", "podněcovat (v-w3596f1)")</f>
        <v>podněcovat (v-w3596f1)</v>
      </c>
      <c r="E26832" s="0" t="str">
        <f aca="false">HYPERLINK("https://lindat.mff.cuni.cz/services/SynSemClass40/SynSemClass40.html?veclass=vec00098#vec00098-ces-cm00033", "vec00098")</f>
        <v>vec00098</v>
      </c>
      <c r="F26832" s="0" t="s">
        <v>2500</v>
      </c>
    </row>
    <row r="26833" customFormat="false" ht="12.8" hidden="false" customHeight="false" outlineLevel="0" collapsed="false">
      <c r="B26833" s="0" t="s">
        <v>1</v>
      </c>
      <c r="C26833" s="0" t="s">
        <v>2501</v>
      </c>
      <c r="E26833" s="0" t="s">
        <v>1665</v>
      </c>
      <c r="F26833" s="0" t="s">
        <v>2502</v>
      </c>
    </row>
    <row r="26834" customFormat="false" ht="12.8" hidden="false" customHeight="false" outlineLevel="0" collapsed="false">
      <c r="B26834" s="0" t="s">
        <v>10823</v>
      </c>
      <c r="C26834" s="0" t="s">
        <v>2503</v>
      </c>
      <c r="E26834" s="0" t="s">
        <v>79</v>
      </c>
      <c r="F26834" s="0" t="s">
        <v>2504</v>
      </c>
    </row>
    <row r="26835" customFormat="false" ht="12.8" hidden="false" customHeight="false" outlineLevel="0" collapsed="false">
      <c r="B26835" s="0" t="s">
        <v>98</v>
      </c>
      <c r="C26835" s="0" t="s">
        <v>2505</v>
      </c>
      <c r="E26835" s="0" t="s">
        <v>2287</v>
      </c>
      <c r="F26835" s="0" t="s">
        <v>2506</v>
      </c>
    </row>
    <row r="26837" customFormat="false" ht="12.8" hidden="false" customHeight="false" outlineLevel="0" collapsed="false">
      <c r="A26837" s="0" t="s">
        <v>10824</v>
      </c>
      <c r="B26837" s="0" t="str">
        <f aca="false">HYPERLINK("https://lindat.mff.cuni.cz/services/teitok/pdtc10/index.php?action=vallex&amp;frame=v-w3596f2", "podněcovat (v-w3596f2)")</f>
        <v>podněcovat (v-w3596f2)</v>
      </c>
      <c r="E26837" s="0" t="str">
        <f aca="false">HYPERLINK("https://lindat.mff.cuni.cz/services/SynSemClass40/SynSemClass40.html?veclass=vec00038#vec00038-ces-cm00108", "vec00038")</f>
        <v>vec00038</v>
      </c>
      <c r="F26837" s="0" t="s">
        <v>74</v>
      </c>
    </row>
    <row r="26838" customFormat="false" ht="12.8" hidden="false" customHeight="false" outlineLevel="0" collapsed="false">
      <c r="B26838" s="0" t="s">
        <v>1</v>
      </c>
      <c r="C26838" s="0" t="s">
        <v>75</v>
      </c>
      <c r="E26838" s="0" t="s">
        <v>76</v>
      </c>
      <c r="F26838" s="0" t="s">
        <v>77</v>
      </c>
    </row>
    <row r="26839" customFormat="false" ht="12.8" hidden="false" customHeight="false" outlineLevel="0" collapsed="false">
      <c r="B26839" s="0" t="s">
        <v>8</v>
      </c>
      <c r="C26839" s="0" t="s">
        <v>78</v>
      </c>
      <c r="E26839" s="0" t="s">
        <v>79</v>
      </c>
      <c r="F26839" s="0" t="s">
        <v>80</v>
      </c>
    </row>
    <row r="26841" customFormat="false" ht="12.8" hidden="false" customHeight="false" outlineLevel="0" collapsed="false">
      <c r="A26841" s="0" t="s">
        <v>10825</v>
      </c>
      <c r="B26841" s="0" t="str">
        <f aca="false">HYPERLINK("https://lindat.mff.cuni.cz/services/teitok/pdtc10/index.php?action=vallex&amp;frame=v-w3605f1", "podobat se (v-w3605f1)")</f>
        <v>podobat se (v-w3605f1)</v>
      </c>
      <c r="E26841" s="0" t="str">
        <f aca="false">HYPERLINK("https://lindat.mff.cuni.cz/services/SynSemClass40/SynSemClass40.html?veclass=vec00141#vec00141-ces-cm00082", "vec00141")</f>
        <v>vec00141</v>
      </c>
      <c r="F26841" s="0" t="s">
        <v>4796</v>
      </c>
    </row>
    <row r="26842" customFormat="false" ht="12.8" hidden="false" customHeight="false" outlineLevel="0" collapsed="false">
      <c r="B26842" s="0" t="s">
        <v>345</v>
      </c>
      <c r="C26842" s="0" t="s">
        <v>4797</v>
      </c>
      <c r="E26842" s="0" t="s">
        <v>4798</v>
      </c>
      <c r="F26842" s="0" t="s">
        <v>4799</v>
      </c>
    </row>
    <row r="26843" customFormat="false" ht="12.8" hidden="false" customHeight="false" outlineLevel="0" collapsed="false">
      <c r="B26843" s="0" t="s">
        <v>186</v>
      </c>
      <c r="C26843" s="0" t="s">
        <v>4800</v>
      </c>
      <c r="E26843" s="0" t="s">
        <v>4801</v>
      </c>
      <c r="F26843" s="0" t="s">
        <v>4802</v>
      </c>
    </row>
    <row r="26845" customFormat="false" ht="12.8" hidden="false" customHeight="false" outlineLevel="0" collapsed="false">
      <c r="A26845" s="0" t="s">
        <v>10826</v>
      </c>
      <c r="B26845" s="0" t="str">
        <f aca="false">HYPERLINK("https://lindat.mff.cuni.cz/services/teitok/pdtc10/index.php?action=vallex&amp;frame=v-whsa_1470hsa_1471", "podojit (v-whsa_1470hsa_1471)")</f>
        <v>podojit (v-whsa_1470hsa_1471)</v>
      </c>
    </row>
    <row r="26846" customFormat="false" ht="12.8" hidden="false" customHeight="false" outlineLevel="0" collapsed="false">
      <c r="B26846" s="0" t="s">
        <v>1</v>
      </c>
    </row>
    <row r="26847" customFormat="false" ht="12.8" hidden="false" customHeight="false" outlineLevel="0" collapsed="false">
      <c r="B26847" s="0" t="s">
        <v>8</v>
      </c>
    </row>
    <row r="26849" customFormat="false" ht="12.8" hidden="false" customHeight="false" outlineLevel="0" collapsed="false">
      <c r="A26849" s="0" t="s">
        <v>10827</v>
      </c>
      <c r="B26849" s="0" t="str">
        <f aca="false">HYPERLINK("https://lindat.mff.cuni.cz/services/teitok/pdtc10/index.php?action=vallex&amp;frame=v-w3610f1", "podotknout (v-w3610f1)")</f>
        <v>podotknout (v-w3610f1)</v>
      </c>
      <c r="E26849" s="0" t="str">
        <f aca="false">HYPERLINK("https://lindat.mff.cuni.cz/services/SynSemClass40/SynSemClass40.html?veclass=vec00994#vec00994-ces-cm00072", "vec00994")</f>
        <v>vec00994</v>
      </c>
      <c r="F26849" s="0" t="s">
        <v>8007</v>
      </c>
    </row>
    <row r="26850" customFormat="false" ht="12.8" hidden="false" customHeight="false" outlineLevel="0" collapsed="false">
      <c r="B26850" s="0" t="s">
        <v>1</v>
      </c>
      <c r="C26850" s="0" t="s">
        <v>10828</v>
      </c>
      <c r="E26850" s="0" t="s">
        <v>147</v>
      </c>
      <c r="F26850" s="0" t="s">
        <v>8009</v>
      </c>
    </row>
    <row r="26851" customFormat="false" ht="12.8" hidden="false" customHeight="false" outlineLevel="0" collapsed="false">
      <c r="B26851" s="0" t="s">
        <v>10829</v>
      </c>
      <c r="C26851" s="0" t="s">
        <v>10830</v>
      </c>
      <c r="E26851" s="0" t="s">
        <v>2217</v>
      </c>
      <c r="F26851" s="0" t="s">
        <v>8016</v>
      </c>
    </row>
    <row r="26852" customFormat="false" ht="12.8" hidden="false" customHeight="false" outlineLevel="0" collapsed="false">
      <c r="B26852" s="0" t="s">
        <v>10831</v>
      </c>
      <c r="C26852" s="0" t="s">
        <v>10832</v>
      </c>
      <c r="E26852" s="0" t="s">
        <v>218</v>
      </c>
      <c r="F26852" s="0" t="s">
        <v>8011</v>
      </c>
    </row>
    <row r="26854" customFormat="false" ht="12.8" hidden="false" customHeight="false" outlineLevel="0" collapsed="false">
      <c r="A26854" s="0" t="s">
        <v>10833</v>
      </c>
      <c r="B26854" s="0" t="str">
        <f aca="false">HYPERLINK("https://lindat.mff.cuni.cz/services/teitok/pdtc10/index.php?action=vallex&amp;frame=v-w3611f1", "podotýkat (v-w3611f1)")</f>
        <v>podotýkat (v-w3611f1)</v>
      </c>
      <c r="E26854" s="0" t="str">
        <f aca="false">HYPERLINK("https://lindat.mff.cuni.cz/services/SynSemClass40/SynSemClass40.html?veclass=vec00994#vec00994-ces-cm00073", "vec00994")</f>
        <v>vec00994</v>
      </c>
      <c r="F26854" s="0" t="s">
        <v>8007</v>
      </c>
    </row>
    <row r="26855" customFormat="false" ht="12.8" hidden="false" customHeight="false" outlineLevel="0" collapsed="false">
      <c r="B26855" s="0" t="s">
        <v>1</v>
      </c>
      <c r="C26855" s="0" t="s">
        <v>10828</v>
      </c>
      <c r="E26855" s="0" t="s">
        <v>147</v>
      </c>
      <c r="F26855" s="0" t="s">
        <v>8009</v>
      </c>
    </row>
    <row r="26856" customFormat="false" ht="12.8" hidden="false" customHeight="false" outlineLevel="0" collapsed="false">
      <c r="B26856" s="0" t="s">
        <v>10829</v>
      </c>
      <c r="C26856" s="0" t="s">
        <v>10830</v>
      </c>
      <c r="E26856" s="0" t="s">
        <v>2217</v>
      </c>
      <c r="F26856" s="0" t="s">
        <v>8016</v>
      </c>
    </row>
    <row r="26857" customFormat="false" ht="12.8" hidden="false" customHeight="false" outlineLevel="0" collapsed="false">
      <c r="B26857" s="0" t="s">
        <v>10831</v>
      </c>
      <c r="C26857" s="0" t="s">
        <v>10832</v>
      </c>
      <c r="E26857" s="0" t="s">
        <v>218</v>
      </c>
      <c r="F26857" s="0" t="s">
        <v>8011</v>
      </c>
    </row>
    <row r="26859" customFormat="false" ht="12.8" hidden="false" customHeight="false" outlineLevel="0" collapsed="false">
      <c r="A26859" s="0" t="s">
        <v>10834</v>
      </c>
      <c r="B26859" s="0" t="str">
        <f aca="false">HYPERLINK("https://lindat.mff.cuni.cz/services/teitok/pdtc10/index.php?action=vallex&amp;frame=v-w3613f1", "podpisovat (v-w3613f1)")</f>
        <v>podpisovat (v-w3613f1)</v>
      </c>
      <c r="E26859" s="0" t="str">
        <f aca="false">HYPERLINK("https://lindat.mff.cuni.cz/services/SynSemClass40/SynSemClass40.html?veclass=vec00078#vec00078-ces-cm00103", "vec00078")</f>
        <v>vec00078</v>
      </c>
      <c r="F26859" s="0" t="s">
        <v>204</v>
      </c>
    </row>
    <row r="26860" customFormat="false" ht="12.8" hidden="false" customHeight="false" outlineLevel="0" collapsed="false">
      <c r="B26860" s="0" t="s">
        <v>1</v>
      </c>
      <c r="C26860" s="0" t="s">
        <v>205</v>
      </c>
      <c r="E26860" s="0" t="s">
        <v>206</v>
      </c>
      <c r="F26860" s="0" t="s">
        <v>207</v>
      </c>
    </row>
    <row r="26861" customFormat="false" ht="12.8" hidden="false" customHeight="false" outlineLevel="0" collapsed="false">
      <c r="B26861" s="0" t="s">
        <v>8</v>
      </c>
      <c r="C26861" s="0" t="s">
        <v>208</v>
      </c>
      <c r="E26861" s="0" t="s">
        <v>209</v>
      </c>
      <c r="F26861" s="0" t="s">
        <v>210</v>
      </c>
    </row>
    <row r="26863" customFormat="false" ht="12.8" hidden="false" customHeight="false" outlineLevel="0" collapsed="false">
      <c r="A26863" s="0" t="s">
        <v>10835</v>
      </c>
      <c r="B26863" s="0" t="str">
        <f aca="false">HYPERLINK("https://lindat.mff.cuni.cz/services/teitok/pdtc10/index.php?action=vallex&amp;frame=v-w3613f2", "podpisovat (v-w3613f2)")</f>
        <v>podpisovat (v-w3613f2)</v>
      </c>
    </row>
    <row r="26864" customFormat="false" ht="12.8" hidden="false" customHeight="false" outlineLevel="0" collapsed="false">
      <c r="B26864" s="0" t="s">
        <v>1</v>
      </c>
    </row>
    <row r="26865" customFormat="false" ht="12.8" hidden="false" customHeight="false" outlineLevel="0" collapsed="false">
      <c r="B26865" s="0" t="s">
        <v>8</v>
      </c>
    </row>
    <row r="26867" customFormat="false" ht="12.8" hidden="false" customHeight="false" outlineLevel="0" collapsed="false">
      <c r="A26867" s="0" t="s">
        <v>10836</v>
      </c>
      <c r="B26867" s="0" t="str">
        <f aca="false">HYPERLINK("https://lindat.mff.cuni.cz/services/teitok/pdtc10/index.php?action=vallex&amp;frame=v-w3614f1", "podpisovat se (v-w3614f1)")</f>
        <v>podpisovat se (v-w3614f1)</v>
      </c>
    </row>
    <row r="26868" customFormat="false" ht="12.8" hidden="false" customHeight="false" outlineLevel="0" collapsed="false">
      <c r="B26868" s="0" t="s">
        <v>1</v>
      </c>
    </row>
    <row r="26869" customFormat="false" ht="12.8" hidden="false" customHeight="false" outlineLevel="0" collapsed="false">
      <c r="B26869" s="0" t="s">
        <v>291</v>
      </c>
    </row>
    <row r="26871" customFormat="false" ht="12.8" hidden="false" customHeight="false" outlineLevel="0" collapsed="false">
      <c r="A26871" s="0" t="s">
        <v>10837</v>
      </c>
      <c r="B26871" s="0" t="str">
        <f aca="false">HYPERLINK("https://lindat.mff.cuni.cz/services/teitok/pdtc10/index.php?action=vallex&amp;frame=v-w3614f2", "podpisovat se (v-w3614f2)")</f>
        <v>podpisovat se (v-w3614f2)</v>
      </c>
    </row>
    <row r="26872" customFormat="false" ht="12.8" hidden="false" customHeight="false" outlineLevel="0" collapsed="false">
      <c r="B26872" s="0" t="s">
        <v>1</v>
      </c>
    </row>
    <row r="26874" customFormat="false" ht="12.8" hidden="false" customHeight="false" outlineLevel="0" collapsed="false">
      <c r="A26874" s="0" t="s">
        <v>10838</v>
      </c>
      <c r="B26874" s="0" t="str">
        <f aca="false">HYPERLINK("https://lindat.mff.cuni.cz/services/teitok/pdtc10/index.php?action=vallex&amp;frame=v-w3617f1", "podplatit (v-w3617f1)")</f>
        <v>podplatit (v-w3617f1)</v>
      </c>
      <c r="E26874" s="0" t="str">
        <f aca="false">HYPERLINK("https://lindat.mff.cuni.cz/services/SynSemClass40/SynSemClass40.html?veclass=vec01072#vec01072-ces-cm00001", "vec01072")</f>
        <v>vec01072</v>
      </c>
      <c r="F26874" s="0" t="s">
        <v>10839</v>
      </c>
    </row>
    <row r="26875" customFormat="false" ht="12.8" hidden="false" customHeight="false" outlineLevel="0" collapsed="false">
      <c r="B26875" s="0" t="s">
        <v>1</v>
      </c>
      <c r="C26875" s="0" t="s">
        <v>825</v>
      </c>
      <c r="E26875" s="0" t="s">
        <v>2554</v>
      </c>
      <c r="F26875" s="0" t="s">
        <v>10840</v>
      </c>
    </row>
    <row r="26876" customFormat="false" ht="12.8" hidden="false" customHeight="false" outlineLevel="0" collapsed="false">
      <c r="B26876" s="0" t="s">
        <v>8</v>
      </c>
      <c r="C26876" s="0" t="s">
        <v>5391</v>
      </c>
      <c r="E26876" s="0" t="s">
        <v>4143</v>
      </c>
      <c r="F26876" s="0" t="s">
        <v>10841</v>
      </c>
    </row>
    <row r="26878" customFormat="false" ht="12.8" hidden="false" customHeight="false" outlineLevel="0" collapsed="false">
      <c r="A26878" s="0" t="s">
        <v>10842</v>
      </c>
      <c r="B26878" s="0" t="str">
        <f aca="false">HYPERLINK("https://lindat.mff.cuni.cz/services/teitok/pdtc10/index.php?action=vallex&amp;frame=v-w10804f2", "podplácet (v-w10804f2)")</f>
        <v>podplácet (v-w10804f2)</v>
      </c>
      <c r="E26878" s="0" t="str">
        <f aca="false">HYPERLINK("https://lindat.mff.cuni.cz/services/SynSemClass40/SynSemClass40.html?veclass=vec01072#vec01072-ces-cm00002", "vec01072")</f>
        <v>vec01072</v>
      </c>
      <c r="F26878" s="0" t="s">
        <v>10839</v>
      </c>
    </row>
    <row r="26879" customFormat="false" ht="12.8" hidden="false" customHeight="false" outlineLevel="0" collapsed="false">
      <c r="B26879" s="0" t="s">
        <v>1</v>
      </c>
      <c r="C26879" s="0" t="s">
        <v>825</v>
      </c>
      <c r="E26879" s="0" t="s">
        <v>2554</v>
      </c>
      <c r="F26879" s="0" t="s">
        <v>10840</v>
      </c>
    </row>
    <row r="26880" customFormat="false" ht="12.8" hidden="false" customHeight="false" outlineLevel="0" collapsed="false">
      <c r="B26880" s="0" t="s">
        <v>8</v>
      </c>
      <c r="C26880" s="0" t="s">
        <v>5391</v>
      </c>
      <c r="E26880" s="0" t="s">
        <v>4143</v>
      </c>
      <c r="F26880" s="0" t="s">
        <v>10841</v>
      </c>
    </row>
    <row r="26882" customFormat="false" ht="12.8" hidden="false" customHeight="false" outlineLevel="0" collapsed="false">
      <c r="A26882" s="0" t="s">
        <v>10843</v>
      </c>
      <c r="B26882" s="0" t="str">
        <f aca="false">HYPERLINK("https://lindat.mff.cuni.cz/services/teitok/pdtc10/index.php?action=vallex&amp;frame=v-w3620f1", "podporovat (v-w3620f1)")</f>
        <v>podporovat (v-w3620f1)</v>
      </c>
      <c r="E26882" s="0" t="str">
        <f aca="false">HYPERLINK("https://lindat.mff.cuni.cz/services/SynSemClass40/SynSemClass40.html?veclass=vec00069#vec00069-ces-cm00033", "vec00069")</f>
        <v>vec00069</v>
      </c>
      <c r="F26882" s="0" t="s">
        <v>4300</v>
      </c>
    </row>
    <row r="26883" customFormat="false" ht="12.8" hidden="false" customHeight="false" outlineLevel="0" collapsed="false">
      <c r="B26883" s="0" t="s">
        <v>1</v>
      </c>
      <c r="C26883" s="0" t="s">
        <v>7530</v>
      </c>
      <c r="E26883" s="0" t="s">
        <v>3021</v>
      </c>
      <c r="F26883" s="0" t="s">
        <v>4302</v>
      </c>
    </row>
    <row r="26884" customFormat="false" ht="12.8" hidden="false" customHeight="false" outlineLevel="0" collapsed="false">
      <c r="B26884" s="0" t="s">
        <v>8</v>
      </c>
      <c r="C26884" s="0" t="s">
        <v>7531</v>
      </c>
      <c r="E26884" s="0" t="s">
        <v>3023</v>
      </c>
      <c r="F26884" s="0" t="s">
        <v>4305</v>
      </c>
    </row>
    <row r="26886" customFormat="false" ht="12.8" hidden="false" customHeight="false" outlineLevel="0" collapsed="false">
      <c r="A26886" s="0" t="s">
        <v>10844</v>
      </c>
      <c r="B26886" s="0" t="str">
        <f aca="false">HYPERLINK("https://lindat.mff.cuni.cz/services/teitok/pdtc10/index.php?action=vallex&amp;frame=v-w3620f2", "podporovat (v-w3620f2)")</f>
        <v>podporovat (v-w3620f2)</v>
      </c>
      <c r="E26886" s="0" t="str">
        <f aca="false">HYPERLINK("https://lindat.mff.cuni.cz/services/SynSemClass40/SynSemClass40.html?veclass=vec00475#vec00475-ces-cm00001", "vec00475")</f>
        <v>vec00475</v>
      </c>
      <c r="F26886" s="0" t="s">
        <v>7533</v>
      </c>
    </row>
    <row r="26887" customFormat="false" ht="12.8" hidden="false" customHeight="false" outlineLevel="0" collapsed="false">
      <c r="B26887" s="0" t="s">
        <v>1</v>
      </c>
      <c r="C26887" s="0" t="s">
        <v>7534</v>
      </c>
      <c r="E26887" s="0" t="s">
        <v>3021</v>
      </c>
      <c r="F26887" s="0" t="s">
        <v>7535</v>
      </c>
    </row>
    <row r="26888" customFormat="false" ht="12.8" hidden="false" customHeight="false" outlineLevel="0" collapsed="false">
      <c r="B26888" s="0" t="s">
        <v>98</v>
      </c>
      <c r="C26888" s="0" t="s">
        <v>7536</v>
      </c>
      <c r="E26888" s="0" t="s">
        <v>4235</v>
      </c>
      <c r="F26888" s="0" t="s">
        <v>7537</v>
      </c>
    </row>
    <row r="26889" customFormat="false" ht="12.8" hidden="false" customHeight="false" outlineLevel="0" collapsed="false">
      <c r="B26889" s="0" t="s">
        <v>883</v>
      </c>
      <c r="C26889" s="0" t="s">
        <v>7539</v>
      </c>
      <c r="E26889" s="0" t="s">
        <v>523</v>
      </c>
      <c r="F26889" s="0" t="s">
        <v>7540</v>
      </c>
    </row>
    <row r="26891" customFormat="false" ht="12.8" hidden="false" customHeight="false" outlineLevel="0" collapsed="false">
      <c r="A26891" s="0" t="s">
        <v>10845</v>
      </c>
      <c r="B26891" s="0" t="str">
        <f aca="false">HYPERLINK("https://lindat.mff.cuni.cz/services/teitok/pdtc10/index.php?action=vallex&amp;frame=v-w3620hsa_1374", "podporovat (v-w3620hsa_1374)")</f>
        <v>podporovat (v-w3620hsa_1374)</v>
      </c>
    </row>
    <row r="26892" customFormat="false" ht="12.8" hidden="false" customHeight="false" outlineLevel="0" collapsed="false">
      <c r="B26892" s="0" t="s">
        <v>1</v>
      </c>
    </row>
    <row r="26893" customFormat="false" ht="12.8" hidden="false" customHeight="false" outlineLevel="0" collapsed="false">
      <c r="B26893" s="0" t="s">
        <v>8</v>
      </c>
    </row>
    <row r="26895" customFormat="false" ht="12.8" hidden="false" customHeight="false" outlineLevel="0" collapsed="false">
      <c r="A26895" s="0" t="s">
        <v>10846</v>
      </c>
      <c r="B26895" s="0" t="str">
        <f aca="false">HYPERLINK("https://lindat.mff.cuni.cz/services/teitok/pdtc10/index.php?action=vallex&amp;frame=v-w3623f1", "podpořit (v-w3623f1)")</f>
        <v>podpořit (v-w3623f1)</v>
      </c>
      <c r="E26895" s="0" t="str">
        <f aca="false">HYPERLINK("https://lindat.mff.cuni.cz/services/SynSemClass40/SynSemClass40.html?veclass=vec00069#vec00069-ces-cm00001", "vec00069")</f>
        <v>vec00069</v>
      </c>
      <c r="F26895" s="0" t="s">
        <v>4300</v>
      </c>
    </row>
    <row r="26896" customFormat="false" ht="12.8" hidden="false" customHeight="false" outlineLevel="0" collapsed="false">
      <c r="B26896" s="0" t="s">
        <v>1</v>
      </c>
      <c r="C26896" s="0" t="s">
        <v>7530</v>
      </c>
      <c r="E26896" s="0" t="s">
        <v>3021</v>
      </c>
      <c r="F26896" s="0" t="s">
        <v>4302</v>
      </c>
    </row>
    <row r="26897" customFormat="false" ht="12.8" hidden="false" customHeight="false" outlineLevel="0" collapsed="false">
      <c r="B26897" s="0" t="s">
        <v>4687</v>
      </c>
      <c r="C26897" s="0" t="s">
        <v>7531</v>
      </c>
      <c r="E26897" s="0" t="s">
        <v>3023</v>
      </c>
      <c r="F26897" s="0" t="s">
        <v>4305</v>
      </c>
    </row>
    <row r="26899" customFormat="false" ht="12.8" hidden="false" customHeight="false" outlineLevel="0" collapsed="false">
      <c r="A26899" s="0" t="s">
        <v>10847</v>
      </c>
      <c r="B26899" s="0" t="str">
        <f aca="false">HYPERLINK("https://lindat.mff.cuni.cz/services/teitok/pdtc10/index.php?action=vallex&amp;frame=v-w3623hsa_874", "podpořit (v-w3623hsa_874)")</f>
        <v>podpořit (v-w3623hsa_874)</v>
      </c>
      <c r="E26899" s="0" t="str">
        <f aca="false">HYPERLINK("https://lindat.mff.cuni.cz/services/SynSemClass40/SynSemClass40.html?veclass=vec00475#vec00475-ces-cm00008", "vec00475")</f>
        <v>vec00475</v>
      </c>
      <c r="F26899" s="0" t="s">
        <v>7533</v>
      </c>
    </row>
    <row r="26900" customFormat="false" ht="12.8" hidden="false" customHeight="false" outlineLevel="0" collapsed="false">
      <c r="B26900" s="0" t="s">
        <v>1</v>
      </c>
      <c r="C26900" s="0" t="s">
        <v>7534</v>
      </c>
      <c r="E26900" s="0" t="s">
        <v>3021</v>
      </c>
      <c r="F26900" s="0" t="s">
        <v>7535</v>
      </c>
    </row>
    <row r="26901" customFormat="false" ht="12.8" hidden="false" customHeight="false" outlineLevel="0" collapsed="false">
      <c r="B26901" s="0" t="s">
        <v>98</v>
      </c>
      <c r="C26901" s="0" t="s">
        <v>7536</v>
      </c>
      <c r="E26901" s="0" t="s">
        <v>4235</v>
      </c>
      <c r="F26901" s="0" t="s">
        <v>7537</v>
      </c>
    </row>
    <row r="26902" customFormat="false" ht="12.8" hidden="false" customHeight="false" outlineLevel="0" collapsed="false">
      <c r="B26902" s="0" t="s">
        <v>10848</v>
      </c>
    </row>
    <row r="26904" customFormat="false" ht="12.8" hidden="false" customHeight="false" outlineLevel="0" collapsed="false">
      <c r="A26904" s="0" t="s">
        <v>10847</v>
      </c>
      <c r="B26904" s="0" t="str">
        <f aca="false">HYPERLINK("https://lindat.mff.cuni.cz/services/teitok/pdtc10/index.php?action=vallex&amp;frame=v-w3623f2", "podpořit (v-w3623f2) - substituted with v-w3623hsa_874")</f>
        <v>podpořit (v-w3623f2) - substituted with v-w3623hsa_874</v>
      </c>
    </row>
    <row r="26905" customFormat="false" ht="12.8" hidden="false" customHeight="false" outlineLevel="0" collapsed="false">
      <c r="B26905" s="0" t="s">
        <v>1</v>
      </c>
    </row>
    <row r="26906" customFormat="false" ht="12.8" hidden="false" customHeight="false" outlineLevel="0" collapsed="false">
      <c r="B26906" s="0" t="s">
        <v>98</v>
      </c>
    </row>
    <row r="26907" customFormat="false" ht="12.8" hidden="false" customHeight="false" outlineLevel="0" collapsed="false">
      <c r="B26907" s="0" t="s">
        <v>10848</v>
      </c>
    </row>
    <row r="26909" customFormat="false" ht="12.8" hidden="false" customHeight="false" outlineLevel="0" collapsed="false">
      <c r="A26909" s="0" t="s">
        <v>10849</v>
      </c>
      <c r="B26909" s="0" t="str">
        <f aca="false">HYPERLINK("https://lindat.mff.cuni.cz/services/teitok/pdtc10/index.php?action=vallex&amp;frame=v-w11157f2", "podpírat (v-w11157f2)")</f>
        <v>podpírat (v-w11157f2)</v>
      </c>
    </row>
    <row r="26910" customFormat="false" ht="12.8" hidden="false" customHeight="false" outlineLevel="0" collapsed="false">
      <c r="B26910" s="0" t="s">
        <v>1</v>
      </c>
    </row>
    <row r="26911" customFormat="false" ht="12.8" hidden="false" customHeight="false" outlineLevel="0" collapsed="false">
      <c r="B26911" s="0" t="s">
        <v>8</v>
      </c>
    </row>
    <row r="26913" customFormat="false" ht="12.8" hidden="false" customHeight="false" outlineLevel="0" collapsed="false">
      <c r="A26913" s="0" t="s">
        <v>10850</v>
      </c>
      <c r="B26913" s="0" t="str">
        <f aca="false">HYPERLINK("https://lindat.mff.cuni.cz/services/teitok/pdtc10/index.php?action=vallex&amp;frame=v-w3625f1", "podrazit (v-w3625f1)")</f>
        <v>podrazit (v-w3625f1)</v>
      </c>
    </row>
    <row r="26914" customFormat="false" ht="12.8" hidden="false" customHeight="false" outlineLevel="0" collapsed="false">
      <c r="B26914" s="0" t="s">
        <v>1</v>
      </c>
    </row>
    <row r="26915" customFormat="false" ht="12.8" hidden="false" customHeight="false" outlineLevel="0" collapsed="false">
      <c r="B26915" s="0" t="s">
        <v>8</v>
      </c>
    </row>
    <row r="26917" customFormat="false" ht="12.8" hidden="false" customHeight="false" outlineLevel="0" collapsed="false">
      <c r="A26917" s="0" t="s">
        <v>10851</v>
      </c>
      <c r="B26917" s="0" t="str">
        <f aca="false">HYPERLINK("https://lindat.mff.cuni.cz/services/teitok/pdtc10/index.php?action=vallex&amp;frame=v-w3625f2", "podrazit (v-w3625f2)")</f>
        <v>podrazit (v-w3625f2)</v>
      </c>
    </row>
    <row r="26918" customFormat="false" ht="12.8" hidden="false" customHeight="false" outlineLevel="0" collapsed="false">
      <c r="B26918" s="0" t="s">
        <v>1</v>
      </c>
    </row>
    <row r="26919" customFormat="false" ht="12.8" hidden="false" customHeight="false" outlineLevel="0" collapsed="false">
      <c r="B26919" s="0" t="s">
        <v>8</v>
      </c>
    </row>
    <row r="26921" customFormat="false" ht="12.8" hidden="false" customHeight="false" outlineLevel="0" collapsed="false">
      <c r="A26921" s="0" t="s">
        <v>10852</v>
      </c>
      <c r="B26921" s="0" t="str">
        <f aca="false">HYPERLINK("https://lindat.mff.cuni.cz/services/teitok/pdtc10/index.php?action=vallex&amp;frame=v-w3628f1", "podražit (v-w3628f1)")</f>
        <v>podražit (v-w3628f1)</v>
      </c>
    </row>
    <row r="26922" customFormat="false" ht="12.8" hidden="false" customHeight="false" outlineLevel="0" collapsed="false">
      <c r="B26922" s="0" t="s">
        <v>1</v>
      </c>
    </row>
    <row r="26924" customFormat="false" ht="12.8" hidden="false" customHeight="false" outlineLevel="0" collapsed="false">
      <c r="A26924" s="0" t="s">
        <v>10853</v>
      </c>
      <c r="B26924" s="0" t="str">
        <f aca="false">HYPERLINK("https://lindat.mff.cuni.cz/services/teitok/pdtc10/index.php?action=vallex&amp;frame=v-w3629f1", "podrobit (v-w3629f1)")</f>
        <v>podrobit (v-w3629f1)</v>
      </c>
      <c r="E26924" s="0" t="str">
        <f aca="false">HYPERLINK("https://lindat.mff.cuni.cz/services/SynSemClass40/SynSemClass40.html?veclass=vec00564#vec00564-ces-cm00004", "vec00564")</f>
        <v>vec00564</v>
      </c>
      <c r="F26924" s="0" t="s">
        <v>10854</v>
      </c>
    </row>
    <row r="26925" customFormat="false" ht="12.8" hidden="false" customHeight="false" outlineLevel="0" collapsed="false">
      <c r="B26925" s="0" t="s">
        <v>1</v>
      </c>
      <c r="C26925" s="0" t="s">
        <v>239</v>
      </c>
      <c r="E26925" s="0" t="s">
        <v>76</v>
      </c>
      <c r="F26925" s="0" t="s">
        <v>10855</v>
      </c>
    </row>
    <row r="26926" customFormat="false" ht="12.8" hidden="false" customHeight="false" outlineLevel="0" collapsed="false">
      <c r="B26926" s="0" t="s">
        <v>186</v>
      </c>
      <c r="C26926" s="0" t="s">
        <v>10856</v>
      </c>
      <c r="E26926" s="0" t="s">
        <v>10857</v>
      </c>
      <c r="F26926" s="0" t="s">
        <v>10858</v>
      </c>
    </row>
    <row r="26927" customFormat="false" ht="12.8" hidden="false" customHeight="false" outlineLevel="0" collapsed="false">
      <c r="B26927" s="0" t="s">
        <v>98</v>
      </c>
      <c r="C26927" s="0" t="s">
        <v>10859</v>
      </c>
      <c r="E26927" s="0" t="s">
        <v>2287</v>
      </c>
      <c r="F26927" s="0" t="s">
        <v>10860</v>
      </c>
    </row>
    <row r="26929" customFormat="false" ht="12.8" hidden="false" customHeight="false" outlineLevel="0" collapsed="false">
      <c r="A26929" s="0" t="s">
        <v>10861</v>
      </c>
      <c r="B26929" s="0" t="str">
        <f aca="false">HYPERLINK("https://lindat.mff.cuni.cz/services/teitok/pdtc10/index.php?action=vallex&amp;frame=v-w3630f1", "podrobit se (v-w3630f1)")</f>
        <v>podrobit se (v-w3630f1)</v>
      </c>
      <c r="E26929" s="0" t="str">
        <f aca="false">HYPERLINK("https://lindat.mff.cuni.cz/services/SynSemClass40/SynSemClass40.html?veclass=vec00739#vec00739-ces-cm00035", "vec00739")</f>
        <v>vec00739</v>
      </c>
      <c r="F26929" s="0" t="s">
        <v>5232</v>
      </c>
    </row>
    <row r="26930" customFormat="false" ht="12.8" hidden="false" customHeight="false" outlineLevel="0" collapsed="false">
      <c r="B26930" s="0" t="s">
        <v>1</v>
      </c>
      <c r="C26930" s="0" t="s">
        <v>5233</v>
      </c>
      <c r="E26930" s="0" t="s">
        <v>5234</v>
      </c>
      <c r="F26930" s="0" t="s">
        <v>5235</v>
      </c>
    </row>
    <row r="26931" customFormat="false" ht="12.8" hidden="false" customHeight="false" outlineLevel="0" collapsed="false">
      <c r="B26931" s="0" t="s">
        <v>186</v>
      </c>
      <c r="C26931" s="0" t="s">
        <v>5236</v>
      </c>
      <c r="E26931" s="0" t="s">
        <v>5237</v>
      </c>
      <c r="F26931" s="0" t="s">
        <v>5238</v>
      </c>
    </row>
    <row r="26933" customFormat="false" ht="12.8" hidden="false" customHeight="false" outlineLevel="0" collapsed="false">
      <c r="A26933" s="0" t="s">
        <v>10862</v>
      </c>
      <c r="B26933" s="0" t="str">
        <f aca="false">HYPERLINK("https://lindat.mff.cuni.cz/services/teitok/pdtc10/index.php?action=vallex&amp;frame=v-w3632f1", "podrobovat (v-w3632f1)")</f>
        <v>podrobovat (v-w3632f1)</v>
      </c>
      <c r="E26933" s="0" t="str">
        <f aca="false">HYPERLINK("https://lindat.mff.cuni.cz/services/SynSemClass40/SynSemClass40.html?veclass=vec00564#vec00564-ces-cm00007", "vec00564")</f>
        <v>vec00564</v>
      </c>
      <c r="F26933" s="0" t="s">
        <v>10854</v>
      </c>
    </row>
    <row r="26934" customFormat="false" ht="12.8" hidden="false" customHeight="false" outlineLevel="0" collapsed="false">
      <c r="B26934" s="0" t="s">
        <v>1</v>
      </c>
      <c r="C26934" s="0" t="s">
        <v>239</v>
      </c>
      <c r="E26934" s="0" t="s">
        <v>76</v>
      </c>
      <c r="F26934" s="0" t="s">
        <v>10855</v>
      </c>
    </row>
    <row r="26935" customFormat="false" ht="12.8" hidden="false" customHeight="false" outlineLevel="0" collapsed="false">
      <c r="B26935" s="0" t="s">
        <v>186</v>
      </c>
      <c r="C26935" s="0" t="s">
        <v>10856</v>
      </c>
      <c r="E26935" s="0" t="s">
        <v>10857</v>
      </c>
      <c r="F26935" s="0" t="s">
        <v>10858</v>
      </c>
    </row>
    <row r="26936" customFormat="false" ht="12.8" hidden="false" customHeight="false" outlineLevel="0" collapsed="false">
      <c r="B26936" s="0" t="s">
        <v>98</v>
      </c>
      <c r="C26936" s="0" t="s">
        <v>10859</v>
      </c>
      <c r="E26936" s="0" t="s">
        <v>2287</v>
      </c>
      <c r="F26936" s="0" t="s">
        <v>10860</v>
      </c>
    </row>
    <row r="26938" customFormat="false" ht="12.8" hidden="false" customHeight="false" outlineLevel="0" collapsed="false">
      <c r="A26938" s="0" t="s">
        <v>10863</v>
      </c>
      <c r="B26938" s="0" t="str">
        <f aca="false">HYPERLINK("https://lindat.mff.cuni.cz/services/teitok/pdtc10/index.php?action=vallex&amp;frame=v-w3633f1", "podrobovat se (v-w3633f1)")</f>
        <v>podrobovat se (v-w3633f1)</v>
      </c>
    </row>
    <row r="26939" customFormat="false" ht="12.8" hidden="false" customHeight="false" outlineLevel="0" collapsed="false">
      <c r="B26939" s="0" t="s">
        <v>1</v>
      </c>
    </row>
    <row r="26940" customFormat="false" ht="12.8" hidden="false" customHeight="false" outlineLevel="0" collapsed="false">
      <c r="B26940" s="0" t="s">
        <v>186</v>
      </c>
    </row>
    <row r="26942" customFormat="false" ht="12.8" hidden="false" customHeight="false" outlineLevel="0" collapsed="false">
      <c r="A26942" s="0" t="s">
        <v>10864</v>
      </c>
      <c r="B26942" s="0" t="str">
        <f aca="false">HYPERLINK("https://lindat.mff.cuni.cz/services/teitok/pdtc10/index.php?action=vallex&amp;frame=v-w3627f1", "podráždit (v-w3627f1)")</f>
        <v>podráždit (v-w3627f1)</v>
      </c>
    </row>
    <row r="26943" customFormat="false" ht="12.8" hidden="false" customHeight="false" outlineLevel="0" collapsed="false">
      <c r="B26943" s="0" t="s">
        <v>1</v>
      </c>
    </row>
    <row r="26944" customFormat="false" ht="12.8" hidden="false" customHeight="false" outlineLevel="0" collapsed="false">
      <c r="B26944" s="0" t="s">
        <v>8</v>
      </c>
    </row>
    <row r="26946" customFormat="false" ht="12.8" hidden="false" customHeight="false" outlineLevel="0" collapsed="false">
      <c r="A26946" s="0" t="s">
        <v>10865</v>
      </c>
      <c r="B26946" s="0" t="str">
        <f aca="false">HYPERLINK("https://lindat.mff.cuni.cz/services/teitok/pdtc10/index.php?action=vallex&amp;frame=v-w10471f3", "podrýt (v-w10471f3)")</f>
        <v>podrýt (v-w10471f3)</v>
      </c>
      <c r="E26946" s="0" t="str">
        <f aca="false">HYPERLINK("https://lindat.mff.cuni.cz/services/SynSemClass40/SynSemClass40.html?veclass=vec00372#vec00372-ces-cm00123", "vec00372")</f>
        <v>vec00372</v>
      </c>
      <c r="F26946" s="0" t="s">
        <v>2524</v>
      </c>
      <c r="H26946" s="0" t="str">
        <f aca="false">HYPERLINK("https://lindat.mff.cuni.cz/services/SynSemClass40/SynSemClass40.html?veclass=vec01510#vec01510-ces-cm00026", "vec01510")</f>
        <v>vec01510</v>
      </c>
      <c r="I26946" s="0" t="s">
        <v>7671</v>
      </c>
    </row>
    <row r="26947" customFormat="false" ht="12.8" hidden="false" customHeight="false" outlineLevel="0" collapsed="false">
      <c r="B26947" s="0" t="s">
        <v>1</v>
      </c>
      <c r="C26947" s="0" t="s">
        <v>10866</v>
      </c>
      <c r="E26947" s="0" t="s">
        <v>2526</v>
      </c>
      <c r="F26947" s="0" t="s">
        <v>2527</v>
      </c>
      <c r="H26947" s="0" t="s">
        <v>76</v>
      </c>
      <c r="I26947" s="0" t="s">
        <v>7674</v>
      </c>
    </row>
    <row r="26948" customFormat="false" ht="12.8" hidden="false" customHeight="false" outlineLevel="0" collapsed="false">
      <c r="B26948" s="0" t="s">
        <v>8</v>
      </c>
      <c r="C26948" s="0" t="s">
        <v>10867</v>
      </c>
      <c r="E26948" s="0" t="s">
        <v>142</v>
      </c>
      <c r="F26948" s="0" t="s">
        <v>2529</v>
      </c>
      <c r="H26948" s="0" t="s">
        <v>706</v>
      </c>
      <c r="I26948" s="0" t="s">
        <v>7678</v>
      </c>
    </row>
    <row r="26950" customFormat="false" ht="12.8" hidden="false" customHeight="false" outlineLevel="0" collapsed="false">
      <c r="A26950" s="0" t="s">
        <v>10868</v>
      </c>
      <c r="B26950" s="0" t="str">
        <f aca="false">HYPERLINK("https://lindat.mff.cuni.cz/services/teitok/pdtc10/index.php?action=vallex&amp;frame=v-w10809f2", "podrývat (v-w10809f2)")</f>
        <v>podrývat (v-w10809f2)</v>
      </c>
      <c r="E26950" s="0" t="str">
        <f aca="false">HYPERLINK("https://lindat.mff.cuni.cz/services/SynSemClass40/SynSemClass40.html?veclass=vec00372#vec00372-ces-cm00124", "vec00372")</f>
        <v>vec00372</v>
      </c>
      <c r="F26950" s="0" t="s">
        <v>2524</v>
      </c>
      <c r="H26950" s="0" t="str">
        <f aca="false">HYPERLINK("https://lindat.mff.cuni.cz/services/SynSemClass40/SynSemClass40.html?veclass=vec01510#vec01510-ces-cm00027", "vec01510")</f>
        <v>vec01510</v>
      </c>
      <c r="I26950" s="0" t="s">
        <v>7671</v>
      </c>
    </row>
    <row r="26951" customFormat="false" ht="12.8" hidden="false" customHeight="false" outlineLevel="0" collapsed="false">
      <c r="B26951" s="0" t="s">
        <v>1</v>
      </c>
      <c r="C26951" s="0" t="s">
        <v>10866</v>
      </c>
      <c r="E26951" s="0" t="s">
        <v>2526</v>
      </c>
      <c r="F26951" s="0" t="s">
        <v>2527</v>
      </c>
      <c r="H26951" s="0" t="s">
        <v>76</v>
      </c>
      <c r="I26951" s="0" t="s">
        <v>7674</v>
      </c>
    </row>
    <row r="26952" customFormat="false" ht="12.8" hidden="false" customHeight="false" outlineLevel="0" collapsed="false">
      <c r="B26952" s="0" t="s">
        <v>8</v>
      </c>
      <c r="C26952" s="0" t="s">
        <v>10867</v>
      </c>
      <c r="E26952" s="0" t="s">
        <v>142</v>
      </c>
      <c r="F26952" s="0" t="s">
        <v>2529</v>
      </c>
      <c r="H26952" s="0" t="s">
        <v>706</v>
      </c>
      <c r="I26952" s="0" t="s">
        <v>7678</v>
      </c>
    </row>
    <row r="26954" customFormat="false" ht="12.8" hidden="false" customHeight="false" outlineLevel="0" collapsed="false">
      <c r="A26954" s="0" t="s">
        <v>10869</v>
      </c>
      <c r="B26954" s="0" t="str">
        <f aca="false">HYPERLINK("https://lindat.mff.cuni.cz/services/teitok/pdtc10/index.php?action=vallex&amp;frame=v-w3634f2", "podržet (v-w3634f2)")</f>
        <v>podržet (v-w3634f2)</v>
      </c>
      <c r="E26954" s="0" t="str">
        <f aca="false">HYPERLINK("https://lindat.mff.cuni.cz/services/SynSemClass40/SynSemClass40.html?veclass=vec00176#vec00176-ces-cm00029", "vec00176")</f>
        <v>vec00176</v>
      </c>
      <c r="F26954" s="0" t="s">
        <v>3272</v>
      </c>
    </row>
    <row r="26955" customFormat="false" ht="12.8" hidden="false" customHeight="false" outlineLevel="0" collapsed="false">
      <c r="B26955" s="0" t="s">
        <v>1</v>
      </c>
      <c r="C26955" s="0" t="s">
        <v>10870</v>
      </c>
      <c r="E26955" s="0" t="s">
        <v>3275</v>
      </c>
      <c r="F26955" s="0" t="s">
        <v>3276</v>
      </c>
    </row>
    <row r="26956" customFormat="false" ht="12.8" hidden="false" customHeight="false" outlineLevel="0" collapsed="false">
      <c r="B26956" s="0" t="s">
        <v>8</v>
      </c>
      <c r="C26956" s="0" t="s">
        <v>10871</v>
      </c>
      <c r="E26956" s="0" t="s">
        <v>3279</v>
      </c>
      <c r="F26956" s="0" t="s">
        <v>3280</v>
      </c>
    </row>
    <row r="26958" customFormat="false" ht="12.8" hidden="false" customHeight="false" outlineLevel="0" collapsed="false">
      <c r="A26958" s="0" t="s">
        <v>10872</v>
      </c>
      <c r="B26958" s="0" t="str">
        <f aca="false">HYPERLINK("https://lindat.mff.cuni.cz/services/teitok/pdtc10/index.php?action=vallex&amp;frame=v-w3634f1", "podržet (v-w3634f1)")</f>
        <v>podržet (v-w3634f1)</v>
      </c>
      <c r="E26958" s="0" t="str">
        <f aca="false">HYPERLINK("https://lindat.mff.cuni.cz/services/SynSemClass40/SynSemClass40.html?veclass=vec00475#vec00475-ces-cm00009", "vec00475")</f>
        <v>vec00475</v>
      </c>
      <c r="F26958" s="0" t="s">
        <v>7533</v>
      </c>
    </row>
    <row r="26959" customFormat="false" ht="12.8" hidden="false" customHeight="false" outlineLevel="0" collapsed="false">
      <c r="B26959" s="0" t="s">
        <v>1</v>
      </c>
      <c r="C26959" s="0" t="s">
        <v>7534</v>
      </c>
      <c r="E26959" s="0" t="s">
        <v>3021</v>
      </c>
      <c r="F26959" s="0" t="s">
        <v>7535</v>
      </c>
    </row>
    <row r="26960" customFormat="false" ht="12.8" hidden="false" customHeight="false" outlineLevel="0" collapsed="false">
      <c r="B26960" s="0" t="s">
        <v>98</v>
      </c>
      <c r="C26960" s="0" t="s">
        <v>7536</v>
      </c>
      <c r="E26960" s="0" t="s">
        <v>4235</v>
      </c>
      <c r="F26960" s="0" t="s">
        <v>7537</v>
      </c>
    </row>
    <row r="26961" customFormat="false" ht="12.8" hidden="false" customHeight="false" outlineLevel="0" collapsed="false">
      <c r="B26961" s="0" t="s">
        <v>883</v>
      </c>
    </row>
    <row r="26963" customFormat="false" ht="12.8" hidden="false" customHeight="false" outlineLevel="0" collapsed="false">
      <c r="A26963" s="0" t="s">
        <v>10873</v>
      </c>
      <c r="B26963" s="0" t="str">
        <f aca="false">HYPERLINK("https://lindat.mff.cuni.cz/services/teitok/pdtc10/index.php?action=vallex&amp;frame=v-w11097f2", "podsekat (v-w11097f2)")</f>
        <v>podsekat (v-w11097f2)</v>
      </c>
    </row>
    <row r="26964" customFormat="false" ht="12.8" hidden="false" customHeight="false" outlineLevel="0" collapsed="false">
      <c r="B26964" s="0" t="s">
        <v>1</v>
      </c>
    </row>
    <row r="26965" customFormat="false" ht="12.8" hidden="false" customHeight="false" outlineLevel="0" collapsed="false">
      <c r="B26965" s="0" t="s">
        <v>8</v>
      </c>
    </row>
    <row r="26967" customFormat="false" ht="12.8" hidden="false" customHeight="false" outlineLevel="0" collapsed="false">
      <c r="A26967" s="0" t="s">
        <v>10874</v>
      </c>
      <c r="B26967" s="0" t="str">
        <f aca="false">HYPERLINK("https://lindat.mff.cuni.cz/services/teitok/pdtc10/index.php?action=vallex&amp;frame=v-w3644f1", "podsouvat (v-w3644f1)")</f>
        <v>podsouvat (v-w3644f1)</v>
      </c>
      <c r="E26967" s="0" t="str">
        <f aca="false">HYPERLINK("https://lindat.mff.cuni.cz/services/SynSemClass40/SynSemClass40.html?veclass=vec00743#vec00743-ces-cm00031", "vec00743")</f>
        <v>vec00743</v>
      </c>
      <c r="F26967" s="0" t="s">
        <v>10875</v>
      </c>
    </row>
    <row r="26968" customFormat="false" ht="12.8" hidden="false" customHeight="false" outlineLevel="0" collapsed="false">
      <c r="B26968" s="0" t="s">
        <v>1</v>
      </c>
      <c r="C26968" s="0" t="s">
        <v>10876</v>
      </c>
      <c r="E26968" s="0" t="s">
        <v>31</v>
      </c>
      <c r="F26968" s="0" t="s">
        <v>10877</v>
      </c>
    </row>
    <row r="26969" customFormat="false" ht="12.8" hidden="false" customHeight="false" outlineLevel="0" collapsed="false">
      <c r="B26969" s="0" t="s">
        <v>8</v>
      </c>
      <c r="C26969" s="0" t="s">
        <v>10878</v>
      </c>
      <c r="E26969" s="0" t="s">
        <v>532</v>
      </c>
      <c r="F26969" s="0" t="s">
        <v>10879</v>
      </c>
    </row>
    <row r="26970" customFormat="false" ht="12.8" hidden="false" customHeight="false" outlineLevel="0" collapsed="false">
      <c r="B26970" s="0" t="s">
        <v>52</v>
      </c>
      <c r="C26970" s="0" t="s">
        <v>10880</v>
      </c>
      <c r="E26970" s="0" t="s">
        <v>53</v>
      </c>
      <c r="F26970" s="0" t="s">
        <v>10881</v>
      </c>
    </row>
    <row r="26972" customFormat="false" ht="12.8" hidden="false" customHeight="false" outlineLevel="0" collapsed="false">
      <c r="A26972" s="0" t="s">
        <v>10882</v>
      </c>
      <c r="B26972" s="0" t="str">
        <f aca="false">HYPERLINK("https://lindat.mff.cuni.cz/services/teitok/pdtc10/index.php?action=vallex&amp;frame=v-w3646f1", "podstoupit (v-w3646f1)")</f>
        <v>podstoupit (v-w3646f1)</v>
      </c>
      <c r="E26972" s="0" t="str">
        <f aca="false">HYPERLINK("https://lindat.mff.cuni.cz/services/SynSemClass40/SynSemClass40.html?veclass=vec00379#vec00379-ces-cm00035", "vec00379")</f>
        <v>vec00379</v>
      </c>
      <c r="F26972" s="0" t="s">
        <v>10883</v>
      </c>
    </row>
    <row r="26973" customFormat="false" ht="12.8" hidden="false" customHeight="false" outlineLevel="0" collapsed="false">
      <c r="B26973" s="0" t="s">
        <v>1</v>
      </c>
      <c r="C26973" s="0" t="s">
        <v>10884</v>
      </c>
      <c r="E26973" s="0" t="s">
        <v>266</v>
      </c>
      <c r="F26973" s="0" t="s">
        <v>10885</v>
      </c>
    </row>
    <row r="26974" customFormat="false" ht="12.8" hidden="false" customHeight="false" outlineLevel="0" collapsed="false">
      <c r="B26974" s="0" t="s">
        <v>8</v>
      </c>
      <c r="C26974" s="0" t="s">
        <v>10886</v>
      </c>
      <c r="E26974" s="0" t="s">
        <v>10887</v>
      </c>
      <c r="F26974" s="0" t="s">
        <v>10888</v>
      </c>
    </row>
    <row r="26976" customFormat="false" ht="12.8" hidden="false" customHeight="false" outlineLevel="0" collapsed="false">
      <c r="A26976" s="0" t="s">
        <v>10889</v>
      </c>
      <c r="B26976" s="0" t="str">
        <f aca="false">HYPERLINK("https://lindat.mff.cuni.cz/services/teitok/pdtc10/index.php?action=vallex&amp;frame=v-w3649f1", "podstrojovat (v-w3649f1)")</f>
        <v>podstrojovat (v-w3649f1)</v>
      </c>
    </row>
    <row r="26977" customFormat="false" ht="12.8" hidden="false" customHeight="false" outlineLevel="0" collapsed="false">
      <c r="B26977" s="0" t="s">
        <v>1</v>
      </c>
    </row>
    <row r="26978" customFormat="false" ht="12.8" hidden="false" customHeight="false" outlineLevel="0" collapsed="false">
      <c r="B26978" s="0" t="s">
        <v>186</v>
      </c>
    </row>
    <row r="26980" customFormat="false" ht="12.8" hidden="false" customHeight="false" outlineLevel="0" collapsed="false">
      <c r="A26980" s="0" t="s">
        <v>10890</v>
      </c>
      <c r="B26980" s="0" t="str">
        <f aca="false">HYPERLINK("https://lindat.mff.cuni.cz/services/teitok/pdtc10/index.php?action=vallex&amp;frame=v-w3647f1", "podstrčit (v-w3647f1)")</f>
        <v>podstrčit (v-w3647f1)</v>
      </c>
    </row>
    <row r="26981" customFormat="false" ht="12.8" hidden="false" customHeight="false" outlineLevel="0" collapsed="false">
      <c r="B26981" s="0" t="s">
        <v>1</v>
      </c>
    </row>
    <row r="26982" customFormat="false" ht="12.8" hidden="false" customHeight="false" outlineLevel="0" collapsed="false">
      <c r="B26982" s="0" t="s">
        <v>8</v>
      </c>
    </row>
    <row r="26983" customFormat="false" ht="12.8" hidden="false" customHeight="false" outlineLevel="0" collapsed="false">
      <c r="B26983" s="0" t="s">
        <v>52</v>
      </c>
    </row>
    <row r="26985" customFormat="false" ht="12.8" hidden="false" customHeight="false" outlineLevel="0" collapsed="false">
      <c r="A26985" s="0" t="s">
        <v>10891</v>
      </c>
      <c r="B26985" s="0" t="str">
        <f aca="false">HYPERLINK("https://lindat.mff.cuni.cz/services/teitok/pdtc10/index.php?action=vallex&amp;frame=v-w3650f1", "podstupovat (v-w3650f1)")</f>
        <v>podstupovat (v-w3650f1)</v>
      </c>
      <c r="E26985" s="0" t="str">
        <f aca="false">HYPERLINK("https://lindat.mff.cuni.cz/services/SynSemClass40/SynSemClass40.html?veclass=vec00379#vec00379-ces-cm00036", "vec00379")</f>
        <v>vec00379</v>
      </c>
      <c r="F26985" s="0" t="s">
        <v>10883</v>
      </c>
    </row>
    <row r="26986" customFormat="false" ht="12.8" hidden="false" customHeight="false" outlineLevel="0" collapsed="false">
      <c r="B26986" s="0" t="s">
        <v>1</v>
      </c>
      <c r="C26986" s="0" t="s">
        <v>10884</v>
      </c>
      <c r="E26986" s="0" t="s">
        <v>266</v>
      </c>
      <c r="F26986" s="0" t="s">
        <v>10885</v>
      </c>
    </row>
    <row r="26987" customFormat="false" ht="12.8" hidden="false" customHeight="false" outlineLevel="0" collapsed="false">
      <c r="B26987" s="0" t="s">
        <v>8</v>
      </c>
      <c r="C26987" s="0" t="s">
        <v>10886</v>
      </c>
      <c r="E26987" s="0" t="s">
        <v>10887</v>
      </c>
      <c r="F26987" s="0" t="s">
        <v>10888</v>
      </c>
    </row>
    <row r="26989" customFormat="false" ht="12.8" hidden="false" customHeight="false" outlineLevel="0" collapsed="false">
      <c r="A26989" s="0" t="s">
        <v>10892</v>
      </c>
      <c r="B26989" s="0" t="str">
        <f aca="false">HYPERLINK("https://lindat.mff.cuni.cz/services/teitok/pdtc10/index.php?action=vallex&amp;frame=v-w3651f1", "podtrhnout (v-w3651f1)")</f>
        <v>podtrhnout (v-w3651f1)</v>
      </c>
      <c r="E26989" s="0" t="str">
        <f aca="false">HYPERLINK("https://lindat.mff.cuni.cz/services/SynSemClass40/SynSemClass40.html?veclass=vec00382#vec00382-ces-cm00004", "vec00382")</f>
        <v>vec00382</v>
      </c>
      <c r="F26989" s="0" t="s">
        <v>5369</v>
      </c>
    </row>
    <row r="26990" customFormat="false" ht="12.8" hidden="false" customHeight="false" outlineLevel="0" collapsed="false">
      <c r="B26990" s="0" t="s">
        <v>1</v>
      </c>
      <c r="C26990" s="0" t="s">
        <v>5370</v>
      </c>
      <c r="E26990" s="0" t="s">
        <v>63</v>
      </c>
      <c r="F26990" s="0" t="s">
        <v>5371</v>
      </c>
    </row>
    <row r="26991" customFormat="false" ht="12.8" hidden="false" customHeight="false" outlineLevel="0" collapsed="false">
      <c r="B26991" s="0" t="s">
        <v>10893</v>
      </c>
      <c r="C26991" s="0" t="s">
        <v>10894</v>
      </c>
      <c r="E26991" s="0" t="s">
        <v>218</v>
      </c>
      <c r="F26991" s="0" t="s">
        <v>10895</v>
      </c>
    </row>
    <row r="26993" customFormat="false" ht="12.8" hidden="false" customHeight="false" outlineLevel="0" collapsed="false">
      <c r="A26993" s="0" t="s">
        <v>10896</v>
      </c>
      <c r="B26993" s="0" t="str">
        <f aca="false">HYPERLINK("https://lindat.mff.cuni.cz/services/teitok/pdtc10/index.php?action=vallex&amp;frame=v-w3651f2", "podtrhnout (v-w3651f2)")</f>
        <v>podtrhnout (v-w3651f2)</v>
      </c>
    </row>
    <row r="26994" customFormat="false" ht="12.8" hidden="false" customHeight="false" outlineLevel="0" collapsed="false">
      <c r="B26994" s="0" t="s">
        <v>1</v>
      </c>
    </row>
    <row r="26995" customFormat="false" ht="12.8" hidden="false" customHeight="false" outlineLevel="0" collapsed="false">
      <c r="B26995" s="0" t="s">
        <v>59</v>
      </c>
    </row>
    <row r="26997" customFormat="false" ht="12.8" hidden="false" customHeight="false" outlineLevel="0" collapsed="false">
      <c r="A26997" s="0" t="s">
        <v>10897</v>
      </c>
      <c r="B26997" s="0" t="str">
        <f aca="false">HYPERLINK("https://lindat.mff.cuni.cz/services/teitok/pdtc10/index.php?action=vallex&amp;frame=v-w3652f1", "podtrhovat (v-w3652f1)")</f>
        <v>podtrhovat (v-w3652f1)</v>
      </c>
      <c r="E26997" s="0" t="str">
        <f aca="false">HYPERLINK("https://lindat.mff.cuni.cz/services/SynSemClass40/SynSemClass40.html?veclass=vec00382#vec00382-ces-cm00005", "vec00382")</f>
        <v>vec00382</v>
      </c>
      <c r="F26997" s="0" t="s">
        <v>5369</v>
      </c>
    </row>
    <row r="26998" customFormat="false" ht="12.8" hidden="false" customHeight="false" outlineLevel="0" collapsed="false">
      <c r="B26998" s="0" t="s">
        <v>1</v>
      </c>
      <c r="C26998" s="0" t="s">
        <v>5370</v>
      </c>
      <c r="E26998" s="0" t="s">
        <v>63</v>
      </c>
      <c r="F26998" s="0" t="s">
        <v>5371</v>
      </c>
    </row>
    <row r="26999" customFormat="false" ht="12.8" hidden="false" customHeight="false" outlineLevel="0" collapsed="false">
      <c r="B26999" s="0" t="s">
        <v>59</v>
      </c>
      <c r="C26999" s="0" t="s">
        <v>10894</v>
      </c>
      <c r="E26999" s="0" t="s">
        <v>218</v>
      </c>
      <c r="F26999" s="0" t="s">
        <v>10895</v>
      </c>
    </row>
    <row r="27001" customFormat="false" ht="12.8" hidden="false" customHeight="false" outlineLevel="0" collapsed="false">
      <c r="A27001" s="0" t="s">
        <v>10898</v>
      </c>
      <c r="B27001" s="0" t="str">
        <f aca="false">HYPERLINK("https://lindat.mff.cuni.cz/services/teitok/pdtc10/index.php?action=vallex&amp;frame=v-whsa_939hsa_940", "podtrhávat (v-whsa_939hsa_940)")</f>
        <v>podtrhávat (v-whsa_939hsa_940)</v>
      </c>
      <c r="E27001" s="0" t="str">
        <f aca="false">HYPERLINK("https://lindat.mff.cuni.cz/services/SynSemClass40/SynSemClass40.html?veclass=vec00382#vec00382-ces-cm00026", "vec00382")</f>
        <v>vec00382</v>
      </c>
      <c r="F27001" s="0" t="s">
        <v>5369</v>
      </c>
    </row>
    <row r="27002" customFormat="false" ht="12.8" hidden="false" customHeight="false" outlineLevel="0" collapsed="false">
      <c r="B27002" s="0" t="s">
        <v>1</v>
      </c>
      <c r="C27002" s="0" t="s">
        <v>5370</v>
      </c>
      <c r="E27002" s="0" t="s">
        <v>63</v>
      </c>
      <c r="F27002" s="0" t="s">
        <v>5371</v>
      </c>
    </row>
    <row r="27003" customFormat="false" ht="12.8" hidden="false" customHeight="false" outlineLevel="0" collapsed="false">
      <c r="B27003" s="0" t="s">
        <v>8</v>
      </c>
      <c r="C27003" s="0" t="s">
        <v>10894</v>
      </c>
      <c r="E27003" s="0" t="s">
        <v>218</v>
      </c>
      <c r="F27003" s="0" t="s">
        <v>10895</v>
      </c>
    </row>
    <row r="27005" customFormat="false" ht="12.8" hidden="false" customHeight="false" outlineLevel="0" collapsed="false">
      <c r="A27005" s="0" t="s">
        <v>10899</v>
      </c>
      <c r="B27005" s="0" t="str">
        <f aca="false">HYPERLINK("https://lindat.mff.cuni.cz/services/teitok/pdtc10/index.php?action=vallex&amp;frame=v-whsa_939f1_MM", "podtrhávat (v-whsa_939f1_MM)")</f>
        <v>podtrhávat (v-whsa_939f1_MM)</v>
      </c>
    </row>
    <row r="27006" customFormat="false" ht="12.8" hidden="false" customHeight="false" outlineLevel="0" collapsed="false">
      <c r="B27006" s="0" t="s">
        <v>1</v>
      </c>
    </row>
    <row r="27007" customFormat="false" ht="12.8" hidden="false" customHeight="false" outlineLevel="0" collapsed="false">
      <c r="B27007" s="0" t="s">
        <v>8</v>
      </c>
    </row>
    <row r="27009" customFormat="false" ht="12.8" hidden="false" customHeight="false" outlineLevel="0" collapsed="false">
      <c r="A27009" s="0" t="s">
        <v>10900</v>
      </c>
      <c r="B27009" s="0" t="str">
        <f aca="false">HYPERLINK("https://lindat.mff.cuni.cz/services/teitok/pdtc10/index.php?action=vallex&amp;frame=v-w3654f1", "podupávat (v-w3654f1)")</f>
        <v>podupávat (v-w3654f1)</v>
      </c>
    </row>
    <row r="27010" customFormat="false" ht="12.8" hidden="false" customHeight="false" outlineLevel="0" collapsed="false">
      <c r="B27010" s="0" t="s">
        <v>1</v>
      </c>
    </row>
    <row r="27012" customFormat="false" ht="12.8" hidden="false" customHeight="false" outlineLevel="0" collapsed="false">
      <c r="A27012" s="0" t="s">
        <v>10901</v>
      </c>
      <c r="B27012" s="0" t="str">
        <f aca="false">HYPERLINK("https://lindat.mff.cuni.cz/services/teitok/pdtc10/index.php?action=vallex&amp;frame=v-w12047_ZUf1_ZU", "podupávat si (v-w12047_ZUf1_ZU)")</f>
        <v>podupávat si (v-w12047_ZUf1_ZU)</v>
      </c>
    </row>
    <row r="27013" customFormat="false" ht="12.8" hidden="false" customHeight="false" outlineLevel="0" collapsed="false">
      <c r="B27013" s="0" t="s">
        <v>1</v>
      </c>
    </row>
    <row r="27015" customFormat="false" ht="12.8" hidden="false" customHeight="false" outlineLevel="0" collapsed="false">
      <c r="A27015" s="0" t="s">
        <v>10902</v>
      </c>
      <c r="B27015" s="0" t="str">
        <f aca="false">HYPERLINK("https://lindat.mff.cuni.cz/services/teitok/pdtc10/index.php?action=vallex&amp;frame=v-w3656f1", "podvazovat (v-w3656f1)")</f>
        <v>podvazovat (v-w3656f1)</v>
      </c>
    </row>
    <row r="27016" customFormat="false" ht="12.8" hidden="false" customHeight="false" outlineLevel="0" collapsed="false">
      <c r="B27016" s="0" t="s">
        <v>1</v>
      </c>
    </row>
    <row r="27017" customFormat="false" ht="12.8" hidden="false" customHeight="false" outlineLevel="0" collapsed="false">
      <c r="B27017" s="0" t="s">
        <v>8</v>
      </c>
    </row>
    <row r="27019" customFormat="false" ht="12.8" hidden="false" customHeight="false" outlineLevel="0" collapsed="false">
      <c r="A27019" s="0" t="s">
        <v>10903</v>
      </c>
      <c r="B27019" s="0" t="str">
        <f aca="false">HYPERLINK("https://lindat.mff.cuni.cz/services/teitok/pdtc10/index.php?action=vallex&amp;frame=v-w3658f1", "podvolit se (v-w3658f1)")</f>
        <v>podvolit se (v-w3658f1)</v>
      </c>
      <c r="E27019" s="0" t="str">
        <f aca="false">HYPERLINK("https://lindat.mff.cuni.cz/services/SynSemClass40/SynSemClass40.html?veclass=vec00739#vec00739-ces-cm00007", "vec00739")</f>
        <v>vec00739</v>
      </c>
      <c r="F27019" s="0" t="s">
        <v>5232</v>
      </c>
    </row>
    <row r="27020" customFormat="false" ht="12.8" hidden="false" customHeight="false" outlineLevel="0" collapsed="false">
      <c r="B27020" s="0" t="s">
        <v>1</v>
      </c>
      <c r="C27020" s="0" t="s">
        <v>5233</v>
      </c>
      <c r="E27020" s="0" t="s">
        <v>5234</v>
      </c>
      <c r="F27020" s="0" t="s">
        <v>5235</v>
      </c>
    </row>
    <row r="27021" customFormat="false" ht="12.8" hidden="false" customHeight="false" outlineLevel="0" collapsed="false">
      <c r="B27021" s="0" t="s">
        <v>186</v>
      </c>
      <c r="C27021" s="0" t="s">
        <v>5236</v>
      </c>
      <c r="E27021" s="0" t="s">
        <v>5237</v>
      </c>
      <c r="F27021" s="0" t="s">
        <v>5238</v>
      </c>
    </row>
    <row r="27023" customFormat="false" ht="12.8" hidden="false" customHeight="false" outlineLevel="0" collapsed="false">
      <c r="A27023" s="0" t="s">
        <v>10904</v>
      </c>
      <c r="B27023" s="0" t="str">
        <f aca="false">HYPERLINK("https://lindat.mff.cuni.cz/services/teitok/pdtc10/index.php?action=vallex&amp;frame=v-w3659f1", "podvolovat se (v-w3659f1)")</f>
        <v>podvolovat se (v-w3659f1)</v>
      </c>
      <c r="E27023" s="0" t="str">
        <f aca="false">HYPERLINK("https://lindat.mff.cuni.cz/services/SynSemClass40/SynSemClass40.html?veclass=vec00739#vec00739-ces-cm00008", "vec00739")</f>
        <v>vec00739</v>
      </c>
      <c r="F27023" s="0" t="s">
        <v>5232</v>
      </c>
    </row>
    <row r="27024" customFormat="false" ht="12.8" hidden="false" customHeight="false" outlineLevel="0" collapsed="false">
      <c r="B27024" s="0" t="s">
        <v>1</v>
      </c>
      <c r="C27024" s="0" t="s">
        <v>5233</v>
      </c>
      <c r="E27024" s="0" t="s">
        <v>5234</v>
      </c>
      <c r="F27024" s="0" t="s">
        <v>5235</v>
      </c>
    </row>
    <row r="27025" customFormat="false" ht="12.8" hidden="false" customHeight="false" outlineLevel="0" collapsed="false">
      <c r="B27025" s="0" t="s">
        <v>186</v>
      </c>
      <c r="C27025" s="0" t="s">
        <v>5236</v>
      </c>
      <c r="E27025" s="0" t="s">
        <v>5237</v>
      </c>
      <c r="F27025" s="0" t="s">
        <v>5238</v>
      </c>
    </row>
    <row r="27027" customFormat="false" ht="12.8" hidden="false" customHeight="false" outlineLevel="0" collapsed="false">
      <c r="A27027" s="0" t="s">
        <v>10905</v>
      </c>
      <c r="B27027" s="0" t="str">
        <f aca="false">HYPERLINK("https://lindat.mff.cuni.cz/services/teitok/pdtc10/index.php?action=vallex&amp;frame=v-w3660f1", "podvrhnout (v-w3660f1)")</f>
        <v>podvrhnout (v-w3660f1)</v>
      </c>
    </row>
    <row r="27028" customFormat="false" ht="12.8" hidden="false" customHeight="false" outlineLevel="0" collapsed="false">
      <c r="B27028" s="0" t="s">
        <v>1</v>
      </c>
    </row>
    <row r="27029" customFormat="false" ht="12.8" hidden="false" customHeight="false" outlineLevel="0" collapsed="false">
      <c r="B27029" s="0" t="s">
        <v>8</v>
      </c>
    </row>
    <row r="27031" customFormat="false" ht="12.8" hidden="false" customHeight="false" outlineLevel="0" collapsed="false">
      <c r="A27031" s="0" t="s">
        <v>10906</v>
      </c>
      <c r="B27031" s="0" t="str">
        <f aca="false">HYPERLINK("https://lindat.mff.cuni.cz/services/teitok/pdtc10/index.php?action=vallex&amp;frame=v-w3660f2", "podvrhnout (v-w3660f2)")</f>
        <v>podvrhnout (v-w3660f2)</v>
      </c>
    </row>
    <row r="27032" customFormat="false" ht="12.8" hidden="false" customHeight="false" outlineLevel="0" collapsed="false">
      <c r="B27032" s="0" t="s">
        <v>1</v>
      </c>
    </row>
    <row r="27033" customFormat="false" ht="12.8" hidden="false" customHeight="false" outlineLevel="0" collapsed="false">
      <c r="B27033" s="0" t="s">
        <v>8</v>
      </c>
    </row>
    <row r="27035" customFormat="false" ht="12.8" hidden="false" customHeight="false" outlineLevel="0" collapsed="false">
      <c r="A27035" s="0" t="s">
        <v>10907</v>
      </c>
      <c r="B27035" s="0" t="str">
        <f aca="false">HYPERLINK("https://lindat.mff.cuni.cz/services/teitok/pdtc10/index.php?action=vallex&amp;frame=v-w10784f2", "podvádět (v-w10784f2)")</f>
        <v>podvádět (v-w10784f2)</v>
      </c>
      <c r="E27035" s="0" t="str">
        <f aca="false">HYPERLINK("https://lindat.mff.cuni.cz/services/SynSemClass40/SynSemClass40.html?veclass=vec00671#vec00671-ces-cm00005", "vec00671")</f>
        <v>vec00671</v>
      </c>
      <c r="F27035" s="0" t="s">
        <v>8286</v>
      </c>
    </row>
    <row r="27036" customFormat="false" ht="12.8" hidden="false" customHeight="false" outlineLevel="0" collapsed="false">
      <c r="B27036" s="0" t="s">
        <v>1</v>
      </c>
      <c r="C27036" s="0" t="s">
        <v>4695</v>
      </c>
      <c r="E27036" s="0" t="s">
        <v>4726</v>
      </c>
      <c r="F27036" s="0" t="s">
        <v>8287</v>
      </c>
    </row>
    <row r="27037" customFormat="false" ht="12.8" hidden="false" customHeight="false" outlineLevel="0" collapsed="false">
      <c r="B27037" s="0" t="s">
        <v>8</v>
      </c>
      <c r="C27037" s="0" t="s">
        <v>2082</v>
      </c>
      <c r="E27037" s="0" t="s">
        <v>199</v>
      </c>
      <c r="F27037" s="0" t="s">
        <v>8288</v>
      </c>
    </row>
    <row r="27039" customFormat="false" ht="12.8" hidden="false" customHeight="false" outlineLevel="0" collapsed="false">
      <c r="A27039" s="0" t="s">
        <v>10908</v>
      </c>
      <c r="B27039" s="0" t="str">
        <f aca="false">HYPERLINK("https://lindat.mff.cuni.cz/services/teitok/pdtc10/index.php?action=vallex&amp;frame=v-w11896_ZUf1_ZU", "podvázat (v-w11896_ZUf1_ZU)")</f>
        <v>podvázat (v-w11896_ZUf1_ZU)</v>
      </c>
    </row>
    <row r="27040" customFormat="false" ht="12.8" hidden="false" customHeight="false" outlineLevel="0" collapsed="false">
      <c r="B27040" s="0" t="s">
        <v>1</v>
      </c>
    </row>
    <row r="27041" customFormat="false" ht="12.8" hidden="false" customHeight="false" outlineLevel="0" collapsed="false">
      <c r="B27041" s="0" t="s">
        <v>8</v>
      </c>
    </row>
    <row r="27043" customFormat="false" ht="12.8" hidden="false" customHeight="false" outlineLevel="0" collapsed="false">
      <c r="A27043" s="0" t="s">
        <v>10909</v>
      </c>
      <c r="B27043" s="0" t="str">
        <f aca="false">HYPERLINK("https://lindat.mff.cuni.cz/services/teitok/pdtc10/index.php?action=vallex&amp;frame=v-w3657f1", "podvést (v-w3657f1)")</f>
        <v>podvést (v-w3657f1)</v>
      </c>
      <c r="E27043" s="0" t="str">
        <f aca="false">HYPERLINK("https://lindat.mff.cuni.cz/services/SynSemClass40/SynSemClass40.html?veclass=vec00671#vec00671-ces-cm00001", "vec00671")</f>
        <v>vec00671</v>
      </c>
      <c r="F27043" s="0" t="s">
        <v>8286</v>
      </c>
    </row>
    <row r="27044" customFormat="false" ht="12.8" hidden="false" customHeight="false" outlineLevel="0" collapsed="false">
      <c r="B27044" s="0" t="s">
        <v>1</v>
      </c>
      <c r="C27044" s="0" t="s">
        <v>4695</v>
      </c>
      <c r="E27044" s="0" t="s">
        <v>4726</v>
      </c>
      <c r="F27044" s="0" t="s">
        <v>8287</v>
      </c>
    </row>
    <row r="27045" customFormat="false" ht="12.8" hidden="false" customHeight="false" outlineLevel="0" collapsed="false">
      <c r="B27045" s="0" t="s">
        <v>8</v>
      </c>
      <c r="C27045" s="0" t="s">
        <v>2082</v>
      </c>
      <c r="E27045" s="0" t="s">
        <v>199</v>
      </c>
      <c r="F27045" s="0" t="s">
        <v>8288</v>
      </c>
    </row>
    <row r="27047" customFormat="false" ht="12.8" hidden="false" customHeight="false" outlineLevel="0" collapsed="false">
      <c r="A27047" s="0" t="s">
        <v>10910</v>
      </c>
      <c r="B27047" s="0" t="str">
        <f aca="false">HYPERLINK("https://lindat.mff.cuni.cz/services/teitok/pdtc10/index.php?action=vallex&amp;frame=v-w3657hsa_1611", "podvést (v-w3657hsa_1611)")</f>
        <v>podvést (v-w3657hsa_1611)</v>
      </c>
    </row>
    <row r="27048" customFormat="false" ht="12.8" hidden="false" customHeight="false" outlineLevel="0" collapsed="false">
      <c r="B27048" s="0" t="s">
        <v>1</v>
      </c>
    </row>
    <row r="27049" customFormat="false" ht="12.8" hidden="false" customHeight="false" outlineLevel="0" collapsed="false">
      <c r="B27049" s="0" t="s">
        <v>8</v>
      </c>
    </row>
    <row r="27050" customFormat="false" ht="12.8" hidden="false" customHeight="false" outlineLevel="0" collapsed="false">
      <c r="B27050" s="0" t="s">
        <v>3205</v>
      </c>
    </row>
    <row r="27052" customFormat="false" ht="12.8" hidden="false" customHeight="false" outlineLevel="0" collapsed="false">
      <c r="A27052" s="0" t="s">
        <v>10911</v>
      </c>
      <c r="B27052" s="0" t="str">
        <f aca="false">HYPERLINK("https://lindat.mff.cuni.cz/services/teitok/pdtc10/index.php?action=vallex&amp;frame=v-w3546f7", "podávat (v-w3546f7)")</f>
        <v>podávat (v-w3546f7)</v>
      </c>
      <c r="E27052" s="0" t="str">
        <f aca="false">HYPERLINK("https://lindat.mff.cuni.cz/services/SynSemClass40/SynSemClass40.html?veclass=vec00557#vec00557-ces-cm00032", "vec00557")</f>
        <v>vec00557</v>
      </c>
      <c r="F27052" s="0" t="s">
        <v>10681</v>
      </c>
    </row>
    <row r="27053" customFormat="false" ht="12.8" hidden="false" customHeight="false" outlineLevel="0" collapsed="false">
      <c r="B27053" s="0" t="s">
        <v>1</v>
      </c>
      <c r="C27053" s="0" t="s">
        <v>6310</v>
      </c>
      <c r="E27053" s="0" t="s">
        <v>147</v>
      </c>
      <c r="F27053" s="0" t="s">
        <v>10682</v>
      </c>
    </row>
    <row r="27054" customFormat="false" ht="12.8" hidden="false" customHeight="false" outlineLevel="0" collapsed="false">
      <c r="B27054" s="0" t="s">
        <v>500</v>
      </c>
      <c r="C27054" s="0" t="s">
        <v>4627</v>
      </c>
      <c r="E27054" s="0" t="s">
        <v>218</v>
      </c>
      <c r="F27054" s="0" t="s">
        <v>4978</v>
      </c>
    </row>
    <row r="27055" customFormat="false" ht="12.8" hidden="false" customHeight="false" outlineLevel="0" collapsed="false">
      <c r="B27055" s="0" t="s">
        <v>52</v>
      </c>
      <c r="C27055" s="0" t="s">
        <v>10683</v>
      </c>
      <c r="E27055" s="0" t="s">
        <v>221</v>
      </c>
      <c r="F27055" s="0" t="s">
        <v>10684</v>
      </c>
    </row>
    <row r="27057" customFormat="false" ht="12.8" hidden="false" customHeight="false" outlineLevel="0" collapsed="false">
      <c r="A27057" s="0" t="s">
        <v>10912</v>
      </c>
      <c r="B27057" s="0" t="str">
        <f aca="false">HYPERLINK("https://lindat.mff.cuni.cz/services/teitok/pdtc10/index.php?action=vallex&amp;frame=v-w3546f18_ZU", "podávat (v-w3546f18_ZU)")</f>
        <v>podávat (v-w3546f18_ZU)</v>
      </c>
    </row>
    <row r="27058" customFormat="false" ht="12.8" hidden="false" customHeight="false" outlineLevel="0" collapsed="false">
      <c r="B27058" s="0" t="s">
        <v>1</v>
      </c>
    </row>
    <row r="27059" customFormat="false" ht="12.8" hidden="false" customHeight="false" outlineLevel="0" collapsed="false">
      <c r="B27059" s="0" t="s">
        <v>8</v>
      </c>
    </row>
    <row r="27060" customFormat="false" ht="12.8" hidden="false" customHeight="false" outlineLevel="0" collapsed="false">
      <c r="B27060" s="0" t="s">
        <v>52</v>
      </c>
    </row>
    <row r="27062" customFormat="false" ht="12.8" hidden="false" customHeight="false" outlineLevel="0" collapsed="false">
      <c r="A27062" s="0" t="s">
        <v>10912</v>
      </c>
      <c r="B27062" s="0" t="str">
        <f aca="false">HYPERLINK("https://lindat.mff.cuni.cz/services/teitok/pdtc10/index.php?action=vallex&amp;frame=v-w3546f2", "podávat (v-w3546f2) - substituted with v-w3546f18_ZU")</f>
        <v>podávat (v-w3546f2) - substituted with v-w3546f18_ZU</v>
      </c>
      <c r="E27062" s="0" t="str">
        <f aca="false">HYPERLINK("https://lindat.mff.cuni.cz/services/SynSemClass40/SynSemClass40.html?veclass=vec01256#vec01256-ces-cm00004", "vec01256")</f>
        <v>vec01256</v>
      </c>
      <c r="F27062" s="0" t="s">
        <v>2194</v>
      </c>
    </row>
    <row r="27063" customFormat="false" ht="12.8" hidden="false" customHeight="false" outlineLevel="0" collapsed="false">
      <c r="B27063" s="0" t="s">
        <v>1</v>
      </c>
      <c r="C27063" s="0" t="s">
        <v>3675</v>
      </c>
      <c r="E27063" s="0" t="s">
        <v>31</v>
      </c>
      <c r="F27063" s="0" t="s">
        <v>2198</v>
      </c>
    </row>
    <row r="27064" customFormat="false" ht="12.8" hidden="false" customHeight="false" outlineLevel="0" collapsed="false">
      <c r="B27064" s="0" t="s">
        <v>8</v>
      </c>
      <c r="C27064" s="0" t="s">
        <v>3676</v>
      </c>
      <c r="E27064" s="0" t="s">
        <v>1875</v>
      </c>
      <c r="F27064" s="0" t="s">
        <v>2202</v>
      </c>
    </row>
    <row r="27065" customFormat="false" ht="12.8" hidden="false" customHeight="false" outlineLevel="0" collapsed="false">
      <c r="B27065" s="0" t="s">
        <v>52</v>
      </c>
      <c r="C27065" s="0" t="s">
        <v>3677</v>
      </c>
      <c r="E27065" s="0" t="s">
        <v>53</v>
      </c>
      <c r="F27065" s="0" t="s">
        <v>2205</v>
      </c>
    </row>
    <row r="27067" customFormat="false" ht="12.8" hidden="false" customHeight="false" outlineLevel="0" collapsed="false">
      <c r="A27067" s="0" t="s">
        <v>10913</v>
      </c>
      <c r="B27067" s="0" t="str">
        <f aca="false">HYPERLINK("https://lindat.mff.cuni.cz/services/teitok/pdtc10/index.php?action=vallex&amp;frame=v-w3546f3", "podávat (v-w3546f3)")</f>
        <v>podávat (v-w3546f3)</v>
      </c>
    </row>
    <row r="27068" customFormat="false" ht="12.8" hidden="false" customHeight="false" outlineLevel="0" collapsed="false">
      <c r="B27068" s="0" t="s">
        <v>1</v>
      </c>
    </row>
    <row r="27069" customFormat="false" ht="12.8" hidden="false" customHeight="false" outlineLevel="0" collapsed="false">
      <c r="B27069" s="0" t="s">
        <v>8</v>
      </c>
    </row>
    <row r="27070" customFormat="false" ht="12.8" hidden="false" customHeight="false" outlineLevel="0" collapsed="false">
      <c r="B27070" s="0" t="s">
        <v>52</v>
      </c>
    </row>
    <row r="27072" customFormat="false" ht="12.8" hidden="false" customHeight="false" outlineLevel="0" collapsed="false">
      <c r="A27072" s="0" t="s">
        <v>10914</v>
      </c>
      <c r="B27072" s="0" t="str">
        <f aca="false">HYPERLINK("https://lindat.mff.cuni.cz/services/teitok/pdtc10/index.php?action=vallex&amp;frame=v-w3546f11", "podávat (v-w3546f11)")</f>
        <v>podávat (v-w3546f11)</v>
      </c>
    </row>
    <row r="27073" customFormat="false" ht="12.8" hidden="false" customHeight="false" outlineLevel="0" collapsed="false">
      <c r="B27073" s="0" t="s">
        <v>1</v>
      </c>
    </row>
    <row r="27074" customFormat="false" ht="12.8" hidden="false" customHeight="false" outlineLevel="0" collapsed="false">
      <c r="B27074" s="0" t="s">
        <v>8</v>
      </c>
    </row>
    <row r="27075" customFormat="false" ht="12.8" hidden="false" customHeight="false" outlineLevel="0" collapsed="false">
      <c r="B27075" s="0" t="s">
        <v>5</v>
      </c>
    </row>
    <row r="27077" customFormat="false" ht="12.8" hidden="false" customHeight="false" outlineLevel="0" collapsed="false">
      <c r="A27077" s="0" t="s">
        <v>10915</v>
      </c>
      <c r="B27077" s="0" t="str">
        <f aca="false">HYPERLINK("https://lindat.mff.cuni.cz/services/teitok/pdtc10/index.php?action=vallex&amp;frame=v-w3546f4", "podávat (v-w3546f4)")</f>
        <v>podávat (v-w3546f4)</v>
      </c>
    </row>
    <row r="27078" customFormat="false" ht="12.8" hidden="false" customHeight="false" outlineLevel="0" collapsed="false">
      <c r="B27078" s="0" t="s">
        <v>1</v>
      </c>
    </row>
    <row r="27079" customFormat="false" ht="12.8" hidden="false" customHeight="false" outlineLevel="0" collapsed="false">
      <c r="B27079" s="0" t="s">
        <v>8</v>
      </c>
    </row>
    <row r="27080" customFormat="false" ht="12.8" hidden="false" customHeight="false" outlineLevel="0" collapsed="false">
      <c r="B27080" s="0" t="s">
        <v>164</v>
      </c>
    </row>
    <row r="27082" customFormat="false" ht="12.8" hidden="false" customHeight="false" outlineLevel="0" collapsed="false">
      <c r="A27082" s="0" t="s">
        <v>10916</v>
      </c>
      <c r="B27082" s="0" t="str">
        <f aca="false">HYPERLINK("https://lindat.mff.cuni.cz/services/teitok/pdtc10/index.php?action=vallex&amp;frame=v-w3546f9", "podávat (v-w3546f9)")</f>
        <v>podávat (v-w3546f9)</v>
      </c>
    </row>
    <row r="27083" customFormat="false" ht="12.8" hidden="false" customHeight="false" outlineLevel="0" collapsed="false">
      <c r="B27083" s="0" t="s">
        <v>1</v>
      </c>
    </row>
    <row r="27084" customFormat="false" ht="12.8" hidden="false" customHeight="false" outlineLevel="0" collapsed="false">
      <c r="B27084" s="0" t="s">
        <v>8</v>
      </c>
    </row>
    <row r="27086" customFormat="false" ht="12.8" hidden="false" customHeight="false" outlineLevel="0" collapsed="false">
      <c r="A27086" s="0" t="s">
        <v>10917</v>
      </c>
      <c r="B27086" s="0" t="str">
        <f aca="false">HYPERLINK("https://lindat.mff.cuni.cz/services/teitok/pdtc10/index.php?action=vallex&amp;frame=v-w3546f6", "podávat (v-w3546f6)")</f>
        <v>podávat (v-w3546f6)</v>
      </c>
    </row>
    <row r="27087" customFormat="false" ht="12.8" hidden="false" customHeight="false" outlineLevel="0" collapsed="false">
      <c r="B27087" s="0" t="s">
        <v>1</v>
      </c>
    </row>
    <row r="27089" customFormat="false" ht="12.8" hidden="false" customHeight="false" outlineLevel="0" collapsed="false">
      <c r="A27089" s="0" t="s">
        <v>10918</v>
      </c>
      <c r="B27089" s="0" t="str">
        <f aca="false">HYPERLINK("https://lindat.mff.cuni.cz/services/teitok/pdtc10/index.php?action=vallex&amp;frame=v-w3546f15_ZU", "podávat (v-w3546f15_ZU)")</f>
        <v>podávat (v-w3546f15_ZU)</v>
      </c>
      <c r="E27089" s="0" t="str">
        <f aca="false">HYPERLINK("https://lindat.mff.cuni.cz/services/SynSemClass40/SynSemClass40.html?veclass=vec00033#vec00033-ces-cm00051", "vec00033")</f>
        <v>vec00033</v>
      </c>
      <c r="F27089" s="0" t="s">
        <v>3408</v>
      </c>
      <c r="H27089" s="0" t="str">
        <f aca="false">HYPERLINK("https://lindat.mff.cuni.cz/services/SynSemClass40/SynSemClass40.html?veclass=vec00039#vec00039-ces-cm00016", "vec00039")</f>
        <v>vec00039</v>
      </c>
      <c r="I27089" s="0" t="s">
        <v>2618</v>
      </c>
      <c r="K27089" s="0" t="str">
        <f aca="false">HYPERLINK("https://lindat.mff.cuni.cz/services/SynSemClass40/SynSemClass40.html?veclass=vec00557#vec00557-ces-cm00049", "vec00557")</f>
        <v>vec00557</v>
      </c>
      <c r="L27089" s="0" t="s">
        <v>10681</v>
      </c>
    </row>
    <row r="27090" customFormat="false" ht="12.8" hidden="false" customHeight="false" outlineLevel="0" collapsed="false">
      <c r="B27090" s="0" t="s">
        <v>1</v>
      </c>
      <c r="C27090" s="0" t="s">
        <v>10919</v>
      </c>
      <c r="E27090" s="0" t="s">
        <v>3410</v>
      </c>
      <c r="F27090" s="0" t="s">
        <v>3411</v>
      </c>
      <c r="H27090" s="0" t="s">
        <v>2619</v>
      </c>
      <c r="I27090" s="0" t="s">
        <v>2620</v>
      </c>
      <c r="K27090" s="0" t="s">
        <v>147</v>
      </c>
      <c r="L27090" s="0" t="s">
        <v>10682</v>
      </c>
    </row>
    <row r="27091" customFormat="false" ht="12.8" hidden="false" customHeight="false" outlineLevel="0" collapsed="false">
      <c r="B27091" s="0" t="s">
        <v>10920</v>
      </c>
      <c r="C27091" s="0" t="s">
        <v>10921</v>
      </c>
      <c r="E27091" s="0" t="s">
        <v>3471</v>
      </c>
      <c r="F27091" s="0" t="s">
        <v>3472</v>
      </c>
      <c r="H27091" s="0" t="s">
        <v>10922</v>
      </c>
      <c r="I27091" s="0" t="s">
        <v>10923</v>
      </c>
      <c r="K27091" s="0" t="s">
        <v>5364</v>
      </c>
      <c r="L27091" s="0" t="s">
        <v>10924</v>
      </c>
    </row>
    <row r="27092" customFormat="false" ht="12.8" hidden="false" customHeight="false" outlineLevel="0" collapsed="false">
      <c r="B27092" s="0" t="s">
        <v>52</v>
      </c>
      <c r="C27092" s="0" t="s">
        <v>10925</v>
      </c>
      <c r="E27092" s="0" t="s">
        <v>53</v>
      </c>
      <c r="F27092" s="0" t="s">
        <v>3416</v>
      </c>
      <c r="H27092" s="0" t="s">
        <v>564</v>
      </c>
      <c r="I27092" s="0" t="s">
        <v>7943</v>
      </c>
      <c r="K27092" s="0" t="s">
        <v>221</v>
      </c>
      <c r="L27092" s="0" t="s">
        <v>10684</v>
      </c>
    </row>
    <row r="27094" customFormat="false" ht="12.8" hidden="false" customHeight="false" outlineLevel="0" collapsed="false">
      <c r="A27094" s="0" t="s">
        <v>10918</v>
      </c>
      <c r="B27094" s="0" t="str">
        <f aca="false">HYPERLINK("https://lindat.mff.cuni.cz/services/teitok/pdtc10/index.php?action=vallex&amp;frame=v-w3546f1", "podávat (v-w3546f1) - substituted with v-w3546f15_ZU")</f>
        <v>podávat (v-w3546f1) - substituted with v-w3546f15_ZU</v>
      </c>
    </row>
    <row r="27095" customFormat="false" ht="12.8" hidden="false" customHeight="false" outlineLevel="0" collapsed="false">
      <c r="B27095" s="0" t="s">
        <v>1</v>
      </c>
    </row>
    <row r="27096" customFormat="false" ht="12.8" hidden="false" customHeight="false" outlineLevel="0" collapsed="false">
      <c r="B27096" s="0" t="s">
        <v>10920</v>
      </c>
    </row>
    <row r="27097" customFormat="false" ht="12.8" hidden="false" customHeight="false" outlineLevel="0" collapsed="false">
      <c r="B27097" s="0" t="s">
        <v>52</v>
      </c>
    </row>
    <row r="27099" customFormat="false" ht="12.8" hidden="false" customHeight="false" outlineLevel="0" collapsed="false">
      <c r="A27099" s="0" t="s">
        <v>10918</v>
      </c>
      <c r="B27099" s="0" t="str">
        <f aca="false">HYPERLINK("https://lindat.mff.cuni.cz/services/teitok/pdtc10/index.php?action=vallex&amp;frame=v-w3546f12_ZU", "podávat (v-w3546f12_ZU) - substituted with v-w3546f15_ZU")</f>
        <v>podávat (v-w3546f12_ZU) - substituted with v-w3546f15_ZU</v>
      </c>
    </row>
    <row r="27100" customFormat="false" ht="12.8" hidden="false" customHeight="false" outlineLevel="0" collapsed="false">
      <c r="B27100" s="0" t="s">
        <v>1</v>
      </c>
    </row>
    <row r="27101" customFormat="false" ht="12.8" hidden="false" customHeight="false" outlineLevel="0" collapsed="false">
      <c r="B27101" s="0" t="s">
        <v>10920</v>
      </c>
    </row>
    <row r="27102" customFormat="false" ht="12.8" hidden="false" customHeight="false" outlineLevel="0" collapsed="false">
      <c r="B27102" s="0" t="s">
        <v>52</v>
      </c>
    </row>
    <row r="27104" customFormat="false" ht="12.8" hidden="false" customHeight="false" outlineLevel="0" collapsed="false">
      <c r="A27104" s="0" t="s">
        <v>10918</v>
      </c>
      <c r="B27104" s="0" t="str">
        <f aca="false">HYPERLINK("https://lindat.mff.cuni.cz/services/teitok/pdtc10/index.php?action=vallex&amp;frame=v-w3546f13_ZU", "podávat (v-w3546f13_ZU) - substituted with v-w3546f15_ZU")</f>
        <v>podávat (v-w3546f13_ZU) - substituted with v-w3546f15_ZU</v>
      </c>
    </row>
    <row r="27105" customFormat="false" ht="12.8" hidden="false" customHeight="false" outlineLevel="0" collapsed="false">
      <c r="B27105" s="0" t="s">
        <v>1</v>
      </c>
    </row>
    <row r="27106" customFormat="false" ht="12.8" hidden="false" customHeight="false" outlineLevel="0" collapsed="false">
      <c r="B27106" s="0" t="s">
        <v>10920</v>
      </c>
    </row>
    <row r="27107" customFormat="false" ht="12.8" hidden="false" customHeight="false" outlineLevel="0" collapsed="false">
      <c r="B27107" s="0" t="s">
        <v>52</v>
      </c>
    </row>
    <row r="27109" customFormat="false" ht="12.8" hidden="false" customHeight="false" outlineLevel="0" collapsed="false">
      <c r="A27109" s="0" t="s">
        <v>10918</v>
      </c>
      <c r="B27109" s="0" t="str">
        <f aca="false">HYPERLINK("https://lindat.mff.cuni.cz/services/teitok/pdtc10/index.php?action=vallex&amp;frame=v-w3546f14_ZU", "podávat (v-w3546f14_ZU) - substituted with v-w3546f15_ZU")</f>
        <v>podávat (v-w3546f14_ZU) - substituted with v-w3546f15_ZU</v>
      </c>
    </row>
    <row r="27110" customFormat="false" ht="12.8" hidden="false" customHeight="false" outlineLevel="0" collapsed="false">
      <c r="B27110" s="0" t="s">
        <v>1</v>
      </c>
    </row>
    <row r="27111" customFormat="false" ht="12.8" hidden="false" customHeight="false" outlineLevel="0" collapsed="false">
      <c r="B27111" s="0" t="s">
        <v>10920</v>
      </c>
    </row>
    <row r="27112" customFormat="false" ht="12.8" hidden="false" customHeight="false" outlineLevel="0" collapsed="false">
      <c r="B27112" s="0" t="s">
        <v>52</v>
      </c>
    </row>
    <row r="27114" customFormat="false" ht="12.8" hidden="false" customHeight="false" outlineLevel="0" collapsed="false">
      <c r="A27114" s="0" t="s">
        <v>10926</v>
      </c>
      <c r="B27114" s="0" t="str">
        <f aca="false">HYPERLINK("https://lindat.mff.cuni.cz/services/teitok/pdtc10/index.php?action=vallex&amp;frame=v-w3546f10", "podávat (v-w3546f10)")</f>
        <v>podávat (v-w3546f10)</v>
      </c>
    </row>
    <row r="27115" customFormat="false" ht="12.8" hidden="false" customHeight="false" outlineLevel="0" collapsed="false">
      <c r="B27115" s="0" t="s">
        <v>1</v>
      </c>
    </row>
    <row r="27116" customFormat="false" ht="12.8" hidden="false" customHeight="false" outlineLevel="0" collapsed="false">
      <c r="B27116" s="0" t="s">
        <v>10927</v>
      </c>
    </row>
    <row r="27117" customFormat="false" ht="12.8" hidden="false" customHeight="false" outlineLevel="0" collapsed="false">
      <c r="B27117" s="0" t="s">
        <v>5</v>
      </c>
    </row>
    <row r="27119" customFormat="false" ht="12.8" hidden="false" customHeight="false" outlineLevel="0" collapsed="false">
      <c r="A27119" s="0" t="s">
        <v>10928</v>
      </c>
      <c r="B27119" s="0" t="str">
        <f aca="false">HYPERLINK("https://lindat.mff.cuni.cz/services/teitok/pdtc10/index.php?action=vallex&amp;frame=v-w3546f8", "podávat (v-w3546f8)")</f>
        <v>podávat (v-w3546f8)</v>
      </c>
    </row>
    <row r="27120" customFormat="false" ht="12.8" hidden="false" customHeight="false" outlineLevel="0" collapsed="false">
      <c r="B27120" s="0" t="s">
        <v>1</v>
      </c>
    </row>
    <row r="27121" customFormat="false" ht="12.8" hidden="false" customHeight="false" outlineLevel="0" collapsed="false">
      <c r="B27121" s="0" t="s">
        <v>10929</v>
      </c>
    </row>
    <row r="27122" customFormat="false" ht="12.8" hidden="false" customHeight="false" outlineLevel="0" collapsed="false">
      <c r="B27122" s="0" t="s">
        <v>164</v>
      </c>
    </row>
    <row r="27124" customFormat="false" ht="12.8" hidden="false" customHeight="false" outlineLevel="0" collapsed="false">
      <c r="A27124" s="0" t="s">
        <v>10930</v>
      </c>
      <c r="B27124" s="0" t="str">
        <f aca="false">HYPERLINK("https://lindat.mff.cuni.cz/services/teitok/pdtc10/index.php?action=vallex&amp;frame=v-w3546f5", "podávat (v-w3546f5)")</f>
        <v>podávat (v-w3546f5)</v>
      </c>
    </row>
    <row r="27125" customFormat="false" ht="12.8" hidden="false" customHeight="false" outlineLevel="0" collapsed="false">
      <c r="B27125" s="0" t="s">
        <v>1</v>
      </c>
    </row>
    <row r="27126" customFormat="false" ht="12.8" hidden="false" customHeight="false" outlineLevel="0" collapsed="false">
      <c r="B27126" s="0" t="s">
        <v>10711</v>
      </c>
    </row>
    <row r="27128" customFormat="false" ht="12.8" hidden="false" customHeight="false" outlineLevel="0" collapsed="false">
      <c r="A27128" s="0" t="s">
        <v>10931</v>
      </c>
      <c r="B27128" s="0" t="str">
        <f aca="false">HYPERLINK("https://lindat.mff.cuni.cz/services/teitok/pdtc10/index.php?action=vallex&amp;frame=v-w3546f16_ZU", "podávat (v-w3546f16_ZU)")</f>
        <v>podávat (v-w3546f16_ZU)</v>
      </c>
    </row>
    <row r="27129" customFormat="false" ht="12.8" hidden="false" customHeight="false" outlineLevel="0" collapsed="false">
      <c r="B27129" s="0" t="s">
        <v>1</v>
      </c>
    </row>
    <row r="27130" customFormat="false" ht="12.8" hidden="false" customHeight="false" outlineLevel="0" collapsed="false">
      <c r="B27130" s="0" t="s">
        <v>3318</v>
      </c>
    </row>
    <row r="27131" customFormat="false" ht="12.8" hidden="false" customHeight="false" outlineLevel="0" collapsed="false">
      <c r="B27131" s="0" t="s">
        <v>186</v>
      </c>
    </row>
    <row r="27133" customFormat="false" ht="12.8" hidden="false" customHeight="false" outlineLevel="0" collapsed="false">
      <c r="A27133" s="0" t="s">
        <v>10931</v>
      </c>
      <c r="B27133" s="0" t="str">
        <f aca="false">HYPERLINK("https://lindat.mff.cuni.cz/services/teitok/pdtc10/index.php?action=vallex&amp;frame=v-w3546hsa_1498", "podávat (v-w3546hsa_1498) - substituted with v-w3546f16_ZU")</f>
        <v>podávat (v-w3546hsa_1498) - substituted with v-w3546f16_ZU</v>
      </c>
    </row>
    <row r="27134" customFormat="false" ht="12.8" hidden="false" customHeight="false" outlineLevel="0" collapsed="false">
      <c r="B27134" s="0" t="s">
        <v>1</v>
      </c>
    </row>
    <row r="27135" customFormat="false" ht="12.8" hidden="false" customHeight="false" outlineLevel="0" collapsed="false">
      <c r="B27135" s="0" t="s">
        <v>3318</v>
      </c>
    </row>
    <row r="27136" customFormat="false" ht="12.8" hidden="false" customHeight="false" outlineLevel="0" collapsed="false">
      <c r="B27136" s="0" t="s">
        <v>186</v>
      </c>
    </row>
    <row r="27138" customFormat="false" ht="12.8" hidden="false" customHeight="false" outlineLevel="0" collapsed="false">
      <c r="A27138" s="0" t="s">
        <v>10932</v>
      </c>
      <c r="B27138" s="0" t="str">
        <f aca="false">HYPERLINK("https://lindat.mff.cuni.cz/services/teitok/pdtc10/index.php?action=vallex&amp;frame=v-w3546f17_ZU", "podávat (v-w3546f17_ZU)")</f>
        <v>podávat (v-w3546f17_ZU)</v>
      </c>
    </row>
    <row r="27139" customFormat="false" ht="12.8" hidden="false" customHeight="false" outlineLevel="0" collapsed="false">
      <c r="B27139" s="0" t="s">
        <v>1</v>
      </c>
    </row>
    <row r="27140" customFormat="false" ht="12.8" hidden="false" customHeight="false" outlineLevel="0" collapsed="false">
      <c r="B27140" s="0" t="s">
        <v>3473</v>
      </c>
    </row>
    <row r="27141" customFormat="false" ht="12.8" hidden="false" customHeight="false" outlineLevel="0" collapsed="false">
      <c r="B27141" s="0" t="s">
        <v>8</v>
      </c>
    </row>
    <row r="27143" customFormat="false" ht="12.8" hidden="false" customHeight="false" outlineLevel="0" collapsed="false">
      <c r="A27143" s="0" t="s">
        <v>10933</v>
      </c>
      <c r="B27143" s="0" t="str">
        <f aca="false">HYPERLINK("https://lindat.mff.cuni.cz/services/teitok/pdtc10/index.php?action=vallex&amp;frame=v-w3569f1", "podílet se (v-w3569f1)")</f>
        <v>podílet se (v-w3569f1)</v>
      </c>
      <c r="E27143" s="0" t="str">
        <f aca="false">HYPERLINK("https://lindat.mff.cuni.cz/services/SynSemClass40/SynSemClass40.html?veclass=vec00067#vec00067-ces-cm00001", "vec00067")</f>
        <v>vec00067</v>
      </c>
      <c r="F27143" s="0" t="s">
        <v>126</v>
      </c>
      <c r="H27143" s="0" t="str">
        <f aca="false">HYPERLINK("https://lindat.mff.cuni.cz/services/SynSemClass40/SynSemClass40.html?veclass=vec01231#vec01231-ces-cm00012", "vec01231")</f>
        <v>vec01231</v>
      </c>
      <c r="I27143" s="0" t="s">
        <v>6316</v>
      </c>
      <c r="K27143" s="0" t="str">
        <f aca="false">HYPERLINK("https://lindat.mff.cuni.cz/services/SynSemClass40/SynSemClass40.html?veclass=vec01268#vec01268-ces-cm00013", "vec01268")</f>
        <v>vec01268</v>
      </c>
      <c r="L27143" s="0" t="s">
        <v>4025</v>
      </c>
      <c r="N27143" s="0" t="str">
        <f aca="false">HYPERLINK("https://lindat.mff.cuni.cz/services/SynSemClass40/SynSemClass40.html?veclass=vec01458#vec01458-ces-cm00036", "vec01458")</f>
        <v>vec01458</v>
      </c>
      <c r="O27143" s="0" t="s">
        <v>127</v>
      </c>
    </row>
    <row r="27144" customFormat="false" ht="12.8" hidden="false" customHeight="false" outlineLevel="0" collapsed="false">
      <c r="B27144" s="0" t="s">
        <v>1</v>
      </c>
      <c r="C27144" s="0" t="s">
        <v>10934</v>
      </c>
      <c r="E27144" s="0" t="s">
        <v>11</v>
      </c>
      <c r="F27144" s="0" t="s">
        <v>129</v>
      </c>
      <c r="H27144" s="0" t="s">
        <v>31</v>
      </c>
      <c r="I27144" s="0" t="s">
        <v>6318</v>
      </c>
      <c r="K27144" s="0" t="s">
        <v>31</v>
      </c>
      <c r="L27144" s="0" t="s">
        <v>4028</v>
      </c>
      <c r="N27144" s="0" t="s">
        <v>31</v>
      </c>
      <c r="O27144" s="0" t="s">
        <v>130</v>
      </c>
    </row>
    <row r="27145" customFormat="false" ht="12.8" hidden="false" customHeight="false" outlineLevel="0" collapsed="false">
      <c r="B27145" s="0" t="s">
        <v>291</v>
      </c>
      <c r="C27145" s="0" t="s">
        <v>10935</v>
      </c>
      <c r="E27145" s="0" t="s">
        <v>188</v>
      </c>
      <c r="F27145" s="0" t="s">
        <v>189</v>
      </c>
      <c r="H27145" s="0" t="s">
        <v>79</v>
      </c>
      <c r="I27145" s="0" t="s">
        <v>6320</v>
      </c>
      <c r="K27145" s="0" t="s">
        <v>2438</v>
      </c>
      <c r="L27145" s="0" t="s">
        <v>10936</v>
      </c>
      <c r="N27145" s="0" t="s">
        <v>14</v>
      </c>
      <c r="O27145" s="0" t="s">
        <v>288</v>
      </c>
    </row>
    <row r="27147" customFormat="false" ht="12.8" hidden="false" customHeight="false" outlineLevel="0" collapsed="false">
      <c r="A27147" s="0" t="s">
        <v>10937</v>
      </c>
      <c r="B27147" s="0" t="str">
        <f aca="false">HYPERLINK("https://lindat.mff.cuni.cz/services/teitok/pdtc10/index.php?action=vallex&amp;frame=v-w3571f1", "podít se (v-w3571f1)")</f>
        <v>podít se (v-w3571f1)</v>
      </c>
    </row>
    <row r="27148" customFormat="false" ht="12.8" hidden="false" customHeight="false" outlineLevel="0" collapsed="false">
      <c r="B27148" s="0" t="s">
        <v>1</v>
      </c>
    </row>
    <row r="27149" customFormat="false" ht="12.8" hidden="false" customHeight="false" outlineLevel="0" collapsed="false">
      <c r="B27149" s="0" t="s">
        <v>164</v>
      </c>
    </row>
    <row r="27151" customFormat="false" ht="12.8" hidden="false" customHeight="false" outlineLevel="0" collapsed="false">
      <c r="A27151" s="0" t="s">
        <v>10938</v>
      </c>
      <c r="B27151" s="0" t="str">
        <f aca="false">HYPERLINK("https://lindat.mff.cuni.cz/services/teitok/pdtc10/index.php?action=vallex&amp;frame=v-w12024_ZUf1_ZU", "podívat (v-w12024_ZUf1_ZU)")</f>
        <v>podívat (v-w12024_ZUf1_ZU)</v>
      </c>
    </row>
    <row r="27152" customFormat="false" ht="12.8" hidden="false" customHeight="false" outlineLevel="0" collapsed="false">
      <c r="B27152" s="0" t="s">
        <v>1</v>
      </c>
    </row>
    <row r="27153" customFormat="false" ht="12.8" hidden="false" customHeight="false" outlineLevel="0" collapsed="false">
      <c r="B27153" s="0" t="s">
        <v>8</v>
      </c>
    </row>
    <row r="27155" customFormat="false" ht="12.8" hidden="false" customHeight="false" outlineLevel="0" collapsed="false">
      <c r="A27155" s="0" t="s">
        <v>10939</v>
      </c>
      <c r="B27155" s="0" t="str">
        <f aca="false">HYPERLINK("https://lindat.mff.cuni.cz/services/teitok/pdtc10/index.php?action=vallex&amp;frame=v-w3574f2", "podívat se (v-w3574f2)")</f>
        <v>podívat se (v-w3574f2)</v>
      </c>
      <c r="E27155" s="0" t="str">
        <f aca="false">HYPERLINK("https://lindat.mff.cuni.cz/services/SynSemClass40/SynSemClass40.html?veclass=vec00310#vec00310-ces-cm00086", "vec00310")</f>
        <v>vec00310</v>
      </c>
      <c r="F27155" s="0" t="s">
        <v>3839</v>
      </c>
    </row>
    <row r="27156" customFormat="false" ht="12.8" hidden="false" customHeight="false" outlineLevel="0" collapsed="false">
      <c r="B27156" s="0" t="s">
        <v>1</v>
      </c>
      <c r="C27156" s="0" t="s">
        <v>1745</v>
      </c>
      <c r="E27156" s="0" t="s">
        <v>3840</v>
      </c>
      <c r="F27156" s="0" t="s">
        <v>3841</v>
      </c>
    </row>
    <row r="27157" customFormat="false" ht="12.8" hidden="false" customHeight="false" outlineLevel="0" collapsed="false">
      <c r="B27157" s="0" t="s">
        <v>1679</v>
      </c>
      <c r="C27157" s="0" t="s">
        <v>571</v>
      </c>
      <c r="E27157" s="0" t="s">
        <v>180</v>
      </c>
      <c r="F27157" s="0" t="s">
        <v>3842</v>
      </c>
    </row>
    <row r="27159" customFormat="false" ht="12.8" hidden="false" customHeight="false" outlineLevel="0" collapsed="false">
      <c r="A27159" s="0" t="s">
        <v>10940</v>
      </c>
      <c r="B27159" s="0" t="str">
        <f aca="false">HYPERLINK("https://lindat.mff.cuni.cz/services/teitok/pdtc10/index.php?action=vallex&amp;frame=v-w3574f3", "podívat se (v-w3574f3)")</f>
        <v>podívat se (v-w3574f3)</v>
      </c>
      <c r="E27159" s="0" t="str">
        <f aca="false">HYPERLINK("https://lindat.mff.cuni.cz/services/SynSemClass40/SynSemClass40.html?veclass=vec00402#vec00402-ces-cm00036", "vec00402")</f>
        <v>vec00402</v>
      </c>
      <c r="F27159" s="0" t="s">
        <v>619</v>
      </c>
    </row>
    <row r="27160" customFormat="false" ht="12.8" hidden="false" customHeight="false" outlineLevel="0" collapsed="false">
      <c r="B27160" s="0" t="s">
        <v>1</v>
      </c>
      <c r="C27160" s="0" t="s">
        <v>620</v>
      </c>
      <c r="E27160" s="0" t="s">
        <v>621</v>
      </c>
      <c r="F27160" s="0" t="s">
        <v>622</v>
      </c>
    </row>
    <row r="27161" customFormat="false" ht="12.8" hidden="false" customHeight="false" outlineLevel="0" collapsed="false">
      <c r="B27161" s="0" t="s">
        <v>45</v>
      </c>
      <c r="C27161" s="0" t="s">
        <v>623</v>
      </c>
      <c r="E27161" s="0" t="s">
        <v>180</v>
      </c>
      <c r="F27161" s="0" t="s">
        <v>624</v>
      </c>
    </row>
    <row r="27162" customFormat="false" ht="12.8" hidden="false" customHeight="false" outlineLevel="0" collapsed="false">
      <c r="B27162" s="0" t="s">
        <v>3844</v>
      </c>
      <c r="C27162" s="0" t="s">
        <v>3845</v>
      </c>
      <c r="E27162" s="0" t="s">
        <v>3846</v>
      </c>
      <c r="F27162" s="0" t="s">
        <v>3847</v>
      </c>
    </row>
    <row r="27163" customFormat="false" ht="12.8" hidden="false" customHeight="false" outlineLevel="0" collapsed="false">
      <c r="B27163" s="0" t="s">
        <v>642</v>
      </c>
      <c r="C27163" s="0" t="s">
        <v>3848</v>
      </c>
      <c r="E27163" s="0" t="s">
        <v>3846</v>
      </c>
      <c r="F27163" s="0" t="s">
        <v>3847</v>
      </c>
    </row>
    <row r="27164" customFormat="false" ht="12.8" hidden="false" customHeight="false" outlineLevel="0" collapsed="false">
      <c r="B27164" s="0" t="s">
        <v>648</v>
      </c>
      <c r="C27164" s="0" t="s">
        <v>3849</v>
      </c>
      <c r="E27164" s="0" t="s">
        <v>3846</v>
      </c>
      <c r="F27164" s="0" t="s">
        <v>3847</v>
      </c>
    </row>
    <row r="27165" customFormat="false" ht="12.8" hidden="false" customHeight="false" outlineLevel="0" collapsed="false">
      <c r="B27165" s="0" t="s">
        <v>650</v>
      </c>
      <c r="C27165" s="0" t="s">
        <v>3850</v>
      </c>
      <c r="E27165" s="0" t="s">
        <v>3846</v>
      </c>
      <c r="F27165" s="0" t="s">
        <v>3847</v>
      </c>
    </row>
    <row r="27166" customFormat="false" ht="12.8" hidden="false" customHeight="false" outlineLevel="0" collapsed="false">
      <c r="B27166" s="0" t="s">
        <v>652</v>
      </c>
      <c r="C27166" s="0" t="s">
        <v>3851</v>
      </c>
      <c r="E27166" s="0" t="s">
        <v>3846</v>
      </c>
      <c r="F27166" s="0" t="s">
        <v>3847</v>
      </c>
    </row>
    <row r="27168" customFormat="false" ht="12.8" hidden="false" customHeight="false" outlineLevel="0" collapsed="false">
      <c r="A27168" s="0" t="s">
        <v>10941</v>
      </c>
      <c r="B27168" s="0" t="str">
        <f aca="false">HYPERLINK("https://lindat.mff.cuni.cz/services/teitok/pdtc10/index.php?action=vallex&amp;frame=v-w3574f4", "podívat se (v-w3574f4)")</f>
        <v>podívat se (v-w3574f4)</v>
      </c>
      <c r="E27168" s="0" t="str">
        <f aca="false">HYPERLINK("https://lindat.mff.cuni.cz/services/SynSemClass40/SynSemClass40.html?veclass=vec00021#vec00021-ces-cm00024", "vec00021")</f>
        <v>vec00021</v>
      </c>
      <c r="F27168" s="0" t="s">
        <v>2261</v>
      </c>
    </row>
    <row r="27169" customFormat="false" ht="12.8" hidden="false" customHeight="false" outlineLevel="0" collapsed="false">
      <c r="B27169" s="0" t="s">
        <v>1</v>
      </c>
      <c r="C27169" s="0" t="s">
        <v>2262</v>
      </c>
      <c r="E27169" s="0" t="s">
        <v>2263</v>
      </c>
      <c r="F27169" s="0" t="s">
        <v>2264</v>
      </c>
    </row>
    <row r="27170" customFormat="false" ht="12.8" hidden="false" customHeight="false" outlineLevel="0" collapsed="false">
      <c r="B27170" s="0" t="s">
        <v>1659</v>
      </c>
      <c r="C27170" s="0" t="s">
        <v>2266</v>
      </c>
      <c r="E27170" s="0" t="s">
        <v>2267</v>
      </c>
      <c r="F27170" s="0" t="s">
        <v>2268</v>
      </c>
    </row>
    <row r="27172" customFormat="false" ht="12.8" hidden="false" customHeight="false" outlineLevel="0" collapsed="false">
      <c r="A27172" s="0" t="s">
        <v>10942</v>
      </c>
      <c r="B27172" s="0" t="str">
        <f aca="false">HYPERLINK("https://lindat.mff.cuni.cz/services/teitok/pdtc10/index.php?action=vallex&amp;frame=v-w3574f1", "podívat se (v-w3574f1)")</f>
        <v>podívat se (v-w3574f1)</v>
      </c>
      <c r="E27172" s="0" t="str">
        <f aca="false">HYPERLINK("https://lindat.mff.cuni.cz/services/SynSemClass40/SynSemClass40.html?veclass=vec00869#vec00869-ces-cm00001", "vec00869")</f>
        <v>vec00869</v>
      </c>
      <c r="F27172" s="0" t="s">
        <v>3855</v>
      </c>
    </row>
    <row r="27173" customFormat="false" ht="12.8" hidden="false" customHeight="false" outlineLevel="0" collapsed="false">
      <c r="B27173" s="0" t="s">
        <v>1</v>
      </c>
      <c r="C27173" s="0" t="s">
        <v>3727</v>
      </c>
      <c r="E27173" s="0" t="s">
        <v>3856</v>
      </c>
      <c r="F27173" s="0" t="s">
        <v>3857</v>
      </c>
    </row>
    <row r="27174" customFormat="false" ht="12.8" hidden="false" customHeight="false" outlineLevel="0" collapsed="false">
      <c r="B27174" s="0" t="s">
        <v>164</v>
      </c>
      <c r="C27174" s="0" t="s">
        <v>3858</v>
      </c>
      <c r="E27174" s="0" t="s">
        <v>388</v>
      </c>
      <c r="F27174" s="0" t="s">
        <v>3859</v>
      </c>
    </row>
    <row r="27176" customFormat="false" ht="12.8" hidden="false" customHeight="false" outlineLevel="0" collapsed="false">
      <c r="A27176" s="0" t="s">
        <v>10943</v>
      </c>
      <c r="B27176" s="0" t="str">
        <f aca="false">HYPERLINK("https://lindat.mff.cuni.cz/services/teitok/pdtc10/index.php?action=vallex&amp;frame=v-w3574f6_ZU", "podívat se (v-w3574f6_ZU)")</f>
        <v>podívat se (v-w3574f6_ZU)</v>
      </c>
    </row>
    <row r="27177" customFormat="false" ht="12.8" hidden="false" customHeight="false" outlineLevel="0" collapsed="false">
      <c r="B27177" s="0" t="s">
        <v>1</v>
      </c>
    </row>
    <row r="27178" customFormat="false" ht="12.8" hidden="false" customHeight="false" outlineLevel="0" collapsed="false">
      <c r="B27178" s="0" t="s">
        <v>45</v>
      </c>
    </row>
    <row r="27180" customFormat="false" ht="12.8" hidden="false" customHeight="false" outlineLevel="0" collapsed="false">
      <c r="A27180" s="0" t="s">
        <v>10944</v>
      </c>
      <c r="B27180" s="0" t="str">
        <f aca="false">HYPERLINK("https://lindat.mff.cuni.cz/services/teitok/pdtc10/index.php?action=vallex&amp;frame=v-w3574f7_ZU", "podívat se (v-w3574f7_ZU)")</f>
        <v>podívat se (v-w3574f7_ZU)</v>
      </c>
    </row>
    <row r="27181" customFormat="false" ht="12.8" hidden="false" customHeight="false" outlineLevel="0" collapsed="false">
      <c r="B27181" s="0" t="s">
        <v>1</v>
      </c>
    </row>
    <row r="27182" customFormat="false" ht="12.8" hidden="false" customHeight="false" outlineLevel="0" collapsed="false">
      <c r="B27182" s="0" t="s">
        <v>1262</v>
      </c>
    </row>
    <row r="27184" customFormat="false" ht="12.8" hidden="false" customHeight="false" outlineLevel="0" collapsed="false">
      <c r="A27184" s="0" t="s">
        <v>10944</v>
      </c>
      <c r="B27184" s="0" t="str">
        <f aca="false">HYPERLINK("https://lindat.mff.cuni.cz/services/teitok/pdtc10/index.php?action=vallex&amp;frame=v-w3574f5_ZU", "podívat se (v-w3574f5_ZU) - substituted with v-w3574f7_ZU")</f>
        <v>podívat se (v-w3574f5_ZU) - substituted with v-w3574f7_ZU</v>
      </c>
    </row>
    <row r="27185" customFormat="false" ht="12.8" hidden="false" customHeight="false" outlineLevel="0" collapsed="false">
      <c r="B27185" s="0" t="s">
        <v>1</v>
      </c>
    </row>
    <row r="27186" customFormat="false" ht="12.8" hidden="false" customHeight="false" outlineLevel="0" collapsed="false">
      <c r="B27186" s="0" t="s">
        <v>1262</v>
      </c>
    </row>
    <row r="27188" customFormat="false" ht="12.8" hidden="false" customHeight="false" outlineLevel="0" collapsed="false">
      <c r="A27188" s="0" t="s">
        <v>10945</v>
      </c>
      <c r="B27188" s="0" t="str">
        <f aca="false">HYPERLINK("https://lindat.mff.cuni.cz/services/teitok/pdtc10/index.php?action=vallex&amp;frame=v-w3574hsa_1021", "podívat se (v-w3574hsa_1021)")</f>
        <v>podívat se (v-w3574hsa_1021)</v>
      </c>
    </row>
    <row r="27189" customFormat="false" ht="12.8" hidden="false" customHeight="false" outlineLevel="0" collapsed="false">
      <c r="B27189" s="0" t="s">
        <v>1</v>
      </c>
    </row>
    <row r="27190" customFormat="false" ht="12.8" hidden="false" customHeight="false" outlineLevel="0" collapsed="false">
      <c r="B27190" s="0" t="s">
        <v>10946</v>
      </c>
    </row>
    <row r="27192" customFormat="false" ht="12.8" hidden="false" customHeight="false" outlineLevel="0" collapsed="false">
      <c r="A27192" s="0" t="s">
        <v>10947</v>
      </c>
      <c r="B27192" s="0" t="str">
        <f aca="false">HYPERLINK("https://lindat.mff.cuni.cz/services/teitok/pdtc10/index.php?action=vallex&amp;frame=v-w3574hsa_1022", "podívat se (v-w3574hsa_1022)")</f>
        <v>podívat se (v-w3574hsa_1022)</v>
      </c>
    </row>
    <row r="27193" customFormat="false" ht="12.8" hidden="false" customHeight="false" outlineLevel="0" collapsed="false">
      <c r="B27193" s="0" t="s">
        <v>1</v>
      </c>
    </row>
    <row r="27194" customFormat="false" ht="12.8" hidden="false" customHeight="false" outlineLevel="0" collapsed="false">
      <c r="B27194" s="0" t="s">
        <v>5</v>
      </c>
    </row>
    <row r="27196" customFormat="false" ht="12.8" hidden="false" customHeight="false" outlineLevel="0" collapsed="false">
      <c r="A27196" s="0" t="s">
        <v>10948</v>
      </c>
      <c r="B27196" s="0" t="str">
        <f aca="false">HYPERLINK("https://lindat.mff.cuni.cz/services/teitok/pdtc10/index.php?action=vallex&amp;frame=v-whsa_1128f1_ZU", "podědit (v-whsa_1128f1_ZU)")</f>
        <v>podědit (v-whsa_1128f1_ZU)</v>
      </c>
    </row>
    <row r="27197" customFormat="false" ht="12.8" hidden="false" customHeight="false" outlineLevel="0" collapsed="false">
      <c r="B27197" s="0" t="s">
        <v>1</v>
      </c>
    </row>
    <row r="27198" customFormat="false" ht="12.8" hidden="false" customHeight="false" outlineLevel="0" collapsed="false">
      <c r="B27198" s="0" t="s">
        <v>8</v>
      </c>
    </row>
    <row r="27200" customFormat="false" ht="12.8" hidden="false" customHeight="false" outlineLevel="0" collapsed="false">
      <c r="A27200" s="0" t="s">
        <v>10948</v>
      </c>
      <c r="B27200" s="0" t="str">
        <f aca="false">HYPERLINK("https://lindat.mff.cuni.cz/services/teitok/pdtc10/index.php?action=vallex&amp;frame=v-whsa_1128hsa_1129", "podědit (v-whsa_1128hsa_1129) - substituted with v-whsa_1128f1_ZU")</f>
        <v>podědit (v-whsa_1128hsa_1129) - substituted with v-whsa_1128f1_ZU</v>
      </c>
    </row>
    <row r="27201" customFormat="false" ht="12.8" hidden="false" customHeight="false" outlineLevel="0" collapsed="false">
      <c r="B27201" s="0" t="s">
        <v>1</v>
      </c>
    </row>
    <row r="27202" customFormat="false" ht="12.8" hidden="false" customHeight="false" outlineLevel="0" collapsed="false">
      <c r="B27202" s="0" t="s">
        <v>8</v>
      </c>
    </row>
    <row r="27204" customFormat="false" ht="12.8" hidden="false" customHeight="false" outlineLevel="0" collapsed="false">
      <c r="A27204" s="0" t="s">
        <v>10949</v>
      </c>
      <c r="B27204" s="0" t="str">
        <f aca="false">HYPERLINK("https://lindat.mff.cuni.cz/services/teitok/pdtc10/index.php?action=vallex&amp;frame=v-w3551f2_ZU", "poděkovat (v-w3551f2_ZU)")</f>
        <v>poděkovat (v-w3551f2_ZU)</v>
      </c>
    </row>
    <row r="27205" customFormat="false" ht="12.8" hidden="false" customHeight="false" outlineLevel="0" collapsed="false">
      <c r="B27205" s="0" t="s">
        <v>1</v>
      </c>
    </row>
    <row r="27206" customFormat="false" ht="12.8" hidden="false" customHeight="false" outlineLevel="0" collapsed="false">
      <c r="B27206" s="0" t="s">
        <v>52</v>
      </c>
    </row>
    <row r="27207" customFormat="false" ht="12.8" hidden="false" customHeight="false" outlineLevel="0" collapsed="false">
      <c r="B27207" s="0" t="s">
        <v>10950</v>
      </c>
    </row>
    <row r="27209" customFormat="false" ht="12.8" hidden="false" customHeight="false" outlineLevel="0" collapsed="false">
      <c r="A27209" s="0" t="s">
        <v>10949</v>
      </c>
      <c r="B27209" s="0" t="str">
        <f aca="false">HYPERLINK("https://lindat.mff.cuni.cz/services/teitok/pdtc10/index.php?action=vallex&amp;frame=v-w3551f1", "poděkovat (v-w3551f1) - substituted with v-w3551f2_ZU")</f>
        <v>poděkovat (v-w3551f1) - substituted with v-w3551f2_ZU</v>
      </c>
      <c r="E27209" s="0" t="str">
        <f aca="false">HYPERLINK("https://lindat.mff.cuni.cz/services/SynSemClass40/SynSemClass40.html?veclass=vec00065#vec00065-ces-cm00001", "vec00065")</f>
        <v>vec00065</v>
      </c>
      <c r="F27209" s="0" t="s">
        <v>3878</v>
      </c>
    </row>
    <row r="27210" customFormat="false" ht="12.8" hidden="false" customHeight="false" outlineLevel="0" collapsed="false">
      <c r="B27210" s="0" t="s">
        <v>1</v>
      </c>
      <c r="C27210" s="0" t="s">
        <v>512</v>
      </c>
      <c r="E27210" s="0" t="s">
        <v>155</v>
      </c>
      <c r="F27210" s="0" t="s">
        <v>3879</v>
      </c>
    </row>
    <row r="27211" customFormat="false" ht="12.8" hidden="false" customHeight="false" outlineLevel="0" collapsed="false">
      <c r="B27211" s="0" t="s">
        <v>52</v>
      </c>
      <c r="C27211" s="0" t="s">
        <v>3880</v>
      </c>
      <c r="E27211" s="0" t="s">
        <v>53</v>
      </c>
      <c r="F27211" s="0" t="s">
        <v>3881</v>
      </c>
    </row>
    <row r="27212" customFormat="false" ht="12.8" hidden="false" customHeight="false" outlineLevel="0" collapsed="false">
      <c r="B27212" s="0" t="s">
        <v>10950</v>
      </c>
      <c r="C27212" s="0" t="s">
        <v>3882</v>
      </c>
      <c r="E27212" s="0" t="s">
        <v>1389</v>
      </c>
      <c r="F27212" s="0" t="s">
        <v>3883</v>
      </c>
    </row>
    <row r="27214" customFormat="false" ht="12.8" hidden="false" customHeight="false" outlineLevel="0" collapsed="false">
      <c r="A27214" s="0" t="s">
        <v>10951</v>
      </c>
      <c r="B27214" s="0" t="str">
        <f aca="false">HYPERLINK("https://lindat.mff.cuni.cz/services/teitok/pdtc10/index.php?action=vallex&amp;frame=v-w3552f1", "poděkovat se (v-w3552f1)")</f>
        <v>poděkovat se (v-w3552f1)</v>
      </c>
      <c r="E27214" s="0" t="str">
        <f aca="false">HYPERLINK("https://lindat.mff.cuni.cz/services/SynSemClass40/SynSemClass40.html?veclass=vec00065#vec00065-ces-cm00003", "vec00065")</f>
        <v>vec00065</v>
      </c>
      <c r="F27214" s="0" t="s">
        <v>3878</v>
      </c>
    </row>
    <row r="27215" customFormat="false" ht="12.8" hidden="false" customHeight="false" outlineLevel="0" collapsed="false">
      <c r="B27215" s="0" t="s">
        <v>1</v>
      </c>
      <c r="C27215" s="0" t="s">
        <v>512</v>
      </c>
      <c r="E27215" s="0" t="s">
        <v>155</v>
      </c>
      <c r="F27215" s="0" t="s">
        <v>3879</v>
      </c>
    </row>
    <row r="27216" customFormat="false" ht="12.8" hidden="false" customHeight="false" outlineLevel="0" collapsed="false">
      <c r="B27216" s="0" t="s">
        <v>52</v>
      </c>
      <c r="C27216" s="0" t="s">
        <v>3880</v>
      </c>
      <c r="E27216" s="0" t="s">
        <v>53</v>
      </c>
      <c r="F27216" s="0" t="s">
        <v>3881</v>
      </c>
    </row>
    <row r="27217" customFormat="false" ht="12.8" hidden="false" customHeight="false" outlineLevel="0" collapsed="false">
      <c r="B27217" s="0" t="s">
        <v>2069</v>
      </c>
      <c r="C27217" s="0" t="s">
        <v>3882</v>
      </c>
      <c r="E27217" s="0" t="s">
        <v>1389</v>
      </c>
      <c r="F27217" s="0" t="s">
        <v>3883</v>
      </c>
    </row>
    <row r="27219" customFormat="false" ht="12.8" hidden="false" customHeight="false" outlineLevel="0" collapsed="false">
      <c r="A27219" s="0" t="s">
        <v>10952</v>
      </c>
      <c r="B27219" s="0" t="str">
        <f aca="false">HYPERLINK("https://lindat.mff.cuni.cz/services/teitok/pdtc10/index.php?action=vallex&amp;frame=v-w11762_ZUf1_ZU", "podělit (v-w11762_ZUf1_ZU)")</f>
        <v>podělit (v-w11762_ZUf1_ZU)</v>
      </c>
    </row>
    <row r="27220" customFormat="false" ht="12.8" hidden="false" customHeight="false" outlineLevel="0" collapsed="false">
      <c r="B27220" s="0" t="s">
        <v>1</v>
      </c>
    </row>
    <row r="27221" customFormat="false" ht="12.8" hidden="false" customHeight="false" outlineLevel="0" collapsed="false">
      <c r="B27221" s="0" t="s">
        <v>8</v>
      </c>
    </row>
    <row r="27223" customFormat="false" ht="12.8" hidden="false" customHeight="false" outlineLevel="0" collapsed="false">
      <c r="A27223" s="0" t="s">
        <v>10953</v>
      </c>
      <c r="B27223" s="0" t="str">
        <f aca="false">HYPERLINK("https://lindat.mff.cuni.cz/services/teitok/pdtc10/index.php?action=vallex&amp;frame=v-w11762_ZUf3_MM", "podělit (v-w11762_ZUf3_MM)")</f>
        <v>podělit (v-w11762_ZUf3_MM)</v>
      </c>
    </row>
    <row r="27224" customFormat="false" ht="12.8" hidden="false" customHeight="false" outlineLevel="0" collapsed="false">
      <c r="B27224" s="0" t="s">
        <v>1</v>
      </c>
    </row>
    <row r="27225" customFormat="false" ht="12.8" hidden="false" customHeight="false" outlineLevel="0" collapsed="false">
      <c r="B27225" s="0" t="s">
        <v>8</v>
      </c>
    </row>
    <row r="27226" customFormat="false" ht="12.8" hidden="false" customHeight="false" outlineLevel="0" collapsed="false">
      <c r="B27226" s="0" t="s">
        <v>1696</v>
      </c>
    </row>
    <row r="27228" customFormat="false" ht="12.8" hidden="false" customHeight="false" outlineLevel="0" collapsed="false">
      <c r="A27228" s="0" t="s">
        <v>10953</v>
      </c>
      <c r="B27228" s="0" t="str">
        <f aca="false">HYPERLINK("https://lindat.mff.cuni.cz/services/teitok/pdtc10/index.php?action=vallex&amp;frame=v-w11762_ZUf2_MM", "podělit (v-w11762_ZUf2_MM) - substituted with v-w11762_ZUf3_MM")</f>
        <v>podělit (v-w11762_ZUf2_MM) - substituted with v-w11762_ZUf3_MM</v>
      </c>
    </row>
    <row r="27229" customFormat="false" ht="12.8" hidden="false" customHeight="false" outlineLevel="0" collapsed="false">
      <c r="B27229" s="0" t="s">
        <v>1</v>
      </c>
    </row>
    <row r="27230" customFormat="false" ht="12.8" hidden="false" customHeight="false" outlineLevel="0" collapsed="false">
      <c r="B27230" s="0" t="s">
        <v>8</v>
      </c>
    </row>
    <row r="27231" customFormat="false" ht="12.8" hidden="false" customHeight="false" outlineLevel="0" collapsed="false">
      <c r="B27231" s="0" t="s">
        <v>1696</v>
      </c>
    </row>
    <row r="27233" customFormat="false" ht="12.8" hidden="false" customHeight="false" outlineLevel="0" collapsed="false">
      <c r="A27233" s="0" t="s">
        <v>10954</v>
      </c>
      <c r="B27233" s="0" t="str">
        <f aca="false">HYPERLINK("https://lindat.mff.cuni.cz/services/teitok/pdtc10/index.php?action=vallex&amp;frame=v-w3553f1", "podělit se (v-w3553f1)")</f>
        <v>podělit se (v-w3553f1)</v>
      </c>
      <c r="E27233" s="0" t="str">
        <f aca="false">HYPERLINK("https://lindat.mff.cuni.cz/services/SynSemClass40/SynSemClass40.html?veclass=vec00304#vec00304-ces-cm00004", "vec00304")</f>
        <v>vec00304</v>
      </c>
      <c r="F27233" s="0" t="s">
        <v>4000</v>
      </c>
    </row>
    <row r="27234" customFormat="false" ht="12.8" hidden="false" customHeight="false" outlineLevel="0" collapsed="false">
      <c r="B27234" s="0" t="s">
        <v>1</v>
      </c>
      <c r="C27234" s="0" t="s">
        <v>4001</v>
      </c>
      <c r="E27234" s="0" t="s">
        <v>2241</v>
      </c>
      <c r="F27234" s="0" t="s">
        <v>2662</v>
      </c>
    </row>
    <row r="27235" customFormat="false" ht="12.8" hidden="false" customHeight="false" outlineLevel="0" collapsed="false">
      <c r="B27235" s="0" t="s">
        <v>814</v>
      </c>
      <c r="C27235" s="0" t="s">
        <v>4002</v>
      </c>
      <c r="E27235" s="0" t="s">
        <v>34</v>
      </c>
      <c r="F27235" s="0" t="s">
        <v>4003</v>
      </c>
    </row>
    <row r="27236" customFormat="false" ht="12.8" hidden="false" customHeight="false" outlineLevel="0" collapsed="false">
      <c r="B27236" s="0" t="s">
        <v>276</v>
      </c>
      <c r="C27236" s="0" t="s">
        <v>4004</v>
      </c>
      <c r="E27236" s="0" t="s">
        <v>2247</v>
      </c>
      <c r="F27236" s="0" t="s">
        <v>4005</v>
      </c>
    </row>
    <row r="27238" customFormat="false" ht="12.8" hidden="false" customHeight="false" outlineLevel="0" collapsed="false">
      <c r="A27238" s="0" t="s">
        <v>10955</v>
      </c>
      <c r="B27238" s="0" t="str">
        <f aca="false">HYPERLINK("https://lindat.mff.cuni.cz/services/teitok/pdtc10/index.php?action=vallex&amp;frame=v-whsa_294hsa_295", "poděsit (v-whsa_294hsa_295)")</f>
        <v>poděsit (v-whsa_294hsa_295)</v>
      </c>
    </row>
    <row r="27239" customFormat="false" ht="12.8" hidden="false" customHeight="false" outlineLevel="0" collapsed="false">
      <c r="B27239" s="0" t="s">
        <v>1</v>
      </c>
    </row>
    <row r="27240" customFormat="false" ht="12.8" hidden="false" customHeight="false" outlineLevel="0" collapsed="false">
      <c r="B27240" s="0" t="s">
        <v>8</v>
      </c>
    </row>
    <row r="27242" customFormat="false" ht="12.8" hidden="false" customHeight="false" outlineLevel="0" collapsed="false">
      <c r="A27242" s="0" t="s">
        <v>10956</v>
      </c>
      <c r="B27242" s="0" t="str">
        <f aca="false">HYPERLINK("https://lindat.mff.cuni.cz/services/teitok/pdtc10/index.php?action=vallex&amp;frame=v-w3635f1", "podřadit (v-w3635f1)")</f>
        <v>podřadit (v-w3635f1)</v>
      </c>
    </row>
    <row r="27243" customFormat="false" ht="12.8" hidden="false" customHeight="false" outlineLevel="0" collapsed="false">
      <c r="B27243" s="0" t="s">
        <v>1</v>
      </c>
    </row>
    <row r="27244" customFormat="false" ht="12.8" hidden="false" customHeight="false" outlineLevel="0" collapsed="false">
      <c r="B27244" s="0" t="s">
        <v>8</v>
      </c>
    </row>
    <row r="27245" customFormat="false" ht="12.8" hidden="false" customHeight="false" outlineLevel="0" collapsed="false">
      <c r="B27245" s="0" t="s">
        <v>164</v>
      </c>
    </row>
    <row r="27247" customFormat="false" ht="12.8" hidden="false" customHeight="false" outlineLevel="0" collapsed="false">
      <c r="A27247" s="0" t="s">
        <v>10957</v>
      </c>
      <c r="B27247" s="0" t="str">
        <f aca="false">HYPERLINK("https://lindat.mff.cuni.cz/services/teitok/pdtc10/index.php?action=vallex&amp;frame=v-whsa_184f2_ZU", "podřezat (v-whsa_184f2_ZU)")</f>
        <v>podřezat (v-whsa_184f2_ZU)</v>
      </c>
    </row>
    <row r="27248" customFormat="false" ht="12.8" hidden="false" customHeight="false" outlineLevel="0" collapsed="false">
      <c r="B27248" s="0" t="s">
        <v>1</v>
      </c>
    </row>
    <row r="27249" customFormat="false" ht="12.8" hidden="false" customHeight="false" outlineLevel="0" collapsed="false">
      <c r="B27249" s="0" t="s">
        <v>8</v>
      </c>
    </row>
    <row r="27251" customFormat="false" ht="12.8" hidden="false" customHeight="false" outlineLevel="0" collapsed="false">
      <c r="A27251" s="0" t="s">
        <v>10958</v>
      </c>
      <c r="B27251" s="0" t="str">
        <f aca="false">HYPERLINK("https://lindat.mff.cuni.cz/services/teitok/pdtc10/index.php?action=vallex&amp;frame=v-whsa_184f3_ZU", "podřezat (v-whsa_184f3_ZU)")</f>
        <v>podřezat (v-whsa_184f3_ZU)</v>
      </c>
    </row>
    <row r="27252" customFormat="false" ht="12.8" hidden="false" customHeight="false" outlineLevel="0" collapsed="false">
      <c r="B27252" s="0" t="s">
        <v>1</v>
      </c>
    </row>
    <row r="27253" customFormat="false" ht="12.8" hidden="false" customHeight="false" outlineLevel="0" collapsed="false">
      <c r="B27253" s="0" t="s">
        <v>10959</v>
      </c>
    </row>
    <row r="27255" customFormat="false" ht="12.8" hidden="false" customHeight="false" outlineLevel="0" collapsed="false">
      <c r="A27255" s="0" t="s">
        <v>10958</v>
      </c>
      <c r="B27255" s="0" t="str">
        <f aca="false">HYPERLINK("https://lindat.mff.cuni.cz/services/teitok/pdtc10/index.php?action=vallex&amp;frame=v-whsa_184f1_ZU", "podřezat (v-whsa_184f1_ZU) - substituted with v-whsa_184f3_ZU")</f>
        <v>podřezat (v-whsa_184f1_ZU) - substituted with v-whsa_184f3_ZU</v>
      </c>
    </row>
    <row r="27256" customFormat="false" ht="12.8" hidden="false" customHeight="false" outlineLevel="0" collapsed="false">
      <c r="B27256" s="0" t="s">
        <v>1</v>
      </c>
    </row>
    <row r="27257" customFormat="false" ht="12.8" hidden="false" customHeight="false" outlineLevel="0" collapsed="false">
      <c r="B27257" s="0" t="s">
        <v>10959</v>
      </c>
    </row>
    <row r="27259" customFormat="false" ht="12.8" hidden="false" customHeight="false" outlineLevel="0" collapsed="false">
      <c r="A27259" s="0" t="s">
        <v>10958</v>
      </c>
      <c r="B27259" s="0" t="str">
        <f aca="false">HYPERLINK("https://lindat.mff.cuni.cz/services/teitok/pdtc10/index.php?action=vallex&amp;frame=v-whsa_184hsa_185", "podřezat (v-whsa_184hsa_185) - substituted with v-whsa_184f3_ZU")</f>
        <v>podřezat (v-whsa_184hsa_185) - substituted with v-whsa_184f3_ZU</v>
      </c>
    </row>
    <row r="27260" customFormat="false" ht="12.8" hidden="false" customHeight="false" outlineLevel="0" collapsed="false">
      <c r="B27260" s="0" t="s">
        <v>1</v>
      </c>
    </row>
    <row r="27261" customFormat="false" ht="12.8" hidden="false" customHeight="false" outlineLevel="0" collapsed="false">
      <c r="B27261" s="0" t="s">
        <v>10959</v>
      </c>
    </row>
    <row r="27263" customFormat="false" ht="12.8" hidden="false" customHeight="false" outlineLevel="0" collapsed="false">
      <c r="A27263" s="0" t="s">
        <v>10960</v>
      </c>
      <c r="B27263" s="0" t="str">
        <f aca="false">HYPERLINK("https://lindat.mff.cuni.cz/services/teitok/pdtc10/index.php?action=vallex&amp;frame=v-w11664_ZUf1_ZU", "podřezávat (v-w11664_ZUf1_ZU)")</f>
        <v>podřezávat (v-w11664_ZUf1_ZU)</v>
      </c>
    </row>
    <row r="27264" customFormat="false" ht="12.8" hidden="false" customHeight="false" outlineLevel="0" collapsed="false">
      <c r="B27264" s="0" t="s">
        <v>1</v>
      </c>
    </row>
    <row r="27265" customFormat="false" ht="12.8" hidden="false" customHeight="false" outlineLevel="0" collapsed="false">
      <c r="B27265" s="0" t="s">
        <v>10959</v>
      </c>
    </row>
    <row r="27267" customFormat="false" ht="12.8" hidden="false" customHeight="false" outlineLevel="0" collapsed="false">
      <c r="A27267" s="0" t="s">
        <v>10961</v>
      </c>
      <c r="B27267" s="0" t="str">
        <f aca="false">HYPERLINK("https://lindat.mff.cuni.cz/services/teitok/pdtc10/index.php?action=vallex&amp;frame=v-w3638f1", "podřimovat (v-w3638f1)")</f>
        <v>podřimovat (v-w3638f1)</v>
      </c>
    </row>
    <row r="27268" customFormat="false" ht="12.8" hidden="false" customHeight="false" outlineLevel="0" collapsed="false">
      <c r="B27268" s="0" t="s">
        <v>1</v>
      </c>
    </row>
    <row r="27270" customFormat="false" ht="12.8" hidden="false" customHeight="false" outlineLevel="0" collapsed="false">
      <c r="A27270" s="0" t="s">
        <v>10962</v>
      </c>
      <c r="B27270" s="0" t="str">
        <f aca="false">HYPERLINK("https://lindat.mff.cuni.cz/services/teitok/pdtc10/index.php?action=vallex&amp;frame=v-w3642f1", "podřizovat (v-w3642f1)")</f>
        <v>podřizovat (v-w3642f1)</v>
      </c>
      <c r="E27270" s="0" t="str">
        <f aca="false">HYPERLINK("https://lindat.mff.cuni.cz/services/SynSemClass40/SynSemClass40.html?veclass=vec00669#vec00669-ces-cm00044", "vec00669")</f>
        <v>vec00669</v>
      </c>
      <c r="F27270" s="0" t="s">
        <v>3706</v>
      </c>
    </row>
    <row r="27271" customFormat="false" ht="12.8" hidden="false" customHeight="false" outlineLevel="0" collapsed="false">
      <c r="B27271" s="0" t="s">
        <v>1</v>
      </c>
      <c r="C27271" s="0" t="s">
        <v>4695</v>
      </c>
      <c r="E27271" s="0" t="s">
        <v>31</v>
      </c>
      <c r="F27271" s="0" t="s">
        <v>460</v>
      </c>
    </row>
    <row r="27272" customFormat="false" ht="12.8" hidden="false" customHeight="false" outlineLevel="0" collapsed="false">
      <c r="B27272" s="0" t="s">
        <v>8</v>
      </c>
      <c r="C27272" s="0" t="s">
        <v>798</v>
      </c>
      <c r="E27272" s="0" t="s">
        <v>10963</v>
      </c>
      <c r="F27272" s="0" t="s">
        <v>10964</v>
      </c>
    </row>
    <row r="27273" customFormat="false" ht="12.8" hidden="false" customHeight="false" outlineLevel="0" collapsed="false">
      <c r="B27273" s="0" t="s">
        <v>52</v>
      </c>
      <c r="C27273" s="0" t="s">
        <v>2304</v>
      </c>
      <c r="E27273" s="0" t="s">
        <v>10965</v>
      </c>
      <c r="F27273" s="0" t="s">
        <v>10966</v>
      </c>
    </row>
    <row r="27275" customFormat="false" ht="12.8" hidden="false" customHeight="false" outlineLevel="0" collapsed="false">
      <c r="A27275" s="0" t="s">
        <v>10967</v>
      </c>
      <c r="B27275" s="0" t="str">
        <f aca="false">HYPERLINK("https://lindat.mff.cuni.cz/services/teitok/pdtc10/index.php?action=vallex&amp;frame=v-whsa_1144f1_ZU", "podřizovat se (v-whsa_1144f1_ZU)")</f>
        <v>podřizovat se (v-whsa_1144f1_ZU)</v>
      </c>
      <c r="E27275" s="0" t="str">
        <f aca="false">HYPERLINK("https://lindat.mff.cuni.cz/services/SynSemClass40/SynSemClass40.html?veclass=vec00739#vec00739-ces-cm00006", "vec00739")</f>
        <v>vec00739</v>
      </c>
      <c r="F27275" s="0" t="s">
        <v>5232</v>
      </c>
    </row>
    <row r="27276" customFormat="false" ht="12.8" hidden="false" customHeight="false" outlineLevel="0" collapsed="false">
      <c r="B27276" s="0" t="s">
        <v>1</v>
      </c>
      <c r="C27276" s="0" t="s">
        <v>5233</v>
      </c>
      <c r="E27276" s="0" t="s">
        <v>5234</v>
      </c>
      <c r="F27276" s="0" t="s">
        <v>5235</v>
      </c>
    </row>
    <row r="27277" customFormat="false" ht="12.8" hidden="false" customHeight="false" outlineLevel="0" collapsed="false">
      <c r="B27277" s="0" t="s">
        <v>186</v>
      </c>
      <c r="C27277" s="0" t="s">
        <v>5236</v>
      </c>
      <c r="E27277" s="0" t="s">
        <v>5237</v>
      </c>
      <c r="F27277" s="0" t="s">
        <v>5238</v>
      </c>
    </row>
    <row r="27279" customFormat="false" ht="12.8" hidden="false" customHeight="false" outlineLevel="0" collapsed="false">
      <c r="A27279" s="0" t="s">
        <v>10967</v>
      </c>
      <c r="B27279" s="0" t="str">
        <f aca="false">HYPERLINK("https://lindat.mff.cuni.cz/services/teitok/pdtc10/index.php?action=vallex&amp;frame=v-whsa_1144hsa_1145", "podřizovat se (v-whsa_1144hsa_1145) - substituted with v-whsa_1144f1_ZU")</f>
        <v>podřizovat se (v-whsa_1144hsa_1145) - substituted with v-whsa_1144f1_ZU</v>
      </c>
    </row>
    <row r="27280" customFormat="false" ht="12.8" hidden="false" customHeight="false" outlineLevel="0" collapsed="false">
      <c r="B27280" s="0" t="s">
        <v>1</v>
      </c>
    </row>
    <row r="27281" customFormat="false" ht="12.8" hidden="false" customHeight="false" outlineLevel="0" collapsed="false">
      <c r="B27281" s="0" t="s">
        <v>186</v>
      </c>
    </row>
    <row r="27283" customFormat="false" ht="12.8" hidden="false" customHeight="false" outlineLevel="0" collapsed="false">
      <c r="A27283" s="0" t="s">
        <v>10968</v>
      </c>
      <c r="B27283" s="0" t="str">
        <f aca="false">HYPERLINK("https://lindat.mff.cuni.cz/services/teitok/pdtc10/index.php?action=vallex&amp;frame=v-w3636f1", "podřídit (v-w3636f1)")</f>
        <v>podřídit (v-w3636f1)</v>
      </c>
      <c r="E27283" s="0" t="str">
        <f aca="false">HYPERLINK("https://lindat.mff.cuni.cz/services/SynSemClass40/SynSemClass40.html?veclass=vec00669#vec00669-ces-cm00001", "vec00669")</f>
        <v>vec00669</v>
      </c>
      <c r="F27283" s="0" t="s">
        <v>3706</v>
      </c>
    </row>
    <row r="27284" customFormat="false" ht="12.8" hidden="false" customHeight="false" outlineLevel="0" collapsed="false">
      <c r="B27284" s="0" t="s">
        <v>1</v>
      </c>
      <c r="C27284" s="0" t="s">
        <v>4695</v>
      </c>
      <c r="E27284" s="0" t="s">
        <v>31</v>
      </c>
      <c r="F27284" s="0" t="s">
        <v>460</v>
      </c>
    </row>
    <row r="27285" customFormat="false" ht="12.8" hidden="false" customHeight="false" outlineLevel="0" collapsed="false">
      <c r="B27285" s="0" t="s">
        <v>8</v>
      </c>
      <c r="C27285" s="0" t="s">
        <v>798</v>
      </c>
      <c r="E27285" s="0" t="s">
        <v>10963</v>
      </c>
      <c r="F27285" s="0" t="s">
        <v>10964</v>
      </c>
    </row>
    <row r="27286" customFormat="false" ht="12.8" hidden="false" customHeight="false" outlineLevel="0" collapsed="false">
      <c r="B27286" s="0" t="s">
        <v>52</v>
      </c>
      <c r="C27286" s="0" t="s">
        <v>2304</v>
      </c>
      <c r="E27286" s="0" t="s">
        <v>10965</v>
      </c>
      <c r="F27286" s="0" t="s">
        <v>10966</v>
      </c>
    </row>
    <row r="27288" customFormat="false" ht="12.8" hidden="false" customHeight="false" outlineLevel="0" collapsed="false">
      <c r="A27288" s="0" t="s">
        <v>10969</v>
      </c>
      <c r="B27288" s="0" t="str">
        <f aca="false">HYPERLINK("https://lindat.mff.cuni.cz/services/teitok/pdtc10/index.php?action=vallex&amp;frame=v-w3637f1", "podřídit se (v-w3637f1)")</f>
        <v>podřídit se (v-w3637f1)</v>
      </c>
      <c r="E27288" s="0" t="str">
        <f aca="false">HYPERLINK("https://lindat.mff.cuni.cz/services/SynSemClass40/SynSemClass40.html?veclass=vec00739#vec00739-ces-cm00022", "vec00739")</f>
        <v>vec00739</v>
      </c>
      <c r="F27288" s="0" t="s">
        <v>5232</v>
      </c>
    </row>
    <row r="27289" customFormat="false" ht="12.8" hidden="false" customHeight="false" outlineLevel="0" collapsed="false">
      <c r="B27289" s="0" t="s">
        <v>1</v>
      </c>
      <c r="C27289" s="0" t="s">
        <v>5233</v>
      </c>
      <c r="E27289" s="0" t="s">
        <v>5234</v>
      </c>
      <c r="F27289" s="0" t="s">
        <v>5235</v>
      </c>
    </row>
    <row r="27290" customFormat="false" ht="12.8" hidden="false" customHeight="false" outlineLevel="0" collapsed="false">
      <c r="B27290" s="0" t="s">
        <v>186</v>
      </c>
      <c r="C27290" s="0" t="s">
        <v>5236</v>
      </c>
      <c r="E27290" s="0" t="s">
        <v>5237</v>
      </c>
      <c r="F27290" s="0" t="s">
        <v>5238</v>
      </c>
    </row>
    <row r="27292" customFormat="false" ht="12.8" hidden="false" customHeight="false" outlineLevel="0" collapsed="false">
      <c r="A27292" s="0" t="s">
        <v>10970</v>
      </c>
      <c r="B27292" s="0" t="str">
        <f aca="false">HYPERLINK("https://lindat.mff.cuni.cz/services/teitok/pdtc10/index.php?action=vallex&amp;frame=v-w10550f2", "podříznout (v-w10550f2)")</f>
        <v>podříznout (v-w10550f2)</v>
      </c>
      <c r="E27292" s="0" t="str">
        <f aca="false">HYPERLINK("https://lindat.mff.cuni.cz/services/SynSemClass40/SynSemClass40.html?veclass=vec00365#vec00365-ces-cm00045", "vec00365")</f>
        <v>vec00365</v>
      </c>
      <c r="F27292" s="0" t="s">
        <v>8975</v>
      </c>
    </row>
    <row r="27293" customFormat="false" ht="12.8" hidden="false" customHeight="false" outlineLevel="0" collapsed="false">
      <c r="B27293" s="0" t="s">
        <v>1</v>
      </c>
      <c r="C27293" s="0" t="s">
        <v>5883</v>
      </c>
      <c r="E27293" s="0" t="s">
        <v>76</v>
      </c>
      <c r="F27293" s="0" t="s">
        <v>8977</v>
      </c>
    </row>
    <row r="27294" customFormat="false" ht="12.8" hidden="false" customHeight="false" outlineLevel="0" collapsed="false">
      <c r="B27294" s="0" t="s">
        <v>8</v>
      </c>
      <c r="C27294" s="0" t="s">
        <v>8979</v>
      </c>
      <c r="E27294" s="0" t="s">
        <v>199</v>
      </c>
      <c r="F27294" s="0" t="s">
        <v>8980</v>
      </c>
    </row>
    <row r="27296" customFormat="false" ht="12.8" hidden="false" customHeight="false" outlineLevel="0" collapsed="false">
      <c r="A27296" s="0" t="s">
        <v>10971</v>
      </c>
      <c r="B27296" s="0" t="str">
        <f aca="false">HYPERLINK("https://lindat.mff.cuni.cz/services/teitok/pdtc10/index.php?action=vallex&amp;frame=v-whsa_145hsa_146", "poflakovat se (v-whsa_145hsa_146)")</f>
        <v>poflakovat se (v-whsa_145hsa_146)</v>
      </c>
    </row>
    <row r="27297" customFormat="false" ht="12.8" hidden="false" customHeight="false" outlineLevel="0" collapsed="false">
      <c r="B27297" s="0" t="s">
        <v>1</v>
      </c>
    </row>
    <row r="27299" customFormat="false" ht="12.8" hidden="false" customHeight="false" outlineLevel="0" collapsed="false">
      <c r="A27299" s="0" t="s">
        <v>10972</v>
      </c>
      <c r="B27299" s="0" t="str">
        <f aca="false">HYPERLINK("https://lindat.mff.cuni.cz/services/teitok/pdtc10/index.php?action=vallex&amp;frame=v-w11974_ZUf1_ZU", "pofoukat (v-w11974_ZUf1_ZU)")</f>
        <v>pofoukat (v-w11974_ZUf1_ZU)</v>
      </c>
    </row>
    <row r="27300" customFormat="false" ht="12.8" hidden="false" customHeight="false" outlineLevel="0" collapsed="false">
      <c r="B27300" s="0" t="s">
        <v>1</v>
      </c>
    </row>
    <row r="27301" customFormat="false" ht="12.8" hidden="false" customHeight="false" outlineLevel="0" collapsed="false">
      <c r="B27301" s="0" t="s">
        <v>8</v>
      </c>
    </row>
    <row r="27303" customFormat="false" ht="12.8" hidden="false" customHeight="false" outlineLevel="0" collapsed="false">
      <c r="A27303" s="0" t="s">
        <v>10973</v>
      </c>
      <c r="B27303" s="0" t="str">
        <f aca="false">HYPERLINK("https://lindat.mff.cuni.cz/services/teitok/pdtc10/index.php?action=vallex&amp;frame=v-whsa_608hsa_609", "pogratulovat (v-whsa_608hsa_609)")</f>
        <v>pogratulovat (v-whsa_608hsa_609)</v>
      </c>
    </row>
    <row r="27304" customFormat="false" ht="12.8" hidden="false" customHeight="false" outlineLevel="0" collapsed="false">
      <c r="B27304" s="0" t="s">
        <v>1</v>
      </c>
    </row>
    <row r="27305" customFormat="false" ht="12.8" hidden="false" customHeight="false" outlineLevel="0" collapsed="false">
      <c r="B27305" s="0" t="s">
        <v>311</v>
      </c>
    </row>
    <row r="27306" customFormat="false" ht="12.8" hidden="false" customHeight="false" outlineLevel="0" collapsed="false">
      <c r="B27306" s="0" t="s">
        <v>52</v>
      </c>
    </row>
    <row r="27308" customFormat="false" ht="12.8" hidden="false" customHeight="false" outlineLevel="0" collapsed="false">
      <c r="A27308" s="0" t="s">
        <v>10974</v>
      </c>
      <c r="B27308" s="0" t="str">
        <f aca="false">HYPERLINK("https://lindat.mff.cuni.cz/services/teitok/pdtc10/index.php?action=vallex&amp;frame=v-w3666f1", "pohasnout (v-w3666f1)")</f>
        <v>pohasnout (v-w3666f1)</v>
      </c>
      <c r="E27308" s="0" t="str">
        <f aca="false">HYPERLINK("https://lindat.mff.cuni.cz/services/SynSemClass40/SynSemClass40.html?veclass=vec00113#vec00113-ces-cm00349", "vec00113")</f>
        <v>vec00113</v>
      </c>
      <c r="F27308" s="0" t="s">
        <v>2122</v>
      </c>
      <c r="H27308" s="0" t="str">
        <f aca="false">HYPERLINK("https://lindat.mff.cuni.cz/services/SynSemClass40/SynSemClass40.html?veclass=vec00793#vec00793-ces-cm00064", "vec00793")</f>
        <v>vec00793</v>
      </c>
      <c r="I27308" s="0" t="s">
        <v>8661</v>
      </c>
    </row>
    <row r="27309" customFormat="false" ht="12.8" hidden="false" customHeight="false" outlineLevel="0" collapsed="false">
      <c r="B27309" s="0" t="s">
        <v>1</v>
      </c>
      <c r="C27309" s="0" t="s">
        <v>10975</v>
      </c>
      <c r="E27309" s="0" t="s">
        <v>1084</v>
      </c>
      <c r="F27309" s="0" t="s">
        <v>2124</v>
      </c>
      <c r="H27309" s="0" t="s">
        <v>8663</v>
      </c>
      <c r="I27309" s="0" t="s">
        <v>8664</v>
      </c>
    </row>
    <row r="27311" customFormat="false" ht="12.8" hidden="false" customHeight="false" outlineLevel="0" collapsed="false">
      <c r="A27311" s="0" t="s">
        <v>10976</v>
      </c>
      <c r="B27311" s="0" t="str">
        <f aca="false">HYPERLINK("https://lindat.mff.cuni.cz/services/teitok/pdtc10/index.php?action=vallex&amp;frame=v-w3668f1", "pohladit (v-w3668f1)")</f>
        <v>pohladit (v-w3668f1)</v>
      </c>
    </row>
    <row r="27312" customFormat="false" ht="12.8" hidden="false" customHeight="false" outlineLevel="0" collapsed="false">
      <c r="B27312" s="0" t="s">
        <v>1</v>
      </c>
    </row>
    <row r="27313" customFormat="false" ht="12.8" hidden="false" customHeight="false" outlineLevel="0" collapsed="false">
      <c r="B27313" s="0" t="s">
        <v>8</v>
      </c>
    </row>
    <row r="27315" customFormat="false" ht="12.8" hidden="false" customHeight="false" outlineLevel="0" collapsed="false">
      <c r="A27315" s="0" t="s">
        <v>10977</v>
      </c>
      <c r="B27315" s="0" t="str">
        <f aca="false">HYPERLINK("https://lindat.mff.cuni.cz/services/teitok/pdtc10/index.php?action=vallex&amp;frame=v-w3669f1", "pohladit si (v-w3669f1)")</f>
        <v>pohladit si (v-w3669f1)</v>
      </c>
    </row>
    <row r="27316" customFormat="false" ht="12.8" hidden="false" customHeight="false" outlineLevel="0" collapsed="false">
      <c r="B27316" s="0" t="s">
        <v>1</v>
      </c>
    </row>
    <row r="27317" customFormat="false" ht="12.8" hidden="false" customHeight="false" outlineLevel="0" collapsed="false">
      <c r="B27317" s="0" t="s">
        <v>8</v>
      </c>
    </row>
    <row r="27319" customFormat="false" ht="12.8" hidden="false" customHeight="false" outlineLevel="0" collapsed="false">
      <c r="A27319" s="0" t="s">
        <v>10978</v>
      </c>
      <c r="B27319" s="0" t="str">
        <f aca="false">HYPERLINK("https://lindat.mff.cuni.cz/services/teitok/pdtc10/index.php?action=vallex&amp;frame=v-w3671f1", "pohlcovat (v-w3671f1)")</f>
        <v>pohlcovat (v-w3671f1)</v>
      </c>
      <c r="E27319" s="0" t="str">
        <f aca="false">HYPERLINK("https://lindat.mff.cuni.cz/services/SynSemClass40/SynSemClass40.html?veclass=vec00476#vec00476-ces-cm00003", "vec00476")</f>
        <v>vec00476</v>
      </c>
      <c r="F27319" s="0" t="s">
        <v>18</v>
      </c>
    </row>
    <row r="27320" customFormat="false" ht="12.8" hidden="false" customHeight="false" outlineLevel="0" collapsed="false">
      <c r="B27320" s="0" t="s">
        <v>1</v>
      </c>
      <c r="C27320" s="0" t="s">
        <v>19</v>
      </c>
      <c r="E27320" s="0" t="s">
        <v>20</v>
      </c>
      <c r="F27320" s="0" t="s">
        <v>21</v>
      </c>
    </row>
    <row r="27321" customFormat="false" ht="12.8" hidden="false" customHeight="false" outlineLevel="0" collapsed="false">
      <c r="B27321" s="0" t="s">
        <v>8</v>
      </c>
      <c r="C27321" s="0" t="s">
        <v>22</v>
      </c>
      <c r="E27321" s="0" t="s">
        <v>23</v>
      </c>
      <c r="F27321" s="0" t="s">
        <v>24</v>
      </c>
    </row>
    <row r="27323" customFormat="false" ht="12.8" hidden="false" customHeight="false" outlineLevel="0" collapsed="false">
      <c r="A27323" s="0" t="s">
        <v>10979</v>
      </c>
      <c r="B27323" s="0" t="str">
        <f aca="false">HYPERLINK("https://lindat.mff.cuni.cz/services/teitok/pdtc10/index.php?action=vallex&amp;frame=v-w3673f1", "pohledávat (v-w3673f1)")</f>
        <v>pohledávat (v-w3673f1)</v>
      </c>
    </row>
    <row r="27324" customFormat="false" ht="12.8" hidden="false" customHeight="false" outlineLevel="0" collapsed="false">
      <c r="B27324" s="0" t="s">
        <v>1</v>
      </c>
    </row>
    <row r="27325" customFormat="false" ht="12.8" hidden="false" customHeight="false" outlineLevel="0" collapsed="false">
      <c r="B27325" s="0" t="s">
        <v>8</v>
      </c>
    </row>
    <row r="27327" customFormat="false" ht="12.8" hidden="false" customHeight="false" outlineLevel="0" collapsed="false">
      <c r="A27327" s="0" t="s">
        <v>10980</v>
      </c>
      <c r="B27327" s="0" t="str">
        <f aca="false">HYPERLINK("https://lindat.mff.cuni.cz/services/teitok/pdtc10/index.php?action=vallex&amp;frame=v-w3678f1", "pohltit (v-w3678f1)")</f>
        <v>pohltit (v-w3678f1)</v>
      </c>
      <c r="E27327" s="0" t="str">
        <f aca="false">HYPERLINK("https://lindat.mff.cuni.cz/services/SynSemClass40/SynSemClass40.html?veclass=vec00476#vec00476-ces-cm00001", "vec00476")</f>
        <v>vec00476</v>
      </c>
      <c r="F27327" s="0" t="s">
        <v>18</v>
      </c>
      <c r="H27327" s="0" t="str">
        <f aca="false">HYPERLINK("https://lindat.mff.cuni.cz/services/SynSemClass40/SynSemClass40.html?veclass=vec01323#vec01323-ces-cm00008", "vec01323")</f>
        <v>vec01323</v>
      </c>
      <c r="I27327" s="0" t="s">
        <v>10981</v>
      </c>
    </row>
    <row r="27328" customFormat="false" ht="12.8" hidden="false" customHeight="false" outlineLevel="0" collapsed="false">
      <c r="B27328" s="0" t="s">
        <v>1</v>
      </c>
      <c r="C27328" s="0" t="s">
        <v>10982</v>
      </c>
      <c r="E27328" s="0" t="s">
        <v>20</v>
      </c>
      <c r="F27328" s="0" t="s">
        <v>21</v>
      </c>
      <c r="H27328" s="0" t="s">
        <v>10983</v>
      </c>
      <c r="I27328" s="0" t="s">
        <v>10984</v>
      </c>
    </row>
    <row r="27329" customFormat="false" ht="12.8" hidden="false" customHeight="false" outlineLevel="0" collapsed="false">
      <c r="B27329" s="0" t="s">
        <v>8</v>
      </c>
      <c r="C27329" s="0" t="s">
        <v>10985</v>
      </c>
      <c r="E27329" s="0" t="s">
        <v>23</v>
      </c>
      <c r="F27329" s="0" t="s">
        <v>24</v>
      </c>
      <c r="H27329" s="0" t="s">
        <v>1702</v>
      </c>
      <c r="I27329" s="0" t="s">
        <v>10986</v>
      </c>
    </row>
    <row r="27331" customFormat="false" ht="12.8" hidden="false" customHeight="false" outlineLevel="0" collapsed="false">
      <c r="A27331" s="0" t="s">
        <v>10987</v>
      </c>
      <c r="B27331" s="0" t="str">
        <f aca="false">HYPERLINK("https://lindat.mff.cuni.cz/services/teitok/pdtc10/index.php?action=vallex&amp;frame=v-w3675f2", "pohlédnout (v-w3675f2)")</f>
        <v>pohlédnout (v-w3675f2)</v>
      </c>
    </row>
    <row r="27332" customFormat="false" ht="12.8" hidden="false" customHeight="false" outlineLevel="0" collapsed="false">
      <c r="B27332" s="0" t="s">
        <v>1</v>
      </c>
    </row>
    <row r="27333" customFormat="false" ht="12.8" hidden="false" customHeight="false" outlineLevel="0" collapsed="false">
      <c r="B27333" s="0" t="s">
        <v>45</v>
      </c>
    </row>
    <row r="27334" customFormat="false" ht="12.8" hidden="false" customHeight="false" outlineLevel="0" collapsed="false">
      <c r="B27334" s="0" t="s">
        <v>642</v>
      </c>
    </row>
    <row r="27335" customFormat="false" ht="12.8" hidden="false" customHeight="false" outlineLevel="0" collapsed="false">
      <c r="B27335" s="0" t="s">
        <v>648</v>
      </c>
    </row>
    <row r="27336" customFormat="false" ht="12.8" hidden="false" customHeight="false" outlineLevel="0" collapsed="false">
      <c r="B27336" s="0" t="s">
        <v>650</v>
      </c>
    </row>
    <row r="27337" customFormat="false" ht="12.8" hidden="false" customHeight="false" outlineLevel="0" collapsed="false">
      <c r="B27337" s="0" t="s">
        <v>652</v>
      </c>
    </row>
    <row r="27339" customFormat="false" ht="12.8" hidden="false" customHeight="false" outlineLevel="0" collapsed="false">
      <c r="A27339" s="0" t="s">
        <v>10988</v>
      </c>
      <c r="B27339" s="0" t="str">
        <f aca="false">HYPERLINK("https://lindat.mff.cuni.cz/services/teitok/pdtc10/index.php?action=vallex&amp;frame=v-w3675f1", "pohlédnout (v-w3675f1)")</f>
        <v>pohlédnout (v-w3675f1)</v>
      </c>
    </row>
    <row r="27340" customFormat="false" ht="12.8" hidden="false" customHeight="false" outlineLevel="0" collapsed="false">
      <c r="B27340" s="0" t="s">
        <v>1</v>
      </c>
    </row>
    <row r="27341" customFormat="false" ht="12.8" hidden="false" customHeight="false" outlineLevel="0" collapsed="false">
      <c r="B27341" s="0" t="s">
        <v>164</v>
      </c>
    </row>
    <row r="27343" customFormat="false" ht="12.8" hidden="false" customHeight="false" outlineLevel="0" collapsed="false">
      <c r="A27343" s="0" t="s">
        <v>10989</v>
      </c>
      <c r="B27343" s="0" t="str">
        <f aca="false">HYPERLINK("https://lindat.mff.cuni.cz/services/teitok/pdtc10/index.php?action=vallex&amp;frame=v-w3676f1", "pohlídat (v-w3676f1)")</f>
        <v>pohlídat (v-w3676f1)</v>
      </c>
    </row>
    <row r="27344" customFormat="false" ht="12.8" hidden="false" customHeight="false" outlineLevel="0" collapsed="false">
      <c r="B27344" s="0" t="s">
        <v>1</v>
      </c>
    </row>
    <row r="27345" customFormat="false" ht="12.8" hidden="false" customHeight="false" outlineLevel="0" collapsed="false">
      <c r="B27345" s="0" t="s">
        <v>8</v>
      </c>
    </row>
    <row r="27347" customFormat="false" ht="12.8" hidden="false" customHeight="false" outlineLevel="0" collapsed="false">
      <c r="A27347" s="0" t="s">
        <v>10990</v>
      </c>
      <c r="B27347" s="0" t="str">
        <f aca="false">HYPERLINK("https://lindat.mff.cuni.cz/services/teitok/pdtc10/index.php?action=vallex&amp;frame=v-w3677f2", "pohlížet (v-w3677f2)")</f>
        <v>pohlížet (v-w3677f2)</v>
      </c>
      <c r="E27347" s="0" t="str">
        <f aca="false">HYPERLINK("https://lindat.mff.cuni.cz/services/SynSemClass40/SynSemClass40.html?veclass=vec00402#vec00402-ces-cm00009", "vec00402")</f>
        <v>vec00402</v>
      </c>
      <c r="F27347" s="0" t="s">
        <v>619</v>
      </c>
    </row>
    <row r="27348" customFormat="false" ht="12.8" hidden="false" customHeight="false" outlineLevel="0" collapsed="false">
      <c r="B27348" s="0" t="s">
        <v>1</v>
      </c>
      <c r="C27348" s="0" t="s">
        <v>620</v>
      </c>
      <c r="E27348" s="0" t="s">
        <v>621</v>
      </c>
      <c r="F27348" s="0" t="s">
        <v>622</v>
      </c>
    </row>
    <row r="27349" customFormat="false" ht="12.8" hidden="false" customHeight="false" outlineLevel="0" collapsed="false">
      <c r="B27349" s="0" t="s">
        <v>45</v>
      </c>
      <c r="C27349" s="0" t="s">
        <v>623</v>
      </c>
      <c r="E27349" s="0" t="s">
        <v>180</v>
      </c>
      <c r="F27349" s="0" t="s">
        <v>624</v>
      </c>
    </row>
    <row r="27350" customFormat="false" ht="12.8" hidden="false" customHeight="false" outlineLevel="0" collapsed="false">
      <c r="B27350" s="0" t="s">
        <v>10991</v>
      </c>
      <c r="C27350" s="0" t="s">
        <v>625</v>
      </c>
      <c r="E27350" s="0" t="s">
        <v>626</v>
      </c>
      <c r="F27350" s="0" t="s">
        <v>627</v>
      </c>
    </row>
    <row r="27352" customFormat="false" ht="12.8" hidden="false" customHeight="false" outlineLevel="0" collapsed="false">
      <c r="A27352" s="0" t="s">
        <v>10992</v>
      </c>
      <c r="B27352" s="0" t="str">
        <f aca="false">HYPERLINK("https://lindat.mff.cuni.cz/services/teitok/pdtc10/index.php?action=vallex&amp;frame=v-w3677f1", "pohlížet (v-w3677f1)")</f>
        <v>pohlížet (v-w3677f1)</v>
      </c>
      <c r="E27352" s="0" t="str">
        <f aca="false">HYPERLINK("https://lindat.mff.cuni.cz/services/SynSemClass40/SynSemClass40.html?veclass=vec00402#vec00402-ces-cm00037", "vec00402")</f>
        <v>vec00402</v>
      </c>
      <c r="F27352" s="0" t="s">
        <v>619</v>
      </c>
    </row>
    <row r="27353" customFormat="false" ht="12.8" hidden="false" customHeight="false" outlineLevel="0" collapsed="false">
      <c r="B27353" s="0" t="s">
        <v>1</v>
      </c>
      <c r="C27353" s="0" t="s">
        <v>620</v>
      </c>
      <c r="E27353" s="0" t="s">
        <v>621</v>
      </c>
      <c r="F27353" s="0" t="s">
        <v>622</v>
      </c>
    </row>
    <row r="27354" customFormat="false" ht="12.8" hidden="false" customHeight="false" outlineLevel="0" collapsed="false">
      <c r="B27354" s="0" t="s">
        <v>45</v>
      </c>
      <c r="C27354" s="0" t="s">
        <v>623</v>
      </c>
      <c r="E27354" s="0" t="s">
        <v>180</v>
      </c>
      <c r="F27354" s="0" t="s">
        <v>624</v>
      </c>
    </row>
    <row r="27355" customFormat="false" ht="12.8" hidden="false" customHeight="false" outlineLevel="0" collapsed="false">
      <c r="B27355" s="0" t="s">
        <v>642</v>
      </c>
      <c r="C27355" s="0" t="s">
        <v>3848</v>
      </c>
      <c r="E27355" s="0" t="s">
        <v>4316</v>
      </c>
      <c r="F27355" s="0" t="s">
        <v>4317</v>
      </c>
    </row>
    <row r="27356" customFormat="false" ht="12.8" hidden="false" customHeight="false" outlineLevel="0" collapsed="false">
      <c r="B27356" s="0" t="s">
        <v>648</v>
      </c>
      <c r="C27356" s="0" t="s">
        <v>3849</v>
      </c>
      <c r="E27356" s="0" t="s">
        <v>4316</v>
      </c>
      <c r="F27356" s="0" t="s">
        <v>4317</v>
      </c>
    </row>
    <row r="27357" customFormat="false" ht="12.8" hidden="false" customHeight="false" outlineLevel="0" collapsed="false">
      <c r="B27357" s="0" t="s">
        <v>650</v>
      </c>
      <c r="C27357" s="0" t="s">
        <v>3850</v>
      </c>
      <c r="E27357" s="0" t="s">
        <v>4316</v>
      </c>
      <c r="F27357" s="0" t="s">
        <v>4317</v>
      </c>
    </row>
    <row r="27358" customFormat="false" ht="12.8" hidden="false" customHeight="false" outlineLevel="0" collapsed="false">
      <c r="B27358" s="0" t="s">
        <v>652</v>
      </c>
      <c r="C27358" s="0" t="s">
        <v>3851</v>
      </c>
      <c r="E27358" s="0" t="s">
        <v>4316</v>
      </c>
      <c r="F27358" s="0" t="s">
        <v>4317</v>
      </c>
    </row>
    <row r="27360" customFormat="false" ht="12.8" hidden="false" customHeight="false" outlineLevel="0" collapsed="false">
      <c r="A27360" s="0" t="s">
        <v>10993</v>
      </c>
      <c r="B27360" s="0" t="str">
        <f aca="false">HYPERLINK("https://lindat.mff.cuni.cz/services/teitok/pdtc10/index.php?action=vallex&amp;frame=v-w3677f3", "pohlížet (v-w3677f3)")</f>
        <v>pohlížet (v-w3677f3)</v>
      </c>
    </row>
    <row r="27361" customFormat="false" ht="12.8" hidden="false" customHeight="false" outlineLevel="0" collapsed="false">
      <c r="B27361" s="0" t="s">
        <v>1</v>
      </c>
    </row>
    <row r="27362" customFormat="false" ht="12.8" hidden="false" customHeight="false" outlineLevel="0" collapsed="false">
      <c r="B27362" s="0" t="s">
        <v>164</v>
      </c>
    </row>
    <row r="27364" customFormat="false" ht="12.8" hidden="false" customHeight="false" outlineLevel="0" collapsed="false">
      <c r="A27364" s="0" t="s">
        <v>10994</v>
      </c>
      <c r="B27364" s="0" t="str">
        <f aca="false">HYPERLINK("https://lindat.mff.cuni.cz/services/teitok/pdtc10/index.php?action=vallex&amp;frame=v-w3679f1", "pohnat (v-w3679f1)")</f>
        <v>pohnat (v-w3679f1)</v>
      </c>
    </row>
    <row r="27365" customFormat="false" ht="12.8" hidden="false" customHeight="false" outlineLevel="0" collapsed="false">
      <c r="B27365" s="0" t="s">
        <v>1</v>
      </c>
    </row>
    <row r="27366" customFormat="false" ht="12.8" hidden="false" customHeight="false" outlineLevel="0" collapsed="false">
      <c r="B27366" s="0" t="s">
        <v>8</v>
      </c>
    </row>
    <row r="27367" customFormat="false" ht="12.8" hidden="false" customHeight="false" outlineLevel="0" collapsed="false">
      <c r="B27367" s="0" t="s">
        <v>164</v>
      </c>
    </row>
    <row r="27369" customFormat="false" ht="12.8" hidden="false" customHeight="false" outlineLevel="0" collapsed="false">
      <c r="A27369" s="0" t="s">
        <v>10995</v>
      </c>
      <c r="B27369" s="0" t="str">
        <f aca="false">HYPERLINK("https://lindat.mff.cuni.cz/services/teitok/pdtc10/index.php?action=vallex&amp;frame=v-w3679f2_ZU", "pohnat (v-w3679f2_ZU)")</f>
        <v>pohnat (v-w3679f2_ZU)</v>
      </c>
    </row>
    <row r="27370" customFormat="false" ht="12.8" hidden="false" customHeight="false" outlineLevel="0" collapsed="false">
      <c r="B27370" s="0" t="s">
        <v>1</v>
      </c>
    </row>
    <row r="27371" customFormat="false" ht="12.8" hidden="false" customHeight="false" outlineLevel="0" collapsed="false">
      <c r="B27371" s="0" t="s">
        <v>8</v>
      </c>
    </row>
    <row r="27373" customFormat="false" ht="12.8" hidden="false" customHeight="false" outlineLevel="0" collapsed="false">
      <c r="A27373" s="0" t="s">
        <v>10996</v>
      </c>
      <c r="B27373" s="0" t="str">
        <f aca="false">HYPERLINK("https://lindat.mff.cuni.cz/services/teitok/pdtc10/index.php?action=vallex&amp;frame=v-w3680f1", "pohnout (v-w3680f1)")</f>
        <v>pohnout (v-w3680f1)</v>
      </c>
    </row>
    <row r="27374" customFormat="false" ht="12.8" hidden="false" customHeight="false" outlineLevel="0" collapsed="false">
      <c r="B27374" s="0" t="s">
        <v>1</v>
      </c>
    </row>
    <row r="27375" customFormat="false" ht="12.8" hidden="false" customHeight="false" outlineLevel="0" collapsed="false">
      <c r="B27375" s="0" t="s">
        <v>4277</v>
      </c>
    </row>
    <row r="27377" customFormat="false" ht="12.8" hidden="false" customHeight="false" outlineLevel="0" collapsed="false">
      <c r="A27377" s="0" t="s">
        <v>10997</v>
      </c>
      <c r="B27377" s="0" t="str">
        <f aca="false">HYPERLINK("https://lindat.mff.cuni.cz/services/teitok/pdtc10/index.php?action=vallex&amp;frame=v-w3681f1", "pohnout se (v-w3681f1)")</f>
        <v>pohnout se (v-w3681f1)</v>
      </c>
      <c r="E27377" s="0" t="str">
        <f aca="false">HYPERLINK("https://lindat.mff.cuni.cz/services/SynSemClass40/SynSemClass40.html?veclass=vec00022#vec00022-ces-cm00008", "vec00022")</f>
        <v>vec00022</v>
      </c>
      <c r="F27377" s="0" t="s">
        <v>4377</v>
      </c>
    </row>
    <row r="27378" customFormat="false" ht="12.8" hidden="false" customHeight="false" outlineLevel="0" collapsed="false">
      <c r="B27378" s="0" t="s">
        <v>1</v>
      </c>
      <c r="C27378" s="0" t="s">
        <v>4378</v>
      </c>
      <c r="E27378" s="0" t="s">
        <v>334</v>
      </c>
      <c r="F27378" s="0" t="s">
        <v>4379</v>
      </c>
    </row>
    <row r="27380" customFormat="false" ht="12.8" hidden="false" customHeight="false" outlineLevel="0" collapsed="false">
      <c r="A27380" s="0" t="s">
        <v>10998</v>
      </c>
      <c r="B27380" s="0" t="str">
        <f aca="false">HYPERLINK("https://lindat.mff.cuni.cz/services/teitok/pdtc10/index.php?action=vallex&amp;frame=v-w11547_ZUf1_ZU", "pohodit (v-w11547_ZUf1_ZU)")</f>
        <v>pohodit (v-w11547_ZUf1_ZU)</v>
      </c>
    </row>
    <row r="27381" customFormat="false" ht="12.8" hidden="false" customHeight="false" outlineLevel="0" collapsed="false">
      <c r="B27381" s="0" t="s">
        <v>1</v>
      </c>
    </row>
    <row r="27382" customFormat="false" ht="12.8" hidden="false" customHeight="false" outlineLevel="0" collapsed="false">
      <c r="B27382" s="0" t="s">
        <v>8</v>
      </c>
    </row>
    <row r="27384" customFormat="false" ht="12.8" hidden="false" customHeight="false" outlineLevel="0" collapsed="false">
      <c r="A27384" s="0" t="s">
        <v>10999</v>
      </c>
      <c r="B27384" s="0" t="str">
        <f aca="false">HYPERLINK("https://lindat.mff.cuni.cz/services/teitok/pdtc10/index.php?action=vallex&amp;frame=v-whsa_1126f1_ZU", "pohodnout se (v-whsa_1126f1_ZU)")</f>
        <v>pohodnout se (v-whsa_1126f1_ZU)</v>
      </c>
    </row>
    <row r="27385" customFormat="false" ht="12.8" hidden="false" customHeight="false" outlineLevel="0" collapsed="false">
      <c r="B27385" s="0" t="s">
        <v>1</v>
      </c>
    </row>
    <row r="27386" customFormat="false" ht="12.8" hidden="false" customHeight="false" outlineLevel="0" collapsed="false">
      <c r="B27386" s="0" t="s">
        <v>721</v>
      </c>
    </row>
    <row r="27387" customFormat="false" ht="12.8" hidden="false" customHeight="false" outlineLevel="0" collapsed="false">
      <c r="B27387" s="0" t="s">
        <v>855</v>
      </c>
    </row>
    <row r="27389" customFormat="false" ht="12.8" hidden="false" customHeight="false" outlineLevel="0" collapsed="false">
      <c r="A27389" s="0" t="s">
        <v>10999</v>
      </c>
      <c r="B27389" s="0" t="str">
        <f aca="false">HYPERLINK("https://lindat.mff.cuni.cz/services/teitok/pdtc10/index.php?action=vallex&amp;frame=v-whsa_1126hsa_1127", "pohodnout se (v-whsa_1126hsa_1127) - substituted with v-whsa_1126f1_ZU")</f>
        <v>pohodnout se (v-whsa_1126hsa_1127) - substituted with v-whsa_1126f1_ZU</v>
      </c>
    </row>
    <row r="27390" customFormat="false" ht="12.8" hidden="false" customHeight="false" outlineLevel="0" collapsed="false">
      <c r="B27390" s="0" t="s">
        <v>1</v>
      </c>
    </row>
    <row r="27391" customFormat="false" ht="12.8" hidden="false" customHeight="false" outlineLevel="0" collapsed="false">
      <c r="B27391" s="0" t="s">
        <v>721</v>
      </c>
    </row>
    <row r="27392" customFormat="false" ht="12.8" hidden="false" customHeight="false" outlineLevel="0" collapsed="false">
      <c r="B27392" s="0" t="s">
        <v>855</v>
      </c>
    </row>
    <row r="27394" customFormat="false" ht="12.8" hidden="false" customHeight="false" outlineLevel="0" collapsed="false">
      <c r="A27394" s="0" t="s">
        <v>11000</v>
      </c>
      <c r="B27394" s="0" t="str">
        <f aca="false">HYPERLINK("https://lindat.mff.cuni.cz/services/teitok/pdtc10/index.php?action=vallex&amp;frame=v-w11253f1", "pohoršit (v-w11253f1)")</f>
        <v>pohoršit (v-w11253f1)</v>
      </c>
    </row>
    <row r="27395" customFormat="false" ht="12.8" hidden="false" customHeight="false" outlineLevel="0" collapsed="false">
      <c r="B27395" s="0" t="s">
        <v>1</v>
      </c>
    </row>
    <row r="27396" customFormat="false" ht="12.8" hidden="false" customHeight="false" outlineLevel="0" collapsed="false">
      <c r="B27396" s="0" t="s">
        <v>186</v>
      </c>
    </row>
    <row r="27398" customFormat="false" ht="12.8" hidden="false" customHeight="false" outlineLevel="0" collapsed="false">
      <c r="A27398" s="0" t="s">
        <v>11001</v>
      </c>
      <c r="B27398" s="0" t="str">
        <f aca="false">HYPERLINK("https://lindat.mff.cuni.cz/services/teitok/pdtc10/index.php?action=vallex&amp;frame=v-w11253f2", "pohoršit (v-w11253f2)")</f>
        <v>pohoršit (v-w11253f2)</v>
      </c>
    </row>
    <row r="27399" customFormat="false" ht="12.8" hidden="false" customHeight="false" outlineLevel="0" collapsed="false">
      <c r="B27399" s="0" t="s">
        <v>1</v>
      </c>
    </row>
    <row r="27400" customFormat="false" ht="12.8" hidden="false" customHeight="false" outlineLevel="0" collapsed="false">
      <c r="B27400" s="0" t="s">
        <v>8</v>
      </c>
    </row>
    <row r="27402" customFormat="false" ht="12.8" hidden="false" customHeight="false" outlineLevel="0" collapsed="false">
      <c r="A27402" s="0" t="s">
        <v>11002</v>
      </c>
      <c r="B27402" s="0" t="str">
        <f aca="false">HYPERLINK("https://lindat.mff.cuni.cz/services/teitok/pdtc10/index.php?action=vallex&amp;frame=v-w3684f1", "pohoršit si (v-w3684f1)")</f>
        <v>pohoršit si (v-w3684f1)</v>
      </c>
    </row>
    <row r="27403" customFormat="false" ht="12.8" hidden="false" customHeight="false" outlineLevel="0" collapsed="false">
      <c r="B27403" s="0" t="s">
        <v>1</v>
      </c>
    </row>
    <row r="27405" customFormat="false" ht="12.8" hidden="false" customHeight="false" outlineLevel="0" collapsed="false">
      <c r="A27405" s="0" t="s">
        <v>11003</v>
      </c>
      <c r="B27405" s="0" t="str">
        <f aca="false">HYPERLINK("https://lindat.mff.cuni.cz/services/teitok/pdtc10/index.php?action=vallex&amp;frame=v-w3684hsa_120", "pohoršit si (v-w3684hsa_120)")</f>
        <v>pohoršit si (v-w3684hsa_120)</v>
      </c>
    </row>
    <row r="27406" customFormat="false" ht="12.8" hidden="false" customHeight="false" outlineLevel="0" collapsed="false">
      <c r="B27406" s="0" t="s">
        <v>1</v>
      </c>
    </row>
    <row r="27407" customFormat="false" ht="12.8" hidden="false" customHeight="false" outlineLevel="0" collapsed="false">
      <c r="B27407" s="0" t="s">
        <v>69</v>
      </c>
    </row>
    <row r="27408" customFormat="false" ht="12.8" hidden="false" customHeight="false" outlineLevel="0" collapsed="false">
      <c r="B27408" s="0" t="s">
        <v>36</v>
      </c>
    </row>
    <row r="27410" customFormat="false" ht="12.8" hidden="false" customHeight="false" outlineLevel="0" collapsed="false">
      <c r="A27410" s="0" t="s">
        <v>11004</v>
      </c>
      <c r="B27410" s="0" t="str">
        <f aca="false">HYPERLINK("https://lindat.mff.cuni.cz/services/teitok/pdtc10/index.php?action=vallex&amp;frame=v-w10699f2", "pohostit (v-w10699f2)")</f>
        <v>pohostit (v-w10699f2)</v>
      </c>
      <c r="E27410" s="0" t="str">
        <f aca="false">HYPERLINK("https://lindat.mff.cuni.cz/services/SynSemClass40/SynSemClass40.html?veclass=vec00822#vec00822-ces-cm00003", "vec00822")</f>
        <v>vec00822</v>
      </c>
      <c r="F27410" s="0" t="s">
        <v>4500</v>
      </c>
    </row>
    <row r="27411" customFormat="false" ht="12.8" hidden="false" customHeight="false" outlineLevel="0" collapsed="false">
      <c r="B27411" s="0" t="s">
        <v>1</v>
      </c>
      <c r="C27411" s="0" t="s">
        <v>447</v>
      </c>
      <c r="E27411" s="0" t="s">
        <v>4501</v>
      </c>
      <c r="F27411" s="0" t="s">
        <v>4502</v>
      </c>
    </row>
    <row r="27412" customFormat="false" ht="12.8" hidden="false" customHeight="false" outlineLevel="0" collapsed="false">
      <c r="B27412" s="0" t="s">
        <v>8</v>
      </c>
      <c r="C27412" s="0" t="s">
        <v>3252</v>
      </c>
      <c r="E27412" s="0" t="s">
        <v>4503</v>
      </c>
      <c r="F27412" s="0" t="s">
        <v>4504</v>
      </c>
    </row>
    <row r="27414" customFormat="false" ht="12.8" hidden="false" customHeight="false" outlineLevel="0" collapsed="false">
      <c r="A27414" s="0" t="s">
        <v>11005</v>
      </c>
      <c r="B27414" s="0" t="str">
        <f aca="false">HYPERLINK("https://lindat.mff.cuni.cz/services/teitok/pdtc10/index.php?action=vallex&amp;frame=v-w3687f2", "pohovořit (v-w3687f2)")</f>
        <v>pohovořit (v-w3687f2)</v>
      </c>
    </row>
    <row r="27415" customFormat="false" ht="12.8" hidden="false" customHeight="false" outlineLevel="0" collapsed="false">
      <c r="B27415" s="0" t="s">
        <v>1</v>
      </c>
    </row>
    <row r="27416" customFormat="false" ht="12.8" hidden="false" customHeight="false" outlineLevel="0" collapsed="false">
      <c r="B27416" s="0" t="s">
        <v>318</v>
      </c>
    </row>
    <row r="27417" customFormat="false" ht="12.8" hidden="false" customHeight="false" outlineLevel="0" collapsed="false">
      <c r="B27417" s="0" t="s">
        <v>11006</v>
      </c>
    </row>
    <row r="27419" customFormat="false" ht="12.8" hidden="false" customHeight="false" outlineLevel="0" collapsed="false">
      <c r="A27419" s="0" t="s">
        <v>11007</v>
      </c>
      <c r="B27419" s="0" t="str">
        <f aca="false">HYPERLINK("https://lindat.mff.cuni.cz/services/teitok/pdtc10/index.php?action=vallex&amp;frame=v-w3687f1", "pohovořit (v-w3687f1)")</f>
        <v>pohovořit (v-w3687f1)</v>
      </c>
    </row>
    <row r="27420" customFormat="false" ht="12.8" hidden="false" customHeight="false" outlineLevel="0" collapsed="false">
      <c r="B27420" s="0" t="s">
        <v>1</v>
      </c>
    </row>
    <row r="27421" customFormat="false" ht="12.8" hidden="false" customHeight="false" outlineLevel="0" collapsed="false">
      <c r="B27421" s="0" t="s">
        <v>318</v>
      </c>
    </row>
    <row r="27422" customFormat="false" ht="12.8" hidden="false" customHeight="false" outlineLevel="0" collapsed="false">
      <c r="B27422" s="0" t="s">
        <v>3205</v>
      </c>
    </row>
    <row r="27424" customFormat="false" ht="12.8" hidden="false" customHeight="false" outlineLevel="0" collapsed="false">
      <c r="A27424" s="0" t="s">
        <v>11008</v>
      </c>
      <c r="B27424" s="0" t="str">
        <f aca="false">HYPERLINK("https://lindat.mff.cuni.cz/services/teitok/pdtc10/index.php?action=vallex&amp;frame=v-w3685f2", "pohořet (v-w3685f2)")</f>
        <v>pohořet (v-w3685f2)</v>
      </c>
    </row>
    <row r="27425" customFormat="false" ht="12.8" hidden="false" customHeight="false" outlineLevel="0" collapsed="false">
      <c r="B27425" s="0" t="s">
        <v>1</v>
      </c>
    </row>
    <row r="27426" customFormat="false" ht="12.8" hidden="false" customHeight="false" outlineLevel="0" collapsed="false">
      <c r="B27426" s="0" t="s">
        <v>721</v>
      </c>
    </row>
    <row r="27428" customFormat="false" ht="12.8" hidden="false" customHeight="false" outlineLevel="0" collapsed="false">
      <c r="A27428" s="0" t="s">
        <v>11009</v>
      </c>
      <c r="B27428" s="0" t="str">
        <f aca="false">HYPERLINK("https://lindat.mff.cuni.cz/services/teitok/pdtc10/index.php?action=vallex&amp;frame=v-w3685f1", "pohořet (v-w3685f1)")</f>
        <v>pohořet (v-w3685f1)</v>
      </c>
    </row>
    <row r="27429" customFormat="false" ht="12.8" hidden="false" customHeight="false" outlineLevel="0" collapsed="false">
      <c r="B27429" s="0" t="s">
        <v>1</v>
      </c>
    </row>
    <row r="27431" customFormat="false" ht="12.8" hidden="false" customHeight="false" outlineLevel="0" collapsed="false">
      <c r="A27431" s="0" t="s">
        <v>11010</v>
      </c>
      <c r="B27431" s="0" t="str">
        <f aca="false">HYPERLINK("https://lindat.mff.cuni.cz/services/teitok/pdtc10/index.php?action=vallex&amp;frame=v-w12300_MMf1_MM", "pohrabovat (v-w12300_MMf1_MM)")</f>
        <v>pohrabovat (v-w12300_MMf1_MM)</v>
      </c>
    </row>
    <row r="27432" customFormat="false" ht="12.8" hidden="false" customHeight="false" outlineLevel="0" collapsed="false">
      <c r="B27432" s="0" t="s">
        <v>1</v>
      </c>
    </row>
    <row r="27433" customFormat="false" ht="12.8" hidden="false" customHeight="false" outlineLevel="0" collapsed="false">
      <c r="B27433" s="0" t="s">
        <v>8</v>
      </c>
    </row>
    <row r="27435" customFormat="false" ht="12.8" hidden="false" customHeight="false" outlineLevel="0" collapsed="false">
      <c r="A27435" s="0" t="s">
        <v>11011</v>
      </c>
      <c r="B27435" s="0" t="str">
        <f aca="false">HYPERLINK("https://lindat.mff.cuni.cz/services/teitok/pdtc10/index.php?action=vallex&amp;frame=v-w3690f1", "pohrdat (v-w3690f1)")</f>
        <v>pohrdat (v-w3690f1)</v>
      </c>
      <c r="E27435" s="0" t="str">
        <f aca="false">HYPERLINK("https://lindat.mff.cuni.cz/services/SynSemClass40/SynSemClass40.html?veclass=vec00674#vec00674-ces-cm00001", "vec00674")</f>
        <v>vec00674</v>
      </c>
      <c r="F27435" s="0" t="s">
        <v>9614</v>
      </c>
    </row>
    <row r="27436" customFormat="false" ht="12.8" hidden="false" customHeight="false" outlineLevel="0" collapsed="false">
      <c r="B27436" s="0" t="s">
        <v>1</v>
      </c>
      <c r="C27436" s="0" t="s">
        <v>106</v>
      </c>
      <c r="E27436" s="0" t="s">
        <v>155</v>
      </c>
      <c r="F27436" s="0" t="s">
        <v>9615</v>
      </c>
    </row>
    <row r="27437" customFormat="false" ht="12.8" hidden="false" customHeight="false" outlineLevel="0" collapsed="false">
      <c r="B27437" s="0" t="s">
        <v>286</v>
      </c>
      <c r="C27437" s="0" t="s">
        <v>158</v>
      </c>
      <c r="E27437" s="0" t="s">
        <v>142</v>
      </c>
      <c r="F27437" s="0" t="s">
        <v>11012</v>
      </c>
    </row>
    <row r="27439" customFormat="false" ht="12.8" hidden="false" customHeight="false" outlineLevel="0" collapsed="false">
      <c r="A27439" s="0" t="s">
        <v>11013</v>
      </c>
      <c r="B27439" s="0" t="str">
        <f aca="false">HYPERLINK("https://lindat.mff.cuni.cz/services/teitok/pdtc10/index.php?action=vallex&amp;frame=v-w10935f2", "pohrdnout (v-w10935f2)")</f>
        <v>pohrdnout (v-w10935f2)</v>
      </c>
      <c r="E27439" s="0" t="str">
        <f aca="false">HYPERLINK("https://lindat.mff.cuni.cz/services/SynSemClass40/SynSemClass40.html?veclass=vec00674#vec00674-ces-cm00003", "vec00674")</f>
        <v>vec00674</v>
      </c>
      <c r="F27439" s="0" t="s">
        <v>9614</v>
      </c>
    </row>
    <row r="27440" customFormat="false" ht="12.8" hidden="false" customHeight="false" outlineLevel="0" collapsed="false">
      <c r="B27440" s="0" t="s">
        <v>1</v>
      </c>
      <c r="C27440" s="0" t="s">
        <v>106</v>
      </c>
      <c r="E27440" s="0" t="s">
        <v>155</v>
      </c>
      <c r="F27440" s="0" t="s">
        <v>9615</v>
      </c>
    </row>
    <row r="27441" customFormat="false" ht="12.8" hidden="false" customHeight="false" outlineLevel="0" collapsed="false">
      <c r="B27441" s="0" t="s">
        <v>286</v>
      </c>
      <c r="C27441" s="0" t="s">
        <v>158</v>
      </c>
      <c r="E27441" s="0" t="s">
        <v>142</v>
      </c>
      <c r="F27441" s="0" t="s">
        <v>11012</v>
      </c>
    </row>
    <row r="27443" customFormat="false" ht="12.8" hidden="false" customHeight="false" outlineLevel="0" collapsed="false">
      <c r="A27443" s="0" t="s">
        <v>11014</v>
      </c>
      <c r="B27443" s="0" t="str">
        <f aca="false">HYPERLINK("https://lindat.mff.cuni.cz/services/teitok/pdtc10/index.php?action=vallex&amp;frame=v-w3691f2", "pohroužit se (v-w3691f2)")</f>
        <v>pohroužit se (v-w3691f2)</v>
      </c>
    </row>
    <row r="27444" customFormat="false" ht="12.8" hidden="false" customHeight="false" outlineLevel="0" collapsed="false">
      <c r="B27444" s="0" t="s">
        <v>1</v>
      </c>
    </row>
    <row r="27445" customFormat="false" ht="12.8" hidden="false" customHeight="false" outlineLevel="0" collapsed="false">
      <c r="B27445" s="0" t="s">
        <v>11015</v>
      </c>
    </row>
    <row r="27447" customFormat="false" ht="12.8" hidden="false" customHeight="false" outlineLevel="0" collapsed="false">
      <c r="A27447" s="0" t="s">
        <v>11014</v>
      </c>
      <c r="B27447" s="0" t="str">
        <f aca="false">HYPERLINK("https://lindat.mff.cuni.cz/services/teitok/pdtc10/index.php?action=vallex&amp;frame=v-w3691f1", "pohroužit se (v-w3691f1) - substituted with v-w3691f2")</f>
        <v>pohroužit se (v-w3691f1) - substituted with v-w3691f2</v>
      </c>
    </row>
    <row r="27448" customFormat="false" ht="12.8" hidden="false" customHeight="false" outlineLevel="0" collapsed="false">
      <c r="B27448" s="0" t="s">
        <v>1</v>
      </c>
    </row>
    <row r="27449" customFormat="false" ht="12.8" hidden="false" customHeight="false" outlineLevel="0" collapsed="false">
      <c r="B27449" s="0" t="s">
        <v>11015</v>
      </c>
    </row>
    <row r="27451" customFormat="false" ht="12.8" hidden="false" customHeight="false" outlineLevel="0" collapsed="false">
      <c r="A27451" s="0" t="s">
        <v>11016</v>
      </c>
      <c r="B27451" s="0" t="str">
        <f aca="false">HYPERLINK("https://lindat.mff.cuni.cz/services/teitok/pdtc10/index.php?action=vallex&amp;frame=v-w3692f1", "pohrozit (v-w3692f1)")</f>
        <v>pohrozit (v-w3692f1)</v>
      </c>
      <c r="E27451" s="0" t="str">
        <f aca="false">HYPERLINK("https://lindat.mff.cuni.cz/services/SynSemClass40/SynSemClass40.html?veclass=vec00477#vec00477-ces-cm00001", "vec00477")</f>
        <v>vec00477</v>
      </c>
      <c r="F27451" s="0" t="s">
        <v>4599</v>
      </c>
    </row>
    <row r="27452" customFormat="false" ht="12.8" hidden="false" customHeight="false" outlineLevel="0" collapsed="false">
      <c r="B27452" s="0" t="s">
        <v>1</v>
      </c>
      <c r="C27452" s="0" t="s">
        <v>106</v>
      </c>
      <c r="E27452" s="0" t="s">
        <v>31</v>
      </c>
      <c r="F27452" s="0" t="s">
        <v>4600</v>
      </c>
    </row>
    <row r="27453" customFormat="false" ht="12.8" hidden="false" customHeight="false" outlineLevel="0" collapsed="false">
      <c r="B27453" s="0" t="s">
        <v>11017</v>
      </c>
      <c r="C27453" s="0" t="s">
        <v>4602</v>
      </c>
      <c r="E27453" s="0" t="s">
        <v>532</v>
      </c>
      <c r="F27453" s="0" t="s">
        <v>4603</v>
      </c>
    </row>
    <row r="27454" customFormat="false" ht="12.8" hidden="false" customHeight="false" outlineLevel="0" collapsed="false">
      <c r="B27454" s="0" t="s">
        <v>52</v>
      </c>
      <c r="C27454" s="0" t="s">
        <v>4604</v>
      </c>
      <c r="E27454" s="0" t="s">
        <v>2287</v>
      </c>
      <c r="F27454" s="0" t="s">
        <v>4605</v>
      </c>
    </row>
    <row r="27456" customFormat="false" ht="12.8" hidden="false" customHeight="false" outlineLevel="0" collapsed="false">
      <c r="A27456" s="0" t="s">
        <v>11018</v>
      </c>
      <c r="B27456" s="0" t="str">
        <f aca="false">HYPERLINK("https://lindat.mff.cuni.cz/services/teitok/pdtc10/index.php?action=vallex&amp;frame=v-whsb_661hsa_662", "pohrát si (v-whsb_661hsa_662)")</f>
        <v>pohrát si (v-whsb_661hsa_662)</v>
      </c>
    </row>
    <row r="27457" customFormat="false" ht="12.8" hidden="false" customHeight="false" outlineLevel="0" collapsed="false">
      <c r="B27457" s="0" t="s">
        <v>1</v>
      </c>
    </row>
    <row r="27458" customFormat="false" ht="12.8" hidden="false" customHeight="false" outlineLevel="0" collapsed="false">
      <c r="B27458" s="0" t="s">
        <v>721</v>
      </c>
    </row>
    <row r="27460" customFormat="false" ht="12.8" hidden="false" customHeight="false" outlineLevel="0" collapsed="false">
      <c r="A27460" s="0" t="s">
        <v>11019</v>
      </c>
      <c r="B27460" s="0" t="str">
        <f aca="false">HYPERLINK("https://lindat.mff.cuni.cz/services/teitok/pdtc10/index.php?action=vallex&amp;frame=v-w3688f1", "pohrávat si (v-w3688f1)")</f>
        <v>pohrávat si (v-w3688f1)</v>
      </c>
      <c r="E27460" s="0" t="str">
        <f aca="false">HYPERLINK("https://lindat.mff.cuni.cz/services/SynSemClass40/SynSemClass40.html?veclass=vec00817#vec00817-ces-cm00004", "vec00817")</f>
        <v>vec00817</v>
      </c>
      <c r="F27460" s="0" t="s">
        <v>4155</v>
      </c>
    </row>
    <row r="27461" customFormat="false" ht="12.8" hidden="false" customHeight="false" outlineLevel="0" collapsed="false">
      <c r="B27461" s="0" t="s">
        <v>1</v>
      </c>
      <c r="C27461" s="0" t="s">
        <v>4114</v>
      </c>
      <c r="E27461" s="0" t="s">
        <v>11</v>
      </c>
      <c r="F27461" s="0" t="s">
        <v>4156</v>
      </c>
    </row>
    <row r="27462" customFormat="false" ht="12.8" hidden="false" customHeight="false" outlineLevel="0" collapsed="false">
      <c r="B27462" s="0" t="s">
        <v>721</v>
      </c>
      <c r="C27462" s="0" t="s">
        <v>1940</v>
      </c>
      <c r="E27462" s="0" t="s">
        <v>34</v>
      </c>
      <c r="F27462" s="0" t="s">
        <v>4157</v>
      </c>
    </row>
    <row r="27464" customFormat="false" ht="12.8" hidden="false" customHeight="false" outlineLevel="0" collapsed="false">
      <c r="A27464" s="0" t="s">
        <v>11020</v>
      </c>
      <c r="B27464" s="0" t="str">
        <f aca="false">HYPERLINK("https://lindat.mff.cuni.cz/services/teitok/pdtc10/index.php?action=vallex&amp;frame=v-w3698f1", "pohupovat (v-w3698f1)")</f>
        <v>pohupovat (v-w3698f1)</v>
      </c>
    </row>
    <row r="27465" customFormat="false" ht="12.8" hidden="false" customHeight="false" outlineLevel="0" collapsed="false">
      <c r="B27465" s="0" t="s">
        <v>1</v>
      </c>
    </row>
    <row r="27466" customFormat="false" ht="12.8" hidden="false" customHeight="false" outlineLevel="0" collapsed="false">
      <c r="B27466" s="0" t="s">
        <v>286</v>
      </c>
    </row>
    <row r="27468" customFormat="false" ht="12.8" hidden="false" customHeight="false" outlineLevel="0" collapsed="false">
      <c r="A27468" s="0" t="s">
        <v>11021</v>
      </c>
      <c r="B27468" s="0" t="str">
        <f aca="false">HYPERLINK("https://lindat.mff.cuni.cz/services/teitok/pdtc10/index.php?action=vallex&amp;frame=v-whsa_1415hsa_1416", "pohupovat se (v-whsa_1415hsa_1416)")</f>
        <v>pohupovat se (v-whsa_1415hsa_1416)</v>
      </c>
    </row>
    <row r="27469" customFormat="false" ht="12.8" hidden="false" customHeight="false" outlineLevel="0" collapsed="false">
      <c r="B27469" s="0" t="s">
        <v>1</v>
      </c>
    </row>
    <row r="27471" customFormat="false" ht="12.8" hidden="false" customHeight="false" outlineLevel="0" collapsed="false">
      <c r="A27471" s="0" t="s">
        <v>11022</v>
      </c>
      <c r="B27471" s="0" t="str">
        <f aca="false">HYPERLINK("https://lindat.mff.cuni.cz/services/teitok/pdtc10/index.php?action=vallex&amp;frame=v-w11548_ZUf2_ZU", "pohvizdovat si (v-w11548_ZUf2_ZU)")</f>
        <v>pohvizdovat si (v-w11548_ZUf2_ZU)</v>
      </c>
      <c r="E27471" s="0" t="str">
        <f aca="false">HYPERLINK("https://lindat.mff.cuni.cz/services/SynSemClass40/SynSemClass40.html?veclass=vec01398#vec01398-ces-cm00004", "vec01398")</f>
        <v>vec01398</v>
      </c>
      <c r="F27471" s="0" t="s">
        <v>4694</v>
      </c>
    </row>
    <row r="27472" customFormat="false" ht="12.8" hidden="false" customHeight="false" outlineLevel="0" collapsed="false">
      <c r="B27472" s="0" t="s">
        <v>1</v>
      </c>
      <c r="C27472" s="0" t="s">
        <v>4695</v>
      </c>
      <c r="E27472" s="0" t="s">
        <v>147</v>
      </c>
      <c r="F27472" s="0" t="s">
        <v>4696</v>
      </c>
    </row>
    <row r="27473" customFormat="false" ht="12.8" hidden="false" customHeight="false" outlineLevel="0" collapsed="false">
      <c r="B27473" s="0" t="s">
        <v>11023</v>
      </c>
      <c r="C27473" s="0" t="s">
        <v>744</v>
      </c>
      <c r="E27473" s="0" t="s">
        <v>2323</v>
      </c>
      <c r="F27473" s="0" t="s">
        <v>4698</v>
      </c>
    </row>
    <row r="27475" customFormat="false" ht="12.8" hidden="false" customHeight="false" outlineLevel="0" collapsed="false">
      <c r="A27475" s="0" t="s">
        <v>11022</v>
      </c>
      <c r="B27475" s="0" t="str">
        <f aca="false">HYPERLINK("https://lindat.mff.cuni.cz/services/teitok/pdtc10/index.php?action=vallex&amp;frame=v-w11548_ZUf1_ZU", "pohvizdovat si (v-w11548_ZUf1_ZU) - substituted with v-w11548_ZUf2_ZU")</f>
        <v>pohvizdovat si (v-w11548_ZUf1_ZU) - substituted with v-w11548_ZUf2_ZU</v>
      </c>
    </row>
    <row r="27476" customFormat="false" ht="12.8" hidden="false" customHeight="false" outlineLevel="0" collapsed="false">
      <c r="B27476" s="0" t="s">
        <v>1</v>
      </c>
    </row>
    <row r="27477" customFormat="false" ht="12.8" hidden="false" customHeight="false" outlineLevel="0" collapsed="false">
      <c r="B27477" s="0" t="s">
        <v>11023</v>
      </c>
    </row>
    <row r="27479" customFormat="false" ht="12.8" hidden="false" customHeight="false" outlineLevel="0" collapsed="false">
      <c r="A27479" s="0" t="s">
        <v>11024</v>
      </c>
      <c r="B27479" s="0" t="str">
        <f aca="false">HYPERLINK("https://lindat.mff.cuni.cz/services/teitok/pdtc10/index.php?action=vallex&amp;frame=v-w3700hsa_1880", "pohybovat (v-w3700hsa_1880)")</f>
        <v>pohybovat (v-w3700hsa_1880)</v>
      </c>
    </row>
    <row r="27480" customFormat="false" ht="12.8" hidden="false" customHeight="false" outlineLevel="0" collapsed="false">
      <c r="B27480" s="0" t="s">
        <v>1</v>
      </c>
    </row>
    <row r="27481" customFormat="false" ht="12.8" hidden="false" customHeight="false" outlineLevel="0" collapsed="false">
      <c r="B27481" s="0" t="s">
        <v>4277</v>
      </c>
    </row>
    <row r="27483" customFormat="false" ht="12.8" hidden="false" customHeight="false" outlineLevel="0" collapsed="false">
      <c r="A27483" s="0" t="s">
        <v>11024</v>
      </c>
      <c r="B27483" s="0" t="str">
        <f aca="false">HYPERLINK("https://lindat.mff.cuni.cz/services/teitok/pdtc10/index.php?action=vallex&amp;frame=v-w3700f1", "pohybovat (v-w3700f1) - substituted with v-w3700hsa_1880")</f>
        <v>pohybovat (v-w3700f1) - substituted with v-w3700hsa_1880</v>
      </c>
    </row>
    <row r="27484" customFormat="false" ht="12.8" hidden="false" customHeight="false" outlineLevel="0" collapsed="false">
      <c r="B27484" s="0" t="s">
        <v>1</v>
      </c>
    </row>
    <row r="27485" customFormat="false" ht="12.8" hidden="false" customHeight="false" outlineLevel="0" collapsed="false">
      <c r="B27485" s="0" t="s">
        <v>4277</v>
      </c>
    </row>
    <row r="27487" customFormat="false" ht="12.8" hidden="false" customHeight="false" outlineLevel="0" collapsed="false">
      <c r="A27487" s="0" t="s">
        <v>11025</v>
      </c>
      <c r="B27487" s="0" t="str">
        <f aca="false">HYPERLINK("https://lindat.mff.cuni.cz/services/teitok/pdtc10/index.php?action=vallex&amp;frame=v-w3701f1", "pohybovat se (v-w3701f1)")</f>
        <v>pohybovat se (v-w3701f1)</v>
      </c>
      <c r="E27487" s="0" t="str">
        <f aca="false">HYPERLINK("https://lindat.mff.cuni.cz/services/SynSemClass40/SynSemClass40.html?veclass=vec00070#vec00070-ces-cm00001", "vec00070")</f>
        <v>vec00070</v>
      </c>
      <c r="F27487" s="0" t="s">
        <v>233</v>
      </c>
    </row>
    <row r="27488" customFormat="false" ht="12.8" hidden="false" customHeight="false" outlineLevel="0" collapsed="false">
      <c r="B27488" s="0" t="s">
        <v>1</v>
      </c>
      <c r="C27488" s="0" t="s">
        <v>234</v>
      </c>
      <c r="E27488" s="0" t="s">
        <v>235</v>
      </c>
      <c r="F27488" s="0" t="s">
        <v>236</v>
      </c>
    </row>
    <row r="27489" customFormat="false" ht="12.8" hidden="false" customHeight="false" outlineLevel="0" collapsed="false">
      <c r="B27489" s="0" t="s">
        <v>5</v>
      </c>
      <c r="C27489" s="0" t="s">
        <v>11026</v>
      </c>
      <c r="E27489" s="0" t="s">
        <v>11027</v>
      </c>
      <c r="F27489" s="0" t="s">
        <v>11028</v>
      </c>
    </row>
    <row r="27491" customFormat="false" ht="12.8" hidden="false" customHeight="false" outlineLevel="0" collapsed="false">
      <c r="A27491" s="0" t="s">
        <v>11029</v>
      </c>
      <c r="B27491" s="0" t="str">
        <f aca="false">HYPERLINK("https://lindat.mff.cuni.cz/services/teitok/pdtc10/index.php?action=vallex&amp;frame=v-w3701f2", "pohybovat se (v-w3701f2)")</f>
        <v>pohybovat se (v-w3701f2)</v>
      </c>
      <c r="E27491" s="0" t="str">
        <f aca="false">HYPERLINK("https://lindat.mff.cuni.cz/services/SynSemClass40/SynSemClass40.html?veclass=vec00054#vec00054-ces-cm00035", "vec00054")</f>
        <v>vec00054</v>
      </c>
      <c r="F27491" s="0" t="s">
        <v>6203</v>
      </c>
    </row>
    <row r="27492" customFormat="false" ht="12.8" hidden="false" customHeight="false" outlineLevel="0" collapsed="false">
      <c r="B27492" s="0" t="s">
        <v>1</v>
      </c>
      <c r="C27492" s="0" t="s">
        <v>6204</v>
      </c>
      <c r="E27492" s="0" t="s">
        <v>11</v>
      </c>
      <c r="F27492" s="0" t="s">
        <v>6205</v>
      </c>
    </row>
    <row r="27493" customFormat="false" ht="12.8" hidden="false" customHeight="false" outlineLevel="0" collapsed="false">
      <c r="B27493" s="0" t="s">
        <v>5</v>
      </c>
      <c r="C27493" s="0" t="s">
        <v>6206</v>
      </c>
      <c r="E27493" s="0" t="s">
        <v>3254</v>
      </c>
      <c r="F27493" s="0" t="s">
        <v>6207</v>
      </c>
    </row>
    <row r="27495" customFormat="false" ht="12.8" hidden="false" customHeight="false" outlineLevel="0" collapsed="false">
      <c r="A27495" s="0" t="s">
        <v>11030</v>
      </c>
      <c r="B27495" s="0" t="str">
        <f aca="false">HYPERLINK("https://lindat.mff.cuni.cz/services/teitok/pdtc10/index.php?action=vallex&amp;frame=v-w3701f4_ZU", "pohybovat se (v-w3701f4_ZU)")</f>
        <v>pohybovat se (v-w3701f4_ZU)</v>
      </c>
      <c r="E27495" s="0" t="str">
        <f aca="false">HYPERLINK("https://lindat.mff.cuni.cz/services/SynSemClass40/SynSemClass40.html?veclass=vec01287#vec01287-ces-cm00006", "vec01287")</f>
        <v>vec01287</v>
      </c>
      <c r="F27495" s="0" t="s">
        <v>11031</v>
      </c>
    </row>
    <row r="27496" customFormat="false" ht="12.8" hidden="false" customHeight="false" outlineLevel="0" collapsed="false">
      <c r="B27496" s="0" t="s">
        <v>1</v>
      </c>
      <c r="E27496" s="0" t="s">
        <v>334</v>
      </c>
      <c r="F27496" s="0" t="s">
        <v>11032</v>
      </c>
    </row>
    <row r="27498" customFormat="false" ht="12.8" hidden="false" customHeight="false" outlineLevel="0" collapsed="false">
      <c r="A27498" s="0" t="s">
        <v>11030</v>
      </c>
      <c r="B27498" s="0" t="str">
        <f aca="false">HYPERLINK("https://lindat.mff.cuni.cz/services/teitok/pdtc10/index.php?action=vallex&amp;frame=v-w3701f3", "pohybovat se (v-w3701f3) - substituted with v-w3701f4_ZU")</f>
        <v>pohybovat se (v-w3701f3) - substituted with v-w3701f4_ZU</v>
      </c>
    </row>
    <row r="27499" customFormat="false" ht="12.8" hidden="false" customHeight="false" outlineLevel="0" collapsed="false">
      <c r="B27499" s="0" t="s">
        <v>1</v>
      </c>
    </row>
    <row r="27501" customFormat="false" ht="12.8" hidden="false" customHeight="false" outlineLevel="0" collapsed="false">
      <c r="A27501" s="0" t="s">
        <v>11033</v>
      </c>
      <c r="B27501" s="0" t="str">
        <f aca="false">HYPERLINK("https://lindat.mff.cuni.cz/services/teitok/pdtc10/index.php?action=vallex&amp;frame=v-w3701hsa_532", "pohybovat se (v-w3701hsa_532)")</f>
        <v>pohybovat se (v-w3701hsa_532)</v>
      </c>
      <c r="E27501" s="0" t="str">
        <f aca="false">HYPERLINK("https://lindat.mff.cuni.cz/services/SynSemClass40/SynSemClass40.html?veclass=vec00022#vec00022-ces-cm00046", "vec00022")</f>
        <v>vec00022</v>
      </c>
      <c r="F27501" s="0" t="s">
        <v>4377</v>
      </c>
    </row>
    <row r="27502" customFormat="false" ht="12.8" hidden="false" customHeight="false" outlineLevel="0" collapsed="false">
      <c r="B27502" s="0" t="s">
        <v>1</v>
      </c>
      <c r="C27502" s="0" t="s">
        <v>4378</v>
      </c>
      <c r="E27502" s="0" t="s">
        <v>334</v>
      </c>
      <c r="F27502" s="0" t="s">
        <v>4379</v>
      </c>
    </row>
    <row r="27503" customFormat="false" ht="12.8" hidden="false" customHeight="false" outlineLevel="0" collapsed="false">
      <c r="B27503" s="0" t="s">
        <v>164</v>
      </c>
      <c r="E27503" s="0" t="s">
        <v>1315</v>
      </c>
      <c r="F27503" s="0" t="s">
        <v>1316</v>
      </c>
    </row>
    <row r="27505" customFormat="false" ht="12.8" hidden="false" customHeight="false" outlineLevel="0" collapsed="false">
      <c r="A27505" s="0" t="s">
        <v>11034</v>
      </c>
      <c r="B27505" s="0" t="str">
        <f aca="false">HYPERLINK("https://lindat.mff.cuni.cz/services/teitok/pdtc10/index.php?action=vallex&amp;frame=v-w11403f1", "pohádat se (v-w11403f1)")</f>
        <v>pohádat se (v-w11403f1)</v>
      </c>
      <c r="E27505" s="0" t="str">
        <f aca="false">HYPERLINK("https://lindat.mff.cuni.cz/services/SynSemClass40/SynSemClass40.html?veclass=vec00019#vec00019-ces-cm00023", "vec00019")</f>
        <v>vec00019</v>
      </c>
      <c r="F27505" s="0" t="s">
        <v>2250</v>
      </c>
    </row>
    <row r="27506" customFormat="false" ht="12.8" hidden="false" customHeight="false" outlineLevel="0" collapsed="false">
      <c r="B27506" s="0" t="s">
        <v>1</v>
      </c>
      <c r="C27506" s="0" t="s">
        <v>239</v>
      </c>
      <c r="E27506" s="0" t="s">
        <v>2251</v>
      </c>
      <c r="F27506" s="0" t="s">
        <v>2252</v>
      </c>
    </row>
    <row r="27507" customFormat="false" ht="12.8" hidden="false" customHeight="false" outlineLevel="0" collapsed="false">
      <c r="B27507" s="0" t="s">
        <v>276</v>
      </c>
      <c r="E27507" s="0" t="s">
        <v>2256</v>
      </c>
      <c r="F27507" s="0" t="s">
        <v>2257</v>
      </c>
    </row>
    <row r="27508" customFormat="false" ht="12.8" hidden="false" customHeight="false" outlineLevel="0" collapsed="false">
      <c r="B27508" s="0" t="s">
        <v>4253</v>
      </c>
      <c r="C27508" s="0" t="s">
        <v>2254</v>
      </c>
      <c r="E27508" s="0" t="s">
        <v>230</v>
      </c>
      <c r="F27508" s="0" t="s">
        <v>2255</v>
      </c>
    </row>
    <row r="27510" customFormat="false" ht="12.8" hidden="false" customHeight="false" outlineLevel="0" collapsed="false">
      <c r="A27510" s="0" t="s">
        <v>11035</v>
      </c>
      <c r="B27510" s="0" t="str">
        <f aca="false">HYPERLINK("https://lindat.mff.cuni.cz/services/teitok/pdtc10/index.php?action=vallex&amp;frame=v-w3665f1", "pohánět (v-w3665f1)")</f>
        <v>pohánět (v-w3665f1)</v>
      </c>
      <c r="E27510" s="0" t="str">
        <f aca="false">HYPERLINK("https://lindat.mff.cuni.cz/services/SynSemClass40/SynSemClass40.html?veclass=vec01422#vec01422-ces-cm00002", "vec01422")</f>
        <v>vec01422</v>
      </c>
      <c r="F27510" s="0" t="s">
        <v>7608</v>
      </c>
    </row>
    <row r="27511" customFormat="false" ht="12.8" hidden="false" customHeight="false" outlineLevel="0" collapsed="false">
      <c r="B27511" s="0" t="s">
        <v>1</v>
      </c>
      <c r="C27511" s="0" t="s">
        <v>7609</v>
      </c>
      <c r="E27511" s="0" t="s">
        <v>4581</v>
      </c>
      <c r="F27511" s="0" t="s">
        <v>7610</v>
      </c>
    </row>
    <row r="27512" customFormat="false" ht="12.8" hidden="false" customHeight="false" outlineLevel="0" collapsed="false">
      <c r="B27512" s="0" t="s">
        <v>8</v>
      </c>
      <c r="C27512" s="0" t="s">
        <v>6960</v>
      </c>
      <c r="E27512" s="0" t="s">
        <v>142</v>
      </c>
      <c r="F27512" s="0" t="s">
        <v>7611</v>
      </c>
    </row>
    <row r="27514" customFormat="false" ht="12.8" hidden="false" customHeight="false" outlineLevel="0" collapsed="false">
      <c r="A27514" s="0" t="s">
        <v>11036</v>
      </c>
      <c r="B27514" s="0" t="str">
        <f aca="false">HYPERLINK("https://lindat.mff.cuni.cz/services/teitok/pdtc10/index.php?action=vallex&amp;frame=v-w3665f2", "pohánět (v-w3665f2)")</f>
        <v>pohánět (v-w3665f2)</v>
      </c>
      <c r="E27514" s="0" t="str">
        <f aca="false">HYPERLINK("https://lindat.mff.cuni.cz/services/SynSemClass40/SynSemClass40.html?veclass=vec00361#vec00361-ces-cm00058", "vec00361")</f>
        <v>vec00361</v>
      </c>
      <c r="F27514" s="0" t="s">
        <v>7548</v>
      </c>
    </row>
    <row r="27515" customFormat="false" ht="12.8" hidden="false" customHeight="false" outlineLevel="0" collapsed="false">
      <c r="B27515" s="0" t="s">
        <v>1</v>
      </c>
      <c r="C27515" s="0" t="s">
        <v>4725</v>
      </c>
      <c r="E27515" s="0" t="s">
        <v>31</v>
      </c>
      <c r="F27515" s="0" t="s">
        <v>7550</v>
      </c>
    </row>
    <row r="27516" customFormat="false" ht="12.8" hidden="false" customHeight="false" outlineLevel="0" collapsed="false">
      <c r="B27516" s="0" t="s">
        <v>8</v>
      </c>
      <c r="C27516" s="0" t="s">
        <v>11037</v>
      </c>
      <c r="E27516" s="0" t="s">
        <v>3002</v>
      </c>
      <c r="F27516" s="0" t="s">
        <v>7552</v>
      </c>
    </row>
    <row r="27518" customFormat="false" ht="12.8" hidden="false" customHeight="false" outlineLevel="0" collapsed="false">
      <c r="A27518" s="0" t="s">
        <v>11038</v>
      </c>
      <c r="B27518" s="0" t="str">
        <f aca="false">HYPERLINK("https://lindat.mff.cuni.cz/services/teitok/pdtc10/index.php?action=vallex&amp;frame=v-w3694f1", "pohřbít (v-w3694f1)")</f>
        <v>pohřbít (v-w3694f1)</v>
      </c>
    </row>
    <row r="27519" customFormat="false" ht="12.8" hidden="false" customHeight="false" outlineLevel="0" collapsed="false">
      <c r="B27519" s="0" t="s">
        <v>1</v>
      </c>
    </row>
    <row r="27520" customFormat="false" ht="12.8" hidden="false" customHeight="false" outlineLevel="0" collapsed="false">
      <c r="B27520" s="0" t="s">
        <v>8</v>
      </c>
    </row>
    <row r="27522" customFormat="false" ht="12.8" hidden="false" customHeight="false" outlineLevel="0" collapsed="false">
      <c r="A27522" s="0" t="s">
        <v>11039</v>
      </c>
      <c r="B27522" s="0" t="str">
        <f aca="false">HYPERLINK("https://lindat.mff.cuni.cz/services/teitok/pdtc10/index.php?action=vallex&amp;frame=v-w3694f2", "pohřbít (v-w3694f2)")</f>
        <v>pohřbít (v-w3694f2)</v>
      </c>
      <c r="E27522" s="0" t="str">
        <f aca="false">HYPERLINK("https://lindat.mff.cuni.cz/services/SynSemClass40/SynSemClass40.html?veclass=vec00389#vec00389-ces-cm00017", "vec00389")</f>
        <v>vec00389</v>
      </c>
      <c r="F27522" s="0" t="s">
        <v>1888</v>
      </c>
    </row>
    <row r="27523" customFormat="false" ht="12.8" hidden="false" customHeight="false" outlineLevel="0" collapsed="false">
      <c r="B27523" s="0" t="s">
        <v>1</v>
      </c>
      <c r="C27523" s="0" t="s">
        <v>1889</v>
      </c>
      <c r="E27523" s="0" t="s">
        <v>1890</v>
      </c>
      <c r="F27523" s="0" t="s">
        <v>1891</v>
      </c>
    </row>
    <row r="27524" customFormat="false" ht="12.8" hidden="false" customHeight="false" outlineLevel="0" collapsed="false">
      <c r="B27524" s="0" t="s">
        <v>8</v>
      </c>
      <c r="C27524" s="0" t="s">
        <v>1892</v>
      </c>
      <c r="E27524" s="0" t="s">
        <v>1893</v>
      </c>
      <c r="F27524" s="0" t="s">
        <v>1894</v>
      </c>
    </row>
    <row r="27526" customFormat="false" ht="12.8" hidden="false" customHeight="false" outlineLevel="0" collapsed="false">
      <c r="A27526" s="0" t="s">
        <v>11040</v>
      </c>
      <c r="B27526" s="0" t="str">
        <f aca="false">HYPERLINK("https://lindat.mff.cuni.cz/services/teitok/pdtc10/index.php?action=vallex&amp;frame=v-w3695f1", "pohřbívat (v-w3695f1)")</f>
        <v>pohřbívat (v-w3695f1)</v>
      </c>
    </row>
    <row r="27527" customFormat="false" ht="12.8" hidden="false" customHeight="false" outlineLevel="0" collapsed="false">
      <c r="B27527" s="0" t="s">
        <v>1</v>
      </c>
    </row>
    <row r="27528" customFormat="false" ht="12.8" hidden="false" customHeight="false" outlineLevel="0" collapsed="false">
      <c r="B27528" s="0" t="s">
        <v>8</v>
      </c>
    </row>
    <row r="27530" customFormat="false" ht="12.8" hidden="false" customHeight="false" outlineLevel="0" collapsed="false">
      <c r="A27530" s="0" t="s">
        <v>11041</v>
      </c>
      <c r="B27530" s="0" t="str">
        <f aca="false">HYPERLINK("https://lindat.mff.cuni.cz/services/teitok/pdtc10/index.php?action=vallex&amp;frame=v-w3697f1", "pohřešovat (v-w3697f1)")</f>
        <v>pohřešovat (v-w3697f1)</v>
      </c>
      <c r="E27530" s="0" t="str">
        <f aca="false">HYPERLINK("https://lindat.mff.cuni.cz/services/SynSemClass40/SynSemClass40.html?veclass=vec01073#vec01073-ces-cm00001", "vec01073")</f>
        <v>vec01073</v>
      </c>
      <c r="F27530" s="0" t="s">
        <v>11042</v>
      </c>
    </row>
    <row r="27531" customFormat="false" ht="12.8" hidden="false" customHeight="false" outlineLevel="0" collapsed="false">
      <c r="B27531" s="0" t="s">
        <v>1</v>
      </c>
      <c r="E27531" s="0" t="s">
        <v>11043</v>
      </c>
      <c r="F27531" s="0" t="s">
        <v>11044</v>
      </c>
    </row>
    <row r="27532" customFormat="false" ht="12.8" hidden="false" customHeight="false" outlineLevel="0" collapsed="false">
      <c r="B27532" s="0" t="s">
        <v>8</v>
      </c>
      <c r="C27532" s="0" t="s">
        <v>1940</v>
      </c>
      <c r="E27532" s="0" t="s">
        <v>11045</v>
      </c>
      <c r="F27532" s="0" t="s">
        <v>11046</v>
      </c>
    </row>
    <row r="27534" customFormat="false" ht="12.8" hidden="false" customHeight="false" outlineLevel="0" collapsed="false">
      <c r="A27534" s="0" t="s">
        <v>11047</v>
      </c>
      <c r="B27534" s="0" t="str">
        <f aca="false">HYPERLINK("https://lindat.mff.cuni.cz/services/teitok/pdtc10/index.php?action=vallex&amp;frame=v-w3725f1", "pojednat (v-w3725f1)")</f>
        <v>pojednat (v-w3725f1)</v>
      </c>
    </row>
    <row r="27535" customFormat="false" ht="12.8" hidden="false" customHeight="false" outlineLevel="0" collapsed="false">
      <c r="B27535" s="0" t="s">
        <v>1</v>
      </c>
    </row>
    <row r="27536" customFormat="false" ht="12.8" hidden="false" customHeight="false" outlineLevel="0" collapsed="false">
      <c r="B27536" s="0" t="s">
        <v>8</v>
      </c>
    </row>
    <row r="27537" customFormat="false" ht="12.8" hidden="false" customHeight="false" outlineLevel="0" collapsed="false">
      <c r="B27537" s="0" t="s">
        <v>1640</v>
      </c>
    </row>
    <row r="27539" customFormat="false" ht="12.8" hidden="false" customHeight="false" outlineLevel="0" collapsed="false">
      <c r="A27539" s="0" t="s">
        <v>11048</v>
      </c>
      <c r="B27539" s="0" t="str">
        <f aca="false">HYPERLINK("https://lindat.mff.cuni.cz/services/teitok/pdtc10/index.php?action=vallex&amp;frame=v-w3725f4", "pojednat (v-w3725f4)")</f>
        <v>pojednat (v-w3725f4)</v>
      </c>
    </row>
    <row r="27540" customFormat="false" ht="12.8" hidden="false" customHeight="false" outlineLevel="0" collapsed="false">
      <c r="B27540" s="0" t="s">
        <v>1</v>
      </c>
    </row>
    <row r="27541" customFormat="false" ht="12.8" hidden="false" customHeight="false" outlineLevel="0" collapsed="false">
      <c r="B27541" s="0" t="s">
        <v>8</v>
      </c>
    </row>
    <row r="27543" customFormat="false" ht="12.8" hidden="false" customHeight="false" outlineLevel="0" collapsed="false">
      <c r="A27543" s="0" t="s">
        <v>11049</v>
      </c>
      <c r="B27543" s="0" t="str">
        <f aca="false">HYPERLINK("https://lindat.mff.cuni.cz/services/teitok/pdtc10/index.php?action=vallex&amp;frame=v-w3725f2", "pojednat (v-w3725f2)")</f>
        <v>pojednat (v-w3725f2)</v>
      </c>
    </row>
    <row r="27544" customFormat="false" ht="12.8" hidden="false" customHeight="false" outlineLevel="0" collapsed="false">
      <c r="B27544" s="0" t="s">
        <v>1</v>
      </c>
    </row>
    <row r="27545" customFormat="false" ht="12.8" hidden="false" customHeight="false" outlineLevel="0" collapsed="false">
      <c r="B27545" s="0" t="s">
        <v>8</v>
      </c>
    </row>
    <row r="27546" customFormat="false" ht="12.8" hidden="false" customHeight="false" outlineLevel="0" collapsed="false">
      <c r="B27546" s="0" t="s">
        <v>642</v>
      </c>
    </row>
    <row r="27547" customFormat="false" ht="12.8" hidden="false" customHeight="false" outlineLevel="0" collapsed="false">
      <c r="B27547" s="0" t="s">
        <v>648</v>
      </c>
    </row>
    <row r="27548" customFormat="false" ht="12.8" hidden="false" customHeight="false" outlineLevel="0" collapsed="false">
      <c r="B27548" s="0" t="s">
        <v>650</v>
      </c>
    </row>
    <row r="27549" customFormat="false" ht="12.8" hidden="false" customHeight="false" outlineLevel="0" collapsed="false">
      <c r="B27549" s="0" t="s">
        <v>652</v>
      </c>
    </row>
    <row r="27551" customFormat="false" ht="12.8" hidden="false" customHeight="false" outlineLevel="0" collapsed="false">
      <c r="A27551" s="0" t="s">
        <v>11050</v>
      </c>
      <c r="B27551" s="0" t="str">
        <f aca="false">HYPERLINK("https://lindat.mff.cuni.cz/services/teitok/pdtc10/index.php?action=vallex&amp;frame=v-w3725f3", "pojednat (v-w3725f3)")</f>
        <v>pojednat (v-w3725f3)</v>
      </c>
    </row>
    <row r="27552" customFormat="false" ht="12.8" hidden="false" customHeight="false" outlineLevel="0" collapsed="false">
      <c r="B27552" s="0" t="s">
        <v>1</v>
      </c>
    </row>
    <row r="27553" customFormat="false" ht="12.8" hidden="false" customHeight="false" outlineLevel="0" collapsed="false">
      <c r="B27553" s="0" t="s">
        <v>318</v>
      </c>
    </row>
    <row r="27555" customFormat="false" ht="12.8" hidden="false" customHeight="false" outlineLevel="0" collapsed="false">
      <c r="A27555" s="0" t="s">
        <v>11051</v>
      </c>
      <c r="B27555" s="0" t="str">
        <f aca="false">HYPERLINK("https://lindat.mff.cuni.cz/services/teitok/pdtc10/index.php?action=vallex&amp;frame=v-w3728f1", "pojednávat (v-w3728f1)")</f>
        <v>pojednávat (v-w3728f1)</v>
      </c>
    </row>
    <row r="27556" customFormat="false" ht="12.8" hidden="false" customHeight="false" outlineLevel="0" collapsed="false">
      <c r="B27556" s="0" t="s">
        <v>1</v>
      </c>
    </row>
    <row r="27557" customFormat="false" ht="12.8" hidden="false" customHeight="false" outlineLevel="0" collapsed="false">
      <c r="B27557" s="0" t="s">
        <v>318</v>
      </c>
    </row>
    <row r="27559" customFormat="false" ht="12.8" hidden="false" customHeight="false" outlineLevel="0" collapsed="false">
      <c r="A27559" s="0" t="s">
        <v>11052</v>
      </c>
      <c r="B27559" s="0" t="str">
        <f aca="false">HYPERLINK("https://lindat.mff.cuni.cz/services/teitok/pdtc10/index.php?action=vallex&amp;frame=v-w3734f1", "pojistit (v-w3734f1)")</f>
        <v>pojistit (v-w3734f1)</v>
      </c>
      <c r="E27559" s="0" t="str">
        <f aca="false">HYPERLINK("https://lindat.mff.cuni.cz/services/SynSemClass40/SynSemClass40.html?veclass=vec00260#vec00260-ces-cm00001", "vec00260")</f>
        <v>vec00260</v>
      </c>
      <c r="F27559" s="0" t="s">
        <v>4985</v>
      </c>
    </row>
    <row r="27560" customFormat="false" ht="12.8" hidden="false" customHeight="false" outlineLevel="0" collapsed="false">
      <c r="B27560" s="0" t="s">
        <v>1</v>
      </c>
      <c r="C27560" s="0" t="s">
        <v>4986</v>
      </c>
      <c r="E27560" s="0" t="s">
        <v>4987</v>
      </c>
      <c r="F27560" s="0" t="s">
        <v>4988</v>
      </c>
    </row>
    <row r="27561" customFormat="false" ht="12.8" hidden="false" customHeight="false" outlineLevel="0" collapsed="false">
      <c r="B27561" s="0" t="s">
        <v>8</v>
      </c>
      <c r="C27561" s="0" t="s">
        <v>4017</v>
      </c>
      <c r="E27561" s="0" t="s">
        <v>594</v>
      </c>
      <c r="F27561" s="0" t="s">
        <v>4989</v>
      </c>
    </row>
    <row r="27563" customFormat="false" ht="12.8" hidden="false" customHeight="false" outlineLevel="0" collapsed="false">
      <c r="A27563" s="0" t="s">
        <v>11053</v>
      </c>
      <c r="B27563" s="0" t="str">
        <f aca="false">HYPERLINK("https://lindat.mff.cuni.cz/services/teitok/pdtc10/index.php?action=vallex&amp;frame=v-w3739f2", "pojit (v-w3739f2)")</f>
        <v>pojit (v-w3739f2)</v>
      </c>
    </row>
    <row r="27564" customFormat="false" ht="12.8" hidden="false" customHeight="false" outlineLevel="0" collapsed="false">
      <c r="B27564" s="0" t="s">
        <v>1</v>
      </c>
    </row>
    <row r="27565" customFormat="false" ht="12.8" hidden="false" customHeight="false" outlineLevel="0" collapsed="false">
      <c r="B27565" s="0" t="s">
        <v>8</v>
      </c>
    </row>
    <row r="27566" customFormat="false" ht="12.8" hidden="false" customHeight="false" outlineLevel="0" collapsed="false">
      <c r="B27566" s="0" t="s">
        <v>5035</v>
      </c>
    </row>
    <row r="27568" customFormat="false" ht="12.8" hidden="false" customHeight="false" outlineLevel="0" collapsed="false">
      <c r="A27568" s="0" t="s">
        <v>11054</v>
      </c>
      <c r="B27568" s="0" t="str">
        <f aca="false">HYPERLINK("https://lindat.mff.cuni.cz/services/teitok/pdtc10/index.php?action=vallex&amp;frame=v-w3739f1", "pojit (v-w3739f1)")</f>
        <v>pojit (v-w3739f1)</v>
      </c>
    </row>
    <row r="27569" customFormat="false" ht="12.8" hidden="false" customHeight="false" outlineLevel="0" collapsed="false">
      <c r="B27569" s="0" t="s">
        <v>1</v>
      </c>
    </row>
    <row r="27570" customFormat="false" ht="12.8" hidden="false" customHeight="false" outlineLevel="0" collapsed="false">
      <c r="B27570" s="0" t="s">
        <v>8</v>
      </c>
    </row>
    <row r="27571" customFormat="false" ht="12.8" hidden="false" customHeight="false" outlineLevel="0" collapsed="false">
      <c r="B27571" s="0" t="s">
        <v>3537</v>
      </c>
    </row>
    <row r="27573" customFormat="false" ht="12.8" hidden="false" customHeight="false" outlineLevel="0" collapsed="false">
      <c r="A27573" s="0" t="s">
        <v>11055</v>
      </c>
      <c r="B27573" s="0" t="str">
        <f aca="false">HYPERLINK("https://lindat.mff.cuni.cz/services/teitok/pdtc10/index.php?action=vallex&amp;frame=v-w3740f1", "pojit se (v-w3740f1)")</f>
        <v>pojit se (v-w3740f1)</v>
      </c>
      <c r="E27573" s="0" t="str">
        <f aca="false">HYPERLINK("https://lindat.mff.cuni.cz/services/SynSemClass40/SynSemClass40.html?veclass=vec00318#vec00318-ces-cm00025", "vec00318")</f>
        <v>vec00318</v>
      </c>
      <c r="F27573" s="0" t="s">
        <v>3218</v>
      </c>
    </row>
    <row r="27574" customFormat="false" ht="12.8" hidden="false" customHeight="false" outlineLevel="0" collapsed="false">
      <c r="B27574" s="0" t="s">
        <v>1</v>
      </c>
      <c r="C27574" s="0" t="s">
        <v>3219</v>
      </c>
      <c r="E27574" s="0" t="s">
        <v>2241</v>
      </c>
      <c r="F27574" s="0" t="s">
        <v>3220</v>
      </c>
    </row>
    <row r="27575" customFormat="false" ht="12.8" hidden="false" customHeight="false" outlineLevel="0" collapsed="false">
      <c r="B27575" s="0" t="s">
        <v>721</v>
      </c>
      <c r="C27575" s="0" t="s">
        <v>3221</v>
      </c>
      <c r="E27575" s="0" t="s">
        <v>2665</v>
      </c>
      <c r="F27575" s="0" t="s">
        <v>3222</v>
      </c>
    </row>
    <row r="27576" customFormat="false" ht="12.8" hidden="false" customHeight="false" outlineLevel="0" collapsed="false">
      <c r="B27576" s="0" t="s">
        <v>3026</v>
      </c>
      <c r="C27576" s="0" t="s">
        <v>11056</v>
      </c>
      <c r="E27576" s="0" t="s">
        <v>4858</v>
      </c>
      <c r="F27576" s="0" t="s">
        <v>11057</v>
      </c>
    </row>
    <row r="27578" customFormat="false" ht="12.8" hidden="false" customHeight="false" outlineLevel="0" collapsed="false">
      <c r="A27578" s="0" t="s">
        <v>11058</v>
      </c>
      <c r="B27578" s="0" t="str">
        <f aca="false">HYPERLINK("https://lindat.mff.cuni.cz/services/teitok/pdtc10/index.php?action=vallex&amp;frame=v-w3738f1", "pojišťovat (v-w3738f1)")</f>
        <v>pojišťovat (v-w3738f1)</v>
      </c>
      <c r="E27578" s="0" t="str">
        <f aca="false">HYPERLINK("https://lindat.mff.cuni.cz/services/SynSemClass40/SynSemClass40.html?veclass=vec00260#vec00260-ces-cm00003", "vec00260")</f>
        <v>vec00260</v>
      </c>
      <c r="F27578" s="0" t="s">
        <v>4985</v>
      </c>
    </row>
    <row r="27579" customFormat="false" ht="12.8" hidden="false" customHeight="false" outlineLevel="0" collapsed="false">
      <c r="B27579" s="0" t="s">
        <v>1</v>
      </c>
      <c r="C27579" s="0" t="s">
        <v>4986</v>
      </c>
      <c r="E27579" s="0" t="s">
        <v>4987</v>
      </c>
      <c r="F27579" s="0" t="s">
        <v>4988</v>
      </c>
    </row>
    <row r="27580" customFormat="false" ht="12.8" hidden="false" customHeight="false" outlineLevel="0" collapsed="false">
      <c r="B27580" s="0" t="s">
        <v>8</v>
      </c>
      <c r="C27580" s="0" t="s">
        <v>4017</v>
      </c>
      <c r="E27580" s="0" t="s">
        <v>594</v>
      </c>
      <c r="F27580" s="0" t="s">
        <v>4989</v>
      </c>
    </row>
    <row r="27582" customFormat="false" ht="12.8" hidden="false" customHeight="false" outlineLevel="0" collapsed="false">
      <c r="A27582" s="0" t="s">
        <v>11059</v>
      </c>
      <c r="B27582" s="0" t="str">
        <f aca="false">HYPERLINK("https://lindat.mff.cuni.cz/services/teitok/pdtc10/index.php?action=vallex&amp;frame=v-w3742hsa_1686", "pojmenovat (v-w3742hsa_1686)")</f>
        <v>pojmenovat (v-w3742hsa_1686)</v>
      </c>
    </row>
    <row r="27583" customFormat="false" ht="12.8" hidden="false" customHeight="false" outlineLevel="0" collapsed="false">
      <c r="B27583" s="0" t="s">
        <v>1</v>
      </c>
    </row>
    <row r="27584" customFormat="false" ht="12.8" hidden="false" customHeight="false" outlineLevel="0" collapsed="false">
      <c r="B27584" s="0" t="s">
        <v>8</v>
      </c>
    </row>
    <row r="27585" customFormat="false" ht="12.8" hidden="false" customHeight="false" outlineLevel="0" collapsed="false">
      <c r="B27585" s="0" t="s">
        <v>11060</v>
      </c>
    </row>
    <row r="27587" customFormat="false" ht="12.8" hidden="false" customHeight="false" outlineLevel="0" collapsed="false">
      <c r="A27587" s="0" t="s">
        <v>11059</v>
      </c>
      <c r="B27587" s="0" t="str">
        <f aca="false">HYPERLINK("https://lindat.mff.cuni.cz/services/teitok/pdtc10/index.php?action=vallex&amp;frame=v-w3742f1", "pojmenovat (v-w3742f1) - substituted with v-w3742hsa_1686")</f>
        <v>pojmenovat (v-w3742f1) - substituted with v-w3742hsa_1686</v>
      </c>
      <c r="E27587" s="0" t="str">
        <f aca="false">HYPERLINK("https://lindat.mff.cuni.cz/services/SynSemClass40/SynSemClass40.html?veclass=vec00043#vec00043-ces-cm00020", "vec00043")</f>
        <v>vec00043</v>
      </c>
      <c r="F27587" s="0" t="s">
        <v>5012</v>
      </c>
    </row>
    <row r="27588" customFormat="false" ht="12.8" hidden="false" customHeight="false" outlineLevel="0" collapsed="false">
      <c r="B27588" s="0" t="s">
        <v>1</v>
      </c>
      <c r="C27588" s="0" t="s">
        <v>2758</v>
      </c>
      <c r="E27588" s="0" t="s">
        <v>8022</v>
      </c>
      <c r="F27588" s="0" t="s">
        <v>8023</v>
      </c>
    </row>
    <row r="27589" customFormat="false" ht="12.8" hidden="false" customHeight="false" outlineLevel="0" collapsed="false">
      <c r="B27589" s="0" t="s">
        <v>8</v>
      </c>
      <c r="C27589" s="0" t="s">
        <v>8024</v>
      </c>
      <c r="E27589" s="0" t="s">
        <v>8025</v>
      </c>
      <c r="F27589" s="0" t="s">
        <v>8026</v>
      </c>
    </row>
    <row r="27590" customFormat="false" ht="12.8" hidden="false" customHeight="false" outlineLevel="0" collapsed="false">
      <c r="B27590" s="0" t="s">
        <v>11060</v>
      </c>
      <c r="C27590" s="0" t="s">
        <v>8028</v>
      </c>
      <c r="E27590" s="0" t="s">
        <v>8029</v>
      </c>
      <c r="F27590" s="0" t="s">
        <v>8030</v>
      </c>
    </row>
    <row r="27592" customFormat="false" ht="12.8" hidden="false" customHeight="false" outlineLevel="0" collapsed="false">
      <c r="A27592" s="0" t="s">
        <v>11061</v>
      </c>
      <c r="B27592" s="0" t="str">
        <f aca="false">HYPERLINK("https://lindat.mff.cuni.cz/services/teitok/pdtc10/index.php?action=vallex&amp;frame=v-w3742f2", "pojmenovat (v-w3742f2)")</f>
        <v>pojmenovat (v-w3742f2)</v>
      </c>
      <c r="E27592" s="0" t="str">
        <f aca="false">HYPERLINK("https://lindat.mff.cuni.cz/services/SynSemClass40/SynSemClass40.html?veclass=vec00043#vec00043-ces-cm00044", "vec00043")</f>
        <v>vec00043</v>
      </c>
      <c r="F27592" s="0" t="s">
        <v>5012</v>
      </c>
    </row>
    <row r="27593" customFormat="false" ht="12.8" hidden="false" customHeight="false" outlineLevel="0" collapsed="false">
      <c r="B27593" s="0" t="s">
        <v>1</v>
      </c>
      <c r="C27593" s="0" t="s">
        <v>2758</v>
      </c>
      <c r="E27593" s="0" t="s">
        <v>8022</v>
      </c>
      <c r="F27593" s="0" t="s">
        <v>8023</v>
      </c>
    </row>
    <row r="27594" customFormat="false" ht="12.8" hidden="false" customHeight="false" outlineLevel="0" collapsed="false">
      <c r="B27594" s="0" t="s">
        <v>8</v>
      </c>
      <c r="C27594" s="0" t="s">
        <v>8024</v>
      </c>
      <c r="E27594" s="0" t="s">
        <v>8025</v>
      </c>
      <c r="F27594" s="0" t="s">
        <v>8026</v>
      </c>
    </row>
    <row r="27595" customFormat="false" ht="12.8" hidden="false" customHeight="false" outlineLevel="0" collapsed="false">
      <c r="B27595" s="0" t="s">
        <v>852</v>
      </c>
      <c r="C27595" s="0" t="s">
        <v>8032</v>
      </c>
      <c r="E27595" s="0" t="s">
        <v>8033</v>
      </c>
      <c r="F27595" s="0" t="s">
        <v>8034</v>
      </c>
    </row>
    <row r="27597" customFormat="false" ht="12.8" hidden="false" customHeight="false" outlineLevel="0" collapsed="false">
      <c r="A27597" s="0" t="s">
        <v>11062</v>
      </c>
      <c r="B27597" s="0" t="str">
        <f aca="false">HYPERLINK("https://lindat.mff.cuni.cz/services/teitok/pdtc10/index.php?action=vallex&amp;frame=v-w3742f3", "pojmenovat (v-w3742f3)")</f>
        <v>pojmenovat (v-w3742f3)</v>
      </c>
    </row>
    <row r="27598" customFormat="false" ht="12.8" hidden="false" customHeight="false" outlineLevel="0" collapsed="false">
      <c r="B27598" s="0" t="s">
        <v>1</v>
      </c>
    </row>
    <row r="27599" customFormat="false" ht="12.8" hidden="false" customHeight="false" outlineLevel="0" collapsed="false">
      <c r="B27599" s="0" t="s">
        <v>305</v>
      </c>
    </row>
    <row r="27601" customFormat="false" ht="12.8" hidden="false" customHeight="false" outlineLevel="0" collapsed="false">
      <c r="A27601" s="0" t="s">
        <v>11063</v>
      </c>
      <c r="B27601" s="0" t="str">
        <f aca="false">HYPERLINK("https://lindat.mff.cuni.cz/services/teitok/pdtc10/index.php?action=vallex&amp;frame=v-w3743f2", "pojmenovávat (v-w3743f2)")</f>
        <v>pojmenovávat (v-w3743f2)</v>
      </c>
      <c r="E27601" s="0" t="str">
        <f aca="false">HYPERLINK("https://lindat.mff.cuni.cz/services/SynSemClass40/SynSemClass40.html?veclass=vec00043#vec00043-ces-cm00039", "vec00043")</f>
        <v>vec00043</v>
      </c>
      <c r="F27601" s="0" t="s">
        <v>5012</v>
      </c>
    </row>
    <row r="27602" customFormat="false" ht="12.8" hidden="false" customHeight="false" outlineLevel="0" collapsed="false">
      <c r="B27602" s="0" t="s">
        <v>1</v>
      </c>
      <c r="C27602" s="0" t="s">
        <v>2758</v>
      </c>
      <c r="E27602" s="0" t="s">
        <v>8022</v>
      </c>
      <c r="F27602" s="0" t="s">
        <v>8023</v>
      </c>
    </row>
    <row r="27603" customFormat="false" ht="12.8" hidden="false" customHeight="false" outlineLevel="0" collapsed="false">
      <c r="B27603" s="0" t="s">
        <v>8</v>
      </c>
      <c r="C27603" s="0" t="s">
        <v>8024</v>
      </c>
      <c r="E27603" s="0" t="s">
        <v>8025</v>
      </c>
      <c r="F27603" s="0" t="s">
        <v>8026</v>
      </c>
    </row>
    <row r="27604" customFormat="false" ht="12.8" hidden="false" customHeight="false" outlineLevel="0" collapsed="false">
      <c r="B27604" s="0" t="s">
        <v>8027</v>
      </c>
      <c r="C27604" s="0" t="s">
        <v>8028</v>
      </c>
      <c r="E27604" s="0" t="s">
        <v>8029</v>
      </c>
      <c r="F27604" s="0" t="s">
        <v>8030</v>
      </c>
    </row>
    <row r="27606" customFormat="false" ht="12.8" hidden="false" customHeight="false" outlineLevel="0" collapsed="false">
      <c r="A27606" s="0" t="s">
        <v>11064</v>
      </c>
      <c r="B27606" s="0" t="str">
        <f aca="false">HYPERLINK("https://lindat.mff.cuni.cz/services/teitok/pdtc10/index.php?action=vallex&amp;frame=v-w3743f3", "pojmenovávat (v-w3743f3)")</f>
        <v>pojmenovávat (v-w3743f3)</v>
      </c>
    </row>
    <row r="27607" customFormat="false" ht="12.8" hidden="false" customHeight="false" outlineLevel="0" collapsed="false">
      <c r="B27607" s="0" t="s">
        <v>1</v>
      </c>
    </row>
    <row r="27608" customFormat="false" ht="12.8" hidden="false" customHeight="false" outlineLevel="0" collapsed="false">
      <c r="B27608" s="0" t="s">
        <v>8</v>
      </c>
    </row>
    <row r="27609" customFormat="false" ht="12.8" hidden="false" customHeight="false" outlineLevel="0" collapsed="false">
      <c r="B27609" s="0" t="s">
        <v>852</v>
      </c>
    </row>
    <row r="27611" customFormat="false" ht="12.8" hidden="false" customHeight="false" outlineLevel="0" collapsed="false">
      <c r="A27611" s="0" t="s">
        <v>11065</v>
      </c>
      <c r="B27611" s="0" t="str">
        <f aca="false">HYPERLINK("https://lindat.mff.cuni.cz/services/teitok/pdtc10/index.php?action=vallex&amp;frame=v-w3743f1", "pojmenovávat (v-w3743f1)")</f>
        <v>pojmenovávat (v-w3743f1)</v>
      </c>
    </row>
    <row r="27612" customFormat="false" ht="12.8" hidden="false" customHeight="false" outlineLevel="0" collapsed="false">
      <c r="B27612" s="0" t="s">
        <v>1</v>
      </c>
    </row>
    <row r="27613" customFormat="false" ht="12.8" hidden="false" customHeight="false" outlineLevel="0" collapsed="false">
      <c r="B27613" s="0" t="s">
        <v>8</v>
      </c>
    </row>
    <row r="27615" customFormat="false" ht="12.8" hidden="false" customHeight="false" outlineLevel="0" collapsed="false">
      <c r="A27615" s="0" t="s">
        <v>11066</v>
      </c>
      <c r="B27615" s="0" t="str">
        <f aca="false">HYPERLINK("https://lindat.mff.cuni.cz/services/teitok/pdtc10/index.php?action=vallex&amp;frame=v-w3744f1", "pojmout (v-w3744f1)")</f>
        <v>pojmout (v-w3744f1)</v>
      </c>
      <c r="E27615" s="0" t="str">
        <f aca="false">HYPERLINK("https://lindat.mff.cuni.cz/services/SynSemClass40/SynSemClass40.html?veclass=vec00402#vec00402-ces-cm00119", "vec00402")</f>
        <v>vec00402</v>
      </c>
      <c r="F27615" s="0" t="s">
        <v>619</v>
      </c>
    </row>
    <row r="27616" customFormat="false" ht="12.8" hidden="false" customHeight="false" outlineLevel="0" collapsed="false">
      <c r="B27616" s="0" t="s">
        <v>1</v>
      </c>
      <c r="C27616" s="0" t="s">
        <v>620</v>
      </c>
      <c r="E27616" s="0" t="s">
        <v>621</v>
      </c>
      <c r="F27616" s="0" t="s">
        <v>622</v>
      </c>
    </row>
    <row r="27617" customFormat="false" ht="12.8" hidden="false" customHeight="false" outlineLevel="0" collapsed="false">
      <c r="B27617" s="0" t="s">
        <v>8</v>
      </c>
      <c r="C27617" s="0" t="s">
        <v>623</v>
      </c>
      <c r="E27617" s="0" t="s">
        <v>180</v>
      </c>
      <c r="F27617" s="0" t="s">
        <v>624</v>
      </c>
    </row>
    <row r="27618" customFormat="false" ht="12.8" hidden="false" customHeight="false" outlineLevel="0" collapsed="false">
      <c r="B27618" s="0" t="s">
        <v>1640</v>
      </c>
      <c r="C27618" s="0" t="s">
        <v>625</v>
      </c>
      <c r="E27618" s="0" t="s">
        <v>626</v>
      </c>
      <c r="F27618" s="0" t="s">
        <v>627</v>
      </c>
    </row>
    <row r="27620" customFormat="false" ht="12.8" hidden="false" customHeight="false" outlineLevel="0" collapsed="false">
      <c r="A27620" s="0" t="s">
        <v>11067</v>
      </c>
      <c r="B27620" s="0" t="str">
        <f aca="false">HYPERLINK("https://lindat.mff.cuni.cz/services/teitok/pdtc10/index.php?action=vallex&amp;frame=v-w3744f2", "pojmout (v-w3744f2)")</f>
        <v>pojmout (v-w3744f2)</v>
      </c>
      <c r="E27620" s="0" t="str">
        <f aca="false">HYPERLINK("https://lindat.mff.cuni.cz/services/SynSemClass40/SynSemClass40.html?veclass=vec00366#vec00366-ces-cm00025", "vec00366")</f>
        <v>vec00366</v>
      </c>
      <c r="F27620" s="0" t="s">
        <v>8570</v>
      </c>
    </row>
    <row r="27621" customFormat="false" ht="12.8" hidden="false" customHeight="false" outlineLevel="0" collapsed="false">
      <c r="B27621" s="0" t="s">
        <v>1</v>
      </c>
      <c r="C27621" s="0" t="s">
        <v>8571</v>
      </c>
      <c r="E27621" s="0" t="s">
        <v>2017</v>
      </c>
      <c r="F27621" s="0" t="s">
        <v>8572</v>
      </c>
    </row>
    <row r="27622" customFormat="false" ht="12.8" hidden="false" customHeight="false" outlineLevel="0" collapsed="false">
      <c r="B27622" s="0" t="s">
        <v>8</v>
      </c>
      <c r="C27622" s="0" t="s">
        <v>8573</v>
      </c>
      <c r="E27622" s="0" t="s">
        <v>110</v>
      </c>
      <c r="F27622" s="0" t="s">
        <v>8574</v>
      </c>
    </row>
    <row r="27624" customFormat="false" ht="12.8" hidden="false" customHeight="false" outlineLevel="0" collapsed="false">
      <c r="A27624" s="0" t="s">
        <v>11068</v>
      </c>
      <c r="B27624" s="0" t="str">
        <f aca="false">HYPERLINK("https://lindat.mff.cuni.cz/services/teitok/pdtc10/index.php?action=vallex&amp;frame=v-w3744f3", "pojmout (v-w3744f3)")</f>
        <v>pojmout (v-w3744f3)</v>
      </c>
    </row>
    <row r="27625" customFormat="false" ht="12.8" hidden="false" customHeight="false" outlineLevel="0" collapsed="false">
      <c r="B27625" s="0" t="s">
        <v>1</v>
      </c>
    </row>
    <row r="27626" customFormat="false" ht="12.8" hidden="false" customHeight="false" outlineLevel="0" collapsed="false">
      <c r="B27626" s="0" t="s">
        <v>8</v>
      </c>
    </row>
    <row r="27627" customFormat="false" ht="12.8" hidden="false" customHeight="false" outlineLevel="0" collapsed="false">
      <c r="B27627" s="0" t="s">
        <v>725</v>
      </c>
    </row>
    <row r="27628" customFormat="false" ht="12.8" hidden="false" customHeight="false" outlineLevel="0" collapsed="false">
      <c r="B27628" s="0" t="s">
        <v>6510</v>
      </c>
    </row>
    <row r="27629" customFormat="false" ht="12.8" hidden="false" customHeight="false" outlineLevel="0" collapsed="false">
      <c r="B27629" s="0" t="s">
        <v>642</v>
      </c>
    </row>
    <row r="27630" customFormat="false" ht="12.8" hidden="false" customHeight="false" outlineLevel="0" collapsed="false">
      <c r="B27630" s="0" t="s">
        <v>646</v>
      </c>
    </row>
    <row r="27631" customFormat="false" ht="12.8" hidden="false" customHeight="false" outlineLevel="0" collapsed="false">
      <c r="B27631" s="0" t="s">
        <v>648</v>
      </c>
    </row>
    <row r="27632" customFormat="false" ht="12.8" hidden="false" customHeight="false" outlineLevel="0" collapsed="false">
      <c r="B27632" s="0" t="s">
        <v>650</v>
      </c>
    </row>
    <row r="27633" customFormat="false" ht="12.8" hidden="false" customHeight="false" outlineLevel="0" collapsed="false">
      <c r="B27633" s="0" t="s">
        <v>652</v>
      </c>
    </row>
    <row r="27635" customFormat="false" ht="12.8" hidden="false" customHeight="false" outlineLevel="0" collapsed="false">
      <c r="A27635" s="0" t="s">
        <v>11069</v>
      </c>
      <c r="B27635" s="0" t="str">
        <f aca="false">HYPERLINK("https://lindat.mff.cuni.cz/services/teitok/pdtc10/index.php?action=vallex&amp;frame=v-w3744f4", "pojmout (v-w3744f4)")</f>
        <v>pojmout (v-w3744f4)</v>
      </c>
    </row>
    <row r="27636" customFormat="false" ht="12.8" hidden="false" customHeight="false" outlineLevel="0" collapsed="false">
      <c r="B27636" s="0" t="s">
        <v>1</v>
      </c>
    </row>
    <row r="27637" customFormat="false" ht="12.8" hidden="false" customHeight="false" outlineLevel="0" collapsed="false">
      <c r="B27637" s="0" t="s">
        <v>6582</v>
      </c>
    </row>
    <row r="27639" customFormat="false" ht="12.8" hidden="false" customHeight="false" outlineLevel="0" collapsed="false">
      <c r="A27639" s="0" t="s">
        <v>11070</v>
      </c>
      <c r="B27639" s="0" t="str">
        <f aca="false">HYPERLINK("https://lindat.mff.cuni.cz/services/teitok/pdtc10/index.php?action=vallex&amp;frame=v-w3731f1", "pojídat (v-w3731f1)")</f>
        <v>pojídat (v-w3731f1)</v>
      </c>
    </row>
    <row r="27640" customFormat="false" ht="12.8" hidden="false" customHeight="false" outlineLevel="0" collapsed="false">
      <c r="B27640" s="0" t="s">
        <v>1</v>
      </c>
    </row>
    <row r="27641" customFormat="false" ht="12.8" hidden="false" customHeight="false" outlineLevel="0" collapsed="false">
      <c r="B27641" s="0" t="s">
        <v>8</v>
      </c>
    </row>
    <row r="27643" customFormat="false" ht="12.8" hidden="false" customHeight="false" outlineLevel="0" collapsed="false">
      <c r="A27643" s="0" t="s">
        <v>11071</v>
      </c>
      <c r="B27643" s="0" t="str">
        <f aca="false">HYPERLINK("https://lindat.mff.cuni.cz/services/teitok/pdtc10/index.php?action=vallex&amp;frame=v-whsa_1174hsa_1175", "pojídat se (v-whsa_1174hsa_1175)")</f>
        <v>pojídat se (v-whsa_1174hsa_1175)</v>
      </c>
    </row>
    <row r="27644" customFormat="false" ht="12.8" hidden="false" customHeight="false" outlineLevel="0" collapsed="false">
      <c r="B27644" s="0" t="s">
        <v>1</v>
      </c>
    </row>
    <row r="27645" customFormat="false" ht="12.8" hidden="false" customHeight="false" outlineLevel="0" collapsed="false">
      <c r="B27645" s="0" t="s">
        <v>721</v>
      </c>
    </row>
    <row r="27647" customFormat="false" ht="12.8" hidden="false" customHeight="false" outlineLevel="0" collapsed="false">
      <c r="A27647" s="0" t="s">
        <v>11072</v>
      </c>
      <c r="B27647" s="0" t="str">
        <f aca="false">HYPERLINK("https://lindat.mff.cuni.cz/services/teitok/pdtc10/index.php?action=vallex&amp;frame=v-w3733f1", "pojímat (v-w3733f1)")</f>
        <v>pojímat (v-w3733f1)</v>
      </c>
      <c r="E27647" s="0" t="str">
        <f aca="false">HYPERLINK("https://lindat.mff.cuni.cz/services/SynSemClass40/SynSemClass40.html?veclass=vec00402#vec00402-ces-cm00142", "vec00402")</f>
        <v>vec00402</v>
      </c>
      <c r="F27647" s="0" t="s">
        <v>619</v>
      </c>
    </row>
    <row r="27648" customFormat="false" ht="12.8" hidden="false" customHeight="false" outlineLevel="0" collapsed="false">
      <c r="B27648" s="0" t="s">
        <v>1</v>
      </c>
      <c r="C27648" s="0" t="s">
        <v>620</v>
      </c>
      <c r="E27648" s="0" t="s">
        <v>621</v>
      </c>
      <c r="F27648" s="0" t="s">
        <v>622</v>
      </c>
    </row>
    <row r="27649" customFormat="false" ht="12.8" hidden="false" customHeight="false" outlineLevel="0" collapsed="false">
      <c r="B27649" s="0" t="s">
        <v>8</v>
      </c>
      <c r="C27649" s="0" t="s">
        <v>623</v>
      </c>
      <c r="E27649" s="0" t="s">
        <v>180</v>
      </c>
      <c r="F27649" s="0" t="s">
        <v>624</v>
      </c>
    </row>
    <row r="27650" customFormat="false" ht="12.8" hidden="false" customHeight="false" outlineLevel="0" collapsed="false">
      <c r="B27650" s="0" t="s">
        <v>1640</v>
      </c>
      <c r="C27650" s="0" t="s">
        <v>625</v>
      </c>
      <c r="E27650" s="0" t="s">
        <v>626</v>
      </c>
      <c r="F27650" s="0" t="s">
        <v>627</v>
      </c>
    </row>
    <row r="27652" customFormat="false" ht="12.8" hidden="false" customHeight="false" outlineLevel="0" collapsed="false">
      <c r="A27652" s="0" t="s">
        <v>11073</v>
      </c>
      <c r="B27652" s="0" t="str">
        <f aca="false">HYPERLINK("https://lindat.mff.cuni.cz/services/teitok/pdtc10/index.php?action=vallex&amp;frame=v-w3733f2", "pojímat (v-w3733f2)")</f>
        <v>pojímat (v-w3733f2)</v>
      </c>
    </row>
    <row r="27653" customFormat="false" ht="12.8" hidden="false" customHeight="false" outlineLevel="0" collapsed="false">
      <c r="B27653" s="0" t="s">
        <v>1</v>
      </c>
    </row>
    <row r="27654" customFormat="false" ht="12.8" hidden="false" customHeight="false" outlineLevel="0" collapsed="false">
      <c r="B27654" s="0" t="s">
        <v>8</v>
      </c>
    </row>
    <row r="27655" customFormat="false" ht="12.8" hidden="false" customHeight="false" outlineLevel="0" collapsed="false">
      <c r="B27655" s="0" t="s">
        <v>6510</v>
      </c>
    </row>
    <row r="27656" customFormat="false" ht="12.8" hidden="false" customHeight="false" outlineLevel="0" collapsed="false">
      <c r="B27656" s="0" t="s">
        <v>642</v>
      </c>
    </row>
    <row r="27657" customFormat="false" ht="12.8" hidden="false" customHeight="false" outlineLevel="0" collapsed="false">
      <c r="B27657" s="0" t="s">
        <v>648</v>
      </c>
    </row>
    <row r="27658" customFormat="false" ht="12.8" hidden="false" customHeight="false" outlineLevel="0" collapsed="false">
      <c r="B27658" s="0" t="s">
        <v>650</v>
      </c>
    </row>
    <row r="27659" customFormat="false" ht="12.8" hidden="false" customHeight="false" outlineLevel="0" collapsed="false">
      <c r="B27659" s="0" t="s">
        <v>652</v>
      </c>
    </row>
    <row r="27661" customFormat="false" ht="12.8" hidden="false" customHeight="false" outlineLevel="0" collapsed="false">
      <c r="A27661" s="0" t="s">
        <v>11074</v>
      </c>
      <c r="B27661" s="0" t="str">
        <f aca="false">HYPERLINK("https://lindat.mff.cuni.cz/services/teitok/pdtc10/index.php?action=vallex&amp;frame=v-w3733f3_ZU", "pojímat (v-w3733f3_ZU)")</f>
        <v>pojímat (v-w3733f3_ZU)</v>
      </c>
    </row>
    <row r="27662" customFormat="false" ht="12.8" hidden="false" customHeight="false" outlineLevel="0" collapsed="false">
      <c r="B27662" s="0" t="s">
        <v>1</v>
      </c>
    </row>
    <row r="27663" customFormat="false" ht="12.8" hidden="false" customHeight="false" outlineLevel="0" collapsed="false">
      <c r="B27663" s="0" t="s">
        <v>8</v>
      </c>
    </row>
    <row r="27665" customFormat="false" ht="12.8" hidden="false" customHeight="false" outlineLevel="0" collapsed="false">
      <c r="A27665" s="0" t="s">
        <v>11075</v>
      </c>
      <c r="B27665" s="0" t="str">
        <f aca="false">HYPERLINK("https://lindat.mff.cuni.cz/services/teitok/pdtc10/index.php?action=vallex&amp;frame=v-whsa_1186hsa_1187", "pojíst (v-whsa_1186hsa_1187)")</f>
        <v>pojíst (v-whsa_1186hsa_1187)</v>
      </c>
    </row>
    <row r="27666" customFormat="false" ht="12.8" hidden="false" customHeight="false" outlineLevel="0" collapsed="false">
      <c r="B27666" s="0" t="s">
        <v>1</v>
      </c>
    </row>
    <row r="27667" customFormat="false" ht="12.8" hidden="false" customHeight="false" outlineLevel="0" collapsed="false">
      <c r="B27667" s="0" t="s">
        <v>5032</v>
      </c>
    </row>
    <row r="27669" customFormat="false" ht="12.8" hidden="false" customHeight="false" outlineLevel="0" collapsed="false">
      <c r="A27669" s="0" t="s">
        <v>11076</v>
      </c>
      <c r="B27669" s="0" t="str">
        <f aca="false">HYPERLINK("https://lindat.mff.cuni.cz/services/teitok/pdtc10/index.php?action=vallex&amp;frame=v-whsa_1461hsa_1462", "pojíst si (v-whsa_1461hsa_1462)")</f>
        <v>pojíst si (v-whsa_1461hsa_1462)</v>
      </c>
    </row>
    <row r="27670" customFormat="false" ht="12.8" hidden="false" customHeight="false" outlineLevel="0" collapsed="false">
      <c r="B27670" s="0" t="s">
        <v>1</v>
      </c>
    </row>
    <row r="27672" customFormat="false" ht="12.8" hidden="false" customHeight="false" outlineLevel="0" collapsed="false">
      <c r="A27672" s="0" t="s">
        <v>11077</v>
      </c>
      <c r="B27672" s="0" t="str">
        <f aca="false">HYPERLINK("https://lindat.mff.cuni.cz/services/teitok/pdtc10/index.php?action=vallex&amp;frame=v-whsa_1985hsa_1986", "pojít (v-whsa_1985hsa_1986)")</f>
        <v>pojít (v-whsa_1985hsa_1986)</v>
      </c>
    </row>
    <row r="27673" customFormat="false" ht="12.8" hidden="false" customHeight="false" outlineLevel="0" collapsed="false">
      <c r="B27673" s="0" t="s">
        <v>1</v>
      </c>
    </row>
    <row r="27675" customFormat="false" ht="12.8" hidden="false" customHeight="false" outlineLevel="0" collapsed="false">
      <c r="A27675" s="0" t="s">
        <v>11078</v>
      </c>
      <c r="B27675" s="0" t="str">
        <f aca="false">HYPERLINK("https://lindat.mff.cuni.cz/services/teitok/pdtc10/index.php?action=vallex&amp;frame=v-w3747f1", "pokazit (v-w3747f1)")</f>
        <v>pokazit (v-w3747f1)</v>
      </c>
      <c r="E27675" s="0" t="str">
        <f aca="false">HYPERLINK("https://lindat.mff.cuni.cz/services/SynSemClass40/SynSemClass40.html?veclass=vec00372#vec00372-ces-cm00066", "vec00372")</f>
        <v>vec00372</v>
      </c>
      <c r="F27675" s="0" t="s">
        <v>2524</v>
      </c>
    </row>
    <row r="27676" customFormat="false" ht="12.8" hidden="false" customHeight="false" outlineLevel="0" collapsed="false">
      <c r="B27676" s="0" t="s">
        <v>1</v>
      </c>
      <c r="C27676" s="0" t="s">
        <v>2525</v>
      </c>
      <c r="E27676" s="0" t="s">
        <v>2526</v>
      </c>
      <c r="F27676" s="0" t="s">
        <v>2527</v>
      </c>
    </row>
    <row r="27677" customFormat="false" ht="12.8" hidden="false" customHeight="false" outlineLevel="0" collapsed="false">
      <c r="B27677" s="0" t="s">
        <v>8</v>
      </c>
      <c r="C27677" s="0" t="s">
        <v>2528</v>
      </c>
      <c r="E27677" s="0" t="s">
        <v>142</v>
      </c>
      <c r="F27677" s="0" t="s">
        <v>2529</v>
      </c>
    </row>
    <row r="27679" customFormat="false" ht="12.8" hidden="false" customHeight="false" outlineLevel="0" collapsed="false">
      <c r="A27679" s="0" t="s">
        <v>11079</v>
      </c>
      <c r="B27679" s="0" t="str">
        <f aca="false">HYPERLINK("https://lindat.mff.cuni.cz/services/teitok/pdtc10/index.php?action=vallex&amp;frame=v-w3748f1", "pokazit se (v-w3748f1)")</f>
        <v>pokazit se (v-w3748f1)</v>
      </c>
    </row>
    <row r="27680" customFormat="false" ht="12.8" hidden="false" customHeight="false" outlineLevel="0" collapsed="false">
      <c r="B27680" s="0" t="s">
        <v>1</v>
      </c>
    </row>
    <row r="27682" customFormat="false" ht="12.8" hidden="false" customHeight="false" outlineLevel="0" collapsed="false">
      <c r="A27682" s="0" t="s">
        <v>11080</v>
      </c>
      <c r="B27682" s="0" t="str">
        <f aca="false">HYPERLINK("https://lindat.mff.cuni.cz/services/teitok/pdtc10/index.php?action=vallex&amp;frame=v-w3746f1", "pokašlávat (v-w3746f1)")</f>
        <v>pokašlávat (v-w3746f1)</v>
      </c>
    </row>
    <row r="27683" customFormat="false" ht="12.8" hidden="false" customHeight="false" outlineLevel="0" collapsed="false">
      <c r="B27683" s="0" t="s">
        <v>1</v>
      </c>
    </row>
    <row r="27685" customFormat="false" ht="12.8" hidden="false" customHeight="false" outlineLevel="0" collapsed="false">
      <c r="A27685" s="0" t="s">
        <v>11081</v>
      </c>
      <c r="B27685" s="0" t="str">
        <f aca="false">HYPERLINK("https://lindat.mff.cuni.cz/services/teitok/pdtc10/index.php?action=vallex&amp;frame=v-whsa_261hsa_262", "pokecat (v-whsa_261hsa_262)")</f>
        <v>pokecat (v-whsa_261hsa_262)</v>
      </c>
    </row>
    <row r="27686" customFormat="false" ht="12.8" hidden="false" customHeight="false" outlineLevel="0" collapsed="false">
      <c r="B27686" s="0" t="s">
        <v>1</v>
      </c>
    </row>
    <row r="27687" customFormat="false" ht="12.8" hidden="false" customHeight="false" outlineLevel="0" collapsed="false">
      <c r="B27687" s="0" t="s">
        <v>318</v>
      </c>
    </row>
    <row r="27688" customFormat="false" ht="12.8" hidden="false" customHeight="false" outlineLevel="0" collapsed="false">
      <c r="B27688" s="0" t="s">
        <v>276</v>
      </c>
    </row>
    <row r="27690" customFormat="false" ht="12.8" hidden="false" customHeight="false" outlineLevel="0" collapsed="false">
      <c r="A27690" s="0" t="s">
        <v>11082</v>
      </c>
      <c r="B27690" s="0" t="str">
        <f aca="false">HYPERLINK("https://lindat.mff.cuni.cz/services/teitok/pdtc10/index.php?action=vallex&amp;frame=v-w11811_ZUf1_ZU", "pokleknout (v-w11811_ZUf1_ZU)")</f>
        <v>pokleknout (v-w11811_ZUf1_ZU)</v>
      </c>
    </row>
    <row r="27691" customFormat="false" ht="12.8" hidden="false" customHeight="false" outlineLevel="0" collapsed="false">
      <c r="B27691" s="0" t="s">
        <v>1</v>
      </c>
    </row>
    <row r="27693" customFormat="false" ht="12.8" hidden="false" customHeight="false" outlineLevel="0" collapsed="false">
      <c r="A27693" s="0" t="s">
        <v>11083</v>
      </c>
      <c r="B27693" s="0" t="str">
        <f aca="false">HYPERLINK("https://lindat.mff.cuni.cz/services/teitok/pdtc10/index.php?action=vallex&amp;frame=v-w3752f1", "poklepat (v-w3752f1)")</f>
        <v>poklepat (v-w3752f1)</v>
      </c>
      <c r="E27693" s="0" t="str">
        <f aca="false">HYPERLINK("https://lindat.mff.cuni.cz/services/SynSemClass40/SynSemClass40.html?veclass=vec00728#vec00728-ces-cm00019", "vec00728")</f>
        <v>vec00728</v>
      </c>
      <c r="F27693" s="0" t="s">
        <v>11084</v>
      </c>
      <c r="H27693" s="0" t="str">
        <f aca="false">HYPERLINK("https://lindat.mff.cuni.cz/services/SynSemClass40/SynSemClass40.html?veclass=vec01068#vec01068-ces-cm00004", "vec01068")</f>
        <v>vec01068</v>
      </c>
      <c r="I27693" s="0" t="s">
        <v>10558</v>
      </c>
    </row>
    <row r="27694" customFormat="false" ht="12.8" hidden="false" customHeight="false" outlineLevel="0" collapsed="false">
      <c r="B27694" s="0" t="s">
        <v>1</v>
      </c>
      <c r="C27694" s="0" t="s">
        <v>255</v>
      </c>
      <c r="E27694" s="0" t="s">
        <v>4581</v>
      </c>
      <c r="F27694" s="0" t="s">
        <v>11085</v>
      </c>
      <c r="H27694" s="0" t="s">
        <v>196</v>
      </c>
      <c r="I27694" s="0" t="s">
        <v>8397</v>
      </c>
    </row>
    <row r="27695" customFormat="false" ht="12.8" hidden="false" customHeight="false" outlineLevel="0" collapsed="false">
      <c r="B27695" s="0" t="s">
        <v>164</v>
      </c>
      <c r="C27695" s="0" t="s">
        <v>11086</v>
      </c>
      <c r="E27695" s="0" t="s">
        <v>11087</v>
      </c>
      <c r="F27695" s="0" t="s">
        <v>11088</v>
      </c>
      <c r="H27695" s="0" t="s">
        <v>4584</v>
      </c>
      <c r="I27695" s="0" t="s">
        <v>11089</v>
      </c>
    </row>
    <row r="27697" customFormat="false" ht="12.8" hidden="false" customHeight="false" outlineLevel="0" collapsed="false">
      <c r="A27697" s="0" t="s">
        <v>11090</v>
      </c>
      <c r="B27697" s="0" t="str">
        <f aca="false">HYPERLINK("https://lindat.mff.cuni.cz/services/teitok/pdtc10/index.php?action=vallex&amp;frame=v-w3754f1", "poklesnout (v-w3754f1)")</f>
        <v>poklesnout (v-w3754f1)</v>
      </c>
      <c r="E27697" s="0" t="str">
        <f aca="false">HYPERLINK("https://lindat.mff.cuni.cz/services/SynSemClass40/SynSemClass40.html?veclass=vec00028#vec00028-ces-cm00021", "vec00028")</f>
        <v>vec00028</v>
      </c>
      <c r="F27697" s="0" t="s">
        <v>5301</v>
      </c>
    </row>
    <row r="27698" customFormat="false" ht="12.8" hidden="false" customHeight="false" outlineLevel="0" collapsed="false">
      <c r="B27698" s="0" t="s">
        <v>1</v>
      </c>
      <c r="C27698" s="0" t="s">
        <v>9964</v>
      </c>
      <c r="E27698" s="0" t="s">
        <v>235</v>
      </c>
      <c r="F27698" s="0" t="s">
        <v>5304</v>
      </c>
    </row>
    <row r="27699" customFormat="false" ht="12.8" hidden="false" customHeight="false" outlineLevel="0" collapsed="false">
      <c r="B27699" s="0" t="s">
        <v>69</v>
      </c>
      <c r="C27699" s="0" t="s">
        <v>9965</v>
      </c>
      <c r="E27699" s="0" t="s">
        <v>5149</v>
      </c>
      <c r="F27699" s="0" t="s">
        <v>5307</v>
      </c>
    </row>
    <row r="27700" customFormat="false" ht="12.8" hidden="false" customHeight="false" outlineLevel="0" collapsed="false">
      <c r="B27700" s="0" t="s">
        <v>36</v>
      </c>
      <c r="C27700" s="0" t="s">
        <v>9966</v>
      </c>
      <c r="E27700" s="0" t="s">
        <v>5152</v>
      </c>
      <c r="F27700" s="0" t="s">
        <v>5311</v>
      </c>
    </row>
    <row r="27702" customFormat="false" ht="12.8" hidden="false" customHeight="false" outlineLevel="0" collapsed="false">
      <c r="A27702" s="0" t="s">
        <v>11091</v>
      </c>
      <c r="B27702" s="0" t="str">
        <f aca="false">HYPERLINK("https://lindat.mff.cuni.cz/services/teitok/pdtc10/index.php?action=vallex&amp;frame=v-w3754hsa_196", "poklesnout (v-w3754hsa_196)")</f>
        <v>poklesnout (v-w3754hsa_196)</v>
      </c>
    </row>
    <row r="27703" customFormat="false" ht="12.8" hidden="false" customHeight="false" outlineLevel="0" collapsed="false">
      <c r="B27703" s="0" t="s">
        <v>1</v>
      </c>
    </row>
    <row r="27704" customFormat="false" ht="12.8" hidden="false" customHeight="false" outlineLevel="0" collapsed="false">
      <c r="B27704" s="0" t="s">
        <v>164</v>
      </c>
    </row>
    <row r="27706" customFormat="false" ht="12.8" hidden="false" customHeight="false" outlineLevel="0" collapsed="false">
      <c r="A27706" s="0" t="s">
        <v>11092</v>
      </c>
      <c r="B27706" s="0" t="str">
        <f aca="false">HYPERLINK("https://lindat.mff.cuni.cz/services/teitok/pdtc10/index.php?action=vallex&amp;frame=v-whsa_1758hsa_1759", "poklidit (v-whsa_1758hsa_1759)")</f>
        <v>poklidit (v-whsa_1758hsa_1759)</v>
      </c>
    </row>
    <row r="27707" customFormat="false" ht="12.8" hidden="false" customHeight="false" outlineLevel="0" collapsed="false">
      <c r="B27707" s="0" t="s">
        <v>1</v>
      </c>
    </row>
    <row r="27708" customFormat="false" ht="12.8" hidden="false" customHeight="false" outlineLevel="0" collapsed="false">
      <c r="B27708" s="0" t="s">
        <v>8</v>
      </c>
    </row>
    <row r="27710" customFormat="false" ht="12.8" hidden="false" customHeight="false" outlineLevel="0" collapsed="false">
      <c r="A27710" s="0" t="s">
        <v>11093</v>
      </c>
      <c r="B27710" s="0" t="str">
        <f aca="false">HYPERLINK("https://lindat.mff.cuni.cz/services/teitok/pdtc10/index.php?action=vallex&amp;frame=v-w3756f1", "poklonit se (v-w3756f1)")</f>
        <v>poklonit se (v-w3756f1)</v>
      </c>
    </row>
    <row r="27711" customFormat="false" ht="12.8" hidden="false" customHeight="false" outlineLevel="0" collapsed="false">
      <c r="B27711" s="0" t="s">
        <v>1</v>
      </c>
    </row>
    <row r="27712" customFormat="false" ht="12.8" hidden="false" customHeight="false" outlineLevel="0" collapsed="false">
      <c r="B27712" s="0" t="s">
        <v>186</v>
      </c>
    </row>
    <row r="27714" customFormat="false" ht="12.8" hidden="false" customHeight="false" outlineLevel="0" collapsed="false">
      <c r="A27714" s="0" t="s">
        <v>11094</v>
      </c>
      <c r="B27714" s="0" t="str">
        <f aca="false">HYPERLINK("https://lindat.mff.cuni.cz/services/teitok/pdtc10/index.php?action=vallex&amp;frame=v-w3756f2", "poklonit se (v-w3756f2)")</f>
        <v>poklonit se (v-w3756f2)</v>
      </c>
    </row>
    <row r="27715" customFormat="false" ht="12.8" hidden="false" customHeight="false" outlineLevel="0" collapsed="false">
      <c r="B27715" s="0" t="s">
        <v>1</v>
      </c>
    </row>
    <row r="27716" customFormat="false" ht="12.8" hidden="false" customHeight="false" outlineLevel="0" collapsed="false">
      <c r="B27716" s="0" t="s">
        <v>157</v>
      </c>
    </row>
    <row r="27718" customFormat="false" ht="12.8" hidden="false" customHeight="false" outlineLevel="0" collapsed="false">
      <c r="A27718" s="0" t="s">
        <v>11095</v>
      </c>
      <c r="B27718" s="0" t="str">
        <f aca="false">HYPERLINK("https://lindat.mff.cuni.cz/services/teitok/pdtc10/index.php?action=vallex&amp;frame=v-w3751f5", "pokládat (v-w3751f5)")</f>
        <v>pokládat (v-w3751f5)</v>
      </c>
      <c r="E27718" s="0" t="str">
        <f aca="false">HYPERLINK("https://lindat.mff.cuni.cz/services/SynSemClass40/SynSemClass40.html?veclass=vec00384#vec00384-ces-cm00007", "vec00384")</f>
        <v>vec00384</v>
      </c>
      <c r="F27718" s="0" t="s">
        <v>2985</v>
      </c>
    </row>
    <row r="27719" customFormat="false" ht="12.8" hidden="false" customHeight="false" outlineLevel="0" collapsed="false">
      <c r="B27719" s="0" t="s">
        <v>1</v>
      </c>
      <c r="C27719" s="0" t="s">
        <v>2986</v>
      </c>
      <c r="E27719" s="0" t="s">
        <v>147</v>
      </c>
      <c r="F27719" s="0" t="s">
        <v>2987</v>
      </c>
    </row>
    <row r="27720" customFormat="false" ht="12.8" hidden="false" customHeight="false" outlineLevel="0" collapsed="false">
      <c r="B27720" s="0" t="s">
        <v>8</v>
      </c>
      <c r="C27720" s="0" t="s">
        <v>2989</v>
      </c>
      <c r="E27720" s="0" t="s">
        <v>218</v>
      </c>
      <c r="F27720" s="0" t="s">
        <v>2990</v>
      </c>
    </row>
    <row r="27721" customFormat="false" ht="12.8" hidden="false" customHeight="false" outlineLevel="0" collapsed="false">
      <c r="B27721" s="0" t="s">
        <v>52</v>
      </c>
      <c r="C27721" s="0" t="s">
        <v>2992</v>
      </c>
      <c r="E27721" s="0" t="s">
        <v>221</v>
      </c>
      <c r="F27721" s="0" t="s">
        <v>2993</v>
      </c>
    </row>
    <row r="27723" customFormat="false" ht="12.8" hidden="false" customHeight="false" outlineLevel="0" collapsed="false">
      <c r="A27723" s="0" t="s">
        <v>11096</v>
      </c>
      <c r="B27723" s="0" t="str">
        <f aca="false">HYPERLINK("https://lindat.mff.cuni.cz/services/teitok/pdtc10/index.php?action=vallex&amp;frame=v-w3751f1", "pokládat (v-w3751f1)")</f>
        <v>pokládat (v-w3751f1)</v>
      </c>
      <c r="E27723" s="0" t="str">
        <f aca="false">HYPERLINK("https://lindat.mff.cuni.cz/services/SynSemClass40/SynSemClass40.html?veclass=vec00402#vec00402-ces-cm00010", "vec00402")</f>
        <v>vec00402</v>
      </c>
      <c r="F27723" s="0" t="s">
        <v>619</v>
      </c>
    </row>
    <row r="27724" customFormat="false" ht="12.8" hidden="false" customHeight="false" outlineLevel="0" collapsed="false">
      <c r="B27724" s="0" t="s">
        <v>1</v>
      </c>
      <c r="C27724" s="0" t="s">
        <v>620</v>
      </c>
      <c r="E27724" s="0" t="s">
        <v>621</v>
      </c>
      <c r="F27724" s="0" t="s">
        <v>622</v>
      </c>
    </row>
    <row r="27725" customFormat="false" ht="12.8" hidden="false" customHeight="false" outlineLevel="0" collapsed="false">
      <c r="B27725" s="0" t="s">
        <v>11097</v>
      </c>
      <c r="C27725" s="0" t="s">
        <v>623</v>
      </c>
      <c r="E27725" s="0" t="s">
        <v>180</v>
      </c>
      <c r="F27725" s="0" t="s">
        <v>624</v>
      </c>
    </row>
    <row r="27726" customFormat="false" ht="12.8" hidden="false" customHeight="false" outlineLevel="0" collapsed="false">
      <c r="B27726" s="0" t="s">
        <v>11098</v>
      </c>
      <c r="C27726" s="0" t="s">
        <v>625</v>
      </c>
      <c r="E27726" s="0" t="s">
        <v>626</v>
      </c>
      <c r="F27726" s="0" t="s">
        <v>627</v>
      </c>
    </row>
    <row r="27728" customFormat="false" ht="12.8" hidden="false" customHeight="false" outlineLevel="0" collapsed="false">
      <c r="A27728" s="0" t="s">
        <v>11099</v>
      </c>
      <c r="B27728" s="0" t="str">
        <f aca="false">HYPERLINK("https://lindat.mff.cuni.cz/services/teitok/pdtc10/index.php?action=vallex&amp;frame=v-w3751f7_ZU", "pokládat (v-w3751f7_ZU)")</f>
        <v>pokládat (v-w3751f7_ZU)</v>
      </c>
    </row>
    <row r="27729" customFormat="false" ht="12.8" hidden="false" customHeight="false" outlineLevel="0" collapsed="false">
      <c r="B27729" s="0" t="s">
        <v>1</v>
      </c>
    </row>
    <row r="27730" customFormat="false" ht="12.8" hidden="false" customHeight="false" outlineLevel="0" collapsed="false">
      <c r="B27730" s="0" t="s">
        <v>8</v>
      </c>
    </row>
    <row r="27731" customFormat="false" ht="12.8" hidden="false" customHeight="false" outlineLevel="0" collapsed="false">
      <c r="B27731" s="0" t="s">
        <v>164</v>
      </c>
    </row>
    <row r="27733" customFormat="false" ht="12.8" hidden="false" customHeight="false" outlineLevel="0" collapsed="false">
      <c r="A27733" s="0" t="s">
        <v>11099</v>
      </c>
      <c r="B27733" s="0" t="str">
        <f aca="false">HYPERLINK("https://lindat.mff.cuni.cz/services/teitok/pdtc10/index.php?action=vallex&amp;frame=v-w3751f2", "pokládat (v-w3751f2) - substituted with v-w3751f7_ZU")</f>
        <v>pokládat (v-w3751f2) - substituted with v-w3751f7_ZU</v>
      </c>
      <c r="E27733" s="0" t="str">
        <f aca="false">HYPERLINK("https://lindat.mff.cuni.cz/services/SynSemClass40/SynSemClass40.html?veclass=vec00735#vec00735-ces-cm00167", "vec00735")</f>
        <v>vec00735</v>
      </c>
      <c r="F27733" s="0" t="s">
        <v>2719</v>
      </c>
    </row>
    <row r="27734" customFormat="false" ht="12.8" hidden="false" customHeight="false" outlineLevel="0" collapsed="false">
      <c r="B27734" s="0" t="s">
        <v>1</v>
      </c>
      <c r="C27734" s="0" t="s">
        <v>2720</v>
      </c>
      <c r="E27734" s="0" t="s">
        <v>334</v>
      </c>
      <c r="F27734" s="0" t="s">
        <v>2721</v>
      </c>
    </row>
    <row r="27735" customFormat="false" ht="12.8" hidden="false" customHeight="false" outlineLevel="0" collapsed="false">
      <c r="B27735" s="0" t="s">
        <v>8</v>
      </c>
      <c r="C27735" s="0" t="s">
        <v>2722</v>
      </c>
      <c r="E27735" s="0" t="s">
        <v>2648</v>
      </c>
      <c r="F27735" s="0" t="s">
        <v>2723</v>
      </c>
    </row>
    <row r="27736" customFormat="false" ht="12.8" hidden="false" customHeight="false" outlineLevel="0" collapsed="false">
      <c r="B27736" s="0" t="s">
        <v>164</v>
      </c>
      <c r="C27736" s="0" t="s">
        <v>2724</v>
      </c>
      <c r="E27736" s="0" t="s">
        <v>370</v>
      </c>
      <c r="F27736" s="0" t="s">
        <v>2725</v>
      </c>
    </row>
    <row r="27738" customFormat="false" ht="12.8" hidden="false" customHeight="false" outlineLevel="0" collapsed="false">
      <c r="A27738" s="0" t="s">
        <v>11100</v>
      </c>
      <c r="B27738" s="0" t="str">
        <f aca="false">HYPERLINK("https://lindat.mff.cuni.cz/services/teitok/pdtc10/index.php?action=vallex&amp;frame=v-w3751f4", "pokládat (v-w3751f4)")</f>
        <v>pokládat (v-w3751f4)</v>
      </c>
    </row>
    <row r="27739" customFormat="false" ht="12.8" hidden="false" customHeight="false" outlineLevel="0" collapsed="false">
      <c r="B27739" s="0" t="s">
        <v>1</v>
      </c>
    </row>
    <row r="27740" customFormat="false" ht="12.8" hidden="false" customHeight="false" outlineLevel="0" collapsed="false">
      <c r="B27740" s="0" t="s">
        <v>8</v>
      </c>
    </row>
    <row r="27742" customFormat="false" ht="12.8" hidden="false" customHeight="false" outlineLevel="0" collapsed="false">
      <c r="A27742" s="0" t="s">
        <v>11101</v>
      </c>
      <c r="B27742" s="0" t="str">
        <f aca="false">HYPERLINK("https://lindat.mff.cuni.cz/services/teitok/pdtc10/index.php?action=vallex&amp;frame=v-w3751f3", "pokládat (v-w3751f3)")</f>
        <v>pokládat (v-w3751f3)</v>
      </c>
      <c r="E27742" s="0" t="str">
        <f aca="false">HYPERLINK("https://lindat.mff.cuni.cz/services/SynSemClass40/SynSemClass40.html?veclass=vec00384#vec00384-ces-cm00006", "vec00384")</f>
        <v>vec00384</v>
      </c>
      <c r="F27742" s="0" t="s">
        <v>2985</v>
      </c>
    </row>
    <row r="27743" customFormat="false" ht="12.8" hidden="false" customHeight="false" outlineLevel="0" collapsed="false">
      <c r="B27743" s="0" t="s">
        <v>1</v>
      </c>
      <c r="C27743" s="0" t="s">
        <v>2986</v>
      </c>
      <c r="E27743" s="0" t="s">
        <v>147</v>
      </c>
      <c r="F27743" s="0" t="s">
        <v>2987</v>
      </c>
    </row>
    <row r="27744" customFormat="false" ht="12.8" hidden="false" customHeight="false" outlineLevel="0" collapsed="false">
      <c r="B27744" s="0" t="s">
        <v>5362</v>
      </c>
      <c r="C27744" s="0" t="s">
        <v>5363</v>
      </c>
      <c r="E27744" s="0" t="s">
        <v>5364</v>
      </c>
      <c r="F27744" s="0" t="s">
        <v>5365</v>
      </c>
    </row>
    <row r="27745" customFormat="false" ht="12.8" hidden="false" customHeight="false" outlineLevel="0" collapsed="false">
      <c r="B27745" s="0" t="s">
        <v>52</v>
      </c>
      <c r="C27745" s="0" t="s">
        <v>2992</v>
      </c>
      <c r="E27745" s="0" t="s">
        <v>221</v>
      </c>
      <c r="F27745" s="0" t="s">
        <v>2993</v>
      </c>
    </row>
    <row r="27747" customFormat="false" ht="12.8" hidden="false" customHeight="false" outlineLevel="0" collapsed="false">
      <c r="A27747" s="0" t="s">
        <v>11102</v>
      </c>
      <c r="B27747" s="0" t="str">
        <f aca="false">HYPERLINK("https://lindat.mff.cuni.cz/services/teitok/pdtc10/index.php?action=vallex&amp;frame=v-w3751f6", "pokládat (v-w3751f6)")</f>
        <v>pokládat (v-w3751f6)</v>
      </c>
    </row>
    <row r="27748" customFormat="false" ht="12.8" hidden="false" customHeight="false" outlineLevel="0" collapsed="false">
      <c r="B27748" s="0" t="s">
        <v>1</v>
      </c>
    </row>
    <row r="27749" customFormat="false" ht="12.8" hidden="false" customHeight="false" outlineLevel="0" collapsed="false">
      <c r="B27749" s="0" t="s">
        <v>3521</v>
      </c>
    </row>
    <row r="27751" customFormat="false" ht="12.8" hidden="false" customHeight="false" outlineLevel="0" collapsed="false">
      <c r="A27751" s="0" t="s">
        <v>11103</v>
      </c>
      <c r="B27751" s="0" t="str">
        <f aca="false">HYPERLINK("https://lindat.mff.cuni.cz/services/teitok/pdtc10/index.php?action=vallex&amp;frame=v-w12110_ZUf1_ZU", "pokládat se (v-w12110_ZUf1_ZU)")</f>
        <v>pokládat se (v-w12110_ZUf1_ZU)</v>
      </c>
    </row>
    <row r="27752" customFormat="false" ht="12.8" hidden="false" customHeight="false" outlineLevel="0" collapsed="false">
      <c r="B27752" s="0" t="s">
        <v>1</v>
      </c>
    </row>
    <row r="27754" customFormat="false" ht="12.8" hidden="false" customHeight="false" outlineLevel="0" collapsed="false">
      <c r="A27754" s="0" t="s">
        <v>11104</v>
      </c>
      <c r="B27754" s="0" t="str">
        <f aca="false">HYPERLINK("https://lindat.mff.cuni.cz/services/teitok/pdtc10/index.php?action=vallex&amp;frame=v-w11925_ZUf1_ZU", "pokmínovat (v-w11925_ZUf1_ZU)")</f>
        <v>pokmínovat (v-w11925_ZUf1_ZU)</v>
      </c>
    </row>
    <row r="27755" customFormat="false" ht="12.8" hidden="false" customHeight="false" outlineLevel="0" collapsed="false">
      <c r="B27755" s="0" t="s">
        <v>1</v>
      </c>
    </row>
    <row r="27756" customFormat="false" ht="12.8" hidden="false" customHeight="false" outlineLevel="0" collapsed="false">
      <c r="B27756" s="0" t="s">
        <v>8</v>
      </c>
    </row>
    <row r="27758" customFormat="false" ht="12.8" hidden="false" customHeight="false" outlineLevel="0" collapsed="false">
      <c r="A27758" s="0" t="s">
        <v>11105</v>
      </c>
      <c r="B27758" s="0" t="str">
        <f aca="false">HYPERLINK("https://lindat.mff.cuni.cz/services/teitok/pdtc10/index.php?action=vallex&amp;frame=v-whsa_2037hsa_2038", "pokoupit (v-whsa_2037hsa_2038)")</f>
        <v>pokoupit (v-whsa_2037hsa_2038)</v>
      </c>
    </row>
    <row r="27759" customFormat="false" ht="12.8" hidden="false" customHeight="false" outlineLevel="0" collapsed="false">
      <c r="B27759" s="0" t="s">
        <v>1</v>
      </c>
    </row>
    <row r="27760" customFormat="false" ht="12.8" hidden="false" customHeight="false" outlineLevel="0" collapsed="false">
      <c r="B27760" s="0" t="s">
        <v>8</v>
      </c>
    </row>
    <row r="27761" customFormat="false" ht="12.8" hidden="false" customHeight="false" outlineLevel="0" collapsed="false">
      <c r="B27761" s="0" t="s">
        <v>2410</v>
      </c>
    </row>
    <row r="27762" customFormat="false" ht="12.8" hidden="false" customHeight="false" outlineLevel="0" collapsed="false">
      <c r="B27762" s="0" t="s">
        <v>602</v>
      </c>
    </row>
    <row r="27764" customFormat="false" ht="12.8" hidden="false" customHeight="false" outlineLevel="0" collapsed="false">
      <c r="A27764" s="0" t="s">
        <v>11106</v>
      </c>
      <c r="B27764" s="0" t="str">
        <f aca="false">HYPERLINK("https://lindat.mff.cuni.cz/services/teitok/pdtc10/index.php?action=vallex&amp;frame=v-w3759f1", "pokousat (v-w3759f1)")</f>
        <v>pokousat (v-w3759f1)</v>
      </c>
    </row>
    <row r="27765" customFormat="false" ht="12.8" hidden="false" customHeight="false" outlineLevel="0" collapsed="false">
      <c r="B27765" s="0" t="s">
        <v>1</v>
      </c>
    </row>
    <row r="27766" customFormat="false" ht="12.8" hidden="false" customHeight="false" outlineLevel="0" collapsed="false">
      <c r="B27766" s="0" t="s">
        <v>8</v>
      </c>
    </row>
    <row r="27768" customFormat="false" ht="12.8" hidden="false" customHeight="false" outlineLevel="0" collapsed="false">
      <c r="A27768" s="0" t="s">
        <v>11107</v>
      </c>
      <c r="B27768" s="0" t="str">
        <f aca="false">HYPERLINK("https://lindat.mff.cuni.cz/services/teitok/pdtc10/index.php?action=vallex&amp;frame=v-w3761f1", "pokoušet (v-w3761f1)")</f>
        <v>pokoušet (v-w3761f1)</v>
      </c>
    </row>
    <row r="27769" customFormat="false" ht="12.8" hidden="false" customHeight="false" outlineLevel="0" collapsed="false">
      <c r="B27769" s="0" t="s">
        <v>1</v>
      </c>
    </row>
    <row r="27770" customFormat="false" ht="12.8" hidden="false" customHeight="false" outlineLevel="0" collapsed="false">
      <c r="B27770" s="0" t="s">
        <v>8</v>
      </c>
    </row>
    <row r="27772" customFormat="false" ht="12.8" hidden="false" customHeight="false" outlineLevel="0" collapsed="false">
      <c r="A27772" s="0" t="s">
        <v>11108</v>
      </c>
      <c r="B27772" s="0" t="str">
        <f aca="false">HYPERLINK("https://lindat.mff.cuni.cz/services/teitok/pdtc10/index.php?action=vallex&amp;frame=v-w3761f2", "pokoušet (v-w3761f2)")</f>
        <v>pokoušet (v-w3761f2)</v>
      </c>
    </row>
    <row r="27773" customFormat="false" ht="12.8" hidden="false" customHeight="false" outlineLevel="0" collapsed="false">
      <c r="B27773" s="0" t="s">
        <v>1</v>
      </c>
    </row>
    <row r="27774" customFormat="false" ht="12.8" hidden="false" customHeight="false" outlineLevel="0" collapsed="false">
      <c r="B27774" s="0" t="s">
        <v>8</v>
      </c>
    </row>
    <row r="27776" customFormat="false" ht="12.8" hidden="false" customHeight="false" outlineLevel="0" collapsed="false">
      <c r="A27776" s="0" t="s">
        <v>11109</v>
      </c>
      <c r="B27776" s="0" t="str">
        <f aca="false">HYPERLINK("https://lindat.mff.cuni.cz/services/teitok/pdtc10/index.php?action=vallex&amp;frame=v-w3762f1", "pokoušet se (v-w3762f1)")</f>
        <v>pokoušet se (v-w3762f1)</v>
      </c>
      <c r="E27776" s="0" t="str">
        <f aca="false">HYPERLINK("https://lindat.mff.cuni.cz/services/SynSemClass40/SynSemClass40.html?veclass=vec00117#vec00117-ces-cm00027", "vec00117")</f>
        <v>vec00117</v>
      </c>
      <c r="F27776" s="0" t="s">
        <v>517</v>
      </c>
    </row>
    <row r="27777" customFormat="false" ht="12.8" hidden="false" customHeight="false" outlineLevel="0" collapsed="false">
      <c r="B27777" s="0" t="s">
        <v>1</v>
      </c>
      <c r="C27777" s="0" t="s">
        <v>518</v>
      </c>
      <c r="E27777" s="0" t="s">
        <v>519</v>
      </c>
      <c r="F27777" s="0" t="s">
        <v>520</v>
      </c>
    </row>
    <row r="27778" customFormat="false" ht="12.8" hidden="false" customHeight="false" outlineLevel="0" collapsed="false">
      <c r="B27778" s="0" t="s">
        <v>11110</v>
      </c>
      <c r="C27778" s="0" t="s">
        <v>522</v>
      </c>
      <c r="E27778" s="0" t="s">
        <v>523</v>
      </c>
      <c r="F27778" s="0" t="s">
        <v>524</v>
      </c>
    </row>
    <row r="27780" customFormat="false" ht="12.8" hidden="false" customHeight="false" outlineLevel="0" collapsed="false">
      <c r="A27780" s="0" t="s">
        <v>11111</v>
      </c>
      <c r="B27780" s="0" t="str">
        <f aca="false">HYPERLINK("https://lindat.mff.cuni.cz/services/teitok/pdtc10/index.php?action=vallex&amp;frame=v-w3757f1", "pokořit (v-w3757f1)")</f>
        <v>pokořit (v-w3757f1)</v>
      </c>
      <c r="E27780" s="0" t="str">
        <f aca="false">HYPERLINK("https://lindat.mff.cuni.cz/services/SynSemClass40/SynSemClass40.html?veclass=vec00279#vec00279-ces-cm00007", "vec00279")</f>
        <v>vec00279</v>
      </c>
      <c r="F27780" s="0" t="s">
        <v>9067</v>
      </c>
    </row>
    <row r="27781" customFormat="false" ht="12.8" hidden="false" customHeight="false" outlineLevel="0" collapsed="false">
      <c r="B27781" s="0" t="s">
        <v>1</v>
      </c>
      <c r="C27781" s="0" t="s">
        <v>9068</v>
      </c>
      <c r="E27781" s="0" t="s">
        <v>11</v>
      </c>
      <c r="F27781" s="0" t="s">
        <v>9069</v>
      </c>
    </row>
    <row r="27782" customFormat="false" ht="12.8" hidden="false" customHeight="false" outlineLevel="0" collapsed="false">
      <c r="B27782" s="0" t="s">
        <v>8</v>
      </c>
      <c r="C27782" s="0" t="s">
        <v>9070</v>
      </c>
      <c r="E27782" s="0" t="s">
        <v>7635</v>
      </c>
      <c r="F27782" s="0" t="s">
        <v>9071</v>
      </c>
    </row>
    <row r="27784" customFormat="false" ht="12.8" hidden="false" customHeight="false" outlineLevel="0" collapsed="false">
      <c r="A27784" s="0" t="s">
        <v>11112</v>
      </c>
      <c r="B27784" s="0" t="str">
        <f aca="false">HYPERLINK("https://lindat.mff.cuni.cz/services/teitok/pdtc10/index.php?action=vallex&amp;frame=v-w3757f2", "pokořit (v-w3757f2)")</f>
        <v>pokořit (v-w3757f2)</v>
      </c>
      <c r="E27784" s="0" t="str">
        <f aca="false">HYPERLINK("https://lindat.mff.cuni.cz/services/SynSemClass40/SynSemClass40.html?veclass=vec01192#vec01192-ces-cm00007", "vec01192")</f>
        <v>vec01192</v>
      </c>
      <c r="F27784" s="0" t="s">
        <v>2000</v>
      </c>
    </row>
    <row r="27785" customFormat="false" ht="12.8" hidden="false" customHeight="false" outlineLevel="0" collapsed="false">
      <c r="B27785" s="0" t="s">
        <v>1</v>
      </c>
      <c r="C27785" s="0" t="s">
        <v>512</v>
      </c>
      <c r="E27785" s="0" t="s">
        <v>11</v>
      </c>
      <c r="F27785" s="0" t="s">
        <v>1613</v>
      </c>
    </row>
    <row r="27786" customFormat="false" ht="12.8" hidden="false" customHeight="false" outlineLevel="0" collapsed="false">
      <c r="B27786" s="0" t="s">
        <v>8</v>
      </c>
      <c r="C27786" s="0" t="s">
        <v>2001</v>
      </c>
      <c r="E27786" s="0" t="s">
        <v>142</v>
      </c>
      <c r="F27786" s="0" t="s">
        <v>2002</v>
      </c>
    </row>
    <row r="27788" customFormat="false" ht="12.8" hidden="false" customHeight="false" outlineLevel="0" collapsed="false">
      <c r="A27788" s="0" t="s">
        <v>11113</v>
      </c>
      <c r="B27788" s="0" t="str">
        <f aca="false">HYPERLINK("https://lindat.mff.cuni.cz/services/teitok/pdtc10/index.php?action=vallex&amp;frame=v-w3758f1", "pokořit se (v-w3758f1)")</f>
        <v>pokořit se (v-w3758f1)</v>
      </c>
      <c r="E27788" s="0" t="str">
        <f aca="false">HYPERLINK("https://lindat.mff.cuni.cz/services/SynSemClass40/SynSemClass40.html?veclass=vec01192#vec01192-ces-cm00008", "vec01192")</f>
        <v>vec01192</v>
      </c>
      <c r="F27788" s="0" t="s">
        <v>2000</v>
      </c>
    </row>
    <row r="27789" customFormat="false" ht="12.8" hidden="false" customHeight="false" outlineLevel="0" collapsed="false">
      <c r="B27789" s="0" t="s">
        <v>1</v>
      </c>
      <c r="C27789" s="0" t="s">
        <v>11114</v>
      </c>
      <c r="E27789" s="0" t="s">
        <v>11115</v>
      </c>
      <c r="F27789" s="0" t="s">
        <v>11116</v>
      </c>
    </row>
    <row r="27790" customFormat="false" ht="12.8" hidden="false" customHeight="false" outlineLevel="0" collapsed="false">
      <c r="B27790" s="0" t="s">
        <v>6877</v>
      </c>
    </row>
    <row r="27792" customFormat="false" ht="12.8" hidden="false" customHeight="false" outlineLevel="0" collapsed="false">
      <c r="A27792" s="0" t="s">
        <v>11117</v>
      </c>
      <c r="B27792" s="0" t="str">
        <f aca="false">HYPERLINK("https://lindat.mff.cuni.cz/services/teitok/pdtc10/index.php?action=vallex&amp;frame=v-w3765f7_ZU", "pokračovat (v-w3765f7_ZU)")</f>
        <v>pokračovat (v-w3765f7_ZU)</v>
      </c>
    </row>
    <row r="27793" customFormat="false" ht="12.8" hidden="false" customHeight="false" outlineLevel="0" collapsed="false">
      <c r="B27793" s="0" t="s">
        <v>1</v>
      </c>
    </row>
    <row r="27794" customFormat="false" ht="12.8" hidden="false" customHeight="false" outlineLevel="0" collapsed="false">
      <c r="B27794" s="0" t="s">
        <v>11118</v>
      </c>
    </row>
    <row r="27796" customFormat="false" ht="12.8" hidden="false" customHeight="false" outlineLevel="0" collapsed="false">
      <c r="A27796" s="0" t="s">
        <v>11117</v>
      </c>
      <c r="B27796" s="0" t="str">
        <f aca="false">HYPERLINK("https://lindat.mff.cuni.cz/services/teitok/pdtc10/index.php?action=vallex&amp;frame=v-w3765f2", "pokračovat (v-w3765f2) - substituted with v-w3765f7_ZU")</f>
        <v>pokračovat (v-w3765f2) - substituted with v-w3765f7_ZU</v>
      </c>
    </row>
    <row r="27797" customFormat="false" ht="12.8" hidden="false" customHeight="false" outlineLevel="0" collapsed="false">
      <c r="B27797" s="0" t="s">
        <v>1</v>
      </c>
    </row>
    <row r="27798" customFormat="false" ht="12.8" hidden="false" customHeight="false" outlineLevel="0" collapsed="false">
      <c r="B27798" s="0" t="s">
        <v>11118</v>
      </c>
    </row>
    <row r="27800" customFormat="false" ht="12.8" hidden="false" customHeight="false" outlineLevel="0" collapsed="false">
      <c r="A27800" s="0" t="s">
        <v>11117</v>
      </c>
      <c r="B27800" s="0" t="str">
        <f aca="false">HYPERLINK("https://lindat.mff.cuni.cz/services/teitok/pdtc10/index.php?action=vallex&amp;frame=v-w3765f5_ZU", "pokračovat (v-w3765f5_ZU) - substituted with v-w3765f7_ZU")</f>
        <v>pokračovat (v-w3765f5_ZU) - substituted with v-w3765f7_ZU</v>
      </c>
      <c r="E27800" s="0" t="str">
        <f aca="false">HYPERLINK("https://lindat.mff.cuni.cz/services/SynSemClass40/SynSemClass40.html?veclass=vec00198#vec00198-ces-cm00045", "vec00198")</f>
        <v>vec00198</v>
      </c>
      <c r="F27800" s="0" t="s">
        <v>134</v>
      </c>
      <c r="H27800" s="0" t="str">
        <f aca="false">HYPERLINK("https://lindat.mff.cuni.cz/services/SynSemClass40/SynSemClass40.html?veclass=vec01458#vec01458-ces-cm00038", "vec01458")</f>
        <v>vec01458</v>
      </c>
      <c r="I27800" s="0" t="s">
        <v>127</v>
      </c>
    </row>
    <row r="27801" customFormat="false" ht="12.8" hidden="false" customHeight="false" outlineLevel="0" collapsed="false">
      <c r="B27801" s="0" t="s">
        <v>1</v>
      </c>
      <c r="C27801" s="0" t="s">
        <v>11119</v>
      </c>
      <c r="E27801" s="0" t="s">
        <v>31</v>
      </c>
      <c r="F27801" s="0" t="s">
        <v>137</v>
      </c>
      <c r="H27801" s="0" t="s">
        <v>31</v>
      </c>
      <c r="I27801" s="0" t="s">
        <v>130</v>
      </c>
    </row>
    <row r="27802" customFormat="false" ht="12.8" hidden="false" customHeight="false" outlineLevel="0" collapsed="false">
      <c r="B27802" s="0" t="s">
        <v>11118</v>
      </c>
      <c r="C27802" s="0" t="s">
        <v>11120</v>
      </c>
      <c r="E27802" s="0" t="s">
        <v>140</v>
      </c>
      <c r="F27802" s="0" t="s">
        <v>141</v>
      </c>
      <c r="H27802" s="0" t="s">
        <v>14</v>
      </c>
      <c r="I27802" s="0" t="s">
        <v>288</v>
      </c>
    </row>
    <row r="27804" customFormat="false" ht="12.8" hidden="false" customHeight="false" outlineLevel="0" collapsed="false">
      <c r="A27804" s="0" t="s">
        <v>11117</v>
      </c>
      <c r="B27804" s="0" t="str">
        <f aca="false">HYPERLINK("https://lindat.mff.cuni.cz/services/teitok/pdtc10/index.php?action=vallex&amp;frame=v-w3765f6_ZU", "pokračovat (v-w3765f6_ZU) - substituted with v-w3765f7_ZU")</f>
        <v>pokračovat (v-w3765f6_ZU) - substituted with v-w3765f7_ZU</v>
      </c>
    </row>
    <row r="27805" customFormat="false" ht="12.8" hidden="false" customHeight="false" outlineLevel="0" collapsed="false">
      <c r="B27805" s="0" t="s">
        <v>1</v>
      </c>
    </row>
    <row r="27806" customFormat="false" ht="12.8" hidden="false" customHeight="false" outlineLevel="0" collapsed="false">
      <c r="B27806" s="0" t="s">
        <v>11118</v>
      </c>
    </row>
    <row r="27808" customFormat="false" ht="12.8" hidden="false" customHeight="false" outlineLevel="0" collapsed="false">
      <c r="A27808" s="0" t="s">
        <v>11117</v>
      </c>
      <c r="B27808" s="0" t="str">
        <f aca="false">HYPERLINK("https://lindat.mff.cuni.cz/services/teitok/pdtc10/index.php?action=vallex&amp;frame=v-w3765hsa_1442", "pokračovat (v-w3765hsa_1442) - substituted with v-w3765f7_ZU")</f>
        <v>pokračovat (v-w3765hsa_1442) - substituted with v-w3765f7_ZU</v>
      </c>
    </row>
    <row r="27809" customFormat="false" ht="12.8" hidden="false" customHeight="false" outlineLevel="0" collapsed="false">
      <c r="B27809" s="0" t="s">
        <v>1</v>
      </c>
    </row>
    <row r="27810" customFormat="false" ht="12.8" hidden="false" customHeight="false" outlineLevel="0" collapsed="false">
      <c r="B27810" s="0" t="s">
        <v>11118</v>
      </c>
    </row>
    <row r="27812" customFormat="false" ht="12.8" hidden="false" customHeight="false" outlineLevel="0" collapsed="false">
      <c r="A27812" s="0" t="s">
        <v>11121</v>
      </c>
      <c r="B27812" s="0" t="str">
        <f aca="false">HYPERLINK("https://lindat.mff.cuni.cz/services/teitok/pdtc10/index.php?action=vallex&amp;frame=v-w3765f3", "pokračovat (v-w3765f3)")</f>
        <v>pokračovat (v-w3765f3)</v>
      </c>
      <c r="E27812" s="0" t="str">
        <f aca="false">HYPERLINK("https://lindat.mff.cuni.cz/services/SynSemClass40/SynSemClass40.html?veclass=vec00676#vec00676-ces-cm00001", "vec00676")</f>
        <v>vec00676</v>
      </c>
      <c r="F27812" s="0" t="s">
        <v>11122</v>
      </c>
    </row>
    <row r="27813" customFormat="false" ht="12.8" hidden="false" customHeight="false" outlineLevel="0" collapsed="false">
      <c r="B27813" s="0" t="s">
        <v>1</v>
      </c>
      <c r="C27813" s="0" t="s">
        <v>447</v>
      </c>
      <c r="E27813" s="0" t="s">
        <v>147</v>
      </c>
      <c r="F27813" s="0" t="s">
        <v>11123</v>
      </c>
    </row>
    <row r="27814" customFormat="false" ht="12.8" hidden="false" customHeight="false" outlineLevel="0" collapsed="false">
      <c r="B27814" s="0" t="s">
        <v>11124</v>
      </c>
      <c r="C27814" s="0" t="s">
        <v>11125</v>
      </c>
      <c r="E27814" s="0" t="s">
        <v>2217</v>
      </c>
      <c r="F27814" s="0" t="s">
        <v>11126</v>
      </c>
    </row>
    <row r="27815" customFormat="false" ht="12.8" hidden="false" customHeight="false" outlineLevel="0" collapsed="false">
      <c r="B27815" s="0" t="s">
        <v>496</v>
      </c>
      <c r="E27815" s="0" t="s">
        <v>209</v>
      </c>
      <c r="F27815" s="0" t="s">
        <v>11127</v>
      </c>
    </row>
    <row r="27817" customFormat="false" ht="12.8" hidden="false" customHeight="false" outlineLevel="0" collapsed="false">
      <c r="A27817" s="0" t="s">
        <v>11128</v>
      </c>
      <c r="B27817" s="0" t="str">
        <f aca="false">HYPERLINK("https://lindat.mff.cuni.cz/services/teitok/pdtc10/index.php?action=vallex&amp;frame=v-w3765f8_ZU", "pokračovat (v-w3765f8_ZU)")</f>
        <v>pokračovat (v-w3765f8_ZU)</v>
      </c>
    </row>
    <row r="27818" customFormat="false" ht="12.8" hidden="false" customHeight="false" outlineLevel="0" collapsed="false">
      <c r="B27818" s="0" t="s">
        <v>1</v>
      </c>
    </row>
    <row r="27819" customFormat="false" ht="12.8" hidden="false" customHeight="false" outlineLevel="0" collapsed="false">
      <c r="B27819" s="0" t="s">
        <v>164</v>
      </c>
    </row>
    <row r="27821" customFormat="false" ht="12.8" hidden="false" customHeight="false" outlineLevel="0" collapsed="false">
      <c r="A27821" s="0" t="s">
        <v>11128</v>
      </c>
      <c r="B27821" s="0" t="str">
        <f aca="false">HYPERLINK("https://lindat.mff.cuni.cz/services/teitok/pdtc10/index.php?action=vallex&amp;frame=v-w3765f4", "pokračovat (v-w3765f4) - substituted with v-w3765f8_ZU")</f>
        <v>pokračovat (v-w3765f4) - substituted with v-w3765f8_ZU</v>
      </c>
    </row>
    <row r="27822" customFormat="false" ht="12.8" hidden="false" customHeight="false" outlineLevel="0" collapsed="false">
      <c r="B27822" s="0" t="s">
        <v>1</v>
      </c>
    </row>
    <row r="27823" customFormat="false" ht="12.8" hidden="false" customHeight="false" outlineLevel="0" collapsed="false">
      <c r="B27823" s="0" t="s">
        <v>164</v>
      </c>
    </row>
    <row r="27825" customFormat="false" ht="12.8" hidden="false" customHeight="false" outlineLevel="0" collapsed="false">
      <c r="A27825" s="0" t="s">
        <v>11129</v>
      </c>
      <c r="B27825" s="0" t="str">
        <f aca="false">HYPERLINK("https://lindat.mff.cuni.cz/services/teitok/pdtc10/index.php?action=vallex&amp;frame=v-w3765f1", "pokračovat (v-w3765f1)")</f>
        <v>pokračovat (v-w3765f1)</v>
      </c>
      <c r="E27825" s="0" t="str">
        <f aca="false">HYPERLINK("https://lindat.mff.cuni.cz/services/SynSemClass40/SynSemClass40.html?veclass=vec00261#vec00261-ces-cm00001", "vec00261")</f>
        <v>vec00261</v>
      </c>
      <c r="F27825" s="0" t="s">
        <v>1318</v>
      </c>
    </row>
    <row r="27826" customFormat="false" ht="12.8" hidden="false" customHeight="false" outlineLevel="0" collapsed="false">
      <c r="B27826" s="0" t="s">
        <v>1</v>
      </c>
      <c r="C27826" s="0" t="s">
        <v>1319</v>
      </c>
      <c r="E27826" s="0" t="s">
        <v>375</v>
      </c>
      <c r="F27826" s="0" t="s">
        <v>1320</v>
      </c>
    </row>
    <row r="27828" customFormat="false" ht="12.8" hidden="false" customHeight="false" outlineLevel="0" collapsed="false">
      <c r="A27828" s="0" t="s">
        <v>11130</v>
      </c>
      <c r="B27828" s="0" t="str">
        <f aca="false">HYPERLINK("https://lindat.mff.cuni.cz/services/teitok/pdtc10/index.php?action=vallex&amp;frame=v-whsa_381hsa_382", "pokropit (v-whsa_381hsa_382)")</f>
        <v>pokropit (v-whsa_381hsa_382)</v>
      </c>
      <c r="E27828" s="0" t="str">
        <f aca="false">HYPERLINK("https://lindat.mff.cuni.cz/services/SynSemClass40/SynSemClass40.html?veclass=vec00872#vec00872-ces-cm00015", "vec00872")</f>
        <v>vec00872</v>
      </c>
      <c r="F27828" s="0" t="s">
        <v>8290</v>
      </c>
    </row>
    <row r="27829" customFormat="false" ht="12.8" hidden="false" customHeight="false" outlineLevel="0" collapsed="false">
      <c r="B27829" s="0" t="s">
        <v>1</v>
      </c>
      <c r="C27829" s="0" t="s">
        <v>8291</v>
      </c>
      <c r="E27829" s="0" t="s">
        <v>8292</v>
      </c>
      <c r="F27829" s="0" t="s">
        <v>8293</v>
      </c>
    </row>
    <row r="27830" customFormat="false" ht="12.8" hidden="false" customHeight="false" outlineLevel="0" collapsed="false">
      <c r="B27830" s="0" t="s">
        <v>8</v>
      </c>
      <c r="C27830" s="0" t="s">
        <v>2627</v>
      </c>
      <c r="E27830" s="0" t="s">
        <v>8294</v>
      </c>
      <c r="F27830" s="0" t="s">
        <v>8295</v>
      </c>
    </row>
    <row r="27832" customFormat="false" ht="12.8" hidden="false" customHeight="false" outlineLevel="0" collapsed="false">
      <c r="A27832" s="0" t="s">
        <v>11131</v>
      </c>
      <c r="B27832" s="0" t="str">
        <f aca="false">HYPERLINK("https://lindat.mff.cuni.cz/services/teitok/pdtc10/index.php?action=vallex&amp;frame=v-w3769f2_ZU", "pokročit (v-w3769f2_ZU)")</f>
        <v>pokročit (v-w3769f2_ZU)</v>
      </c>
    </row>
    <row r="27833" customFormat="false" ht="12.8" hidden="false" customHeight="false" outlineLevel="0" collapsed="false">
      <c r="B27833" s="0" t="s">
        <v>1</v>
      </c>
    </row>
    <row r="27834" customFormat="false" ht="12.8" hidden="false" customHeight="false" outlineLevel="0" collapsed="false">
      <c r="B27834" s="0" t="s">
        <v>69</v>
      </c>
    </row>
    <row r="27835" customFormat="false" ht="12.8" hidden="false" customHeight="false" outlineLevel="0" collapsed="false">
      <c r="B27835" s="0" t="s">
        <v>36</v>
      </c>
    </row>
    <row r="27837" customFormat="false" ht="12.8" hidden="false" customHeight="false" outlineLevel="0" collapsed="false">
      <c r="A27837" s="0" t="s">
        <v>11132</v>
      </c>
      <c r="B27837" s="0" t="str">
        <f aca="false">HYPERLINK("https://lindat.mff.cuni.cz/services/teitok/pdtc10/index.php?action=vallex&amp;frame=v-w3769f3_ZU", "pokročit (v-w3769f3_ZU)")</f>
        <v>pokročit (v-w3769f3_ZU)</v>
      </c>
    </row>
    <row r="27838" customFormat="false" ht="12.8" hidden="false" customHeight="false" outlineLevel="0" collapsed="false">
      <c r="B27838" s="0" t="s">
        <v>1</v>
      </c>
    </row>
    <row r="27839" customFormat="false" ht="12.8" hidden="false" customHeight="false" outlineLevel="0" collapsed="false">
      <c r="B27839" s="0" t="s">
        <v>3321</v>
      </c>
    </row>
    <row r="27841" customFormat="false" ht="12.8" hidden="false" customHeight="false" outlineLevel="0" collapsed="false">
      <c r="A27841" s="0" t="s">
        <v>11132</v>
      </c>
      <c r="B27841" s="0" t="str">
        <f aca="false">HYPERLINK("https://lindat.mff.cuni.cz/services/teitok/pdtc10/index.php?action=vallex&amp;frame=v-w3769f1", "pokročit (v-w3769f1) - substituted with v-w3769f3_ZU")</f>
        <v>pokročit (v-w3769f1) - substituted with v-w3769f3_ZU</v>
      </c>
    </row>
    <row r="27842" customFormat="false" ht="12.8" hidden="false" customHeight="false" outlineLevel="0" collapsed="false">
      <c r="B27842" s="0" t="s">
        <v>1</v>
      </c>
    </row>
    <row r="27843" customFormat="false" ht="12.8" hidden="false" customHeight="false" outlineLevel="0" collapsed="false">
      <c r="B27843" s="0" t="s">
        <v>3321</v>
      </c>
    </row>
    <row r="27845" customFormat="false" ht="12.8" hidden="false" customHeight="false" outlineLevel="0" collapsed="false">
      <c r="A27845" s="0" t="s">
        <v>11133</v>
      </c>
      <c r="B27845" s="0" t="str">
        <f aca="false">HYPERLINK("https://lindat.mff.cuni.cz/services/teitok/pdtc10/index.php?action=vallex&amp;frame=v-w3769hsa_150", "pokročit (v-w3769hsa_150)")</f>
        <v>pokročit (v-w3769hsa_150)</v>
      </c>
    </row>
    <row r="27846" customFormat="false" ht="12.8" hidden="false" customHeight="false" outlineLevel="0" collapsed="false">
      <c r="B27846" s="0" t="s">
        <v>1</v>
      </c>
    </row>
    <row r="27847" customFormat="false" ht="12.8" hidden="false" customHeight="false" outlineLevel="0" collapsed="false">
      <c r="B27847" s="0" t="s">
        <v>721</v>
      </c>
    </row>
    <row r="27849" customFormat="false" ht="12.8" hidden="false" customHeight="false" outlineLevel="0" collapsed="false">
      <c r="A27849" s="0" t="s">
        <v>11134</v>
      </c>
      <c r="B27849" s="0" t="str">
        <f aca="false">HYPERLINK("https://lindat.mff.cuni.cz/services/teitok/pdtc10/index.php?action=vallex&amp;frame=v-w3771f1", "pokrýt (v-w3771f1)")</f>
        <v>pokrýt (v-w3771f1)</v>
      </c>
      <c r="E27849" s="0" t="str">
        <f aca="false">HYPERLINK("https://lindat.mff.cuni.cz/services/SynSemClass40/SynSemClass40.html?veclass=vec00872#vec00872-ces-cm00006", "vec00872")</f>
        <v>vec00872</v>
      </c>
      <c r="F27849" s="0" t="s">
        <v>8290</v>
      </c>
    </row>
    <row r="27850" customFormat="false" ht="12.8" hidden="false" customHeight="false" outlineLevel="0" collapsed="false">
      <c r="B27850" s="0" t="s">
        <v>1</v>
      </c>
      <c r="C27850" s="0" t="s">
        <v>8291</v>
      </c>
      <c r="E27850" s="0" t="s">
        <v>8292</v>
      </c>
      <c r="F27850" s="0" t="s">
        <v>8293</v>
      </c>
    </row>
    <row r="27851" customFormat="false" ht="12.8" hidden="false" customHeight="false" outlineLevel="0" collapsed="false">
      <c r="B27851" s="0" t="s">
        <v>8</v>
      </c>
      <c r="C27851" s="0" t="s">
        <v>2627</v>
      </c>
      <c r="E27851" s="0" t="s">
        <v>8294</v>
      </c>
      <c r="F27851" s="0" t="s">
        <v>8295</v>
      </c>
    </row>
    <row r="27853" customFormat="false" ht="12.8" hidden="false" customHeight="false" outlineLevel="0" collapsed="false">
      <c r="A27853" s="0" t="s">
        <v>11135</v>
      </c>
      <c r="B27853" s="0" t="str">
        <f aca="false">HYPERLINK("https://lindat.mff.cuni.cz/services/teitok/pdtc10/index.php?action=vallex&amp;frame=v-w3771f2", "pokrýt (v-w3771f2)")</f>
        <v>pokrýt (v-w3771f2)</v>
      </c>
    </row>
    <row r="27854" customFormat="false" ht="12.8" hidden="false" customHeight="false" outlineLevel="0" collapsed="false">
      <c r="B27854" s="0" t="s">
        <v>1</v>
      </c>
    </row>
    <row r="27855" customFormat="false" ht="12.8" hidden="false" customHeight="false" outlineLevel="0" collapsed="false">
      <c r="B27855" s="0" t="s">
        <v>8</v>
      </c>
    </row>
    <row r="27857" customFormat="false" ht="12.8" hidden="false" customHeight="false" outlineLevel="0" collapsed="false">
      <c r="A27857" s="0" t="s">
        <v>11136</v>
      </c>
      <c r="B27857" s="0" t="str">
        <f aca="false">HYPERLINK("https://lindat.mff.cuni.cz/services/teitok/pdtc10/index.php?action=vallex&amp;frame=v-w3771f3", "pokrýt (v-w3771f3)")</f>
        <v>pokrýt (v-w3771f3)</v>
      </c>
      <c r="E27857" s="0" t="str">
        <f aca="false">HYPERLINK("https://lindat.mff.cuni.cz/services/SynSemClass40/SynSemClass40.html?veclass=vec00872#vec00872-ces-cm00001", "vec00872")</f>
        <v>vec00872</v>
      </c>
      <c r="F27857" s="0" t="s">
        <v>8290</v>
      </c>
    </row>
    <row r="27858" customFormat="false" ht="12.8" hidden="false" customHeight="false" outlineLevel="0" collapsed="false">
      <c r="B27858" s="0" t="s">
        <v>1</v>
      </c>
      <c r="C27858" s="0" t="s">
        <v>8291</v>
      </c>
      <c r="E27858" s="0" t="s">
        <v>8292</v>
      </c>
      <c r="F27858" s="0" t="s">
        <v>8293</v>
      </c>
    </row>
    <row r="27859" customFormat="false" ht="12.8" hidden="false" customHeight="false" outlineLevel="0" collapsed="false">
      <c r="B27859" s="0" t="s">
        <v>8</v>
      </c>
      <c r="C27859" s="0" t="s">
        <v>2627</v>
      </c>
      <c r="E27859" s="0" t="s">
        <v>8294</v>
      </c>
      <c r="F27859" s="0" t="s">
        <v>8295</v>
      </c>
    </row>
    <row r="27861" customFormat="false" ht="12.8" hidden="false" customHeight="false" outlineLevel="0" collapsed="false">
      <c r="A27861" s="0" t="s">
        <v>11137</v>
      </c>
      <c r="B27861" s="0" t="str">
        <f aca="false">HYPERLINK("https://lindat.mff.cuni.cz/services/teitok/pdtc10/index.php?action=vallex&amp;frame=v-w3771hsa_179", "pokrýt (v-w3771hsa_179)")</f>
        <v>pokrýt (v-w3771hsa_179)</v>
      </c>
    </row>
    <row r="27862" customFormat="false" ht="12.8" hidden="false" customHeight="false" outlineLevel="0" collapsed="false">
      <c r="B27862" s="0" t="s">
        <v>1</v>
      </c>
    </row>
    <row r="27863" customFormat="false" ht="12.8" hidden="false" customHeight="false" outlineLevel="0" collapsed="false">
      <c r="B27863" s="0" t="s">
        <v>8</v>
      </c>
    </row>
    <row r="27865" customFormat="false" ht="12.8" hidden="false" customHeight="false" outlineLevel="0" collapsed="false">
      <c r="A27865" s="0" t="s">
        <v>11138</v>
      </c>
      <c r="B27865" s="0" t="str">
        <f aca="false">HYPERLINK("https://lindat.mff.cuni.cz/services/teitok/pdtc10/index.php?action=vallex&amp;frame=v-w3775f1", "pokrývat (v-w3775f1)")</f>
        <v>pokrývat (v-w3775f1)</v>
      </c>
      <c r="E27865" s="0" t="str">
        <f aca="false">HYPERLINK("https://lindat.mff.cuni.cz/services/SynSemClass40/SynSemClass40.html?veclass=vec00872#vec00872-ces-cm00009", "vec00872")</f>
        <v>vec00872</v>
      </c>
      <c r="F27865" s="0" t="s">
        <v>8290</v>
      </c>
    </row>
    <row r="27866" customFormat="false" ht="12.8" hidden="false" customHeight="false" outlineLevel="0" collapsed="false">
      <c r="B27866" s="0" t="s">
        <v>1</v>
      </c>
      <c r="C27866" s="0" t="s">
        <v>8291</v>
      </c>
      <c r="E27866" s="0" t="s">
        <v>8292</v>
      </c>
      <c r="F27866" s="0" t="s">
        <v>8293</v>
      </c>
    </row>
    <row r="27867" customFormat="false" ht="12.8" hidden="false" customHeight="false" outlineLevel="0" collapsed="false">
      <c r="B27867" s="0" t="s">
        <v>8</v>
      </c>
      <c r="C27867" s="0" t="s">
        <v>2627</v>
      </c>
      <c r="E27867" s="0" t="s">
        <v>8294</v>
      </c>
      <c r="F27867" s="0" t="s">
        <v>8295</v>
      </c>
    </row>
    <row r="27869" customFormat="false" ht="12.8" hidden="false" customHeight="false" outlineLevel="0" collapsed="false">
      <c r="A27869" s="0" t="s">
        <v>11139</v>
      </c>
      <c r="B27869" s="0" t="str">
        <f aca="false">HYPERLINK("https://lindat.mff.cuni.cz/services/teitok/pdtc10/index.php?action=vallex&amp;frame=v-w3775f3", "pokrývat (v-w3775f3)")</f>
        <v>pokrývat (v-w3775f3)</v>
      </c>
      <c r="E27869" s="0" t="str">
        <f aca="false">HYPERLINK("https://lindat.mff.cuni.cz/services/SynSemClass40/SynSemClass40.html?veclass=vec00872#vec00872-ces-cm00011", "vec00872")</f>
        <v>vec00872</v>
      </c>
      <c r="F27869" s="0" t="s">
        <v>8290</v>
      </c>
    </row>
    <row r="27870" customFormat="false" ht="12.8" hidden="false" customHeight="false" outlineLevel="0" collapsed="false">
      <c r="B27870" s="0" t="s">
        <v>1</v>
      </c>
      <c r="C27870" s="0" t="s">
        <v>8291</v>
      </c>
      <c r="E27870" s="0" t="s">
        <v>8292</v>
      </c>
      <c r="F27870" s="0" t="s">
        <v>8293</v>
      </c>
    </row>
    <row r="27871" customFormat="false" ht="12.8" hidden="false" customHeight="false" outlineLevel="0" collapsed="false">
      <c r="B27871" s="0" t="s">
        <v>8</v>
      </c>
      <c r="C27871" s="0" t="s">
        <v>2627</v>
      </c>
      <c r="E27871" s="0" t="s">
        <v>8294</v>
      </c>
      <c r="F27871" s="0" t="s">
        <v>8295</v>
      </c>
    </row>
    <row r="27873" customFormat="false" ht="12.8" hidden="false" customHeight="false" outlineLevel="0" collapsed="false">
      <c r="A27873" s="0" t="s">
        <v>11140</v>
      </c>
      <c r="B27873" s="0" t="str">
        <f aca="false">HYPERLINK("https://lindat.mff.cuni.cz/services/teitok/pdtc10/index.php?action=vallex&amp;frame=v-w3775f2", "pokrývat (v-w3775f2)")</f>
        <v>pokrývat (v-w3775f2)</v>
      </c>
    </row>
    <row r="27874" customFormat="false" ht="12.8" hidden="false" customHeight="false" outlineLevel="0" collapsed="false">
      <c r="B27874" s="0" t="s">
        <v>1</v>
      </c>
    </row>
    <row r="27875" customFormat="false" ht="12.8" hidden="false" customHeight="false" outlineLevel="0" collapsed="false">
      <c r="B27875" s="0" t="s">
        <v>8</v>
      </c>
    </row>
    <row r="27877" customFormat="false" ht="12.8" hidden="false" customHeight="false" outlineLevel="0" collapsed="false">
      <c r="A27877" s="0" t="s">
        <v>11141</v>
      </c>
      <c r="B27877" s="0" t="str">
        <f aca="false">HYPERLINK("https://lindat.mff.cuni.cz/services/teitok/pdtc10/index.php?action=vallex&amp;frame=v-w3775f5_ZU", "pokrývat (v-w3775f5_ZU)")</f>
        <v>pokrývat (v-w3775f5_ZU)</v>
      </c>
      <c r="E27877" s="0" t="str">
        <f aca="false">HYPERLINK("https://lindat.mff.cuni.cz/services/SynSemClass40/SynSemClass40.html?veclass=vec00366#vec00366-ces-cm00031", "vec00366")</f>
        <v>vec00366</v>
      </c>
      <c r="F27877" s="0" t="s">
        <v>8570</v>
      </c>
    </row>
    <row r="27878" customFormat="false" ht="12.8" hidden="false" customHeight="false" outlineLevel="0" collapsed="false">
      <c r="B27878" s="0" t="s">
        <v>1</v>
      </c>
      <c r="C27878" s="0" t="s">
        <v>8571</v>
      </c>
      <c r="E27878" s="0" t="s">
        <v>2017</v>
      </c>
      <c r="F27878" s="0" t="s">
        <v>8572</v>
      </c>
    </row>
    <row r="27879" customFormat="false" ht="12.8" hidden="false" customHeight="false" outlineLevel="0" collapsed="false">
      <c r="B27879" s="0" t="s">
        <v>8</v>
      </c>
      <c r="C27879" s="0" t="s">
        <v>8573</v>
      </c>
      <c r="E27879" s="0" t="s">
        <v>110</v>
      </c>
      <c r="F27879" s="0" t="s">
        <v>8574</v>
      </c>
    </row>
    <row r="27881" customFormat="false" ht="12.8" hidden="false" customHeight="false" outlineLevel="0" collapsed="false">
      <c r="A27881" s="0" t="s">
        <v>11141</v>
      </c>
      <c r="B27881" s="0" t="str">
        <f aca="false">HYPERLINK("https://lindat.mff.cuni.cz/services/teitok/pdtc10/index.php?action=vallex&amp;frame=v-w3775f4_ZU", "pokrývat (v-w3775f4_ZU) - substituted with v-w3775f5_ZU")</f>
        <v>pokrývat (v-w3775f4_ZU) - substituted with v-w3775f5_ZU</v>
      </c>
    </row>
    <row r="27882" customFormat="false" ht="12.8" hidden="false" customHeight="false" outlineLevel="0" collapsed="false">
      <c r="B27882" s="0" t="s">
        <v>1</v>
      </c>
    </row>
    <row r="27883" customFormat="false" ht="12.8" hidden="false" customHeight="false" outlineLevel="0" collapsed="false">
      <c r="B27883" s="0" t="s">
        <v>8</v>
      </c>
    </row>
    <row r="27885" customFormat="false" ht="12.8" hidden="false" customHeight="false" outlineLevel="0" collapsed="false">
      <c r="A27885" s="0" t="s">
        <v>11142</v>
      </c>
      <c r="B27885" s="0" t="str">
        <f aca="false">HYPERLINK("https://lindat.mff.cuni.cz/services/teitok/pdtc10/index.php?action=vallex&amp;frame=v-w3768f2", "pokrčit (v-w3768f2)")</f>
        <v>pokrčit (v-w3768f2)</v>
      </c>
    </row>
    <row r="27886" customFormat="false" ht="12.8" hidden="false" customHeight="false" outlineLevel="0" collapsed="false">
      <c r="B27886" s="0" t="s">
        <v>1</v>
      </c>
    </row>
    <row r="27887" customFormat="false" ht="12.8" hidden="false" customHeight="false" outlineLevel="0" collapsed="false">
      <c r="B27887" s="0" t="s">
        <v>8</v>
      </c>
    </row>
    <row r="27889" customFormat="false" ht="12.8" hidden="false" customHeight="false" outlineLevel="0" collapsed="false">
      <c r="A27889" s="0" t="s">
        <v>11143</v>
      </c>
      <c r="B27889" s="0" t="str">
        <f aca="false">HYPERLINK("https://lindat.mff.cuni.cz/services/teitok/pdtc10/index.php?action=vallex&amp;frame=v-w3768f1", "pokrčit (v-w3768f1)")</f>
        <v>pokrčit (v-w3768f1)</v>
      </c>
    </row>
    <row r="27890" customFormat="false" ht="12.8" hidden="false" customHeight="false" outlineLevel="0" collapsed="false">
      <c r="B27890" s="0" t="s">
        <v>1</v>
      </c>
    </row>
    <row r="27891" customFormat="false" ht="12.8" hidden="false" customHeight="false" outlineLevel="0" collapsed="false">
      <c r="B27891" s="0" t="s">
        <v>11144</v>
      </c>
    </row>
    <row r="27893" customFormat="false" ht="12.8" hidden="false" customHeight="false" outlineLevel="0" collapsed="false">
      <c r="A27893" s="0" t="s">
        <v>11145</v>
      </c>
      <c r="B27893" s="0" t="str">
        <f aca="false">HYPERLINK("https://lindat.mff.cuni.cz/services/teitok/pdtc10/index.php?action=vallex&amp;frame=v-w3779f3_ZU", "pokulhávat (v-w3779f3_ZU)")</f>
        <v>pokulhávat (v-w3779f3_ZU)</v>
      </c>
      <c r="E27893" s="0" t="str">
        <f aca="false">HYPERLINK("https://lindat.mff.cuni.cz/services/SynSemClass40/SynSemClass40.html?veclass=vec00370#vec00370-ces-cm00018", "vec00370")</f>
        <v>vec00370</v>
      </c>
      <c r="F27893" s="0" t="s">
        <v>9840</v>
      </c>
    </row>
    <row r="27894" customFormat="false" ht="12.8" hidden="false" customHeight="false" outlineLevel="0" collapsed="false">
      <c r="B27894" s="0" t="s">
        <v>1</v>
      </c>
      <c r="C27894" s="0" t="s">
        <v>3241</v>
      </c>
      <c r="E27894" s="0" t="s">
        <v>11</v>
      </c>
      <c r="F27894" s="0" t="s">
        <v>6122</v>
      </c>
    </row>
    <row r="27895" customFormat="false" ht="12.8" hidden="false" customHeight="false" outlineLevel="0" collapsed="false">
      <c r="B27895" s="0" t="s">
        <v>4480</v>
      </c>
      <c r="C27895" s="0" t="s">
        <v>9841</v>
      </c>
      <c r="E27895" s="0" t="s">
        <v>34</v>
      </c>
      <c r="F27895" s="0" t="s">
        <v>9842</v>
      </c>
    </row>
    <row r="27897" customFormat="false" ht="12.8" hidden="false" customHeight="false" outlineLevel="0" collapsed="false">
      <c r="A27897" s="0" t="s">
        <v>11146</v>
      </c>
      <c r="B27897" s="0" t="str">
        <f aca="false">HYPERLINK("https://lindat.mff.cuni.cz/services/teitok/pdtc10/index.php?action=vallex&amp;frame=v-w3779f1", "pokulhávat (v-w3779f1)")</f>
        <v>pokulhávat (v-w3779f1)</v>
      </c>
    </row>
    <row r="27898" customFormat="false" ht="12.8" hidden="false" customHeight="false" outlineLevel="0" collapsed="false">
      <c r="B27898" s="0" t="s">
        <v>1</v>
      </c>
    </row>
    <row r="27900" customFormat="false" ht="12.8" hidden="false" customHeight="false" outlineLevel="0" collapsed="false">
      <c r="A27900" s="0" t="s">
        <v>11147</v>
      </c>
      <c r="B27900" s="0" t="str">
        <f aca="false">HYPERLINK("https://lindat.mff.cuni.cz/services/teitok/pdtc10/index.php?action=vallex&amp;frame=v-w3779f2", "pokulhávat (v-w3779f2)")</f>
        <v>pokulhávat (v-w3779f2)</v>
      </c>
    </row>
    <row r="27901" customFormat="false" ht="12.8" hidden="false" customHeight="false" outlineLevel="0" collapsed="false">
      <c r="B27901" s="0" t="s">
        <v>1</v>
      </c>
    </row>
    <row r="27903" customFormat="false" ht="12.8" hidden="false" customHeight="false" outlineLevel="0" collapsed="false">
      <c r="A27903" s="0" t="s">
        <v>11148</v>
      </c>
      <c r="B27903" s="0" t="str">
        <f aca="false">HYPERLINK("https://lindat.mff.cuni.cz/services/teitok/pdtc10/index.php?action=vallex&amp;frame=v-w3781f1", "pokusit se (v-w3781f1)")</f>
        <v>pokusit se (v-w3781f1)</v>
      </c>
      <c r="E27903" s="0" t="str">
        <f aca="false">HYPERLINK("https://lindat.mff.cuni.cz/services/SynSemClass40/SynSemClass40.html?veclass=vec00117#vec00117-ces-cm00029", "vec00117")</f>
        <v>vec00117</v>
      </c>
      <c r="F27903" s="0" t="s">
        <v>517</v>
      </c>
    </row>
    <row r="27904" customFormat="false" ht="12.8" hidden="false" customHeight="false" outlineLevel="0" collapsed="false">
      <c r="B27904" s="0" t="s">
        <v>1</v>
      </c>
      <c r="C27904" s="0" t="s">
        <v>518</v>
      </c>
      <c r="E27904" s="0" t="s">
        <v>519</v>
      </c>
      <c r="F27904" s="0" t="s">
        <v>520</v>
      </c>
    </row>
    <row r="27905" customFormat="false" ht="12.8" hidden="false" customHeight="false" outlineLevel="0" collapsed="false">
      <c r="B27905" s="0" t="s">
        <v>11110</v>
      </c>
      <c r="C27905" s="0" t="s">
        <v>522</v>
      </c>
      <c r="E27905" s="0" t="s">
        <v>523</v>
      </c>
      <c r="F27905" s="0" t="s">
        <v>524</v>
      </c>
    </row>
    <row r="27907" customFormat="false" ht="12.8" hidden="false" customHeight="false" outlineLevel="0" collapsed="false">
      <c r="A27907" s="0" t="s">
        <v>11149</v>
      </c>
      <c r="B27907" s="0" t="str">
        <f aca="false">HYPERLINK("https://lindat.mff.cuni.cz/services/teitok/pdtc10/index.php?action=vallex&amp;frame=v-w3784f1", "pokutovat (v-w3784f1)")</f>
        <v>pokutovat (v-w3784f1)</v>
      </c>
      <c r="E27907" s="0" t="str">
        <f aca="false">HYPERLINK("https://lindat.mff.cuni.cz/services/SynSemClass40/SynSemClass40.html?veclass=vec00478#vec00478-ces-cm00001", "vec00478")</f>
        <v>vec00478</v>
      </c>
      <c r="F27907" s="0" t="s">
        <v>3693</v>
      </c>
    </row>
    <row r="27908" customFormat="false" ht="12.8" hidden="false" customHeight="false" outlineLevel="0" collapsed="false">
      <c r="B27908" s="0" t="s">
        <v>1</v>
      </c>
      <c r="C27908" s="0" t="s">
        <v>1752</v>
      </c>
      <c r="E27908" s="0" t="s">
        <v>206</v>
      </c>
      <c r="F27908" s="0" t="s">
        <v>1846</v>
      </c>
    </row>
    <row r="27909" customFormat="false" ht="12.8" hidden="false" customHeight="false" outlineLevel="0" collapsed="false">
      <c r="B27909" s="0" t="s">
        <v>8</v>
      </c>
      <c r="C27909" s="0" t="s">
        <v>11150</v>
      </c>
      <c r="E27909" s="0" t="s">
        <v>5749</v>
      </c>
      <c r="F27909" s="0" t="s">
        <v>11151</v>
      </c>
    </row>
    <row r="27911" customFormat="false" ht="12.8" hidden="false" customHeight="false" outlineLevel="0" collapsed="false">
      <c r="A27911" s="0" t="s">
        <v>11152</v>
      </c>
      <c r="B27911" s="0" t="str">
        <f aca="false">HYPERLINK("https://lindat.mff.cuni.cz/services/teitok/pdtc10/index.php?action=vallex&amp;frame=v-w10693f2", "pokvasit (v-w10693f2)")</f>
        <v>pokvasit (v-w10693f2)</v>
      </c>
    </row>
    <row r="27912" customFormat="false" ht="12.8" hidden="false" customHeight="false" outlineLevel="0" collapsed="false">
      <c r="B27912" s="0" t="s">
        <v>1</v>
      </c>
    </row>
    <row r="27913" customFormat="false" ht="12.8" hidden="false" customHeight="false" outlineLevel="0" collapsed="false">
      <c r="B27913" s="0" t="s">
        <v>8</v>
      </c>
    </row>
    <row r="27915" customFormat="false" ht="12.8" hidden="false" customHeight="false" outlineLevel="0" collapsed="false">
      <c r="A27915" s="0" t="s">
        <v>11153</v>
      </c>
      <c r="B27915" s="0" t="str">
        <f aca="false">HYPERLINK("https://lindat.mff.cuni.cz/services/teitok/pdtc10/index.php?action=vallex&amp;frame=v-w3785f1", "pokydat (v-w3785f1)")</f>
        <v>pokydat (v-w3785f1)</v>
      </c>
    </row>
    <row r="27916" customFormat="false" ht="12.8" hidden="false" customHeight="false" outlineLevel="0" collapsed="false">
      <c r="B27916" s="0" t="s">
        <v>1</v>
      </c>
    </row>
    <row r="27917" customFormat="false" ht="12.8" hidden="false" customHeight="false" outlineLevel="0" collapsed="false">
      <c r="B27917" s="0" t="s">
        <v>8</v>
      </c>
    </row>
    <row r="27919" customFormat="false" ht="12.8" hidden="false" customHeight="false" outlineLevel="0" collapsed="false">
      <c r="A27919" s="0" t="s">
        <v>11154</v>
      </c>
      <c r="B27919" s="0" t="str">
        <f aca="false">HYPERLINK("https://lindat.mff.cuni.cz/services/teitok/pdtc10/index.php?action=vallex&amp;frame=v-w3787f1", "pokynout (v-w3787f1)")</f>
        <v>pokynout (v-w3787f1)</v>
      </c>
    </row>
    <row r="27920" customFormat="false" ht="12.8" hidden="false" customHeight="false" outlineLevel="0" collapsed="false">
      <c r="B27920" s="0" t="s">
        <v>1</v>
      </c>
    </row>
    <row r="27921" customFormat="false" ht="12.8" hidden="false" customHeight="false" outlineLevel="0" collapsed="false">
      <c r="B27921" s="0" t="s">
        <v>4287</v>
      </c>
    </row>
    <row r="27922" customFormat="false" ht="12.8" hidden="false" customHeight="false" outlineLevel="0" collapsed="false">
      <c r="B27922" s="0" t="s">
        <v>6437</v>
      </c>
    </row>
    <row r="27924" customFormat="false" ht="12.8" hidden="false" customHeight="false" outlineLevel="0" collapsed="false">
      <c r="A27924" s="0" t="s">
        <v>11155</v>
      </c>
      <c r="B27924" s="0" t="str">
        <f aca="false">HYPERLINK("https://lindat.mff.cuni.cz/services/teitok/pdtc10/index.php?action=vallex&amp;frame=v-whsa_790hsa_791", "pokácet (v-whsa_790hsa_791)")</f>
        <v>pokácet (v-whsa_790hsa_791)</v>
      </c>
      <c r="E27924" s="0" t="str">
        <f aca="false">HYPERLINK("https://lindat.mff.cuni.cz/services/SynSemClass40/SynSemClass40.html?veclass=vec00389#vec00389-ces-cm00039", "vec00389")</f>
        <v>vec00389</v>
      </c>
      <c r="F27924" s="0" t="s">
        <v>1888</v>
      </c>
    </row>
    <row r="27925" customFormat="false" ht="12.8" hidden="false" customHeight="false" outlineLevel="0" collapsed="false">
      <c r="B27925" s="0" t="s">
        <v>1</v>
      </c>
      <c r="C27925" s="0" t="s">
        <v>1889</v>
      </c>
      <c r="E27925" s="0" t="s">
        <v>1890</v>
      </c>
      <c r="F27925" s="0" t="s">
        <v>1891</v>
      </c>
    </row>
    <row r="27926" customFormat="false" ht="12.8" hidden="false" customHeight="false" outlineLevel="0" collapsed="false">
      <c r="B27926" s="0" t="s">
        <v>8</v>
      </c>
      <c r="C27926" s="0" t="s">
        <v>1892</v>
      </c>
      <c r="E27926" s="0" t="s">
        <v>1893</v>
      </c>
      <c r="F27926" s="0" t="s">
        <v>1894</v>
      </c>
    </row>
    <row r="27928" customFormat="false" ht="12.8" hidden="false" customHeight="false" outlineLevel="0" collapsed="false">
      <c r="A27928" s="0" t="s">
        <v>11156</v>
      </c>
      <c r="B27928" s="0" t="str">
        <f aca="false">HYPERLINK("https://lindat.mff.cuni.cz/services/teitok/pdtc10/index.php?action=vallex&amp;frame=v-whsb_455hsa_456", "pokálet (v-whsb_455hsa_456)")</f>
        <v>pokálet (v-whsb_455hsa_456)</v>
      </c>
    </row>
    <row r="27929" customFormat="false" ht="12.8" hidden="false" customHeight="false" outlineLevel="0" collapsed="false">
      <c r="B27929" s="0" t="s">
        <v>1</v>
      </c>
    </row>
    <row r="27930" customFormat="false" ht="12.8" hidden="false" customHeight="false" outlineLevel="0" collapsed="false">
      <c r="B27930" s="0" t="s">
        <v>8</v>
      </c>
    </row>
    <row r="27932" customFormat="false" ht="12.8" hidden="false" customHeight="false" outlineLevel="0" collapsed="false">
      <c r="A27932" s="0" t="s">
        <v>11157</v>
      </c>
      <c r="B27932" s="0" t="str">
        <f aca="false">HYPERLINK("https://lindat.mff.cuni.cz/services/teitok/pdtc10/index.php?action=vallex&amp;frame=v-w11171f2", "pokárat (v-w11171f2)")</f>
        <v>pokárat (v-w11171f2)</v>
      </c>
      <c r="E27932" s="0" t="str">
        <f aca="false">HYPERLINK("https://lindat.mff.cuni.cz/services/SynSemClass40/SynSemClass40.html?veclass=vec00620#vec00620-ces-cm00002", "vec00620")</f>
        <v>vec00620</v>
      </c>
      <c r="F27932" s="0" t="s">
        <v>4262</v>
      </c>
    </row>
    <row r="27933" customFormat="false" ht="12.8" hidden="false" customHeight="false" outlineLevel="0" collapsed="false">
      <c r="B27933" s="0" t="s">
        <v>1</v>
      </c>
      <c r="C27933" s="0" t="s">
        <v>154</v>
      </c>
      <c r="E27933" s="0" t="s">
        <v>31</v>
      </c>
      <c r="F27933" s="0" t="s">
        <v>4265</v>
      </c>
    </row>
    <row r="27934" customFormat="false" ht="12.8" hidden="false" customHeight="false" outlineLevel="0" collapsed="false">
      <c r="B27934" s="0" t="s">
        <v>8</v>
      </c>
      <c r="C27934" s="0" t="s">
        <v>109</v>
      </c>
      <c r="E27934" s="0" t="s">
        <v>142</v>
      </c>
      <c r="F27934" s="0" t="s">
        <v>4268</v>
      </c>
    </row>
    <row r="27936" customFormat="false" ht="12.8" hidden="false" customHeight="false" outlineLevel="0" collapsed="false">
      <c r="A27936" s="0" t="s">
        <v>11158</v>
      </c>
      <c r="B27936" s="0" t="str">
        <f aca="false">HYPERLINK("https://lindat.mff.cuni.cz/services/teitok/pdtc10/index.php?action=vallex&amp;frame=v-w3788f1", "pokývnout (v-w3788f1)")</f>
        <v>pokývnout (v-w3788f1)</v>
      </c>
    </row>
    <row r="27937" customFormat="false" ht="12.8" hidden="false" customHeight="false" outlineLevel="0" collapsed="false">
      <c r="B27937" s="0" t="s">
        <v>1</v>
      </c>
    </row>
    <row r="27938" customFormat="false" ht="12.8" hidden="false" customHeight="false" outlineLevel="0" collapsed="false">
      <c r="B27938" s="0" t="s">
        <v>4287</v>
      </c>
    </row>
    <row r="27940" customFormat="false" ht="12.8" hidden="false" customHeight="false" outlineLevel="0" collapsed="false">
      <c r="A27940" s="0" t="s">
        <v>11159</v>
      </c>
      <c r="B27940" s="0" t="str">
        <f aca="false">HYPERLINK("https://lindat.mff.cuni.cz/services/teitok/pdtc10/index.php?action=vallex&amp;frame=v-w3777f1", "pokřikovat (v-w3777f1)")</f>
        <v>pokřikovat (v-w3777f1)</v>
      </c>
    </row>
    <row r="27941" customFormat="false" ht="12.8" hidden="false" customHeight="false" outlineLevel="0" collapsed="false">
      <c r="B27941" s="0" t="s">
        <v>1</v>
      </c>
    </row>
    <row r="27942" customFormat="false" ht="12.8" hidden="false" customHeight="false" outlineLevel="0" collapsed="false">
      <c r="B27942" s="0" t="s">
        <v>4977</v>
      </c>
    </row>
    <row r="27943" customFormat="false" ht="12.8" hidden="false" customHeight="false" outlineLevel="0" collapsed="false">
      <c r="B27943" s="0" t="s">
        <v>4688</v>
      </c>
    </row>
    <row r="27945" customFormat="false" ht="12.8" hidden="false" customHeight="false" outlineLevel="0" collapsed="false">
      <c r="A27945" s="0" t="s">
        <v>11160</v>
      </c>
      <c r="B27945" s="0" t="str">
        <f aca="false">HYPERLINK("https://lindat.mff.cuni.cz/services/teitok/pdtc10/index.php?action=vallex&amp;frame=v-w3778f1", "pokřtít (v-w3778f1)")</f>
        <v>pokřtít (v-w3778f1)</v>
      </c>
    </row>
    <row r="27946" customFormat="false" ht="12.8" hidden="false" customHeight="false" outlineLevel="0" collapsed="false">
      <c r="B27946" s="0" t="s">
        <v>1</v>
      </c>
    </row>
    <row r="27947" customFormat="false" ht="12.8" hidden="false" customHeight="false" outlineLevel="0" collapsed="false">
      <c r="B27947" s="0" t="s">
        <v>8</v>
      </c>
    </row>
    <row r="27948" customFormat="false" ht="12.8" hidden="false" customHeight="false" outlineLevel="0" collapsed="false">
      <c r="B27948" s="0" t="s">
        <v>11161</v>
      </c>
    </row>
    <row r="27950" customFormat="false" ht="12.8" hidden="false" customHeight="false" outlineLevel="0" collapsed="false">
      <c r="A27950" s="0" t="s">
        <v>11162</v>
      </c>
      <c r="B27950" s="0" t="str">
        <f aca="false">HYPERLINK("https://lindat.mff.cuni.cz/services/teitok/pdtc10/index.php?action=vallex&amp;frame=v-w3789f1", "polapit (v-w3789f1)")</f>
        <v>polapit (v-w3789f1)</v>
      </c>
      <c r="E27950" s="0" t="str">
        <f aca="false">HYPERLINK("https://lindat.mff.cuni.cz/services/SynSemClass40/SynSemClass40.html?veclass=vec00185#vec00185-ces-cm00025", "vec00185")</f>
        <v>vec00185</v>
      </c>
      <c r="F27950" s="0" t="s">
        <v>5931</v>
      </c>
    </row>
    <row r="27951" customFormat="false" ht="12.8" hidden="false" customHeight="false" outlineLevel="0" collapsed="false">
      <c r="B27951" s="0" t="s">
        <v>1</v>
      </c>
      <c r="C27951" s="0" t="s">
        <v>1436</v>
      </c>
      <c r="E27951" s="0" t="s">
        <v>206</v>
      </c>
      <c r="F27951" s="0" t="s">
        <v>5932</v>
      </c>
    </row>
    <row r="27952" customFormat="false" ht="12.8" hidden="false" customHeight="false" outlineLevel="0" collapsed="false">
      <c r="B27952" s="0" t="s">
        <v>8</v>
      </c>
      <c r="C27952" s="0" t="s">
        <v>1298</v>
      </c>
      <c r="E27952" s="0" t="s">
        <v>5934</v>
      </c>
      <c r="F27952" s="0" t="s">
        <v>5935</v>
      </c>
    </row>
    <row r="27954" customFormat="false" ht="12.8" hidden="false" customHeight="false" outlineLevel="0" collapsed="false">
      <c r="A27954" s="0" t="s">
        <v>11163</v>
      </c>
      <c r="B27954" s="0" t="str">
        <f aca="false">HYPERLINK("https://lindat.mff.cuni.cz/services/teitok/pdtc10/index.php?action=vallex&amp;frame=v-w3790f1", "polarizovat (v-w3790f1)")</f>
        <v>polarizovat (v-w3790f1)</v>
      </c>
      <c r="E27954" s="0" t="str">
        <f aca="false">HYPERLINK("https://lindat.mff.cuni.cz/services/SynSemClass40/SynSemClass40.html?veclass=vec01424#vec01424-ces-cm00001", "vec01424")</f>
        <v>vec01424</v>
      </c>
      <c r="F27954" s="0" t="s">
        <v>10027</v>
      </c>
    </row>
    <row r="27955" customFormat="false" ht="12.8" hidden="false" customHeight="false" outlineLevel="0" collapsed="false">
      <c r="B27955" s="0" t="s">
        <v>1</v>
      </c>
      <c r="E27955" s="0" t="s">
        <v>4581</v>
      </c>
      <c r="F27955" s="0" t="s">
        <v>10028</v>
      </c>
    </row>
    <row r="27956" customFormat="false" ht="12.8" hidden="false" customHeight="false" outlineLevel="0" collapsed="false">
      <c r="B27956" s="0" t="s">
        <v>8</v>
      </c>
      <c r="E27956" s="0" t="s">
        <v>142</v>
      </c>
      <c r="F27956" s="0" t="s">
        <v>6348</v>
      </c>
    </row>
    <row r="27958" customFormat="false" ht="12.8" hidden="false" customHeight="false" outlineLevel="0" collapsed="false">
      <c r="A27958" s="0" t="s">
        <v>11164</v>
      </c>
      <c r="B27958" s="0" t="str">
        <f aca="false">HYPERLINK("https://lindat.mff.cuni.cz/services/teitok/pdtc10/index.php?action=vallex&amp;frame=v-whsa_1253f1_ZU", "polechtat (v-whsa_1253f1_ZU)")</f>
        <v>polechtat (v-whsa_1253f1_ZU)</v>
      </c>
    </row>
    <row r="27959" customFormat="false" ht="12.8" hidden="false" customHeight="false" outlineLevel="0" collapsed="false">
      <c r="B27959" s="0" t="s">
        <v>1</v>
      </c>
    </row>
    <row r="27960" customFormat="false" ht="12.8" hidden="false" customHeight="false" outlineLevel="0" collapsed="false">
      <c r="B27960" s="0" t="s">
        <v>8</v>
      </c>
    </row>
    <row r="27962" customFormat="false" ht="12.8" hidden="false" customHeight="false" outlineLevel="0" collapsed="false">
      <c r="A27962" s="0" t="s">
        <v>11164</v>
      </c>
      <c r="B27962" s="0" t="str">
        <f aca="false">HYPERLINK("https://lindat.mff.cuni.cz/services/teitok/pdtc10/index.php?action=vallex&amp;frame=v-whsb_1253hsa_1254", "polechtat (v-whsb_1253hsa_1254) - substituted with v-whsa_1253f1_ZU")</f>
        <v>polechtat (v-whsb_1253hsa_1254) - substituted with v-whsa_1253f1_ZU</v>
      </c>
    </row>
    <row r="27963" customFormat="false" ht="12.8" hidden="false" customHeight="false" outlineLevel="0" collapsed="false">
      <c r="B27963" s="0" t="s">
        <v>1</v>
      </c>
    </row>
    <row r="27964" customFormat="false" ht="12.8" hidden="false" customHeight="false" outlineLevel="0" collapsed="false">
      <c r="B27964" s="0" t="s">
        <v>8</v>
      </c>
    </row>
    <row r="27966" customFormat="false" ht="12.8" hidden="false" customHeight="false" outlineLevel="0" collapsed="false">
      <c r="A27966" s="0" t="s">
        <v>11165</v>
      </c>
      <c r="B27966" s="0" t="str">
        <f aca="false">HYPERLINK("https://lindat.mff.cuni.cz/services/teitok/pdtc10/index.php?action=vallex&amp;frame=v-w3791f1", "polehávat (v-w3791f1)")</f>
        <v>polehávat (v-w3791f1)</v>
      </c>
    </row>
    <row r="27967" customFormat="false" ht="12.8" hidden="false" customHeight="false" outlineLevel="0" collapsed="false">
      <c r="B27967" s="0" t="s">
        <v>1</v>
      </c>
    </row>
    <row r="27969" customFormat="false" ht="12.8" hidden="false" customHeight="false" outlineLevel="0" collapsed="false">
      <c r="A27969" s="0" t="s">
        <v>11166</v>
      </c>
      <c r="B27969" s="0" t="str">
        <f aca="false">HYPERLINK("https://lindat.mff.cuni.cz/services/teitok/pdtc10/index.php?action=vallex&amp;frame=v-w3792f1", "polekat se (v-w3792f1)")</f>
        <v>polekat se (v-w3792f1)</v>
      </c>
      <c r="E27969" s="0" t="str">
        <f aca="false">HYPERLINK("https://lindat.mff.cuni.cz/services/SynSemClass40/SynSemClass40.html?veclass=vec00761#vec00761-ces-cm00013", "vec00761")</f>
        <v>vec00761</v>
      </c>
      <c r="F27969" s="0" t="s">
        <v>4014</v>
      </c>
    </row>
    <row r="27970" customFormat="false" ht="12.8" hidden="false" customHeight="false" outlineLevel="0" collapsed="false">
      <c r="B27970" s="0" t="s">
        <v>1</v>
      </c>
      <c r="C27970" s="0" t="s">
        <v>2537</v>
      </c>
      <c r="E27970" s="0" t="s">
        <v>2565</v>
      </c>
      <c r="F27970" s="0" t="s">
        <v>11167</v>
      </c>
    </row>
    <row r="27971" customFormat="false" ht="12.8" hidden="false" customHeight="false" outlineLevel="0" collapsed="false">
      <c r="B27971" s="0" t="s">
        <v>5954</v>
      </c>
      <c r="C27971" s="0" t="s">
        <v>11168</v>
      </c>
      <c r="E27971" s="0" t="s">
        <v>271</v>
      </c>
      <c r="F27971" s="0" t="s">
        <v>11169</v>
      </c>
    </row>
    <row r="27973" customFormat="false" ht="12.8" hidden="false" customHeight="false" outlineLevel="0" collapsed="false">
      <c r="A27973" s="0" t="s">
        <v>11170</v>
      </c>
      <c r="B27973" s="0" t="str">
        <f aca="false">HYPERLINK("https://lindat.mff.cuni.cz/services/teitok/pdtc10/index.php?action=vallex&amp;frame=v-w3794f1", "polemizovat (v-w3794f1)")</f>
        <v>polemizovat (v-w3794f1)</v>
      </c>
    </row>
    <row r="27974" customFormat="false" ht="12.8" hidden="false" customHeight="false" outlineLevel="0" collapsed="false">
      <c r="B27974" s="0" t="s">
        <v>1</v>
      </c>
    </row>
    <row r="27975" customFormat="false" ht="12.8" hidden="false" customHeight="false" outlineLevel="0" collapsed="false">
      <c r="B27975" s="0" t="s">
        <v>11171</v>
      </c>
    </row>
    <row r="27976" customFormat="false" ht="12.8" hidden="false" customHeight="false" outlineLevel="0" collapsed="false">
      <c r="B27976" s="0" t="s">
        <v>276</v>
      </c>
    </row>
    <row r="27978" customFormat="false" ht="12.8" hidden="false" customHeight="false" outlineLevel="0" collapsed="false">
      <c r="A27978" s="0" t="s">
        <v>11172</v>
      </c>
      <c r="B27978" s="0" t="str">
        <f aca="false">HYPERLINK("https://lindat.mff.cuni.cz/services/teitok/pdtc10/index.php?action=vallex&amp;frame=v-w3794f2", "polemizovat (v-w3794f2)")</f>
        <v>polemizovat (v-w3794f2)</v>
      </c>
    </row>
    <row r="27979" customFormat="false" ht="12.8" hidden="false" customHeight="false" outlineLevel="0" collapsed="false">
      <c r="B27979" s="0" t="s">
        <v>1</v>
      </c>
    </row>
    <row r="27980" customFormat="false" ht="12.8" hidden="false" customHeight="false" outlineLevel="0" collapsed="false">
      <c r="B27980" s="0" t="s">
        <v>721</v>
      </c>
    </row>
    <row r="27982" customFormat="false" ht="12.8" hidden="false" customHeight="false" outlineLevel="0" collapsed="false">
      <c r="A27982" s="0" t="s">
        <v>11173</v>
      </c>
      <c r="B27982" s="0" t="str">
        <f aca="false">HYPERLINK("https://lindat.mff.cuni.cz/services/teitok/pdtc10/index.php?action=vallex&amp;frame=v-w3795f1", "polepit (v-w3795f1)")</f>
        <v>polepit (v-w3795f1)</v>
      </c>
    </row>
    <row r="27983" customFormat="false" ht="12.8" hidden="false" customHeight="false" outlineLevel="0" collapsed="false">
      <c r="B27983" s="0" t="s">
        <v>1</v>
      </c>
    </row>
    <row r="27984" customFormat="false" ht="12.8" hidden="false" customHeight="false" outlineLevel="0" collapsed="false">
      <c r="B27984" s="0" t="s">
        <v>8</v>
      </c>
    </row>
    <row r="27986" customFormat="false" ht="12.8" hidden="false" customHeight="false" outlineLevel="0" collapsed="false">
      <c r="A27986" s="0" t="s">
        <v>11174</v>
      </c>
      <c r="B27986" s="0" t="str">
        <f aca="false">HYPERLINK("https://lindat.mff.cuni.cz/services/teitok/pdtc10/index.php?action=vallex&amp;frame=v-whsa_2023hsa_2024", "poleptat (v-whsa_2023hsa_2024)")</f>
        <v>poleptat (v-whsa_2023hsa_2024)</v>
      </c>
    </row>
    <row r="27987" customFormat="false" ht="12.8" hidden="false" customHeight="false" outlineLevel="0" collapsed="false">
      <c r="B27987" s="0" t="s">
        <v>1</v>
      </c>
    </row>
    <row r="27988" customFormat="false" ht="12.8" hidden="false" customHeight="false" outlineLevel="0" collapsed="false">
      <c r="B27988" s="0" t="s">
        <v>8</v>
      </c>
    </row>
    <row r="27990" customFormat="false" ht="12.8" hidden="false" customHeight="false" outlineLevel="0" collapsed="false">
      <c r="A27990" s="0" t="s">
        <v>11175</v>
      </c>
      <c r="B27990" s="0" t="str">
        <f aca="false">HYPERLINK("https://lindat.mff.cuni.cz/services/teitok/pdtc10/index.php?action=vallex&amp;frame=v-w3797f1", "polepšit si (v-w3797f1)")</f>
        <v>polepšit si (v-w3797f1)</v>
      </c>
      <c r="E27990" s="0" t="str">
        <f aca="false">HYPERLINK("https://lindat.mff.cuni.cz/services/SynSemClass40/SynSemClass40.html?veclass=vec01261#vec01261-ces-cm00001", "vec01261")</f>
        <v>vec01261</v>
      </c>
      <c r="F27990" s="0" t="s">
        <v>11176</v>
      </c>
    </row>
    <row r="27991" customFormat="false" ht="12.8" hidden="false" customHeight="false" outlineLevel="0" collapsed="false">
      <c r="B27991" s="0" t="s">
        <v>1</v>
      </c>
      <c r="C27991" s="0" t="s">
        <v>11177</v>
      </c>
      <c r="E27991" s="0" t="s">
        <v>1604</v>
      </c>
      <c r="F27991" s="0" t="s">
        <v>11178</v>
      </c>
    </row>
    <row r="27993" customFormat="false" ht="12.8" hidden="false" customHeight="false" outlineLevel="0" collapsed="false">
      <c r="A27993" s="0" t="s">
        <v>11179</v>
      </c>
      <c r="B27993" s="0" t="str">
        <f aca="false">HYPERLINK("https://lindat.mff.cuni.cz/services/teitok/pdtc10/index.php?action=vallex&amp;frame=v-w3798f1", "poletovat (v-w3798f1)")</f>
        <v>poletovat (v-w3798f1)</v>
      </c>
      <c r="E27993" s="0" t="str">
        <f aca="false">HYPERLINK("https://lindat.mff.cuni.cz/services/SynSemClass40/SynSemClass40.html?veclass=vec01367#vec01367-ces-cm00001", "vec01367")</f>
        <v>vec01367</v>
      </c>
      <c r="F27993" s="0" t="s">
        <v>11180</v>
      </c>
    </row>
    <row r="27994" customFormat="false" ht="12.8" hidden="false" customHeight="false" outlineLevel="0" collapsed="false">
      <c r="B27994" s="0" t="s">
        <v>1</v>
      </c>
      <c r="E27994" s="0" t="s">
        <v>334</v>
      </c>
      <c r="F27994" s="0" t="s">
        <v>11032</v>
      </c>
    </row>
    <row r="27996" customFormat="false" ht="12.8" hidden="false" customHeight="false" outlineLevel="0" collapsed="false">
      <c r="A27996" s="0" t="s">
        <v>11181</v>
      </c>
      <c r="B27996" s="0" t="str">
        <f aca="false">HYPERLINK("https://lindat.mff.cuni.cz/services/teitok/pdtc10/index.php?action=vallex&amp;frame=v-whsa_121hsa_122", "poletovat si (v-whsa_121hsa_122)")</f>
        <v>poletovat si (v-whsa_121hsa_122)</v>
      </c>
    </row>
    <row r="27997" customFormat="false" ht="12.8" hidden="false" customHeight="false" outlineLevel="0" collapsed="false">
      <c r="B27997" s="0" t="s">
        <v>1</v>
      </c>
    </row>
    <row r="27999" customFormat="false" ht="12.8" hidden="false" customHeight="false" outlineLevel="0" collapsed="false">
      <c r="A27999" s="0" t="s">
        <v>11182</v>
      </c>
      <c r="B27999" s="0" t="str">
        <f aca="false">HYPERLINK("https://lindat.mff.cuni.cz/services/teitok/pdtc10/index.php?action=vallex&amp;frame=v-w3801f2", "polevit (v-w3801f2)")</f>
        <v>polevit (v-w3801f2)</v>
      </c>
      <c r="E27999" s="0" t="str">
        <f aca="false">HYPERLINK("https://lindat.mff.cuni.cz/services/SynSemClass40/SynSemClass40.html?veclass=vec00793#vec00793-ces-cm00057", "vec00793")</f>
        <v>vec00793</v>
      </c>
      <c r="F27999" s="0" t="s">
        <v>8661</v>
      </c>
    </row>
    <row r="28000" customFormat="false" ht="12.8" hidden="false" customHeight="false" outlineLevel="0" collapsed="false">
      <c r="B28000" s="0" t="s">
        <v>1</v>
      </c>
      <c r="C28000" s="0" t="s">
        <v>8662</v>
      </c>
      <c r="E28000" s="0" t="s">
        <v>8663</v>
      </c>
      <c r="F28000" s="0" t="s">
        <v>8664</v>
      </c>
    </row>
    <row r="28001" customFormat="false" ht="12.8" hidden="false" customHeight="false" outlineLevel="0" collapsed="false">
      <c r="B28001" s="0" t="s">
        <v>883</v>
      </c>
    </row>
    <row r="28003" customFormat="false" ht="12.8" hidden="false" customHeight="false" outlineLevel="0" collapsed="false">
      <c r="A28003" s="0" t="s">
        <v>11183</v>
      </c>
      <c r="B28003" s="0" t="str">
        <f aca="false">HYPERLINK("https://lindat.mff.cuni.cz/services/teitok/pdtc10/index.php?action=vallex&amp;frame=v-w3801f1", "polevit (v-w3801f1)")</f>
        <v>polevit (v-w3801f1)</v>
      </c>
      <c r="E28003" s="0" t="str">
        <f aca="false">HYPERLINK("https://lindat.mff.cuni.cz/services/SynSemClass40/SynSemClass40.html?veclass=vec00793#vec00793-ces-cm00002", "vec00793")</f>
        <v>vec00793</v>
      </c>
      <c r="F28003" s="0" t="s">
        <v>8661</v>
      </c>
    </row>
    <row r="28004" customFormat="false" ht="12.8" hidden="false" customHeight="false" outlineLevel="0" collapsed="false">
      <c r="B28004" s="0" t="s">
        <v>1</v>
      </c>
      <c r="C28004" s="0" t="s">
        <v>8662</v>
      </c>
      <c r="E28004" s="0" t="s">
        <v>8663</v>
      </c>
      <c r="F28004" s="0" t="s">
        <v>8664</v>
      </c>
    </row>
    <row r="28006" customFormat="false" ht="12.8" hidden="false" customHeight="false" outlineLevel="0" collapsed="false">
      <c r="A28006" s="0" t="s">
        <v>11184</v>
      </c>
      <c r="B28006" s="0" t="str">
        <f aca="false">HYPERLINK("https://lindat.mff.cuni.cz/services/teitok/pdtc10/index.php?action=vallex&amp;frame=v-w3801f3_ZU", "polevit (v-w3801f3_ZU)")</f>
        <v>polevit (v-w3801f3_ZU)</v>
      </c>
      <c r="E28006" s="0" t="str">
        <f aca="false">HYPERLINK("https://lindat.mff.cuni.cz/services/SynSemClass40/SynSemClass40.html?veclass=vec00028#vec00028-ces-cm00023", "vec00028")</f>
        <v>vec00028</v>
      </c>
      <c r="F28006" s="0" t="s">
        <v>5301</v>
      </c>
    </row>
    <row r="28007" customFormat="false" ht="12.8" hidden="false" customHeight="false" outlineLevel="0" collapsed="false">
      <c r="B28007" s="0" t="s">
        <v>1</v>
      </c>
      <c r="C28007" s="0" t="s">
        <v>9964</v>
      </c>
      <c r="E28007" s="0" t="s">
        <v>235</v>
      </c>
      <c r="F28007" s="0" t="s">
        <v>5304</v>
      </c>
    </row>
    <row r="28008" customFormat="false" ht="12.8" hidden="false" customHeight="false" outlineLevel="0" collapsed="false">
      <c r="B28008" s="0" t="s">
        <v>69</v>
      </c>
      <c r="C28008" s="0" t="s">
        <v>9965</v>
      </c>
      <c r="E28008" s="0" t="s">
        <v>5149</v>
      </c>
      <c r="F28008" s="0" t="s">
        <v>5307</v>
      </c>
    </row>
    <row r="28009" customFormat="false" ht="12.8" hidden="false" customHeight="false" outlineLevel="0" collapsed="false">
      <c r="B28009" s="0" t="s">
        <v>36</v>
      </c>
      <c r="C28009" s="0" t="s">
        <v>9966</v>
      </c>
      <c r="E28009" s="0" t="s">
        <v>5152</v>
      </c>
      <c r="F28009" s="0" t="s">
        <v>5311</v>
      </c>
    </row>
    <row r="28011" customFormat="false" ht="12.8" hidden="false" customHeight="false" outlineLevel="0" collapsed="false">
      <c r="A28011" s="0" t="s">
        <v>11184</v>
      </c>
      <c r="B28011" s="0" t="str">
        <f aca="false">HYPERLINK("https://lindat.mff.cuni.cz/services/teitok/pdtc10/index.php?action=vallex&amp;frame=v-w3801hsa_1276", "polevit (v-w3801hsa_1276) - substituted with v-w3801f3_ZU")</f>
        <v>polevit (v-w3801hsa_1276) - substituted with v-w3801f3_ZU</v>
      </c>
    </row>
    <row r="28012" customFormat="false" ht="12.8" hidden="false" customHeight="false" outlineLevel="0" collapsed="false">
      <c r="B28012" s="0" t="s">
        <v>1</v>
      </c>
    </row>
    <row r="28013" customFormat="false" ht="12.8" hidden="false" customHeight="false" outlineLevel="0" collapsed="false">
      <c r="B28013" s="0" t="s">
        <v>69</v>
      </c>
    </row>
    <row r="28014" customFormat="false" ht="12.8" hidden="false" customHeight="false" outlineLevel="0" collapsed="false">
      <c r="B28014" s="0" t="s">
        <v>36</v>
      </c>
    </row>
    <row r="28016" customFormat="false" ht="12.8" hidden="false" customHeight="false" outlineLevel="0" collapsed="false">
      <c r="A28016" s="0" t="s">
        <v>11185</v>
      </c>
      <c r="B28016" s="0" t="str">
        <f aca="false">HYPERLINK("https://lindat.mff.cuni.cz/services/teitok/pdtc10/index.php?action=vallex&amp;frame=v-w3802f1", "polevovat (v-w3802f1)")</f>
        <v>polevovat (v-w3802f1)</v>
      </c>
      <c r="E28016" s="0" t="str">
        <f aca="false">HYPERLINK("https://lindat.mff.cuni.cz/services/SynSemClass40/SynSemClass40.html?veclass=vec00793#vec00793-ces-cm00008", "vec00793")</f>
        <v>vec00793</v>
      </c>
      <c r="F28016" s="0" t="s">
        <v>8661</v>
      </c>
    </row>
    <row r="28017" customFormat="false" ht="12.8" hidden="false" customHeight="false" outlineLevel="0" collapsed="false">
      <c r="B28017" s="0" t="s">
        <v>1</v>
      </c>
      <c r="C28017" s="0" t="s">
        <v>8662</v>
      </c>
      <c r="E28017" s="0" t="s">
        <v>8663</v>
      </c>
      <c r="F28017" s="0" t="s">
        <v>8664</v>
      </c>
    </row>
    <row r="28019" customFormat="false" ht="12.8" hidden="false" customHeight="false" outlineLevel="0" collapsed="false">
      <c r="A28019" s="0" t="s">
        <v>11186</v>
      </c>
      <c r="B28019" s="0" t="str">
        <f aca="false">HYPERLINK("https://lindat.mff.cuni.cz/services/teitok/pdtc10/index.php?action=vallex&amp;frame=v-whsa_763f1_ZU", "polichotit (v-whsa_763f1_ZU)")</f>
        <v>polichotit (v-whsa_763f1_ZU)</v>
      </c>
    </row>
    <row r="28020" customFormat="false" ht="12.8" hidden="false" customHeight="false" outlineLevel="0" collapsed="false">
      <c r="B28020" s="0" t="s">
        <v>1</v>
      </c>
    </row>
    <row r="28021" customFormat="false" ht="12.8" hidden="false" customHeight="false" outlineLevel="0" collapsed="false">
      <c r="B28021" s="0" t="s">
        <v>186</v>
      </c>
    </row>
    <row r="28023" customFormat="false" ht="12.8" hidden="false" customHeight="false" outlineLevel="0" collapsed="false">
      <c r="A28023" s="0" t="s">
        <v>11186</v>
      </c>
      <c r="B28023" s="0" t="str">
        <f aca="false">HYPERLINK("https://lindat.mff.cuni.cz/services/teitok/pdtc10/index.php?action=vallex&amp;frame=v-whsa_763hsa_764", "polichotit (v-whsa_763hsa_764) - substituted with v-whsa_763f1_ZU")</f>
        <v>polichotit (v-whsa_763hsa_764) - substituted with v-whsa_763f1_ZU</v>
      </c>
    </row>
    <row r="28024" customFormat="false" ht="12.8" hidden="false" customHeight="false" outlineLevel="0" collapsed="false">
      <c r="B28024" s="0" t="s">
        <v>1</v>
      </c>
    </row>
    <row r="28025" customFormat="false" ht="12.8" hidden="false" customHeight="false" outlineLevel="0" collapsed="false">
      <c r="B28025" s="0" t="s">
        <v>186</v>
      </c>
    </row>
    <row r="28027" customFormat="false" ht="12.8" hidden="false" customHeight="false" outlineLevel="0" collapsed="false">
      <c r="A28027" s="0" t="s">
        <v>11187</v>
      </c>
      <c r="B28027" s="0" t="str">
        <f aca="false">HYPERLINK("https://lindat.mff.cuni.cz/services/teitok/pdtc10/index.php?action=vallex&amp;frame=v-w3809f1", "politizovat (v-w3809f1)")</f>
        <v>politizovat (v-w3809f1)</v>
      </c>
      <c r="E28027" s="0" t="str">
        <f aca="false">HYPERLINK("https://lindat.mff.cuni.cz/services/SynSemClass40/SynSemClass40.html?veclass=vec01511#vec01511-ces-cm00001", "vec01511")</f>
        <v>vec01511</v>
      </c>
      <c r="F28027" s="0" t="s">
        <v>11188</v>
      </c>
    </row>
    <row r="28028" customFormat="false" ht="12.8" hidden="false" customHeight="false" outlineLevel="0" collapsed="false">
      <c r="B28028" s="0" t="s">
        <v>1</v>
      </c>
      <c r="E28028" s="0" t="s">
        <v>147</v>
      </c>
      <c r="F28028" s="0" t="s">
        <v>5874</v>
      </c>
    </row>
    <row r="28029" customFormat="false" ht="12.8" hidden="false" customHeight="false" outlineLevel="0" collapsed="false">
      <c r="B28029" s="0" t="s">
        <v>8</v>
      </c>
      <c r="E28029" s="0" t="s">
        <v>230</v>
      </c>
      <c r="F28029" s="0" t="s">
        <v>8105</v>
      </c>
    </row>
    <row r="28031" customFormat="false" ht="12.8" hidden="false" customHeight="false" outlineLevel="0" collapsed="false">
      <c r="A28031" s="0" t="s">
        <v>11189</v>
      </c>
      <c r="B28031" s="0" t="str">
        <f aca="false">HYPERLINK("https://lindat.mff.cuni.cz/services/teitok/pdtc10/index.php?action=vallex&amp;frame=v-whsa_821hsa_822", "politovat (v-whsa_821hsa_822)")</f>
        <v>politovat (v-whsa_821hsa_822)</v>
      </c>
    </row>
    <row r="28032" customFormat="false" ht="12.8" hidden="false" customHeight="false" outlineLevel="0" collapsed="false">
      <c r="B28032" s="0" t="s">
        <v>1</v>
      </c>
    </row>
    <row r="28033" customFormat="false" ht="12.8" hidden="false" customHeight="false" outlineLevel="0" collapsed="false">
      <c r="B28033" s="0" t="s">
        <v>8</v>
      </c>
    </row>
    <row r="28035" customFormat="false" ht="12.8" hidden="false" customHeight="false" outlineLevel="0" collapsed="false">
      <c r="A28035" s="0" t="s">
        <v>11190</v>
      </c>
      <c r="B28035" s="0" t="str">
        <f aca="false">HYPERLINK("https://lindat.mff.cuni.cz/services/teitok/pdtc10/index.php?action=vallex&amp;frame=v-w3812f1", "pololhát (v-w3812f1)")</f>
        <v>pololhát (v-w3812f1)</v>
      </c>
    </row>
    <row r="28036" customFormat="false" ht="12.8" hidden="false" customHeight="false" outlineLevel="0" collapsed="false">
      <c r="B28036" s="0" t="s">
        <v>1</v>
      </c>
    </row>
    <row r="28037" customFormat="false" ht="12.8" hidden="false" customHeight="false" outlineLevel="0" collapsed="false">
      <c r="B28037" s="0" t="s">
        <v>6024</v>
      </c>
    </row>
    <row r="28038" customFormat="false" ht="12.8" hidden="false" customHeight="false" outlineLevel="0" collapsed="false">
      <c r="B28038" s="0" t="s">
        <v>132</v>
      </c>
    </row>
    <row r="28040" customFormat="false" ht="12.8" hidden="false" customHeight="false" outlineLevel="0" collapsed="false">
      <c r="A28040" s="0" t="s">
        <v>11191</v>
      </c>
      <c r="B28040" s="0" t="str">
        <f aca="false">HYPERLINK("https://lindat.mff.cuni.cz/services/teitok/pdtc10/index.php?action=vallex&amp;frame=v-w3816f9", "položit (v-w3816f9)")</f>
        <v>položit (v-w3816f9)</v>
      </c>
    </row>
    <row r="28041" customFormat="false" ht="12.8" hidden="false" customHeight="false" outlineLevel="0" collapsed="false">
      <c r="B28041" s="0" t="s">
        <v>1</v>
      </c>
    </row>
    <row r="28042" customFormat="false" ht="12.8" hidden="false" customHeight="false" outlineLevel="0" collapsed="false">
      <c r="B28042" s="0" t="s">
        <v>8</v>
      </c>
    </row>
    <row r="28043" customFormat="false" ht="12.8" hidden="false" customHeight="false" outlineLevel="0" collapsed="false">
      <c r="B28043" s="0" t="s">
        <v>52</v>
      </c>
    </row>
    <row r="28045" customFormat="false" ht="12.8" hidden="false" customHeight="false" outlineLevel="0" collapsed="false">
      <c r="A28045" s="0" t="s">
        <v>11192</v>
      </c>
      <c r="B28045" s="0" t="str">
        <f aca="false">HYPERLINK("https://lindat.mff.cuni.cz/services/teitok/pdtc10/index.php?action=vallex&amp;frame=v-w3816f8", "položit (v-w3816f8)")</f>
        <v>položit (v-w3816f8)</v>
      </c>
      <c r="E28045" s="0" t="str">
        <f aca="false">HYPERLINK("https://lindat.mff.cuni.cz/services/SynSemClass40/SynSemClass40.html?veclass=vec00735#vec00735-ces-cm00168", "vec00735")</f>
        <v>vec00735</v>
      </c>
      <c r="F28045" s="0" t="s">
        <v>2719</v>
      </c>
    </row>
    <row r="28046" customFormat="false" ht="12.8" hidden="false" customHeight="false" outlineLevel="0" collapsed="false">
      <c r="B28046" s="0" t="s">
        <v>1</v>
      </c>
      <c r="C28046" s="0" t="s">
        <v>2720</v>
      </c>
      <c r="E28046" s="0" t="s">
        <v>334</v>
      </c>
      <c r="F28046" s="0" t="s">
        <v>2721</v>
      </c>
    </row>
    <row r="28047" customFormat="false" ht="12.8" hidden="false" customHeight="false" outlineLevel="0" collapsed="false">
      <c r="B28047" s="0" t="s">
        <v>8</v>
      </c>
      <c r="C28047" s="0" t="s">
        <v>2722</v>
      </c>
      <c r="E28047" s="0" t="s">
        <v>2648</v>
      </c>
      <c r="F28047" s="0" t="s">
        <v>2723</v>
      </c>
    </row>
    <row r="28048" customFormat="false" ht="12.8" hidden="false" customHeight="false" outlineLevel="0" collapsed="false">
      <c r="B28048" s="0" t="s">
        <v>5</v>
      </c>
      <c r="C28048" s="0" t="s">
        <v>6068</v>
      </c>
      <c r="E28048" s="0" t="s">
        <v>3254</v>
      </c>
      <c r="F28048" s="0" t="s">
        <v>6069</v>
      </c>
    </row>
    <row r="28050" customFormat="false" ht="12.8" hidden="false" customHeight="false" outlineLevel="0" collapsed="false">
      <c r="A28050" s="0" t="s">
        <v>11193</v>
      </c>
      <c r="B28050" s="0" t="str">
        <f aca="false">HYPERLINK("https://lindat.mff.cuni.cz/services/teitok/pdtc10/index.php?action=vallex&amp;frame=v-w3816f2", "položit (v-w3816f2)")</f>
        <v>položit (v-w3816f2)</v>
      </c>
      <c r="E28050" s="0" t="str">
        <f aca="false">HYPERLINK("https://lindat.mff.cuni.cz/services/SynSemClass40/SynSemClass40.html?veclass=vec00735#vec00735-ces-cm00085", "vec00735")</f>
        <v>vec00735</v>
      </c>
      <c r="F28050" s="0" t="s">
        <v>2719</v>
      </c>
    </row>
    <row r="28051" customFormat="false" ht="12.8" hidden="false" customHeight="false" outlineLevel="0" collapsed="false">
      <c r="B28051" s="0" t="s">
        <v>1</v>
      </c>
      <c r="C28051" s="0" t="s">
        <v>2720</v>
      </c>
      <c r="E28051" s="0" t="s">
        <v>334</v>
      </c>
      <c r="F28051" s="0" t="s">
        <v>2721</v>
      </c>
    </row>
    <row r="28052" customFormat="false" ht="12.8" hidden="false" customHeight="false" outlineLevel="0" collapsed="false">
      <c r="B28052" s="0" t="s">
        <v>8</v>
      </c>
      <c r="C28052" s="0" t="s">
        <v>2722</v>
      </c>
      <c r="E28052" s="0" t="s">
        <v>2648</v>
      </c>
      <c r="F28052" s="0" t="s">
        <v>2723</v>
      </c>
    </row>
    <row r="28053" customFormat="false" ht="12.8" hidden="false" customHeight="false" outlineLevel="0" collapsed="false">
      <c r="B28053" s="0" t="s">
        <v>164</v>
      </c>
      <c r="C28053" s="0" t="s">
        <v>2724</v>
      </c>
      <c r="E28053" s="0" t="s">
        <v>370</v>
      </c>
      <c r="F28053" s="0" t="s">
        <v>2725</v>
      </c>
    </row>
    <row r="28055" customFormat="false" ht="12.8" hidden="false" customHeight="false" outlineLevel="0" collapsed="false">
      <c r="A28055" s="0" t="s">
        <v>11194</v>
      </c>
      <c r="B28055" s="0" t="str">
        <f aca="false">HYPERLINK("https://lindat.mff.cuni.cz/services/teitok/pdtc10/index.php?action=vallex&amp;frame=v-w3816f3", "položit (v-w3816f3)")</f>
        <v>položit (v-w3816f3)</v>
      </c>
    </row>
    <row r="28056" customFormat="false" ht="12.8" hidden="false" customHeight="false" outlineLevel="0" collapsed="false">
      <c r="B28056" s="0" t="s">
        <v>1</v>
      </c>
    </row>
    <row r="28057" customFormat="false" ht="12.8" hidden="false" customHeight="false" outlineLevel="0" collapsed="false">
      <c r="B28057" s="0" t="s">
        <v>8</v>
      </c>
    </row>
    <row r="28059" customFormat="false" ht="12.8" hidden="false" customHeight="false" outlineLevel="0" collapsed="false">
      <c r="A28059" s="0" t="s">
        <v>11195</v>
      </c>
      <c r="B28059" s="0" t="str">
        <f aca="false">HYPERLINK("https://lindat.mff.cuni.cz/services/teitok/pdtc10/index.php?action=vallex&amp;frame=v-w3816f4", "položit (v-w3816f4)")</f>
        <v>položit (v-w3816f4)</v>
      </c>
    </row>
    <row r="28060" customFormat="false" ht="12.8" hidden="false" customHeight="false" outlineLevel="0" collapsed="false">
      <c r="B28060" s="0" t="s">
        <v>1</v>
      </c>
    </row>
    <row r="28061" customFormat="false" ht="12.8" hidden="false" customHeight="false" outlineLevel="0" collapsed="false">
      <c r="B28061" s="0" t="s">
        <v>8</v>
      </c>
    </row>
    <row r="28063" customFormat="false" ht="12.8" hidden="false" customHeight="false" outlineLevel="0" collapsed="false">
      <c r="A28063" s="0" t="s">
        <v>11196</v>
      </c>
      <c r="B28063" s="0" t="str">
        <f aca="false">HYPERLINK("https://lindat.mff.cuni.cz/services/teitok/pdtc10/index.php?action=vallex&amp;frame=v-w3816f10_ZU", "položit (v-w3816f10_ZU)")</f>
        <v>položit (v-w3816f10_ZU)</v>
      </c>
      <c r="E28063" s="0" t="str">
        <f aca="false">HYPERLINK("https://lindat.mff.cuni.cz/services/SynSemClass40/SynSemClass40.html?veclass=vec00389#vec00389-ces-cm00060", "vec00389")</f>
        <v>vec00389</v>
      </c>
      <c r="F28063" s="0" t="s">
        <v>1888</v>
      </c>
    </row>
    <row r="28064" customFormat="false" ht="12.8" hidden="false" customHeight="false" outlineLevel="0" collapsed="false">
      <c r="B28064" s="0" t="s">
        <v>1</v>
      </c>
      <c r="C28064" s="0" t="s">
        <v>1889</v>
      </c>
      <c r="E28064" s="0" t="s">
        <v>1890</v>
      </c>
      <c r="F28064" s="0" t="s">
        <v>1891</v>
      </c>
    </row>
    <row r="28065" customFormat="false" ht="12.8" hidden="false" customHeight="false" outlineLevel="0" collapsed="false">
      <c r="B28065" s="0" t="s">
        <v>8</v>
      </c>
      <c r="C28065" s="0" t="s">
        <v>1892</v>
      </c>
      <c r="E28065" s="0" t="s">
        <v>1893</v>
      </c>
      <c r="F28065" s="0" t="s">
        <v>1894</v>
      </c>
    </row>
    <row r="28067" customFormat="false" ht="12.8" hidden="false" customHeight="false" outlineLevel="0" collapsed="false">
      <c r="A28067" s="0" t="s">
        <v>11197</v>
      </c>
      <c r="B28067" s="0" t="str">
        <f aca="false">HYPERLINK("https://lindat.mff.cuni.cz/services/teitok/pdtc10/index.php?action=vallex&amp;frame=v-w3816f1", "položit (v-w3816f1)")</f>
        <v>položit (v-w3816f1)</v>
      </c>
      <c r="E28067" s="0" t="str">
        <f aca="false">HYPERLINK("https://lindat.mff.cuni.cz/services/SynSemClass40/SynSemClass40.html?veclass=vec00384#vec00384-ces-cm00008", "vec00384")</f>
        <v>vec00384</v>
      </c>
      <c r="F28067" s="0" t="s">
        <v>2985</v>
      </c>
    </row>
    <row r="28068" customFormat="false" ht="12.8" hidden="false" customHeight="false" outlineLevel="0" collapsed="false">
      <c r="B28068" s="0" t="s">
        <v>1</v>
      </c>
      <c r="C28068" s="0" t="s">
        <v>2986</v>
      </c>
      <c r="E28068" s="0" t="s">
        <v>147</v>
      </c>
      <c r="F28068" s="0" t="s">
        <v>2987</v>
      </c>
    </row>
    <row r="28069" customFormat="false" ht="12.8" hidden="false" customHeight="false" outlineLevel="0" collapsed="false">
      <c r="B28069" s="0" t="s">
        <v>5362</v>
      </c>
      <c r="C28069" s="0" t="s">
        <v>5363</v>
      </c>
      <c r="E28069" s="0" t="s">
        <v>5364</v>
      </c>
      <c r="F28069" s="0" t="s">
        <v>5365</v>
      </c>
    </row>
    <row r="28070" customFormat="false" ht="12.8" hidden="false" customHeight="false" outlineLevel="0" collapsed="false">
      <c r="B28070" s="0" t="s">
        <v>132</v>
      </c>
      <c r="C28070" s="0" t="s">
        <v>2992</v>
      </c>
      <c r="E28070" s="0" t="s">
        <v>221</v>
      </c>
      <c r="F28070" s="0" t="s">
        <v>2993</v>
      </c>
    </row>
    <row r="28072" customFormat="false" ht="12.8" hidden="false" customHeight="false" outlineLevel="0" collapsed="false">
      <c r="A28072" s="0" t="s">
        <v>11198</v>
      </c>
      <c r="B28072" s="0" t="str">
        <f aca="false">HYPERLINK("https://lindat.mff.cuni.cz/services/teitok/pdtc10/index.php?action=vallex&amp;frame=v-w3816f7", "položit (v-w3816f7)")</f>
        <v>položit (v-w3816f7)</v>
      </c>
    </row>
    <row r="28073" customFormat="false" ht="12.8" hidden="false" customHeight="false" outlineLevel="0" collapsed="false">
      <c r="B28073" s="0" t="s">
        <v>1</v>
      </c>
    </row>
    <row r="28074" customFormat="false" ht="12.8" hidden="false" customHeight="false" outlineLevel="0" collapsed="false">
      <c r="B28074" s="0" t="s">
        <v>11199</v>
      </c>
    </row>
    <row r="28076" customFormat="false" ht="12.8" hidden="false" customHeight="false" outlineLevel="0" collapsed="false">
      <c r="A28076" s="0" t="s">
        <v>11200</v>
      </c>
      <c r="B28076" s="0" t="str">
        <f aca="false">HYPERLINK("https://lindat.mff.cuni.cz/services/teitok/pdtc10/index.php?action=vallex&amp;frame=v-w3816f5", "položit (v-w3816f5)")</f>
        <v>položit (v-w3816f5)</v>
      </c>
    </row>
    <row r="28077" customFormat="false" ht="12.8" hidden="false" customHeight="false" outlineLevel="0" collapsed="false">
      <c r="B28077" s="0" t="s">
        <v>1</v>
      </c>
    </row>
    <row r="28078" customFormat="false" ht="12.8" hidden="false" customHeight="false" outlineLevel="0" collapsed="false">
      <c r="B28078" s="0" t="s">
        <v>11201</v>
      </c>
    </row>
    <row r="28079" customFormat="false" ht="12.8" hidden="false" customHeight="false" outlineLevel="0" collapsed="false">
      <c r="B28079" s="0" t="s">
        <v>8</v>
      </c>
    </row>
    <row r="28081" customFormat="false" ht="12.8" hidden="false" customHeight="false" outlineLevel="0" collapsed="false">
      <c r="A28081" s="0" t="s">
        <v>11202</v>
      </c>
      <c r="B28081" s="0" t="str">
        <f aca="false">HYPERLINK("https://lindat.mff.cuni.cz/services/teitok/pdtc10/index.php?action=vallex&amp;frame=v-w3816f6", "položit (v-w3816f6)")</f>
        <v>položit (v-w3816f6)</v>
      </c>
    </row>
    <row r="28082" customFormat="false" ht="12.8" hidden="false" customHeight="false" outlineLevel="0" collapsed="false">
      <c r="B28082" s="0" t="s">
        <v>1</v>
      </c>
    </row>
    <row r="28083" customFormat="false" ht="12.8" hidden="false" customHeight="false" outlineLevel="0" collapsed="false">
      <c r="B28083" s="0" t="s">
        <v>11203</v>
      </c>
    </row>
    <row r="28084" customFormat="false" ht="12.8" hidden="false" customHeight="false" outlineLevel="0" collapsed="false">
      <c r="B28084" s="0" t="s">
        <v>665</v>
      </c>
    </row>
    <row r="28086" customFormat="false" ht="12.8" hidden="false" customHeight="false" outlineLevel="0" collapsed="false">
      <c r="A28086" s="0" t="s">
        <v>11204</v>
      </c>
      <c r="B28086" s="0" t="str">
        <f aca="false">HYPERLINK("https://lindat.mff.cuni.cz/services/teitok/pdtc10/index.php?action=vallex&amp;frame=v-w3816f11_ZU", "položit (v-w3816f11_ZU)")</f>
        <v>položit (v-w3816f11_ZU)</v>
      </c>
    </row>
    <row r="28087" customFormat="false" ht="12.8" hidden="false" customHeight="false" outlineLevel="0" collapsed="false">
      <c r="B28087" s="0" t="s">
        <v>1</v>
      </c>
    </row>
    <row r="28088" customFormat="false" ht="12.8" hidden="false" customHeight="false" outlineLevel="0" collapsed="false">
      <c r="B28088" s="0" t="s">
        <v>8</v>
      </c>
    </row>
    <row r="28090" customFormat="false" ht="12.8" hidden="false" customHeight="false" outlineLevel="0" collapsed="false">
      <c r="A28090" s="0" t="s">
        <v>11204</v>
      </c>
      <c r="B28090" s="0" t="str">
        <f aca="false">HYPERLINK("https://lindat.mff.cuni.cz/services/teitok/pdtc10/index.php?action=vallex&amp;frame=v-w3816hsa_1088", "položit (v-w3816hsa_1088) - substituted with v-w3816f11_ZU")</f>
        <v>položit (v-w3816hsa_1088) - substituted with v-w3816f11_ZU</v>
      </c>
    </row>
    <row r="28091" customFormat="false" ht="12.8" hidden="false" customHeight="false" outlineLevel="0" collapsed="false">
      <c r="B28091" s="0" t="s">
        <v>1</v>
      </c>
    </row>
    <row r="28092" customFormat="false" ht="12.8" hidden="false" customHeight="false" outlineLevel="0" collapsed="false">
      <c r="B28092" s="0" t="s">
        <v>8</v>
      </c>
    </row>
    <row r="28094" customFormat="false" ht="12.8" hidden="false" customHeight="false" outlineLevel="0" collapsed="false">
      <c r="A28094" s="0" t="s">
        <v>11205</v>
      </c>
      <c r="B28094" s="0" t="str">
        <f aca="false">HYPERLINK("https://lindat.mff.cuni.cz/services/teitok/pdtc10/index.php?action=vallex&amp;frame=v-w3816hsa_1087", "položit (v-w3816hsa_1087)")</f>
        <v>položit (v-w3816hsa_1087)</v>
      </c>
    </row>
    <row r="28095" customFormat="false" ht="12.8" hidden="false" customHeight="false" outlineLevel="0" collapsed="false">
      <c r="B28095" s="0" t="s">
        <v>1</v>
      </c>
    </row>
    <row r="28096" customFormat="false" ht="12.8" hidden="false" customHeight="false" outlineLevel="0" collapsed="false">
      <c r="B28096" s="0" t="s">
        <v>8</v>
      </c>
    </row>
    <row r="28098" customFormat="false" ht="12.8" hidden="false" customHeight="false" outlineLevel="0" collapsed="false">
      <c r="A28098" s="0" t="s">
        <v>11206</v>
      </c>
      <c r="B28098" s="0" t="str">
        <f aca="false">HYPERLINK("https://lindat.mff.cuni.cz/services/teitok/pdtc10/index.php?action=vallex&amp;frame=v-w3817f1", "položit se (v-w3817f1)")</f>
        <v>položit se (v-w3817f1)</v>
      </c>
      <c r="E28098" s="0" t="str">
        <f aca="false">HYPERLINK("https://lindat.mff.cuni.cz/services/SynSemClass40/SynSemClass40.html?veclass=vec00629#vec00629-ces-cm00004", "vec00629")</f>
        <v>vec00629</v>
      </c>
      <c r="F28098" s="0" t="s">
        <v>5949</v>
      </c>
    </row>
    <row r="28099" customFormat="false" ht="12.8" hidden="false" customHeight="false" outlineLevel="0" collapsed="false">
      <c r="B28099" s="0" t="s">
        <v>1</v>
      </c>
      <c r="C28099" s="0" t="s">
        <v>4695</v>
      </c>
      <c r="E28099" s="0" t="s">
        <v>11</v>
      </c>
      <c r="F28099" s="0" t="s">
        <v>5950</v>
      </c>
    </row>
    <row r="28100" customFormat="false" ht="12.8" hidden="false" customHeight="false" outlineLevel="0" collapsed="false">
      <c r="B28100" s="0" t="s">
        <v>164</v>
      </c>
      <c r="E28100" s="0" t="s">
        <v>370</v>
      </c>
      <c r="F28100" s="0" t="s">
        <v>3041</v>
      </c>
    </row>
    <row r="28102" customFormat="false" ht="12.8" hidden="false" customHeight="false" outlineLevel="0" collapsed="false">
      <c r="A28102" s="0" t="s">
        <v>11207</v>
      </c>
      <c r="B28102" s="0" t="str">
        <f aca="false">HYPERLINK("https://lindat.mff.cuni.cz/services/teitok/pdtc10/index.php?action=vallex&amp;frame=v-w3817f2", "položit se (v-w3817f2)")</f>
        <v>položit se (v-w3817f2)</v>
      </c>
    </row>
    <row r="28103" customFormat="false" ht="12.8" hidden="false" customHeight="false" outlineLevel="0" collapsed="false">
      <c r="B28103" s="0" t="s">
        <v>1</v>
      </c>
    </row>
    <row r="28105" customFormat="false" ht="12.8" hidden="false" customHeight="false" outlineLevel="0" collapsed="false">
      <c r="A28105" s="0" t="s">
        <v>11208</v>
      </c>
      <c r="B28105" s="0" t="str">
        <f aca="false">HYPERLINK("https://lindat.mff.cuni.cz/services/teitok/pdtc10/index.php?action=vallex&amp;frame=v-whsa_618f1_ZU", "polykat (v-whsa_618f1_ZU)")</f>
        <v>polykat (v-whsa_618f1_ZU)</v>
      </c>
      <c r="E28105" s="0" t="str">
        <f aca="false">HYPERLINK("https://lindat.mff.cuni.cz/services/SynSemClass40/SynSemClass40.html?veclass=vec00476#vec00476-ces-cm00007", "vec00476")</f>
        <v>vec00476</v>
      </c>
      <c r="F28105" s="0" t="s">
        <v>18</v>
      </c>
      <c r="H28105" s="0" t="str">
        <f aca="false">HYPERLINK("https://lindat.mff.cuni.cz/services/SynSemClass40/SynSemClass40.html?veclass=vec01323#vec01323-ces-cm00009", "vec01323")</f>
        <v>vec01323</v>
      </c>
      <c r="I28105" s="0" t="s">
        <v>10981</v>
      </c>
    </row>
    <row r="28106" customFormat="false" ht="12.8" hidden="false" customHeight="false" outlineLevel="0" collapsed="false">
      <c r="B28106" s="0" t="s">
        <v>1</v>
      </c>
      <c r="C28106" s="0" t="s">
        <v>10982</v>
      </c>
      <c r="E28106" s="0" t="s">
        <v>20</v>
      </c>
      <c r="F28106" s="0" t="s">
        <v>21</v>
      </c>
      <c r="H28106" s="0" t="s">
        <v>10983</v>
      </c>
      <c r="I28106" s="0" t="s">
        <v>10984</v>
      </c>
    </row>
    <row r="28107" customFormat="false" ht="12.8" hidden="false" customHeight="false" outlineLevel="0" collapsed="false">
      <c r="B28107" s="0" t="s">
        <v>8</v>
      </c>
      <c r="C28107" s="0" t="s">
        <v>10985</v>
      </c>
      <c r="E28107" s="0" t="s">
        <v>23</v>
      </c>
      <c r="F28107" s="0" t="s">
        <v>24</v>
      </c>
      <c r="H28107" s="0" t="s">
        <v>1702</v>
      </c>
      <c r="I28107" s="0" t="s">
        <v>10986</v>
      </c>
    </row>
    <row r="28109" customFormat="false" ht="12.8" hidden="false" customHeight="false" outlineLevel="0" collapsed="false">
      <c r="A28109" s="0" t="s">
        <v>11208</v>
      </c>
      <c r="B28109" s="0" t="str">
        <f aca="false">HYPERLINK("https://lindat.mff.cuni.cz/services/teitok/pdtc10/index.php?action=vallex&amp;frame=v-whsa_618hsa_619", "polykat (v-whsa_618hsa_619) - substituted with v-whsa_618f1_ZU")</f>
        <v>polykat (v-whsa_618hsa_619) - substituted with v-whsa_618f1_ZU</v>
      </c>
    </row>
    <row r="28110" customFormat="false" ht="12.8" hidden="false" customHeight="false" outlineLevel="0" collapsed="false">
      <c r="B28110" s="0" t="s">
        <v>1</v>
      </c>
    </row>
    <row r="28111" customFormat="false" ht="12.8" hidden="false" customHeight="false" outlineLevel="0" collapsed="false">
      <c r="B28111" s="0" t="s">
        <v>8</v>
      </c>
    </row>
    <row r="28113" customFormat="false" ht="12.8" hidden="false" customHeight="false" outlineLevel="0" collapsed="false">
      <c r="A28113" s="0" t="s">
        <v>11209</v>
      </c>
      <c r="B28113" s="0" t="str">
        <f aca="false">HYPERLINK("https://lindat.mff.cuni.cz/services/teitok/pdtc10/index.php?action=vallex&amp;frame=v-whsa_618f2_ZU", "polykat (v-whsa_618f2_ZU)")</f>
        <v>polykat (v-whsa_618f2_ZU)</v>
      </c>
      <c r="E28113" s="0" t="str">
        <f aca="false">HYPERLINK("https://lindat.mff.cuni.cz/services/SynSemClass40/SynSemClass40.html?veclass=vec01074#vec01074-ces-cm00001", "vec01074")</f>
        <v>vec01074</v>
      </c>
      <c r="F28113" s="0" t="s">
        <v>11210</v>
      </c>
    </row>
    <row r="28114" customFormat="false" ht="12.8" hidden="false" customHeight="false" outlineLevel="0" collapsed="false">
      <c r="B28114" s="0" t="s">
        <v>1</v>
      </c>
      <c r="C28114" s="0" t="s">
        <v>447</v>
      </c>
      <c r="E28114" s="0" t="s">
        <v>20</v>
      </c>
      <c r="F28114" s="0" t="s">
        <v>11211</v>
      </c>
    </row>
    <row r="28115" customFormat="false" ht="12.8" hidden="false" customHeight="false" outlineLevel="0" collapsed="false">
      <c r="B28115" s="0" t="s">
        <v>8</v>
      </c>
      <c r="C28115" s="0" t="s">
        <v>798</v>
      </c>
      <c r="E28115" s="0" t="s">
        <v>23</v>
      </c>
      <c r="F28115" s="0" t="s">
        <v>11212</v>
      </c>
    </row>
    <row r="28117" customFormat="false" ht="12.8" hidden="false" customHeight="false" outlineLevel="0" collapsed="false">
      <c r="A28117" s="0" t="s">
        <v>11213</v>
      </c>
      <c r="B28117" s="0" t="str">
        <f aca="false">HYPERLINK("https://lindat.mff.cuni.cz/services/teitok/pdtc10/index.php?action=vallex&amp;frame=v-whsb_1144hsa_1145", "polámat (v-whsb_1144hsa_1145)")</f>
        <v>polámat (v-whsb_1144hsa_1145)</v>
      </c>
    </row>
    <row r="28118" customFormat="false" ht="12.8" hidden="false" customHeight="false" outlineLevel="0" collapsed="false">
      <c r="B28118" s="0" t="s">
        <v>1</v>
      </c>
    </row>
    <row r="28119" customFormat="false" ht="12.8" hidden="false" customHeight="false" outlineLevel="0" collapsed="false">
      <c r="B28119" s="0" t="s">
        <v>8</v>
      </c>
    </row>
    <row r="28121" customFormat="false" ht="12.8" hidden="false" customHeight="false" outlineLevel="0" collapsed="false">
      <c r="A28121" s="0" t="s">
        <v>11214</v>
      </c>
      <c r="B28121" s="0" t="str">
        <f aca="false">HYPERLINK("https://lindat.mff.cuni.cz/services/teitok/pdtc10/index.php?action=vallex&amp;frame=v-w3799f1", "polévat (v-w3799f1)")</f>
        <v>polévat (v-w3799f1)</v>
      </c>
    </row>
    <row r="28122" customFormat="false" ht="12.8" hidden="false" customHeight="false" outlineLevel="0" collapsed="false">
      <c r="B28122" s="0" t="s">
        <v>1</v>
      </c>
    </row>
    <row r="28123" customFormat="false" ht="12.8" hidden="false" customHeight="false" outlineLevel="0" collapsed="false">
      <c r="B28123" s="0" t="s">
        <v>8</v>
      </c>
    </row>
    <row r="28125" customFormat="false" ht="12.8" hidden="false" customHeight="false" outlineLevel="0" collapsed="false">
      <c r="A28125" s="0" t="s">
        <v>11215</v>
      </c>
      <c r="B28125" s="0" t="str">
        <f aca="false">HYPERLINK("https://lindat.mff.cuni.cz/services/teitok/pdtc10/index.php?action=vallex&amp;frame=v-w3799f2", "polévat (v-w3799f2)")</f>
        <v>polévat (v-w3799f2)</v>
      </c>
    </row>
    <row r="28126" customFormat="false" ht="12.8" hidden="false" customHeight="false" outlineLevel="0" collapsed="false">
      <c r="B28126" s="0" t="s">
        <v>1</v>
      </c>
    </row>
    <row r="28127" customFormat="false" ht="12.8" hidden="false" customHeight="false" outlineLevel="0" collapsed="false">
      <c r="B28127" s="0" t="s">
        <v>8</v>
      </c>
    </row>
    <row r="28129" customFormat="false" ht="12.8" hidden="false" customHeight="false" outlineLevel="0" collapsed="false">
      <c r="A28129" s="0" t="s">
        <v>11216</v>
      </c>
      <c r="B28129" s="0" t="str">
        <f aca="false">HYPERLINK("https://lindat.mff.cuni.cz/services/teitok/pdtc10/index.php?action=vallex&amp;frame=v-w3804f1", "políbit (v-w3804f1)")</f>
        <v>políbit (v-w3804f1)</v>
      </c>
    </row>
    <row r="28130" customFormat="false" ht="12.8" hidden="false" customHeight="false" outlineLevel="0" collapsed="false">
      <c r="B28130" s="0" t="s">
        <v>1</v>
      </c>
    </row>
    <row r="28131" customFormat="false" ht="12.8" hidden="false" customHeight="false" outlineLevel="0" collapsed="false">
      <c r="B28131" s="0" t="s">
        <v>8</v>
      </c>
    </row>
    <row r="28133" customFormat="false" ht="12.8" hidden="false" customHeight="false" outlineLevel="0" collapsed="false">
      <c r="A28133" s="0" t="s">
        <v>11217</v>
      </c>
      <c r="B28133" s="0" t="str">
        <f aca="false">HYPERLINK("https://lindat.mff.cuni.cz/services/teitok/pdtc10/index.php?action=vallex&amp;frame=v-whsa_308f1_ZU", "polít (v-whsa_308f1_ZU)")</f>
        <v>polít (v-whsa_308f1_ZU)</v>
      </c>
    </row>
    <row r="28134" customFormat="false" ht="12.8" hidden="false" customHeight="false" outlineLevel="0" collapsed="false">
      <c r="B28134" s="0" t="s">
        <v>1</v>
      </c>
    </row>
    <row r="28135" customFormat="false" ht="12.8" hidden="false" customHeight="false" outlineLevel="0" collapsed="false">
      <c r="B28135" s="0" t="s">
        <v>8</v>
      </c>
    </row>
    <row r="28137" customFormat="false" ht="12.8" hidden="false" customHeight="false" outlineLevel="0" collapsed="false">
      <c r="A28137" s="0" t="s">
        <v>11217</v>
      </c>
      <c r="B28137" s="0" t="str">
        <f aca="false">HYPERLINK("https://lindat.mff.cuni.cz/services/teitok/pdtc10/index.php?action=vallex&amp;frame=v-whsa_308hsa_309", "polít (v-whsa_308hsa_309) - substituted with v-whsa_308f1_ZU")</f>
        <v>polít (v-whsa_308hsa_309) - substituted with v-whsa_308f1_ZU</v>
      </c>
    </row>
    <row r="28138" customFormat="false" ht="12.8" hidden="false" customHeight="false" outlineLevel="0" collapsed="false">
      <c r="B28138" s="0" t="s">
        <v>1</v>
      </c>
    </row>
    <row r="28139" customFormat="false" ht="12.8" hidden="false" customHeight="false" outlineLevel="0" collapsed="false">
      <c r="B28139" s="0" t="s">
        <v>8</v>
      </c>
    </row>
    <row r="28141" customFormat="false" ht="12.8" hidden="false" customHeight="false" outlineLevel="0" collapsed="false">
      <c r="A28141" s="0" t="s">
        <v>11218</v>
      </c>
      <c r="B28141" s="0" t="str">
        <f aca="false">HYPERLINK("https://lindat.mff.cuni.cz/services/teitok/pdtc10/index.php?action=vallex&amp;frame=v-whsa_181hsa_182", "políčit (v-whsa_181hsa_182)")</f>
        <v>políčit (v-whsa_181hsa_182)</v>
      </c>
    </row>
    <row r="28142" customFormat="false" ht="12.8" hidden="false" customHeight="false" outlineLevel="0" collapsed="false">
      <c r="B28142" s="0" t="s">
        <v>1</v>
      </c>
    </row>
    <row r="28143" customFormat="false" ht="12.8" hidden="false" customHeight="false" outlineLevel="0" collapsed="false">
      <c r="B28143" s="0" t="s">
        <v>8</v>
      </c>
    </row>
    <row r="28145" customFormat="false" ht="12.8" hidden="false" customHeight="false" outlineLevel="0" collapsed="false">
      <c r="A28145" s="0" t="s">
        <v>11219</v>
      </c>
      <c r="B28145" s="0" t="str">
        <f aca="false">HYPERLINK("https://lindat.mff.cuni.cz/services/teitok/pdtc10/index.php?action=vallex&amp;frame=v-w3819f1", "pomalovat (v-w3819f1)")</f>
        <v>pomalovat (v-w3819f1)</v>
      </c>
      <c r="E28145" s="0" t="str">
        <f aca="false">HYPERLINK("https://lindat.mff.cuni.cz/services/SynSemClass40/SynSemClass40.html?veclass=vec01420#vec01420-ces-cm00003", "vec01420")</f>
        <v>vec01420</v>
      </c>
      <c r="F28145" s="0" t="s">
        <v>10245</v>
      </c>
    </row>
    <row r="28146" customFormat="false" ht="12.8" hidden="false" customHeight="false" outlineLevel="0" collapsed="false">
      <c r="B28146" s="0" t="s">
        <v>1</v>
      </c>
      <c r="C28146" s="0" t="s">
        <v>459</v>
      </c>
      <c r="E28146" s="0" t="s">
        <v>4581</v>
      </c>
      <c r="F28146" s="0" t="s">
        <v>7850</v>
      </c>
    </row>
    <row r="28147" customFormat="false" ht="12.8" hidden="false" customHeight="false" outlineLevel="0" collapsed="false">
      <c r="B28147" s="0" t="s">
        <v>8</v>
      </c>
      <c r="C28147" s="0" t="s">
        <v>7654</v>
      </c>
      <c r="E28147" s="0" t="s">
        <v>142</v>
      </c>
      <c r="F28147" s="0" t="s">
        <v>10246</v>
      </c>
    </row>
    <row r="28149" customFormat="false" ht="12.8" hidden="false" customHeight="false" outlineLevel="0" collapsed="false">
      <c r="A28149" s="0" t="s">
        <v>11220</v>
      </c>
      <c r="B28149" s="0" t="str">
        <f aca="false">HYPERLINK("https://lindat.mff.cuni.cz/services/teitok/pdtc10/index.php?action=vallex&amp;frame=v-w12178_ZUf1_ZU", "pomazlit (v-w12178_ZUf1_ZU)")</f>
        <v>pomazlit (v-w12178_ZUf1_ZU)</v>
      </c>
    </row>
    <row r="28150" customFormat="false" ht="12.8" hidden="false" customHeight="false" outlineLevel="0" collapsed="false">
      <c r="B28150" s="0" t="s">
        <v>1</v>
      </c>
    </row>
    <row r="28151" customFormat="false" ht="12.8" hidden="false" customHeight="false" outlineLevel="0" collapsed="false">
      <c r="B28151" s="0" t="s">
        <v>8</v>
      </c>
    </row>
    <row r="28153" customFormat="false" ht="12.8" hidden="false" customHeight="false" outlineLevel="0" collapsed="false">
      <c r="A28153" s="0" t="s">
        <v>11221</v>
      </c>
      <c r="B28153" s="0" t="str">
        <f aca="false">HYPERLINK("https://lindat.mff.cuni.cz/services/teitok/pdtc10/index.php?action=vallex&amp;frame=v-w11063f2", "pomazávat (v-w11063f2)")</f>
        <v>pomazávat (v-w11063f2)</v>
      </c>
      <c r="E28153" s="0" t="str">
        <f aca="false">HYPERLINK("https://lindat.mff.cuni.cz/services/SynSemClass40/SynSemClass40.html?veclass=vec01420#vec01420-ces-cm00004", "vec01420")</f>
        <v>vec01420</v>
      </c>
      <c r="F28153" s="0" t="s">
        <v>10245</v>
      </c>
    </row>
    <row r="28154" customFormat="false" ht="12.8" hidden="false" customHeight="false" outlineLevel="0" collapsed="false">
      <c r="B28154" s="0" t="s">
        <v>1</v>
      </c>
      <c r="C28154" s="0" t="s">
        <v>459</v>
      </c>
      <c r="E28154" s="0" t="s">
        <v>4581</v>
      </c>
      <c r="F28154" s="0" t="s">
        <v>7850</v>
      </c>
    </row>
    <row r="28155" customFormat="false" ht="12.8" hidden="false" customHeight="false" outlineLevel="0" collapsed="false">
      <c r="B28155" s="0" t="s">
        <v>8</v>
      </c>
      <c r="C28155" s="0" t="s">
        <v>7654</v>
      </c>
      <c r="E28155" s="0" t="s">
        <v>142</v>
      </c>
      <c r="F28155" s="0" t="s">
        <v>10246</v>
      </c>
    </row>
    <row r="28157" customFormat="false" ht="12.8" hidden="false" customHeight="false" outlineLevel="0" collapsed="false">
      <c r="A28157" s="0" t="s">
        <v>11222</v>
      </c>
      <c r="B28157" s="0" t="str">
        <f aca="false">HYPERLINK("https://lindat.mff.cuni.cz/services/teitok/pdtc10/index.php?action=vallex&amp;frame=v-w10250f2", "pomačkat (v-w10250f2)")</f>
        <v>pomačkat (v-w10250f2)</v>
      </c>
    </row>
    <row r="28158" customFormat="false" ht="12.8" hidden="false" customHeight="false" outlineLevel="0" collapsed="false">
      <c r="B28158" s="0" t="s">
        <v>1</v>
      </c>
    </row>
    <row r="28159" customFormat="false" ht="12.8" hidden="false" customHeight="false" outlineLevel="0" collapsed="false">
      <c r="B28159" s="0" t="s">
        <v>8</v>
      </c>
    </row>
    <row r="28161" customFormat="false" ht="12.8" hidden="false" customHeight="false" outlineLevel="0" collapsed="false">
      <c r="A28161" s="0" t="s">
        <v>11223</v>
      </c>
      <c r="B28161" s="0" t="str">
        <f aca="false">HYPERLINK("https://lindat.mff.cuni.cz/services/teitok/pdtc10/index.php?action=vallex&amp;frame=v-whsa_63hsa_64", "pomilovat se (v-whsa_63hsa_64)")</f>
        <v>pomilovat se (v-whsa_63hsa_64)</v>
      </c>
    </row>
    <row r="28162" customFormat="false" ht="12.8" hidden="false" customHeight="false" outlineLevel="0" collapsed="false">
      <c r="B28162" s="0" t="s">
        <v>1</v>
      </c>
    </row>
    <row r="28163" customFormat="false" ht="12.8" hidden="false" customHeight="false" outlineLevel="0" collapsed="false">
      <c r="B28163" s="0" t="s">
        <v>721</v>
      </c>
    </row>
    <row r="28165" customFormat="false" ht="12.8" hidden="false" customHeight="false" outlineLevel="0" collapsed="false">
      <c r="A28165" s="0" t="s">
        <v>11224</v>
      </c>
      <c r="B28165" s="0" t="str">
        <f aca="false">HYPERLINK("https://lindat.mff.cuni.cz/services/teitok/pdtc10/index.php?action=vallex&amp;frame=v-w3824f2", "pominout (v-w3824f2)")</f>
        <v>pominout (v-w3824f2)</v>
      </c>
      <c r="E28165" s="0" t="str">
        <f aca="false">HYPERLINK("https://lindat.mff.cuni.cz/services/SynSemClass40/SynSemClass40.html?veclass=vec00460#vec00460-ces-cm00006", "vec00460")</f>
        <v>vec00460</v>
      </c>
      <c r="F28165" s="0" t="s">
        <v>4773</v>
      </c>
    </row>
    <row r="28166" customFormat="false" ht="12.8" hidden="false" customHeight="false" outlineLevel="0" collapsed="false">
      <c r="B28166" s="0" t="s">
        <v>1</v>
      </c>
      <c r="C28166" s="0" t="s">
        <v>4774</v>
      </c>
      <c r="E28166" s="0" t="s">
        <v>2034</v>
      </c>
      <c r="F28166" s="0" t="s">
        <v>4775</v>
      </c>
    </row>
    <row r="28167" customFormat="false" ht="12.8" hidden="false" customHeight="false" outlineLevel="0" collapsed="false">
      <c r="B28167" s="0" t="s">
        <v>228</v>
      </c>
      <c r="C28167" s="0" t="s">
        <v>4776</v>
      </c>
      <c r="E28167" s="0" t="s">
        <v>2037</v>
      </c>
      <c r="F28167" s="0" t="s">
        <v>4777</v>
      </c>
    </row>
    <row r="28169" customFormat="false" ht="12.8" hidden="false" customHeight="false" outlineLevel="0" collapsed="false">
      <c r="A28169" s="0" t="s">
        <v>11225</v>
      </c>
      <c r="B28169" s="0" t="str">
        <f aca="false">HYPERLINK("https://lindat.mff.cuni.cz/services/teitok/pdtc10/index.php?action=vallex&amp;frame=v-w3824f1", "pominout (v-w3824f1)")</f>
        <v>pominout (v-w3824f1)</v>
      </c>
      <c r="E28169" s="0" t="str">
        <f aca="false">HYPERLINK("https://lindat.mff.cuni.cz/services/SynSemClass40/SynSemClass40.html?veclass=vec00873#vec00873-ces-cm00001", "vec00873")</f>
        <v>vec00873</v>
      </c>
      <c r="F28169" s="0" t="s">
        <v>11226</v>
      </c>
    </row>
    <row r="28170" customFormat="false" ht="12.8" hidden="false" customHeight="false" outlineLevel="0" collapsed="false">
      <c r="B28170" s="0" t="s">
        <v>1</v>
      </c>
      <c r="C28170" s="0" t="s">
        <v>549</v>
      </c>
      <c r="E28170" s="0" t="s">
        <v>957</v>
      </c>
      <c r="F28170" s="0" t="s">
        <v>11227</v>
      </c>
    </row>
    <row r="28172" customFormat="false" ht="12.8" hidden="false" customHeight="false" outlineLevel="0" collapsed="false">
      <c r="A28172" s="0" t="s">
        <v>11228</v>
      </c>
      <c r="B28172" s="0" t="str">
        <f aca="false">HYPERLINK("https://lindat.mff.cuni.cz/services/teitok/pdtc10/index.php?action=vallex&amp;frame=v-w3825f1", "pomlouvat (v-w3825f1)")</f>
        <v>pomlouvat (v-w3825f1)</v>
      </c>
      <c r="E28172" s="0" t="str">
        <f aca="false">HYPERLINK("https://lindat.mff.cuni.cz/services/SynSemClass40/SynSemClass40.html?veclass=vec00230#vec00230-ces-cm00042", "vec00230")</f>
        <v>vec00230</v>
      </c>
      <c r="F28172" s="0" t="s">
        <v>4255</v>
      </c>
    </row>
    <row r="28173" customFormat="false" ht="12.8" hidden="false" customHeight="false" outlineLevel="0" collapsed="false">
      <c r="B28173" s="0" t="s">
        <v>1</v>
      </c>
      <c r="C28173" s="0" t="s">
        <v>5752</v>
      </c>
      <c r="E28173" s="0" t="s">
        <v>3750</v>
      </c>
      <c r="F28173" s="0" t="s">
        <v>4257</v>
      </c>
    </row>
    <row r="28174" customFormat="false" ht="12.8" hidden="false" customHeight="false" outlineLevel="0" collapsed="false">
      <c r="B28174" s="0" t="s">
        <v>8</v>
      </c>
      <c r="C28174" s="0" t="s">
        <v>5753</v>
      </c>
      <c r="E28174" s="0" t="s">
        <v>4259</v>
      </c>
      <c r="F28174" s="0" t="s">
        <v>4260</v>
      </c>
    </row>
    <row r="28176" customFormat="false" ht="12.8" hidden="false" customHeight="false" outlineLevel="0" collapsed="false">
      <c r="A28176" s="0" t="s">
        <v>11229</v>
      </c>
      <c r="B28176" s="0" t="str">
        <f aca="false">HYPERLINK("https://lindat.mff.cuni.cz/services/teitok/pdtc10/index.php?action=vallex&amp;frame=v-w10424f2", "pomluvit (v-w10424f2)")</f>
        <v>pomluvit (v-w10424f2)</v>
      </c>
      <c r="E28176" s="0" t="str">
        <f aca="false">HYPERLINK("https://lindat.mff.cuni.cz/services/SynSemClass40/SynSemClass40.html?veclass=vec00230#vec00230-ces-cm00043", "vec00230")</f>
        <v>vec00230</v>
      </c>
      <c r="F28176" s="0" t="s">
        <v>4255</v>
      </c>
    </row>
    <row r="28177" customFormat="false" ht="12.8" hidden="false" customHeight="false" outlineLevel="0" collapsed="false">
      <c r="B28177" s="0" t="s">
        <v>1</v>
      </c>
      <c r="C28177" s="0" t="s">
        <v>5752</v>
      </c>
      <c r="E28177" s="0" t="s">
        <v>3750</v>
      </c>
      <c r="F28177" s="0" t="s">
        <v>4257</v>
      </c>
    </row>
    <row r="28178" customFormat="false" ht="12.8" hidden="false" customHeight="false" outlineLevel="0" collapsed="false">
      <c r="B28178" s="0" t="s">
        <v>8</v>
      </c>
      <c r="C28178" s="0" t="s">
        <v>5753</v>
      </c>
      <c r="E28178" s="0" t="s">
        <v>4259</v>
      </c>
      <c r="F28178" s="0" t="s">
        <v>4260</v>
      </c>
    </row>
    <row r="28180" customFormat="false" ht="12.8" hidden="false" customHeight="false" outlineLevel="0" collapsed="false">
      <c r="A28180" s="0" t="s">
        <v>11230</v>
      </c>
      <c r="B28180" s="0" t="str">
        <f aca="false">HYPERLINK("https://lindat.mff.cuni.cz/services/teitok/pdtc10/index.php?action=vallex&amp;frame=v-w3830f3", "pomoci (v-w3830f3)")</f>
        <v>pomoci (v-w3830f3)</v>
      </c>
    </row>
    <row r="28181" customFormat="false" ht="12.8" hidden="false" customHeight="false" outlineLevel="0" collapsed="false">
      <c r="B28181" s="0" t="s">
        <v>1</v>
      </c>
    </row>
    <row r="28182" customFormat="false" ht="12.8" hidden="false" customHeight="false" outlineLevel="0" collapsed="false">
      <c r="B28182" s="0" t="s">
        <v>45</v>
      </c>
    </row>
    <row r="28183" customFormat="false" ht="12.8" hidden="false" customHeight="false" outlineLevel="0" collapsed="false">
      <c r="B28183" s="0" t="s">
        <v>52</v>
      </c>
    </row>
    <row r="28185" customFormat="false" ht="12.8" hidden="false" customHeight="false" outlineLevel="0" collapsed="false">
      <c r="A28185" s="0" t="s">
        <v>11231</v>
      </c>
      <c r="B28185" s="0" t="str">
        <f aca="false">HYPERLINK("https://lindat.mff.cuni.cz/services/teitok/pdtc10/index.php?action=vallex&amp;frame=v-w3830f9_ZU", "pomoci (v-w3830f9_ZU)")</f>
        <v>pomoci (v-w3830f9_ZU)</v>
      </c>
    </row>
    <row r="28186" customFormat="false" ht="12.8" hidden="false" customHeight="false" outlineLevel="0" collapsed="false">
      <c r="B28186" s="0" t="s">
        <v>1</v>
      </c>
    </row>
    <row r="28187" customFormat="false" ht="12.8" hidden="false" customHeight="false" outlineLevel="0" collapsed="false">
      <c r="B28187" s="0" t="s">
        <v>52</v>
      </c>
    </row>
    <row r="28188" customFormat="false" ht="12.8" hidden="false" customHeight="false" outlineLevel="0" collapsed="false">
      <c r="B28188" s="0" t="s">
        <v>11232</v>
      </c>
    </row>
    <row r="28190" customFormat="false" ht="12.8" hidden="false" customHeight="false" outlineLevel="0" collapsed="false">
      <c r="A28190" s="0" t="s">
        <v>11231</v>
      </c>
      <c r="B28190" s="0" t="str">
        <f aca="false">HYPERLINK("https://lindat.mff.cuni.cz/services/teitok/pdtc10/index.php?action=vallex&amp;frame=v-w3830f1", "pomoci (v-w3830f1) - substituted with v-w3830f9_ZU")</f>
        <v>pomoci (v-w3830f1) - substituted with v-w3830f9_ZU</v>
      </c>
      <c r="E28190" s="0" t="str">
        <f aca="false">HYPERLINK("https://lindat.mff.cuni.cz/services/SynSemClass40/SynSemClass40.html?veclass=vec00475#vec00475-ces-cm00011", "vec00475")</f>
        <v>vec00475</v>
      </c>
      <c r="F28190" s="0" t="s">
        <v>7533</v>
      </c>
    </row>
    <row r="28191" customFormat="false" ht="12.8" hidden="false" customHeight="false" outlineLevel="0" collapsed="false">
      <c r="B28191" s="0" t="s">
        <v>1</v>
      </c>
      <c r="C28191" s="0" t="s">
        <v>7534</v>
      </c>
      <c r="E28191" s="0" t="s">
        <v>3021</v>
      </c>
      <c r="F28191" s="0" t="s">
        <v>7535</v>
      </c>
    </row>
    <row r="28192" customFormat="false" ht="12.8" hidden="false" customHeight="false" outlineLevel="0" collapsed="false">
      <c r="B28192" s="0" t="s">
        <v>52</v>
      </c>
      <c r="C28192" s="0" t="s">
        <v>7536</v>
      </c>
      <c r="E28192" s="0" t="s">
        <v>4235</v>
      </c>
      <c r="F28192" s="0" t="s">
        <v>7537</v>
      </c>
    </row>
    <row r="28193" customFormat="false" ht="12.8" hidden="false" customHeight="false" outlineLevel="0" collapsed="false">
      <c r="B28193" s="0" t="s">
        <v>11232</v>
      </c>
      <c r="C28193" s="0" t="s">
        <v>7539</v>
      </c>
      <c r="E28193" s="0" t="s">
        <v>523</v>
      </c>
      <c r="F28193" s="0" t="s">
        <v>7540</v>
      </c>
    </row>
    <row r="28195" customFormat="false" ht="12.8" hidden="false" customHeight="false" outlineLevel="0" collapsed="false">
      <c r="A28195" s="0" t="s">
        <v>11233</v>
      </c>
      <c r="B28195" s="0" t="str">
        <f aca="false">HYPERLINK("https://lindat.mff.cuni.cz/services/teitok/pdtc10/index.php?action=vallex&amp;frame=v-w3830f8_ZU", "pomoci (v-w3830f8_ZU)")</f>
        <v>pomoci (v-w3830f8_ZU)</v>
      </c>
    </row>
    <row r="28196" customFormat="false" ht="12.8" hidden="false" customHeight="false" outlineLevel="0" collapsed="false">
      <c r="B28196" s="0" t="s">
        <v>11234</v>
      </c>
    </row>
    <row r="28197" customFormat="false" ht="12.8" hidden="false" customHeight="false" outlineLevel="0" collapsed="false">
      <c r="B28197" s="0" t="s">
        <v>52</v>
      </c>
    </row>
    <row r="28198" customFormat="false" ht="12.8" hidden="false" customHeight="false" outlineLevel="0" collapsed="false">
      <c r="B28198" s="0" t="s">
        <v>11235</v>
      </c>
    </row>
    <row r="28200" customFormat="false" ht="12.8" hidden="false" customHeight="false" outlineLevel="0" collapsed="false">
      <c r="A28200" s="0" t="s">
        <v>11233</v>
      </c>
      <c r="B28200" s="0" t="str">
        <f aca="false">HYPERLINK("https://lindat.mff.cuni.cz/services/teitok/pdtc10/index.php?action=vallex&amp;frame=v-w3830f2", "pomoci (v-w3830f2) - substituted with v-w3830f8_ZU")</f>
        <v>pomoci (v-w3830f2) - substituted with v-w3830f8_ZU</v>
      </c>
    </row>
    <row r="28201" customFormat="false" ht="12.8" hidden="false" customHeight="false" outlineLevel="0" collapsed="false">
      <c r="B28201" s="0" t="s">
        <v>11234</v>
      </c>
    </row>
    <row r="28202" customFormat="false" ht="12.8" hidden="false" customHeight="false" outlineLevel="0" collapsed="false">
      <c r="B28202" s="0" t="s">
        <v>52</v>
      </c>
    </row>
    <row r="28203" customFormat="false" ht="12.8" hidden="false" customHeight="false" outlineLevel="0" collapsed="false">
      <c r="B28203" s="0" t="s">
        <v>11235</v>
      </c>
    </row>
    <row r="28205" customFormat="false" ht="12.8" hidden="false" customHeight="false" outlineLevel="0" collapsed="false">
      <c r="A28205" s="0" t="s">
        <v>11233</v>
      </c>
      <c r="B28205" s="0" t="str">
        <f aca="false">HYPERLINK("https://lindat.mff.cuni.cz/services/teitok/pdtc10/index.php?action=vallex&amp;frame=v-w3830f5_ZU", "pomoci (v-w3830f5_ZU) - substituted with v-w3830f8_ZU")</f>
        <v>pomoci (v-w3830f5_ZU) - substituted with v-w3830f8_ZU</v>
      </c>
    </row>
    <row r="28206" customFormat="false" ht="12.8" hidden="false" customHeight="false" outlineLevel="0" collapsed="false">
      <c r="B28206" s="0" t="s">
        <v>11234</v>
      </c>
    </row>
    <row r="28207" customFormat="false" ht="12.8" hidden="false" customHeight="false" outlineLevel="0" collapsed="false">
      <c r="B28207" s="0" t="s">
        <v>52</v>
      </c>
    </row>
    <row r="28208" customFormat="false" ht="12.8" hidden="false" customHeight="false" outlineLevel="0" collapsed="false">
      <c r="B28208" s="0" t="s">
        <v>11235</v>
      </c>
    </row>
    <row r="28210" customFormat="false" ht="12.8" hidden="false" customHeight="false" outlineLevel="0" collapsed="false">
      <c r="A28210" s="0" t="s">
        <v>11233</v>
      </c>
      <c r="B28210" s="0" t="str">
        <f aca="false">HYPERLINK("https://lindat.mff.cuni.cz/services/teitok/pdtc10/index.php?action=vallex&amp;frame=v-w3830f6_ZU", "pomoci (v-w3830f6_ZU) - substituted with v-w3830f8_ZU")</f>
        <v>pomoci (v-w3830f6_ZU) - substituted with v-w3830f8_ZU</v>
      </c>
    </row>
    <row r="28211" customFormat="false" ht="12.8" hidden="false" customHeight="false" outlineLevel="0" collapsed="false">
      <c r="B28211" s="0" t="s">
        <v>11234</v>
      </c>
    </row>
    <row r="28212" customFormat="false" ht="12.8" hidden="false" customHeight="false" outlineLevel="0" collapsed="false">
      <c r="B28212" s="0" t="s">
        <v>52</v>
      </c>
    </row>
    <row r="28213" customFormat="false" ht="12.8" hidden="false" customHeight="false" outlineLevel="0" collapsed="false">
      <c r="B28213" s="0" t="s">
        <v>11235</v>
      </c>
    </row>
    <row r="28215" customFormat="false" ht="12.8" hidden="false" customHeight="false" outlineLevel="0" collapsed="false">
      <c r="A28215" s="0" t="s">
        <v>11233</v>
      </c>
      <c r="B28215" s="0" t="str">
        <f aca="false">HYPERLINK("https://lindat.mff.cuni.cz/services/teitok/pdtc10/index.php?action=vallex&amp;frame=v-w3830f7_ZU", "pomoci (v-w3830f7_ZU) - substituted with v-w3830f8_ZU")</f>
        <v>pomoci (v-w3830f7_ZU) - substituted with v-w3830f8_ZU</v>
      </c>
      <c r="E28215" s="0" t="str">
        <f aca="false">HYPERLINK("https://lindat.mff.cuni.cz/services/SynSemClass40/SynSemClass40.html?veclass=vec00475#vec00475-ces-cm00028", "vec00475")</f>
        <v>vec00475</v>
      </c>
      <c r="F28215" s="0" t="s">
        <v>7533</v>
      </c>
    </row>
    <row r="28216" customFormat="false" ht="12.8" hidden="false" customHeight="false" outlineLevel="0" collapsed="false">
      <c r="B28216" s="0" t="s">
        <v>11234</v>
      </c>
      <c r="C28216" s="0" t="s">
        <v>7534</v>
      </c>
      <c r="E28216" s="0" t="s">
        <v>3021</v>
      </c>
      <c r="F28216" s="0" t="s">
        <v>7535</v>
      </c>
    </row>
    <row r="28217" customFormat="false" ht="12.8" hidden="false" customHeight="false" outlineLevel="0" collapsed="false">
      <c r="B28217" s="0" t="s">
        <v>52</v>
      </c>
      <c r="C28217" s="0" t="s">
        <v>7536</v>
      </c>
      <c r="E28217" s="0" t="s">
        <v>4235</v>
      </c>
      <c r="F28217" s="0" t="s">
        <v>7537</v>
      </c>
    </row>
    <row r="28218" customFormat="false" ht="12.8" hidden="false" customHeight="false" outlineLevel="0" collapsed="false">
      <c r="B28218" s="0" t="s">
        <v>11235</v>
      </c>
      <c r="C28218" s="0" t="s">
        <v>7539</v>
      </c>
      <c r="E28218" s="0" t="s">
        <v>523</v>
      </c>
      <c r="F28218" s="0" t="s">
        <v>7540</v>
      </c>
    </row>
    <row r="28220" customFormat="false" ht="12.8" hidden="false" customHeight="false" outlineLevel="0" collapsed="false">
      <c r="A28220" s="0" t="s">
        <v>11236</v>
      </c>
      <c r="B28220" s="0" t="str">
        <f aca="false">HYPERLINK("https://lindat.mff.cuni.cz/services/teitok/pdtc10/index.php?action=vallex&amp;frame=v-w3830f4", "pomoci (v-w3830f4)")</f>
        <v>pomoci (v-w3830f4)</v>
      </c>
    </row>
    <row r="28221" customFormat="false" ht="12.8" hidden="false" customHeight="false" outlineLevel="0" collapsed="false">
      <c r="B28221" s="0" t="s">
        <v>1</v>
      </c>
    </row>
    <row r="28222" customFormat="false" ht="12.8" hidden="false" customHeight="false" outlineLevel="0" collapsed="false">
      <c r="B28222" s="0" t="s">
        <v>11237</v>
      </c>
    </row>
    <row r="28223" customFormat="false" ht="12.8" hidden="false" customHeight="false" outlineLevel="0" collapsed="false">
      <c r="B28223" s="0" t="s">
        <v>186</v>
      </c>
    </row>
    <row r="28225" customFormat="false" ht="12.8" hidden="false" customHeight="false" outlineLevel="0" collapsed="false">
      <c r="A28225" s="0" t="s">
        <v>11238</v>
      </c>
      <c r="B28225" s="0" t="str">
        <f aca="false">HYPERLINK("https://lindat.mff.cuni.cz/services/teitok/pdtc10/index.php?action=vallex&amp;frame=v-w3830hsa_1262", "pomoci (v-w3830hsa_1262)")</f>
        <v>pomoci (v-w3830hsa_1262)</v>
      </c>
    </row>
    <row r="28226" customFormat="false" ht="12.8" hidden="false" customHeight="false" outlineLevel="0" collapsed="false">
      <c r="B28226" s="0" t="s">
        <v>1</v>
      </c>
    </row>
    <row r="28227" customFormat="false" ht="12.8" hidden="false" customHeight="false" outlineLevel="0" collapsed="false">
      <c r="B28227" s="0" t="s">
        <v>186</v>
      </c>
    </row>
    <row r="28229" customFormat="false" ht="12.8" hidden="false" customHeight="false" outlineLevel="0" collapsed="false">
      <c r="A28229" s="0" t="s">
        <v>11239</v>
      </c>
      <c r="B28229" s="0" t="str">
        <f aca="false">HYPERLINK("https://lindat.mff.cuni.cz/services/teitok/pdtc10/index.php?action=vallex&amp;frame=v-w3832f1", "pomoci si (v-w3832f1)")</f>
        <v>pomoci si (v-w3832f1)</v>
      </c>
    </row>
    <row r="28230" customFormat="false" ht="12.8" hidden="false" customHeight="false" outlineLevel="0" collapsed="false">
      <c r="B28230" s="0" t="s">
        <v>1</v>
      </c>
    </row>
    <row r="28232" customFormat="false" ht="12.8" hidden="false" customHeight="false" outlineLevel="0" collapsed="false">
      <c r="A28232" s="0" t="s">
        <v>11240</v>
      </c>
      <c r="B28232" s="0" t="str">
        <f aca="false">HYPERLINK("https://lindat.mff.cuni.cz/services/teitok/pdtc10/index.php?action=vallex&amp;frame=v-w3834f1", "pomodlit se (v-w3834f1)")</f>
        <v>pomodlit se (v-w3834f1)</v>
      </c>
      <c r="E28232" s="0" t="str">
        <f aca="false">HYPERLINK("https://lindat.mff.cuni.cz/services/SynSemClass40/SynSemClass40.html?veclass=vec01495#vec01495-ces-cm00024", "vec01495")</f>
        <v>vec01495</v>
      </c>
      <c r="F28232" s="0" t="s">
        <v>6335</v>
      </c>
    </row>
    <row r="28233" customFormat="false" ht="12.8" hidden="false" customHeight="false" outlineLevel="0" collapsed="false">
      <c r="B28233" s="0" t="s">
        <v>1</v>
      </c>
      <c r="C28233" s="0" t="s">
        <v>6336</v>
      </c>
      <c r="E28233" s="0" t="s">
        <v>147</v>
      </c>
      <c r="F28233" s="0" t="s">
        <v>6337</v>
      </c>
    </row>
    <row r="28234" customFormat="false" ht="12.8" hidden="false" customHeight="false" outlineLevel="0" collapsed="false">
      <c r="B28234" s="0" t="s">
        <v>390</v>
      </c>
      <c r="C28234" s="0" t="s">
        <v>6338</v>
      </c>
      <c r="E28234" s="0" t="s">
        <v>50</v>
      </c>
      <c r="F28234" s="0" t="s">
        <v>6339</v>
      </c>
    </row>
    <row r="28236" customFormat="false" ht="12.8" hidden="false" customHeight="false" outlineLevel="0" collapsed="false">
      <c r="A28236" s="0" t="s">
        <v>11241</v>
      </c>
      <c r="B28236" s="0" t="str">
        <f aca="false">HYPERLINK("https://lindat.mff.cuni.cz/services/teitok/pdtc10/index.php?action=vallex&amp;frame=v-w3833f1", "pomočit se (v-w3833f1)")</f>
        <v>pomočit se (v-w3833f1)</v>
      </c>
    </row>
    <row r="28237" customFormat="false" ht="12.8" hidden="false" customHeight="false" outlineLevel="0" collapsed="false">
      <c r="B28237" s="0" t="s">
        <v>1</v>
      </c>
    </row>
    <row r="28239" customFormat="false" ht="12.8" hidden="false" customHeight="false" outlineLevel="0" collapsed="false">
      <c r="A28239" s="0" t="s">
        <v>11242</v>
      </c>
      <c r="B28239" s="0" t="str">
        <f aca="false">HYPERLINK("https://lindat.mff.cuni.cz/services/teitok/pdtc10/index.php?action=vallex&amp;frame=v-w3835f1", "pomrznout (v-w3835f1)")</f>
        <v>pomrznout (v-w3835f1)</v>
      </c>
    </row>
    <row r="28240" customFormat="false" ht="12.8" hidden="false" customHeight="false" outlineLevel="0" collapsed="false">
      <c r="B28240" s="0" t="s">
        <v>1</v>
      </c>
    </row>
    <row r="28242" customFormat="false" ht="12.8" hidden="false" customHeight="false" outlineLevel="0" collapsed="false">
      <c r="A28242" s="0" t="s">
        <v>11243</v>
      </c>
      <c r="B28242" s="0" t="str">
        <f aca="false">HYPERLINK("https://lindat.mff.cuni.cz/services/teitok/pdtc10/index.php?action=vallex&amp;frame=v-w3836f1", "pomstít (v-w3836f1)")</f>
        <v>pomstít (v-w3836f1)</v>
      </c>
    </row>
    <row r="28243" customFormat="false" ht="12.8" hidden="false" customHeight="false" outlineLevel="0" collapsed="false">
      <c r="B28243" s="0" t="s">
        <v>1</v>
      </c>
    </row>
    <row r="28244" customFormat="false" ht="12.8" hidden="false" customHeight="false" outlineLevel="0" collapsed="false">
      <c r="B28244" s="0" t="s">
        <v>8</v>
      </c>
    </row>
    <row r="28246" customFormat="false" ht="12.8" hidden="false" customHeight="false" outlineLevel="0" collapsed="false">
      <c r="A28246" s="0" t="s">
        <v>11244</v>
      </c>
      <c r="B28246" s="0" t="str">
        <f aca="false">HYPERLINK("https://lindat.mff.cuni.cz/services/teitok/pdtc10/index.php?action=vallex&amp;frame=v-w3837f1", "pomstít se (v-w3837f1)")</f>
        <v>pomstít se (v-w3837f1)</v>
      </c>
    </row>
    <row r="28247" customFormat="false" ht="12.8" hidden="false" customHeight="false" outlineLevel="0" collapsed="false">
      <c r="B28247" s="0" t="s">
        <v>1</v>
      </c>
    </row>
    <row r="28248" customFormat="false" ht="12.8" hidden="false" customHeight="false" outlineLevel="0" collapsed="false">
      <c r="B28248" s="0" t="s">
        <v>186</v>
      </c>
    </row>
    <row r="28250" customFormat="false" ht="12.8" hidden="false" customHeight="false" outlineLevel="0" collapsed="false">
      <c r="A28250" s="0" t="s">
        <v>11245</v>
      </c>
      <c r="B28250" s="0" t="str">
        <f aca="false">HYPERLINK("https://lindat.mff.cuni.cz/services/teitok/pdtc10/index.php?action=vallex&amp;frame=v-w3838f1", "pomuchlat (v-w3838f1)")</f>
        <v>pomuchlat (v-w3838f1)</v>
      </c>
    </row>
    <row r="28251" customFormat="false" ht="12.8" hidden="false" customHeight="false" outlineLevel="0" collapsed="false">
      <c r="B28251" s="0" t="s">
        <v>1</v>
      </c>
    </row>
    <row r="28252" customFormat="false" ht="12.8" hidden="false" customHeight="false" outlineLevel="0" collapsed="false">
      <c r="B28252" s="0" t="s">
        <v>8</v>
      </c>
    </row>
    <row r="28254" customFormat="false" ht="12.8" hidden="false" customHeight="false" outlineLevel="0" collapsed="false">
      <c r="A28254" s="0" t="s">
        <v>11246</v>
      </c>
      <c r="B28254" s="0" t="str">
        <f aca="false">HYPERLINK("https://lindat.mff.cuni.cz/services/teitok/pdtc10/index.php?action=vallex&amp;frame=v-w3839f1", "pomyslet (v-w3839f1)")</f>
        <v>pomyslet (v-w3839f1)</v>
      </c>
      <c r="E28254" s="0" t="str">
        <f aca="false">HYPERLINK("https://lindat.mff.cuni.cz/services/SynSemClass40/SynSemClass40.html?veclass=vec00149#vec00149-ces-cm00115", "vec00149")</f>
        <v>vec00149</v>
      </c>
      <c r="F28254" s="0" t="s">
        <v>686</v>
      </c>
    </row>
    <row r="28255" customFormat="false" ht="12.8" hidden="false" customHeight="false" outlineLevel="0" collapsed="false">
      <c r="B28255" s="0" t="s">
        <v>1</v>
      </c>
      <c r="C28255" s="0" t="s">
        <v>687</v>
      </c>
      <c r="E28255" s="0" t="s">
        <v>621</v>
      </c>
      <c r="F28255" s="0" t="s">
        <v>688</v>
      </c>
    </row>
    <row r="28256" customFormat="false" ht="12.8" hidden="false" customHeight="false" outlineLevel="0" collapsed="false">
      <c r="B28256" s="0" t="s">
        <v>45</v>
      </c>
      <c r="C28256" s="0" t="s">
        <v>690</v>
      </c>
      <c r="E28256" s="0" t="s">
        <v>209</v>
      </c>
      <c r="F28256" s="0" t="s">
        <v>691</v>
      </c>
    </row>
    <row r="28258" customFormat="false" ht="12.8" hidden="false" customHeight="false" outlineLevel="0" collapsed="false">
      <c r="A28258" s="0" t="s">
        <v>11247</v>
      </c>
      <c r="B28258" s="0" t="str">
        <f aca="false">HYPERLINK("https://lindat.mff.cuni.cz/services/teitok/pdtc10/index.php?action=vallex&amp;frame=v-w3839f2", "pomyslet (v-w3839f2)")</f>
        <v>pomyslet (v-w3839f2)</v>
      </c>
    </row>
    <row r="28259" customFormat="false" ht="12.8" hidden="false" customHeight="false" outlineLevel="0" collapsed="false">
      <c r="B28259" s="0" t="s">
        <v>1</v>
      </c>
    </row>
    <row r="28260" customFormat="false" ht="12.8" hidden="false" customHeight="false" outlineLevel="0" collapsed="false">
      <c r="B28260" s="0" t="s">
        <v>11248</v>
      </c>
    </row>
    <row r="28261" customFormat="false" ht="12.8" hidden="false" customHeight="false" outlineLevel="0" collapsed="false">
      <c r="B28261" s="0" t="s">
        <v>496</v>
      </c>
    </row>
    <row r="28263" customFormat="false" ht="12.8" hidden="false" customHeight="false" outlineLevel="0" collapsed="false">
      <c r="A28263" s="0" t="s">
        <v>11249</v>
      </c>
      <c r="B28263" s="0" t="str">
        <f aca="false">HYPERLINK("https://lindat.mff.cuni.cz/services/teitok/pdtc10/index.php?action=vallex&amp;frame=v-w3840f1", "pomyslet si (v-w3840f1)")</f>
        <v>pomyslet si (v-w3840f1)</v>
      </c>
      <c r="E28263" s="0" t="str">
        <f aca="false">HYPERLINK("https://lindat.mff.cuni.cz/services/SynSemClass40/SynSemClass40.html?veclass=vec00032#vec00032-ces-cm00048", "vec00032")</f>
        <v>vec00032</v>
      </c>
      <c r="F28263" s="0" t="s">
        <v>911</v>
      </c>
    </row>
    <row r="28264" customFormat="false" ht="12.8" hidden="false" customHeight="false" outlineLevel="0" collapsed="false">
      <c r="B28264" s="0" t="s">
        <v>1</v>
      </c>
      <c r="C28264" s="0" t="s">
        <v>2485</v>
      </c>
      <c r="E28264" s="0" t="s">
        <v>914</v>
      </c>
      <c r="F28264" s="0" t="s">
        <v>915</v>
      </c>
    </row>
    <row r="28265" customFormat="false" ht="12.8" hidden="false" customHeight="false" outlineLevel="0" collapsed="false">
      <c r="B28265" s="0" t="s">
        <v>6407</v>
      </c>
      <c r="C28265" s="0" t="s">
        <v>2487</v>
      </c>
      <c r="E28265" s="0" t="s">
        <v>626</v>
      </c>
      <c r="F28265" s="0" t="s">
        <v>2488</v>
      </c>
    </row>
    <row r="28266" customFormat="false" ht="12.8" hidden="false" customHeight="false" outlineLevel="0" collapsed="false">
      <c r="B28266" s="0" t="s">
        <v>496</v>
      </c>
      <c r="C28266" s="0" t="s">
        <v>2489</v>
      </c>
      <c r="E28266" s="0" t="s">
        <v>180</v>
      </c>
      <c r="F28266" s="0" t="s">
        <v>2490</v>
      </c>
    </row>
    <row r="28268" customFormat="false" ht="12.8" hidden="false" customHeight="false" outlineLevel="0" collapsed="false">
      <c r="A28268" s="0" t="s">
        <v>11250</v>
      </c>
      <c r="B28268" s="0" t="str">
        <f aca="false">HYPERLINK("https://lindat.mff.cuni.cz/services/teitok/pdtc10/index.php?action=vallex&amp;frame=v-w11342f1", "pomyslit (v-w11342f1)")</f>
        <v>pomyslit (v-w11342f1)</v>
      </c>
      <c r="E28268" s="0" t="str">
        <f aca="false">HYPERLINK("https://lindat.mff.cuni.cz/services/SynSemClass40/SynSemClass40.html?veclass=vec00149#vec00149-ces-cm00116", "vec00149")</f>
        <v>vec00149</v>
      </c>
      <c r="F28268" s="0" t="s">
        <v>686</v>
      </c>
    </row>
    <row r="28269" customFormat="false" ht="12.8" hidden="false" customHeight="false" outlineLevel="0" collapsed="false">
      <c r="B28269" s="0" t="s">
        <v>1</v>
      </c>
      <c r="C28269" s="0" t="s">
        <v>687</v>
      </c>
      <c r="E28269" s="0" t="s">
        <v>621</v>
      </c>
      <c r="F28269" s="0" t="s">
        <v>688</v>
      </c>
    </row>
    <row r="28270" customFormat="false" ht="12.8" hidden="false" customHeight="false" outlineLevel="0" collapsed="false">
      <c r="B28270" s="0" t="s">
        <v>45</v>
      </c>
      <c r="C28270" s="0" t="s">
        <v>690</v>
      </c>
      <c r="E28270" s="0" t="s">
        <v>209</v>
      </c>
      <c r="F28270" s="0" t="s">
        <v>691</v>
      </c>
    </row>
    <row r="28272" customFormat="false" ht="12.8" hidden="false" customHeight="false" outlineLevel="0" collapsed="false">
      <c r="A28272" s="0" t="s">
        <v>11251</v>
      </c>
      <c r="B28272" s="0" t="str">
        <f aca="false">HYPERLINK("https://lindat.mff.cuni.cz/services/teitok/pdtc10/index.php?action=vallex&amp;frame=v-w3841f1", "pomyslit si (v-w3841f1)")</f>
        <v>pomyslit si (v-w3841f1)</v>
      </c>
    </row>
    <row r="28273" customFormat="false" ht="12.8" hidden="false" customHeight="false" outlineLevel="0" collapsed="false">
      <c r="B28273" s="0" t="s">
        <v>1</v>
      </c>
    </row>
    <row r="28274" customFormat="false" ht="12.8" hidden="false" customHeight="false" outlineLevel="0" collapsed="false">
      <c r="B28274" s="0" t="s">
        <v>6407</v>
      </c>
    </row>
    <row r="28275" customFormat="false" ht="12.8" hidden="false" customHeight="false" outlineLevel="0" collapsed="false">
      <c r="B28275" s="0" t="s">
        <v>496</v>
      </c>
    </row>
    <row r="28277" customFormat="false" ht="12.8" hidden="false" customHeight="false" outlineLevel="0" collapsed="false">
      <c r="A28277" s="0" t="s">
        <v>11252</v>
      </c>
      <c r="B28277" s="0" t="str">
        <f aca="false">HYPERLINK("https://lindat.mff.cuni.cz/services/teitok/pdtc10/index.php?action=vallex&amp;frame=v-w3818f2", "pomáhat (v-w3818f2)")</f>
        <v>pomáhat (v-w3818f2)</v>
      </c>
    </row>
    <row r="28278" customFormat="false" ht="12.8" hidden="false" customHeight="false" outlineLevel="0" collapsed="false">
      <c r="B28278" s="0" t="s">
        <v>1</v>
      </c>
    </row>
    <row r="28279" customFormat="false" ht="12.8" hidden="false" customHeight="false" outlineLevel="0" collapsed="false">
      <c r="B28279" s="0" t="s">
        <v>9931</v>
      </c>
    </row>
    <row r="28280" customFormat="false" ht="12.8" hidden="false" customHeight="false" outlineLevel="0" collapsed="false">
      <c r="B28280" s="0" t="s">
        <v>52</v>
      </c>
    </row>
    <row r="28282" customFormat="false" ht="12.8" hidden="false" customHeight="false" outlineLevel="0" collapsed="false">
      <c r="A28282" s="0" t="s">
        <v>11253</v>
      </c>
      <c r="B28282" s="0" t="str">
        <f aca="false">HYPERLINK("https://lindat.mff.cuni.cz/services/teitok/pdtc10/index.php?action=vallex&amp;frame=v-w3818hsa_65", "pomáhat (v-w3818hsa_65)")</f>
        <v>pomáhat (v-w3818hsa_65)</v>
      </c>
      <c r="E28282" s="0" t="str">
        <f aca="false">HYPERLINK("https://lindat.mff.cuni.cz/services/SynSemClass40/SynSemClass40.html?veclass=vec00475#vec00475-ces-cm00030", "vec00475")</f>
        <v>vec00475</v>
      </c>
      <c r="F28282" s="0" t="s">
        <v>7533</v>
      </c>
    </row>
    <row r="28283" customFormat="false" ht="12.8" hidden="false" customHeight="false" outlineLevel="0" collapsed="false">
      <c r="B28283" s="0" t="s">
        <v>7546</v>
      </c>
      <c r="C28283" s="0" t="s">
        <v>7534</v>
      </c>
      <c r="E28283" s="0" t="s">
        <v>3021</v>
      </c>
      <c r="F28283" s="0" t="s">
        <v>7535</v>
      </c>
    </row>
    <row r="28284" customFormat="false" ht="12.8" hidden="false" customHeight="false" outlineLevel="0" collapsed="false">
      <c r="B28284" s="0" t="s">
        <v>52</v>
      </c>
      <c r="C28284" s="0" t="s">
        <v>7536</v>
      </c>
      <c r="E28284" s="0" t="s">
        <v>4235</v>
      </c>
      <c r="F28284" s="0" t="s">
        <v>7537</v>
      </c>
    </row>
    <row r="28285" customFormat="false" ht="12.8" hidden="false" customHeight="false" outlineLevel="0" collapsed="false">
      <c r="B28285" s="0" t="s">
        <v>11254</v>
      </c>
      <c r="C28285" s="0" t="s">
        <v>7539</v>
      </c>
      <c r="E28285" s="0" t="s">
        <v>523</v>
      </c>
      <c r="F28285" s="0" t="s">
        <v>7540</v>
      </c>
    </row>
    <row r="28287" customFormat="false" ht="12.8" hidden="false" customHeight="false" outlineLevel="0" collapsed="false">
      <c r="A28287" s="0" t="s">
        <v>11253</v>
      </c>
      <c r="B28287" s="0" t="str">
        <f aca="false">HYPERLINK("https://lindat.mff.cuni.cz/services/teitok/pdtc10/index.php?action=vallex&amp;frame=v-w3818f3", "pomáhat (v-w3818f3) - substituted with v-w3818hsa_65")</f>
        <v>pomáhat (v-w3818f3) - substituted with v-w3818hsa_65</v>
      </c>
    </row>
    <row r="28288" customFormat="false" ht="12.8" hidden="false" customHeight="false" outlineLevel="0" collapsed="false">
      <c r="B28288" s="0" t="s">
        <v>7546</v>
      </c>
    </row>
    <row r="28289" customFormat="false" ht="12.8" hidden="false" customHeight="false" outlineLevel="0" collapsed="false">
      <c r="B28289" s="0" t="s">
        <v>52</v>
      </c>
    </row>
    <row r="28290" customFormat="false" ht="12.8" hidden="false" customHeight="false" outlineLevel="0" collapsed="false">
      <c r="B28290" s="0" t="s">
        <v>11254</v>
      </c>
    </row>
    <row r="28292" customFormat="false" ht="12.8" hidden="false" customHeight="false" outlineLevel="0" collapsed="false">
      <c r="A28292" s="0" t="s">
        <v>11255</v>
      </c>
      <c r="B28292" s="0" t="str">
        <f aca="false">HYPERLINK("https://lindat.mff.cuni.cz/services/teitok/pdtc10/index.php?action=vallex&amp;frame=v-w3818f1", "pomáhat (v-w3818f1)")</f>
        <v>pomáhat (v-w3818f1)</v>
      </c>
      <c r="E28292" s="0" t="str">
        <f aca="false">HYPERLINK("https://lindat.mff.cuni.cz/services/SynSemClass40/SynSemClass40.html?veclass=vec00475#vec00475-ces-cm00010", "vec00475")</f>
        <v>vec00475</v>
      </c>
      <c r="F28292" s="0" t="s">
        <v>7533</v>
      </c>
    </row>
    <row r="28293" customFormat="false" ht="12.8" hidden="false" customHeight="false" outlineLevel="0" collapsed="false">
      <c r="B28293" s="0" t="s">
        <v>1</v>
      </c>
      <c r="C28293" s="0" t="s">
        <v>7534</v>
      </c>
      <c r="E28293" s="0" t="s">
        <v>3021</v>
      </c>
      <c r="F28293" s="0" t="s">
        <v>7535</v>
      </c>
    </row>
    <row r="28294" customFormat="false" ht="12.8" hidden="false" customHeight="false" outlineLevel="0" collapsed="false">
      <c r="B28294" s="0" t="s">
        <v>52</v>
      </c>
      <c r="C28294" s="0" t="s">
        <v>7536</v>
      </c>
      <c r="E28294" s="0" t="s">
        <v>4235</v>
      </c>
      <c r="F28294" s="0" t="s">
        <v>7537</v>
      </c>
    </row>
    <row r="28295" customFormat="false" ht="12.8" hidden="false" customHeight="false" outlineLevel="0" collapsed="false">
      <c r="B28295" s="0" t="s">
        <v>11256</v>
      </c>
      <c r="C28295" s="0" t="s">
        <v>7539</v>
      </c>
      <c r="E28295" s="0" t="s">
        <v>523</v>
      </c>
      <c r="F28295" s="0" t="s">
        <v>7540</v>
      </c>
    </row>
    <row r="28297" customFormat="false" ht="12.8" hidden="false" customHeight="false" outlineLevel="0" collapsed="false">
      <c r="A28297" s="0" t="s">
        <v>11257</v>
      </c>
      <c r="B28297" s="0" t="str">
        <f aca="false">HYPERLINK("https://lindat.mff.cuni.cz/services/teitok/pdtc10/index.php?action=vallex&amp;frame=v-whsa_356hsa_357", "pomáhat si (v-whsa_356hsa_357)")</f>
        <v>pomáhat si (v-whsa_356hsa_357)</v>
      </c>
    </row>
    <row r="28298" customFormat="false" ht="12.8" hidden="false" customHeight="false" outlineLevel="0" collapsed="false">
      <c r="B28298" s="0" t="s">
        <v>1</v>
      </c>
    </row>
    <row r="28299" customFormat="false" ht="12.8" hidden="false" customHeight="false" outlineLevel="0" collapsed="false">
      <c r="B28299" s="0" t="s">
        <v>276</v>
      </c>
    </row>
    <row r="28300" customFormat="false" ht="12.8" hidden="false" customHeight="false" outlineLevel="0" collapsed="false">
      <c r="B28300" s="0" t="s">
        <v>11258</v>
      </c>
    </row>
    <row r="28302" customFormat="false" ht="12.8" hidden="false" customHeight="false" outlineLevel="0" collapsed="false">
      <c r="A28302" s="0" t="s">
        <v>11259</v>
      </c>
      <c r="B28302" s="0" t="str">
        <f aca="false">HYPERLINK("https://lindat.mff.cuni.cz/services/teitok/pdtc10/index.php?action=vallex&amp;frame=v-w3823f1", "pomíjet (v-w3823f1)")</f>
        <v>pomíjet (v-w3823f1)</v>
      </c>
      <c r="E28302" s="0" t="str">
        <f aca="false">HYPERLINK("https://lindat.mff.cuni.cz/services/SynSemClass40/SynSemClass40.html?veclass=vec00460#vec00460-ces-cm00028", "vec00460")</f>
        <v>vec00460</v>
      </c>
      <c r="F28302" s="0" t="s">
        <v>4773</v>
      </c>
    </row>
    <row r="28303" customFormat="false" ht="12.8" hidden="false" customHeight="false" outlineLevel="0" collapsed="false">
      <c r="B28303" s="0" t="s">
        <v>1</v>
      </c>
      <c r="C28303" s="0" t="s">
        <v>4774</v>
      </c>
      <c r="E28303" s="0" t="s">
        <v>2034</v>
      </c>
      <c r="F28303" s="0" t="s">
        <v>4775</v>
      </c>
    </row>
    <row r="28304" customFormat="false" ht="12.8" hidden="false" customHeight="false" outlineLevel="0" collapsed="false">
      <c r="B28304" s="0" t="s">
        <v>228</v>
      </c>
      <c r="C28304" s="0" t="s">
        <v>4776</v>
      </c>
      <c r="E28304" s="0" t="s">
        <v>2037</v>
      </c>
      <c r="F28304" s="0" t="s">
        <v>4777</v>
      </c>
    </row>
    <row r="28306" customFormat="false" ht="12.8" hidden="false" customHeight="false" outlineLevel="0" collapsed="false">
      <c r="A28306" s="0" t="s">
        <v>11260</v>
      </c>
      <c r="B28306" s="0" t="str">
        <f aca="false">HYPERLINK("https://lindat.mff.cuni.cz/services/teitok/pdtc10/index.php?action=vallex&amp;frame=v-w3823f2", "pomíjet (v-w3823f2)")</f>
        <v>pomíjet (v-w3823f2)</v>
      </c>
      <c r="E28306" s="0" t="str">
        <f aca="false">HYPERLINK("https://lindat.mff.cuni.cz/services/SynSemClass40/SynSemClass40.html?veclass=vec00873#vec00873-ces-cm00010", "vec00873")</f>
        <v>vec00873</v>
      </c>
      <c r="F28306" s="0" t="s">
        <v>11226</v>
      </c>
    </row>
    <row r="28307" customFormat="false" ht="12.8" hidden="false" customHeight="false" outlineLevel="0" collapsed="false">
      <c r="B28307" s="0" t="s">
        <v>1</v>
      </c>
      <c r="C28307" s="0" t="s">
        <v>549</v>
      </c>
      <c r="E28307" s="0" t="s">
        <v>957</v>
      </c>
      <c r="F28307" s="0" t="s">
        <v>11227</v>
      </c>
    </row>
    <row r="28309" customFormat="false" ht="12.8" hidden="false" customHeight="false" outlineLevel="0" collapsed="false">
      <c r="A28309" s="0" t="s">
        <v>11261</v>
      </c>
      <c r="B28309" s="0" t="str">
        <f aca="false">HYPERLINK("https://lindat.mff.cuni.cz/services/teitok/pdtc10/index.php?action=vallex&amp;frame=v-w3844f1", "pomýšlet (v-w3844f1)")</f>
        <v>pomýšlet (v-w3844f1)</v>
      </c>
      <c r="E28309" s="0" t="str">
        <f aca="false">HYPERLINK("https://lindat.mff.cuni.cz/services/SynSemClass40/SynSemClass40.html?veclass=vec00149#vec00149-ces-cm00117", "vec00149")</f>
        <v>vec00149</v>
      </c>
      <c r="F28309" s="0" t="s">
        <v>686</v>
      </c>
    </row>
    <row r="28310" customFormat="false" ht="12.8" hidden="false" customHeight="false" outlineLevel="0" collapsed="false">
      <c r="B28310" s="0" t="s">
        <v>1</v>
      </c>
      <c r="C28310" s="0" t="s">
        <v>687</v>
      </c>
      <c r="E28310" s="0" t="s">
        <v>621</v>
      </c>
      <c r="F28310" s="0" t="s">
        <v>688</v>
      </c>
    </row>
    <row r="28311" customFormat="false" ht="12.8" hidden="false" customHeight="false" outlineLevel="0" collapsed="false">
      <c r="B28311" s="0" t="s">
        <v>45</v>
      </c>
      <c r="C28311" s="0" t="s">
        <v>690</v>
      </c>
      <c r="E28311" s="0" t="s">
        <v>209</v>
      </c>
      <c r="F28311" s="0" t="s">
        <v>691</v>
      </c>
    </row>
    <row r="28313" customFormat="false" ht="12.8" hidden="false" customHeight="false" outlineLevel="0" collapsed="false">
      <c r="A28313" s="0" t="s">
        <v>11262</v>
      </c>
      <c r="B28313" s="0" t="str">
        <f aca="false">HYPERLINK("https://lindat.mff.cuni.cz/services/teitok/pdtc10/index.php?action=vallex&amp;frame=v-whsa_1105f1_ZU", "poměřit (v-whsa_1105f1_ZU)")</f>
        <v>poměřit (v-whsa_1105f1_ZU)</v>
      </c>
    </row>
    <row r="28314" customFormat="false" ht="12.8" hidden="false" customHeight="false" outlineLevel="0" collapsed="false">
      <c r="B28314" s="0" t="s">
        <v>1</v>
      </c>
    </row>
    <row r="28315" customFormat="false" ht="12.8" hidden="false" customHeight="false" outlineLevel="0" collapsed="false">
      <c r="B28315" s="0" t="s">
        <v>8</v>
      </c>
    </row>
    <row r="28316" customFormat="false" ht="12.8" hidden="false" customHeight="false" outlineLevel="0" collapsed="false">
      <c r="B28316" s="0" t="s">
        <v>3537</v>
      </c>
    </row>
    <row r="28318" customFormat="false" ht="12.8" hidden="false" customHeight="false" outlineLevel="0" collapsed="false">
      <c r="A28318" s="0" t="s">
        <v>11262</v>
      </c>
      <c r="B28318" s="0" t="str">
        <f aca="false">HYPERLINK("https://lindat.mff.cuni.cz/services/teitok/pdtc10/index.php?action=vallex&amp;frame=v-whsa_1105hsa_1106", "poměřit (v-whsa_1105hsa_1106) - substituted with v-whsa_1105f1_ZU")</f>
        <v>poměřit (v-whsa_1105hsa_1106) - substituted with v-whsa_1105f1_ZU</v>
      </c>
    </row>
    <row r="28319" customFormat="false" ht="12.8" hidden="false" customHeight="false" outlineLevel="0" collapsed="false">
      <c r="B28319" s="0" t="s">
        <v>1</v>
      </c>
    </row>
    <row r="28320" customFormat="false" ht="12.8" hidden="false" customHeight="false" outlineLevel="0" collapsed="false">
      <c r="B28320" s="0" t="s">
        <v>8</v>
      </c>
    </row>
    <row r="28321" customFormat="false" ht="12.8" hidden="false" customHeight="false" outlineLevel="0" collapsed="false">
      <c r="B28321" s="0" t="s">
        <v>3537</v>
      </c>
    </row>
    <row r="28323" customFormat="false" ht="12.8" hidden="false" customHeight="false" outlineLevel="0" collapsed="false">
      <c r="A28323" s="0" t="s">
        <v>11263</v>
      </c>
      <c r="B28323" s="0" t="str">
        <f aca="false">HYPERLINK("https://lindat.mff.cuni.cz/services/teitok/pdtc10/index.php?action=vallex&amp;frame=v-whsa_1105f2_ZU", "poměřit (v-whsa_1105f2_ZU)")</f>
        <v>poměřit (v-whsa_1105f2_ZU)</v>
      </c>
    </row>
    <row r="28324" customFormat="false" ht="12.8" hidden="false" customHeight="false" outlineLevel="0" collapsed="false">
      <c r="B28324" s="0" t="s">
        <v>1</v>
      </c>
    </row>
    <row r="28325" customFormat="false" ht="12.8" hidden="false" customHeight="false" outlineLevel="0" collapsed="false">
      <c r="B28325" s="0" t="s">
        <v>8</v>
      </c>
    </row>
    <row r="28327" customFormat="false" ht="12.8" hidden="false" customHeight="false" outlineLevel="0" collapsed="false">
      <c r="A28327" s="0" t="s">
        <v>11264</v>
      </c>
      <c r="B28327" s="0" t="str">
        <f aca="false">HYPERLINK("https://lindat.mff.cuni.cz/services/teitok/pdtc10/index.php?action=vallex&amp;frame=v-w3822f2", "poměřovat (v-w3822f2)")</f>
        <v>poměřovat (v-w3822f2)</v>
      </c>
    </row>
    <row r="28328" customFormat="false" ht="12.8" hidden="false" customHeight="false" outlineLevel="0" collapsed="false">
      <c r="B28328" s="0" t="s">
        <v>1</v>
      </c>
    </row>
    <row r="28329" customFormat="false" ht="12.8" hidden="false" customHeight="false" outlineLevel="0" collapsed="false">
      <c r="B28329" s="0" t="s">
        <v>8</v>
      </c>
    </row>
    <row r="28330" customFormat="false" ht="12.8" hidden="false" customHeight="false" outlineLevel="0" collapsed="false">
      <c r="B28330" s="0" t="s">
        <v>3537</v>
      </c>
    </row>
    <row r="28332" customFormat="false" ht="12.8" hidden="false" customHeight="false" outlineLevel="0" collapsed="false">
      <c r="A28332" s="0" t="s">
        <v>11265</v>
      </c>
      <c r="B28332" s="0" t="str">
        <f aca="false">HYPERLINK("https://lindat.mff.cuni.cz/services/teitok/pdtc10/index.php?action=vallex&amp;frame=v-w3822f1", "poměřovat (v-w3822f1)")</f>
        <v>poměřovat (v-w3822f1)</v>
      </c>
      <c r="E28332" s="0" t="str">
        <f aca="false">HYPERLINK("https://lindat.mff.cuni.cz/services/SynSemClass40/SynSemClass40.html?veclass=vec00431#vec00431-ces-cm00006", "vec00431")</f>
        <v>vec00431</v>
      </c>
      <c r="F28332" s="0" t="s">
        <v>6982</v>
      </c>
    </row>
    <row r="28333" customFormat="false" ht="12.8" hidden="false" customHeight="false" outlineLevel="0" collapsed="false">
      <c r="B28333" s="0" t="s">
        <v>1</v>
      </c>
      <c r="C28333" s="0" t="s">
        <v>6983</v>
      </c>
      <c r="E28333" s="0" t="s">
        <v>621</v>
      </c>
      <c r="F28333" s="0" t="s">
        <v>6984</v>
      </c>
    </row>
    <row r="28334" customFormat="false" ht="12.8" hidden="false" customHeight="false" outlineLevel="0" collapsed="false">
      <c r="B28334" s="0" t="s">
        <v>8</v>
      </c>
      <c r="C28334" s="0" t="s">
        <v>6985</v>
      </c>
      <c r="E28334" s="0" t="s">
        <v>34</v>
      </c>
      <c r="F28334" s="0" t="s">
        <v>6986</v>
      </c>
    </row>
    <row r="28336" customFormat="false" ht="12.8" hidden="false" customHeight="false" outlineLevel="0" collapsed="false">
      <c r="A28336" s="0" t="s">
        <v>11266</v>
      </c>
      <c r="B28336" s="0" t="str">
        <f aca="false">HYPERLINK("https://lindat.mff.cuni.cz/services/teitok/pdtc10/index.php?action=vallex&amp;frame=v-w3846f1", "ponaučit (v-w3846f1)")</f>
        <v>ponaučit (v-w3846f1)</v>
      </c>
    </row>
    <row r="28337" customFormat="false" ht="12.8" hidden="false" customHeight="false" outlineLevel="0" collapsed="false">
      <c r="B28337" s="0" t="s">
        <v>1</v>
      </c>
    </row>
    <row r="28338" customFormat="false" ht="12.8" hidden="false" customHeight="false" outlineLevel="0" collapsed="false">
      <c r="B28338" s="0" t="s">
        <v>11267</v>
      </c>
    </row>
    <row r="28339" customFormat="false" ht="12.8" hidden="false" customHeight="false" outlineLevel="0" collapsed="false">
      <c r="B28339" s="0" t="s">
        <v>98</v>
      </c>
    </row>
    <row r="28341" customFormat="false" ht="12.8" hidden="false" customHeight="false" outlineLevel="0" collapsed="false">
      <c r="A28341" s="0" t="s">
        <v>11268</v>
      </c>
      <c r="B28341" s="0" t="str">
        <f aca="false">HYPERLINK("https://lindat.mff.cuni.cz/services/teitok/pdtc10/index.php?action=vallex&amp;frame=v-w3848f4", "ponechat (v-w3848f4)")</f>
        <v>ponechat (v-w3848f4)</v>
      </c>
      <c r="E28341" s="0" t="str">
        <f aca="false">HYPERLINK("https://lindat.mff.cuni.cz/services/SynSemClass40/SynSemClass40.html?veclass=vec00072#vec00072-ces-cm00001", "vec00072")</f>
        <v>vec00072</v>
      </c>
      <c r="F28341" s="0" t="s">
        <v>8104</v>
      </c>
    </row>
    <row r="28342" customFormat="false" ht="12.8" hidden="false" customHeight="false" outlineLevel="0" collapsed="false">
      <c r="B28342" s="0" t="s">
        <v>1</v>
      </c>
      <c r="E28342" s="0" t="s">
        <v>206</v>
      </c>
      <c r="F28342" s="0" t="s">
        <v>1359</v>
      </c>
    </row>
    <row r="28343" customFormat="false" ht="12.8" hidden="false" customHeight="false" outlineLevel="0" collapsed="false">
      <c r="B28343" s="0" t="s">
        <v>11269</v>
      </c>
      <c r="E28343" s="0" t="s">
        <v>230</v>
      </c>
      <c r="F28343" s="0" t="s">
        <v>8105</v>
      </c>
    </row>
    <row r="28344" customFormat="false" ht="12.8" hidden="false" customHeight="false" outlineLevel="0" collapsed="false">
      <c r="B28344" s="0" t="s">
        <v>8106</v>
      </c>
      <c r="E28344" s="0" t="s">
        <v>1392</v>
      </c>
      <c r="F28344" s="0" t="s">
        <v>8107</v>
      </c>
    </row>
    <row r="28346" customFormat="false" ht="12.8" hidden="false" customHeight="false" outlineLevel="0" collapsed="false">
      <c r="A28346" s="0" t="s">
        <v>11270</v>
      </c>
      <c r="B28346" s="0" t="str">
        <f aca="false">HYPERLINK("https://lindat.mff.cuni.cz/services/teitok/pdtc10/index.php?action=vallex&amp;frame=v-w3848f1", "ponechat (v-w3848f1)")</f>
        <v>ponechat (v-w3848f1)</v>
      </c>
      <c r="E28346" s="0" t="str">
        <f aca="false">HYPERLINK("https://lindat.mff.cuni.cz/services/SynSemClass40/SynSemClass40.html?veclass=vec01425#vec01425-ces-cm00008", "vec01425")</f>
        <v>vec01425</v>
      </c>
      <c r="F28346" s="0" t="s">
        <v>589</v>
      </c>
    </row>
    <row r="28347" customFormat="false" ht="12.8" hidden="false" customHeight="false" outlineLevel="0" collapsed="false">
      <c r="B28347" s="0" t="s">
        <v>1</v>
      </c>
      <c r="C28347" s="0" t="s">
        <v>11271</v>
      </c>
      <c r="E28347" s="0" t="s">
        <v>31</v>
      </c>
      <c r="F28347" s="0" t="s">
        <v>592</v>
      </c>
    </row>
    <row r="28348" customFormat="false" ht="12.8" hidden="false" customHeight="false" outlineLevel="0" collapsed="false">
      <c r="B28348" s="0" t="s">
        <v>8</v>
      </c>
      <c r="C28348" s="0" t="s">
        <v>8162</v>
      </c>
      <c r="E28348" s="0" t="s">
        <v>594</v>
      </c>
      <c r="F28348" s="0" t="s">
        <v>596</v>
      </c>
    </row>
    <row r="28349" customFormat="false" ht="12.8" hidden="false" customHeight="false" outlineLevel="0" collapsed="false">
      <c r="B28349" s="0" t="s">
        <v>52</v>
      </c>
      <c r="C28349" s="0" t="s">
        <v>11272</v>
      </c>
      <c r="E28349" s="0" t="s">
        <v>598</v>
      </c>
      <c r="F28349" s="0" t="s">
        <v>600</v>
      </c>
    </row>
    <row r="28351" customFormat="false" ht="12.8" hidden="false" customHeight="false" outlineLevel="0" collapsed="false">
      <c r="A28351" s="0" t="s">
        <v>11273</v>
      </c>
      <c r="B28351" s="0" t="str">
        <f aca="false">HYPERLINK("https://lindat.mff.cuni.cz/services/teitok/pdtc10/index.php?action=vallex&amp;frame=v-w3848f7", "ponechat (v-w3848f7)")</f>
        <v>ponechat (v-w3848f7)</v>
      </c>
    </row>
    <row r="28352" customFormat="false" ht="12.8" hidden="false" customHeight="false" outlineLevel="0" collapsed="false">
      <c r="B28352" s="0" t="s">
        <v>1</v>
      </c>
    </row>
    <row r="28353" customFormat="false" ht="12.8" hidden="false" customHeight="false" outlineLevel="0" collapsed="false">
      <c r="B28353" s="0" t="s">
        <v>8</v>
      </c>
    </row>
    <row r="28354" customFormat="false" ht="12.8" hidden="false" customHeight="false" outlineLevel="0" collapsed="false">
      <c r="B28354" s="0" t="s">
        <v>52</v>
      </c>
    </row>
    <row r="28356" customFormat="false" ht="12.8" hidden="false" customHeight="false" outlineLevel="0" collapsed="false">
      <c r="A28356" s="0" t="s">
        <v>11274</v>
      </c>
      <c r="B28356" s="0" t="str">
        <f aca="false">HYPERLINK("https://lindat.mff.cuni.cz/services/teitok/pdtc10/index.php?action=vallex&amp;frame=v-w3848f10_ZU", "ponechat (v-w3848f10_ZU)")</f>
        <v>ponechat (v-w3848f10_ZU)</v>
      </c>
      <c r="E28356" s="0" t="str">
        <f aca="false">HYPERLINK("https://lindat.mff.cuni.cz/services/SynSemClass40/SynSemClass40.html?veclass=vec00012#vec00012-ces-cm00023", "vec00012")</f>
        <v>vec00012</v>
      </c>
      <c r="F28356" s="0" t="s">
        <v>3078</v>
      </c>
    </row>
    <row r="28357" customFormat="false" ht="12.8" hidden="false" customHeight="false" outlineLevel="0" collapsed="false">
      <c r="B28357" s="0" t="s">
        <v>1</v>
      </c>
      <c r="C28357" s="0" t="s">
        <v>3079</v>
      </c>
      <c r="E28357" s="0" t="s">
        <v>206</v>
      </c>
      <c r="F28357" s="0" t="s">
        <v>3080</v>
      </c>
    </row>
    <row r="28358" customFormat="false" ht="12.8" hidden="false" customHeight="false" outlineLevel="0" collapsed="false">
      <c r="B28358" s="0" t="s">
        <v>8</v>
      </c>
      <c r="C28358" s="0" t="s">
        <v>8114</v>
      </c>
      <c r="E28358" s="0" t="s">
        <v>142</v>
      </c>
      <c r="F28358" s="0" t="s">
        <v>8115</v>
      </c>
    </row>
    <row r="28359" customFormat="false" ht="12.8" hidden="false" customHeight="false" outlineLevel="0" collapsed="false">
      <c r="B28359" s="0" t="s">
        <v>8113</v>
      </c>
      <c r="C28359" s="0" t="s">
        <v>8116</v>
      </c>
      <c r="E28359" s="0" t="s">
        <v>8117</v>
      </c>
      <c r="F28359" s="0" t="s">
        <v>8118</v>
      </c>
    </row>
    <row r="28361" customFormat="false" ht="12.8" hidden="false" customHeight="false" outlineLevel="0" collapsed="false">
      <c r="A28361" s="0" t="s">
        <v>11274</v>
      </c>
      <c r="B28361" s="0" t="str">
        <f aca="false">HYPERLINK("https://lindat.mff.cuni.cz/services/teitok/pdtc10/index.php?action=vallex&amp;frame=v-w3848f8", "ponechat (v-w3848f8) - substituted with v-w3848f10_ZU")</f>
        <v>ponechat (v-w3848f8) - substituted with v-w3848f10_ZU</v>
      </c>
    </row>
    <row r="28362" customFormat="false" ht="12.8" hidden="false" customHeight="false" outlineLevel="0" collapsed="false">
      <c r="B28362" s="0" t="s">
        <v>1</v>
      </c>
    </row>
    <row r="28363" customFormat="false" ht="12.8" hidden="false" customHeight="false" outlineLevel="0" collapsed="false">
      <c r="B28363" s="0" t="s">
        <v>8</v>
      </c>
    </row>
    <row r="28364" customFormat="false" ht="12.8" hidden="false" customHeight="false" outlineLevel="0" collapsed="false">
      <c r="B28364" s="0" t="s">
        <v>8113</v>
      </c>
    </row>
    <row r="28366" customFormat="false" ht="12.8" hidden="false" customHeight="false" outlineLevel="0" collapsed="false">
      <c r="A28366" s="0" t="s">
        <v>11274</v>
      </c>
      <c r="B28366" s="0" t="str">
        <f aca="false">HYPERLINK("https://lindat.mff.cuni.cz/services/teitok/pdtc10/index.php?action=vallex&amp;frame=v-w3848f9_ZU", "ponechat (v-w3848f9_ZU) - substituted with v-w3848f10_ZU")</f>
        <v>ponechat (v-w3848f9_ZU) - substituted with v-w3848f10_ZU</v>
      </c>
    </row>
    <row r="28367" customFormat="false" ht="12.8" hidden="false" customHeight="false" outlineLevel="0" collapsed="false">
      <c r="B28367" s="0" t="s">
        <v>1</v>
      </c>
    </row>
    <row r="28368" customFormat="false" ht="12.8" hidden="false" customHeight="false" outlineLevel="0" collapsed="false">
      <c r="B28368" s="0" t="s">
        <v>8</v>
      </c>
    </row>
    <row r="28369" customFormat="false" ht="12.8" hidden="false" customHeight="false" outlineLevel="0" collapsed="false">
      <c r="B28369" s="0" t="s">
        <v>8113</v>
      </c>
    </row>
    <row r="28371" customFormat="false" ht="12.8" hidden="false" customHeight="false" outlineLevel="0" collapsed="false">
      <c r="A28371" s="0" t="s">
        <v>11275</v>
      </c>
      <c r="B28371" s="0" t="str">
        <f aca="false">HYPERLINK("https://lindat.mff.cuni.cz/services/teitok/pdtc10/index.php?action=vallex&amp;frame=v-w3848f3", "ponechat (v-w3848f3)")</f>
        <v>ponechat (v-w3848f3)</v>
      </c>
    </row>
    <row r="28372" customFormat="false" ht="12.8" hidden="false" customHeight="false" outlineLevel="0" collapsed="false">
      <c r="B28372" s="0" t="s">
        <v>1</v>
      </c>
    </row>
    <row r="28373" customFormat="false" ht="12.8" hidden="false" customHeight="false" outlineLevel="0" collapsed="false">
      <c r="B28373" s="0" t="s">
        <v>11276</v>
      </c>
    </row>
    <row r="28374" customFormat="false" ht="12.8" hidden="false" customHeight="false" outlineLevel="0" collapsed="false">
      <c r="B28374" s="0" t="s">
        <v>3245</v>
      </c>
    </row>
    <row r="28376" customFormat="false" ht="12.8" hidden="false" customHeight="false" outlineLevel="0" collapsed="false">
      <c r="A28376" s="0" t="s">
        <v>11277</v>
      </c>
      <c r="B28376" s="0" t="str">
        <f aca="false">HYPERLINK("https://lindat.mff.cuni.cz/services/teitok/pdtc10/index.php?action=vallex&amp;frame=v-w3848f2", "ponechat (v-w3848f2)")</f>
        <v>ponechat (v-w3848f2)</v>
      </c>
      <c r="E28376" s="0" t="str">
        <f aca="false">HYPERLINK("https://lindat.mff.cuni.cz/services/SynSemClass40/SynSemClass40.html?veclass=vec00575#vec00575-ces-cm00014", "vec00575")</f>
        <v>vec00575</v>
      </c>
      <c r="F28376" s="0" t="s">
        <v>8120</v>
      </c>
    </row>
    <row r="28377" customFormat="false" ht="12.8" hidden="false" customHeight="false" outlineLevel="0" collapsed="false">
      <c r="B28377" s="0" t="s">
        <v>1</v>
      </c>
      <c r="E28377" s="0" t="s">
        <v>11</v>
      </c>
      <c r="F28377" s="0" t="s">
        <v>959</v>
      </c>
    </row>
    <row r="28378" customFormat="false" ht="12.8" hidden="false" customHeight="false" outlineLevel="0" collapsed="false">
      <c r="B28378" s="0" t="s">
        <v>8</v>
      </c>
      <c r="E28378" s="0" t="s">
        <v>140</v>
      </c>
      <c r="F28378" s="0" t="s">
        <v>8121</v>
      </c>
    </row>
    <row r="28379" customFormat="false" ht="12.8" hidden="false" customHeight="false" outlineLevel="0" collapsed="false">
      <c r="B28379" s="0" t="s">
        <v>5</v>
      </c>
      <c r="E28379" s="0" t="s">
        <v>3254</v>
      </c>
      <c r="F28379" s="0" t="s">
        <v>3255</v>
      </c>
    </row>
    <row r="28381" customFormat="false" ht="12.8" hidden="false" customHeight="false" outlineLevel="0" collapsed="false">
      <c r="A28381" s="0" t="s">
        <v>11278</v>
      </c>
      <c r="B28381" s="0" t="str">
        <f aca="false">HYPERLINK("https://lindat.mff.cuni.cz/services/teitok/pdtc10/index.php?action=vallex&amp;frame=v-w3848f5", "ponechat (v-w3848f5)")</f>
        <v>ponechat (v-w3848f5)</v>
      </c>
    </row>
    <row r="28382" customFormat="false" ht="12.8" hidden="false" customHeight="false" outlineLevel="0" collapsed="false">
      <c r="B28382" s="0" t="s">
        <v>1</v>
      </c>
    </row>
    <row r="28383" customFormat="false" ht="12.8" hidden="false" customHeight="false" outlineLevel="0" collapsed="false">
      <c r="B28383" s="0" t="s">
        <v>8</v>
      </c>
    </row>
    <row r="28384" customFormat="false" ht="12.8" hidden="false" customHeight="false" outlineLevel="0" collapsed="false">
      <c r="B28384" s="0" t="s">
        <v>8700</v>
      </c>
    </row>
    <row r="28386" customFormat="false" ht="12.8" hidden="false" customHeight="false" outlineLevel="0" collapsed="false">
      <c r="A28386" s="0" t="s">
        <v>11279</v>
      </c>
      <c r="B28386" s="0" t="str">
        <f aca="false">HYPERLINK("https://lindat.mff.cuni.cz/services/teitok/pdtc10/index.php?action=vallex&amp;frame=v-w3848f6", "ponechat (v-w3848f6)")</f>
        <v>ponechat (v-w3848f6)</v>
      </c>
    </row>
    <row r="28387" customFormat="false" ht="12.8" hidden="false" customHeight="false" outlineLevel="0" collapsed="false">
      <c r="B28387" s="0" t="s">
        <v>1</v>
      </c>
    </row>
    <row r="28388" customFormat="false" ht="12.8" hidden="false" customHeight="false" outlineLevel="0" collapsed="false">
      <c r="B28388" s="0" t="s">
        <v>11280</v>
      </c>
    </row>
    <row r="28389" customFormat="false" ht="12.8" hidden="false" customHeight="false" outlineLevel="0" collapsed="false">
      <c r="B28389" s="0" t="s">
        <v>8</v>
      </c>
    </row>
    <row r="28390" customFormat="false" ht="12.8" hidden="false" customHeight="false" outlineLevel="0" collapsed="false">
      <c r="B28390" s="0" t="s">
        <v>52</v>
      </c>
    </row>
    <row r="28392" customFormat="false" ht="12.8" hidden="false" customHeight="false" outlineLevel="0" collapsed="false">
      <c r="A28392" s="0" t="s">
        <v>11281</v>
      </c>
      <c r="B28392" s="0" t="str">
        <f aca="false">HYPERLINK("https://lindat.mff.cuni.cz/services/teitok/pdtc10/index.php?action=vallex&amp;frame=v-w3848f11_ZU", "ponechat (v-w3848f11_ZU)")</f>
        <v>ponechat (v-w3848f11_ZU)</v>
      </c>
    </row>
    <row r="28393" customFormat="false" ht="12.8" hidden="false" customHeight="false" outlineLevel="0" collapsed="false">
      <c r="B28393" s="0" t="s">
        <v>1</v>
      </c>
    </row>
    <row r="28394" customFormat="false" ht="12.8" hidden="false" customHeight="false" outlineLevel="0" collapsed="false">
      <c r="B28394" s="0" t="s">
        <v>8</v>
      </c>
    </row>
    <row r="28395" customFormat="false" ht="12.8" hidden="false" customHeight="false" outlineLevel="0" collapsed="false">
      <c r="B28395" s="0" t="s">
        <v>11282</v>
      </c>
    </row>
    <row r="28397" customFormat="false" ht="12.8" hidden="false" customHeight="false" outlineLevel="0" collapsed="false">
      <c r="A28397" s="0" t="s">
        <v>11283</v>
      </c>
      <c r="B28397" s="0" t="str">
        <f aca="false">HYPERLINK("https://lindat.mff.cuni.cz/services/teitok/pdtc10/index.php?action=vallex&amp;frame=v-w3849f3", "ponechávat (v-w3849f3)")</f>
        <v>ponechávat (v-w3849f3)</v>
      </c>
      <c r="E28397" s="0" t="str">
        <f aca="false">HYPERLINK("https://lindat.mff.cuni.cz/services/SynSemClass40/SynSemClass40.html?veclass=vec00072#vec00072-ces-cm00022", "vec00072")</f>
        <v>vec00072</v>
      </c>
      <c r="F28397" s="0" t="s">
        <v>8104</v>
      </c>
    </row>
    <row r="28398" customFormat="false" ht="12.8" hidden="false" customHeight="false" outlineLevel="0" collapsed="false">
      <c r="B28398" s="0" t="s">
        <v>1</v>
      </c>
      <c r="E28398" s="0" t="s">
        <v>206</v>
      </c>
      <c r="F28398" s="0" t="s">
        <v>1359</v>
      </c>
    </row>
    <row r="28399" customFormat="false" ht="12.8" hidden="false" customHeight="false" outlineLevel="0" collapsed="false">
      <c r="B28399" s="0" t="s">
        <v>11284</v>
      </c>
      <c r="E28399" s="0" t="s">
        <v>230</v>
      </c>
      <c r="F28399" s="0" t="s">
        <v>8105</v>
      </c>
    </row>
    <row r="28400" customFormat="false" ht="12.8" hidden="false" customHeight="false" outlineLevel="0" collapsed="false">
      <c r="B28400" s="0" t="s">
        <v>8106</v>
      </c>
      <c r="E28400" s="0" t="s">
        <v>1392</v>
      </c>
      <c r="F28400" s="0" t="s">
        <v>8107</v>
      </c>
    </row>
    <row r="28402" customFormat="false" ht="12.8" hidden="false" customHeight="false" outlineLevel="0" collapsed="false">
      <c r="A28402" s="0" t="s">
        <v>11285</v>
      </c>
      <c r="B28402" s="0" t="str">
        <f aca="false">HYPERLINK("https://lindat.mff.cuni.cz/services/teitok/pdtc10/index.php?action=vallex&amp;frame=v-w3849f1", "ponechávat (v-w3849f1)")</f>
        <v>ponechávat (v-w3849f1)</v>
      </c>
      <c r="E28402" s="0" t="str">
        <f aca="false">HYPERLINK("https://lindat.mff.cuni.cz/services/SynSemClass40/SynSemClass40.html?veclass=vec01425#vec01425-ces-cm00011", "vec01425")</f>
        <v>vec01425</v>
      </c>
      <c r="F28402" s="0" t="s">
        <v>589</v>
      </c>
    </row>
    <row r="28403" customFormat="false" ht="12.8" hidden="false" customHeight="false" outlineLevel="0" collapsed="false">
      <c r="B28403" s="0" t="s">
        <v>1</v>
      </c>
      <c r="C28403" s="0" t="s">
        <v>11271</v>
      </c>
      <c r="E28403" s="0" t="s">
        <v>31</v>
      </c>
      <c r="F28403" s="0" t="s">
        <v>592</v>
      </c>
    </row>
    <row r="28404" customFormat="false" ht="12.8" hidden="false" customHeight="false" outlineLevel="0" collapsed="false">
      <c r="B28404" s="0" t="s">
        <v>8</v>
      </c>
      <c r="C28404" s="0" t="s">
        <v>8162</v>
      </c>
      <c r="E28404" s="0" t="s">
        <v>594</v>
      </c>
      <c r="F28404" s="0" t="s">
        <v>596</v>
      </c>
    </row>
    <row r="28405" customFormat="false" ht="12.8" hidden="false" customHeight="false" outlineLevel="0" collapsed="false">
      <c r="B28405" s="0" t="s">
        <v>52</v>
      </c>
      <c r="C28405" s="0" t="s">
        <v>11272</v>
      </c>
      <c r="E28405" s="0" t="s">
        <v>598</v>
      </c>
      <c r="F28405" s="0" t="s">
        <v>600</v>
      </c>
    </row>
    <row r="28407" customFormat="false" ht="12.8" hidden="false" customHeight="false" outlineLevel="0" collapsed="false">
      <c r="A28407" s="0" t="s">
        <v>11286</v>
      </c>
      <c r="B28407" s="0" t="str">
        <f aca="false">HYPERLINK("https://lindat.mff.cuni.cz/services/teitok/pdtc10/index.php?action=vallex&amp;frame=v-w3849f4", "ponechávat (v-w3849f4)")</f>
        <v>ponechávat (v-w3849f4)</v>
      </c>
    </row>
    <row r="28408" customFormat="false" ht="12.8" hidden="false" customHeight="false" outlineLevel="0" collapsed="false">
      <c r="B28408" s="0" t="s">
        <v>1</v>
      </c>
    </row>
    <row r="28409" customFormat="false" ht="12.8" hidden="false" customHeight="false" outlineLevel="0" collapsed="false">
      <c r="B28409" s="0" t="s">
        <v>8</v>
      </c>
    </row>
    <row r="28410" customFormat="false" ht="12.8" hidden="false" customHeight="false" outlineLevel="0" collapsed="false">
      <c r="B28410" s="0" t="s">
        <v>11287</v>
      </c>
    </row>
    <row r="28412" customFormat="false" ht="12.8" hidden="false" customHeight="false" outlineLevel="0" collapsed="false">
      <c r="A28412" s="0" t="s">
        <v>11288</v>
      </c>
      <c r="B28412" s="0" t="str">
        <f aca="false">HYPERLINK("https://lindat.mff.cuni.cz/services/teitok/pdtc10/index.php?action=vallex&amp;frame=v-w3849f2", "ponechávat (v-w3849f2)")</f>
        <v>ponechávat (v-w3849f2)</v>
      </c>
      <c r="E28412" s="0" t="str">
        <f aca="false">HYPERLINK("https://lindat.mff.cuni.cz/services/SynSemClass40/SynSemClass40.html?veclass=vec00575#vec00575-ces-cm00017", "vec00575")</f>
        <v>vec00575</v>
      </c>
      <c r="F28412" s="0" t="s">
        <v>8120</v>
      </c>
    </row>
    <row r="28413" customFormat="false" ht="12.8" hidden="false" customHeight="false" outlineLevel="0" collapsed="false">
      <c r="B28413" s="0" t="s">
        <v>1</v>
      </c>
      <c r="E28413" s="0" t="s">
        <v>11</v>
      </c>
      <c r="F28413" s="0" t="s">
        <v>959</v>
      </c>
    </row>
    <row r="28414" customFormat="false" ht="12.8" hidden="false" customHeight="false" outlineLevel="0" collapsed="false">
      <c r="B28414" s="0" t="s">
        <v>8</v>
      </c>
      <c r="E28414" s="0" t="s">
        <v>140</v>
      </c>
      <c r="F28414" s="0" t="s">
        <v>8121</v>
      </c>
    </row>
    <row r="28415" customFormat="false" ht="12.8" hidden="false" customHeight="false" outlineLevel="0" collapsed="false">
      <c r="B28415" s="0" t="s">
        <v>5</v>
      </c>
      <c r="E28415" s="0" t="s">
        <v>3254</v>
      </c>
      <c r="F28415" s="0" t="s">
        <v>3255</v>
      </c>
    </row>
    <row r="28417" customFormat="false" ht="12.8" hidden="false" customHeight="false" outlineLevel="0" collapsed="false">
      <c r="A28417" s="0" t="s">
        <v>11289</v>
      </c>
      <c r="B28417" s="0" t="str">
        <f aca="false">HYPERLINK("https://lindat.mff.cuni.cz/services/teitok/pdtc10/index.php?action=vallex&amp;frame=v-w3849f5_ZU", "ponechávat (v-w3849f5_ZU)")</f>
        <v>ponechávat (v-w3849f5_ZU)</v>
      </c>
    </row>
    <row r="28418" customFormat="false" ht="12.8" hidden="false" customHeight="false" outlineLevel="0" collapsed="false">
      <c r="B28418" s="0" t="s">
        <v>1</v>
      </c>
    </row>
    <row r="28419" customFormat="false" ht="12.8" hidden="false" customHeight="false" outlineLevel="0" collapsed="false">
      <c r="B28419" s="0" t="s">
        <v>8</v>
      </c>
    </row>
    <row r="28420" customFormat="false" ht="12.8" hidden="false" customHeight="false" outlineLevel="0" collapsed="false">
      <c r="B28420" s="0" t="s">
        <v>11290</v>
      </c>
    </row>
    <row r="28422" customFormat="false" ht="12.8" hidden="false" customHeight="false" outlineLevel="0" collapsed="false">
      <c r="A28422" s="0" t="s">
        <v>11289</v>
      </c>
      <c r="B28422" s="0" t="str">
        <f aca="false">HYPERLINK("https://lindat.mff.cuni.cz/services/teitok/pdtc10/index.php?action=vallex&amp;frame=v-w3849hsa_1239", "ponechávat (v-w3849hsa_1239) - substituted with v-w3849f5_ZU")</f>
        <v>ponechávat (v-w3849hsa_1239) - substituted with v-w3849f5_ZU</v>
      </c>
    </row>
    <row r="28423" customFormat="false" ht="12.8" hidden="false" customHeight="false" outlineLevel="0" collapsed="false">
      <c r="B28423" s="0" t="s">
        <v>1</v>
      </c>
    </row>
    <row r="28424" customFormat="false" ht="12.8" hidden="false" customHeight="false" outlineLevel="0" collapsed="false">
      <c r="B28424" s="0" t="s">
        <v>8</v>
      </c>
    </row>
    <row r="28425" customFormat="false" ht="12.8" hidden="false" customHeight="false" outlineLevel="0" collapsed="false">
      <c r="B28425" s="0" t="s">
        <v>11290</v>
      </c>
    </row>
    <row r="28427" customFormat="false" ht="12.8" hidden="false" customHeight="false" outlineLevel="0" collapsed="false">
      <c r="A28427" s="0" t="s">
        <v>11291</v>
      </c>
      <c r="B28427" s="0" t="str">
        <f aca="false">HYPERLINK("https://lindat.mff.cuni.cz/services/teitok/pdtc10/index.php?action=vallex&amp;frame=v-w3852f1", "poničit (v-w3852f1)")</f>
        <v>poničit (v-w3852f1)</v>
      </c>
      <c r="E28427" s="0" t="str">
        <f aca="false">HYPERLINK("https://lindat.mff.cuni.cz/services/SynSemClass40/SynSemClass40.html?veclass=vec00372#vec00372-ces-cm00128", "vec00372")</f>
        <v>vec00372</v>
      </c>
      <c r="F28427" s="0" t="s">
        <v>2524</v>
      </c>
      <c r="H28427" s="0" t="str">
        <f aca="false">HYPERLINK("https://lindat.mff.cuni.cz/services/SynSemClass40/SynSemClass40.html?veclass=vec00389#vec00389-ces-cm00040", "vec00389")</f>
        <v>vec00389</v>
      </c>
      <c r="I28427" s="0" t="s">
        <v>1888</v>
      </c>
    </row>
    <row r="28428" customFormat="false" ht="12.8" hidden="false" customHeight="false" outlineLevel="0" collapsed="false">
      <c r="B28428" s="0" t="s">
        <v>1</v>
      </c>
      <c r="C28428" s="0" t="s">
        <v>11292</v>
      </c>
      <c r="E28428" s="0" t="s">
        <v>2526</v>
      </c>
      <c r="F28428" s="0" t="s">
        <v>2527</v>
      </c>
      <c r="H28428" s="0" t="s">
        <v>1890</v>
      </c>
      <c r="I28428" s="0" t="s">
        <v>1891</v>
      </c>
    </row>
    <row r="28429" customFormat="false" ht="12.8" hidden="false" customHeight="false" outlineLevel="0" collapsed="false">
      <c r="B28429" s="0" t="s">
        <v>8</v>
      </c>
      <c r="C28429" s="0" t="s">
        <v>11293</v>
      </c>
      <c r="E28429" s="0" t="s">
        <v>142</v>
      </c>
      <c r="F28429" s="0" t="s">
        <v>2529</v>
      </c>
      <c r="H28429" s="0" t="s">
        <v>1893</v>
      </c>
      <c r="I28429" s="0" t="s">
        <v>1894</v>
      </c>
    </row>
    <row r="28431" customFormat="false" ht="12.8" hidden="false" customHeight="false" outlineLevel="0" collapsed="false">
      <c r="A28431" s="0" t="s">
        <v>11294</v>
      </c>
      <c r="B28431" s="0" t="str">
        <f aca="false">HYPERLINK("https://lindat.mff.cuni.cz/services/teitok/pdtc10/index.php?action=vallex&amp;frame=v-whsb_233hsa_234", "ponižovat (v-whsb_233hsa_234)")</f>
        <v>ponižovat (v-whsb_233hsa_234)</v>
      </c>
    </row>
    <row r="28432" customFormat="false" ht="12.8" hidden="false" customHeight="false" outlineLevel="0" collapsed="false">
      <c r="B28432" s="0" t="s">
        <v>1</v>
      </c>
    </row>
    <row r="28433" customFormat="false" ht="12.8" hidden="false" customHeight="false" outlineLevel="0" collapsed="false">
      <c r="B28433" s="0" t="s">
        <v>8</v>
      </c>
    </row>
    <row r="28435" customFormat="false" ht="12.8" hidden="false" customHeight="false" outlineLevel="0" collapsed="false">
      <c r="A28435" s="0" t="s">
        <v>11295</v>
      </c>
      <c r="B28435" s="0" t="str">
        <f aca="false">HYPERLINK("https://lindat.mff.cuni.cz/services/teitok/pdtc10/index.php?action=vallex&amp;frame=v-w11486f1", "ponižovat se (v-w11486f1)")</f>
        <v>ponižovat se (v-w11486f1)</v>
      </c>
      <c r="E28435" s="0" t="str">
        <f aca="false">HYPERLINK("https://lindat.mff.cuni.cz/services/SynSemClass40/SynSemClass40.html?veclass=vec01192#vec01192-ces-cm00009", "vec01192")</f>
        <v>vec01192</v>
      </c>
      <c r="F28435" s="0" t="s">
        <v>2000</v>
      </c>
    </row>
    <row r="28436" customFormat="false" ht="12.8" hidden="false" customHeight="false" outlineLevel="0" collapsed="false">
      <c r="B28436" s="0" t="s">
        <v>1</v>
      </c>
      <c r="C28436" s="0" t="s">
        <v>11114</v>
      </c>
      <c r="E28436" s="0" t="s">
        <v>11115</v>
      </c>
      <c r="F28436" s="0" t="s">
        <v>11116</v>
      </c>
    </row>
    <row r="28437" customFormat="false" ht="12.8" hidden="false" customHeight="false" outlineLevel="0" collapsed="false">
      <c r="B28437" s="0" t="s">
        <v>1689</v>
      </c>
    </row>
    <row r="28439" customFormat="false" ht="12.8" hidden="false" customHeight="false" outlineLevel="0" collapsed="false">
      <c r="A28439" s="0" t="s">
        <v>11296</v>
      </c>
      <c r="B28439" s="0" t="str">
        <f aca="false">HYPERLINK("https://lindat.mff.cuni.cz/services/teitok/pdtc10/index.php?action=vallex&amp;frame=v-w11549_ZUf1_ZU", "ponořit (v-w11549_ZUf1_ZU)")</f>
        <v>ponořit (v-w11549_ZUf1_ZU)</v>
      </c>
    </row>
    <row r="28440" customFormat="false" ht="12.8" hidden="false" customHeight="false" outlineLevel="0" collapsed="false">
      <c r="B28440" s="0" t="s">
        <v>1</v>
      </c>
    </row>
    <row r="28441" customFormat="false" ht="12.8" hidden="false" customHeight="false" outlineLevel="0" collapsed="false">
      <c r="B28441" s="0" t="s">
        <v>8</v>
      </c>
    </row>
    <row r="28442" customFormat="false" ht="12.8" hidden="false" customHeight="false" outlineLevel="0" collapsed="false">
      <c r="B28442" s="0" t="s">
        <v>454</v>
      </c>
    </row>
    <row r="28444" customFormat="false" ht="12.8" hidden="false" customHeight="false" outlineLevel="0" collapsed="false">
      <c r="A28444" s="0" t="s">
        <v>11297</v>
      </c>
      <c r="B28444" s="0" t="str">
        <f aca="false">HYPERLINK("https://lindat.mff.cuni.cz/services/teitok/pdtc10/index.php?action=vallex&amp;frame=v-w11550_ZUf1_ZU", "ponořit se (v-w11550_ZUf1_ZU)")</f>
        <v>ponořit se (v-w11550_ZUf1_ZU)</v>
      </c>
      <c r="E28444" s="0" t="str">
        <f aca="false">HYPERLINK("https://lindat.mff.cuni.cz/services/SynSemClass40/SynSemClass40.html?veclass=vec00028#vec00028-ces-cm00025", "vec00028")</f>
        <v>vec00028</v>
      </c>
      <c r="F28444" s="0" t="s">
        <v>5301</v>
      </c>
    </row>
    <row r="28445" customFormat="false" ht="12.8" hidden="false" customHeight="false" outlineLevel="0" collapsed="false">
      <c r="B28445" s="0" t="s">
        <v>1</v>
      </c>
      <c r="C28445" s="0" t="s">
        <v>9964</v>
      </c>
      <c r="E28445" s="0" t="s">
        <v>235</v>
      </c>
      <c r="F28445" s="0" t="s">
        <v>5304</v>
      </c>
    </row>
    <row r="28446" customFormat="false" ht="12.8" hidden="false" customHeight="false" outlineLevel="0" collapsed="false">
      <c r="B28446" s="0" t="s">
        <v>69</v>
      </c>
      <c r="C28446" s="0" t="s">
        <v>9965</v>
      </c>
      <c r="E28446" s="0" t="s">
        <v>5149</v>
      </c>
      <c r="F28446" s="0" t="s">
        <v>5307</v>
      </c>
    </row>
    <row r="28447" customFormat="false" ht="12.8" hidden="false" customHeight="false" outlineLevel="0" collapsed="false">
      <c r="B28447" s="0" t="s">
        <v>36</v>
      </c>
      <c r="C28447" s="0" t="s">
        <v>9966</v>
      </c>
      <c r="E28447" s="0" t="s">
        <v>5152</v>
      </c>
      <c r="F28447" s="0" t="s">
        <v>5311</v>
      </c>
    </row>
    <row r="28449" customFormat="false" ht="12.8" hidden="false" customHeight="false" outlineLevel="0" collapsed="false">
      <c r="A28449" s="0" t="s">
        <v>11298</v>
      </c>
      <c r="B28449" s="0" t="str">
        <f aca="false">HYPERLINK("https://lindat.mff.cuni.cz/services/teitok/pdtc10/index.php?action=vallex&amp;frame=v-w11550_ZUf2_ZU", "ponořit se (v-w11550_ZUf2_ZU)")</f>
        <v>ponořit se (v-w11550_ZUf2_ZU)</v>
      </c>
      <c r="E28449" s="0" t="str">
        <f aca="false">HYPERLINK("https://lindat.mff.cuni.cz/services/SynSemClass40/SynSemClass40.html?veclass=vec00090#vec00090-ces-cm00069", "vec00090")</f>
        <v>vec00090</v>
      </c>
      <c r="F28449" s="0" t="s">
        <v>113</v>
      </c>
    </row>
    <row r="28450" customFormat="false" ht="12.8" hidden="false" customHeight="false" outlineLevel="0" collapsed="false">
      <c r="B28450" s="0" t="s">
        <v>1</v>
      </c>
      <c r="C28450" s="0" t="s">
        <v>114</v>
      </c>
      <c r="E28450" s="0" t="s">
        <v>115</v>
      </c>
      <c r="F28450" s="0" t="s">
        <v>116</v>
      </c>
    </row>
    <row r="28451" customFormat="false" ht="12.8" hidden="false" customHeight="false" outlineLevel="0" collapsed="false">
      <c r="B28451" s="0" t="s">
        <v>1187</v>
      </c>
      <c r="C28451" s="0" t="s">
        <v>118</v>
      </c>
      <c r="E28451" s="0" t="s">
        <v>119</v>
      </c>
      <c r="F28451" s="0" t="s">
        <v>120</v>
      </c>
    </row>
    <row r="28453" customFormat="false" ht="12.8" hidden="false" customHeight="false" outlineLevel="0" collapsed="false">
      <c r="A28453" s="0" t="s">
        <v>11299</v>
      </c>
      <c r="B28453" s="0" t="str">
        <f aca="false">HYPERLINK("https://lindat.mff.cuni.cz/services/teitok/pdtc10/index.php?action=vallex&amp;frame=v-w3854f1", "ponížit (v-w3854f1)")</f>
        <v>ponížit (v-w3854f1)</v>
      </c>
      <c r="E28453" s="0" t="str">
        <f aca="false">HYPERLINK("https://lindat.mff.cuni.cz/services/SynSemClass40/SynSemClass40.html?veclass=vec01192#vec01192-ces-cm00010", "vec01192")</f>
        <v>vec01192</v>
      </c>
      <c r="F28453" s="0" t="s">
        <v>2000</v>
      </c>
    </row>
    <row r="28454" customFormat="false" ht="12.8" hidden="false" customHeight="false" outlineLevel="0" collapsed="false">
      <c r="B28454" s="0" t="s">
        <v>1</v>
      </c>
      <c r="C28454" s="0" t="s">
        <v>512</v>
      </c>
      <c r="E28454" s="0" t="s">
        <v>11</v>
      </c>
      <c r="F28454" s="0" t="s">
        <v>1613</v>
      </c>
    </row>
    <row r="28455" customFormat="false" ht="12.8" hidden="false" customHeight="false" outlineLevel="0" collapsed="false">
      <c r="B28455" s="0" t="s">
        <v>8</v>
      </c>
      <c r="C28455" s="0" t="s">
        <v>2001</v>
      </c>
      <c r="E28455" s="0" t="s">
        <v>142</v>
      </c>
      <c r="F28455" s="0" t="s">
        <v>2002</v>
      </c>
    </row>
    <row r="28457" customFormat="false" ht="12.8" hidden="false" customHeight="false" outlineLevel="0" collapsed="false">
      <c r="A28457" s="0" t="s">
        <v>11300</v>
      </c>
      <c r="B28457" s="0" t="str">
        <f aca="false">HYPERLINK("https://lindat.mff.cuni.cz/services/teitok/pdtc10/index.php?action=vallex&amp;frame=v-w3854f2_ZU", "ponížit (v-w3854f2_ZU)")</f>
        <v>ponížit (v-w3854f2_ZU)</v>
      </c>
    </row>
    <row r="28458" customFormat="false" ht="12.8" hidden="false" customHeight="false" outlineLevel="0" collapsed="false">
      <c r="B28458" s="0" t="s">
        <v>1</v>
      </c>
    </row>
    <row r="28459" customFormat="false" ht="12.8" hidden="false" customHeight="false" outlineLevel="0" collapsed="false">
      <c r="B28459" s="0" t="s">
        <v>8</v>
      </c>
    </row>
    <row r="28460" customFormat="false" ht="12.8" hidden="false" customHeight="false" outlineLevel="0" collapsed="false">
      <c r="B28460" s="0" t="s">
        <v>101</v>
      </c>
    </row>
    <row r="28462" customFormat="false" ht="12.8" hidden="false" customHeight="false" outlineLevel="0" collapsed="false">
      <c r="A28462" s="0" t="s">
        <v>11301</v>
      </c>
      <c r="B28462" s="0" t="str">
        <f aca="false">HYPERLINK("https://lindat.mff.cuni.cz/services/teitok/pdtc10/index.php?action=vallex&amp;frame=v-w3850f1", "poněmčovat (v-w3850f1)")</f>
        <v>poněmčovat (v-w3850f1)</v>
      </c>
    </row>
    <row r="28463" customFormat="false" ht="12.8" hidden="false" customHeight="false" outlineLevel="0" collapsed="false">
      <c r="B28463" s="0" t="s">
        <v>1</v>
      </c>
    </row>
    <row r="28464" customFormat="false" ht="12.8" hidden="false" customHeight="false" outlineLevel="0" collapsed="false">
      <c r="B28464" s="0" t="s">
        <v>8</v>
      </c>
    </row>
    <row r="28466" customFormat="false" ht="12.8" hidden="false" customHeight="false" outlineLevel="0" collapsed="false">
      <c r="A28466" s="0" t="s">
        <v>11302</v>
      </c>
      <c r="B28466" s="0" t="str">
        <f aca="false">HYPERLINK("https://lindat.mff.cuni.cz/services/teitok/pdtc10/index.php?action=vallex&amp;frame=v-whsa_606f1_ZU", "poobědvat (v-whsa_606f1_ZU)")</f>
        <v>poobědvat (v-whsa_606f1_ZU)</v>
      </c>
    </row>
    <row r="28467" customFormat="false" ht="12.8" hidden="false" customHeight="false" outlineLevel="0" collapsed="false">
      <c r="B28467" s="0" t="s">
        <v>1</v>
      </c>
    </row>
    <row r="28468" customFormat="false" ht="12.8" hidden="false" customHeight="false" outlineLevel="0" collapsed="false">
      <c r="B28468" s="0" t="s">
        <v>390</v>
      </c>
    </row>
    <row r="28470" customFormat="false" ht="12.8" hidden="false" customHeight="false" outlineLevel="0" collapsed="false">
      <c r="A28470" s="0" t="s">
        <v>11302</v>
      </c>
      <c r="B28470" s="0" t="str">
        <f aca="false">HYPERLINK("https://lindat.mff.cuni.cz/services/teitok/pdtc10/index.php?action=vallex&amp;frame=v-whsa_606hsa_607", "poobědvat (v-whsa_606hsa_607) - substituted with v-whsa_606f1_ZU")</f>
        <v>poobědvat (v-whsa_606hsa_607) - substituted with v-whsa_606f1_ZU</v>
      </c>
    </row>
    <row r="28471" customFormat="false" ht="12.8" hidden="false" customHeight="false" outlineLevel="0" collapsed="false">
      <c r="B28471" s="0" t="s">
        <v>1</v>
      </c>
    </row>
    <row r="28472" customFormat="false" ht="12.8" hidden="false" customHeight="false" outlineLevel="0" collapsed="false">
      <c r="B28472" s="0" t="s">
        <v>390</v>
      </c>
    </row>
    <row r="28474" customFormat="false" ht="12.8" hidden="false" customHeight="false" outlineLevel="0" collapsed="false">
      <c r="A28474" s="0" t="s">
        <v>11303</v>
      </c>
      <c r="B28474" s="0" t="str">
        <f aca="false">HYPERLINK("https://lindat.mff.cuni.cz/services/teitok/pdtc10/index.php?action=vallex&amp;frame=v-w3857f1", "poodhalit (v-w3857f1)")</f>
        <v>poodhalit (v-w3857f1)</v>
      </c>
    </row>
    <row r="28475" customFormat="false" ht="12.8" hidden="false" customHeight="false" outlineLevel="0" collapsed="false">
      <c r="B28475" s="0" t="s">
        <v>1</v>
      </c>
    </row>
    <row r="28476" customFormat="false" ht="12.8" hidden="false" customHeight="false" outlineLevel="0" collapsed="false">
      <c r="B28476" s="0" t="s">
        <v>228</v>
      </c>
    </row>
    <row r="28478" customFormat="false" ht="12.8" hidden="false" customHeight="false" outlineLevel="0" collapsed="false">
      <c r="A28478" s="0" t="s">
        <v>11304</v>
      </c>
      <c r="B28478" s="0" t="str">
        <f aca="false">HYPERLINK("https://lindat.mff.cuni.cz/services/teitok/pdtc10/index.php?action=vallex&amp;frame=v-whsa_653hsa_654", "poodhalovat (v-whsa_653hsa_654)")</f>
        <v>poodhalovat (v-whsa_653hsa_654)</v>
      </c>
    </row>
    <row r="28479" customFormat="false" ht="12.8" hidden="false" customHeight="false" outlineLevel="0" collapsed="false">
      <c r="B28479" s="0" t="s">
        <v>1</v>
      </c>
    </row>
    <row r="28480" customFormat="false" ht="12.8" hidden="false" customHeight="false" outlineLevel="0" collapsed="false">
      <c r="B28480" s="0" t="s">
        <v>8</v>
      </c>
    </row>
    <row r="28482" customFormat="false" ht="12.8" hidden="false" customHeight="false" outlineLevel="0" collapsed="false">
      <c r="A28482" s="0" t="s">
        <v>11305</v>
      </c>
      <c r="B28482" s="0" t="str">
        <f aca="false">HYPERLINK("https://lindat.mff.cuni.cz/services/teitok/pdtc10/index.php?action=vallex&amp;frame=v-w11503f1", "poohlédnout se (v-w11503f1)")</f>
        <v>poohlédnout se (v-w11503f1)</v>
      </c>
      <c r="E28482" s="0" t="str">
        <f aca="false">HYPERLINK("https://lindat.mff.cuni.cz/services/SynSemClass40/SynSemClass40.html?veclass=vec00021#vec00021-ces-cm00028", "vec00021")</f>
        <v>vec00021</v>
      </c>
      <c r="F28482" s="0" t="s">
        <v>2261</v>
      </c>
    </row>
    <row r="28483" customFormat="false" ht="12.8" hidden="false" customHeight="false" outlineLevel="0" collapsed="false">
      <c r="B28483" s="0" t="s">
        <v>1</v>
      </c>
      <c r="C28483" s="0" t="s">
        <v>2262</v>
      </c>
      <c r="E28483" s="0" t="s">
        <v>2263</v>
      </c>
      <c r="F28483" s="0" t="s">
        <v>2264</v>
      </c>
    </row>
    <row r="28484" customFormat="false" ht="12.8" hidden="false" customHeight="false" outlineLevel="0" collapsed="false">
      <c r="B28484" s="0" t="s">
        <v>1659</v>
      </c>
      <c r="C28484" s="0" t="s">
        <v>2266</v>
      </c>
      <c r="E28484" s="0" t="s">
        <v>2267</v>
      </c>
      <c r="F28484" s="0" t="s">
        <v>2268</v>
      </c>
    </row>
    <row r="28486" customFormat="false" ht="12.8" hidden="false" customHeight="false" outlineLevel="0" collapsed="false">
      <c r="A28486" s="0" t="s">
        <v>11306</v>
      </c>
      <c r="B28486" s="0" t="str">
        <f aca="false">HYPERLINK("https://lindat.mff.cuni.cz/services/teitok/pdtc10/index.php?action=vallex&amp;frame=v-w11485f1", "poohlížet se (v-w11485f1)")</f>
        <v>poohlížet se (v-w11485f1)</v>
      </c>
      <c r="E28486" s="0" t="str">
        <f aca="false">HYPERLINK("https://lindat.mff.cuni.cz/services/SynSemClass40/SynSemClass40.html?veclass=vec00021#vec00021-ces-cm00076", "vec00021")</f>
        <v>vec00021</v>
      </c>
      <c r="F28486" s="0" t="s">
        <v>2261</v>
      </c>
    </row>
    <row r="28487" customFormat="false" ht="12.8" hidden="false" customHeight="false" outlineLevel="0" collapsed="false">
      <c r="B28487" s="0" t="s">
        <v>1</v>
      </c>
      <c r="C28487" s="0" t="s">
        <v>2262</v>
      </c>
      <c r="E28487" s="0" t="s">
        <v>2263</v>
      </c>
      <c r="F28487" s="0" t="s">
        <v>2264</v>
      </c>
    </row>
    <row r="28488" customFormat="false" ht="12.8" hidden="false" customHeight="false" outlineLevel="0" collapsed="false">
      <c r="B28488" s="0" t="s">
        <v>1659</v>
      </c>
      <c r="C28488" s="0" t="s">
        <v>2266</v>
      </c>
      <c r="E28488" s="0" t="s">
        <v>2267</v>
      </c>
      <c r="F28488" s="0" t="s">
        <v>2268</v>
      </c>
    </row>
    <row r="28490" customFormat="false" ht="12.8" hidden="false" customHeight="false" outlineLevel="0" collapsed="false">
      <c r="A28490" s="0" t="s">
        <v>11307</v>
      </c>
      <c r="B28490" s="0" t="str">
        <f aca="false">HYPERLINK("https://lindat.mff.cuni.cz/services/teitok/pdtc10/index.php?action=vallex&amp;frame=v-w3858f1", "pookřát (v-w3858f1)")</f>
        <v>pookřát (v-w3858f1)</v>
      </c>
    </row>
    <row r="28491" customFormat="false" ht="12.8" hidden="false" customHeight="false" outlineLevel="0" collapsed="false">
      <c r="B28491" s="0" t="s">
        <v>1</v>
      </c>
    </row>
    <row r="28493" customFormat="false" ht="12.8" hidden="false" customHeight="false" outlineLevel="0" collapsed="false">
      <c r="A28493" s="0" t="s">
        <v>11308</v>
      </c>
      <c r="B28493" s="0" t="str">
        <f aca="false">HYPERLINK("https://lindat.mff.cuni.cz/services/teitok/pdtc10/index.php?action=vallex&amp;frame=v-w3859f1", "poopravit (v-w3859f1)")</f>
        <v>poopravit (v-w3859f1)</v>
      </c>
    </row>
    <row r="28494" customFormat="false" ht="12.8" hidden="false" customHeight="false" outlineLevel="0" collapsed="false">
      <c r="B28494" s="0" t="s">
        <v>1</v>
      </c>
    </row>
    <row r="28495" customFormat="false" ht="12.8" hidden="false" customHeight="false" outlineLevel="0" collapsed="false">
      <c r="B28495" s="0" t="s">
        <v>8</v>
      </c>
    </row>
    <row r="28497" customFormat="false" ht="12.8" hidden="false" customHeight="false" outlineLevel="0" collapsed="false">
      <c r="A28497" s="0" t="s">
        <v>11309</v>
      </c>
      <c r="B28497" s="0" t="str">
        <f aca="false">HYPERLINK("https://lindat.mff.cuni.cz/services/teitok/pdtc10/index.php?action=vallex&amp;frame=v-whsb_286hsa_287", "pootevřít (v-whsb_286hsa_287)")</f>
        <v>pootevřít (v-whsb_286hsa_287)</v>
      </c>
    </row>
    <row r="28498" customFormat="false" ht="12.8" hidden="false" customHeight="false" outlineLevel="0" collapsed="false">
      <c r="B28498" s="0" t="s">
        <v>1</v>
      </c>
    </row>
    <row r="28499" customFormat="false" ht="12.8" hidden="false" customHeight="false" outlineLevel="0" collapsed="false">
      <c r="B28499" s="0" t="s">
        <v>8</v>
      </c>
    </row>
    <row r="28501" customFormat="false" ht="12.8" hidden="false" customHeight="false" outlineLevel="0" collapsed="false">
      <c r="A28501" s="0" t="s">
        <v>11310</v>
      </c>
      <c r="B28501" s="0" t="str">
        <f aca="false">HYPERLINK("https://lindat.mff.cuni.cz/services/teitok/pdtc10/index.php?action=vallex&amp;frame=v-whsa_1452hsa_1453", "pootočit (v-whsa_1452hsa_1453)")</f>
        <v>pootočit (v-whsa_1452hsa_1453)</v>
      </c>
    </row>
    <row r="28502" customFormat="false" ht="12.8" hidden="false" customHeight="false" outlineLevel="0" collapsed="false">
      <c r="B28502" s="0" t="s">
        <v>1</v>
      </c>
    </row>
    <row r="28503" customFormat="false" ht="12.8" hidden="false" customHeight="false" outlineLevel="0" collapsed="false">
      <c r="B28503" s="0" t="s">
        <v>8</v>
      </c>
    </row>
    <row r="28505" customFormat="false" ht="12.8" hidden="false" customHeight="false" outlineLevel="0" collapsed="false">
      <c r="A28505" s="0" t="s">
        <v>11311</v>
      </c>
      <c r="B28505" s="0" t="str">
        <f aca="false">HYPERLINK("https://lindat.mff.cuni.cz/services/teitok/pdtc10/index.php?action=vallex&amp;frame=v-w3860f1", "pootáčet (v-w3860f1)")</f>
        <v>pootáčet (v-w3860f1)</v>
      </c>
      <c r="E28505" s="0" t="str">
        <f aca="false">HYPERLINK("https://lindat.mff.cuni.cz/services/SynSemClass40/SynSemClass40.html?veclass=vec01251#vec01251-ces-cm00009", "vec01251")</f>
        <v>vec01251</v>
      </c>
      <c r="F28505" s="0" t="s">
        <v>5767</v>
      </c>
    </row>
    <row r="28506" customFormat="false" ht="12.8" hidden="false" customHeight="false" outlineLevel="0" collapsed="false">
      <c r="B28506" s="0" t="s">
        <v>1</v>
      </c>
      <c r="C28506" s="0" t="s">
        <v>4695</v>
      </c>
      <c r="E28506" s="0" t="s">
        <v>334</v>
      </c>
      <c r="F28506" s="0" t="s">
        <v>5245</v>
      </c>
    </row>
    <row r="28507" customFormat="false" ht="12.8" hidden="false" customHeight="false" outlineLevel="0" collapsed="false">
      <c r="B28507" s="0" t="s">
        <v>2299</v>
      </c>
      <c r="C28507" s="0" t="s">
        <v>462</v>
      </c>
      <c r="E28507" s="0" t="s">
        <v>2648</v>
      </c>
      <c r="F28507" s="0" t="s">
        <v>5246</v>
      </c>
    </row>
    <row r="28509" customFormat="false" ht="12.8" hidden="false" customHeight="false" outlineLevel="0" collapsed="false">
      <c r="A28509" s="0" t="s">
        <v>11312</v>
      </c>
      <c r="B28509" s="0" t="str">
        <f aca="false">HYPERLINK("https://lindat.mff.cuni.cz/services/teitok/pdtc10/index.php?action=vallex&amp;frame=v-whsa_163hsa_164", "poočišťovat (v-whsa_163hsa_164)")</f>
        <v>poočišťovat (v-whsa_163hsa_164)</v>
      </c>
    </row>
    <row r="28510" customFormat="false" ht="12.8" hidden="false" customHeight="false" outlineLevel="0" collapsed="false">
      <c r="B28510" s="0" t="s">
        <v>1</v>
      </c>
    </row>
    <row r="28511" customFormat="false" ht="12.8" hidden="false" customHeight="false" outlineLevel="0" collapsed="false">
      <c r="B28511" s="0" t="s">
        <v>8</v>
      </c>
    </row>
    <row r="28513" customFormat="false" ht="12.8" hidden="false" customHeight="false" outlineLevel="0" collapsed="false">
      <c r="A28513" s="0" t="s">
        <v>11313</v>
      </c>
      <c r="B28513" s="0" t="str">
        <f aca="false">HYPERLINK("https://lindat.mff.cuni.cz/services/teitok/pdtc10/index.php?action=vallex&amp;frame=v-w3861f1", "popadat (v-w3861f1)")</f>
        <v>popadat (v-w3861f1)</v>
      </c>
      <c r="E28513" s="0" t="str">
        <f aca="false">HYPERLINK("https://lindat.mff.cuni.cz/services/SynSemClass40/SynSemClass40.html?veclass=vec00677#vec00677-ces-cm00025", "vec00677")</f>
        <v>vec00677</v>
      </c>
      <c r="F28513" s="0" t="s">
        <v>11314</v>
      </c>
    </row>
    <row r="28514" customFormat="false" ht="12.8" hidden="false" customHeight="false" outlineLevel="0" collapsed="false">
      <c r="B28514" s="0" t="s">
        <v>1</v>
      </c>
      <c r="C28514" s="0" t="s">
        <v>3091</v>
      </c>
      <c r="E28514" s="0" t="s">
        <v>92</v>
      </c>
      <c r="F28514" s="0" t="s">
        <v>11315</v>
      </c>
    </row>
    <row r="28515" customFormat="false" ht="12.8" hidden="false" customHeight="false" outlineLevel="0" collapsed="false">
      <c r="B28515" s="0" t="s">
        <v>8</v>
      </c>
      <c r="C28515" s="0" t="s">
        <v>4130</v>
      </c>
      <c r="E28515" s="0" t="s">
        <v>95</v>
      </c>
      <c r="F28515" s="0" t="s">
        <v>11316</v>
      </c>
    </row>
    <row r="28517" customFormat="false" ht="12.8" hidden="false" customHeight="false" outlineLevel="0" collapsed="false">
      <c r="A28517" s="0" t="s">
        <v>11317</v>
      </c>
      <c r="B28517" s="0" t="str">
        <f aca="false">HYPERLINK("https://lindat.mff.cuni.cz/services/teitok/pdtc10/index.php?action=vallex&amp;frame=v-w3861f3_ZU", "popadat (v-w3861f3_ZU)")</f>
        <v>popadat (v-w3861f3_ZU)</v>
      </c>
    </row>
    <row r="28518" customFormat="false" ht="12.8" hidden="false" customHeight="false" outlineLevel="0" collapsed="false">
      <c r="B28518" s="0" t="s">
        <v>1</v>
      </c>
    </row>
    <row r="28520" customFormat="false" ht="12.8" hidden="false" customHeight="false" outlineLevel="0" collapsed="false">
      <c r="A28520" s="0" t="s">
        <v>11317</v>
      </c>
      <c r="B28520" s="0" t="str">
        <f aca="false">HYPERLINK("https://lindat.mff.cuni.cz/services/teitok/pdtc10/index.php?action=vallex&amp;frame=v-w3861f2_ZU", "popadat (v-w3861f2_ZU) - substituted with v-w3861f3_ZU")</f>
        <v>popadat (v-w3861f2_ZU) - substituted with v-w3861f3_ZU</v>
      </c>
    </row>
    <row r="28521" customFormat="false" ht="12.8" hidden="false" customHeight="false" outlineLevel="0" collapsed="false">
      <c r="B28521" s="0" t="s">
        <v>1</v>
      </c>
    </row>
    <row r="28523" customFormat="false" ht="12.8" hidden="false" customHeight="false" outlineLevel="0" collapsed="false">
      <c r="A28523" s="0" t="s">
        <v>11318</v>
      </c>
      <c r="B28523" s="0" t="str">
        <f aca="false">HYPERLINK("https://lindat.mff.cuni.cz/services/teitok/pdtc10/index.php?action=vallex&amp;frame=v-w3862f1", "popadnout (v-w3862f1)")</f>
        <v>popadnout (v-w3862f1)</v>
      </c>
      <c r="E28523" s="0" t="str">
        <f aca="false">HYPERLINK("https://lindat.mff.cuni.cz/services/SynSemClass40/SynSemClass40.html?veclass=vec00677#vec00677-ces-cm00001", "vec00677")</f>
        <v>vec00677</v>
      </c>
      <c r="F28523" s="0" t="s">
        <v>11314</v>
      </c>
    </row>
    <row r="28524" customFormat="false" ht="12.8" hidden="false" customHeight="false" outlineLevel="0" collapsed="false">
      <c r="B28524" s="0" t="s">
        <v>1</v>
      </c>
      <c r="C28524" s="0" t="s">
        <v>3091</v>
      </c>
      <c r="E28524" s="0" t="s">
        <v>92</v>
      </c>
      <c r="F28524" s="0" t="s">
        <v>11315</v>
      </c>
    </row>
    <row r="28525" customFormat="false" ht="12.8" hidden="false" customHeight="false" outlineLevel="0" collapsed="false">
      <c r="B28525" s="0" t="s">
        <v>8</v>
      </c>
      <c r="C28525" s="0" t="s">
        <v>4130</v>
      </c>
      <c r="E28525" s="0" t="s">
        <v>95</v>
      </c>
      <c r="F28525" s="0" t="s">
        <v>11316</v>
      </c>
    </row>
    <row r="28527" customFormat="false" ht="12.8" hidden="false" customHeight="false" outlineLevel="0" collapsed="false">
      <c r="A28527" s="0" t="s">
        <v>11319</v>
      </c>
      <c r="B28527" s="0" t="str">
        <f aca="false">HYPERLINK("https://lindat.mff.cuni.cz/services/teitok/pdtc10/index.php?action=vallex&amp;frame=v-w3862f2", "popadnout (v-w3862f2)")</f>
        <v>popadnout (v-w3862f2)</v>
      </c>
    </row>
    <row r="28528" customFormat="false" ht="12.8" hidden="false" customHeight="false" outlineLevel="0" collapsed="false">
      <c r="B28528" s="0" t="s">
        <v>11320</v>
      </c>
    </row>
    <row r="28529" customFormat="false" ht="12.8" hidden="false" customHeight="false" outlineLevel="0" collapsed="false">
      <c r="B28529" s="0" t="s">
        <v>8</v>
      </c>
    </row>
    <row r="28531" customFormat="false" ht="12.8" hidden="false" customHeight="false" outlineLevel="0" collapsed="false">
      <c r="A28531" s="0" t="s">
        <v>11321</v>
      </c>
      <c r="B28531" s="0" t="str">
        <f aca="false">HYPERLINK("https://lindat.mff.cuni.cz/services/teitok/pdtc10/index.php?action=vallex&amp;frame=v-w3862f3_ZU", "popadnout (v-w3862f3_ZU)")</f>
        <v>popadnout (v-w3862f3_ZU)</v>
      </c>
      <c r="E28531" s="0" t="str">
        <f aca="false">HYPERLINK("https://lindat.mff.cuni.cz/services/SynSemClass40/SynSemClass40.html?veclass=vec00390#vec00390-ces-cm00034", "vec00390")</f>
        <v>vec00390</v>
      </c>
      <c r="F28531" s="0" t="s">
        <v>1595</v>
      </c>
    </row>
    <row r="28532" customFormat="false" ht="12.8" hidden="false" customHeight="false" outlineLevel="0" collapsed="false">
      <c r="B28532" s="0" t="s">
        <v>1</v>
      </c>
      <c r="C28532" s="0" t="s">
        <v>1596</v>
      </c>
      <c r="E28532" s="0" t="s">
        <v>1597</v>
      </c>
      <c r="F28532" s="0" t="s">
        <v>1598</v>
      </c>
    </row>
    <row r="28533" customFormat="false" ht="12.8" hidden="false" customHeight="false" outlineLevel="0" collapsed="false">
      <c r="B28533" s="0" t="s">
        <v>11322</v>
      </c>
    </row>
    <row r="28535" customFormat="false" ht="12.8" hidden="false" customHeight="false" outlineLevel="0" collapsed="false">
      <c r="A28535" s="0" t="s">
        <v>11321</v>
      </c>
      <c r="B28535" s="0" t="str">
        <f aca="false">HYPERLINK("https://lindat.mff.cuni.cz/services/teitok/pdtc10/index.php?action=vallex&amp;frame=v-w3862hsa_1034", "popadnout (v-w3862hsa_1034) - substituted with v-w3862f3_ZU")</f>
        <v>popadnout (v-w3862hsa_1034) - substituted with v-w3862f3_ZU</v>
      </c>
    </row>
    <row r="28536" customFormat="false" ht="12.8" hidden="false" customHeight="false" outlineLevel="0" collapsed="false">
      <c r="B28536" s="0" t="s">
        <v>1</v>
      </c>
    </row>
    <row r="28537" customFormat="false" ht="12.8" hidden="false" customHeight="false" outlineLevel="0" collapsed="false">
      <c r="B28537" s="0" t="s">
        <v>11322</v>
      </c>
    </row>
    <row r="28539" customFormat="false" ht="12.8" hidden="false" customHeight="false" outlineLevel="0" collapsed="false">
      <c r="A28539" s="0" t="s">
        <v>11323</v>
      </c>
      <c r="B28539" s="0" t="str">
        <f aca="false">HYPERLINK("https://lindat.mff.cuni.cz/services/teitok/pdtc10/index.php?action=vallex&amp;frame=v-w10142f2", "popichovat (v-w10142f2)")</f>
        <v>popichovat (v-w10142f2)</v>
      </c>
    </row>
    <row r="28540" customFormat="false" ht="12.8" hidden="false" customHeight="false" outlineLevel="0" collapsed="false">
      <c r="B28540" s="0" t="s">
        <v>1</v>
      </c>
    </row>
    <row r="28541" customFormat="false" ht="12.8" hidden="false" customHeight="false" outlineLevel="0" collapsed="false">
      <c r="B28541" s="0" t="s">
        <v>8</v>
      </c>
    </row>
    <row r="28543" customFormat="false" ht="12.8" hidden="false" customHeight="false" outlineLevel="0" collapsed="false">
      <c r="A28543" s="0" t="s">
        <v>11324</v>
      </c>
      <c r="B28543" s="0" t="str">
        <f aca="false">HYPERLINK("https://lindat.mff.cuni.cz/services/teitok/pdtc10/index.php?action=vallex&amp;frame=v-w3869f2_ZU", "popisovat (v-w3869f2_ZU)")</f>
        <v>popisovat (v-w3869f2_ZU)</v>
      </c>
      <c r="E28543" s="0" t="str">
        <f aca="false">HYPERLINK("https://lindat.mff.cuni.cz/services/SynSemClass40/SynSemClass40.html?veclass=vec00417#vec00417-ces-cm00005", "vec00417")</f>
        <v>vec00417</v>
      </c>
      <c r="F28543" s="0" t="s">
        <v>1372</v>
      </c>
    </row>
    <row r="28544" customFormat="false" ht="12.8" hidden="false" customHeight="false" outlineLevel="0" collapsed="false">
      <c r="B28544" s="0" t="s">
        <v>1</v>
      </c>
      <c r="C28544" s="0" t="s">
        <v>1373</v>
      </c>
      <c r="E28544" s="0" t="s">
        <v>63</v>
      </c>
      <c r="F28544" s="0" t="s">
        <v>1374</v>
      </c>
    </row>
    <row r="28545" customFormat="false" ht="12.8" hidden="false" customHeight="false" outlineLevel="0" collapsed="false">
      <c r="B28545" s="0" t="s">
        <v>6181</v>
      </c>
      <c r="C28545" s="0" t="s">
        <v>1375</v>
      </c>
      <c r="E28545" s="0" t="s">
        <v>1376</v>
      </c>
      <c r="F28545" s="0" t="s">
        <v>1377</v>
      </c>
    </row>
    <row r="28546" customFormat="false" ht="12.8" hidden="false" customHeight="false" outlineLevel="0" collapsed="false">
      <c r="B28546" s="0" t="s">
        <v>132</v>
      </c>
      <c r="E28546" s="0" t="s">
        <v>221</v>
      </c>
      <c r="F28546" s="0" t="s">
        <v>4699</v>
      </c>
    </row>
    <row r="28548" customFormat="false" ht="12.8" hidden="false" customHeight="false" outlineLevel="0" collapsed="false">
      <c r="A28548" s="0" t="s">
        <v>11324</v>
      </c>
      <c r="B28548" s="0" t="str">
        <f aca="false">HYPERLINK("https://lindat.mff.cuni.cz/services/teitok/pdtc10/index.php?action=vallex&amp;frame=v-w3869f1", "popisovat (v-w3869f1) - substituted with v-w3869f2_ZU")</f>
        <v>popisovat (v-w3869f1) - substituted with v-w3869f2_ZU</v>
      </c>
    </row>
    <row r="28549" customFormat="false" ht="12.8" hidden="false" customHeight="false" outlineLevel="0" collapsed="false">
      <c r="B28549" s="0" t="s">
        <v>1</v>
      </c>
    </row>
    <row r="28550" customFormat="false" ht="12.8" hidden="false" customHeight="false" outlineLevel="0" collapsed="false">
      <c r="B28550" s="0" t="s">
        <v>6181</v>
      </c>
    </row>
    <row r="28551" customFormat="false" ht="12.8" hidden="false" customHeight="false" outlineLevel="0" collapsed="false">
      <c r="B28551" s="0" t="s">
        <v>132</v>
      </c>
    </row>
    <row r="28553" customFormat="false" ht="12.8" hidden="false" customHeight="false" outlineLevel="0" collapsed="false">
      <c r="A28553" s="0" t="s">
        <v>11324</v>
      </c>
      <c r="B28553" s="0" t="str">
        <f aca="false">HYPERLINK("https://lindat.mff.cuni.cz/services/teitok/pdtc10/index.php?action=vallex&amp;frame=v-w3869hsa_223", "popisovat (v-w3869hsa_223) - substituted with v-w3869f2_ZU")</f>
        <v>popisovat (v-w3869hsa_223) - substituted with v-w3869f2_ZU</v>
      </c>
    </row>
    <row r="28554" customFormat="false" ht="12.8" hidden="false" customHeight="false" outlineLevel="0" collapsed="false">
      <c r="B28554" s="0" t="s">
        <v>1</v>
      </c>
    </row>
    <row r="28555" customFormat="false" ht="12.8" hidden="false" customHeight="false" outlineLevel="0" collapsed="false">
      <c r="B28555" s="0" t="s">
        <v>6181</v>
      </c>
    </row>
    <row r="28556" customFormat="false" ht="12.8" hidden="false" customHeight="false" outlineLevel="0" collapsed="false">
      <c r="B28556" s="0" t="s">
        <v>132</v>
      </c>
    </row>
    <row r="28558" customFormat="false" ht="12.8" hidden="false" customHeight="false" outlineLevel="0" collapsed="false">
      <c r="A28558" s="0" t="s">
        <v>11325</v>
      </c>
      <c r="B28558" s="0" t="str">
        <f aca="false">HYPERLINK("https://lindat.mff.cuni.cz/services/teitok/pdtc10/index.php?action=vallex&amp;frame=v-w11478f1", "poplakat si (v-w11478f1)")</f>
        <v>poplakat si (v-w11478f1)</v>
      </c>
      <c r="E28558" s="0" t="str">
        <f aca="false">HYPERLINK("https://lindat.mff.cuni.cz/services/SynSemClass40/SynSemClass40.html?veclass=vec00717#vec00717-ces-cm00005", "vec00717")</f>
        <v>vec00717</v>
      </c>
      <c r="F28558" s="0" t="s">
        <v>11326</v>
      </c>
    </row>
    <row r="28559" customFormat="false" ht="12.8" hidden="false" customHeight="false" outlineLevel="0" collapsed="false">
      <c r="B28559" s="0" t="s">
        <v>1</v>
      </c>
      <c r="C28559" s="0" t="s">
        <v>3000</v>
      </c>
      <c r="E28559" s="0" t="s">
        <v>155</v>
      </c>
      <c r="F28559" s="0" t="s">
        <v>11327</v>
      </c>
    </row>
    <row r="28561" customFormat="false" ht="12.8" hidden="false" customHeight="false" outlineLevel="0" collapsed="false">
      <c r="A28561" s="0" t="s">
        <v>11328</v>
      </c>
      <c r="B28561" s="0" t="str">
        <f aca="false">HYPERLINK("https://lindat.mff.cuni.cz/services/teitok/pdtc10/index.php?action=vallex&amp;frame=v-w11981_ZUf1_ZU", "poplatit (v-w11981_ZUf1_ZU)")</f>
        <v>poplatit (v-w11981_ZUf1_ZU)</v>
      </c>
    </row>
    <row r="28562" customFormat="false" ht="12.8" hidden="false" customHeight="false" outlineLevel="0" collapsed="false">
      <c r="B28562" s="0" t="s">
        <v>1</v>
      </c>
    </row>
    <row r="28563" customFormat="false" ht="12.8" hidden="false" customHeight="false" outlineLevel="0" collapsed="false">
      <c r="B28563" s="0" t="s">
        <v>8</v>
      </c>
    </row>
    <row r="28565" customFormat="false" ht="12.8" hidden="false" customHeight="false" outlineLevel="0" collapsed="false">
      <c r="A28565" s="0" t="s">
        <v>11329</v>
      </c>
      <c r="B28565" s="0" t="str">
        <f aca="false">HYPERLINK("https://lindat.mff.cuni.cz/services/teitok/pdtc10/index.php?action=vallex&amp;frame=v-w3874f1", "popleskat (v-w3874f1)")</f>
        <v>popleskat (v-w3874f1)</v>
      </c>
      <c r="E28565" s="0" t="str">
        <f aca="false">HYPERLINK("https://lindat.mff.cuni.cz/services/SynSemClass40/SynSemClass40.html?veclass=vec01068#vec01068-ces-cm00005", "vec01068")</f>
        <v>vec01068</v>
      </c>
      <c r="F28565" s="0" t="s">
        <v>10558</v>
      </c>
    </row>
    <row r="28566" customFormat="false" ht="12.8" hidden="false" customHeight="false" outlineLevel="0" collapsed="false">
      <c r="B28566" s="0" t="s">
        <v>1</v>
      </c>
      <c r="C28566" s="0" t="s">
        <v>512</v>
      </c>
      <c r="E28566" s="0" t="s">
        <v>196</v>
      </c>
      <c r="F28566" s="0" t="s">
        <v>8397</v>
      </c>
    </row>
    <row r="28567" customFormat="false" ht="12.8" hidden="false" customHeight="false" outlineLevel="0" collapsed="false">
      <c r="B28567" s="0" t="s">
        <v>8</v>
      </c>
      <c r="C28567" s="0" t="s">
        <v>1940</v>
      </c>
      <c r="E28567" s="0" t="s">
        <v>142</v>
      </c>
      <c r="F28567" s="0" t="s">
        <v>1941</v>
      </c>
    </row>
    <row r="28569" customFormat="false" ht="12.8" hidden="false" customHeight="false" outlineLevel="0" collapsed="false">
      <c r="A28569" s="0" t="s">
        <v>11330</v>
      </c>
      <c r="B28569" s="0" t="str">
        <f aca="false">HYPERLINK("https://lindat.mff.cuni.cz/services/teitok/pdtc10/index.php?action=vallex&amp;frame=v-w3879f1", "poplivat (v-w3879f1)")</f>
        <v>poplivat (v-w3879f1)</v>
      </c>
      <c r="E28569" s="0" t="str">
        <f aca="false">HYPERLINK("https://lindat.mff.cuni.cz/services/SynSemClass40/SynSemClass40.html?veclass=vec00441#vec00441-ces-cm00014", "vec00441")</f>
        <v>vec00441</v>
      </c>
      <c r="F28569" s="0" t="s">
        <v>194</v>
      </c>
    </row>
    <row r="28570" customFormat="false" ht="12.8" hidden="false" customHeight="false" outlineLevel="0" collapsed="false">
      <c r="B28570" s="0" t="s">
        <v>1</v>
      </c>
      <c r="C28570" s="0" t="s">
        <v>195</v>
      </c>
      <c r="E28570" s="0" t="s">
        <v>196</v>
      </c>
      <c r="F28570" s="0" t="s">
        <v>197</v>
      </c>
    </row>
    <row r="28571" customFormat="false" ht="12.8" hidden="false" customHeight="false" outlineLevel="0" collapsed="false">
      <c r="B28571" s="0" t="s">
        <v>8</v>
      </c>
      <c r="C28571" s="0" t="s">
        <v>198</v>
      </c>
      <c r="E28571" s="0" t="s">
        <v>199</v>
      </c>
      <c r="F28571" s="0" t="s">
        <v>200</v>
      </c>
    </row>
    <row r="28573" customFormat="false" ht="12.8" hidden="false" customHeight="false" outlineLevel="0" collapsed="false">
      <c r="A28573" s="0" t="s">
        <v>11331</v>
      </c>
      <c r="B28573" s="0" t="str">
        <f aca="false">HYPERLINK("https://lindat.mff.cuni.cz/services/teitok/pdtc10/index.php?action=vallex&amp;frame=v-whsa_18hsa_19", "poplácávat (v-whsa_18hsa_19)")</f>
        <v>poplácávat (v-whsa_18hsa_19)</v>
      </c>
      <c r="E28573" s="0" t="str">
        <f aca="false">HYPERLINK("https://lindat.mff.cuni.cz/services/SynSemClass40/SynSemClass40.html?veclass=vec01068#vec01068-ces-cm00002", "vec01068")</f>
        <v>vec01068</v>
      </c>
      <c r="F28573" s="0" t="s">
        <v>10558</v>
      </c>
    </row>
    <row r="28574" customFormat="false" ht="12.8" hidden="false" customHeight="false" outlineLevel="0" collapsed="false">
      <c r="B28574" s="0" t="s">
        <v>1</v>
      </c>
      <c r="C28574" s="0" t="s">
        <v>512</v>
      </c>
      <c r="E28574" s="0" t="s">
        <v>196</v>
      </c>
      <c r="F28574" s="0" t="s">
        <v>8397</v>
      </c>
    </row>
    <row r="28575" customFormat="false" ht="12.8" hidden="false" customHeight="false" outlineLevel="0" collapsed="false">
      <c r="B28575" s="0" t="s">
        <v>8</v>
      </c>
      <c r="C28575" s="0" t="s">
        <v>1940</v>
      </c>
      <c r="E28575" s="0" t="s">
        <v>142</v>
      </c>
      <c r="F28575" s="0" t="s">
        <v>1941</v>
      </c>
    </row>
    <row r="28577" customFormat="false" ht="12.8" hidden="false" customHeight="false" outlineLevel="0" collapsed="false">
      <c r="A28577" s="0" t="s">
        <v>11332</v>
      </c>
      <c r="B28577" s="0" t="str">
        <f aca="false">HYPERLINK("https://lindat.mff.cuni.cz/services/teitok/pdtc10/index.php?action=vallex&amp;frame=v-w3875f1", "poplést (v-w3875f1)")</f>
        <v>poplést (v-w3875f1)</v>
      </c>
    </row>
    <row r="28578" customFormat="false" ht="12.8" hidden="false" customHeight="false" outlineLevel="0" collapsed="false">
      <c r="B28578" s="0" t="s">
        <v>1</v>
      </c>
    </row>
    <row r="28579" customFormat="false" ht="12.8" hidden="false" customHeight="false" outlineLevel="0" collapsed="false">
      <c r="B28579" s="0" t="s">
        <v>8</v>
      </c>
    </row>
    <row r="28581" customFormat="false" ht="12.8" hidden="false" customHeight="false" outlineLevel="0" collapsed="false">
      <c r="A28581" s="0" t="s">
        <v>11333</v>
      </c>
      <c r="B28581" s="0" t="str">
        <f aca="false">HYPERLINK("https://lindat.mff.cuni.cz/services/teitok/pdtc10/index.php?action=vallex&amp;frame=v-w3876f1", "poplést se (v-w3876f1)")</f>
        <v>poplést se (v-w3876f1)</v>
      </c>
    </row>
    <row r="28582" customFormat="false" ht="12.8" hidden="false" customHeight="false" outlineLevel="0" collapsed="false">
      <c r="B28582" s="0" t="s">
        <v>1</v>
      </c>
    </row>
    <row r="28584" customFormat="false" ht="12.8" hidden="false" customHeight="false" outlineLevel="0" collapsed="false">
      <c r="A28584" s="0" t="s">
        <v>11334</v>
      </c>
      <c r="B28584" s="0" t="str">
        <f aca="false">HYPERLINK("https://lindat.mff.cuni.cz/services/teitok/pdtc10/index.php?action=vallex&amp;frame=v-w3876hsa_1180", "poplést se (v-w3876hsa_1180)")</f>
        <v>poplést se (v-w3876hsa_1180)</v>
      </c>
    </row>
    <row r="28585" customFormat="false" ht="12.8" hidden="false" customHeight="false" outlineLevel="0" collapsed="false">
      <c r="B28585" s="0" t="s">
        <v>1</v>
      </c>
    </row>
    <row r="28586" customFormat="false" ht="12.8" hidden="false" customHeight="false" outlineLevel="0" collapsed="false">
      <c r="B28586" s="0" t="s">
        <v>186</v>
      </c>
    </row>
    <row r="28588" customFormat="false" ht="12.8" hidden="false" customHeight="false" outlineLevel="0" collapsed="false">
      <c r="A28588" s="0" t="s">
        <v>11335</v>
      </c>
      <c r="B28588" s="0" t="str">
        <f aca="false">HYPERLINK("https://lindat.mff.cuni.cz/services/teitok/pdtc10/index.php?action=vallex&amp;frame=v-w3877f1", "poplést si (v-w3877f1)")</f>
        <v>poplést si (v-w3877f1)</v>
      </c>
    </row>
    <row r="28589" customFormat="false" ht="12.8" hidden="false" customHeight="false" outlineLevel="0" collapsed="false">
      <c r="B28589" s="0" t="s">
        <v>1</v>
      </c>
    </row>
    <row r="28590" customFormat="false" ht="12.8" hidden="false" customHeight="false" outlineLevel="0" collapsed="false">
      <c r="B28590" s="0" t="s">
        <v>8</v>
      </c>
    </row>
    <row r="28591" customFormat="false" ht="12.8" hidden="false" customHeight="false" outlineLevel="0" collapsed="false">
      <c r="B28591" s="0" t="s">
        <v>11336</v>
      </c>
    </row>
    <row r="28593" customFormat="false" ht="12.8" hidden="false" customHeight="false" outlineLevel="0" collapsed="false">
      <c r="A28593" s="0" t="s">
        <v>11337</v>
      </c>
      <c r="B28593" s="0" t="str">
        <f aca="false">HYPERLINK("https://lindat.mff.cuni.cz/services/teitok/pdtc10/index.php?action=vallex&amp;frame=v-w11015f2", "popobíhat (v-w11015f2)")</f>
        <v>popobíhat (v-w11015f2)</v>
      </c>
      <c r="E28593" s="0" t="str">
        <f aca="false">HYPERLINK("https://lindat.mff.cuni.cz/services/SynSemClass40/SynSemClass40.html?veclass=vec00227#vec00227-ces-cm00125", "vec00227")</f>
        <v>vec00227</v>
      </c>
      <c r="F28593" s="0" t="s">
        <v>1313</v>
      </c>
      <c r="H28593" s="0" t="str">
        <f aca="false">HYPERLINK("https://lindat.mff.cuni.cz/services/SynSemClass40/SynSemClass40.html?veclass=vec01085#vec01085-ces-cm00015", "vec01085")</f>
        <v>vec01085</v>
      </c>
      <c r="I28593" s="0" t="s">
        <v>1303</v>
      </c>
    </row>
    <row r="28594" customFormat="false" ht="12.8" hidden="false" customHeight="false" outlineLevel="0" collapsed="false">
      <c r="B28594" s="0" t="s">
        <v>1</v>
      </c>
      <c r="C28594" s="0" t="s">
        <v>1322</v>
      </c>
      <c r="E28594" s="0" t="s">
        <v>334</v>
      </c>
      <c r="F28594" s="0" t="s">
        <v>1314</v>
      </c>
      <c r="H28594" s="0" t="s">
        <v>334</v>
      </c>
      <c r="I28594" s="0" t="s">
        <v>1304</v>
      </c>
    </row>
    <row r="28596" customFormat="false" ht="12.8" hidden="false" customHeight="false" outlineLevel="0" collapsed="false">
      <c r="A28596" s="0" t="s">
        <v>11338</v>
      </c>
      <c r="B28596" s="0" t="str">
        <f aca="false">HYPERLINK("https://lindat.mff.cuni.cz/services/teitok/pdtc10/index.php?action=vallex&amp;frame=v-w10829f2", "popohnat (v-w10829f2)")</f>
        <v>popohnat (v-w10829f2)</v>
      </c>
      <c r="E28596" s="0" t="str">
        <f aca="false">HYPERLINK("https://lindat.mff.cuni.cz/services/SynSemClass40/SynSemClass40.html?veclass=vec00337#vec00337-ces-cm00010", "vec00337")</f>
        <v>vec00337</v>
      </c>
      <c r="F28596" s="0" t="s">
        <v>11339</v>
      </c>
    </row>
    <row r="28597" customFormat="false" ht="12.8" hidden="false" customHeight="false" outlineLevel="0" collapsed="false">
      <c r="B28597" s="0" t="s">
        <v>1</v>
      </c>
      <c r="C28597" s="0" t="s">
        <v>11340</v>
      </c>
      <c r="E28597" s="0" t="s">
        <v>31</v>
      </c>
      <c r="F28597" s="0" t="s">
        <v>11341</v>
      </c>
    </row>
    <row r="28598" customFormat="false" ht="12.8" hidden="false" customHeight="false" outlineLevel="0" collapsed="false">
      <c r="B28598" s="0" t="s">
        <v>8</v>
      </c>
      <c r="C28598" s="0" t="s">
        <v>5933</v>
      </c>
      <c r="E28598" s="0" t="s">
        <v>1569</v>
      </c>
      <c r="F28598" s="0" t="s">
        <v>11342</v>
      </c>
    </row>
    <row r="28600" customFormat="false" ht="12.8" hidden="false" customHeight="false" outlineLevel="0" collapsed="false">
      <c r="A28600" s="0" t="s">
        <v>11343</v>
      </c>
      <c r="B28600" s="0" t="str">
        <f aca="false">HYPERLINK("https://lindat.mff.cuni.cz/services/teitok/pdtc10/index.php?action=vallex&amp;frame=v-w12172_ZUf1_ZU", "popohánět (v-w12172_ZUf1_ZU)")</f>
        <v>popohánět (v-w12172_ZUf1_ZU)</v>
      </c>
    </row>
    <row r="28601" customFormat="false" ht="12.8" hidden="false" customHeight="false" outlineLevel="0" collapsed="false">
      <c r="B28601" s="0" t="s">
        <v>1</v>
      </c>
    </row>
    <row r="28602" customFormat="false" ht="12.8" hidden="false" customHeight="false" outlineLevel="0" collapsed="false">
      <c r="B28602" s="0" t="s">
        <v>8</v>
      </c>
    </row>
    <row r="28604" customFormat="false" ht="12.8" hidden="false" customHeight="false" outlineLevel="0" collapsed="false">
      <c r="A28604" s="0" t="s">
        <v>11344</v>
      </c>
      <c r="B28604" s="0" t="str">
        <f aca="false">HYPERLINK("https://lindat.mff.cuni.cz/services/teitok/pdtc10/index.php?action=vallex&amp;frame=v-whsa_1705hsa_1706", "popojet (v-whsa_1705hsa_1706)")</f>
        <v>popojet (v-whsa_1705hsa_1706)</v>
      </c>
    </row>
    <row r="28605" customFormat="false" ht="12.8" hidden="false" customHeight="false" outlineLevel="0" collapsed="false">
      <c r="B28605" s="0" t="s">
        <v>1</v>
      </c>
    </row>
    <row r="28607" customFormat="false" ht="12.8" hidden="false" customHeight="false" outlineLevel="0" collapsed="false">
      <c r="A28607" s="0" t="s">
        <v>11345</v>
      </c>
      <c r="B28607" s="0" t="str">
        <f aca="false">HYPERLINK("https://lindat.mff.cuni.cz/services/teitok/pdtc10/index.php?action=vallex&amp;frame=v-whsa_1705hsa_1707", "popojet (v-whsa_1705hsa_1707)")</f>
        <v>popojet (v-whsa_1705hsa_1707)</v>
      </c>
    </row>
    <row r="28608" customFormat="false" ht="12.8" hidden="false" customHeight="false" outlineLevel="0" collapsed="false">
      <c r="B28608" s="0" t="s">
        <v>1</v>
      </c>
    </row>
    <row r="28609" customFormat="false" ht="12.8" hidden="false" customHeight="false" outlineLevel="0" collapsed="false">
      <c r="B28609" s="0" t="s">
        <v>164</v>
      </c>
    </row>
    <row r="28611" customFormat="false" ht="12.8" hidden="false" customHeight="false" outlineLevel="0" collapsed="false">
      <c r="A28611" s="0" t="s">
        <v>11346</v>
      </c>
      <c r="B28611" s="0" t="str">
        <f aca="false">HYPERLINK("https://lindat.mff.cuni.cz/services/teitok/pdtc10/index.php?action=vallex&amp;frame=v-w10300f3", "popojít (v-w10300f3)")</f>
        <v>popojít (v-w10300f3)</v>
      </c>
      <c r="E28611" s="0" t="str">
        <f aca="false">HYPERLINK("https://lindat.mff.cuni.cz/services/SynSemClass40/SynSemClass40.html?veclass=vec01025#vec01025-ces-cm00015", "vec01025")</f>
        <v>vec01025</v>
      </c>
      <c r="F28611" s="0" t="s">
        <v>332</v>
      </c>
    </row>
    <row r="28612" customFormat="false" ht="12.8" hidden="false" customHeight="false" outlineLevel="0" collapsed="false">
      <c r="B28612" s="0" t="s">
        <v>1</v>
      </c>
      <c r="C28612" s="0" t="s">
        <v>333</v>
      </c>
      <c r="E28612" s="0" t="s">
        <v>334</v>
      </c>
      <c r="F28612" s="0" t="s">
        <v>335</v>
      </c>
    </row>
    <row r="28614" customFormat="false" ht="12.8" hidden="false" customHeight="false" outlineLevel="0" collapsed="false">
      <c r="A28614" s="0" t="s">
        <v>11347</v>
      </c>
      <c r="B28614" s="0" t="str">
        <f aca="false">HYPERLINK("https://lindat.mff.cuni.cz/services/teitok/pdtc10/index.php?action=vallex&amp;frame=v-w3880f1", "popojíždět (v-w3880f1)")</f>
        <v>popojíždět (v-w3880f1)</v>
      </c>
    </row>
    <row r="28615" customFormat="false" ht="12.8" hidden="false" customHeight="false" outlineLevel="0" collapsed="false">
      <c r="B28615" s="0" t="s">
        <v>1</v>
      </c>
    </row>
    <row r="28617" customFormat="false" ht="12.8" hidden="false" customHeight="false" outlineLevel="0" collapsed="false">
      <c r="A28617" s="0" t="s">
        <v>11348</v>
      </c>
      <c r="B28617" s="0" t="str">
        <f aca="false">HYPERLINK("https://lindat.mff.cuni.cz/services/teitok/pdtc10/index.php?action=vallex&amp;frame=v-whsa_669hsa_670", "poponést (v-whsa_669hsa_670)")</f>
        <v>poponést (v-whsa_669hsa_670)</v>
      </c>
    </row>
    <row r="28618" customFormat="false" ht="12.8" hidden="false" customHeight="false" outlineLevel="0" collapsed="false">
      <c r="B28618" s="0" t="s">
        <v>1</v>
      </c>
    </row>
    <row r="28619" customFormat="false" ht="12.8" hidden="false" customHeight="false" outlineLevel="0" collapsed="false">
      <c r="B28619" s="0" t="s">
        <v>8</v>
      </c>
    </row>
    <row r="28621" customFormat="false" ht="12.8" hidden="false" customHeight="false" outlineLevel="0" collapsed="false">
      <c r="A28621" s="0" t="s">
        <v>11349</v>
      </c>
      <c r="B28621" s="0" t="str">
        <f aca="false">HYPERLINK("https://lindat.mff.cuni.cz/services/teitok/pdtc10/index.php?action=vallex&amp;frame=v-w10417f2", "poporůst (v-w10417f2)")</f>
        <v>poporůst (v-w10417f2)</v>
      </c>
      <c r="E28621" s="0" t="str">
        <f aca="false">HYPERLINK("https://lindat.mff.cuni.cz/services/SynSemClass40/SynSemClass40.html?veclass=vec00109#vec00109-ces-cm00169", "vec00109")</f>
        <v>vec00109</v>
      </c>
      <c r="F28621" s="0" t="s">
        <v>5143</v>
      </c>
      <c r="H28621" s="0" t="str">
        <f aca="false">HYPERLINK("https://lindat.mff.cuni.cz/services/SynSemClass40/SynSemClass40.html?veclass=vec00730#vec00730-ces-cm00023", "vec00730")</f>
        <v>vec00730</v>
      </c>
      <c r="I28621" s="0" t="s">
        <v>5144</v>
      </c>
    </row>
    <row r="28622" customFormat="false" ht="12.8" hidden="false" customHeight="false" outlineLevel="0" collapsed="false">
      <c r="B28622" s="0" t="s">
        <v>1</v>
      </c>
      <c r="C28622" s="0" t="s">
        <v>5145</v>
      </c>
      <c r="E28622" s="0" t="s">
        <v>235</v>
      </c>
      <c r="F28622" s="0" t="s">
        <v>5146</v>
      </c>
      <c r="H28622" s="0" t="s">
        <v>4943</v>
      </c>
      <c r="I28622" s="0" t="s">
        <v>5147</v>
      </c>
    </row>
    <row r="28623" customFormat="false" ht="12.8" hidden="false" customHeight="false" outlineLevel="0" collapsed="false">
      <c r="B28623" s="0" t="s">
        <v>69</v>
      </c>
      <c r="C28623" s="0" t="s">
        <v>5148</v>
      </c>
      <c r="E28623" s="0" t="s">
        <v>5149</v>
      </c>
      <c r="F28623" s="0" t="s">
        <v>5150</v>
      </c>
    </row>
    <row r="28624" customFormat="false" ht="12.8" hidden="false" customHeight="false" outlineLevel="0" collapsed="false">
      <c r="B28624" s="0" t="s">
        <v>36</v>
      </c>
      <c r="C28624" s="0" t="s">
        <v>5151</v>
      </c>
      <c r="E28624" s="0" t="s">
        <v>5152</v>
      </c>
      <c r="F28624" s="0" t="s">
        <v>5153</v>
      </c>
    </row>
    <row r="28626" customFormat="false" ht="12.8" hidden="false" customHeight="false" outlineLevel="0" collapsed="false">
      <c r="A28626" s="0" t="s">
        <v>11350</v>
      </c>
      <c r="B28626" s="0" t="str">
        <f aca="false">HYPERLINK("https://lindat.mff.cuni.cz/services/teitok/pdtc10/index.php?action=vallex&amp;frame=v-whsa_224hsa_225", "popouzet (v-whsa_224hsa_225)")</f>
        <v>popouzet (v-whsa_224hsa_225)</v>
      </c>
      <c r="E28626" s="0" t="str">
        <f aca="false">HYPERLINK("https://lindat.mff.cuni.cz/services/SynSemClass40/SynSemClass40.html?veclass=vec00608#vec00608-ces-cm00012", "vec00608")</f>
        <v>vec00608</v>
      </c>
      <c r="F28626" s="0" t="s">
        <v>1927</v>
      </c>
    </row>
    <row r="28627" customFormat="false" ht="12.8" hidden="false" customHeight="false" outlineLevel="0" collapsed="false">
      <c r="B28627" s="0" t="s">
        <v>1</v>
      </c>
      <c r="C28627" s="0" t="s">
        <v>657</v>
      </c>
      <c r="E28627" s="0" t="s">
        <v>1103</v>
      </c>
      <c r="F28627" s="0" t="s">
        <v>1928</v>
      </c>
    </row>
    <row r="28628" customFormat="false" ht="12.8" hidden="false" customHeight="false" outlineLevel="0" collapsed="false">
      <c r="B28628" s="0" t="s">
        <v>8</v>
      </c>
      <c r="C28628" s="0" t="s">
        <v>1929</v>
      </c>
      <c r="E28628" s="0" t="s">
        <v>1930</v>
      </c>
      <c r="F28628" s="0" t="s">
        <v>1931</v>
      </c>
    </row>
    <row r="28630" customFormat="false" ht="12.8" hidden="false" customHeight="false" outlineLevel="0" collapsed="false">
      <c r="A28630" s="0" t="s">
        <v>11351</v>
      </c>
      <c r="B28630" s="0" t="str">
        <f aca="false">HYPERLINK("https://lindat.mff.cuni.cz/services/teitok/pdtc10/index.php?action=vallex&amp;frame=v-whsa_189hsa_190", "popovézt (v-whsa_189hsa_190)")</f>
        <v>popovézt (v-whsa_189hsa_190)</v>
      </c>
    </row>
    <row r="28631" customFormat="false" ht="12.8" hidden="false" customHeight="false" outlineLevel="0" collapsed="false">
      <c r="B28631" s="0" t="s">
        <v>1</v>
      </c>
    </row>
    <row r="28632" customFormat="false" ht="12.8" hidden="false" customHeight="false" outlineLevel="0" collapsed="false">
      <c r="B28632" s="0" t="s">
        <v>8</v>
      </c>
    </row>
    <row r="28634" customFormat="false" ht="12.8" hidden="false" customHeight="false" outlineLevel="0" collapsed="false">
      <c r="A28634" s="0" t="s">
        <v>11352</v>
      </c>
      <c r="B28634" s="0" t="str">
        <f aca="false">HYPERLINK("https://lindat.mff.cuni.cz/services/teitok/pdtc10/index.php?action=vallex&amp;frame=v-whsa_1734f1_MM", "popovídat (v-whsa_1734f1_MM)")</f>
        <v>popovídat (v-whsa_1734f1_MM)</v>
      </c>
    </row>
    <row r="28635" customFormat="false" ht="12.8" hidden="false" customHeight="false" outlineLevel="0" collapsed="false">
      <c r="B28635" s="0" t="s">
        <v>1</v>
      </c>
    </row>
    <row r="28636" customFormat="false" ht="12.8" hidden="false" customHeight="false" outlineLevel="0" collapsed="false">
      <c r="B28636" s="0" t="s">
        <v>52</v>
      </c>
    </row>
    <row r="28637" customFormat="false" ht="12.8" hidden="false" customHeight="false" outlineLevel="0" collapsed="false">
      <c r="B28637" s="0" t="s">
        <v>6412</v>
      </c>
    </row>
    <row r="28638" customFormat="false" ht="12.8" hidden="false" customHeight="false" outlineLevel="0" collapsed="false">
      <c r="B28638" s="0" t="s">
        <v>496</v>
      </c>
    </row>
    <row r="28640" customFormat="false" ht="12.8" hidden="false" customHeight="false" outlineLevel="0" collapsed="false">
      <c r="A28640" s="0" t="s">
        <v>11353</v>
      </c>
      <c r="B28640" s="0" t="str">
        <f aca="false">HYPERLINK("https://lindat.mff.cuni.cz/services/teitok/pdtc10/index.php?action=vallex&amp;frame=v-whsa_1734hsa_1735", "popovídat (v-whsa_1734hsa_1735)")</f>
        <v>popovídat (v-whsa_1734hsa_1735)</v>
      </c>
    </row>
    <row r="28641" customFormat="false" ht="12.8" hidden="false" customHeight="false" outlineLevel="0" collapsed="false">
      <c r="B28641" s="0" t="s">
        <v>1</v>
      </c>
    </row>
    <row r="28642" customFormat="false" ht="12.8" hidden="false" customHeight="false" outlineLevel="0" collapsed="false">
      <c r="B28642" s="0" t="s">
        <v>318</v>
      </c>
    </row>
    <row r="28643" customFormat="false" ht="12.8" hidden="false" customHeight="false" outlineLevel="0" collapsed="false">
      <c r="B28643" s="0" t="s">
        <v>276</v>
      </c>
    </row>
    <row r="28645" customFormat="false" ht="12.8" hidden="false" customHeight="false" outlineLevel="0" collapsed="false">
      <c r="A28645" s="0" t="s">
        <v>11354</v>
      </c>
      <c r="B28645" s="0" t="str">
        <f aca="false">HYPERLINK("https://lindat.mff.cuni.cz/services/teitok/pdtc10/index.php?action=vallex&amp;frame=v-w3881f1", "popovídat si (v-w3881f1)")</f>
        <v>popovídat si (v-w3881f1)</v>
      </c>
      <c r="E28645" s="0" t="str">
        <f aca="false">HYPERLINK("https://lindat.mff.cuni.cz/services/SynSemClass40/SynSemClass40.html?veclass=vec00031#vec00031-ces-cm00040", "vec00031")</f>
        <v>vec00031</v>
      </c>
      <c r="F28645" s="0" t="s">
        <v>277</v>
      </c>
    </row>
    <row r="28646" customFormat="false" ht="12.8" hidden="false" customHeight="false" outlineLevel="0" collapsed="false">
      <c r="B28646" s="0" t="s">
        <v>1</v>
      </c>
      <c r="C28646" s="0" t="s">
        <v>278</v>
      </c>
      <c r="E28646" s="0" t="s">
        <v>147</v>
      </c>
      <c r="F28646" s="0" t="s">
        <v>279</v>
      </c>
    </row>
    <row r="28647" customFormat="false" ht="12.8" hidden="false" customHeight="false" outlineLevel="0" collapsed="false">
      <c r="B28647" s="0" t="s">
        <v>318</v>
      </c>
      <c r="C28647" s="0" t="s">
        <v>280</v>
      </c>
      <c r="E28647" s="0" t="s">
        <v>218</v>
      </c>
      <c r="F28647" s="0" t="s">
        <v>281</v>
      </c>
    </row>
    <row r="28648" customFormat="false" ht="12.8" hidden="false" customHeight="false" outlineLevel="0" collapsed="false">
      <c r="B28648" s="0" t="s">
        <v>276</v>
      </c>
      <c r="C28648" s="0" t="s">
        <v>282</v>
      </c>
      <c r="E28648" s="0" t="s">
        <v>221</v>
      </c>
      <c r="F28648" s="0" t="s">
        <v>283</v>
      </c>
    </row>
    <row r="28650" customFormat="false" ht="12.8" hidden="false" customHeight="false" outlineLevel="0" collapsed="false">
      <c r="A28650" s="0" t="s">
        <v>11355</v>
      </c>
      <c r="B28650" s="0" t="str">
        <f aca="false">HYPERLINK("https://lindat.mff.cuni.cz/services/teitok/pdtc10/index.php?action=vallex&amp;frame=v-w3881f2", "popovídat si (v-w3881f2)")</f>
        <v>popovídat si (v-w3881f2)</v>
      </c>
    </row>
    <row r="28651" customFormat="false" ht="12.8" hidden="false" customHeight="false" outlineLevel="0" collapsed="false">
      <c r="B28651" s="0" t="s">
        <v>1</v>
      </c>
    </row>
    <row r="28652" customFormat="false" ht="12.8" hidden="false" customHeight="false" outlineLevel="0" collapsed="false">
      <c r="B28652" s="0" t="s">
        <v>276</v>
      </c>
    </row>
    <row r="28653" customFormat="false" ht="12.8" hidden="false" customHeight="false" outlineLevel="0" collapsed="false">
      <c r="B28653" s="0" t="s">
        <v>6407</v>
      </c>
    </row>
    <row r="28654" customFormat="false" ht="12.8" hidden="false" customHeight="false" outlineLevel="0" collapsed="false">
      <c r="B28654" s="0" t="s">
        <v>496</v>
      </c>
    </row>
    <row r="28656" customFormat="false" ht="12.8" hidden="false" customHeight="false" outlineLevel="0" collapsed="false">
      <c r="A28656" s="0" t="s">
        <v>11356</v>
      </c>
      <c r="B28656" s="0" t="str">
        <f aca="false">HYPERLINK("https://lindat.mff.cuni.cz/services/teitok/pdtc10/index.php?action=vallex&amp;frame=v-w10697f2", "popraskat (v-w10697f2)")</f>
        <v>popraskat (v-w10697f2)</v>
      </c>
    </row>
    <row r="28657" customFormat="false" ht="12.8" hidden="false" customHeight="false" outlineLevel="0" collapsed="false">
      <c r="B28657" s="0" t="s">
        <v>1</v>
      </c>
    </row>
    <row r="28658" customFormat="false" ht="12.8" hidden="false" customHeight="false" outlineLevel="0" collapsed="false">
      <c r="B28658" s="0" t="s">
        <v>8</v>
      </c>
    </row>
    <row r="28660" customFormat="false" ht="12.8" hidden="false" customHeight="false" outlineLevel="0" collapsed="false">
      <c r="A28660" s="0" t="s">
        <v>11357</v>
      </c>
      <c r="B28660" s="0" t="str">
        <f aca="false">HYPERLINK("https://lindat.mff.cuni.cz/services/teitok/pdtc10/index.php?action=vallex&amp;frame=v-w10697hsa_313", "popraskat (v-w10697hsa_313)")</f>
        <v>popraskat (v-w10697hsa_313)</v>
      </c>
      <c r="E28660" s="0" t="str">
        <f aca="false">HYPERLINK("https://lindat.mff.cuni.cz/services/SynSemClass40/SynSemClass40.html?veclass=vec00681#vec00681-ces-cm00002", "vec00681")</f>
        <v>vec00681</v>
      </c>
      <c r="F28660" s="0" t="s">
        <v>11358</v>
      </c>
    </row>
    <row r="28661" customFormat="false" ht="12.8" hidden="false" customHeight="false" outlineLevel="0" collapsed="false">
      <c r="B28661" s="0" t="s">
        <v>1</v>
      </c>
      <c r="C28661" s="0" t="s">
        <v>11359</v>
      </c>
      <c r="E28661" s="0" t="s">
        <v>84</v>
      </c>
      <c r="F28661" s="0" t="s">
        <v>11360</v>
      </c>
    </row>
    <row r="28663" customFormat="false" ht="12.8" hidden="false" customHeight="false" outlineLevel="0" collapsed="false">
      <c r="A28663" s="0" t="s">
        <v>11361</v>
      </c>
      <c r="B28663" s="0" t="str">
        <f aca="false">HYPERLINK("https://lindat.mff.cuni.cz/services/teitok/pdtc10/index.php?action=vallex&amp;frame=v-w3882f1", "poprat se (v-w3882f1)")</f>
        <v>poprat se (v-w3882f1)</v>
      </c>
    </row>
    <row r="28664" customFormat="false" ht="12.8" hidden="false" customHeight="false" outlineLevel="0" collapsed="false">
      <c r="B28664" s="0" t="s">
        <v>1</v>
      </c>
    </row>
    <row r="28665" customFormat="false" ht="12.8" hidden="false" customHeight="false" outlineLevel="0" collapsed="false">
      <c r="B28665" s="0" t="s">
        <v>276</v>
      </c>
    </row>
    <row r="28666" customFormat="false" ht="12.8" hidden="false" customHeight="false" outlineLevel="0" collapsed="false">
      <c r="B28666" s="0" t="s">
        <v>3152</v>
      </c>
    </row>
    <row r="28668" customFormat="false" ht="12.8" hidden="false" customHeight="false" outlineLevel="0" collapsed="false">
      <c r="A28668" s="0" t="s">
        <v>11362</v>
      </c>
      <c r="B28668" s="0" t="str">
        <f aca="false">HYPERLINK("https://lindat.mff.cuni.cz/services/teitok/pdtc10/index.php?action=vallex&amp;frame=v-w3884f1", "popravit (v-w3884f1)")</f>
        <v>popravit (v-w3884f1)</v>
      </c>
      <c r="E28668" s="0" t="str">
        <f aca="false">HYPERLINK("https://lindat.mff.cuni.cz/services/SynSemClass40/SynSemClass40.html?veclass=vec00365#vec00365-ces-cm00039", "vec00365")</f>
        <v>vec00365</v>
      </c>
      <c r="F28668" s="0" t="s">
        <v>8975</v>
      </c>
    </row>
    <row r="28669" customFormat="false" ht="12.8" hidden="false" customHeight="false" outlineLevel="0" collapsed="false">
      <c r="B28669" s="0" t="s">
        <v>1</v>
      </c>
      <c r="C28669" s="0" t="s">
        <v>5883</v>
      </c>
      <c r="E28669" s="0" t="s">
        <v>76</v>
      </c>
      <c r="F28669" s="0" t="s">
        <v>8977</v>
      </c>
    </row>
    <row r="28670" customFormat="false" ht="12.8" hidden="false" customHeight="false" outlineLevel="0" collapsed="false">
      <c r="B28670" s="0" t="s">
        <v>8</v>
      </c>
      <c r="C28670" s="0" t="s">
        <v>8979</v>
      </c>
      <c r="E28670" s="0" t="s">
        <v>199</v>
      </c>
      <c r="F28670" s="0" t="s">
        <v>8980</v>
      </c>
    </row>
    <row r="28672" customFormat="false" ht="12.8" hidden="false" customHeight="false" outlineLevel="0" collapsed="false">
      <c r="A28672" s="0" t="s">
        <v>11363</v>
      </c>
      <c r="B28672" s="0" t="str">
        <f aca="false">HYPERLINK("https://lindat.mff.cuni.cz/services/teitok/pdtc10/index.php?action=vallex&amp;frame=v-w3885f1", "poprosit (v-w3885f1)")</f>
        <v>poprosit (v-w3885f1)</v>
      </c>
      <c r="E28672" s="0" t="str">
        <f aca="false">HYPERLINK("https://lindat.mff.cuni.cz/services/SynSemClass40/SynSemClass40.html?veclass=vec01495#vec01495-ces-cm00025", "vec01495")</f>
        <v>vec01495</v>
      </c>
      <c r="F28672" s="0" t="s">
        <v>6335</v>
      </c>
    </row>
    <row r="28673" customFormat="false" ht="12.8" hidden="false" customHeight="false" outlineLevel="0" collapsed="false">
      <c r="B28673" s="0" t="s">
        <v>1</v>
      </c>
      <c r="C28673" s="0" t="s">
        <v>6336</v>
      </c>
      <c r="E28673" s="0" t="s">
        <v>147</v>
      </c>
      <c r="F28673" s="0" t="s">
        <v>6337</v>
      </c>
    </row>
    <row r="28674" customFormat="false" ht="12.8" hidden="false" customHeight="false" outlineLevel="0" collapsed="false">
      <c r="B28674" s="0" t="s">
        <v>11364</v>
      </c>
      <c r="C28674" s="0" t="s">
        <v>6338</v>
      </c>
      <c r="E28674" s="0" t="s">
        <v>50</v>
      </c>
      <c r="F28674" s="0" t="s">
        <v>6339</v>
      </c>
    </row>
    <row r="28675" customFormat="false" ht="12.8" hidden="false" customHeight="false" outlineLevel="0" collapsed="false">
      <c r="B28675" s="0" t="s">
        <v>98</v>
      </c>
      <c r="C28675" s="0" t="s">
        <v>11365</v>
      </c>
      <c r="E28675" s="0" t="s">
        <v>8489</v>
      </c>
      <c r="F28675" s="0" t="s">
        <v>8490</v>
      </c>
    </row>
    <row r="28677" customFormat="false" ht="12.8" hidden="false" customHeight="false" outlineLevel="0" collapsed="false">
      <c r="A28677" s="0" t="s">
        <v>11366</v>
      </c>
      <c r="B28677" s="0" t="str">
        <f aca="false">HYPERLINK("https://lindat.mff.cuni.cz/services/teitok/pdtc10/index.php?action=vallex&amp;frame=v-w3891f2", "popsat (v-w3891f2)")</f>
        <v>popsat (v-w3891f2)</v>
      </c>
      <c r="E28677" s="0" t="str">
        <f aca="false">HYPERLINK("https://lindat.mff.cuni.cz/services/SynSemClass40/SynSemClass40.html?veclass=vec00417#vec00417-ces-cm00007", "vec00417")</f>
        <v>vec00417</v>
      </c>
      <c r="F28677" s="0" t="s">
        <v>1372</v>
      </c>
      <c r="H28677" s="0" t="str">
        <f aca="false">HYPERLINK("https://lindat.mff.cuni.cz/services/SynSemClass40/SynSemClass40.html?veclass=vec01353#vec01353-ces-cm00043", "vec01353")</f>
        <v>vec01353</v>
      </c>
      <c r="I28677" s="0" t="s">
        <v>6182</v>
      </c>
    </row>
    <row r="28678" customFormat="false" ht="12.8" hidden="false" customHeight="false" outlineLevel="0" collapsed="false">
      <c r="B28678" s="0" t="s">
        <v>1</v>
      </c>
      <c r="C28678" s="0" t="s">
        <v>6183</v>
      </c>
      <c r="E28678" s="0" t="s">
        <v>63</v>
      </c>
      <c r="F28678" s="0" t="s">
        <v>1374</v>
      </c>
      <c r="H28678" s="0" t="s">
        <v>147</v>
      </c>
      <c r="I28678" s="0" t="s">
        <v>6184</v>
      </c>
    </row>
    <row r="28679" customFormat="false" ht="12.8" hidden="false" customHeight="false" outlineLevel="0" collapsed="false">
      <c r="B28679" s="0" t="s">
        <v>228</v>
      </c>
      <c r="C28679" s="0" t="s">
        <v>6185</v>
      </c>
      <c r="E28679" s="0" t="s">
        <v>1376</v>
      </c>
      <c r="F28679" s="0" t="s">
        <v>1377</v>
      </c>
      <c r="H28679" s="0" t="s">
        <v>218</v>
      </c>
      <c r="I28679" s="0" t="s">
        <v>6186</v>
      </c>
    </row>
    <row r="28680" customFormat="false" ht="12.8" hidden="false" customHeight="false" outlineLevel="0" collapsed="false">
      <c r="B28680" s="0" t="s">
        <v>132</v>
      </c>
      <c r="C28680" s="0" t="s">
        <v>6187</v>
      </c>
      <c r="E28680" s="0" t="s">
        <v>221</v>
      </c>
      <c r="F28680" s="0" t="s">
        <v>4699</v>
      </c>
      <c r="H28680" s="0" t="s">
        <v>221</v>
      </c>
      <c r="I28680" s="0" t="s">
        <v>6188</v>
      </c>
    </row>
    <row r="28682" customFormat="false" ht="12.8" hidden="false" customHeight="false" outlineLevel="0" collapsed="false">
      <c r="A28682" s="0" t="s">
        <v>11367</v>
      </c>
      <c r="B28682" s="0" t="str">
        <f aca="false">HYPERLINK("https://lindat.mff.cuni.cz/services/teitok/pdtc10/index.php?action=vallex&amp;frame=v-w3891f1", "popsat (v-w3891f1)")</f>
        <v>popsat (v-w3891f1)</v>
      </c>
      <c r="E28682" s="0" t="str">
        <f aca="false">HYPERLINK("https://lindat.mff.cuni.cz/services/SynSemClass40/SynSemClass40.html?veclass=vec00417#vec00417-ces-cm00006", "vec00417")</f>
        <v>vec00417</v>
      </c>
      <c r="F28682" s="0" t="s">
        <v>1372</v>
      </c>
    </row>
    <row r="28683" customFormat="false" ht="12.8" hidden="false" customHeight="false" outlineLevel="0" collapsed="false">
      <c r="B28683" s="0" t="s">
        <v>1</v>
      </c>
      <c r="C28683" s="0" t="s">
        <v>1373</v>
      </c>
      <c r="E28683" s="0" t="s">
        <v>63</v>
      </c>
      <c r="F28683" s="0" t="s">
        <v>1374</v>
      </c>
    </row>
    <row r="28684" customFormat="false" ht="12.8" hidden="false" customHeight="false" outlineLevel="0" collapsed="false">
      <c r="B28684" s="0" t="s">
        <v>8</v>
      </c>
      <c r="C28684" s="0" t="s">
        <v>1375</v>
      </c>
      <c r="E28684" s="0" t="s">
        <v>1376</v>
      </c>
      <c r="F28684" s="0" t="s">
        <v>1377</v>
      </c>
    </row>
    <row r="28686" customFormat="false" ht="12.8" hidden="false" customHeight="false" outlineLevel="0" collapsed="false">
      <c r="A28686" s="0" t="s">
        <v>11368</v>
      </c>
      <c r="B28686" s="0" t="str">
        <f aca="false">HYPERLINK("https://lindat.mff.cuni.cz/services/teitok/pdtc10/index.php?action=vallex&amp;frame=v-w3891f3", "popsat (v-w3891f3)")</f>
        <v>popsat (v-w3891f3)</v>
      </c>
      <c r="E28686" s="0" t="str">
        <f aca="false">HYPERLINK("https://lindat.mff.cuni.cz/services/SynSemClass40/SynSemClass40.html?veclass=vec01420#vec01420-ces-cm00005", "vec01420")</f>
        <v>vec01420</v>
      </c>
      <c r="F28686" s="0" t="s">
        <v>10245</v>
      </c>
    </row>
    <row r="28687" customFormat="false" ht="12.8" hidden="false" customHeight="false" outlineLevel="0" collapsed="false">
      <c r="B28687" s="0" t="s">
        <v>1</v>
      </c>
      <c r="C28687" s="0" t="s">
        <v>459</v>
      </c>
      <c r="E28687" s="0" t="s">
        <v>4581</v>
      </c>
      <c r="F28687" s="0" t="s">
        <v>7850</v>
      </c>
    </row>
    <row r="28688" customFormat="false" ht="12.8" hidden="false" customHeight="false" outlineLevel="0" collapsed="false">
      <c r="B28688" s="0" t="s">
        <v>8</v>
      </c>
      <c r="C28688" s="0" t="s">
        <v>7654</v>
      </c>
      <c r="E28688" s="0" t="s">
        <v>142</v>
      </c>
      <c r="F28688" s="0" t="s">
        <v>10246</v>
      </c>
    </row>
    <row r="28690" customFormat="false" ht="12.8" hidden="false" customHeight="false" outlineLevel="0" collapsed="false">
      <c r="A28690" s="0" t="s">
        <v>11369</v>
      </c>
      <c r="B28690" s="0" t="str">
        <f aca="false">HYPERLINK("https://lindat.mff.cuni.cz/services/teitok/pdtc10/index.php?action=vallex&amp;frame=v-w11007f2", "poptávat (v-w11007f2)")</f>
        <v>poptávat (v-w11007f2)</v>
      </c>
      <c r="E28690" s="0" t="str">
        <f aca="false">HYPERLINK("https://lindat.mff.cuni.cz/services/SynSemClass40/SynSemClass40.html?veclass=vec00077#vec00077-ces-cm00066", "vec00077")</f>
        <v>vec00077</v>
      </c>
      <c r="F28690" s="0" t="s">
        <v>11370</v>
      </c>
    </row>
    <row r="28691" customFormat="false" ht="12.8" hidden="false" customHeight="false" outlineLevel="0" collapsed="false">
      <c r="B28691" s="0" t="s">
        <v>1</v>
      </c>
      <c r="C28691" s="0" t="s">
        <v>11371</v>
      </c>
      <c r="E28691" s="0" t="s">
        <v>11</v>
      </c>
      <c r="F28691" s="0" t="s">
        <v>11372</v>
      </c>
    </row>
    <row r="28692" customFormat="false" ht="12.8" hidden="false" customHeight="false" outlineLevel="0" collapsed="false">
      <c r="B28692" s="0" t="s">
        <v>8</v>
      </c>
      <c r="C28692" s="0" t="s">
        <v>11373</v>
      </c>
      <c r="E28692" s="0" t="s">
        <v>1495</v>
      </c>
      <c r="F28692" s="0" t="s">
        <v>11374</v>
      </c>
    </row>
    <row r="28694" customFormat="false" ht="12.8" hidden="false" customHeight="false" outlineLevel="0" collapsed="false">
      <c r="A28694" s="0" t="s">
        <v>11375</v>
      </c>
      <c r="B28694" s="0" t="str">
        <f aca="false">HYPERLINK("https://lindat.mff.cuni.cz/services/teitok/pdtc10/index.php?action=vallex&amp;frame=v-w3894f2", "popudit (v-w3894f2)")</f>
        <v>popudit (v-w3894f2)</v>
      </c>
    </row>
    <row r="28695" customFormat="false" ht="12.8" hidden="false" customHeight="false" outlineLevel="0" collapsed="false">
      <c r="B28695" s="0" t="s">
        <v>1</v>
      </c>
    </row>
    <row r="28696" customFormat="false" ht="12.8" hidden="false" customHeight="false" outlineLevel="0" collapsed="false">
      <c r="B28696" s="0" t="s">
        <v>10823</v>
      </c>
    </row>
    <row r="28697" customFormat="false" ht="12.8" hidden="false" customHeight="false" outlineLevel="0" collapsed="false">
      <c r="B28697" s="0" t="s">
        <v>98</v>
      </c>
    </row>
    <row r="28699" customFormat="false" ht="12.8" hidden="false" customHeight="false" outlineLevel="0" collapsed="false">
      <c r="A28699" s="0" t="s">
        <v>11376</v>
      </c>
      <c r="B28699" s="0" t="str">
        <f aca="false">HYPERLINK("https://lindat.mff.cuni.cz/services/teitok/pdtc10/index.php?action=vallex&amp;frame=v-w3894f1", "popudit (v-w3894f1)")</f>
        <v>popudit (v-w3894f1)</v>
      </c>
      <c r="E28699" s="0" t="str">
        <f aca="false">HYPERLINK("https://lindat.mff.cuni.cz/services/SynSemClass40/SynSemClass40.html?veclass=vec01265#vec01265-ces-cm00001", "vec01265")</f>
        <v>vec01265</v>
      </c>
      <c r="F28699" s="0" t="s">
        <v>11377</v>
      </c>
    </row>
    <row r="28700" customFormat="false" ht="12.8" hidden="false" customHeight="false" outlineLevel="0" collapsed="false">
      <c r="B28700" s="0" t="s">
        <v>1</v>
      </c>
      <c r="C28700" s="0" t="s">
        <v>4695</v>
      </c>
      <c r="E28700" s="0" t="s">
        <v>3010</v>
      </c>
      <c r="F28700" s="0" t="s">
        <v>11378</v>
      </c>
    </row>
    <row r="28701" customFormat="false" ht="12.8" hidden="false" customHeight="false" outlineLevel="0" collapsed="false">
      <c r="B28701" s="0" t="s">
        <v>5061</v>
      </c>
      <c r="C28701" s="0" t="s">
        <v>1910</v>
      </c>
      <c r="E28701" s="0" t="s">
        <v>5824</v>
      </c>
      <c r="F28701" s="0" t="s">
        <v>11379</v>
      </c>
    </row>
    <row r="28702" customFormat="false" ht="12.8" hidden="false" customHeight="false" outlineLevel="0" collapsed="false">
      <c r="B28702" s="0" t="s">
        <v>98</v>
      </c>
      <c r="C28702" s="0" t="s">
        <v>8354</v>
      </c>
      <c r="E28702" s="0" t="s">
        <v>3514</v>
      </c>
      <c r="F28702" s="0" t="s">
        <v>11380</v>
      </c>
    </row>
    <row r="28704" customFormat="false" ht="12.8" hidden="false" customHeight="false" outlineLevel="0" collapsed="false">
      <c r="A28704" s="0" t="s">
        <v>11381</v>
      </c>
      <c r="B28704" s="0" t="str">
        <f aca="false">HYPERLINK("https://lindat.mff.cuni.cz/services/teitok/pdtc10/index.php?action=vallex&amp;frame=v-w3894f3", "popudit (v-w3894f3)")</f>
        <v>popudit (v-w3894f3)</v>
      </c>
      <c r="E28704" s="0" t="str">
        <f aca="false">HYPERLINK("https://lindat.mff.cuni.cz/services/SynSemClass40/SynSemClass40.html?veclass=vec00608#vec00608-ces-cm00013", "vec00608")</f>
        <v>vec00608</v>
      </c>
      <c r="F28704" s="0" t="s">
        <v>1927</v>
      </c>
    </row>
    <row r="28705" customFormat="false" ht="12.8" hidden="false" customHeight="false" outlineLevel="0" collapsed="false">
      <c r="B28705" s="0" t="s">
        <v>1</v>
      </c>
      <c r="C28705" s="0" t="s">
        <v>657</v>
      </c>
      <c r="E28705" s="0" t="s">
        <v>1103</v>
      </c>
      <c r="F28705" s="0" t="s">
        <v>1928</v>
      </c>
    </row>
    <row r="28706" customFormat="false" ht="12.8" hidden="false" customHeight="false" outlineLevel="0" collapsed="false">
      <c r="B28706" s="0" t="s">
        <v>8</v>
      </c>
      <c r="C28706" s="0" t="s">
        <v>1929</v>
      </c>
      <c r="E28706" s="0" t="s">
        <v>1930</v>
      </c>
      <c r="F28706" s="0" t="s">
        <v>1931</v>
      </c>
    </row>
    <row r="28708" customFormat="false" ht="12.8" hidden="false" customHeight="false" outlineLevel="0" collapsed="false">
      <c r="A28708" s="0" t="s">
        <v>11382</v>
      </c>
      <c r="B28708" s="0" t="str">
        <f aca="false">HYPERLINK("https://lindat.mff.cuni.cz/services/teitok/pdtc10/index.php?action=vallex&amp;frame=v-w3896f1", "popularizovat (v-w3896f1)")</f>
        <v>popularizovat (v-w3896f1)</v>
      </c>
      <c r="E28708" s="0" t="str">
        <f aca="false">HYPERLINK("https://lindat.mff.cuni.cz/services/SynSemClass40/SynSemClass40.html?veclass=vec00276#vec00276-ces-cm00019", "vec00276")</f>
        <v>vec00276</v>
      </c>
      <c r="F28708" s="0" t="s">
        <v>11383</v>
      </c>
    </row>
    <row r="28709" customFormat="false" ht="12.8" hidden="false" customHeight="false" outlineLevel="0" collapsed="false">
      <c r="B28709" s="0" t="s">
        <v>1</v>
      </c>
      <c r="C28709" s="0" t="s">
        <v>428</v>
      </c>
      <c r="E28709" s="0" t="s">
        <v>31</v>
      </c>
      <c r="F28709" s="0" t="s">
        <v>11384</v>
      </c>
    </row>
    <row r="28710" customFormat="false" ht="12.8" hidden="false" customHeight="false" outlineLevel="0" collapsed="false">
      <c r="B28710" s="0" t="s">
        <v>8</v>
      </c>
      <c r="C28710" s="0" t="s">
        <v>11385</v>
      </c>
      <c r="E28710" s="0" t="s">
        <v>4890</v>
      </c>
      <c r="F28710" s="0" t="s">
        <v>11386</v>
      </c>
    </row>
    <row r="28712" customFormat="false" ht="12.8" hidden="false" customHeight="false" outlineLevel="0" collapsed="false">
      <c r="A28712" s="0" t="s">
        <v>11387</v>
      </c>
      <c r="B28712" s="0" t="str">
        <f aca="false">HYPERLINK("https://lindat.mff.cuni.cz/services/teitok/pdtc10/index.php?action=vallex&amp;frame=v-w3898f1", "poputovat (v-w3898f1)")</f>
        <v>poputovat (v-w3898f1)</v>
      </c>
    </row>
    <row r="28713" customFormat="false" ht="12.8" hidden="false" customHeight="false" outlineLevel="0" collapsed="false">
      <c r="B28713" s="0" t="s">
        <v>1</v>
      </c>
    </row>
    <row r="28715" customFormat="false" ht="12.8" hidden="false" customHeight="false" outlineLevel="0" collapsed="false">
      <c r="A28715" s="0" t="s">
        <v>11388</v>
      </c>
      <c r="B28715" s="0" t="str">
        <f aca="false">HYPERLINK("https://lindat.mff.cuni.cz/services/teitok/pdtc10/index.php?action=vallex&amp;frame=v-whsa_648hsa_649", "popuzovat (v-whsa_648hsa_649)")</f>
        <v>popuzovat (v-whsa_648hsa_649)</v>
      </c>
      <c r="E28715" s="0" t="str">
        <f aca="false">HYPERLINK("https://lindat.mff.cuni.cz/services/SynSemClass40/SynSemClass40.html?veclass=vec00608#vec00608-ces-cm00002", "vec00608")</f>
        <v>vec00608</v>
      </c>
      <c r="F28715" s="0" t="s">
        <v>1927</v>
      </c>
    </row>
    <row r="28716" customFormat="false" ht="12.8" hidden="false" customHeight="false" outlineLevel="0" collapsed="false">
      <c r="B28716" s="0" t="s">
        <v>1</v>
      </c>
      <c r="C28716" s="0" t="s">
        <v>657</v>
      </c>
      <c r="E28716" s="0" t="s">
        <v>1103</v>
      </c>
      <c r="F28716" s="0" t="s">
        <v>1928</v>
      </c>
    </row>
    <row r="28717" customFormat="false" ht="12.8" hidden="false" customHeight="false" outlineLevel="0" collapsed="false">
      <c r="B28717" s="0" t="s">
        <v>8</v>
      </c>
      <c r="C28717" s="0" t="s">
        <v>1929</v>
      </c>
      <c r="E28717" s="0" t="s">
        <v>1930</v>
      </c>
      <c r="F28717" s="0" t="s">
        <v>1931</v>
      </c>
    </row>
    <row r="28719" customFormat="false" ht="12.8" hidden="false" customHeight="false" outlineLevel="0" collapsed="false">
      <c r="A28719" s="0" t="s">
        <v>11389</v>
      </c>
      <c r="B28719" s="0" t="str">
        <f aca="false">HYPERLINK("https://lindat.mff.cuni.cz/services/teitok/pdtc10/index.php?action=vallex&amp;frame=v-whsa_1624hsa_1625", "popálit (v-whsa_1624hsa_1625)")</f>
        <v>popálit (v-whsa_1624hsa_1625)</v>
      </c>
    </row>
    <row r="28720" customFormat="false" ht="12.8" hidden="false" customHeight="false" outlineLevel="0" collapsed="false">
      <c r="B28720" s="0" t="s">
        <v>1</v>
      </c>
    </row>
    <row r="28721" customFormat="false" ht="12.8" hidden="false" customHeight="false" outlineLevel="0" collapsed="false">
      <c r="B28721" s="0" t="s">
        <v>8</v>
      </c>
    </row>
    <row r="28723" customFormat="false" ht="12.8" hidden="false" customHeight="false" outlineLevel="0" collapsed="false">
      <c r="A28723" s="0" t="s">
        <v>11390</v>
      </c>
      <c r="B28723" s="0" t="str">
        <f aca="false">HYPERLINK("https://lindat.mff.cuni.cz/services/teitok/pdtc10/index.php?action=vallex&amp;frame=v-w3864f1", "popásat (v-w3864f1)")</f>
        <v>popásat (v-w3864f1)</v>
      </c>
    </row>
    <row r="28724" customFormat="false" ht="12.8" hidden="false" customHeight="false" outlineLevel="0" collapsed="false">
      <c r="B28724" s="0" t="s">
        <v>1</v>
      </c>
    </row>
    <row r="28726" customFormat="false" ht="12.8" hidden="false" customHeight="false" outlineLevel="0" collapsed="false">
      <c r="A28726" s="0" t="s">
        <v>11391</v>
      </c>
      <c r="B28726" s="0" t="str">
        <f aca="false">HYPERLINK("https://lindat.mff.cuni.cz/services/teitok/pdtc10/index.php?action=vallex&amp;frame=v-w10889f2", "popíchnout (v-w10889f2)")</f>
        <v>popíchnout (v-w10889f2)</v>
      </c>
    </row>
    <row r="28727" customFormat="false" ht="12.8" hidden="false" customHeight="false" outlineLevel="0" collapsed="false">
      <c r="B28727" s="0" t="s">
        <v>1</v>
      </c>
    </row>
    <row r="28728" customFormat="false" ht="12.8" hidden="false" customHeight="false" outlineLevel="0" collapsed="false">
      <c r="B28728" s="0" t="s">
        <v>8</v>
      </c>
    </row>
    <row r="28730" customFormat="false" ht="12.8" hidden="false" customHeight="false" outlineLevel="0" collapsed="false">
      <c r="A28730" s="0" t="s">
        <v>11392</v>
      </c>
      <c r="B28730" s="0" t="str">
        <f aca="false">HYPERLINK("https://lindat.mff.cuni.cz/services/teitok/pdtc10/index.php?action=vallex&amp;frame=v-w3866f1", "popíjet (v-w3866f1)")</f>
        <v>popíjet (v-w3866f1)</v>
      </c>
      <c r="E28730" s="0" t="str">
        <f aca="false">HYPERLINK("https://lindat.mff.cuni.cz/services/SynSemClass40/SynSemClass40.html?veclass=vec00866#vec00866-ces-cm00003", "vec00866")</f>
        <v>vec00866</v>
      </c>
      <c r="F28730" s="0" t="s">
        <v>4327</v>
      </c>
    </row>
    <row r="28731" customFormat="false" ht="12.8" hidden="false" customHeight="false" outlineLevel="0" collapsed="false">
      <c r="B28731" s="0" t="s">
        <v>1</v>
      </c>
      <c r="C28731" s="0" t="s">
        <v>106</v>
      </c>
      <c r="E28731" s="0" t="s">
        <v>658</v>
      </c>
      <c r="F28731" s="0" t="s">
        <v>4330</v>
      </c>
    </row>
    <row r="28732" customFormat="false" ht="12.8" hidden="false" customHeight="false" outlineLevel="0" collapsed="false">
      <c r="B28732" s="0" t="s">
        <v>8</v>
      </c>
      <c r="C28732" s="0" t="s">
        <v>449</v>
      </c>
      <c r="E28732" s="0" t="s">
        <v>661</v>
      </c>
      <c r="F28732" s="0" t="s">
        <v>4333</v>
      </c>
    </row>
    <row r="28734" customFormat="false" ht="12.8" hidden="false" customHeight="false" outlineLevel="0" collapsed="false">
      <c r="A28734" s="0" t="s">
        <v>11393</v>
      </c>
      <c r="B28734" s="0" t="str">
        <f aca="false">HYPERLINK("https://lindat.mff.cuni.cz/services/teitok/pdtc10/index.php?action=vallex&amp;frame=v-w3867f1", "popírat (v-w3867f1)")</f>
        <v>popírat (v-w3867f1)</v>
      </c>
      <c r="E28734" s="0" t="str">
        <f aca="false">HYPERLINK("https://lindat.mff.cuni.cz/services/SynSemClass40/SynSemClass40.html?veclass=vec00050#vec00050-ces-cm00015", "vec00050")</f>
        <v>vec00050</v>
      </c>
      <c r="F28734" s="0" t="s">
        <v>399</v>
      </c>
    </row>
    <row r="28735" customFormat="false" ht="12.8" hidden="false" customHeight="false" outlineLevel="0" collapsed="false">
      <c r="B28735" s="0" t="s">
        <v>1</v>
      </c>
      <c r="C28735" s="0" t="s">
        <v>400</v>
      </c>
      <c r="E28735" s="0" t="s">
        <v>206</v>
      </c>
      <c r="F28735" s="0" t="s">
        <v>401</v>
      </c>
    </row>
    <row r="28736" customFormat="false" ht="12.8" hidden="false" customHeight="false" outlineLevel="0" collapsed="false">
      <c r="B28736" s="0" t="s">
        <v>228</v>
      </c>
      <c r="C28736" s="0" t="s">
        <v>403</v>
      </c>
      <c r="E28736" s="0" t="s">
        <v>66</v>
      </c>
      <c r="F28736" s="0" t="s">
        <v>404</v>
      </c>
    </row>
    <row r="28738" customFormat="false" ht="12.8" hidden="false" customHeight="false" outlineLevel="0" collapsed="false">
      <c r="A28738" s="0" t="s">
        <v>11394</v>
      </c>
      <c r="B28738" s="0" t="str">
        <f aca="false">HYPERLINK("https://lindat.mff.cuni.cz/services/teitok/pdtc10/index.php?action=vallex&amp;frame=v-w12330_MMf1_MM", "popít (v-w12330_MMf1_MM)")</f>
        <v>popít (v-w12330_MMf1_MM)</v>
      </c>
    </row>
    <row r="28739" customFormat="false" ht="12.8" hidden="false" customHeight="false" outlineLevel="0" collapsed="false">
      <c r="B28739" s="0" t="s">
        <v>1</v>
      </c>
    </row>
    <row r="28740" customFormat="false" ht="12.8" hidden="false" customHeight="false" outlineLevel="0" collapsed="false">
      <c r="B28740" s="0" t="s">
        <v>8</v>
      </c>
    </row>
    <row r="28742" customFormat="false" ht="12.8" hidden="false" customHeight="false" outlineLevel="0" collapsed="false">
      <c r="A28742" s="0" t="s">
        <v>11395</v>
      </c>
      <c r="B28742" s="0" t="str">
        <f aca="false">HYPERLINK("https://lindat.mff.cuni.cz/services/teitok/pdtc10/index.php?action=vallex&amp;frame=v-whsa_1560hsa_1561", "popít si (v-whsa_1560hsa_1561)")</f>
        <v>popít si (v-whsa_1560hsa_1561)</v>
      </c>
    </row>
    <row r="28743" customFormat="false" ht="12.8" hidden="false" customHeight="false" outlineLevel="0" collapsed="false">
      <c r="B28743" s="0" t="s">
        <v>1</v>
      </c>
    </row>
    <row r="28744" customFormat="false" ht="12.8" hidden="false" customHeight="false" outlineLevel="0" collapsed="false">
      <c r="B28744" s="0" t="s">
        <v>390</v>
      </c>
    </row>
    <row r="28746" customFormat="false" ht="12.8" hidden="false" customHeight="false" outlineLevel="0" collapsed="false">
      <c r="A28746" s="0" t="s">
        <v>11396</v>
      </c>
      <c r="B28746" s="0" t="str">
        <f aca="false">HYPERLINK("https://lindat.mff.cuni.cz/services/teitok/pdtc10/index.php?action=vallex&amp;frame=v-w3888f1", "popřemýšlet (v-w3888f1)")</f>
        <v>popřemýšlet (v-w3888f1)</v>
      </c>
    </row>
    <row r="28747" customFormat="false" ht="12.8" hidden="false" customHeight="false" outlineLevel="0" collapsed="false">
      <c r="B28747" s="0" t="s">
        <v>1</v>
      </c>
    </row>
    <row r="28748" customFormat="false" ht="12.8" hidden="false" customHeight="false" outlineLevel="0" collapsed="false">
      <c r="B28748" s="0" t="s">
        <v>3363</v>
      </c>
    </row>
    <row r="28750" customFormat="false" ht="12.8" hidden="false" customHeight="false" outlineLevel="0" collapsed="false">
      <c r="A28750" s="0" t="s">
        <v>11397</v>
      </c>
      <c r="B28750" s="0" t="str">
        <f aca="false">HYPERLINK("https://lindat.mff.cuni.cz/services/teitok/pdtc10/index.php?action=vallex&amp;frame=v-w3886f1", "popřát (v-w3886f1)")</f>
        <v>popřát (v-w3886f1)</v>
      </c>
    </row>
    <row r="28751" customFormat="false" ht="12.8" hidden="false" customHeight="false" outlineLevel="0" collapsed="false">
      <c r="B28751" s="0" t="s">
        <v>1</v>
      </c>
    </row>
    <row r="28752" customFormat="false" ht="12.8" hidden="false" customHeight="false" outlineLevel="0" collapsed="false">
      <c r="B28752" s="0" t="s">
        <v>11398</v>
      </c>
    </row>
    <row r="28753" customFormat="false" ht="12.8" hidden="false" customHeight="false" outlineLevel="0" collapsed="false">
      <c r="B28753" s="0" t="s">
        <v>52</v>
      </c>
    </row>
    <row r="28755" customFormat="false" ht="12.8" hidden="false" customHeight="false" outlineLevel="0" collapsed="false">
      <c r="A28755" s="0" t="s">
        <v>11399</v>
      </c>
      <c r="B28755" s="0" t="str">
        <f aca="false">HYPERLINK("https://lindat.mff.cuni.cz/services/teitok/pdtc10/index.php?action=vallex&amp;frame=v-w3887f1", "popřávat (v-w3887f1)")</f>
        <v>popřávat (v-w3887f1)</v>
      </c>
    </row>
    <row r="28756" customFormat="false" ht="12.8" hidden="false" customHeight="false" outlineLevel="0" collapsed="false">
      <c r="B28756" s="0" t="s">
        <v>1</v>
      </c>
    </row>
    <row r="28757" customFormat="false" ht="12.8" hidden="false" customHeight="false" outlineLevel="0" collapsed="false">
      <c r="B28757" s="0" t="s">
        <v>11400</v>
      </c>
    </row>
    <row r="28758" customFormat="false" ht="12.8" hidden="false" customHeight="false" outlineLevel="0" collapsed="false">
      <c r="B28758" s="0" t="s">
        <v>186</v>
      </c>
    </row>
    <row r="28760" customFormat="false" ht="12.8" hidden="false" customHeight="false" outlineLevel="0" collapsed="false">
      <c r="A28760" s="0" t="s">
        <v>11401</v>
      </c>
      <c r="B28760" s="0" t="str">
        <f aca="false">HYPERLINK("https://lindat.mff.cuni.cz/services/teitok/pdtc10/index.php?action=vallex&amp;frame=v-w3890f1", "popřít (v-w3890f1)")</f>
        <v>popřít (v-w3890f1)</v>
      </c>
      <c r="E28760" s="0" t="str">
        <f aca="false">HYPERLINK("https://lindat.mff.cuni.cz/services/SynSemClass40/SynSemClass40.html?veclass=vec00050#vec00050-ces-cm00016", "vec00050")</f>
        <v>vec00050</v>
      </c>
      <c r="F28760" s="0" t="s">
        <v>399</v>
      </c>
    </row>
    <row r="28761" customFormat="false" ht="12.8" hidden="false" customHeight="false" outlineLevel="0" collapsed="false">
      <c r="B28761" s="0" t="s">
        <v>1</v>
      </c>
      <c r="C28761" s="0" t="s">
        <v>400</v>
      </c>
      <c r="E28761" s="0" t="s">
        <v>206</v>
      </c>
      <c r="F28761" s="0" t="s">
        <v>401</v>
      </c>
    </row>
    <row r="28762" customFormat="false" ht="12.8" hidden="false" customHeight="false" outlineLevel="0" collapsed="false">
      <c r="B28762" s="0" t="s">
        <v>228</v>
      </c>
      <c r="C28762" s="0" t="s">
        <v>403</v>
      </c>
      <c r="E28762" s="0" t="s">
        <v>66</v>
      </c>
      <c r="F28762" s="0" t="s">
        <v>404</v>
      </c>
    </row>
    <row r="28764" customFormat="false" ht="12.8" hidden="false" customHeight="false" outlineLevel="0" collapsed="false">
      <c r="A28764" s="0" t="s">
        <v>11402</v>
      </c>
      <c r="B28764" s="0" t="str">
        <f aca="false">HYPERLINK("https://lindat.mff.cuni.cz/services/teitok/pdtc10/index.php?action=vallex&amp;frame=v-w3902f1", "poradit (v-w3902f1)")</f>
        <v>poradit (v-w3902f1)</v>
      </c>
      <c r="E28764" s="0" t="str">
        <f aca="false">HYPERLINK("https://lindat.mff.cuni.cz/services/SynSemClass40/SynSemClass40.html?veclass=vec00215#vec00215-ces-cm00013", "vec00215")</f>
        <v>vec00215</v>
      </c>
      <c r="F28764" s="0" t="s">
        <v>2608</v>
      </c>
    </row>
    <row r="28765" customFormat="false" ht="12.8" hidden="false" customHeight="false" outlineLevel="0" collapsed="false">
      <c r="B28765" s="0" t="s">
        <v>1</v>
      </c>
      <c r="C28765" s="0" t="s">
        <v>2609</v>
      </c>
      <c r="E28765" s="0" t="s">
        <v>63</v>
      </c>
      <c r="F28765" s="0" t="s">
        <v>2610</v>
      </c>
    </row>
    <row r="28766" customFormat="false" ht="12.8" hidden="false" customHeight="false" outlineLevel="0" collapsed="false">
      <c r="B28766" s="0" t="s">
        <v>11403</v>
      </c>
      <c r="C28766" s="0" t="s">
        <v>2612</v>
      </c>
      <c r="E28766" s="0" t="s">
        <v>2613</v>
      </c>
      <c r="F28766" s="0" t="s">
        <v>2614</v>
      </c>
    </row>
    <row r="28767" customFormat="false" ht="12.8" hidden="false" customHeight="false" outlineLevel="0" collapsed="false">
      <c r="B28767" s="0" t="s">
        <v>52</v>
      </c>
      <c r="C28767" s="0" t="s">
        <v>2615</v>
      </c>
      <c r="E28767" s="0" t="s">
        <v>564</v>
      </c>
      <c r="F28767" s="0" t="s">
        <v>2616</v>
      </c>
    </row>
    <row r="28769" customFormat="false" ht="12.8" hidden="false" customHeight="false" outlineLevel="0" collapsed="false">
      <c r="A28769" s="0" t="s">
        <v>11404</v>
      </c>
      <c r="B28769" s="0" t="str">
        <f aca="false">HYPERLINK("https://lindat.mff.cuni.cz/services/teitok/pdtc10/index.php?action=vallex&amp;frame=v-w3903f1", "poradit se (v-w3903f1)")</f>
        <v>poradit se (v-w3903f1)</v>
      </c>
      <c r="E28769" s="0" t="str">
        <f aca="false">HYPERLINK("https://lindat.mff.cuni.cz/services/SynSemClass40/SynSemClass40.html?veclass=vec00031#vec00031-ces-cm00117", "vec00031")</f>
        <v>vec00031</v>
      </c>
      <c r="F28769" s="0" t="s">
        <v>277</v>
      </c>
    </row>
    <row r="28770" customFormat="false" ht="12.8" hidden="false" customHeight="false" outlineLevel="0" collapsed="false">
      <c r="B28770" s="0" t="s">
        <v>1</v>
      </c>
      <c r="C28770" s="0" t="s">
        <v>278</v>
      </c>
      <c r="E28770" s="0" t="s">
        <v>147</v>
      </c>
      <c r="F28770" s="0" t="s">
        <v>279</v>
      </c>
    </row>
    <row r="28771" customFormat="false" ht="12.8" hidden="false" customHeight="false" outlineLevel="0" collapsed="false">
      <c r="B28771" s="0" t="s">
        <v>276</v>
      </c>
      <c r="C28771" s="0" t="s">
        <v>282</v>
      </c>
      <c r="E28771" s="0" t="s">
        <v>221</v>
      </c>
      <c r="F28771" s="0" t="s">
        <v>283</v>
      </c>
    </row>
    <row r="28772" customFormat="false" ht="12.8" hidden="false" customHeight="false" outlineLevel="0" collapsed="false">
      <c r="B28772" s="0" t="s">
        <v>496</v>
      </c>
      <c r="C28772" s="0" t="s">
        <v>280</v>
      </c>
      <c r="E28772" s="0" t="s">
        <v>218</v>
      </c>
      <c r="F28772" s="0" t="s">
        <v>281</v>
      </c>
    </row>
    <row r="28774" customFormat="false" ht="12.8" hidden="false" customHeight="false" outlineLevel="0" collapsed="false">
      <c r="A28774" s="0" t="s">
        <v>11405</v>
      </c>
      <c r="B28774" s="0" t="str">
        <f aca="false">HYPERLINK("https://lindat.mff.cuni.cz/services/teitok/pdtc10/index.php?action=vallex&amp;frame=v-w3904f2_ZU", "poradit si (v-w3904f2_ZU)")</f>
        <v>poradit si (v-w3904f2_ZU)</v>
      </c>
    </row>
    <row r="28775" customFormat="false" ht="12.8" hidden="false" customHeight="false" outlineLevel="0" collapsed="false">
      <c r="B28775" s="0" t="s">
        <v>1</v>
      </c>
    </row>
    <row r="28776" customFormat="false" ht="12.8" hidden="false" customHeight="false" outlineLevel="0" collapsed="false">
      <c r="B28776" s="0" t="s">
        <v>11406</v>
      </c>
    </row>
    <row r="28778" customFormat="false" ht="12.8" hidden="false" customHeight="false" outlineLevel="0" collapsed="false">
      <c r="A28778" s="0" t="s">
        <v>11405</v>
      </c>
      <c r="B28778" s="0" t="str">
        <f aca="false">HYPERLINK("https://lindat.mff.cuni.cz/services/teitok/pdtc10/index.php?action=vallex&amp;frame=v-w3904f1", "poradit si (v-w3904f1) - substituted with v-w3904f2_ZU")</f>
        <v>poradit si (v-w3904f1) - substituted with v-w3904f2_ZU</v>
      </c>
      <c r="E28778" s="0" t="str">
        <f aca="false">HYPERLINK("https://lindat.mff.cuni.cz/services/SynSemClass40/SynSemClass40.html?veclass=vec00970#vec00970-ces-cm00012", "vec00970")</f>
        <v>vec00970</v>
      </c>
      <c r="F28778" s="0" t="s">
        <v>11407</v>
      </c>
    </row>
    <row r="28779" customFormat="false" ht="12.8" hidden="false" customHeight="false" outlineLevel="0" collapsed="false">
      <c r="B28779" s="0" t="s">
        <v>1</v>
      </c>
      <c r="C28779" s="0" t="s">
        <v>3000</v>
      </c>
      <c r="E28779" s="0" t="s">
        <v>266</v>
      </c>
      <c r="F28779" s="0" t="s">
        <v>11408</v>
      </c>
    </row>
    <row r="28780" customFormat="false" ht="12.8" hidden="false" customHeight="false" outlineLevel="0" collapsed="false">
      <c r="B28780" s="0" t="s">
        <v>11406</v>
      </c>
      <c r="C28780" s="0" t="s">
        <v>531</v>
      </c>
      <c r="E28780" s="0" t="s">
        <v>532</v>
      </c>
      <c r="F28780" s="0" t="s">
        <v>11409</v>
      </c>
    </row>
    <row r="28782" customFormat="false" ht="12.8" hidden="false" customHeight="false" outlineLevel="0" collapsed="false">
      <c r="A28782" s="0" t="s">
        <v>11410</v>
      </c>
      <c r="B28782" s="0" t="str">
        <f aca="false">HYPERLINK("https://lindat.mff.cuni.cz/services/teitok/pdtc10/index.php?action=vallex&amp;frame=v-w3907f2_ZU", "poranit (v-w3907f2_ZU)")</f>
        <v>poranit (v-w3907f2_ZU)</v>
      </c>
    </row>
    <row r="28783" customFormat="false" ht="12.8" hidden="false" customHeight="false" outlineLevel="0" collapsed="false">
      <c r="B28783" s="0" t="s">
        <v>1</v>
      </c>
    </row>
    <row r="28784" customFormat="false" ht="12.8" hidden="false" customHeight="false" outlineLevel="0" collapsed="false">
      <c r="B28784" s="0" t="s">
        <v>8</v>
      </c>
    </row>
    <row r="28786" customFormat="false" ht="12.8" hidden="false" customHeight="false" outlineLevel="0" collapsed="false">
      <c r="A28786" s="0" t="s">
        <v>11410</v>
      </c>
      <c r="B28786" s="0" t="str">
        <f aca="false">HYPERLINK("https://lindat.mff.cuni.cz/services/teitok/pdtc10/index.php?action=vallex&amp;frame=v-w3907f1", "poranit (v-w3907f1) - substituted with v-w3907f2_ZU")</f>
        <v>poranit (v-w3907f1) - substituted with v-w3907f2_ZU</v>
      </c>
    </row>
    <row r="28787" customFormat="false" ht="12.8" hidden="false" customHeight="false" outlineLevel="0" collapsed="false">
      <c r="B28787" s="0" t="s">
        <v>1</v>
      </c>
    </row>
    <row r="28788" customFormat="false" ht="12.8" hidden="false" customHeight="false" outlineLevel="0" collapsed="false">
      <c r="B28788" s="0" t="s">
        <v>8</v>
      </c>
    </row>
    <row r="28790" customFormat="false" ht="12.8" hidden="false" customHeight="false" outlineLevel="0" collapsed="false">
      <c r="A28790" s="0" t="s">
        <v>11411</v>
      </c>
      <c r="B28790" s="0" t="str">
        <f aca="false">HYPERLINK("https://lindat.mff.cuni.cz/services/teitok/pdtc10/index.php?action=vallex&amp;frame=v-w3908f1", "poranit se (v-w3908f1)")</f>
        <v>poranit se (v-w3908f1)</v>
      </c>
    </row>
    <row r="28791" customFormat="false" ht="12.8" hidden="false" customHeight="false" outlineLevel="0" collapsed="false">
      <c r="B28791" s="0" t="s">
        <v>1</v>
      </c>
    </row>
    <row r="28793" customFormat="false" ht="12.8" hidden="false" customHeight="false" outlineLevel="0" collapsed="false">
      <c r="A28793" s="0" t="s">
        <v>11412</v>
      </c>
      <c r="B28793" s="0" t="str">
        <f aca="false">HYPERLINK("https://lindat.mff.cuni.cz/services/teitok/pdtc10/index.php?action=vallex&amp;frame=v-w3909f1", "porazit (v-w3909f1)")</f>
        <v>porazit (v-w3909f1)</v>
      </c>
      <c r="E28793" s="0" t="str">
        <f aca="false">HYPERLINK("https://lindat.mff.cuni.cz/services/SynSemClass40/SynSemClass40.html?veclass=vec00279#vec00279-ces-cm00009", "vec00279")</f>
        <v>vec00279</v>
      </c>
      <c r="F28793" s="0" t="s">
        <v>9067</v>
      </c>
    </row>
    <row r="28794" customFormat="false" ht="12.8" hidden="false" customHeight="false" outlineLevel="0" collapsed="false">
      <c r="B28794" s="0" t="s">
        <v>1</v>
      </c>
      <c r="C28794" s="0" t="s">
        <v>9068</v>
      </c>
      <c r="E28794" s="0" t="s">
        <v>11</v>
      </c>
      <c r="F28794" s="0" t="s">
        <v>9069</v>
      </c>
    </row>
    <row r="28795" customFormat="false" ht="12.8" hidden="false" customHeight="false" outlineLevel="0" collapsed="false">
      <c r="B28795" s="0" t="s">
        <v>8</v>
      </c>
      <c r="C28795" s="0" t="s">
        <v>9070</v>
      </c>
      <c r="E28795" s="0" t="s">
        <v>7635</v>
      </c>
      <c r="F28795" s="0" t="s">
        <v>9071</v>
      </c>
    </row>
    <row r="28797" customFormat="false" ht="12.8" hidden="false" customHeight="false" outlineLevel="0" collapsed="false">
      <c r="A28797" s="0" t="s">
        <v>11413</v>
      </c>
      <c r="B28797" s="0" t="str">
        <f aca="false">HYPERLINK("https://lindat.mff.cuni.cz/services/teitok/pdtc10/index.php?action=vallex&amp;frame=v-w3909f2", "porazit (v-w3909f2)")</f>
        <v>porazit (v-w3909f2)</v>
      </c>
    </row>
    <row r="28798" customFormat="false" ht="12.8" hidden="false" customHeight="false" outlineLevel="0" collapsed="false">
      <c r="B28798" s="0" t="s">
        <v>1</v>
      </c>
    </row>
    <row r="28799" customFormat="false" ht="12.8" hidden="false" customHeight="false" outlineLevel="0" collapsed="false">
      <c r="B28799" s="0" t="s">
        <v>8</v>
      </c>
    </row>
    <row r="28801" customFormat="false" ht="12.8" hidden="false" customHeight="false" outlineLevel="0" collapsed="false">
      <c r="A28801" s="0" t="s">
        <v>11414</v>
      </c>
      <c r="B28801" s="0" t="str">
        <f aca="false">HYPERLINK("https://lindat.mff.cuni.cz/services/teitok/pdtc10/index.php?action=vallex&amp;frame=v-w3909f3", "porazit (v-w3909f3)")</f>
        <v>porazit (v-w3909f3)</v>
      </c>
      <c r="E28801" s="0" t="str">
        <f aca="false">HYPERLINK("https://lindat.mff.cuni.cz/services/SynSemClass40/SynSemClass40.html?veclass=vec00365#vec00365-ces-cm00046", "vec00365")</f>
        <v>vec00365</v>
      </c>
      <c r="F28801" s="0" t="s">
        <v>8975</v>
      </c>
    </row>
    <row r="28802" customFormat="false" ht="12.8" hidden="false" customHeight="false" outlineLevel="0" collapsed="false">
      <c r="B28802" s="0" t="s">
        <v>1</v>
      </c>
      <c r="C28802" s="0" t="s">
        <v>5883</v>
      </c>
      <c r="E28802" s="0" t="s">
        <v>76</v>
      </c>
      <c r="F28802" s="0" t="s">
        <v>8977</v>
      </c>
    </row>
    <row r="28803" customFormat="false" ht="12.8" hidden="false" customHeight="false" outlineLevel="0" collapsed="false">
      <c r="B28803" s="0" t="s">
        <v>8</v>
      </c>
      <c r="C28803" s="0" t="s">
        <v>8979</v>
      </c>
      <c r="E28803" s="0" t="s">
        <v>199</v>
      </c>
      <c r="F28803" s="0" t="s">
        <v>8980</v>
      </c>
    </row>
    <row r="28805" customFormat="false" ht="12.8" hidden="false" customHeight="false" outlineLevel="0" collapsed="false">
      <c r="A28805" s="0" t="s">
        <v>11415</v>
      </c>
      <c r="B28805" s="0" t="str">
        <f aca="false">HYPERLINK("https://lindat.mff.cuni.cz/services/teitok/pdtc10/index.php?action=vallex&amp;frame=v-whsa_314f1_ZU", "porcovat (v-whsa_314f1_ZU)")</f>
        <v>porcovat (v-whsa_314f1_ZU)</v>
      </c>
    </row>
    <row r="28806" customFormat="false" ht="12.8" hidden="false" customHeight="false" outlineLevel="0" collapsed="false">
      <c r="B28806" s="0" t="s">
        <v>1</v>
      </c>
    </row>
    <row r="28807" customFormat="false" ht="12.8" hidden="false" customHeight="false" outlineLevel="0" collapsed="false">
      <c r="B28807" s="0" t="s">
        <v>11416</v>
      </c>
    </row>
    <row r="28809" customFormat="false" ht="12.8" hidden="false" customHeight="false" outlineLevel="0" collapsed="false">
      <c r="A28809" s="0" t="s">
        <v>11415</v>
      </c>
      <c r="B28809" s="0" t="str">
        <f aca="false">HYPERLINK("https://lindat.mff.cuni.cz/services/teitok/pdtc10/index.php?action=vallex&amp;frame=v-whsa_314hsa_315", "porcovat (v-whsa_314hsa_315) - substituted with v-whsa_314f1_ZU")</f>
        <v>porcovat (v-whsa_314hsa_315) - substituted with v-whsa_314f1_ZU</v>
      </c>
    </row>
    <row r="28810" customFormat="false" ht="12.8" hidden="false" customHeight="false" outlineLevel="0" collapsed="false">
      <c r="B28810" s="0" t="s">
        <v>1</v>
      </c>
    </row>
    <row r="28811" customFormat="false" ht="12.8" hidden="false" customHeight="false" outlineLevel="0" collapsed="false">
      <c r="B28811" s="0" t="s">
        <v>11416</v>
      </c>
    </row>
    <row r="28813" customFormat="false" ht="12.8" hidden="false" customHeight="false" outlineLevel="0" collapsed="false">
      <c r="A28813" s="0" t="s">
        <v>11417</v>
      </c>
      <c r="B28813" s="0" t="str">
        <f aca="false">HYPERLINK("https://lindat.mff.cuni.cz/services/teitok/pdtc10/index.php?action=vallex&amp;frame=v-whsa_314f2_ZU", "porcovat (v-whsa_314f2_ZU)")</f>
        <v>porcovat (v-whsa_314f2_ZU)</v>
      </c>
    </row>
    <row r="28814" customFormat="false" ht="12.8" hidden="false" customHeight="false" outlineLevel="0" collapsed="false">
      <c r="B28814" s="0" t="s">
        <v>1</v>
      </c>
    </row>
    <row r="28815" customFormat="false" ht="12.8" hidden="false" customHeight="false" outlineLevel="0" collapsed="false">
      <c r="B28815" s="0" t="s">
        <v>8</v>
      </c>
    </row>
    <row r="28816" customFormat="false" ht="12.8" hidden="false" customHeight="false" outlineLevel="0" collapsed="false">
      <c r="B28816" s="0" t="s">
        <v>40</v>
      </c>
    </row>
    <row r="28818" customFormat="false" ht="12.8" hidden="false" customHeight="false" outlineLevel="0" collapsed="false">
      <c r="A28818" s="0" t="s">
        <v>11418</v>
      </c>
      <c r="B28818" s="0" t="str">
        <f aca="false">HYPERLINK("https://lindat.mff.cuni.cz/services/teitok/pdtc10/index.php?action=vallex&amp;frame=v-w3913f1", "porodit (v-w3913f1)")</f>
        <v>porodit (v-w3913f1)</v>
      </c>
    </row>
    <row r="28819" customFormat="false" ht="12.8" hidden="false" customHeight="false" outlineLevel="0" collapsed="false">
      <c r="B28819" s="0" t="s">
        <v>1</v>
      </c>
    </row>
    <row r="28820" customFormat="false" ht="12.8" hidden="false" customHeight="false" outlineLevel="0" collapsed="false">
      <c r="B28820" s="0" t="s">
        <v>8</v>
      </c>
    </row>
    <row r="28822" customFormat="false" ht="12.8" hidden="false" customHeight="false" outlineLevel="0" collapsed="false">
      <c r="A28822" s="0" t="s">
        <v>11419</v>
      </c>
      <c r="B28822" s="0" t="str">
        <f aca="false">HYPERLINK("https://lindat.mff.cuni.cz/services/teitok/pdtc10/index.php?action=vallex&amp;frame=v-w12021_ZUf1_ZU", "porouchat se (v-w12021_ZUf1_ZU)")</f>
        <v>porouchat se (v-w12021_ZUf1_ZU)</v>
      </c>
    </row>
    <row r="28823" customFormat="false" ht="12.8" hidden="false" customHeight="false" outlineLevel="0" collapsed="false">
      <c r="B28823" s="0" t="s">
        <v>1</v>
      </c>
    </row>
    <row r="28825" customFormat="false" ht="12.8" hidden="false" customHeight="false" outlineLevel="0" collapsed="false">
      <c r="A28825" s="0" t="s">
        <v>11420</v>
      </c>
      <c r="B28825" s="0" t="str">
        <f aca="false">HYPERLINK("https://lindat.mff.cuni.cz/services/teitok/pdtc10/index.php?action=vallex&amp;frame=v-w3916f1", "poroučet (v-w3916f1)")</f>
        <v>poroučet (v-w3916f1)</v>
      </c>
      <c r="E28825" s="0" t="str">
        <f aca="false">HYPERLINK("https://lindat.mff.cuni.cz/services/SynSemClass40/SynSemClass40.html?veclass=vec01013#vec01013-ces-cm00024", "vec01013")</f>
        <v>vec01013</v>
      </c>
      <c r="F28825" s="0" t="s">
        <v>1981</v>
      </c>
    </row>
    <row r="28826" customFormat="false" ht="12.8" hidden="false" customHeight="false" outlineLevel="0" collapsed="false">
      <c r="B28826" s="0" t="s">
        <v>1</v>
      </c>
      <c r="C28826" s="0" t="s">
        <v>415</v>
      </c>
      <c r="E28826" s="0" t="s">
        <v>206</v>
      </c>
      <c r="F28826" s="0" t="s">
        <v>1982</v>
      </c>
    </row>
    <row r="28827" customFormat="false" ht="12.8" hidden="false" customHeight="false" outlineLevel="0" collapsed="false">
      <c r="B28827" s="0" t="s">
        <v>2611</v>
      </c>
      <c r="C28827" s="0" t="s">
        <v>1984</v>
      </c>
      <c r="E28827" s="0" t="s">
        <v>1985</v>
      </c>
      <c r="F28827" s="0" t="s">
        <v>1986</v>
      </c>
    </row>
    <row r="28828" customFormat="false" ht="12.8" hidden="false" customHeight="false" outlineLevel="0" collapsed="false">
      <c r="B28828" s="0" t="s">
        <v>52</v>
      </c>
      <c r="C28828" s="0" t="s">
        <v>1987</v>
      </c>
      <c r="E28828" s="0" t="s">
        <v>564</v>
      </c>
      <c r="F28828" s="0" t="s">
        <v>1988</v>
      </c>
    </row>
    <row r="28830" customFormat="false" ht="12.8" hidden="false" customHeight="false" outlineLevel="0" collapsed="false">
      <c r="A28830" s="0" t="s">
        <v>11421</v>
      </c>
      <c r="B28830" s="0" t="str">
        <f aca="false">HYPERLINK("https://lindat.mff.cuni.cz/services/teitok/pdtc10/index.php?action=vallex&amp;frame=v-w3918f2_ZU", "porovnat (v-w3918f2_ZU)")</f>
        <v>porovnat (v-w3918f2_ZU)</v>
      </c>
    </row>
    <row r="28831" customFormat="false" ht="12.8" hidden="false" customHeight="false" outlineLevel="0" collapsed="false">
      <c r="B28831" s="0" t="s">
        <v>1</v>
      </c>
    </row>
    <row r="28832" customFormat="false" ht="12.8" hidden="false" customHeight="false" outlineLevel="0" collapsed="false">
      <c r="B28832" s="0" t="s">
        <v>305</v>
      </c>
    </row>
    <row r="28833" customFormat="false" ht="12.8" hidden="false" customHeight="false" outlineLevel="0" collapsed="false">
      <c r="B28833" s="0" t="s">
        <v>3537</v>
      </c>
    </row>
    <row r="28835" customFormat="false" ht="12.8" hidden="false" customHeight="false" outlineLevel="0" collapsed="false">
      <c r="A28835" s="0" t="s">
        <v>11421</v>
      </c>
      <c r="B28835" s="0" t="str">
        <f aca="false">HYPERLINK("https://lindat.mff.cuni.cz/services/teitok/pdtc10/index.php?action=vallex&amp;frame=v-w3918f1", "porovnat (v-w3918f1) - substituted with v-w3918f2_ZU")</f>
        <v>porovnat (v-w3918f1) - substituted with v-w3918f2_ZU</v>
      </c>
      <c r="E28835" s="0" t="str">
        <f aca="false">HYPERLINK("https://lindat.mff.cuni.cz/services/SynSemClass40/SynSemClass40.html?veclass=vec00480#vec00480-ces-cm00001", "vec00480")</f>
        <v>vec00480</v>
      </c>
      <c r="F28835" s="0" t="s">
        <v>11422</v>
      </c>
    </row>
    <row r="28836" customFormat="false" ht="12.8" hidden="false" customHeight="false" outlineLevel="0" collapsed="false">
      <c r="B28836" s="0" t="s">
        <v>1</v>
      </c>
      <c r="C28836" s="0" t="s">
        <v>657</v>
      </c>
      <c r="E28836" s="0" t="s">
        <v>5529</v>
      </c>
      <c r="F28836" s="0" t="s">
        <v>11423</v>
      </c>
    </row>
    <row r="28837" customFormat="false" ht="12.8" hidden="false" customHeight="false" outlineLevel="0" collapsed="false">
      <c r="B28837" s="0" t="s">
        <v>305</v>
      </c>
      <c r="C28837" s="0" t="s">
        <v>1437</v>
      </c>
      <c r="E28837" s="0" t="s">
        <v>5531</v>
      </c>
      <c r="F28837" s="0" t="s">
        <v>11424</v>
      </c>
    </row>
    <row r="28838" customFormat="false" ht="12.8" hidden="false" customHeight="false" outlineLevel="0" collapsed="false">
      <c r="B28838" s="0" t="s">
        <v>3537</v>
      </c>
      <c r="C28838" s="0" t="s">
        <v>11425</v>
      </c>
      <c r="E28838" s="0" t="s">
        <v>5534</v>
      </c>
      <c r="F28838" s="0" t="s">
        <v>11426</v>
      </c>
    </row>
    <row r="28840" customFormat="false" ht="12.8" hidden="false" customHeight="false" outlineLevel="0" collapsed="false">
      <c r="A28840" s="0" t="s">
        <v>11427</v>
      </c>
      <c r="B28840" s="0" t="str">
        <f aca="false">HYPERLINK("https://lindat.mff.cuni.cz/services/teitok/pdtc10/index.php?action=vallex&amp;frame=v-w3921f1", "porovnávat (v-w3921f1)")</f>
        <v>porovnávat (v-w3921f1)</v>
      </c>
      <c r="E28840" s="0" t="str">
        <f aca="false">HYPERLINK("https://lindat.mff.cuni.cz/services/SynSemClass40/SynSemClass40.html?veclass=vec00480#vec00480-ces-cm00002", "vec00480")</f>
        <v>vec00480</v>
      </c>
      <c r="F28840" s="0" t="s">
        <v>11422</v>
      </c>
    </row>
    <row r="28841" customFormat="false" ht="12.8" hidden="false" customHeight="false" outlineLevel="0" collapsed="false">
      <c r="B28841" s="0" t="s">
        <v>1</v>
      </c>
      <c r="C28841" s="0" t="s">
        <v>657</v>
      </c>
      <c r="E28841" s="0" t="s">
        <v>5529</v>
      </c>
      <c r="F28841" s="0" t="s">
        <v>11423</v>
      </c>
    </row>
    <row r="28842" customFormat="false" ht="12.8" hidden="false" customHeight="false" outlineLevel="0" collapsed="false">
      <c r="B28842" s="0" t="s">
        <v>8</v>
      </c>
      <c r="C28842" s="0" t="s">
        <v>1437</v>
      </c>
      <c r="E28842" s="0" t="s">
        <v>5531</v>
      </c>
      <c r="F28842" s="0" t="s">
        <v>11424</v>
      </c>
    </row>
    <row r="28843" customFormat="false" ht="12.8" hidden="false" customHeight="false" outlineLevel="0" collapsed="false">
      <c r="B28843" s="0" t="s">
        <v>3537</v>
      </c>
      <c r="C28843" s="0" t="s">
        <v>11425</v>
      </c>
      <c r="E28843" s="0" t="s">
        <v>5534</v>
      </c>
      <c r="F28843" s="0" t="s">
        <v>11426</v>
      </c>
    </row>
    <row r="28845" customFormat="false" ht="12.8" hidden="false" customHeight="false" outlineLevel="0" collapsed="false">
      <c r="A28845" s="0" t="s">
        <v>11428</v>
      </c>
      <c r="B28845" s="0" t="str">
        <f aca="false">HYPERLINK("https://lindat.mff.cuni.cz/services/teitok/pdtc10/index.php?action=vallex&amp;frame=v-w3921f2_ZU", "porovnávat (v-w3921f2_ZU)")</f>
        <v>porovnávat (v-w3921f2_ZU)</v>
      </c>
    </row>
    <row r="28846" customFormat="false" ht="12.8" hidden="false" customHeight="false" outlineLevel="0" collapsed="false">
      <c r="B28846" s="0" t="s">
        <v>1</v>
      </c>
    </row>
    <row r="28847" customFormat="false" ht="12.8" hidden="false" customHeight="false" outlineLevel="0" collapsed="false">
      <c r="B28847" s="0" t="s">
        <v>8112</v>
      </c>
    </row>
    <row r="28849" customFormat="false" ht="12.8" hidden="false" customHeight="false" outlineLevel="0" collapsed="false">
      <c r="A28849" s="0" t="s">
        <v>11428</v>
      </c>
      <c r="B28849" s="0" t="str">
        <f aca="false">HYPERLINK("https://lindat.mff.cuni.cz/services/teitok/pdtc10/index.php?action=vallex&amp;frame=v-w3921hsa_1516", "porovnávat (v-w3921hsa_1516) - substituted with v-w3921f2_ZU")</f>
        <v>porovnávat (v-w3921hsa_1516) - substituted with v-w3921f2_ZU</v>
      </c>
    </row>
    <row r="28850" customFormat="false" ht="12.8" hidden="false" customHeight="false" outlineLevel="0" collapsed="false">
      <c r="B28850" s="0" t="s">
        <v>1</v>
      </c>
    </row>
    <row r="28851" customFormat="false" ht="12.8" hidden="false" customHeight="false" outlineLevel="0" collapsed="false">
      <c r="B28851" s="0" t="s">
        <v>8112</v>
      </c>
    </row>
    <row r="28853" customFormat="false" ht="12.8" hidden="false" customHeight="false" outlineLevel="0" collapsed="false">
      <c r="A28853" s="0" t="s">
        <v>11429</v>
      </c>
      <c r="B28853" s="0" t="str">
        <f aca="false">HYPERLINK("https://lindat.mff.cuni.cz/services/teitok/pdtc10/index.php?action=vallex&amp;frame=v-whsa_888hsa_889", "porozhlédnout se (v-whsa_888hsa_889)")</f>
        <v>porozhlédnout se (v-whsa_888hsa_889)</v>
      </c>
      <c r="E28853" s="0" t="str">
        <f aca="false">HYPERLINK("https://lindat.mff.cuni.cz/services/SynSemClass40/SynSemClass40.html?veclass=vec01263#vec01263-ces-cm00006", "vec01263")</f>
        <v>vec01263</v>
      </c>
      <c r="F28853" s="0" t="s">
        <v>9579</v>
      </c>
    </row>
    <row r="28854" customFormat="false" ht="12.8" hidden="false" customHeight="false" outlineLevel="0" collapsed="false">
      <c r="B28854" s="0" t="s">
        <v>1</v>
      </c>
      <c r="C28854" s="0" t="s">
        <v>4695</v>
      </c>
      <c r="E28854" s="0" t="s">
        <v>3856</v>
      </c>
      <c r="F28854" s="0" t="s">
        <v>9580</v>
      </c>
    </row>
    <row r="28856" customFormat="false" ht="12.8" hidden="false" customHeight="false" outlineLevel="0" collapsed="false">
      <c r="A28856" s="0" t="s">
        <v>11430</v>
      </c>
      <c r="B28856" s="0" t="str">
        <f aca="false">HYPERLINK("https://lindat.mff.cuni.cz/services/teitok/pdtc10/index.php?action=vallex&amp;frame=v-whsa_888f1_ZU", "porozhlédnout se (v-whsa_888f1_ZU)")</f>
        <v>porozhlédnout se (v-whsa_888f1_ZU)</v>
      </c>
    </row>
    <row r="28857" customFormat="false" ht="12.8" hidden="false" customHeight="false" outlineLevel="0" collapsed="false">
      <c r="B28857" s="0" t="s">
        <v>1</v>
      </c>
    </row>
    <row r="28858" customFormat="false" ht="12.8" hidden="false" customHeight="false" outlineLevel="0" collapsed="false">
      <c r="B28858" s="0" t="s">
        <v>1659</v>
      </c>
    </row>
    <row r="28860" customFormat="false" ht="12.8" hidden="false" customHeight="false" outlineLevel="0" collapsed="false">
      <c r="A28860" s="0" t="s">
        <v>11431</v>
      </c>
      <c r="B28860" s="0" t="str">
        <f aca="false">HYPERLINK("https://lindat.mff.cuni.cz/services/teitok/pdtc10/index.php?action=vallex&amp;frame=v-whsa_886hsa_887", "porozhlédnout se (v-whsa_886hsa_887)")</f>
        <v>porozhlédnout se (v-whsa_886hsa_887)</v>
      </c>
    </row>
    <row r="28861" customFormat="false" ht="12.8" hidden="false" customHeight="false" outlineLevel="0" collapsed="false">
      <c r="B28861" s="0" t="s">
        <v>1</v>
      </c>
    </row>
    <row r="28862" customFormat="false" ht="12.8" hidden="false" customHeight="false" outlineLevel="0" collapsed="false">
      <c r="B28862" s="0" t="s">
        <v>1659</v>
      </c>
    </row>
    <row r="28864" customFormat="false" ht="12.8" hidden="false" customHeight="false" outlineLevel="0" collapsed="false">
      <c r="A28864" s="0" t="s">
        <v>11432</v>
      </c>
      <c r="B28864" s="0" t="str">
        <f aca="false">HYPERLINK("https://lindat.mff.cuni.cz/services/teitok/pdtc10/index.php?action=vallex&amp;frame=v-w11333f1", "porozhlížet se (v-w11333f1)")</f>
        <v>porozhlížet se (v-w11333f1)</v>
      </c>
      <c r="E28864" s="0" t="str">
        <f aca="false">HYPERLINK("https://lindat.mff.cuni.cz/services/SynSemClass40/SynSemClass40.html?veclass=vec00021#vec00021-ces-cm00077", "vec00021")</f>
        <v>vec00021</v>
      </c>
      <c r="F28864" s="0" t="s">
        <v>2261</v>
      </c>
    </row>
    <row r="28865" customFormat="false" ht="12.8" hidden="false" customHeight="false" outlineLevel="0" collapsed="false">
      <c r="B28865" s="0" t="s">
        <v>1</v>
      </c>
      <c r="C28865" s="0" t="s">
        <v>2262</v>
      </c>
      <c r="E28865" s="0" t="s">
        <v>2263</v>
      </c>
      <c r="F28865" s="0" t="s">
        <v>2264</v>
      </c>
    </row>
    <row r="28866" customFormat="false" ht="12.8" hidden="false" customHeight="false" outlineLevel="0" collapsed="false">
      <c r="B28866" s="0" t="s">
        <v>1659</v>
      </c>
      <c r="C28866" s="0" t="s">
        <v>2266</v>
      </c>
      <c r="E28866" s="0" t="s">
        <v>2267</v>
      </c>
      <c r="F28866" s="0" t="s">
        <v>2268</v>
      </c>
    </row>
    <row r="28868" customFormat="false" ht="12.8" hidden="false" customHeight="false" outlineLevel="0" collapsed="false">
      <c r="A28868" s="0" t="s">
        <v>11433</v>
      </c>
      <c r="B28868" s="0" t="str">
        <f aca="false">HYPERLINK("https://lindat.mff.cuni.cz/services/teitok/pdtc10/index.php?action=vallex&amp;frame=v-w10210f2", "porozmýšlet (v-w10210f2)")</f>
        <v>porozmýšlet (v-w10210f2)</v>
      </c>
    </row>
    <row r="28869" customFormat="false" ht="12.8" hidden="false" customHeight="false" outlineLevel="0" collapsed="false">
      <c r="B28869" s="0" t="s">
        <v>1</v>
      </c>
    </row>
    <row r="28870" customFormat="false" ht="12.8" hidden="false" customHeight="false" outlineLevel="0" collapsed="false">
      <c r="B28870" s="0" t="s">
        <v>3363</v>
      </c>
    </row>
    <row r="28872" customFormat="false" ht="12.8" hidden="false" customHeight="false" outlineLevel="0" collapsed="false">
      <c r="A28872" s="0" t="s">
        <v>11434</v>
      </c>
      <c r="B28872" s="0" t="str">
        <f aca="false">HYPERLINK("https://lindat.mff.cuni.cz/services/teitok/pdtc10/index.php?action=vallex&amp;frame=v-w3923f3", "porozumět (v-w3923f3)")</f>
        <v>porozumět (v-w3923f3)</v>
      </c>
    </row>
    <row r="28873" customFormat="false" ht="12.8" hidden="false" customHeight="false" outlineLevel="0" collapsed="false">
      <c r="B28873" s="0" t="s">
        <v>1</v>
      </c>
    </row>
    <row r="28874" customFormat="false" ht="12.8" hidden="false" customHeight="false" outlineLevel="0" collapsed="false">
      <c r="B28874" s="0" t="s">
        <v>2419</v>
      </c>
    </row>
    <row r="28875" customFormat="false" ht="12.8" hidden="false" customHeight="false" outlineLevel="0" collapsed="false">
      <c r="B28875" s="0" t="s">
        <v>52</v>
      </c>
    </row>
    <row r="28877" customFormat="false" ht="12.8" hidden="false" customHeight="false" outlineLevel="0" collapsed="false">
      <c r="A28877" s="0" t="s">
        <v>11435</v>
      </c>
      <c r="B28877" s="0" t="str">
        <f aca="false">HYPERLINK("https://lindat.mff.cuni.cz/services/teitok/pdtc10/index.php?action=vallex&amp;frame=v-w3923f2", "porozumět (v-w3923f2)")</f>
        <v>porozumět (v-w3923f2)</v>
      </c>
      <c r="E28877" s="0" t="str">
        <f aca="false">HYPERLINK("https://lindat.mff.cuni.cz/services/SynSemClass40/SynSemClass40.html?veclass=vec01446#vec01446-ces-cm00001", "vec01446")</f>
        <v>vec01446</v>
      </c>
      <c r="F28877" s="0" t="s">
        <v>1645</v>
      </c>
    </row>
    <row r="28878" customFormat="false" ht="12.8" hidden="false" customHeight="false" outlineLevel="0" collapsed="false">
      <c r="B28878" s="0" t="s">
        <v>1</v>
      </c>
      <c r="C28878" s="0" t="s">
        <v>7782</v>
      </c>
      <c r="E28878" s="0" t="s">
        <v>155</v>
      </c>
      <c r="F28878" s="0" t="s">
        <v>1648</v>
      </c>
    </row>
    <row r="28879" customFormat="false" ht="12.8" hidden="false" customHeight="false" outlineLevel="0" collapsed="false">
      <c r="B28879" s="0" t="s">
        <v>11436</v>
      </c>
      <c r="C28879" s="0" t="s">
        <v>11385</v>
      </c>
      <c r="E28879" s="0" t="s">
        <v>142</v>
      </c>
      <c r="F28879" s="0" t="s">
        <v>1652</v>
      </c>
    </row>
    <row r="28881" customFormat="false" ht="12.8" hidden="false" customHeight="false" outlineLevel="0" collapsed="false">
      <c r="A28881" s="0" t="s">
        <v>11437</v>
      </c>
      <c r="B28881" s="0" t="str">
        <f aca="false">HYPERLINK("https://lindat.mff.cuni.cz/services/teitok/pdtc10/index.php?action=vallex&amp;frame=v-w3923f1", "porozumět (v-w3923f1)")</f>
        <v>porozumět (v-w3923f1)</v>
      </c>
      <c r="E28881" s="0" t="str">
        <f aca="false">HYPERLINK("https://lindat.mff.cuni.cz/services/SynSemClass40/SynSemClass40.html?veclass=vec00107#vec00107-ces-cm00068", "vec00107")</f>
        <v>vec00107</v>
      </c>
      <c r="F28881" s="0" t="s">
        <v>1644</v>
      </c>
    </row>
    <row r="28882" customFormat="false" ht="12.8" hidden="false" customHeight="false" outlineLevel="0" collapsed="false">
      <c r="B28882" s="0" t="s">
        <v>1</v>
      </c>
      <c r="C28882" s="0" t="s">
        <v>5649</v>
      </c>
      <c r="E28882" s="0" t="s">
        <v>621</v>
      </c>
      <c r="F28882" s="0" t="s">
        <v>1647</v>
      </c>
    </row>
    <row r="28883" customFormat="false" ht="12.8" hidden="false" customHeight="false" outlineLevel="0" collapsed="false">
      <c r="B28883" s="0" t="s">
        <v>11438</v>
      </c>
      <c r="C28883" s="0" t="s">
        <v>4776</v>
      </c>
      <c r="E28883" s="0" t="s">
        <v>180</v>
      </c>
      <c r="F28883" s="0" t="s">
        <v>1651</v>
      </c>
    </row>
    <row r="28885" customFormat="false" ht="12.8" hidden="false" customHeight="false" outlineLevel="0" collapsed="false">
      <c r="A28885" s="0" t="s">
        <v>11439</v>
      </c>
      <c r="B28885" s="0" t="str">
        <f aca="false">HYPERLINK("https://lindat.mff.cuni.cz/services/teitok/pdtc10/index.php?action=vallex&amp;frame=v-w3925f1", "portrétovat (v-w3925f1)")</f>
        <v>portrétovat (v-w3925f1)</v>
      </c>
    </row>
    <row r="28886" customFormat="false" ht="12.8" hidden="false" customHeight="false" outlineLevel="0" collapsed="false">
      <c r="B28886" s="0" t="s">
        <v>1</v>
      </c>
    </row>
    <row r="28887" customFormat="false" ht="12.8" hidden="false" customHeight="false" outlineLevel="0" collapsed="false">
      <c r="B28887" s="0" t="s">
        <v>8</v>
      </c>
    </row>
    <row r="28889" customFormat="false" ht="12.8" hidden="false" customHeight="false" outlineLevel="0" collapsed="false">
      <c r="A28889" s="0" t="s">
        <v>11440</v>
      </c>
      <c r="B28889" s="0" t="str">
        <f aca="false">HYPERLINK("https://lindat.mff.cuni.cz/services/teitok/pdtc10/index.php?action=vallex&amp;frame=v-w3926f2", "poručit (v-w3926f2)")</f>
        <v>poručit (v-w3926f2)</v>
      </c>
    </row>
    <row r="28890" customFormat="false" ht="12.8" hidden="false" customHeight="false" outlineLevel="0" collapsed="false">
      <c r="B28890" s="0" t="s">
        <v>1</v>
      </c>
    </row>
    <row r="28891" customFormat="false" ht="12.8" hidden="false" customHeight="false" outlineLevel="0" collapsed="false">
      <c r="B28891" s="0" t="s">
        <v>2611</v>
      </c>
    </row>
    <row r="28892" customFormat="false" ht="12.8" hidden="false" customHeight="false" outlineLevel="0" collapsed="false">
      <c r="B28892" s="0" t="s">
        <v>52</v>
      </c>
    </row>
    <row r="28894" customFormat="false" ht="12.8" hidden="false" customHeight="false" outlineLevel="0" collapsed="false">
      <c r="A28894" s="0" t="s">
        <v>11441</v>
      </c>
      <c r="B28894" s="0" t="str">
        <f aca="false">HYPERLINK("https://lindat.mff.cuni.cz/services/teitok/pdtc10/index.php?action=vallex&amp;frame=v-w3926f1", "poručit (v-w3926f1)")</f>
        <v>poručit (v-w3926f1)</v>
      </c>
    </row>
    <row r="28895" customFormat="false" ht="12.8" hidden="false" customHeight="false" outlineLevel="0" collapsed="false">
      <c r="B28895" s="0" t="s">
        <v>1</v>
      </c>
    </row>
    <row r="28896" customFormat="false" ht="12.8" hidden="false" customHeight="false" outlineLevel="0" collapsed="false">
      <c r="B28896" s="0" t="s">
        <v>8</v>
      </c>
    </row>
    <row r="28897" customFormat="false" ht="12.8" hidden="false" customHeight="false" outlineLevel="0" collapsed="false">
      <c r="B28897" s="0" t="s">
        <v>11442</v>
      </c>
    </row>
    <row r="28899" customFormat="false" ht="12.8" hidden="false" customHeight="false" outlineLevel="0" collapsed="false">
      <c r="A28899" s="0" t="s">
        <v>11443</v>
      </c>
      <c r="B28899" s="0" t="str">
        <f aca="false">HYPERLINK("https://lindat.mff.cuni.cz/services/teitok/pdtc10/index.php?action=vallex&amp;frame=v-w3929f1", "porušit (v-w3929f1)")</f>
        <v>porušit (v-w3929f1)</v>
      </c>
      <c r="E28899" s="0" t="str">
        <f aca="false">HYPERLINK("https://lindat.mff.cuni.cz/services/SynSemClass40/SynSemClass40.html?veclass=vec00265#vec00265-ces-cm00001", "vec00265")</f>
        <v>vec00265</v>
      </c>
      <c r="F28899" s="0" t="s">
        <v>7217</v>
      </c>
    </row>
    <row r="28900" customFormat="false" ht="12.8" hidden="false" customHeight="false" outlineLevel="0" collapsed="false">
      <c r="B28900" s="0" t="s">
        <v>1</v>
      </c>
      <c r="C28900" s="0" t="s">
        <v>7218</v>
      </c>
      <c r="E28900" s="0" t="s">
        <v>7219</v>
      </c>
      <c r="F28900" s="0" t="s">
        <v>7220</v>
      </c>
    </row>
    <row r="28901" customFormat="false" ht="12.8" hidden="false" customHeight="false" outlineLevel="0" collapsed="false">
      <c r="B28901" s="0" t="s">
        <v>8</v>
      </c>
      <c r="C28901" s="0" t="s">
        <v>2380</v>
      </c>
      <c r="E28901" s="0" t="s">
        <v>1823</v>
      </c>
      <c r="F28901" s="0" t="s">
        <v>7221</v>
      </c>
    </row>
    <row r="28903" customFormat="false" ht="12.8" hidden="false" customHeight="false" outlineLevel="0" collapsed="false">
      <c r="A28903" s="0" t="s">
        <v>11444</v>
      </c>
      <c r="B28903" s="0" t="str">
        <f aca="false">HYPERLINK("https://lindat.mff.cuni.cz/services/teitok/pdtc10/index.php?action=vallex&amp;frame=v-w3929f2", "porušit (v-w3929f2)")</f>
        <v>porušit (v-w3929f2)</v>
      </c>
    </row>
    <row r="28904" customFormat="false" ht="12.8" hidden="false" customHeight="false" outlineLevel="0" collapsed="false">
      <c r="B28904" s="0" t="s">
        <v>1</v>
      </c>
    </row>
    <row r="28905" customFormat="false" ht="12.8" hidden="false" customHeight="false" outlineLevel="0" collapsed="false">
      <c r="B28905" s="0" t="s">
        <v>8</v>
      </c>
    </row>
    <row r="28907" customFormat="false" ht="12.8" hidden="false" customHeight="false" outlineLevel="0" collapsed="false">
      <c r="A28907" s="0" t="s">
        <v>11445</v>
      </c>
      <c r="B28907" s="0" t="str">
        <f aca="false">HYPERLINK("https://lindat.mff.cuni.cz/services/teitok/pdtc10/index.php?action=vallex&amp;frame=v-w3931f1", "porušovat (v-w3931f1)")</f>
        <v>porušovat (v-w3931f1)</v>
      </c>
      <c r="E28907" s="0" t="str">
        <f aca="false">HYPERLINK("https://lindat.mff.cuni.cz/services/SynSemClass40/SynSemClass40.html?veclass=vec00265#vec00265-ces-cm00005", "vec00265")</f>
        <v>vec00265</v>
      </c>
      <c r="F28907" s="0" t="s">
        <v>7217</v>
      </c>
    </row>
    <row r="28908" customFormat="false" ht="12.8" hidden="false" customHeight="false" outlineLevel="0" collapsed="false">
      <c r="B28908" s="0" t="s">
        <v>1</v>
      </c>
      <c r="C28908" s="0" t="s">
        <v>7218</v>
      </c>
      <c r="E28908" s="0" t="s">
        <v>7219</v>
      </c>
      <c r="F28908" s="0" t="s">
        <v>7220</v>
      </c>
    </row>
    <row r="28909" customFormat="false" ht="12.8" hidden="false" customHeight="false" outlineLevel="0" collapsed="false">
      <c r="B28909" s="0" t="s">
        <v>8</v>
      </c>
      <c r="C28909" s="0" t="s">
        <v>2380</v>
      </c>
      <c r="E28909" s="0" t="s">
        <v>1823</v>
      </c>
      <c r="F28909" s="0" t="s">
        <v>7221</v>
      </c>
    </row>
    <row r="28911" customFormat="false" ht="12.8" hidden="false" customHeight="false" outlineLevel="0" collapsed="false">
      <c r="A28911" s="0" t="s">
        <v>11446</v>
      </c>
      <c r="B28911" s="0" t="str">
        <f aca="false">HYPERLINK("https://lindat.mff.cuni.cz/services/teitok/pdtc10/index.php?action=vallex&amp;frame=v-w3931f2", "porušovat (v-w3931f2)")</f>
        <v>porušovat (v-w3931f2)</v>
      </c>
      <c r="E28911" s="0" t="str">
        <f aca="false">HYPERLINK("https://lindat.mff.cuni.cz/services/SynSemClass40/SynSemClass40.html?veclass=vec00372#vec00372-ces-cm00109", "vec00372")</f>
        <v>vec00372</v>
      </c>
      <c r="F28911" s="0" t="s">
        <v>2524</v>
      </c>
    </row>
    <row r="28912" customFormat="false" ht="12.8" hidden="false" customHeight="false" outlineLevel="0" collapsed="false">
      <c r="B28912" s="0" t="s">
        <v>1</v>
      </c>
      <c r="C28912" s="0" t="s">
        <v>2525</v>
      </c>
      <c r="E28912" s="0" t="s">
        <v>2526</v>
      </c>
      <c r="F28912" s="0" t="s">
        <v>2527</v>
      </c>
    </row>
    <row r="28913" customFormat="false" ht="12.8" hidden="false" customHeight="false" outlineLevel="0" collapsed="false">
      <c r="B28913" s="0" t="s">
        <v>8</v>
      </c>
      <c r="C28913" s="0" t="s">
        <v>2528</v>
      </c>
      <c r="E28913" s="0" t="s">
        <v>142</v>
      </c>
      <c r="F28913" s="0" t="s">
        <v>2529</v>
      </c>
    </row>
    <row r="28915" customFormat="false" ht="12.8" hidden="false" customHeight="false" outlineLevel="0" collapsed="false">
      <c r="A28915" s="0" t="s">
        <v>11447</v>
      </c>
      <c r="B28915" s="0" t="str">
        <f aca="false">HYPERLINK("https://lindat.mff.cuni.cz/services/teitok/pdtc10/index.php?action=vallex&amp;frame=v-w3932f1", "porvat se (v-w3932f1)")</f>
        <v>porvat se (v-w3932f1)</v>
      </c>
    </row>
    <row r="28916" customFormat="false" ht="12.8" hidden="false" customHeight="false" outlineLevel="0" collapsed="false">
      <c r="B28916" s="0" t="s">
        <v>1</v>
      </c>
    </row>
    <row r="28917" customFormat="false" ht="12.8" hidden="false" customHeight="false" outlineLevel="0" collapsed="false">
      <c r="B28917" s="0" t="s">
        <v>721</v>
      </c>
    </row>
    <row r="28919" customFormat="false" ht="12.8" hidden="false" customHeight="false" outlineLevel="0" collapsed="false">
      <c r="A28919" s="0" t="s">
        <v>11448</v>
      </c>
      <c r="B28919" s="0" t="str">
        <f aca="false">HYPERLINK("https://lindat.mff.cuni.cz/services/teitok/pdtc10/index.php?action=vallex&amp;frame=v-w3911f1", "porážet (v-w3911f1)")</f>
        <v>porážet (v-w3911f1)</v>
      </c>
      <c r="E28919" s="0" t="str">
        <f aca="false">HYPERLINK("https://lindat.mff.cuni.cz/services/SynSemClass40/SynSemClass40.html?veclass=vec00279#vec00279-ces-cm00010", "vec00279")</f>
        <v>vec00279</v>
      </c>
      <c r="F28919" s="0" t="s">
        <v>9067</v>
      </c>
    </row>
    <row r="28920" customFormat="false" ht="12.8" hidden="false" customHeight="false" outlineLevel="0" collapsed="false">
      <c r="B28920" s="0" t="s">
        <v>1</v>
      </c>
      <c r="C28920" s="0" t="s">
        <v>9068</v>
      </c>
      <c r="E28920" s="0" t="s">
        <v>11</v>
      </c>
      <c r="F28920" s="0" t="s">
        <v>9069</v>
      </c>
    </row>
    <row r="28921" customFormat="false" ht="12.8" hidden="false" customHeight="false" outlineLevel="0" collapsed="false">
      <c r="B28921" s="0" t="s">
        <v>8</v>
      </c>
      <c r="C28921" s="0" t="s">
        <v>9070</v>
      </c>
      <c r="E28921" s="0" t="s">
        <v>7635</v>
      </c>
      <c r="F28921" s="0" t="s">
        <v>9071</v>
      </c>
    </row>
    <row r="28923" customFormat="false" ht="12.8" hidden="false" customHeight="false" outlineLevel="0" collapsed="false">
      <c r="A28923" s="0" t="s">
        <v>11449</v>
      </c>
      <c r="B28923" s="0" t="str">
        <f aca="false">HYPERLINK("https://lindat.mff.cuni.cz/services/teitok/pdtc10/index.php?action=vallex&amp;frame=v-w3911f2", "porážet (v-w3911f2)")</f>
        <v>porážet (v-w3911f2)</v>
      </c>
      <c r="E28923" s="0" t="str">
        <f aca="false">HYPERLINK("https://lindat.mff.cuni.cz/services/SynSemClass40/SynSemClass40.html?veclass=vec00365#vec00365-ces-cm00047", "vec00365")</f>
        <v>vec00365</v>
      </c>
      <c r="F28923" s="0" t="s">
        <v>8975</v>
      </c>
    </row>
    <row r="28924" customFormat="false" ht="12.8" hidden="false" customHeight="false" outlineLevel="0" collapsed="false">
      <c r="B28924" s="0" t="s">
        <v>1</v>
      </c>
      <c r="C28924" s="0" t="s">
        <v>5883</v>
      </c>
      <c r="E28924" s="0" t="s">
        <v>76</v>
      </c>
      <c r="F28924" s="0" t="s">
        <v>8977</v>
      </c>
    </row>
    <row r="28925" customFormat="false" ht="12.8" hidden="false" customHeight="false" outlineLevel="0" collapsed="false">
      <c r="B28925" s="0" t="s">
        <v>8</v>
      </c>
      <c r="C28925" s="0" t="s">
        <v>8979</v>
      </c>
      <c r="E28925" s="0" t="s">
        <v>199</v>
      </c>
      <c r="F28925" s="0" t="s">
        <v>8980</v>
      </c>
    </row>
    <row r="28927" customFormat="false" ht="12.8" hidden="false" customHeight="false" outlineLevel="0" collapsed="false">
      <c r="A28927" s="0" t="s">
        <v>11450</v>
      </c>
      <c r="B28927" s="0" t="str">
        <f aca="false">HYPERLINK("https://lindat.mff.cuni.cz/services/teitok/pdtc10/index.php?action=vallex&amp;frame=v-w3911f3", "porážet (v-w3911f3)")</f>
        <v>porážet (v-w3911f3)</v>
      </c>
    </row>
    <row r="28928" customFormat="false" ht="12.8" hidden="false" customHeight="false" outlineLevel="0" collapsed="false">
      <c r="B28928" s="0" t="s">
        <v>1</v>
      </c>
    </row>
    <row r="28929" customFormat="false" ht="12.8" hidden="false" customHeight="false" outlineLevel="0" collapsed="false">
      <c r="B28929" s="0" t="s">
        <v>8</v>
      </c>
    </row>
    <row r="28931" customFormat="false" ht="12.8" hidden="false" customHeight="false" outlineLevel="0" collapsed="false">
      <c r="A28931" s="0" t="s">
        <v>11451</v>
      </c>
      <c r="B28931" s="0" t="str">
        <f aca="false">HYPERLINK("https://lindat.mff.cuni.cz/services/teitok/pdtc10/index.php?action=vallex&amp;frame=v-w3948f2", "posadit (v-w3948f2)")</f>
        <v>posadit (v-w3948f2)</v>
      </c>
    </row>
    <row r="28932" customFormat="false" ht="12.8" hidden="false" customHeight="false" outlineLevel="0" collapsed="false">
      <c r="B28932" s="0" t="s">
        <v>1</v>
      </c>
    </row>
    <row r="28933" customFormat="false" ht="12.8" hidden="false" customHeight="false" outlineLevel="0" collapsed="false">
      <c r="B28933" s="0" t="s">
        <v>8</v>
      </c>
    </row>
    <row r="28934" customFormat="false" ht="12.8" hidden="false" customHeight="false" outlineLevel="0" collapsed="false">
      <c r="B28934" s="0" t="s">
        <v>3245</v>
      </c>
    </row>
    <row r="28936" customFormat="false" ht="12.8" hidden="false" customHeight="false" outlineLevel="0" collapsed="false">
      <c r="A28936" s="0" t="s">
        <v>11452</v>
      </c>
      <c r="B28936" s="0" t="str">
        <f aca="false">HYPERLINK("https://lindat.mff.cuni.cz/services/teitok/pdtc10/index.php?action=vallex&amp;frame=v-w3948f1", "posadit (v-w3948f1)")</f>
        <v>posadit (v-w3948f1)</v>
      </c>
      <c r="E28936" s="0" t="str">
        <f aca="false">HYPERLINK("https://lindat.mff.cuni.cz/services/SynSemClass40/SynSemClass40.html?veclass=vec00735#vec00735-ces-cm00086", "vec00735")</f>
        <v>vec00735</v>
      </c>
      <c r="F28936" s="0" t="s">
        <v>2719</v>
      </c>
    </row>
    <row r="28937" customFormat="false" ht="12.8" hidden="false" customHeight="false" outlineLevel="0" collapsed="false">
      <c r="B28937" s="0" t="s">
        <v>1</v>
      </c>
      <c r="C28937" s="0" t="s">
        <v>2720</v>
      </c>
      <c r="E28937" s="0" t="s">
        <v>334</v>
      </c>
      <c r="F28937" s="0" t="s">
        <v>2721</v>
      </c>
    </row>
    <row r="28938" customFormat="false" ht="12.8" hidden="false" customHeight="false" outlineLevel="0" collapsed="false">
      <c r="B28938" s="0" t="s">
        <v>8</v>
      </c>
      <c r="C28938" s="0" t="s">
        <v>2722</v>
      </c>
      <c r="E28938" s="0" t="s">
        <v>2648</v>
      </c>
      <c r="F28938" s="0" t="s">
        <v>2723</v>
      </c>
    </row>
    <row r="28939" customFormat="false" ht="12.8" hidden="false" customHeight="false" outlineLevel="0" collapsed="false">
      <c r="B28939" s="0" t="s">
        <v>164</v>
      </c>
      <c r="C28939" s="0" t="s">
        <v>2724</v>
      </c>
      <c r="E28939" s="0" t="s">
        <v>370</v>
      </c>
      <c r="F28939" s="0" t="s">
        <v>2725</v>
      </c>
    </row>
    <row r="28941" customFormat="false" ht="12.8" hidden="false" customHeight="false" outlineLevel="0" collapsed="false">
      <c r="A28941" s="0" t="s">
        <v>11453</v>
      </c>
      <c r="B28941" s="0" t="str">
        <f aca="false">HYPERLINK("https://lindat.mff.cuni.cz/services/teitok/pdtc10/index.php?action=vallex&amp;frame=v-w3949f1", "posadit se (v-w3949f1)")</f>
        <v>posadit se (v-w3949f1)</v>
      </c>
      <c r="E28941" s="0" t="str">
        <f aca="false">HYPERLINK("https://lindat.mff.cuni.cz/services/SynSemClass40/SynSemClass40.html?veclass=vec00705#vec00705-ces-cm00019", "vec00705")</f>
        <v>vec00705</v>
      </c>
      <c r="F28941" s="0" t="s">
        <v>9251</v>
      </c>
    </row>
    <row r="28942" customFormat="false" ht="12.8" hidden="false" customHeight="false" outlineLevel="0" collapsed="false">
      <c r="B28942" s="0" t="s">
        <v>1</v>
      </c>
      <c r="C28942" s="0" t="s">
        <v>2789</v>
      </c>
      <c r="E28942" s="0" t="s">
        <v>11</v>
      </c>
      <c r="F28942" s="0" t="s">
        <v>9252</v>
      </c>
    </row>
    <row r="28943" customFormat="false" ht="12.8" hidden="false" customHeight="false" outlineLevel="0" collapsed="false">
      <c r="B28943" s="0" t="s">
        <v>164</v>
      </c>
      <c r="E28943" s="0" t="s">
        <v>370</v>
      </c>
      <c r="F28943" s="0" t="s">
        <v>3041</v>
      </c>
    </row>
    <row r="28945" customFormat="false" ht="12.8" hidden="false" customHeight="false" outlineLevel="0" collapsed="false">
      <c r="A28945" s="0" t="s">
        <v>11454</v>
      </c>
      <c r="B28945" s="0" t="str">
        <f aca="false">HYPERLINK("https://lindat.mff.cuni.cz/services/teitok/pdtc10/index.php?action=vallex&amp;frame=v-w3951f3_ZU", "posbírat (v-w3951f3_ZU)")</f>
        <v>posbírat (v-w3951f3_ZU)</v>
      </c>
    </row>
    <row r="28946" customFormat="false" ht="12.8" hidden="false" customHeight="false" outlineLevel="0" collapsed="false">
      <c r="B28946" s="0" t="s">
        <v>1</v>
      </c>
    </row>
    <row r="28947" customFormat="false" ht="12.8" hidden="false" customHeight="false" outlineLevel="0" collapsed="false">
      <c r="B28947" s="0" t="s">
        <v>305</v>
      </c>
    </row>
    <row r="28949" customFormat="false" ht="12.8" hidden="false" customHeight="false" outlineLevel="0" collapsed="false">
      <c r="A28949" s="0" t="s">
        <v>11454</v>
      </c>
      <c r="B28949" s="0" t="str">
        <f aca="false">HYPERLINK("https://lindat.mff.cuni.cz/services/teitok/pdtc10/index.php?action=vallex&amp;frame=v-w3951f2", "posbírat (v-w3951f2) - substituted with v-w3951f3_ZU")</f>
        <v>posbírat (v-w3951f2) - substituted with v-w3951f3_ZU</v>
      </c>
      <c r="E28949" s="0" t="str">
        <f aca="false">HYPERLINK("https://lindat.mff.cuni.cz/services/SynSemClass40/SynSemClass40.html?veclass=vec00443#vec00443-ces-cm00015", "vec00443")</f>
        <v>vec00443</v>
      </c>
      <c r="F28949" s="0" t="s">
        <v>90</v>
      </c>
    </row>
    <row r="28950" customFormat="false" ht="12.8" hidden="false" customHeight="false" outlineLevel="0" collapsed="false">
      <c r="B28950" s="0" t="s">
        <v>1</v>
      </c>
      <c r="C28950" s="0" t="s">
        <v>91</v>
      </c>
      <c r="E28950" s="0" t="s">
        <v>92</v>
      </c>
      <c r="F28950" s="0" t="s">
        <v>93</v>
      </c>
    </row>
    <row r="28951" customFormat="false" ht="12.8" hidden="false" customHeight="false" outlineLevel="0" collapsed="false">
      <c r="B28951" s="0" t="s">
        <v>305</v>
      </c>
      <c r="C28951" s="0" t="s">
        <v>94</v>
      </c>
      <c r="E28951" s="0" t="s">
        <v>95</v>
      </c>
      <c r="F28951" s="0" t="s">
        <v>96</v>
      </c>
    </row>
    <row r="28953" customFormat="false" ht="12.8" hidden="false" customHeight="false" outlineLevel="0" collapsed="false">
      <c r="A28953" s="0" t="s">
        <v>11455</v>
      </c>
      <c r="B28953" s="0" t="str">
        <f aca="false">HYPERLINK("https://lindat.mff.cuni.cz/services/teitok/pdtc10/index.php?action=vallex&amp;frame=v-w3951f1", "posbírat (v-w3951f1)")</f>
        <v>posbírat (v-w3951f1)</v>
      </c>
    </row>
    <row r="28954" customFormat="false" ht="12.8" hidden="false" customHeight="false" outlineLevel="0" collapsed="false">
      <c r="B28954" s="0" t="s">
        <v>1</v>
      </c>
    </row>
    <row r="28955" customFormat="false" ht="12.8" hidden="false" customHeight="false" outlineLevel="0" collapsed="false">
      <c r="B28955" s="0" t="s">
        <v>11456</v>
      </c>
    </row>
    <row r="28957" customFormat="false" ht="12.8" hidden="false" customHeight="false" outlineLevel="0" collapsed="false">
      <c r="A28957" s="0" t="s">
        <v>11457</v>
      </c>
      <c r="B28957" s="0" t="str">
        <f aca="false">HYPERLINK("https://lindat.mff.cuni.cz/services/teitok/pdtc10/index.php?action=vallex&amp;frame=v-w12301_MMf1_MM", "poschovávat (v-w12301_MMf1_MM)")</f>
        <v>poschovávat (v-w12301_MMf1_MM)</v>
      </c>
    </row>
    <row r="28958" customFormat="false" ht="12.8" hidden="false" customHeight="false" outlineLevel="0" collapsed="false">
      <c r="B28958" s="0" t="s">
        <v>1</v>
      </c>
    </row>
    <row r="28959" customFormat="false" ht="12.8" hidden="false" customHeight="false" outlineLevel="0" collapsed="false">
      <c r="B28959" s="0" t="s">
        <v>8</v>
      </c>
    </row>
    <row r="28960" customFormat="false" ht="12.8" hidden="false" customHeight="false" outlineLevel="0" collapsed="false">
      <c r="B28960" s="0" t="s">
        <v>4248</v>
      </c>
    </row>
    <row r="28962" customFormat="false" ht="12.8" hidden="false" customHeight="false" outlineLevel="0" collapsed="false">
      <c r="A28962" s="0" t="s">
        <v>11458</v>
      </c>
      <c r="B28962" s="0" t="str">
        <f aca="false">HYPERLINK("https://lindat.mff.cuni.cz/services/teitok/pdtc10/index.php?action=vallex&amp;frame=v-w3953f1", "posedávat (v-w3953f1)")</f>
        <v>posedávat (v-w3953f1)</v>
      </c>
      <c r="E28962" s="0" t="str">
        <f aca="false">HYPERLINK("https://lindat.mff.cuni.cz/services/SynSemClass40/SynSemClass40.html?veclass=vec00305#vec00305-ces-cm00017", "vec00305")</f>
        <v>vec00305</v>
      </c>
      <c r="F28962" s="0" t="s">
        <v>11459</v>
      </c>
    </row>
    <row r="28963" customFormat="false" ht="12.8" hidden="false" customHeight="false" outlineLevel="0" collapsed="false">
      <c r="B28963" s="0" t="s">
        <v>1</v>
      </c>
      <c r="C28963" s="0" t="s">
        <v>11460</v>
      </c>
      <c r="E28963" s="0" t="s">
        <v>11</v>
      </c>
      <c r="F28963" s="0" t="s">
        <v>11461</v>
      </c>
    </row>
    <row r="28965" customFormat="false" ht="12.8" hidden="false" customHeight="false" outlineLevel="0" collapsed="false">
      <c r="A28965" s="0" t="s">
        <v>11462</v>
      </c>
      <c r="B28965" s="0" t="str">
        <f aca="false">HYPERLINK("https://lindat.mff.cuni.cz/services/teitok/pdtc10/index.php?action=vallex&amp;frame=v-w3954f1", "posedět (v-w3954f1)")</f>
        <v>posedět (v-w3954f1)</v>
      </c>
    </row>
    <row r="28966" customFormat="false" ht="12.8" hidden="false" customHeight="false" outlineLevel="0" collapsed="false">
      <c r="B28966" s="0" t="s">
        <v>1</v>
      </c>
    </row>
    <row r="28968" customFormat="false" ht="12.8" hidden="false" customHeight="false" outlineLevel="0" collapsed="false">
      <c r="A28968" s="0" t="s">
        <v>11463</v>
      </c>
      <c r="B28968" s="0" t="str">
        <f aca="false">HYPERLINK("https://lindat.mff.cuni.cz/services/teitok/pdtc10/index.php?action=vallex&amp;frame=v-whsa_1863hsa_1864", "posedět si (v-whsa_1863hsa_1864)")</f>
        <v>posedět si (v-whsa_1863hsa_1864)</v>
      </c>
    </row>
    <row r="28969" customFormat="false" ht="12.8" hidden="false" customHeight="false" outlineLevel="0" collapsed="false">
      <c r="B28969" s="0" t="s">
        <v>1</v>
      </c>
    </row>
    <row r="28971" customFormat="false" ht="12.8" hidden="false" customHeight="false" outlineLevel="0" collapsed="false">
      <c r="A28971" s="0" t="s">
        <v>11464</v>
      </c>
      <c r="B28971" s="0" t="str">
        <f aca="false">HYPERLINK("https://lindat.mff.cuni.cz/services/teitok/pdtc10/index.php?action=vallex&amp;frame=v-whsa_265hsa_266", "posekat (v-whsa_265hsa_266)")</f>
        <v>posekat (v-whsa_265hsa_266)</v>
      </c>
    </row>
    <row r="28972" customFormat="false" ht="12.8" hidden="false" customHeight="false" outlineLevel="0" collapsed="false">
      <c r="B28972" s="0" t="s">
        <v>1</v>
      </c>
    </row>
    <row r="28973" customFormat="false" ht="12.8" hidden="false" customHeight="false" outlineLevel="0" collapsed="false">
      <c r="B28973" s="0" t="s">
        <v>8</v>
      </c>
    </row>
    <row r="28975" customFormat="false" ht="12.8" hidden="false" customHeight="false" outlineLevel="0" collapsed="false">
      <c r="A28975" s="0" t="s">
        <v>11465</v>
      </c>
      <c r="B28975" s="0" t="str">
        <f aca="false">HYPERLINK("https://lindat.mff.cuni.cz/services/teitok/pdtc10/index.php?action=vallex&amp;frame=v-w12161_ZUf1_ZU", "posestřit se (v-w12161_ZUf1_ZU)")</f>
        <v>posestřit se (v-w12161_ZUf1_ZU)</v>
      </c>
    </row>
    <row r="28976" customFormat="false" ht="12.8" hidden="false" customHeight="false" outlineLevel="0" collapsed="false">
      <c r="B28976" s="0" t="s">
        <v>1</v>
      </c>
    </row>
    <row r="28978" customFormat="false" ht="12.8" hidden="false" customHeight="false" outlineLevel="0" collapsed="false">
      <c r="A28978" s="0" t="s">
        <v>11466</v>
      </c>
      <c r="B28978" s="0" t="str">
        <f aca="false">HYPERLINK("https://lindat.mff.cuni.cz/services/teitok/pdtc10/index.php?action=vallex&amp;frame=v-w3952f1", "posečkat (v-w3952f1)")</f>
        <v>posečkat (v-w3952f1)</v>
      </c>
    </row>
    <row r="28979" customFormat="false" ht="12.8" hidden="false" customHeight="false" outlineLevel="0" collapsed="false">
      <c r="B28979" s="0" t="s">
        <v>1</v>
      </c>
    </row>
    <row r="28980" customFormat="false" ht="12.8" hidden="false" customHeight="false" outlineLevel="0" collapsed="false">
      <c r="B28980" s="0" t="s">
        <v>721</v>
      </c>
    </row>
    <row r="28982" customFormat="false" ht="12.8" hidden="false" customHeight="false" outlineLevel="0" collapsed="false">
      <c r="A28982" s="0" t="s">
        <v>11467</v>
      </c>
      <c r="B28982" s="0" t="str">
        <f aca="false">HYPERLINK("https://lindat.mff.cuni.cz/services/teitok/pdtc10/index.php?action=vallex&amp;frame=v-w3966f1", "posilnit (v-w3966f1)")</f>
        <v>posilnit (v-w3966f1)</v>
      </c>
    </row>
    <row r="28983" customFormat="false" ht="12.8" hidden="false" customHeight="false" outlineLevel="0" collapsed="false">
      <c r="B28983" s="0" t="s">
        <v>1</v>
      </c>
    </row>
    <row r="28984" customFormat="false" ht="12.8" hidden="false" customHeight="false" outlineLevel="0" collapsed="false">
      <c r="B28984" s="0" t="s">
        <v>8</v>
      </c>
    </row>
    <row r="28986" customFormat="false" ht="12.8" hidden="false" customHeight="false" outlineLevel="0" collapsed="false">
      <c r="A28986" s="0" t="s">
        <v>11468</v>
      </c>
      <c r="B28986" s="0" t="str">
        <f aca="false">HYPERLINK("https://lindat.mff.cuni.cz/services/teitok/pdtc10/index.php?action=vallex&amp;frame=v-w3969f1", "posilovat (v-w3969f1)")</f>
        <v>posilovat (v-w3969f1)</v>
      </c>
    </row>
    <row r="28987" customFormat="false" ht="12.8" hidden="false" customHeight="false" outlineLevel="0" collapsed="false">
      <c r="B28987" s="0" t="s">
        <v>1</v>
      </c>
    </row>
    <row r="28988" customFormat="false" ht="12.8" hidden="false" customHeight="false" outlineLevel="0" collapsed="false">
      <c r="B28988" s="0" t="s">
        <v>8</v>
      </c>
    </row>
    <row r="28989" customFormat="false" ht="12.8" hidden="false" customHeight="false" outlineLevel="0" collapsed="false">
      <c r="B28989" s="0" t="s">
        <v>36</v>
      </c>
    </row>
    <row r="28990" customFormat="false" ht="12.8" hidden="false" customHeight="false" outlineLevel="0" collapsed="false">
      <c r="B28990" s="0" t="s">
        <v>101</v>
      </c>
    </row>
    <row r="28992" customFormat="false" ht="12.8" hidden="false" customHeight="false" outlineLevel="0" collapsed="false">
      <c r="A28992" s="0" t="s">
        <v>11469</v>
      </c>
      <c r="B28992" s="0" t="str">
        <f aca="false">HYPERLINK("https://lindat.mff.cuni.cz/services/teitok/pdtc10/index.php?action=vallex&amp;frame=v-w3969f4_ZU", "posilovat (v-w3969f4_ZU)")</f>
        <v>posilovat (v-w3969f4_ZU)</v>
      </c>
      <c r="E28992" s="0" t="str">
        <f aca="false">HYPERLINK("https://lindat.mff.cuni.cz/services/SynSemClass40/SynSemClass40.html?veclass=vec00109#vec00109-ces-cm00094", "vec00109")</f>
        <v>vec00109</v>
      </c>
      <c r="F28992" s="0" t="s">
        <v>5143</v>
      </c>
    </row>
    <row r="28993" customFormat="false" ht="12.8" hidden="false" customHeight="false" outlineLevel="0" collapsed="false">
      <c r="B28993" s="0" t="s">
        <v>1</v>
      </c>
      <c r="C28993" s="0" t="s">
        <v>7017</v>
      </c>
      <c r="E28993" s="0" t="s">
        <v>235</v>
      </c>
      <c r="F28993" s="0" t="s">
        <v>5146</v>
      </c>
    </row>
    <row r="28994" customFormat="false" ht="12.8" hidden="false" customHeight="false" outlineLevel="0" collapsed="false">
      <c r="B28994" s="0" t="s">
        <v>69</v>
      </c>
      <c r="C28994" s="0" t="s">
        <v>5148</v>
      </c>
      <c r="E28994" s="0" t="s">
        <v>5149</v>
      </c>
      <c r="F28994" s="0" t="s">
        <v>5150</v>
      </c>
    </row>
    <row r="28995" customFormat="false" ht="12.8" hidden="false" customHeight="false" outlineLevel="0" collapsed="false">
      <c r="B28995" s="0" t="s">
        <v>36</v>
      </c>
      <c r="C28995" s="0" t="s">
        <v>5151</v>
      </c>
      <c r="E28995" s="0" t="s">
        <v>5152</v>
      </c>
      <c r="F28995" s="0" t="s">
        <v>5153</v>
      </c>
    </row>
    <row r="28997" customFormat="false" ht="12.8" hidden="false" customHeight="false" outlineLevel="0" collapsed="false">
      <c r="A28997" s="0" t="s">
        <v>11469</v>
      </c>
      <c r="B28997" s="0" t="str">
        <f aca="false">HYPERLINK("https://lindat.mff.cuni.cz/services/teitok/pdtc10/index.php?action=vallex&amp;frame=v-w3969f3_ZU", "posilovat (v-w3969f3_ZU) - substituted with v-w3969f4_ZU")</f>
        <v>posilovat (v-w3969f3_ZU) - substituted with v-w3969f4_ZU</v>
      </c>
    </row>
    <row r="28998" customFormat="false" ht="12.8" hidden="false" customHeight="false" outlineLevel="0" collapsed="false">
      <c r="B28998" s="0" t="s">
        <v>1</v>
      </c>
    </row>
    <row r="28999" customFormat="false" ht="12.8" hidden="false" customHeight="false" outlineLevel="0" collapsed="false">
      <c r="B28999" s="0" t="s">
        <v>69</v>
      </c>
    </row>
    <row r="29000" customFormat="false" ht="12.8" hidden="false" customHeight="false" outlineLevel="0" collapsed="false">
      <c r="B29000" s="0" t="s">
        <v>36</v>
      </c>
    </row>
    <row r="29002" customFormat="false" ht="12.8" hidden="false" customHeight="false" outlineLevel="0" collapsed="false">
      <c r="A29002" s="0" t="s">
        <v>11470</v>
      </c>
      <c r="B29002" s="0" t="str">
        <f aca="false">HYPERLINK("https://lindat.mff.cuni.cz/services/teitok/pdtc10/index.php?action=vallex&amp;frame=v-w3969f2", "posilovat (v-w3969f2)")</f>
        <v>posilovat (v-w3969f2)</v>
      </c>
    </row>
    <row r="29003" customFormat="false" ht="12.8" hidden="false" customHeight="false" outlineLevel="0" collapsed="false">
      <c r="B29003" s="0" t="s">
        <v>1</v>
      </c>
    </row>
    <row r="29004" customFormat="false" ht="12.8" hidden="false" customHeight="false" outlineLevel="0" collapsed="false">
      <c r="B29004" s="0" t="s">
        <v>8</v>
      </c>
    </row>
    <row r="29006" customFormat="false" ht="12.8" hidden="false" customHeight="false" outlineLevel="0" collapsed="false">
      <c r="A29006" s="0" t="s">
        <v>11471</v>
      </c>
      <c r="B29006" s="0" t="str">
        <f aca="false">HYPERLINK("https://lindat.mff.cuni.cz/services/teitok/pdtc10/index.php?action=vallex&amp;frame=v-w3969f5_ZU", "posilovat (v-w3969f5_ZU)")</f>
        <v>posilovat (v-w3969f5_ZU)</v>
      </c>
      <c r="E29006" s="0" t="str">
        <f aca="false">HYPERLINK("https://lindat.mff.cuni.cz/services/SynSemClass40/SynSemClass40.html?veclass=vec00539#vec00539-ces-cm00025", "vec00539")</f>
        <v>vec00539</v>
      </c>
      <c r="F29006" s="0" t="s">
        <v>11472</v>
      </c>
    </row>
    <row r="29007" customFormat="false" ht="12.8" hidden="false" customHeight="false" outlineLevel="0" collapsed="false">
      <c r="B29007" s="0" t="s">
        <v>1</v>
      </c>
      <c r="C29007" s="0" t="s">
        <v>11473</v>
      </c>
      <c r="E29007" s="0" t="s">
        <v>8199</v>
      </c>
      <c r="F29007" s="0" t="s">
        <v>11474</v>
      </c>
    </row>
    <row r="29008" customFormat="false" ht="12.8" hidden="false" customHeight="false" outlineLevel="0" collapsed="false">
      <c r="B29008" s="0" t="s">
        <v>8</v>
      </c>
      <c r="C29008" s="0" t="s">
        <v>8834</v>
      </c>
      <c r="E29008" s="0" t="s">
        <v>142</v>
      </c>
      <c r="F29008" s="0" t="s">
        <v>11475</v>
      </c>
    </row>
    <row r="29010" customFormat="false" ht="12.8" hidden="false" customHeight="false" outlineLevel="0" collapsed="false">
      <c r="A29010" s="0" t="s">
        <v>11471</v>
      </c>
      <c r="B29010" s="0" t="str">
        <f aca="false">HYPERLINK("https://lindat.mff.cuni.cz/services/teitok/pdtc10/index.php?action=vallex&amp;frame=v-w3969hsa_1187", "posilovat (v-w3969hsa_1187) - substituted with v-w3969f5_ZU")</f>
        <v>posilovat (v-w3969hsa_1187) - substituted with v-w3969f5_ZU</v>
      </c>
    </row>
    <row r="29011" customFormat="false" ht="12.8" hidden="false" customHeight="false" outlineLevel="0" collapsed="false">
      <c r="B29011" s="0" t="s">
        <v>1</v>
      </c>
    </row>
    <row r="29012" customFormat="false" ht="12.8" hidden="false" customHeight="false" outlineLevel="0" collapsed="false">
      <c r="B29012" s="0" t="s">
        <v>8</v>
      </c>
    </row>
    <row r="29014" customFormat="false" ht="12.8" hidden="false" customHeight="false" outlineLevel="0" collapsed="false">
      <c r="A29014" s="0" t="s">
        <v>11476</v>
      </c>
      <c r="B29014" s="0" t="str">
        <f aca="false">HYPERLINK("https://lindat.mff.cuni.cz/services/teitok/pdtc10/index.php?action=vallex&amp;frame=v-whsa_715hsa_716", "posilovat se (v-whsa_715hsa_716)")</f>
        <v>posilovat se (v-whsa_715hsa_716)</v>
      </c>
    </row>
    <row r="29015" customFormat="false" ht="12.8" hidden="false" customHeight="false" outlineLevel="0" collapsed="false">
      <c r="B29015" s="0" t="s">
        <v>1</v>
      </c>
    </row>
    <row r="29017" customFormat="false" ht="12.8" hidden="false" customHeight="false" outlineLevel="0" collapsed="false">
      <c r="A29017" s="0" t="s">
        <v>11477</v>
      </c>
      <c r="B29017" s="0" t="str">
        <f aca="false">HYPERLINK("https://lindat.mff.cuni.cz/services/teitok/pdtc10/index.php?action=vallex&amp;frame=v-w3971f1", "poskakovat (v-w3971f1)")</f>
        <v>poskakovat (v-w3971f1)</v>
      </c>
      <c r="E29017" s="0" t="str">
        <f aca="false">HYPERLINK("https://lindat.mff.cuni.cz/services/SynSemClass40/SynSemClass40.html?veclass=vec00934#vec00934-ces-cm00003", "vec00934")</f>
        <v>vec00934</v>
      </c>
      <c r="F29017" s="0" t="s">
        <v>1485</v>
      </c>
      <c r="H29017" s="0" t="str">
        <f aca="false">HYPERLINK("https://lindat.mff.cuni.cz/services/SynSemClass40/SynSemClass40.html?veclass=vec01113#vec01113-ces-cm00016", "vec01113")</f>
        <v>vec01113</v>
      </c>
      <c r="I29017" s="0" t="s">
        <v>7156</v>
      </c>
    </row>
    <row r="29018" customFormat="false" ht="12.8" hidden="false" customHeight="false" outlineLevel="0" collapsed="false">
      <c r="B29018" s="0" t="s">
        <v>1</v>
      </c>
      <c r="C29018" s="0" t="s">
        <v>447</v>
      </c>
      <c r="E29018" s="0" t="s">
        <v>11</v>
      </c>
      <c r="F29018" s="0" t="s">
        <v>1486</v>
      </c>
      <c r="H29018" s="0" t="s">
        <v>334</v>
      </c>
      <c r="I29018" s="0" t="s">
        <v>1304</v>
      </c>
    </row>
    <row r="29020" customFormat="false" ht="12.8" hidden="false" customHeight="false" outlineLevel="0" collapsed="false">
      <c r="A29020" s="0" t="s">
        <v>11478</v>
      </c>
      <c r="B29020" s="0" t="str">
        <f aca="false">HYPERLINK("https://lindat.mff.cuni.cz/services/teitok/pdtc10/index.php?action=vallex&amp;frame=v-w3971f2_ZU", "poskakovat (v-w3971f2_ZU)")</f>
        <v>poskakovat (v-w3971f2_ZU)</v>
      </c>
    </row>
    <row r="29021" customFormat="false" ht="12.8" hidden="false" customHeight="false" outlineLevel="0" collapsed="false">
      <c r="B29021" s="0" t="s">
        <v>1</v>
      </c>
    </row>
    <row r="29022" customFormat="false" ht="12.8" hidden="false" customHeight="false" outlineLevel="0" collapsed="false">
      <c r="B29022" s="0" t="s">
        <v>11479</v>
      </c>
    </row>
    <row r="29024" customFormat="false" ht="12.8" hidden="false" customHeight="false" outlineLevel="0" collapsed="false">
      <c r="A29024" s="0" t="s">
        <v>11480</v>
      </c>
      <c r="B29024" s="0" t="str">
        <f aca="false">HYPERLINK("https://lindat.mff.cuni.cz/services/teitok/pdtc10/index.php?action=vallex&amp;frame=v-w3972f2_ZU", "poskládat (v-w3972f2_ZU)")</f>
        <v>poskládat (v-w3972f2_ZU)</v>
      </c>
      <c r="E29024" s="0" t="str">
        <f aca="false">HYPERLINK("https://lindat.mff.cuni.cz/services/SynSemClass40/SynSemClass40.html?veclass=vec00084#vec00084-ces-cm00146", "vec00084")</f>
        <v>vec00084</v>
      </c>
      <c r="F29024" s="0" t="s">
        <v>778</v>
      </c>
      <c r="H29024" s="0" t="str">
        <f aca="false">HYPERLINK("https://lindat.mff.cuni.cz/services/SynSemClass40/SynSemClass40.html?veclass=vec01444#vec01444-ces-cm00002", "vec01444")</f>
        <v>vec01444</v>
      </c>
      <c r="I29024" s="0" t="s">
        <v>7001</v>
      </c>
    </row>
    <row r="29025" customFormat="false" ht="12.8" hidden="false" customHeight="false" outlineLevel="0" collapsed="false">
      <c r="B29025" s="0" t="s">
        <v>1</v>
      </c>
      <c r="C29025" s="0" t="s">
        <v>11481</v>
      </c>
      <c r="E29025" s="0" t="s">
        <v>31</v>
      </c>
      <c r="F29025" s="0" t="s">
        <v>781</v>
      </c>
      <c r="H29025" s="0" t="s">
        <v>768</v>
      </c>
      <c r="I29025" s="0" t="s">
        <v>4781</v>
      </c>
    </row>
    <row r="29026" customFormat="false" ht="12.8" hidden="false" customHeight="false" outlineLevel="0" collapsed="false">
      <c r="B29026" s="0" t="s">
        <v>8</v>
      </c>
      <c r="C29026" s="0" t="s">
        <v>11482</v>
      </c>
      <c r="E29026" s="0" t="s">
        <v>771</v>
      </c>
      <c r="F29026" s="0" t="s">
        <v>784</v>
      </c>
      <c r="H29026" s="0" t="s">
        <v>110</v>
      </c>
      <c r="I29026" s="0" t="s">
        <v>7002</v>
      </c>
    </row>
    <row r="29027" customFormat="false" ht="12.8" hidden="false" customHeight="false" outlineLevel="0" collapsed="false">
      <c r="B29027" s="0" t="s">
        <v>36</v>
      </c>
      <c r="C29027" s="0" t="s">
        <v>6350</v>
      </c>
      <c r="E29027" s="0" t="s">
        <v>787</v>
      </c>
      <c r="F29027" s="0" t="s">
        <v>788</v>
      </c>
    </row>
    <row r="29028" customFormat="false" ht="12.8" hidden="false" customHeight="false" outlineLevel="0" collapsed="false">
      <c r="B29028" s="0" t="s">
        <v>11483</v>
      </c>
      <c r="H29028" s="0" t="s">
        <v>4858</v>
      </c>
      <c r="I29028" s="0" t="s">
        <v>7003</v>
      </c>
    </row>
    <row r="29030" customFormat="false" ht="12.8" hidden="false" customHeight="false" outlineLevel="0" collapsed="false">
      <c r="A29030" s="0" t="s">
        <v>11480</v>
      </c>
      <c r="B29030" s="0" t="str">
        <f aca="false">HYPERLINK("https://lindat.mff.cuni.cz/services/teitok/pdtc10/index.php?action=vallex&amp;frame=v-w3972f1", "poskládat (v-w3972f1) - substituted with v-w3972f2_ZU")</f>
        <v>poskládat (v-w3972f1) - substituted with v-w3972f2_ZU</v>
      </c>
    </row>
    <row r="29031" customFormat="false" ht="12.8" hidden="false" customHeight="false" outlineLevel="0" collapsed="false">
      <c r="B29031" s="0" t="s">
        <v>1</v>
      </c>
    </row>
    <row r="29032" customFormat="false" ht="12.8" hidden="false" customHeight="false" outlineLevel="0" collapsed="false">
      <c r="B29032" s="0" t="s">
        <v>8</v>
      </c>
    </row>
    <row r="29033" customFormat="false" ht="12.8" hidden="false" customHeight="false" outlineLevel="0" collapsed="false">
      <c r="B29033" s="0" t="s">
        <v>36</v>
      </c>
    </row>
    <row r="29034" customFormat="false" ht="12.8" hidden="false" customHeight="false" outlineLevel="0" collapsed="false">
      <c r="B29034" s="0" t="s">
        <v>11483</v>
      </c>
    </row>
    <row r="29036" customFormat="false" ht="12.8" hidden="false" customHeight="false" outlineLevel="0" collapsed="false">
      <c r="A29036" s="0" t="s">
        <v>11484</v>
      </c>
      <c r="B29036" s="0" t="str">
        <f aca="false">HYPERLINK("https://lindat.mff.cuni.cz/services/teitok/pdtc10/index.php?action=vallex&amp;frame=v-w3972hsa_2036", "poskládat (v-w3972hsa_2036)")</f>
        <v>poskládat (v-w3972hsa_2036)</v>
      </c>
    </row>
    <row r="29037" customFormat="false" ht="12.8" hidden="false" customHeight="false" outlineLevel="0" collapsed="false">
      <c r="B29037" s="0" t="s">
        <v>1</v>
      </c>
    </row>
    <row r="29038" customFormat="false" ht="12.8" hidden="false" customHeight="false" outlineLevel="0" collapsed="false">
      <c r="B29038" s="0" t="s">
        <v>8</v>
      </c>
    </row>
    <row r="29039" customFormat="false" ht="12.8" hidden="false" customHeight="false" outlineLevel="0" collapsed="false">
      <c r="B29039" s="0" t="s">
        <v>164</v>
      </c>
    </row>
    <row r="29041" customFormat="false" ht="12.8" hidden="false" customHeight="false" outlineLevel="0" collapsed="false">
      <c r="A29041" s="0" t="s">
        <v>11485</v>
      </c>
      <c r="B29041" s="0" t="str">
        <f aca="false">HYPERLINK("https://lindat.mff.cuni.cz/services/teitok/pdtc10/index.php?action=vallex&amp;frame=v-w10833f3", "poskočit (v-w10833f3)")</f>
        <v>poskočit (v-w10833f3)</v>
      </c>
      <c r="E29041" s="0" t="str">
        <f aca="false">HYPERLINK("https://lindat.mff.cuni.cz/services/SynSemClass40/SynSemClass40.html?veclass=vec00109#vec00109-ces-cm00095", "vec00109")</f>
        <v>vec00109</v>
      </c>
      <c r="F29041" s="0" t="s">
        <v>5143</v>
      </c>
    </row>
    <row r="29042" customFormat="false" ht="12.8" hidden="false" customHeight="false" outlineLevel="0" collapsed="false">
      <c r="B29042" s="0" t="s">
        <v>1</v>
      </c>
      <c r="C29042" s="0" t="s">
        <v>7017</v>
      </c>
      <c r="E29042" s="0" t="s">
        <v>235</v>
      </c>
      <c r="F29042" s="0" t="s">
        <v>5146</v>
      </c>
    </row>
    <row r="29043" customFormat="false" ht="12.8" hidden="false" customHeight="false" outlineLevel="0" collapsed="false">
      <c r="B29043" s="0" t="s">
        <v>69</v>
      </c>
      <c r="C29043" s="0" t="s">
        <v>5148</v>
      </c>
      <c r="E29043" s="0" t="s">
        <v>5149</v>
      </c>
      <c r="F29043" s="0" t="s">
        <v>5150</v>
      </c>
    </row>
    <row r="29044" customFormat="false" ht="12.8" hidden="false" customHeight="false" outlineLevel="0" collapsed="false">
      <c r="B29044" s="0" t="s">
        <v>36</v>
      </c>
      <c r="C29044" s="0" t="s">
        <v>5151</v>
      </c>
      <c r="E29044" s="0" t="s">
        <v>5152</v>
      </c>
      <c r="F29044" s="0" t="s">
        <v>5153</v>
      </c>
    </row>
    <row r="29046" customFormat="false" ht="12.8" hidden="false" customHeight="false" outlineLevel="0" collapsed="false">
      <c r="A29046" s="0" t="s">
        <v>11486</v>
      </c>
      <c r="B29046" s="0" t="str">
        <f aca="false">HYPERLINK("https://lindat.mff.cuni.cz/services/teitok/pdtc10/index.php?action=vallex&amp;frame=v-w11211f2", "poskvrnit (v-w11211f2)")</f>
        <v>poskvrnit (v-w11211f2)</v>
      </c>
      <c r="E29046" s="0" t="str">
        <f aca="false">HYPERLINK("https://lindat.mff.cuni.cz/services/SynSemClass40/SynSemClass40.html?veclass=vec00789#vec00789-ces-cm00078", "vec00789")</f>
        <v>vec00789</v>
      </c>
      <c r="F29046" s="0" t="s">
        <v>5464</v>
      </c>
    </row>
    <row r="29047" customFormat="false" ht="12.8" hidden="false" customHeight="false" outlineLevel="0" collapsed="false">
      <c r="B29047" s="0" t="s">
        <v>1</v>
      </c>
      <c r="C29047" s="0" t="s">
        <v>5809</v>
      </c>
      <c r="E29047" s="0" t="s">
        <v>1890</v>
      </c>
      <c r="F29047" s="0" t="s">
        <v>5467</v>
      </c>
    </row>
    <row r="29048" customFormat="false" ht="12.8" hidden="false" customHeight="false" outlineLevel="0" collapsed="false">
      <c r="B29048" s="0" t="s">
        <v>8</v>
      </c>
      <c r="C29048" s="0" t="s">
        <v>4105</v>
      </c>
      <c r="E29048" s="0" t="s">
        <v>1893</v>
      </c>
      <c r="F29048" s="0" t="s">
        <v>5470</v>
      </c>
    </row>
    <row r="29050" customFormat="false" ht="12.8" hidden="false" customHeight="false" outlineLevel="0" collapsed="false">
      <c r="A29050" s="0" t="s">
        <v>11487</v>
      </c>
      <c r="B29050" s="0" t="str">
        <f aca="false">HYPERLINK("https://lindat.mff.cuni.cz/services/teitok/pdtc10/index.php?action=vallex&amp;frame=v-w3973f8_ZU", "poskytnout (v-w3973f8_ZU)")</f>
        <v>poskytnout (v-w3973f8_ZU)</v>
      </c>
      <c r="E29050" s="0" t="str">
        <f aca="false">HYPERLINK("https://lindat.mff.cuni.cz/services/SynSemClass40/SynSemClass40.html?veclass=vec00074#vec00074-ces-cm00001", "vec00074")</f>
        <v>vec00074</v>
      </c>
      <c r="F29050" s="0" t="s">
        <v>1782</v>
      </c>
      <c r="H29050" s="0" t="str">
        <f aca="false">HYPERLINK("https://lindat.mff.cuni.cz/services/SynSemClass40/SynSemClass40.html?veclass=vec01256#vec01256-ces-cm00051", "vec01256")</f>
        <v>vec01256</v>
      </c>
      <c r="I29050" s="0" t="s">
        <v>2194</v>
      </c>
      <c r="K29050" s="0" t="str">
        <f aca="false">HYPERLINK("https://lindat.mff.cuni.cz/services/SynSemClass40/SynSemClass40.html?veclass=vec01535#vec01535-ces-cm00140", "vec01535")</f>
        <v>vec01535</v>
      </c>
      <c r="L29050" s="0" t="s">
        <v>11488</v>
      </c>
    </row>
    <row r="29051" customFormat="false" ht="12.8" hidden="false" customHeight="false" outlineLevel="0" collapsed="false">
      <c r="B29051" s="0" t="s">
        <v>1</v>
      </c>
      <c r="C29051" s="0" t="s">
        <v>11489</v>
      </c>
      <c r="E29051" s="0" t="s">
        <v>1784</v>
      </c>
      <c r="F29051" s="0" t="s">
        <v>1785</v>
      </c>
      <c r="H29051" s="0" t="s">
        <v>31</v>
      </c>
      <c r="I29051" s="0" t="s">
        <v>2198</v>
      </c>
      <c r="K29051" s="0" t="s">
        <v>11490</v>
      </c>
      <c r="L29051" s="0" t="s">
        <v>11491</v>
      </c>
    </row>
    <row r="29052" customFormat="false" ht="12.8" hidden="false" customHeight="false" outlineLevel="0" collapsed="false">
      <c r="B29052" s="0" t="s">
        <v>8</v>
      </c>
      <c r="C29052" s="0" t="s">
        <v>11492</v>
      </c>
      <c r="E29052" s="0" t="s">
        <v>1787</v>
      </c>
      <c r="F29052" s="0" t="s">
        <v>1788</v>
      </c>
      <c r="H29052" s="0" t="s">
        <v>1875</v>
      </c>
      <c r="I29052" s="0" t="s">
        <v>2202</v>
      </c>
      <c r="K29052" s="0" t="s">
        <v>4565</v>
      </c>
      <c r="L29052" s="0" t="s">
        <v>11493</v>
      </c>
    </row>
    <row r="29053" customFormat="false" ht="12.8" hidden="false" customHeight="false" outlineLevel="0" collapsed="false">
      <c r="B29053" s="0" t="s">
        <v>52</v>
      </c>
      <c r="C29053" s="0" t="s">
        <v>11494</v>
      </c>
      <c r="E29053" s="0" t="s">
        <v>53</v>
      </c>
      <c r="F29053" s="0" t="s">
        <v>1790</v>
      </c>
      <c r="H29053" s="0" t="s">
        <v>53</v>
      </c>
      <c r="I29053" s="0" t="s">
        <v>2205</v>
      </c>
      <c r="K29053" s="0" t="s">
        <v>11495</v>
      </c>
      <c r="L29053" s="0" t="s">
        <v>11496</v>
      </c>
    </row>
    <row r="29055" customFormat="false" ht="12.8" hidden="false" customHeight="false" outlineLevel="0" collapsed="false">
      <c r="A29055" s="0" t="s">
        <v>11487</v>
      </c>
      <c r="B29055" s="0" t="str">
        <f aca="false">HYPERLINK("https://lindat.mff.cuni.cz/services/teitok/pdtc10/index.php?action=vallex&amp;frame=v-w3973f1", "poskytnout (v-w3973f1) - substituted with v-w3973f8_ZU")</f>
        <v>poskytnout (v-w3973f1) - substituted with v-w3973f8_ZU</v>
      </c>
    </row>
    <row r="29056" customFormat="false" ht="12.8" hidden="false" customHeight="false" outlineLevel="0" collapsed="false">
      <c r="B29056" s="0" t="s">
        <v>1</v>
      </c>
    </row>
    <row r="29057" customFormat="false" ht="12.8" hidden="false" customHeight="false" outlineLevel="0" collapsed="false">
      <c r="B29057" s="0" t="s">
        <v>8</v>
      </c>
    </row>
    <row r="29058" customFormat="false" ht="12.8" hidden="false" customHeight="false" outlineLevel="0" collapsed="false">
      <c r="B29058" s="0" t="s">
        <v>52</v>
      </c>
    </row>
    <row r="29060" customFormat="false" ht="12.8" hidden="false" customHeight="false" outlineLevel="0" collapsed="false">
      <c r="A29060" s="0" t="s">
        <v>11497</v>
      </c>
      <c r="B29060" s="0" t="str">
        <f aca="false">HYPERLINK("https://lindat.mff.cuni.cz/services/teitok/pdtc10/index.php?action=vallex&amp;frame=v-w3973f11_ZU", "poskytnout (v-w3973f11_ZU)")</f>
        <v>poskytnout (v-w3973f11_ZU)</v>
      </c>
      <c r="E29060" s="0" t="str">
        <f aca="false">HYPERLINK("https://lindat.mff.cuni.cz/services/SynSemClass40/SynSemClass40.html?veclass=vec00033#vec00033-ces-cm00058", "vec00033")</f>
        <v>vec00033</v>
      </c>
      <c r="F29060" s="0" t="s">
        <v>3408</v>
      </c>
      <c r="H29060" s="0" t="str">
        <f aca="false">HYPERLINK("https://lindat.mff.cuni.cz/services/SynSemClass40/SynSemClass40.html?veclass=vec00178#vec00178-ces-cm00043", "vec00178")</f>
        <v>vec00178</v>
      </c>
      <c r="I29060" s="0" t="s">
        <v>8586</v>
      </c>
      <c r="K29060" s="0" t="str">
        <f aca="false">HYPERLINK("https://lindat.mff.cuni.cz/services/SynSemClass40/SynSemClass40.html?veclass=vec00511#vec00511-ces-cm00040", "vec00511")</f>
        <v>vec00511</v>
      </c>
      <c r="L29060" s="0" t="s">
        <v>3726</v>
      </c>
      <c r="N29060" s="0" t="str">
        <f aca="false">HYPERLINK("https://lindat.mff.cuni.cz/services/SynSemClass40/SynSemClass40.html?veclass=vec00515#vec00515-ces-cm00017", "vec00515")</f>
        <v>vec00515</v>
      </c>
      <c r="O29060" s="0" t="s">
        <v>8579</v>
      </c>
      <c r="Q29060" s="0" t="str">
        <f aca="false">HYPERLINK("https://lindat.mff.cuni.cz/services/SynSemClass40/SynSemClass40.html?veclass=vec01419#vec01419-ces-cm00043", "vec01419")</f>
        <v>vec01419</v>
      </c>
      <c r="R29060" s="0" t="s">
        <v>3428</v>
      </c>
      <c r="T29060" s="0" t="str">
        <f aca="false">HYPERLINK("https://lindat.mff.cuni.cz/services/SynSemClass40/SynSemClass40.html?veclass=vec01535#vec01535-ces-cm00141", "vec01535")</f>
        <v>vec01535</v>
      </c>
      <c r="U29060" s="0" t="s">
        <v>11488</v>
      </c>
    </row>
    <row r="29061" customFormat="false" ht="12.8" hidden="false" customHeight="false" outlineLevel="0" collapsed="false">
      <c r="B29061" s="0" t="s">
        <v>1</v>
      </c>
      <c r="C29061" s="0" t="s">
        <v>11498</v>
      </c>
      <c r="E29061" s="0" t="s">
        <v>3410</v>
      </c>
      <c r="F29061" s="0" t="s">
        <v>3411</v>
      </c>
      <c r="H29061" s="0" t="s">
        <v>31</v>
      </c>
      <c r="I29061" s="0" t="s">
        <v>8587</v>
      </c>
      <c r="K29061" s="0" t="s">
        <v>206</v>
      </c>
      <c r="L29061" s="0" t="s">
        <v>3728</v>
      </c>
      <c r="N29061" s="0" t="s">
        <v>3021</v>
      </c>
      <c r="O29061" s="0" t="s">
        <v>8580</v>
      </c>
      <c r="Q29061" s="0" t="s">
        <v>206</v>
      </c>
      <c r="R29061" s="0" t="s">
        <v>3430</v>
      </c>
      <c r="T29061" s="0" t="s">
        <v>11490</v>
      </c>
      <c r="U29061" s="0" t="s">
        <v>11491</v>
      </c>
    </row>
    <row r="29062" customFormat="false" ht="12.8" hidden="false" customHeight="false" outlineLevel="0" collapsed="false">
      <c r="B29062" s="0" t="s">
        <v>11499</v>
      </c>
      <c r="C29062" s="0" t="s">
        <v>11500</v>
      </c>
      <c r="E29062" s="0" t="s">
        <v>3471</v>
      </c>
      <c r="F29062" s="0" t="s">
        <v>3472</v>
      </c>
      <c r="H29062" s="0" t="s">
        <v>11501</v>
      </c>
      <c r="I29062" s="0" t="s">
        <v>11502</v>
      </c>
      <c r="K29062" s="0" t="s">
        <v>11503</v>
      </c>
      <c r="L29062" s="0" t="s">
        <v>11504</v>
      </c>
      <c r="Q29062" s="0" t="s">
        <v>3478</v>
      </c>
      <c r="R29062" s="0" t="s">
        <v>3479</v>
      </c>
      <c r="T29062" s="0" t="s">
        <v>11505</v>
      </c>
      <c r="U29062" s="0" t="s">
        <v>11506</v>
      </c>
    </row>
    <row r="29063" customFormat="false" ht="12.8" hidden="false" customHeight="false" outlineLevel="0" collapsed="false">
      <c r="B29063" s="0" t="s">
        <v>3473</v>
      </c>
      <c r="C29063" s="0" t="s">
        <v>11507</v>
      </c>
      <c r="E29063" s="0" t="s">
        <v>53</v>
      </c>
      <c r="F29063" s="0" t="s">
        <v>3416</v>
      </c>
      <c r="H29063" s="0" t="s">
        <v>1392</v>
      </c>
      <c r="I29063" s="0" t="s">
        <v>11508</v>
      </c>
      <c r="K29063" s="0" t="s">
        <v>3734</v>
      </c>
      <c r="L29063" s="0" t="s">
        <v>3735</v>
      </c>
      <c r="N29063" s="0" t="s">
        <v>4235</v>
      </c>
      <c r="O29063" s="0" t="s">
        <v>11509</v>
      </c>
      <c r="Q29063" s="0" t="s">
        <v>2287</v>
      </c>
      <c r="R29063" s="0" t="s">
        <v>3436</v>
      </c>
      <c r="T29063" s="0" t="s">
        <v>11495</v>
      </c>
      <c r="U29063" s="0" t="s">
        <v>11496</v>
      </c>
    </row>
    <row r="29065" customFormat="false" ht="12.8" hidden="false" customHeight="false" outlineLevel="0" collapsed="false">
      <c r="A29065" s="0" t="s">
        <v>11497</v>
      </c>
      <c r="B29065" s="0" t="str">
        <f aca="false">HYPERLINK("https://lindat.mff.cuni.cz/services/teitok/pdtc10/index.php?action=vallex&amp;frame=v-w3973f10_ZU", "poskytnout (v-w3973f10_ZU) - substituted with v-w3973f11_ZU")</f>
        <v>poskytnout (v-w3973f10_ZU) - substituted with v-w3973f11_ZU</v>
      </c>
    </row>
    <row r="29066" customFormat="false" ht="12.8" hidden="false" customHeight="false" outlineLevel="0" collapsed="false">
      <c r="B29066" s="0" t="s">
        <v>1</v>
      </c>
    </row>
    <row r="29067" customFormat="false" ht="12.8" hidden="false" customHeight="false" outlineLevel="0" collapsed="false">
      <c r="B29067" s="0" t="s">
        <v>11499</v>
      </c>
    </row>
    <row r="29068" customFormat="false" ht="12.8" hidden="false" customHeight="false" outlineLevel="0" collapsed="false">
      <c r="B29068" s="0" t="s">
        <v>3473</v>
      </c>
    </row>
    <row r="29070" customFormat="false" ht="12.8" hidden="false" customHeight="false" outlineLevel="0" collapsed="false">
      <c r="A29070" s="0" t="s">
        <v>11497</v>
      </c>
      <c r="B29070" s="0" t="str">
        <f aca="false">HYPERLINK("https://lindat.mff.cuni.cz/services/teitok/pdtc10/index.php?action=vallex&amp;frame=v-w3973f2", "poskytnout (v-w3973f2) - substituted with v-w3973f11_ZU")</f>
        <v>poskytnout (v-w3973f2) - substituted with v-w3973f11_ZU</v>
      </c>
    </row>
    <row r="29071" customFormat="false" ht="12.8" hidden="false" customHeight="false" outlineLevel="0" collapsed="false">
      <c r="B29071" s="0" t="s">
        <v>1</v>
      </c>
    </row>
    <row r="29072" customFormat="false" ht="12.8" hidden="false" customHeight="false" outlineLevel="0" collapsed="false">
      <c r="B29072" s="0" t="s">
        <v>11499</v>
      </c>
    </row>
    <row r="29073" customFormat="false" ht="12.8" hidden="false" customHeight="false" outlineLevel="0" collapsed="false">
      <c r="B29073" s="0" t="s">
        <v>3473</v>
      </c>
    </row>
    <row r="29075" customFormat="false" ht="12.8" hidden="false" customHeight="false" outlineLevel="0" collapsed="false">
      <c r="A29075" s="0" t="s">
        <v>11497</v>
      </c>
      <c r="B29075" s="0" t="str">
        <f aca="false">HYPERLINK("https://lindat.mff.cuni.cz/services/teitok/pdtc10/index.php?action=vallex&amp;frame=v-w3973f3_ZU", "poskytnout (v-w3973f3_ZU) - substituted with v-w3973f11_ZU")</f>
        <v>poskytnout (v-w3973f3_ZU) - substituted with v-w3973f11_ZU</v>
      </c>
    </row>
    <row r="29076" customFormat="false" ht="12.8" hidden="false" customHeight="false" outlineLevel="0" collapsed="false">
      <c r="B29076" s="0" t="s">
        <v>1</v>
      </c>
    </row>
    <row r="29077" customFormat="false" ht="12.8" hidden="false" customHeight="false" outlineLevel="0" collapsed="false">
      <c r="B29077" s="0" t="s">
        <v>11499</v>
      </c>
    </row>
    <row r="29078" customFormat="false" ht="12.8" hidden="false" customHeight="false" outlineLevel="0" collapsed="false">
      <c r="B29078" s="0" t="s">
        <v>3473</v>
      </c>
    </row>
    <row r="29080" customFormat="false" ht="12.8" hidden="false" customHeight="false" outlineLevel="0" collapsed="false">
      <c r="A29080" s="0" t="s">
        <v>11497</v>
      </c>
      <c r="B29080" s="0" t="str">
        <f aca="false">HYPERLINK("https://lindat.mff.cuni.cz/services/teitok/pdtc10/index.php?action=vallex&amp;frame=v-w3973f4_ZU", "poskytnout (v-w3973f4_ZU) - substituted with v-w3973f11_ZU")</f>
        <v>poskytnout (v-w3973f4_ZU) - substituted with v-w3973f11_ZU</v>
      </c>
    </row>
    <row r="29081" customFormat="false" ht="12.8" hidden="false" customHeight="false" outlineLevel="0" collapsed="false">
      <c r="B29081" s="0" t="s">
        <v>1</v>
      </c>
    </row>
    <row r="29082" customFormat="false" ht="12.8" hidden="false" customHeight="false" outlineLevel="0" collapsed="false">
      <c r="B29082" s="0" t="s">
        <v>11499</v>
      </c>
    </row>
    <row r="29083" customFormat="false" ht="12.8" hidden="false" customHeight="false" outlineLevel="0" collapsed="false">
      <c r="B29083" s="0" t="s">
        <v>3473</v>
      </c>
    </row>
    <row r="29085" customFormat="false" ht="12.8" hidden="false" customHeight="false" outlineLevel="0" collapsed="false">
      <c r="A29085" s="0" t="s">
        <v>11497</v>
      </c>
      <c r="B29085" s="0" t="str">
        <f aca="false">HYPERLINK("https://lindat.mff.cuni.cz/services/teitok/pdtc10/index.php?action=vallex&amp;frame=v-w3973f5_ZU", "poskytnout (v-w3973f5_ZU) - substituted with v-w3973f11_ZU")</f>
        <v>poskytnout (v-w3973f5_ZU) - substituted with v-w3973f11_ZU</v>
      </c>
    </row>
    <row r="29086" customFormat="false" ht="12.8" hidden="false" customHeight="false" outlineLevel="0" collapsed="false">
      <c r="B29086" s="0" t="s">
        <v>1</v>
      </c>
    </row>
    <row r="29087" customFormat="false" ht="12.8" hidden="false" customHeight="false" outlineLevel="0" collapsed="false">
      <c r="B29087" s="0" t="s">
        <v>11499</v>
      </c>
    </row>
    <row r="29088" customFormat="false" ht="12.8" hidden="false" customHeight="false" outlineLevel="0" collapsed="false">
      <c r="B29088" s="0" t="s">
        <v>3473</v>
      </c>
    </row>
    <row r="29090" customFormat="false" ht="12.8" hidden="false" customHeight="false" outlineLevel="0" collapsed="false">
      <c r="A29090" s="0" t="s">
        <v>11497</v>
      </c>
      <c r="B29090" s="0" t="str">
        <f aca="false">HYPERLINK("https://lindat.mff.cuni.cz/services/teitok/pdtc10/index.php?action=vallex&amp;frame=v-w3973f6_ZU", "poskytnout (v-w3973f6_ZU) - substituted with v-w3973f11_ZU")</f>
        <v>poskytnout (v-w3973f6_ZU) - substituted with v-w3973f11_ZU</v>
      </c>
    </row>
    <row r="29091" customFormat="false" ht="12.8" hidden="false" customHeight="false" outlineLevel="0" collapsed="false">
      <c r="B29091" s="0" t="s">
        <v>1</v>
      </c>
    </row>
    <row r="29092" customFormat="false" ht="12.8" hidden="false" customHeight="false" outlineLevel="0" collapsed="false">
      <c r="B29092" s="0" t="s">
        <v>11499</v>
      </c>
    </row>
    <row r="29093" customFormat="false" ht="12.8" hidden="false" customHeight="false" outlineLevel="0" collapsed="false">
      <c r="B29093" s="0" t="s">
        <v>3473</v>
      </c>
    </row>
    <row r="29095" customFormat="false" ht="12.8" hidden="false" customHeight="false" outlineLevel="0" collapsed="false">
      <c r="A29095" s="0" t="s">
        <v>11497</v>
      </c>
      <c r="B29095" s="0" t="str">
        <f aca="false">HYPERLINK("https://lindat.mff.cuni.cz/services/teitok/pdtc10/index.php?action=vallex&amp;frame=v-w3973f7_ZU", "poskytnout (v-w3973f7_ZU) - substituted with v-w3973f11_ZU")</f>
        <v>poskytnout (v-w3973f7_ZU) - substituted with v-w3973f11_ZU</v>
      </c>
    </row>
    <row r="29096" customFormat="false" ht="12.8" hidden="false" customHeight="false" outlineLevel="0" collapsed="false">
      <c r="B29096" s="0" t="s">
        <v>1</v>
      </c>
    </row>
    <row r="29097" customFormat="false" ht="12.8" hidden="false" customHeight="false" outlineLevel="0" collapsed="false">
      <c r="B29097" s="0" t="s">
        <v>11499</v>
      </c>
    </row>
    <row r="29098" customFormat="false" ht="12.8" hidden="false" customHeight="false" outlineLevel="0" collapsed="false">
      <c r="B29098" s="0" t="s">
        <v>3473</v>
      </c>
    </row>
    <row r="29100" customFormat="false" ht="12.8" hidden="false" customHeight="false" outlineLevel="0" collapsed="false">
      <c r="A29100" s="0" t="s">
        <v>11497</v>
      </c>
      <c r="B29100" s="0" t="str">
        <f aca="false">HYPERLINK("https://lindat.mff.cuni.cz/services/teitok/pdtc10/index.php?action=vallex&amp;frame=v-w3973f9_ZU", "poskytnout (v-w3973f9_ZU) - substituted with v-w3973f11_ZU")</f>
        <v>poskytnout (v-w3973f9_ZU) - substituted with v-w3973f11_ZU</v>
      </c>
    </row>
    <row r="29101" customFormat="false" ht="12.8" hidden="false" customHeight="false" outlineLevel="0" collapsed="false">
      <c r="B29101" s="0" t="s">
        <v>1</v>
      </c>
    </row>
    <row r="29102" customFormat="false" ht="12.8" hidden="false" customHeight="false" outlineLevel="0" collapsed="false">
      <c r="B29102" s="0" t="s">
        <v>11499</v>
      </c>
    </row>
    <row r="29103" customFormat="false" ht="12.8" hidden="false" customHeight="false" outlineLevel="0" collapsed="false">
      <c r="B29103" s="0" t="s">
        <v>3473</v>
      </c>
    </row>
    <row r="29105" customFormat="false" ht="12.8" hidden="false" customHeight="false" outlineLevel="0" collapsed="false">
      <c r="A29105" s="0" t="s">
        <v>11497</v>
      </c>
      <c r="B29105" s="0" t="str">
        <f aca="false">HYPERLINK("https://lindat.mff.cuni.cz/services/teitok/pdtc10/index.php?action=vallex&amp;frame=v-w3973hsa_270", "poskytnout (v-w3973hsa_270) - substituted with v-w3973f11_ZU")</f>
        <v>poskytnout (v-w3973hsa_270) - substituted with v-w3973f11_ZU</v>
      </c>
    </row>
    <row r="29106" customFormat="false" ht="12.8" hidden="false" customHeight="false" outlineLevel="0" collapsed="false">
      <c r="B29106" s="0" t="s">
        <v>1</v>
      </c>
    </row>
    <row r="29107" customFormat="false" ht="12.8" hidden="false" customHeight="false" outlineLevel="0" collapsed="false">
      <c r="B29107" s="0" t="s">
        <v>11499</v>
      </c>
    </row>
    <row r="29108" customFormat="false" ht="12.8" hidden="false" customHeight="false" outlineLevel="0" collapsed="false">
      <c r="B29108" s="0" t="s">
        <v>3473</v>
      </c>
    </row>
    <row r="29110" customFormat="false" ht="12.8" hidden="false" customHeight="false" outlineLevel="0" collapsed="false">
      <c r="A29110" s="0" t="s">
        <v>11510</v>
      </c>
      <c r="B29110" s="0" t="str">
        <f aca="false">HYPERLINK("https://lindat.mff.cuni.cz/services/teitok/pdtc10/index.php?action=vallex&amp;frame=v-w3978f1", "poskytovat (v-w3978f1)")</f>
        <v>poskytovat (v-w3978f1)</v>
      </c>
      <c r="E29110" s="0" t="str">
        <f aca="false">HYPERLINK("https://lindat.mff.cuni.cz/services/SynSemClass40/SynSemClass40.html?veclass=vec00074#vec00074-ces-cm00109", "vec00074")</f>
        <v>vec00074</v>
      </c>
      <c r="F29110" s="0" t="s">
        <v>1782</v>
      </c>
      <c r="H29110" s="0" t="str">
        <f aca="false">HYPERLINK("https://lindat.mff.cuni.cz/services/SynSemClass40/SynSemClass40.html?veclass=vec01256#vec01256-ces-cm00053", "vec01256")</f>
        <v>vec01256</v>
      </c>
      <c r="I29110" s="0" t="s">
        <v>2194</v>
      </c>
      <c r="K29110" s="0" t="str">
        <f aca="false">HYPERLINK("https://lindat.mff.cuni.cz/services/SynSemClass40/SynSemClass40.html?veclass=vec01535#vec01535-ces-cm00142", "vec01535")</f>
        <v>vec01535</v>
      </c>
      <c r="L29110" s="0" t="s">
        <v>11488</v>
      </c>
    </row>
    <row r="29111" customFormat="false" ht="12.8" hidden="false" customHeight="false" outlineLevel="0" collapsed="false">
      <c r="B29111" s="0" t="s">
        <v>1</v>
      </c>
      <c r="C29111" s="0" t="s">
        <v>11489</v>
      </c>
      <c r="E29111" s="0" t="s">
        <v>1784</v>
      </c>
      <c r="F29111" s="0" t="s">
        <v>1785</v>
      </c>
      <c r="H29111" s="0" t="s">
        <v>31</v>
      </c>
      <c r="I29111" s="0" t="s">
        <v>2198</v>
      </c>
      <c r="K29111" s="0" t="s">
        <v>11490</v>
      </c>
      <c r="L29111" s="0" t="s">
        <v>11491</v>
      </c>
    </row>
    <row r="29112" customFormat="false" ht="12.8" hidden="false" customHeight="false" outlineLevel="0" collapsed="false">
      <c r="B29112" s="0" t="s">
        <v>8</v>
      </c>
      <c r="C29112" s="0" t="s">
        <v>11492</v>
      </c>
      <c r="E29112" s="0" t="s">
        <v>1787</v>
      </c>
      <c r="F29112" s="0" t="s">
        <v>1788</v>
      </c>
      <c r="H29112" s="0" t="s">
        <v>1875</v>
      </c>
      <c r="I29112" s="0" t="s">
        <v>2202</v>
      </c>
      <c r="K29112" s="0" t="s">
        <v>4565</v>
      </c>
      <c r="L29112" s="0" t="s">
        <v>11493</v>
      </c>
    </row>
    <row r="29113" customFormat="false" ht="12.8" hidden="false" customHeight="false" outlineLevel="0" collapsed="false">
      <c r="B29113" s="0" t="s">
        <v>3473</v>
      </c>
      <c r="C29113" s="0" t="s">
        <v>11494</v>
      </c>
      <c r="E29113" s="0" t="s">
        <v>53</v>
      </c>
      <c r="F29113" s="0" t="s">
        <v>1790</v>
      </c>
      <c r="H29113" s="0" t="s">
        <v>53</v>
      </c>
      <c r="I29113" s="0" t="s">
        <v>2205</v>
      </c>
      <c r="K29113" s="0" t="s">
        <v>11495</v>
      </c>
      <c r="L29113" s="0" t="s">
        <v>11496</v>
      </c>
    </row>
    <row r="29115" customFormat="false" ht="12.8" hidden="false" customHeight="false" outlineLevel="0" collapsed="false">
      <c r="A29115" s="0" t="s">
        <v>11511</v>
      </c>
      <c r="B29115" s="0" t="str">
        <f aca="false">HYPERLINK("https://lindat.mff.cuni.cz/services/teitok/pdtc10/index.php?action=vallex&amp;frame=v-w3978f16_ZU", "poskytovat (v-w3978f16_ZU)")</f>
        <v>poskytovat (v-w3978f16_ZU)</v>
      </c>
    </row>
    <row r="29116" customFormat="false" ht="12.8" hidden="false" customHeight="false" outlineLevel="0" collapsed="false">
      <c r="B29116" s="0" t="s">
        <v>1</v>
      </c>
    </row>
    <row r="29117" customFormat="false" ht="12.8" hidden="false" customHeight="false" outlineLevel="0" collapsed="false">
      <c r="B29117" s="0" t="s">
        <v>11512</v>
      </c>
    </row>
    <row r="29118" customFormat="false" ht="12.8" hidden="false" customHeight="false" outlineLevel="0" collapsed="false">
      <c r="B29118" s="0" t="s">
        <v>3473</v>
      </c>
    </row>
    <row r="29120" customFormat="false" ht="12.8" hidden="false" customHeight="false" outlineLevel="0" collapsed="false">
      <c r="A29120" s="0" t="s">
        <v>11511</v>
      </c>
      <c r="B29120" s="0" t="str">
        <f aca="false">HYPERLINK("https://lindat.mff.cuni.cz/services/teitok/pdtc10/index.php?action=vallex&amp;frame=v-w3978f10_ZU", "poskytovat (v-w3978f10_ZU) - substituted with v-w3978f16_ZU")</f>
        <v>poskytovat (v-w3978f10_ZU) - substituted with v-w3978f16_ZU</v>
      </c>
    </row>
    <row r="29121" customFormat="false" ht="12.8" hidden="false" customHeight="false" outlineLevel="0" collapsed="false">
      <c r="B29121" s="0" t="s">
        <v>1</v>
      </c>
    </row>
    <row r="29122" customFormat="false" ht="12.8" hidden="false" customHeight="false" outlineLevel="0" collapsed="false">
      <c r="B29122" s="0" t="s">
        <v>11512</v>
      </c>
    </row>
    <row r="29123" customFormat="false" ht="12.8" hidden="false" customHeight="false" outlineLevel="0" collapsed="false">
      <c r="B29123" s="0" t="s">
        <v>3473</v>
      </c>
    </row>
    <row r="29125" customFormat="false" ht="12.8" hidden="false" customHeight="false" outlineLevel="0" collapsed="false">
      <c r="A29125" s="0" t="s">
        <v>11511</v>
      </c>
      <c r="B29125" s="0" t="str">
        <f aca="false">HYPERLINK("https://lindat.mff.cuni.cz/services/teitok/pdtc10/index.php?action=vallex&amp;frame=v-w3978f11_ZU", "poskytovat (v-w3978f11_ZU) - substituted with v-w3978f16_ZU")</f>
        <v>poskytovat (v-w3978f11_ZU) - substituted with v-w3978f16_ZU</v>
      </c>
    </row>
    <row r="29126" customFormat="false" ht="12.8" hidden="false" customHeight="false" outlineLevel="0" collapsed="false">
      <c r="B29126" s="0" t="s">
        <v>1</v>
      </c>
    </row>
    <row r="29127" customFormat="false" ht="12.8" hidden="false" customHeight="false" outlineLevel="0" collapsed="false">
      <c r="B29127" s="0" t="s">
        <v>11512</v>
      </c>
    </row>
    <row r="29128" customFormat="false" ht="12.8" hidden="false" customHeight="false" outlineLevel="0" collapsed="false">
      <c r="B29128" s="0" t="s">
        <v>3473</v>
      </c>
    </row>
    <row r="29130" customFormat="false" ht="12.8" hidden="false" customHeight="false" outlineLevel="0" collapsed="false">
      <c r="A29130" s="0" t="s">
        <v>11511</v>
      </c>
      <c r="B29130" s="0" t="str">
        <f aca="false">HYPERLINK("https://lindat.mff.cuni.cz/services/teitok/pdtc10/index.php?action=vallex&amp;frame=v-w3978f12_ZU", "poskytovat (v-w3978f12_ZU) - substituted with v-w3978f16_ZU")</f>
        <v>poskytovat (v-w3978f12_ZU) - substituted with v-w3978f16_ZU</v>
      </c>
    </row>
    <row r="29131" customFormat="false" ht="12.8" hidden="false" customHeight="false" outlineLevel="0" collapsed="false">
      <c r="B29131" s="0" t="s">
        <v>1</v>
      </c>
    </row>
    <row r="29132" customFormat="false" ht="12.8" hidden="false" customHeight="false" outlineLevel="0" collapsed="false">
      <c r="B29132" s="0" t="s">
        <v>11512</v>
      </c>
    </row>
    <row r="29133" customFormat="false" ht="12.8" hidden="false" customHeight="false" outlineLevel="0" collapsed="false">
      <c r="B29133" s="0" t="s">
        <v>3473</v>
      </c>
    </row>
    <row r="29135" customFormat="false" ht="12.8" hidden="false" customHeight="false" outlineLevel="0" collapsed="false">
      <c r="A29135" s="0" t="s">
        <v>11511</v>
      </c>
      <c r="B29135" s="0" t="str">
        <f aca="false">HYPERLINK("https://lindat.mff.cuni.cz/services/teitok/pdtc10/index.php?action=vallex&amp;frame=v-w3978f13_ZU", "poskytovat (v-w3978f13_ZU) - substituted with v-w3978f16_ZU")</f>
        <v>poskytovat (v-w3978f13_ZU) - substituted with v-w3978f16_ZU</v>
      </c>
    </row>
    <row r="29136" customFormat="false" ht="12.8" hidden="false" customHeight="false" outlineLevel="0" collapsed="false">
      <c r="B29136" s="0" t="s">
        <v>1</v>
      </c>
    </row>
    <row r="29137" customFormat="false" ht="12.8" hidden="false" customHeight="false" outlineLevel="0" collapsed="false">
      <c r="B29137" s="0" t="s">
        <v>11512</v>
      </c>
    </row>
    <row r="29138" customFormat="false" ht="12.8" hidden="false" customHeight="false" outlineLevel="0" collapsed="false">
      <c r="B29138" s="0" t="s">
        <v>3473</v>
      </c>
    </row>
    <row r="29140" customFormat="false" ht="12.8" hidden="false" customHeight="false" outlineLevel="0" collapsed="false">
      <c r="A29140" s="0" t="s">
        <v>11511</v>
      </c>
      <c r="B29140" s="0" t="str">
        <f aca="false">HYPERLINK("https://lindat.mff.cuni.cz/services/teitok/pdtc10/index.php?action=vallex&amp;frame=v-w3978f14_ZU", "poskytovat (v-w3978f14_ZU) - substituted with v-w3978f16_ZU")</f>
        <v>poskytovat (v-w3978f14_ZU) - substituted with v-w3978f16_ZU</v>
      </c>
    </row>
    <row r="29141" customFormat="false" ht="12.8" hidden="false" customHeight="false" outlineLevel="0" collapsed="false">
      <c r="B29141" s="0" t="s">
        <v>1</v>
      </c>
    </row>
    <row r="29142" customFormat="false" ht="12.8" hidden="false" customHeight="false" outlineLevel="0" collapsed="false">
      <c r="B29142" s="0" t="s">
        <v>11512</v>
      </c>
    </row>
    <row r="29143" customFormat="false" ht="12.8" hidden="false" customHeight="false" outlineLevel="0" collapsed="false">
      <c r="B29143" s="0" t="s">
        <v>3473</v>
      </c>
    </row>
    <row r="29145" customFormat="false" ht="12.8" hidden="false" customHeight="false" outlineLevel="0" collapsed="false">
      <c r="A29145" s="0" t="s">
        <v>11511</v>
      </c>
      <c r="B29145" s="0" t="str">
        <f aca="false">HYPERLINK("https://lindat.mff.cuni.cz/services/teitok/pdtc10/index.php?action=vallex&amp;frame=v-w3978f15_ZU", "poskytovat (v-w3978f15_ZU) - substituted with v-w3978f16_ZU")</f>
        <v>poskytovat (v-w3978f15_ZU) - substituted with v-w3978f16_ZU</v>
      </c>
      <c r="E29145" s="0" t="str">
        <f aca="false">HYPERLINK("https://lindat.mff.cuni.cz/services/SynSemClass40/SynSemClass40.html?veclass=vec00033#vec00033-ces-cm00060", "vec00033")</f>
        <v>vec00033</v>
      </c>
      <c r="F29145" s="0" t="s">
        <v>3408</v>
      </c>
      <c r="H29145" s="0" t="str">
        <f aca="false">HYPERLINK("https://lindat.mff.cuni.cz/services/SynSemClass40/SynSemClass40.html?veclass=vec00178#vec00178-ces-cm00045", "vec00178")</f>
        <v>vec00178</v>
      </c>
      <c r="I29145" s="0" t="s">
        <v>8586</v>
      </c>
      <c r="K29145" s="0" t="str">
        <f aca="false">HYPERLINK("https://lindat.mff.cuni.cz/services/SynSemClass40/SynSemClass40.html?veclass=vec00511#vec00511-ces-cm00027", "vec00511")</f>
        <v>vec00511</v>
      </c>
      <c r="L29145" s="0" t="s">
        <v>3726</v>
      </c>
      <c r="N29145" s="0" t="str">
        <f aca="false">HYPERLINK("https://lindat.mff.cuni.cz/services/SynSemClass40/SynSemClass40.html?veclass=vec00515#vec00515-ces-cm00006", "vec00515")</f>
        <v>vec00515</v>
      </c>
      <c r="O29145" s="0" t="s">
        <v>8579</v>
      </c>
      <c r="Q29145" s="0" t="str">
        <f aca="false">HYPERLINK("https://lindat.mff.cuni.cz/services/SynSemClass40/SynSemClass40.html?veclass=vec01386#vec01386-ces-cm00017", "vec01386")</f>
        <v>vec01386</v>
      </c>
      <c r="R29145" s="0" t="s">
        <v>8897</v>
      </c>
      <c r="T29145" s="0" t="str">
        <f aca="false">HYPERLINK("https://lindat.mff.cuni.cz/services/SynSemClass40/SynSemClass40.html?veclass=vec01419#vec01419-ces-cm00045", "vec01419")</f>
        <v>vec01419</v>
      </c>
      <c r="U29145" s="0" t="s">
        <v>3428</v>
      </c>
      <c r="W29145" s="0" t="str">
        <f aca="false">HYPERLINK("https://lindat.mff.cuni.cz/services/SynSemClass40/SynSemClass40.html?veclass=vec01535#vec01535-ces-cm00143", "vec01535")</f>
        <v>vec01535</v>
      </c>
      <c r="X29145" s="0" t="s">
        <v>11488</v>
      </c>
    </row>
    <row r="29146" customFormat="false" ht="12.8" hidden="false" customHeight="false" outlineLevel="0" collapsed="false">
      <c r="B29146" s="0" t="s">
        <v>1</v>
      </c>
      <c r="C29146" s="0" t="s">
        <v>11513</v>
      </c>
      <c r="E29146" s="0" t="s">
        <v>3410</v>
      </c>
      <c r="F29146" s="0" t="s">
        <v>3411</v>
      </c>
      <c r="H29146" s="0" t="s">
        <v>31</v>
      </c>
      <c r="I29146" s="0" t="s">
        <v>8587</v>
      </c>
      <c r="K29146" s="0" t="s">
        <v>206</v>
      </c>
      <c r="L29146" s="0" t="s">
        <v>3728</v>
      </c>
      <c r="N29146" s="0" t="s">
        <v>3021</v>
      </c>
      <c r="O29146" s="0" t="s">
        <v>8580</v>
      </c>
      <c r="Q29146" s="0" t="s">
        <v>206</v>
      </c>
      <c r="R29146" s="0" t="s">
        <v>8899</v>
      </c>
      <c r="T29146" s="0" t="s">
        <v>206</v>
      </c>
      <c r="U29146" s="0" t="s">
        <v>3430</v>
      </c>
      <c r="W29146" s="0" t="s">
        <v>11490</v>
      </c>
      <c r="X29146" s="0" t="s">
        <v>11491</v>
      </c>
    </row>
    <row r="29147" customFormat="false" ht="12.8" hidden="false" customHeight="false" outlineLevel="0" collapsed="false">
      <c r="B29147" s="0" t="s">
        <v>11512</v>
      </c>
      <c r="C29147" s="0" t="s">
        <v>11514</v>
      </c>
      <c r="E29147" s="0" t="s">
        <v>3471</v>
      </c>
      <c r="F29147" s="0" t="s">
        <v>3472</v>
      </c>
      <c r="H29147" s="0" t="s">
        <v>11501</v>
      </c>
      <c r="I29147" s="0" t="s">
        <v>11502</v>
      </c>
      <c r="K29147" s="0" t="s">
        <v>11503</v>
      </c>
      <c r="L29147" s="0" t="s">
        <v>11504</v>
      </c>
      <c r="Q29147" s="0" t="s">
        <v>10096</v>
      </c>
      <c r="R29147" s="0" t="s">
        <v>10097</v>
      </c>
      <c r="T29147" s="0" t="s">
        <v>3478</v>
      </c>
      <c r="U29147" s="0" t="s">
        <v>3479</v>
      </c>
      <c r="W29147" s="0" t="s">
        <v>11505</v>
      </c>
      <c r="X29147" s="0" t="s">
        <v>11506</v>
      </c>
    </row>
    <row r="29148" customFormat="false" ht="12.8" hidden="false" customHeight="false" outlineLevel="0" collapsed="false">
      <c r="B29148" s="0" t="s">
        <v>3473</v>
      </c>
      <c r="C29148" s="0" t="s">
        <v>11515</v>
      </c>
      <c r="E29148" s="0" t="s">
        <v>53</v>
      </c>
      <c r="F29148" s="0" t="s">
        <v>3416</v>
      </c>
      <c r="H29148" s="0" t="s">
        <v>1392</v>
      </c>
      <c r="I29148" s="0" t="s">
        <v>11508</v>
      </c>
      <c r="K29148" s="0" t="s">
        <v>3734</v>
      </c>
      <c r="L29148" s="0" t="s">
        <v>3735</v>
      </c>
      <c r="N29148" s="0" t="s">
        <v>4235</v>
      </c>
      <c r="O29148" s="0" t="s">
        <v>11509</v>
      </c>
      <c r="Q29148" s="0" t="s">
        <v>221</v>
      </c>
      <c r="R29148" s="0" t="s">
        <v>10099</v>
      </c>
      <c r="T29148" s="0" t="s">
        <v>2287</v>
      </c>
      <c r="U29148" s="0" t="s">
        <v>3436</v>
      </c>
      <c r="W29148" s="0" t="s">
        <v>11495</v>
      </c>
      <c r="X29148" s="0" t="s">
        <v>11496</v>
      </c>
    </row>
    <row r="29150" customFormat="false" ht="12.8" hidden="false" customHeight="false" outlineLevel="0" collapsed="false">
      <c r="A29150" s="0" t="s">
        <v>11511</v>
      </c>
      <c r="B29150" s="0" t="str">
        <f aca="false">HYPERLINK("https://lindat.mff.cuni.cz/services/teitok/pdtc10/index.php?action=vallex&amp;frame=v-w3978f2", "poskytovat (v-w3978f2) - substituted with v-w3978f16_ZU")</f>
        <v>poskytovat (v-w3978f2) - substituted with v-w3978f16_ZU</v>
      </c>
    </row>
    <row r="29151" customFormat="false" ht="12.8" hidden="false" customHeight="false" outlineLevel="0" collapsed="false">
      <c r="B29151" s="0" t="s">
        <v>1</v>
      </c>
    </row>
    <row r="29152" customFormat="false" ht="12.8" hidden="false" customHeight="false" outlineLevel="0" collapsed="false">
      <c r="B29152" s="0" t="s">
        <v>11512</v>
      </c>
    </row>
    <row r="29153" customFormat="false" ht="12.8" hidden="false" customHeight="false" outlineLevel="0" collapsed="false">
      <c r="B29153" s="0" t="s">
        <v>3473</v>
      </c>
    </row>
    <row r="29155" customFormat="false" ht="12.8" hidden="false" customHeight="false" outlineLevel="0" collapsed="false">
      <c r="A29155" s="0" t="s">
        <v>11511</v>
      </c>
      <c r="B29155" s="0" t="str">
        <f aca="false">HYPERLINK("https://lindat.mff.cuni.cz/services/teitok/pdtc10/index.php?action=vallex&amp;frame=v-w3978f3", "poskytovat (v-w3978f3) - substituted with v-w3978f16_ZU")</f>
        <v>poskytovat (v-w3978f3) - substituted with v-w3978f16_ZU</v>
      </c>
    </row>
    <row r="29156" customFormat="false" ht="12.8" hidden="false" customHeight="false" outlineLevel="0" collapsed="false">
      <c r="B29156" s="0" t="s">
        <v>1</v>
      </c>
    </row>
    <row r="29157" customFormat="false" ht="12.8" hidden="false" customHeight="false" outlineLevel="0" collapsed="false">
      <c r="B29157" s="0" t="s">
        <v>11512</v>
      </c>
    </row>
    <row r="29158" customFormat="false" ht="12.8" hidden="false" customHeight="false" outlineLevel="0" collapsed="false">
      <c r="B29158" s="0" t="s">
        <v>3473</v>
      </c>
    </row>
    <row r="29160" customFormat="false" ht="12.8" hidden="false" customHeight="false" outlineLevel="0" collapsed="false">
      <c r="A29160" s="0" t="s">
        <v>11511</v>
      </c>
      <c r="B29160" s="0" t="str">
        <f aca="false">HYPERLINK("https://lindat.mff.cuni.cz/services/teitok/pdtc10/index.php?action=vallex&amp;frame=v-w3978f4_ZU", "poskytovat (v-w3978f4_ZU) - substituted with v-w3978f16_ZU")</f>
        <v>poskytovat (v-w3978f4_ZU) - substituted with v-w3978f16_ZU</v>
      </c>
    </row>
    <row r="29161" customFormat="false" ht="12.8" hidden="false" customHeight="false" outlineLevel="0" collapsed="false">
      <c r="B29161" s="0" t="s">
        <v>1</v>
      </c>
    </row>
    <row r="29162" customFormat="false" ht="12.8" hidden="false" customHeight="false" outlineLevel="0" collapsed="false">
      <c r="B29162" s="0" t="s">
        <v>11512</v>
      </c>
    </row>
    <row r="29163" customFormat="false" ht="12.8" hidden="false" customHeight="false" outlineLevel="0" collapsed="false">
      <c r="B29163" s="0" t="s">
        <v>3473</v>
      </c>
    </row>
    <row r="29165" customFormat="false" ht="12.8" hidden="false" customHeight="false" outlineLevel="0" collapsed="false">
      <c r="A29165" s="0" t="s">
        <v>11511</v>
      </c>
      <c r="B29165" s="0" t="str">
        <f aca="false">HYPERLINK("https://lindat.mff.cuni.cz/services/teitok/pdtc10/index.php?action=vallex&amp;frame=v-w3978f5_ZU", "poskytovat (v-w3978f5_ZU) - substituted with v-w3978f16_ZU")</f>
        <v>poskytovat (v-w3978f5_ZU) - substituted with v-w3978f16_ZU</v>
      </c>
    </row>
    <row r="29166" customFormat="false" ht="12.8" hidden="false" customHeight="false" outlineLevel="0" collapsed="false">
      <c r="B29166" s="0" t="s">
        <v>1</v>
      </c>
    </row>
    <row r="29167" customFormat="false" ht="12.8" hidden="false" customHeight="false" outlineLevel="0" collapsed="false">
      <c r="B29167" s="0" t="s">
        <v>11512</v>
      </c>
    </row>
    <row r="29168" customFormat="false" ht="12.8" hidden="false" customHeight="false" outlineLevel="0" collapsed="false">
      <c r="B29168" s="0" t="s">
        <v>3473</v>
      </c>
    </row>
    <row r="29170" customFormat="false" ht="12.8" hidden="false" customHeight="false" outlineLevel="0" collapsed="false">
      <c r="A29170" s="0" t="s">
        <v>11511</v>
      </c>
      <c r="B29170" s="0" t="str">
        <f aca="false">HYPERLINK("https://lindat.mff.cuni.cz/services/teitok/pdtc10/index.php?action=vallex&amp;frame=v-w3978f6_ZU", "poskytovat (v-w3978f6_ZU) - substituted with v-w3978f16_ZU")</f>
        <v>poskytovat (v-w3978f6_ZU) - substituted with v-w3978f16_ZU</v>
      </c>
    </row>
    <row r="29171" customFormat="false" ht="12.8" hidden="false" customHeight="false" outlineLevel="0" collapsed="false">
      <c r="B29171" s="0" t="s">
        <v>1</v>
      </c>
    </row>
    <row r="29172" customFormat="false" ht="12.8" hidden="false" customHeight="false" outlineLevel="0" collapsed="false">
      <c r="B29172" s="0" t="s">
        <v>11512</v>
      </c>
    </row>
    <row r="29173" customFormat="false" ht="12.8" hidden="false" customHeight="false" outlineLevel="0" collapsed="false">
      <c r="B29173" s="0" t="s">
        <v>3473</v>
      </c>
    </row>
    <row r="29175" customFormat="false" ht="12.8" hidden="false" customHeight="false" outlineLevel="0" collapsed="false">
      <c r="A29175" s="0" t="s">
        <v>11511</v>
      </c>
      <c r="B29175" s="0" t="str">
        <f aca="false">HYPERLINK("https://lindat.mff.cuni.cz/services/teitok/pdtc10/index.php?action=vallex&amp;frame=v-w3978f7_ZU", "poskytovat (v-w3978f7_ZU) - substituted with v-w3978f16_ZU")</f>
        <v>poskytovat (v-w3978f7_ZU) - substituted with v-w3978f16_ZU</v>
      </c>
    </row>
    <row r="29176" customFormat="false" ht="12.8" hidden="false" customHeight="false" outlineLevel="0" collapsed="false">
      <c r="B29176" s="0" t="s">
        <v>1</v>
      </c>
    </row>
    <row r="29177" customFormat="false" ht="12.8" hidden="false" customHeight="false" outlineLevel="0" collapsed="false">
      <c r="B29177" s="0" t="s">
        <v>11512</v>
      </c>
    </row>
    <row r="29178" customFormat="false" ht="12.8" hidden="false" customHeight="false" outlineLevel="0" collapsed="false">
      <c r="B29178" s="0" t="s">
        <v>3473</v>
      </c>
    </row>
    <row r="29180" customFormat="false" ht="12.8" hidden="false" customHeight="false" outlineLevel="0" collapsed="false">
      <c r="A29180" s="0" t="s">
        <v>11511</v>
      </c>
      <c r="B29180" s="0" t="str">
        <f aca="false">HYPERLINK("https://lindat.mff.cuni.cz/services/teitok/pdtc10/index.php?action=vallex&amp;frame=v-w3978f8_ZU", "poskytovat (v-w3978f8_ZU) - substituted with v-w3978f16_ZU")</f>
        <v>poskytovat (v-w3978f8_ZU) - substituted with v-w3978f16_ZU</v>
      </c>
    </row>
    <row r="29181" customFormat="false" ht="12.8" hidden="false" customHeight="false" outlineLevel="0" collapsed="false">
      <c r="B29181" s="0" t="s">
        <v>1</v>
      </c>
    </row>
    <row r="29182" customFormat="false" ht="12.8" hidden="false" customHeight="false" outlineLevel="0" collapsed="false">
      <c r="B29182" s="0" t="s">
        <v>11512</v>
      </c>
    </row>
    <row r="29183" customFormat="false" ht="12.8" hidden="false" customHeight="false" outlineLevel="0" collapsed="false">
      <c r="B29183" s="0" t="s">
        <v>3473</v>
      </c>
    </row>
    <row r="29185" customFormat="false" ht="12.8" hidden="false" customHeight="false" outlineLevel="0" collapsed="false">
      <c r="A29185" s="0" t="s">
        <v>11511</v>
      </c>
      <c r="B29185" s="0" t="str">
        <f aca="false">HYPERLINK("https://lindat.mff.cuni.cz/services/teitok/pdtc10/index.php?action=vallex&amp;frame=v-w3978f9_ZU", "poskytovat (v-w3978f9_ZU) - substituted with v-w3978f16_ZU")</f>
        <v>poskytovat (v-w3978f9_ZU) - substituted with v-w3978f16_ZU</v>
      </c>
    </row>
    <row r="29186" customFormat="false" ht="12.8" hidden="false" customHeight="false" outlineLevel="0" collapsed="false">
      <c r="B29186" s="0" t="s">
        <v>1</v>
      </c>
    </row>
    <row r="29187" customFormat="false" ht="12.8" hidden="false" customHeight="false" outlineLevel="0" collapsed="false">
      <c r="B29187" s="0" t="s">
        <v>11512</v>
      </c>
    </row>
    <row r="29188" customFormat="false" ht="12.8" hidden="false" customHeight="false" outlineLevel="0" collapsed="false">
      <c r="B29188" s="0" t="s">
        <v>3473</v>
      </c>
    </row>
    <row r="29190" customFormat="false" ht="12.8" hidden="false" customHeight="false" outlineLevel="0" collapsed="false">
      <c r="A29190" s="0" t="s">
        <v>11511</v>
      </c>
      <c r="B29190" s="0" t="str">
        <f aca="false">HYPERLINK("https://lindat.mff.cuni.cz/services/teitok/pdtc10/index.php?action=vallex&amp;frame=v-w3978hsa_612", "poskytovat (v-w3978hsa_612) - substituted with v-w3978f16_ZU")</f>
        <v>poskytovat (v-w3978hsa_612) - substituted with v-w3978f16_ZU</v>
      </c>
    </row>
    <row r="29191" customFormat="false" ht="12.8" hidden="false" customHeight="false" outlineLevel="0" collapsed="false">
      <c r="B29191" s="0" t="s">
        <v>1</v>
      </c>
    </row>
    <row r="29192" customFormat="false" ht="12.8" hidden="false" customHeight="false" outlineLevel="0" collapsed="false">
      <c r="B29192" s="0" t="s">
        <v>11512</v>
      </c>
    </row>
    <row r="29193" customFormat="false" ht="12.8" hidden="false" customHeight="false" outlineLevel="0" collapsed="false">
      <c r="B29193" s="0" t="s">
        <v>3473</v>
      </c>
    </row>
    <row r="29195" customFormat="false" ht="12.8" hidden="false" customHeight="false" outlineLevel="0" collapsed="false">
      <c r="A29195" s="0" t="s">
        <v>11516</v>
      </c>
      <c r="B29195" s="0" t="str">
        <f aca="false">HYPERLINK("https://lindat.mff.cuni.cz/services/teitok/pdtc10/index.php?action=vallex&amp;frame=v-w3984f5_ZU", "poslat (v-w3984f5_ZU)")</f>
        <v>poslat (v-w3984f5_ZU)</v>
      </c>
    </row>
    <row r="29196" customFormat="false" ht="12.8" hidden="false" customHeight="false" outlineLevel="0" collapsed="false">
      <c r="B29196" s="0" t="s">
        <v>1</v>
      </c>
    </row>
    <row r="29197" customFormat="false" ht="12.8" hidden="false" customHeight="false" outlineLevel="0" collapsed="false">
      <c r="B29197" s="0" t="s">
        <v>59</v>
      </c>
    </row>
    <row r="29198" customFormat="false" ht="12.8" hidden="false" customHeight="false" outlineLevel="0" collapsed="false">
      <c r="B29198" s="0" t="s">
        <v>52</v>
      </c>
    </row>
    <row r="29200" customFormat="false" ht="12.8" hidden="false" customHeight="false" outlineLevel="0" collapsed="false">
      <c r="A29200" s="0" t="s">
        <v>11516</v>
      </c>
      <c r="B29200" s="0" t="str">
        <f aca="false">HYPERLINK("https://lindat.mff.cuni.cz/services/teitok/pdtc10/index.php?action=vallex&amp;frame=v-w3984f2", "poslat (v-w3984f2) - substituted with v-w3984f5_ZU")</f>
        <v>poslat (v-w3984f2) - substituted with v-w3984f5_ZU</v>
      </c>
      <c r="E29200" s="0" t="str">
        <f aca="false">HYPERLINK("https://lindat.mff.cuni.cz/services/SynSemClass40/SynSemClass40.html?veclass=vec00209#vec00209-ces-cm00038", "vec00209")</f>
        <v>vec00209</v>
      </c>
      <c r="F29200" s="0" t="s">
        <v>2040</v>
      </c>
    </row>
    <row r="29201" customFormat="false" ht="12.8" hidden="false" customHeight="false" outlineLevel="0" collapsed="false">
      <c r="B29201" s="0" t="s">
        <v>1</v>
      </c>
      <c r="C29201" s="0" t="s">
        <v>2041</v>
      </c>
      <c r="E29201" s="0" t="s">
        <v>1784</v>
      </c>
      <c r="F29201" s="0" t="s">
        <v>2042</v>
      </c>
    </row>
    <row r="29202" customFormat="false" ht="12.8" hidden="false" customHeight="false" outlineLevel="0" collapsed="false">
      <c r="B29202" s="0" t="s">
        <v>59</v>
      </c>
      <c r="C29202" s="0" t="s">
        <v>2043</v>
      </c>
      <c r="E29202" s="0" t="s">
        <v>1787</v>
      </c>
      <c r="F29202" s="0" t="s">
        <v>2044</v>
      </c>
    </row>
    <row r="29203" customFormat="false" ht="12.8" hidden="false" customHeight="false" outlineLevel="0" collapsed="false">
      <c r="B29203" s="0" t="s">
        <v>52</v>
      </c>
      <c r="C29203" s="0" t="s">
        <v>2046</v>
      </c>
      <c r="E29203" s="0" t="s">
        <v>53</v>
      </c>
      <c r="F29203" s="0" t="s">
        <v>2047</v>
      </c>
    </row>
    <row r="29205" customFormat="false" ht="12.8" hidden="false" customHeight="false" outlineLevel="0" collapsed="false">
      <c r="A29205" s="0" t="s">
        <v>11517</v>
      </c>
      <c r="B29205" s="0" t="str">
        <f aca="false">HYPERLINK("https://lindat.mff.cuni.cz/services/teitok/pdtc10/index.php?action=vallex&amp;frame=v-w3984f4", "poslat (v-w3984f4)")</f>
        <v>poslat (v-w3984f4)</v>
      </c>
    </row>
    <row r="29206" customFormat="false" ht="12.8" hidden="false" customHeight="false" outlineLevel="0" collapsed="false">
      <c r="B29206" s="0" t="s">
        <v>1</v>
      </c>
    </row>
    <row r="29207" customFormat="false" ht="12.8" hidden="false" customHeight="false" outlineLevel="0" collapsed="false">
      <c r="B29207" s="0" t="s">
        <v>8</v>
      </c>
    </row>
    <row r="29208" customFormat="false" ht="12.8" hidden="false" customHeight="false" outlineLevel="0" collapsed="false">
      <c r="B29208" s="0" t="s">
        <v>361</v>
      </c>
    </row>
    <row r="29210" customFormat="false" ht="12.8" hidden="false" customHeight="false" outlineLevel="0" collapsed="false">
      <c r="A29210" s="0" t="s">
        <v>11518</v>
      </c>
      <c r="B29210" s="0" t="str">
        <f aca="false">HYPERLINK("https://lindat.mff.cuni.cz/services/teitok/pdtc10/index.php?action=vallex&amp;frame=v-w3984f1", "poslat (v-w3984f1)")</f>
        <v>poslat (v-w3984f1)</v>
      </c>
      <c r="E29210" s="0" t="str">
        <f aca="false">HYPERLINK("https://lindat.mff.cuni.cz/services/SynSemClass40/SynSemClass40.html?veclass=vec00209#vec00209-ces-cm00011", "vec00209")</f>
        <v>vec00209</v>
      </c>
      <c r="F29210" s="0" t="s">
        <v>2040</v>
      </c>
    </row>
    <row r="29211" customFormat="false" ht="12.8" hidden="false" customHeight="false" outlineLevel="0" collapsed="false">
      <c r="B29211" s="0" t="s">
        <v>1</v>
      </c>
      <c r="C29211" s="0" t="s">
        <v>2041</v>
      </c>
      <c r="E29211" s="0" t="s">
        <v>1784</v>
      </c>
      <c r="F29211" s="0" t="s">
        <v>2042</v>
      </c>
    </row>
    <row r="29212" customFormat="false" ht="12.8" hidden="false" customHeight="false" outlineLevel="0" collapsed="false">
      <c r="B29212" s="0" t="s">
        <v>8</v>
      </c>
      <c r="C29212" s="0" t="s">
        <v>2043</v>
      </c>
      <c r="E29212" s="0" t="s">
        <v>1787</v>
      </c>
      <c r="F29212" s="0" t="s">
        <v>2044</v>
      </c>
    </row>
    <row r="29213" customFormat="false" ht="12.8" hidden="false" customHeight="false" outlineLevel="0" collapsed="false">
      <c r="B29213" s="0" t="s">
        <v>164</v>
      </c>
      <c r="C29213" s="0" t="s">
        <v>2654</v>
      </c>
      <c r="E29213" s="0" t="s">
        <v>2212</v>
      </c>
      <c r="F29213" s="0" t="s">
        <v>2651</v>
      </c>
    </row>
    <row r="29215" customFormat="false" ht="12.8" hidden="false" customHeight="false" outlineLevel="0" collapsed="false">
      <c r="A29215" s="0" t="s">
        <v>11519</v>
      </c>
      <c r="B29215" s="0" t="str">
        <f aca="false">HYPERLINK("https://lindat.mff.cuni.cz/services/teitok/pdtc10/index.php?action=vallex&amp;frame=v-w3984f3", "poslat (v-w3984f3)")</f>
        <v>poslat (v-w3984f3)</v>
      </c>
      <c r="E29215" s="0" t="str">
        <f aca="false">HYPERLINK("https://lindat.mff.cuni.cz/services/SynSemClass40/SynSemClass40.html?veclass=vec00283#vec00283-ces-cm00108", "vec00283")</f>
        <v>vec00283</v>
      </c>
      <c r="F29215" s="0" t="s">
        <v>8946</v>
      </c>
    </row>
    <row r="29216" customFormat="false" ht="12.8" hidden="false" customHeight="false" outlineLevel="0" collapsed="false">
      <c r="B29216" s="0" t="s">
        <v>1</v>
      </c>
      <c r="C29216" s="0" t="s">
        <v>7911</v>
      </c>
      <c r="E29216" s="0" t="s">
        <v>2196</v>
      </c>
      <c r="F29216" s="0" t="s">
        <v>8947</v>
      </c>
    </row>
    <row r="29217" customFormat="false" ht="12.8" hidden="false" customHeight="false" outlineLevel="0" collapsed="false">
      <c r="B29217" s="0" t="s">
        <v>8</v>
      </c>
      <c r="C29217" s="0" t="s">
        <v>8948</v>
      </c>
      <c r="E29217" s="0" t="s">
        <v>2200</v>
      </c>
      <c r="F29217" s="0" t="s">
        <v>8949</v>
      </c>
    </row>
    <row r="29218" customFormat="false" ht="12.8" hidden="false" customHeight="false" outlineLevel="0" collapsed="false">
      <c r="B29218" s="0" t="s">
        <v>164</v>
      </c>
      <c r="C29218" s="0" t="s">
        <v>11520</v>
      </c>
      <c r="E29218" s="0" t="s">
        <v>388</v>
      </c>
      <c r="F29218" s="0" t="s">
        <v>11521</v>
      </c>
    </row>
    <row r="29220" customFormat="false" ht="12.8" hidden="false" customHeight="false" outlineLevel="0" collapsed="false">
      <c r="A29220" s="0" t="s">
        <v>11522</v>
      </c>
      <c r="B29220" s="0" t="str">
        <f aca="false">HYPERLINK("https://lindat.mff.cuni.cz/services/teitok/pdtc10/index.php?action=vallex&amp;frame=v-w3984hsa_835", "poslat (v-w3984hsa_835)")</f>
        <v>poslat (v-w3984hsa_835)</v>
      </c>
    </row>
    <row r="29221" customFormat="false" ht="12.8" hidden="false" customHeight="false" outlineLevel="0" collapsed="false">
      <c r="B29221" s="0" t="s">
        <v>1</v>
      </c>
    </row>
    <row r="29222" customFormat="false" ht="12.8" hidden="false" customHeight="false" outlineLevel="0" collapsed="false">
      <c r="B29222" s="0" t="s">
        <v>8</v>
      </c>
    </row>
    <row r="29223" customFormat="false" ht="12.8" hidden="false" customHeight="false" outlineLevel="0" collapsed="false">
      <c r="B29223" s="0" t="s">
        <v>36</v>
      </c>
    </row>
    <row r="29224" customFormat="false" ht="12.8" hidden="false" customHeight="false" outlineLevel="0" collapsed="false">
      <c r="B29224" s="0" t="s">
        <v>101</v>
      </c>
    </row>
    <row r="29226" customFormat="false" ht="12.8" hidden="false" customHeight="false" outlineLevel="0" collapsed="false">
      <c r="A29226" s="0" t="s">
        <v>11523</v>
      </c>
      <c r="B29226" s="0" t="str">
        <f aca="false">HYPERLINK("https://lindat.mff.cuni.cz/services/teitok/pdtc10/index.php?action=vallex&amp;frame=v-whsa_577hsa_578", "poslat si (v-whsa_577hsa_578)")</f>
        <v>poslat si (v-whsa_577hsa_578)</v>
      </c>
    </row>
    <row r="29227" customFormat="false" ht="12.8" hidden="false" customHeight="false" outlineLevel="0" collapsed="false">
      <c r="B29227" s="0" t="s">
        <v>1</v>
      </c>
    </row>
    <row r="29228" customFormat="false" ht="12.8" hidden="false" customHeight="false" outlineLevel="0" collapsed="false">
      <c r="B29228" s="0" t="s">
        <v>8</v>
      </c>
    </row>
    <row r="29229" customFormat="false" ht="12.8" hidden="false" customHeight="false" outlineLevel="0" collapsed="false">
      <c r="B29229" s="0" t="s">
        <v>276</v>
      </c>
    </row>
    <row r="29231" customFormat="false" ht="12.8" hidden="false" customHeight="false" outlineLevel="0" collapsed="false">
      <c r="A29231" s="0" t="s">
        <v>11524</v>
      </c>
      <c r="B29231" s="0" t="str">
        <f aca="false">HYPERLINK("https://lindat.mff.cuni.cz/services/teitok/pdtc10/index.php?action=vallex&amp;frame=v-w3986f1", "poslechnout (v-w3986f1)")</f>
        <v>poslechnout (v-w3986f1)</v>
      </c>
      <c r="E29231" s="0" t="str">
        <f aca="false">HYPERLINK("https://lindat.mff.cuni.cz/services/SynSemClass40/SynSemClass40.html?veclass=vec00303#vec00303-ces-cm00062", "vec00303")</f>
        <v>vec00303</v>
      </c>
      <c r="F29231" s="0" t="s">
        <v>1818</v>
      </c>
    </row>
    <row r="29232" customFormat="false" ht="12.8" hidden="false" customHeight="false" outlineLevel="0" collapsed="false">
      <c r="B29232" s="0" t="s">
        <v>1</v>
      </c>
      <c r="C29232" s="0" t="s">
        <v>1819</v>
      </c>
      <c r="E29232" s="0" t="s">
        <v>11</v>
      </c>
      <c r="F29232" s="0" t="s">
        <v>1820</v>
      </c>
    </row>
    <row r="29233" customFormat="false" ht="12.8" hidden="false" customHeight="false" outlineLevel="0" collapsed="false">
      <c r="B29233" s="0" t="s">
        <v>5032</v>
      </c>
      <c r="C29233" s="0" t="s">
        <v>1822</v>
      </c>
      <c r="E29233" s="0" t="s">
        <v>1823</v>
      </c>
      <c r="F29233" s="0" t="s">
        <v>1824</v>
      </c>
    </row>
    <row r="29235" customFormat="false" ht="12.8" hidden="false" customHeight="false" outlineLevel="0" collapsed="false">
      <c r="A29235" s="0" t="s">
        <v>11525</v>
      </c>
      <c r="B29235" s="0" t="str">
        <f aca="false">HYPERLINK("https://lindat.mff.cuni.cz/services/teitok/pdtc10/index.php?action=vallex&amp;frame=v-w3987f1", "poslechnout si (v-w3987f1)")</f>
        <v>poslechnout si (v-w3987f1)</v>
      </c>
      <c r="E29235" s="0" t="str">
        <f aca="false">HYPERLINK("https://lindat.mff.cuni.cz/services/SynSemClass40/SynSemClass40.html?veclass=vec00445#vec00445-ces-cm00003", "vec00445")</f>
        <v>vec00445</v>
      </c>
      <c r="F29235" s="0" t="s">
        <v>7752</v>
      </c>
    </row>
    <row r="29236" customFormat="false" ht="12.8" hidden="false" customHeight="false" outlineLevel="0" collapsed="false">
      <c r="B29236" s="0" t="s">
        <v>1</v>
      </c>
      <c r="C29236" s="0" t="s">
        <v>333</v>
      </c>
      <c r="E29236" s="0" t="s">
        <v>637</v>
      </c>
      <c r="F29236" s="0" t="s">
        <v>7753</v>
      </c>
    </row>
    <row r="29237" customFormat="false" ht="12.8" hidden="false" customHeight="false" outlineLevel="0" collapsed="false">
      <c r="B29237" s="0" t="s">
        <v>1838</v>
      </c>
      <c r="C29237" s="0" t="s">
        <v>6424</v>
      </c>
      <c r="E29237" s="0" t="s">
        <v>180</v>
      </c>
      <c r="F29237" s="0" t="s">
        <v>7755</v>
      </c>
    </row>
    <row r="29239" customFormat="false" ht="12.8" hidden="false" customHeight="false" outlineLevel="0" collapsed="false">
      <c r="A29239" s="0" t="s">
        <v>11526</v>
      </c>
      <c r="B29239" s="0" t="str">
        <f aca="false">HYPERLINK("https://lindat.mff.cuni.cz/services/teitok/pdtc10/index.php?action=vallex&amp;frame=v-w3988f3_ZU", "poslouchat (v-w3988f3_ZU)")</f>
        <v>poslouchat (v-w3988f3_ZU)</v>
      </c>
    </row>
    <row r="29240" customFormat="false" ht="12.8" hidden="false" customHeight="false" outlineLevel="0" collapsed="false">
      <c r="B29240" s="0" t="s">
        <v>1</v>
      </c>
    </row>
    <row r="29241" customFormat="false" ht="12.8" hidden="false" customHeight="false" outlineLevel="0" collapsed="false">
      <c r="B29241" s="0" t="s">
        <v>11527</v>
      </c>
    </row>
    <row r="29243" customFormat="false" ht="12.8" hidden="false" customHeight="false" outlineLevel="0" collapsed="false">
      <c r="A29243" s="0" t="s">
        <v>11526</v>
      </c>
      <c r="B29243" s="0" t="str">
        <f aca="false">HYPERLINK("https://lindat.mff.cuni.cz/services/teitok/pdtc10/index.php?action=vallex&amp;frame=v-w3988f1", "poslouchat (v-w3988f1) - substituted with v-w3988f3_ZU")</f>
        <v>poslouchat (v-w3988f1) - substituted with v-w3988f3_ZU</v>
      </c>
      <c r="E29243" s="0" t="str">
        <f aca="false">HYPERLINK("https://lindat.mff.cuni.cz/services/SynSemClass40/SynSemClass40.html?veclass=vec00445#vec00445-ces-cm00004", "vec00445")</f>
        <v>vec00445</v>
      </c>
      <c r="F29243" s="0" t="s">
        <v>7752</v>
      </c>
    </row>
    <row r="29244" customFormat="false" ht="12.8" hidden="false" customHeight="false" outlineLevel="0" collapsed="false">
      <c r="B29244" s="0" t="s">
        <v>1</v>
      </c>
      <c r="C29244" s="0" t="s">
        <v>333</v>
      </c>
      <c r="E29244" s="0" t="s">
        <v>637</v>
      </c>
      <c r="F29244" s="0" t="s">
        <v>7753</v>
      </c>
    </row>
    <row r="29245" customFormat="false" ht="12.8" hidden="false" customHeight="false" outlineLevel="0" collapsed="false">
      <c r="B29245" s="0" t="s">
        <v>11527</v>
      </c>
      <c r="C29245" s="0" t="s">
        <v>6424</v>
      </c>
      <c r="E29245" s="0" t="s">
        <v>180</v>
      </c>
      <c r="F29245" s="0" t="s">
        <v>7755</v>
      </c>
    </row>
    <row r="29247" customFormat="false" ht="12.8" hidden="false" customHeight="false" outlineLevel="0" collapsed="false">
      <c r="A29247" s="0" t="s">
        <v>11528</v>
      </c>
      <c r="B29247" s="0" t="str">
        <f aca="false">HYPERLINK("https://lindat.mff.cuni.cz/services/teitok/pdtc10/index.php?action=vallex&amp;frame=v-w3988f2", "poslouchat (v-w3988f2)")</f>
        <v>poslouchat (v-w3988f2)</v>
      </c>
    </row>
    <row r="29248" customFormat="false" ht="12.8" hidden="false" customHeight="false" outlineLevel="0" collapsed="false">
      <c r="B29248" s="0" t="s">
        <v>1</v>
      </c>
    </row>
    <row r="29249" customFormat="false" ht="12.8" hidden="false" customHeight="false" outlineLevel="0" collapsed="false">
      <c r="B29249" s="0" t="s">
        <v>8</v>
      </c>
    </row>
    <row r="29251" customFormat="false" ht="12.8" hidden="false" customHeight="false" outlineLevel="0" collapsed="false">
      <c r="A29251" s="0" t="s">
        <v>11529</v>
      </c>
      <c r="B29251" s="0" t="str">
        <f aca="false">HYPERLINK("https://lindat.mff.cuni.cz/services/teitok/pdtc10/index.php?action=vallex&amp;frame=v-w3988hsa_55", "poslouchat (v-w3988hsa_55)")</f>
        <v>poslouchat (v-w3988hsa_55)</v>
      </c>
      <c r="E29251" s="0" t="str">
        <f aca="false">HYPERLINK("https://lindat.mff.cuni.cz/services/SynSemClass40/SynSemClass40.html?veclass=vec01264#vec01264-ces-cm00003", "vec01264")</f>
        <v>vec01264</v>
      </c>
      <c r="F29251" s="0" t="s">
        <v>2757</v>
      </c>
    </row>
    <row r="29252" customFormat="false" ht="12.8" hidden="false" customHeight="false" outlineLevel="0" collapsed="false">
      <c r="B29252" s="0" t="s">
        <v>1</v>
      </c>
      <c r="C29252" s="0" t="s">
        <v>11530</v>
      </c>
      <c r="E29252" s="0" t="s">
        <v>621</v>
      </c>
      <c r="F29252" s="0" t="s">
        <v>2759</v>
      </c>
    </row>
    <row r="29253" customFormat="false" ht="12.8" hidden="false" customHeight="false" outlineLevel="0" collapsed="false">
      <c r="B29253" s="0" t="s">
        <v>3057</v>
      </c>
      <c r="C29253" s="0" t="s">
        <v>11531</v>
      </c>
      <c r="E29253" s="0" t="s">
        <v>2217</v>
      </c>
      <c r="F29253" s="0" t="s">
        <v>2762</v>
      </c>
    </row>
    <row r="29254" customFormat="false" ht="12.8" hidden="false" customHeight="false" outlineLevel="0" collapsed="false">
      <c r="B29254" s="0" t="s">
        <v>496</v>
      </c>
      <c r="C29254" s="0" t="s">
        <v>11532</v>
      </c>
      <c r="E29254" s="0" t="s">
        <v>218</v>
      </c>
      <c r="F29254" s="0" t="s">
        <v>2764</v>
      </c>
    </row>
    <row r="29255" customFormat="false" ht="12.8" hidden="false" customHeight="false" outlineLevel="0" collapsed="false">
      <c r="B29255" s="0" t="s">
        <v>602</v>
      </c>
      <c r="C29255" s="0" t="s">
        <v>11533</v>
      </c>
      <c r="E29255" s="0" t="s">
        <v>2176</v>
      </c>
      <c r="F29255" s="0" t="s">
        <v>2767</v>
      </c>
    </row>
    <row r="29257" customFormat="false" ht="12.8" hidden="false" customHeight="false" outlineLevel="0" collapsed="false">
      <c r="A29257" s="0" t="s">
        <v>11534</v>
      </c>
      <c r="B29257" s="0" t="str">
        <f aca="false">HYPERLINK("https://lindat.mff.cuni.cz/services/teitok/pdtc10/index.php?action=vallex&amp;frame=v-w3989f1", "posloužit (v-w3989f1)")</f>
        <v>posloužit (v-w3989f1)</v>
      </c>
      <c r="E29257" s="0" t="str">
        <f aca="false">HYPERLINK("https://lindat.mff.cuni.cz/services/SynSemClass40/SynSemClass40.html?veclass=vec00515#vec00515-ces-cm00007", "vec00515")</f>
        <v>vec00515</v>
      </c>
      <c r="F29257" s="0" t="s">
        <v>8579</v>
      </c>
    </row>
    <row r="29258" customFormat="false" ht="12.8" hidden="false" customHeight="false" outlineLevel="0" collapsed="false">
      <c r="B29258" s="0" t="s">
        <v>947</v>
      </c>
      <c r="C29258" s="0" t="s">
        <v>5276</v>
      </c>
      <c r="E29258" s="0" t="s">
        <v>3021</v>
      </c>
      <c r="F29258" s="0" t="s">
        <v>8580</v>
      </c>
    </row>
    <row r="29259" customFormat="false" ht="12.8" hidden="false" customHeight="false" outlineLevel="0" collapsed="false">
      <c r="B29259" s="0" t="s">
        <v>350</v>
      </c>
      <c r="C29259" s="0" t="s">
        <v>8581</v>
      </c>
      <c r="E29259" s="0" t="s">
        <v>4438</v>
      </c>
      <c r="F29259" s="0" t="s">
        <v>8582</v>
      </c>
    </row>
    <row r="29260" customFormat="false" ht="12.8" hidden="false" customHeight="false" outlineLevel="0" collapsed="false">
      <c r="B29260" s="0" t="s">
        <v>11535</v>
      </c>
    </row>
    <row r="29262" customFormat="false" ht="12.8" hidden="false" customHeight="false" outlineLevel="0" collapsed="false">
      <c r="A29262" s="0" t="s">
        <v>11536</v>
      </c>
      <c r="B29262" s="0" t="str">
        <f aca="false">HYPERLINK("https://lindat.mff.cuni.cz/services/teitok/pdtc10/index.php?action=vallex&amp;frame=v-w3989hsa_357", "posloužit (v-w3989hsa_357)")</f>
        <v>posloužit (v-w3989hsa_357)</v>
      </c>
    </row>
    <row r="29263" customFormat="false" ht="12.8" hidden="false" customHeight="false" outlineLevel="0" collapsed="false">
      <c r="B29263" s="0" t="s">
        <v>1</v>
      </c>
    </row>
    <row r="29264" customFormat="false" ht="12.8" hidden="false" customHeight="false" outlineLevel="0" collapsed="false">
      <c r="B29264" s="0" t="s">
        <v>186</v>
      </c>
    </row>
    <row r="29266" customFormat="false" ht="12.8" hidden="false" customHeight="false" outlineLevel="0" collapsed="false">
      <c r="A29266" s="0" t="s">
        <v>11537</v>
      </c>
      <c r="B29266" s="0" t="str">
        <f aca="false">HYPERLINK("https://lindat.mff.cuni.cz/services/teitok/pdtc10/index.php?action=vallex&amp;frame=v-w3990f1", "posmívat se (v-w3990f1)")</f>
        <v>posmívat se (v-w3990f1)</v>
      </c>
      <c r="E29266" s="0" t="str">
        <f aca="false">HYPERLINK("https://lindat.mff.cuni.cz/services/SynSemClass40/SynSemClass40.html?veclass=vec00760#vec00760-ces-cm00002", "vec00760")</f>
        <v>vec00760</v>
      </c>
      <c r="F29266" s="0" t="s">
        <v>11538</v>
      </c>
    </row>
    <row r="29267" customFormat="false" ht="12.8" hidden="false" customHeight="false" outlineLevel="0" collapsed="false">
      <c r="B29267" s="0" t="s">
        <v>1</v>
      </c>
      <c r="C29267" s="0" t="s">
        <v>4114</v>
      </c>
      <c r="E29267" s="0" t="s">
        <v>155</v>
      </c>
      <c r="F29267" s="0" t="s">
        <v>11539</v>
      </c>
    </row>
    <row r="29268" customFormat="false" ht="12.8" hidden="false" customHeight="false" outlineLevel="0" collapsed="false">
      <c r="B29268" s="0" t="s">
        <v>157</v>
      </c>
      <c r="C29268" s="0" t="s">
        <v>449</v>
      </c>
      <c r="E29268" s="0" t="s">
        <v>159</v>
      </c>
      <c r="F29268" s="0" t="s">
        <v>11540</v>
      </c>
    </row>
    <row r="29270" customFormat="false" ht="12.8" hidden="false" customHeight="false" outlineLevel="0" collapsed="false">
      <c r="A29270" s="0" t="s">
        <v>11541</v>
      </c>
      <c r="B29270" s="0" t="str">
        <f aca="false">HYPERLINK("https://lindat.mff.cuni.cz/services/teitok/pdtc10/index.php?action=vallex&amp;frame=v-w11924_ZUf1_ZU", "posolit (v-w11924_ZUf1_ZU)")</f>
        <v>posolit (v-w11924_ZUf1_ZU)</v>
      </c>
    </row>
    <row r="29271" customFormat="false" ht="12.8" hidden="false" customHeight="false" outlineLevel="0" collapsed="false">
      <c r="B29271" s="0" t="s">
        <v>1</v>
      </c>
    </row>
    <row r="29272" customFormat="false" ht="12.8" hidden="false" customHeight="false" outlineLevel="0" collapsed="false">
      <c r="B29272" s="0" t="s">
        <v>8</v>
      </c>
    </row>
    <row r="29274" customFormat="false" ht="12.8" hidden="false" customHeight="false" outlineLevel="0" collapsed="false">
      <c r="A29274" s="0" t="s">
        <v>11542</v>
      </c>
      <c r="B29274" s="0" t="str">
        <f aca="false">HYPERLINK("https://lindat.mff.cuni.cz/services/teitok/pdtc10/index.php?action=vallex&amp;frame=v-w3991f1", "posoudit (v-w3991f1)")</f>
        <v>posoudit (v-w3991f1)</v>
      </c>
      <c r="E29274" s="0" t="str">
        <f aca="false">HYPERLINK("https://lindat.mff.cuni.cz/services/SynSemClass40/SynSemClass40.html?veclass=vec00149#vec00149-ces-cm00004", "vec00149")</f>
        <v>vec00149</v>
      </c>
      <c r="F29274" s="0" t="s">
        <v>686</v>
      </c>
      <c r="H29274" s="0" t="str">
        <f aca="false">HYPERLINK("https://lindat.mff.cuni.cz/services/SynSemClass40/SynSemClass40.html?veclass=vec01304#vec01304-ces-cm00011", "vec01304")</f>
        <v>vec01304</v>
      </c>
      <c r="I29274" s="0" t="s">
        <v>302</v>
      </c>
    </row>
    <row r="29275" customFormat="false" ht="12.8" hidden="false" customHeight="false" outlineLevel="0" collapsed="false">
      <c r="B29275" s="0" t="s">
        <v>1</v>
      </c>
      <c r="C29275" s="0" t="s">
        <v>11543</v>
      </c>
      <c r="E29275" s="0" t="s">
        <v>621</v>
      </c>
      <c r="F29275" s="0" t="s">
        <v>688</v>
      </c>
      <c r="H29275" s="0" t="s">
        <v>115</v>
      </c>
      <c r="I29275" s="0" t="s">
        <v>304</v>
      </c>
    </row>
    <row r="29276" customFormat="false" ht="12.8" hidden="false" customHeight="false" outlineLevel="0" collapsed="false">
      <c r="B29276" s="0" t="s">
        <v>11544</v>
      </c>
      <c r="C29276" s="0" t="s">
        <v>11545</v>
      </c>
      <c r="E29276" s="0" t="s">
        <v>209</v>
      </c>
      <c r="F29276" s="0" t="s">
        <v>691</v>
      </c>
      <c r="H29276" s="0" t="s">
        <v>119</v>
      </c>
      <c r="I29276" s="0" t="s">
        <v>307</v>
      </c>
    </row>
    <row r="29278" customFormat="false" ht="12.8" hidden="false" customHeight="false" outlineLevel="0" collapsed="false">
      <c r="A29278" s="0" t="s">
        <v>11546</v>
      </c>
      <c r="B29278" s="0" t="str">
        <f aca="false">HYPERLINK("https://lindat.mff.cuni.cz/services/teitok/pdtc10/index.php?action=vallex&amp;frame=v-w3992f1", "posouvat (v-w3992f1)")</f>
        <v>posouvat (v-w3992f1)</v>
      </c>
      <c r="E29278" s="0" t="str">
        <f aca="false">HYPERLINK("https://lindat.mff.cuni.cz/services/SynSemClass40/SynSemClass40.html?veclass=vec00283#vec00283-ces-cm00080", "vec00283")</f>
        <v>vec00283</v>
      </c>
      <c r="F29278" s="0" t="s">
        <v>8946</v>
      </c>
    </row>
    <row r="29279" customFormat="false" ht="12.8" hidden="false" customHeight="false" outlineLevel="0" collapsed="false">
      <c r="B29279" s="0" t="s">
        <v>1</v>
      </c>
      <c r="C29279" s="0" t="s">
        <v>7911</v>
      </c>
      <c r="E29279" s="0" t="s">
        <v>2196</v>
      </c>
      <c r="F29279" s="0" t="s">
        <v>8947</v>
      </c>
    </row>
    <row r="29280" customFormat="false" ht="12.8" hidden="false" customHeight="false" outlineLevel="0" collapsed="false">
      <c r="B29280" s="0" t="s">
        <v>8</v>
      </c>
      <c r="C29280" s="0" t="s">
        <v>8948</v>
      </c>
      <c r="E29280" s="0" t="s">
        <v>2200</v>
      </c>
      <c r="F29280" s="0" t="s">
        <v>8949</v>
      </c>
    </row>
    <row r="29282" customFormat="false" ht="12.8" hidden="false" customHeight="false" outlineLevel="0" collapsed="false">
      <c r="A29282" s="0" t="s">
        <v>11547</v>
      </c>
      <c r="B29282" s="0" t="str">
        <f aca="false">HYPERLINK("https://lindat.mff.cuni.cz/services/teitok/pdtc10/index.php?action=vallex&amp;frame=v-w3992f2", "posouvat (v-w3992f2)")</f>
        <v>posouvat (v-w3992f2)</v>
      </c>
      <c r="E29282" s="0" t="str">
        <f aca="false">HYPERLINK("https://lindat.mff.cuni.cz/services/SynSemClass40/SynSemClass40.html?veclass=vec00486#vec00486-ces-cm00034", "vec00486")</f>
        <v>vec00486</v>
      </c>
      <c r="F29282" s="0" t="s">
        <v>542</v>
      </c>
    </row>
    <row r="29283" customFormat="false" ht="12.8" hidden="false" customHeight="false" outlineLevel="0" collapsed="false">
      <c r="B29283" s="0" t="s">
        <v>1</v>
      </c>
      <c r="C29283" s="0" t="s">
        <v>543</v>
      </c>
      <c r="E29283" s="0" t="s">
        <v>206</v>
      </c>
      <c r="F29283" s="0" t="s">
        <v>544</v>
      </c>
    </row>
    <row r="29284" customFormat="false" ht="12.8" hidden="false" customHeight="false" outlineLevel="0" collapsed="false">
      <c r="B29284" s="0" t="s">
        <v>8</v>
      </c>
      <c r="C29284" s="0" t="s">
        <v>545</v>
      </c>
      <c r="E29284" s="0" t="s">
        <v>79</v>
      </c>
      <c r="F29284" s="0" t="s">
        <v>546</v>
      </c>
    </row>
    <row r="29286" customFormat="false" ht="12.8" hidden="false" customHeight="false" outlineLevel="0" collapsed="false">
      <c r="A29286" s="0" t="s">
        <v>11548</v>
      </c>
      <c r="B29286" s="0" t="str">
        <f aca="false">HYPERLINK("https://lindat.mff.cuni.cz/services/teitok/pdtc10/index.php?action=vallex&amp;frame=v-w3993f1", "posouvat se (v-w3993f1)")</f>
        <v>posouvat se (v-w3993f1)</v>
      </c>
      <c r="E29286" s="0" t="str">
        <f aca="false">HYPERLINK("https://lindat.mff.cuni.cz/services/SynSemClass40/SynSemClass40.html?veclass=vec00022#vec00022-ces-cm00054", "vec00022")</f>
        <v>vec00022</v>
      </c>
      <c r="F29286" s="0" t="s">
        <v>4377</v>
      </c>
    </row>
    <row r="29287" customFormat="false" ht="12.8" hidden="false" customHeight="false" outlineLevel="0" collapsed="false">
      <c r="B29287" s="0" t="s">
        <v>1</v>
      </c>
      <c r="C29287" s="0" t="s">
        <v>4378</v>
      </c>
      <c r="E29287" s="0" t="s">
        <v>334</v>
      </c>
      <c r="F29287" s="0" t="s">
        <v>4379</v>
      </c>
    </row>
    <row r="29289" customFormat="false" ht="12.8" hidden="false" customHeight="false" outlineLevel="0" collapsed="false">
      <c r="A29289" s="0" t="s">
        <v>11549</v>
      </c>
      <c r="B29289" s="0" t="str">
        <f aca="false">HYPERLINK("https://lindat.mff.cuni.cz/services/teitok/pdtc10/index.php?action=vallex&amp;frame=v-w11718_ZUf1_ZU", "pospravovat (v-w11718_ZUf1_ZU)")</f>
        <v>pospravovat (v-w11718_ZUf1_ZU)</v>
      </c>
    </row>
    <row r="29290" customFormat="false" ht="12.8" hidden="false" customHeight="false" outlineLevel="0" collapsed="false">
      <c r="B29290" s="0" t="s">
        <v>1</v>
      </c>
    </row>
    <row r="29291" customFormat="false" ht="12.8" hidden="false" customHeight="false" outlineLevel="0" collapsed="false">
      <c r="B29291" s="0" t="s">
        <v>8</v>
      </c>
    </row>
    <row r="29293" customFormat="false" ht="12.8" hidden="false" customHeight="false" outlineLevel="0" collapsed="false">
      <c r="A29293" s="0" t="s">
        <v>11550</v>
      </c>
      <c r="B29293" s="0" t="str">
        <f aca="false">HYPERLINK("https://lindat.mff.cuni.cz/services/teitok/pdtc10/index.php?action=vallex&amp;frame=v-w10563hsa_344", "pospíchat (v-w10563hsa_344)")</f>
        <v>pospíchat (v-w10563hsa_344)</v>
      </c>
      <c r="E29293" s="0" t="str">
        <f aca="false">HYPERLINK("https://lindat.mff.cuni.cz/services/SynSemClass40/SynSemClass40.html?veclass=vec00610#vec00610-ces-cm00004", "vec00610")</f>
        <v>vec00610</v>
      </c>
      <c r="F29293" s="0" t="s">
        <v>3225</v>
      </c>
    </row>
    <row r="29294" customFormat="false" ht="12.8" hidden="false" customHeight="false" outlineLevel="0" collapsed="false">
      <c r="B29294" s="0" t="s">
        <v>1</v>
      </c>
      <c r="C29294" s="0" t="s">
        <v>4387</v>
      </c>
      <c r="E29294" s="0" t="s">
        <v>11</v>
      </c>
      <c r="F29294" s="0" t="s">
        <v>3227</v>
      </c>
    </row>
    <row r="29295" customFormat="false" ht="12.8" hidden="false" customHeight="false" outlineLevel="0" collapsed="false">
      <c r="B29295" s="0" t="s">
        <v>11551</v>
      </c>
      <c r="C29295" s="0" t="s">
        <v>4392</v>
      </c>
      <c r="E29295" s="0" t="s">
        <v>523</v>
      </c>
      <c r="F29295" s="0" t="s">
        <v>4393</v>
      </c>
    </row>
    <row r="29297" customFormat="false" ht="12.8" hidden="false" customHeight="false" outlineLevel="0" collapsed="false">
      <c r="A29297" s="0" t="s">
        <v>11550</v>
      </c>
      <c r="B29297" s="0" t="str">
        <f aca="false">HYPERLINK("https://lindat.mff.cuni.cz/services/teitok/pdtc10/index.php?action=vallex&amp;frame=v-w10563f3", "pospíchat (v-w10563f3) - substituted with v-w10563hsa_344")</f>
        <v>pospíchat (v-w10563f3) - substituted with v-w10563hsa_344</v>
      </c>
    </row>
    <row r="29298" customFormat="false" ht="12.8" hidden="false" customHeight="false" outlineLevel="0" collapsed="false">
      <c r="B29298" s="0" t="s">
        <v>1</v>
      </c>
    </row>
    <row r="29299" customFormat="false" ht="12.8" hidden="false" customHeight="false" outlineLevel="0" collapsed="false">
      <c r="B29299" s="0" t="s">
        <v>11551</v>
      </c>
    </row>
    <row r="29301" customFormat="false" ht="12.8" hidden="false" customHeight="false" outlineLevel="0" collapsed="false">
      <c r="A29301" s="0" t="s">
        <v>11552</v>
      </c>
      <c r="B29301" s="0" t="str">
        <f aca="false">HYPERLINK("https://lindat.mff.cuni.cz/services/teitok/pdtc10/index.php?action=vallex&amp;frame=v-w10563f2", "pospíchat (v-w10563f2)")</f>
        <v>pospíchat (v-w10563f2)</v>
      </c>
      <c r="E29301" s="0" t="str">
        <f aca="false">HYPERLINK("https://lindat.mff.cuni.cz/services/SynSemClass40/SynSemClass40.html?veclass=vec00434#vec00434-ces-cm00014", "vec00434")</f>
        <v>vec00434</v>
      </c>
      <c r="F29301" s="0" t="s">
        <v>6238</v>
      </c>
      <c r="H29301" s="0" t="str">
        <f aca="false">HYPERLINK("https://lindat.mff.cuni.cz/services/SynSemClass40/SynSemClass40.html?veclass=vec00610#vec00610-ces-cm00048", "vec00610")</f>
        <v>vec00610</v>
      </c>
      <c r="I29301" s="0" t="s">
        <v>3225</v>
      </c>
    </row>
    <row r="29302" customFormat="false" ht="12.8" hidden="false" customHeight="false" outlineLevel="0" collapsed="false">
      <c r="B29302" s="0" t="s">
        <v>1</v>
      </c>
      <c r="C29302" s="0" t="s">
        <v>11553</v>
      </c>
      <c r="E29302" s="0" t="s">
        <v>11</v>
      </c>
      <c r="F29302" s="0" t="s">
        <v>6240</v>
      </c>
      <c r="H29302" s="0" t="s">
        <v>11</v>
      </c>
      <c r="I29302" s="0" t="s">
        <v>3227</v>
      </c>
    </row>
    <row r="29303" customFormat="false" ht="12.8" hidden="false" customHeight="false" outlineLevel="0" collapsed="false">
      <c r="B29303" s="0" t="s">
        <v>164</v>
      </c>
      <c r="C29303" s="0" t="s">
        <v>11554</v>
      </c>
      <c r="E29303" s="0" t="s">
        <v>370</v>
      </c>
      <c r="F29303" s="0" t="s">
        <v>2725</v>
      </c>
      <c r="H29303" s="0" t="s">
        <v>3229</v>
      </c>
      <c r="I29303" s="0" t="s">
        <v>3230</v>
      </c>
    </row>
    <row r="29305" customFormat="false" ht="12.8" hidden="false" customHeight="false" outlineLevel="0" collapsed="false">
      <c r="A29305" s="0" t="s">
        <v>11555</v>
      </c>
      <c r="B29305" s="0" t="str">
        <f aca="false">HYPERLINK("https://lindat.mff.cuni.cz/services/teitok/pdtc10/index.php?action=vallex&amp;frame=v-w3995f1", "pospíšit si (v-w3995f1)")</f>
        <v>pospíšit si (v-w3995f1)</v>
      </c>
    </row>
    <row r="29306" customFormat="false" ht="12.8" hidden="false" customHeight="false" outlineLevel="0" collapsed="false">
      <c r="B29306" s="0" t="s">
        <v>629</v>
      </c>
    </row>
    <row r="29307" customFormat="false" ht="12.8" hidden="false" customHeight="false" outlineLevel="0" collapsed="false">
      <c r="B29307" s="0" t="s">
        <v>3321</v>
      </c>
    </row>
    <row r="29309" customFormat="false" ht="12.8" hidden="false" customHeight="false" outlineLevel="0" collapsed="false">
      <c r="A29309" s="0" t="s">
        <v>11556</v>
      </c>
      <c r="B29309" s="0" t="str">
        <f aca="false">HYPERLINK("https://lindat.mff.cuni.cz/services/teitok/pdtc10/index.php?action=vallex&amp;frame=v-w3995f2", "pospíšit si (v-w3995f2)")</f>
        <v>pospíšit si (v-w3995f2)</v>
      </c>
      <c r="E29309" s="0" t="str">
        <f aca="false">HYPERLINK("https://lindat.mff.cuni.cz/services/SynSemClass40/SynSemClass40.html?veclass=vec00722#vec00722-ces-cm00005", "vec00722")</f>
        <v>vec00722</v>
      </c>
      <c r="F29309" s="0" t="s">
        <v>11557</v>
      </c>
    </row>
    <row r="29310" customFormat="false" ht="12.8" hidden="false" customHeight="false" outlineLevel="0" collapsed="false">
      <c r="B29310" s="0" t="s">
        <v>1</v>
      </c>
      <c r="C29310" s="0" t="s">
        <v>1507</v>
      </c>
      <c r="E29310" s="0" t="s">
        <v>334</v>
      </c>
      <c r="F29310" s="0" t="s">
        <v>11558</v>
      </c>
    </row>
    <row r="29312" customFormat="false" ht="12.8" hidden="false" customHeight="false" outlineLevel="0" collapsed="false">
      <c r="A29312" s="0" t="s">
        <v>11559</v>
      </c>
      <c r="B29312" s="0" t="str">
        <f aca="false">HYPERLINK("https://lindat.mff.cuni.cz/services/teitok/pdtc10/index.php?action=vallex&amp;frame=v-w3998f1", "postarat se (v-w3998f1)")</f>
        <v>postarat se (v-w3998f1)</v>
      </c>
      <c r="E29312" s="0" t="str">
        <f aca="false">HYPERLINK("https://lindat.mff.cuni.cz/services/SynSemClass40/SynSemClass40.html?veclass=vec00178#vec00178-ces-cm00046", "vec00178")</f>
        <v>vec00178</v>
      </c>
      <c r="F29312" s="0" t="s">
        <v>8586</v>
      </c>
    </row>
    <row r="29313" customFormat="false" ht="12.8" hidden="false" customHeight="false" outlineLevel="0" collapsed="false">
      <c r="B29313" s="0" t="s">
        <v>1</v>
      </c>
      <c r="C29313" s="0" t="s">
        <v>5649</v>
      </c>
      <c r="E29313" s="0" t="s">
        <v>31</v>
      </c>
      <c r="F29313" s="0" t="s">
        <v>8587</v>
      </c>
    </row>
    <row r="29314" customFormat="false" ht="12.8" hidden="false" customHeight="false" outlineLevel="0" collapsed="false">
      <c r="B29314" s="0" t="s">
        <v>11560</v>
      </c>
      <c r="C29314" s="0" t="s">
        <v>8588</v>
      </c>
      <c r="E29314" s="0" t="s">
        <v>34</v>
      </c>
      <c r="F29314" s="0" t="s">
        <v>8589</v>
      </c>
    </row>
    <row r="29316" customFormat="false" ht="12.8" hidden="false" customHeight="false" outlineLevel="0" collapsed="false">
      <c r="A29316" s="0" t="s">
        <v>11561</v>
      </c>
      <c r="B29316" s="0" t="str">
        <f aca="false">HYPERLINK("https://lindat.mff.cuni.cz/services/teitok/pdtc10/index.php?action=vallex&amp;frame=v-w4003f12_ZU", "postavit (v-w4003f12_ZU)")</f>
        <v>postavit (v-w4003f12_ZU)</v>
      </c>
      <c r="E29316" s="0" t="str">
        <f aca="false">HYPERLINK("https://lindat.mff.cuni.cz/services/SynSemClass40/SynSemClass40.html?veclass=vec01118#vec01118-ces-cm00011", "vec01118")</f>
        <v>vec01118</v>
      </c>
      <c r="F29316" s="0" t="s">
        <v>766</v>
      </c>
    </row>
    <row r="29317" customFormat="false" ht="12.8" hidden="false" customHeight="false" outlineLevel="0" collapsed="false">
      <c r="B29317" s="0" t="s">
        <v>1</v>
      </c>
      <c r="C29317" s="0" t="s">
        <v>767</v>
      </c>
      <c r="E29317" s="0" t="s">
        <v>768</v>
      </c>
      <c r="F29317" s="0" t="s">
        <v>769</v>
      </c>
    </row>
    <row r="29318" customFormat="false" ht="12.8" hidden="false" customHeight="false" outlineLevel="0" collapsed="false">
      <c r="B29318" s="0" t="s">
        <v>8</v>
      </c>
      <c r="C29318" s="0" t="s">
        <v>770</v>
      </c>
      <c r="E29318" s="0" t="s">
        <v>771</v>
      </c>
      <c r="F29318" s="0" t="s">
        <v>772</v>
      </c>
    </row>
    <row r="29319" customFormat="false" ht="12.8" hidden="false" customHeight="false" outlineLevel="0" collapsed="false">
      <c r="B29319" s="0" t="s">
        <v>773</v>
      </c>
      <c r="C29319" s="0" t="s">
        <v>774</v>
      </c>
      <c r="E29319" s="0" t="s">
        <v>775</v>
      </c>
      <c r="F29319" s="0" t="s">
        <v>776</v>
      </c>
    </row>
    <row r="29321" customFormat="false" ht="12.8" hidden="false" customHeight="false" outlineLevel="0" collapsed="false">
      <c r="A29321" s="0" t="s">
        <v>11561</v>
      </c>
      <c r="B29321" s="0" t="str">
        <f aca="false">HYPERLINK("https://lindat.mff.cuni.cz/services/teitok/pdtc10/index.php?action=vallex&amp;frame=v-w4003f2", "postavit (v-w4003f2) - substituted with v-w4003f12_ZU")</f>
        <v>postavit (v-w4003f2) - substituted with v-w4003f12_ZU</v>
      </c>
    </row>
    <row r="29322" customFormat="false" ht="12.8" hidden="false" customHeight="false" outlineLevel="0" collapsed="false">
      <c r="B29322" s="0" t="s">
        <v>1</v>
      </c>
    </row>
    <row r="29323" customFormat="false" ht="12.8" hidden="false" customHeight="false" outlineLevel="0" collapsed="false">
      <c r="B29323" s="0" t="s">
        <v>8</v>
      </c>
    </row>
    <row r="29324" customFormat="false" ht="12.8" hidden="false" customHeight="false" outlineLevel="0" collapsed="false">
      <c r="B29324" s="0" t="s">
        <v>773</v>
      </c>
    </row>
    <row r="29326" customFormat="false" ht="12.8" hidden="false" customHeight="false" outlineLevel="0" collapsed="false">
      <c r="A29326" s="0" t="s">
        <v>11562</v>
      </c>
      <c r="B29326" s="0" t="str">
        <f aca="false">HYPERLINK("https://lindat.mff.cuni.cz/services/teitok/pdtc10/index.php?action=vallex&amp;frame=v-w4003f1", "postavit (v-w4003f1)")</f>
        <v>postavit (v-w4003f1)</v>
      </c>
      <c r="E29326" s="0" t="str">
        <f aca="false">HYPERLINK("https://lindat.mff.cuni.cz/services/SynSemClass40/SynSemClass40.html?veclass=vec00084#vec00084-ces-cm00020", "vec00084")</f>
        <v>vec00084</v>
      </c>
      <c r="F29326" s="0" t="s">
        <v>778</v>
      </c>
    </row>
    <row r="29327" customFormat="false" ht="12.8" hidden="false" customHeight="false" outlineLevel="0" collapsed="false">
      <c r="B29327" s="0" t="s">
        <v>1</v>
      </c>
      <c r="C29327" s="0" t="s">
        <v>5557</v>
      </c>
      <c r="E29327" s="0" t="s">
        <v>31</v>
      </c>
      <c r="F29327" s="0" t="s">
        <v>781</v>
      </c>
    </row>
    <row r="29328" customFormat="false" ht="12.8" hidden="false" customHeight="false" outlineLevel="0" collapsed="false">
      <c r="B29328" s="0" t="s">
        <v>8</v>
      </c>
      <c r="C29328" s="0" t="s">
        <v>5558</v>
      </c>
      <c r="E29328" s="0" t="s">
        <v>771</v>
      </c>
      <c r="F29328" s="0" t="s">
        <v>784</v>
      </c>
    </row>
    <row r="29329" customFormat="false" ht="12.8" hidden="false" customHeight="false" outlineLevel="0" collapsed="false">
      <c r="B29329" s="0" t="s">
        <v>36</v>
      </c>
      <c r="C29329" s="0" t="s">
        <v>6350</v>
      </c>
      <c r="E29329" s="0" t="s">
        <v>787</v>
      </c>
      <c r="F29329" s="0" t="s">
        <v>788</v>
      </c>
    </row>
    <row r="29331" customFormat="false" ht="12.8" hidden="false" customHeight="false" outlineLevel="0" collapsed="false">
      <c r="A29331" s="0" t="s">
        <v>11563</v>
      </c>
      <c r="B29331" s="0" t="str">
        <f aca="false">HYPERLINK("https://lindat.mff.cuni.cz/services/teitok/pdtc10/index.php?action=vallex&amp;frame=v-w4003f9", "postavit (v-w4003f9)")</f>
        <v>postavit (v-w4003f9)</v>
      </c>
    </row>
    <row r="29332" customFormat="false" ht="12.8" hidden="false" customHeight="false" outlineLevel="0" collapsed="false">
      <c r="B29332" s="0" t="s">
        <v>1</v>
      </c>
    </row>
    <row r="29333" customFormat="false" ht="12.8" hidden="false" customHeight="false" outlineLevel="0" collapsed="false">
      <c r="B29333" s="0" t="s">
        <v>8</v>
      </c>
    </row>
    <row r="29334" customFormat="false" ht="12.8" hidden="false" customHeight="false" outlineLevel="0" collapsed="false">
      <c r="B29334" s="0" t="s">
        <v>11564</v>
      </c>
    </row>
    <row r="29336" customFormat="false" ht="12.8" hidden="false" customHeight="false" outlineLevel="0" collapsed="false">
      <c r="A29336" s="0" t="s">
        <v>11565</v>
      </c>
      <c r="B29336" s="0" t="str">
        <f aca="false">HYPERLINK("https://lindat.mff.cuni.cz/services/teitok/pdtc10/index.php?action=vallex&amp;frame=v-w4003f4", "postavit (v-w4003f4)")</f>
        <v>postavit (v-w4003f4)</v>
      </c>
    </row>
    <row r="29337" customFormat="false" ht="12.8" hidden="false" customHeight="false" outlineLevel="0" collapsed="false">
      <c r="B29337" s="0" t="s">
        <v>1</v>
      </c>
    </row>
    <row r="29338" customFormat="false" ht="12.8" hidden="false" customHeight="false" outlineLevel="0" collapsed="false">
      <c r="B29338" s="0" t="s">
        <v>8</v>
      </c>
    </row>
    <row r="29339" customFormat="false" ht="12.8" hidden="false" customHeight="false" outlineLevel="0" collapsed="false">
      <c r="B29339" s="0" t="s">
        <v>5</v>
      </c>
    </row>
    <row r="29341" customFormat="false" ht="12.8" hidden="false" customHeight="false" outlineLevel="0" collapsed="false">
      <c r="A29341" s="0" t="s">
        <v>11566</v>
      </c>
      <c r="B29341" s="0" t="str">
        <f aca="false">HYPERLINK("https://lindat.mff.cuni.cz/services/teitok/pdtc10/index.php?action=vallex&amp;frame=v-w4003f7", "postavit (v-w4003f7)")</f>
        <v>postavit (v-w4003f7)</v>
      </c>
      <c r="E29341" s="0" t="str">
        <f aca="false">HYPERLINK("https://lindat.mff.cuni.cz/services/SynSemClass40/SynSemClass40.html?veclass=vec00812#vec00812-ces-cm00282", "vec00812")</f>
        <v>vec00812</v>
      </c>
      <c r="F29341" s="0" t="s">
        <v>2822</v>
      </c>
    </row>
    <row r="29342" customFormat="false" ht="12.8" hidden="false" customHeight="false" outlineLevel="0" collapsed="false">
      <c r="B29342" s="0" t="s">
        <v>1</v>
      </c>
      <c r="C29342" s="0" t="s">
        <v>2823</v>
      </c>
      <c r="E29342" s="0" t="s">
        <v>1103</v>
      </c>
      <c r="F29342" s="0" t="s">
        <v>2824</v>
      </c>
    </row>
    <row r="29343" customFormat="false" ht="12.8" hidden="false" customHeight="false" outlineLevel="0" collapsed="false">
      <c r="B29343" s="0" t="s">
        <v>8</v>
      </c>
      <c r="C29343" s="0" t="s">
        <v>2372</v>
      </c>
      <c r="E29343" s="0" t="s">
        <v>142</v>
      </c>
      <c r="F29343" s="0" t="s">
        <v>2825</v>
      </c>
    </row>
    <row r="29344" customFormat="false" ht="12.8" hidden="false" customHeight="false" outlineLevel="0" collapsed="false">
      <c r="B29344" s="0" t="s">
        <v>361</v>
      </c>
      <c r="C29344" s="0" t="s">
        <v>2826</v>
      </c>
      <c r="E29344" s="0" t="s">
        <v>2827</v>
      </c>
      <c r="F29344" s="0" t="s">
        <v>2828</v>
      </c>
    </row>
    <row r="29346" customFormat="false" ht="12.8" hidden="false" customHeight="false" outlineLevel="0" collapsed="false">
      <c r="A29346" s="0" t="s">
        <v>11567</v>
      </c>
      <c r="B29346" s="0" t="str">
        <f aca="false">HYPERLINK("https://lindat.mff.cuni.cz/services/teitok/pdtc10/index.php?action=vallex&amp;frame=v-w4003f3", "postavit (v-w4003f3)")</f>
        <v>postavit (v-w4003f3)</v>
      </c>
      <c r="E29346" s="0" t="str">
        <f aca="false">HYPERLINK("https://lindat.mff.cuni.cz/services/SynSemClass40/SynSemClass40.html?veclass=vec00735#vec00735-ces-cm00089", "vec00735")</f>
        <v>vec00735</v>
      </c>
      <c r="F29346" s="0" t="s">
        <v>2719</v>
      </c>
    </row>
    <row r="29347" customFormat="false" ht="12.8" hidden="false" customHeight="false" outlineLevel="0" collapsed="false">
      <c r="B29347" s="0" t="s">
        <v>1</v>
      </c>
      <c r="C29347" s="0" t="s">
        <v>2720</v>
      </c>
      <c r="E29347" s="0" t="s">
        <v>334</v>
      </c>
      <c r="F29347" s="0" t="s">
        <v>2721</v>
      </c>
    </row>
    <row r="29348" customFormat="false" ht="12.8" hidden="false" customHeight="false" outlineLevel="0" collapsed="false">
      <c r="B29348" s="0" t="s">
        <v>8</v>
      </c>
      <c r="C29348" s="0" t="s">
        <v>2722</v>
      </c>
      <c r="E29348" s="0" t="s">
        <v>2648</v>
      </c>
      <c r="F29348" s="0" t="s">
        <v>2723</v>
      </c>
    </row>
    <row r="29349" customFormat="false" ht="12.8" hidden="false" customHeight="false" outlineLevel="0" collapsed="false">
      <c r="B29349" s="0" t="s">
        <v>164</v>
      </c>
      <c r="C29349" s="0" t="s">
        <v>2724</v>
      </c>
      <c r="E29349" s="0" t="s">
        <v>370</v>
      </c>
      <c r="F29349" s="0" t="s">
        <v>2725</v>
      </c>
    </row>
    <row r="29351" customFormat="false" ht="12.8" hidden="false" customHeight="false" outlineLevel="0" collapsed="false">
      <c r="A29351" s="0" t="s">
        <v>11568</v>
      </c>
      <c r="B29351" s="0" t="str">
        <f aca="false">HYPERLINK("https://lindat.mff.cuni.cz/services/teitok/pdtc10/index.php?action=vallex&amp;frame=v-w4003f6", "postavit (v-w4003f6)")</f>
        <v>postavit (v-w4003f6)</v>
      </c>
    </row>
    <row r="29352" customFormat="false" ht="12.8" hidden="false" customHeight="false" outlineLevel="0" collapsed="false">
      <c r="B29352" s="0" t="s">
        <v>1</v>
      </c>
    </row>
    <row r="29353" customFormat="false" ht="12.8" hidden="false" customHeight="false" outlineLevel="0" collapsed="false">
      <c r="B29353" s="0" t="s">
        <v>8</v>
      </c>
    </row>
    <row r="29355" customFormat="false" ht="12.8" hidden="false" customHeight="false" outlineLevel="0" collapsed="false">
      <c r="A29355" s="0" t="s">
        <v>11569</v>
      </c>
      <c r="B29355" s="0" t="str">
        <f aca="false">HYPERLINK("https://lindat.mff.cuni.cz/services/teitok/pdtc10/index.php?action=vallex&amp;frame=v-w4003f5", "postavit (v-w4003f5)")</f>
        <v>postavit (v-w4003f5)</v>
      </c>
    </row>
    <row r="29356" customFormat="false" ht="12.8" hidden="false" customHeight="false" outlineLevel="0" collapsed="false">
      <c r="B29356" s="0" t="s">
        <v>1</v>
      </c>
    </row>
    <row r="29357" customFormat="false" ht="12.8" hidden="false" customHeight="false" outlineLevel="0" collapsed="false">
      <c r="B29357" s="0" t="s">
        <v>8</v>
      </c>
    </row>
    <row r="29359" customFormat="false" ht="12.8" hidden="false" customHeight="false" outlineLevel="0" collapsed="false">
      <c r="A29359" s="0" t="s">
        <v>11570</v>
      </c>
      <c r="B29359" s="0" t="str">
        <f aca="false">HYPERLINK("https://lindat.mff.cuni.cz/services/teitok/pdtc10/index.php?action=vallex&amp;frame=v-w4003f11_ZU", "postavit (v-w4003f11_ZU)")</f>
        <v>postavit (v-w4003f11_ZU)</v>
      </c>
      <c r="E29359" s="0" t="str">
        <f aca="false">HYPERLINK("https://lindat.mff.cuni.cz/services/SynSemClass40/SynSemClass40.html?veclass=vec00526#vec00526-ces-cm00002", "vec00526")</f>
        <v>vec00526</v>
      </c>
      <c r="F29359" s="0" t="s">
        <v>11571</v>
      </c>
    </row>
    <row r="29360" customFormat="false" ht="12.8" hidden="false" customHeight="false" outlineLevel="0" collapsed="false">
      <c r="B29360" s="0" t="s">
        <v>1</v>
      </c>
      <c r="C29360" s="0" t="s">
        <v>4695</v>
      </c>
      <c r="E29360" s="0" t="s">
        <v>11</v>
      </c>
      <c r="F29360" s="0" t="s">
        <v>5950</v>
      </c>
    </row>
    <row r="29361" customFormat="false" ht="12.8" hidden="false" customHeight="false" outlineLevel="0" collapsed="false">
      <c r="B29361" s="0" t="s">
        <v>8</v>
      </c>
      <c r="C29361" s="0" t="s">
        <v>827</v>
      </c>
      <c r="E29361" s="0" t="s">
        <v>1569</v>
      </c>
      <c r="F29361" s="0" t="s">
        <v>5638</v>
      </c>
    </row>
    <row r="29363" customFormat="false" ht="12.8" hidden="false" customHeight="false" outlineLevel="0" collapsed="false">
      <c r="A29363" s="0" t="s">
        <v>11572</v>
      </c>
      <c r="B29363" s="0" t="str">
        <f aca="false">HYPERLINK("https://lindat.mff.cuni.cz/services/teitok/pdtc10/index.php?action=vallex&amp;frame=v-w4003f10", "postavit (v-w4003f10)")</f>
        <v>postavit (v-w4003f10)</v>
      </c>
      <c r="E29363" s="0" t="str">
        <f aca="false">HYPERLINK("https://lindat.mff.cuni.cz/services/SynSemClass40/SynSemClass40.html?veclass=vec00075#vec00075-ces-cm00001", "vec00075")</f>
        <v>vec00075</v>
      </c>
      <c r="F29363" s="0" t="s">
        <v>11573</v>
      </c>
    </row>
    <row r="29364" customFormat="false" ht="12.8" hidden="false" customHeight="false" outlineLevel="0" collapsed="false">
      <c r="B29364" s="0" t="s">
        <v>1</v>
      </c>
      <c r="E29364" s="0" t="s">
        <v>11</v>
      </c>
      <c r="F29364" s="0" t="s">
        <v>959</v>
      </c>
    </row>
    <row r="29365" customFormat="false" ht="12.8" hidden="false" customHeight="false" outlineLevel="0" collapsed="false">
      <c r="B29365" s="0" t="s">
        <v>11574</v>
      </c>
      <c r="E29365" s="0" t="s">
        <v>11575</v>
      </c>
      <c r="F29365" s="0" t="s">
        <v>11576</v>
      </c>
    </row>
    <row r="29366" customFormat="false" ht="12.8" hidden="false" customHeight="false" outlineLevel="0" collapsed="false">
      <c r="B29366" s="0" t="s">
        <v>186</v>
      </c>
      <c r="E29366" s="0" t="s">
        <v>142</v>
      </c>
      <c r="F29366" s="0" t="s">
        <v>6348</v>
      </c>
    </row>
    <row r="29367" customFormat="false" ht="12.8" hidden="false" customHeight="false" outlineLevel="0" collapsed="false">
      <c r="B29367" s="0" t="s">
        <v>164</v>
      </c>
    </row>
    <row r="29369" customFormat="false" ht="12.8" hidden="false" customHeight="false" outlineLevel="0" collapsed="false">
      <c r="A29369" s="0" t="s">
        <v>11577</v>
      </c>
      <c r="B29369" s="0" t="str">
        <f aca="false">HYPERLINK("https://lindat.mff.cuni.cz/services/teitok/pdtc10/index.php?action=vallex&amp;frame=v-w4003f8", "postavit (v-w4003f8)")</f>
        <v>postavit (v-w4003f8)</v>
      </c>
    </row>
    <row r="29370" customFormat="false" ht="12.8" hidden="false" customHeight="false" outlineLevel="0" collapsed="false">
      <c r="B29370" s="0" t="s">
        <v>1</v>
      </c>
    </row>
    <row r="29371" customFormat="false" ht="12.8" hidden="false" customHeight="false" outlineLevel="0" collapsed="false">
      <c r="B29371" s="0" t="s">
        <v>11578</v>
      </c>
    </row>
    <row r="29372" customFormat="false" ht="12.8" hidden="false" customHeight="false" outlineLevel="0" collapsed="false">
      <c r="B29372" s="0" t="s">
        <v>8</v>
      </c>
    </row>
    <row r="29374" customFormat="false" ht="12.8" hidden="false" customHeight="false" outlineLevel="0" collapsed="false">
      <c r="A29374" s="0" t="s">
        <v>11579</v>
      </c>
      <c r="B29374" s="0" t="str">
        <f aca="false">HYPERLINK("https://lindat.mff.cuni.cz/services/teitok/pdtc10/index.php?action=vallex&amp;frame=v-w4004f1", "postavit se (v-w4004f1)")</f>
        <v>postavit se (v-w4004f1)</v>
      </c>
      <c r="E29374" s="0" t="str">
        <f aca="false">HYPERLINK("https://lindat.mff.cuni.cz/services/SynSemClass40/SynSemClass40.html?veclass=vec00205#vec00205-ces-cm00020", "vec00205")</f>
        <v>vec00205</v>
      </c>
      <c r="F29374" s="0" t="s">
        <v>406</v>
      </c>
      <c r="H29374" s="0" t="str">
        <f aca="false">HYPERLINK("https://lindat.mff.cuni.cz/services/SynSemClass40/SynSemClass40.html?veclass=vec00461#vec00461-ces-cm00010", "vec00461")</f>
        <v>vec00461</v>
      </c>
      <c r="I29374" s="0" t="s">
        <v>476</v>
      </c>
    </row>
    <row r="29375" customFormat="false" ht="12.8" hidden="false" customHeight="false" outlineLevel="0" collapsed="false">
      <c r="B29375" s="0" t="s">
        <v>1</v>
      </c>
      <c r="C29375" s="0" t="s">
        <v>11580</v>
      </c>
      <c r="E29375" s="0" t="s">
        <v>11</v>
      </c>
      <c r="F29375" s="0" t="s">
        <v>408</v>
      </c>
      <c r="H29375" s="0" t="s">
        <v>478</v>
      </c>
      <c r="I29375" s="0" t="s">
        <v>479</v>
      </c>
    </row>
    <row r="29376" customFormat="false" ht="12.8" hidden="false" customHeight="false" outlineLevel="0" collapsed="false">
      <c r="B29376" s="0" t="s">
        <v>11581</v>
      </c>
      <c r="C29376" s="0" t="s">
        <v>11582</v>
      </c>
      <c r="E29376" s="0" t="s">
        <v>411</v>
      </c>
      <c r="F29376" s="0" t="s">
        <v>412</v>
      </c>
      <c r="H29376" s="0" t="s">
        <v>11583</v>
      </c>
      <c r="I29376" s="0" t="s">
        <v>11584</v>
      </c>
    </row>
    <row r="29378" customFormat="false" ht="12.8" hidden="false" customHeight="false" outlineLevel="0" collapsed="false">
      <c r="A29378" s="0" t="s">
        <v>11585</v>
      </c>
      <c r="B29378" s="0" t="str">
        <f aca="false">HYPERLINK("https://lindat.mff.cuni.cz/services/teitok/pdtc10/index.php?action=vallex&amp;frame=v-w4004f5", "postavit se (v-w4004f5)")</f>
        <v>postavit se (v-w4004f5)</v>
      </c>
    </row>
    <row r="29379" customFormat="false" ht="12.8" hidden="false" customHeight="false" outlineLevel="0" collapsed="false">
      <c r="B29379" s="0" t="s">
        <v>1</v>
      </c>
    </row>
    <row r="29380" customFormat="false" ht="12.8" hidden="false" customHeight="false" outlineLevel="0" collapsed="false">
      <c r="B29380" s="0" t="s">
        <v>311</v>
      </c>
    </row>
    <row r="29381" customFormat="false" ht="12.8" hidden="false" customHeight="false" outlineLevel="0" collapsed="false">
      <c r="B29381" s="0" t="s">
        <v>642</v>
      </c>
    </row>
    <row r="29382" customFormat="false" ht="12.8" hidden="false" customHeight="false" outlineLevel="0" collapsed="false">
      <c r="B29382" s="0" t="s">
        <v>648</v>
      </c>
    </row>
    <row r="29383" customFormat="false" ht="12.8" hidden="false" customHeight="false" outlineLevel="0" collapsed="false">
      <c r="B29383" s="0" t="s">
        <v>650</v>
      </c>
    </row>
    <row r="29384" customFormat="false" ht="12.8" hidden="false" customHeight="false" outlineLevel="0" collapsed="false">
      <c r="B29384" s="0" t="s">
        <v>652</v>
      </c>
    </row>
    <row r="29386" customFormat="false" ht="12.8" hidden="false" customHeight="false" outlineLevel="0" collapsed="false">
      <c r="A29386" s="0" t="s">
        <v>11586</v>
      </c>
      <c r="B29386" s="0" t="str">
        <f aca="false">HYPERLINK("https://lindat.mff.cuni.cz/services/teitok/pdtc10/index.php?action=vallex&amp;frame=v-w4004f4", "postavit se (v-w4004f4)")</f>
        <v>postavit se (v-w4004f4)</v>
      </c>
      <c r="E29386" s="0" t="str">
        <f aca="false">HYPERLINK("https://lindat.mff.cuni.cz/services/SynSemClass40/SynSemClass40.html?veclass=vec00678#vec00678-ces-cm00001", "vec00678")</f>
        <v>vec00678</v>
      </c>
      <c r="F29386" s="0" t="s">
        <v>11587</v>
      </c>
    </row>
    <row r="29387" customFormat="false" ht="12.8" hidden="false" customHeight="false" outlineLevel="0" collapsed="false">
      <c r="B29387" s="0" t="s">
        <v>1</v>
      </c>
      <c r="C29387" s="0" t="s">
        <v>4695</v>
      </c>
      <c r="E29387" s="0" t="s">
        <v>569</v>
      </c>
      <c r="F29387" s="0" t="s">
        <v>11588</v>
      </c>
    </row>
    <row r="29388" customFormat="false" ht="12.8" hidden="false" customHeight="false" outlineLevel="0" collapsed="false">
      <c r="B29388" s="0" t="s">
        <v>665</v>
      </c>
      <c r="C29388" s="0" t="s">
        <v>462</v>
      </c>
      <c r="E29388" s="0" t="s">
        <v>572</v>
      </c>
      <c r="F29388" s="0" t="s">
        <v>11589</v>
      </c>
    </row>
    <row r="29390" customFormat="false" ht="12.8" hidden="false" customHeight="false" outlineLevel="0" collapsed="false">
      <c r="A29390" s="0" t="s">
        <v>11590</v>
      </c>
      <c r="B29390" s="0" t="str">
        <f aca="false">HYPERLINK("https://lindat.mff.cuni.cz/services/teitok/pdtc10/index.php?action=vallex&amp;frame=v-w4004f2", "postavit se (v-w4004f2)")</f>
        <v>postavit se (v-w4004f2)</v>
      </c>
      <c r="E29390" s="0" t="str">
        <f aca="false">HYPERLINK("https://lindat.mff.cuni.cz/services/SynSemClass40/SynSemClass40.html?veclass=vec00373#vec00373-ces-cm00034", "vec00373")</f>
        <v>vec00373</v>
      </c>
      <c r="F29390" s="0" t="s">
        <v>6637</v>
      </c>
    </row>
    <row r="29391" customFormat="false" ht="12.8" hidden="false" customHeight="false" outlineLevel="0" collapsed="false">
      <c r="B29391" s="0" t="s">
        <v>1</v>
      </c>
      <c r="C29391" s="0" t="s">
        <v>11591</v>
      </c>
      <c r="E29391" s="0" t="s">
        <v>11</v>
      </c>
      <c r="F29391" s="0" t="s">
        <v>6639</v>
      </c>
    </row>
    <row r="29392" customFormat="false" ht="12.8" hidden="false" customHeight="false" outlineLevel="0" collapsed="false">
      <c r="B29392" s="0" t="s">
        <v>361</v>
      </c>
      <c r="E29392" s="0" t="s">
        <v>11592</v>
      </c>
      <c r="F29392" s="0" t="s">
        <v>11593</v>
      </c>
    </row>
    <row r="29394" customFormat="false" ht="12.8" hidden="false" customHeight="false" outlineLevel="0" collapsed="false">
      <c r="A29394" s="0" t="s">
        <v>11594</v>
      </c>
      <c r="B29394" s="0" t="str">
        <f aca="false">HYPERLINK("https://lindat.mff.cuni.cz/services/teitok/pdtc10/index.php?action=vallex&amp;frame=v-w4004f3", "postavit se (v-w4004f3)")</f>
        <v>postavit se (v-w4004f3)</v>
      </c>
    </row>
    <row r="29395" customFormat="false" ht="12.8" hidden="false" customHeight="false" outlineLevel="0" collapsed="false">
      <c r="B29395" s="0" t="s">
        <v>1</v>
      </c>
    </row>
    <row r="29397" customFormat="false" ht="12.8" hidden="false" customHeight="false" outlineLevel="0" collapsed="false">
      <c r="A29397" s="0" t="s">
        <v>11595</v>
      </c>
      <c r="B29397" s="0" t="str">
        <f aca="false">HYPERLINK("https://lindat.mff.cuni.cz/services/teitok/pdtc10/index.php?action=vallex&amp;frame=v-w4004f6", "postavit se (v-w4004f6)")</f>
        <v>postavit se (v-w4004f6)</v>
      </c>
    </row>
    <row r="29398" customFormat="false" ht="12.8" hidden="false" customHeight="false" outlineLevel="0" collapsed="false">
      <c r="B29398" s="0" t="s">
        <v>1</v>
      </c>
    </row>
    <row r="29399" customFormat="false" ht="12.8" hidden="false" customHeight="false" outlineLevel="0" collapsed="false">
      <c r="B29399" s="0" t="s">
        <v>11596</v>
      </c>
    </row>
    <row r="29401" customFormat="false" ht="12.8" hidden="false" customHeight="false" outlineLevel="0" collapsed="false">
      <c r="A29401" s="0" t="s">
        <v>11597</v>
      </c>
      <c r="B29401" s="0" t="str">
        <f aca="false">HYPERLINK("https://lindat.mff.cuni.cz/services/teitok/pdtc10/index.php?action=vallex&amp;frame=v-w4004hsa_775", "postavit se (v-w4004hsa_775)")</f>
        <v>postavit se (v-w4004hsa_775)</v>
      </c>
    </row>
    <row r="29402" customFormat="false" ht="12.8" hidden="false" customHeight="false" outlineLevel="0" collapsed="false">
      <c r="B29402" s="0" t="s">
        <v>1</v>
      </c>
    </row>
    <row r="29403" customFormat="false" ht="12.8" hidden="false" customHeight="false" outlineLevel="0" collapsed="false">
      <c r="B29403" s="0" t="s">
        <v>164</v>
      </c>
    </row>
    <row r="29405" customFormat="false" ht="12.8" hidden="false" customHeight="false" outlineLevel="0" collapsed="false">
      <c r="A29405" s="0" t="s">
        <v>11598</v>
      </c>
      <c r="B29405" s="0" t="str">
        <f aca="false">HYPERLINK("https://lindat.mff.cuni.cz/services/teitok/pdtc10/index.php?action=vallex&amp;frame=v-w4004f7_ZU", "postavit se (v-w4004f7_ZU)")</f>
        <v>postavit se (v-w4004f7_ZU)</v>
      </c>
    </row>
    <row r="29406" customFormat="false" ht="12.8" hidden="false" customHeight="false" outlineLevel="0" collapsed="false">
      <c r="B29406" s="0" t="s">
        <v>1</v>
      </c>
    </row>
    <row r="29407" customFormat="false" ht="12.8" hidden="false" customHeight="false" outlineLevel="0" collapsed="false">
      <c r="B29407" s="0" t="s">
        <v>11599</v>
      </c>
    </row>
    <row r="29409" customFormat="false" ht="12.8" hidden="false" customHeight="false" outlineLevel="0" collapsed="false">
      <c r="A29409" s="0" t="s">
        <v>11598</v>
      </c>
      <c r="B29409" s="0" t="str">
        <f aca="false">HYPERLINK("https://lindat.mff.cuni.cz/services/teitok/pdtc10/index.php?action=vallex&amp;frame=v-w4004hsa_776", "postavit se (v-w4004hsa_776) - substituted with v-w4004f7_ZU")</f>
        <v>postavit se (v-w4004hsa_776) - substituted with v-w4004f7_ZU</v>
      </c>
    </row>
    <row r="29410" customFormat="false" ht="12.8" hidden="false" customHeight="false" outlineLevel="0" collapsed="false">
      <c r="B29410" s="0" t="s">
        <v>1</v>
      </c>
    </row>
    <row r="29411" customFormat="false" ht="12.8" hidden="false" customHeight="false" outlineLevel="0" collapsed="false">
      <c r="B29411" s="0" t="s">
        <v>11599</v>
      </c>
    </row>
    <row r="29413" customFormat="false" ht="12.8" hidden="false" customHeight="false" outlineLevel="0" collapsed="false">
      <c r="A29413" s="0" t="s">
        <v>11600</v>
      </c>
      <c r="B29413" s="0" t="str">
        <f aca="false">HYPERLINK("https://lindat.mff.cuni.cz/services/teitok/pdtc10/index.php?action=vallex&amp;frame=v-w4005f1", "postavit si (v-w4005f1)")</f>
        <v>postavit si (v-w4005f1)</v>
      </c>
    </row>
    <row r="29414" customFormat="false" ht="12.8" hidden="false" customHeight="false" outlineLevel="0" collapsed="false">
      <c r="B29414" s="0" t="s">
        <v>1</v>
      </c>
    </row>
    <row r="29415" customFormat="false" ht="12.8" hidden="false" customHeight="false" outlineLevel="0" collapsed="false">
      <c r="B29415" s="0" t="s">
        <v>11601</v>
      </c>
    </row>
    <row r="29417" customFormat="false" ht="12.8" hidden="false" customHeight="false" outlineLevel="0" collapsed="false">
      <c r="A29417" s="0" t="s">
        <v>11602</v>
      </c>
      <c r="B29417" s="0" t="str">
        <f aca="false">HYPERLINK("https://lindat.mff.cuni.cz/services/teitok/pdtc10/index.php?action=vallex&amp;frame=v-w3996f1", "postačit (v-w3996f1)")</f>
        <v>postačit (v-w3996f1)</v>
      </c>
    </row>
    <row r="29418" customFormat="false" ht="12.8" hidden="false" customHeight="false" outlineLevel="0" collapsed="false">
      <c r="B29418" s="0" t="s">
        <v>2929</v>
      </c>
    </row>
    <row r="29419" customFormat="false" ht="12.8" hidden="false" customHeight="false" outlineLevel="0" collapsed="false">
      <c r="B29419" s="0" t="s">
        <v>186</v>
      </c>
    </row>
    <row r="29421" customFormat="false" ht="12.8" hidden="false" customHeight="false" outlineLevel="0" collapsed="false">
      <c r="A29421" s="0" t="s">
        <v>11603</v>
      </c>
      <c r="B29421" s="0" t="str">
        <f aca="false">HYPERLINK("https://lindat.mff.cuni.cz/services/teitok/pdtc10/index.php?action=vallex&amp;frame=v-w3997f1", "postačovat (v-w3997f1)")</f>
        <v>postačovat (v-w3997f1)</v>
      </c>
    </row>
    <row r="29422" customFormat="false" ht="12.8" hidden="false" customHeight="false" outlineLevel="0" collapsed="false">
      <c r="B29422" s="0" t="s">
        <v>2929</v>
      </c>
    </row>
    <row r="29423" customFormat="false" ht="12.8" hidden="false" customHeight="false" outlineLevel="0" collapsed="false">
      <c r="B29423" s="0" t="s">
        <v>186</v>
      </c>
    </row>
    <row r="29425" customFormat="false" ht="12.8" hidden="false" customHeight="false" outlineLevel="0" collapsed="false">
      <c r="A29425" s="0" t="s">
        <v>11604</v>
      </c>
      <c r="B29425" s="0" t="str">
        <f aca="false">HYPERLINK("https://lindat.mff.cuni.cz/services/teitok/pdtc10/index.php?action=vallex&amp;frame=v-w4006f1", "postesknout si (v-w4006f1)")</f>
        <v>postesknout si (v-w4006f1)</v>
      </c>
    </row>
    <row r="29426" customFormat="false" ht="12.8" hidden="false" customHeight="false" outlineLevel="0" collapsed="false">
      <c r="B29426" s="0" t="s">
        <v>1</v>
      </c>
    </row>
    <row r="29427" customFormat="false" ht="12.8" hidden="false" customHeight="false" outlineLevel="0" collapsed="false">
      <c r="B29427" s="0" t="s">
        <v>11605</v>
      </c>
    </row>
    <row r="29428" customFormat="false" ht="12.8" hidden="false" customHeight="false" outlineLevel="0" collapsed="false">
      <c r="B29428" s="0" t="s">
        <v>132</v>
      </c>
    </row>
    <row r="29430" customFormat="false" ht="12.8" hidden="false" customHeight="false" outlineLevel="0" collapsed="false">
      <c r="A29430" s="0" t="s">
        <v>11606</v>
      </c>
      <c r="B29430" s="0" t="str">
        <f aca="false">HYPERLINK("https://lindat.mff.cuni.cz/services/teitok/pdtc10/index.php?action=vallex&amp;frame=v-w4009f2", "postihnout (v-w4009f2)")</f>
        <v>postihnout (v-w4009f2)</v>
      </c>
    </row>
    <row r="29431" customFormat="false" ht="12.8" hidden="false" customHeight="false" outlineLevel="0" collapsed="false">
      <c r="B29431" s="0" t="s">
        <v>1</v>
      </c>
    </row>
    <row r="29432" customFormat="false" ht="12.8" hidden="false" customHeight="false" outlineLevel="0" collapsed="false">
      <c r="B29432" s="0" t="s">
        <v>11607</v>
      </c>
    </row>
    <row r="29434" customFormat="false" ht="12.8" hidden="false" customHeight="false" outlineLevel="0" collapsed="false">
      <c r="A29434" s="0" t="s">
        <v>11608</v>
      </c>
      <c r="B29434" s="0" t="str">
        <f aca="false">HYPERLINK("https://lindat.mff.cuni.cz/services/teitok/pdtc10/index.php?action=vallex&amp;frame=v-w4009f1", "postihnout (v-w4009f1)")</f>
        <v>postihnout (v-w4009f1)</v>
      </c>
      <c r="E29434" s="0" t="str">
        <f aca="false">HYPERLINK("https://lindat.mff.cuni.cz/services/SynSemClass40/SynSemClass40.html?veclass=vec00372#vec00372-ces-cm00031", "vec00372")</f>
        <v>vec00372</v>
      </c>
      <c r="F29434" s="0" t="s">
        <v>2524</v>
      </c>
    </row>
    <row r="29435" customFormat="false" ht="12.8" hidden="false" customHeight="false" outlineLevel="0" collapsed="false">
      <c r="B29435" s="0" t="s">
        <v>1</v>
      </c>
      <c r="C29435" s="0" t="s">
        <v>2525</v>
      </c>
      <c r="E29435" s="0" t="s">
        <v>2526</v>
      </c>
      <c r="F29435" s="0" t="s">
        <v>2527</v>
      </c>
    </row>
    <row r="29436" customFormat="false" ht="12.8" hidden="false" customHeight="false" outlineLevel="0" collapsed="false">
      <c r="B29436" s="0" t="s">
        <v>8</v>
      </c>
      <c r="C29436" s="0" t="s">
        <v>2528</v>
      </c>
      <c r="E29436" s="0" t="s">
        <v>142</v>
      </c>
      <c r="F29436" s="0" t="s">
        <v>2529</v>
      </c>
    </row>
    <row r="29438" customFormat="false" ht="12.8" hidden="false" customHeight="false" outlineLevel="0" collapsed="false">
      <c r="A29438" s="0" t="s">
        <v>11609</v>
      </c>
      <c r="B29438" s="0" t="str">
        <f aca="false">HYPERLINK("https://lindat.mff.cuni.cz/services/teitok/pdtc10/index.php?action=vallex&amp;frame=v-w4011f1", "postihovat (v-w4011f1)")</f>
        <v>postihovat (v-w4011f1)</v>
      </c>
      <c r="E29438" s="0" t="str">
        <f aca="false">HYPERLINK("https://lindat.mff.cuni.cz/services/SynSemClass40/SynSemClass40.html?veclass=vec00372#vec00372-ces-cm00032", "vec00372")</f>
        <v>vec00372</v>
      </c>
      <c r="F29438" s="0" t="s">
        <v>2524</v>
      </c>
    </row>
    <row r="29439" customFormat="false" ht="12.8" hidden="false" customHeight="false" outlineLevel="0" collapsed="false">
      <c r="B29439" s="0" t="s">
        <v>1</v>
      </c>
      <c r="C29439" s="0" t="s">
        <v>2525</v>
      </c>
      <c r="E29439" s="0" t="s">
        <v>2526</v>
      </c>
      <c r="F29439" s="0" t="s">
        <v>2527</v>
      </c>
    </row>
    <row r="29440" customFormat="false" ht="12.8" hidden="false" customHeight="false" outlineLevel="0" collapsed="false">
      <c r="B29440" s="0" t="s">
        <v>8</v>
      </c>
      <c r="C29440" s="0" t="s">
        <v>2528</v>
      </c>
      <c r="E29440" s="0" t="s">
        <v>142</v>
      </c>
      <c r="F29440" s="0" t="s">
        <v>2529</v>
      </c>
    </row>
    <row r="29442" customFormat="false" ht="12.8" hidden="false" customHeight="false" outlineLevel="0" collapsed="false">
      <c r="A29442" s="0" t="s">
        <v>11610</v>
      </c>
      <c r="B29442" s="0" t="str">
        <f aca="false">HYPERLINK("https://lindat.mff.cuni.cz/services/teitok/pdtc10/index.php?action=vallex&amp;frame=v-w4011f2", "postihovat (v-w4011f2)")</f>
        <v>postihovat (v-w4011f2)</v>
      </c>
    </row>
    <row r="29443" customFormat="false" ht="12.8" hidden="false" customHeight="false" outlineLevel="0" collapsed="false">
      <c r="B29443" s="0" t="s">
        <v>1</v>
      </c>
    </row>
    <row r="29444" customFormat="false" ht="12.8" hidden="false" customHeight="false" outlineLevel="0" collapsed="false">
      <c r="B29444" s="0" t="s">
        <v>8</v>
      </c>
    </row>
    <row r="29446" customFormat="false" ht="12.8" hidden="false" customHeight="false" outlineLevel="0" collapsed="false">
      <c r="A29446" s="0" t="s">
        <v>11611</v>
      </c>
      <c r="B29446" s="0" t="str">
        <f aca="false">HYPERLINK("https://lindat.mff.cuni.cz/services/teitok/pdtc10/index.php?action=vallex&amp;frame=v-w11881_ZUf1_ZU", "postit se (v-w11881_ZUf1_ZU)")</f>
        <v>postit se (v-w11881_ZUf1_ZU)</v>
      </c>
    </row>
    <row r="29447" customFormat="false" ht="12.8" hidden="false" customHeight="false" outlineLevel="0" collapsed="false">
      <c r="B29447" s="0" t="s">
        <v>1</v>
      </c>
    </row>
    <row r="29449" customFormat="false" ht="12.8" hidden="false" customHeight="false" outlineLevel="0" collapsed="false">
      <c r="A29449" s="0" t="s">
        <v>11612</v>
      </c>
      <c r="B29449" s="0" t="str">
        <f aca="false">HYPERLINK("https://lindat.mff.cuni.cz/services/teitok/pdtc10/index.php?action=vallex&amp;frame=v-w12195_ZUf1_ZU", "postonávat (v-w12195_ZUf1_ZU)")</f>
        <v>postonávat (v-w12195_ZUf1_ZU)</v>
      </c>
    </row>
    <row r="29450" customFormat="false" ht="12.8" hidden="false" customHeight="false" outlineLevel="0" collapsed="false">
      <c r="B29450" s="0" t="s">
        <v>1</v>
      </c>
    </row>
    <row r="29451" customFormat="false" ht="12.8" hidden="false" customHeight="false" outlineLevel="0" collapsed="false">
      <c r="B29451" s="0" t="s">
        <v>3321</v>
      </c>
    </row>
    <row r="29453" customFormat="false" ht="12.8" hidden="false" customHeight="false" outlineLevel="0" collapsed="false">
      <c r="A29453" s="0" t="s">
        <v>11613</v>
      </c>
      <c r="B29453" s="0" t="str">
        <f aca="false">HYPERLINK("https://lindat.mff.cuni.cz/services/teitok/pdtc10/index.php?action=vallex&amp;frame=v-w4017f5_ZU", "postoupit (v-w4017f5_ZU)")</f>
        <v>postoupit (v-w4017f5_ZU)</v>
      </c>
      <c r="E29453" s="0" t="str">
        <f aca="false">HYPERLINK("https://lindat.mff.cuni.cz/services/SynSemClass40/SynSemClass40.html?veclass=vec01087#vec01087-ces-cm00006", "vec01087")</f>
        <v>vec01087</v>
      </c>
      <c r="F29453" s="0" t="s">
        <v>1863</v>
      </c>
    </row>
    <row r="29454" customFormat="false" ht="12.8" hidden="false" customHeight="false" outlineLevel="0" collapsed="false">
      <c r="B29454" s="0" t="s">
        <v>1</v>
      </c>
      <c r="C29454" s="0" t="s">
        <v>5752</v>
      </c>
      <c r="E29454" s="0" t="s">
        <v>1868</v>
      </c>
      <c r="F29454" s="0" t="s">
        <v>1869</v>
      </c>
    </row>
    <row r="29455" customFormat="false" ht="12.8" hidden="false" customHeight="false" outlineLevel="0" collapsed="false">
      <c r="B29455" s="0" t="s">
        <v>8</v>
      </c>
      <c r="C29455" s="0" t="s">
        <v>8873</v>
      </c>
      <c r="E29455" s="0" t="s">
        <v>1875</v>
      </c>
      <c r="F29455" s="0" t="s">
        <v>1876</v>
      </c>
    </row>
    <row r="29456" customFormat="false" ht="12.8" hidden="false" customHeight="false" outlineLevel="0" collapsed="false">
      <c r="B29456" s="0" t="s">
        <v>11614</v>
      </c>
      <c r="C29456" s="0" t="s">
        <v>11615</v>
      </c>
      <c r="E29456" s="0" t="s">
        <v>53</v>
      </c>
      <c r="F29456" s="0" t="s">
        <v>1880</v>
      </c>
    </row>
    <row r="29458" customFormat="false" ht="12.8" hidden="false" customHeight="false" outlineLevel="0" collapsed="false">
      <c r="A29458" s="0" t="s">
        <v>11613</v>
      </c>
      <c r="B29458" s="0" t="str">
        <f aca="false">HYPERLINK("https://lindat.mff.cuni.cz/services/teitok/pdtc10/index.php?action=vallex&amp;frame=v-w4017f2", "postoupit (v-w4017f2) - substituted with v-w4017f5_ZU")</f>
        <v>postoupit (v-w4017f2) - substituted with v-w4017f5_ZU</v>
      </c>
    </row>
    <row r="29459" customFormat="false" ht="12.8" hidden="false" customHeight="false" outlineLevel="0" collapsed="false">
      <c r="B29459" s="0" t="s">
        <v>1</v>
      </c>
    </row>
    <row r="29460" customFormat="false" ht="12.8" hidden="false" customHeight="false" outlineLevel="0" collapsed="false">
      <c r="B29460" s="0" t="s">
        <v>8</v>
      </c>
    </row>
    <row r="29461" customFormat="false" ht="12.8" hidden="false" customHeight="false" outlineLevel="0" collapsed="false">
      <c r="B29461" s="0" t="s">
        <v>11614</v>
      </c>
    </row>
    <row r="29463" customFormat="false" ht="12.8" hidden="false" customHeight="false" outlineLevel="0" collapsed="false">
      <c r="A29463" s="0" t="s">
        <v>11616</v>
      </c>
      <c r="B29463" s="0" t="str">
        <f aca="false">HYPERLINK("https://lindat.mff.cuni.cz/services/teitok/pdtc10/index.php?action=vallex&amp;frame=v-w4017f4_ZU", "postoupit (v-w4017f4_ZU)")</f>
        <v>postoupit (v-w4017f4_ZU)</v>
      </c>
      <c r="E29463" s="0" t="str">
        <f aca="false">HYPERLINK("https://lindat.mff.cuni.cz/services/SynSemClass40/SynSemClass40.html?veclass=vec00109#vec00109-ces-cm00096", "vec00109")</f>
        <v>vec00109</v>
      </c>
      <c r="F29463" s="0" t="s">
        <v>5143</v>
      </c>
    </row>
    <row r="29464" customFormat="false" ht="12.8" hidden="false" customHeight="false" outlineLevel="0" collapsed="false">
      <c r="B29464" s="0" t="s">
        <v>1</v>
      </c>
      <c r="C29464" s="0" t="s">
        <v>7017</v>
      </c>
      <c r="E29464" s="0" t="s">
        <v>235</v>
      </c>
      <c r="F29464" s="0" t="s">
        <v>5146</v>
      </c>
    </row>
    <row r="29465" customFormat="false" ht="12.8" hidden="false" customHeight="false" outlineLevel="0" collapsed="false">
      <c r="B29465" s="0" t="s">
        <v>69</v>
      </c>
      <c r="C29465" s="0" t="s">
        <v>5148</v>
      </c>
      <c r="E29465" s="0" t="s">
        <v>5149</v>
      </c>
      <c r="F29465" s="0" t="s">
        <v>5150</v>
      </c>
    </row>
    <row r="29466" customFormat="false" ht="12.8" hidden="false" customHeight="false" outlineLevel="0" collapsed="false">
      <c r="B29466" s="0" t="s">
        <v>36</v>
      </c>
      <c r="C29466" s="0" t="s">
        <v>5151</v>
      </c>
      <c r="E29466" s="0" t="s">
        <v>5152</v>
      </c>
      <c r="F29466" s="0" t="s">
        <v>5153</v>
      </c>
    </row>
    <row r="29468" customFormat="false" ht="12.8" hidden="false" customHeight="false" outlineLevel="0" collapsed="false">
      <c r="A29468" s="0" t="s">
        <v>11617</v>
      </c>
      <c r="B29468" s="0" t="str">
        <f aca="false">HYPERLINK("https://lindat.mff.cuni.cz/services/teitok/pdtc10/index.php?action=vallex&amp;frame=v-w4017f1", "postoupit (v-w4017f1)")</f>
        <v>postoupit (v-w4017f1)</v>
      </c>
    </row>
    <row r="29469" customFormat="false" ht="12.8" hidden="false" customHeight="false" outlineLevel="0" collapsed="false">
      <c r="B29469" s="0" t="s">
        <v>1</v>
      </c>
    </row>
    <row r="29470" customFormat="false" ht="12.8" hidden="false" customHeight="false" outlineLevel="0" collapsed="false">
      <c r="B29470" s="0" t="s">
        <v>164</v>
      </c>
    </row>
    <row r="29472" customFormat="false" ht="12.8" hidden="false" customHeight="false" outlineLevel="0" collapsed="false">
      <c r="A29472" s="0" t="s">
        <v>11618</v>
      </c>
      <c r="B29472" s="0" t="str">
        <f aca="false">HYPERLINK("https://lindat.mff.cuni.cz/services/teitok/pdtc10/index.php?action=vallex&amp;frame=v-w4017f3", "postoupit (v-w4017f3)")</f>
        <v>postoupit (v-w4017f3)</v>
      </c>
      <c r="E29472" s="0" t="str">
        <f aca="false">HYPERLINK("https://lindat.mff.cuni.cz/services/SynSemClass40/SynSemClass40.html?veclass=vec00022#vec00022-ces-cm00058", "vec00022")</f>
        <v>vec00022</v>
      </c>
      <c r="F29472" s="0" t="s">
        <v>4377</v>
      </c>
    </row>
    <row r="29473" customFormat="false" ht="12.8" hidden="false" customHeight="false" outlineLevel="0" collapsed="false">
      <c r="B29473" s="0" t="s">
        <v>1</v>
      </c>
      <c r="C29473" s="0" t="s">
        <v>4378</v>
      </c>
      <c r="E29473" s="0" t="s">
        <v>334</v>
      </c>
      <c r="F29473" s="0" t="s">
        <v>4379</v>
      </c>
    </row>
    <row r="29474" customFormat="false" ht="12.8" hidden="false" customHeight="false" outlineLevel="0" collapsed="false">
      <c r="B29474" s="0" t="s">
        <v>164</v>
      </c>
      <c r="E29474" s="0" t="s">
        <v>1315</v>
      </c>
      <c r="F29474" s="0" t="s">
        <v>1316</v>
      </c>
    </row>
    <row r="29476" customFormat="false" ht="12.8" hidden="false" customHeight="false" outlineLevel="0" collapsed="false">
      <c r="A29476" s="0" t="s">
        <v>11619</v>
      </c>
      <c r="B29476" s="0" t="str">
        <f aca="false">HYPERLINK("https://lindat.mff.cuni.cz/services/teitok/pdtc10/index.php?action=vallex&amp;frame=v-w4020f1", "postrašit (v-w4020f1)")</f>
        <v>postrašit (v-w4020f1)</v>
      </c>
    </row>
    <row r="29477" customFormat="false" ht="12.8" hidden="false" customHeight="false" outlineLevel="0" collapsed="false">
      <c r="B29477" s="0" t="s">
        <v>1</v>
      </c>
    </row>
    <row r="29478" customFormat="false" ht="12.8" hidden="false" customHeight="false" outlineLevel="0" collapsed="false">
      <c r="B29478" s="0" t="s">
        <v>8</v>
      </c>
    </row>
    <row r="29480" customFormat="false" ht="12.8" hidden="false" customHeight="false" outlineLevel="0" collapsed="false">
      <c r="A29480" s="0" t="s">
        <v>11620</v>
      </c>
      <c r="B29480" s="0" t="str">
        <f aca="false">HYPERLINK("https://lindat.mff.cuni.cz/services/teitok/pdtc10/index.php?action=vallex&amp;frame=v-w4023f1", "postrkovat (v-w4023f1)")</f>
        <v>postrkovat (v-w4023f1)</v>
      </c>
    </row>
    <row r="29481" customFormat="false" ht="12.8" hidden="false" customHeight="false" outlineLevel="0" collapsed="false">
      <c r="B29481" s="0" t="s">
        <v>1</v>
      </c>
    </row>
    <row r="29482" customFormat="false" ht="12.8" hidden="false" customHeight="false" outlineLevel="0" collapsed="false">
      <c r="B29482" s="0" t="s">
        <v>8</v>
      </c>
    </row>
    <row r="29484" customFormat="false" ht="12.8" hidden="false" customHeight="false" outlineLevel="0" collapsed="false">
      <c r="A29484" s="0" t="s">
        <v>11621</v>
      </c>
      <c r="B29484" s="0" t="str">
        <f aca="false">HYPERLINK("https://lindat.mff.cuni.cz/services/teitok/pdtc10/index.php?action=vallex&amp;frame=v-w4023f2_ZU", "postrkovat (v-w4023f2_ZU)")</f>
        <v>postrkovat (v-w4023f2_ZU)</v>
      </c>
    </row>
    <row r="29485" customFormat="false" ht="12.8" hidden="false" customHeight="false" outlineLevel="0" collapsed="false">
      <c r="B29485" s="0" t="s">
        <v>1</v>
      </c>
    </row>
    <row r="29486" customFormat="false" ht="12.8" hidden="false" customHeight="false" outlineLevel="0" collapsed="false">
      <c r="B29486" s="0" t="s">
        <v>8</v>
      </c>
    </row>
    <row r="29488" customFormat="false" ht="12.8" hidden="false" customHeight="false" outlineLevel="0" collapsed="false">
      <c r="A29488" s="0" t="s">
        <v>11621</v>
      </c>
      <c r="B29488" s="0" t="str">
        <f aca="false">HYPERLINK("https://lindat.mff.cuni.cz/services/teitok/pdtc10/index.php?action=vallex&amp;frame=v-w4023hsa_1231", "postrkovat (v-w4023hsa_1231) - substituted with v-w4023f2_ZU")</f>
        <v>postrkovat (v-w4023hsa_1231) - substituted with v-w4023f2_ZU</v>
      </c>
    </row>
    <row r="29489" customFormat="false" ht="12.8" hidden="false" customHeight="false" outlineLevel="0" collapsed="false">
      <c r="B29489" s="0" t="s">
        <v>1</v>
      </c>
    </row>
    <row r="29490" customFormat="false" ht="12.8" hidden="false" customHeight="false" outlineLevel="0" collapsed="false">
      <c r="B29490" s="0" t="s">
        <v>8</v>
      </c>
    </row>
    <row r="29492" customFormat="false" ht="12.8" hidden="false" customHeight="false" outlineLevel="0" collapsed="false">
      <c r="A29492" s="0" t="s">
        <v>11622</v>
      </c>
      <c r="B29492" s="0" t="str">
        <f aca="false">HYPERLINK("https://lindat.mff.cuni.cz/services/teitok/pdtc10/index.php?action=vallex&amp;frame=v-w4019f2", "postrádat (v-w4019f2)")</f>
        <v>postrádat (v-w4019f2)</v>
      </c>
      <c r="E29492" s="0" t="str">
        <f aca="false">HYPERLINK("https://lindat.mff.cuni.cz/services/SynSemClass40/SynSemClass40.html?veclass=vec00483#vec00483-ces-cm00001", "vec00483")</f>
        <v>vec00483</v>
      </c>
      <c r="F29492" s="0" t="s">
        <v>1539</v>
      </c>
    </row>
    <row r="29493" customFormat="false" ht="12.8" hidden="false" customHeight="false" outlineLevel="0" collapsed="false">
      <c r="B29493" s="0" t="s">
        <v>345</v>
      </c>
      <c r="C29493" s="0" t="s">
        <v>1540</v>
      </c>
      <c r="E29493" s="0" t="s">
        <v>1541</v>
      </c>
      <c r="F29493" s="0" t="s">
        <v>1542</v>
      </c>
    </row>
    <row r="29494" customFormat="false" ht="12.8" hidden="false" customHeight="false" outlineLevel="0" collapsed="false">
      <c r="B29494" s="0" t="s">
        <v>8</v>
      </c>
      <c r="C29494" s="0" t="s">
        <v>1543</v>
      </c>
      <c r="E29494" s="0" t="s">
        <v>1544</v>
      </c>
      <c r="F29494" s="0" t="s">
        <v>1545</v>
      </c>
    </row>
    <row r="29496" customFormat="false" ht="12.8" hidden="false" customHeight="false" outlineLevel="0" collapsed="false">
      <c r="A29496" s="0" t="s">
        <v>11623</v>
      </c>
      <c r="B29496" s="0" t="str">
        <f aca="false">HYPERLINK("https://lindat.mff.cuni.cz/services/teitok/pdtc10/index.php?action=vallex&amp;frame=v-w4019f1", "postrádat (v-w4019f1)")</f>
        <v>postrádat (v-w4019f1)</v>
      </c>
      <c r="E29496" s="0" t="str">
        <f aca="false">HYPERLINK("https://lindat.mff.cuni.cz/services/SynSemClass40/SynSemClass40.html?veclass=vec00419#vec00419-ces-cm00004", "vec00419")</f>
        <v>vec00419</v>
      </c>
      <c r="F29496" s="0" t="s">
        <v>1531</v>
      </c>
    </row>
    <row r="29497" customFormat="false" ht="12.8" hidden="false" customHeight="false" outlineLevel="0" collapsed="false">
      <c r="B29497" s="0" t="s">
        <v>1</v>
      </c>
      <c r="C29497" s="0" t="s">
        <v>11624</v>
      </c>
      <c r="E29497" s="0" t="s">
        <v>11043</v>
      </c>
      <c r="F29497" s="0" t="s">
        <v>11625</v>
      </c>
    </row>
    <row r="29498" customFormat="false" ht="12.8" hidden="false" customHeight="false" outlineLevel="0" collapsed="false">
      <c r="B29498" s="0" t="s">
        <v>8</v>
      </c>
      <c r="C29498" s="0" t="s">
        <v>11626</v>
      </c>
      <c r="E29498" s="0" t="s">
        <v>11045</v>
      </c>
      <c r="F29498" s="0" t="s">
        <v>11627</v>
      </c>
    </row>
    <row r="29500" customFormat="false" ht="12.8" hidden="false" customHeight="false" outlineLevel="0" collapsed="false">
      <c r="A29500" s="0" t="s">
        <v>11628</v>
      </c>
      <c r="B29500" s="0" t="str">
        <f aca="false">HYPERLINK("https://lindat.mff.cuni.cz/services/teitok/pdtc10/index.php?action=vallex&amp;frame=v-w4021f1", "postrčit (v-w4021f1)")</f>
        <v>postrčit (v-w4021f1)</v>
      </c>
      <c r="E29500" s="0" t="str">
        <f aca="false">HYPERLINK("https://lindat.mff.cuni.cz/services/SynSemClass40/SynSemClass40.html?veclass=vec00361#vec00361-ces-cm00059", "vec00361")</f>
        <v>vec00361</v>
      </c>
      <c r="F29500" s="0" t="s">
        <v>7548</v>
      </c>
    </row>
    <row r="29501" customFormat="false" ht="12.8" hidden="false" customHeight="false" outlineLevel="0" collapsed="false">
      <c r="B29501" s="0" t="s">
        <v>1</v>
      </c>
      <c r="C29501" s="0" t="s">
        <v>4725</v>
      </c>
      <c r="E29501" s="0" t="s">
        <v>31</v>
      </c>
      <c r="F29501" s="0" t="s">
        <v>7550</v>
      </c>
    </row>
    <row r="29502" customFormat="false" ht="12.8" hidden="false" customHeight="false" outlineLevel="0" collapsed="false">
      <c r="B29502" s="0" t="s">
        <v>8</v>
      </c>
      <c r="C29502" s="0" t="s">
        <v>11037</v>
      </c>
      <c r="E29502" s="0" t="s">
        <v>3002</v>
      </c>
      <c r="F29502" s="0" t="s">
        <v>7552</v>
      </c>
    </row>
    <row r="29504" customFormat="false" ht="12.8" hidden="false" customHeight="false" outlineLevel="0" collapsed="false">
      <c r="A29504" s="0" t="s">
        <v>11629</v>
      </c>
      <c r="B29504" s="0" t="str">
        <f aca="false">HYPERLINK("https://lindat.mff.cuni.cz/services/teitok/pdtc10/index.php?action=vallex&amp;frame=v-w4021f3_ZU", "postrčit (v-w4021f3_ZU)")</f>
        <v>postrčit (v-w4021f3_ZU)</v>
      </c>
    </row>
    <row r="29505" customFormat="false" ht="12.8" hidden="false" customHeight="false" outlineLevel="0" collapsed="false">
      <c r="B29505" s="0" t="s">
        <v>1</v>
      </c>
    </row>
    <row r="29506" customFormat="false" ht="12.8" hidden="false" customHeight="false" outlineLevel="0" collapsed="false">
      <c r="B29506" s="0" t="s">
        <v>8</v>
      </c>
    </row>
    <row r="29508" customFormat="false" ht="12.8" hidden="false" customHeight="false" outlineLevel="0" collapsed="false">
      <c r="A29508" s="0" t="s">
        <v>11629</v>
      </c>
      <c r="B29508" s="0" t="str">
        <f aca="false">HYPERLINK("https://lindat.mff.cuni.cz/services/teitok/pdtc10/index.php?action=vallex&amp;frame=v-w4021f2_ZU", "postrčit (v-w4021f2_ZU) - substituted with v-w4021f3_ZU")</f>
        <v>postrčit (v-w4021f2_ZU) - substituted with v-w4021f3_ZU</v>
      </c>
    </row>
    <row r="29509" customFormat="false" ht="12.8" hidden="false" customHeight="false" outlineLevel="0" collapsed="false">
      <c r="B29509" s="0" t="s">
        <v>1</v>
      </c>
    </row>
    <row r="29510" customFormat="false" ht="12.8" hidden="false" customHeight="false" outlineLevel="0" collapsed="false">
      <c r="B29510" s="0" t="s">
        <v>8</v>
      </c>
    </row>
    <row r="29512" customFormat="false" ht="12.8" hidden="false" customHeight="false" outlineLevel="0" collapsed="false">
      <c r="A29512" s="0" t="s">
        <v>11629</v>
      </c>
      <c r="B29512" s="0" t="str">
        <f aca="false">HYPERLINK("https://lindat.mff.cuni.cz/services/teitok/pdtc10/index.php?action=vallex&amp;frame=v-w4021hsa_1205", "postrčit (v-w4021hsa_1205) - substituted with v-w4021f3_ZU")</f>
        <v>postrčit (v-w4021hsa_1205) - substituted with v-w4021f3_ZU</v>
      </c>
    </row>
    <row r="29513" customFormat="false" ht="12.8" hidden="false" customHeight="false" outlineLevel="0" collapsed="false">
      <c r="B29513" s="0" t="s">
        <v>1</v>
      </c>
    </row>
    <row r="29514" customFormat="false" ht="12.8" hidden="false" customHeight="false" outlineLevel="0" collapsed="false">
      <c r="B29514" s="0" t="s">
        <v>8</v>
      </c>
    </row>
    <row r="29516" customFormat="false" ht="12.8" hidden="false" customHeight="false" outlineLevel="0" collapsed="false">
      <c r="A29516" s="0" t="s">
        <v>11630</v>
      </c>
      <c r="B29516" s="0" t="str">
        <f aca="false">HYPERLINK("https://lindat.mff.cuni.cz/services/teitok/pdtc10/index.php?action=vallex&amp;frame=v-w4030f4", "postupovat (v-w4030f4)")</f>
        <v>postupovat (v-w4030f4)</v>
      </c>
      <c r="E29516" s="0" t="str">
        <f aca="false">HYPERLINK("https://lindat.mff.cuni.cz/services/SynSemClass40/SynSemClass40.html?veclass=vec01087#vec01087-ces-cm00139", "vec01087")</f>
        <v>vec01087</v>
      </c>
      <c r="F29516" s="0" t="s">
        <v>1863</v>
      </c>
    </row>
    <row r="29517" customFormat="false" ht="12.8" hidden="false" customHeight="false" outlineLevel="0" collapsed="false">
      <c r="B29517" s="0" t="s">
        <v>1</v>
      </c>
      <c r="C29517" s="0" t="s">
        <v>5752</v>
      </c>
      <c r="E29517" s="0" t="s">
        <v>1868</v>
      </c>
      <c r="F29517" s="0" t="s">
        <v>1869</v>
      </c>
    </row>
    <row r="29518" customFormat="false" ht="12.8" hidden="false" customHeight="false" outlineLevel="0" collapsed="false">
      <c r="B29518" s="0" t="s">
        <v>8</v>
      </c>
      <c r="C29518" s="0" t="s">
        <v>8873</v>
      </c>
      <c r="E29518" s="0" t="s">
        <v>1875</v>
      </c>
      <c r="F29518" s="0" t="s">
        <v>1876</v>
      </c>
    </row>
    <row r="29519" customFormat="false" ht="12.8" hidden="false" customHeight="false" outlineLevel="0" collapsed="false">
      <c r="B29519" s="0" t="s">
        <v>52</v>
      </c>
      <c r="C29519" s="0" t="s">
        <v>11615</v>
      </c>
      <c r="E29519" s="0" t="s">
        <v>53</v>
      </c>
      <c r="F29519" s="0" t="s">
        <v>1880</v>
      </c>
    </row>
    <row r="29521" customFormat="false" ht="12.8" hidden="false" customHeight="false" outlineLevel="0" collapsed="false">
      <c r="A29521" s="0" t="s">
        <v>11631</v>
      </c>
      <c r="B29521" s="0" t="str">
        <f aca="false">HYPERLINK("https://lindat.mff.cuni.cz/services/teitok/pdtc10/index.php?action=vallex&amp;frame=v-w4030f2", "postupovat (v-w4030f2)")</f>
        <v>postupovat (v-w4030f2)</v>
      </c>
      <c r="E29521" s="0" t="str">
        <f aca="false">HYPERLINK("https://lindat.mff.cuni.cz/services/SynSemClass40/SynSemClass40.html?veclass=vec00218#vec00218-ces-cm00219", "vec00218")</f>
        <v>vec00218</v>
      </c>
      <c r="F29521" s="0" t="s">
        <v>2143</v>
      </c>
    </row>
    <row r="29522" customFormat="false" ht="12.8" hidden="false" customHeight="false" outlineLevel="0" collapsed="false">
      <c r="B29522" s="0" t="s">
        <v>1</v>
      </c>
      <c r="C29522" s="0" t="s">
        <v>2144</v>
      </c>
      <c r="E29522" s="0" t="s">
        <v>11</v>
      </c>
      <c r="F29522" s="0" t="s">
        <v>2145</v>
      </c>
    </row>
    <row r="29523" customFormat="false" ht="12.8" hidden="false" customHeight="false" outlineLevel="0" collapsed="false">
      <c r="B29523" s="0" t="s">
        <v>164</v>
      </c>
      <c r="C29523" s="0" t="s">
        <v>2146</v>
      </c>
      <c r="E29523" s="0" t="s">
        <v>370</v>
      </c>
      <c r="F29523" s="0" t="s">
        <v>2147</v>
      </c>
    </row>
    <row r="29525" customFormat="false" ht="12.8" hidden="false" customHeight="false" outlineLevel="0" collapsed="false">
      <c r="A29525" s="0" t="s">
        <v>11632</v>
      </c>
      <c r="B29525" s="0" t="str">
        <f aca="false">HYPERLINK("https://lindat.mff.cuni.cz/services/teitok/pdtc10/index.php?action=vallex&amp;frame=v-w4030f3", "postupovat (v-w4030f3)")</f>
        <v>postupovat (v-w4030f3)</v>
      </c>
      <c r="E29525" s="0" t="str">
        <f aca="false">HYPERLINK("https://lindat.mff.cuni.cz/services/SynSemClass40/SynSemClass40.html?veclass=vec00022#vec00022-ces-cm00011", "vec00022")</f>
        <v>vec00022</v>
      </c>
      <c r="F29525" s="0" t="s">
        <v>4377</v>
      </c>
    </row>
    <row r="29526" customFormat="false" ht="12.8" hidden="false" customHeight="false" outlineLevel="0" collapsed="false">
      <c r="B29526" s="0" t="s">
        <v>1</v>
      </c>
      <c r="C29526" s="0" t="s">
        <v>4378</v>
      </c>
      <c r="E29526" s="0" t="s">
        <v>334</v>
      </c>
      <c r="F29526" s="0" t="s">
        <v>4379</v>
      </c>
    </row>
    <row r="29527" customFormat="false" ht="12.8" hidden="false" customHeight="false" outlineLevel="0" collapsed="false">
      <c r="B29527" s="0" t="s">
        <v>164</v>
      </c>
      <c r="E29527" s="0" t="s">
        <v>1315</v>
      </c>
      <c r="F29527" s="0" t="s">
        <v>1316</v>
      </c>
    </row>
    <row r="29529" customFormat="false" ht="12.8" hidden="false" customHeight="false" outlineLevel="0" collapsed="false">
      <c r="A29529" s="0" t="s">
        <v>11633</v>
      </c>
      <c r="B29529" s="0" t="str">
        <f aca="false">HYPERLINK("https://lindat.mff.cuni.cz/services/teitok/pdtc10/index.php?action=vallex&amp;frame=v-w4030f5_ZU", "postupovat (v-w4030f5_ZU)")</f>
        <v>postupovat (v-w4030f5_ZU)</v>
      </c>
    </row>
    <row r="29530" customFormat="false" ht="12.8" hidden="false" customHeight="false" outlineLevel="0" collapsed="false">
      <c r="B29530" s="0" t="s">
        <v>1</v>
      </c>
    </row>
    <row r="29531" customFormat="false" ht="12.8" hidden="false" customHeight="false" outlineLevel="0" collapsed="false">
      <c r="B29531" s="0" t="s">
        <v>725</v>
      </c>
    </row>
    <row r="29532" customFormat="false" ht="12.8" hidden="false" customHeight="false" outlineLevel="0" collapsed="false">
      <c r="B29532" s="0" t="s">
        <v>6510</v>
      </c>
    </row>
    <row r="29533" customFormat="false" ht="12.8" hidden="false" customHeight="false" outlineLevel="0" collapsed="false">
      <c r="B29533" s="0" t="s">
        <v>642</v>
      </c>
    </row>
    <row r="29534" customFormat="false" ht="12.8" hidden="false" customHeight="false" outlineLevel="0" collapsed="false">
      <c r="B29534" s="0" t="s">
        <v>646</v>
      </c>
    </row>
    <row r="29535" customFormat="false" ht="12.8" hidden="false" customHeight="false" outlineLevel="0" collapsed="false">
      <c r="B29535" s="0" t="s">
        <v>648</v>
      </c>
    </row>
    <row r="29536" customFormat="false" ht="12.8" hidden="false" customHeight="false" outlineLevel="0" collapsed="false">
      <c r="B29536" s="0" t="s">
        <v>650</v>
      </c>
    </row>
    <row r="29537" customFormat="false" ht="12.8" hidden="false" customHeight="false" outlineLevel="0" collapsed="false">
      <c r="B29537" s="0" t="s">
        <v>652</v>
      </c>
    </row>
    <row r="29538" customFormat="false" ht="12.8" hidden="false" customHeight="false" outlineLevel="0" collapsed="false">
      <c r="B29538" s="0" t="s">
        <v>11634</v>
      </c>
    </row>
    <row r="29540" customFormat="false" ht="12.8" hidden="false" customHeight="false" outlineLevel="0" collapsed="false">
      <c r="A29540" s="0" t="s">
        <v>11633</v>
      </c>
      <c r="B29540" s="0" t="str">
        <f aca="false">HYPERLINK("https://lindat.mff.cuni.cz/services/teitok/pdtc10/index.php?action=vallex&amp;frame=v-w4030f1", "postupovat (v-w4030f1) - substituted with v-w4030f5_ZU")</f>
        <v>postupovat (v-w4030f1) - substituted with v-w4030f5_ZU</v>
      </c>
      <c r="E29540" s="0" t="str">
        <f aca="false">HYPERLINK("https://lindat.mff.cuni.cz/services/SynSemClass40/SynSemClass40.html?veclass=vec00225#vec00225-ces-cm00013", "vec00225")</f>
        <v>vec00225</v>
      </c>
      <c r="F29540" s="0" t="s">
        <v>1453</v>
      </c>
    </row>
    <row r="29541" customFormat="false" ht="12.8" hidden="false" customHeight="false" outlineLevel="0" collapsed="false">
      <c r="B29541" s="0" t="s">
        <v>1</v>
      </c>
      <c r="C29541" s="0" t="s">
        <v>4910</v>
      </c>
      <c r="E29541" s="0" t="s">
        <v>11</v>
      </c>
      <c r="F29541" s="0" t="s">
        <v>1456</v>
      </c>
    </row>
    <row r="29542" customFormat="false" ht="12.8" hidden="false" customHeight="false" outlineLevel="0" collapsed="false">
      <c r="B29542" s="0" t="s">
        <v>725</v>
      </c>
      <c r="E29542" s="0" t="s">
        <v>11635</v>
      </c>
      <c r="F29542" s="0" t="s">
        <v>11636</v>
      </c>
    </row>
    <row r="29543" customFormat="false" ht="12.8" hidden="false" customHeight="false" outlineLevel="0" collapsed="false">
      <c r="B29543" s="0" t="s">
        <v>6510</v>
      </c>
      <c r="E29543" s="0" t="s">
        <v>11635</v>
      </c>
      <c r="F29543" s="0" t="s">
        <v>11636</v>
      </c>
    </row>
    <row r="29544" customFormat="false" ht="12.8" hidden="false" customHeight="false" outlineLevel="0" collapsed="false">
      <c r="B29544" s="0" t="s">
        <v>642</v>
      </c>
      <c r="E29544" s="0" t="s">
        <v>11635</v>
      </c>
      <c r="F29544" s="0" t="s">
        <v>11636</v>
      </c>
    </row>
    <row r="29545" customFormat="false" ht="12.8" hidden="false" customHeight="false" outlineLevel="0" collapsed="false">
      <c r="B29545" s="0" t="s">
        <v>646</v>
      </c>
      <c r="E29545" s="0" t="s">
        <v>11635</v>
      </c>
      <c r="F29545" s="0" t="s">
        <v>11636</v>
      </c>
    </row>
    <row r="29546" customFormat="false" ht="12.8" hidden="false" customHeight="false" outlineLevel="0" collapsed="false">
      <c r="B29546" s="0" t="s">
        <v>648</v>
      </c>
      <c r="E29546" s="0" t="s">
        <v>11635</v>
      </c>
      <c r="F29546" s="0" t="s">
        <v>11636</v>
      </c>
    </row>
    <row r="29547" customFormat="false" ht="12.8" hidden="false" customHeight="false" outlineLevel="0" collapsed="false">
      <c r="B29547" s="0" t="s">
        <v>650</v>
      </c>
      <c r="E29547" s="0" t="s">
        <v>11635</v>
      </c>
      <c r="F29547" s="0" t="s">
        <v>11636</v>
      </c>
    </row>
    <row r="29548" customFormat="false" ht="12.8" hidden="false" customHeight="false" outlineLevel="0" collapsed="false">
      <c r="B29548" s="0" t="s">
        <v>652</v>
      </c>
      <c r="E29548" s="0" t="s">
        <v>11635</v>
      </c>
      <c r="F29548" s="0" t="s">
        <v>11636</v>
      </c>
    </row>
    <row r="29549" customFormat="false" ht="12.8" hidden="false" customHeight="false" outlineLevel="0" collapsed="false">
      <c r="B29549" s="0" t="s">
        <v>11634</v>
      </c>
    </row>
    <row r="29551" customFormat="false" ht="12.8" hidden="false" customHeight="false" outlineLevel="0" collapsed="false">
      <c r="A29551" s="0" t="s">
        <v>11637</v>
      </c>
      <c r="B29551" s="0" t="str">
        <f aca="false">HYPERLINK("https://lindat.mff.cuni.cz/services/teitok/pdtc10/index.php?action=vallex&amp;frame=v-w3999f1", "postát (v-w3999f1)")</f>
        <v>postát (v-w3999f1)</v>
      </c>
    </row>
    <row r="29552" customFormat="false" ht="12.8" hidden="false" customHeight="false" outlineLevel="0" collapsed="false">
      <c r="B29552" s="0" t="s">
        <v>1</v>
      </c>
    </row>
    <row r="29553" customFormat="false" ht="12.8" hidden="false" customHeight="false" outlineLevel="0" collapsed="false">
      <c r="B29553" s="0" t="s">
        <v>8</v>
      </c>
    </row>
    <row r="29555" customFormat="false" ht="12.8" hidden="false" customHeight="false" outlineLevel="0" collapsed="false">
      <c r="A29555" s="0" t="s">
        <v>11638</v>
      </c>
      <c r="B29555" s="0" t="str">
        <f aca="false">HYPERLINK("https://lindat.mff.cuni.cz/services/teitok/pdtc10/index.php?action=vallex&amp;frame=v-w3999f2", "postát (v-w3999f2)")</f>
        <v>postát (v-w3999f2)</v>
      </c>
    </row>
    <row r="29556" customFormat="false" ht="12.8" hidden="false" customHeight="false" outlineLevel="0" collapsed="false">
      <c r="B29556" s="0" t="s">
        <v>1</v>
      </c>
    </row>
    <row r="29558" customFormat="false" ht="12.8" hidden="false" customHeight="false" outlineLevel="0" collapsed="false">
      <c r="A29558" s="0" t="s">
        <v>11639</v>
      </c>
      <c r="B29558" s="0" t="str">
        <f aca="false">HYPERLINK("https://lindat.mff.cuni.cz/services/teitok/pdtc10/index.php?action=vallex&amp;frame=v-w4000f1", "postávat (v-w4000f1)")</f>
        <v>postávat (v-w4000f1)</v>
      </c>
    </row>
    <row r="29559" customFormat="false" ht="12.8" hidden="false" customHeight="false" outlineLevel="0" collapsed="false">
      <c r="B29559" s="0" t="s">
        <v>1</v>
      </c>
    </row>
    <row r="29561" customFormat="false" ht="12.8" hidden="false" customHeight="false" outlineLevel="0" collapsed="false">
      <c r="A29561" s="0" t="s">
        <v>11640</v>
      </c>
      <c r="B29561" s="0" t="str">
        <f aca="false">HYPERLINK("https://lindat.mff.cuni.cz/services/teitok/pdtc10/index.php?action=vallex&amp;frame=v-w4007f1", "postěžovat si (v-w4007f1)")</f>
        <v>postěžovat si (v-w4007f1)</v>
      </c>
      <c r="E29561" s="0" t="str">
        <f aca="false">HYPERLINK("https://lindat.mff.cuni.cz/services/SynSemClass40/SynSemClass40.html?veclass=vec00132#vec00132-ces-cm00003", "vec00132")</f>
        <v>vec00132</v>
      </c>
      <c r="F29561" s="0" t="s">
        <v>484</v>
      </c>
    </row>
    <row r="29562" customFormat="false" ht="12.8" hidden="false" customHeight="false" outlineLevel="0" collapsed="false">
      <c r="B29562" s="0" t="s">
        <v>1</v>
      </c>
      <c r="C29562" s="0" t="s">
        <v>5883</v>
      </c>
      <c r="E29562" s="0" t="s">
        <v>63</v>
      </c>
      <c r="F29562" s="0" t="s">
        <v>487</v>
      </c>
    </row>
    <row r="29563" customFormat="false" ht="12.8" hidden="false" customHeight="false" outlineLevel="0" collapsed="false">
      <c r="B29563" s="0" t="s">
        <v>11641</v>
      </c>
      <c r="C29563" s="0" t="s">
        <v>11642</v>
      </c>
      <c r="E29563" s="0" t="s">
        <v>230</v>
      </c>
      <c r="F29563" s="0" t="s">
        <v>491</v>
      </c>
    </row>
    <row r="29564" customFormat="false" ht="12.8" hidden="false" customHeight="false" outlineLevel="0" collapsed="false">
      <c r="B29564" s="0" t="s">
        <v>132</v>
      </c>
      <c r="C29564" s="0" t="s">
        <v>8303</v>
      </c>
      <c r="E29564" s="0" t="s">
        <v>2287</v>
      </c>
      <c r="F29564" s="0" t="s">
        <v>11643</v>
      </c>
    </row>
    <row r="29566" customFormat="false" ht="12.8" hidden="false" customHeight="false" outlineLevel="0" collapsed="false">
      <c r="A29566" s="0" t="s">
        <v>11644</v>
      </c>
      <c r="B29566" s="0" t="str">
        <f aca="false">HYPERLINK("https://lindat.mff.cuni.cz/services/teitok/pdtc10/index.php?action=vallex&amp;frame=v-w4025f1", "postřehnout (v-w4025f1)")</f>
        <v>postřehnout (v-w4025f1)</v>
      </c>
      <c r="E29566" s="0" t="str">
        <f aca="false">HYPERLINK("https://lindat.mff.cuni.cz/services/SynSemClass40/SynSemClass40.html?veclass=vec00082#vec00082-ces-cm00023", "vec00082")</f>
        <v>vec00082</v>
      </c>
      <c r="F29566" s="0" t="s">
        <v>8475</v>
      </c>
    </row>
    <row r="29567" customFormat="false" ht="12.8" hidden="false" customHeight="false" outlineLevel="0" collapsed="false">
      <c r="B29567" s="0" t="s">
        <v>1</v>
      </c>
      <c r="C29567" s="0" t="s">
        <v>8476</v>
      </c>
      <c r="E29567" s="0" t="s">
        <v>637</v>
      </c>
      <c r="F29567" s="0" t="s">
        <v>8477</v>
      </c>
    </row>
    <row r="29568" customFormat="false" ht="12.8" hidden="false" customHeight="false" outlineLevel="0" collapsed="false">
      <c r="B29568" s="0" t="s">
        <v>1838</v>
      </c>
      <c r="C29568" s="0" t="s">
        <v>11645</v>
      </c>
      <c r="E29568" s="0" t="s">
        <v>640</v>
      </c>
      <c r="F29568" s="0" t="s">
        <v>11646</v>
      </c>
    </row>
    <row r="29570" customFormat="false" ht="12.8" hidden="false" customHeight="false" outlineLevel="0" collapsed="false">
      <c r="A29570" s="0" t="s">
        <v>11647</v>
      </c>
      <c r="B29570" s="0" t="str">
        <f aca="false">HYPERLINK("https://lindat.mff.cuni.cz/services/teitok/pdtc10/index.php?action=vallex&amp;frame=v-w4026f1", "postřelit (v-w4026f1)")</f>
        <v>postřelit (v-w4026f1)</v>
      </c>
    </row>
    <row r="29571" customFormat="false" ht="12.8" hidden="false" customHeight="false" outlineLevel="0" collapsed="false">
      <c r="B29571" s="0" t="s">
        <v>1</v>
      </c>
    </row>
    <row r="29572" customFormat="false" ht="12.8" hidden="false" customHeight="false" outlineLevel="0" collapsed="false">
      <c r="B29572" s="0" t="s">
        <v>8</v>
      </c>
    </row>
    <row r="29574" customFormat="false" ht="12.8" hidden="false" customHeight="false" outlineLevel="0" collapsed="false">
      <c r="A29574" s="0" t="s">
        <v>11648</v>
      </c>
      <c r="B29574" s="0" t="str">
        <f aca="false">HYPERLINK("https://lindat.mff.cuni.cz/services/teitok/pdtc10/index.php?action=vallex&amp;frame=v-w4027f1", "postříkat (v-w4027f1)")</f>
        <v>postříkat (v-w4027f1)</v>
      </c>
    </row>
    <row r="29575" customFormat="false" ht="12.8" hidden="false" customHeight="false" outlineLevel="0" collapsed="false">
      <c r="B29575" s="0" t="s">
        <v>1</v>
      </c>
    </row>
    <row r="29576" customFormat="false" ht="12.8" hidden="false" customHeight="false" outlineLevel="0" collapsed="false">
      <c r="B29576" s="0" t="s">
        <v>8</v>
      </c>
    </row>
    <row r="29578" customFormat="false" ht="12.8" hidden="false" customHeight="false" outlineLevel="0" collapsed="false">
      <c r="A29578" s="0" t="s">
        <v>11649</v>
      </c>
      <c r="B29578" s="0" t="str">
        <f aca="false">HYPERLINK("https://lindat.mff.cuni.cz/services/teitok/pdtc10/index.php?action=vallex&amp;frame=v-w4028f1", "postřílet (v-w4028f1)")</f>
        <v>postřílet (v-w4028f1)</v>
      </c>
      <c r="E29578" s="0" t="str">
        <f aca="false">HYPERLINK("https://lindat.mff.cuni.cz/services/SynSemClass40/SynSemClass40.html?veclass=vec00365#vec00365-ces-cm00031", "vec00365")</f>
        <v>vec00365</v>
      </c>
      <c r="F29578" s="0" t="s">
        <v>8975</v>
      </c>
    </row>
    <row r="29579" customFormat="false" ht="12.8" hidden="false" customHeight="false" outlineLevel="0" collapsed="false">
      <c r="B29579" s="0" t="s">
        <v>1</v>
      </c>
      <c r="C29579" s="0" t="s">
        <v>5883</v>
      </c>
      <c r="E29579" s="0" t="s">
        <v>76</v>
      </c>
      <c r="F29579" s="0" t="s">
        <v>8977</v>
      </c>
    </row>
    <row r="29580" customFormat="false" ht="12.8" hidden="false" customHeight="false" outlineLevel="0" collapsed="false">
      <c r="B29580" s="0" t="s">
        <v>8</v>
      </c>
      <c r="C29580" s="0" t="s">
        <v>8979</v>
      </c>
      <c r="E29580" s="0" t="s">
        <v>199</v>
      </c>
      <c r="F29580" s="0" t="s">
        <v>8980</v>
      </c>
    </row>
    <row r="29582" customFormat="false" ht="12.8" hidden="false" customHeight="false" outlineLevel="0" collapsed="false">
      <c r="A29582" s="0" t="s">
        <v>11650</v>
      </c>
      <c r="B29582" s="0" t="str">
        <f aca="false">HYPERLINK("https://lindat.mff.cuni.cz/services/teitok/pdtc10/index.php?action=vallex&amp;frame=v-w4034f1", "posunkovat (v-w4034f1)")</f>
        <v>posunkovat (v-w4034f1)</v>
      </c>
    </row>
    <row r="29583" customFormat="false" ht="12.8" hidden="false" customHeight="false" outlineLevel="0" collapsed="false">
      <c r="B29583" s="0" t="s">
        <v>1</v>
      </c>
    </row>
    <row r="29585" customFormat="false" ht="12.8" hidden="false" customHeight="false" outlineLevel="0" collapsed="false">
      <c r="A29585" s="0" t="s">
        <v>11651</v>
      </c>
      <c r="B29585" s="0" t="str">
        <f aca="false">HYPERLINK("https://lindat.mff.cuni.cz/services/teitok/pdtc10/index.php?action=vallex&amp;frame=v-w4035f1", "posunout (v-w4035f1)")</f>
        <v>posunout (v-w4035f1)</v>
      </c>
      <c r="E29585" s="0" t="str">
        <f aca="false">HYPERLINK("https://lindat.mff.cuni.cz/services/SynSemClass40/SynSemClass40.html?veclass=vec00283#vec00283-ces-cm00007", "vec00283")</f>
        <v>vec00283</v>
      </c>
      <c r="F29585" s="0" t="s">
        <v>8946</v>
      </c>
    </row>
    <row r="29586" customFormat="false" ht="12.8" hidden="false" customHeight="false" outlineLevel="0" collapsed="false">
      <c r="B29586" s="0" t="s">
        <v>1</v>
      </c>
      <c r="C29586" s="0" t="s">
        <v>7911</v>
      </c>
      <c r="E29586" s="0" t="s">
        <v>2196</v>
      </c>
      <c r="F29586" s="0" t="s">
        <v>8947</v>
      </c>
    </row>
    <row r="29587" customFormat="false" ht="12.8" hidden="false" customHeight="false" outlineLevel="0" collapsed="false">
      <c r="B29587" s="0" t="s">
        <v>8</v>
      </c>
      <c r="C29587" s="0" t="s">
        <v>8948</v>
      </c>
      <c r="E29587" s="0" t="s">
        <v>2200</v>
      </c>
      <c r="F29587" s="0" t="s">
        <v>8949</v>
      </c>
    </row>
    <row r="29589" customFormat="false" ht="12.8" hidden="false" customHeight="false" outlineLevel="0" collapsed="false">
      <c r="A29589" s="0" t="s">
        <v>11652</v>
      </c>
      <c r="B29589" s="0" t="str">
        <f aca="false">HYPERLINK("https://lindat.mff.cuni.cz/services/teitok/pdtc10/index.php?action=vallex&amp;frame=v-w4035f2", "posunout (v-w4035f2)")</f>
        <v>posunout (v-w4035f2)</v>
      </c>
      <c r="E29589" s="0" t="str">
        <f aca="false">HYPERLINK("https://lindat.mff.cuni.cz/services/SynSemClass40/SynSemClass40.html?veclass=vec00486#vec00486-ces-cm00023", "vec00486")</f>
        <v>vec00486</v>
      </c>
      <c r="F29589" s="0" t="s">
        <v>542</v>
      </c>
      <c r="H29589" s="0" t="str">
        <f aca="false">HYPERLINK("https://lindat.mff.cuni.cz/services/SynSemClass40/SynSemClass40.html?veclass=vec01284#vec01284-ces-cm00034", "vec01284")</f>
        <v>vec01284</v>
      </c>
      <c r="I29589" s="0" t="s">
        <v>8765</v>
      </c>
    </row>
    <row r="29590" customFormat="false" ht="12.8" hidden="false" customHeight="false" outlineLevel="0" collapsed="false">
      <c r="B29590" s="0" t="s">
        <v>1</v>
      </c>
      <c r="C29590" s="0" t="s">
        <v>8766</v>
      </c>
      <c r="E29590" s="0" t="s">
        <v>206</v>
      </c>
      <c r="F29590" s="0" t="s">
        <v>544</v>
      </c>
      <c r="H29590" s="0" t="s">
        <v>84</v>
      </c>
      <c r="I29590" s="0" t="s">
        <v>8767</v>
      </c>
    </row>
    <row r="29591" customFormat="false" ht="12.8" hidden="false" customHeight="false" outlineLevel="0" collapsed="false">
      <c r="B29591" s="0" t="s">
        <v>8</v>
      </c>
      <c r="C29591" s="0" t="s">
        <v>8768</v>
      </c>
      <c r="E29591" s="0" t="s">
        <v>79</v>
      </c>
      <c r="F29591" s="0" t="s">
        <v>546</v>
      </c>
      <c r="H29591" s="0" t="s">
        <v>87</v>
      </c>
      <c r="I29591" s="0" t="s">
        <v>8769</v>
      </c>
    </row>
    <row r="29593" customFormat="false" ht="12.8" hidden="false" customHeight="false" outlineLevel="0" collapsed="false">
      <c r="A29593" s="0" t="s">
        <v>11653</v>
      </c>
      <c r="B29593" s="0" t="str">
        <f aca="false">HYPERLINK("https://lindat.mff.cuni.cz/services/teitok/pdtc10/index.php?action=vallex&amp;frame=v-w4036f1", "posunout se (v-w4036f1)")</f>
        <v>posunout se (v-w4036f1)</v>
      </c>
      <c r="E29593" s="0" t="str">
        <f aca="false">HYPERLINK("https://lindat.mff.cuni.cz/services/SynSemClass40/SynSemClass40.html?veclass=vec00022#vec00022-ces-cm00012", "vec00022")</f>
        <v>vec00022</v>
      </c>
      <c r="F29593" s="0" t="s">
        <v>4377</v>
      </c>
    </row>
    <row r="29594" customFormat="false" ht="12.8" hidden="false" customHeight="false" outlineLevel="0" collapsed="false">
      <c r="B29594" s="0" t="s">
        <v>1</v>
      </c>
      <c r="C29594" s="0" t="s">
        <v>4378</v>
      </c>
      <c r="E29594" s="0" t="s">
        <v>334</v>
      </c>
      <c r="F29594" s="0" t="s">
        <v>4379</v>
      </c>
    </row>
    <row r="29596" customFormat="false" ht="12.8" hidden="false" customHeight="false" outlineLevel="0" collapsed="false">
      <c r="A29596" s="0" t="s">
        <v>11654</v>
      </c>
      <c r="B29596" s="0" t="str">
        <f aca="false">HYPERLINK("https://lindat.mff.cuni.cz/services/teitok/pdtc10/index.php?action=vallex&amp;frame=v-w11386f2", "posunovat (v-w11386f2)")</f>
        <v>posunovat (v-w11386f2)</v>
      </c>
      <c r="E29596" s="0" t="str">
        <f aca="false">HYPERLINK("https://lindat.mff.cuni.cz/services/SynSemClass40/SynSemClass40.html?veclass=vec00283#vec00283-ces-cm00009", "vec00283")</f>
        <v>vec00283</v>
      </c>
      <c r="F29596" s="0" t="s">
        <v>8946</v>
      </c>
    </row>
    <row r="29597" customFormat="false" ht="12.8" hidden="false" customHeight="false" outlineLevel="0" collapsed="false">
      <c r="B29597" s="0" t="s">
        <v>1</v>
      </c>
      <c r="C29597" s="0" t="s">
        <v>7911</v>
      </c>
      <c r="E29597" s="0" t="s">
        <v>2196</v>
      </c>
      <c r="F29597" s="0" t="s">
        <v>8947</v>
      </c>
    </row>
    <row r="29598" customFormat="false" ht="12.8" hidden="false" customHeight="false" outlineLevel="0" collapsed="false">
      <c r="B29598" s="0" t="s">
        <v>8</v>
      </c>
      <c r="C29598" s="0" t="s">
        <v>8948</v>
      </c>
      <c r="E29598" s="0" t="s">
        <v>2200</v>
      </c>
      <c r="F29598" s="0" t="s">
        <v>8949</v>
      </c>
    </row>
    <row r="29600" customFormat="false" ht="12.8" hidden="false" customHeight="false" outlineLevel="0" collapsed="false">
      <c r="A29600" s="0" t="s">
        <v>11655</v>
      </c>
      <c r="B29600" s="0" t="str">
        <f aca="false">HYPERLINK("https://lindat.mff.cuni.cz/services/teitok/pdtc10/index.php?action=vallex&amp;frame=v-w4037f1", "posunovat se (v-w4037f1)")</f>
        <v>posunovat se (v-w4037f1)</v>
      </c>
      <c r="E29600" s="0" t="str">
        <f aca="false">HYPERLINK("https://lindat.mff.cuni.cz/services/SynSemClass40/SynSemClass40.html?veclass=vec00022#vec00022-ces-cm00059", "vec00022")</f>
        <v>vec00022</v>
      </c>
      <c r="F29600" s="0" t="s">
        <v>4377</v>
      </c>
    </row>
    <row r="29601" customFormat="false" ht="12.8" hidden="false" customHeight="false" outlineLevel="0" collapsed="false">
      <c r="B29601" s="0" t="s">
        <v>1</v>
      </c>
      <c r="C29601" s="0" t="s">
        <v>4378</v>
      </c>
      <c r="E29601" s="0" t="s">
        <v>334</v>
      </c>
      <c r="F29601" s="0" t="s">
        <v>4379</v>
      </c>
    </row>
    <row r="29603" customFormat="false" ht="12.8" hidden="false" customHeight="false" outlineLevel="0" collapsed="false">
      <c r="A29603" s="0" t="s">
        <v>11656</v>
      </c>
      <c r="B29603" s="0" t="str">
        <f aca="false">HYPERLINK("https://lindat.mff.cuni.cz/services/teitok/pdtc10/index.php?action=vallex&amp;frame=v-w4041f1", "posuzovat (v-w4041f1)")</f>
        <v>posuzovat (v-w4041f1)</v>
      </c>
      <c r="E29603" s="0" t="str">
        <f aca="false">HYPERLINK("https://lindat.mff.cuni.cz/services/SynSemClass40/SynSemClass40.html?veclass=vec00402#vec00402-ces-cm00038", "vec00402")</f>
        <v>vec00402</v>
      </c>
      <c r="F29603" s="0" t="s">
        <v>619</v>
      </c>
      <c r="H29603" s="0" t="str">
        <f aca="false">HYPERLINK("https://lindat.mff.cuni.cz/services/SynSemClass40/SynSemClass40.html?veclass=vec01304#vec01304-ces-cm00012", "vec01304")</f>
        <v>vec01304</v>
      </c>
      <c r="I29603" s="0" t="s">
        <v>302</v>
      </c>
    </row>
    <row r="29604" customFormat="false" ht="12.8" hidden="false" customHeight="false" outlineLevel="0" collapsed="false">
      <c r="B29604" s="0" t="s">
        <v>1</v>
      </c>
      <c r="C29604" s="0" t="s">
        <v>11657</v>
      </c>
      <c r="E29604" s="0" t="s">
        <v>621</v>
      </c>
      <c r="F29604" s="0" t="s">
        <v>622</v>
      </c>
      <c r="H29604" s="0" t="s">
        <v>115</v>
      </c>
      <c r="I29604" s="0" t="s">
        <v>304</v>
      </c>
    </row>
    <row r="29605" customFormat="false" ht="12.8" hidden="false" customHeight="false" outlineLevel="0" collapsed="false">
      <c r="B29605" s="0" t="s">
        <v>1838</v>
      </c>
      <c r="C29605" s="0" t="s">
        <v>11658</v>
      </c>
      <c r="E29605" s="0" t="s">
        <v>180</v>
      </c>
      <c r="F29605" s="0" t="s">
        <v>624</v>
      </c>
      <c r="H29605" s="0" t="s">
        <v>119</v>
      </c>
      <c r="I29605" s="0" t="s">
        <v>307</v>
      </c>
    </row>
    <row r="29607" customFormat="false" ht="12.8" hidden="false" customHeight="false" outlineLevel="0" collapsed="false">
      <c r="A29607" s="0" t="s">
        <v>11659</v>
      </c>
      <c r="B29607" s="0" t="str">
        <f aca="false">HYPERLINK("https://lindat.mff.cuni.cz/services/teitok/pdtc10/index.php?action=vallex&amp;frame=v-whsa_1587hsa_1588", "posvačit (v-whsa_1587hsa_1588)")</f>
        <v>posvačit (v-whsa_1587hsa_1588)</v>
      </c>
    </row>
    <row r="29608" customFormat="false" ht="12.8" hidden="false" customHeight="false" outlineLevel="0" collapsed="false">
      <c r="B29608" s="0" t="s">
        <v>1</v>
      </c>
    </row>
    <row r="29609" customFormat="false" ht="12.8" hidden="false" customHeight="false" outlineLevel="0" collapsed="false">
      <c r="B29609" s="0" t="s">
        <v>390</v>
      </c>
    </row>
    <row r="29611" customFormat="false" ht="12.8" hidden="false" customHeight="false" outlineLevel="0" collapsed="false">
      <c r="A29611" s="0" t="s">
        <v>11660</v>
      </c>
      <c r="B29611" s="0" t="str">
        <f aca="false">HYPERLINK("https://lindat.mff.cuni.cz/services/teitok/pdtc10/index.php?action=vallex&amp;frame=v-w4045f1", "posvítit (v-w4045f1)")</f>
        <v>posvítit (v-w4045f1)</v>
      </c>
      <c r="E29611" s="0" t="str">
        <f aca="false">HYPERLINK("https://lindat.mff.cuni.cz/services/SynSemClass40/SynSemClass40.html?veclass=vec01417#vec01417-ces-cm00004", "vec01417")</f>
        <v>vec01417</v>
      </c>
      <c r="F29611" s="0" t="s">
        <v>10027</v>
      </c>
    </row>
    <row r="29612" customFormat="false" ht="12.8" hidden="false" customHeight="false" outlineLevel="0" collapsed="false">
      <c r="B29612" s="0" t="s">
        <v>1</v>
      </c>
      <c r="E29612" s="0" t="s">
        <v>4581</v>
      </c>
      <c r="F29612" s="0" t="s">
        <v>10028</v>
      </c>
    </row>
    <row r="29614" customFormat="false" ht="12.8" hidden="false" customHeight="false" outlineLevel="0" collapsed="false">
      <c r="A29614" s="0" t="s">
        <v>11661</v>
      </c>
      <c r="B29614" s="0" t="str">
        <f aca="false">HYPERLINK("https://lindat.mff.cuni.cz/services/teitok/pdtc10/index.php?action=vallex&amp;frame=v-w4046f1", "posvítit si (v-w4046f1)")</f>
        <v>posvítit si (v-w4046f1)</v>
      </c>
      <c r="E29614" s="0" t="str">
        <f aca="false">HYPERLINK("https://lindat.mff.cuni.cz/services/SynSemClass40/SynSemClass40.html?veclass=vec00090#vec00090-ces-cm00071", "vec00090")</f>
        <v>vec00090</v>
      </c>
      <c r="F29614" s="0" t="s">
        <v>113</v>
      </c>
    </row>
    <row r="29615" customFormat="false" ht="12.8" hidden="false" customHeight="false" outlineLevel="0" collapsed="false">
      <c r="B29615" s="0" t="s">
        <v>1</v>
      </c>
      <c r="C29615" s="0" t="s">
        <v>114</v>
      </c>
      <c r="E29615" s="0" t="s">
        <v>115</v>
      </c>
      <c r="F29615" s="0" t="s">
        <v>116</v>
      </c>
    </row>
    <row r="29616" customFormat="false" ht="12.8" hidden="false" customHeight="false" outlineLevel="0" collapsed="false">
      <c r="B29616" s="0" t="s">
        <v>45</v>
      </c>
      <c r="C29616" s="0" t="s">
        <v>118</v>
      </c>
      <c r="E29616" s="0" t="s">
        <v>119</v>
      </c>
      <c r="F29616" s="0" t="s">
        <v>120</v>
      </c>
    </row>
    <row r="29618" customFormat="false" ht="12.8" hidden="false" customHeight="false" outlineLevel="0" collapsed="false">
      <c r="A29618" s="0" t="s">
        <v>11662</v>
      </c>
      <c r="B29618" s="0" t="str">
        <f aca="false">HYPERLINK("https://lindat.mff.cuni.cz/services/teitok/pdtc10/index.php?action=vallex&amp;frame=v-w10063f2", "posvěcovat (v-w10063f2)")</f>
        <v>posvěcovat (v-w10063f2)</v>
      </c>
    </row>
    <row r="29619" customFormat="false" ht="12.8" hidden="false" customHeight="false" outlineLevel="0" collapsed="false">
      <c r="B29619" s="0" t="s">
        <v>1</v>
      </c>
    </row>
    <row r="29620" customFormat="false" ht="12.8" hidden="false" customHeight="false" outlineLevel="0" collapsed="false">
      <c r="B29620" s="0" t="s">
        <v>59</v>
      </c>
    </row>
    <row r="29622" customFormat="false" ht="12.8" hidden="false" customHeight="false" outlineLevel="0" collapsed="false">
      <c r="A29622" s="0" t="s">
        <v>11663</v>
      </c>
      <c r="B29622" s="0" t="str">
        <f aca="false">HYPERLINK("https://lindat.mff.cuni.cz/services/teitok/pdtc10/index.php?action=vallex&amp;frame=v-w4044f1", "posvětit (v-w4044f1)")</f>
        <v>posvětit (v-w4044f1)</v>
      </c>
    </row>
    <row r="29623" customFormat="false" ht="12.8" hidden="false" customHeight="false" outlineLevel="0" collapsed="false">
      <c r="B29623" s="0" t="s">
        <v>1</v>
      </c>
    </row>
    <row r="29624" customFormat="false" ht="12.8" hidden="false" customHeight="false" outlineLevel="0" collapsed="false">
      <c r="B29624" s="0" t="s">
        <v>59</v>
      </c>
    </row>
    <row r="29626" customFormat="false" ht="12.8" hidden="false" customHeight="false" outlineLevel="0" collapsed="false">
      <c r="A29626" s="0" t="s">
        <v>11664</v>
      </c>
      <c r="B29626" s="0" t="str">
        <f aca="false">HYPERLINK("https://lindat.mff.cuni.cz/services/teitok/pdtc10/index.php?action=vallex&amp;frame=v-whsa_571hsa_572", "posypat (v-whsa_571hsa_572)")</f>
        <v>posypat (v-whsa_571hsa_572)</v>
      </c>
    </row>
    <row r="29627" customFormat="false" ht="12.8" hidden="false" customHeight="false" outlineLevel="0" collapsed="false">
      <c r="B29627" s="0" t="s">
        <v>1</v>
      </c>
    </row>
    <row r="29628" customFormat="false" ht="12.8" hidden="false" customHeight="false" outlineLevel="0" collapsed="false">
      <c r="B29628" s="0" t="s">
        <v>8</v>
      </c>
    </row>
    <row r="29630" customFormat="false" ht="12.8" hidden="false" customHeight="false" outlineLevel="0" collapsed="false">
      <c r="A29630" s="0" t="s">
        <v>11665</v>
      </c>
      <c r="B29630" s="0" t="str">
        <f aca="false">HYPERLINK("https://lindat.mff.cuni.cz/services/teitok/pdtc10/index.php?action=vallex&amp;frame=v-whsa_1597hsa_1598", "posázet (v-whsa_1597hsa_1598)")</f>
        <v>posázet (v-whsa_1597hsa_1598)</v>
      </c>
    </row>
    <row r="29631" customFormat="false" ht="12.8" hidden="false" customHeight="false" outlineLevel="0" collapsed="false">
      <c r="B29631" s="0" t="s">
        <v>1</v>
      </c>
    </row>
    <row r="29632" customFormat="false" ht="12.8" hidden="false" customHeight="false" outlineLevel="0" collapsed="false">
      <c r="B29632" s="0" t="s">
        <v>8</v>
      </c>
    </row>
    <row r="29634" customFormat="false" ht="12.8" hidden="false" customHeight="false" outlineLevel="0" collapsed="false">
      <c r="A29634" s="0" t="s">
        <v>11666</v>
      </c>
      <c r="B29634" s="0" t="str">
        <f aca="false">HYPERLINK("https://lindat.mff.cuni.cz/services/teitok/pdtc10/index.php?action=vallex&amp;frame=v-w3961f2", "posílat (v-w3961f2)")</f>
        <v>posílat (v-w3961f2)</v>
      </c>
      <c r="E29634" s="0" t="str">
        <f aca="false">HYPERLINK("https://lindat.mff.cuni.cz/services/SynSemClass40/SynSemClass40.html?veclass=vec00209#vec00209-ces-cm00039", "vec00209")</f>
        <v>vec00209</v>
      </c>
      <c r="F29634" s="0" t="s">
        <v>2040</v>
      </c>
    </row>
    <row r="29635" customFormat="false" ht="12.8" hidden="false" customHeight="false" outlineLevel="0" collapsed="false">
      <c r="B29635" s="0" t="s">
        <v>1</v>
      </c>
      <c r="C29635" s="0" t="s">
        <v>2041</v>
      </c>
      <c r="E29635" s="0" t="s">
        <v>1784</v>
      </c>
      <c r="F29635" s="0" t="s">
        <v>2042</v>
      </c>
    </row>
    <row r="29636" customFormat="false" ht="12.8" hidden="false" customHeight="false" outlineLevel="0" collapsed="false">
      <c r="B29636" s="0" t="s">
        <v>8</v>
      </c>
      <c r="C29636" s="0" t="s">
        <v>2043</v>
      </c>
      <c r="E29636" s="0" t="s">
        <v>1787</v>
      </c>
      <c r="F29636" s="0" t="s">
        <v>2044</v>
      </c>
    </row>
    <row r="29637" customFormat="false" ht="12.8" hidden="false" customHeight="false" outlineLevel="0" collapsed="false">
      <c r="B29637" s="0" t="s">
        <v>52</v>
      </c>
      <c r="C29637" s="0" t="s">
        <v>2046</v>
      </c>
      <c r="E29637" s="0" t="s">
        <v>53</v>
      </c>
      <c r="F29637" s="0" t="s">
        <v>2047</v>
      </c>
    </row>
    <row r="29639" customFormat="false" ht="12.8" hidden="false" customHeight="false" outlineLevel="0" collapsed="false">
      <c r="A29639" s="0" t="s">
        <v>11667</v>
      </c>
      <c r="B29639" s="0" t="str">
        <f aca="false">HYPERLINK("https://lindat.mff.cuni.cz/services/teitok/pdtc10/index.php?action=vallex&amp;frame=v-w3961f1", "posílat (v-w3961f1)")</f>
        <v>posílat (v-w3961f1)</v>
      </c>
      <c r="E29639" s="0" t="str">
        <f aca="false">HYPERLINK("https://lindat.mff.cuni.cz/services/SynSemClass40/SynSemClass40.html?veclass=vec00209#vec00209-ces-cm00200", "vec00209")</f>
        <v>vec00209</v>
      </c>
      <c r="F29639" s="0" t="s">
        <v>2040</v>
      </c>
    </row>
    <row r="29640" customFormat="false" ht="12.8" hidden="false" customHeight="false" outlineLevel="0" collapsed="false">
      <c r="B29640" s="0" t="s">
        <v>1</v>
      </c>
      <c r="C29640" s="0" t="s">
        <v>2041</v>
      </c>
      <c r="E29640" s="0" t="s">
        <v>1784</v>
      </c>
      <c r="F29640" s="0" t="s">
        <v>2042</v>
      </c>
    </row>
    <row r="29641" customFormat="false" ht="12.8" hidden="false" customHeight="false" outlineLevel="0" collapsed="false">
      <c r="B29641" s="0" t="s">
        <v>8</v>
      </c>
      <c r="C29641" s="0" t="s">
        <v>2043</v>
      </c>
      <c r="E29641" s="0" t="s">
        <v>1787</v>
      </c>
      <c r="F29641" s="0" t="s">
        <v>2044</v>
      </c>
    </row>
    <row r="29642" customFormat="false" ht="12.8" hidden="false" customHeight="false" outlineLevel="0" collapsed="false">
      <c r="B29642" s="0" t="s">
        <v>164</v>
      </c>
      <c r="C29642" s="0" t="s">
        <v>2654</v>
      </c>
      <c r="E29642" s="0" t="s">
        <v>2212</v>
      </c>
      <c r="F29642" s="0" t="s">
        <v>2651</v>
      </c>
    </row>
    <row r="29644" customFormat="false" ht="12.8" hidden="false" customHeight="false" outlineLevel="0" collapsed="false">
      <c r="A29644" s="0" t="s">
        <v>11668</v>
      </c>
      <c r="B29644" s="0" t="str">
        <f aca="false">HYPERLINK("https://lindat.mff.cuni.cz/services/teitok/pdtc10/index.php?action=vallex&amp;frame=v-w3961f3", "posílat (v-w3961f3)")</f>
        <v>posílat (v-w3961f3)</v>
      </c>
      <c r="E29644" s="0" t="str">
        <f aca="false">HYPERLINK("https://lindat.mff.cuni.cz/services/SynSemClass40/SynSemClass40.html?veclass=vec00209#vec00209-ces-cm00192", "vec00209")</f>
        <v>vec00209</v>
      </c>
      <c r="F29644" s="0" t="s">
        <v>2040</v>
      </c>
    </row>
    <row r="29645" customFormat="false" ht="12.8" hidden="false" customHeight="false" outlineLevel="0" collapsed="false">
      <c r="B29645" s="0" t="s">
        <v>1</v>
      </c>
      <c r="C29645" s="0" t="s">
        <v>2041</v>
      </c>
      <c r="E29645" s="0" t="s">
        <v>1784</v>
      </c>
      <c r="F29645" s="0" t="s">
        <v>2042</v>
      </c>
    </row>
    <row r="29646" customFormat="false" ht="12.8" hidden="false" customHeight="false" outlineLevel="0" collapsed="false">
      <c r="B29646" s="0" t="s">
        <v>8</v>
      </c>
      <c r="C29646" s="0" t="s">
        <v>2043</v>
      </c>
      <c r="E29646" s="0" t="s">
        <v>1787</v>
      </c>
      <c r="F29646" s="0" t="s">
        <v>2044</v>
      </c>
    </row>
    <row r="29647" customFormat="false" ht="12.8" hidden="false" customHeight="false" outlineLevel="0" collapsed="false">
      <c r="B29647" s="0" t="s">
        <v>164</v>
      </c>
      <c r="C29647" s="0" t="s">
        <v>2654</v>
      </c>
      <c r="E29647" s="0" t="s">
        <v>2212</v>
      </c>
      <c r="F29647" s="0" t="s">
        <v>2651</v>
      </c>
    </row>
    <row r="29649" customFormat="false" ht="12.8" hidden="false" customHeight="false" outlineLevel="0" collapsed="false">
      <c r="A29649" s="0" t="s">
        <v>11669</v>
      </c>
      <c r="B29649" s="0" t="str">
        <f aca="false">HYPERLINK("https://lindat.mff.cuni.cz/services/teitok/pdtc10/index.php?action=vallex&amp;frame=v-w3964f6_ZU", "posílit (v-w3964f6_ZU)")</f>
        <v>posílit (v-w3964f6_ZU)</v>
      </c>
      <c r="E29649" s="0" t="str">
        <f aca="false">HYPERLINK("https://lindat.mff.cuni.cz/services/SynSemClass40/SynSemClass40.html?veclass=vec00298#vec00298-ces-cm00016", "vec00298")</f>
        <v>vec00298</v>
      </c>
      <c r="F29649" s="0" t="s">
        <v>7194</v>
      </c>
    </row>
    <row r="29650" customFormat="false" ht="12.8" hidden="false" customHeight="false" outlineLevel="0" collapsed="false">
      <c r="B29650" s="0" t="s">
        <v>1</v>
      </c>
      <c r="C29650" s="0" t="s">
        <v>7195</v>
      </c>
      <c r="E29650" s="0" t="s">
        <v>31</v>
      </c>
      <c r="F29650" s="0" t="s">
        <v>7196</v>
      </c>
    </row>
    <row r="29651" customFormat="false" ht="12.8" hidden="false" customHeight="false" outlineLevel="0" collapsed="false">
      <c r="B29651" s="0" t="s">
        <v>8</v>
      </c>
      <c r="C29651" s="0" t="s">
        <v>7197</v>
      </c>
      <c r="E29651" s="0" t="s">
        <v>1569</v>
      </c>
      <c r="F29651" s="0" t="s">
        <v>7198</v>
      </c>
    </row>
    <row r="29652" customFormat="false" ht="12.8" hidden="false" customHeight="false" outlineLevel="0" collapsed="false">
      <c r="B29652" s="0" t="s">
        <v>36</v>
      </c>
      <c r="C29652" s="0" t="s">
        <v>7199</v>
      </c>
      <c r="E29652" s="0" t="s">
        <v>5152</v>
      </c>
      <c r="F29652" s="0" t="s">
        <v>7200</v>
      </c>
    </row>
    <row r="29653" customFormat="false" ht="12.8" hidden="false" customHeight="false" outlineLevel="0" collapsed="false">
      <c r="B29653" s="0" t="s">
        <v>101</v>
      </c>
      <c r="C29653" s="0" t="s">
        <v>7201</v>
      </c>
      <c r="E29653" s="0" t="s">
        <v>5796</v>
      </c>
      <c r="F29653" s="0" t="s">
        <v>7202</v>
      </c>
    </row>
    <row r="29655" customFormat="false" ht="12.8" hidden="false" customHeight="false" outlineLevel="0" collapsed="false">
      <c r="A29655" s="0" t="s">
        <v>11669</v>
      </c>
      <c r="B29655" s="0" t="str">
        <f aca="false">HYPERLINK("https://lindat.mff.cuni.cz/services/teitok/pdtc10/index.php?action=vallex&amp;frame=v-w3964f3", "posílit (v-w3964f3) - substituted with v-w3964f6_ZU")</f>
        <v>posílit (v-w3964f3) - substituted with v-w3964f6_ZU</v>
      </c>
    </row>
    <row r="29656" customFormat="false" ht="12.8" hidden="false" customHeight="false" outlineLevel="0" collapsed="false">
      <c r="B29656" s="0" t="s">
        <v>1</v>
      </c>
    </row>
    <row r="29657" customFormat="false" ht="12.8" hidden="false" customHeight="false" outlineLevel="0" collapsed="false">
      <c r="B29657" s="0" t="s">
        <v>8</v>
      </c>
    </row>
    <row r="29658" customFormat="false" ht="12.8" hidden="false" customHeight="false" outlineLevel="0" collapsed="false">
      <c r="B29658" s="0" t="s">
        <v>36</v>
      </c>
    </row>
    <row r="29659" customFormat="false" ht="12.8" hidden="false" customHeight="false" outlineLevel="0" collapsed="false">
      <c r="B29659" s="0" t="s">
        <v>101</v>
      </c>
    </row>
    <row r="29661" customFormat="false" ht="12.8" hidden="false" customHeight="false" outlineLevel="0" collapsed="false">
      <c r="A29661" s="0" t="s">
        <v>11670</v>
      </c>
      <c r="B29661" s="0" t="str">
        <f aca="false">HYPERLINK("https://lindat.mff.cuni.cz/services/teitok/pdtc10/index.php?action=vallex&amp;frame=v-w3964f5_ZU", "posílit (v-w3964f5_ZU)")</f>
        <v>posílit (v-w3964f5_ZU)</v>
      </c>
      <c r="E29661" s="0" t="str">
        <f aca="false">HYPERLINK("https://lindat.mff.cuni.cz/services/SynSemClass40/SynSemClass40.html?veclass=vec00109#vec00109-ces-cm00019", "vec00109")</f>
        <v>vec00109</v>
      </c>
      <c r="F29661" s="0" t="s">
        <v>5143</v>
      </c>
    </row>
    <row r="29662" customFormat="false" ht="12.8" hidden="false" customHeight="false" outlineLevel="0" collapsed="false">
      <c r="B29662" s="0" t="s">
        <v>1</v>
      </c>
      <c r="C29662" s="0" t="s">
        <v>7017</v>
      </c>
      <c r="E29662" s="0" t="s">
        <v>235</v>
      </c>
      <c r="F29662" s="0" t="s">
        <v>5146</v>
      </c>
    </row>
    <row r="29663" customFormat="false" ht="12.8" hidden="false" customHeight="false" outlineLevel="0" collapsed="false">
      <c r="B29663" s="0" t="s">
        <v>69</v>
      </c>
      <c r="C29663" s="0" t="s">
        <v>5148</v>
      </c>
      <c r="E29663" s="0" t="s">
        <v>5149</v>
      </c>
      <c r="F29663" s="0" t="s">
        <v>5150</v>
      </c>
    </row>
    <row r="29664" customFormat="false" ht="12.8" hidden="false" customHeight="false" outlineLevel="0" collapsed="false">
      <c r="B29664" s="0" t="s">
        <v>36</v>
      </c>
      <c r="C29664" s="0" t="s">
        <v>5151</v>
      </c>
      <c r="E29664" s="0" t="s">
        <v>5152</v>
      </c>
      <c r="F29664" s="0" t="s">
        <v>5153</v>
      </c>
    </row>
    <row r="29666" customFormat="false" ht="12.8" hidden="false" customHeight="false" outlineLevel="0" collapsed="false">
      <c r="A29666" s="0" t="s">
        <v>11670</v>
      </c>
      <c r="B29666" s="0" t="str">
        <f aca="false">HYPERLINK("https://lindat.mff.cuni.cz/services/teitok/pdtc10/index.php?action=vallex&amp;frame=v-w3964f4_ZU", "posílit (v-w3964f4_ZU) - substituted with v-w3964f5_ZU")</f>
        <v>posílit (v-w3964f4_ZU) - substituted with v-w3964f5_ZU</v>
      </c>
    </row>
    <row r="29667" customFormat="false" ht="12.8" hidden="false" customHeight="false" outlineLevel="0" collapsed="false">
      <c r="B29667" s="0" t="s">
        <v>1</v>
      </c>
    </row>
    <row r="29668" customFormat="false" ht="12.8" hidden="false" customHeight="false" outlineLevel="0" collapsed="false">
      <c r="B29668" s="0" t="s">
        <v>69</v>
      </c>
    </row>
    <row r="29669" customFormat="false" ht="12.8" hidden="false" customHeight="false" outlineLevel="0" collapsed="false">
      <c r="B29669" s="0" t="s">
        <v>36</v>
      </c>
    </row>
    <row r="29671" customFormat="false" ht="12.8" hidden="false" customHeight="false" outlineLevel="0" collapsed="false">
      <c r="A29671" s="0" t="s">
        <v>11671</v>
      </c>
      <c r="B29671" s="0" t="str">
        <f aca="false">HYPERLINK("https://lindat.mff.cuni.cz/services/teitok/pdtc10/index.php?action=vallex&amp;frame=v-w3964f2", "posílit (v-w3964f2)")</f>
        <v>posílit (v-w3964f2)</v>
      </c>
    </row>
    <row r="29672" customFormat="false" ht="12.8" hidden="false" customHeight="false" outlineLevel="0" collapsed="false">
      <c r="B29672" s="0" t="s">
        <v>1</v>
      </c>
    </row>
    <row r="29673" customFormat="false" ht="12.8" hidden="false" customHeight="false" outlineLevel="0" collapsed="false">
      <c r="B29673" s="0" t="s">
        <v>8</v>
      </c>
    </row>
    <row r="29674" customFormat="false" ht="12.8" hidden="false" customHeight="false" outlineLevel="0" collapsed="false">
      <c r="B29674" s="0" t="s">
        <v>2600</v>
      </c>
    </row>
    <row r="29676" customFormat="false" ht="12.8" hidden="false" customHeight="false" outlineLevel="0" collapsed="false">
      <c r="A29676" s="0" t="s">
        <v>11672</v>
      </c>
      <c r="B29676" s="0" t="str">
        <f aca="false">HYPERLINK("https://lindat.mff.cuni.cz/services/teitok/pdtc10/index.php?action=vallex&amp;frame=v-w3964f1", "posílit (v-w3964f1)")</f>
        <v>posílit (v-w3964f1)</v>
      </c>
      <c r="E29676" s="0" t="str">
        <f aca="false">HYPERLINK("https://lindat.mff.cuni.cz/services/SynSemClass40/SynSemClass40.html?veclass=vec00539#vec00539-ces-cm00006", "vec00539")</f>
        <v>vec00539</v>
      </c>
      <c r="F29676" s="0" t="s">
        <v>11472</v>
      </c>
    </row>
    <row r="29677" customFormat="false" ht="12.8" hidden="false" customHeight="false" outlineLevel="0" collapsed="false">
      <c r="B29677" s="0" t="s">
        <v>1</v>
      </c>
      <c r="C29677" s="0" t="s">
        <v>11473</v>
      </c>
      <c r="E29677" s="0" t="s">
        <v>8199</v>
      </c>
      <c r="F29677" s="0" t="s">
        <v>11474</v>
      </c>
    </row>
    <row r="29678" customFormat="false" ht="12.8" hidden="false" customHeight="false" outlineLevel="0" collapsed="false">
      <c r="B29678" s="0" t="s">
        <v>8</v>
      </c>
      <c r="C29678" s="0" t="s">
        <v>8834</v>
      </c>
      <c r="E29678" s="0" t="s">
        <v>142</v>
      </c>
      <c r="F29678" s="0" t="s">
        <v>11475</v>
      </c>
    </row>
    <row r="29680" customFormat="false" ht="12.8" hidden="false" customHeight="false" outlineLevel="0" collapsed="false">
      <c r="A29680" s="0" t="s">
        <v>11673</v>
      </c>
      <c r="B29680" s="0" t="str">
        <f aca="false">HYPERLINK("https://lindat.mff.cuni.cz/services/teitok/pdtc10/index.php?action=vallex&amp;frame=v-w3965f1", "posílit se (v-w3965f1)")</f>
        <v>posílit se (v-w3965f1)</v>
      </c>
    </row>
    <row r="29681" customFormat="false" ht="12.8" hidden="false" customHeight="false" outlineLevel="0" collapsed="false">
      <c r="B29681" s="0" t="s">
        <v>1</v>
      </c>
    </row>
    <row r="29683" customFormat="false" ht="12.8" hidden="false" customHeight="false" outlineLevel="0" collapsed="false">
      <c r="A29683" s="0" t="s">
        <v>11674</v>
      </c>
      <c r="B29683" s="0" t="str">
        <f aca="false">HYPERLINK("https://lindat.mff.cuni.cz/services/teitok/pdtc10/index.php?action=vallex&amp;frame=v-w3965f2_ZU", "posílit se (v-w3965f2_ZU)")</f>
        <v>posílit se (v-w3965f2_ZU)</v>
      </c>
    </row>
    <row r="29684" customFormat="false" ht="12.8" hidden="false" customHeight="false" outlineLevel="0" collapsed="false">
      <c r="B29684" s="0" t="s">
        <v>1</v>
      </c>
    </row>
    <row r="29686" customFormat="false" ht="12.8" hidden="false" customHeight="false" outlineLevel="0" collapsed="false">
      <c r="A29686" s="0" t="s">
        <v>11675</v>
      </c>
      <c r="B29686" s="0" t="str">
        <f aca="false">HYPERLINK("https://lindat.mff.cuni.cz/services/teitok/pdtc10/index.php?action=vallex&amp;frame=v-w10149f2", "potahovat (v-w10149f2)")</f>
        <v>potahovat (v-w10149f2)</v>
      </c>
    </row>
    <row r="29687" customFormat="false" ht="12.8" hidden="false" customHeight="false" outlineLevel="0" collapsed="false">
      <c r="B29687" s="0" t="s">
        <v>1</v>
      </c>
    </row>
    <row r="29688" customFormat="false" ht="12.8" hidden="false" customHeight="false" outlineLevel="0" collapsed="false">
      <c r="B29688" s="0" t="s">
        <v>8</v>
      </c>
    </row>
    <row r="29690" customFormat="false" ht="12.8" hidden="false" customHeight="false" outlineLevel="0" collapsed="false">
      <c r="A29690" s="0" t="s">
        <v>11676</v>
      </c>
      <c r="B29690" s="0" t="str">
        <f aca="false">HYPERLINK("https://lindat.mff.cuni.cz/services/teitok/pdtc10/index.php?action=vallex&amp;frame=v-whsa_1695hsa_1696", "potatit se (v-whsa_1695hsa_1696)")</f>
        <v>potatit se (v-whsa_1695hsa_1696)</v>
      </c>
    </row>
    <row r="29691" customFormat="false" ht="12.8" hidden="false" customHeight="false" outlineLevel="0" collapsed="false">
      <c r="B29691" s="0" t="s">
        <v>1</v>
      </c>
    </row>
    <row r="29693" customFormat="false" ht="12.8" hidden="false" customHeight="false" outlineLevel="0" collapsed="false">
      <c r="A29693" s="0" t="s">
        <v>11677</v>
      </c>
      <c r="B29693" s="0" t="str">
        <f aca="false">HYPERLINK("https://lindat.mff.cuni.cz/services/teitok/pdtc10/index.php?action=vallex&amp;frame=v-w10311f2", "potisknout (v-w10311f2)")</f>
        <v>potisknout (v-w10311f2)</v>
      </c>
    </row>
    <row r="29694" customFormat="false" ht="12.8" hidden="false" customHeight="false" outlineLevel="0" collapsed="false">
      <c r="B29694" s="0" t="s">
        <v>1</v>
      </c>
    </row>
    <row r="29695" customFormat="false" ht="12.8" hidden="false" customHeight="false" outlineLevel="0" collapsed="false">
      <c r="B29695" s="0" t="s">
        <v>8</v>
      </c>
    </row>
    <row r="29697" customFormat="false" ht="12.8" hidden="false" customHeight="false" outlineLevel="0" collapsed="false">
      <c r="A29697" s="0" t="s">
        <v>11678</v>
      </c>
      <c r="B29697" s="0" t="str">
        <f aca="false">HYPERLINK("https://lindat.mff.cuni.cz/services/teitok/pdtc10/index.php?action=vallex&amp;frame=v-whsa_595f1_ZU", "potit (v-whsa_595f1_ZU)")</f>
        <v>potit (v-whsa_595f1_ZU)</v>
      </c>
    </row>
    <row r="29698" customFormat="false" ht="12.8" hidden="false" customHeight="false" outlineLevel="0" collapsed="false">
      <c r="B29698" s="0" t="s">
        <v>1</v>
      </c>
    </row>
    <row r="29699" customFormat="false" ht="12.8" hidden="false" customHeight="false" outlineLevel="0" collapsed="false">
      <c r="B29699" s="0" t="s">
        <v>11679</v>
      </c>
    </row>
    <row r="29701" customFormat="false" ht="12.8" hidden="false" customHeight="false" outlineLevel="0" collapsed="false">
      <c r="A29701" s="0" t="s">
        <v>11678</v>
      </c>
      <c r="B29701" s="0" t="str">
        <f aca="false">HYPERLINK("https://lindat.mff.cuni.cz/services/teitok/pdtc10/index.php?action=vallex&amp;frame=v-whsa_595hsa_596", "potit (v-whsa_595hsa_596) - substituted with v-whsa_595f1_ZU")</f>
        <v>potit (v-whsa_595hsa_596) - substituted with v-whsa_595f1_ZU</v>
      </c>
    </row>
    <row r="29702" customFormat="false" ht="12.8" hidden="false" customHeight="false" outlineLevel="0" collapsed="false">
      <c r="B29702" s="0" t="s">
        <v>1</v>
      </c>
    </row>
    <row r="29703" customFormat="false" ht="12.8" hidden="false" customHeight="false" outlineLevel="0" collapsed="false">
      <c r="B29703" s="0" t="s">
        <v>11679</v>
      </c>
    </row>
    <row r="29705" customFormat="false" ht="12.8" hidden="false" customHeight="false" outlineLevel="0" collapsed="false">
      <c r="A29705" s="0" t="s">
        <v>11680</v>
      </c>
      <c r="B29705" s="0" t="str">
        <f aca="false">HYPERLINK("https://lindat.mff.cuni.cz/services/teitok/pdtc10/index.php?action=vallex&amp;frame=v-w4074f1", "potit se (v-w4074f1)")</f>
        <v>potit se (v-w4074f1)</v>
      </c>
      <c r="E29705" s="0" t="str">
        <f aca="false">HYPERLINK("https://lindat.mff.cuni.cz/services/SynSemClass40/SynSemClass40.html?veclass=vec00679#vec00679-ces-cm00001", "vec00679")</f>
        <v>vec00679</v>
      </c>
      <c r="F29705" s="0" t="s">
        <v>11681</v>
      </c>
    </row>
    <row r="29706" customFormat="false" ht="12.8" hidden="false" customHeight="false" outlineLevel="0" collapsed="false">
      <c r="B29706" s="0" t="s">
        <v>1</v>
      </c>
      <c r="C29706" s="0" t="s">
        <v>512</v>
      </c>
      <c r="E29706" s="0" t="s">
        <v>266</v>
      </c>
      <c r="F29706" s="0" t="s">
        <v>11682</v>
      </c>
    </row>
    <row r="29708" customFormat="false" ht="12.8" hidden="false" customHeight="false" outlineLevel="0" collapsed="false">
      <c r="A29708" s="0" t="s">
        <v>11683</v>
      </c>
      <c r="B29708" s="0" t="str">
        <f aca="false">HYPERLINK("https://lindat.mff.cuni.cz/services/teitok/pdtc10/index.php?action=vallex&amp;frame=v-w4076f2", "potkat (v-w4076f2)")</f>
        <v>potkat (v-w4076f2)</v>
      </c>
    </row>
    <row r="29709" customFormat="false" ht="12.8" hidden="false" customHeight="false" outlineLevel="0" collapsed="false">
      <c r="B29709" s="0" t="s">
        <v>1</v>
      </c>
    </row>
    <row r="29710" customFormat="false" ht="12.8" hidden="false" customHeight="false" outlineLevel="0" collapsed="false">
      <c r="B29710" s="0" t="s">
        <v>721</v>
      </c>
    </row>
    <row r="29711" customFormat="false" ht="12.8" hidden="false" customHeight="false" outlineLevel="0" collapsed="false">
      <c r="B29711" s="0" t="s">
        <v>1502</v>
      </c>
    </row>
    <row r="29713" customFormat="false" ht="12.8" hidden="false" customHeight="false" outlineLevel="0" collapsed="false">
      <c r="A29713" s="0" t="s">
        <v>11684</v>
      </c>
      <c r="B29713" s="0" t="str">
        <f aca="false">HYPERLINK("https://lindat.mff.cuni.cz/services/teitok/pdtc10/index.php?action=vallex&amp;frame=v-w4076f3_ZU", "potkat (v-w4076f3_ZU)")</f>
        <v>potkat (v-w4076f3_ZU)</v>
      </c>
    </row>
    <row r="29714" customFormat="false" ht="12.8" hidden="false" customHeight="false" outlineLevel="0" collapsed="false">
      <c r="B29714" s="0" t="s">
        <v>1</v>
      </c>
    </row>
    <row r="29715" customFormat="false" ht="12.8" hidden="false" customHeight="false" outlineLevel="0" collapsed="false">
      <c r="B29715" s="0" t="s">
        <v>8</v>
      </c>
    </row>
    <row r="29717" customFormat="false" ht="12.8" hidden="false" customHeight="false" outlineLevel="0" collapsed="false">
      <c r="A29717" s="0" t="s">
        <v>11684</v>
      </c>
      <c r="B29717" s="0" t="str">
        <f aca="false">HYPERLINK("https://lindat.mff.cuni.cz/services/teitok/pdtc10/index.php?action=vallex&amp;frame=v-w4076f1", "potkat (v-w4076f1) - substituted with v-w4076f3_ZU")</f>
        <v>potkat (v-w4076f1) - substituted with v-w4076f3_ZU</v>
      </c>
      <c r="E29717" s="0" t="str">
        <f aca="false">HYPERLINK("https://lindat.mff.cuni.cz/services/SynSemClass40/SynSemClass40.html?veclass=vec00372#vec00372-ces-cm00035", "vec00372")</f>
        <v>vec00372</v>
      </c>
      <c r="F29717" s="0" t="s">
        <v>2524</v>
      </c>
    </row>
    <row r="29718" customFormat="false" ht="12.8" hidden="false" customHeight="false" outlineLevel="0" collapsed="false">
      <c r="B29718" s="0" t="s">
        <v>1</v>
      </c>
      <c r="C29718" s="0" t="s">
        <v>2525</v>
      </c>
      <c r="E29718" s="0" t="s">
        <v>2526</v>
      </c>
      <c r="F29718" s="0" t="s">
        <v>2527</v>
      </c>
    </row>
    <row r="29719" customFormat="false" ht="12.8" hidden="false" customHeight="false" outlineLevel="0" collapsed="false">
      <c r="B29719" s="0" t="s">
        <v>8</v>
      </c>
      <c r="C29719" s="0" t="s">
        <v>2528</v>
      </c>
      <c r="E29719" s="0" t="s">
        <v>142</v>
      </c>
      <c r="F29719" s="0" t="s">
        <v>2529</v>
      </c>
    </row>
    <row r="29721" customFormat="false" ht="12.8" hidden="false" customHeight="false" outlineLevel="0" collapsed="false">
      <c r="A29721" s="0" t="s">
        <v>11685</v>
      </c>
      <c r="B29721" s="0" t="str">
        <f aca="false">HYPERLINK("https://lindat.mff.cuni.cz/services/teitok/pdtc10/index.php?action=vallex&amp;frame=v-w4076f4_ZU", "potkat (v-w4076f4_ZU)")</f>
        <v>potkat (v-w4076f4_ZU)</v>
      </c>
    </row>
    <row r="29722" customFormat="false" ht="12.8" hidden="false" customHeight="false" outlineLevel="0" collapsed="false">
      <c r="B29722" s="0" t="s">
        <v>1</v>
      </c>
    </row>
    <row r="29723" customFormat="false" ht="12.8" hidden="false" customHeight="false" outlineLevel="0" collapsed="false">
      <c r="B29723" s="0" t="s">
        <v>8</v>
      </c>
    </row>
    <row r="29725" customFormat="false" ht="12.8" hidden="false" customHeight="false" outlineLevel="0" collapsed="false">
      <c r="A29725" s="0" t="s">
        <v>11686</v>
      </c>
      <c r="B29725" s="0" t="str">
        <f aca="false">HYPERLINK("https://lindat.mff.cuni.cz/services/teitok/pdtc10/index.php?action=vallex&amp;frame=v-w4077f1", "potkat se (v-w4077f1)")</f>
        <v>potkat se (v-w4077f1)</v>
      </c>
      <c r="E29725" s="0" t="str">
        <f aca="false">HYPERLINK("https://lindat.mff.cuni.cz/services/SynSemClass40/SynSemClass40.html?veclass=vec00307#vec00307-ces-cm00031", "vec00307")</f>
        <v>vec00307</v>
      </c>
      <c r="F29725" s="0" t="s">
        <v>11687</v>
      </c>
    </row>
    <row r="29726" customFormat="false" ht="12.8" hidden="false" customHeight="false" outlineLevel="0" collapsed="false">
      <c r="B29726" s="0" t="s">
        <v>1</v>
      </c>
      <c r="C29726" s="0" t="s">
        <v>11688</v>
      </c>
      <c r="E29726" s="0" t="s">
        <v>2241</v>
      </c>
      <c r="F29726" s="0" t="s">
        <v>11689</v>
      </c>
    </row>
    <row r="29727" customFormat="false" ht="12.8" hidden="false" customHeight="false" outlineLevel="0" collapsed="false">
      <c r="B29727" s="0" t="s">
        <v>721</v>
      </c>
      <c r="C29727" s="0" t="s">
        <v>4776</v>
      </c>
      <c r="E29727" s="0" t="s">
        <v>2665</v>
      </c>
      <c r="F29727" s="0" t="s">
        <v>11690</v>
      </c>
    </row>
    <row r="29729" customFormat="false" ht="12.8" hidden="false" customHeight="false" outlineLevel="0" collapsed="false">
      <c r="A29729" s="0" t="s">
        <v>11691</v>
      </c>
      <c r="B29729" s="0" t="str">
        <f aca="false">HYPERLINK("https://lindat.mff.cuni.cz/services/teitok/pdtc10/index.php?action=vallex&amp;frame=v-w4077hsa_1083", "potkat se (v-w4077hsa_1083)")</f>
        <v>potkat se (v-w4077hsa_1083)</v>
      </c>
    </row>
    <row r="29730" customFormat="false" ht="12.8" hidden="false" customHeight="false" outlineLevel="0" collapsed="false">
      <c r="B29730" s="0" t="s">
        <v>1</v>
      </c>
    </row>
    <row r="29731" customFormat="false" ht="12.8" hidden="false" customHeight="false" outlineLevel="0" collapsed="false">
      <c r="B29731" s="0" t="s">
        <v>721</v>
      </c>
    </row>
    <row r="29733" customFormat="false" ht="12.8" hidden="false" customHeight="false" outlineLevel="0" collapsed="false">
      <c r="A29733" s="0" t="s">
        <v>11692</v>
      </c>
      <c r="B29733" s="0" t="str">
        <f aca="false">HYPERLINK("https://lindat.mff.cuni.cz/services/teitok/pdtc10/index.php?action=vallex&amp;frame=v-w4078f2", "potkávat (v-w4078f2)")</f>
        <v>potkávat (v-w4078f2)</v>
      </c>
    </row>
    <row r="29734" customFormat="false" ht="12.8" hidden="false" customHeight="false" outlineLevel="0" collapsed="false">
      <c r="B29734" s="0" t="s">
        <v>1</v>
      </c>
    </row>
    <row r="29735" customFormat="false" ht="12.8" hidden="false" customHeight="false" outlineLevel="0" collapsed="false">
      <c r="B29735" s="0" t="s">
        <v>721</v>
      </c>
    </row>
    <row r="29736" customFormat="false" ht="12.8" hidden="false" customHeight="false" outlineLevel="0" collapsed="false">
      <c r="B29736" s="0" t="s">
        <v>1502</v>
      </c>
    </row>
    <row r="29738" customFormat="false" ht="12.8" hidden="false" customHeight="false" outlineLevel="0" collapsed="false">
      <c r="A29738" s="0" t="s">
        <v>11693</v>
      </c>
      <c r="B29738" s="0" t="str">
        <f aca="false">HYPERLINK("https://lindat.mff.cuni.cz/services/teitok/pdtc10/index.php?action=vallex&amp;frame=v-w4078f1", "potkávat (v-w4078f1)")</f>
        <v>potkávat (v-w4078f1)</v>
      </c>
    </row>
    <row r="29739" customFormat="false" ht="12.8" hidden="false" customHeight="false" outlineLevel="0" collapsed="false">
      <c r="B29739" s="0" t="s">
        <v>1</v>
      </c>
    </row>
    <row r="29740" customFormat="false" ht="12.8" hidden="false" customHeight="false" outlineLevel="0" collapsed="false">
      <c r="B29740" s="0" t="s">
        <v>8</v>
      </c>
    </row>
    <row r="29742" customFormat="false" ht="12.8" hidden="false" customHeight="false" outlineLevel="0" collapsed="false">
      <c r="A29742" s="0" t="s">
        <v>11694</v>
      </c>
      <c r="B29742" s="0" t="str">
        <f aca="false">HYPERLINK("https://lindat.mff.cuni.cz/services/teitok/pdtc10/index.php?action=vallex&amp;frame=v-whsa_1870hsa_1871", "potkávat se (v-whsa_1870hsa_1871)")</f>
        <v>potkávat se (v-whsa_1870hsa_1871)</v>
      </c>
    </row>
    <row r="29743" customFormat="false" ht="12.8" hidden="false" customHeight="false" outlineLevel="0" collapsed="false">
      <c r="B29743" s="0" t="s">
        <v>1</v>
      </c>
    </row>
    <row r="29744" customFormat="false" ht="12.8" hidden="false" customHeight="false" outlineLevel="0" collapsed="false">
      <c r="B29744" s="0" t="s">
        <v>721</v>
      </c>
    </row>
    <row r="29746" customFormat="false" ht="12.8" hidden="false" customHeight="false" outlineLevel="0" collapsed="false">
      <c r="A29746" s="0" t="s">
        <v>11695</v>
      </c>
      <c r="B29746" s="0" t="str">
        <f aca="false">HYPERLINK("https://lindat.mff.cuni.cz/services/teitok/pdtc10/index.php?action=vallex&amp;frame=v-w4080f1", "potlačit (v-w4080f1)")</f>
        <v>potlačit (v-w4080f1)</v>
      </c>
      <c r="E29746" s="0" t="str">
        <f aca="false">HYPERLINK("https://lindat.mff.cuni.cz/services/SynSemClass40/SynSemClass40.html?veclass=vec00815#vec00815-ces-cm00006", "vec00815")</f>
        <v>vec00815</v>
      </c>
      <c r="F29746" s="0" t="s">
        <v>3374</v>
      </c>
    </row>
    <row r="29747" customFormat="false" ht="12.8" hidden="false" customHeight="false" outlineLevel="0" collapsed="false">
      <c r="B29747" s="0" t="s">
        <v>1</v>
      </c>
      <c r="C29747" s="0" t="s">
        <v>3375</v>
      </c>
      <c r="E29747" s="0" t="s">
        <v>76</v>
      </c>
      <c r="F29747" s="0" t="s">
        <v>3376</v>
      </c>
    </row>
    <row r="29748" customFormat="false" ht="12.8" hidden="false" customHeight="false" outlineLevel="0" collapsed="false">
      <c r="B29748" s="0" t="s">
        <v>8</v>
      </c>
      <c r="C29748" s="0" t="s">
        <v>1398</v>
      </c>
      <c r="E29748" s="0" t="s">
        <v>34</v>
      </c>
      <c r="F29748" s="0" t="s">
        <v>3377</v>
      </c>
    </row>
    <row r="29750" customFormat="false" ht="12.8" hidden="false" customHeight="false" outlineLevel="0" collapsed="false">
      <c r="A29750" s="0" t="s">
        <v>11696</v>
      </c>
      <c r="B29750" s="0" t="str">
        <f aca="false">HYPERLINK("https://lindat.mff.cuni.cz/services/teitok/pdtc10/index.php?action=vallex&amp;frame=v-w4082f1", "potlačovat (v-w4082f1)")</f>
        <v>potlačovat (v-w4082f1)</v>
      </c>
      <c r="E29750" s="0" t="str">
        <f aca="false">HYPERLINK("https://lindat.mff.cuni.cz/services/SynSemClass40/SynSemClass40.html?veclass=vec00815#vec00815-ces-cm00002", "vec00815")</f>
        <v>vec00815</v>
      </c>
      <c r="F29750" s="0" t="s">
        <v>3374</v>
      </c>
    </row>
    <row r="29751" customFormat="false" ht="12.8" hidden="false" customHeight="false" outlineLevel="0" collapsed="false">
      <c r="B29751" s="0" t="s">
        <v>1</v>
      </c>
      <c r="C29751" s="0" t="s">
        <v>3375</v>
      </c>
      <c r="E29751" s="0" t="s">
        <v>76</v>
      </c>
      <c r="F29751" s="0" t="s">
        <v>3376</v>
      </c>
    </row>
    <row r="29752" customFormat="false" ht="12.8" hidden="false" customHeight="false" outlineLevel="0" collapsed="false">
      <c r="B29752" s="0" t="s">
        <v>8</v>
      </c>
      <c r="C29752" s="0" t="s">
        <v>1398</v>
      </c>
      <c r="E29752" s="0" t="s">
        <v>34</v>
      </c>
      <c r="F29752" s="0" t="s">
        <v>3377</v>
      </c>
    </row>
    <row r="29754" customFormat="false" ht="12.8" hidden="false" customHeight="false" outlineLevel="0" collapsed="false">
      <c r="A29754" s="0" t="s">
        <v>11697</v>
      </c>
      <c r="B29754" s="0" t="str">
        <f aca="false">HYPERLINK("https://lindat.mff.cuni.cz/services/teitok/pdtc10/index.php?action=vallex&amp;frame=v-w11412f1", "potloukat se (v-w11412f1)")</f>
        <v>potloukat se (v-w11412f1)</v>
      </c>
      <c r="E29754" s="0" t="str">
        <f aca="false">HYPERLINK("https://lindat.mff.cuni.cz/services/SynSemClass40/SynSemClass40.html?veclass=vec01266#vec01266-ces-cm00004", "vec01266")</f>
        <v>vec01266</v>
      </c>
      <c r="F29754" s="0" t="s">
        <v>11698</v>
      </c>
    </row>
    <row r="29755" customFormat="false" ht="12.8" hidden="false" customHeight="false" outlineLevel="0" collapsed="false">
      <c r="B29755" s="0" t="s">
        <v>1</v>
      </c>
      <c r="C29755" s="0" t="s">
        <v>5344</v>
      </c>
      <c r="E29755" s="0" t="s">
        <v>334</v>
      </c>
      <c r="F29755" s="0" t="s">
        <v>5345</v>
      </c>
    </row>
    <row r="29757" customFormat="false" ht="12.8" hidden="false" customHeight="false" outlineLevel="0" collapsed="false">
      <c r="A29757" s="0" t="s">
        <v>11699</v>
      </c>
      <c r="B29757" s="0" t="str">
        <f aca="false">HYPERLINK("https://lindat.mff.cuni.cz/services/teitok/pdtc10/index.php?action=vallex&amp;frame=v-w4085f1", "potopit (v-w4085f1)")</f>
        <v>potopit (v-w4085f1)</v>
      </c>
    </row>
    <row r="29758" customFormat="false" ht="12.8" hidden="false" customHeight="false" outlineLevel="0" collapsed="false">
      <c r="B29758" s="0" t="s">
        <v>1</v>
      </c>
    </row>
    <row r="29759" customFormat="false" ht="12.8" hidden="false" customHeight="false" outlineLevel="0" collapsed="false">
      <c r="B29759" s="0" t="s">
        <v>8</v>
      </c>
    </row>
    <row r="29761" customFormat="false" ht="12.8" hidden="false" customHeight="false" outlineLevel="0" collapsed="false">
      <c r="A29761" s="0" t="s">
        <v>11700</v>
      </c>
      <c r="B29761" s="0" t="str">
        <f aca="false">HYPERLINK("https://lindat.mff.cuni.cz/services/teitok/pdtc10/index.php?action=vallex&amp;frame=v-w4085f2", "potopit (v-w4085f2)")</f>
        <v>potopit (v-w4085f2)</v>
      </c>
      <c r="E29761" s="0" t="str">
        <f aca="false">HYPERLINK("https://lindat.mff.cuni.cz/services/SynSemClass40/SynSemClass40.html?veclass=vec00389#vec00389-ces-cm00041", "vec00389")</f>
        <v>vec00389</v>
      </c>
      <c r="F29761" s="0" t="s">
        <v>1888</v>
      </c>
    </row>
    <row r="29762" customFormat="false" ht="12.8" hidden="false" customHeight="false" outlineLevel="0" collapsed="false">
      <c r="B29762" s="0" t="s">
        <v>1</v>
      </c>
      <c r="C29762" s="0" t="s">
        <v>1889</v>
      </c>
      <c r="E29762" s="0" t="s">
        <v>1890</v>
      </c>
      <c r="F29762" s="0" t="s">
        <v>1891</v>
      </c>
    </row>
    <row r="29763" customFormat="false" ht="12.8" hidden="false" customHeight="false" outlineLevel="0" collapsed="false">
      <c r="B29763" s="0" t="s">
        <v>8</v>
      </c>
      <c r="C29763" s="0" t="s">
        <v>1892</v>
      </c>
      <c r="E29763" s="0" t="s">
        <v>1893</v>
      </c>
      <c r="F29763" s="0" t="s">
        <v>1894</v>
      </c>
    </row>
    <row r="29765" customFormat="false" ht="12.8" hidden="false" customHeight="false" outlineLevel="0" collapsed="false">
      <c r="A29765" s="0" t="s">
        <v>11701</v>
      </c>
      <c r="B29765" s="0" t="str">
        <f aca="false">HYPERLINK("https://lindat.mff.cuni.cz/services/teitok/pdtc10/index.php?action=vallex&amp;frame=v-w11551_ZUf2_ZU", "potopit se (v-w11551_ZUf2_ZU)")</f>
        <v>potopit se (v-w11551_ZUf2_ZU)</v>
      </c>
      <c r="E29765" s="0" t="str">
        <f aca="false">HYPERLINK("https://lindat.mff.cuni.cz/services/SynSemClass40/SynSemClass40.html?veclass=vec01512#vec01512-ces-cm00048", "vec01512")</f>
        <v>vec01512</v>
      </c>
      <c r="F29765" s="0" t="s">
        <v>5302</v>
      </c>
      <c r="H29765" s="0" t="str">
        <f aca="false">HYPERLINK("https://lindat.mff.cuni.cz/services/SynSemClass40/SynSemClass40.html?veclass=vec01542#vec01542-ces-cm00007", "vec01542")</f>
        <v>vec01542</v>
      </c>
      <c r="I29765" s="0" t="s">
        <v>11702</v>
      </c>
    </row>
    <row r="29766" customFormat="false" ht="12.8" hidden="false" customHeight="false" outlineLevel="0" collapsed="false">
      <c r="B29766" s="0" t="s">
        <v>1</v>
      </c>
      <c r="C29766" s="0" t="s">
        <v>11703</v>
      </c>
      <c r="E29766" s="0" t="s">
        <v>334</v>
      </c>
      <c r="F29766" s="0" t="s">
        <v>5305</v>
      </c>
      <c r="H29766" s="0" t="s">
        <v>6270</v>
      </c>
      <c r="I29766" s="0" t="s">
        <v>11704</v>
      </c>
    </row>
    <row r="29768" customFormat="false" ht="12.8" hidden="false" customHeight="false" outlineLevel="0" collapsed="false">
      <c r="A29768" s="0" t="s">
        <v>11701</v>
      </c>
      <c r="B29768" s="0" t="str">
        <f aca="false">HYPERLINK("https://lindat.mff.cuni.cz/services/teitok/pdtc10/index.php?action=vallex&amp;frame=v-w11551_ZUf1_ZU", "potopit se (v-w11551_ZUf1_ZU) - substituted with v-w11551_ZUf2_ZU")</f>
        <v>potopit se (v-w11551_ZUf1_ZU) - substituted with v-w11551_ZUf2_ZU</v>
      </c>
    </row>
    <row r="29769" customFormat="false" ht="12.8" hidden="false" customHeight="false" outlineLevel="0" collapsed="false">
      <c r="B29769" s="0" t="s">
        <v>1</v>
      </c>
    </row>
    <row r="29771" customFormat="false" ht="12.8" hidden="false" customHeight="false" outlineLevel="0" collapsed="false">
      <c r="A29771" s="0" t="s">
        <v>11705</v>
      </c>
      <c r="B29771" s="0" t="str">
        <f aca="false">HYPERLINK("https://lindat.mff.cuni.cz/services/teitok/pdtc10/index.php?action=vallex&amp;frame=v-w11551_ZUhsa_625", "potopit se (v-w11551_ZUhsa_625)")</f>
        <v>potopit se (v-w11551_ZUhsa_625)</v>
      </c>
    </row>
    <row r="29772" customFormat="false" ht="12.8" hidden="false" customHeight="false" outlineLevel="0" collapsed="false">
      <c r="B29772" s="0" t="s">
        <v>1</v>
      </c>
    </row>
    <row r="29774" customFormat="false" ht="12.8" hidden="false" customHeight="false" outlineLevel="0" collapsed="false">
      <c r="A29774" s="0" t="s">
        <v>11706</v>
      </c>
      <c r="B29774" s="0" t="str">
        <f aca="false">HYPERLINK("https://lindat.mff.cuni.cz/services/teitok/pdtc10/index.php?action=vallex&amp;frame=v-w10408f2", "potratit (v-w10408f2)")</f>
        <v>potratit (v-w10408f2)</v>
      </c>
    </row>
    <row r="29775" customFormat="false" ht="12.8" hidden="false" customHeight="false" outlineLevel="0" collapsed="false">
      <c r="B29775" s="0" t="s">
        <v>1</v>
      </c>
    </row>
    <row r="29776" customFormat="false" ht="12.8" hidden="false" customHeight="false" outlineLevel="0" collapsed="false">
      <c r="B29776" s="0" t="s">
        <v>8</v>
      </c>
    </row>
    <row r="29778" customFormat="false" ht="12.8" hidden="false" customHeight="false" outlineLevel="0" collapsed="false">
      <c r="A29778" s="0" t="s">
        <v>11707</v>
      </c>
      <c r="B29778" s="0" t="str">
        <f aca="false">HYPERLINK("https://lindat.mff.cuni.cz/services/teitok/pdtc10/index.php?action=vallex&amp;frame=v-w4088f1", "potrefit (v-w4088f1)")</f>
        <v>potrefit (v-w4088f1)</v>
      </c>
    </row>
    <row r="29779" customFormat="false" ht="12.8" hidden="false" customHeight="false" outlineLevel="0" collapsed="false">
      <c r="B29779" s="0" t="s">
        <v>1</v>
      </c>
    </row>
    <row r="29780" customFormat="false" ht="12.8" hidden="false" customHeight="false" outlineLevel="0" collapsed="false">
      <c r="B29780" s="0" t="s">
        <v>8</v>
      </c>
    </row>
    <row r="29782" customFormat="false" ht="12.8" hidden="false" customHeight="false" outlineLevel="0" collapsed="false">
      <c r="A29782" s="0" t="s">
        <v>11708</v>
      </c>
      <c r="B29782" s="0" t="str">
        <f aca="false">HYPERLINK("https://lindat.mff.cuni.cz/services/teitok/pdtc10/index.php?action=vallex&amp;frame=v-w4091f1", "potrestat (v-w4091f1)")</f>
        <v>potrestat (v-w4091f1)</v>
      </c>
      <c r="E29782" s="0" t="str">
        <f aca="false">HYPERLINK("https://lindat.mff.cuni.cz/services/SynSemClass40/SynSemClass40.html?veclass=vec00484#vec00484-ces-cm00001", "vec00484")</f>
        <v>vec00484</v>
      </c>
      <c r="F29782" s="0" t="s">
        <v>10474</v>
      </c>
    </row>
    <row r="29783" customFormat="false" ht="12.8" hidden="false" customHeight="false" outlineLevel="0" collapsed="false">
      <c r="B29783" s="0" t="s">
        <v>1</v>
      </c>
      <c r="C29783" s="0" t="s">
        <v>333</v>
      </c>
      <c r="E29783" s="0" t="s">
        <v>206</v>
      </c>
      <c r="F29783" s="0" t="s">
        <v>10475</v>
      </c>
    </row>
    <row r="29784" customFormat="false" ht="12.8" hidden="false" customHeight="false" outlineLevel="0" collapsed="false">
      <c r="B29784" s="0" t="s">
        <v>8</v>
      </c>
      <c r="C29784" s="0" t="s">
        <v>10476</v>
      </c>
      <c r="E29784" s="0" t="s">
        <v>9278</v>
      </c>
      <c r="F29784" s="0" t="s">
        <v>10477</v>
      </c>
    </row>
    <row r="29786" customFormat="false" ht="12.8" hidden="false" customHeight="false" outlineLevel="0" collapsed="false">
      <c r="A29786" s="0" t="s">
        <v>11709</v>
      </c>
      <c r="B29786" s="0" t="str">
        <f aca="false">HYPERLINK("https://lindat.mff.cuni.cz/services/teitok/pdtc10/index.php?action=vallex&amp;frame=v-w11369f1", "potrhat se (v-w11369f1)")</f>
        <v>potrhat se (v-w11369f1)</v>
      </c>
    </row>
    <row r="29787" customFormat="false" ht="12.8" hidden="false" customHeight="false" outlineLevel="0" collapsed="false">
      <c r="B29787" s="0" t="s">
        <v>1</v>
      </c>
    </row>
    <row r="29788" customFormat="false" ht="12.8" hidden="false" customHeight="false" outlineLevel="0" collapsed="false">
      <c r="B29788" s="0" t="s">
        <v>11710</v>
      </c>
    </row>
    <row r="29790" customFormat="false" ht="12.8" hidden="false" customHeight="false" outlineLevel="0" collapsed="false">
      <c r="A29790" s="0" t="s">
        <v>11711</v>
      </c>
      <c r="B29790" s="0" t="str">
        <f aca="false">HYPERLINK("https://lindat.mff.cuni.cz/services/teitok/pdtc10/index.php?action=vallex&amp;frame=v-w4092f1", "potrpět si (v-w4092f1)")</f>
        <v>potrpět si (v-w4092f1)</v>
      </c>
    </row>
    <row r="29791" customFormat="false" ht="12.8" hidden="false" customHeight="false" outlineLevel="0" collapsed="false">
      <c r="B29791" s="0" t="s">
        <v>1</v>
      </c>
    </row>
    <row r="29792" customFormat="false" ht="12.8" hidden="false" customHeight="false" outlineLevel="0" collapsed="false">
      <c r="B29792" s="0" t="s">
        <v>45</v>
      </c>
    </row>
    <row r="29794" customFormat="false" ht="12.8" hidden="false" customHeight="false" outlineLevel="0" collapsed="false">
      <c r="A29794" s="0" t="s">
        <v>11712</v>
      </c>
      <c r="B29794" s="0" t="str">
        <f aca="false">HYPERLINK("https://lindat.mff.cuni.cz/services/teitok/pdtc10/index.php?action=vallex&amp;frame=v-w4093f1", "potrvat (v-w4093f1)")</f>
        <v>potrvat (v-w4093f1)</v>
      </c>
    </row>
    <row r="29795" customFormat="false" ht="12.8" hidden="false" customHeight="false" outlineLevel="0" collapsed="false">
      <c r="B29795" s="0" t="s">
        <v>1</v>
      </c>
    </row>
    <row r="29797" customFormat="false" ht="12.8" hidden="false" customHeight="false" outlineLevel="0" collapsed="false">
      <c r="A29797" s="0" t="s">
        <v>11713</v>
      </c>
      <c r="B29797" s="0" t="str">
        <f aca="false">HYPERLINK("https://lindat.mff.cuni.cz/services/teitok/pdtc10/index.php?action=vallex&amp;frame=v-w4086f1", "potrápit (v-w4086f1)")</f>
        <v>potrápit (v-w4086f1)</v>
      </c>
    </row>
    <row r="29798" customFormat="false" ht="12.8" hidden="false" customHeight="false" outlineLevel="0" collapsed="false">
      <c r="B29798" s="0" t="s">
        <v>1</v>
      </c>
    </row>
    <row r="29799" customFormat="false" ht="12.8" hidden="false" customHeight="false" outlineLevel="0" collapsed="false">
      <c r="B29799" s="0" t="s">
        <v>8</v>
      </c>
    </row>
    <row r="29801" customFormat="false" ht="12.8" hidden="false" customHeight="false" outlineLevel="0" collapsed="false">
      <c r="A29801" s="0" t="s">
        <v>11714</v>
      </c>
      <c r="B29801" s="0" t="str">
        <f aca="false">HYPERLINK("https://lindat.mff.cuni.cz/services/teitok/pdtc10/index.php?action=vallex&amp;frame=v-w11479f1", "potulovat se (v-w11479f1)")</f>
        <v>potulovat se (v-w11479f1)</v>
      </c>
    </row>
    <row r="29802" customFormat="false" ht="12.8" hidden="false" customHeight="false" outlineLevel="0" collapsed="false">
      <c r="B29802" s="0" t="s">
        <v>1</v>
      </c>
    </row>
    <row r="29804" customFormat="false" ht="12.8" hidden="false" customHeight="false" outlineLevel="0" collapsed="false">
      <c r="A29804" s="0" t="s">
        <v>11715</v>
      </c>
      <c r="B29804" s="0" t="str">
        <f aca="false">HYPERLINK("https://lindat.mff.cuni.cz/services/teitok/pdtc10/index.php?action=vallex&amp;frame=v-w4098f1", "potupovat (v-w4098f1)")</f>
        <v>potupovat (v-w4098f1)</v>
      </c>
      <c r="E29804" s="0" t="str">
        <f aca="false">HYPERLINK("https://lindat.mff.cuni.cz/services/SynSemClass40/SynSemClass40.html?veclass=vec01192#vec01192-ces-cm00011", "vec01192")</f>
        <v>vec01192</v>
      </c>
      <c r="F29804" s="0" t="s">
        <v>2000</v>
      </c>
    </row>
    <row r="29805" customFormat="false" ht="12.8" hidden="false" customHeight="false" outlineLevel="0" collapsed="false">
      <c r="B29805" s="0" t="s">
        <v>1</v>
      </c>
      <c r="C29805" s="0" t="s">
        <v>512</v>
      </c>
      <c r="E29805" s="0" t="s">
        <v>11</v>
      </c>
      <c r="F29805" s="0" t="s">
        <v>1613</v>
      </c>
    </row>
    <row r="29806" customFormat="false" ht="12.8" hidden="false" customHeight="false" outlineLevel="0" collapsed="false">
      <c r="B29806" s="0" t="s">
        <v>8</v>
      </c>
      <c r="C29806" s="0" t="s">
        <v>2001</v>
      </c>
      <c r="E29806" s="0" t="s">
        <v>142</v>
      </c>
      <c r="F29806" s="0" t="s">
        <v>2002</v>
      </c>
    </row>
    <row r="29807" customFormat="false" ht="12.8" hidden="false" customHeight="false" outlineLevel="0" collapsed="false">
      <c r="B29807" s="0" t="s">
        <v>9339</v>
      </c>
    </row>
    <row r="29809" customFormat="false" ht="12.8" hidden="false" customHeight="false" outlineLevel="0" collapsed="false">
      <c r="A29809" s="0" t="s">
        <v>11716</v>
      </c>
      <c r="B29809" s="0" t="str">
        <f aca="false">HYPERLINK("https://lindat.mff.cuni.cz/services/teitok/pdtc10/index.php?action=vallex&amp;frame=v-w4099f1", "potvrdit (v-w4099f1)")</f>
        <v>potvrdit (v-w4099f1)</v>
      </c>
      <c r="E29809" s="0" t="str">
        <f aca="false">HYPERLINK("https://lindat.mff.cuni.cz/services/SynSemClass40/SynSemClass40.html?veclass=vec00078#vec00078-ces-cm00001", "vec00078")</f>
        <v>vec00078</v>
      </c>
      <c r="F29809" s="0" t="s">
        <v>204</v>
      </c>
    </row>
    <row r="29810" customFormat="false" ht="12.8" hidden="false" customHeight="false" outlineLevel="0" collapsed="false">
      <c r="B29810" s="0" t="s">
        <v>11717</v>
      </c>
      <c r="C29810" s="0" t="s">
        <v>205</v>
      </c>
      <c r="E29810" s="0" t="s">
        <v>206</v>
      </c>
      <c r="F29810" s="0" t="s">
        <v>207</v>
      </c>
    </row>
    <row r="29811" customFormat="false" ht="12.8" hidden="false" customHeight="false" outlineLevel="0" collapsed="false">
      <c r="B29811" s="0" t="s">
        <v>3028</v>
      </c>
      <c r="C29811" s="0" t="s">
        <v>208</v>
      </c>
      <c r="E29811" s="0" t="s">
        <v>209</v>
      </c>
      <c r="F29811" s="0" t="s">
        <v>210</v>
      </c>
    </row>
    <row r="29812" customFormat="false" ht="12.8" hidden="false" customHeight="false" outlineLevel="0" collapsed="false">
      <c r="B29812" s="0" t="s">
        <v>132</v>
      </c>
      <c r="C29812" s="0" t="s">
        <v>2304</v>
      </c>
      <c r="E29812" s="0" t="s">
        <v>2305</v>
      </c>
      <c r="F29812" s="0" t="s">
        <v>2306</v>
      </c>
    </row>
    <row r="29814" customFormat="false" ht="12.8" hidden="false" customHeight="false" outlineLevel="0" collapsed="false">
      <c r="A29814" s="0" t="s">
        <v>11718</v>
      </c>
      <c r="B29814" s="0" t="str">
        <f aca="false">HYPERLINK("https://lindat.mff.cuni.cz/services/teitok/pdtc10/index.php?action=vallex&amp;frame=v-w4099f2", "potvrdit (v-w4099f2)")</f>
        <v>potvrdit (v-w4099f2)</v>
      </c>
      <c r="E29814" s="0" t="str">
        <f aca="false">HYPERLINK("https://lindat.mff.cuni.cz/services/SynSemClass40/SynSemClass40.html?veclass=vec01076#vec01076-ces-cm00001", "vec01076")</f>
        <v>vec01076</v>
      </c>
      <c r="F29814" s="0" t="s">
        <v>11719</v>
      </c>
    </row>
    <row r="29815" customFormat="false" ht="12.8" hidden="false" customHeight="false" outlineLevel="0" collapsed="false">
      <c r="B29815" s="0" t="s">
        <v>1</v>
      </c>
      <c r="E29815" s="0" t="s">
        <v>206</v>
      </c>
      <c r="F29815" s="0" t="s">
        <v>1359</v>
      </c>
    </row>
    <row r="29816" customFormat="false" ht="12.8" hidden="false" customHeight="false" outlineLevel="0" collapsed="false">
      <c r="B29816" s="0" t="s">
        <v>8</v>
      </c>
      <c r="E29816" s="0" t="s">
        <v>1847</v>
      </c>
      <c r="F29816" s="0" t="s">
        <v>11720</v>
      </c>
    </row>
    <row r="29817" customFormat="false" ht="12.8" hidden="false" customHeight="false" outlineLevel="0" collapsed="false">
      <c r="B29817" s="0" t="s">
        <v>11721</v>
      </c>
      <c r="E29817" s="0" t="s">
        <v>5007</v>
      </c>
      <c r="F29817" s="0" t="s">
        <v>7950</v>
      </c>
    </row>
    <row r="29819" customFormat="false" ht="12.8" hidden="false" customHeight="false" outlineLevel="0" collapsed="false">
      <c r="A29819" s="0" t="s">
        <v>11722</v>
      </c>
      <c r="B29819" s="0" t="str">
        <f aca="false">HYPERLINK("https://lindat.mff.cuni.cz/services/teitok/pdtc10/index.php?action=vallex&amp;frame=v-w4100f1", "potvrdit se (v-w4100f1)")</f>
        <v>potvrdit se (v-w4100f1)</v>
      </c>
    </row>
    <row r="29820" customFormat="false" ht="12.8" hidden="false" customHeight="false" outlineLevel="0" collapsed="false">
      <c r="B29820" s="0" t="s">
        <v>843</v>
      </c>
    </row>
    <row r="29822" customFormat="false" ht="12.8" hidden="false" customHeight="false" outlineLevel="0" collapsed="false">
      <c r="A29822" s="0" t="s">
        <v>11723</v>
      </c>
      <c r="B29822" s="0" t="str">
        <f aca="false">HYPERLINK("https://lindat.mff.cuni.cz/services/teitok/pdtc10/index.php?action=vallex&amp;frame=v-w4103f1", "potvrzovat (v-w4103f1)")</f>
        <v>potvrzovat (v-w4103f1)</v>
      </c>
      <c r="E29822" s="0" t="str">
        <f aca="false">HYPERLINK("https://lindat.mff.cuni.cz/services/SynSemClass40/SynSemClass40.html?veclass=vec00078#vec00078-ces-cm00012", "vec00078")</f>
        <v>vec00078</v>
      </c>
      <c r="F29822" s="0" t="s">
        <v>204</v>
      </c>
    </row>
    <row r="29823" customFormat="false" ht="12.8" hidden="false" customHeight="false" outlineLevel="0" collapsed="false">
      <c r="B29823" s="0" t="s">
        <v>1</v>
      </c>
      <c r="C29823" s="0" t="s">
        <v>205</v>
      </c>
      <c r="E29823" s="0" t="s">
        <v>206</v>
      </c>
      <c r="F29823" s="0" t="s">
        <v>207</v>
      </c>
    </row>
    <row r="29824" customFormat="false" ht="12.8" hidden="false" customHeight="false" outlineLevel="0" collapsed="false">
      <c r="B29824" s="0" t="s">
        <v>3028</v>
      </c>
      <c r="C29824" s="0" t="s">
        <v>208</v>
      </c>
      <c r="E29824" s="0" t="s">
        <v>209</v>
      </c>
      <c r="F29824" s="0" t="s">
        <v>210</v>
      </c>
    </row>
    <row r="29825" customFormat="false" ht="12.8" hidden="false" customHeight="false" outlineLevel="0" collapsed="false">
      <c r="B29825" s="0" t="s">
        <v>132</v>
      </c>
      <c r="C29825" s="0" t="s">
        <v>2304</v>
      </c>
      <c r="E29825" s="0" t="s">
        <v>2305</v>
      </c>
      <c r="F29825" s="0" t="s">
        <v>2306</v>
      </c>
    </row>
    <row r="29827" customFormat="false" ht="12.8" hidden="false" customHeight="false" outlineLevel="0" collapsed="false">
      <c r="A29827" s="0" t="s">
        <v>11724</v>
      </c>
      <c r="B29827" s="0" t="str">
        <f aca="false">HYPERLINK("https://lindat.mff.cuni.cz/services/teitok/pdtc10/index.php?action=vallex&amp;frame=v-w4103f2", "potvrzovat (v-w4103f2)")</f>
        <v>potvrzovat (v-w4103f2)</v>
      </c>
      <c r="E29827" s="0" t="str">
        <f aca="false">HYPERLINK("https://lindat.mff.cuni.cz/services/SynSemClass40/SynSemClass40.html?veclass=vec01076#vec01076-ces-cm00004", "vec01076")</f>
        <v>vec01076</v>
      </c>
      <c r="F29827" s="0" t="s">
        <v>11719</v>
      </c>
    </row>
    <row r="29828" customFormat="false" ht="12.8" hidden="false" customHeight="false" outlineLevel="0" collapsed="false">
      <c r="B29828" s="0" t="s">
        <v>1</v>
      </c>
      <c r="E29828" s="0" t="s">
        <v>206</v>
      </c>
      <c r="F29828" s="0" t="s">
        <v>1359</v>
      </c>
    </row>
    <row r="29829" customFormat="false" ht="12.8" hidden="false" customHeight="false" outlineLevel="0" collapsed="false">
      <c r="B29829" s="0" t="s">
        <v>8</v>
      </c>
      <c r="E29829" s="0" t="s">
        <v>1847</v>
      </c>
      <c r="F29829" s="0" t="s">
        <v>11720</v>
      </c>
    </row>
    <row r="29830" customFormat="false" ht="12.8" hidden="false" customHeight="false" outlineLevel="0" collapsed="false">
      <c r="B29830" s="0" t="s">
        <v>11721</v>
      </c>
      <c r="E29830" s="0" t="s">
        <v>5007</v>
      </c>
      <c r="F29830" s="0" t="s">
        <v>7950</v>
      </c>
    </row>
    <row r="29832" customFormat="false" ht="12.8" hidden="false" customHeight="false" outlineLevel="0" collapsed="false">
      <c r="A29832" s="0" t="s">
        <v>11725</v>
      </c>
      <c r="B29832" s="0" t="str">
        <f aca="false">HYPERLINK("https://lindat.mff.cuni.cz/services/teitok/pdtc10/index.php?action=vallex&amp;frame=v-w4104f1", "potvrzovat se (v-w4104f1)")</f>
        <v>potvrzovat se (v-w4104f1)</v>
      </c>
    </row>
    <row r="29833" customFormat="false" ht="12.8" hidden="false" customHeight="false" outlineLevel="0" collapsed="false">
      <c r="B29833" s="0" t="s">
        <v>843</v>
      </c>
    </row>
    <row r="29835" customFormat="false" ht="12.8" hidden="false" customHeight="false" outlineLevel="0" collapsed="false">
      <c r="A29835" s="0" t="s">
        <v>11726</v>
      </c>
      <c r="B29835" s="0" t="str">
        <f aca="false">HYPERLINK("https://lindat.mff.cuni.cz/services/teitok/pdtc10/index.php?action=vallex&amp;frame=v-w4064f1", "potácet se (v-w4064f1)")</f>
        <v>potácet se (v-w4064f1)</v>
      </c>
      <c r="E29835" s="0" t="str">
        <f aca="false">HYPERLINK("https://lindat.mff.cuni.cz/services/SynSemClass40/SynSemClass40.html?veclass=vec00875#vec00875-ces-cm00001", "vec00875")</f>
        <v>vec00875</v>
      </c>
      <c r="F29835" s="0" t="s">
        <v>5428</v>
      </c>
    </row>
    <row r="29836" customFormat="false" ht="12.8" hidden="false" customHeight="false" outlineLevel="0" collapsed="false">
      <c r="B29836" s="0" t="s">
        <v>1</v>
      </c>
      <c r="E29836" s="0" t="s">
        <v>84</v>
      </c>
      <c r="F29836" s="0" t="s">
        <v>5431</v>
      </c>
    </row>
    <row r="29838" customFormat="false" ht="12.8" hidden="false" customHeight="false" outlineLevel="0" collapsed="false">
      <c r="A29838" s="0" t="s">
        <v>11727</v>
      </c>
      <c r="B29838" s="0" t="str">
        <f aca="false">HYPERLINK("https://lindat.mff.cuni.cz/services/teitok/pdtc10/index.php?action=vallex&amp;frame=v-w4066f1", "potáhnout (v-w4066f1)")</f>
        <v>potáhnout (v-w4066f1)</v>
      </c>
    </row>
    <row r="29839" customFormat="false" ht="12.8" hidden="false" customHeight="false" outlineLevel="0" collapsed="false">
      <c r="B29839" s="0" t="s">
        <v>1</v>
      </c>
    </row>
    <row r="29840" customFormat="false" ht="12.8" hidden="false" customHeight="false" outlineLevel="0" collapsed="false">
      <c r="B29840" s="0" t="s">
        <v>8</v>
      </c>
    </row>
    <row r="29842" customFormat="false" ht="12.8" hidden="false" customHeight="false" outlineLevel="0" collapsed="false">
      <c r="A29842" s="0" t="s">
        <v>11728</v>
      </c>
      <c r="B29842" s="0" t="str">
        <f aca="false">HYPERLINK("https://lindat.mff.cuni.cz/services/teitok/pdtc10/index.php?action=vallex&amp;frame=v-w4066f2_ZU", "potáhnout (v-w4066f2_ZU)")</f>
        <v>potáhnout (v-w4066f2_ZU)</v>
      </c>
    </row>
    <row r="29843" customFormat="false" ht="12.8" hidden="false" customHeight="false" outlineLevel="0" collapsed="false">
      <c r="B29843" s="0" t="s">
        <v>1</v>
      </c>
    </row>
    <row r="29844" customFormat="false" ht="12.8" hidden="false" customHeight="false" outlineLevel="0" collapsed="false">
      <c r="B29844" s="0" t="s">
        <v>8</v>
      </c>
    </row>
    <row r="29846" customFormat="false" ht="12.8" hidden="false" customHeight="false" outlineLevel="0" collapsed="false">
      <c r="A29846" s="0" t="s">
        <v>11729</v>
      </c>
      <c r="B29846" s="0" t="str">
        <f aca="false">HYPERLINK("https://lindat.mff.cuni.cz/services/teitok/pdtc10/index.php?action=vallex&amp;frame=v-w4068f1", "potápět (v-w4068f1)")</f>
        <v>potápět (v-w4068f1)</v>
      </c>
    </row>
    <row r="29847" customFormat="false" ht="12.8" hidden="false" customHeight="false" outlineLevel="0" collapsed="false">
      <c r="B29847" s="0" t="s">
        <v>1</v>
      </c>
    </row>
    <row r="29848" customFormat="false" ht="12.8" hidden="false" customHeight="false" outlineLevel="0" collapsed="false">
      <c r="B29848" s="0" t="s">
        <v>8</v>
      </c>
    </row>
    <row r="29850" customFormat="false" ht="12.8" hidden="false" customHeight="false" outlineLevel="0" collapsed="false">
      <c r="A29850" s="0" t="s">
        <v>11730</v>
      </c>
      <c r="B29850" s="0" t="str">
        <f aca="false">HYPERLINK("https://lindat.mff.cuni.cz/services/teitok/pdtc10/index.php?action=vallex&amp;frame=v-w4068f2", "potápět (v-w4068f2)")</f>
        <v>potápět (v-w4068f2)</v>
      </c>
    </row>
    <row r="29851" customFormat="false" ht="12.8" hidden="false" customHeight="false" outlineLevel="0" collapsed="false">
      <c r="B29851" s="0" t="s">
        <v>1</v>
      </c>
    </row>
    <row r="29852" customFormat="false" ht="12.8" hidden="false" customHeight="false" outlineLevel="0" collapsed="false">
      <c r="B29852" s="0" t="s">
        <v>8</v>
      </c>
    </row>
    <row r="29854" customFormat="false" ht="12.8" hidden="false" customHeight="false" outlineLevel="0" collapsed="false">
      <c r="A29854" s="0" t="s">
        <v>11731</v>
      </c>
      <c r="B29854" s="0" t="str">
        <f aca="false">HYPERLINK("https://lindat.mff.cuni.cz/services/teitok/pdtc10/index.php?action=vallex&amp;frame=v-w4068hsa_496", "potápět (v-w4068hsa_496)")</f>
        <v>potápět (v-w4068hsa_496)</v>
      </c>
    </row>
    <row r="29855" customFormat="false" ht="12.8" hidden="false" customHeight="false" outlineLevel="0" collapsed="false">
      <c r="B29855" s="0" t="s">
        <v>1</v>
      </c>
    </row>
    <row r="29856" customFormat="false" ht="12.8" hidden="false" customHeight="false" outlineLevel="0" collapsed="false">
      <c r="B29856" s="0" t="s">
        <v>8</v>
      </c>
    </row>
    <row r="29857" customFormat="false" ht="12.8" hidden="false" customHeight="false" outlineLevel="0" collapsed="false">
      <c r="B29857" s="0" t="s">
        <v>164</v>
      </c>
    </row>
    <row r="29859" customFormat="false" ht="12.8" hidden="false" customHeight="false" outlineLevel="0" collapsed="false">
      <c r="A29859" s="0" t="s">
        <v>11732</v>
      </c>
      <c r="B29859" s="0" t="str">
        <f aca="false">HYPERLINK("https://lindat.mff.cuni.cz/services/teitok/pdtc10/index.php?action=vallex&amp;frame=v-w11274f1", "potápět se (v-w11274f1)")</f>
        <v>potápět se (v-w11274f1)</v>
      </c>
      <c r="E29859" s="0" t="str">
        <f aca="false">HYPERLINK("https://lindat.mff.cuni.cz/services/SynSemClass40/SynSemClass40.html?veclass=vec01512#vec01512-ces-cm00045", "vec01512")</f>
        <v>vec01512</v>
      </c>
      <c r="F29859" s="0" t="s">
        <v>5302</v>
      </c>
      <c r="H29859" s="0" t="str">
        <f aca="false">HYPERLINK("https://lindat.mff.cuni.cz/services/SynSemClass40/SynSemClass40.html?veclass=vec01542#vec01542-ces-cm00006", "vec01542")</f>
        <v>vec01542</v>
      </c>
      <c r="I29859" s="0" t="s">
        <v>11702</v>
      </c>
    </row>
    <row r="29860" customFormat="false" ht="12.8" hidden="false" customHeight="false" outlineLevel="0" collapsed="false">
      <c r="B29860" s="0" t="s">
        <v>1</v>
      </c>
      <c r="C29860" s="0" t="s">
        <v>11703</v>
      </c>
      <c r="E29860" s="0" t="s">
        <v>334</v>
      </c>
      <c r="F29860" s="0" t="s">
        <v>5305</v>
      </c>
      <c r="H29860" s="0" t="s">
        <v>6270</v>
      </c>
      <c r="I29860" s="0" t="s">
        <v>11704</v>
      </c>
    </row>
    <row r="29862" customFormat="false" ht="12.8" hidden="false" customHeight="false" outlineLevel="0" collapsed="false">
      <c r="A29862" s="0" t="s">
        <v>11733</v>
      </c>
      <c r="B29862" s="0" t="str">
        <f aca="false">HYPERLINK("https://lindat.mff.cuni.cz/services/teitok/pdtc10/index.php?action=vallex&amp;frame=v-w11274hsa_1198", "potápět se (v-w11274hsa_1198)")</f>
        <v>potápět se (v-w11274hsa_1198)</v>
      </c>
    </row>
    <row r="29863" customFormat="false" ht="12.8" hidden="false" customHeight="false" outlineLevel="0" collapsed="false">
      <c r="B29863" s="0" t="s">
        <v>1</v>
      </c>
    </row>
    <row r="29865" customFormat="false" ht="12.8" hidden="false" customHeight="false" outlineLevel="0" collapsed="false">
      <c r="A29865" s="0" t="s">
        <v>11734</v>
      </c>
      <c r="B29865" s="0" t="str">
        <f aca="false">HYPERLINK("https://lindat.mff.cuni.cz/services/teitok/pdtc10/index.php?action=vallex&amp;frame=v-w4073f1", "potírat (v-w4073f1)")</f>
        <v>potírat (v-w4073f1)</v>
      </c>
      <c r="E29865" s="0" t="str">
        <f aca="false">HYPERLINK("https://lindat.mff.cuni.cz/services/SynSemClass40/SynSemClass40.html?veclass=vec00174#vec00174-ces-cm00047", "vec00174")</f>
        <v>vec00174</v>
      </c>
      <c r="F29865" s="0" t="s">
        <v>325</v>
      </c>
    </row>
    <row r="29866" customFormat="false" ht="12.8" hidden="false" customHeight="false" outlineLevel="0" collapsed="false">
      <c r="B29866" s="0" t="s">
        <v>1</v>
      </c>
      <c r="C29866" s="0" t="s">
        <v>326</v>
      </c>
      <c r="E29866" s="0" t="s">
        <v>76</v>
      </c>
      <c r="F29866" s="0" t="s">
        <v>327</v>
      </c>
    </row>
    <row r="29867" customFormat="false" ht="12.8" hidden="false" customHeight="false" outlineLevel="0" collapsed="false">
      <c r="B29867" s="0" t="s">
        <v>8</v>
      </c>
      <c r="C29867" s="0" t="s">
        <v>328</v>
      </c>
      <c r="E29867" s="0" t="s">
        <v>188</v>
      </c>
      <c r="F29867" s="0" t="s">
        <v>329</v>
      </c>
    </row>
    <row r="29869" customFormat="false" ht="12.8" hidden="false" customHeight="false" outlineLevel="0" collapsed="false">
      <c r="A29869" s="0" t="s">
        <v>11735</v>
      </c>
      <c r="B29869" s="0" t="str">
        <f aca="false">HYPERLINK("https://lindat.mff.cuni.cz/services/teitok/pdtc10/index.php?action=vallex&amp;frame=v-w4073f2_ZU", "potírat (v-w4073f2_ZU)")</f>
        <v>potírat (v-w4073f2_ZU)</v>
      </c>
    </row>
    <row r="29870" customFormat="false" ht="12.8" hidden="false" customHeight="false" outlineLevel="0" collapsed="false">
      <c r="B29870" s="0" t="s">
        <v>1</v>
      </c>
    </row>
    <row r="29871" customFormat="false" ht="12.8" hidden="false" customHeight="false" outlineLevel="0" collapsed="false">
      <c r="B29871" s="0" t="s">
        <v>8</v>
      </c>
    </row>
    <row r="29873" customFormat="false" ht="12.8" hidden="false" customHeight="false" outlineLevel="0" collapsed="false">
      <c r="A29873" s="0" t="s">
        <v>11736</v>
      </c>
      <c r="B29873" s="0" t="str">
        <f aca="false">HYPERLINK("https://lindat.mff.cuni.cz/services/teitok/pdtc10/index.php?action=vallex&amp;frame=v-w4107f1", "potýkat se (v-w4107f1)")</f>
        <v>potýkat se (v-w4107f1)</v>
      </c>
      <c r="E29873" s="0" t="str">
        <f aca="false">HYPERLINK("https://lindat.mff.cuni.cz/services/SynSemClass40/SynSemClass40.html?veclass=vec00205#vec00205-ces-cm00022", "vec00205")</f>
        <v>vec00205</v>
      </c>
      <c r="F29873" s="0" t="s">
        <v>406</v>
      </c>
    </row>
    <row r="29874" customFormat="false" ht="12.8" hidden="false" customHeight="false" outlineLevel="0" collapsed="false">
      <c r="B29874" s="0" t="s">
        <v>1</v>
      </c>
      <c r="C29874" s="0" t="s">
        <v>407</v>
      </c>
      <c r="E29874" s="0" t="s">
        <v>11</v>
      </c>
      <c r="F29874" s="0" t="s">
        <v>408</v>
      </c>
    </row>
    <row r="29875" customFormat="false" ht="12.8" hidden="false" customHeight="false" outlineLevel="0" collapsed="false">
      <c r="B29875" s="0" t="s">
        <v>721</v>
      </c>
      <c r="C29875" s="0" t="s">
        <v>410</v>
      </c>
      <c r="E29875" s="0" t="s">
        <v>411</v>
      </c>
      <c r="F29875" s="0" t="s">
        <v>412</v>
      </c>
    </row>
    <row r="29877" customFormat="false" ht="12.8" hidden="false" customHeight="false" outlineLevel="0" collapsed="false">
      <c r="A29877" s="0" t="s">
        <v>11737</v>
      </c>
      <c r="B29877" s="0" t="str">
        <f aca="false">HYPERLINK("https://lindat.mff.cuni.cz/services/teitok/pdtc10/index.php?action=vallex&amp;frame=v-w4108f1", "potýrat (v-w4108f1)")</f>
        <v>potýrat (v-w4108f1)</v>
      </c>
    </row>
    <row r="29878" customFormat="false" ht="12.8" hidden="false" customHeight="false" outlineLevel="0" collapsed="false">
      <c r="B29878" s="0" t="s">
        <v>1</v>
      </c>
    </row>
    <row r="29879" customFormat="false" ht="12.8" hidden="false" customHeight="false" outlineLevel="0" collapsed="false">
      <c r="B29879" s="0" t="s">
        <v>8</v>
      </c>
    </row>
    <row r="29881" customFormat="false" ht="12.8" hidden="false" customHeight="false" outlineLevel="0" collapsed="false">
      <c r="A29881" s="0" t="s">
        <v>11738</v>
      </c>
      <c r="B29881" s="0" t="str">
        <f aca="false">HYPERLINK("https://lindat.mff.cuni.cz/services/teitok/pdtc10/index.php?action=vallex&amp;frame=v-w4070f2_ZU", "potěšit (v-w4070f2_ZU)")</f>
        <v>potěšit (v-w4070f2_ZU)</v>
      </c>
    </row>
    <row r="29882" customFormat="false" ht="12.8" hidden="false" customHeight="false" outlineLevel="0" collapsed="false">
      <c r="B29882" s="0" t="s">
        <v>11739</v>
      </c>
    </row>
    <row r="29883" customFormat="false" ht="12.8" hidden="false" customHeight="false" outlineLevel="0" collapsed="false">
      <c r="B29883" s="0" t="s">
        <v>8</v>
      </c>
    </row>
    <row r="29885" customFormat="false" ht="12.8" hidden="false" customHeight="false" outlineLevel="0" collapsed="false">
      <c r="A29885" s="0" t="s">
        <v>11738</v>
      </c>
      <c r="B29885" s="0" t="str">
        <f aca="false">HYPERLINK("https://lindat.mff.cuni.cz/services/teitok/pdtc10/index.php?action=vallex&amp;frame=v-w4070f1", "potěšit (v-w4070f1) - substituted with v-w4070f2_ZU")</f>
        <v>potěšit (v-w4070f1) - substituted with v-w4070f2_ZU</v>
      </c>
      <c r="E29885" s="0" t="str">
        <f aca="false">HYPERLINK("https://lindat.mff.cuni.cz/services/SynSemClass40/SynSemClass40.html?veclass=vec00231#vec00231-ces-cm00013", "vec00231")</f>
        <v>vec00231</v>
      </c>
      <c r="F29885" s="0" t="s">
        <v>262</v>
      </c>
    </row>
    <row r="29886" customFormat="false" ht="12.8" hidden="false" customHeight="false" outlineLevel="0" collapsed="false">
      <c r="B29886" s="0" t="s">
        <v>11739</v>
      </c>
      <c r="C29886" s="0" t="s">
        <v>11740</v>
      </c>
      <c r="E29886" s="0" t="s">
        <v>1103</v>
      </c>
      <c r="F29886" s="0" t="s">
        <v>11741</v>
      </c>
    </row>
    <row r="29887" customFormat="false" ht="12.8" hidden="false" customHeight="false" outlineLevel="0" collapsed="false">
      <c r="B29887" s="0" t="s">
        <v>8</v>
      </c>
      <c r="C29887" s="0" t="s">
        <v>11742</v>
      </c>
      <c r="E29887" s="0" t="s">
        <v>1930</v>
      </c>
      <c r="F29887" s="0" t="s">
        <v>11743</v>
      </c>
    </row>
    <row r="29889" customFormat="false" ht="12.8" hidden="false" customHeight="false" outlineLevel="0" collapsed="false">
      <c r="A29889" s="0" t="s">
        <v>11744</v>
      </c>
      <c r="B29889" s="0" t="str">
        <f aca="false">HYPERLINK("https://lindat.mff.cuni.cz/services/teitok/pdtc10/index.php?action=vallex&amp;frame=v-w12186_ZUf1_ZU", "potěšit se (v-w12186_ZUf1_ZU)")</f>
        <v>potěšit se (v-w12186_ZUf1_ZU)</v>
      </c>
    </row>
    <row r="29890" customFormat="false" ht="12.8" hidden="false" customHeight="false" outlineLevel="0" collapsed="false">
      <c r="B29890" s="0" t="s">
        <v>1</v>
      </c>
    </row>
    <row r="29891" customFormat="false" ht="12.8" hidden="false" customHeight="false" outlineLevel="0" collapsed="false">
      <c r="B29891" s="0" t="s">
        <v>4277</v>
      </c>
    </row>
    <row r="29893" customFormat="false" ht="12.8" hidden="false" customHeight="false" outlineLevel="0" collapsed="false">
      <c r="A29893" s="0" t="s">
        <v>11745</v>
      </c>
      <c r="B29893" s="0" t="str">
        <f aca="false">HYPERLINK("https://lindat.mff.cuni.cz/services/teitok/pdtc10/index.php?action=vallex&amp;frame=v-w4071f1", "potěžkávat (v-w4071f1)")</f>
        <v>potěžkávat (v-w4071f1)</v>
      </c>
    </row>
    <row r="29894" customFormat="false" ht="12.8" hidden="false" customHeight="false" outlineLevel="0" collapsed="false">
      <c r="B29894" s="0" t="s">
        <v>1</v>
      </c>
    </row>
    <row r="29895" customFormat="false" ht="12.8" hidden="false" customHeight="false" outlineLevel="0" collapsed="false">
      <c r="B29895" s="0" t="s">
        <v>8</v>
      </c>
    </row>
    <row r="29897" customFormat="false" ht="12.8" hidden="false" customHeight="false" outlineLevel="0" collapsed="false">
      <c r="A29897" s="0" t="s">
        <v>11746</v>
      </c>
      <c r="B29897" s="0" t="str">
        <f aca="false">HYPERLINK("https://lindat.mff.cuni.cz/services/teitok/pdtc10/index.php?action=vallex&amp;frame=v-w4096f2", "potřebovat (v-w4096f2)")</f>
        <v>potřebovat (v-w4096f2)</v>
      </c>
      <c r="E29897" s="0" t="str">
        <f aca="false">HYPERLINK("https://lindat.mff.cuni.cz/services/SynSemClass40/SynSemClass40.html?veclass=vec00270#vec00270-ces-cm00001", "vec00270")</f>
        <v>vec00270</v>
      </c>
      <c r="F29897" s="0" t="s">
        <v>11747</v>
      </c>
    </row>
    <row r="29898" customFormat="false" ht="12.8" hidden="false" customHeight="false" outlineLevel="0" collapsed="false">
      <c r="B29898" s="0" t="s">
        <v>1</v>
      </c>
      <c r="C29898" s="0" t="s">
        <v>11748</v>
      </c>
      <c r="E29898" s="0" t="s">
        <v>11</v>
      </c>
      <c r="F29898" s="0" t="s">
        <v>11749</v>
      </c>
    </row>
    <row r="29899" customFormat="false" ht="12.8" hidden="false" customHeight="false" outlineLevel="0" collapsed="false">
      <c r="B29899" s="0" t="s">
        <v>1682</v>
      </c>
      <c r="C29899" s="0" t="s">
        <v>11750</v>
      </c>
      <c r="E29899" s="0" t="s">
        <v>1495</v>
      </c>
      <c r="F29899" s="0" t="s">
        <v>11751</v>
      </c>
    </row>
    <row r="29900" customFormat="false" ht="12.8" hidden="false" customHeight="false" outlineLevel="0" collapsed="false">
      <c r="B29900" s="0" t="s">
        <v>602</v>
      </c>
      <c r="C29900" s="0" t="s">
        <v>11752</v>
      </c>
      <c r="E29900" s="0" t="s">
        <v>2176</v>
      </c>
      <c r="F29900" s="0" t="s">
        <v>11753</v>
      </c>
    </row>
    <row r="29902" customFormat="false" ht="12.8" hidden="false" customHeight="false" outlineLevel="0" collapsed="false">
      <c r="A29902" s="0" t="s">
        <v>11754</v>
      </c>
      <c r="B29902" s="0" t="str">
        <f aca="false">HYPERLINK("https://lindat.mff.cuni.cz/services/teitok/pdtc10/index.php?action=vallex&amp;frame=v-w4096f1", "potřebovat (v-w4096f1)")</f>
        <v>potřebovat (v-w4096f1)</v>
      </c>
      <c r="E29902" s="0" t="str">
        <f aca="false">HYPERLINK("https://lindat.mff.cuni.cz/services/SynSemClass40/SynSemClass40.html?veclass=vec00077#vec00077-ces-cm00001", "vec00077")</f>
        <v>vec00077</v>
      </c>
      <c r="F29902" s="0" t="s">
        <v>11370</v>
      </c>
    </row>
    <row r="29903" customFormat="false" ht="12.8" hidden="false" customHeight="false" outlineLevel="0" collapsed="false">
      <c r="B29903" s="0" t="s">
        <v>1</v>
      </c>
      <c r="C29903" s="0" t="s">
        <v>11371</v>
      </c>
      <c r="E29903" s="0" t="s">
        <v>11</v>
      </c>
      <c r="F29903" s="0" t="s">
        <v>11372</v>
      </c>
    </row>
    <row r="29904" customFormat="false" ht="12.8" hidden="false" customHeight="false" outlineLevel="0" collapsed="false">
      <c r="B29904" s="0" t="s">
        <v>11755</v>
      </c>
      <c r="C29904" s="0" t="s">
        <v>11373</v>
      </c>
      <c r="E29904" s="0" t="s">
        <v>1495</v>
      </c>
      <c r="F29904" s="0" t="s">
        <v>11374</v>
      </c>
    </row>
    <row r="29906" customFormat="false" ht="12.8" hidden="false" customHeight="false" outlineLevel="0" collapsed="false">
      <c r="A29906" s="0" t="s">
        <v>11756</v>
      </c>
      <c r="B29906" s="0" t="str">
        <f aca="false">HYPERLINK("https://lindat.mff.cuni.cz/services/teitok/pdtc10/index.php?action=vallex&amp;frame=v-w4096f3", "potřebovat (v-w4096f3)")</f>
        <v>potřebovat (v-w4096f3)</v>
      </c>
      <c r="E29906" s="0" t="str">
        <f aca="false">HYPERLINK("https://lindat.mff.cuni.cz/services/SynSemClass40/SynSemClass40.html?veclass=vec00077#vec00077-ces-cm00068", "vec00077")</f>
        <v>vec00077</v>
      </c>
      <c r="F29906" s="0" t="s">
        <v>11370</v>
      </c>
    </row>
    <row r="29907" customFormat="false" ht="12.8" hidden="false" customHeight="false" outlineLevel="0" collapsed="false">
      <c r="B29907" s="0" t="s">
        <v>1</v>
      </c>
      <c r="C29907" s="0" t="s">
        <v>11371</v>
      </c>
      <c r="E29907" s="0" t="s">
        <v>11</v>
      </c>
      <c r="F29907" s="0" t="s">
        <v>11372</v>
      </c>
    </row>
    <row r="29908" customFormat="false" ht="12.8" hidden="false" customHeight="false" outlineLevel="0" collapsed="false">
      <c r="B29908" s="0" t="s">
        <v>8</v>
      </c>
      <c r="C29908" s="0" t="s">
        <v>11373</v>
      </c>
      <c r="E29908" s="0" t="s">
        <v>1495</v>
      </c>
      <c r="F29908" s="0" t="s">
        <v>11374</v>
      </c>
    </row>
    <row r="29910" customFormat="false" ht="12.8" hidden="false" customHeight="false" outlineLevel="0" collapsed="false">
      <c r="A29910" s="0" t="s">
        <v>11757</v>
      </c>
      <c r="B29910" s="0" t="str">
        <f aca="false">HYPERLINK("https://lindat.mff.cuni.cz/services/teitok/pdtc10/index.php?action=vallex&amp;frame=v-w12302_MMf1_MM", "potřásat (v-w12302_MMf1_MM)")</f>
        <v>potřásat (v-w12302_MMf1_MM)</v>
      </c>
    </row>
    <row r="29911" customFormat="false" ht="12.8" hidden="false" customHeight="false" outlineLevel="0" collapsed="false">
      <c r="B29911" s="0" t="s">
        <v>1</v>
      </c>
    </row>
    <row r="29912" customFormat="false" ht="12.8" hidden="false" customHeight="false" outlineLevel="0" collapsed="false">
      <c r="B29912" s="0" t="s">
        <v>286</v>
      </c>
    </row>
    <row r="29913" customFormat="false" ht="12.8" hidden="false" customHeight="false" outlineLevel="0" collapsed="false">
      <c r="B29913" s="0" t="s">
        <v>52</v>
      </c>
    </row>
    <row r="29915" customFormat="false" ht="12.8" hidden="false" customHeight="false" outlineLevel="0" collapsed="false">
      <c r="A29915" s="0" t="s">
        <v>11758</v>
      </c>
      <c r="B29915" s="0" t="str">
        <f aca="false">HYPERLINK("https://lindat.mff.cuni.cz/services/teitok/pdtc10/index.php?action=vallex&amp;frame=v-w4094f1", "potřást (v-w4094f1)")</f>
        <v>potřást (v-w4094f1)</v>
      </c>
    </row>
    <row r="29916" customFormat="false" ht="12.8" hidden="false" customHeight="false" outlineLevel="0" collapsed="false">
      <c r="B29916" s="0" t="s">
        <v>1</v>
      </c>
    </row>
    <row r="29917" customFormat="false" ht="12.8" hidden="false" customHeight="false" outlineLevel="0" collapsed="false">
      <c r="B29917" s="0" t="s">
        <v>10168</v>
      </c>
    </row>
    <row r="29918" customFormat="false" ht="12.8" hidden="false" customHeight="false" outlineLevel="0" collapsed="false">
      <c r="B29918" s="0" t="s">
        <v>11759</v>
      </c>
    </row>
    <row r="29920" customFormat="false" ht="12.8" hidden="false" customHeight="false" outlineLevel="0" collapsed="false">
      <c r="A29920" s="0" t="s">
        <v>11760</v>
      </c>
      <c r="B29920" s="0" t="str">
        <f aca="false">HYPERLINK("https://lindat.mff.cuni.cz/services/teitok/pdtc10/index.php?action=vallex&amp;frame=v-w4097f1", "potřísnit (v-w4097f1)")</f>
        <v>potřísnit (v-w4097f1)</v>
      </c>
    </row>
    <row r="29921" customFormat="false" ht="12.8" hidden="false" customHeight="false" outlineLevel="0" collapsed="false">
      <c r="B29921" s="0" t="s">
        <v>1</v>
      </c>
    </row>
    <row r="29922" customFormat="false" ht="12.8" hidden="false" customHeight="false" outlineLevel="0" collapsed="false">
      <c r="B29922" s="0" t="s">
        <v>8</v>
      </c>
    </row>
    <row r="29924" customFormat="false" ht="12.8" hidden="false" customHeight="false" outlineLevel="0" collapsed="false">
      <c r="A29924" s="0" t="s">
        <v>11761</v>
      </c>
      <c r="B29924" s="0" t="str">
        <f aca="false">HYPERLINK("https://lindat.mff.cuni.cz/services/teitok/pdtc10/index.php?action=vallex&amp;frame=v-w4122f1", "poukazovat (v-w4122f1)")</f>
        <v>poukazovat (v-w4122f1)</v>
      </c>
      <c r="E29924" s="0" t="str">
        <f aca="false">HYPERLINK("https://lindat.mff.cuni.cz/services/SynSemClass40/SynSemClass40.html?veclass=vec00332#vec00332-ces-cm00007", "vec00332")</f>
        <v>vec00332</v>
      </c>
      <c r="F29924" s="0" t="s">
        <v>3692</v>
      </c>
    </row>
    <row r="29925" customFormat="false" ht="12.8" hidden="false" customHeight="false" outlineLevel="0" collapsed="false">
      <c r="B29925" s="0" t="s">
        <v>1</v>
      </c>
      <c r="C29925" s="0" t="s">
        <v>11762</v>
      </c>
      <c r="E29925" s="0" t="s">
        <v>63</v>
      </c>
      <c r="F29925" s="0" t="s">
        <v>3695</v>
      </c>
    </row>
    <row r="29926" customFormat="false" ht="12.8" hidden="false" customHeight="false" outlineLevel="0" collapsed="false">
      <c r="B29926" s="0" t="s">
        <v>11763</v>
      </c>
      <c r="C29926" s="0" t="s">
        <v>11764</v>
      </c>
      <c r="E29926" s="0" t="s">
        <v>180</v>
      </c>
      <c r="F29926" s="0" t="s">
        <v>11765</v>
      </c>
    </row>
    <row r="29928" customFormat="false" ht="12.8" hidden="false" customHeight="false" outlineLevel="0" collapsed="false">
      <c r="A29928" s="0" t="s">
        <v>11766</v>
      </c>
      <c r="B29928" s="0" t="str">
        <f aca="false">HYPERLINK("https://lindat.mff.cuni.cz/services/teitok/pdtc10/index.php?action=vallex&amp;frame=v-w4119f2", "poukázat (v-w4119f2)")</f>
        <v>poukázat (v-w4119f2)</v>
      </c>
    </row>
    <row r="29929" customFormat="false" ht="12.8" hidden="false" customHeight="false" outlineLevel="0" collapsed="false">
      <c r="B29929" s="0" t="s">
        <v>1</v>
      </c>
    </row>
    <row r="29930" customFormat="false" ht="12.8" hidden="false" customHeight="false" outlineLevel="0" collapsed="false">
      <c r="B29930" s="0" t="s">
        <v>8</v>
      </c>
    </row>
    <row r="29931" customFormat="false" ht="12.8" hidden="false" customHeight="false" outlineLevel="0" collapsed="false">
      <c r="B29931" s="0" t="s">
        <v>52</v>
      </c>
    </row>
    <row r="29933" customFormat="false" ht="12.8" hidden="false" customHeight="false" outlineLevel="0" collapsed="false">
      <c r="A29933" s="0" t="s">
        <v>11767</v>
      </c>
      <c r="B29933" s="0" t="str">
        <f aca="false">HYPERLINK("https://lindat.mff.cuni.cz/services/teitok/pdtc10/index.php?action=vallex&amp;frame=v-w4119f1", "poukázat (v-w4119f1)")</f>
        <v>poukázat (v-w4119f1)</v>
      </c>
      <c r="E29933" s="0" t="str">
        <f aca="false">HYPERLINK("https://lindat.mff.cuni.cz/services/SynSemClass40/SynSemClass40.html?veclass=vec00332#vec00332-ces-cm00006", "vec00332")</f>
        <v>vec00332</v>
      </c>
      <c r="F29933" s="0" t="s">
        <v>3692</v>
      </c>
    </row>
    <row r="29934" customFormat="false" ht="12.8" hidden="false" customHeight="false" outlineLevel="0" collapsed="false">
      <c r="B29934" s="0" t="s">
        <v>1</v>
      </c>
      <c r="C29934" s="0" t="s">
        <v>11762</v>
      </c>
      <c r="E29934" s="0" t="s">
        <v>63</v>
      </c>
      <c r="F29934" s="0" t="s">
        <v>3695</v>
      </c>
    </row>
    <row r="29935" customFormat="false" ht="12.8" hidden="false" customHeight="false" outlineLevel="0" collapsed="false">
      <c r="B29935" s="0" t="s">
        <v>11763</v>
      </c>
      <c r="C29935" s="0" t="s">
        <v>11764</v>
      </c>
      <c r="E29935" s="0" t="s">
        <v>180</v>
      </c>
      <c r="F29935" s="0" t="s">
        <v>11765</v>
      </c>
    </row>
    <row r="29937" customFormat="false" ht="12.8" hidden="false" customHeight="false" outlineLevel="0" collapsed="false">
      <c r="A29937" s="0" t="s">
        <v>11768</v>
      </c>
      <c r="B29937" s="0" t="str">
        <f aca="false">HYPERLINK("https://lindat.mff.cuni.cz/services/teitok/pdtc10/index.php?action=vallex&amp;frame=v-w4125f1", "pousmát se (v-w4125f1)")</f>
        <v>pousmát se (v-w4125f1)</v>
      </c>
    </row>
    <row r="29938" customFormat="false" ht="12.8" hidden="false" customHeight="false" outlineLevel="0" collapsed="false">
      <c r="B29938" s="0" t="s">
        <v>1</v>
      </c>
    </row>
    <row r="29939" customFormat="false" ht="12.8" hidden="false" customHeight="false" outlineLevel="0" collapsed="false">
      <c r="B29939" s="0" t="s">
        <v>7759</v>
      </c>
    </row>
    <row r="29941" customFormat="false" ht="12.8" hidden="false" customHeight="false" outlineLevel="0" collapsed="false">
      <c r="A29941" s="0" t="s">
        <v>11769</v>
      </c>
      <c r="B29941" s="0" t="str">
        <f aca="false">HYPERLINK("https://lindat.mff.cuni.cz/services/teitok/pdtc10/index.php?action=vallex&amp;frame=v-w4129f1", "poutat (v-w4129f1)")</f>
        <v>poutat (v-w4129f1)</v>
      </c>
    </row>
    <row r="29942" customFormat="false" ht="12.8" hidden="false" customHeight="false" outlineLevel="0" collapsed="false">
      <c r="B29942" s="0" t="s">
        <v>1</v>
      </c>
    </row>
    <row r="29943" customFormat="false" ht="12.8" hidden="false" customHeight="false" outlineLevel="0" collapsed="false">
      <c r="B29943" s="0" t="s">
        <v>8</v>
      </c>
    </row>
    <row r="29945" customFormat="false" ht="12.8" hidden="false" customHeight="false" outlineLevel="0" collapsed="false">
      <c r="A29945" s="0" t="s">
        <v>11770</v>
      </c>
      <c r="B29945" s="0" t="str">
        <f aca="false">HYPERLINK("https://lindat.mff.cuni.cz/services/teitok/pdtc10/index.php?action=vallex&amp;frame=v-w4129f2", "poutat (v-w4129f2)")</f>
        <v>poutat (v-w4129f2)</v>
      </c>
    </row>
    <row r="29946" customFormat="false" ht="12.8" hidden="false" customHeight="false" outlineLevel="0" collapsed="false">
      <c r="B29946" s="0" t="s">
        <v>1</v>
      </c>
    </row>
    <row r="29947" customFormat="false" ht="12.8" hidden="false" customHeight="false" outlineLevel="0" collapsed="false">
      <c r="B29947" s="0" t="s">
        <v>98</v>
      </c>
    </row>
    <row r="29948" customFormat="false" ht="12.8" hidden="false" customHeight="false" outlineLevel="0" collapsed="false">
      <c r="B29948" s="0" t="s">
        <v>2219</v>
      </c>
    </row>
    <row r="29950" customFormat="false" ht="12.8" hidden="false" customHeight="false" outlineLevel="0" collapsed="false">
      <c r="A29950" s="0" t="s">
        <v>11771</v>
      </c>
      <c r="B29950" s="0" t="str">
        <f aca="false">HYPERLINK("https://lindat.mff.cuni.cz/services/teitok/pdtc10/index.php?action=vallex&amp;frame=v-w4111f1", "poučit (v-w4111f1)")</f>
        <v>poučit (v-w4111f1)</v>
      </c>
      <c r="E29950" s="0" t="str">
        <f aca="false">HYPERLINK("https://lindat.mff.cuni.cz/services/SynSemClass40/SynSemClass40.html?veclass=vec00531#vec00531-ces-cm00004", "vec00531")</f>
        <v>vec00531</v>
      </c>
      <c r="F29950" s="0" t="s">
        <v>7870</v>
      </c>
    </row>
    <row r="29951" customFormat="false" ht="12.8" hidden="false" customHeight="false" outlineLevel="0" collapsed="false">
      <c r="B29951" s="0" t="s">
        <v>1</v>
      </c>
      <c r="C29951" s="0" t="s">
        <v>4001</v>
      </c>
      <c r="E29951" s="0" t="s">
        <v>206</v>
      </c>
      <c r="F29951" s="0" t="s">
        <v>7871</v>
      </c>
    </row>
    <row r="29952" customFormat="false" ht="12.8" hidden="false" customHeight="false" outlineLevel="0" collapsed="false">
      <c r="B29952" s="0" t="s">
        <v>98</v>
      </c>
      <c r="C29952" s="0" t="s">
        <v>7876</v>
      </c>
      <c r="E29952" s="0" t="s">
        <v>564</v>
      </c>
      <c r="F29952" s="0" t="s">
        <v>7877</v>
      </c>
    </row>
    <row r="29953" customFormat="false" ht="12.8" hidden="false" customHeight="false" outlineLevel="0" collapsed="false">
      <c r="B29953" s="0" t="s">
        <v>11772</v>
      </c>
      <c r="C29953" s="0" t="s">
        <v>7873</v>
      </c>
      <c r="E29953" s="0" t="s">
        <v>7874</v>
      </c>
      <c r="F29953" s="0" t="s">
        <v>7875</v>
      </c>
    </row>
    <row r="29955" customFormat="false" ht="12.8" hidden="false" customHeight="false" outlineLevel="0" collapsed="false">
      <c r="A29955" s="0" t="s">
        <v>11773</v>
      </c>
      <c r="B29955" s="0" t="str">
        <f aca="false">HYPERLINK("https://lindat.mff.cuni.cz/services/teitok/pdtc10/index.php?action=vallex&amp;frame=v-w4112f1", "poučit se (v-w4112f1)")</f>
        <v>poučit se (v-w4112f1)</v>
      </c>
      <c r="E29955" s="0" t="str">
        <f aca="false">HYPERLINK("https://lindat.mff.cuni.cz/services/SynSemClass40/SynSemClass40.html?veclass=vec00013#vec00013-ces-cm00056", "vec00013")</f>
        <v>vec00013</v>
      </c>
      <c r="F29955" s="0" t="s">
        <v>2742</v>
      </c>
    </row>
    <row r="29956" customFormat="false" ht="12.8" hidden="false" customHeight="false" outlineLevel="0" collapsed="false">
      <c r="B29956" s="0" t="s">
        <v>1</v>
      </c>
      <c r="C29956" s="0" t="s">
        <v>2743</v>
      </c>
      <c r="E29956" s="0" t="s">
        <v>621</v>
      </c>
      <c r="F29956" s="0" t="s">
        <v>2744</v>
      </c>
    </row>
    <row r="29957" customFormat="false" ht="12.8" hidden="false" customHeight="false" outlineLevel="0" collapsed="false">
      <c r="B29957" s="0" t="s">
        <v>11774</v>
      </c>
      <c r="C29957" s="0" t="s">
        <v>2748</v>
      </c>
      <c r="E29957" s="0" t="s">
        <v>218</v>
      </c>
      <c r="F29957" s="0" t="s">
        <v>2749</v>
      </c>
    </row>
    <row r="29958" customFormat="false" ht="12.8" hidden="false" customHeight="false" outlineLevel="0" collapsed="false">
      <c r="B29958" s="0" t="s">
        <v>8050</v>
      </c>
      <c r="C29958" s="0" t="s">
        <v>2750</v>
      </c>
      <c r="E29958" s="0" t="s">
        <v>2176</v>
      </c>
      <c r="F29958" s="0" t="s">
        <v>2751</v>
      </c>
    </row>
    <row r="29960" customFormat="false" ht="12.8" hidden="false" customHeight="false" outlineLevel="0" collapsed="false">
      <c r="A29960" s="0" t="s">
        <v>11775</v>
      </c>
      <c r="B29960" s="0" t="str">
        <f aca="false">HYPERLINK("https://lindat.mff.cuni.cz/services/teitok/pdtc10/index.php?action=vallex&amp;frame=v-w4114f1", "poučovat (v-w4114f1)")</f>
        <v>poučovat (v-w4114f1)</v>
      </c>
      <c r="E29960" s="0" t="str">
        <f aca="false">HYPERLINK("https://lindat.mff.cuni.cz/services/SynSemClass40/SynSemClass40.html?veclass=vec00531#vec00531-ces-cm00010", "vec00531")</f>
        <v>vec00531</v>
      </c>
      <c r="F29960" s="0" t="s">
        <v>7870</v>
      </c>
    </row>
    <row r="29961" customFormat="false" ht="12.8" hidden="false" customHeight="false" outlineLevel="0" collapsed="false">
      <c r="B29961" s="0" t="s">
        <v>1</v>
      </c>
      <c r="C29961" s="0" t="s">
        <v>4001</v>
      </c>
      <c r="E29961" s="0" t="s">
        <v>206</v>
      </c>
      <c r="F29961" s="0" t="s">
        <v>7871</v>
      </c>
    </row>
    <row r="29962" customFormat="false" ht="12.8" hidden="false" customHeight="false" outlineLevel="0" collapsed="false">
      <c r="B29962" s="0" t="s">
        <v>98</v>
      </c>
      <c r="C29962" s="0" t="s">
        <v>7876</v>
      </c>
      <c r="E29962" s="0" t="s">
        <v>564</v>
      </c>
      <c r="F29962" s="0" t="s">
        <v>7877</v>
      </c>
    </row>
    <row r="29963" customFormat="false" ht="12.8" hidden="false" customHeight="false" outlineLevel="0" collapsed="false">
      <c r="B29963" s="0" t="s">
        <v>11772</v>
      </c>
      <c r="C29963" s="0" t="s">
        <v>7873</v>
      </c>
      <c r="E29963" s="0" t="s">
        <v>7874</v>
      </c>
      <c r="F29963" s="0" t="s">
        <v>7875</v>
      </c>
    </row>
    <row r="29965" customFormat="false" ht="12.8" hidden="false" customHeight="false" outlineLevel="0" collapsed="false">
      <c r="A29965" s="0" t="s">
        <v>11776</v>
      </c>
      <c r="B29965" s="0" t="str">
        <f aca="false">HYPERLINK("https://lindat.mff.cuni.cz/services/teitok/pdtc10/index.php?action=vallex&amp;frame=v-w4115f1", "poučovat se (v-w4115f1)")</f>
        <v>poučovat se (v-w4115f1)</v>
      </c>
      <c r="E29965" s="0" t="str">
        <f aca="false">HYPERLINK("https://lindat.mff.cuni.cz/services/SynSemClass40/SynSemClass40.html?veclass=vec00013#vec00013-ces-cm00272", "vec00013")</f>
        <v>vec00013</v>
      </c>
      <c r="F29965" s="0" t="s">
        <v>2742</v>
      </c>
    </row>
    <row r="29966" customFormat="false" ht="12.8" hidden="false" customHeight="false" outlineLevel="0" collapsed="false">
      <c r="B29966" s="0" t="s">
        <v>1</v>
      </c>
      <c r="C29966" s="0" t="s">
        <v>2743</v>
      </c>
      <c r="E29966" s="0" t="s">
        <v>621</v>
      </c>
      <c r="F29966" s="0" t="s">
        <v>2744</v>
      </c>
    </row>
    <row r="29967" customFormat="false" ht="12.8" hidden="false" customHeight="false" outlineLevel="0" collapsed="false">
      <c r="B29967" s="0" t="s">
        <v>3204</v>
      </c>
      <c r="C29967" s="0" t="s">
        <v>2748</v>
      </c>
      <c r="E29967" s="0" t="s">
        <v>218</v>
      </c>
      <c r="F29967" s="0" t="s">
        <v>2749</v>
      </c>
    </row>
    <row r="29968" customFormat="false" ht="12.8" hidden="false" customHeight="false" outlineLevel="0" collapsed="false">
      <c r="B29968" s="0" t="s">
        <v>8050</v>
      </c>
      <c r="C29968" s="0" t="s">
        <v>2750</v>
      </c>
      <c r="E29968" s="0" t="s">
        <v>2176</v>
      </c>
      <c r="F29968" s="0" t="s">
        <v>2751</v>
      </c>
    </row>
    <row r="29970" customFormat="false" ht="12.8" hidden="false" customHeight="false" outlineLevel="0" collapsed="false">
      <c r="A29970" s="0" t="s">
        <v>11777</v>
      </c>
      <c r="B29970" s="0" t="str">
        <f aca="false">HYPERLINK("https://lindat.mff.cuni.cz/services/teitok/pdtc10/index.php?action=vallex&amp;frame=v-w4127f1", "pouštět (v-w4127f1)")</f>
        <v>pouštět (v-w4127f1)</v>
      </c>
    </row>
    <row r="29971" customFormat="false" ht="12.8" hidden="false" customHeight="false" outlineLevel="0" collapsed="false">
      <c r="B29971" s="0" t="s">
        <v>1</v>
      </c>
    </row>
    <row r="29972" customFormat="false" ht="12.8" hidden="false" customHeight="false" outlineLevel="0" collapsed="false">
      <c r="B29972" s="0" t="s">
        <v>8</v>
      </c>
    </row>
    <row r="29973" customFormat="false" ht="12.8" hidden="false" customHeight="false" outlineLevel="0" collapsed="false">
      <c r="B29973" s="0" t="s">
        <v>164</v>
      </c>
    </row>
    <row r="29975" customFormat="false" ht="12.8" hidden="false" customHeight="false" outlineLevel="0" collapsed="false">
      <c r="A29975" s="0" t="s">
        <v>11778</v>
      </c>
      <c r="B29975" s="0" t="str">
        <f aca="false">HYPERLINK("https://lindat.mff.cuni.cz/services/teitok/pdtc10/index.php?action=vallex&amp;frame=v-w4127f2", "pouštět (v-w4127f2)")</f>
        <v>pouštět (v-w4127f2)</v>
      </c>
    </row>
    <row r="29976" customFormat="false" ht="12.8" hidden="false" customHeight="false" outlineLevel="0" collapsed="false">
      <c r="B29976" s="0" t="s">
        <v>1</v>
      </c>
    </row>
    <row r="29977" customFormat="false" ht="12.8" hidden="false" customHeight="false" outlineLevel="0" collapsed="false">
      <c r="B29977" s="0" t="s">
        <v>8</v>
      </c>
    </row>
    <row r="29978" customFormat="false" ht="12.8" hidden="false" customHeight="false" outlineLevel="0" collapsed="false">
      <c r="B29978" s="0" t="s">
        <v>164</v>
      </c>
    </row>
    <row r="29980" customFormat="false" ht="12.8" hidden="false" customHeight="false" outlineLevel="0" collapsed="false">
      <c r="A29980" s="0" t="s">
        <v>11779</v>
      </c>
      <c r="B29980" s="0" t="str">
        <f aca="false">HYPERLINK("https://lindat.mff.cuni.cz/services/teitok/pdtc10/index.php?action=vallex&amp;frame=v-w4127f4", "pouštět (v-w4127f4)")</f>
        <v>pouštět (v-w4127f4)</v>
      </c>
    </row>
    <row r="29981" customFormat="false" ht="12.8" hidden="false" customHeight="false" outlineLevel="0" collapsed="false">
      <c r="B29981" s="0" t="s">
        <v>1</v>
      </c>
    </row>
    <row r="29982" customFormat="false" ht="12.8" hidden="false" customHeight="false" outlineLevel="0" collapsed="false">
      <c r="B29982" s="0" t="s">
        <v>8</v>
      </c>
    </row>
    <row r="29983" customFormat="false" ht="12.8" hidden="false" customHeight="false" outlineLevel="0" collapsed="false">
      <c r="B29983" s="0" t="s">
        <v>164</v>
      </c>
    </row>
    <row r="29985" customFormat="false" ht="12.8" hidden="false" customHeight="false" outlineLevel="0" collapsed="false">
      <c r="A29985" s="0" t="s">
        <v>11780</v>
      </c>
      <c r="B29985" s="0" t="str">
        <f aca="false">HYPERLINK("https://lindat.mff.cuni.cz/services/teitok/pdtc10/index.php?action=vallex&amp;frame=v-w4127f3", "pouštět (v-w4127f3)")</f>
        <v>pouštět (v-w4127f3)</v>
      </c>
    </row>
    <row r="29986" customFormat="false" ht="12.8" hidden="false" customHeight="false" outlineLevel="0" collapsed="false">
      <c r="B29986" s="0" t="s">
        <v>1</v>
      </c>
    </row>
    <row r="29987" customFormat="false" ht="12.8" hidden="false" customHeight="false" outlineLevel="0" collapsed="false">
      <c r="B29987" s="0" t="s">
        <v>8</v>
      </c>
    </row>
    <row r="29989" customFormat="false" ht="12.8" hidden="false" customHeight="false" outlineLevel="0" collapsed="false">
      <c r="A29989" s="0" t="s">
        <v>11781</v>
      </c>
      <c r="B29989" s="0" t="str">
        <f aca="false">HYPERLINK("https://lindat.mff.cuni.cz/services/teitok/pdtc10/index.php?action=vallex&amp;frame=v-w4127f7_ZU", "pouštět (v-w4127f7_ZU)")</f>
        <v>pouštět (v-w4127f7_ZU)</v>
      </c>
    </row>
    <row r="29990" customFormat="false" ht="12.8" hidden="false" customHeight="false" outlineLevel="0" collapsed="false">
      <c r="B29990" s="0" t="s">
        <v>1</v>
      </c>
    </row>
    <row r="29991" customFormat="false" ht="12.8" hidden="false" customHeight="false" outlineLevel="0" collapsed="false">
      <c r="B29991" s="0" t="s">
        <v>8</v>
      </c>
    </row>
    <row r="29993" customFormat="false" ht="12.8" hidden="false" customHeight="false" outlineLevel="0" collapsed="false">
      <c r="A29993" s="0" t="s">
        <v>11781</v>
      </c>
      <c r="B29993" s="0" t="str">
        <f aca="false">HYPERLINK("https://lindat.mff.cuni.cz/services/teitok/pdtc10/index.php?action=vallex&amp;frame=v-w4127f5_ZU", "pouštět (v-w4127f5_ZU) - substituted with v-w4127f7_ZU")</f>
        <v>pouštět (v-w4127f5_ZU) - substituted with v-w4127f7_ZU</v>
      </c>
    </row>
    <row r="29994" customFormat="false" ht="12.8" hidden="false" customHeight="false" outlineLevel="0" collapsed="false">
      <c r="B29994" s="0" t="s">
        <v>1</v>
      </c>
    </row>
    <row r="29995" customFormat="false" ht="12.8" hidden="false" customHeight="false" outlineLevel="0" collapsed="false">
      <c r="B29995" s="0" t="s">
        <v>8</v>
      </c>
    </row>
    <row r="29997" customFormat="false" ht="12.8" hidden="false" customHeight="false" outlineLevel="0" collapsed="false">
      <c r="A29997" s="0" t="s">
        <v>11781</v>
      </c>
      <c r="B29997" s="0" t="str">
        <f aca="false">HYPERLINK("https://lindat.mff.cuni.cz/services/teitok/pdtc10/index.php?action=vallex&amp;frame=v-w4127f6_ZU", "pouštět (v-w4127f6_ZU) - substituted with v-w4127f7_ZU")</f>
        <v>pouštět (v-w4127f6_ZU) - substituted with v-w4127f7_ZU</v>
      </c>
    </row>
    <row r="29998" customFormat="false" ht="12.8" hidden="false" customHeight="false" outlineLevel="0" collapsed="false">
      <c r="B29998" s="0" t="s">
        <v>1</v>
      </c>
    </row>
    <row r="29999" customFormat="false" ht="12.8" hidden="false" customHeight="false" outlineLevel="0" collapsed="false">
      <c r="B29999" s="0" t="s">
        <v>8</v>
      </c>
    </row>
    <row r="30001" customFormat="false" ht="12.8" hidden="false" customHeight="false" outlineLevel="0" collapsed="false">
      <c r="A30001" s="0" t="s">
        <v>11782</v>
      </c>
      <c r="B30001" s="0" t="str">
        <f aca="false">HYPERLINK("https://lindat.mff.cuni.cz/services/teitok/pdtc10/index.php?action=vallex&amp;frame=v-w4127f8_ZU", "pouštět (v-w4127f8_ZU)")</f>
        <v>pouštět (v-w4127f8_ZU)</v>
      </c>
    </row>
    <row r="30002" customFormat="false" ht="12.8" hidden="false" customHeight="false" outlineLevel="0" collapsed="false">
      <c r="B30002" s="0" t="s">
        <v>1</v>
      </c>
    </row>
    <row r="30003" customFormat="false" ht="12.8" hidden="false" customHeight="false" outlineLevel="0" collapsed="false">
      <c r="B30003" s="0" t="s">
        <v>8</v>
      </c>
    </row>
    <row r="30005" customFormat="false" ht="12.8" hidden="false" customHeight="false" outlineLevel="0" collapsed="false">
      <c r="A30005" s="0" t="s">
        <v>11782</v>
      </c>
      <c r="B30005" s="0" t="str">
        <f aca="false">HYPERLINK("https://lindat.mff.cuni.cz/services/teitok/pdtc10/index.php?action=vallex&amp;frame=v-w4127hsa_1391", "pouštět (v-w4127hsa_1391) - substituted with v-w4127f8_ZU")</f>
        <v>pouštět (v-w4127hsa_1391) - substituted with v-w4127f8_ZU</v>
      </c>
    </row>
    <row r="30006" customFormat="false" ht="12.8" hidden="false" customHeight="false" outlineLevel="0" collapsed="false">
      <c r="B30006" s="0" t="s">
        <v>1</v>
      </c>
    </row>
    <row r="30007" customFormat="false" ht="12.8" hidden="false" customHeight="false" outlineLevel="0" collapsed="false">
      <c r="B30007" s="0" t="s">
        <v>8</v>
      </c>
    </row>
    <row r="30009" customFormat="false" ht="12.8" hidden="false" customHeight="false" outlineLevel="0" collapsed="false">
      <c r="A30009" s="0" t="s">
        <v>11783</v>
      </c>
      <c r="B30009" s="0" t="str">
        <f aca="false">HYPERLINK("https://lindat.mff.cuni.cz/services/teitok/pdtc10/index.php?action=vallex&amp;frame=v-w4127hsa_1392", "pouštět (v-w4127hsa_1392)")</f>
        <v>pouštět (v-w4127hsa_1392)</v>
      </c>
    </row>
    <row r="30010" customFormat="false" ht="12.8" hidden="false" customHeight="false" outlineLevel="0" collapsed="false">
      <c r="B30010" s="0" t="s">
        <v>1</v>
      </c>
    </row>
    <row r="30011" customFormat="false" ht="12.8" hidden="false" customHeight="false" outlineLevel="0" collapsed="false">
      <c r="B30011" s="0" t="s">
        <v>8</v>
      </c>
    </row>
    <row r="30013" customFormat="false" ht="12.8" hidden="false" customHeight="false" outlineLevel="0" collapsed="false">
      <c r="A30013" s="0" t="s">
        <v>11784</v>
      </c>
      <c r="B30013" s="0" t="str">
        <f aca="false">HYPERLINK("https://lindat.mff.cuni.cz/services/teitok/pdtc10/index.php?action=vallex&amp;frame=v-w4127hsa_1393", "pouštět (v-w4127hsa_1393)")</f>
        <v>pouštět (v-w4127hsa_1393)</v>
      </c>
    </row>
    <row r="30014" customFormat="false" ht="12.8" hidden="false" customHeight="false" outlineLevel="0" collapsed="false">
      <c r="B30014" s="0" t="s">
        <v>1</v>
      </c>
    </row>
    <row r="30015" customFormat="false" ht="12.8" hidden="false" customHeight="false" outlineLevel="0" collapsed="false">
      <c r="B30015" s="0" t="s">
        <v>8</v>
      </c>
    </row>
    <row r="30017" customFormat="false" ht="12.8" hidden="false" customHeight="false" outlineLevel="0" collapsed="false">
      <c r="A30017" s="0" t="s">
        <v>11785</v>
      </c>
      <c r="B30017" s="0" t="str">
        <f aca="false">HYPERLINK("https://lindat.mff.cuni.cz/services/teitok/pdtc10/index.php?action=vallex&amp;frame=v-w4128f2", "pouštět se (v-w4128f2)")</f>
        <v>pouštět se (v-w4128f2)</v>
      </c>
    </row>
    <row r="30018" customFormat="false" ht="12.8" hidden="false" customHeight="false" outlineLevel="0" collapsed="false">
      <c r="B30018" s="0" t="s">
        <v>1</v>
      </c>
    </row>
    <row r="30019" customFormat="false" ht="12.8" hidden="false" customHeight="false" outlineLevel="0" collapsed="false">
      <c r="B30019" s="0" t="s">
        <v>1187</v>
      </c>
    </row>
    <row r="30021" customFormat="false" ht="12.8" hidden="false" customHeight="false" outlineLevel="0" collapsed="false">
      <c r="A30021" s="0" t="s">
        <v>11786</v>
      </c>
      <c r="B30021" s="0" t="str">
        <f aca="false">HYPERLINK("https://lindat.mff.cuni.cz/services/teitok/pdtc10/index.php?action=vallex&amp;frame=v-w4128f3", "pouštět se (v-w4128f3)")</f>
        <v>pouštět se (v-w4128f3)</v>
      </c>
    </row>
    <row r="30022" customFormat="false" ht="12.8" hidden="false" customHeight="false" outlineLevel="0" collapsed="false">
      <c r="B30022" s="0" t="s">
        <v>1</v>
      </c>
    </row>
    <row r="30023" customFormat="false" ht="12.8" hidden="false" customHeight="false" outlineLevel="0" collapsed="false">
      <c r="B30023" s="0" t="s">
        <v>164</v>
      </c>
    </row>
    <row r="30025" customFormat="false" ht="12.8" hidden="false" customHeight="false" outlineLevel="0" collapsed="false">
      <c r="A30025" s="0" t="s">
        <v>11787</v>
      </c>
      <c r="B30025" s="0" t="str">
        <f aca="false">HYPERLINK("https://lindat.mff.cuni.cz/services/teitok/pdtc10/index.php?action=vallex&amp;frame=v-w4128f4_ZU", "pouštět se (v-w4128f4_ZU)")</f>
        <v>pouštět se (v-w4128f4_ZU)</v>
      </c>
    </row>
    <row r="30026" customFormat="false" ht="12.8" hidden="false" customHeight="false" outlineLevel="0" collapsed="false">
      <c r="B30026" s="0" t="s">
        <v>1</v>
      </c>
    </row>
    <row r="30027" customFormat="false" ht="12.8" hidden="false" customHeight="false" outlineLevel="0" collapsed="false">
      <c r="B30027" s="0" t="s">
        <v>11788</v>
      </c>
    </row>
    <row r="30029" customFormat="false" ht="12.8" hidden="false" customHeight="false" outlineLevel="0" collapsed="false">
      <c r="A30029" s="0" t="s">
        <v>11787</v>
      </c>
      <c r="B30029" s="0" t="str">
        <f aca="false">HYPERLINK("https://lindat.mff.cuni.cz/services/teitok/pdtc10/index.php?action=vallex&amp;frame=v-w4128f1", "pouštět se (v-w4128f1) - substituted with v-w4128f4_ZU")</f>
        <v>pouštět se (v-w4128f1) - substituted with v-w4128f4_ZU</v>
      </c>
    </row>
    <row r="30030" customFormat="false" ht="12.8" hidden="false" customHeight="false" outlineLevel="0" collapsed="false">
      <c r="B30030" s="0" t="s">
        <v>1</v>
      </c>
    </row>
    <row r="30031" customFormat="false" ht="12.8" hidden="false" customHeight="false" outlineLevel="0" collapsed="false">
      <c r="B30031" s="0" t="s">
        <v>11788</v>
      </c>
    </row>
    <row r="30033" customFormat="false" ht="12.8" hidden="false" customHeight="false" outlineLevel="0" collapsed="false">
      <c r="A30033" s="0" t="s">
        <v>11787</v>
      </c>
      <c r="B30033" s="0" t="str">
        <f aca="false">HYPERLINK("https://lindat.mff.cuni.cz/services/teitok/pdtc10/index.php?action=vallex&amp;frame=v-w4128hsa_675", "pouštět se (v-w4128hsa_675) - substituted with v-w4128f4_ZU")</f>
        <v>pouštět se (v-w4128hsa_675) - substituted with v-w4128f4_ZU</v>
      </c>
    </row>
    <row r="30034" customFormat="false" ht="12.8" hidden="false" customHeight="false" outlineLevel="0" collapsed="false">
      <c r="B30034" s="0" t="s">
        <v>1</v>
      </c>
    </row>
    <row r="30035" customFormat="false" ht="12.8" hidden="false" customHeight="false" outlineLevel="0" collapsed="false">
      <c r="B30035" s="0" t="s">
        <v>11788</v>
      </c>
    </row>
    <row r="30037" customFormat="false" ht="12.8" hidden="false" customHeight="false" outlineLevel="0" collapsed="false">
      <c r="A30037" s="0" t="s">
        <v>11789</v>
      </c>
      <c r="B30037" s="0" t="str">
        <f aca="false">HYPERLINK("https://lindat.mff.cuni.cz/services/teitok/pdtc10/index.php?action=vallex&amp;frame=v-w4128f5_ZU", "pouštět se (v-w4128f5_ZU)")</f>
        <v>pouštět se (v-w4128f5_ZU)</v>
      </c>
    </row>
    <row r="30038" customFormat="false" ht="12.8" hidden="false" customHeight="false" outlineLevel="0" collapsed="false">
      <c r="B30038" s="0" t="s">
        <v>1</v>
      </c>
    </row>
    <row r="30039" customFormat="false" ht="12.8" hidden="false" customHeight="false" outlineLevel="0" collapsed="false">
      <c r="B30039" s="0" t="s">
        <v>1187</v>
      </c>
    </row>
    <row r="30041" customFormat="false" ht="12.8" hidden="false" customHeight="false" outlineLevel="0" collapsed="false">
      <c r="A30041" s="0" t="s">
        <v>11789</v>
      </c>
      <c r="B30041" s="0" t="str">
        <f aca="false">HYPERLINK("https://lindat.mff.cuni.cz/services/teitok/pdtc10/index.php?action=vallex&amp;frame=v-w4128hsa_674", "pouštět se (v-w4128hsa_674) - substituted with v-w4128f5_ZU")</f>
        <v>pouštět se (v-w4128hsa_674) - substituted with v-w4128f5_ZU</v>
      </c>
    </row>
    <row r="30042" customFormat="false" ht="12.8" hidden="false" customHeight="false" outlineLevel="0" collapsed="false">
      <c r="B30042" s="0" t="s">
        <v>1</v>
      </c>
    </row>
    <row r="30043" customFormat="false" ht="12.8" hidden="false" customHeight="false" outlineLevel="0" collapsed="false">
      <c r="B30043" s="0" t="s">
        <v>1187</v>
      </c>
    </row>
    <row r="30045" customFormat="false" ht="12.8" hidden="false" customHeight="false" outlineLevel="0" collapsed="false">
      <c r="A30045" s="0" t="s">
        <v>11790</v>
      </c>
      <c r="B30045" s="0" t="str">
        <f aca="false">HYPERLINK("https://lindat.mff.cuni.cz/services/teitok/pdtc10/index.php?action=vallex&amp;frame=v-w4128hsa_1649", "pouštět se (v-w4128hsa_1649)")</f>
        <v>pouštět se (v-w4128hsa_1649)</v>
      </c>
    </row>
    <row r="30046" customFormat="false" ht="12.8" hidden="false" customHeight="false" outlineLevel="0" collapsed="false">
      <c r="B30046" s="0" t="s">
        <v>1</v>
      </c>
    </row>
    <row r="30047" customFormat="false" ht="12.8" hidden="false" customHeight="false" outlineLevel="0" collapsed="false">
      <c r="B30047" s="0" t="s">
        <v>1187</v>
      </c>
    </row>
    <row r="30049" customFormat="false" ht="12.8" hidden="false" customHeight="false" outlineLevel="0" collapsed="false">
      <c r="A30049" s="0" t="s">
        <v>11791</v>
      </c>
      <c r="B30049" s="0" t="str">
        <f aca="false">HYPERLINK("https://lindat.mff.cuni.cz/services/teitok/pdtc10/index.php?action=vallex&amp;frame=v-w4130f2", "použít (v-w4130f2)")</f>
        <v>použít (v-w4130f2)</v>
      </c>
      <c r="E30049" s="0" t="str">
        <f aca="false">HYPERLINK("https://lindat.mff.cuni.cz/services/SynSemClass40/SynSemClass40.html?veclass=vec00079#vec00079-ces-cm00001", "vec00079")</f>
        <v>vec00079</v>
      </c>
      <c r="F30049" s="0" t="s">
        <v>166</v>
      </c>
    </row>
    <row r="30050" customFormat="false" ht="12.8" hidden="false" customHeight="false" outlineLevel="0" collapsed="false">
      <c r="B30050" s="0" t="s">
        <v>1</v>
      </c>
      <c r="C30050" s="0" t="s">
        <v>167</v>
      </c>
      <c r="E30050" s="0" t="s">
        <v>11</v>
      </c>
      <c r="F30050" s="0" t="s">
        <v>168</v>
      </c>
    </row>
    <row r="30051" customFormat="false" ht="12.8" hidden="false" customHeight="false" outlineLevel="0" collapsed="false">
      <c r="B30051" s="0" t="s">
        <v>1356</v>
      </c>
      <c r="C30051" s="0" t="s">
        <v>169</v>
      </c>
      <c r="E30051" s="0" t="s">
        <v>170</v>
      </c>
      <c r="F30051" s="0" t="s">
        <v>171</v>
      </c>
    </row>
    <row r="30053" customFormat="false" ht="12.8" hidden="false" customHeight="false" outlineLevel="0" collapsed="false">
      <c r="A30053" s="0" t="s">
        <v>11791</v>
      </c>
      <c r="B30053" s="0" t="str">
        <f aca="false">HYPERLINK("https://lindat.mff.cuni.cz/services/teitok/pdtc10/index.php?action=vallex&amp;frame=v-w4130f1", "použít (v-w4130f1) - substituted with v-w4130f2")</f>
        <v>použít (v-w4130f1) - substituted with v-w4130f2</v>
      </c>
    </row>
    <row r="30054" customFormat="false" ht="12.8" hidden="false" customHeight="false" outlineLevel="0" collapsed="false">
      <c r="B30054" s="0" t="s">
        <v>1</v>
      </c>
    </row>
    <row r="30055" customFormat="false" ht="12.8" hidden="false" customHeight="false" outlineLevel="0" collapsed="false">
      <c r="B30055" s="0" t="s">
        <v>1356</v>
      </c>
    </row>
    <row r="30057" customFormat="false" ht="12.8" hidden="false" customHeight="false" outlineLevel="0" collapsed="false">
      <c r="A30057" s="0" t="s">
        <v>11792</v>
      </c>
      <c r="B30057" s="0" t="str">
        <f aca="false">HYPERLINK("https://lindat.mff.cuni.cz/services/teitok/pdtc10/index.php?action=vallex&amp;frame=v-w4130f3_ZU", "použít (v-w4130f3_ZU)")</f>
        <v>použít (v-w4130f3_ZU)</v>
      </c>
    </row>
    <row r="30058" customFormat="false" ht="12.8" hidden="false" customHeight="false" outlineLevel="0" collapsed="false">
      <c r="B30058" s="0" t="s">
        <v>1</v>
      </c>
    </row>
    <row r="30059" customFormat="false" ht="12.8" hidden="false" customHeight="false" outlineLevel="0" collapsed="false">
      <c r="B30059" s="0" t="s">
        <v>8</v>
      </c>
    </row>
    <row r="30060" customFormat="false" ht="12.8" hidden="false" customHeight="false" outlineLevel="0" collapsed="false">
      <c r="B30060" s="0" t="s">
        <v>11793</v>
      </c>
    </row>
    <row r="30062" customFormat="false" ht="12.8" hidden="false" customHeight="false" outlineLevel="0" collapsed="false">
      <c r="A30062" s="0" t="s">
        <v>11792</v>
      </c>
      <c r="B30062" s="0" t="str">
        <f aca="false">HYPERLINK("https://lindat.mff.cuni.cz/services/teitok/pdtc10/index.php?action=vallex&amp;frame=v-w4130hsa_554", "použít (v-w4130hsa_554) - substituted with v-w4130f3_ZU")</f>
        <v>použít (v-w4130hsa_554) - substituted with v-w4130f3_ZU</v>
      </c>
    </row>
    <row r="30063" customFormat="false" ht="12.8" hidden="false" customHeight="false" outlineLevel="0" collapsed="false">
      <c r="B30063" s="0" t="s">
        <v>1</v>
      </c>
    </row>
    <row r="30064" customFormat="false" ht="12.8" hidden="false" customHeight="false" outlineLevel="0" collapsed="false">
      <c r="B30064" s="0" t="s">
        <v>8</v>
      </c>
    </row>
    <row r="30065" customFormat="false" ht="12.8" hidden="false" customHeight="false" outlineLevel="0" collapsed="false">
      <c r="B30065" s="0" t="s">
        <v>11793</v>
      </c>
    </row>
    <row r="30067" customFormat="false" ht="12.8" hidden="false" customHeight="false" outlineLevel="0" collapsed="false">
      <c r="A30067" s="0" t="s">
        <v>11794</v>
      </c>
      <c r="B30067" s="0" t="str">
        <f aca="false">HYPERLINK("https://lindat.mff.cuni.cz/services/teitok/pdtc10/index.php?action=vallex&amp;frame=v-w4135f1", "používat (v-w4135f1)")</f>
        <v>používat (v-w4135f1)</v>
      </c>
      <c r="E30067" s="0" t="str">
        <f aca="false">HYPERLINK("https://lindat.mff.cuni.cz/services/SynSemClass40/SynSemClass40.html?veclass=vec00079#vec00079-ces-cm00011", "vec00079")</f>
        <v>vec00079</v>
      </c>
      <c r="F30067" s="0" t="s">
        <v>166</v>
      </c>
      <c r="H30067" s="0" t="str">
        <f aca="false">HYPERLINK("https://lindat.mff.cuni.cz/services/SynSemClass40/SynSemClass40.html?veclass=vec00591#vec00591-ces-cm00008", "vec00591")</f>
        <v>vec00591</v>
      </c>
      <c r="I30067" s="0" t="s">
        <v>7158</v>
      </c>
    </row>
    <row r="30068" customFormat="false" ht="12.8" hidden="false" customHeight="false" outlineLevel="0" collapsed="false">
      <c r="B30068" s="0" t="s">
        <v>1</v>
      </c>
      <c r="C30068" s="0" t="s">
        <v>167</v>
      </c>
      <c r="E30068" s="0" t="s">
        <v>11</v>
      </c>
      <c r="F30068" s="0" t="s">
        <v>168</v>
      </c>
      <c r="H30068" s="0" t="s">
        <v>2005</v>
      </c>
      <c r="I30068" s="0" t="s">
        <v>7159</v>
      </c>
    </row>
    <row r="30069" customFormat="false" ht="12.8" hidden="false" customHeight="false" outlineLevel="0" collapsed="false">
      <c r="B30069" s="0" t="s">
        <v>1356</v>
      </c>
      <c r="C30069" s="0" t="s">
        <v>169</v>
      </c>
      <c r="E30069" s="0" t="s">
        <v>170</v>
      </c>
      <c r="F30069" s="0" t="s">
        <v>171</v>
      </c>
      <c r="H30069" s="0" t="s">
        <v>2007</v>
      </c>
      <c r="I30069" s="0" t="s">
        <v>7160</v>
      </c>
    </row>
    <row r="30071" customFormat="false" ht="12.8" hidden="false" customHeight="false" outlineLevel="0" collapsed="false">
      <c r="A30071" s="0" t="s">
        <v>11795</v>
      </c>
      <c r="B30071" s="0" t="str">
        <f aca="false">HYPERLINK("https://lindat.mff.cuni.cz/services/teitok/pdtc10/index.php?action=vallex&amp;frame=v-w4136f1", "povalit (v-w4136f1)")</f>
        <v>povalit (v-w4136f1)</v>
      </c>
    </row>
    <row r="30072" customFormat="false" ht="12.8" hidden="false" customHeight="false" outlineLevel="0" collapsed="false">
      <c r="B30072" s="0" t="s">
        <v>1</v>
      </c>
    </row>
    <row r="30073" customFormat="false" ht="12.8" hidden="false" customHeight="false" outlineLevel="0" collapsed="false">
      <c r="B30073" s="0" t="s">
        <v>8</v>
      </c>
    </row>
    <row r="30075" customFormat="false" ht="12.8" hidden="false" customHeight="false" outlineLevel="0" collapsed="false">
      <c r="A30075" s="0" t="s">
        <v>11796</v>
      </c>
      <c r="B30075" s="0" t="str">
        <f aca="false">HYPERLINK("https://lindat.mff.cuni.cz/services/teitok/pdtc10/index.php?action=vallex&amp;frame=v-w4137f1", "povařit (v-w4137f1)")</f>
        <v>povařit (v-w4137f1)</v>
      </c>
    </row>
    <row r="30076" customFormat="false" ht="12.8" hidden="false" customHeight="false" outlineLevel="0" collapsed="false">
      <c r="B30076" s="0" t="s">
        <v>1</v>
      </c>
    </row>
    <row r="30077" customFormat="false" ht="12.8" hidden="false" customHeight="false" outlineLevel="0" collapsed="false">
      <c r="B30077" s="0" t="s">
        <v>8</v>
      </c>
    </row>
    <row r="30079" customFormat="false" ht="12.8" hidden="false" customHeight="false" outlineLevel="0" collapsed="false">
      <c r="A30079" s="0" t="s">
        <v>11797</v>
      </c>
      <c r="B30079" s="0" t="str">
        <f aca="false">HYPERLINK("https://lindat.mff.cuni.cz/services/teitok/pdtc10/index.php?action=vallex&amp;frame=v-w4140f1", "považovat (v-w4140f1)")</f>
        <v>považovat (v-w4140f1)</v>
      </c>
      <c r="E30079" s="0" t="str">
        <f aca="false">HYPERLINK("https://lindat.mff.cuni.cz/services/SynSemClass40/SynSemClass40.html?veclass=vec00402#vec00402-ces-cm00012", "vec00402")</f>
        <v>vec00402</v>
      </c>
      <c r="F30079" s="0" t="s">
        <v>619</v>
      </c>
    </row>
    <row r="30080" customFormat="false" ht="12.8" hidden="false" customHeight="false" outlineLevel="0" collapsed="false">
      <c r="B30080" s="0" t="s">
        <v>1</v>
      </c>
      <c r="C30080" s="0" t="s">
        <v>620</v>
      </c>
      <c r="E30080" s="0" t="s">
        <v>621</v>
      </c>
      <c r="F30080" s="0" t="s">
        <v>622</v>
      </c>
    </row>
    <row r="30081" customFormat="false" ht="12.8" hidden="false" customHeight="false" outlineLevel="0" collapsed="false">
      <c r="B30081" s="0" t="s">
        <v>11798</v>
      </c>
      <c r="C30081" s="0" t="s">
        <v>623</v>
      </c>
      <c r="E30081" s="0" t="s">
        <v>180</v>
      </c>
      <c r="F30081" s="0" t="s">
        <v>624</v>
      </c>
    </row>
    <row r="30082" customFormat="false" ht="12.8" hidden="false" customHeight="false" outlineLevel="0" collapsed="false">
      <c r="B30082" s="0" t="s">
        <v>11799</v>
      </c>
      <c r="C30082" s="0" t="s">
        <v>625</v>
      </c>
      <c r="E30082" s="0" t="s">
        <v>626</v>
      </c>
      <c r="F30082" s="0" t="s">
        <v>627</v>
      </c>
    </row>
    <row r="30084" customFormat="false" ht="12.8" hidden="false" customHeight="false" outlineLevel="0" collapsed="false">
      <c r="A30084" s="0" t="s">
        <v>11800</v>
      </c>
      <c r="B30084" s="0" t="str">
        <f aca="false">HYPERLINK("https://lindat.mff.cuni.cz/services/teitok/pdtc10/index.php?action=vallex&amp;frame=v-w4141f1", "považovat se (v-w4141f1)")</f>
        <v>považovat se (v-w4141f1)</v>
      </c>
    </row>
    <row r="30085" customFormat="false" ht="12.8" hidden="false" customHeight="false" outlineLevel="0" collapsed="false">
      <c r="B30085" s="0" t="s">
        <v>1</v>
      </c>
    </row>
    <row r="30086" customFormat="false" ht="12.8" hidden="false" customHeight="false" outlineLevel="0" collapsed="false">
      <c r="B30086" s="0" t="s">
        <v>1766</v>
      </c>
    </row>
    <row r="30088" customFormat="false" ht="12.8" hidden="false" customHeight="false" outlineLevel="0" collapsed="false">
      <c r="A30088" s="0" t="s">
        <v>11801</v>
      </c>
      <c r="B30088" s="0" t="str">
        <f aca="false">HYPERLINK("https://lindat.mff.cuni.cz/services/teitok/pdtc10/index.php?action=vallex&amp;frame=v-w4142f1", "považovat si (v-w4142f1)")</f>
        <v>považovat si (v-w4142f1)</v>
      </c>
    </row>
    <row r="30089" customFormat="false" ht="12.8" hidden="false" customHeight="false" outlineLevel="0" collapsed="false">
      <c r="B30089" s="0" t="s">
        <v>1</v>
      </c>
    </row>
    <row r="30090" customFormat="false" ht="12.8" hidden="false" customHeight="false" outlineLevel="0" collapsed="false">
      <c r="B30090" s="0" t="s">
        <v>3106</v>
      </c>
    </row>
    <row r="30092" customFormat="false" ht="12.8" hidden="false" customHeight="false" outlineLevel="0" collapsed="false">
      <c r="A30092" s="0" t="s">
        <v>11802</v>
      </c>
      <c r="B30092" s="0" t="str">
        <f aca="false">HYPERLINK("https://lindat.mff.cuni.cz/services/teitok/pdtc10/index.php?action=vallex&amp;frame=v-whsa_1552hsa_1553", "povdávat se (v-whsa_1552hsa_1553)")</f>
        <v>povdávat se (v-whsa_1552hsa_1553)</v>
      </c>
    </row>
    <row r="30093" customFormat="false" ht="12.8" hidden="false" customHeight="false" outlineLevel="0" collapsed="false">
      <c r="B30093" s="0" t="s">
        <v>1</v>
      </c>
    </row>
    <row r="30094" customFormat="false" ht="12.8" hidden="false" customHeight="false" outlineLevel="0" collapsed="false">
      <c r="B30094" s="0" t="s">
        <v>2069</v>
      </c>
    </row>
    <row r="30096" customFormat="false" ht="12.8" hidden="false" customHeight="false" outlineLevel="0" collapsed="false">
      <c r="A30096" s="0" t="s">
        <v>11803</v>
      </c>
      <c r="B30096" s="0" t="str">
        <f aca="false">HYPERLINK("https://lindat.mff.cuni.cz/services/teitok/pdtc10/index.php?action=vallex&amp;frame=v-w11552_ZUf1_ZU", "povinovat (v-w11552_ZUf1_ZU)")</f>
        <v>povinovat (v-w11552_ZUf1_ZU)</v>
      </c>
    </row>
    <row r="30097" customFormat="false" ht="12.8" hidden="false" customHeight="false" outlineLevel="0" collapsed="false">
      <c r="B30097" s="0" t="s">
        <v>1</v>
      </c>
    </row>
    <row r="30098" customFormat="false" ht="12.8" hidden="false" customHeight="false" outlineLevel="0" collapsed="false">
      <c r="B30098" s="0" t="s">
        <v>9870</v>
      </c>
    </row>
    <row r="30099" customFormat="false" ht="12.8" hidden="false" customHeight="false" outlineLevel="0" collapsed="false">
      <c r="B30099" s="0" t="s">
        <v>98</v>
      </c>
    </row>
    <row r="30101" customFormat="false" ht="12.8" hidden="false" customHeight="false" outlineLevel="0" collapsed="false">
      <c r="A30101" s="0" t="s">
        <v>11804</v>
      </c>
      <c r="B30101" s="0" t="str">
        <f aca="false">HYPERLINK("https://lindat.mff.cuni.cz/services/teitok/pdtc10/index.php?action=vallex&amp;frame=v-w4163f1", "povolat (v-w4163f1)")</f>
        <v>povolat (v-w4163f1)</v>
      </c>
      <c r="E30101" s="0" t="str">
        <f aca="false">HYPERLINK("https://lindat.mff.cuni.cz/services/SynSemClass40/SynSemClass40.html?veclass=vec00485#vec00485-ces-cm00001", "vec00485")</f>
        <v>vec00485</v>
      </c>
      <c r="F30101" s="0" t="s">
        <v>6309</v>
      </c>
    </row>
    <row r="30102" customFormat="false" ht="12.8" hidden="false" customHeight="false" outlineLevel="0" collapsed="false">
      <c r="B30102" s="0" t="s">
        <v>1</v>
      </c>
      <c r="C30102" s="0" t="s">
        <v>6310</v>
      </c>
      <c r="E30102" s="0" t="s">
        <v>206</v>
      </c>
      <c r="F30102" s="0" t="s">
        <v>6311</v>
      </c>
    </row>
    <row r="30103" customFormat="false" ht="12.8" hidden="false" customHeight="false" outlineLevel="0" collapsed="false">
      <c r="B30103" s="0" t="s">
        <v>8</v>
      </c>
      <c r="C30103" s="0" t="s">
        <v>6312</v>
      </c>
      <c r="E30103" s="0" t="s">
        <v>3832</v>
      </c>
      <c r="F30103" s="0" t="s">
        <v>6313</v>
      </c>
    </row>
    <row r="30105" customFormat="false" ht="12.8" hidden="false" customHeight="false" outlineLevel="0" collapsed="false">
      <c r="A30105" s="0" t="s">
        <v>11805</v>
      </c>
      <c r="B30105" s="0" t="str">
        <f aca="false">HYPERLINK("https://lindat.mff.cuni.cz/services/teitok/pdtc10/index.php?action=vallex&amp;frame=v-w4167f1", "povolit (v-w4167f1)")</f>
        <v>povolit (v-w4167f1)</v>
      </c>
      <c r="E30105" s="0" t="str">
        <f aca="false">HYPERLINK("https://lindat.mff.cuni.cz/services/SynSemClass40/SynSemClass40.html?veclass=vec00012#vec00012-ces-cm00027", "vec00012")</f>
        <v>vec00012</v>
      </c>
      <c r="F30105" s="0" t="s">
        <v>3078</v>
      </c>
    </row>
    <row r="30106" customFormat="false" ht="12.8" hidden="false" customHeight="false" outlineLevel="0" collapsed="false">
      <c r="B30106" s="0" t="s">
        <v>1</v>
      </c>
      <c r="C30106" s="0" t="s">
        <v>3079</v>
      </c>
      <c r="E30106" s="0" t="s">
        <v>206</v>
      </c>
      <c r="F30106" s="0" t="s">
        <v>3080</v>
      </c>
    </row>
    <row r="30107" customFormat="false" ht="12.8" hidden="false" customHeight="false" outlineLevel="0" collapsed="false">
      <c r="B30107" s="0" t="s">
        <v>11806</v>
      </c>
      <c r="C30107" s="0" t="s">
        <v>3082</v>
      </c>
      <c r="E30107" s="0" t="s">
        <v>3083</v>
      </c>
      <c r="F30107" s="0" t="s">
        <v>3084</v>
      </c>
    </row>
    <row r="30108" customFormat="false" ht="12.8" hidden="false" customHeight="false" outlineLevel="0" collapsed="false">
      <c r="B30108" s="0" t="s">
        <v>52</v>
      </c>
      <c r="C30108" s="0" t="s">
        <v>3085</v>
      </c>
      <c r="E30108" s="0" t="s">
        <v>2287</v>
      </c>
      <c r="F30108" s="0" t="s">
        <v>3086</v>
      </c>
    </row>
    <row r="30110" customFormat="false" ht="12.8" hidden="false" customHeight="false" outlineLevel="0" collapsed="false">
      <c r="A30110" s="0" t="s">
        <v>11807</v>
      </c>
      <c r="B30110" s="0" t="str">
        <f aca="false">HYPERLINK("https://lindat.mff.cuni.cz/services/teitok/pdtc10/index.php?action=vallex&amp;frame=v-w4167f4_ZU", "povolit (v-w4167f4_ZU)")</f>
        <v>povolit (v-w4167f4_ZU)</v>
      </c>
      <c r="E30110" s="0" t="str">
        <f aca="false">HYPERLINK("https://lindat.mff.cuni.cz/services/SynSemClass40/SynSemClass40.html?veclass=vec00028#vec00028-ces-cm00032", "vec00028")</f>
        <v>vec00028</v>
      </c>
      <c r="F30110" s="0" t="s">
        <v>5301</v>
      </c>
    </row>
    <row r="30111" customFormat="false" ht="12.8" hidden="false" customHeight="false" outlineLevel="0" collapsed="false">
      <c r="B30111" s="0" t="s">
        <v>1</v>
      </c>
      <c r="C30111" s="0" t="s">
        <v>9964</v>
      </c>
      <c r="E30111" s="0" t="s">
        <v>235</v>
      </c>
      <c r="F30111" s="0" t="s">
        <v>5304</v>
      </c>
    </row>
    <row r="30112" customFormat="false" ht="12.8" hidden="false" customHeight="false" outlineLevel="0" collapsed="false">
      <c r="B30112" s="0" t="s">
        <v>69</v>
      </c>
      <c r="C30112" s="0" t="s">
        <v>9965</v>
      </c>
      <c r="E30112" s="0" t="s">
        <v>5149</v>
      </c>
      <c r="F30112" s="0" t="s">
        <v>5307</v>
      </c>
    </row>
    <row r="30113" customFormat="false" ht="12.8" hidden="false" customHeight="false" outlineLevel="0" collapsed="false">
      <c r="B30113" s="0" t="s">
        <v>36</v>
      </c>
      <c r="C30113" s="0" t="s">
        <v>9966</v>
      </c>
      <c r="E30113" s="0" t="s">
        <v>5152</v>
      </c>
      <c r="F30113" s="0" t="s">
        <v>5311</v>
      </c>
    </row>
    <row r="30115" customFormat="false" ht="12.8" hidden="false" customHeight="false" outlineLevel="0" collapsed="false">
      <c r="A30115" s="0" t="s">
        <v>11808</v>
      </c>
      <c r="B30115" s="0" t="str">
        <f aca="false">HYPERLINK("https://lindat.mff.cuni.cz/services/teitok/pdtc10/index.php?action=vallex&amp;frame=v-w4167f2", "povolit (v-w4167f2)")</f>
        <v>povolit (v-w4167f2)</v>
      </c>
      <c r="E30115" s="0" t="str">
        <f aca="false">HYPERLINK("https://lindat.mff.cuni.cz/services/SynSemClass40/SynSemClass40.html?veclass=vec00739#vec00739-ces-cm00032", "vec00739")</f>
        <v>vec00739</v>
      </c>
      <c r="F30115" s="0" t="s">
        <v>5232</v>
      </c>
      <c r="H30115" s="0" t="str">
        <f aca="false">HYPERLINK("https://lindat.mff.cuni.cz/services/SynSemClass40/SynSemClass40.html?veclass=vec01301#vec01301-ces-cm00028", "vec01301")</f>
        <v>vec01301</v>
      </c>
      <c r="I30115" s="0" t="s">
        <v>6491</v>
      </c>
    </row>
    <row r="30116" customFormat="false" ht="12.8" hidden="false" customHeight="false" outlineLevel="0" collapsed="false">
      <c r="B30116" s="0" t="s">
        <v>1</v>
      </c>
      <c r="C30116" s="0" t="s">
        <v>11809</v>
      </c>
      <c r="E30116" s="0" t="s">
        <v>5234</v>
      </c>
      <c r="F30116" s="0" t="s">
        <v>5235</v>
      </c>
      <c r="H30116" s="0" t="s">
        <v>31</v>
      </c>
      <c r="I30116" s="0" t="s">
        <v>6492</v>
      </c>
    </row>
    <row r="30117" customFormat="false" ht="12.8" hidden="false" customHeight="false" outlineLevel="0" collapsed="false">
      <c r="B30117" s="0" t="s">
        <v>157</v>
      </c>
      <c r="C30117" s="0" t="s">
        <v>11810</v>
      </c>
      <c r="E30117" s="0" t="s">
        <v>5237</v>
      </c>
      <c r="F30117" s="0" t="s">
        <v>5238</v>
      </c>
      <c r="H30117" s="0" t="s">
        <v>6494</v>
      </c>
      <c r="I30117" s="0" t="s">
        <v>6495</v>
      </c>
    </row>
    <row r="30119" customFormat="false" ht="12.8" hidden="false" customHeight="false" outlineLevel="0" collapsed="false">
      <c r="A30119" s="0" t="s">
        <v>11811</v>
      </c>
      <c r="B30119" s="0" t="str">
        <f aca="false">HYPERLINK("https://lindat.mff.cuni.cz/services/teitok/pdtc10/index.php?action=vallex&amp;frame=v-w4167f3", "povolit (v-w4167f3)")</f>
        <v>povolit (v-w4167f3)</v>
      </c>
    </row>
    <row r="30120" customFormat="false" ht="12.8" hidden="false" customHeight="false" outlineLevel="0" collapsed="false">
      <c r="B30120" s="0" t="s">
        <v>1</v>
      </c>
    </row>
    <row r="30122" customFormat="false" ht="12.8" hidden="false" customHeight="false" outlineLevel="0" collapsed="false">
      <c r="A30122" s="0" t="s">
        <v>11812</v>
      </c>
      <c r="B30122" s="0" t="str">
        <f aca="false">HYPERLINK("https://lindat.mff.cuni.cz/services/teitok/pdtc10/index.php?action=vallex&amp;frame=v-w4169f1", "povolovat (v-w4169f1)")</f>
        <v>povolovat (v-w4169f1)</v>
      </c>
      <c r="E30122" s="0" t="str">
        <f aca="false">HYPERLINK("https://lindat.mff.cuni.cz/services/SynSemClass40/SynSemClass40.html?veclass=vec00012#vec00012-ces-cm00028", "vec00012")</f>
        <v>vec00012</v>
      </c>
      <c r="F30122" s="0" t="s">
        <v>3078</v>
      </c>
    </row>
    <row r="30123" customFormat="false" ht="12.8" hidden="false" customHeight="false" outlineLevel="0" collapsed="false">
      <c r="B30123" s="0" t="s">
        <v>1</v>
      </c>
      <c r="C30123" s="0" t="s">
        <v>3079</v>
      </c>
      <c r="E30123" s="0" t="s">
        <v>206</v>
      </c>
      <c r="F30123" s="0" t="s">
        <v>3080</v>
      </c>
    </row>
    <row r="30124" customFormat="false" ht="12.8" hidden="false" customHeight="false" outlineLevel="0" collapsed="false">
      <c r="B30124" s="0" t="s">
        <v>11813</v>
      </c>
      <c r="C30124" s="0" t="s">
        <v>3082</v>
      </c>
      <c r="E30124" s="0" t="s">
        <v>3083</v>
      </c>
      <c r="F30124" s="0" t="s">
        <v>3084</v>
      </c>
    </row>
    <row r="30125" customFormat="false" ht="12.8" hidden="false" customHeight="false" outlineLevel="0" collapsed="false">
      <c r="B30125" s="0" t="s">
        <v>52</v>
      </c>
      <c r="C30125" s="0" t="s">
        <v>3085</v>
      </c>
      <c r="E30125" s="0" t="s">
        <v>2287</v>
      </c>
      <c r="F30125" s="0" t="s">
        <v>3086</v>
      </c>
    </row>
    <row r="30127" customFormat="false" ht="12.8" hidden="false" customHeight="false" outlineLevel="0" collapsed="false">
      <c r="A30127" s="0" t="s">
        <v>11814</v>
      </c>
      <c r="B30127" s="0" t="str">
        <f aca="false">HYPERLINK("https://lindat.mff.cuni.cz/services/teitok/pdtc10/index.php?action=vallex&amp;frame=v-w4164f1", "povolávat (v-w4164f1)")</f>
        <v>povolávat (v-w4164f1)</v>
      </c>
      <c r="E30127" s="0" t="str">
        <f aca="false">HYPERLINK("https://lindat.mff.cuni.cz/services/SynSemClass40/SynSemClass40.html?veclass=vec00485#vec00485-ces-cm00029", "vec00485")</f>
        <v>vec00485</v>
      </c>
      <c r="F30127" s="0" t="s">
        <v>6309</v>
      </c>
    </row>
    <row r="30128" customFormat="false" ht="12.8" hidden="false" customHeight="false" outlineLevel="0" collapsed="false">
      <c r="B30128" s="0" t="s">
        <v>1</v>
      </c>
      <c r="C30128" s="0" t="s">
        <v>6310</v>
      </c>
      <c r="E30128" s="0" t="s">
        <v>206</v>
      </c>
      <c r="F30128" s="0" t="s">
        <v>6311</v>
      </c>
    </row>
    <row r="30129" customFormat="false" ht="12.8" hidden="false" customHeight="false" outlineLevel="0" collapsed="false">
      <c r="B30129" s="0" t="s">
        <v>8</v>
      </c>
      <c r="C30129" s="0" t="s">
        <v>6312</v>
      </c>
      <c r="E30129" s="0" t="s">
        <v>3832</v>
      </c>
      <c r="F30129" s="0" t="s">
        <v>6313</v>
      </c>
    </row>
    <row r="30131" customFormat="false" ht="12.8" hidden="false" customHeight="false" outlineLevel="0" collapsed="false">
      <c r="A30131" s="0" t="s">
        <v>11815</v>
      </c>
      <c r="B30131" s="0" t="str">
        <f aca="false">HYPERLINK("https://lindat.mff.cuni.cz/services/teitok/pdtc10/index.php?action=vallex&amp;frame=v-w4170f1", "povozit (v-w4170f1)")</f>
        <v>povozit (v-w4170f1)</v>
      </c>
    </row>
    <row r="30132" customFormat="false" ht="12.8" hidden="false" customHeight="false" outlineLevel="0" collapsed="false">
      <c r="B30132" s="0" t="s">
        <v>1</v>
      </c>
    </row>
    <row r="30133" customFormat="false" ht="12.8" hidden="false" customHeight="false" outlineLevel="0" collapsed="false">
      <c r="B30133" s="0" t="s">
        <v>8</v>
      </c>
    </row>
    <row r="30135" customFormat="false" ht="12.8" hidden="false" customHeight="false" outlineLevel="0" collapsed="false">
      <c r="A30135" s="0" t="s">
        <v>11816</v>
      </c>
      <c r="B30135" s="0" t="str">
        <f aca="false">HYPERLINK("https://lindat.mff.cuni.cz/services/teitok/pdtc10/index.php?action=vallex&amp;frame=v-whsa_1868hsa_1869", "povozit se (v-whsa_1868hsa_1869)")</f>
        <v>povozit se (v-whsa_1868hsa_1869)</v>
      </c>
    </row>
    <row r="30136" customFormat="false" ht="12.8" hidden="false" customHeight="false" outlineLevel="0" collapsed="false">
      <c r="B30136" s="0" t="s">
        <v>1</v>
      </c>
    </row>
    <row r="30138" customFormat="false" ht="12.8" hidden="false" customHeight="false" outlineLevel="0" collapsed="false">
      <c r="A30138" s="0" t="s">
        <v>11817</v>
      </c>
      <c r="B30138" s="0" t="str">
        <f aca="false">HYPERLINK("https://lindat.mff.cuni.cz/services/teitok/pdtc10/index.php?action=vallex&amp;frame=v-w4172f1", "povstat (v-w4172f1)")</f>
        <v>povstat (v-w4172f1)</v>
      </c>
    </row>
    <row r="30139" customFormat="false" ht="12.8" hidden="false" customHeight="false" outlineLevel="0" collapsed="false">
      <c r="B30139" s="0" t="s">
        <v>1</v>
      </c>
    </row>
    <row r="30140" customFormat="false" ht="12.8" hidden="false" customHeight="false" outlineLevel="0" collapsed="false">
      <c r="B30140" s="0" t="s">
        <v>1909</v>
      </c>
    </row>
    <row r="30142" customFormat="false" ht="12.8" hidden="false" customHeight="false" outlineLevel="0" collapsed="false">
      <c r="A30142" s="0" t="s">
        <v>11818</v>
      </c>
      <c r="B30142" s="0" t="str">
        <f aca="false">HYPERLINK("https://lindat.mff.cuni.cz/services/teitok/pdtc10/index.php?action=vallex&amp;frame=v-w4172f4", "povstat (v-w4172f4)")</f>
        <v>povstat (v-w4172f4)</v>
      </c>
    </row>
    <row r="30143" customFormat="false" ht="12.8" hidden="false" customHeight="false" outlineLevel="0" collapsed="false">
      <c r="B30143" s="0" t="s">
        <v>1</v>
      </c>
    </row>
    <row r="30144" customFormat="false" ht="12.8" hidden="false" customHeight="false" outlineLevel="0" collapsed="false">
      <c r="B30144" s="0" t="s">
        <v>763</v>
      </c>
    </row>
    <row r="30146" customFormat="false" ht="12.8" hidden="false" customHeight="false" outlineLevel="0" collapsed="false">
      <c r="A30146" s="0" t="s">
        <v>11819</v>
      </c>
      <c r="B30146" s="0" t="str">
        <f aca="false">HYPERLINK("https://lindat.mff.cuni.cz/services/teitok/pdtc10/index.php?action=vallex&amp;frame=v-w4172f3", "povstat (v-w4172f3)")</f>
        <v>povstat (v-w4172f3)</v>
      </c>
    </row>
    <row r="30147" customFormat="false" ht="12.8" hidden="false" customHeight="false" outlineLevel="0" collapsed="false">
      <c r="B30147" s="0" t="s">
        <v>1</v>
      </c>
    </row>
    <row r="30148" customFormat="false" ht="12.8" hidden="false" customHeight="false" outlineLevel="0" collapsed="false">
      <c r="B30148" s="0" t="s">
        <v>631</v>
      </c>
    </row>
    <row r="30150" customFormat="false" ht="12.8" hidden="false" customHeight="false" outlineLevel="0" collapsed="false">
      <c r="A30150" s="0" t="s">
        <v>11820</v>
      </c>
      <c r="B30150" s="0" t="str">
        <f aca="false">HYPERLINK("https://lindat.mff.cuni.cz/services/teitok/pdtc10/index.php?action=vallex&amp;frame=v-w4172f2", "povstat (v-w4172f2)")</f>
        <v>povstat (v-w4172f2)</v>
      </c>
    </row>
    <row r="30151" customFormat="false" ht="12.8" hidden="false" customHeight="false" outlineLevel="0" collapsed="false">
      <c r="B30151" s="0" t="s">
        <v>1</v>
      </c>
    </row>
    <row r="30153" customFormat="false" ht="12.8" hidden="false" customHeight="false" outlineLevel="0" collapsed="false">
      <c r="A30153" s="0" t="s">
        <v>11821</v>
      </c>
      <c r="B30153" s="0" t="str">
        <f aca="false">HYPERLINK("https://lindat.mff.cuni.cz/services/teitok/pdtc10/index.php?action=vallex&amp;frame=v-w4173f1", "povstávat (v-w4173f1)")</f>
        <v>povstávat (v-w4173f1)</v>
      </c>
    </row>
    <row r="30154" customFormat="false" ht="12.8" hidden="false" customHeight="false" outlineLevel="0" collapsed="false">
      <c r="B30154" s="0" t="s">
        <v>1</v>
      </c>
    </row>
    <row r="30155" customFormat="false" ht="12.8" hidden="false" customHeight="false" outlineLevel="0" collapsed="false">
      <c r="B30155" s="0" t="s">
        <v>763</v>
      </c>
    </row>
    <row r="30157" customFormat="false" ht="12.8" hidden="false" customHeight="false" outlineLevel="0" collapsed="false">
      <c r="A30157" s="0" t="s">
        <v>11822</v>
      </c>
      <c r="B30157" s="0" t="str">
        <f aca="false">HYPERLINK("https://lindat.mff.cuni.cz/services/teitok/pdtc10/index.php?action=vallex&amp;frame=v-w11716_ZUf1_ZU", "povykládat (v-w11716_ZUf1_ZU)")</f>
        <v>povykládat (v-w11716_ZUf1_ZU)</v>
      </c>
    </row>
    <row r="30158" customFormat="false" ht="12.8" hidden="false" customHeight="false" outlineLevel="0" collapsed="false">
      <c r="B30158" s="0" t="s">
        <v>1</v>
      </c>
    </row>
    <row r="30159" customFormat="false" ht="12.8" hidden="false" customHeight="false" outlineLevel="0" collapsed="false">
      <c r="B30159" s="0" t="s">
        <v>319</v>
      </c>
    </row>
    <row r="30160" customFormat="false" ht="12.8" hidden="false" customHeight="false" outlineLevel="0" collapsed="false">
      <c r="B30160" s="0" t="s">
        <v>132</v>
      </c>
    </row>
    <row r="30161" customFormat="false" ht="12.8" hidden="false" customHeight="false" outlineLevel="0" collapsed="false">
      <c r="B30161" s="0" t="s">
        <v>496</v>
      </c>
    </row>
    <row r="30163" customFormat="false" ht="12.8" hidden="false" customHeight="false" outlineLevel="0" collapsed="false">
      <c r="A30163" s="0" t="s">
        <v>11823</v>
      </c>
      <c r="B30163" s="0" t="str">
        <f aca="false">HYPERLINK("https://lindat.mff.cuni.cz/services/teitok/pdtc10/index.php?action=vallex&amp;frame=v-whsa_477f1_ZU", "povykládat si (v-whsa_477f1_ZU)")</f>
        <v>povykládat si (v-whsa_477f1_ZU)</v>
      </c>
    </row>
    <row r="30164" customFormat="false" ht="12.8" hidden="false" customHeight="false" outlineLevel="0" collapsed="false">
      <c r="B30164" s="0" t="s">
        <v>1</v>
      </c>
    </row>
    <row r="30165" customFormat="false" ht="12.8" hidden="false" customHeight="false" outlineLevel="0" collapsed="false">
      <c r="B30165" s="0" t="s">
        <v>276</v>
      </c>
    </row>
    <row r="30166" customFormat="false" ht="12.8" hidden="false" customHeight="false" outlineLevel="0" collapsed="false">
      <c r="B30166" s="0" t="s">
        <v>319</v>
      </c>
    </row>
    <row r="30167" customFormat="false" ht="12.8" hidden="false" customHeight="false" outlineLevel="0" collapsed="false">
      <c r="B30167" s="0" t="s">
        <v>496</v>
      </c>
    </row>
    <row r="30169" customFormat="false" ht="12.8" hidden="false" customHeight="false" outlineLevel="0" collapsed="false">
      <c r="A30169" s="0" t="s">
        <v>11823</v>
      </c>
      <c r="B30169" s="0" t="str">
        <f aca="false">HYPERLINK("https://lindat.mff.cuni.cz/services/teitok/pdtc10/index.php?action=vallex&amp;frame=v-whsa_477hsa_478", "povykládat si (v-whsa_477hsa_478) - substituted with v-whsa_477f1_ZU")</f>
        <v>povykládat si (v-whsa_477hsa_478) - substituted with v-whsa_477f1_ZU</v>
      </c>
    </row>
    <row r="30170" customFormat="false" ht="12.8" hidden="false" customHeight="false" outlineLevel="0" collapsed="false">
      <c r="B30170" s="0" t="s">
        <v>1</v>
      </c>
    </row>
    <row r="30171" customFormat="false" ht="12.8" hidden="false" customHeight="false" outlineLevel="0" collapsed="false">
      <c r="B30171" s="0" t="s">
        <v>276</v>
      </c>
    </row>
    <row r="30172" customFormat="false" ht="12.8" hidden="false" customHeight="false" outlineLevel="0" collapsed="false">
      <c r="B30172" s="0" t="s">
        <v>319</v>
      </c>
    </row>
    <row r="30173" customFormat="false" ht="12.8" hidden="false" customHeight="false" outlineLevel="0" collapsed="false">
      <c r="B30173" s="0" t="s">
        <v>496</v>
      </c>
    </row>
    <row r="30175" customFormat="false" ht="12.8" hidden="false" customHeight="false" outlineLevel="0" collapsed="false">
      <c r="A30175" s="0" t="s">
        <v>11824</v>
      </c>
      <c r="B30175" s="0" t="str">
        <f aca="false">HYPERLINK("https://lindat.mff.cuni.cz/services/teitok/pdtc10/index.php?action=vallex&amp;frame=v-whsa_569hsa_570", "povyprávět (v-whsa_569hsa_570)")</f>
        <v>povyprávět (v-whsa_569hsa_570)</v>
      </c>
    </row>
    <row r="30176" customFormat="false" ht="12.8" hidden="false" customHeight="false" outlineLevel="0" collapsed="false">
      <c r="B30176" s="0" t="s">
        <v>1</v>
      </c>
    </row>
    <row r="30177" customFormat="false" ht="12.8" hidden="false" customHeight="false" outlineLevel="0" collapsed="false">
      <c r="B30177" s="0" t="s">
        <v>52</v>
      </c>
    </row>
    <row r="30178" customFormat="false" ht="12.8" hidden="false" customHeight="false" outlineLevel="0" collapsed="false">
      <c r="B30178" s="0" t="s">
        <v>4065</v>
      </c>
    </row>
    <row r="30179" customFormat="false" ht="12.8" hidden="false" customHeight="false" outlineLevel="0" collapsed="false">
      <c r="B30179" s="0" t="s">
        <v>496</v>
      </c>
    </row>
    <row r="30181" customFormat="false" ht="12.8" hidden="false" customHeight="false" outlineLevel="0" collapsed="false">
      <c r="A30181" s="0" t="s">
        <v>11825</v>
      </c>
      <c r="B30181" s="0" t="str">
        <f aca="false">HYPERLINK("https://lindat.mff.cuni.cz/services/teitok/pdtc10/index.php?action=vallex&amp;frame=v-whsb_137hsa_138", "povyrazit si (v-whsb_137hsa_138)")</f>
        <v>povyrazit si (v-whsb_137hsa_138)</v>
      </c>
    </row>
    <row r="30182" customFormat="false" ht="12.8" hidden="false" customHeight="false" outlineLevel="0" collapsed="false">
      <c r="B30182" s="0" t="s">
        <v>1</v>
      </c>
    </row>
    <row r="30183" customFormat="false" ht="12.8" hidden="false" customHeight="false" outlineLevel="0" collapsed="false">
      <c r="B30183" s="0" t="s">
        <v>164</v>
      </c>
    </row>
    <row r="30185" customFormat="false" ht="12.8" hidden="false" customHeight="false" outlineLevel="0" collapsed="false">
      <c r="A30185" s="0" t="s">
        <v>11826</v>
      </c>
      <c r="B30185" s="0" t="str">
        <f aca="false">HYPERLINK("https://lindat.mff.cuni.cz/services/teitok/pdtc10/index.php?action=vallex&amp;frame=v-w4176f1", "povyrůst (v-w4176f1)")</f>
        <v>povyrůst (v-w4176f1)</v>
      </c>
    </row>
    <row r="30186" customFormat="false" ht="12.8" hidden="false" customHeight="false" outlineLevel="0" collapsed="false">
      <c r="B30186" s="0" t="s">
        <v>1</v>
      </c>
    </row>
    <row r="30188" customFormat="false" ht="12.8" hidden="false" customHeight="false" outlineLevel="0" collapsed="false">
      <c r="A30188" s="0" t="s">
        <v>11827</v>
      </c>
      <c r="B30188" s="0" t="str">
        <f aca="false">HYPERLINK("https://lindat.mff.cuni.cz/services/teitok/pdtc10/index.php?action=vallex&amp;frame=v-w4176hsa_651", "povyrůst (v-w4176hsa_651)")</f>
        <v>povyrůst (v-w4176hsa_651)</v>
      </c>
      <c r="E30188" s="0" t="str">
        <f aca="false">HYPERLINK("https://lindat.mff.cuni.cz/services/SynSemClass40/SynSemClass40.html?veclass=vec00109#vec00109-ces-cm00098", "vec00109")</f>
        <v>vec00109</v>
      </c>
      <c r="F30188" s="0" t="s">
        <v>5143</v>
      </c>
    </row>
    <row r="30189" customFormat="false" ht="12.8" hidden="false" customHeight="false" outlineLevel="0" collapsed="false">
      <c r="B30189" s="0" t="s">
        <v>1</v>
      </c>
      <c r="C30189" s="0" t="s">
        <v>7017</v>
      </c>
      <c r="E30189" s="0" t="s">
        <v>235</v>
      </c>
      <c r="F30189" s="0" t="s">
        <v>5146</v>
      </c>
    </row>
    <row r="30190" customFormat="false" ht="12.8" hidden="false" customHeight="false" outlineLevel="0" collapsed="false">
      <c r="B30190" s="0" t="s">
        <v>36</v>
      </c>
      <c r="C30190" s="0" t="s">
        <v>5151</v>
      </c>
      <c r="E30190" s="0" t="s">
        <v>5152</v>
      </c>
      <c r="F30190" s="0" t="s">
        <v>5153</v>
      </c>
    </row>
    <row r="30191" customFormat="false" ht="12.8" hidden="false" customHeight="false" outlineLevel="0" collapsed="false">
      <c r="B30191" s="0" t="s">
        <v>69</v>
      </c>
      <c r="C30191" s="0" t="s">
        <v>5148</v>
      </c>
      <c r="E30191" s="0" t="s">
        <v>5149</v>
      </c>
      <c r="F30191" s="0" t="s">
        <v>5150</v>
      </c>
    </row>
    <row r="30193" customFormat="false" ht="12.8" hidden="false" customHeight="false" outlineLevel="0" collapsed="false">
      <c r="A30193" s="0" t="s">
        <v>11828</v>
      </c>
      <c r="B30193" s="0" t="str">
        <f aca="false">HYPERLINK("https://lindat.mff.cuni.cz/services/teitok/pdtc10/index.php?action=vallex&amp;frame=v-w11131f2", "povyšovat (v-w11131f2)")</f>
        <v>povyšovat (v-w11131f2)</v>
      </c>
      <c r="E30193" s="0" t="str">
        <f aca="false">HYPERLINK("https://lindat.mff.cuni.cz/services/SynSemClass40/SynSemClass40.html?veclass=vec00095#vec00095-ces-cm00083", "vec00095")</f>
        <v>vec00095</v>
      </c>
      <c r="F30193" s="0" t="s">
        <v>29</v>
      </c>
      <c r="H30193" s="0" t="str">
        <f aca="false">HYPERLINK("https://lindat.mff.cuni.cz/services/SynSemClass40/SynSemClass40.html?veclass=vec00807#vec00807-ces-cm00006", "vec00807")</f>
        <v>vec00807</v>
      </c>
      <c r="I30193" s="0" t="s">
        <v>1845</v>
      </c>
    </row>
    <row r="30194" customFormat="false" ht="12.8" hidden="false" customHeight="false" outlineLevel="0" collapsed="false">
      <c r="B30194" s="0" t="s">
        <v>1</v>
      </c>
      <c r="C30194" s="0" t="s">
        <v>11829</v>
      </c>
      <c r="E30194" s="0" t="s">
        <v>31</v>
      </c>
      <c r="F30194" s="0" t="s">
        <v>32</v>
      </c>
      <c r="H30194" s="0" t="s">
        <v>206</v>
      </c>
      <c r="I30194" s="0" t="s">
        <v>1846</v>
      </c>
    </row>
    <row r="30195" customFormat="false" ht="12.8" hidden="false" customHeight="false" outlineLevel="0" collapsed="false">
      <c r="B30195" s="0" t="s">
        <v>8</v>
      </c>
      <c r="C30195" s="0" t="s">
        <v>11830</v>
      </c>
      <c r="E30195" s="0" t="s">
        <v>34</v>
      </c>
      <c r="F30195" s="0" t="s">
        <v>35</v>
      </c>
      <c r="H30195" s="0" t="s">
        <v>1847</v>
      </c>
      <c r="I30195" s="0" t="s">
        <v>1848</v>
      </c>
    </row>
    <row r="30196" customFormat="false" ht="12.8" hidden="false" customHeight="false" outlineLevel="0" collapsed="false">
      <c r="B30196" s="0" t="s">
        <v>40</v>
      </c>
      <c r="C30196" s="0" t="s">
        <v>11831</v>
      </c>
      <c r="E30196" s="0" t="s">
        <v>42</v>
      </c>
      <c r="F30196" s="0" t="s">
        <v>43</v>
      </c>
      <c r="H30196" s="0" t="s">
        <v>42</v>
      </c>
      <c r="I30196" s="0" t="s">
        <v>1852</v>
      </c>
    </row>
    <row r="30198" customFormat="false" ht="12.8" hidden="false" customHeight="false" outlineLevel="0" collapsed="false">
      <c r="A30198" s="0" t="s">
        <v>11832</v>
      </c>
      <c r="B30198" s="0" t="str">
        <f aca="false">HYPERLINK("https://lindat.mff.cuni.cz/services/teitok/pdtc10/index.php?action=vallex&amp;frame=v-w12151_ZUf1_ZU", "povyšovat se (v-w12151_ZUf1_ZU)")</f>
        <v>povyšovat se (v-w12151_ZUf1_ZU)</v>
      </c>
    </row>
    <row r="30199" customFormat="false" ht="12.8" hidden="false" customHeight="false" outlineLevel="0" collapsed="false">
      <c r="B30199" s="0" t="s">
        <v>1</v>
      </c>
    </row>
    <row r="30200" customFormat="false" ht="12.8" hidden="false" customHeight="false" outlineLevel="0" collapsed="false">
      <c r="B30200" s="0" t="s">
        <v>4070</v>
      </c>
    </row>
    <row r="30202" customFormat="false" ht="12.8" hidden="false" customHeight="false" outlineLevel="0" collapsed="false">
      <c r="A30202" s="0" t="s">
        <v>11833</v>
      </c>
      <c r="B30202" s="0" t="str">
        <f aca="false">HYPERLINK("https://lindat.mff.cuni.cz/services/teitok/pdtc10/index.php?action=vallex&amp;frame=v-w4179f3_ZU", "povzbudit (v-w4179f3_ZU)")</f>
        <v>povzbudit (v-w4179f3_ZU)</v>
      </c>
    </row>
    <row r="30203" customFormat="false" ht="12.8" hidden="false" customHeight="false" outlineLevel="0" collapsed="false">
      <c r="B30203" s="0" t="s">
        <v>1</v>
      </c>
    </row>
    <row r="30204" customFormat="false" ht="12.8" hidden="false" customHeight="false" outlineLevel="0" collapsed="false">
      <c r="B30204" s="0" t="s">
        <v>11834</v>
      </c>
    </row>
    <row r="30205" customFormat="false" ht="12.8" hidden="false" customHeight="false" outlineLevel="0" collapsed="false">
      <c r="B30205" s="0" t="s">
        <v>98</v>
      </c>
    </row>
    <row r="30207" customFormat="false" ht="12.8" hidden="false" customHeight="false" outlineLevel="0" collapsed="false">
      <c r="A30207" s="0" t="s">
        <v>11833</v>
      </c>
      <c r="B30207" s="0" t="str">
        <f aca="false">HYPERLINK("https://lindat.mff.cuni.cz/services/teitok/pdtc10/index.php?action=vallex&amp;frame=v-w4179f2", "povzbudit (v-w4179f2) - substituted with v-w4179f3_ZU")</f>
        <v>povzbudit (v-w4179f2) - substituted with v-w4179f3_ZU</v>
      </c>
      <c r="E30207" s="0" t="str">
        <f aca="false">HYPERLINK("https://lindat.mff.cuni.cz/services/SynSemClass40/SynSemClass40.html?veclass=vec00080#vec00080-ces-cm00001", "vec00080")</f>
        <v>vec00080</v>
      </c>
      <c r="F30207" s="0" t="s">
        <v>4827</v>
      </c>
    </row>
    <row r="30208" customFormat="false" ht="12.8" hidden="false" customHeight="false" outlineLevel="0" collapsed="false">
      <c r="B30208" s="0" t="s">
        <v>1</v>
      </c>
      <c r="C30208" s="0" t="s">
        <v>4001</v>
      </c>
      <c r="E30208" s="0" t="s">
        <v>31</v>
      </c>
      <c r="F30208" s="0" t="s">
        <v>4828</v>
      </c>
    </row>
    <row r="30209" customFormat="false" ht="12.8" hidden="false" customHeight="false" outlineLevel="0" collapsed="false">
      <c r="B30209" s="0" t="s">
        <v>11834</v>
      </c>
      <c r="C30209" s="0" t="s">
        <v>11835</v>
      </c>
      <c r="E30209" s="0" t="s">
        <v>523</v>
      </c>
      <c r="F30209" s="0" t="s">
        <v>11836</v>
      </c>
    </row>
    <row r="30210" customFormat="false" ht="12.8" hidden="false" customHeight="false" outlineLevel="0" collapsed="false">
      <c r="B30210" s="0" t="s">
        <v>98</v>
      </c>
      <c r="C30210" s="0" t="s">
        <v>11837</v>
      </c>
      <c r="E30210" s="0" t="s">
        <v>552</v>
      </c>
      <c r="F30210" s="0" t="s">
        <v>11838</v>
      </c>
    </row>
    <row r="30212" customFormat="false" ht="12.8" hidden="false" customHeight="false" outlineLevel="0" collapsed="false">
      <c r="A30212" s="0" t="s">
        <v>11839</v>
      </c>
      <c r="B30212" s="0" t="str">
        <f aca="false">HYPERLINK("https://lindat.mff.cuni.cz/services/teitok/pdtc10/index.php?action=vallex&amp;frame=v-w4179hsa_731", "povzbudit (v-w4179hsa_731)")</f>
        <v>povzbudit (v-w4179hsa_731)</v>
      </c>
    </row>
    <row r="30213" customFormat="false" ht="12.8" hidden="false" customHeight="false" outlineLevel="0" collapsed="false">
      <c r="B30213" s="0" t="s">
        <v>843</v>
      </c>
    </row>
    <row r="30214" customFormat="false" ht="12.8" hidden="false" customHeight="false" outlineLevel="0" collapsed="false">
      <c r="B30214" s="0" t="s">
        <v>8</v>
      </c>
    </row>
    <row r="30216" customFormat="false" ht="12.8" hidden="false" customHeight="false" outlineLevel="0" collapsed="false">
      <c r="A30216" s="0" t="s">
        <v>11839</v>
      </c>
      <c r="B30216" s="0" t="str">
        <f aca="false">HYPERLINK("https://lindat.mff.cuni.cz/services/teitok/pdtc10/index.php?action=vallex&amp;frame=v-w4179f1", "povzbudit (v-w4179f1) - substituted with v-w4179hsa_731")</f>
        <v>povzbudit (v-w4179f1) - substituted with v-w4179hsa_731</v>
      </c>
    </row>
    <row r="30217" customFormat="false" ht="12.8" hidden="false" customHeight="false" outlineLevel="0" collapsed="false">
      <c r="B30217" s="0" t="s">
        <v>843</v>
      </c>
    </row>
    <row r="30218" customFormat="false" ht="12.8" hidden="false" customHeight="false" outlineLevel="0" collapsed="false">
      <c r="B30218" s="0" t="s">
        <v>8</v>
      </c>
    </row>
    <row r="30220" customFormat="false" ht="12.8" hidden="false" customHeight="false" outlineLevel="0" collapsed="false">
      <c r="A30220" s="0" t="s">
        <v>11840</v>
      </c>
      <c r="B30220" s="0" t="str">
        <f aca="false">HYPERLINK("https://lindat.mff.cuni.cz/services/teitok/pdtc10/index.php?action=vallex&amp;frame=v-w4182hsa_29", "povzbuzovat (v-w4182hsa_29)")</f>
        <v>povzbuzovat (v-w4182hsa_29)</v>
      </c>
      <c r="E30220" s="0" t="str">
        <f aca="false">HYPERLINK("https://lindat.mff.cuni.cz/services/SynSemClass40/SynSemClass40.html?veclass=vec00080#vec00080-ces-cm00020", "vec00080")</f>
        <v>vec00080</v>
      </c>
      <c r="F30220" s="0" t="s">
        <v>4827</v>
      </c>
    </row>
    <row r="30221" customFormat="false" ht="12.8" hidden="false" customHeight="false" outlineLevel="0" collapsed="false">
      <c r="B30221" s="0" t="s">
        <v>1</v>
      </c>
      <c r="C30221" s="0" t="s">
        <v>4001</v>
      </c>
      <c r="E30221" s="0" t="s">
        <v>31</v>
      </c>
      <c r="F30221" s="0" t="s">
        <v>4828</v>
      </c>
    </row>
    <row r="30222" customFormat="false" ht="12.8" hidden="false" customHeight="false" outlineLevel="0" collapsed="false">
      <c r="B30222" s="0" t="s">
        <v>11841</v>
      </c>
      <c r="C30222" s="0" t="s">
        <v>11835</v>
      </c>
      <c r="E30222" s="0" t="s">
        <v>523</v>
      </c>
      <c r="F30222" s="0" t="s">
        <v>11836</v>
      </c>
    </row>
    <row r="30223" customFormat="false" ht="12.8" hidden="false" customHeight="false" outlineLevel="0" collapsed="false">
      <c r="B30223" s="0" t="s">
        <v>98</v>
      </c>
      <c r="C30223" s="0" t="s">
        <v>11837</v>
      </c>
      <c r="E30223" s="0" t="s">
        <v>552</v>
      </c>
      <c r="F30223" s="0" t="s">
        <v>11838</v>
      </c>
    </row>
    <row r="30225" customFormat="false" ht="12.8" hidden="false" customHeight="false" outlineLevel="0" collapsed="false">
      <c r="A30225" s="0" t="s">
        <v>11840</v>
      </c>
      <c r="B30225" s="0" t="str">
        <f aca="false">HYPERLINK("https://lindat.mff.cuni.cz/services/teitok/pdtc10/index.php?action=vallex&amp;frame=v-w4182f3", "povzbuzovat (v-w4182f3) - substituted with v-w4182hsa_29")</f>
        <v>povzbuzovat (v-w4182f3) - substituted with v-w4182hsa_29</v>
      </c>
    </row>
    <row r="30226" customFormat="false" ht="12.8" hidden="false" customHeight="false" outlineLevel="0" collapsed="false">
      <c r="B30226" s="0" t="s">
        <v>1</v>
      </c>
    </row>
    <row r="30227" customFormat="false" ht="12.8" hidden="false" customHeight="false" outlineLevel="0" collapsed="false">
      <c r="B30227" s="0" t="s">
        <v>11841</v>
      </c>
    </row>
    <row r="30228" customFormat="false" ht="12.8" hidden="false" customHeight="false" outlineLevel="0" collapsed="false">
      <c r="B30228" s="0" t="s">
        <v>98</v>
      </c>
    </row>
    <row r="30230" customFormat="false" ht="12.8" hidden="false" customHeight="false" outlineLevel="0" collapsed="false">
      <c r="A30230" s="0" t="s">
        <v>11842</v>
      </c>
      <c r="B30230" s="0" t="str">
        <f aca="false">HYPERLINK("https://lindat.mff.cuni.cz/services/teitok/pdtc10/index.php?action=vallex&amp;frame=v-w4182f1", "povzbuzovat (v-w4182f1)")</f>
        <v>povzbuzovat (v-w4182f1)</v>
      </c>
      <c r="E30230" s="0" t="str">
        <f aca="false">HYPERLINK("https://lindat.mff.cuni.cz/services/SynSemClass40/SynSemClass40.html?veclass=vec00069#vec00069-ces-cm00053", "vec00069")</f>
        <v>vec00069</v>
      </c>
      <c r="F30230" s="0" t="s">
        <v>4300</v>
      </c>
      <c r="H30230" s="0" t="str">
        <f aca="false">HYPERLINK("https://lindat.mff.cuni.cz/services/SynSemClass40/SynSemClass40.html?veclass=vec00080#vec00080-ces-cm00019", "vec00080")</f>
        <v>vec00080</v>
      </c>
      <c r="I30230" s="0" t="s">
        <v>4827</v>
      </c>
    </row>
    <row r="30231" customFormat="false" ht="12.8" hidden="false" customHeight="false" outlineLevel="0" collapsed="false">
      <c r="B30231" s="0" t="s">
        <v>1</v>
      </c>
      <c r="C30231" s="0" t="s">
        <v>11843</v>
      </c>
      <c r="E30231" s="0" t="s">
        <v>3021</v>
      </c>
      <c r="F30231" s="0" t="s">
        <v>4302</v>
      </c>
      <c r="H30231" s="0" t="s">
        <v>31</v>
      </c>
      <c r="I30231" s="0" t="s">
        <v>4828</v>
      </c>
    </row>
    <row r="30232" customFormat="false" ht="12.8" hidden="false" customHeight="false" outlineLevel="0" collapsed="false">
      <c r="B30232" s="0" t="s">
        <v>8</v>
      </c>
      <c r="C30232" s="0" t="s">
        <v>11844</v>
      </c>
      <c r="E30232" s="0" t="s">
        <v>3023</v>
      </c>
      <c r="F30232" s="0" t="s">
        <v>4305</v>
      </c>
      <c r="H30232" s="0" t="s">
        <v>4202</v>
      </c>
      <c r="I30232" s="0" t="s">
        <v>4830</v>
      </c>
    </row>
    <row r="30234" customFormat="false" ht="12.8" hidden="false" customHeight="false" outlineLevel="0" collapsed="false">
      <c r="A30234" s="0" t="s">
        <v>11845</v>
      </c>
      <c r="B30234" s="0" t="str">
        <f aca="false">HYPERLINK("https://lindat.mff.cuni.cz/services/teitok/pdtc10/index.php?action=vallex&amp;frame=v-w4184f1", "povzdechnout si (v-w4184f1)")</f>
        <v>povzdechnout si (v-w4184f1)</v>
      </c>
    </row>
    <row r="30235" customFormat="false" ht="12.8" hidden="false" customHeight="false" outlineLevel="0" collapsed="false">
      <c r="B30235" s="0" t="s">
        <v>1</v>
      </c>
    </row>
    <row r="30237" customFormat="false" ht="12.8" hidden="false" customHeight="false" outlineLevel="0" collapsed="false">
      <c r="A30237" s="0" t="s">
        <v>11846</v>
      </c>
      <c r="B30237" s="0" t="str">
        <f aca="false">HYPERLINK("https://lindat.mff.cuni.cz/services/teitok/pdtc10/index.php?action=vallex&amp;frame=v-w11409f1", "povzdychnout si (v-w11409f1)")</f>
        <v>povzdychnout si (v-w11409f1)</v>
      </c>
      <c r="E30237" s="0" t="str">
        <f aca="false">HYPERLINK("https://lindat.mff.cuni.cz/services/SynSemClass40/SynSemClass40.html?veclass=vec00959#vec00959-ces-cm00002", "vec00959")</f>
        <v>vec00959</v>
      </c>
      <c r="F30237" s="0" t="s">
        <v>11847</v>
      </c>
    </row>
    <row r="30238" customFormat="false" ht="12.8" hidden="false" customHeight="false" outlineLevel="0" collapsed="false">
      <c r="B30238" s="0" t="s">
        <v>1</v>
      </c>
      <c r="C30238" s="0" t="s">
        <v>4695</v>
      </c>
      <c r="E30238" s="0" t="s">
        <v>155</v>
      </c>
      <c r="F30238" s="0" t="s">
        <v>9833</v>
      </c>
    </row>
    <row r="30240" customFormat="false" ht="12.8" hidden="false" customHeight="false" outlineLevel="0" collapsed="false">
      <c r="A30240" s="0" t="s">
        <v>11848</v>
      </c>
      <c r="B30240" s="0" t="str">
        <f aca="false">HYPERLINK("https://lindat.mff.cuni.cz/services/teitok/pdtc10/index.php?action=vallex&amp;frame=v-w11409f2_ZU", "povzdychnout si (v-w11409f2_ZU)")</f>
        <v>povzdychnout si (v-w11409f2_ZU)</v>
      </c>
      <c r="E30240" s="0" t="str">
        <f aca="false">HYPERLINK("https://lindat.mff.cuni.cz/services/SynSemClass40/SynSemClass40.html?veclass=vec00132#vec00132-ces-cm00022", "vec00132")</f>
        <v>vec00132</v>
      </c>
      <c r="F30240" s="0" t="s">
        <v>484</v>
      </c>
    </row>
    <row r="30241" customFormat="false" ht="12.8" hidden="false" customHeight="false" outlineLevel="0" collapsed="false">
      <c r="B30241" s="0" t="s">
        <v>1</v>
      </c>
      <c r="C30241" s="0" t="s">
        <v>5883</v>
      </c>
      <c r="E30241" s="0" t="s">
        <v>63</v>
      </c>
      <c r="F30241" s="0" t="s">
        <v>487</v>
      </c>
    </row>
    <row r="30242" customFormat="false" ht="12.8" hidden="false" customHeight="false" outlineLevel="0" collapsed="false">
      <c r="B30242" s="0" t="s">
        <v>52</v>
      </c>
      <c r="C30242" s="0" t="s">
        <v>8303</v>
      </c>
      <c r="E30242" s="0" t="s">
        <v>2287</v>
      </c>
      <c r="F30242" s="0" t="s">
        <v>11643</v>
      </c>
    </row>
    <row r="30243" customFormat="false" ht="12.8" hidden="false" customHeight="false" outlineLevel="0" collapsed="false">
      <c r="B30243" s="0" t="s">
        <v>4536</v>
      </c>
      <c r="C30243" s="0" t="s">
        <v>11849</v>
      </c>
      <c r="E30243" s="0" t="s">
        <v>11850</v>
      </c>
      <c r="F30243" s="0" t="s">
        <v>11851</v>
      </c>
    </row>
    <row r="30244" customFormat="false" ht="12.8" hidden="false" customHeight="false" outlineLevel="0" collapsed="false">
      <c r="B30244" s="0" t="s">
        <v>496</v>
      </c>
      <c r="C30244" s="0" t="s">
        <v>11642</v>
      </c>
      <c r="E30244" s="0" t="s">
        <v>230</v>
      </c>
      <c r="F30244" s="0" t="s">
        <v>491</v>
      </c>
    </row>
    <row r="30246" customFormat="false" ht="12.8" hidden="false" customHeight="false" outlineLevel="0" collapsed="false">
      <c r="A30246" s="0" t="s">
        <v>11848</v>
      </c>
      <c r="B30246" s="0" t="str">
        <f aca="false">HYPERLINK("https://lindat.mff.cuni.cz/services/teitok/pdtc10/index.php?action=vallex&amp;frame=v-w11409hsa_559", "povzdychnout si (v-w11409hsa_559) - substituted with v-w11409f2_ZU")</f>
        <v>povzdychnout si (v-w11409hsa_559) - substituted with v-w11409f2_ZU</v>
      </c>
    </row>
    <row r="30247" customFormat="false" ht="12.8" hidden="false" customHeight="false" outlineLevel="0" collapsed="false">
      <c r="B30247" s="0" t="s">
        <v>1</v>
      </c>
    </row>
    <row r="30248" customFormat="false" ht="12.8" hidden="false" customHeight="false" outlineLevel="0" collapsed="false">
      <c r="B30248" s="0" t="s">
        <v>52</v>
      </c>
    </row>
    <row r="30249" customFormat="false" ht="12.8" hidden="false" customHeight="false" outlineLevel="0" collapsed="false">
      <c r="B30249" s="0" t="s">
        <v>4536</v>
      </c>
    </row>
    <row r="30250" customFormat="false" ht="12.8" hidden="false" customHeight="false" outlineLevel="0" collapsed="false">
      <c r="B30250" s="0" t="s">
        <v>496</v>
      </c>
    </row>
    <row r="30252" customFormat="false" ht="12.8" hidden="false" customHeight="false" outlineLevel="0" collapsed="false">
      <c r="A30252" s="0" t="s">
        <v>11852</v>
      </c>
      <c r="B30252" s="0" t="str">
        <f aca="false">HYPERLINK("https://lindat.mff.cuni.cz/services/teitok/pdtc10/index.php?action=vallex&amp;frame=v-w11964_ZUf1_ZU", "povznést (v-w11964_ZUf1_ZU)")</f>
        <v>povznést (v-w11964_ZUf1_ZU)</v>
      </c>
    </row>
    <row r="30253" customFormat="false" ht="12.8" hidden="false" customHeight="false" outlineLevel="0" collapsed="false">
      <c r="B30253" s="0" t="s">
        <v>1</v>
      </c>
    </row>
    <row r="30254" customFormat="false" ht="12.8" hidden="false" customHeight="false" outlineLevel="0" collapsed="false">
      <c r="B30254" s="0" t="s">
        <v>8</v>
      </c>
    </row>
    <row r="30256" customFormat="false" ht="12.8" hidden="false" customHeight="false" outlineLevel="0" collapsed="false">
      <c r="A30256" s="0" t="s">
        <v>11853</v>
      </c>
      <c r="B30256" s="0" t="str">
        <f aca="false">HYPERLINK("https://lindat.mff.cuni.cz/services/teitok/pdtc10/index.php?action=vallex&amp;frame=v-w4185f1", "povznést se (v-w4185f1)")</f>
        <v>povznést se (v-w4185f1)</v>
      </c>
    </row>
    <row r="30257" customFormat="false" ht="12.8" hidden="false" customHeight="false" outlineLevel="0" collapsed="false">
      <c r="B30257" s="0" t="s">
        <v>1</v>
      </c>
    </row>
    <row r="30258" customFormat="false" ht="12.8" hidden="false" customHeight="false" outlineLevel="0" collapsed="false">
      <c r="B30258" s="0" t="s">
        <v>164</v>
      </c>
    </row>
    <row r="30260" customFormat="false" ht="12.8" hidden="false" customHeight="false" outlineLevel="0" collapsed="false">
      <c r="A30260" s="0" t="s">
        <v>11854</v>
      </c>
      <c r="B30260" s="0" t="str">
        <f aca="false">HYPERLINK("https://lindat.mff.cuni.cz/services/teitok/pdtc10/index.php?action=vallex&amp;frame=v-w4138f1", "povážit (v-w4138f1)")</f>
        <v>povážit (v-w4138f1)</v>
      </c>
    </row>
    <row r="30261" customFormat="false" ht="12.8" hidden="false" customHeight="false" outlineLevel="0" collapsed="false">
      <c r="B30261" s="0" t="s">
        <v>1</v>
      </c>
    </row>
    <row r="30262" customFormat="false" ht="12.8" hidden="false" customHeight="false" outlineLevel="0" collapsed="false">
      <c r="B30262" s="0" t="s">
        <v>11855</v>
      </c>
    </row>
    <row r="30264" customFormat="false" ht="12.8" hidden="false" customHeight="false" outlineLevel="0" collapsed="false">
      <c r="A30264" s="0" t="s">
        <v>11856</v>
      </c>
      <c r="B30264" s="0" t="str">
        <f aca="false">HYPERLINK("https://lindat.mff.cuni.cz/services/teitok/pdtc10/index.php?action=vallex&amp;frame=v-w4154f1", "povést se (v-w4154f1)")</f>
        <v>povést se (v-w4154f1)</v>
      </c>
      <c r="E30264" s="0" t="str">
        <f aca="false">HYPERLINK("https://lindat.mff.cuni.cz/services/SynSemClass40/SynSemClass40.html?veclass=vec00257#vec00257-ces-cm00031", "vec00257")</f>
        <v>vec00257</v>
      </c>
      <c r="F30264" s="0" t="s">
        <v>1804</v>
      </c>
      <c r="H30264" s="0" t="str">
        <f aca="false">HYPERLINK("https://lindat.mff.cuni.cz/services/SynSemClass40/SynSemClass40.html?veclass=vec01455#vec01455-ces-cm00026", "vec01455")</f>
        <v>vec01455</v>
      </c>
      <c r="I30264" s="0" t="s">
        <v>888</v>
      </c>
    </row>
    <row r="30265" customFormat="false" ht="12.8" hidden="false" customHeight="false" outlineLevel="0" collapsed="false">
      <c r="B30265" s="0" t="s">
        <v>804</v>
      </c>
      <c r="C30265" s="0" t="s">
        <v>1805</v>
      </c>
      <c r="E30265" s="0" t="s">
        <v>11</v>
      </c>
      <c r="F30265" s="0" t="s">
        <v>1806</v>
      </c>
      <c r="H30265" s="0" t="s">
        <v>11</v>
      </c>
      <c r="I30265" s="0" t="s">
        <v>890</v>
      </c>
    </row>
    <row r="30266" customFormat="false" ht="12.8" hidden="false" customHeight="false" outlineLevel="0" collapsed="false">
      <c r="B30266" s="0" t="s">
        <v>10717</v>
      </c>
      <c r="C30266" s="0" t="s">
        <v>1808</v>
      </c>
      <c r="E30266" s="0" t="s">
        <v>1809</v>
      </c>
      <c r="F30266" s="0" t="s">
        <v>1810</v>
      </c>
      <c r="H30266" s="0" t="s">
        <v>893</v>
      </c>
      <c r="I30266" s="0" t="s">
        <v>894</v>
      </c>
    </row>
    <row r="30268" customFormat="false" ht="12.8" hidden="false" customHeight="false" outlineLevel="0" collapsed="false">
      <c r="A30268" s="0" t="s">
        <v>11857</v>
      </c>
      <c r="B30268" s="0" t="str">
        <f aca="false">HYPERLINK("https://lindat.mff.cuni.cz/services/teitok/pdtc10/index.php?action=vallex&amp;frame=v-w4156f2", "povídat (v-w4156f2)")</f>
        <v>povídat (v-w4156f2)</v>
      </c>
      <c r="E30268" s="0" t="str">
        <f aca="false">HYPERLINK("https://lindat.mff.cuni.cz/services/SynSemClass40/SynSemClass40.html?veclass=vec01353#vec01353-ces-cm00001", "vec01353")</f>
        <v>vec01353</v>
      </c>
      <c r="F30268" s="0" t="s">
        <v>6182</v>
      </c>
    </row>
    <row r="30269" customFormat="false" ht="12.8" hidden="false" customHeight="false" outlineLevel="0" collapsed="false">
      <c r="B30269" s="0" t="s">
        <v>1</v>
      </c>
      <c r="C30269" s="0" t="s">
        <v>11858</v>
      </c>
      <c r="E30269" s="0" t="s">
        <v>147</v>
      </c>
      <c r="F30269" s="0" t="s">
        <v>6184</v>
      </c>
    </row>
    <row r="30270" customFormat="false" ht="12.8" hidden="false" customHeight="false" outlineLevel="0" collapsed="false">
      <c r="B30270" s="0" t="s">
        <v>318</v>
      </c>
      <c r="C30270" s="0" t="s">
        <v>11859</v>
      </c>
      <c r="E30270" s="0" t="s">
        <v>218</v>
      </c>
      <c r="F30270" s="0" t="s">
        <v>6186</v>
      </c>
    </row>
    <row r="30271" customFormat="false" ht="12.8" hidden="false" customHeight="false" outlineLevel="0" collapsed="false">
      <c r="B30271" s="0" t="s">
        <v>52</v>
      </c>
      <c r="C30271" s="0" t="s">
        <v>6187</v>
      </c>
      <c r="E30271" s="0" t="s">
        <v>221</v>
      </c>
      <c r="F30271" s="0" t="s">
        <v>6188</v>
      </c>
    </row>
    <row r="30273" customFormat="false" ht="12.8" hidden="false" customHeight="false" outlineLevel="0" collapsed="false">
      <c r="A30273" s="0" t="s">
        <v>11860</v>
      </c>
      <c r="B30273" s="0" t="str">
        <f aca="false">HYPERLINK("https://lindat.mff.cuni.cz/services/teitok/pdtc10/index.php?action=vallex&amp;frame=v-w4156f1", "povídat (v-w4156f1)")</f>
        <v>povídat (v-w4156f1)</v>
      </c>
      <c r="E30273" s="0" t="str">
        <f aca="false">HYPERLINK("https://lindat.mff.cuni.cz/services/SynSemClass40/SynSemClass40.html?veclass=vec00060#vec00060-ces-cm00445", "vec00060")</f>
        <v>vec00060</v>
      </c>
      <c r="F30273" s="0" t="s">
        <v>213</v>
      </c>
      <c r="H30273" s="0" t="str">
        <f aca="false">HYPERLINK("https://lindat.mff.cuni.cz/services/SynSemClass40/SynSemClass40.html?veclass=vec01278#vec01278-ces-cm00001", "vec01278")</f>
        <v>vec01278</v>
      </c>
      <c r="I30273" s="0" t="s">
        <v>11861</v>
      </c>
    </row>
    <row r="30274" customFormat="false" ht="12.8" hidden="false" customHeight="false" outlineLevel="0" collapsed="false">
      <c r="B30274" s="0" t="s">
        <v>1</v>
      </c>
      <c r="C30274" s="0" t="s">
        <v>214</v>
      </c>
      <c r="E30274" s="0" t="s">
        <v>147</v>
      </c>
      <c r="F30274" s="0" t="s">
        <v>215</v>
      </c>
    </row>
    <row r="30275" customFormat="false" ht="12.8" hidden="false" customHeight="false" outlineLevel="0" collapsed="false">
      <c r="B30275" s="0" t="s">
        <v>52</v>
      </c>
      <c r="C30275" s="0" t="s">
        <v>220</v>
      </c>
      <c r="E30275" s="0" t="s">
        <v>221</v>
      </c>
      <c r="F30275" s="0" t="s">
        <v>222</v>
      </c>
    </row>
    <row r="30276" customFormat="false" ht="12.8" hidden="false" customHeight="false" outlineLevel="0" collapsed="false">
      <c r="B30276" s="0" t="s">
        <v>6407</v>
      </c>
      <c r="C30276" s="0" t="s">
        <v>2216</v>
      </c>
      <c r="E30276" s="0" t="s">
        <v>2217</v>
      </c>
      <c r="F30276" s="0" t="s">
        <v>2218</v>
      </c>
      <c r="H30276" s="0" t="s">
        <v>2217</v>
      </c>
      <c r="I30276" s="0" t="s">
        <v>11862</v>
      </c>
    </row>
    <row r="30277" customFormat="false" ht="12.8" hidden="false" customHeight="false" outlineLevel="0" collapsed="false">
      <c r="B30277" s="0" t="s">
        <v>496</v>
      </c>
      <c r="C30277" s="0" t="s">
        <v>217</v>
      </c>
      <c r="E30277" s="0" t="s">
        <v>218</v>
      </c>
      <c r="F30277" s="0" t="s">
        <v>219</v>
      </c>
      <c r="H30277" s="0" t="s">
        <v>209</v>
      </c>
      <c r="I30277" s="0" t="s">
        <v>11127</v>
      </c>
    </row>
    <row r="30279" customFormat="false" ht="12.8" hidden="false" customHeight="false" outlineLevel="0" collapsed="false">
      <c r="A30279" s="0" t="s">
        <v>11863</v>
      </c>
      <c r="B30279" s="0" t="str">
        <f aca="false">HYPERLINK("https://lindat.mff.cuni.cz/services/teitok/pdtc10/index.php?action=vallex&amp;frame=v-w4156f3_ZU", "povídat (v-w4156f3_ZU)")</f>
        <v>povídat (v-w4156f3_ZU)</v>
      </c>
    </row>
    <row r="30280" customFormat="false" ht="12.8" hidden="false" customHeight="false" outlineLevel="0" collapsed="false">
      <c r="B30280" s="0" t="s">
        <v>1</v>
      </c>
    </row>
    <row r="30281" customFormat="false" ht="12.8" hidden="false" customHeight="false" outlineLevel="0" collapsed="false">
      <c r="B30281" s="0" t="s">
        <v>52</v>
      </c>
    </row>
    <row r="30282" customFormat="false" ht="12.8" hidden="false" customHeight="false" outlineLevel="0" collapsed="false">
      <c r="B30282" s="0" t="s">
        <v>11864</v>
      </c>
    </row>
    <row r="30283" customFormat="false" ht="12.8" hidden="false" customHeight="false" outlineLevel="0" collapsed="false">
      <c r="B30283" s="0" t="s">
        <v>69</v>
      </c>
    </row>
    <row r="30285" customFormat="false" ht="12.8" hidden="false" customHeight="false" outlineLevel="0" collapsed="false">
      <c r="A30285" s="0" t="s">
        <v>11865</v>
      </c>
      <c r="B30285" s="0" t="str">
        <f aca="false">HYPERLINK("https://lindat.mff.cuni.cz/services/teitok/pdtc10/index.php?action=vallex&amp;frame=v-w4156f4_MM", "povídat (v-w4156f4_MM)")</f>
        <v>povídat (v-w4156f4_MM)</v>
      </c>
    </row>
    <row r="30286" customFormat="false" ht="12.8" hidden="false" customHeight="false" outlineLevel="0" collapsed="false">
      <c r="B30286" s="0" t="s">
        <v>1</v>
      </c>
    </row>
    <row r="30287" customFormat="false" ht="12.8" hidden="false" customHeight="false" outlineLevel="0" collapsed="false">
      <c r="B30287" s="0" t="s">
        <v>52</v>
      </c>
    </row>
    <row r="30288" customFormat="false" ht="12.8" hidden="false" customHeight="false" outlineLevel="0" collapsed="false">
      <c r="B30288" s="0" t="s">
        <v>45</v>
      </c>
    </row>
    <row r="30289" customFormat="false" ht="12.8" hidden="false" customHeight="false" outlineLevel="0" collapsed="false">
      <c r="B30289" s="0" t="s">
        <v>2382</v>
      </c>
    </row>
    <row r="30291" customFormat="false" ht="12.8" hidden="false" customHeight="false" outlineLevel="0" collapsed="false">
      <c r="A30291" s="0" t="s">
        <v>11866</v>
      </c>
      <c r="B30291" s="0" t="str">
        <f aca="false">HYPERLINK("https://lindat.mff.cuni.cz/services/teitok/pdtc10/index.php?action=vallex&amp;frame=v-w4156hsa_503", "povídat (v-w4156hsa_503)")</f>
        <v>povídat (v-w4156hsa_503)</v>
      </c>
    </row>
    <row r="30292" customFormat="false" ht="12.8" hidden="false" customHeight="false" outlineLevel="0" collapsed="false">
      <c r="B30292" s="0" t="s">
        <v>1</v>
      </c>
    </row>
    <row r="30293" customFormat="false" ht="12.8" hidden="false" customHeight="false" outlineLevel="0" collapsed="false">
      <c r="B30293" s="0" t="s">
        <v>52</v>
      </c>
    </row>
    <row r="30294" customFormat="false" ht="12.8" hidden="false" customHeight="false" outlineLevel="0" collapsed="false">
      <c r="B30294" s="0" t="s">
        <v>11867</v>
      </c>
    </row>
    <row r="30296" customFormat="false" ht="12.8" hidden="false" customHeight="false" outlineLevel="0" collapsed="false">
      <c r="A30296" s="0" t="s">
        <v>11868</v>
      </c>
      <c r="B30296" s="0" t="str">
        <f aca="false">HYPERLINK("https://lindat.mff.cuni.cz/services/teitok/pdtc10/index.php?action=vallex&amp;frame=v-w4157f1", "povídat si (v-w4157f1)")</f>
        <v>povídat si (v-w4157f1)</v>
      </c>
      <c r="E30296" s="0" t="str">
        <f aca="false">HYPERLINK("https://lindat.mff.cuni.cz/services/SynSemClass40/SynSemClass40.html?veclass=vec00031#vec00031-ces-cm00112", "vec00031")</f>
        <v>vec00031</v>
      </c>
      <c r="F30296" s="0" t="s">
        <v>277</v>
      </c>
    </row>
    <row r="30297" customFormat="false" ht="12.8" hidden="false" customHeight="false" outlineLevel="0" collapsed="false">
      <c r="B30297" s="0" t="s">
        <v>1</v>
      </c>
      <c r="C30297" s="0" t="s">
        <v>278</v>
      </c>
      <c r="E30297" s="0" t="s">
        <v>147</v>
      </c>
      <c r="F30297" s="0" t="s">
        <v>279</v>
      </c>
    </row>
    <row r="30298" customFormat="false" ht="12.8" hidden="false" customHeight="false" outlineLevel="0" collapsed="false">
      <c r="B30298" s="0" t="s">
        <v>276</v>
      </c>
      <c r="C30298" s="0" t="s">
        <v>282</v>
      </c>
      <c r="E30298" s="0" t="s">
        <v>221</v>
      </c>
      <c r="F30298" s="0" t="s">
        <v>283</v>
      </c>
    </row>
    <row r="30299" customFormat="false" ht="12.8" hidden="false" customHeight="false" outlineLevel="0" collapsed="false">
      <c r="B30299" s="0" t="s">
        <v>11869</v>
      </c>
      <c r="C30299" s="0" t="s">
        <v>280</v>
      </c>
      <c r="E30299" s="0" t="s">
        <v>218</v>
      </c>
      <c r="F30299" s="0" t="s">
        <v>281</v>
      </c>
    </row>
    <row r="30301" customFormat="false" ht="12.8" hidden="false" customHeight="false" outlineLevel="0" collapsed="false">
      <c r="A30301" s="0" t="s">
        <v>11870</v>
      </c>
      <c r="B30301" s="0" t="str">
        <f aca="false">HYPERLINK("https://lindat.mff.cuni.cz/services/teitok/pdtc10/index.php?action=vallex&amp;frame=v-w4157f2", "povídat si (v-w4157f2)")</f>
        <v>povídat si (v-w4157f2)</v>
      </c>
    </row>
    <row r="30302" customFormat="false" ht="12.8" hidden="false" customHeight="false" outlineLevel="0" collapsed="false">
      <c r="B30302" s="0" t="s">
        <v>1</v>
      </c>
    </row>
    <row r="30303" customFormat="false" ht="12.8" hidden="false" customHeight="false" outlineLevel="0" collapsed="false">
      <c r="B30303" s="0" t="s">
        <v>276</v>
      </c>
    </row>
    <row r="30304" customFormat="false" ht="12.8" hidden="false" customHeight="false" outlineLevel="0" collapsed="false">
      <c r="B30304" s="0" t="s">
        <v>6407</v>
      </c>
    </row>
    <row r="30305" customFormat="false" ht="12.8" hidden="false" customHeight="false" outlineLevel="0" collapsed="false">
      <c r="B30305" s="0" t="s">
        <v>496</v>
      </c>
    </row>
    <row r="30307" customFormat="false" ht="12.8" hidden="false" customHeight="false" outlineLevel="0" collapsed="false">
      <c r="A30307" s="0" t="s">
        <v>11871</v>
      </c>
      <c r="B30307" s="0" t="str">
        <f aca="false">HYPERLINK("https://lindat.mff.cuni.cz/services/teitok/pdtc10/index.php?action=vallex&amp;frame=v-w4178f1", "povýšit (v-w4178f1)")</f>
        <v>povýšit (v-w4178f1)</v>
      </c>
      <c r="E30307" s="0" t="str">
        <f aca="false">HYPERLINK("https://lindat.mff.cuni.cz/services/SynSemClass40/SynSemClass40.html?veclass=vec00095#vec00095-ces-cm00082", "vec00095")</f>
        <v>vec00095</v>
      </c>
      <c r="F30307" s="0" t="s">
        <v>29</v>
      </c>
      <c r="H30307" s="0" t="str">
        <f aca="false">HYPERLINK("https://lindat.mff.cuni.cz/services/SynSemClass40/SynSemClass40.html?veclass=vec00228#vec00228-ces-cm00030", "vec00228")</f>
        <v>vec00228</v>
      </c>
      <c r="I30307" s="0" t="s">
        <v>5000</v>
      </c>
      <c r="K30307" s="0" t="str">
        <f aca="false">HYPERLINK("https://lindat.mff.cuni.cz/services/SynSemClass40/SynSemClass40.html?veclass=vec00891#vec00891-ces-cm00002", "vec00891")</f>
        <v>vec00891</v>
      </c>
      <c r="L30307" s="0" t="s">
        <v>11872</v>
      </c>
    </row>
    <row r="30308" customFormat="false" ht="12.8" hidden="false" customHeight="false" outlineLevel="0" collapsed="false">
      <c r="B30308" s="0" t="s">
        <v>1</v>
      </c>
      <c r="C30308" s="0" t="s">
        <v>11873</v>
      </c>
      <c r="E30308" s="0" t="s">
        <v>31</v>
      </c>
      <c r="F30308" s="0" t="s">
        <v>32</v>
      </c>
      <c r="H30308" s="0" t="s">
        <v>206</v>
      </c>
      <c r="I30308" s="0" t="s">
        <v>5002</v>
      </c>
      <c r="K30308" s="0" t="s">
        <v>8022</v>
      </c>
      <c r="L30308" s="0" t="s">
        <v>11874</v>
      </c>
    </row>
    <row r="30309" customFormat="false" ht="12.8" hidden="false" customHeight="false" outlineLevel="0" collapsed="false">
      <c r="B30309" s="0" t="s">
        <v>8</v>
      </c>
      <c r="C30309" s="0" t="s">
        <v>11875</v>
      </c>
      <c r="E30309" s="0" t="s">
        <v>34</v>
      </c>
      <c r="F30309" s="0" t="s">
        <v>35</v>
      </c>
      <c r="H30309" s="0" t="s">
        <v>4297</v>
      </c>
      <c r="I30309" s="0" t="s">
        <v>5004</v>
      </c>
      <c r="K30309" s="0" t="s">
        <v>8025</v>
      </c>
      <c r="L30309" s="0" t="s">
        <v>11876</v>
      </c>
    </row>
    <row r="30310" customFormat="false" ht="12.8" hidden="false" customHeight="false" outlineLevel="0" collapsed="false">
      <c r="B30310" s="0" t="s">
        <v>40</v>
      </c>
      <c r="C30310" s="0" t="s">
        <v>11877</v>
      </c>
      <c r="E30310" s="0" t="s">
        <v>42</v>
      </c>
      <c r="F30310" s="0" t="s">
        <v>43</v>
      </c>
      <c r="H30310" s="0" t="s">
        <v>5007</v>
      </c>
      <c r="I30310" s="0" t="s">
        <v>5008</v>
      </c>
      <c r="K30310" s="0" t="s">
        <v>11878</v>
      </c>
      <c r="L30310" s="0" t="s">
        <v>11879</v>
      </c>
    </row>
    <row r="30312" customFormat="false" ht="12.8" hidden="false" customHeight="false" outlineLevel="0" collapsed="false">
      <c r="A30312" s="0" t="s">
        <v>11880</v>
      </c>
      <c r="B30312" s="0" t="str">
        <f aca="false">HYPERLINK("https://lindat.mff.cuni.cz/services/teitok/pdtc10/index.php?action=vallex&amp;frame=v-w4178f2", "povýšit (v-w4178f2)")</f>
        <v>povýšit (v-w4178f2)</v>
      </c>
    </row>
    <row r="30313" customFormat="false" ht="12.8" hidden="false" customHeight="false" outlineLevel="0" collapsed="false">
      <c r="B30313" s="0" t="s">
        <v>1</v>
      </c>
    </row>
    <row r="30314" customFormat="false" ht="12.8" hidden="false" customHeight="false" outlineLevel="0" collapsed="false">
      <c r="B30314" s="0" t="s">
        <v>45</v>
      </c>
    </row>
    <row r="30316" customFormat="false" ht="12.8" hidden="false" customHeight="false" outlineLevel="0" collapsed="false">
      <c r="A30316" s="0" t="s">
        <v>11881</v>
      </c>
      <c r="B30316" s="0" t="str">
        <f aca="false">HYPERLINK("https://lindat.mff.cuni.cz/services/teitok/pdtc10/index.php?action=vallex&amp;frame=v-w10345hsa_1929", "povědět (v-w10345hsa_1929)")</f>
        <v>povědět (v-w10345hsa_1929)</v>
      </c>
    </row>
    <row r="30317" customFormat="false" ht="12.8" hidden="false" customHeight="false" outlineLevel="0" collapsed="false">
      <c r="B30317" s="0" t="s">
        <v>1</v>
      </c>
    </row>
    <row r="30318" customFormat="false" ht="12.8" hidden="false" customHeight="false" outlineLevel="0" collapsed="false">
      <c r="B30318" s="0" t="s">
        <v>52</v>
      </c>
    </row>
    <row r="30319" customFormat="false" ht="12.8" hidden="false" customHeight="false" outlineLevel="0" collapsed="false">
      <c r="B30319" s="0" t="s">
        <v>6407</v>
      </c>
    </row>
    <row r="30320" customFormat="false" ht="12.8" hidden="false" customHeight="false" outlineLevel="0" collapsed="false">
      <c r="B30320" s="0" t="s">
        <v>10831</v>
      </c>
    </row>
    <row r="30322" customFormat="false" ht="12.8" hidden="false" customHeight="false" outlineLevel="0" collapsed="false">
      <c r="A30322" s="0" t="s">
        <v>11881</v>
      </c>
      <c r="B30322" s="0" t="str">
        <f aca="false">HYPERLINK("https://lindat.mff.cuni.cz/services/teitok/pdtc10/index.php?action=vallex&amp;frame=v-w10345f2", "povědět (v-w10345f2) - substituted with v-w10345hsa_1929")</f>
        <v>povědět (v-w10345f2) - substituted with v-w10345hsa_1929</v>
      </c>
      <c r="E30322" s="0" t="str">
        <f aca="false">HYPERLINK("https://lindat.mff.cuni.cz/services/SynSemClass40/SynSemClass40.html?veclass=vec00060#vec00060-ces-cm00067", "vec00060")</f>
        <v>vec00060</v>
      </c>
      <c r="F30322" s="0" t="s">
        <v>213</v>
      </c>
      <c r="H30322" s="0" t="str">
        <f aca="false">HYPERLINK("https://lindat.mff.cuni.cz/services/SynSemClass40/SynSemClass40.html?veclass=vec01353#vec01353-ces-cm00047", "vec01353")</f>
        <v>vec01353</v>
      </c>
      <c r="I30322" s="0" t="s">
        <v>6182</v>
      </c>
    </row>
    <row r="30323" customFormat="false" ht="12.8" hidden="false" customHeight="false" outlineLevel="0" collapsed="false">
      <c r="B30323" s="0" t="s">
        <v>1</v>
      </c>
      <c r="C30323" s="0" t="s">
        <v>11882</v>
      </c>
      <c r="E30323" s="0" t="s">
        <v>147</v>
      </c>
      <c r="F30323" s="0" t="s">
        <v>215</v>
      </c>
      <c r="H30323" s="0" t="s">
        <v>147</v>
      </c>
      <c r="I30323" s="0" t="s">
        <v>6184</v>
      </c>
    </row>
    <row r="30324" customFormat="false" ht="12.8" hidden="false" customHeight="false" outlineLevel="0" collapsed="false">
      <c r="B30324" s="0" t="s">
        <v>52</v>
      </c>
      <c r="C30324" s="0" t="s">
        <v>11883</v>
      </c>
      <c r="E30324" s="0" t="s">
        <v>221</v>
      </c>
      <c r="F30324" s="0" t="s">
        <v>222</v>
      </c>
      <c r="H30324" s="0" t="s">
        <v>221</v>
      </c>
      <c r="I30324" s="0" t="s">
        <v>6188</v>
      </c>
    </row>
    <row r="30325" customFormat="false" ht="12.8" hidden="false" customHeight="false" outlineLevel="0" collapsed="false">
      <c r="B30325" s="0" t="s">
        <v>6407</v>
      </c>
      <c r="C30325" s="0" t="s">
        <v>11884</v>
      </c>
      <c r="E30325" s="0" t="s">
        <v>2217</v>
      </c>
      <c r="F30325" s="0" t="s">
        <v>2218</v>
      </c>
      <c r="H30325" s="0" t="s">
        <v>2217</v>
      </c>
      <c r="I30325" s="0" t="s">
        <v>11885</v>
      </c>
    </row>
    <row r="30326" customFormat="false" ht="12.8" hidden="false" customHeight="false" outlineLevel="0" collapsed="false">
      <c r="B30326" s="0" t="s">
        <v>10831</v>
      </c>
      <c r="C30326" s="0" t="s">
        <v>11886</v>
      </c>
      <c r="E30326" s="0" t="s">
        <v>218</v>
      </c>
      <c r="F30326" s="0" t="s">
        <v>219</v>
      </c>
      <c r="H30326" s="0" t="s">
        <v>218</v>
      </c>
      <c r="I30326" s="0" t="s">
        <v>6186</v>
      </c>
    </row>
    <row r="30328" customFormat="false" ht="12.8" hidden="false" customHeight="false" outlineLevel="0" collapsed="false">
      <c r="A30328" s="0" t="s">
        <v>11887</v>
      </c>
      <c r="B30328" s="0" t="str">
        <f aca="false">HYPERLINK("https://lindat.mff.cuni.cz/services/teitok/pdtc10/index.php?action=vallex&amp;frame=v-w4150f2_ZU", "pověsit (v-w4150f2_ZU)")</f>
        <v>pověsit (v-w4150f2_ZU)</v>
      </c>
    </row>
    <row r="30329" customFormat="false" ht="12.8" hidden="false" customHeight="false" outlineLevel="0" collapsed="false">
      <c r="B30329" s="0" t="s">
        <v>1</v>
      </c>
    </row>
    <row r="30330" customFormat="false" ht="12.8" hidden="false" customHeight="false" outlineLevel="0" collapsed="false">
      <c r="B30330" s="0" t="s">
        <v>8</v>
      </c>
    </row>
    <row r="30332" customFormat="false" ht="12.8" hidden="false" customHeight="false" outlineLevel="0" collapsed="false">
      <c r="A30332" s="0" t="s">
        <v>11887</v>
      </c>
      <c r="B30332" s="0" t="str">
        <f aca="false">HYPERLINK("https://lindat.mff.cuni.cz/services/teitok/pdtc10/index.php?action=vallex&amp;frame=v-w4150f1", "pověsit (v-w4150f1) - substituted with v-w4150f2_ZU")</f>
        <v>pověsit (v-w4150f1) - substituted with v-w4150f2_ZU</v>
      </c>
      <c r="E30332" s="0" t="str">
        <f aca="false">HYPERLINK("https://lindat.mff.cuni.cz/services/SynSemClass40/SynSemClass40.html?veclass=vec00735#vec00735-ces-cm00153", "vec00735")</f>
        <v>vec00735</v>
      </c>
      <c r="F30332" s="0" t="s">
        <v>2719</v>
      </c>
      <c r="H30332" s="0" t="str">
        <f aca="false">HYPERLINK("https://lindat.mff.cuni.cz/services/SynSemClass40/SynSemClass40.html?veclass=vec00899#vec00899-ces-cm00004", "vec00899")</f>
        <v>vec00899</v>
      </c>
      <c r="I30332" s="0" t="s">
        <v>7652</v>
      </c>
    </row>
    <row r="30333" customFormat="false" ht="12.8" hidden="false" customHeight="false" outlineLevel="0" collapsed="false">
      <c r="B30333" s="0" t="s">
        <v>1</v>
      </c>
      <c r="C30333" s="0" t="s">
        <v>11888</v>
      </c>
      <c r="E30333" s="0" t="s">
        <v>334</v>
      </c>
      <c r="F30333" s="0" t="s">
        <v>2721</v>
      </c>
      <c r="H30333" s="0" t="s">
        <v>31</v>
      </c>
      <c r="I30333" s="0" t="s">
        <v>7653</v>
      </c>
    </row>
    <row r="30334" customFormat="false" ht="12.8" hidden="false" customHeight="false" outlineLevel="0" collapsed="false">
      <c r="B30334" s="0" t="s">
        <v>8</v>
      </c>
      <c r="C30334" s="0" t="s">
        <v>11889</v>
      </c>
      <c r="E30334" s="0" t="s">
        <v>2648</v>
      </c>
      <c r="F30334" s="0" t="s">
        <v>2723</v>
      </c>
      <c r="H30334" s="0" t="s">
        <v>1569</v>
      </c>
      <c r="I30334" s="0" t="s">
        <v>7655</v>
      </c>
    </row>
    <row r="30336" customFormat="false" ht="12.8" hidden="false" customHeight="false" outlineLevel="0" collapsed="false">
      <c r="A30336" s="0" t="s">
        <v>11890</v>
      </c>
      <c r="B30336" s="0" t="str">
        <f aca="false">HYPERLINK("https://lindat.mff.cuni.cz/services/teitok/pdtc10/index.php?action=vallex&amp;frame=v-w4151f1", "pověsit se (v-w4151f1)")</f>
        <v>pověsit se (v-w4151f1)</v>
      </c>
    </row>
    <row r="30337" customFormat="false" ht="12.8" hidden="false" customHeight="false" outlineLevel="0" collapsed="false">
      <c r="B30337" s="0" t="s">
        <v>1</v>
      </c>
    </row>
    <row r="30338" customFormat="false" ht="12.8" hidden="false" customHeight="false" outlineLevel="0" collapsed="false">
      <c r="B30338" s="0" t="s">
        <v>3869</v>
      </c>
    </row>
    <row r="30339" customFormat="false" ht="12.8" hidden="false" customHeight="false" outlineLevel="0" collapsed="false">
      <c r="B30339" s="0" t="s">
        <v>186</v>
      </c>
    </row>
    <row r="30341" customFormat="false" ht="12.8" hidden="false" customHeight="false" outlineLevel="0" collapsed="false">
      <c r="A30341" s="0" t="s">
        <v>11891</v>
      </c>
      <c r="B30341" s="0" t="str">
        <f aca="false">HYPERLINK("https://lindat.mff.cuni.cz/services/teitok/pdtc10/index.php?action=vallex&amp;frame=v-w4148f1", "pověřit (v-w4148f1)")</f>
        <v>pověřit (v-w4148f1)</v>
      </c>
      <c r="E30341" s="0" t="str">
        <f aca="false">HYPERLINK("https://lindat.mff.cuni.cz/services/SynSemClass40/SynSemClass40.html?veclass=vec00571#vec00571-ces-cm00053", "vec00571")</f>
        <v>vec00571</v>
      </c>
      <c r="F30341" s="0" t="s">
        <v>1861</v>
      </c>
      <c r="H30341" s="0" t="str">
        <f aca="false">HYPERLINK("https://lindat.mff.cuni.cz/services/SynSemClass40/SynSemClass40.html?veclass=vec01407#vec01407-ces-cm00047", "vec01407")</f>
        <v>vec01407</v>
      </c>
      <c r="I30341" s="0" t="s">
        <v>3394</v>
      </c>
    </row>
    <row r="30342" customFormat="false" ht="12.8" hidden="false" customHeight="false" outlineLevel="0" collapsed="false">
      <c r="B30342" s="0" t="s">
        <v>1</v>
      </c>
      <c r="C30342" s="0" t="s">
        <v>11892</v>
      </c>
      <c r="E30342" s="0" t="s">
        <v>31</v>
      </c>
      <c r="F30342" s="0" t="s">
        <v>1865</v>
      </c>
      <c r="H30342" s="0" t="s">
        <v>206</v>
      </c>
      <c r="I30342" s="0" t="s">
        <v>3396</v>
      </c>
    </row>
    <row r="30343" customFormat="false" ht="12.8" hidden="false" customHeight="false" outlineLevel="0" collapsed="false">
      <c r="B30343" s="0" t="s">
        <v>11893</v>
      </c>
      <c r="C30343" s="0" t="s">
        <v>11894</v>
      </c>
      <c r="E30343" s="0" t="s">
        <v>1871</v>
      </c>
      <c r="F30343" s="0" t="s">
        <v>1872</v>
      </c>
      <c r="H30343" s="0" t="s">
        <v>1871</v>
      </c>
      <c r="I30343" s="0" t="s">
        <v>3398</v>
      </c>
    </row>
    <row r="30344" customFormat="false" ht="12.8" hidden="false" customHeight="false" outlineLevel="0" collapsed="false">
      <c r="B30344" s="0" t="s">
        <v>98</v>
      </c>
      <c r="C30344" s="0" t="s">
        <v>11895</v>
      </c>
      <c r="E30344" s="0" t="s">
        <v>564</v>
      </c>
      <c r="F30344" s="0" t="s">
        <v>1878</v>
      </c>
      <c r="H30344" s="0" t="s">
        <v>2287</v>
      </c>
      <c r="I30344" s="0" t="s">
        <v>3400</v>
      </c>
    </row>
    <row r="30346" customFormat="false" ht="12.8" hidden="false" customHeight="false" outlineLevel="0" collapsed="false">
      <c r="A30346" s="0" t="s">
        <v>11896</v>
      </c>
      <c r="B30346" s="0" t="str">
        <f aca="false">HYPERLINK("https://lindat.mff.cuni.cz/services/teitok/pdtc10/index.php?action=vallex&amp;frame=v-w4149f1", "pověřovat (v-w4149f1)")</f>
        <v>pověřovat (v-w4149f1)</v>
      </c>
      <c r="E30346" s="0" t="str">
        <f aca="false">HYPERLINK("https://lindat.mff.cuni.cz/services/SynSemClass40/SynSemClass40.html?veclass=vec00571#vec00571-ces-cm00078", "vec00571")</f>
        <v>vec00571</v>
      </c>
      <c r="F30346" s="0" t="s">
        <v>1861</v>
      </c>
    </row>
    <row r="30347" customFormat="false" ht="12.8" hidden="false" customHeight="false" outlineLevel="0" collapsed="false">
      <c r="B30347" s="0" t="s">
        <v>1</v>
      </c>
      <c r="C30347" s="0" t="s">
        <v>11897</v>
      </c>
      <c r="E30347" s="0" t="s">
        <v>31</v>
      </c>
      <c r="F30347" s="0" t="s">
        <v>1865</v>
      </c>
    </row>
    <row r="30348" customFormat="false" ht="12.8" hidden="false" customHeight="false" outlineLevel="0" collapsed="false">
      <c r="B30348" s="0" t="s">
        <v>11898</v>
      </c>
      <c r="C30348" s="0" t="s">
        <v>5753</v>
      </c>
      <c r="E30348" s="0" t="s">
        <v>1871</v>
      </c>
      <c r="F30348" s="0" t="s">
        <v>1872</v>
      </c>
    </row>
    <row r="30349" customFormat="false" ht="12.8" hidden="false" customHeight="false" outlineLevel="0" collapsed="false">
      <c r="B30349" s="0" t="s">
        <v>98</v>
      </c>
      <c r="C30349" s="0" t="s">
        <v>11899</v>
      </c>
      <c r="E30349" s="0" t="s">
        <v>564</v>
      </c>
      <c r="F30349" s="0" t="s">
        <v>1878</v>
      </c>
    </row>
    <row r="30351" customFormat="false" ht="12.8" hidden="false" customHeight="false" outlineLevel="0" collapsed="false">
      <c r="A30351" s="0" t="s">
        <v>11900</v>
      </c>
      <c r="B30351" s="0" t="str">
        <f aca="false">HYPERLINK("https://lindat.mff.cuni.cz/services/teitok/pdtc10/index.php?action=vallex&amp;frame=v-w4174f1", "povšimnout si (v-w4174f1)")</f>
        <v>povšimnout si (v-w4174f1)</v>
      </c>
      <c r="E30351" s="0" t="str">
        <f aca="false">HYPERLINK("https://lindat.mff.cuni.cz/services/SynSemClass40/SynSemClass40.html?veclass=vec00154#vec00154-ces-cm00109", "vec00154")</f>
        <v>vec00154</v>
      </c>
      <c r="F30351" s="0" t="s">
        <v>11901</v>
      </c>
      <c r="H30351" s="0" t="str">
        <f aca="false">HYPERLINK("https://lindat.mff.cuni.cz/services/SynSemClass40/SynSemClass40.html?veclass=vec01545#vec01545-ces-cm00011", "vec01545")</f>
        <v>vec01545</v>
      </c>
      <c r="I30351" s="0" t="s">
        <v>11902</v>
      </c>
    </row>
    <row r="30352" customFormat="false" ht="12.8" hidden="false" customHeight="false" outlineLevel="0" collapsed="false">
      <c r="B30352" s="0" t="s">
        <v>1</v>
      </c>
      <c r="C30352" s="0" t="s">
        <v>11903</v>
      </c>
      <c r="E30352" s="0" t="s">
        <v>637</v>
      </c>
      <c r="F30352" s="0" t="s">
        <v>11904</v>
      </c>
      <c r="H30352" s="0" t="s">
        <v>621</v>
      </c>
      <c r="I30352" s="0" t="s">
        <v>11905</v>
      </c>
    </row>
    <row r="30353" customFormat="false" ht="12.8" hidden="false" customHeight="false" outlineLevel="0" collapsed="false">
      <c r="B30353" s="0" t="s">
        <v>11906</v>
      </c>
      <c r="C30353" s="0" t="s">
        <v>11907</v>
      </c>
      <c r="E30353" s="0" t="s">
        <v>640</v>
      </c>
      <c r="F30353" s="0" t="s">
        <v>11908</v>
      </c>
      <c r="H30353" s="0" t="s">
        <v>271</v>
      </c>
      <c r="I30353" s="0" t="s">
        <v>11909</v>
      </c>
    </row>
    <row r="30355" customFormat="false" ht="12.8" hidden="false" customHeight="false" outlineLevel="0" collapsed="false">
      <c r="A30355" s="0" t="s">
        <v>11910</v>
      </c>
      <c r="B30355" s="0" t="str">
        <f aca="false">HYPERLINK("https://lindat.mff.cuni.cz/services/teitok/pdtc10/index.php?action=vallex&amp;frame=v-w12222_ZUf1_ZU", "pozabíjet (v-w12222_ZUf1_ZU)")</f>
        <v>pozabíjet (v-w12222_ZUf1_ZU)</v>
      </c>
    </row>
    <row r="30356" customFormat="false" ht="12.8" hidden="false" customHeight="false" outlineLevel="0" collapsed="false">
      <c r="B30356" s="0" t="s">
        <v>1</v>
      </c>
    </row>
    <row r="30357" customFormat="false" ht="12.8" hidden="false" customHeight="false" outlineLevel="0" collapsed="false">
      <c r="B30357" s="0" t="s">
        <v>8</v>
      </c>
    </row>
    <row r="30359" customFormat="false" ht="12.8" hidden="false" customHeight="false" outlineLevel="0" collapsed="false">
      <c r="A30359" s="0" t="s">
        <v>11911</v>
      </c>
      <c r="B30359" s="0" t="str">
        <f aca="false">HYPERLINK("https://lindat.mff.cuni.cz/services/teitok/pdtc10/index.php?action=vallex&amp;frame=v-w4188f1", "pozapomenout (v-w4188f1)")</f>
        <v>pozapomenout (v-w4188f1)</v>
      </c>
    </row>
    <row r="30360" customFormat="false" ht="12.8" hidden="false" customHeight="false" outlineLevel="0" collapsed="false">
      <c r="B30360" s="0" t="s">
        <v>1</v>
      </c>
    </row>
    <row r="30361" customFormat="false" ht="12.8" hidden="false" customHeight="false" outlineLevel="0" collapsed="false">
      <c r="B30361" s="0" t="s">
        <v>11912</v>
      </c>
    </row>
    <row r="30363" customFormat="false" ht="12.8" hidden="false" customHeight="false" outlineLevel="0" collapsed="false">
      <c r="A30363" s="0" t="s">
        <v>11913</v>
      </c>
      <c r="B30363" s="0" t="str">
        <f aca="false">HYPERLINK("https://lindat.mff.cuni.cz/services/teitok/pdtc10/index.php?action=vallex&amp;frame=v-w4190f1", "pozastavit (v-w4190f1)")</f>
        <v>pozastavit (v-w4190f1)</v>
      </c>
      <c r="E30363" s="0" t="str">
        <f aca="false">HYPERLINK("https://lindat.mff.cuni.cz/services/SynSemClass40/SynSemClass40.html?veclass=vec00486#vec00486-ces-cm00024", "vec00486")</f>
        <v>vec00486</v>
      </c>
      <c r="F30363" s="0" t="s">
        <v>542</v>
      </c>
      <c r="H30363" s="0" t="str">
        <f aca="false">HYPERLINK("https://lindat.mff.cuni.cz/services/SynSemClass40/SynSemClass40.html?veclass=vec01375#vec01375-ces-cm00006", "vec01375")</f>
        <v>vec01375</v>
      </c>
      <c r="I30363" s="0" t="s">
        <v>11914</v>
      </c>
    </row>
    <row r="30364" customFormat="false" ht="12.8" hidden="false" customHeight="false" outlineLevel="0" collapsed="false">
      <c r="B30364" s="0" t="s">
        <v>1</v>
      </c>
      <c r="C30364" s="0" t="s">
        <v>11915</v>
      </c>
      <c r="E30364" s="0" t="s">
        <v>206</v>
      </c>
      <c r="F30364" s="0" t="s">
        <v>544</v>
      </c>
      <c r="H30364" s="0" t="s">
        <v>206</v>
      </c>
      <c r="I30364" s="0" t="s">
        <v>11916</v>
      </c>
    </row>
    <row r="30365" customFormat="false" ht="12.8" hidden="false" customHeight="false" outlineLevel="0" collapsed="false">
      <c r="B30365" s="0" t="s">
        <v>8</v>
      </c>
      <c r="C30365" s="0" t="s">
        <v>11917</v>
      </c>
      <c r="E30365" s="0" t="s">
        <v>79</v>
      </c>
      <c r="F30365" s="0" t="s">
        <v>546</v>
      </c>
      <c r="H30365" s="0" t="s">
        <v>7315</v>
      </c>
      <c r="I30365" s="0" t="s">
        <v>11918</v>
      </c>
    </row>
    <row r="30367" customFormat="false" ht="12.8" hidden="false" customHeight="false" outlineLevel="0" collapsed="false">
      <c r="A30367" s="0" t="s">
        <v>11919</v>
      </c>
      <c r="B30367" s="0" t="str">
        <f aca="false">HYPERLINK("https://lindat.mff.cuni.cz/services/teitok/pdtc10/index.php?action=vallex&amp;frame=v-w4191f1", "pozastavit se (v-w4191f1)")</f>
        <v>pozastavit se (v-w4191f1)</v>
      </c>
    </row>
    <row r="30368" customFormat="false" ht="12.8" hidden="false" customHeight="false" outlineLevel="0" collapsed="false">
      <c r="B30368" s="0" t="s">
        <v>1</v>
      </c>
    </row>
    <row r="30369" customFormat="false" ht="12.8" hidden="false" customHeight="false" outlineLevel="0" collapsed="false">
      <c r="B30369" s="0" t="s">
        <v>294</v>
      </c>
    </row>
    <row r="30371" customFormat="false" ht="12.8" hidden="false" customHeight="false" outlineLevel="0" collapsed="false">
      <c r="A30371" s="0" t="s">
        <v>11920</v>
      </c>
      <c r="B30371" s="0" t="str">
        <f aca="false">HYPERLINK("https://lindat.mff.cuni.cz/services/teitok/pdtc10/index.php?action=vallex&amp;frame=v-w4191f2", "pozastavit se (v-w4191f2)")</f>
        <v>pozastavit se (v-w4191f2)</v>
      </c>
    </row>
    <row r="30372" customFormat="false" ht="12.8" hidden="false" customHeight="false" outlineLevel="0" collapsed="false">
      <c r="B30372" s="0" t="s">
        <v>1</v>
      </c>
    </row>
    <row r="30373" customFormat="false" ht="12.8" hidden="false" customHeight="false" outlineLevel="0" collapsed="false">
      <c r="B30373" s="0" t="s">
        <v>5</v>
      </c>
    </row>
    <row r="30375" customFormat="false" ht="12.8" hidden="false" customHeight="false" outlineLevel="0" collapsed="false">
      <c r="A30375" s="0" t="s">
        <v>11921</v>
      </c>
      <c r="B30375" s="0" t="str">
        <f aca="false">HYPERLINK("https://lindat.mff.cuni.cz/services/teitok/pdtc10/index.php?action=vallex&amp;frame=v-w4191f3", "pozastavit se (v-w4191f3)")</f>
        <v>pozastavit se (v-w4191f3)</v>
      </c>
    </row>
    <row r="30376" customFormat="false" ht="12.8" hidden="false" customHeight="false" outlineLevel="0" collapsed="false">
      <c r="B30376" s="0" t="s">
        <v>1</v>
      </c>
    </row>
    <row r="30378" customFormat="false" ht="12.8" hidden="false" customHeight="false" outlineLevel="0" collapsed="false">
      <c r="A30378" s="0" t="s">
        <v>11922</v>
      </c>
      <c r="B30378" s="0" t="str">
        <f aca="false">HYPERLINK("https://lindat.mff.cuni.cz/services/teitok/pdtc10/index.php?action=vallex&amp;frame=v-w4192f1", "pozastavovat (v-w4192f1)")</f>
        <v>pozastavovat (v-w4192f1)</v>
      </c>
      <c r="E30378" s="0" t="str">
        <f aca="false">HYPERLINK("https://lindat.mff.cuni.cz/services/SynSemClass40/SynSemClass40.html?veclass=vec00486#vec00486-ces-cm00025", "vec00486")</f>
        <v>vec00486</v>
      </c>
      <c r="F30378" s="0" t="s">
        <v>542</v>
      </c>
      <c r="H30378" s="0" t="str">
        <f aca="false">HYPERLINK("https://lindat.mff.cuni.cz/services/SynSemClass40/SynSemClass40.html?veclass=vec01375#vec01375-ces-cm00002", "vec01375")</f>
        <v>vec01375</v>
      </c>
      <c r="I30378" s="0" t="s">
        <v>11914</v>
      </c>
    </row>
    <row r="30379" customFormat="false" ht="12.8" hidden="false" customHeight="false" outlineLevel="0" collapsed="false">
      <c r="B30379" s="0" t="s">
        <v>1</v>
      </c>
      <c r="C30379" s="0" t="s">
        <v>11915</v>
      </c>
      <c r="E30379" s="0" t="s">
        <v>206</v>
      </c>
      <c r="F30379" s="0" t="s">
        <v>544</v>
      </c>
      <c r="H30379" s="0" t="s">
        <v>206</v>
      </c>
      <c r="I30379" s="0" t="s">
        <v>11916</v>
      </c>
    </row>
    <row r="30380" customFormat="false" ht="12.8" hidden="false" customHeight="false" outlineLevel="0" collapsed="false">
      <c r="B30380" s="0" t="s">
        <v>8</v>
      </c>
      <c r="C30380" s="0" t="s">
        <v>11917</v>
      </c>
      <c r="E30380" s="0" t="s">
        <v>79</v>
      </c>
      <c r="F30380" s="0" t="s">
        <v>546</v>
      </c>
      <c r="H30380" s="0" t="s">
        <v>7315</v>
      </c>
      <c r="I30380" s="0" t="s">
        <v>11918</v>
      </c>
    </row>
    <row r="30382" customFormat="false" ht="12.8" hidden="false" customHeight="false" outlineLevel="0" collapsed="false">
      <c r="A30382" s="0" t="s">
        <v>11923</v>
      </c>
      <c r="B30382" s="0" t="str">
        <f aca="false">HYPERLINK("https://lindat.mff.cuni.cz/services/teitok/pdtc10/index.php?action=vallex&amp;frame=v-w4192hsa_50", "pozastavovat (v-w4192hsa_50)")</f>
        <v>pozastavovat (v-w4192hsa_50)</v>
      </c>
      <c r="E30382" s="0" t="str">
        <f aca="false">HYPERLINK("https://lindat.mff.cuni.cz/services/SynSemClass40/SynSemClass40.html?veclass=vec00486#vec00486-ces-cm00026", "vec00486")</f>
        <v>vec00486</v>
      </c>
      <c r="F30382" s="0" t="s">
        <v>542</v>
      </c>
    </row>
    <row r="30383" customFormat="false" ht="12.8" hidden="false" customHeight="false" outlineLevel="0" collapsed="false">
      <c r="B30383" s="0" t="s">
        <v>1</v>
      </c>
      <c r="C30383" s="0" t="s">
        <v>543</v>
      </c>
      <c r="E30383" s="0" t="s">
        <v>206</v>
      </c>
      <c r="F30383" s="0" t="s">
        <v>544</v>
      </c>
    </row>
    <row r="30384" customFormat="false" ht="12.8" hidden="false" customHeight="false" outlineLevel="0" collapsed="false">
      <c r="B30384" s="0" t="s">
        <v>8</v>
      </c>
      <c r="C30384" s="0" t="s">
        <v>545</v>
      </c>
      <c r="E30384" s="0" t="s">
        <v>79</v>
      </c>
      <c r="F30384" s="0" t="s">
        <v>546</v>
      </c>
    </row>
    <row r="30386" customFormat="false" ht="12.8" hidden="false" customHeight="false" outlineLevel="0" collapsed="false">
      <c r="A30386" s="0" t="s">
        <v>11924</v>
      </c>
      <c r="B30386" s="0" t="str">
        <f aca="false">HYPERLINK("https://lindat.mff.cuni.cz/services/teitok/pdtc10/index.php?action=vallex&amp;frame=v-w4193f1", "pozastavovat se (v-w4193f1)")</f>
        <v>pozastavovat se (v-w4193f1)</v>
      </c>
      <c r="E30386" s="0" t="str">
        <f aca="false">HYPERLINK("https://lindat.mff.cuni.cz/services/SynSemClass40/SynSemClass40.html?veclass=vec01209#vec01209-ces-cm00004", "vec01209")</f>
        <v>vec01209</v>
      </c>
      <c r="F30386" s="0" t="s">
        <v>1101</v>
      </c>
    </row>
    <row r="30387" customFormat="false" ht="12.8" hidden="false" customHeight="false" outlineLevel="0" collapsed="false">
      <c r="B30387" s="0" t="s">
        <v>1</v>
      </c>
      <c r="E30387" s="0" t="s">
        <v>266</v>
      </c>
      <c r="F30387" s="0" t="s">
        <v>2052</v>
      </c>
    </row>
    <row r="30388" customFormat="false" ht="12.8" hidden="false" customHeight="false" outlineLevel="0" collapsed="false">
      <c r="B30388" s="0" t="s">
        <v>294</v>
      </c>
      <c r="E30388" s="0" t="s">
        <v>271</v>
      </c>
      <c r="F30388" s="0" t="s">
        <v>2053</v>
      </c>
    </row>
    <row r="30390" customFormat="false" ht="12.8" hidden="false" customHeight="false" outlineLevel="0" collapsed="false">
      <c r="A30390" s="0" t="s">
        <v>11925</v>
      </c>
      <c r="B30390" s="0" t="str">
        <f aca="false">HYPERLINK("https://lindat.mff.cuni.cz/services/teitok/pdtc10/index.php?action=vallex&amp;frame=v-w4194f1", "pozatýkat (v-w4194f1)")</f>
        <v>pozatýkat (v-w4194f1)</v>
      </c>
    </row>
    <row r="30391" customFormat="false" ht="12.8" hidden="false" customHeight="false" outlineLevel="0" collapsed="false">
      <c r="B30391" s="0" t="s">
        <v>1</v>
      </c>
    </row>
    <row r="30392" customFormat="false" ht="12.8" hidden="false" customHeight="false" outlineLevel="0" collapsed="false">
      <c r="B30392" s="0" t="s">
        <v>8</v>
      </c>
    </row>
    <row r="30394" customFormat="false" ht="12.8" hidden="false" customHeight="false" outlineLevel="0" collapsed="false">
      <c r="A30394" s="0" t="s">
        <v>11926</v>
      </c>
      <c r="B30394" s="0" t="str">
        <f aca="false">HYPERLINK("https://lindat.mff.cuni.cz/services/teitok/pdtc10/index.php?action=vallex&amp;frame=v-w4195f2", "pozbýt (v-w4195f2)")</f>
        <v>pozbýt (v-w4195f2)</v>
      </c>
    </row>
    <row r="30395" customFormat="false" ht="12.8" hidden="false" customHeight="false" outlineLevel="0" collapsed="false">
      <c r="B30395" s="0" t="s">
        <v>1</v>
      </c>
    </row>
    <row r="30396" customFormat="false" ht="12.8" hidden="false" customHeight="false" outlineLevel="0" collapsed="false">
      <c r="B30396" s="0" t="s">
        <v>1289</v>
      </c>
    </row>
    <row r="30398" customFormat="false" ht="12.8" hidden="false" customHeight="false" outlineLevel="0" collapsed="false">
      <c r="A30398" s="0" t="s">
        <v>11927</v>
      </c>
      <c r="B30398" s="0" t="str">
        <f aca="false">HYPERLINK("https://lindat.mff.cuni.cz/services/teitok/pdtc10/index.php?action=vallex&amp;frame=v-w4195f1", "pozbýt (v-w4195f1)")</f>
        <v>pozbýt (v-w4195f1)</v>
      </c>
    </row>
    <row r="30399" customFormat="false" ht="12.8" hidden="false" customHeight="false" outlineLevel="0" collapsed="false">
      <c r="B30399" s="0" t="s">
        <v>1</v>
      </c>
    </row>
    <row r="30400" customFormat="false" ht="12.8" hidden="false" customHeight="false" outlineLevel="0" collapsed="false">
      <c r="B30400" s="0" t="s">
        <v>11928</v>
      </c>
    </row>
    <row r="30402" customFormat="false" ht="12.8" hidden="false" customHeight="false" outlineLevel="0" collapsed="false">
      <c r="A30402" s="0" t="s">
        <v>11929</v>
      </c>
      <c r="B30402" s="0" t="str">
        <f aca="false">HYPERLINK("https://lindat.mff.cuni.cz/services/teitok/pdtc10/index.php?action=vallex&amp;frame=v-w4196f2", "pozbývat (v-w4196f2)")</f>
        <v>pozbývat (v-w4196f2)</v>
      </c>
    </row>
    <row r="30403" customFormat="false" ht="12.8" hidden="false" customHeight="false" outlineLevel="0" collapsed="false">
      <c r="B30403" s="0" t="s">
        <v>1</v>
      </c>
    </row>
    <row r="30404" customFormat="false" ht="12.8" hidden="false" customHeight="false" outlineLevel="0" collapsed="false">
      <c r="B30404" s="0" t="s">
        <v>11930</v>
      </c>
    </row>
    <row r="30406" customFormat="false" ht="12.8" hidden="false" customHeight="false" outlineLevel="0" collapsed="false">
      <c r="A30406" s="0" t="s">
        <v>11929</v>
      </c>
      <c r="B30406" s="0" t="str">
        <f aca="false">HYPERLINK("https://lindat.mff.cuni.cz/services/teitok/pdtc10/index.php?action=vallex&amp;frame=v-w4196f1", "pozbývat (v-w4196f1) - substituted with v-w4196f2")</f>
        <v>pozbývat (v-w4196f1) - substituted with v-w4196f2</v>
      </c>
    </row>
    <row r="30407" customFormat="false" ht="12.8" hidden="false" customHeight="false" outlineLevel="0" collapsed="false">
      <c r="B30407" s="0" t="s">
        <v>1</v>
      </c>
    </row>
    <row r="30408" customFormat="false" ht="12.8" hidden="false" customHeight="false" outlineLevel="0" collapsed="false">
      <c r="B30408" s="0" t="s">
        <v>11930</v>
      </c>
    </row>
    <row r="30410" customFormat="false" ht="12.8" hidden="false" customHeight="false" outlineLevel="0" collapsed="false">
      <c r="A30410" s="0" t="s">
        <v>11931</v>
      </c>
      <c r="B30410" s="0" t="str">
        <f aca="false">HYPERLINK("https://lindat.mff.cuni.cz/services/teitok/pdtc10/index.php?action=vallex&amp;frame=v-w4198f1", "pozdravit (v-w4198f1)")</f>
        <v>pozdravit (v-w4198f1)</v>
      </c>
    </row>
    <row r="30411" customFormat="false" ht="12.8" hidden="false" customHeight="false" outlineLevel="0" collapsed="false">
      <c r="B30411" s="0" t="s">
        <v>1</v>
      </c>
    </row>
    <row r="30412" customFormat="false" ht="12.8" hidden="false" customHeight="false" outlineLevel="0" collapsed="false">
      <c r="B30412" s="0" t="s">
        <v>8</v>
      </c>
    </row>
    <row r="30413" customFormat="false" ht="12.8" hidden="false" customHeight="false" outlineLevel="0" collapsed="false">
      <c r="B30413" s="0" t="s">
        <v>602</v>
      </c>
    </row>
    <row r="30415" customFormat="false" ht="12.8" hidden="false" customHeight="false" outlineLevel="0" collapsed="false">
      <c r="A30415" s="0" t="s">
        <v>11932</v>
      </c>
      <c r="B30415" s="0" t="str">
        <f aca="false">HYPERLINK("https://lindat.mff.cuni.cz/services/teitok/pdtc10/index.php?action=vallex&amp;frame=v-w4198hsa_1121", "pozdravit (v-w4198hsa_1121)")</f>
        <v>pozdravit (v-w4198hsa_1121)</v>
      </c>
    </row>
    <row r="30416" customFormat="false" ht="12.8" hidden="false" customHeight="false" outlineLevel="0" collapsed="false">
      <c r="B30416" s="0" t="s">
        <v>1</v>
      </c>
    </row>
    <row r="30417" customFormat="false" ht="12.8" hidden="false" customHeight="false" outlineLevel="0" collapsed="false">
      <c r="B30417" s="0" t="s">
        <v>8</v>
      </c>
    </row>
    <row r="30419" customFormat="false" ht="12.8" hidden="false" customHeight="false" outlineLevel="0" collapsed="false">
      <c r="A30419" s="0" t="s">
        <v>11933</v>
      </c>
      <c r="B30419" s="0" t="str">
        <f aca="false">HYPERLINK("https://lindat.mff.cuni.cz/services/teitok/pdtc10/index.php?action=vallex&amp;frame=v-whsa_1981hsa_1982", "pozdravit se (v-whsa_1981hsa_1982)")</f>
        <v>pozdravit se (v-whsa_1981hsa_1982)</v>
      </c>
    </row>
    <row r="30420" customFormat="false" ht="12.8" hidden="false" customHeight="false" outlineLevel="0" collapsed="false">
      <c r="B30420" s="0" t="s">
        <v>1</v>
      </c>
    </row>
    <row r="30421" customFormat="false" ht="12.8" hidden="false" customHeight="false" outlineLevel="0" collapsed="false">
      <c r="B30421" s="0" t="s">
        <v>721</v>
      </c>
    </row>
    <row r="30423" customFormat="false" ht="12.8" hidden="false" customHeight="false" outlineLevel="0" collapsed="false">
      <c r="A30423" s="0" t="s">
        <v>11934</v>
      </c>
      <c r="B30423" s="0" t="str">
        <f aca="false">HYPERLINK("https://lindat.mff.cuni.cz/services/teitok/pdtc10/index.php?action=vallex&amp;frame=v-w4199f1", "pozdravovat (v-w4199f1)")</f>
        <v>pozdravovat (v-w4199f1)</v>
      </c>
    </row>
    <row r="30424" customFormat="false" ht="12.8" hidden="false" customHeight="false" outlineLevel="0" collapsed="false">
      <c r="B30424" s="0" t="s">
        <v>1</v>
      </c>
    </row>
    <row r="30425" customFormat="false" ht="12.8" hidden="false" customHeight="false" outlineLevel="0" collapsed="false">
      <c r="B30425" s="0" t="s">
        <v>8</v>
      </c>
    </row>
    <row r="30426" customFormat="false" ht="12.8" hidden="false" customHeight="false" outlineLevel="0" collapsed="false">
      <c r="B30426" s="0" t="s">
        <v>602</v>
      </c>
    </row>
    <row r="30428" customFormat="false" ht="12.8" hidden="false" customHeight="false" outlineLevel="0" collapsed="false">
      <c r="A30428" s="0" t="s">
        <v>11935</v>
      </c>
      <c r="B30428" s="0" t="str">
        <f aca="false">HYPERLINK("https://lindat.mff.cuni.cz/services/teitok/pdtc10/index.php?action=vallex&amp;frame=v-w4200f1", "pozdržet (v-w4200f1)")</f>
        <v>pozdržet (v-w4200f1)</v>
      </c>
      <c r="E30428" s="0" t="str">
        <f aca="false">HYPERLINK("https://lindat.mff.cuni.cz/services/SynSemClass40/SynSemClass40.html?veclass=vec00486#vec00486-ces-cm00001", "vec00486")</f>
        <v>vec00486</v>
      </c>
      <c r="F30428" s="0" t="s">
        <v>542</v>
      </c>
    </row>
    <row r="30429" customFormat="false" ht="12.8" hidden="false" customHeight="false" outlineLevel="0" collapsed="false">
      <c r="B30429" s="0" t="s">
        <v>1</v>
      </c>
      <c r="C30429" s="0" t="s">
        <v>543</v>
      </c>
      <c r="E30429" s="0" t="s">
        <v>206</v>
      </c>
      <c r="F30429" s="0" t="s">
        <v>544</v>
      </c>
    </row>
    <row r="30430" customFormat="false" ht="12.8" hidden="false" customHeight="false" outlineLevel="0" collapsed="false">
      <c r="B30430" s="0" t="s">
        <v>8</v>
      </c>
      <c r="C30430" s="0" t="s">
        <v>545</v>
      </c>
      <c r="E30430" s="0" t="s">
        <v>79</v>
      </c>
      <c r="F30430" s="0" t="s">
        <v>546</v>
      </c>
    </row>
    <row r="30432" customFormat="false" ht="12.8" hidden="false" customHeight="false" outlineLevel="0" collapsed="false">
      <c r="A30432" s="0" t="s">
        <v>11936</v>
      </c>
      <c r="B30432" s="0" t="str">
        <f aca="false">HYPERLINK("https://lindat.mff.cuni.cz/services/teitok/pdtc10/index.php?action=vallex&amp;frame=v-w11057f3", "pozdržovat (v-w11057f3)")</f>
        <v>pozdržovat (v-w11057f3)</v>
      </c>
      <c r="E30432" s="0" t="str">
        <f aca="false">HYPERLINK("https://lindat.mff.cuni.cz/services/SynSemClass40/SynSemClass40.html?veclass=vec00486#vec00486-ces-cm00036", "vec00486")</f>
        <v>vec00486</v>
      </c>
      <c r="F30432" s="0" t="s">
        <v>542</v>
      </c>
    </row>
    <row r="30433" customFormat="false" ht="12.8" hidden="false" customHeight="false" outlineLevel="0" collapsed="false">
      <c r="B30433" s="0" t="s">
        <v>1</v>
      </c>
      <c r="C30433" s="0" t="s">
        <v>543</v>
      </c>
      <c r="E30433" s="0" t="s">
        <v>206</v>
      </c>
      <c r="F30433" s="0" t="s">
        <v>544</v>
      </c>
    </row>
    <row r="30434" customFormat="false" ht="12.8" hidden="false" customHeight="false" outlineLevel="0" collapsed="false">
      <c r="B30434" s="0" t="s">
        <v>8</v>
      </c>
      <c r="C30434" s="0" t="s">
        <v>545</v>
      </c>
      <c r="E30434" s="0" t="s">
        <v>79</v>
      </c>
      <c r="F30434" s="0" t="s">
        <v>546</v>
      </c>
    </row>
    <row r="30436" customFormat="false" ht="12.8" hidden="false" customHeight="false" outlineLevel="0" collapsed="false">
      <c r="A30436" s="0" t="s">
        <v>11937</v>
      </c>
      <c r="B30436" s="0" t="str">
        <f aca="false">HYPERLINK("https://lindat.mff.cuni.cz/services/teitok/pdtc10/index.php?action=vallex&amp;frame=v-w4201f1", "pozdvihnout (v-w4201f1)")</f>
        <v>pozdvihnout (v-w4201f1)</v>
      </c>
      <c r="E30436" s="0" t="str">
        <f aca="false">HYPERLINK("https://lindat.mff.cuni.cz/services/SynSemClass40/SynSemClass40.html?veclass=vec00386#vec00386-ces-cm00050", "vec00386")</f>
        <v>vec00386</v>
      </c>
      <c r="F30436" s="0" t="s">
        <v>5835</v>
      </c>
    </row>
    <row r="30437" customFormat="false" ht="12.8" hidden="false" customHeight="false" outlineLevel="0" collapsed="false">
      <c r="B30437" s="0" t="s">
        <v>1</v>
      </c>
      <c r="C30437" s="0" t="s">
        <v>5836</v>
      </c>
      <c r="E30437" s="0" t="s">
        <v>76</v>
      </c>
      <c r="F30437" s="0" t="s">
        <v>5837</v>
      </c>
    </row>
    <row r="30438" customFormat="false" ht="12.8" hidden="false" customHeight="false" outlineLevel="0" collapsed="false">
      <c r="B30438" s="0" t="s">
        <v>8</v>
      </c>
      <c r="C30438" s="0" t="s">
        <v>5838</v>
      </c>
      <c r="E30438" s="0" t="s">
        <v>4782</v>
      </c>
      <c r="F30438" s="0" t="s">
        <v>5839</v>
      </c>
    </row>
    <row r="30440" customFormat="false" ht="12.8" hidden="false" customHeight="false" outlineLevel="0" collapsed="false">
      <c r="A30440" s="0" t="s">
        <v>11938</v>
      </c>
      <c r="B30440" s="0" t="str">
        <f aca="false">HYPERLINK("https://lindat.mff.cuni.cz/services/teitok/pdtc10/index.php?action=vallex&amp;frame=v-w4202f1", "pozměnit (v-w4202f1)")</f>
        <v>pozměnit (v-w4202f1)</v>
      </c>
      <c r="E30440" s="0" t="str">
        <f aca="false">HYPERLINK("https://lindat.mff.cuni.cz/services/SynSemClass40/SynSemClass40.html?veclass=vec00095#vec00095-ces-cm00014", "vec00095")</f>
        <v>vec00095</v>
      </c>
      <c r="F30440" s="0" t="s">
        <v>29</v>
      </c>
    </row>
    <row r="30441" customFormat="false" ht="12.8" hidden="false" customHeight="false" outlineLevel="0" collapsed="false">
      <c r="B30441" s="0" t="s">
        <v>1</v>
      </c>
      <c r="C30441" s="0" t="s">
        <v>30</v>
      </c>
      <c r="E30441" s="0" t="s">
        <v>31</v>
      </c>
      <c r="F30441" s="0" t="s">
        <v>32</v>
      </c>
    </row>
    <row r="30442" customFormat="false" ht="12.8" hidden="false" customHeight="false" outlineLevel="0" collapsed="false">
      <c r="B30442" s="0" t="s">
        <v>8</v>
      </c>
      <c r="C30442" s="0" t="s">
        <v>33</v>
      </c>
      <c r="E30442" s="0" t="s">
        <v>34</v>
      </c>
      <c r="F30442" s="0" t="s">
        <v>35</v>
      </c>
    </row>
    <row r="30443" customFormat="false" ht="12.8" hidden="false" customHeight="false" outlineLevel="0" collapsed="false">
      <c r="B30443" s="0" t="s">
        <v>36</v>
      </c>
      <c r="C30443" s="0" t="s">
        <v>37</v>
      </c>
      <c r="E30443" s="0" t="s">
        <v>38</v>
      </c>
      <c r="F30443" s="0" t="s">
        <v>39</v>
      </c>
    </row>
    <row r="30444" customFormat="false" ht="12.8" hidden="false" customHeight="false" outlineLevel="0" collapsed="false">
      <c r="B30444" s="0" t="s">
        <v>5653</v>
      </c>
      <c r="C30444" s="0" t="s">
        <v>41</v>
      </c>
      <c r="E30444" s="0" t="s">
        <v>42</v>
      </c>
      <c r="F30444" s="0" t="s">
        <v>43</v>
      </c>
    </row>
    <row r="30446" customFormat="false" ht="12.8" hidden="false" customHeight="false" outlineLevel="0" collapsed="false">
      <c r="A30446" s="0" t="s">
        <v>11939</v>
      </c>
      <c r="B30446" s="0" t="str">
        <f aca="false">HYPERLINK("https://lindat.mff.cuni.cz/services/teitok/pdtc10/index.php?action=vallex&amp;frame=v-w4204f1", "pozměňovat (v-w4204f1)")</f>
        <v>pozměňovat (v-w4204f1)</v>
      </c>
      <c r="E30446" s="0" t="str">
        <f aca="false">HYPERLINK("https://lindat.mff.cuni.cz/services/SynSemClass40/SynSemClass40.html?veclass=vec00095#vec00095-ces-cm00077", "vec00095")</f>
        <v>vec00095</v>
      </c>
      <c r="F30446" s="0" t="s">
        <v>29</v>
      </c>
    </row>
    <row r="30447" customFormat="false" ht="12.8" hidden="false" customHeight="false" outlineLevel="0" collapsed="false">
      <c r="B30447" s="0" t="s">
        <v>1</v>
      </c>
      <c r="C30447" s="0" t="s">
        <v>30</v>
      </c>
      <c r="E30447" s="0" t="s">
        <v>31</v>
      </c>
      <c r="F30447" s="0" t="s">
        <v>32</v>
      </c>
    </row>
    <row r="30448" customFormat="false" ht="12.8" hidden="false" customHeight="false" outlineLevel="0" collapsed="false">
      <c r="B30448" s="0" t="s">
        <v>8</v>
      </c>
      <c r="C30448" s="0" t="s">
        <v>33</v>
      </c>
      <c r="E30448" s="0" t="s">
        <v>34</v>
      </c>
      <c r="F30448" s="0" t="s">
        <v>35</v>
      </c>
    </row>
    <row r="30449" customFormat="false" ht="12.8" hidden="false" customHeight="false" outlineLevel="0" collapsed="false">
      <c r="B30449" s="0" t="s">
        <v>36</v>
      </c>
      <c r="C30449" s="0" t="s">
        <v>37</v>
      </c>
      <c r="E30449" s="0" t="s">
        <v>38</v>
      </c>
      <c r="F30449" s="0" t="s">
        <v>39</v>
      </c>
    </row>
    <row r="30450" customFormat="false" ht="12.8" hidden="false" customHeight="false" outlineLevel="0" collapsed="false">
      <c r="B30450" s="0" t="s">
        <v>5653</v>
      </c>
      <c r="C30450" s="0" t="s">
        <v>41</v>
      </c>
      <c r="E30450" s="0" t="s">
        <v>42</v>
      </c>
      <c r="F30450" s="0" t="s">
        <v>43</v>
      </c>
    </row>
    <row r="30452" customFormat="false" ht="12.8" hidden="false" customHeight="false" outlineLevel="0" collapsed="false">
      <c r="A30452" s="0" t="s">
        <v>11940</v>
      </c>
      <c r="B30452" s="0" t="str">
        <f aca="false">HYPERLINK("https://lindat.mff.cuni.cz/services/teitok/pdtc10/index.php?action=vallex&amp;frame=v-w4206f3", "poznamenat (v-w4206f3)")</f>
        <v>poznamenat (v-w4206f3)</v>
      </c>
      <c r="E30452" s="0" t="str">
        <f aca="false">HYPERLINK("https://lindat.mff.cuni.cz/services/SynSemClass40/SynSemClass40.html?veclass=vec01420#vec01420-ces-cm00006", "vec01420")</f>
        <v>vec01420</v>
      </c>
      <c r="F30452" s="0" t="s">
        <v>10245</v>
      </c>
    </row>
    <row r="30453" customFormat="false" ht="12.8" hidden="false" customHeight="false" outlineLevel="0" collapsed="false">
      <c r="B30453" s="0" t="s">
        <v>1</v>
      </c>
      <c r="C30453" s="0" t="s">
        <v>459</v>
      </c>
      <c r="E30453" s="0" t="s">
        <v>4581</v>
      </c>
      <c r="F30453" s="0" t="s">
        <v>7850</v>
      </c>
    </row>
    <row r="30454" customFormat="false" ht="12.8" hidden="false" customHeight="false" outlineLevel="0" collapsed="false">
      <c r="B30454" s="0" t="s">
        <v>8</v>
      </c>
      <c r="C30454" s="0" t="s">
        <v>7654</v>
      </c>
      <c r="E30454" s="0" t="s">
        <v>142</v>
      </c>
      <c r="F30454" s="0" t="s">
        <v>10246</v>
      </c>
    </row>
    <row r="30456" customFormat="false" ht="12.8" hidden="false" customHeight="false" outlineLevel="0" collapsed="false">
      <c r="A30456" s="0" t="s">
        <v>11941</v>
      </c>
      <c r="B30456" s="0" t="str">
        <f aca="false">HYPERLINK("https://lindat.mff.cuni.cz/services/teitok/pdtc10/index.php?action=vallex&amp;frame=v-w4206f4", "poznamenat (v-w4206f4)")</f>
        <v>poznamenat (v-w4206f4)</v>
      </c>
      <c r="E30456" s="0" t="str">
        <f aca="false">HYPERLINK("https://lindat.mff.cuni.cz/services/SynSemClass40/SynSemClass40.html?veclass=vec00372#vec00372-ces-cm00036", "vec00372")</f>
        <v>vec00372</v>
      </c>
      <c r="F30456" s="0" t="s">
        <v>2524</v>
      </c>
    </row>
    <row r="30457" customFormat="false" ht="12.8" hidden="false" customHeight="false" outlineLevel="0" collapsed="false">
      <c r="B30457" s="0" t="s">
        <v>1</v>
      </c>
      <c r="C30457" s="0" t="s">
        <v>2525</v>
      </c>
      <c r="E30457" s="0" t="s">
        <v>2526</v>
      </c>
      <c r="F30457" s="0" t="s">
        <v>2527</v>
      </c>
    </row>
    <row r="30458" customFormat="false" ht="12.8" hidden="false" customHeight="false" outlineLevel="0" collapsed="false">
      <c r="B30458" s="0" t="s">
        <v>8</v>
      </c>
      <c r="C30458" s="0" t="s">
        <v>2528</v>
      </c>
      <c r="E30458" s="0" t="s">
        <v>142</v>
      </c>
      <c r="F30458" s="0" t="s">
        <v>2529</v>
      </c>
    </row>
    <row r="30460" customFormat="false" ht="12.8" hidden="false" customHeight="false" outlineLevel="0" collapsed="false">
      <c r="A30460" s="0" t="s">
        <v>11942</v>
      </c>
      <c r="B30460" s="0" t="str">
        <f aca="false">HYPERLINK("https://lindat.mff.cuni.cz/services/teitok/pdtc10/index.php?action=vallex&amp;frame=v-w4206f2", "poznamenat (v-w4206f2)")</f>
        <v>poznamenat (v-w4206f2)</v>
      </c>
      <c r="E30460" s="0" t="str">
        <f aca="false">HYPERLINK("https://lindat.mff.cuni.cz/services/SynSemClass40/SynSemClass40.html?veclass=vec00994#vec00994-ces-cm00079", "vec00994")</f>
        <v>vec00994</v>
      </c>
      <c r="F30460" s="0" t="s">
        <v>8007</v>
      </c>
    </row>
    <row r="30461" customFormat="false" ht="12.8" hidden="false" customHeight="false" outlineLevel="0" collapsed="false">
      <c r="B30461" s="0" t="s">
        <v>1</v>
      </c>
      <c r="C30461" s="0" t="s">
        <v>10828</v>
      </c>
      <c r="E30461" s="0" t="s">
        <v>147</v>
      </c>
      <c r="F30461" s="0" t="s">
        <v>8009</v>
      </c>
    </row>
    <row r="30462" customFormat="false" ht="12.8" hidden="false" customHeight="false" outlineLevel="0" collapsed="false">
      <c r="B30462" s="0" t="s">
        <v>11943</v>
      </c>
      <c r="C30462" s="0" t="s">
        <v>10830</v>
      </c>
      <c r="E30462" s="0" t="s">
        <v>2217</v>
      </c>
      <c r="F30462" s="0" t="s">
        <v>8016</v>
      </c>
    </row>
    <row r="30463" customFormat="false" ht="12.8" hidden="false" customHeight="false" outlineLevel="0" collapsed="false">
      <c r="B30463" s="0" t="s">
        <v>10831</v>
      </c>
      <c r="C30463" s="0" t="s">
        <v>10832</v>
      </c>
      <c r="E30463" s="0" t="s">
        <v>218</v>
      </c>
      <c r="F30463" s="0" t="s">
        <v>8011</v>
      </c>
    </row>
    <row r="30465" customFormat="false" ht="12.8" hidden="false" customHeight="false" outlineLevel="0" collapsed="false">
      <c r="A30465" s="0" t="s">
        <v>11944</v>
      </c>
      <c r="B30465" s="0" t="str">
        <f aca="false">HYPERLINK("https://lindat.mff.cuni.cz/services/teitok/pdtc10/index.php?action=vallex&amp;frame=v-w4206f1", "poznamenat (v-w4206f1)")</f>
        <v>poznamenat (v-w4206f1)</v>
      </c>
      <c r="E30465" s="0" t="str">
        <f aca="false">HYPERLINK("https://lindat.mff.cuni.cz/services/SynSemClass40/SynSemClass40.html?veclass=vec00994#vec00994-ces-cm00078", "vec00994")</f>
        <v>vec00994</v>
      </c>
      <c r="F30465" s="0" t="s">
        <v>8007</v>
      </c>
    </row>
    <row r="30466" customFormat="false" ht="12.8" hidden="false" customHeight="false" outlineLevel="0" collapsed="false">
      <c r="B30466" s="0" t="s">
        <v>1</v>
      </c>
      <c r="C30466" s="0" t="s">
        <v>10828</v>
      </c>
      <c r="E30466" s="0" t="s">
        <v>147</v>
      </c>
      <c r="F30466" s="0" t="s">
        <v>8009</v>
      </c>
    </row>
    <row r="30467" customFormat="false" ht="12.8" hidden="false" customHeight="false" outlineLevel="0" collapsed="false">
      <c r="B30467" s="0" t="s">
        <v>11945</v>
      </c>
      <c r="C30467" s="0" t="s">
        <v>10830</v>
      </c>
      <c r="E30467" s="0" t="s">
        <v>2217</v>
      </c>
      <c r="F30467" s="0" t="s">
        <v>8016</v>
      </c>
    </row>
    <row r="30468" customFormat="false" ht="12.8" hidden="false" customHeight="false" outlineLevel="0" collapsed="false">
      <c r="B30468" s="0" t="s">
        <v>10831</v>
      </c>
      <c r="C30468" s="0" t="s">
        <v>10832</v>
      </c>
      <c r="E30468" s="0" t="s">
        <v>218</v>
      </c>
      <c r="F30468" s="0" t="s">
        <v>8011</v>
      </c>
    </row>
    <row r="30470" customFormat="false" ht="12.8" hidden="false" customHeight="false" outlineLevel="0" collapsed="false">
      <c r="A30470" s="0" t="s">
        <v>11946</v>
      </c>
      <c r="B30470" s="0" t="str">
        <f aca="false">HYPERLINK("https://lindat.mff.cuni.cz/services/teitok/pdtc10/index.php?action=vallex&amp;frame=v-w4206hsa_7", "poznamenat (v-w4206hsa_7)")</f>
        <v>poznamenat (v-w4206hsa_7)</v>
      </c>
    </row>
    <row r="30471" customFormat="false" ht="12.8" hidden="false" customHeight="false" outlineLevel="0" collapsed="false">
      <c r="B30471" s="0" t="s">
        <v>1</v>
      </c>
    </row>
    <row r="30472" customFormat="false" ht="12.8" hidden="false" customHeight="false" outlineLevel="0" collapsed="false">
      <c r="B30472" s="0" t="s">
        <v>8</v>
      </c>
    </row>
    <row r="30474" customFormat="false" ht="12.8" hidden="false" customHeight="false" outlineLevel="0" collapsed="false">
      <c r="A30474" s="0" t="s">
        <v>11947</v>
      </c>
      <c r="B30474" s="0" t="str">
        <f aca="false">HYPERLINK("https://lindat.mff.cuni.cz/services/teitok/pdtc10/index.php?action=vallex&amp;frame=v-w11849_ZUf1_ZU", "poznamenat se (v-w11849_ZUf1_ZU)")</f>
        <v>poznamenat se (v-w11849_ZUf1_ZU)</v>
      </c>
    </row>
    <row r="30475" customFormat="false" ht="12.8" hidden="false" customHeight="false" outlineLevel="0" collapsed="false">
      <c r="B30475" s="0" t="s">
        <v>1</v>
      </c>
    </row>
    <row r="30476" customFormat="false" ht="12.8" hidden="false" customHeight="false" outlineLevel="0" collapsed="false">
      <c r="B30476" s="0" t="s">
        <v>291</v>
      </c>
    </row>
    <row r="30478" customFormat="false" ht="12.8" hidden="false" customHeight="false" outlineLevel="0" collapsed="false">
      <c r="A30478" s="0" t="s">
        <v>11948</v>
      </c>
      <c r="B30478" s="0" t="str">
        <f aca="false">HYPERLINK("https://lindat.mff.cuni.cz/services/teitok/pdtc10/index.php?action=vallex&amp;frame=v-w4207f2", "poznamenávat (v-w4207f2)")</f>
        <v>poznamenávat (v-w4207f2)</v>
      </c>
      <c r="E30478" s="0" t="str">
        <f aca="false">HYPERLINK("https://lindat.mff.cuni.cz/services/SynSemClass40/SynSemClass40.html?veclass=vec00372#vec00372-ces-cm00114", "vec00372")</f>
        <v>vec00372</v>
      </c>
      <c r="F30478" s="0" t="s">
        <v>2524</v>
      </c>
    </row>
    <row r="30479" customFormat="false" ht="12.8" hidden="false" customHeight="false" outlineLevel="0" collapsed="false">
      <c r="B30479" s="0" t="s">
        <v>1</v>
      </c>
      <c r="C30479" s="0" t="s">
        <v>2525</v>
      </c>
      <c r="E30479" s="0" t="s">
        <v>2526</v>
      </c>
      <c r="F30479" s="0" t="s">
        <v>2527</v>
      </c>
    </row>
    <row r="30480" customFormat="false" ht="12.8" hidden="false" customHeight="false" outlineLevel="0" collapsed="false">
      <c r="B30480" s="0" t="s">
        <v>8</v>
      </c>
      <c r="C30480" s="0" t="s">
        <v>2528</v>
      </c>
      <c r="E30480" s="0" t="s">
        <v>142</v>
      </c>
      <c r="F30480" s="0" t="s">
        <v>2529</v>
      </c>
    </row>
    <row r="30482" customFormat="false" ht="12.8" hidden="false" customHeight="false" outlineLevel="0" collapsed="false">
      <c r="A30482" s="0" t="s">
        <v>11949</v>
      </c>
      <c r="B30482" s="0" t="str">
        <f aca="false">HYPERLINK("https://lindat.mff.cuni.cz/services/teitok/pdtc10/index.php?action=vallex&amp;frame=v-w4207f4", "poznamenávat (v-w4207f4)")</f>
        <v>poznamenávat (v-w4207f4)</v>
      </c>
      <c r="E30482" s="0" t="str">
        <f aca="false">HYPERLINK("https://lindat.mff.cuni.cz/services/SynSemClass40/SynSemClass40.html?veclass=vec01420#vec01420-ces-cm00007", "vec01420")</f>
        <v>vec01420</v>
      </c>
      <c r="F30482" s="0" t="s">
        <v>10245</v>
      </c>
    </row>
    <row r="30483" customFormat="false" ht="12.8" hidden="false" customHeight="false" outlineLevel="0" collapsed="false">
      <c r="B30483" s="0" t="s">
        <v>1</v>
      </c>
      <c r="C30483" s="0" t="s">
        <v>459</v>
      </c>
      <c r="E30483" s="0" t="s">
        <v>4581</v>
      </c>
      <c r="F30483" s="0" t="s">
        <v>7850</v>
      </c>
    </row>
    <row r="30484" customFormat="false" ht="12.8" hidden="false" customHeight="false" outlineLevel="0" collapsed="false">
      <c r="B30484" s="0" t="s">
        <v>8</v>
      </c>
      <c r="C30484" s="0" t="s">
        <v>7654</v>
      </c>
      <c r="E30484" s="0" t="s">
        <v>142</v>
      </c>
      <c r="F30484" s="0" t="s">
        <v>10246</v>
      </c>
    </row>
    <row r="30486" customFormat="false" ht="12.8" hidden="false" customHeight="false" outlineLevel="0" collapsed="false">
      <c r="A30486" s="0" t="s">
        <v>11950</v>
      </c>
      <c r="B30486" s="0" t="str">
        <f aca="false">HYPERLINK("https://lindat.mff.cuni.cz/services/teitok/pdtc10/index.php?action=vallex&amp;frame=v-w4207f1", "poznamenávat (v-w4207f1)")</f>
        <v>poznamenávat (v-w4207f1)</v>
      </c>
      <c r="E30486" s="0" t="str">
        <f aca="false">HYPERLINK("https://lindat.mff.cuni.cz/services/SynSemClass40/SynSemClass40.html?veclass=vec00994#vec00994-ces-cm00080", "vec00994")</f>
        <v>vec00994</v>
      </c>
      <c r="F30486" s="0" t="s">
        <v>8007</v>
      </c>
    </row>
    <row r="30487" customFormat="false" ht="12.8" hidden="false" customHeight="false" outlineLevel="0" collapsed="false">
      <c r="B30487" s="0" t="s">
        <v>1</v>
      </c>
      <c r="C30487" s="0" t="s">
        <v>10828</v>
      </c>
      <c r="E30487" s="0" t="s">
        <v>147</v>
      </c>
      <c r="F30487" s="0" t="s">
        <v>8009</v>
      </c>
    </row>
    <row r="30488" customFormat="false" ht="12.8" hidden="false" customHeight="false" outlineLevel="0" collapsed="false">
      <c r="B30488" s="0" t="s">
        <v>11945</v>
      </c>
      <c r="C30488" s="0" t="s">
        <v>10830</v>
      </c>
      <c r="E30488" s="0" t="s">
        <v>2217</v>
      </c>
      <c r="F30488" s="0" t="s">
        <v>8016</v>
      </c>
    </row>
    <row r="30489" customFormat="false" ht="12.8" hidden="false" customHeight="false" outlineLevel="0" collapsed="false">
      <c r="B30489" s="0" t="s">
        <v>10831</v>
      </c>
      <c r="C30489" s="0" t="s">
        <v>10832</v>
      </c>
      <c r="E30489" s="0" t="s">
        <v>218</v>
      </c>
      <c r="F30489" s="0" t="s">
        <v>8011</v>
      </c>
    </row>
    <row r="30491" customFormat="false" ht="12.8" hidden="false" customHeight="false" outlineLevel="0" collapsed="false">
      <c r="A30491" s="0" t="s">
        <v>11951</v>
      </c>
      <c r="B30491" s="0" t="str">
        <f aca="false">HYPERLINK("https://lindat.mff.cuni.cz/services/teitok/pdtc10/index.php?action=vallex&amp;frame=v-w4207f3", "poznamenávat (v-w4207f3)")</f>
        <v>poznamenávat (v-w4207f3)</v>
      </c>
      <c r="E30491" s="0" t="str">
        <f aca="false">HYPERLINK("https://lindat.mff.cuni.cz/services/SynSemClass40/SynSemClass40.html?veclass=vec00994#vec00994-ces-cm00150", "vec00994")</f>
        <v>vec00994</v>
      </c>
      <c r="F30491" s="0" t="s">
        <v>8007</v>
      </c>
    </row>
    <row r="30492" customFormat="false" ht="12.8" hidden="false" customHeight="false" outlineLevel="0" collapsed="false">
      <c r="B30492" s="0" t="s">
        <v>1</v>
      </c>
      <c r="C30492" s="0" t="s">
        <v>10828</v>
      </c>
      <c r="E30492" s="0" t="s">
        <v>147</v>
      </c>
      <c r="F30492" s="0" t="s">
        <v>8009</v>
      </c>
    </row>
    <row r="30493" customFormat="false" ht="12.8" hidden="false" customHeight="false" outlineLevel="0" collapsed="false">
      <c r="B30493" s="0" t="s">
        <v>11945</v>
      </c>
      <c r="C30493" s="0" t="s">
        <v>10830</v>
      </c>
      <c r="E30493" s="0" t="s">
        <v>2217</v>
      </c>
      <c r="F30493" s="0" t="s">
        <v>8016</v>
      </c>
    </row>
    <row r="30494" customFormat="false" ht="12.8" hidden="false" customHeight="false" outlineLevel="0" collapsed="false">
      <c r="B30494" s="0" t="s">
        <v>10831</v>
      </c>
      <c r="C30494" s="0" t="s">
        <v>10832</v>
      </c>
      <c r="E30494" s="0" t="s">
        <v>218</v>
      </c>
      <c r="F30494" s="0" t="s">
        <v>8011</v>
      </c>
    </row>
    <row r="30496" customFormat="false" ht="12.8" hidden="false" customHeight="false" outlineLevel="0" collapsed="false">
      <c r="A30496" s="0" t="s">
        <v>11952</v>
      </c>
      <c r="B30496" s="0" t="str">
        <f aca="false">HYPERLINK("https://lindat.mff.cuni.cz/services/teitok/pdtc10/index.php?action=vallex&amp;frame=v-w4210f4", "poznat (v-w4210f4)")</f>
        <v>poznat (v-w4210f4)</v>
      </c>
    </row>
    <row r="30497" customFormat="false" ht="12.8" hidden="false" customHeight="false" outlineLevel="0" collapsed="false">
      <c r="B30497" s="0" t="s">
        <v>1</v>
      </c>
    </row>
    <row r="30498" customFormat="false" ht="12.8" hidden="false" customHeight="false" outlineLevel="0" collapsed="false">
      <c r="B30498" s="0" t="s">
        <v>8</v>
      </c>
    </row>
    <row r="30499" customFormat="false" ht="12.8" hidden="false" customHeight="false" outlineLevel="0" collapsed="false">
      <c r="B30499" s="0" t="s">
        <v>1965</v>
      </c>
    </row>
    <row r="30501" customFormat="false" ht="12.8" hidden="false" customHeight="false" outlineLevel="0" collapsed="false">
      <c r="A30501" s="0" t="s">
        <v>11953</v>
      </c>
      <c r="B30501" s="0" t="str">
        <f aca="false">HYPERLINK("https://lindat.mff.cuni.cz/services/teitok/pdtc10/index.php?action=vallex&amp;frame=v-w4210f7_MM", "poznat (v-w4210f7_MM)")</f>
        <v>poznat (v-w4210f7_MM)</v>
      </c>
    </row>
    <row r="30502" customFormat="false" ht="12.8" hidden="false" customHeight="false" outlineLevel="0" collapsed="false">
      <c r="B30502" s="0" t="s">
        <v>1</v>
      </c>
    </row>
    <row r="30503" customFormat="false" ht="12.8" hidden="false" customHeight="false" outlineLevel="0" collapsed="false">
      <c r="B30503" s="0" t="s">
        <v>721</v>
      </c>
    </row>
    <row r="30504" customFormat="false" ht="12.8" hidden="false" customHeight="false" outlineLevel="0" collapsed="false">
      <c r="B30504" s="0" t="s">
        <v>1502</v>
      </c>
    </row>
    <row r="30506" customFormat="false" ht="12.8" hidden="false" customHeight="false" outlineLevel="0" collapsed="false">
      <c r="A30506" s="0" t="s">
        <v>11953</v>
      </c>
      <c r="B30506" s="0" t="str">
        <f aca="false">HYPERLINK("https://lindat.mff.cuni.cz/services/teitok/pdtc10/index.php?action=vallex&amp;frame=v-w4210f5", "poznat (v-w4210f5) - substituted with v-w4210f7_MM")</f>
        <v>poznat (v-w4210f5) - substituted with v-w4210f7_MM</v>
      </c>
    </row>
    <row r="30507" customFormat="false" ht="12.8" hidden="false" customHeight="false" outlineLevel="0" collapsed="false">
      <c r="B30507" s="0" t="s">
        <v>1</v>
      </c>
    </row>
    <row r="30508" customFormat="false" ht="12.8" hidden="false" customHeight="false" outlineLevel="0" collapsed="false">
      <c r="B30508" s="0" t="s">
        <v>721</v>
      </c>
    </row>
    <row r="30509" customFormat="false" ht="12.8" hidden="false" customHeight="false" outlineLevel="0" collapsed="false">
      <c r="B30509" s="0" t="s">
        <v>1502</v>
      </c>
    </row>
    <row r="30511" customFormat="false" ht="12.8" hidden="false" customHeight="false" outlineLevel="0" collapsed="false">
      <c r="A30511" s="0" t="s">
        <v>11954</v>
      </c>
      <c r="B30511" s="0" t="str">
        <f aca="false">HYPERLINK("https://lindat.mff.cuni.cz/services/teitok/pdtc10/index.php?action=vallex&amp;frame=v-w4210f1", "poznat (v-w4210f1)")</f>
        <v>poznat (v-w4210f1)</v>
      </c>
    </row>
    <row r="30512" customFormat="false" ht="12.8" hidden="false" customHeight="false" outlineLevel="0" collapsed="false">
      <c r="B30512" s="0" t="s">
        <v>1</v>
      </c>
    </row>
    <row r="30513" customFormat="false" ht="12.8" hidden="false" customHeight="false" outlineLevel="0" collapsed="false">
      <c r="B30513" s="0" t="s">
        <v>11955</v>
      </c>
    </row>
    <row r="30515" customFormat="false" ht="12.8" hidden="false" customHeight="false" outlineLevel="0" collapsed="false">
      <c r="A30515" s="0" t="s">
        <v>11956</v>
      </c>
      <c r="B30515" s="0" t="str">
        <f aca="false">HYPERLINK("https://lindat.mff.cuni.cz/services/teitok/pdtc10/index.php?action=vallex&amp;frame=v-w4210f6_ZU", "poznat (v-w4210f6_ZU)")</f>
        <v>poznat (v-w4210f6_ZU)</v>
      </c>
    </row>
    <row r="30516" customFormat="false" ht="12.8" hidden="false" customHeight="false" outlineLevel="0" collapsed="false">
      <c r="B30516" s="0" t="s">
        <v>1</v>
      </c>
    </row>
    <row r="30517" customFormat="false" ht="12.8" hidden="false" customHeight="false" outlineLevel="0" collapsed="false">
      <c r="B30517" s="0" t="s">
        <v>11957</v>
      </c>
    </row>
    <row r="30519" customFormat="false" ht="12.8" hidden="false" customHeight="false" outlineLevel="0" collapsed="false">
      <c r="A30519" s="0" t="s">
        <v>11956</v>
      </c>
      <c r="B30519" s="0" t="str">
        <f aca="false">HYPERLINK("https://lindat.mff.cuni.cz/services/teitok/pdtc10/index.php?action=vallex&amp;frame=v-w4210f2", "poznat (v-w4210f2) - substituted with v-w4210f6_ZU")</f>
        <v>poznat (v-w4210f2) - substituted with v-w4210f6_ZU</v>
      </c>
    </row>
    <row r="30520" customFormat="false" ht="12.8" hidden="false" customHeight="false" outlineLevel="0" collapsed="false">
      <c r="B30520" s="0" t="s">
        <v>1</v>
      </c>
    </row>
    <row r="30521" customFormat="false" ht="12.8" hidden="false" customHeight="false" outlineLevel="0" collapsed="false">
      <c r="B30521" s="0" t="s">
        <v>11957</v>
      </c>
    </row>
    <row r="30523" customFormat="false" ht="12.8" hidden="false" customHeight="false" outlineLevel="0" collapsed="false">
      <c r="A30523" s="0" t="s">
        <v>11956</v>
      </c>
      <c r="B30523" s="0" t="str">
        <f aca="false">HYPERLINK("https://lindat.mff.cuni.cz/services/teitok/pdtc10/index.php?action=vallex&amp;frame=v-w4210hsa_2060", "poznat (v-w4210hsa_2060) - substituted with v-w4210f6_ZU")</f>
        <v>poznat (v-w4210hsa_2060) - substituted with v-w4210f6_ZU</v>
      </c>
    </row>
    <row r="30524" customFormat="false" ht="12.8" hidden="false" customHeight="false" outlineLevel="0" collapsed="false">
      <c r="B30524" s="0" t="s">
        <v>1</v>
      </c>
    </row>
    <row r="30525" customFormat="false" ht="12.8" hidden="false" customHeight="false" outlineLevel="0" collapsed="false">
      <c r="B30525" s="0" t="s">
        <v>11957</v>
      </c>
    </row>
    <row r="30527" customFormat="false" ht="12.8" hidden="false" customHeight="false" outlineLevel="0" collapsed="false">
      <c r="A30527" s="0" t="s">
        <v>11958</v>
      </c>
      <c r="B30527" s="0" t="str">
        <f aca="false">HYPERLINK("https://lindat.mff.cuni.cz/services/teitok/pdtc10/index.php?action=vallex&amp;frame=v-w4210f3", "poznat (v-w4210f3)")</f>
        <v>poznat (v-w4210f3)</v>
      </c>
      <c r="E30527" s="0" t="str">
        <f aca="false">HYPERLINK("https://lindat.mff.cuni.cz/services/SynSemClass40/SynSemClass40.html?veclass=vec00876#vec00876-ces-cm00001", "vec00876")</f>
        <v>vec00876</v>
      </c>
      <c r="F30527" s="0" t="s">
        <v>11959</v>
      </c>
    </row>
    <row r="30528" customFormat="false" ht="12.8" hidden="false" customHeight="false" outlineLevel="0" collapsed="false">
      <c r="B30528" s="0" t="s">
        <v>1</v>
      </c>
      <c r="C30528" s="0" t="s">
        <v>106</v>
      </c>
      <c r="E30528" s="0" t="s">
        <v>621</v>
      </c>
      <c r="F30528" s="0" t="s">
        <v>11960</v>
      </c>
    </row>
    <row r="30529" customFormat="false" ht="12.8" hidden="false" customHeight="false" outlineLevel="0" collapsed="false">
      <c r="B30529" s="0" t="s">
        <v>8</v>
      </c>
      <c r="C30529" s="0" t="s">
        <v>158</v>
      </c>
      <c r="E30529" s="0" t="s">
        <v>7925</v>
      </c>
      <c r="F30529" s="0" t="s">
        <v>11961</v>
      </c>
    </row>
    <row r="30531" customFormat="false" ht="12.8" hidden="false" customHeight="false" outlineLevel="0" collapsed="false">
      <c r="A30531" s="0" t="s">
        <v>11962</v>
      </c>
      <c r="B30531" s="0" t="str">
        <f aca="false">HYPERLINK("https://lindat.mff.cuni.cz/services/teitok/pdtc10/index.php?action=vallex&amp;frame=v-whsa_903hsa_904", "poznat se (v-whsa_903hsa_904)")</f>
        <v>poznat se (v-whsa_903hsa_904)</v>
      </c>
    </row>
    <row r="30532" customFormat="false" ht="12.8" hidden="false" customHeight="false" outlineLevel="0" collapsed="false">
      <c r="B30532" s="0" t="s">
        <v>1</v>
      </c>
    </row>
    <row r="30533" customFormat="false" ht="12.8" hidden="false" customHeight="false" outlineLevel="0" collapsed="false">
      <c r="B30533" s="0" t="s">
        <v>721</v>
      </c>
    </row>
    <row r="30535" customFormat="false" ht="12.8" hidden="false" customHeight="false" outlineLevel="0" collapsed="false">
      <c r="A30535" s="0" t="s">
        <v>11963</v>
      </c>
      <c r="B30535" s="0" t="str">
        <f aca="false">HYPERLINK("https://lindat.mff.cuni.cz/services/teitok/pdtc10/index.php?action=vallex&amp;frame=v-w11874_ZUf1_ZU", "poznačit (v-w11874_ZUf1_ZU)")</f>
        <v>poznačit (v-w11874_ZUf1_ZU)</v>
      </c>
    </row>
    <row r="30536" customFormat="false" ht="12.8" hidden="false" customHeight="false" outlineLevel="0" collapsed="false">
      <c r="B30536" s="0" t="s">
        <v>1</v>
      </c>
    </row>
    <row r="30537" customFormat="false" ht="12.8" hidden="false" customHeight="false" outlineLevel="0" collapsed="false">
      <c r="B30537" s="0" t="s">
        <v>8</v>
      </c>
    </row>
    <row r="30539" customFormat="false" ht="12.8" hidden="false" customHeight="false" outlineLevel="0" collapsed="false">
      <c r="A30539" s="0" t="s">
        <v>11964</v>
      </c>
      <c r="B30539" s="0" t="str">
        <f aca="false">HYPERLINK("https://lindat.mff.cuni.cz/services/teitok/pdtc10/index.php?action=vallex&amp;frame=v-w4213f1", "poznávat (v-w4213f1)")</f>
        <v>poznávat (v-w4213f1)</v>
      </c>
    </row>
    <row r="30540" customFormat="false" ht="12.8" hidden="false" customHeight="false" outlineLevel="0" collapsed="false">
      <c r="B30540" s="0" t="s">
        <v>1</v>
      </c>
    </row>
    <row r="30541" customFormat="false" ht="12.8" hidden="false" customHeight="false" outlineLevel="0" collapsed="false">
      <c r="B30541" s="0" t="s">
        <v>1838</v>
      </c>
    </row>
    <row r="30543" customFormat="false" ht="12.8" hidden="false" customHeight="false" outlineLevel="0" collapsed="false">
      <c r="A30543" s="0" t="s">
        <v>11965</v>
      </c>
      <c r="B30543" s="0" t="str">
        <f aca="false">HYPERLINK("https://lindat.mff.cuni.cz/services/teitok/pdtc10/index.php?action=vallex&amp;frame=v-w4213f4_ZU", "poznávat (v-w4213f4_ZU)")</f>
        <v>poznávat (v-w4213f4_ZU)</v>
      </c>
    </row>
    <row r="30544" customFormat="false" ht="12.8" hidden="false" customHeight="false" outlineLevel="0" collapsed="false">
      <c r="B30544" s="0" t="s">
        <v>1</v>
      </c>
    </row>
    <row r="30545" customFormat="false" ht="12.8" hidden="false" customHeight="false" outlineLevel="0" collapsed="false">
      <c r="B30545" s="0" t="s">
        <v>8</v>
      </c>
    </row>
    <row r="30547" customFormat="false" ht="12.8" hidden="false" customHeight="false" outlineLevel="0" collapsed="false">
      <c r="A30547" s="0" t="s">
        <v>11965</v>
      </c>
      <c r="B30547" s="0" t="str">
        <f aca="false">HYPERLINK("https://lindat.mff.cuni.cz/services/teitok/pdtc10/index.php?action=vallex&amp;frame=v-w4213f2", "poznávat (v-w4213f2) - substituted with v-w4213f4_ZU")</f>
        <v>poznávat (v-w4213f2) - substituted with v-w4213f4_ZU</v>
      </c>
    </row>
    <row r="30548" customFormat="false" ht="12.8" hidden="false" customHeight="false" outlineLevel="0" collapsed="false">
      <c r="B30548" s="0" t="s">
        <v>1</v>
      </c>
    </row>
    <row r="30549" customFormat="false" ht="12.8" hidden="false" customHeight="false" outlineLevel="0" collapsed="false">
      <c r="B30549" s="0" t="s">
        <v>8</v>
      </c>
    </row>
    <row r="30551" customFormat="false" ht="12.8" hidden="false" customHeight="false" outlineLevel="0" collapsed="false">
      <c r="A30551" s="0" t="s">
        <v>11965</v>
      </c>
      <c r="B30551" s="0" t="str">
        <f aca="false">HYPERLINK("https://lindat.mff.cuni.cz/services/teitok/pdtc10/index.php?action=vallex&amp;frame=v-w4213f3_ZU", "poznávat (v-w4213f3_ZU) - substituted with v-w4213f4_ZU")</f>
        <v>poznávat (v-w4213f3_ZU) - substituted with v-w4213f4_ZU</v>
      </c>
    </row>
    <row r="30552" customFormat="false" ht="12.8" hidden="false" customHeight="false" outlineLevel="0" collapsed="false">
      <c r="B30552" s="0" t="s">
        <v>1</v>
      </c>
    </row>
    <row r="30553" customFormat="false" ht="12.8" hidden="false" customHeight="false" outlineLevel="0" collapsed="false">
      <c r="B30553" s="0" t="s">
        <v>8</v>
      </c>
    </row>
    <row r="30555" customFormat="false" ht="12.8" hidden="false" customHeight="false" outlineLevel="0" collapsed="false">
      <c r="A30555" s="0" t="s">
        <v>11966</v>
      </c>
      <c r="B30555" s="0" t="str">
        <f aca="false">HYPERLINK("https://lindat.mff.cuni.cz/services/teitok/pdtc10/index.php?action=vallex&amp;frame=v-w4213f5_ZU", "poznávat (v-w4213f5_ZU)")</f>
        <v>poznávat (v-w4213f5_ZU)</v>
      </c>
    </row>
    <row r="30556" customFormat="false" ht="12.8" hidden="false" customHeight="false" outlineLevel="0" collapsed="false">
      <c r="B30556" s="0" t="s">
        <v>1</v>
      </c>
    </row>
    <row r="30557" customFormat="false" ht="12.8" hidden="false" customHeight="false" outlineLevel="0" collapsed="false">
      <c r="B30557" s="0" t="s">
        <v>8</v>
      </c>
    </row>
    <row r="30559" customFormat="false" ht="12.8" hidden="false" customHeight="false" outlineLevel="0" collapsed="false">
      <c r="A30559" s="0" t="s">
        <v>11967</v>
      </c>
      <c r="B30559" s="0" t="str">
        <f aca="false">HYPERLINK("https://lindat.mff.cuni.cz/services/teitok/pdtc10/index.php?action=vallex&amp;frame=v-w4217f1", "pozorovat (v-w4217f1)")</f>
        <v>pozorovat (v-w4217f1)</v>
      </c>
      <c r="E30559" s="0" t="str">
        <f aca="false">HYPERLINK("https://lindat.mff.cuni.cz/services/SynSemClass40/SynSemClass40.html?veclass=vec00115#vec00115-ces-cm00073", "vec00115")</f>
        <v>vec00115</v>
      </c>
      <c r="F30559" s="0" t="s">
        <v>5568</v>
      </c>
    </row>
    <row r="30560" customFormat="false" ht="12.8" hidden="false" customHeight="false" outlineLevel="0" collapsed="false">
      <c r="B30560" s="0" t="s">
        <v>1</v>
      </c>
      <c r="C30560" s="0" t="s">
        <v>6344</v>
      </c>
      <c r="E30560" s="0" t="s">
        <v>5570</v>
      </c>
      <c r="F30560" s="0" t="s">
        <v>5571</v>
      </c>
    </row>
    <row r="30561" customFormat="false" ht="12.8" hidden="false" customHeight="false" outlineLevel="0" collapsed="false">
      <c r="B30561" s="0" t="s">
        <v>8893</v>
      </c>
      <c r="C30561" s="0" t="s">
        <v>6345</v>
      </c>
      <c r="E30561" s="0" t="s">
        <v>180</v>
      </c>
      <c r="F30561" s="0" t="s">
        <v>5573</v>
      </c>
    </row>
    <row r="30563" customFormat="false" ht="12.8" hidden="false" customHeight="false" outlineLevel="0" collapsed="false">
      <c r="A30563" s="0" t="s">
        <v>11968</v>
      </c>
      <c r="B30563" s="0" t="str">
        <f aca="false">HYPERLINK("https://lindat.mff.cuni.cz/services/teitok/pdtc10/index.php?action=vallex&amp;frame=v-w4217f3_ZU", "pozorovat (v-w4217f3_ZU)")</f>
        <v>pozorovat (v-w4217f3_ZU)</v>
      </c>
    </row>
    <row r="30564" customFormat="false" ht="12.8" hidden="false" customHeight="false" outlineLevel="0" collapsed="false">
      <c r="B30564" s="0" t="s">
        <v>1</v>
      </c>
    </row>
    <row r="30565" customFormat="false" ht="12.8" hidden="false" customHeight="false" outlineLevel="0" collapsed="false">
      <c r="B30565" s="0" t="s">
        <v>8322</v>
      </c>
    </row>
    <row r="30567" customFormat="false" ht="12.8" hidden="false" customHeight="false" outlineLevel="0" collapsed="false">
      <c r="A30567" s="0" t="s">
        <v>11968</v>
      </c>
      <c r="B30567" s="0" t="str">
        <f aca="false">HYPERLINK("https://lindat.mff.cuni.cz/services/teitok/pdtc10/index.php?action=vallex&amp;frame=v-w4217f2_ZU", "pozorovat (v-w4217f2_ZU) - substituted with v-w4217f3_ZU")</f>
        <v>pozorovat (v-w4217f2_ZU) - substituted with v-w4217f3_ZU</v>
      </c>
    </row>
    <row r="30568" customFormat="false" ht="12.8" hidden="false" customHeight="false" outlineLevel="0" collapsed="false">
      <c r="B30568" s="0" t="s">
        <v>1</v>
      </c>
    </row>
    <row r="30569" customFormat="false" ht="12.8" hidden="false" customHeight="false" outlineLevel="0" collapsed="false">
      <c r="B30569" s="0" t="s">
        <v>8322</v>
      </c>
    </row>
    <row r="30571" customFormat="false" ht="12.8" hidden="false" customHeight="false" outlineLevel="0" collapsed="false">
      <c r="A30571" s="0" t="s">
        <v>11968</v>
      </c>
      <c r="B30571" s="0" t="str">
        <f aca="false">HYPERLINK("https://lindat.mff.cuni.cz/services/teitok/pdtc10/index.php?action=vallex&amp;frame=v-w4217hsa_1240", "pozorovat (v-w4217hsa_1240) - substituted with v-w4217f3_ZU")</f>
        <v>pozorovat (v-w4217hsa_1240) - substituted with v-w4217f3_ZU</v>
      </c>
      <c r="E30571" s="0" t="str">
        <f aca="false">HYPERLINK("https://lindat.mff.cuni.cz/services/SynSemClass40/SynSemClass40.html?veclass=vec00082#vec00082-ces-cm00001", "vec00082")</f>
        <v>vec00082</v>
      </c>
      <c r="F30571" s="0" t="s">
        <v>8475</v>
      </c>
    </row>
    <row r="30572" customFormat="false" ht="12.8" hidden="false" customHeight="false" outlineLevel="0" collapsed="false">
      <c r="B30572" s="0" t="s">
        <v>1</v>
      </c>
      <c r="C30572" s="0" t="s">
        <v>8476</v>
      </c>
      <c r="E30572" s="0" t="s">
        <v>637</v>
      </c>
      <c r="F30572" s="0" t="s">
        <v>8477</v>
      </c>
    </row>
    <row r="30573" customFormat="false" ht="12.8" hidden="false" customHeight="false" outlineLevel="0" collapsed="false">
      <c r="B30573" s="0" t="s">
        <v>8322</v>
      </c>
      <c r="C30573" s="0" t="s">
        <v>11645</v>
      </c>
      <c r="E30573" s="0" t="s">
        <v>640</v>
      </c>
      <c r="F30573" s="0" t="s">
        <v>11646</v>
      </c>
    </row>
    <row r="30575" customFormat="false" ht="12.8" hidden="false" customHeight="false" outlineLevel="0" collapsed="false">
      <c r="A30575" s="0" t="s">
        <v>11969</v>
      </c>
      <c r="B30575" s="0" t="str">
        <f aca="false">HYPERLINK("https://lindat.mff.cuni.cz/services/teitok/pdtc10/index.php?action=vallex&amp;frame=v-w4219f1", "poztrácet (v-w4219f1)")</f>
        <v>poztrácet (v-w4219f1)</v>
      </c>
    </row>
    <row r="30576" customFormat="false" ht="12.8" hidden="false" customHeight="false" outlineLevel="0" collapsed="false">
      <c r="B30576" s="0" t="s">
        <v>1</v>
      </c>
    </row>
    <row r="30577" customFormat="false" ht="12.8" hidden="false" customHeight="false" outlineLevel="0" collapsed="false">
      <c r="B30577" s="0" t="s">
        <v>8</v>
      </c>
    </row>
    <row r="30579" customFormat="false" ht="12.8" hidden="false" customHeight="false" outlineLevel="0" collapsed="false">
      <c r="A30579" s="0" t="s">
        <v>11970</v>
      </c>
      <c r="B30579" s="0" t="str">
        <f aca="false">HYPERLINK("https://lindat.mff.cuni.cz/services/teitok/pdtc10/index.php?action=vallex&amp;frame=v-w4223f1", "pozvat (v-w4223f1)")</f>
        <v>pozvat (v-w4223f1)</v>
      </c>
      <c r="E30579" s="0" t="str">
        <f aca="false">HYPERLINK("https://lindat.mff.cuni.cz/services/SynSemClass40/SynSemClass40.html?veclass=vec00487#vec00487-ces-cm00001", "vec00487")</f>
        <v>vec00487</v>
      </c>
      <c r="F30579" s="0" t="s">
        <v>11971</v>
      </c>
    </row>
    <row r="30580" customFormat="false" ht="12.8" hidden="false" customHeight="false" outlineLevel="0" collapsed="false">
      <c r="B30580" s="0" t="s">
        <v>1</v>
      </c>
      <c r="C30580" s="0" t="s">
        <v>154</v>
      </c>
      <c r="E30580" s="0" t="s">
        <v>31</v>
      </c>
      <c r="F30580" s="0" t="s">
        <v>4265</v>
      </c>
    </row>
    <row r="30581" customFormat="false" ht="12.8" hidden="false" customHeight="false" outlineLevel="0" collapsed="false">
      <c r="B30581" s="0" t="s">
        <v>8</v>
      </c>
      <c r="C30581" s="0" t="s">
        <v>8841</v>
      </c>
      <c r="E30581" s="0" t="s">
        <v>3002</v>
      </c>
      <c r="F30581" s="0" t="s">
        <v>11972</v>
      </c>
    </row>
    <row r="30583" customFormat="false" ht="12.8" hidden="false" customHeight="false" outlineLevel="0" collapsed="false">
      <c r="A30583" s="0" t="s">
        <v>11973</v>
      </c>
      <c r="B30583" s="0" t="str">
        <f aca="false">HYPERLINK("https://lindat.mff.cuni.cz/services/teitok/pdtc10/index.php?action=vallex&amp;frame=v-w4224f1", "pozvedat (v-w4224f1)")</f>
        <v>pozvedat (v-w4224f1)</v>
      </c>
      <c r="E30583" s="0" t="str">
        <f aca="false">HYPERLINK("https://lindat.mff.cuni.cz/services/SynSemClass40/SynSemClass40.html?veclass=vec01194#vec01194-ces-cm00022", "vec01194")</f>
        <v>vec01194</v>
      </c>
      <c r="F30583" s="0" t="s">
        <v>7163</v>
      </c>
    </row>
    <row r="30584" customFormat="false" ht="12.8" hidden="false" customHeight="false" outlineLevel="0" collapsed="false">
      <c r="B30584" s="0" t="s">
        <v>1</v>
      </c>
      <c r="C30584" s="0" t="s">
        <v>767</v>
      </c>
      <c r="E30584" s="0" t="s">
        <v>334</v>
      </c>
      <c r="F30584" s="0" t="s">
        <v>7164</v>
      </c>
    </row>
    <row r="30585" customFormat="false" ht="12.8" hidden="false" customHeight="false" outlineLevel="0" collapsed="false">
      <c r="B30585" s="0" t="s">
        <v>8</v>
      </c>
      <c r="C30585" s="0" t="s">
        <v>827</v>
      </c>
      <c r="E30585" s="0" t="s">
        <v>2648</v>
      </c>
      <c r="F30585" s="0" t="s">
        <v>7165</v>
      </c>
    </row>
    <row r="30587" customFormat="false" ht="12.8" hidden="false" customHeight="false" outlineLevel="0" collapsed="false">
      <c r="A30587" s="0" t="s">
        <v>11974</v>
      </c>
      <c r="B30587" s="0" t="str">
        <f aca="false">HYPERLINK("https://lindat.mff.cuni.cz/services/teitok/pdtc10/index.php?action=vallex&amp;frame=v-w4225f2", "pozvednout (v-w4225f2)")</f>
        <v>pozvednout (v-w4225f2)</v>
      </c>
    </row>
    <row r="30588" customFormat="false" ht="12.8" hidden="false" customHeight="false" outlineLevel="0" collapsed="false">
      <c r="B30588" s="0" t="s">
        <v>1</v>
      </c>
    </row>
    <row r="30589" customFormat="false" ht="12.8" hidden="false" customHeight="false" outlineLevel="0" collapsed="false">
      <c r="B30589" s="0" t="s">
        <v>8</v>
      </c>
    </row>
    <row r="30590" customFormat="false" ht="12.8" hidden="false" customHeight="false" outlineLevel="0" collapsed="false">
      <c r="B30590" s="0" t="s">
        <v>631</v>
      </c>
    </row>
    <row r="30592" customFormat="false" ht="12.8" hidden="false" customHeight="false" outlineLevel="0" collapsed="false">
      <c r="A30592" s="0" t="s">
        <v>11975</v>
      </c>
      <c r="B30592" s="0" t="str">
        <f aca="false">HYPERLINK("https://lindat.mff.cuni.cz/services/teitok/pdtc10/index.php?action=vallex&amp;frame=v-w4225f1", "pozvednout (v-w4225f1)")</f>
        <v>pozvednout (v-w4225f1)</v>
      </c>
      <c r="E30592" s="0" t="str">
        <f aca="false">HYPERLINK("https://lindat.mff.cuni.cz/services/SynSemClass40/SynSemClass40.html?veclass=vec00069#vec00069-ces-cm00055", "vec00069")</f>
        <v>vec00069</v>
      </c>
      <c r="F30592" s="0" t="s">
        <v>4300</v>
      </c>
      <c r="H30592" s="0" t="str">
        <f aca="false">HYPERLINK("https://lindat.mff.cuni.cz/services/SynSemClass40/SynSemClass40.html?veclass=vec00386#vec00386-ces-cm00020", "vec00386")</f>
        <v>vec00386</v>
      </c>
      <c r="I30592" s="0" t="s">
        <v>5835</v>
      </c>
    </row>
    <row r="30593" customFormat="false" ht="12.8" hidden="false" customHeight="false" outlineLevel="0" collapsed="false">
      <c r="B30593" s="0" t="s">
        <v>1</v>
      </c>
      <c r="C30593" s="0" t="s">
        <v>11976</v>
      </c>
      <c r="E30593" s="0" t="s">
        <v>3021</v>
      </c>
      <c r="F30593" s="0" t="s">
        <v>4302</v>
      </c>
      <c r="H30593" s="0" t="s">
        <v>76</v>
      </c>
      <c r="I30593" s="0" t="s">
        <v>5837</v>
      </c>
    </row>
    <row r="30594" customFormat="false" ht="12.8" hidden="false" customHeight="false" outlineLevel="0" collapsed="false">
      <c r="B30594" s="0" t="s">
        <v>8</v>
      </c>
      <c r="C30594" s="0" t="s">
        <v>11977</v>
      </c>
      <c r="E30594" s="0" t="s">
        <v>3023</v>
      </c>
      <c r="F30594" s="0" t="s">
        <v>4305</v>
      </c>
      <c r="H30594" s="0" t="s">
        <v>4782</v>
      </c>
      <c r="I30594" s="0" t="s">
        <v>5839</v>
      </c>
    </row>
    <row r="30596" customFormat="false" ht="12.8" hidden="false" customHeight="false" outlineLevel="0" collapsed="false">
      <c r="A30596" s="0" t="s">
        <v>11978</v>
      </c>
      <c r="B30596" s="0" t="str">
        <f aca="false">HYPERLINK("https://lindat.mff.cuni.cz/services/teitok/pdtc10/index.php?action=vallex&amp;frame=v-w4225f3_ZU", "pozvednout (v-w4225f3_ZU)")</f>
        <v>pozvednout (v-w4225f3_ZU)</v>
      </c>
    </row>
    <row r="30597" customFormat="false" ht="12.8" hidden="false" customHeight="false" outlineLevel="0" collapsed="false">
      <c r="B30597" s="0" t="s">
        <v>1</v>
      </c>
    </row>
    <row r="30598" customFormat="false" ht="12.8" hidden="false" customHeight="false" outlineLevel="0" collapsed="false">
      <c r="B30598" s="0" t="s">
        <v>11979</v>
      </c>
    </row>
    <row r="30600" customFormat="false" ht="12.8" hidden="false" customHeight="false" outlineLevel="0" collapsed="false">
      <c r="A30600" s="0" t="s">
        <v>11978</v>
      </c>
      <c r="B30600" s="0" t="str">
        <f aca="false">HYPERLINK("https://lindat.mff.cuni.cz/services/teitok/pdtc10/index.php?action=vallex&amp;frame=v-w4225hsa_387", "pozvednout (v-w4225hsa_387) - substituted with v-w4225f3_ZU")</f>
        <v>pozvednout (v-w4225hsa_387) - substituted with v-w4225f3_ZU</v>
      </c>
    </row>
    <row r="30601" customFormat="false" ht="12.8" hidden="false" customHeight="false" outlineLevel="0" collapsed="false">
      <c r="B30601" s="0" t="s">
        <v>1</v>
      </c>
    </row>
    <row r="30602" customFormat="false" ht="12.8" hidden="false" customHeight="false" outlineLevel="0" collapsed="false">
      <c r="B30602" s="0" t="s">
        <v>11979</v>
      </c>
    </row>
    <row r="30604" customFormat="false" ht="12.8" hidden="false" customHeight="false" outlineLevel="0" collapsed="false">
      <c r="A30604" s="0" t="s">
        <v>11980</v>
      </c>
      <c r="B30604" s="0" t="str">
        <f aca="false">HYPERLINK("https://lindat.mff.cuni.cz/services/teitok/pdtc10/index.php?action=vallex&amp;frame=v-whsa_543hsa_544", "pozvednout se (v-whsa_543hsa_544)")</f>
        <v>pozvednout se (v-whsa_543hsa_544)</v>
      </c>
    </row>
    <row r="30605" customFormat="false" ht="12.8" hidden="false" customHeight="false" outlineLevel="0" collapsed="false">
      <c r="B30605" s="0" t="s">
        <v>1</v>
      </c>
    </row>
    <row r="30607" customFormat="false" ht="12.8" hidden="false" customHeight="false" outlineLevel="0" collapsed="false">
      <c r="A30607" s="0" t="s">
        <v>11981</v>
      </c>
      <c r="B30607" s="0" t="str">
        <f aca="false">HYPERLINK("https://lindat.mff.cuni.cz/services/teitok/pdtc10/index.php?action=vallex&amp;frame=v-w11120f3", "pozvedávat (v-w11120f3)")</f>
        <v>pozvedávat (v-w11120f3)</v>
      </c>
    </row>
    <row r="30608" customFormat="false" ht="12.8" hidden="false" customHeight="false" outlineLevel="0" collapsed="false">
      <c r="B30608" s="0" t="s">
        <v>1</v>
      </c>
    </row>
    <row r="30609" customFormat="false" ht="12.8" hidden="false" customHeight="false" outlineLevel="0" collapsed="false">
      <c r="B30609" s="0" t="s">
        <v>8</v>
      </c>
    </row>
    <row r="30611" customFormat="false" ht="12.8" hidden="false" customHeight="false" outlineLevel="0" collapsed="false">
      <c r="A30611" s="0" t="s">
        <v>11982</v>
      </c>
      <c r="B30611" s="0" t="str">
        <f aca="false">HYPERLINK("https://lindat.mff.cuni.cz/services/teitok/pdtc10/index.php?action=vallex&amp;frame=v-w11120f2", "pozvedávat (v-w11120f2)")</f>
        <v>pozvedávat (v-w11120f2)</v>
      </c>
    </row>
    <row r="30612" customFormat="false" ht="12.8" hidden="false" customHeight="false" outlineLevel="0" collapsed="false">
      <c r="B30612" s="0" t="s">
        <v>1</v>
      </c>
    </row>
    <row r="30613" customFormat="false" ht="12.8" hidden="false" customHeight="false" outlineLevel="0" collapsed="false">
      <c r="B30613" s="0" t="s">
        <v>8</v>
      </c>
    </row>
    <row r="30615" customFormat="false" ht="12.8" hidden="false" customHeight="false" outlineLevel="0" collapsed="false">
      <c r="A30615" s="0" t="s">
        <v>11983</v>
      </c>
      <c r="B30615" s="0" t="str">
        <f aca="false">HYPERLINK("https://lindat.mff.cuni.cz/services/teitok/pdtc10/index.php?action=vallex&amp;frame=v-w10785f2", "pozřít (v-w10785f2)")</f>
        <v>pozřít (v-w10785f2)</v>
      </c>
      <c r="E30615" s="0" t="str">
        <f aca="false">HYPERLINK("https://lindat.mff.cuni.cz/services/SynSemClass40/SynSemClass40.html?veclass=vec00828#vec00828-ces-cm00006", "vec00828")</f>
        <v>vec00828</v>
      </c>
      <c r="F30615" s="0" t="s">
        <v>4326</v>
      </c>
    </row>
    <row r="30616" customFormat="false" ht="12.8" hidden="false" customHeight="false" outlineLevel="0" collapsed="false">
      <c r="B30616" s="0" t="s">
        <v>1</v>
      </c>
      <c r="C30616" s="0" t="s">
        <v>5031</v>
      </c>
      <c r="E30616" s="0" t="s">
        <v>658</v>
      </c>
      <c r="F30616" s="0" t="s">
        <v>4329</v>
      </c>
    </row>
    <row r="30617" customFormat="false" ht="12.8" hidden="false" customHeight="false" outlineLevel="0" collapsed="false">
      <c r="B30617" s="0" t="s">
        <v>8</v>
      </c>
      <c r="C30617" s="0" t="s">
        <v>1767</v>
      </c>
      <c r="E30617" s="0" t="s">
        <v>661</v>
      </c>
      <c r="F30617" s="0" t="s">
        <v>4332</v>
      </c>
    </row>
    <row r="30619" customFormat="false" ht="12.8" hidden="false" customHeight="false" outlineLevel="0" collapsed="false">
      <c r="A30619" s="0" t="s">
        <v>11984</v>
      </c>
      <c r="B30619" s="0" t="str">
        <f aca="false">HYPERLINK("https://lindat.mff.cuni.cz/services/teitok/pdtc10/index.php?action=vallex&amp;frame=v-w4220f1", "pozůstavit (v-w4220f1)")</f>
        <v>pozůstavit (v-w4220f1)</v>
      </c>
    </row>
    <row r="30620" customFormat="false" ht="12.8" hidden="false" customHeight="false" outlineLevel="0" collapsed="false">
      <c r="B30620" s="0" t="s">
        <v>1</v>
      </c>
    </row>
    <row r="30621" customFormat="false" ht="12.8" hidden="false" customHeight="false" outlineLevel="0" collapsed="false">
      <c r="B30621" s="0" t="s">
        <v>8</v>
      </c>
    </row>
    <row r="30622" customFormat="false" ht="12.8" hidden="false" customHeight="false" outlineLevel="0" collapsed="false">
      <c r="B30622" s="0" t="s">
        <v>52</v>
      </c>
    </row>
    <row r="30624" customFormat="false" ht="12.8" hidden="false" customHeight="false" outlineLevel="0" collapsed="false">
      <c r="A30624" s="0" t="s">
        <v>11985</v>
      </c>
      <c r="B30624" s="0" t="str">
        <f aca="false">HYPERLINK("https://lindat.mff.cuni.cz/services/teitok/pdtc10/index.php?action=vallex&amp;frame=v-w3518f2", "počastovat (v-w3518f2)")</f>
        <v>počastovat (v-w3518f2)</v>
      </c>
    </row>
    <row r="30625" customFormat="false" ht="12.8" hidden="false" customHeight="false" outlineLevel="0" collapsed="false">
      <c r="B30625" s="0" t="s">
        <v>1</v>
      </c>
    </row>
    <row r="30626" customFormat="false" ht="12.8" hidden="false" customHeight="false" outlineLevel="0" collapsed="false">
      <c r="B30626" s="0" t="s">
        <v>8</v>
      </c>
    </row>
    <row r="30628" customFormat="false" ht="12.8" hidden="false" customHeight="false" outlineLevel="0" collapsed="false">
      <c r="A30628" s="0" t="s">
        <v>11985</v>
      </c>
      <c r="B30628" s="0" t="str">
        <f aca="false">HYPERLINK("https://lindat.mff.cuni.cz/services/teitok/pdtc10/index.php?action=vallex&amp;frame=v-w3518f1", "počastovat (v-w3518f1) - substituted with v-w3518f2")</f>
        <v>počastovat (v-w3518f1) - substituted with v-w3518f2</v>
      </c>
    </row>
    <row r="30629" customFormat="false" ht="12.8" hidden="false" customHeight="false" outlineLevel="0" collapsed="false">
      <c r="B30629" s="0" t="s">
        <v>1</v>
      </c>
    </row>
    <row r="30630" customFormat="false" ht="12.8" hidden="false" customHeight="false" outlineLevel="0" collapsed="false">
      <c r="B30630" s="0" t="s">
        <v>8</v>
      </c>
    </row>
    <row r="30632" customFormat="false" ht="12.8" hidden="false" customHeight="false" outlineLevel="0" collapsed="false">
      <c r="A30632" s="0" t="s">
        <v>11986</v>
      </c>
      <c r="B30632" s="0" t="str">
        <f aca="false">HYPERLINK("https://lindat.mff.cuni.cz/services/teitok/pdtc10/index.php?action=vallex&amp;frame=v-w3521f1", "počeštit (v-w3521f1)")</f>
        <v>počeštit (v-w3521f1)</v>
      </c>
    </row>
    <row r="30633" customFormat="false" ht="12.8" hidden="false" customHeight="false" outlineLevel="0" collapsed="false">
      <c r="B30633" s="0" t="s">
        <v>1</v>
      </c>
    </row>
    <row r="30634" customFormat="false" ht="12.8" hidden="false" customHeight="false" outlineLevel="0" collapsed="false">
      <c r="B30634" s="0" t="s">
        <v>8</v>
      </c>
    </row>
    <row r="30636" customFormat="false" ht="12.8" hidden="false" customHeight="false" outlineLevel="0" collapsed="false">
      <c r="A30636" s="0" t="s">
        <v>11987</v>
      </c>
      <c r="B30636" s="0" t="str">
        <f aca="false">HYPERLINK("https://lindat.mff.cuni.cz/services/teitok/pdtc10/index.php?action=vallex&amp;frame=v-w12048_ZUf1_ZU", "počešťovat (v-w12048_ZUf1_ZU)")</f>
        <v>počešťovat (v-w12048_ZUf1_ZU)</v>
      </c>
    </row>
    <row r="30637" customFormat="false" ht="12.8" hidden="false" customHeight="false" outlineLevel="0" collapsed="false">
      <c r="B30637" s="0" t="s">
        <v>1</v>
      </c>
    </row>
    <row r="30638" customFormat="false" ht="12.8" hidden="false" customHeight="false" outlineLevel="0" collapsed="false">
      <c r="B30638" s="0" t="s">
        <v>8</v>
      </c>
    </row>
    <row r="30640" customFormat="false" ht="12.8" hidden="false" customHeight="false" outlineLevel="0" collapsed="false">
      <c r="A30640" s="0" t="s">
        <v>11988</v>
      </c>
      <c r="B30640" s="0" t="str">
        <f aca="false">HYPERLINK("https://lindat.mff.cuni.cz/services/teitok/pdtc10/index.php?action=vallex&amp;frame=v-w3536f3_ZU", "počkat (v-w3536f3_ZU)")</f>
        <v>počkat (v-w3536f3_ZU)</v>
      </c>
    </row>
    <row r="30641" customFormat="false" ht="12.8" hidden="false" customHeight="false" outlineLevel="0" collapsed="false">
      <c r="B30641" s="0" t="s">
        <v>1</v>
      </c>
    </row>
    <row r="30642" customFormat="false" ht="12.8" hidden="false" customHeight="false" outlineLevel="0" collapsed="false">
      <c r="B30642" s="0" t="s">
        <v>11989</v>
      </c>
    </row>
    <row r="30644" customFormat="false" ht="12.8" hidden="false" customHeight="false" outlineLevel="0" collapsed="false">
      <c r="A30644" s="0" t="s">
        <v>11988</v>
      </c>
      <c r="B30644" s="0" t="str">
        <f aca="false">HYPERLINK("https://lindat.mff.cuni.cz/services/teitok/pdtc10/index.php?action=vallex&amp;frame=v-w3536f1", "počkat (v-w3536f1) - substituted with v-w3536f3_ZU")</f>
        <v>počkat (v-w3536f1) - substituted with v-w3536f3_ZU</v>
      </c>
    </row>
    <row r="30645" customFormat="false" ht="12.8" hidden="false" customHeight="false" outlineLevel="0" collapsed="false">
      <c r="B30645" s="0" t="s">
        <v>1</v>
      </c>
    </row>
    <row r="30646" customFormat="false" ht="12.8" hidden="false" customHeight="false" outlineLevel="0" collapsed="false">
      <c r="B30646" s="0" t="s">
        <v>11989</v>
      </c>
    </row>
    <row r="30648" customFormat="false" ht="12.8" hidden="false" customHeight="false" outlineLevel="0" collapsed="false">
      <c r="A30648" s="0" t="s">
        <v>11988</v>
      </c>
      <c r="B30648" s="0" t="str">
        <f aca="false">HYPERLINK("https://lindat.mff.cuni.cz/services/teitok/pdtc10/index.php?action=vallex&amp;frame=v-w3536f2_ZU", "počkat (v-w3536f2_ZU) - substituted with v-w3536f3_ZU")</f>
        <v>počkat (v-w3536f2_ZU) - substituted with v-w3536f3_ZU</v>
      </c>
    </row>
    <row r="30649" customFormat="false" ht="12.8" hidden="false" customHeight="false" outlineLevel="0" collapsed="false">
      <c r="B30649" s="0" t="s">
        <v>1</v>
      </c>
    </row>
    <row r="30650" customFormat="false" ht="12.8" hidden="false" customHeight="false" outlineLevel="0" collapsed="false">
      <c r="B30650" s="0" t="s">
        <v>11989</v>
      </c>
    </row>
    <row r="30652" customFormat="false" ht="12.8" hidden="false" customHeight="false" outlineLevel="0" collapsed="false">
      <c r="A30652" s="0" t="s">
        <v>11988</v>
      </c>
      <c r="B30652" s="0" t="str">
        <f aca="false">HYPERLINK("https://lindat.mff.cuni.cz/services/teitok/pdtc10/index.php?action=vallex&amp;frame=v-w3536hsa_1085", "počkat (v-w3536hsa_1085) - substituted with v-w3536f3_ZU")</f>
        <v>počkat (v-w3536hsa_1085) - substituted with v-w3536f3_ZU</v>
      </c>
      <c r="E30652" s="0" t="str">
        <f aca="false">HYPERLINK("https://lindat.mff.cuni.cz/services/SynSemClass40/SynSemClass40.html?veclass=vec00003#vec00003-ces-cm00010", "vec00003")</f>
        <v>vec00003</v>
      </c>
      <c r="F30652" s="0" t="s">
        <v>10280</v>
      </c>
    </row>
    <row r="30653" customFormat="false" ht="12.8" hidden="false" customHeight="false" outlineLevel="0" collapsed="false">
      <c r="B30653" s="0" t="s">
        <v>1</v>
      </c>
      <c r="C30653" s="0" t="s">
        <v>10281</v>
      </c>
      <c r="E30653" s="0" t="s">
        <v>11</v>
      </c>
      <c r="F30653" s="0" t="s">
        <v>10282</v>
      </c>
    </row>
    <row r="30654" customFormat="false" ht="12.8" hidden="false" customHeight="false" outlineLevel="0" collapsed="false">
      <c r="B30654" s="0" t="s">
        <v>11989</v>
      </c>
      <c r="C30654" s="0" t="s">
        <v>10284</v>
      </c>
      <c r="E30654" s="0" t="s">
        <v>3054</v>
      </c>
      <c r="F30654" s="0" t="s">
        <v>10285</v>
      </c>
    </row>
    <row r="30656" customFormat="false" ht="12.8" hidden="false" customHeight="false" outlineLevel="0" collapsed="false">
      <c r="A30656" s="0" t="s">
        <v>11990</v>
      </c>
      <c r="B30656" s="0" t="str">
        <f aca="false">HYPERLINK("https://lindat.mff.cuni.cz/services/teitok/pdtc10/index.php?action=vallex&amp;frame=v-w3537f2_ZU", "počkat si (v-w3537f2_ZU)")</f>
        <v>počkat si (v-w3537f2_ZU)</v>
      </c>
    </row>
    <row r="30657" customFormat="false" ht="12.8" hidden="false" customHeight="false" outlineLevel="0" collapsed="false">
      <c r="B30657" s="0" t="s">
        <v>1</v>
      </c>
    </row>
    <row r="30658" customFormat="false" ht="12.8" hidden="false" customHeight="false" outlineLevel="0" collapsed="false">
      <c r="B30658" s="0" t="s">
        <v>11991</v>
      </c>
    </row>
    <row r="30660" customFormat="false" ht="12.8" hidden="false" customHeight="false" outlineLevel="0" collapsed="false">
      <c r="A30660" s="0" t="s">
        <v>11990</v>
      </c>
      <c r="B30660" s="0" t="str">
        <f aca="false">HYPERLINK("https://lindat.mff.cuni.cz/services/teitok/pdtc10/index.php?action=vallex&amp;frame=v-w3537f1", "počkat si (v-w3537f1) - substituted with v-w3537f2_ZU")</f>
        <v>počkat si (v-w3537f1) - substituted with v-w3537f2_ZU</v>
      </c>
      <c r="E30660" s="0" t="str">
        <f aca="false">HYPERLINK("https://lindat.mff.cuni.cz/services/SynSemClass40/SynSemClass40.html?veclass=vec00003#vec00003-ces-cm00011", "vec00003")</f>
        <v>vec00003</v>
      </c>
      <c r="F30660" s="0" t="s">
        <v>10280</v>
      </c>
    </row>
    <row r="30661" customFormat="false" ht="12.8" hidden="false" customHeight="false" outlineLevel="0" collapsed="false">
      <c r="B30661" s="0" t="s">
        <v>1</v>
      </c>
      <c r="C30661" s="0" t="s">
        <v>10281</v>
      </c>
      <c r="E30661" s="0" t="s">
        <v>11</v>
      </c>
      <c r="F30661" s="0" t="s">
        <v>10282</v>
      </c>
    </row>
    <row r="30662" customFormat="false" ht="12.8" hidden="false" customHeight="false" outlineLevel="0" collapsed="false">
      <c r="B30662" s="0" t="s">
        <v>11991</v>
      </c>
      <c r="C30662" s="0" t="s">
        <v>10284</v>
      </c>
      <c r="E30662" s="0" t="s">
        <v>3054</v>
      </c>
      <c r="F30662" s="0" t="s">
        <v>10285</v>
      </c>
    </row>
    <row r="30664" customFormat="false" ht="12.8" hidden="false" customHeight="false" outlineLevel="0" collapsed="false">
      <c r="A30664" s="0" t="s">
        <v>11992</v>
      </c>
      <c r="B30664" s="0" t="str">
        <f aca="false">HYPERLINK("https://lindat.mff.cuni.cz/services/teitok/pdtc10/index.php?action=vallex&amp;frame=v-w11742_ZUf1_ZU", "počurat se (v-w11742_ZUf1_ZU)")</f>
        <v>počurat se (v-w11742_ZUf1_ZU)</v>
      </c>
    </row>
    <row r="30665" customFormat="false" ht="12.8" hidden="false" customHeight="false" outlineLevel="0" collapsed="false">
      <c r="B30665" s="0" t="s">
        <v>1</v>
      </c>
    </row>
    <row r="30667" customFormat="false" ht="12.8" hidden="false" customHeight="false" outlineLevel="0" collapsed="false">
      <c r="A30667" s="0" t="s">
        <v>11993</v>
      </c>
      <c r="B30667" s="0" t="str">
        <f aca="false">HYPERLINK("https://lindat.mff.cuni.cz/services/teitok/pdtc10/index.php?action=vallex&amp;frame=v-w3524f1", "počíhat si (v-w3524f1)")</f>
        <v>počíhat si (v-w3524f1)</v>
      </c>
    </row>
    <row r="30668" customFormat="false" ht="12.8" hidden="false" customHeight="false" outlineLevel="0" collapsed="false">
      <c r="B30668" s="0" t="s">
        <v>1</v>
      </c>
    </row>
    <row r="30669" customFormat="false" ht="12.8" hidden="false" customHeight="false" outlineLevel="0" collapsed="false">
      <c r="B30669" s="0" t="s">
        <v>45</v>
      </c>
    </row>
    <row r="30671" customFormat="false" ht="12.8" hidden="false" customHeight="false" outlineLevel="0" collapsed="false">
      <c r="A30671" s="0" t="s">
        <v>11994</v>
      </c>
      <c r="B30671" s="0" t="str">
        <f aca="false">HYPERLINK("https://lindat.mff.cuni.cz/services/teitok/pdtc10/index.php?action=vallex&amp;frame=v-w3526f1", "počínat (v-w3526f1)")</f>
        <v>počínat (v-w3526f1)</v>
      </c>
      <c r="E30671" s="0" t="str">
        <f aca="false">HYPERLINK("https://lindat.mff.cuni.cz/services/SynSemClass40/SynSemClass40.html?veclass=vec00097#vec00097-ces-cm00171", "vec00097")</f>
        <v>vec00097</v>
      </c>
      <c r="F30671" s="0" t="s">
        <v>373</v>
      </c>
    </row>
    <row r="30672" customFormat="false" ht="12.8" hidden="false" customHeight="false" outlineLevel="0" collapsed="false">
      <c r="B30672" s="0" t="s">
        <v>345</v>
      </c>
      <c r="C30672" s="0" t="s">
        <v>374</v>
      </c>
      <c r="E30672" s="0" t="s">
        <v>375</v>
      </c>
      <c r="F30672" s="0" t="s">
        <v>376</v>
      </c>
    </row>
    <row r="30674" customFormat="false" ht="12.8" hidden="false" customHeight="false" outlineLevel="0" collapsed="false">
      <c r="A30674" s="0" t="s">
        <v>11995</v>
      </c>
      <c r="B30674" s="0" t="str">
        <f aca="false">HYPERLINK("https://lindat.mff.cuni.cz/services/teitok/pdtc10/index.php?action=vallex&amp;frame=v-whsa_1172hsa_1173", "počínat se (v-whsa_1172hsa_1173)")</f>
        <v>počínat se (v-whsa_1172hsa_1173)</v>
      </c>
    </row>
    <row r="30675" customFormat="false" ht="12.8" hidden="false" customHeight="false" outlineLevel="0" collapsed="false">
      <c r="B30675" s="0" t="s">
        <v>1</v>
      </c>
    </row>
    <row r="30676" customFormat="false" ht="12.8" hidden="false" customHeight="false" outlineLevel="0" collapsed="false">
      <c r="B30676" s="0" t="s">
        <v>886</v>
      </c>
    </row>
    <row r="30678" customFormat="false" ht="12.8" hidden="false" customHeight="false" outlineLevel="0" collapsed="false">
      <c r="A30678" s="0" t="s">
        <v>11996</v>
      </c>
      <c r="B30678" s="0" t="str">
        <f aca="false">HYPERLINK("https://lindat.mff.cuni.cz/services/teitok/pdtc10/index.php?action=vallex&amp;frame=v-w3527f1", "počínat si (v-w3527f1)")</f>
        <v>počínat si (v-w3527f1)</v>
      </c>
    </row>
    <row r="30679" customFormat="false" ht="12.8" hidden="false" customHeight="false" outlineLevel="0" collapsed="false">
      <c r="B30679" s="0" t="s">
        <v>1</v>
      </c>
    </row>
    <row r="30680" customFormat="false" ht="12.8" hidden="false" customHeight="false" outlineLevel="0" collapsed="false">
      <c r="B30680" s="0" t="s">
        <v>725</v>
      </c>
    </row>
    <row r="30681" customFormat="false" ht="12.8" hidden="false" customHeight="false" outlineLevel="0" collapsed="false">
      <c r="B30681" s="0" t="s">
        <v>642</v>
      </c>
    </row>
    <row r="30682" customFormat="false" ht="12.8" hidden="false" customHeight="false" outlineLevel="0" collapsed="false">
      <c r="B30682" s="0" t="s">
        <v>648</v>
      </c>
    </row>
    <row r="30683" customFormat="false" ht="12.8" hidden="false" customHeight="false" outlineLevel="0" collapsed="false">
      <c r="B30683" s="0" t="s">
        <v>650</v>
      </c>
    </row>
    <row r="30684" customFormat="false" ht="12.8" hidden="false" customHeight="false" outlineLevel="0" collapsed="false">
      <c r="B30684" s="0" t="s">
        <v>652</v>
      </c>
    </row>
    <row r="30686" customFormat="false" ht="12.8" hidden="false" customHeight="false" outlineLevel="0" collapsed="false">
      <c r="A30686" s="0" t="s">
        <v>11997</v>
      </c>
      <c r="B30686" s="0" t="str">
        <f aca="false">HYPERLINK("https://lindat.mff.cuni.cz/services/teitok/pdtc10/index.php?action=vallex&amp;frame=v-w3528f1", "počíst si (v-w3528f1)")</f>
        <v>počíst si (v-w3528f1)</v>
      </c>
    </row>
    <row r="30687" customFormat="false" ht="12.8" hidden="false" customHeight="false" outlineLevel="0" collapsed="false">
      <c r="B30687" s="0" t="s">
        <v>1</v>
      </c>
    </row>
    <row r="30688" customFormat="false" ht="12.8" hidden="false" customHeight="false" outlineLevel="0" collapsed="false">
      <c r="B30688" s="0" t="s">
        <v>496</v>
      </c>
    </row>
    <row r="30689" customFormat="false" ht="12.8" hidden="false" customHeight="false" outlineLevel="0" collapsed="false">
      <c r="B30689" s="0" t="s">
        <v>11998</v>
      </c>
    </row>
    <row r="30691" customFormat="false" ht="12.8" hidden="false" customHeight="false" outlineLevel="0" collapsed="false">
      <c r="A30691" s="0" t="s">
        <v>11999</v>
      </c>
      <c r="B30691" s="0" t="str">
        <f aca="false">HYPERLINK("https://lindat.mff.cuni.cz/services/teitok/pdtc10/index.php?action=vallex&amp;frame=v-w3529f1", "počít (v-w3529f1)")</f>
        <v>počít (v-w3529f1)</v>
      </c>
    </row>
    <row r="30692" customFormat="false" ht="12.8" hidden="false" customHeight="false" outlineLevel="0" collapsed="false">
      <c r="B30692" s="0" t="s">
        <v>1</v>
      </c>
    </row>
    <row r="30693" customFormat="false" ht="12.8" hidden="false" customHeight="false" outlineLevel="0" collapsed="false">
      <c r="B30693" s="0" t="s">
        <v>8</v>
      </c>
    </row>
    <row r="30695" customFormat="false" ht="12.8" hidden="false" customHeight="false" outlineLevel="0" collapsed="false">
      <c r="A30695" s="0" t="s">
        <v>12000</v>
      </c>
      <c r="B30695" s="0" t="str">
        <f aca="false">HYPERLINK("https://lindat.mff.cuni.cz/services/teitok/pdtc10/index.php?action=vallex&amp;frame=v-w3529f2_ZU", "počít (v-w3529f2_ZU)")</f>
        <v>počít (v-w3529f2_ZU)</v>
      </c>
    </row>
    <row r="30696" customFormat="false" ht="12.8" hidden="false" customHeight="false" outlineLevel="0" collapsed="false">
      <c r="B30696" s="0" t="s">
        <v>1</v>
      </c>
    </row>
    <row r="30697" customFormat="false" ht="12.8" hidden="false" customHeight="false" outlineLevel="0" collapsed="false">
      <c r="B30697" s="0" t="s">
        <v>886</v>
      </c>
    </row>
    <row r="30699" customFormat="false" ht="12.8" hidden="false" customHeight="false" outlineLevel="0" collapsed="false">
      <c r="A30699" s="0" t="s">
        <v>12001</v>
      </c>
      <c r="B30699" s="0" t="str">
        <f aca="false">HYPERLINK("https://lindat.mff.cuni.cz/services/teitok/pdtc10/index.php?action=vallex&amp;frame=v-w3534f1", "počít si (v-w3534f1)")</f>
        <v>počít si (v-w3534f1)</v>
      </c>
    </row>
    <row r="30700" customFormat="false" ht="12.8" hidden="false" customHeight="false" outlineLevel="0" collapsed="false">
      <c r="B30700" s="0" t="s">
        <v>1</v>
      </c>
    </row>
    <row r="30701" customFormat="false" ht="12.8" hidden="false" customHeight="false" outlineLevel="0" collapsed="false">
      <c r="B30701" s="0" t="s">
        <v>12002</v>
      </c>
    </row>
    <row r="30702" customFormat="false" ht="12.8" hidden="false" customHeight="false" outlineLevel="0" collapsed="false">
      <c r="B30702" s="0" t="s">
        <v>3321</v>
      </c>
    </row>
    <row r="30704" customFormat="false" ht="12.8" hidden="false" customHeight="false" outlineLevel="0" collapsed="false">
      <c r="A30704" s="0" t="s">
        <v>12003</v>
      </c>
      <c r="B30704" s="0" t="str">
        <f aca="false">HYPERLINK("https://lindat.mff.cuni.cz/services/teitok/pdtc10/index.php?action=vallex&amp;frame=v-w3533f4", "počítat (v-w3533f4)")</f>
        <v>počítat (v-w3533f4)</v>
      </c>
    </row>
    <row r="30705" customFormat="false" ht="12.8" hidden="false" customHeight="false" outlineLevel="0" collapsed="false">
      <c r="B30705" s="0" t="s">
        <v>1</v>
      </c>
    </row>
    <row r="30706" customFormat="false" ht="12.8" hidden="false" customHeight="false" outlineLevel="0" collapsed="false">
      <c r="B30706" s="0" t="s">
        <v>8</v>
      </c>
    </row>
    <row r="30707" customFormat="false" ht="12.8" hidden="false" customHeight="false" outlineLevel="0" collapsed="false">
      <c r="B30707" s="0" t="s">
        <v>52</v>
      </c>
    </row>
    <row r="30708" customFormat="false" ht="12.8" hidden="false" customHeight="false" outlineLevel="0" collapsed="false">
      <c r="B30708" s="0" t="s">
        <v>723</v>
      </c>
    </row>
    <row r="30710" customFormat="false" ht="12.8" hidden="false" customHeight="false" outlineLevel="0" collapsed="false">
      <c r="A30710" s="0" t="s">
        <v>12004</v>
      </c>
      <c r="B30710" s="0" t="str">
        <f aca="false">HYPERLINK("https://lindat.mff.cuni.cz/services/teitok/pdtc10/index.php?action=vallex&amp;frame=v-w3533f5", "počítat (v-w3533f5)")</f>
        <v>počítat (v-w3533f5)</v>
      </c>
      <c r="E30710" s="0" t="str">
        <f aca="false">HYPERLINK("https://lindat.mff.cuni.cz/services/SynSemClass40/SynSemClass40.html?veclass=vec00166#vec00166-ces-cm00013", "vec00166")</f>
        <v>vec00166</v>
      </c>
      <c r="F30710" s="0" t="s">
        <v>12005</v>
      </c>
    </row>
    <row r="30711" customFormat="false" ht="12.8" hidden="false" customHeight="false" outlineLevel="0" collapsed="false">
      <c r="B30711" s="0" t="s">
        <v>1</v>
      </c>
      <c r="C30711" s="0" t="s">
        <v>12006</v>
      </c>
      <c r="E30711" s="0" t="s">
        <v>31</v>
      </c>
      <c r="F30711" s="0" t="s">
        <v>12007</v>
      </c>
    </row>
    <row r="30712" customFormat="false" ht="12.8" hidden="false" customHeight="false" outlineLevel="0" collapsed="false">
      <c r="B30712" s="0" t="s">
        <v>390</v>
      </c>
      <c r="C30712" s="0" t="s">
        <v>2664</v>
      </c>
      <c r="E30712" s="0" t="s">
        <v>1347</v>
      </c>
      <c r="F30712" s="0" t="s">
        <v>12008</v>
      </c>
    </row>
    <row r="30713" customFormat="false" ht="12.8" hidden="false" customHeight="false" outlineLevel="0" collapsed="false">
      <c r="B30713" s="0" t="s">
        <v>36</v>
      </c>
      <c r="E30713" s="0" t="s">
        <v>2176</v>
      </c>
      <c r="F30713" s="0" t="s">
        <v>2807</v>
      </c>
    </row>
    <row r="30715" customFormat="false" ht="12.8" hidden="false" customHeight="false" outlineLevel="0" collapsed="false">
      <c r="A30715" s="0" t="s">
        <v>12009</v>
      </c>
      <c r="B30715" s="0" t="str">
        <f aca="false">HYPERLINK("https://lindat.mff.cuni.cz/services/teitok/pdtc10/index.php?action=vallex&amp;frame=v-w3533f6", "počítat (v-w3533f6)")</f>
        <v>počítat (v-w3533f6)</v>
      </c>
    </row>
    <row r="30716" customFormat="false" ht="12.8" hidden="false" customHeight="false" outlineLevel="0" collapsed="false">
      <c r="B30716" s="0" t="s">
        <v>1</v>
      </c>
    </row>
    <row r="30717" customFormat="false" ht="12.8" hidden="false" customHeight="false" outlineLevel="0" collapsed="false">
      <c r="B30717" s="0" t="s">
        <v>8</v>
      </c>
    </row>
    <row r="30718" customFormat="false" ht="12.8" hidden="false" customHeight="false" outlineLevel="0" collapsed="false">
      <c r="B30718" s="0" t="s">
        <v>12010</v>
      </c>
    </row>
    <row r="30720" customFormat="false" ht="12.8" hidden="false" customHeight="false" outlineLevel="0" collapsed="false">
      <c r="A30720" s="0" t="s">
        <v>12011</v>
      </c>
      <c r="B30720" s="0" t="str">
        <f aca="false">HYPERLINK("https://lindat.mff.cuni.cz/services/teitok/pdtc10/index.php?action=vallex&amp;frame=v-w3533f7_ZU", "počítat (v-w3533f7_ZU)")</f>
        <v>počítat (v-w3533f7_ZU)</v>
      </c>
      <c r="E30720" s="0" t="str">
        <f aca="false">HYPERLINK("https://lindat.mff.cuni.cz/services/SynSemClass40/SynSemClass40.html?veclass=vec00322#vec00322-ces-cm00165", "vec00322")</f>
        <v>vec00322</v>
      </c>
      <c r="F30720" s="0" t="s">
        <v>1343</v>
      </c>
    </row>
    <row r="30721" customFormat="false" ht="12.8" hidden="false" customHeight="false" outlineLevel="0" collapsed="false">
      <c r="B30721" s="0" t="s">
        <v>1</v>
      </c>
      <c r="C30721" s="0" t="s">
        <v>1344</v>
      </c>
      <c r="E30721" s="0" t="s">
        <v>206</v>
      </c>
      <c r="F30721" s="0" t="s">
        <v>1345</v>
      </c>
    </row>
    <row r="30722" customFormat="false" ht="12.8" hidden="false" customHeight="false" outlineLevel="0" collapsed="false">
      <c r="B30722" s="0" t="s">
        <v>8</v>
      </c>
      <c r="C30722" s="0" t="s">
        <v>1346</v>
      </c>
      <c r="E30722" s="0" t="s">
        <v>1347</v>
      </c>
      <c r="F30722" s="0" t="s">
        <v>1348</v>
      </c>
    </row>
    <row r="30723" customFormat="false" ht="12.8" hidden="false" customHeight="false" outlineLevel="0" collapsed="false">
      <c r="B30723" s="0" t="s">
        <v>839</v>
      </c>
      <c r="C30723" s="0" t="s">
        <v>1349</v>
      </c>
      <c r="E30723" s="0" t="s">
        <v>1350</v>
      </c>
      <c r="F30723" s="0" t="s">
        <v>1351</v>
      </c>
    </row>
    <row r="30725" customFormat="false" ht="12.8" hidden="false" customHeight="false" outlineLevel="0" collapsed="false">
      <c r="A30725" s="0" t="s">
        <v>12012</v>
      </c>
      <c r="B30725" s="0" t="str">
        <f aca="false">HYPERLINK("https://lindat.mff.cuni.cz/services/teitok/pdtc10/index.php?action=vallex&amp;frame=v-w3533f3", "počítat (v-w3533f3)")</f>
        <v>počítat (v-w3533f3)</v>
      </c>
    </row>
    <row r="30726" customFormat="false" ht="12.8" hidden="false" customHeight="false" outlineLevel="0" collapsed="false">
      <c r="B30726" s="0" t="s">
        <v>1</v>
      </c>
    </row>
    <row r="30727" customFormat="false" ht="12.8" hidden="false" customHeight="false" outlineLevel="0" collapsed="false">
      <c r="B30727" s="0" t="s">
        <v>8</v>
      </c>
    </row>
    <row r="30728" customFormat="false" ht="12.8" hidden="false" customHeight="false" outlineLevel="0" collapsed="false">
      <c r="B30728" s="0" t="s">
        <v>164</v>
      </c>
    </row>
    <row r="30730" customFormat="false" ht="12.8" hidden="false" customHeight="false" outlineLevel="0" collapsed="false">
      <c r="A30730" s="0" t="s">
        <v>12013</v>
      </c>
      <c r="B30730" s="0" t="str">
        <f aca="false">HYPERLINK("https://lindat.mff.cuni.cz/services/teitok/pdtc10/index.php?action=vallex&amp;frame=v-w3533f2", "počítat (v-w3533f2)")</f>
        <v>počítat (v-w3533f2)</v>
      </c>
      <c r="E30730" s="0" t="str">
        <f aca="false">HYPERLINK("https://lindat.mff.cuni.cz/services/SynSemClass40/SynSemClass40.html?veclass=vec00166#vec00166-ces-cm00003", "vec00166")</f>
        <v>vec00166</v>
      </c>
      <c r="F30730" s="0" t="s">
        <v>12005</v>
      </c>
    </row>
    <row r="30731" customFormat="false" ht="12.8" hidden="false" customHeight="false" outlineLevel="0" collapsed="false">
      <c r="B30731" s="0" t="s">
        <v>1</v>
      </c>
      <c r="C30731" s="0" t="s">
        <v>12006</v>
      </c>
      <c r="E30731" s="0" t="s">
        <v>31</v>
      </c>
      <c r="F30731" s="0" t="s">
        <v>12007</v>
      </c>
    </row>
    <row r="30732" customFormat="false" ht="12.8" hidden="false" customHeight="false" outlineLevel="0" collapsed="false">
      <c r="B30732" s="0" t="s">
        <v>12014</v>
      </c>
      <c r="C30732" s="0" t="s">
        <v>2664</v>
      </c>
      <c r="E30732" s="0" t="s">
        <v>1347</v>
      </c>
      <c r="F30732" s="0" t="s">
        <v>12008</v>
      </c>
    </row>
    <row r="30734" customFormat="false" ht="12.8" hidden="false" customHeight="false" outlineLevel="0" collapsed="false">
      <c r="A30734" s="0" t="s">
        <v>12015</v>
      </c>
      <c r="B30734" s="0" t="str">
        <f aca="false">HYPERLINK("https://lindat.mff.cuni.cz/services/teitok/pdtc10/index.php?action=vallex&amp;frame=v-w3533f1", "počítat (v-w3533f1)")</f>
        <v>počítat (v-w3533f1)</v>
      </c>
      <c r="E30734" s="0" t="str">
        <f aca="false">HYPERLINK("https://lindat.mff.cuni.cz/services/SynSemClass40/SynSemClass40.html?veclass=vec00520#vec00520-ces-cm00004", "vec00520")</f>
        <v>vec00520</v>
      </c>
      <c r="F30734" s="0" t="s">
        <v>9897</v>
      </c>
    </row>
    <row r="30735" customFormat="false" ht="12.8" hidden="false" customHeight="false" outlineLevel="0" collapsed="false">
      <c r="B30735" s="0" t="s">
        <v>1</v>
      </c>
      <c r="C30735" s="0" t="s">
        <v>9898</v>
      </c>
      <c r="E30735" s="0" t="s">
        <v>9899</v>
      </c>
      <c r="F30735" s="0" t="s">
        <v>9900</v>
      </c>
    </row>
    <row r="30736" customFormat="false" ht="12.8" hidden="false" customHeight="false" outlineLevel="0" collapsed="false">
      <c r="B30736" s="0" t="s">
        <v>5214</v>
      </c>
      <c r="C30736" s="0" t="s">
        <v>9901</v>
      </c>
      <c r="E30736" s="0" t="s">
        <v>9902</v>
      </c>
      <c r="F30736" s="0" t="s">
        <v>9903</v>
      </c>
    </row>
    <row r="30738" customFormat="false" ht="12.8" hidden="false" customHeight="false" outlineLevel="0" collapsed="false">
      <c r="A30738" s="0" t="s">
        <v>12016</v>
      </c>
      <c r="B30738" s="0" t="str">
        <f aca="false">HYPERLINK("https://lindat.mff.cuni.cz/services/teitok/pdtc10/index.php?action=vallex&amp;frame=v-w3942f1", "pořezat se (v-w3942f1)")</f>
        <v>pořezat se (v-w3942f1)</v>
      </c>
    </row>
    <row r="30739" customFormat="false" ht="12.8" hidden="false" customHeight="false" outlineLevel="0" collapsed="false">
      <c r="B30739" s="0" t="s">
        <v>1</v>
      </c>
    </row>
    <row r="30741" customFormat="false" ht="12.8" hidden="false" customHeight="false" outlineLevel="0" collapsed="false">
      <c r="A30741" s="0" t="s">
        <v>12017</v>
      </c>
      <c r="B30741" s="0" t="str">
        <f aca="false">HYPERLINK("https://lindat.mff.cuni.cz/services/teitok/pdtc10/index.php?action=vallex&amp;frame=v-w3947f6_ZU", "pořizovat (v-w3947f6_ZU)")</f>
        <v>pořizovat (v-w3947f6_ZU)</v>
      </c>
    </row>
    <row r="30742" customFormat="false" ht="12.8" hidden="false" customHeight="false" outlineLevel="0" collapsed="false">
      <c r="B30742" s="0" t="s">
        <v>1</v>
      </c>
    </row>
    <row r="30743" customFormat="false" ht="12.8" hidden="false" customHeight="false" outlineLevel="0" collapsed="false">
      <c r="B30743" s="0" t="s">
        <v>8</v>
      </c>
    </row>
    <row r="30744" customFormat="false" ht="12.8" hidden="false" customHeight="false" outlineLevel="0" collapsed="false">
      <c r="B30744" s="0" t="s">
        <v>2410</v>
      </c>
    </row>
    <row r="30745" customFormat="false" ht="12.8" hidden="false" customHeight="false" outlineLevel="0" collapsed="false">
      <c r="B30745" s="0" t="s">
        <v>602</v>
      </c>
    </row>
    <row r="30747" customFormat="false" ht="12.8" hidden="false" customHeight="false" outlineLevel="0" collapsed="false">
      <c r="A30747" s="0" t="s">
        <v>12017</v>
      </c>
      <c r="B30747" s="0" t="str">
        <f aca="false">HYPERLINK("https://lindat.mff.cuni.cz/services/teitok/pdtc10/index.php?action=vallex&amp;frame=v-w3947f1", "pořizovat (v-w3947f1) - substituted with v-w3947f6_ZU")</f>
        <v>pořizovat (v-w3947f1) - substituted with v-w3947f6_ZU</v>
      </c>
      <c r="E30747" s="0" t="str">
        <f aca="false">HYPERLINK("https://lindat.mff.cuni.cz/services/SynSemClass40/SynSemClass40.html?veclass=vec00035#vec00035-ces-cm00028", "vec00035")</f>
        <v>vec00035</v>
      </c>
      <c r="F30747" s="0" t="s">
        <v>5701</v>
      </c>
    </row>
    <row r="30748" customFormat="false" ht="12.8" hidden="false" customHeight="false" outlineLevel="0" collapsed="false">
      <c r="B30748" s="0" t="s">
        <v>1</v>
      </c>
      <c r="C30748" s="0" t="s">
        <v>5702</v>
      </c>
      <c r="E30748" s="0" t="s">
        <v>5703</v>
      </c>
      <c r="F30748" s="0" t="s">
        <v>5704</v>
      </c>
    </row>
    <row r="30749" customFormat="false" ht="12.8" hidden="false" customHeight="false" outlineLevel="0" collapsed="false">
      <c r="B30749" s="0" t="s">
        <v>8</v>
      </c>
      <c r="C30749" s="0" t="s">
        <v>5705</v>
      </c>
      <c r="E30749" s="0" t="s">
        <v>3201</v>
      </c>
      <c r="F30749" s="0" t="s">
        <v>5706</v>
      </c>
    </row>
    <row r="30750" customFormat="false" ht="12.8" hidden="false" customHeight="false" outlineLevel="0" collapsed="false">
      <c r="B30750" s="0" t="s">
        <v>2410</v>
      </c>
      <c r="C30750" s="0" t="s">
        <v>5707</v>
      </c>
      <c r="E30750" s="0" t="s">
        <v>4235</v>
      </c>
      <c r="F30750" s="0" t="s">
        <v>5708</v>
      </c>
    </row>
    <row r="30751" customFormat="false" ht="12.8" hidden="false" customHeight="false" outlineLevel="0" collapsed="false">
      <c r="B30751" s="0" t="s">
        <v>602</v>
      </c>
      <c r="C30751" s="0" t="s">
        <v>5709</v>
      </c>
      <c r="E30751" s="0" t="s">
        <v>5710</v>
      </c>
      <c r="F30751" s="0" t="s">
        <v>5711</v>
      </c>
    </row>
    <row r="30753" customFormat="false" ht="12.8" hidden="false" customHeight="false" outlineLevel="0" collapsed="false">
      <c r="A30753" s="0" t="s">
        <v>12017</v>
      </c>
      <c r="B30753" s="0" t="str">
        <f aca="false">HYPERLINK("https://lindat.mff.cuni.cz/services/teitok/pdtc10/index.php?action=vallex&amp;frame=v-w3947f5_ZU", "pořizovat (v-w3947f5_ZU) - substituted with v-w3947f6_ZU")</f>
        <v>pořizovat (v-w3947f5_ZU) - substituted with v-w3947f6_ZU</v>
      </c>
    </row>
    <row r="30754" customFormat="false" ht="12.8" hidden="false" customHeight="false" outlineLevel="0" collapsed="false">
      <c r="B30754" s="0" t="s">
        <v>1</v>
      </c>
    </row>
    <row r="30755" customFormat="false" ht="12.8" hidden="false" customHeight="false" outlineLevel="0" collapsed="false">
      <c r="B30755" s="0" t="s">
        <v>8</v>
      </c>
    </row>
    <row r="30756" customFormat="false" ht="12.8" hidden="false" customHeight="false" outlineLevel="0" collapsed="false">
      <c r="B30756" s="0" t="s">
        <v>2410</v>
      </c>
    </row>
    <row r="30757" customFormat="false" ht="12.8" hidden="false" customHeight="false" outlineLevel="0" collapsed="false">
      <c r="B30757" s="0" t="s">
        <v>602</v>
      </c>
    </row>
    <row r="30759" customFormat="false" ht="12.8" hidden="false" customHeight="false" outlineLevel="0" collapsed="false">
      <c r="A30759" s="0" t="s">
        <v>12018</v>
      </c>
      <c r="B30759" s="0" t="str">
        <f aca="false">HYPERLINK("https://lindat.mff.cuni.cz/services/teitok/pdtc10/index.php?action=vallex&amp;frame=v-w3947f4_ZU", "pořizovat (v-w3947f4_ZU)")</f>
        <v>pořizovat (v-w3947f4_ZU)</v>
      </c>
    </row>
    <row r="30760" customFormat="false" ht="12.8" hidden="false" customHeight="false" outlineLevel="0" collapsed="false">
      <c r="B30760" s="0" t="s">
        <v>1</v>
      </c>
    </row>
    <row r="30761" customFormat="false" ht="12.8" hidden="false" customHeight="false" outlineLevel="0" collapsed="false">
      <c r="B30761" s="0" t="s">
        <v>12019</v>
      </c>
    </row>
    <row r="30763" customFormat="false" ht="12.8" hidden="false" customHeight="false" outlineLevel="0" collapsed="false">
      <c r="A30763" s="0" t="s">
        <v>12018</v>
      </c>
      <c r="B30763" s="0" t="str">
        <f aca="false">HYPERLINK("https://lindat.mff.cuni.cz/services/teitok/pdtc10/index.php?action=vallex&amp;frame=v-w3947f2", "pořizovat (v-w3947f2) - substituted with v-w3947f4_ZU")</f>
        <v>pořizovat (v-w3947f2) - substituted with v-w3947f4_ZU</v>
      </c>
    </row>
    <row r="30764" customFormat="false" ht="12.8" hidden="false" customHeight="false" outlineLevel="0" collapsed="false">
      <c r="B30764" s="0" t="s">
        <v>1</v>
      </c>
    </row>
    <row r="30765" customFormat="false" ht="12.8" hidden="false" customHeight="false" outlineLevel="0" collapsed="false">
      <c r="B30765" s="0" t="s">
        <v>12019</v>
      </c>
    </row>
    <row r="30767" customFormat="false" ht="12.8" hidden="false" customHeight="false" outlineLevel="0" collapsed="false">
      <c r="A30767" s="0" t="s">
        <v>12018</v>
      </c>
      <c r="B30767" s="0" t="str">
        <f aca="false">HYPERLINK("https://lindat.mff.cuni.cz/services/teitok/pdtc10/index.php?action=vallex&amp;frame=v-w3947hsa_1858", "pořizovat (v-w3947hsa_1858) - substituted with v-w3947f4_ZU")</f>
        <v>pořizovat (v-w3947hsa_1858) - substituted with v-w3947f4_ZU</v>
      </c>
    </row>
    <row r="30768" customFormat="false" ht="12.8" hidden="false" customHeight="false" outlineLevel="0" collapsed="false">
      <c r="B30768" s="0" t="s">
        <v>1</v>
      </c>
    </row>
    <row r="30769" customFormat="false" ht="12.8" hidden="false" customHeight="false" outlineLevel="0" collapsed="false">
      <c r="B30769" s="0" t="s">
        <v>12019</v>
      </c>
    </row>
    <row r="30771" customFormat="false" ht="12.8" hidden="false" customHeight="false" outlineLevel="0" collapsed="false">
      <c r="A30771" s="0" t="s">
        <v>12018</v>
      </c>
      <c r="B30771" s="0" t="str">
        <f aca="false">HYPERLINK("https://lindat.mff.cuni.cz/services/teitok/pdtc10/index.php?action=vallex&amp;frame=v-w3947hsa_991", "pořizovat (v-w3947hsa_991) - substituted with v-w3947f4_ZU")</f>
        <v>pořizovat (v-w3947hsa_991) - substituted with v-w3947f4_ZU</v>
      </c>
      <c r="E30771" s="0" t="str">
        <f aca="false">HYPERLINK("https://lindat.mff.cuni.cz/services/SynSemClass40/SynSemClass40.html?veclass=vec00084#vec00084-ces-cm00018", "vec00084")</f>
        <v>vec00084</v>
      </c>
      <c r="F30771" s="0" t="s">
        <v>778</v>
      </c>
    </row>
    <row r="30772" customFormat="false" ht="12.8" hidden="false" customHeight="false" outlineLevel="0" collapsed="false">
      <c r="B30772" s="0" t="s">
        <v>1</v>
      </c>
      <c r="C30772" s="0" t="s">
        <v>5557</v>
      </c>
      <c r="E30772" s="0" t="s">
        <v>31</v>
      </c>
      <c r="F30772" s="0" t="s">
        <v>781</v>
      </c>
    </row>
    <row r="30773" customFormat="false" ht="12.8" hidden="false" customHeight="false" outlineLevel="0" collapsed="false">
      <c r="B30773" s="0" t="s">
        <v>12019</v>
      </c>
      <c r="C30773" s="0" t="s">
        <v>12020</v>
      </c>
      <c r="E30773" s="0" t="s">
        <v>12021</v>
      </c>
      <c r="F30773" s="0" t="s">
        <v>12022</v>
      </c>
    </row>
    <row r="30775" customFormat="false" ht="12.8" hidden="false" customHeight="false" outlineLevel="0" collapsed="false">
      <c r="A30775" s="0" t="s">
        <v>12023</v>
      </c>
      <c r="B30775" s="0" t="str">
        <f aca="false">HYPERLINK("https://lindat.mff.cuni.cz/services/teitok/pdtc10/index.php?action=vallex&amp;frame=v-w3947f3_ZU", "pořizovat (v-w3947f3_ZU)")</f>
        <v>pořizovat (v-w3947f3_ZU)</v>
      </c>
    </row>
    <row r="30776" customFormat="false" ht="12.8" hidden="false" customHeight="false" outlineLevel="0" collapsed="false">
      <c r="B30776" s="0" t="s">
        <v>1</v>
      </c>
    </row>
    <row r="30777" customFormat="false" ht="12.8" hidden="false" customHeight="false" outlineLevel="0" collapsed="false">
      <c r="B30777" s="0" t="s">
        <v>8</v>
      </c>
    </row>
    <row r="30779" customFormat="false" ht="12.8" hidden="false" customHeight="false" outlineLevel="0" collapsed="false">
      <c r="A30779" s="0" t="s">
        <v>12024</v>
      </c>
      <c r="B30779" s="0" t="str">
        <f aca="false">HYPERLINK("https://lindat.mff.cuni.cz/services/teitok/pdtc10/index.php?action=vallex&amp;frame=v-w3936f1", "pořádat (v-w3936f1)")</f>
        <v>pořádat (v-w3936f1)</v>
      </c>
      <c r="E30779" s="0" t="str">
        <f aca="false">HYPERLINK("https://lindat.mff.cuni.cz/services/SynSemClass40/SynSemClass40.html?veclass=vec01188#vec01188-ces-cm00089", "vec01188")</f>
        <v>vec01188</v>
      </c>
      <c r="F30779" s="0" t="s">
        <v>5481</v>
      </c>
      <c r="H30779" s="0" t="str">
        <f aca="false">HYPERLINK("https://lindat.mff.cuni.cz/services/SynSemClass40/SynSemClass40.html?veclass=vec01330#vec01330-ces-cm00001", "vec01330")</f>
        <v>vec01330</v>
      </c>
      <c r="I30779" s="0" t="s">
        <v>12025</v>
      </c>
    </row>
    <row r="30780" customFormat="false" ht="12.8" hidden="false" customHeight="false" outlineLevel="0" collapsed="false">
      <c r="B30780" s="0" t="s">
        <v>1</v>
      </c>
      <c r="C30780" s="0" t="s">
        <v>12026</v>
      </c>
      <c r="E30780" s="0" t="s">
        <v>31</v>
      </c>
      <c r="F30780" s="0" t="s">
        <v>5483</v>
      </c>
      <c r="H30780" s="0" t="s">
        <v>4501</v>
      </c>
      <c r="I30780" s="0" t="s">
        <v>12027</v>
      </c>
    </row>
    <row r="30781" customFormat="false" ht="12.8" hidden="false" customHeight="false" outlineLevel="0" collapsed="false">
      <c r="B30781" s="0" t="s">
        <v>8</v>
      </c>
      <c r="C30781" s="0" t="s">
        <v>12028</v>
      </c>
      <c r="E30781" s="0" t="s">
        <v>523</v>
      </c>
      <c r="F30781" s="0" t="s">
        <v>10813</v>
      </c>
      <c r="H30781" s="0" t="s">
        <v>188</v>
      </c>
      <c r="I30781" s="0" t="s">
        <v>12029</v>
      </c>
    </row>
    <row r="30783" customFormat="false" ht="12.8" hidden="false" customHeight="false" outlineLevel="0" collapsed="false">
      <c r="A30783" s="0" t="s">
        <v>12030</v>
      </c>
      <c r="B30783" s="0" t="str">
        <f aca="false">HYPERLINK("https://lindat.mff.cuni.cz/services/teitok/pdtc10/index.php?action=vallex&amp;frame=v-w3943f13_ZU", "pořídit (v-w3943f13_ZU)")</f>
        <v>pořídit (v-w3943f13_ZU)</v>
      </c>
    </row>
    <row r="30784" customFormat="false" ht="12.8" hidden="false" customHeight="false" outlineLevel="0" collapsed="false">
      <c r="B30784" s="0" t="s">
        <v>1</v>
      </c>
    </row>
    <row r="30785" customFormat="false" ht="12.8" hidden="false" customHeight="false" outlineLevel="0" collapsed="false">
      <c r="B30785" s="0" t="s">
        <v>8</v>
      </c>
    </row>
    <row r="30786" customFormat="false" ht="12.8" hidden="false" customHeight="false" outlineLevel="0" collapsed="false">
      <c r="B30786" s="0" t="s">
        <v>2410</v>
      </c>
    </row>
    <row r="30787" customFormat="false" ht="12.8" hidden="false" customHeight="false" outlineLevel="0" collapsed="false">
      <c r="B30787" s="0" t="s">
        <v>1633</v>
      </c>
    </row>
    <row r="30789" customFormat="false" ht="12.8" hidden="false" customHeight="false" outlineLevel="0" collapsed="false">
      <c r="A30789" s="0" t="s">
        <v>12030</v>
      </c>
      <c r="B30789" s="0" t="str">
        <f aca="false">HYPERLINK("https://lindat.mff.cuni.cz/services/teitok/pdtc10/index.php?action=vallex&amp;frame=v-w3943f1", "pořídit (v-w3943f1) - substituted with v-w3943f13_ZU")</f>
        <v>pořídit (v-w3943f1) - substituted with v-w3943f13_ZU</v>
      </c>
      <c r="E30789" s="0" t="str">
        <f aca="false">HYPERLINK("https://lindat.mff.cuni.cz/services/SynSemClass40/SynSemClass40.html?veclass=vec00035#vec00035-ces-cm00009", "vec00035")</f>
        <v>vec00035</v>
      </c>
      <c r="F30789" s="0" t="s">
        <v>5701</v>
      </c>
    </row>
    <row r="30790" customFormat="false" ht="12.8" hidden="false" customHeight="false" outlineLevel="0" collapsed="false">
      <c r="B30790" s="0" t="s">
        <v>1</v>
      </c>
      <c r="C30790" s="0" t="s">
        <v>5702</v>
      </c>
      <c r="E30790" s="0" t="s">
        <v>5703</v>
      </c>
      <c r="F30790" s="0" t="s">
        <v>5704</v>
      </c>
    </row>
    <row r="30791" customFormat="false" ht="12.8" hidden="false" customHeight="false" outlineLevel="0" collapsed="false">
      <c r="B30791" s="0" t="s">
        <v>8</v>
      </c>
      <c r="C30791" s="0" t="s">
        <v>5705</v>
      </c>
      <c r="E30791" s="0" t="s">
        <v>3201</v>
      </c>
      <c r="F30791" s="0" t="s">
        <v>5706</v>
      </c>
    </row>
    <row r="30792" customFormat="false" ht="12.8" hidden="false" customHeight="false" outlineLevel="0" collapsed="false">
      <c r="B30792" s="0" t="s">
        <v>2410</v>
      </c>
      <c r="C30792" s="0" t="s">
        <v>5707</v>
      </c>
      <c r="E30792" s="0" t="s">
        <v>4235</v>
      </c>
      <c r="F30792" s="0" t="s">
        <v>5708</v>
      </c>
    </row>
    <row r="30793" customFormat="false" ht="12.8" hidden="false" customHeight="false" outlineLevel="0" collapsed="false">
      <c r="B30793" s="0" t="s">
        <v>1633</v>
      </c>
      <c r="C30793" s="0" t="s">
        <v>5709</v>
      </c>
      <c r="E30793" s="0" t="s">
        <v>5710</v>
      </c>
      <c r="F30793" s="0" t="s">
        <v>5711</v>
      </c>
    </row>
    <row r="30795" customFormat="false" ht="12.8" hidden="false" customHeight="false" outlineLevel="0" collapsed="false">
      <c r="A30795" s="0" t="s">
        <v>12030</v>
      </c>
      <c r="B30795" s="0" t="str">
        <f aca="false">HYPERLINK("https://lindat.mff.cuni.cz/services/teitok/pdtc10/index.php?action=vallex&amp;frame=v-w3943f8_ZU", "pořídit (v-w3943f8_ZU) - substituted with v-w3943f13_ZU")</f>
        <v>pořídit (v-w3943f8_ZU) - substituted with v-w3943f13_ZU</v>
      </c>
    </row>
    <row r="30796" customFormat="false" ht="12.8" hidden="false" customHeight="false" outlineLevel="0" collapsed="false">
      <c r="B30796" s="0" t="s">
        <v>1</v>
      </c>
    </row>
    <row r="30797" customFormat="false" ht="12.8" hidden="false" customHeight="false" outlineLevel="0" collapsed="false">
      <c r="B30797" s="0" t="s">
        <v>8</v>
      </c>
    </row>
    <row r="30798" customFormat="false" ht="12.8" hidden="false" customHeight="false" outlineLevel="0" collapsed="false">
      <c r="B30798" s="0" t="s">
        <v>2410</v>
      </c>
    </row>
    <row r="30799" customFormat="false" ht="12.8" hidden="false" customHeight="false" outlineLevel="0" collapsed="false">
      <c r="B30799" s="0" t="s">
        <v>1633</v>
      </c>
    </row>
    <row r="30801" customFormat="false" ht="12.8" hidden="false" customHeight="false" outlineLevel="0" collapsed="false">
      <c r="A30801" s="0" t="s">
        <v>12030</v>
      </c>
      <c r="B30801" s="0" t="str">
        <f aca="false">HYPERLINK("https://lindat.mff.cuni.cz/services/teitok/pdtc10/index.php?action=vallex&amp;frame=v-w3943f9_ZU", "pořídit (v-w3943f9_ZU) - substituted with v-w3943f13_ZU")</f>
        <v>pořídit (v-w3943f9_ZU) - substituted with v-w3943f13_ZU</v>
      </c>
    </row>
    <row r="30802" customFormat="false" ht="12.8" hidden="false" customHeight="false" outlineLevel="0" collapsed="false">
      <c r="B30802" s="0" t="s">
        <v>1</v>
      </c>
    </row>
    <row r="30803" customFormat="false" ht="12.8" hidden="false" customHeight="false" outlineLevel="0" collapsed="false">
      <c r="B30803" s="0" t="s">
        <v>8</v>
      </c>
    </row>
    <row r="30804" customFormat="false" ht="12.8" hidden="false" customHeight="false" outlineLevel="0" collapsed="false">
      <c r="B30804" s="0" t="s">
        <v>2410</v>
      </c>
    </row>
    <row r="30805" customFormat="false" ht="12.8" hidden="false" customHeight="false" outlineLevel="0" collapsed="false">
      <c r="B30805" s="0" t="s">
        <v>1633</v>
      </c>
    </row>
    <row r="30807" customFormat="false" ht="12.8" hidden="false" customHeight="false" outlineLevel="0" collapsed="false">
      <c r="A30807" s="0" t="s">
        <v>12031</v>
      </c>
      <c r="B30807" s="0" t="str">
        <f aca="false">HYPERLINK("https://lindat.mff.cuni.cz/services/teitok/pdtc10/index.php?action=vallex&amp;frame=v-w3943f2", "pořídit (v-w3943f2)")</f>
        <v>pořídit (v-w3943f2)</v>
      </c>
      <c r="E30807" s="0" t="str">
        <f aca="false">HYPERLINK("https://lindat.mff.cuni.cz/services/SynSemClass40/SynSemClass40.html?veclass=vec00153#vec00153-ces-cm00018", "vec00153")</f>
        <v>vec00153</v>
      </c>
      <c r="F30807" s="0" t="s">
        <v>925</v>
      </c>
    </row>
    <row r="30808" customFormat="false" ht="12.8" hidden="false" customHeight="false" outlineLevel="0" collapsed="false">
      <c r="B30808" s="0" t="s">
        <v>1</v>
      </c>
      <c r="C30808" s="0" t="s">
        <v>926</v>
      </c>
      <c r="E30808" s="0" t="s">
        <v>11</v>
      </c>
      <c r="F30808" s="0" t="s">
        <v>927</v>
      </c>
    </row>
    <row r="30809" customFormat="false" ht="12.8" hidden="false" customHeight="false" outlineLevel="0" collapsed="false">
      <c r="B30809" s="0" t="s">
        <v>725</v>
      </c>
      <c r="C30809" s="0" t="s">
        <v>12032</v>
      </c>
      <c r="E30809" s="0" t="s">
        <v>12033</v>
      </c>
      <c r="F30809" s="0" t="s">
        <v>12034</v>
      </c>
    </row>
    <row r="30810" customFormat="false" ht="12.8" hidden="false" customHeight="false" outlineLevel="0" collapsed="false">
      <c r="B30810" s="0" t="s">
        <v>642</v>
      </c>
      <c r="C30810" s="0" t="s">
        <v>929</v>
      </c>
      <c r="E30810" s="0" t="s">
        <v>12033</v>
      </c>
      <c r="F30810" s="0" t="s">
        <v>12034</v>
      </c>
    </row>
    <row r="30811" customFormat="false" ht="12.8" hidden="false" customHeight="false" outlineLevel="0" collapsed="false">
      <c r="B30811" s="0" t="s">
        <v>646</v>
      </c>
      <c r="C30811" s="0" t="s">
        <v>12035</v>
      </c>
      <c r="E30811" s="0" t="s">
        <v>12033</v>
      </c>
      <c r="F30811" s="0" t="s">
        <v>12034</v>
      </c>
    </row>
    <row r="30812" customFormat="false" ht="12.8" hidden="false" customHeight="false" outlineLevel="0" collapsed="false">
      <c r="B30812" s="0" t="s">
        <v>648</v>
      </c>
      <c r="C30812" s="0" t="s">
        <v>12036</v>
      </c>
      <c r="E30812" s="0" t="s">
        <v>12033</v>
      </c>
      <c r="F30812" s="0" t="s">
        <v>12034</v>
      </c>
    </row>
    <row r="30813" customFormat="false" ht="12.8" hidden="false" customHeight="false" outlineLevel="0" collapsed="false">
      <c r="B30813" s="0" t="s">
        <v>650</v>
      </c>
      <c r="C30813" s="0" t="s">
        <v>12037</v>
      </c>
      <c r="E30813" s="0" t="s">
        <v>12033</v>
      </c>
      <c r="F30813" s="0" t="s">
        <v>12034</v>
      </c>
    </row>
    <row r="30814" customFormat="false" ht="12.8" hidden="false" customHeight="false" outlineLevel="0" collapsed="false">
      <c r="B30814" s="0" t="s">
        <v>652</v>
      </c>
      <c r="C30814" s="0" t="s">
        <v>12038</v>
      </c>
      <c r="E30814" s="0" t="s">
        <v>12033</v>
      </c>
      <c r="F30814" s="0" t="s">
        <v>12034</v>
      </c>
    </row>
    <row r="30816" customFormat="false" ht="12.8" hidden="false" customHeight="false" outlineLevel="0" collapsed="false">
      <c r="A30816" s="0" t="s">
        <v>12039</v>
      </c>
      <c r="B30816" s="0" t="str">
        <f aca="false">HYPERLINK("https://lindat.mff.cuni.cz/services/teitok/pdtc10/index.php?action=vallex&amp;frame=v-w3943f12_ZU", "pořídit (v-w3943f12_ZU)")</f>
        <v>pořídit (v-w3943f12_ZU)</v>
      </c>
    </row>
    <row r="30817" customFormat="false" ht="12.8" hidden="false" customHeight="false" outlineLevel="0" collapsed="false">
      <c r="B30817" s="0" t="s">
        <v>1</v>
      </c>
    </row>
    <row r="30818" customFormat="false" ht="12.8" hidden="false" customHeight="false" outlineLevel="0" collapsed="false">
      <c r="B30818" s="0" t="s">
        <v>12040</v>
      </c>
    </row>
    <row r="30820" customFormat="false" ht="12.8" hidden="false" customHeight="false" outlineLevel="0" collapsed="false">
      <c r="A30820" s="0" t="s">
        <v>12039</v>
      </c>
      <c r="B30820" s="0" t="str">
        <f aca="false">HYPERLINK("https://lindat.mff.cuni.cz/services/teitok/pdtc10/index.php?action=vallex&amp;frame=v-w3943f10_ZU", "pořídit (v-w3943f10_ZU) - substituted with v-w3943f12_ZU")</f>
        <v>pořídit (v-w3943f10_ZU) - substituted with v-w3943f12_ZU</v>
      </c>
    </row>
    <row r="30821" customFormat="false" ht="12.8" hidden="false" customHeight="false" outlineLevel="0" collapsed="false">
      <c r="B30821" s="0" t="s">
        <v>1</v>
      </c>
    </row>
    <row r="30822" customFormat="false" ht="12.8" hidden="false" customHeight="false" outlineLevel="0" collapsed="false">
      <c r="B30822" s="0" t="s">
        <v>12040</v>
      </c>
    </row>
    <row r="30824" customFormat="false" ht="12.8" hidden="false" customHeight="false" outlineLevel="0" collapsed="false">
      <c r="A30824" s="0" t="s">
        <v>12039</v>
      </c>
      <c r="B30824" s="0" t="str">
        <f aca="false">HYPERLINK("https://lindat.mff.cuni.cz/services/teitok/pdtc10/index.php?action=vallex&amp;frame=v-w3943f11_ZU", "pořídit (v-w3943f11_ZU) - substituted with v-w3943f12_ZU")</f>
        <v>pořídit (v-w3943f11_ZU) - substituted with v-w3943f12_ZU</v>
      </c>
    </row>
    <row r="30825" customFormat="false" ht="12.8" hidden="false" customHeight="false" outlineLevel="0" collapsed="false">
      <c r="B30825" s="0" t="s">
        <v>1</v>
      </c>
    </row>
    <row r="30826" customFormat="false" ht="12.8" hidden="false" customHeight="false" outlineLevel="0" collapsed="false">
      <c r="B30826" s="0" t="s">
        <v>12040</v>
      </c>
    </row>
    <row r="30828" customFormat="false" ht="12.8" hidden="false" customHeight="false" outlineLevel="0" collapsed="false">
      <c r="A30828" s="0" t="s">
        <v>12039</v>
      </c>
      <c r="B30828" s="0" t="str">
        <f aca="false">HYPERLINK("https://lindat.mff.cuni.cz/services/teitok/pdtc10/index.php?action=vallex&amp;frame=v-w3943f3", "pořídit (v-w3943f3) - substituted with v-w3943f12_ZU")</f>
        <v>pořídit (v-w3943f3) - substituted with v-w3943f12_ZU</v>
      </c>
      <c r="E30828" s="0" t="str">
        <f aca="false">HYPERLINK("https://lindat.mff.cuni.cz/services/SynSemClass40/SynSemClass40.html?veclass=vec00084#vec00084-ces-cm00101", "vec00084")</f>
        <v>vec00084</v>
      </c>
      <c r="F30828" s="0" t="s">
        <v>778</v>
      </c>
    </row>
    <row r="30829" customFormat="false" ht="12.8" hidden="false" customHeight="false" outlineLevel="0" collapsed="false">
      <c r="B30829" s="0" t="s">
        <v>1</v>
      </c>
      <c r="C30829" s="0" t="s">
        <v>5557</v>
      </c>
      <c r="E30829" s="0" t="s">
        <v>31</v>
      </c>
      <c r="F30829" s="0" t="s">
        <v>781</v>
      </c>
    </row>
    <row r="30830" customFormat="false" ht="12.8" hidden="false" customHeight="false" outlineLevel="0" collapsed="false">
      <c r="B30830" s="0" t="s">
        <v>12040</v>
      </c>
      <c r="C30830" s="0" t="s">
        <v>12020</v>
      </c>
      <c r="E30830" s="0" t="s">
        <v>12021</v>
      </c>
      <c r="F30830" s="0" t="s">
        <v>12022</v>
      </c>
    </row>
    <row r="30832" customFormat="false" ht="12.8" hidden="false" customHeight="false" outlineLevel="0" collapsed="false">
      <c r="A30832" s="0" t="s">
        <v>12039</v>
      </c>
      <c r="B30832" s="0" t="str">
        <f aca="false">HYPERLINK("https://lindat.mff.cuni.cz/services/teitok/pdtc10/index.php?action=vallex&amp;frame=v-w3943f4_ZU", "pořídit (v-w3943f4_ZU) - substituted with v-w3943f12_ZU")</f>
        <v>pořídit (v-w3943f4_ZU) - substituted with v-w3943f12_ZU</v>
      </c>
    </row>
    <row r="30833" customFormat="false" ht="12.8" hidden="false" customHeight="false" outlineLevel="0" collapsed="false">
      <c r="B30833" s="0" t="s">
        <v>1</v>
      </c>
    </row>
    <row r="30834" customFormat="false" ht="12.8" hidden="false" customHeight="false" outlineLevel="0" collapsed="false">
      <c r="B30834" s="0" t="s">
        <v>12040</v>
      </c>
    </row>
    <row r="30836" customFormat="false" ht="12.8" hidden="false" customHeight="false" outlineLevel="0" collapsed="false">
      <c r="A30836" s="0" t="s">
        <v>12039</v>
      </c>
      <c r="B30836" s="0" t="str">
        <f aca="false">HYPERLINK("https://lindat.mff.cuni.cz/services/teitok/pdtc10/index.php?action=vallex&amp;frame=v-w3943f6_ZU", "pořídit (v-w3943f6_ZU) - substituted with v-w3943f12_ZU")</f>
        <v>pořídit (v-w3943f6_ZU) - substituted with v-w3943f12_ZU</v>
      </c>
    </row>
    <row r="30837" customFormat="false" ht="12.8" hidden="false" customHeight="false" outlineLevel="0" collapsed="false">
      <c r="B30837" s="0" t="s">
        <v>1</v>
      </c>
    </row>
    <row r="30838" customFormat="false" ht="12.8" hidden="false" customHeight="false" outlineLevel="0" collapsed="false">
      <c r="B30838" s="0" t="s">
        <v>12040</v>
      </c>
    </row>
    <row r="30840" customFormat="false" ht="12.8" hidden="false" customHeight="false" outlineLevel="0" collapsed="false">
      <c r="A30840" s="0" t="s">
        <v>12039</v>
      </c>
      <c r="B30840" s="0" t="str">
        <f aca="false">HYPERLINK("https://lindat.mff.cuni.cz/services/teitok/pdtc10/index.php?action=vallex&amp;frame=v-w3943hsa_933", "pořídit (v-w3943hsa_933) - substituted with v-w3943f12_ZU")</f>
        <v>pořídit (v-w3943hsa_933) - substituted with v-w3943f12_ZU</v>
      </c>
    </row>
    <row r="30841" customFormat="false" ht="12.8" hidden="false" customHeight="false" outlineLevel="0" collapsed="false">
      <c r="B30841" s="0" t="s">
        <v>1</v>
      </c>
    </row>
    <row r="30842" customFormat="false" ht="12.8" hidden="false" customHeight="false" outlineLevel="0" collapsed="false">
      <c r="B30842" s="0" t="s">
        <v>12040</v>
      </c>
    </row>
    <row r="30844" customFormat="false" ht="12.8" hidden="false" customHeight="false" outlineLevel="0" collapsed="false">
      <c r="A30844" s="0" t="s">
        <v>12041</v>
      </c>
      <c r="B30844" s="0" t="str">
        <f aca="false">HYPERLINK("https://lindat.mff.cuni.cz/services/teitok/pdtc10/index.php?action=vallex&amp;frame=v-w3943f5_ZU", "pořídit (v-w3943f5_ZU)")</f>
        <v>pořídit (v-w3943f5_ZU)</v>
      </c>
    </row>
    <row r="30845" customFormat="false" ht="12.8" hidden="false" customHeight="false" outlineLevel="0" collapsed="false">
      <c r="B30845" s="0" t="s">
        <v>1</v>
      </c>
    </row>
    <row r="30846" customFormat="false" ht="12.8" hidden="false" customHeight="false" outlineLevel="0" collapsed="false">
      <c r="B30846" s="0" t="s">
        <v>8</v>
      </c>
    </row>
    <row r="30847" customFormat="false" ht="12.8" hidden="false" customHeight="false" outlineLevel="0" collapsed="false">
      <c r="B30847" s="0" t="s">
        <v>3205</v>
      </c>
    </row>
    <row r="30849" customFormat="false" ht="12.8" hidden="false" customHeight="false" outlineLevel="0" collapsed="false">
      <c r="A30849" s="0" t="s">
        <v>12042</v>
      </c>
      <c r="B30849" s="0" t="str">
        <f aca="false">HYPERLINK("https://lindat.mff.cuni.cz/services/teitok/pdtc10/index.php?action=vallex&amp;frame=v-w3943f7_ZU", "pořídit (v-w3943f7_ZU)")</f>
        <v>pořídit (v-w3943f7_ZU)</v>
      </c>
    </row>
    <row r="30850" customFormat="false" ht="12.8" hidden="false" customHeight="false" outlineLevel="0" collapsed="false">
      <c r="B30850" s="0" t="s">
        <v>1</v>
      </c>
    </row>
    <row r="30851" customFormat="false" ht="12.8" hidden="false" customHeight="false" outlineLevel="0" collapsed="false">
      <c r="B30851" s="0" t="s">
        <v>8</v>
      </c>
    </row>
    <row r="30853" customFormat="false" ht="12.8" hidden="false" customHeight="false" outlineLevel="0" collapsed="false">
      <c r="A30853" s="0" t="s">
        <v>12043</v>
      </c>
      <c r="B30853" s="0" t="str">
        <f aca="false">HYPERLINK("https://lindat.mff.cuni.cz/services/teitok/pdtc10/index.php?action=vallex&amp;frame=v-w12362_MMf1_MM", "pošeptat (v-w12362_MMf1_MM)")</f>
        <v>pošeptat (v-w12362_MMf1_MM)</v>
      </c>
    </row>
    <row r="30854" customFormat="false" ht="12.8" hidden="false" customHeight="false" outlineLevel="0" collapsed="false">
      <c r="B30854" s="0" t="s">
        <v>1</v>
      </c>
    </row>
    <row r="30855" customFormat="false" ht="12.8" hidden="false" customHeight="false" outlineLevel="0" collapsed="false">
      <c r="B30855" s="0" t="s">
        <v>52</v>
      </c>
    </row>
    <row r="30856" customFormat="false" ht="12.8" hidden="false" customHeight="false" outlineLevel="0" collapsed="false">
      <c r="B30856" s="0" t="s">
        <v>12044</v>
      </c>
    </row>
    <row r="30857" customFormat="false" ht="12.8" hidden="false" customHeight="false" outlineLevel="0" collapsed="false">
      <c r="B30857" s="0" t="s">
        <v>496</v>
      </c>
    </row>
    <row r="30859" customFormat="false" ht="12.8" hidden="false" customHeight="false" outlineLevel="0" collapsed="false">
      <c r="A30859" s="0" t="s">
        <v>12045</v>
      </c>
      <c r="B30859" s="0" t="str">
        <f aca="false">HYPERLINK("https://lindat.mff.cuni.cz/services/teitok/pdtc10/index.php?action=vallex&amp;frame=v-w4047f1", "poškodit (v-w4047f1)")</f>
        <v>poškodit (v-w4047f1)</v>
      </c>
      <c r="E30859" s="0" t="str">
        <f aca="false">HYPERLINK("https://lindat.mff.cuni.cz/services/SynSemClass40/SynSemClass40.html?veclass=vec00372#vec00372-ces-cm00033", "vec00372")</f>
        <v>vec00372</v>
      </c>
      <c r="F30859" s="0" t="s">
        <v>2524</v>
      </c>
      <c r="H30859" s="0" t="str">
        <f aca="false">HYPERLINK("https://lindat.mff.cuni.cz/services/SynSemClass40/SynSemClass40.html?veclass=vec01510#vec01510-ces-cm00028", "vec01510")</f>
        <v>vec01510</v>
      </c>
      <c r="I30859" s="0" t="s">
        <v>7671</v>
      </c>
    </row>
    <row r="30860" customFormat="false" ht="12.8" hidden="false" customHeight="false" outlineLevel="0" collapsed="false">
      <c r="B30860" s="0" t="s">
        <v>1</v>
      </c>
      <c r="C30860" s="0" t="s">
        <v>10866</v>
      </c>
      <c r="E30860" s="0" t="s">
        <v>2526</v>
      </c>
      <c r="F30860" s="0" t="s">
        <v>2527</v>
      </c>
      <c r="H30860" s="0" t="s">
        <v>76</v>
      </c>
      <c r="I30860" s="0" t="s">
        <v>7674</v>
      </c>
    </row>
    <row r="30861" customFormat="false" ht="12.8" hidden="false" customHeight="false" outlineLevel="0" collapsed="false">
      <c r="B30861" s="0" t="s">
        <v>8</v>
      </c>
      <c r="C30861" s="0" t="s">
        <v>10867</v>
      </c>
      <c r="E30861" s="0" t="s">
        <v>142</v>
      </c>
      <c r="F30861" s="0" t="s">
        <v>2529</v>
      </c>
      <c r="H30861" s="0" t="s">
        <v>706</v>
      </c>
      <c r="I30861" s="0" t="s">
        <v>7678</v>
      </c>
    </row>
    <row r="30863" customFormat="false" ht="12.8" hidden="false" customHeight="false" outlineLevel="0" collapsed="false">
      <c r="A30863" s="0" t="s">
        <v>12046</v>
      </c>
      <c r="B30863" s="0" t="str">
        <f aca="false">HYPERLINK("https://lindat.mff.cuni.cz/services/teitok/pdtc10/index.php?action=vallex&amp;frame=v-w11685_ZUf1_ZU", "poškorpit se (v-w11685_ZUf1_ZU)")</f>
        <v>poškorpit se (v-w11685_ZUf1_ZU)</v>
      </c>
    </row>
    <row r="30864" customFormat="false" ht="12.8" hidden="false" customHeight="false" outlineLevel="0" collapsed="false">
      <c r="B30864" s="0" t="s">
        <v>1</v>
      </c>
    </row>
    <row r="30865" customFormat="false" ht="12.8" hidden="false" customHeight="false" outlineLevel="0" collapsed="false">
      <c r="B30865" s="0" t="s">
        <v>276</v>
      </c>
    </row>
    <row r="30866" customFormat="false" ht="12.8" hidden="false" customHeight="false" outlineLevel="0" collapsed="false">
      <c r="B30866" s="0" t="s">
        <v>12047</v>
      </c>
    </row>
    <row r="30868" customFormat="false" ht="12.8" hidden="false" customHeight="false" outlineLevel="0" collapsed="false">
      <c r="A30868" s="0" t="s">
        <v>12048</v>
      </c>
      <c r="B30868" s="0" t="str">
        <f aca="false">HYPERLINK("https://lindat.mff.cuni.cz/services/teitok/pdtc10/index.php?action=vallex&amp;frame=v-w4051f1", "poškozovat (v-w4051f1)")</f>
        <v>poškozovat (v-w4051f1)</v>
      </c>
      <c r="E30868" s="0" t="str">
        <f aca="false">HYPERLINK("https://lindat.mff.cuni.cz/services/SynSemClass40/SynSemClass40.html?veclass=vec00372#vec00372-ces-cm00034", "vec00372")</f>
        <v>vec00372</v>
      </c>
      <c r="F30868" s="0" t="s">
        <v>2524</v>
      </c>
      <c r="H30868" s="0" t="str">
        <f aca="false">HYPERLINK("https://lindat.mff.cuni.cz/services/SynSemClass40/SynSemClass40.html?veclass=vec01510#vec01510-ces-cm00029", "vec01510")</f>
        <v>vec01510</v>
      </c>
      <c r="I30868" s="0" t="s">
        <v>7671</v>
      </c>
    </row>
    <row r="30869" customFormat="false" ht="12.8" hidden="false" customHeight="false" outlineLevel="0" collapsed="false">
      <c r="B30869" s="0" t="s">
        <v>1</v>
      </c>
      <c r="C30869" s="0" t="s">
        <v>10866</v>
      </c>
      <c r="E30869" s="0" t="s">
        <v>2526</v>
      </c>
      <c r="F30869" s="0" t="s">
        <v>2527</v>
      </c>
      <c r="H30869" s="0" t="s">
        <v>76</v>
      </c>
      <c r="I30869" s="0" t="s">
        <v>7674</v>
      </c>
    </row>
    <row r="30870" customFormat="false" ht="12.8" hidden="false" customHeight="false" outlineLevel="0" collapsed="false">
      <c r="B30870" s="0" t="s">
        <v>8</v>
      </c>
      <c r="C30870" s="0" t="s">
        <v>10867</v>
      </c>
      <c r="E30870" s="0" t="s">
        <v>142</v>
      </c>
      <c r="F30870" s="0" t="s">
        <v>2529</v>
      </c>
      <c r="H30870" s="0" t="s">
        <v>706</v>
      </c>
      <c r="I30870" s="0" t="s">
        <v>7678</v>
      </c>
    </row>
    <row r="30872" customFormat="false" ht="12.8" hidden="false" customHeight="false" outlineLevel="0" collapsed="false">
      <c r="A30872" s="0" t="s">
        <v>12049</v>
      </c>
      <c r="B30872" s="0" t="str">
        <f aca="false">HYPERLINK("https://lindat.mff.cuni.cz/services/teitok/pdtc10/index.php?action=vallex&amp;frame=v-w4053f1", "poškrábat (v-w4053f1)")</f>
        <v>poškrábat (v-w4053f1)</v>
      </c>
    </row>
    <row r="30873" customFormat="false" ht="12.8" hidden="false" customHeight="false" outlineLevel="0" collapsed="false">
      <c r="B30873" s="0" t="s">
        <v>1</v>
      </c>
    </row>
    <row r="30874" customFormat="false" ht="12.8" hidden="false" customHeight="false" outlineLevel="0" collapsed="false">
      <c r="B30874" s="0" t="s">
        <v>8</v>
      </c>
    </row>
    <row r="30876" customFormat="false" ht="12.8" hidden="false" customHeight="false" outlineLevel="0" collapsed="false">
      <c r="A30876" s="0" t="s">
        <v>12050</v>
      </c>
      <c r="B30876" s="0" t="str">
        <f aca="false">HYPERLINK("https://lindat.mff.cuni.cz/services/teitok/pdtc10/index.php?action=vallex&amp;frame=v-w4056f1", "pošlapávat (v-w4056f1)")</f>
        <v>pošlapávat (v-w4056f1)</v>
      </c>
    </row>
    <row r="30877" customFormat="false" ht="12.8" hidden="false" customHeight="false" outlineLevel="0" collapsed="false">
      <c r="B30877" s="0" t="s">
        <v>1</v>
      </c>
    </row>
    <row r="30878" customFormat="false" ht="12.8" hidden="false" customHeight="false" outlineLevel="0" collapsed="false">
      <c r="B30878" s="0" t="s">
        <v>8</v>
      </c>
    </row>
    <row r="30880" customFormat="false" ht="12.8" hidden="false" customHeight="false" outlineLevel="0" collapsed="false">
      <c r="A30880" s="0" t="s">
        <v>12051</v>
      </c>
      <c r="B30880" s="0" t="str">
        <f aca="false">HYPERLINK("https://lindat.mff.cuni.cz/services/teitok/pdtc10/index.php?action=vallex&amp;frame=v-w10172f2", "pošpinit (v-w10172f2)")</f>
        <v>pošpinit (v-w10172f2)</v>
      </c>
      <c r="E30880" s="0" t="str">
        <f aca="false">HYPERLINK("https://lindat.mff.cuni.cz/services/SynSemClass40/SynSemClass40.html?veclass=vec00230#vec00230-ces-cm00044", "vec00230")</f>
        <v>vec00230</v>
      </c>
      <c r="F30880" s="0" t="s">
        <v>4255</v>
      </c>
      <c r="H30880" s="0" t="str">
        <f aca="false">HYPERLINK("https://lindat.mff.cuni.cz/services/SynSemClass40/SynSemClass40.html?veclass=vec00789#vec00789-ces-cm00079", "vec00789")</f>
        <v>vec00789</v>
      </c>
      <c r="I30880" s="0" t="s">
        <v>5464</v>
      </c>
      <c r="K30880" s="0" t="str">
        <f aca="false">HYPERLINK("https://lindat.mff.cuni.cz/services/SynSemClass40/SynSemClass40.html?veclass=vec01182#vec01182-ces-cm00003", "vec01182")</f>
        <v>vec01182</v>
      </c>
      <c r="L30880" s="0" t="s">
        <v>1857</v>
      </c>
    </row>
    <row r="30881" customFormat="false" ht="12.8" hidden="false" customHeight="false" outlineLevel="0" collapsed="false">
      <c r="B30881" s="0" t="s">
        <v>1</v>
      </c>
      <c r="C30881" s="0" t="s">
        <v>12052</v>
      </c>
      <c r="E30881" s="0" t="s">
        <v>3750</v>
      </c>
      <c r="F30881" s="0" t="s">
        <v>4257</v>
      </c>
      <c r="H30881" s="0" t="s">
        <v>1890</v>
      </c>
      <c r="I30881" s="0" t="s">
        <v>5467</v>
      </c>
      <c r="K30881" s="0" t="s">
        <v>76</v>
      </c>
      <c r="L30881" s="0" t="s">
        <v>1858</v>
      </c>
    </row>
    <row r="30882" customFormat="false" ht="12.8" hidden="false" customHeight="false" outlineLevel="0" collapsed="false">
      <c r="B30882" s="0" t="s">
        <v>8</v>
      </c>
      <c r="C30882" s="0" t="s">
        <v>12053</v>
      </c>
      <c r="E30882" s="0" t="s">
        <v>4259</v>
      </c>
      <c r="F30882" s="0" t="s">
        <v>4260</v>
      </c>
      <c r="H30882" s="0" t="s">
        <v>1893</v>
      </c>
      <c r="I30882" s="0" t="s">
        <v>5470</v>
      </c>
      <c r="K30882" s="0" t="s">
        <v>142</v>
      </c>
      <c r="L30882" s="0" t="s">
        <v>1859</v>
      </c>
    </row>
    <row r="30884" customFormat="false" ht="12.8" hidden="false" customHeight="false" outlineLevel="0" collapsed="false">
      <c r="A30884" s="0" t="s">
        <v>12054</v>
      </c>
      <c r="B30884" s="0" t="str">
        <f aca="false">HYPERLINK("https://lindat.mff.cuni.cz/services/teitok/pdtc10/index.php?action=vallex&amp;frame=v-w4058f1", "pošramotit (v-w4058f1)")</f>
        <v>pošramotit (v-w4058f1)</v>
      </c>
      <c r="E30884" s="0" t="str">
        <f aca="false">HYPERLINK("https://lindat.mff.cuni.cz/services/SynSemClass40/SynSemClass40.html?veclass=vec00372#vec00372-ces-cm00129", "vec00372")</f>
        <v>vec00372</v>
      </c>
      <c r="F30884" s="0" t="s">
        <v>2524</v>
      </c>
      <c r="H30884" s="0" t="str">
        <f aca="false">HYPERLINK("https://lindat.mff.cuni.cz/services/SynSemClass40/SynSemClass40.html?veclass=vec00789#vec00789-ces-cm00080", "vec00789")</f>
        <v>vec00789</v>
      </c>
      <c r="I30884" s="0" t="s">
        <v>5464</v>
      </c>
    </row>
    <row r="30885" customFormat="false" ht="12.8" hidden="false" customHeight="false" outlineLevel="0" collapsed="false">
      <c r="B30885" s="0" t="s">
        <v>1</v>
      </c>
      <c r="C30885" s="0" t="s">
        <v>12055</v>
      </c>
      <c r="E30885" s="0" t="s">
        <v>2526</v>
      </c>
      <c r="F30885" s="0" t="s">
        <v>2527</v>
      </c>
      <c r="H30885" s="0" t="s">
        <v>1890</v>
      </c>
      <c r="I30885" s="0" t="s">
        <v>5467</v>
      </c>
    </row>
    <row r="30886" customFormat="false" ht="12.8" hidden="false" customHeight="false" outlineLevel="0" collapsed="false">
      <c r="B30886" s="0" t="s">
        <v>8</v>
      </c>
      <c r="C30886" s="0" t="s">
        <v>12056</v>
      </c>
      <c r="E30886" s="0" t="s">
        <v>142</v>
      </c>
      <c r="F30886" s="0" t="s">
        <v>2529</v>
      </c>
      <c r="H30886" s="0" t="s">
        <v>1893</v>
      </c>
      <c r="I30886" s="0" t="s">
        <v>5470</v>
      </c>
    </row>
    <row r="30888" customFormat="false" ht="12.8" hidden="false" customHeight="false" outlineLevel="0" collapsed="false">
      <c r="A30888" s="0" t="s">
        <v>12057</v>
      </c>
      <c r="B30888" s="0" t="str">
        <f aca="false">HYPERLINK("https://lindat.mff.cuni.cz/services/teitok/pdtc10/index.php?action=vallex&amp;frame=v-w4061f2_ZU", "poštvat (v-w4061f2_ZU)")</f>
        <v>poštvat (v-w4061f2_ZU)</v>
      </c>
    </row>
    <row r="30889" customFormat="false" ht="12.8" hidden="false" customHeight="false" outlineLevel="0" collapsed="false">
      <c r="B30889" s="0" t="s">
        <v>1</v>
      </c>
    </row>
    <row r="30890" customFormat="false" ht="12.8" hidden="false" customHeight="false" outlineLevel="0" collapsed="false">
      <c r="B30890" s="0" t="s">
        <v>12058</v>
      </c>
    </row>
    <row r="30891" customFormat="false" ht="12.8" hidden="false" customHeight="false" outlineLevel="0" collapsed="false">
      <c r="B30891" s="0" t="s">
        <v>98</v>
      </c>
    </row>
    <row r="30893" customFormat="false" ht="12.8" hidden="false" customHeight="false" outlineLevel="0" collapsed="false">
      <c r="A30893" s="0" t="s">
        <v>12057</v>
      </c>
      <c r="B30893" s="0" t="str">
        <f aca="false">HYPERLINK("https://lindat.mff.cuni.cz/services/teitok/pdtc10/index.php?action=vallex&amp;frame=v-w4061f1", "poštvat (v-w4061f1) - substituted with v-w4061f2_ZU")</f>
        <v>poštvat (v-w4061f1) - substituted with v-w4061f2_ZU</v>
      </c>
      <c r="E30893" s="0" t="str">
        <f aca="false">HYPERLINK("https://lindat.mff.cuni.cz/services/SynSemClass40/SynSemClass40.html?veclass=vec01265#vec01265-ces-cm00002", "vec01265")</f>
        <v>vec01265</v>
      </c>
      <c r="F30893" s="0" t="s">
        <v>11377</v>
      </c>
    </row>
    <row r="30894" customFormat="false" ht="12.8" hidden="false" customHeight="false" outlineLevel="0" collapsed="false">
      <c r="B30894" s="0" t="s">
        <v>1</v>
      </c>
      <c r="C30894" s="0" t="s">
        <v>4695</v>
      </c>
      <c r="E30894" s="0" t="s">
        <v>3010</v>
      </c>
      <c r="F30894" s="0" t="s">
        <v>11378</v>
      </c>
    </row>
    <row r="30895" customFormat="false" ht="12.8" hidden="false" customHeight="false" outlineLevel="0" collapsed="false">
      <c r="B30895" s="0" t="s">
        <v>12058</v>
      </c>
      <c r="C30895" s="0" t="s">
        <v>1910</v>
      </c>
      <c r="E30895" s="0" t="s">
        <v>5824</v>
      </c>
      <c r="F30895" s="0" t="s">
        <v>11379</v>
      </c>
    </row>
    <row r="30896" customFormat="false" ht="12.8" hidden="false" customHeight="false" outlineLevel="0" collapsed="false">
      <c r="B30896" s="0" t="s">
        <v>98</v>
      </c>
      <c r="C30896" s="0" t="s">
        <v>8354</v>
      </c>
      <c r="E30896" s="0" t="s">
        <v>3514</v>
      </c>
      <c r="F30896" s="0" t="s">
        <v>11380</v>
      </c>
    </row>
    <row r="30898" customFormat="false" ht="12.8" hidden="false" customHeight="false" outlineLevel="0" collapsed="false">
      <c r="A30898" s="0" t="s">
        <v>12059</v>
      </c>
      <c r="B30898" s="0" t="str">
        <f aca="false">HYPERLINK("https://lindat.mff.cuni.cz/services/teitok/pdtc10/index.php?action=vallex&amp;frame=v-w10938f2", "poštvávat (v-w10938f2)")</f>
        <v>poštvávat (v-w10938f2)</v>
      </c>
      <c r="E30898" s="0" t="str">
        <f aca="false">HYPERLINK("https://lindat.mff.cuni.cz/services/SynSemClass40/SynSemClass40.html?veclass=vec01265#vec01265-ces-cm00005", "vec01265")</f>
        <v>vec01265</v>
      </c>
      <c r="F30898" s="0" t="s">
        <v>11377</v>
      </c>
    </row>
    <row r="30899" customFormat="false" ht="12.8" hidden="false" customHeight="false" outlineLevel="0" collapsed="false">
      <c r="B30899" s="0" t="s">
        <v>1</v>
      </c>
      <c r="C30899" s="0" t="s">
        <v>4695</v>
      </c>
      <c r="E30899" s="0" t="s">
        <v>3010</v>
      </c>
      <c r="F30899" s="0" t="s">
        <v>11378</v>
      </c>
    </row>
    <row r="30900" customFormat="false" ht="12.8" hidden="false" customHeight="false" outlineLevel="0" collapsed="false">
      <c r="B30900" s="0" t="s">
        <v>5061</v>
      </c>
      <c r="C30900" s="0" t="s">
        <v>1910</v>
      </c>
      <c r="E30900" s="0" t="s">
        <v>5824</v>
      </c>
      <c r="F30900" s="0" t="s">
        <v>11379</v>
      </c>
    </row>
    <row r="30901" customFormat="false" ht="12.8" hidden="false" customHeight="false" outlineLevel="0" collapsed="false">
      <c r="B30901" s="0" t="s">
        <v>98</v>
      </c>
      <c r="C30901" s="0" t="s">
        <v>8354</v>
      </c>
      <c r="E30901" s="0" t="s">
        <v>3514</v>
      </c>
      <c r="F30901" s="0" t="s">
        <v>11380</v>
      </c>
    </row>
    <row r="30903" customFormat="false" ht="12.8" hidden="false" customHeight="false" outlineLevel="0" collapsed="false">
      <c r="A30903" s="0" t="s">
        <v>12060</v>
      </c>
      <c r="B30903" s="0" t="str">
        <f aca="false">HYPERLINK("https://lindat.mff.cuni.cz/services/teitok/pdtc10/index.php?action=vallex&amp;frame=v-whsa_1102hsa_1103", "poštípat (v-whsa_1102hsa_1103)")</f>
        <v>poštípat (v-whsa_1102hsa_1103)</v>
      </c>
    </row>
    <row r="30904" customFormat="false" ht="12.8" hidden="false" customHeight="false" outlineLevel="0" collapsed="false">
      <c r="B30904" s="0" t="s">
        <v>1</v>
      </c>
    </row>
    <row r="30905" customFormat="false" ht="12.8" hidden="false" customHeight="false" outlineLevel="0" collapsed="false">
      <c r="B30905" s="0" t="s">
        <v>8</v>
      </c>
    </row>
    <row r="30907" customFormat="false" ht="12.8" hidden="false" customHeight="false" outlineLevel="0" collapsed="false">
      <c r="A30907" s="0" t="s">
        <v>12061</v>
      </c>
      <c r="B30907" s="0" t="str">
        <f aca="false">HYPERLINK("https://lindat.mff.cuni.cz/services/teitok/pdtc10/index.php?action=vallex&amp;frame=v-w4060f1", "poštěstit se (v-w4060f1)")</f>
        <v>poštěstit se (v-w4060f1)</v>
      </c>
    </row>
    <row r="30908" customFormat="false" ht="12.8" hidden="false" customHeight="false" outlineLevel="0" collapsed="false">
      <c r="B30908" s="0" t="s">
        <v>804</v>
      </c>
    </row>
    <row r="30909" customFormat="false" ht="12.8" hidden="false" customHeight="false" outlineLevel="0" collapsed="false">
      <c r="B30909" s="0" t="s">
        <v>10717</v>
      </c>
    </row>
    <row r="30911" customFormat="false" ht="12.8" hidden="false" customHeight="false" outlineLevel="0" collapsed="false">
      <c r="A30911" s="0" t="s">
        <v>12062</v>
      </c>
      <c r="B30911" s="0" t="str">
        <f aca="false">HYPERLINK("https://lindat.mff.cuni.cz/services/teitok/pdtc10/index.php?action=vallex&amp;frame=v-w10477f2", "pošupovat (v-w10477f2)")</f>
        <v>pošupovat (v-w10477f2)</v>
      </c>
    </row>
    <row r="30912" customFormat="false" ht="12.8" hidden="false" customHeight="false" outlineLevel="0" collapsed="false">
      <c r="B30912" s="0" t="s">
        <v>1</v>
      </c>
    </row>
    <row r="30913" customFormat="false" ht="12.8" hidden="false" customHeight="false" outlineLevel="0" collapsed="false">
      <c r="B30913" s="0" t="s">
        <v>286</v>
      </c>
    </row>
    <row r="30915" customFormat="false" ht="12.8" hidden="false" customHeight="false" outlineLevel="0" collapsed="false">
      <c r="A30915" s="0" t="s">
        <v>12063</v>
      </c>
      <c r="B30915" s="0" t="str">
        <f aca="false">HYPERLINK("https://lindat.mff.cuni.cz/services/teitok/pdtc10/index.php?action=vallex&amp;frame=v-w4062f1", "pošušňávat si (v-w4062f1)")</f>
        <v>pošušňávat si (v-w4062f1)</v>
      </c>
    </row>
    <row r="30916" customFormat="false" ht="12.8" hidden="false" customHeight="false" outlineLevel="0" collapsed="false">
      <c r="B30916" s="0" t="s">
        <v>1</v>
      </c>
    </row>
    <row r="30917" customFormat="false" ht="12.8" hidden="false" customHeight="false" outlineLevel="0" collapsed="false">
      <c r="B30917" s="0" t="s">
        <v>3642</v>
      </c>
    </row>
    <row r="30919" customFormat="false" ht="12.8" hidden="false" customHeight="false" outlineLevel="0" collapsed="false">
      <c r="A30919" s="0" t="s">
        <v>12064</v>
      </c>
      <c r="B30919" s="0" t="str">
        <f aca="false">HYPERLINK("https://lindat.mff.cuni.cz/services/teitok/pdtc10/index.php?action=vallex&amp;frame=v-whsb_288hsa_289", "pošťuchovat se (v-whsb_288hsa_289)")</f>
        <v>pošťuchovat se (v-whsb_288hsa_289)</v>
      </c>
    </row>
    <row r="30920" customFormat="false" ht="12.8" hidden="false" customHeight="false" outlineLevel="0" collapsed="false">
      <c r="B30920" s="0" t="s">
        <v>1</v>
      </c>
    </row>
    <row r="30921" customFormat="false" ht="12.8" hidden="false" customHeight="false" outlineLevel="0" collapsed="false">
      <c r="B30921" s="0" t="s">
        <v>721</v>
      </c>
    </row>
    <row r="30923" customFormat="false" ht="12.8" hidden="false" customHeight="false" outlineLevel="0" collapsed="false">
      <c r="A30923" s="0" t="s">
        <v>12065</v>
      </c>
      <c r="B30923" s="0" t="str">
        <f aca="false">HYPERLINK("https://lindat.mff.cuni.cz/services/teitok/pdtc10/index.php?action=vallex&amp;frame=v-w4230f1", "požadovat (v-w4230f1)")</f>
        <v>požadovat (v-w4230f1)</v>
      </c>
      <c r="E30923" s="0" t="str">
        <f aca="false">HYPERLINK("https://lindat.mff.cuni.cz/services/SynSemClass40/SynSemClass40.html?veclass=vec00272#vec00272-ces-cm00001", "vec00272")</f>
        <v>vec00272</v>
      </c>
      <c r="F30923" s="0" t="s">
        <v>1490</v>
      </c>
      <c r="H30923" s="0" t="str">
        <f aca="false">HYPERLINK("https://lindat.mff.cuni.cz/services/SynSemClass40/SynSemClass40.html?veclass=vec01290#vec01290-ces-cm00014", "vec01290")</f>
        <v>vec01290</v>
      </c>
      <c r="I30923" s="0" t="s">
        <v>12066</v>
      </c>
      <c r="K30923" s="0" t="str">
        <f aca="false">HYPERLINK("https://lindat.mff.cuni.cz/services/SynSemClass40/SynSemClass40.html?veclass=vec01495#vec01495-ces-cm00027", "vec01495")</f>
        <v>vec01495</v>
      </c>
      <c r="L30923" s="0" t="s">
        <v>6335</v>
      </c>
    </row>
    <row r="30924" customFormat="false" ht="12.8" hidden="false" customHeight="false" outlineLevel="0" collapsed="false">
      <c r="B30924" s="0" t="s">
        <v>1</v>
      </c>
      <c r="C30924" s="0" t="s">
        <v>12067</v>
      </c>
      <c r="E30924" s="0" t="s">
        <v>1492</v>
      </c>
      <c r="F30924" s="0" t="s">
        <v>1493</v>
      </c>
      <c r="H30924" s="0" t="s">
        <v>1492</v>
      </c>
      <c r="I30924" s="0" t="s">
        <v>12068</v>
      </c>
      <c r="K30924" s="0" t="s">
        <v>147</v>
      </c>
      <c r="L30924" s="0" t="s">
        <v>6337</v>
      </c>
    </row>
    <row r="30925" customFormat="false" ht="12.8" hidden="false" customHeight="false" outlineLevel="0" collapsed="false">
      <c r="B30925" s="0" t="s">
        <v>12069</v>
      </c>
      <c r="C30925" s="0" t="s">
        <v>12070</v>
      </c>
      <c r="E30925" s="0" t="s">
        <v>1495</v>
      </c>
      <c r="F30925" s="0" t="s">
        <v>1496</v>
      </c>
      <c r="H30925" s="0" t="s">
        <v>1495</v>
      </c>
      <c r="I30925" s="0" t="s">
        <v>12071</v>
      </c>
      <c r="K30925" s="0" t="s">
        <v>50</v>
      </c>
      <c r="L30925" s="0" t="s">
        <v>6339</v>
      </c>
    </row>
    <row r="30926" customFormat="false" ht="12.8" hidden="false" customHeight="false" outlineLevel="0" collapsed="false">
      <c r="B30926" s="0" t="s">
        <v>12072</v>
      </c>
      <c r="C30926" s="0" t="s">
        <v>12073</v>
      </c>
      <c r="E30926" s="0" t="s">
        <v>1498</v>
      </c>
      <c r="F30926" s="0" t="s">
        <v>1499</v>
      </c>
      <c r="K30926" s="0" t="s">
        <v>12074</v>
      </c>
      <c r="L30926" s="0" t="s">
        <v>12075</v>
      </c>
    </row>
    <row r="30928" customFormat="false" ht="12.8" hidden="false" customHeight="false" outlineLevel="0" collapsed="false">
      <c r="A30928" s="0" t="s">
        <v>12076</v>
      </c>
      <c r="B30928" s="0" t="str">
        <f aca="false">HYPERLINK("https://lindat.mff.cuni.cz/services/teitok/pdtc10/index.php?action=vallex&amp;frame=v-w4234f1", "požehnat (v-w4234f1)")</f>
        <v>požehnat (v-w4234f1)</v>
      </c>
    </row>
    <row r="30929" customFormat="false" ht="12.8" hidden="false" customHeight="false" outlineLevel="0" collapsed="false">
      <c r="B30929" s="0" t="s">
        <v>1</v>
      </c>
    </row>
    <row r="30930" customFormat="false" ht="12.8" hidden="false" customHeight="false" outlineLevel="0" collapsed="false">
      <c r="B30930" s="0" t="s">
        <v>186</v>
      </c>
    </row>
    <row r="30932" customFormat="false" ht="12.8" hidden="false" customHeight="false" outlineLevel="0" collapsed="false">
      <c r="A30932" s="0" t="s">
        <v>12077</v>
      </c>
      <c r="B30932" s="0" t="str">
        <f aca="false">HYPERLINK("https://lindat.mff.cuni.cz/services/teitok/pdtc10/index.php?action=vallex&amp;frame=v-w4234f2", "požehnat (v-w4234f2)")</f>
        <v>požehnat (v-w4234f2)</v>
      </c>
    </row>
    <row r="30933" customFormat="false" ht="12.8" hidden="false" customHeight="false" outlineLevel="0" collapsed="false">
      <c r="B30933" s="0" t="s">
        <v>1</v>
      </c>
    </row>
    <row r="30934" customFormat="false" ht="12.8" hidden="false" customHeight="false" outlineLevel="0" collapsed="false">
      <c r="B30934" s="0" t="s">
        <v>8</v>
      </c>
    </row>
    <row r="30936" customFormat="false" ht="12.8" hidden="false" customHeight="false" outlineLevel="0" collapsed="false">
      <c r="A30936" s="0" t="s">
        <v>12078</v>
      </c>
      <c r="B30936" s="0" t="str">
        <f aca="false">HYPERLINK("https://lindat.mff.cuni.cz/services/teitok/pdtc10/index.php?action=vallex&amp;frame=v-w4227hsa_121", "požádat (v-w4227hsa_121)")</f>
        <v>požádat (v-w4227hsa_121)</v>
      </c>
    </row>
    <row r="30937" customFormat="false" ht="12.8" hidden="false" customHeight="false" outlineLevel="0" collapsed="false">
      <c r="B30937" s="0" t="s">
        <v>1</v>
      </c>
    </row>
    <row r="30938" customFormat="false" ht="12.8" hidden="false" customHeight="false" outlineLevel="0" collapsed="false">
      <c r="B30938" s="0" t="s">
        <v>12079</v>
      </c>
    </row>
    <row r="30939" customFormat="false" ht="12.8" hidden="false" customHeight="false" outlineLevel="0" collapsed="false">
      <c r="B30939" s="0" t="s">
        <v>98</v>
      </c>
    </row>
    <row r="30941" customFormat="false" ht="12.8" hidden="false" customHeight="false" outlineLevel="0" collapsed="false">
      <c r="A30941" s="0" t="s">
        <v>12078</v>
      </c>
      <c r="B30941" s="0" t="str">
        <f aca="false">HYPERLINK("https://lindat.mff.cuni.cz/services/teitok/pdtc10/index.php?action=vallex&amp;frame=v-w4227f1", "požádat (v-w4227f1) - substituted with v-w4227hsa_121")</f>
        <v>požádat (v-w4227f1) - substituted with v-w4227hsa_121</v>
      </c>
      <c r="E30941" s="0" t="str">
        <f aca="false">HYPERLINK("https://lindat.mff.cuni.cz/services/SynSemClass40/SynSemClass40.html?veclass=vec00272#vec00272-ces-cm00045", "vec00272")</f>
        <v>vec00272</v>
      </c>
      <c r="F30941" s="0" t="s">
        <v>1490</v>
      </c>
    </row>
    <row r="30942" customFormat="false" ht="12.8" hidden="false" customHeight="false" outlineLevel="0" collapsed="false">
      <c r="B30942" s="0" t="s">
        <v>1</v>
      </c>
      <c r="C30942" s="0" t="s">
        <v>1491</v>
      </c>
      <c r="E30942" s="0" t="s">
        <v>1492</v>
      </c>
      <c r="F30942" s="0" t="s">
        <v>1493</v>
      </c>
    </row>
    <row r="30943" customFormat="false" ht="12.8" hidden="false" customHeight="false" outlineLevel="0" collapsed="false">
      <c r="B30943" s="0" t="s">
        <v>12079</v>
      </c>
      <c r="C30943" s="0" t="s">
        <v>1494</v>
      </c>
      <c r="E30943" s="0" t="s">
        <v>1495</v>
      </c>
      <c r="F30943" s="0" t="s">
        <v>1496</v>
      </c>
    </row>
    <row r="30944" customFormat="false" ht="12.8" hidden="false" customHeight="false" outlineLevel="0" collapsed="false">
      <c r="B30944" s="0" t="s">
        <v>98</v>
      </c>
      <c r="C30944" s="0" t="s">
        <v>12080</v>
      </c>
      <c r="E30944" s="0" t="s">
        <v>564</v>
      </c>
      <c r="F30944" s="0" t="s">
        <v>10698</v>
      </c>
    </row>
    <row r="30946" customFormat="false" ht="12.8" hidden="false" customHeight="false" outlineLevel="0" collapsed="false">
      <c r="A30946" s="0" t="s">
        <v>12081</v>
      </c>
      <c r="B30946" s="0" t="str">
        <f aca="false">HYPERLINK("https://lindat.mff.cuni.cz/services/teitok/pdtc10/index.php?action=vallex&amp;frame=v-w4235f1", "požírat (v-w4235f1)")</f>
        <v>požírat (v-w4235f1)</v>
      </c>
    </row>
    <row r="30947" customFormat="false" ht="12.8" hidden="false" customHeight="false" outlineLevel="0" collapsed="false">
      <c r="B30947" s="0" t="s">
        <v>1</v>
      </c>
    </row>
    <row r="30948" customFormat="false" ht="12.8" hidden="false" customHeight="false" outlineLevel="0" collapsed="false">
      <c r="B30948" s="0" t="s">
        <v>8</v>
      </c>
    </row>
    <row r="30950" customFormat="false" ht="12.8" hidden="false" customHeight="false" outlineLevel="0" collapsed="false">
      <c r="A30950" s="0" t="s">
        <v>12082</v>
      </c>
      <c r="B30950" s="0" t="str">
        <f aca="false">HYPERLINK("https://lindat.mff.cuni.cz/services/teitok/pdtc10/index.php?action=vallex&amp;frame=v-w4235f2", "požírat (v-w4235f2)")</f>
        <v>požírat (v-w4235f2)</v>
      </c>
    </row>
    <row r="30951" customFormat="false" ht="12.8" hidden="false" customHeight="false" outlineLevel="0" collapsed="false">
      <c r="B30951" s="0" t="s">
        <v>1</v>
      </c>
    </row>
    <row r="30952" customFormat="false" ht="12.8" hidden="false" customHeight="false" outlineLevel="0" collapsed="false">
      <c r="B30952" s="0" t="s">
        <v>8</v>
      </c>
    </row>
    <row r="30954" customFormat="false" ht="12.8" hidden="false" customHeight="false" outlineLevel="0" collapsed="false">
      <c r="A30954" s="0" t="s">
        <v>12083</v>
      </c>
      <c r="B30954" s="0" t="str">
        <f aca="false">HYPERLINK("https://lindat.mff.cuni.cz/services/teitok/pdtc10/index.php?action=vallex&amp;frame=v-w4236f1", "požít (v-w4236f1)")</f>
        <v>požít (v-w4236f1)</v>
      </c>
    </row>
    <row r="30955" customFormat="false" ht="12.8" hidden="false" customHeight="false" outlineLevel="0" collapsed="false">
      <c r="B30955" s="0" t="s">
        <v>1</v>
      </c>
    </row>
    <row r="30956" customFormat="false" ht="12.8" hidden="false" customHeight="false" outlineLevel="0" collapsed="false">
      <c r="B30956" s="0" t="s">
        <v>8</v>
      </c>
    </row>
    <row r="30958" customFormat="false" ht="12.8" hidden="false" customHeight="false" outlineLevel="0" collapsed="false">
      <c r="A30958" s="0" t="s">
        <v>12084</v>
      </c>
      <c r="B30958" s="0" t="str">
        <f aca="false">HYPERLINK("https://lindat.mff.cuni.cz/services/teitok/pdtc10/index.php?action=vallex&amp;frame=v-w4240f1", "požívat (v-w4240f1)")</f>
        <v>požívat (v-w4240f1)</v>
      </c>
    </row>
    <row r="30959" customFormat="false" ht="12.8" hidden="false" customHeight="false" outlineLevel="0" collapsed="false">
      <c r="B30959" s="0" t="s">
        <v>1</v>
      </c>
    </row>
    <row r="30960" customFormat="false" ht="12.8" hidden="false" customHeight="false" outlineLevel="0" collapsed="false">
      <c r="B30960" s="0" t="s">
        <v>1356</v>
      </c>
    </row>
    <row r="30962" customFormat="false" ht="12.8" hidden="false" customHeight="false" outlineLevel="0" collapsed="false">
      <c r="A30962" s="0" t="s">
        <v>12085</v>
      </c>
      <c r="B30962" s="0" t="str">
        <f aca="false">HYPERLINK("https://lindat.mff.cuni.cz/services/teitok/pdtc10/index.php?action=vallex&amp;frame=v-w4240f2_ZU", "požívat (v-w4240f2_ZU)")</f>
        <v>požívat (v-w4240f2_ZU)</v>
      </c>
    </row>
    <row r="30963" customFormat="false" ht="12.8" hidden="false" customHeight="false" outlineLevel="0" collapsed="false">
      <c r="B30963" s="0" t="s">
        <v>1</v>
      </c>
    </row>
    <row r="30964" customFormat="false" ht="12.8" hidden="false" customHeight="false" outlineLevel="0" collapsed="false">
      <c r="B30964" s="0" t="s">
        <v>8</v>
      </c>
    </row>
    <row r="30966" customFormat="false" ht="12.8" hidden="false" customHeight="false" outlineLevel="0" collapsed="false">
      <c r="A30966" s="0" t="s">
        <v>12086</v>
      </c>
      <c r="B30966" s="0" t="str">
        <f aca="false">HYPERLINK("https://lindat.mff.cuni.cz/services/teitok/pdtc10/index.php?action=vallex&amp;frame=v-w4243f3", "pracovat (v-w4243f3)")</f>
        <v>pracovat (v-w4243f3)</v>
      </c>
      <c r="E30966" s="0" t="str">
        <f aca="false">HYPERLINK("https://lindat.mff.cuni.cz/services/SynSemClass40/SynSemClass40.html?veclass=vec01268#vec01268-ces-cm00003", "vec01268")</f>
        <v>vec01268</v>
      </c>
      <c r="F30966" s="0" t="s">
        <v>4025</v>
      </c>
    </row>
    <row r="30967" customFormat="false" ht="12.8" hidden="false" customHeight="false" outlineLevel="0" collapsed="false">
      <c r="B30967" s="0" t="s">
        <v>1</v>
      </c>
      <c r="C30967" s="0" t="s">
        <v>12087</v>
      </c>
      <c r="E30967" s="0" t="s">
        <v>31</v>
      </c>
      <c r="F30967" s="0" t="s">
        <v>4028</v>
      </c>
    </row>
    <row r="30968" customFormat="false" ht="12.8" hidden="false" customHeight="false" outlineLevel="0" collapsed="false">
      <c r="B30968" s="0" t="s">
        <v>291</v>
      </c>
      <c r="C30968" s="0" t="s">
        <v>12088</v>
      </c>
      <c r="E30968" s="0" t="s">
        <v>2438</v>
      </c>
      <c r="F30968" s="0" t="s">
        <v>10936</v>
      </c>
    </row>
    <row r="30970" customFormat="false" ht="12.8" hidden="false" customHeight="false" outlineLevel="0" collapsed="false">
      <c r="A30970" s="0" t="s">
        <v>12089</v>
      </c>
      <c r="B30970" s="0" t="str">
        <f aca="false">HYPERLINK("https://lindat.mff.cuni.cz/services/teitok/pdtc10/index.php?action=vallex&amp;frame=v-w4243f5", "pracovat (v-w4243f5)")</f>
        <v>pracovat (v-w4243f5)</v>
      </c>
      <c r="E30970" s="0" t="str">
        <f aca="false">HYPERLINK("https://lindat.mff.cuni.cz/services/SynSemClass40/SynSemClass40.html?veclass=vec01427#vec01427-ces-cm00004", "vec01427")</f>
        <v>vec01427</v>
      </c>
      <c r="F30970" s="0" t="s">
        <v>9782</v>
      </c>
    </row>
    <row r="30971" customFormat="false" ht="12.8" hidden="false" customHeight="false" outlineLevel="0" collapsed="false">
      <c r="B30971" s="0" t="s">
        <v>1</v>
      </c>
      <c r="C30971" s="0" t="s">
        <v>9783</v>
      </c>
      <c r="E30971" s="0" t="s">
        <v>31</v>
      </c>
      <c r="F30971" s="0" t="s">
        <v>9784</v>
      </c>
    </row>
    <row r="30972" customFormat="false" ht="12.8" hidden="false" customHeight="false" outlineLevel="0" collapsed="false">
      <c r="B30972" s="0" t="s">
        <v>721</v>
      </c>
      <c r="C30972" s="0" t="s">
        <v>9785</v>
      </c>
      <c r="E30972" s="0" t="s">
        <v>34</v>
      </c>
      <c r="F30972" s="0" t="s">
        <v>9786</v>
      </c>
    </row>
    <row r="30974" customFormat="false" ht="12.8" hidden="false" customHeight="false" outlineLevel="0" collapsed="false">
      <c r="A30974" s="0" t="s">
        <v>12090</v>
      </c>
      <c r="B30974" s="0" t="str">
        <f aca="false">HYPERLINK("https://lindat.mff.cuni.cz/services/teitok/pdtc10/index.php?action=vallex&amp;frame=v-w4243f6", "pracovat (v-w4243f6)")</f>
        <v>pracovat (v-w4243f6)</v>
      </c>
      <c r="E30974" s="0" t="str">
        <f aca="false">HYPERLINK("https://lindat.mff.cuni.cz/services/SynSemClass40/SynSemClass40.html?veclass=vec01427#vec01427-ces-cm00005", "vec01427")</f>
        <v>vec01427</v>
      </c>
      <c r="F30974" s="0" t="s">
        <v>9782</v>
      </c>
    </row>
    <row r="30975" customFormat="false" ht="12.8" hidden="false" customHeight="false" outlineLevel="0" collapsed="false">
      <c r="B30975" s="0" t="s">
        <v>1</v>
      </c>
      <c r="C30975" s="0" t="s">
        <v>9783</v>
      </c>
      <c r="E30975" s="0" t="s">
        <v>31</v>
      </c>
      <c r="F30975" s="0" t="s">
        <v>9784</v>
      </c>
    </row>
    <row r="30976" customFormat="false" ht="12.8" hidden="false" customHeight="false" outlineLevel="0" collapsed="false">
      <c r="B30976" s="0" t="s">
        <v>721</v>
      </c>
      <c r="C30976" s="0" t="s">
        <v>9785</v>
      </c>
      <c r="E30976" s="0" t="s">
        <v>34</v>
      </c>
      <c r="F30976" s="0" t="s">
        <v>9786</v>
      </c>
    </row>
    <row r="30978" customFormat="false" ht="12.8" hidden="false" customHeight="false" outlineLevel="0" collapsed="false">
      <c r="A30978" s="0" t="s">
        <v>12091</v>
      </c>
      <c r="B30978" s="0" t="str">
        <f aca="false">HYPERLINK("https://lindat.mff.cuni.cz/services/teitok/pdtc10/index.php?action=vallex&amp;frame=v-w4243f7_ZU", "pracovat (v-w4243f7_ZU)")</f>
        <v>pracovat (v-w4243f7_ZU)</v>
      </c>
    </row>
    <row r="30979" customFormat="false" ht="12.8" hidden="false" customHeight="false" outlineLevel="0" collapsed="false">
      <c r="B30979" s="0" t="s">
        <v>1</v>
      </c>
    </row>
    <row r="30981" customFormat="false" ht="12.8" hidden="false" customHeight="false" outlineLevel="0" collapsed="false">
      <c r="A30981" s="0" t="s">
        <v>12091</v>
      </c>
      <c r="B30981" s="0" t="str">
        <f aca="false">HYPERLINK("https://lindat.mff.cuni.cz/services/teitok/pdtc10/index.php?action=vallex&amp;frame=v-w4243f1", "pracovat (v-w4243f1) - substituted with v-w4243f7_ZU")</f>
        <v>pracovat (v-w4243f1) - substituted with v-w4243f7_ZU</v>
      </c>
      <c r="E30981" s="0" t="str">
        <f aca="false">HYPERLINK("https://lindat.mff.cuni.cz/services/SynSemClass40/SynSemClass40.html?veclass=vec00273#vec00273-ces-cm00001", "vec00273")</f>
        <v>vec00273</v>
      </c>
      <c r="F30981" s="0" t="s">
        <v>4024</v>
      </c>
      <c r="H30981" s="0" t="str">
        <f aca="false">HYPERLINK("https://lindat.mff.cuni.cz/services/SynSemClass40/SynSemClass40.html?veclass=vec00373#vec00373-ces-cm00038", "vec00373")</f>
        <v>vec00373</v>
      </c>
      <c r="I30981" s="0" t="s">
        <v>6637</v>
      </c>
    </row>
    <row r="30982" customFormat="false" ht="12.8" hidden="false" customHeight="false" outlineLevel="0" collapsed="false">
      <c r="B30982" s="0" t="s">
        <v>1</v>
      </c>
      <c r="C30982" s="0" t="s">
        <v>12092</v>
      </c>
      <c r="E30982" s="0" t="s">
        <v>11</v>
      </c>
      <c r="F30982" s="0" t="s">
        <v>4027</v>
      </c>
      <c r="H30982" s="0" t="s">
        <v>11</v>
      </c>
      <c r="I30982" s="0" t="s">
        <v>6639</v>
      </c>
    </row>
    <row r="30984" customFormat="false" ht="12.8" hidden="false" customHeight="false" outlineLevel="0" collapsed="false">
      <c r="A30984" s="0" t="s">
        <v>12093</v>
      </c>
      <c r="B30984" s="0" t="str">
        <f aca="false">HYPERLINK("https://lindat.mff.cuni.cz/services/teitok/pdtc10/index.php?action=vallex&amp;frame=v-w4243f2", "pracovat (v-w4243f2)")</f>
        <v>pracovat (v-w4243f2)</v>
      </c>
      <c r="E30984" s="0" t="str">
        <f aca="false">HYPERLINK("https://lindat.mff.cuni.cz/services/SynSemClass40/SynSemClass40.html?veclass=vec00273#vec00273-ces-cm00009", "vec00273")</f>
        <v>vec00273</v>
      </c>
      <c r="F30984" s="0" t="s">
        <v>4024</v>
      </c>
    </row>
    <row r="30985" customFormat="false" ht="12.8" hidden="false" customHeight="false" outlineLevel="0" collapsed="false">
      <c r="B30985" s="0" t="s">
        <v>1</v>
      </c>
      <c r="C30985" s="0" t="s">
        <v>4031</v>
      </c>
      <c r="E30985" s="0" t="s">
        <v>11</v>
      </c>
      <c r="F30985" s="0" t="s">
        <v>4027</v>
      </c>
    </row>
    <row r="30987" customFormat="false" ht="12.8" hidden="false" customHeight="false" outlineLevel="0" collapsed="false">
      <c r="A30987" s="0" t="s">
        <v>12094</v>
      </c>
      <c r="B30987" s="0" t="str">
        <f aca="false">HYPERLINK("https://lindat.mff.cuni.cz/services/teitok/pdtc10/index.php?action=vallex&amp;frame=v-w4243f4", "pracovat (v-w4243f4)")</f>
        <v>pracovat (v-w4243f4)</v>
      </c>
    </row>
    <row r="30988" customFormat="false" ht="12.8" hidden="false" customHeight="false" outlineLevel="0" collapsed="false">
      <c r="B30988" s="0" t="s">
        <v>1</v>
      </c>
    </row>
    <row r="30990" customFormat="false" ht="12.8" hidden="false" customHeight="false" outlineLevel="0" collapsed="false">
      <c r="A30990" s="0" t="s">
        <v>12095</v>
      </c>
      <c r="B30990" s="0" t="str">
        <f aca="false">HYPERLINK("https://lindat.mff.cuni.cz/services/teitok/pdtc10/index.php?action=vallex&amp;frame=v-w4246f1", "prahnout (v-w4246f1)")</f>
        <v>prahnout (v-w4246f1)</v>
      </c>
      <c r="E30990" s="0" t="str">
        <f aca="false">HYPERLINK("https://lindat.mff.cuni.cz/services/SynSemClass40/SynSemClass40.html?veclass=vec00877#vec00877-ces-cm00001", "vec00877")</f>
        <v>vec00877</v>
      </c>
      <c r="F30990" s="0" t="s">
        <v>12096</v>
      </c>
    </row>
    <row r="30991" customFormat="false" ht="12.8" hidden="false" customHeight="false" outlineLevel="0" collapsed="false">
      <c r="B30991" s="0" t="s">
        <v>1</v>
      </c>
      <c r="C30991" s="0" t="s">
        <v>106</v>
      </c>
      <c r="E30991" s="0" t="s">
        <v>11</v>
      </c>
      <c r="F30991" s="0" t="s">
        <v>9320</v>
      </c>
    </row>
    <row r="30992" customFormat="false" ht="12.8" hidden="false" customHeight="false" outlineLevel="0" collapsed="false">
      <c r="B30992" s="0" t="s">
        <v>3391</v>
      </c>
      <c r="C30992" s="0" t="s">
        <v>449</v>
      </c>
      <c r="E30992" s="0" t="s">
        <v>6091</v>
      </c>
      <c r="F30992" s="0" t="s">
        <v>12097</v>
      </c>
    </row>
    <row r="30994" customFormat="false" ht="12.8" hidden="false" customHeight="false" outlineLevel="0" collapsed="false">
      <c r="A30994" s="0" t="s">
        <v>12098</v>
      </c>
      <c r="B30994" s="0" t="str">
        <f aca="false">HYPERLINK("https://lindat.mff.cuni.cz/services/teitok/pdtc10/index.php?action=vallex&amp;frame=v-w4248f1", "praktikovat (v-w4248f1)")</f>
        <v>praktikovat (v-w4248f1)</v>
      </c>
    </row>
    <row r="30995" customFormat="false" ht="12.8" hidden="false" customHeight="false" outlineLevel="0" collapsed="false">
      <c r="B30995" s="0" t="s">
        <v>1</v>
      </c>
    </row>
    <row r="30996" customFormat="false" ht="12.8" hidden="false" customHeight="false" outlineLevel="0" collapsed="false">
      <c r="B30996" s="0" t="s">
        <v>8</v>
      </c>
    </row>
    <row r="30998" customFormat="false" ht="12.8" hidden="false" customHeight="false" outlineLevel="0" collapsed="false">
      <c r="A30998" s="0" t="s">
        <v>12099</v>
      </c>
      <c r="B30998" s="0" t="str">
        <f aca="false">HYPERLINK("https://lindat.mff.cuni.cz/services/teitok/pdtc10/index.php?action=vallex&amp;frame=v-w4249f1", "pramenit (v-w4249f1)")</f>
        <v>pramenit (v-w4249f1)</v>
      </c>
      <c r="E30998" s="0" t="str">
        <f aca="false">HYPERLINK("https://lindat.mff.cuni.cz/services/SynSemClass40/SynSemClass40.html?veclass=vec00258#vec00258-ces-cm00002", "vec00258")</f>
        <v>vec00258</v>
      </c>
      <c r="F30998" s="0" t="s">
        <v>10649</v>
      </c>
    </row>
    <row r="30999" customFormat="false" ht="12.8" hidden="false" customHeight="false" outlineLevel="0" collapsed="false">
      <c r="B30999" s="0" t="s">
        <v>1</v>
      </c>
      <c r="C30999" s="0" t="s">
        <v>10650</v>
      </c>
      <c r="E30999" s="0" t="s">
        <v>957</v>
      </c>
      <c r="F30999" s="0" t="s">
        <v>10651</v>
      </c>
    </row>
    <row r="31000" customFormat="false" ht="12.8" hidden="false" customHeight="false" outlineLevel="0" collapsed="false">
      <c r="B31000" s="0" t="s">
        <v>12100</v>
      </c>
      <c r="C31000" s="0" t="s">
        <v>10652</v>
      </c>
      <c r="E31000" s="0" t="s">
        <v>6001</v>
      </c>
      <c r="F31000" s="0" t="s">
        <v>10653</v>
      </c>
    </row>
    <row r="31002" customFormat="false" ht="12.8" hidden="false" customHeight="false" outlineLevel="0" collapsed="false">
      <c r="A31002" s="0" t="s">
        <v>12101</v>
      </c>
      <c r="B31002" s="0" t="str">
        <f aca="false">HYPERLINK("https://lindat.mff.cuni.cz/services/teitok/pdtc10/index.php?action=vallex&amp;frame=v-w4249f2", "pramenit (v-w4249f2)")</f>
        <v>pramenit (v-w4249f2)</v>
      </c>
    </row>
    <row r="31003" customFormat="false" ht="12.8" hidden="false" customHeight="false" outlineLevel="0" collapsed="false">
      <c r="B31003" s="0" t="s">
        <v>1</v>
      </c>
    </row>
    <row r="31005" customFormat="false" ht="12.8" hidden="false" customHeight="false" outlineLevel="0" collapsed="false">
      <c r="A31005" s="0" t="s">
        <v>12102</v>
      </c>
      <c r="B31005" s="0" t="str">
        <f aca="false">HYPERLINK("https://lindat.mff.cuni.cz/services/teitok/pdtc10/index.php?action=vallex&amp;frame=v-w4251f1", "pranýřovat (v-w4251f1)")</f>
        <v>pranýřovat (v-w4251f1)</v>
      </c>
      <c r="E31005" s="0" t="str">
        <f aca="false">HYPERLINK("https://lindat.mff.cuni.cz/services/SynSemClass40/SynSemClass40.html?veclass=vec00230#vec00230-ces-cm00026", "vec00230")</f>
        <v>vec00230</v>
      </c>
      <c r="F31005" s="0" t="s">
        <v>4255</v>
      </c>
    </row>
    <row r="31006" customFormat="false" ht="12.8" hidden="false" customHeight="false" outlineLevel="0" collapsed="false">
      <c r="B31006" s="0" t="s">
        <v>1</v>
      </c>
      <c r="C31006" s="0" t="s">
        <v>5752</v>
      </c>
      <c r="E31006" s="0" t="s">
        <v>3750</v>
      </c>
      <c r="F31006" s="0" t="s">
        <v>4257</v>
      </c>
    </row>
    <row r="31007" customFormat="false" ht="12.8" hidden="false" customHeight="false" outlineLevel="0" collapsed="false">
      <c r="B31007" s="0" t="s">
        <v>8</v>
      </c>
      <c r="C31007" s="0" t="s">
        <v>5753</v>
      </c>
      <c r="E31007" s="0" t="s">
        <v>4259</v>
      </c>
      <c r="F31007" s="0" t="s">
        <v>4260</v>
      </c>
    </row>
    <row r="31009" customFormat="false" ht="12.8" hidden="false" customHeight="false" outlineLevel="0" collapsed="false">
      <c r="A31009" s="0" t="s">
        <v>12103</v>
      </c>
      <c r="B31009" s="0" t="str">
        <f aca="false">HYPERLINK("https://lindat.mff.cuni.cz/services/teitok/pdtc10/index.php?action=vallex&amp;frame=v-w4252f2", "praskat (v-w4252f2)")</f>
        <v>praskat (v-w4252f2)</v>
      </c>
      <c r="E31009" s="0" t="str">
        <f aca="false">HYPERLINK("https://lindat.mff.cuni.cz/services/SynSemClass40/SynSemClass40.html?veclass=vec00681#vec00681-ces-cm00003", "vec00681")</f>
        <v>vec00681</v>
      </c>
      <c r="F31009" s="0" t="s">
        <v>11358</v>
      </c>
    </row>
    <row r="31010" customFormat="false" ht="12.8" hidden="false" customHeight="false" outlineLevel="0" collapsed="false">
      <c r="B31010" s="0" t="s">
        <v>1</v>
      </c>
      <c r="C31010" s="0" t="s">
        <v>11359</v>
      </c>
      <c r="E31010" s="0" t="s">
        <v>84</v>
      </c>
      <c r="F31010" s="0" t="s">
        <v>11360</v>
      </c>
    </row>
    <row r="31012" customFormat="false" ht="12.8" hidden="false" customHeight="false" outlineLevel="0" collapsed="false">
      <c r="A31012" s="0" t="s">
        <v>12104</v>
      </c>
      <c r="B31012" s="0" t="str">
        <f aca="false">HYPERLINK("https://lindat.mff.cuni.cz/services/teitok/pdtc10/index.php?action=vallex&amp;frame=v-w4252f1", "praskat (v-w4252f1)")</f>
        <v>praskat (v-w4252f1)</v>
      </c>
    </row>
    <row r="31013" customFormat="false" ht="12.8" hidden="false" customHeight="false" outlineLevel="0" collapsed="false">
      <c r="B31013" s="0" t="s">
        <v>1</v>
      </c>
    </row>
    <row r="31014" customFormat="false" ht="12.8" hidden="false" customHeight="false" outlineLevel="0" collapsed="false">
      <c r="B31014" s="0" t="s">
        <v>12105</v>
      </c>
    </row>
    <row r="31016" customFormat="false" ht="12.8" hidden="false" customHeight="false" outlineLevel="0" collapsed="false">
      <c r="A31016" s="0" t="s">
        <v>12106</v>
      </c>
      <c r="B31016" s="0" t="str">
        <f aca="false">HYPERLINK("https://lindat.mff.cuni.cz/services/teitok/pdtc10/index.php?action=vallex&amp;frame=v-w4253f1", "prasknout (v-w4253f1)")</f>
        <v>prasknout (v-w4253f1)</v>
      </c>
      <c r="E31016" s="0" t="str">
        <f aca="false">HYPERLINK("https://lindat.mff.cuni.cz/services/SynSemClass40/SynSemClass40.html?veclass=vec00681#vec00681-ces-cm00001", "vec00681")</f>
        <v>vec00681</v>
      </c>
      <c r="F31016" s="0" t="s">
        <v>11358</v>
      </c>
    </row>
    <row r="31017" customFormat="false" ht="12.8" hidden="false" customHeight="false" outlineLevel="0" collapsed="false">
      <c r="B31017" s="0" t="s">
        <v>1</v>
      </c>
      <c r="C31017" s="0" t="s">
        <v>11359</v>
      </c>
      <c r="E31017" s="0" t="s">
        <v>84</v>
      </c>
      <c r="F31017" s="0" t="s">
        <v>11360</v>
      </c>
    </row>
    <row r="31019" customFormat="false" ht="12.8" hidden="false" customHeight="false" outlineLevel="0" collapsed="false">
      <c r="A31019" s="0" t="s">
        <v>12107</v>
      </c>
      <c r="B31019" s="0" t="str">
        <f aca="false">HYPERLINK("https://lindat.mff.cuni.cz/services/teitok/pdtc10/index.php?action=vallex&amp;frame=v-w4253f3_ZU", "prasknout (v-w4253f3_ZU)")</f>
        <v>prasknout (v-w4253f3_ZU)</v>
      </c>
    </row>
    <row r="31020" customFormat="false" ht="12.8" hidden="false" customHeight="false" outlineLevel="0" collapsed="false">
      <c r="B31020" s="0" t="s">
        <v>843</v>
      </c>
    </row>
    <row r="31022" customFormat="false" ht="12.8" hidden="false" customHeight="false" outlineLevel="0" collapsed="false">
      <c r="A31022" s="0" t="s">
        <v>12107</v>
      </c>
      <c r="B31022" s="0" t="str">
        <f aca="false">HYPERLINK("https://lindat.mff.cuni.cz/services/teitok/pdtc10/index.php?action=vallex&amp;frame=v-w4253f2_ZU", "prasknout (v-w4253f2_ZU) - substituted with v-w4253f3_ZU")</f>
        <v>prasknout (v-w4253f2_ZU) - substituted with v-w4253f3_ZU</v>
      </c>
    </row>
    <row r="31023" customFormat="false" ht="12.8" hidden="false" customHeight="false" outlineLevel="0" collapsed="false">
      <c r="B31023" s="0" t="s">
        <v>843</v>
      </c>
    </row>
    <row r="31025" customFormat="false" ht="12.8" hidden="false" customHeight="false" outlineLevel="0" collapsed="false">
      <c r="A31025" s="0" t="s">
        <v>12108</v>
      </c>
      <c r="B31025" s="0" t="str">
        <f aca="false">HYPERLINK("https://lindat.mff.cuni.cz/services/teitok/pdtc10/index.php?action=vallex&amp;frame=v-w4260f3", "pravit (v-w4260f3)")</f>
        <v>pravit (v-w4260f3)</v>
      </c>
    </row>
    <row r="31026" customFormat="false" ht="12.8" hidden="false" customHeight="false" outlineLevel="0" collapsed="false">
      <c r="B31026" s="0" t="s">
        <v>1</v>
      </c>
    </row>
    <row r="31027" customFormat="false" ht="12.8" hidden="false" customHeight="false" outlineLevel="0" collapsed="false">
      <c r="B31027" s="0" t="s">
        <v>318</v>
      </c>
    </row>
    <row r="31028" customFormat="false" ht="12.8" hidden="false" customHeight="false" outlineLevel="0" collapsed="false">
      <c r="B31028" s="0" t="s">
        <v>52</v>
      </c>
    </row>
    <row r="31030" customFormat="false" ht="12.8" hidden="false" customHeight="false" outlineLevel="0" collapsed="false">
      <c r="A31030" s="0" t="s">
        <v>12109</v>
      </c>
      <c r="B31030" s="0" t="str">
        <f aca="false">HYPERLINK("https://lindat.mff.cuni.cz/services/teitok/pdtc10/index.php?action=vallex&amp;frame=v-w4260f2", "pravit (v-w4260f2)")</f>
        <v>pravit (v-w4260f2)</v>
      </c>
    </row>
    <row r="31031" customFormat="false" ht="12.8" hidden="false" customHeight="false" outlineLevel="0" collapsed="false">
      <c r="B31031" s="0" t="s">
        <v>1</v>
      </c>
    </row>
    <row r="31032" customFormat="false" ht="12.8" hidden="false" customHeight="false" outlineLevel="0" collapsed="false">
      <c r="B31032" s="0" t="s">
        <v>12110</v>
      </c>
    </row>
    <row r="31033" customFormat="false" ht="12.8" hidden="false" customHeight="false" outlineLevel="0" collapsed="false">
      <c r="B31033" s="0" t="s">
        <v>132</v>
      </c>
    </row>
    <row r="31035" customFormat="false" ht="12.8" hidden="false" customHeight="false" outlineLevel="0" collapsed="false">
      <c r="A31035" s="0" t="s">
        <v>12111</v>
      </c>
      <c r="B31035" s="0" t="str">
        <f aca="false">HYPERLINK("https://lindat.mff.cuni.cz/services/teitok/pdtc10/index.php?action=vallex&amp;frame=v-w4260f1", "pravit (v-w4260f1)")</f>
        <v>pravit (v-w4260f1)</v>
      </c>
      <c r="E31035" s="0" t="str">
        <f aca="false">HYPERLINK("https://lindat.mff.cuni.cz/services/SynSemClass40/SynSemClass40.html?veclass=vec00060#vec00060-ces-cm00071", "vec00060")</f>
        <v>vec00060</v>
      </c>
      <c r="F31035" s="0" t="s">
        <v>213</v>
      </c>
    </row>
    <row r="31036" customFormat="false" ht="12.8" hidden="false" customHeight="false" outlineLevel="0" collapsed="false">
      <c r="B31036" s="0" t="s">
        <v>1</v>
      </c>
      <c r="C31036" s="0" t="s">
        <v>214</v>
      </c>
      <c r="E31036" s="0" t="s">
        <v>147</v>
      </c>
      <c r="F31036" s="0" t="s">
        <v>215</v>
      </c>
    </row>
    <row r="31037" customFormat="false" ht="12.8" hidden="false" customHeight="false" outlineLevel="0" collapsed="false">
      <c r="B31037" s="0" t="s">
        <v>52</v>
      </c>
      <c r="C31037" s="0" t="s">
        <v>220</v>
      </c>
      <c r="E31037" s="0" t="s">
        <v>221</v>
      </c>
      <c r="F31037" s="0" t="s">
        <v>222</v>
      </c>
    </row>
    <row r="31038" customFormat="false" ht="12.8" hidden="false" customHeight="false" outlineLevel="0" collapsed="false">
      <c r="B31038" s="0" t="s">
        <v>12112</v>
      </c>
      <c r="C31038" s="0" t="s">
        <v>2216</v>
      </c>
      <c r="E31038" s="0" t="s">
        <v>2217</v>
      </c>
      <c r="F31038" s="0" t="s">
        <v>2218</v>
      </c>
    </row>
    <row r="31039" customFormat="false" ht="12.8" hidden="false" customHeight="false" outlineLevel="0" collapsed="false">
      <c r="B31039" s="0" t="s">
        <v>496</v>
      </c>
      <c r="C31039" s="0" t="s">
        <v>217</v>
      </c>
      <c r="E31039" s="0" t="s">
        <v>218</v>
      </c>
      <c r="F31039" s="0" t="s">
        <v>219</v>
      </c>
    </row>
    <row r="31041" customFormat="false" ht="12.8" hidden="false" customHeight="false" outlineLevel="0" collapsed="false">
      <c r="A31041" s="0" t="s">
        <v>12113</v>
      </c>
      <c r="B31041" s="0" t="str">
        <f aca="false">HYPERLINK("https://lindat.mff.cuni.cz/services/teitok/pdtc10/index.php?action=vallex&amp;frame=v-w4255f1", "praštit (v-w4255f1)")</f>
        <v>praštit (v-w4255f1)</v>
      </c>
    </row>
    <row r="31042" customFormat="false" ht="12.8" hidden="false" customHeight="false" outlineLevel="0" collapsed="false">
      <c r="B31042" s="0" t="s">
        <v>1</v>
      </c>
    </row>
    <row r="31043" customFormat="false" ht="12.8" hidden="false" customHeight="false" outlineLevel="0" collapsed="false">
      <c r="B31043" s="0" t="s">
        <v>8</v>
      </c>
    </row>
    <row r="31045" customFormat="false" ht="12.8" hidden="false" customHeight="false" outlineLevel="0" collapsed="false">
      <c r="A31045" s="0" t="s">
        <v>12114</v>
      </c>
      <c r="B31045" s="0" t="str">
        <f aca="false">HYPERLINK("https://lindat.mff.cuni.cz/services/teitok/pdtc10/index.php?action=vallex&amp;frame=v-w4255f6_MM", "praštit (v-w4255f6_MM)")</f>
        <v>praštit (v-w4255f6_MM)</v>
      </c>
    </row>
    <row r="31046" customFormat="false" ht="12.8" hidden="false" customHeight="false" outlineLevel="0" collapsed="false">
      <c r="B31046" s="0" t="s">
        <v>1</v>
      </c>
    </row>
    <row r="31047" customFormat="false" ht="12.8" hidden="false" customHeight="false" outlineLevel="0" collapsed="false">
      <c r="B31047" s="0" t="s">
        <v>4277</v>
      </c>
    </row>
    <row r="31049" customFormat="false" ht="12.8" hidden="false" customHeight="false" outlineLevel="0" collapsed="false">
      <c r="A31049" s="0" t="s">
        <v>12114</v>
      </c>
      <c r="B31049" s="0" t="str">
        <f aca="false">HYPERLINK("https://lindat.mff.cuni.cz/services/teitok/pdtc10/index.php?action=vallex&amp;frame=v-w4255f3", "praštit (v-w4255f3) - substituted with v-w4255f6_MM")</f>
        <v>praštit (v-w4255f3) - substituted with v-w4255f6_MM</v>
      </c>
      <c r="E31049" s="0" t="str">
        <f aca="false">HYPERLINK("https://lindat.mff.cuni.cz/services/SynSemClass40/SynSemClass40.html?veclass=vec01428#vec01428-ces-cm00002", "vec01428")</f>
        <v>vec01428</v>
      </c>
      <c r="F31049" s="0" t="s">
        <v>457</v>
      </c>
      <c r="H31049" s="0" t="str">
        <f aca="false">HYPERLINK("https://lindat.mff.cuni.cz/services/SynSemClass40/SynSemClass40.html?veclass=vec01532#vec01532-ces-cm00013", "vec01532")</f>
        <v>vec01532</v>
      </c>
      <c r="I31049" s="0" t="s">
        <v>458</v>
      </c>
    </row>
    <row r="31050" customFormat="false" ht="12.8" hidden="false" customHeight="false" outlineLevel="0" collapsed="false">
      <c r="B31050" s="0" t="s">
        <v>1</v>
      </c>
      <c r="C31050" s="0" t="s">
        <v>459</v>
      </c>
      <c r="E31050" s="0" t="s">
        <v>31</v>
      </c>
      <c r="F31050" s="0" t="s">
        <v>460</v>
      </c>
      <c r="H31050" s="0" t="s">
        <v>196</v>
      </c>
      <c r="I31050" s="0" t="s">
        <v>461</v>
      </c>
    </row>
    <row r="31051" customFormat="false" ht="12.8" hidden="false" customHeight="false" outlineLevel="0" collapsed="false">
      <c r="B31051" s="0" t="s">
        <v>4277</v>
      </c>
      <c r="C31051" s="0" t="s">
        <v>462</v>
      </c>
      <c r="E31051" s="0" t="s">
        <v>170</v>
      </c>
      <c r="F31051" s="0" t="s">
        <v>391</v>
      </c>
      <c r="H31051" s="0" t="s">
        <v>450</v>
      </c>
      <c r="I31051" s="0" t="s">
        <v>463</v>
      </c>
    </row>
    <row r="31053" customFormat="false" ht="12.8" hidden="false" customHeight="false" outlineLevel="0" collapsed="false">
      <c r="A31053" s="0" t="s">
        <v>12115</v>
      </c>
      <c r="B31053" s="0" t="str">
        <f aca="false">HYPERLINK("https://lindat.mff.cuni.cz/services/teitok/pdtc10/index.php?action=vallex&amp;frame=v-w4255f5_ZU", "praštit (v-w4255f5_ZU)")</f>
        <v>praštit (v-w4255f5_ZU)</v>
      </c>
    </row>
    <row r="31054" customFormat="false" ht="12.8" hidden="false" customHeight="false" outlineLevel="0" collapsed="false">
      <c r="B31054" s="0" t="s">
        <v>1</v>
      </c>
    </row>
    <row r="31055" customFormat="false" ht="12.8" hidden="false" customHeight="false" outlineLevel="0" collapsed="false">
      <c r="B31055" s="0" t="s">
        <v>721</v>
      </c>
    </row>
    <row r="31057" customFormat="false" ht="12.8" hidden="false" customHeight="false" outlineLevel="0" collapsed="false">
      <c r="A31057" s="0" t="s">
        <v>12115</v>
      </c>
      <c r="B31057" s="0" t="str">
        <f aca="false">HYPERLINK("https://lindat.mff.cuni.cz/services/teitok/pdtc10/index.php?action=vallex&amp;frame=v-w4255f4_ZU", "praštit (v-w4255f4_ZU) - substituted with v-w4255f5_ZU")</f>
        <v>praštit (v-w4255f4_ZU) - substituted with v-w4255f5_ZU</v>
      </c>
    </row>
    <row r="31058" customFormat="false" ht="12.8" hidden="false" customHeight="false" outlineLevel="0" collapsed="false">
      <c r="B31058" s="0" t="s">
        <v>1</v>
      </c>
    </row>
    <row r="31059" customFormat="false" ht="12.8" hidden="false" customHeight="false" outlineLevel="0" collapsed="false">
      <c r="B31059" s="0" t="s">
        <v>721</v>
      </c>
    </row>
    <row r="31061" customFormat="false" ht="12.8" hidden="false" customHeight="false" outlineLevel="0" collapsed="false">
      <c r="A31061" s="0" t="s">
        <v>12116</v>
      </c>
      <c r="B31061" s="0" t="str">
        <f aca="false">HYPERLINK("https://lindat.mff.cuni.cz/services/teitok/pdtc10/index.php?action=vallex&amp;frame=v-w4254f1", "praštět (v-w4254f1)")</f>
        <v>praštět (v-w4254f1)</v>
      </c>
    </row>
    <row r="31063" customFormat="false" ht="12.8" hidden="false" customHeight="false" outlineLevel="0" collapsed="false">
      <c r="A31063" s="0" t="s">
        <v>12117</v>
      </c>
      <c r="B31063" s="0" t="str">
        <f aca="false">HYPERLINK("https://lindat.mff.cuni.cz/services/teitok/pdtc10/index.php?action=vallex&amp;frame=v-whsb_1142hsa_1143", "pražit (v-whsb_1142hsa_1143)")</f>
        <v>pražit (v-whsb_1142hsa_1143)</v>
      </c>
    </row>
    <row r="31064" customFormat="false" ht="12.8" hidden="false" customHeight="false" outlineLevel="0" collapsed="false">
      <c r="B31064" s="0" t="s">
        <v>1</v>
      </c>
    </row>
    <row r="31066" customFormat="false" ht="12.8" hidden="false" customHeight="false" outlineLevel="0" collapsed="false">
      <c r="A31066" s="0" t="s">
        <v>12118</v>
      </c>
      <c r="B31066" s="0" t="str">
        <f aca="false">HYPERLINK("https://lindat.mff.cuni.cz/services/teitok/pdtc10/index.php?action=vallex&amp;frame=v-w4279f1", "prchat (v-w4279f1)")</f>
        <v>prchat (v-w4279f1)</v>
      </c>
      <c r="E31066" s="0" t="str">
        <f aca="false">HYPERLINK("https://lindat.mff.cuni.cz/services/SynSemClass40/SynSemClass40.html?veclass=vec00146#vec00146-ces-cm00009", "vec00146")</f>
        <v>vec00146</v>
      </c>
      <c r="F31066" s="0" t="s">
        <v>4047</v>
      </c>
    </row>
    <row r="31067" customFormat="false" ht="12.8" hidden="false" customHeight="false" outlineLevel="0" collapsed="false">
      <c r="B31067" s="0" t="s">
        <v>1</v>
      </c>
      <c r="E31067" s="0" t="s">
        <v>2892</v>
      </c>
      <c r="F31067" s="0" t="s">
        <v>4049</v>
      </c>
    </row>
    <row r="31068" customFormat="false" ht="12.8" hidden="false" customHeight="false" outlineLevel="0" collapsed="false">
      <c r="B31068" s="0" t="s">
        <v>12119</v>
      </c>
      <c r="E31068" s="0" t="s">
        <v>532</v>
      </c>
      <c r="F31068" s="0" t="s">
        <v>9183</v>
      </c>
    </row>
    <row r="31070" customFormat="false" ht="12.8" hidden="false" customHeight="false" outlineLevel="0" collapsed="false">
      <c r="A31070" s="0" t="s">
        <v>12120</v>
      </c>
      <c r="B31070" s="0" t="str">
        <f aca="false">HYPERLINK("https://lindat.mff.cuni.cz/services/teitok/pdtc10/index.php?action=vallex&amp;frame=v-w4279f2_ZU", "prchat (v-w4279f2_ZU)")</f>
        <v>prchat (v-w4279f2_ZU)</v>
      </c>
    </row>
    <row r="31071" customFormat="false" ht="12.8" hidden="false" customHeight="false" outlineLevel="0" collapsed="false">
      <c r="B31071" s="0" t="s">
        <v>1</v>
      </c>
    </row>
    <row r="31073" customFormat="false" ht="12.8" hidden="false" customHeight="false" outlineLevel="0" collapsed="false">
      <c r="A31073" s="0" t="s">
        <v>12121</v>
      </c>
      <c r="B31073" s="0" t="str">
        <f aca="false">HYPERLINK("https://lindat.mff.cuni.cz/services/teitok/pdtc10/index.php?action=vallex&amp;frame=v-whsa_324f1_ZU", "prchnout (v-whsa_324f1_ZU)")</f>
        <v>prchnout (v-whsa_324f1_ZU)</v>
      </c>
      <c r="E31073" s="0" t="str">
        <f aca="false">HYPERLINK("https://lindat.mff.cuni.cz/services/SynSemClass40/SynSemClass40.html?veclass=vec00146#vec00146-ces-cm00010", "vec00146")</f>
        <v>vec00146</v>
      </c>
      <c r="F31073" s="0" t="s">
        <v>4047</v>
      </c>
    </row>
    <row r="31074" customFormat="false" ht="12.8" hidden="false" customHeight="false" outlineLevel="0" collapsed="false">
      <c r="B31074" s="0" t="s">
        <v>1</v>
      </c>
      <c r="E31074" s="0" t="s">
        <v>2892</v>
      </c>
      <c r="F31074" s="0" t="s">
        <v>4049</v>
      </c>
    </row>
    <row r="31075" customFormat="false" ht="12.8" hidden="false" customHeight="false" outlineLevel="0" collapsed="false">
      <c r="B31075" s="0" t="s">
        <v>12119</v>
      </c>
      <c r="E31075" s="0" t="s">
        <v>532</v>
      </c>
      <c r="F31075" s="0" t="s">
        <v>9183</v>
      </c>
    </row>
    <row r="31077" customFormat="false" ht="12.8" hidden="false" customHeight="false" outlineLevel="0" collapsed="false">
      <c r="A31077" s="0" t="s">
        <v>12121</v>
      </c>
      <c r="B31077" s="0" t="str">
        <f aca="false">HYPERLINK("https://lindat.mff.cuni.cz/services/teitok/pdtc10/index.php?action=vallex&amp;frame=v-whsa_324hsa_325", "prchnout (v-whsa_324hsa_325) - substituted with v-whsa_324f1_ZU")</f>
        <v>prchnout (v-whsa_324hsa_325) - substituted with v-whsa_324f1_ZU</v>
      </c>
    </row>
    <row r="31078" customFormat="false" ht="12.8" hidden="false" customHeight="false" outlineLevel="0" collapsed="false">
      <c r="B31078" s="0" t="s">
        <v>1</v>
      </c>
    </row>
    <row r="31079" customFormat="false" ht="12.8" hidden="false" customHeight="false" outlineLevel="0" collapsed="false">
      <c r="B31079" s="0" t="s">
        <v>12119</v>
      </c>
    </row>
    <row r="31081" customFormat="false" ht="12.8" hidden="false" customHeight="false" outlineLevel="0" collapsed="false">
      <c r="A31081" s="0" t="s">
        <v>12122</v>
      </c>
      <c r="B31081" s="0" t="str">
        <f aca="false">HYPERLINK("https://lindat.mff.cuni.cz/services/teitok/pdtc10/index.php?action=vallex&amp;frame=v-w10351f3_ZU", "predisponovat (v-w10351f3_ZU)")</f>
        <v>predisponovat (v-w10351f3_ZU)</v>
      </c>
    </row>
    <row r="31082" customFormat="false" ht="12.8" hidden="false" customHeight="false" outlineLevel="0" collapsed="false">
      <c r="B31082" s="0" t="s">
        <v>1</v>
      </c>
    </row>
    <row r="31083" customFormat="false" ht="12.8" hidden="false" customHeight="false" outlineLevel="0" collapsed="false">
      <c r="B31083" s="0" t="s">
        <v>8</v>
      </c>
    </row>
    <row r="31085" customFormat="false" ht="12.8" hidden="false" customHeight="false" outlineLevel="0" collapsed="false">
      <c r="A31085" s="0" t="s">
        <v>12122</v>
      </c>
      <c r="B31085" s="0" t="str">
        <f aca="false">HYPERLINK("https://lindat.mff.cuni.cz/services/teitok/pdtc10/index.php?action=vallex&amp;frame=v-w10351f2", "predisponovat (v-w10351f2) - substituted with v-w10351f3_ZU")</f>
        <v>predisponovat (v-w10351f2) - substituted with v-w10351f3_ZU</v>
      </c>
    </row>
    <row r="31086" customFormat="false" ht="12.8" hidden="false" customHeight="false" outlineLevel="0" collapsed="false">
      <c r="B31086" s="0" t="s">
        <v>1</v>
      </c>
    </row>
    <row r="31087" customFormat="false" ht="12.8" hidden="false" customHeight="false" outlineLevel="0" collapsed="false">
      <c r="B31087" s="0" t="s">
        <v>8</v>
      </c>
    </row>
    <row r="31089" customFormat="false" ht="12.8" hidden="false" customHeight="false" outlineLevel="0" collapsed="false">
      <c r="A31089" s="0" t="s">
        <v>12123</v>
      </c>
      <c r="B31089" s="0" t="str">
        <f aca="false">HYPERLINK("https://lindat.mff.cuni.cz/services/teitok/pdtc10/index.php?action=vallex&amp;frame=v-w4267f1", "preferovat (v-w4267f1)")</f>
        <v>preferovat (v-w4267f1)</v>
      </c>
      <c r="E31089" s="0" t="str">
        <f aca="false">HYPERLINK("https://lindat.mff.cuni.cz/services/SynSemClass40/SynSemClass40.html?veclass=vec00334#vec00334-ces-cm00008", "vec00334")</f>
        <v>vec00334</v>
      </c>
      <c r="F31089" s="0" t="s">
        <v>3508</v>
      </c>
    </row>
    <row r="31090" customFormat="false" ht="12.8" hidden="false" customHeight="false" outlineLevel="0" collapsed="false">
      <c r="B31090" s="0" t="s">
        <v>1</v>
      </c>
      <c r="C31090" s="0" t="s">
        <v>3509</v>
      </c>
      <c r="E31090" s="0" t="s">
        <v>155</v>
      </c>
      <c r="F31090" s="0" t="s">
        <v>3510</v>
      </c>
    </row>
    <row r="31091" customFormat="false" ht="12.8" hidden="false" customHeight="false" outlineLevel="0" collapsed="false">
      <c r="B31091" s="0" t="s">
        <v>8</v>
      </c>
      <c r="C31091" s="0" t="s">
        <v>5327</v>
      </c>
      <c r="E31091" s="0" t="s">
        <v>4852</v>
      </c>
      <c r="F31091" s="0" t="s">
        <v>5328</v>
      </c>
    </row>
    <row r="31092" customFormat="false" ht="12.8" hidden="false" customHeight="false" outlineLevel="0" collapsed="false">
      <c r="B31092" s="0" t="s">
        <v>12124</v>
      </c>
      <c r="C31092" s="0" t="s">
        <v>12125</v>
      </c>
      <c r="E31092" s="0" t="s">
        <v>5445</v>
      </c>
      <c r="F31092" s="0" t="s">
        <v>12126</v>
      </c>
    </row>
    <row r="31094" customFormat="false" ht="12.8" hidden="false" customHeight="false" outlineLevel="0" collapsed="false">
      <c r="A31094" s="0" t="s">
        <v>12127</v>
      </c>
      <c r="B31094" s="0" t="str">
        <f aca="false">HYPERLINK("https://lindat.mff.cuni.cz/services/teitok/pdtc10/index.php?action=vallex&amp;frame=v-w4277f2", "prezentovat (v-w4277f2)")</f>
        <v>prezentovat (v-w4277f2)</v>
      </c>
      <c r="E31094" s="0" t="str">
        <f aca="false">HYPERLINK("https://lindat.mff.cuni.cz/services/SynSemClass40/SynSemClass40.html?veclass=vec00330#vec00330-ces-cm00109", "vec00330")</f>
        <v>vec00330</v>
      </c>
      <c r="F31094" s="0" t="s">
        <v>1896</v>
      </c>
    </row>
    <row r="31095" customFormat="false" ht="12.8" hidden="false" customHeight="false" outlineLevel="0" collapsed="false">
      <c r="B31095" s="0" t="s">
        <v>1</v>
      </c>
      <c r="C31095" s="0" t="s">
        <v>1897</v>
      </c>
      <c r="E31095" s="0" t="s">
        <v>11</v>
      </c>
      <c r="F31095" s="0" t="s">
        <v>1898</v>
      </c>
    </row>
    <row r="31096" customFormat="false" ht="12.8" hidden="false" customHeight="false" outlineLevel="0" collapsed="false">
      <c r="B31096" s="0" t="s">
        <v>500</v>
      </c>
      <c r="C31096" s="0" t="s">
        <v>1900</v>
      </c>
      <c r="E31096" s="0" t="s">
        <v>180</v>
      </c>
      <c r="F31096" s="0" t="s">
        <v>1901</v>
      </c>
    </row>
    <row r="31097" customFormat="false" ht="12.8" hidden="false" customHeight="false" outlineLevel="0" collapsed="false">
      <c r="B31097" s="0" t="s">
        <v>52</v>
      </c>
      <c r="C31097" s="0" t="s">
        <v>1902</v>
      </c>
      <c r="E31097" s="0" t="s">
        <v>221</v>
      </c>
      <c r="F31097" s="0" t="s">
        <v>1903</v>
      </c>
    </row>
    <row r="31099" customFormat="false" ht="12.8" hidden="false" customHeight="false" outlineLevel="0" collapsed="false">
      <c r="A31099" s="0" t="s">
        <v>12128</v>
      </c>
      <c r="B31099" s="0" t="str">
        <f aca="false">HYPERLINK("https://lindat.mff.cuni.cz/services/teitok/pdtc10/index.php?action=vallex&amp;frame=v-w4277f1", "prezentovat (v-w4277f1)")</f>
        <v>prezentovat (v-w4277f1)</v>
      </c>
      <c r="E31099" s="0" t="str">
        <f aca="false">HYPERLINK("https://lindat.mff.cuni.cz/services/SynSemClass40/SynSemClass40.html?veclass=vec00330#vec00330-ces-cm00108", "vec00330")</f>
        <v>vec00330</v>
      </c>
      <c r="F31099" s="0" t="s">
        <v>1896</v>
      </c>
    </row>
    <row r="31100" customFormat="false" ht="12.8" hidden="false" customHeight="false" outlineLevel="0" collapsed="false">
      <c r="B31100" s="0" t="s">
        <v>1</v>
      </c>
      <c r="C31100" s="0" t="s">
        <v>1897</v>
      </c>
      <c r="E31100" s="0" t="s">
        <v>11</v>
      </c>
      <c r="F31100" s="0" t="s">
        <v>1898</v>
      </c>
    </row>
    <row r="31101" customFormat="false" ht="12.8" hidden="false" customHeight="false" outlineLevel="0" collapsed="false">
      <c r="B31101" s="0" t="s">
        <v>8</v>
      </c>
      <c r="C31101" s="0" t="s">
        <v>1900</v>
      </c>
      <c r="E31101" s="0" t="s">
        <v>180</v>
      </c>
      <c r="F31101" s="0" t="s">
        <v>1901</v>
      </c>
    </row>
    <row r="31102" customFormat="false" ht="12.8" hidden="false" customHeight="false" outlineLevel="0" collapsed="false">
      <c r="B31102" s="0" t="s">
        <v>381</v>
      </c>
      <c r="C31102" s="0" t="s">
        <v>1902</v>
      </c>
      <c r="E31102" s="0" t="s">
        <v>221</v>
      </c>
      <c r="F31102" s="0" t="s">
        <v>1903</v>
      </c>
    </row>
    <row r="31104" customFormat="false" ht="12.8" hidden="false" customHeight="false" outlineLevel="0" collapsed="false">
      <c r="A31104" s="0" t="s">
        <v>12129</v>
      </c>
      <c r="B31104" s="0" t="str">
        <f aca="false">HYPERLINK("https://lindat.mff.cuni.cz/services/teitok/pdtc10/index.php?action=vallex&amp;frame=v-w4278f2", "prezentovat se (v-w4278f2)")</f>
        <v>prezentovat se (v-w4278f2)</v>
      </c>
      <c r="E31104" s="0" t="str">
        <f aca="false">HYPERLINK("https://lindat.mff.cuni.cz/services/SynSemClass40/SynSemClass40.html?veclass=vec00890#vec00890-ces-cm00006", "vec00890")</f>
        <v>vec00890</v>
      </c>
      <c r="F31104" s="0" t="s">
        <v>12130</v>
      </c>
    </row>
    <row r="31105" customFormat="false" ht="12.8" hidden="false" customHeight="false" outlineLevel="0" collapsed="false">
      <c r="B31105" s="0" t="s">
        <v>1</v>
      </c>
      <c r="C31105" s="0" t="s">
        <v>512</v>
      </c>
      <c r="E31105" s="0" t="s">
        <v>1386</v>
      </c>
      <c r="F31105" s="0" t="s">
        <v>12131</v>
      </c>
    </row>
    <row r="31106" customFormat="false" ht="12.8" hidden="false" customHeight="false" outlineLevel="0" collapsed="false">
      <c r="B31106" s="0" t="s">
        <v>157</v>
      </c>
      <c r="C31106" s="0" t="s">
        <v>744</v>
      </c>
      <c r="E31106" s="0" t="s">
        <v>150</v>
      </c>
      <c r="F31106" s="0" t="s">
        <v>12132</v>
      </c>
    </row>
    <row r="31108" customFormat="false" ht="12.8" hidden="false" customHeight="false" outlineLevel="0" collapsed="false">
      <c r="A31108" s="0" t="s">
        <v>12133</v>
      </c>
      <c r="B31108" s="0" t="str">
        <f aca="false">HYPERLINK("https://lindat.mff.cuni.cz/services/teitok/pdtc10/index.php?action=vallex&amp;frame=v-w4278f1", "prezentovat se (v-w4278f1)")</f>
        <v>prezentovat se (v-w4278f1)</v>
      </c>
      <c r="E31108" s="0" t="str">
        <f aca="false">HYPERLINK("https://lindat.mff.cuni.cz/services/SynSemClass40/SynSemClass40.html?veclass=vec00153#vec00153-ces-cm00039", "vec00153")</f>
        <v>vec00153</v>
      </c>
      <c r="F31108" s="0" t="s">
        <v>925</v>
      </c>
    </row>
    <row r="31109" customFormat="false" ht="12.8" hidden="false" customHeight="false" outlineLevel="0" collapsed="false">
      <c r="B31109" s="0" t="s">
        <v>1</v>
      </c>
      <c r="C31109" s="0" t="s">
        <v>926</v>
      </c>
      <c r="E31109" s="0" t="s">
        <v>11</v>
      </c>
      <c r="F31109" s="0" t="s">
        <v>927</v>
      </c>
    </row>
    <row r="31110" customFormat="false" ht="12.8" hidden="false" customHeight="false" outlineLevel="0" collapsed="false">
      <c r="B31110" s="0" t="s">
        <v>642</v>
      </c>
      <c r="C31110" s="0" t="s">
        <v>929</v>
      </c>
      <c r="E31110" s="0" t="s">
        <v>644</v>
      </c>
      <c r="F31110" s="0" t="s">
        <v>12134</v>
      </c>
    </row>
    <row r="31111" customFormat="false" ht="12.8" hidden="false" customHeight="false" outlineLevel="0" collapsed="false">
      <c r="B31111" s="0" t="s">
        <v>646</v>
      </c>
      <c r="C31111" s="0" t="s">
        <v>12035</v>
      </c>
      <c r="E31111" s="0" t="s">
        <v>644</v>
      </c>
      <c r="F31111" s="0" t="s">
        <v>12134</v>
      </c>
    </row>
    <row r="31112" customFormat="false" ht="12.8" hidden="false" customHeight="false" outlineLevel="0" collapsed="false">
      <c r="B31112" s="0" t="s">
        <v>648</v>
      </c>
      <c r="C31112" s="0" t="s">
        <v>12036</v>
      </c>
      <c r="E31112" s="0" t="s">
        <v>644</v>
      </c>
      <c r="F31112" s="0" t="s">
        <v>12134</v>
      </c>
    </row>
    <row r="31113" customFormat="false" ht="12.8" hidden="false" customHeight="false" outlineLevel="0" collapsed="false">
      <c r="B31113" s="0" t="s">
        <v>650</v>
      </c>
      <c r="C31113" s="0" t="s">
        <v>12037</v>
      </c>
      <c r="E31113" s="0" t="s">
        <v>644</v>
      </c>
      <c r="F31113" s="0" t="s">
        <v>12134</v>
      </c>
    </row>
    <row r="31114" customFormat="false" ht="12.8" hidden="false" customHeight="false" outlineLevel="0" collapsed="false">
      <c r="B31114" s="0" t="s">
        <v>652</v>
      </c>
      <c r="C31114" s="0" t="s">
        <v>12038</v>
      </c>
      <c r="E31114" s="0" t="s">
        <v>644</v>
      </c>
      <c r="F31114" s="0" t="s">
        <v>12134</v>
      </c>
    </row>
    <row r="31116" customFormat="false" ht="12.8" hidden="false" customHeight="false" outlineLevel="0" collapsed="false">
      <c r="A31116" s="0" t="s">
        <v>12135</v>
      </c>
      <c r="B31116" s="0" t="str">
        <f aca="false">HYPERLINK("https://lindat.mff.cuni.cz/services/teitok/pdtc10/index.php?action=vallex&amp;frame=v-w4284f1", "privatizovat (v-w4284f1)")</f>
        <v>privatizovat (v-w4284f1)</v>
      </c>
      <c r="E31116" s="0" t="str">
        <f aca="false">HYPERLINK("https://lindat.mff.cuni.cz/services/SynSemClass40/SynSemClass40.html?veclass=vec00683#vec00683-ces-cm00001", "vec00683")</f>
        <v>vec00683</v>
      </c>
      <c r="F31116" s="0" t="s">
        <v>12136</v>
      </c>
    </row>
    <row r="31117" customFormat="false" ht="12.8" hidden="false" customHeight="false" outlineLevel="0" collapsed="false">
      <c r="B31117" s="0" t="s">
        <v>1</v>
      </c>
      <c r="C31117" s="0" t="s">
        <v>512</v>
      </c>
      <c r="E31117" s="0" t="s">
        <v>206</v>
      </c>
      <c r="F31117" s="0" t="s">
        <v>3251</v>
      </c>
    </row>
    <row r="31118" customFormat="false" ht="12.8" hidden="false" customHeight="false" outlineLevel="0" collapsed="false">
      <c r="B31118" s="0" t="s">
        <v>8</v>
      </c>
      <c r="C31118" s="0" t="s">
        <v>1940</v>
      </c>
      <c r="E31118" s="0" t="s">
        <v>5521</v>
      </c>
      <c r="F31118" s="0" t="s">
        <v>12137</v>
      </c>
    </row>
    <row r="31120" customFormat="false" ht="12.8" hidden="false" customHeight="false" outlineLevel="0" collapsed="false">
      <c r="A31120" s="0" t="s">
        <v>12138</v>
      </c>
      <c r="B31120" s="0" t="str">
        <f aca="false">HYPERLINK("https://lindat.mff.cuni.cz/services/teitok/pdtc10/index.php?action=vallex&amp;frame=v-w12359_MMf1_MM", "probarvovat (v-w12359_MMf1_MM)")</f>
        <v>probarvovat (v-w12359_MMf1_MM)</v>
      </c>
    </row>
    <row r="31121" customFormat="false" ht="12.8" hidden="false" customHeight="false" outlineLevel="0" collapsed="false">
      <c r="B31121" s="0" t="s">
        <v>1</v>
      </c>
    </row>
    <row r="31122" customFormat="false" ht="12.8" hidden="false" customHeight="false" outlineLevel="0" collapsed="false">
      <c r="B31122" s="0" t="s">
        <v>8</v>
      </c>
    </row>
    <row r="31124" customFormat="false" ht="12.8" hidden="false" customHeight="false" outlineLevel="0" collapsed="false">
      <c r="A31124" s="0" t="s">
        <v>12139</v>
      </c>
      <c r="B31124" s="0" t="str">
        <f aca="false">HYPERLINK("https://lindat.mff.cuni.cz/services/teitok/pdtc10/index.php?action=vallex&amp;frame=v-whsa_506hsa_507", "probdít (v-whsa_506hsa_507)")</f>
        <v>probdít (v-whsa_506hsa_507)</v>
      </c>
    </row>
    <row r="31125" customFormat="false" ht="12.8" hidden="false" customHeight="false" outlineLevel="0" collapsed="false">
      <c r="B31125" s="0" t="s">
        <v>1</v>
      </c>
    </row>
    <row r="31126" customFormat="false" ht="12.8" hidden="false" customHeight="false" outlineLevel="0" collapsed="false">
      <c r="B31126" s="0" t="s">
        <v>8</v>
      </c>
    </row>
    <row r="31128" customFormat="false" ht="12.8" hidden="false" customHeight="false" outlineLevel="0" collapsed="false">
      <c r="A31128" s="0" t="s">
        <v>12140</v>
      </c>
      <c r="B31128" s="0" t="str">
        <f aca="false">HYPERLINK("https://lindat.mff.cuni.cz/services/teitok/pdtc10/index.php?action=vallex&amp;frame=v-w4293f1", "problematizovat (v-w4293f1)")</f>
        <v>problematizovat (v-w4293f1)</v>
      </c>
    </row>
    <row r="31129" customFormat="false" ht="12.8" hidden="false" customHeight="false" outlineLevel="0" collapsed="false">
      <c r="B31129" s="0" t="s">
        <v>1</v>
      </c>
    </row>
    <row r="31130" customFormat="false" ht="12.8" hidden="false" customHeight="false" outlineLevel="0" collapsed="false">
      <c r="B31130" s="0" t="s">
        <v>8</v>
      </c>
    </row>
    <row r="31132" customFormat="false" ht="12.8" hidden="false" customHeight="false" outlineLevel="0" collapsed="false">
      <c r="A31132" s="0" t="s">
        <v>12141</v>
      </c>
      <c r="B31132" s="0" t="str">
        <f aca="false">HYPERLINK("https://lindat.mff.cuni.cz/services/teitok/pdtc10/index.php?action=vallex&amp;frame=v-w10055f2", "problesknout (v-w10055f2)")</f>
        <v>problesknout (v-w10055f2)</v>
      </c>
      <c r="E31132" s="0" t="str">
        <f aca="false">HYPERLINK("https://lindat.mff.cuni.cz/services/SynSemClass40/SynSemClass40.html?veclass=vec00245#vec00245-ces-cm00069", "vec00245")</f>
        <v>vec00245</v>
      </c>
      <c r="F31132" s="0" t="s">
        <v>6245</v>
      </c>
      <c r="H31132" s="0" t="str">
        <f aca="false">HYPERLINK("https://lindat.mff.cuni.cz/services/SynSemClass40/SynSemClass40.html?veclass=vec00703#vec00703-ces-cm00104", "vec00703")</f>
        <v>vec00703</v>
      </c>
      <c r="I31132" s="0" t="s">
        <v>6246</v>
      </c>
      <c r="K31132" s="0" t="str">
        <f aca="false">HYPERLINK("https://lindat.mff.cuni.cz/services/SynSemClass40/SynSemClass40.html?veclass=vec01173#vec01173-ces-cm00007", "vec01173")</f>
        <v>vec01173</v>
      </c>
      <c r="L31132" s="0" t="s">
        <v>321</v>
      </c>
    </row>
    <row r="31133" customFormat="false" ht="12.8" hidden="false" customHeight="false" outlineLevel="0" collapsed="false">
      <c r="B31133" s="0" t="s">
        <v>1</v>
      </c>
      <c r="C31133" s="0" t="s">
        <v>12142</v>
      </c>
      <c r="E31133" s="0" t="s">
        <v>2923</v>
      </c>
      <c r="F31133" s="0" t="s">
        <v>6248</v>
      </c>
      <c r="H31133" s="0" t="s">
        <v>2923</v>
      </c>
      <c r="I31133" s="0" t="s">
        <v>6249</v>
      </c>
      <c r="K31133" s="0" t="s">
        <v>11</v>
      </c>
      <c r="L31133" s="0" t="s">
        <v>323</v>
      </c>
    </row>
    <row r="31135" customFormat="false" ht="12.8" hidden="false" customHeight="false" outlineLevel="0" collapsed="false">
      <c r="A31135" s="0" t="s">
        <v>12143</v>
      </c>
      <c r="B31135" s="0" t="str">
        <f aca="false">HYPERLINK("https://lindat.mff.cuni.cz/services/teitok/pdtc10/index.php?action=vallex&amp;frame=v-w4294f1", "probleskovat (v-w4294f1)")</f>
        <v>probleskovat (v-w4294f1)</v>
      </c>
      <c r="E31135" s="0" t="str">
        <f aca="false">HYPERLINK("https://lindat.mff.cuni.cz/services/SynSemClass40/SynSemClass40.html?veclass=vec00245#vec00245-ces-cm00070", "vec00245")</f>
        <v>vec00245</v>
      </c>
      <c r="F31135" s="0" t="s">
        <v>6245</v>
      </c>
      <c r="H31135" s="0" t="str">
        <f aca="false">HYPERLINK("https://lindat.mff.cuni.cz/services/SynSemClass40/SynSemClass40.html?veclass=vec00703#vec00703-ces-cm00105", "vec00703")</f>
        <v>vec00703</v>
      </c>
      <c r="I31135" s="0" t="s">
        <v>6246</v>
      </c>
      <c r="K31135" s="0" t="str">
        <f aca="false">HYPERLINK("https://lindat.mff.cuni.cz/services/SynSemClass40/SynSemClass40.html?veclass=vec01173#vec01173-ces-cm00008", "vec01173")</f>
        <v>vec01173</v>
      </c>
      <c r="L31135" s="0" t="s">
        <v>321</v>
      </c>
    </row>
    <row r="31136" customFormat="false" ht="12.8" hidden="false" customHeight="false" outlineLevel="0" collapsed="false">
      <c r="B31136" s="0" t="s">
        <v>1</v>
      </c>
      <c r="C31136" s="0" t="s">
        <v>12142</v>
      </c>
      <c r="E31136" s="0" t="s">
        <v>2923</v>
      </c>
      <c r="F31136" s="0" t="s">
        <v>6248</v>
      </c>
      <c r="H31136" s="0" t="s">
        <v>2923</v>
      </c>
      <c r="I31136" s="0" t="s">
        <v>6249</v>
      </c>
      <c r="K31136" s="0" t="s">
        <v>11</v>
      </c>
      <c r="L31136" s="0" t="s">
        <v>323</v>
      </c>
    </row>
    <row r="31138" customFormat="false" ht="12.8" hidden="false" customHeight="false" outlineLevel="0" collapsed="false">
      <c r="A31138" s="0" t="s">
        <v>12144</v>
      </c>
      <c r="B31138" s="0" t="str">
        <f aca="false">HYPERLINK("https://lindat.mff.cuni.cz/services/teitok/pdtc10/index.php?action=vallex&amp;frame=v-w4295f1", "probodnout (v-w4295f1)")</f>
        <v>probodnout (v-w4295f1)</v>
      </c>
    </row>
    <row r="31139" customFormat="false" ht="12.8" hidden="false" customHeight="false" outlineLevel="0" collapsed="false">
      <c r="B31139" s="0" t="s">
        <v>1</v>
      </c>
    </row>
    <row r="31140" customFormat="false" ht="12.8" hidden="false" customHeight="false" outlineLevel="0" collapsed="false">
      <c r="B31140" s="0" t="s">
        <v>8</v>
      </c>
    </row>
    <row r="31142" customFormat="false" ht="12.8" hidden="false" customHeight="false" outlineLevel="0" collapsed="false">
      <c r="A31142" s="0" t="s">
        <v>12145</v>
      </c>
      <c r="B31142" s="0" t="str">
        <f aca="false">HYPERLINK("https://lindat.mff.cuni.cz/services/teitok/pdtc10/index.php?action=vallex&amp;frame=v-w4296f1", "probojovat se (v-w4296f1)")</f>
        <v>probojovat se (v-w4296f1)</v>
      </c>
      <c r="E31142" s="0" t="str">
        <f aca="false">HYPERLINK("https://lindat.mff.cuni.cz/services/SynSemClass40/SynSemClass40.html?veclass=vec00888#vec00888-ces-cm00003", "vec00888")</f>
        <v>vec00888</v>
      </c>
      <c r="F31142" s="0" t="s">
        <v>12146</v>
      </c>
    </row>
    <row r="31143" customFormat="false" ht="12.8" hidden="false" customHeight="false" outlineLevel="0" collapsed="false">
      <c r="B31143" s="0" t="s">
        <v>1</v>
      </c>
      <c r="E31143" s="0" t="s">
        <v>12147</v>
      </c>
      <c r="F31143" s="0" t="s">
        <v>12148</v>
      </c>
    </row>
    <row r="31144" customFormat="false" ht="12.8" hidden="false" customHeight="false" outlineLevel="0" collapsed="false">
      <c r="B31144" s="0" t="s">
        <v>164</v>
      </c>
      <c r="E31144" s="0" t="s">
        <v>3229</v>
      </c>
      <c r="F31144" s="0" t="s">
        <v>8716</v>
      </c>
    </row>
    <row r="31146" customFormat="false" ht="12.8" hidden="false" customHeight="false" outlineLevel="0" collapsed="false">
      <c r="A31146" s="0" t="s">
        <v>12149</v>
      </c>
      <c r="B31146" s="0" t="str">
        <f aca="false">HYPERLINK("https://lindat.mff.cuni.cz/services/teitok/pdtc10/index.php?action=vallex&amp;frame=v-w4297f2_ZU", "probouzet (v-w4297f2_ZU)")</f>
        <v>probouzet (v-w4297f2_ZU)</v>
      </c>
    </row>
    <row r="31147" customFormat="false" ht="12.8" hidden="false" customHeight="false" outlineLevel="0" collapsed="false">
      <c r="B31147" s="0" t="s">
        <v>1</v>
      </c>
    </row>
    <row r="31148" customFormat="false" ht="12.8" hidden="false" customHeight="false" outlineLevel="0" collapsed="false">
      <c r="B31148" s="0" t="s">
        <v>12150</v>
      </c>
    </row>
    <row r="31150" customFormat="false" ht="12.8" hidden="false" customHeight="false" outlineLevel="0" collapsed="false">
      <c r="A31150" s="0" t="s">
        <v>12149</v>
      </c>
      <c r="B31150" s="0" t="str">
        <f aca="false">HYPERLINK("https://lindat.mff.cuni.cz/services/teitok/pdtc10/index.php?action=vallex&amp;frame=v-w4297f1", "probouzet (v-w4297f1) - substituted with v-w4297f2_ZU")</f>
        <v>probouzet (v-w4297f1) - substituted with v-w4297f2_ZU</v>
      </c>
    </row>
    <row r="31151" customFormat="false" ht="12.8" hidden="false" customHeight="false" outlineLevel="0" collapsed="false">
      <c r="B31151" s="0" t="s">
        <v>1</v>
      </c>
    </row>
    <row r="31152" customFormat="false" ht="12.8" hidden="false" customHeight="false" outlineLevel="0" collapsed="false">
      <c r="B31152" s="0" t="s">
        <v>12150</v>
      </c>
    </row>
    <row r="31154" customFormat="false" ht="12.8" hidden="false" customHeight="false" outlineLevel="0" collapsed="false">
      <c r="A31154" s="0" t="s">
        <v>12151</v>
      </c>
      <c r="B31154" s="0" t="str">
        <f aca="false">HYPERLINK("https://lindat.mff.cuni.cz/services/teitok/pdtc10/index.php?action=vallex&amp;frame=v-w4297f3_ZU", "probouzet (v-w4297f3_ZU)")</f>
        <v>probouzet (v-w4297f3_ZU)</v>
      </c>
    </row>
    <row r="31155" customFormat="false" ht="12.8" hidden="false" customHeight="false" outlineLevel="0" collapsed="false">
      <c r="B31155" s="0" t="s">
        <v>1</v>
      </c>
    </row>
    <row r="31156" customFormat="false" ht="12.8" hidden="false" customHeight="false" outlineLevel="0" collapsed="false">
      <c r="B31156" s="0" t="s">
        <v>8</v>
      </c>
    </row>
    <row r="31157" customFormat="false" ht="12.8" hidden="false" customHeight="false" outlineLevel="0" collapsed="false">
      <c r="B31157" s="0" t="s">
        <v>36</v>
      </c>
    </row>
    <row r="31159" customFormat="false" ht="12.8" hidden="false" customHeight="false" outlineLevel="0" collapsed="false">
      <c r="A31159" s="0" t="s">
        <v>12152</v>
      </c>
      <c r="B31159" s="0" t="str">
        <f aca="false">HYPERLINK("https://lindat.mff.cuni.cz/services/teitok/pdtc10/index.php?action=vallex&amp;frame=v-w4298f1", "probouzet se (v-w4298f1)")</f>
        <v>probouzet se (v-w4298f1)</v>
      </c>
      <c r="E31159" s="0" t="str">
        <f aca="false">HYPERLINK("https://lindat.mff.cuni.cz/services/SynSemClass40/SynSemClass40.html?veclass=vec00880#vec00880-ces-cm00002", "vec00880")</f>
        <v>vec00880</v>
      </c>
      <c r="F31159" s="0" t="s">
        <v>760</v>
      </c>
    </row>
    <row r="31160" customFormat="false" ht="12.8" hidden="false" customHeight="false" outlineLevel="0" collapsed="false">
      <c r="B31160" s="0" t="s">
        <v>1</v>
      </c>
      <c r="C31160" s="0" t="s">
        <v>761</v>
      </c>
      <c r="E31160" s="0" t="s">
        <v>11</v>
      </c>
      <c r="F31160" s="0" t="s">
        <v>762</v>
      </c>
    </row>
    <row r="31161" customFormat="false" ht="12.8" hidden="false" customHeight="false" outlineLevel="0" collapsed="false">
      <c r="B31161" s="0" t="s">
        <v>763</v>
      </c>
      <c r="E31161" s="0" t="s">
        <v>354</v>
      </c>
      <c r="F31161" s="0" t="s">
        <v>764</v>
      </c>
    </row>
    <row r="31163" customFormat="false" ht="12.8" hidden="false" customHeight="false" outlineLevel="0" collapsed="false">
      <c r="A31163" s="0" t="s">
        <v>12153</v>
      </c>
      <c r="B31163" s="0" t="str">
        <f aca="false">HYPERLINK("https://lindat.mff.cuni.cz/services/teitok/pdtc10/index.php?action=vallex&amp;frame=v-whsa_1647hsa_1648", "probořit se (v-whsa_1647hsa_1648)")</f>
        <v>probořit se (v-whsa_1647hsa_1648)</v>
      </c>
    </row>
    <row r="31164" customFormat="false" ht="12.8" hidden="false" customHeight="false" outlineLevel="0" collapsed="false">
      <c r="B31164" s="0" t="s">
        <v>1</v>
      </c>
    </row>
    <row r="31166" customFormat="false" ht="12.8" hidden="false" customHeight="false" outlineLevel="0" collapsed="false">
      <c r="A31166" s="0" t="s">
        <v>12154</v>
      </c>
      <c r="B31166" s="0" t="str">
        <f aca="false">HYPERLINK("https://lindat.mff.cuni.cz/services/teitok/pdtc10/index.php?action=vallex&amp;frame=v-w4299f1", "probrat (v-w4299f1)")</f>
        <v>probrat (v-w4299f1)</v>
      </c>
      <c r="E31166" s="0" t="str">
        <f aca="false">HYPERLINK("https://lindat.mff.cuni.cz/services/SynSemClass40/SynSemClass40.html?veclass=vec00031#vec00031-ces-cm00045", "vec00031")</f>
        <v>vec00031</v>
      </c>
      <c r="F31166" s="0" t="s">
        <v>277</v>
      </c>
    </row>
    <row r="31167" customFormat="false" ht="12.8" hidden="false" customHeight="false" outlineLevel="0" collapsed="false">
      <c r="B31167" s="0" t="s">
        <v>1</v>
      </c>
      <c r="C31167" s="0" t="s">
        <v>278</v>
      </c>
      <c r="E31167" s="0" t="s">
        <v>147</v>
      </c>
      <c r="F31167" s="0" t="s">
        <v>279</v>
      </c>
    </row>
    <row r="31168" customFormat="false" ht="12.8" hidden="false" customHeight="false" outlineLevel="0" collapsed="false">
      <c r="B31168" s="0" t="s">
        <v>228</v>
      </c>
      <c r="C31168" s="0" t="s">
        <v>280</v>
      </c>
      <c r="E31168" s="0" t="s">
        <v>218</v>
      </c>
      <c r="F31168" s="0" t="s">
        <v>281</v>
      </c>
    </row>
    <row r="31169" customFormat="false" ht="12.8" hidden="false" customHeight="false" outlineLevel="0" collapsed="false">
      <c r="B31169" s="0" t="s">
        <v>276</v>
      </c>
      <c r="C31169" s="0" t="s">
        <v>282</v>
      </c>
      <c r="E31169" s="0" t="s">
        <v>221</v>
      </c>
      <c r="F31169" s="0" t="s">
        <v>283</v>
      </c>
    </row>
    <row r="31171" customFormat="false" ht="12.8" hidden="false" customHeight="false" outlineLevel="0" collapsed="false">
      <c r="A31171" s="0" t="s">
        <v>12155</v>
      </c>
      <c r="B31171" s="0" t="str">
        <f aca="false">HYPERLINK("https://lindat.mff.cuni.cz/services/teitok/pdtc10/index.php?action=vallex&amp;frame=v-w4299f3", "probrat (v-w4299f3)")</f>
        <v>probrat (v-w4299f3)</v>
      </c>
      <c r="E31171" s="0" t="str">
        <f aca="false">HYPERLINK("https://lindat.mff.cuni.cz/services/SynSemClass40/SynSemClass40.html?veclass=vec01471#vec01471-ces-cm00003", "vec01471")</f>
        <v>vec01471</v>
      </c>
      <c r="F31171" s="0" t="s">
        <v>742</v>
      </c>
    </row>
    <row r="31172" customFormat="false" ht="12.8" hidden="false" customHeight="false" outlineLevel="0" collapsed="false">
      <c r="B31172" s="0" t="s">
        <v>1</v>
      </c>
      <c r="C31172" s="0" t="s">
        <v>459</v>
      </c>
      <c r="E31172" s="0" t="s">
        <v>76</v>
      </c>
      <c r="F31172" s="0" t="s">
        <v>743</v>
      </c>
    </row>
    <row r="31173" customFormat="false" ht="12.8" hidden="false" customHeight="false" outlineLevel="0" collapsed="false">
      <c r="B31173" s="0" t="s">
        <v>8</v>
      </c>
      <c r="C31173" s="0" t="s">
        <v>744</v>
      </c>
      <c r="E31173" s="0" t="s">
        <v>142</v>
      </c>
      <c r="F31173" s="0" t="s">
        <v>745</v>
      </c>
    </row>
    <row r="31174" customFormat="false" ht="12.8" hidden="false" customHeight="false" outlineLevel="0" collapsed="false">
      <c r="B31174" s="0" t="s">
        <v>36</v>
      </c>
      <c r="E31174" s="0" t="s">
        <v>746</v>
      </c>
      <c r="F31174" s="0" t="s">
        <v>747</v>
      </c>
    </row>
    <row r="31176" customFormat="false" ht="12.8" hidden="false" customHeight="false" outlineLevel="0" collapsed="false">
      <c r="A31176" s="0" t="s">
        <v>12156</v>
      </c>
      <c r="B31176" s="0" t="str">
        <f aca="false">HYPERLINK("https://lindat.mff.cuni.cz/services/teitok/pdtc10/index.php?action=vallex&amp;frame=v-w4299f2", "probrat (v-w4299f2)")</f>
        <v>probrat (v-w4299f2)</v>
      </c>
    </row>
    <row r="31177" customFormat="false" ht="12.8" hidden="false" customHeight="false" outlineLevel="0" collapsed="false">
      <c r="B31177" s="0" t="s">
        <v>1</v>
      </c>
    </row>
    <row r="31178" customFormat="false" ht="12.8" hidden="false" customHeight="false" outlineLevel="0" collapsed="false">
      <c r="B31178" s="0" t="s">
        <v>8</v>
      </c>
    </row>
    <row r="31180" customFormat="false" ht="12.8" hidden="false" customHeight="false" outlineLevel="0" collapsed="false">
      <c r="A31180" s="0" t="s">
        <v>12157</v>
      </c>
      <c r="B31180" s="0" t="str">
        <f aca="false">HYPERLINK("https://lindat.mff.cuni.cz/services/teitok/pdtc10/index.php?action=vallex&amp;frame=v-w4299f4_ZU", "probrat (v-w4299f4_ZU)")</f>
        <v>probrat (v-w4299f4_ZU)</v>
      </c>
      <c r="E31180" s="0" t="str">
        <f aca="false">HYPERLINK("https://lindat.mff.cuni.cz/services/SynSemClass40/SynSemClass40.html?veclass=vec00879#vec00879-ces-cm00011", "vec00879")</f>
        <v>vec00879</v>
      </c>
      <c r="F31180" s="0" t="s">
        <v>12158</v>
      </c>
    </row>
    <row r="31181" customFormat="false" ht="12.8" hidden="false" customHeight="false" outlineLevel="0" collapsed="false">
      <c r="B31181" s="0" t="s">
        <v>1</v>
      </c>
      <c r="C31181" s="0" t="s">
        <v>4695</v>
      </c>
      <c r="E31181" s="0" t="s">
        <v>12159</v>
      </c>
      <c r="F31181" s="0" t="s">
        <v>12160</v>
      </c>
    </row>
    <row r="31182" customFormat="false" ht="12.8" hidden="false" customHeight="false" outlineLevel="0" collapsed="false">
      <c r="B31182" s="0" t="s">
        <v>8</v>
      </c>
      <c r="C31182" s="0" t="s">
        <v>1940</v>
      </c>
      <c r="E31182" s="0" t="s">
        <v>12161</v>
      </c>
      <c r="F31182" s="0" t="s">
        <v>12162</v>
      </c>
    </row>
    <row r="31184" customFormat="false" ht="12.8" hidden="false" customHeight="false" outlineLevel="0" collapsed="false">
      <c r="A31184" s="0" t="s">
        <v>12163</v>
      </c>
      <c r="B31184" s="0" t="str">
        <f aca="false">HYPERLINK("https://lindat.mff.cuni.cz/services/teitok/pdtc10/index.php?action=vallex&amp;frame=v-w4300f1", "probrat se (v-w4300f1)")</f>
        <v>probrat se (v-w4300f1)</v>
      </c>
      <c r="E31184" s="0" t="str">
        <f aca="false">HYPERLINK("https://lindat.mff.cuni.cz/services/SynSemClass40/SynSemClass40.html?veclass=vec00880#vec00880-ces-cm00003", "vec00880")</f>
        <v>vec00880</v>
      </c>
      <c r="F31184" s="0" t="s">
        <v>760</v>
      </c>
    </row>
    <row r="31185" customFormat="false" ht="12.8" hidden="false" customHeight="false" outlineLevel="0" collapsed="false">
      <c r="B31185" s="0" t="s">
        <v>1</v>
      </c>
      <c r="C31185" s="0" t="s">
        <v>761</v>
      </c>
      <c r="E31185" s="0" t="s">
        <v>11</v>
      </c>
      <c r="F31185" s="0" t="s">
        <v>762</v>
      </c>
    </row>
    <row r="31186" customFormat="false" ht="12.8" hidden="false" customHeight="false" outlineLevel="0" collapsed="false">
      <c r="B31186" s="0" t="s">
        <v>763</v>
      </c>
      <c r="E31186" s="0" t="s">
        <v>354</v>
      </c>
      <c r="F31186" s="0" t="s">
        <v>764</v>
      </c>
    </row>
    <row r="31188" customFormat="false" ht="12.8" hidden="false" customHeight="false" outlineLevel="0" collapsed="false">
      <c r="A31188" s="0" t="s">
        <v>12164</v>
      </c>
      <c r="B31188" s="0" t="str">
        <f aca="false">HYPERLINK("https://lindat.mff.cuni.cz/services/teitok/pdtc10/index.php?action=vallex&amp;frame=v-w4300f2_ZU", "probrat se (v-w4300f2_ZU)")</f>
        <v>probrat se (v-w4300f2_ZU)</v>
      </c>
      <c r="E31188" s="0" t="str">
        <f aca="false">HYPERLINK("https://lindat.mff.cuni.cz/services/SynSemClass40/SynSemClass40.html?veclass=vec00879#vec00879-ces-cm00001", "vec00879")</f>
        <v>vec00879</v>
      </c>
      <c r="F31188" s="0" t="s">
        <v>12158</v>
      </c>
    </row>
    <row r="31189" customFormat="false" ht="12.8" hidden="false" customHeight="false" outlineLevel="0" collapsed="false">
      <c r="B31189" s="0" t="s">
        <v>1</v>
      </c>
      <c r="C31189" s="0" t="s">
        <v>4695</v>
      </c>
      <c r="E31189" s="0" t="s">
        <v>12159</v>
      </c>
      <c r="F31189" s="0" t="s">
        <v>12160</v>
      </c>
    </row>
    <row r="31190" customFormat="false" ht="12.8" hidden="false" customHeight="false" outlineLevel="0" collapsed="false">
      <c r="B31190" s="0" t="s">
        <v>4966</v>
      </c>
      <c r="C31190" s="0" t="s">
        <v>12165</v>
      </c>
      <c r="E31190" s="0" t="s">
        <v>12166</v>
      </c>
      <c r="F31190" s="0" t="s">
        <v>12167</v>
      </c>
    </row>
    <row r="31192" customFormat="false" ht="12.8" hidden="false" customHeight="false" outlineLevel="0" collapsed="false">
      <c r="A31192" s="0" t="s">
        <v>12168</v>
      </c>
      <c r="B31192" s="0" t="str">
        <f aca="false">HYPERLINK("https://lindat.mff.cuni.cz/services/teitok/pdtc10/index.php?action=vallex&amp;frame=v-w4301f4_ZU", "probudit (v-w4301f4_ZU)")</f>
        <v>probudit (v-w4301f4_ZU)</v>
      </c>
    </row>
    <row r="31193" customFormat="false" ht="12.8" hidden="false" customHeight="false" outlineLevel="0" collapsed="false">
      <c r="B31193" s="0" t="s">
        <v>1181</v>
      </c>
    </row>
    <row r="31194" customFormat="false" ht="12.8" hidden="false" customHeight="false" outlineLevel="0" collapsed="false">
      <c r="B31194" s="0" t="s">
        <v>8</v>
      </c>
    </row>
    <row r="31195" customFormat="false" ht="12.8" hidden="false" customHeight="false" outlineLevel="0" collapsed="false">
      <c r="B31195" s="0" t="s">
        <v>36</v>
      </c>
    </row>
    <row r="31197" customFormat="false" ht="12.8" hidden="false" customHeight="false" outlineLevel="0" collapsed="false">
      <c r="A31197" s="0" t="s">
        <v>12168</v>
      </c>
      <c r="B31197" s="0" t="str">
        <f aca="false">HYPERLINK("https://lindat.mff.cuni.cz/services/teitok/pdtc10/index.php?action=vallex&amp;frame=v-w4301f2", "probudit (v-w4301f2) - substituted with v-w4301f4_ZU")</f>
        <v>probudit (v-w4301f2) - substituted with v-w4301f4_ZU</v>
      </c>
      <c r="E31197" s="0" t="str">
        <f aca="false">HYPERLINK("https://lindat.mff.cuni.cz/services/SynSemClass40/SynSemClass40.html?veclass=vec00880#vec00880-ces-cm00008", "vec00880")</f>
        <v>vec00880</v>
      </c>
      <c r="F31197" s="0" t="s">
        <v>760</v>
      </c>
      <c r="H31197" s="0" t="str">
        <f aca="false">HYPERLINK("https://lindat.mff.cuni.cz/services/SynSemClass40/SynSemClass40.html?veclass=vec01471#vec01471-ces-cm00004", "vec01471")</f>
        <v>vec01471</v>
      </c>
      <c r="I31197" s="0" t="s">
        <v>742</v>
      </c>
    </row>
    <row r="31198" customFormat="false" ht="12.8" hidden="false" customHeight="false" outlineLevel="0" collapsed="false">
      <c r="B31198" s="0" t="s">
        <v>1181</v>
      </c>
      <c r="C31198" s="0" t="s">
        <v>12169</v>
      </c>
      <c r="E31198" s="0" t="s">
        <v>11</v>
      </c>
      <c r="F31198" s="0" t="s">
        <v>762</v>
      </c>
      <c r="H31198" s="0" t="s">
        <v>76</v>
      </c>
      <c r="I31198" s="0" t="s">
        <v>743</v>
      </c>
    </row>
    <row r="31199" customFormat="false" ht="12.8" hidden="false" customHeight="false" outlineLevel="0" collapsed="false">
      <c r="B31199" s="0" t="s">
        <v>8</v>
      </c>
      <c r="C31199" s="0" t="s">
        <v>12170</v>
      </c>
      <c r="E31199" s="0" t="s">
        <v>1847</v>
      </c>
      <c r="F31199" s="0" t="s">
        <v>12171</v>
      </c>
      <c r="H31199" s="0" t="s">
        <v>142</v>
      </c>
      <c r="I31199" s="0" t="s">
        <v>745</v>
      </c>
    </row>
    <row r="31200" customFormat="false" ht="12.8" hidden="false" customHeight="false" outlineLevel="0" collapsed="false">
      <c r="B31200" s="0" t="s">
        <v>36</v>
      </c>
      <c r="E31200" s="0" t="s">
        <v>746</v>
      </c>
      <c r="F31200" s="0" t="s">
        <v>747</v>
      </c>
      <c r="H31200" s="0" t="s">
        <v>746</v>
      </c>
      <c r="I31200" s="0" t="s">
        <v>747</v>
      </c>
    </row>
    <row r="31202" customFormat="false" ht="12.8" hidden="false" customHeight="false" outlineLevel="0" collapsed="false">
      <c r="A31202" s="0" t="s">
        <v>12172</v>
      </c>
      <c r="B31202" s="0" t="str">
        <f aca="false">HYPERLINK("https://lindat.mff.cuni.cz/services/teitok/pdtc10/index.php?action=vallex&amp;frame=v-w4301f3", "probudit (v-w4301f3)")</f>
        <v>probudit (v-w4301f3)</v>
      </c>
    </row>
    <row r="31203" customFormat="false" ht="12.8" hidden="false" customHeight="false" outlineLevel="0" collapsed="false">
      <c r="B31203" s="0" t="s">
        <v>1</v>
      </c>
    </row>
    <row r="31204" customFormat="false" ht="12.8" hidden="false" customHeight="false" outlineLevel="0" collapsed="false">
      <c r="B31204" s="0" t="s">
        <v>8</v>
      </c>
    </row>
    <row r="31205" customFormat="false" ht="12.8" hidden="false" customHeight="false" outlineLevel="0" collapsed="false">
      <c r="B31205" s="0" t="s">
        <v>5</v>
      </c>
    </row>
    <row r="31207" customFormat="false" ht="12.8" hidden="false" customHeight="false" outlineLevel="0" collapsed="false">
      <c r="A31207" s="0" t="s">
        <v>12173</v>
      </c>
      <c r="B31207" s="0" t="str">
        <f aca="false">HYPERLINK("https://lindat.mff.cuni.cz/services/teitok/pdtc10/index.php?action=vallex&amp;frame=v-w4301hsa_1035", "probudit (v-w4301hsa_1035)")</f>
        <v>probudit (v-w4301hsa_1035)</v>
      </c>
    </row>
    <row r="31208" customFormat="false" ht="12.8" hidden="false" customHeight="false" outlineLevel="0" collapsed="false">
      <c r="B31208" s="0" t="s">
        <v>1</v>
      </c>
    </row>
    <row r="31209" customFormat="false" ht="12.8" hidden="false" customHeight="false" outlineLevel="0" collapsed="false">
      <c r="B31209" s="0" t="s">
        <v>12174</v>
      </c>
    </row>
    <row r="31210" customFormat="false" ht="12.8" hidden="false" customHeight="false" outlineLevel="0" collapsed="false">
      <c r="B31210" s="0" t="s">
        <v>5</v>
      </c>
    </row>
    <row r="31212" customFormat="false" ht="12.8" hidden="false" customHeight="false" outlineLevel="0" collapsed="false">
      <c r="A31212" s="0" t="s">
        <v>12173</v>
      </c>
      <c r="B31212" s="0" t="str">
        <f aca="false">HYPERLINK("https://lindat.mff.cuni.cz/services/teitok/pdtc10/index.php?action=vallex&amp;frame=v-w4301f1", "probudit (v-w4301f1) - substituted with v-w4301hsa_1035")</f>
        <v>probudit (v-w4301f1) - substituted with v-w4301hsa_1035</v>
      </c>
    </row>
    <row r="31213" customFormat="false" ht="12.8" hidden="false" customHeight="false" outlineLevel="0" collapsed="false">
      <c r="B31213" s="0" t="s">
        <v>1</v>
      </c>
    </row>
    <row r="31214" customFormat="false" ht="12.8" hidden="false" customHeight="false" outlineLevel="0" collapsed="false">
      <c r="B31214" s="0" t="s">
        <v>12174</v>
      </c>
    </row>
    <row r="31215" customFormat="false" ht="12.8" hidden="false" customHeight="false" outlineLevel="0" collapsed="false">
      <c r="B31215" s="0" t="s">
        <v>5</v>
      </c>
    </row>
    <row r="31217" customFormat="false" ht="12.8" hidden="false" customHeight="false" outlineLevel="0" collapsed="false">
      <c r="A31217" s="0" t="s">
        <v>12175</v>
      </c>
      <c r="B31217" s="0" t="str">
        <f aca="false">HYPERLINK("https://lindat.mff.cuni.cz/services/teitok/pdtc10/index.php?action=vallex&amp;frame=v-w4302f1", "probudit se (v-w4302f1)")</f>
        <v>probudit se (v-w4302f1)</v>
      </c>
      <c r="E31217" s="0" t="str">
        <f aca="false">HYPERLINK("https://lindat.mff.cuni.cz/services/SynSemClass40/SynSemClass40.html?veclass=vec00880#vec00880-ces-cm00001", "vec00880")</f>
        <v>vec00880</v>
      </c>
      <c r="F31217" s="0" t="s">
        <v>760</v>
      </c>
    </row>
    <row r="31218" customFormat="false" ht="12.8" hidden="false" customHeight="false" outlineLevel="0" collapsed="false">
      <c r="B31218" s="0" t="s">
        <v>1</v>
      </c>
      <c r="C31218" s="0" t="s">
        <v>761</v>
      </c>
      <c r="E31218" s="0" t="s">
        <v>11</v>
      </c>
      <c r="F31218" s="0" t="s">
        <v>762</v>
      </c>
    </row>
    <row r="31219" customFormat="false" ht="12.8" hidden="false" customHeight="false" outlineLevel="0" collapsed="false">
      <c r="B31219" s="0" t="s">
        <v>763</v>
      </c>
      <c r="E31219" s="0" t="s">
        <v>354</v>
      </c>
      <c r="F31219" s="0" t="s">
        <v>764</v>
      </c>
    </row>
    <row r="31221" customFormat="false" ht="12.8" hidden="false" customHeight="false" outlineLevel="0" collapsed="false">
      <c r="A31221" s="0" t="s">
        <v>12176</v>
      </c>
      <c r="B31221" s="0" t="str">
        <f aca="false">HYPERLINK("https://lindat.mff.cuni.cz/services/teitok/pdtc10/index.php?action=vallex&amp;frame=v-w4302f2", "probudit se (v-w4302f2)")</f>
        <v>probudit se (v-w4302f2)</v>
      </c>
      <c r="E31221" s="0" t="str">
        <f aca="false">HYPERLINK("https://lindat.mff.cuni.cz/services/SynSemClass40/SynSemClass40.html?veclass=vec00880#vec00880-ces-cm00004", "vec00880")</f>
        <v>vec00880</v>
      </c>
      <c r="F31221" s="0" t="s">
        <v>760</v>
      </c>
    </row>
    <row r="31222" customFormat="false" ht="12.8" hidden="false" customHeight="false" outlineLevel="0" collapsed="false">
      <c r="B31222" s="0" t="s">
        <v>1</v>
      </c>
      <c r="C31222" s="0" t="s">
        <v>761</v>
      </c>
      <c r="E31222" s="0" t="s">
        <v>11</v>
      </c>
      <c r="F31222" s="0" t="s">
        <v>762</v>
      </c>
    </row>
    <row r="31223" customFormat="false" ht="12.8" hidden="false" customHeight="false" outlineLevel="0" collapsed="false">
      <c r="B31223" s="0" t="s">
        <v>763</v>
      </c>
      <c r="E31223" s="0" t="s">
        <v>354</v>
      </c>
      <c r="F31223" s="0" t="s">
        <v>764</v>
      </c>
    </row>
    <row r="31225" customFormat="false" ht="12.8" hidden="false" customHeight="false" outlineLevel="0" collapsed="false">
      <c r="A31225" s="0" t="s">
        <v>12177</v>
      </c>
      <c r="B31225" s="0" t="str">
        <f aca="false">HYPERLINK("https://lindat.mff.cuni.cz/services/teitok/pdtc10/index.php?action=vallex&amp;frame=v-w4302f3_ZU", "probudit se (v-w4302f3_ZU)")</f>
        <v>probudit se (v-w4302f3_ZU)</v>
      </c>
      <c r="E31225" s="0" t="str">
        <f aca="false">HYPERLINK("https://lindat.mff.cuni.cz/services/SynSemClass40/SynSemClass40.html?veclass=vec00097#vec00097-ces-cm00200", "vec00097")</f>
        <v>vec00097</v>
      </c>
      <c r="F31225" s="0" t="s">
        <v>373</v>
      </c>
    </row>
    <row r="31226" customFormat="false" ht="12.8" hidden="false" customHeight="false" outlineLevel="0" collapsed="false">
      <c r="B31226" s="0" t="s">
        <v>1</v>
      </c>
      <c r="C31226" s="0" t="s">
        <v>374</v>
      </c>
      <c r="E31226" s="0" t="s">
        <v>375</v>
      </c>
      <c r="F31226" s="0" t="s">
        <v>376</v>
      </c>
    </row>
    <row r="31227" customFormat="false" ht="12.8" hidden="false" customHeight="false" outlineLevel="0" collapsed="false">
      <c r="B31227" s="0" t="s">
        <v>12178</v>
      </c>
    </row>
    <row r="31229" customFormat="false" ht="12.8" hidden="false" customHeight="false" outlineLevel="0" collapsed="false">
      <c r="A31229" s="0" t="s">
        <v>12179</v>
      </c>
      <c r="B31229" s="0" t="str">
        <f aca="false">HYPERLINK("https://lindat.mff.cuni.cz/services/teitok/pdtc10/index.php?action=vallex&amp;frame=v-w11665_ZUf1_ZU", "probádat (v-w11665_ZUf1_ZU)")</f>
        <v>probádat (v-w11665_ZUf1_ZU)</v>
      </c>
      <c r="E31229" s="0" t="str">
        <f aca="false">HYPERLINK("https://lindat.mff.cuni.cz/services/SynSemClass40/SynSemClass40.html?veclass=vec00090#vec00090-ces-cm00012", "vec00090")</f>
        <v>vec00090</v>
      </c>
      <c r="F31229" s="0" t="s">
        <v>113</v>
      </c>
    </row>
    <row r="31230" customFormat="false" ht="12.8" hidden="false" customHeight="false" outlineLevel="0" collapsed="false">
      <c r="B31230" s="0" t="s">
        <v>1</v>
      </c>
      <c r="C31230" s="0" t="s">
        <v>114</v>
      </c>
      <c r="E31230" s="0" t="s">
        <v>115</v>
      </c>
      <c r="F31230" s="0" t="s">
        <v>116</v>
      </c>
    </row>
    <row r="31231" customFormat="false" ht="12.8" hidden="false" customHeight="false" outlineLevel="0" collapsed="false">
      <c r="B31231" s="0" t="s">
        <v>8</v>
      </c>
      <c r="C31231" s="0" t="s">
        <v>118</v>
      </c>
      <c r="E31231" s="0" t="s">
        <v>119</v>
      </c>
      <c r="F31231" s="0" t="s">
        <v>120</v>
      </c>
    </row>
    <row r="31233" customFormat="false" ht="12.8" hidden="false" customHeight="false" outlineLevel="0" collapsed="false">
      <c r="A31233" s="0" t="s">
        <v>12180</v>
      </c>
      <c r="B31233" s="0" t="str">
        <f aca="false">HYPERLINK("https://lindat.mff.cuni.cz/services/teitok/pdtc10/index.php?action=vallex&amp;frame=v-w4287f2", "probíhat (v-w4287f2)")</f>
        <v>probíhat (v-w4287f2)</v>
      </c>
    </row>
    <row r="31234" customFormat="false" ht="12.8" hidden="false" customHeight="false" outlineLevel="0" collapsed="false">
      <c r="B31234" s="0" t="s">
        <v>1</v>
      </c>
    </row>
    <row r="31235" customFormat="false" ht="12.8" hidden="false" customHeight="false" outlineLevel="0" collapsed="false">
      <c r="B31235" s="0" t="s">
        <v>336</v>
      </c>
    </row>
    <row r="31237" customFormat="false" ht="12.8" hidden="false" customHeight="false" outlineLevel="0" collapsed="false">
      <c r="A31237" s="0" t="s">
        <v>12181</v>
      </c>
      <c r="B31237" s="0" t="str">
        <f aca="false">HYPERLINK("https://lindat.mff.cuni.cz/services/teitok/pdtc10/index.php?action=vallex&amp;frame=v-w4287f1", "probíhat (v-w4287f1)")</f>
        <v>probíhat (v-w4287f1)</v>
      </c>
      <c r="E31237" s="0" t="str">
        <f aca="false">HYPERLINK("https://lindat.mff.cuni.cz/services/SynSemClass40/SynSemClass40.html?veclass=vec00261#vec00261-ces-cm00007", "vec00261")</f>
        <v>vec00261</v>
      </c>
      <c r="F31237" s="0" t="s">
        <v>1318</v>
      </c>
    </row>
    <row r="31238" customFormat="false" ht="12.8" hidden="false" customHeight="false" outlineLevel="0" collapsed="false">
      <c r="B31238" s="0" t="s">
        <v>1</v>
      </c>
      <c r="C31238" s="0" t="s">
        <v>1319</v>
      </c>
      <c r="E31238" s="0" t="s">
        <v>375</v>
      </c>
      <c r="F31238" s="0" t="s">
        <v>1320</v>
      </c>
    </row>
    <row r="31240" customFormat="false" ht="12.8" hidden="false" customHeight="false" outlineLevel="0" collapsed="false">
      <c r="A31240" s="0" t="s">
        <v>12182</v>
      </c>
      <c r="B31240" s="0" t="str">
        <f aca="false">HYPERLINK("https://lindat.mff.cuni.cz/services/teitok/pdtc10/index.php?action=vallex&amp;frame=v-w4287f3", "probíhat (v-w4287f3)")</f>
        <v>probíhat (v-w4287f3)</v>
      </c>
    </row>
    <row r="31241" customFormat="false" ht="12.8" hidden="false" customHeight="false" outlineLevel="0" collapsed="false">
      <c r="B31241" s="0" t="s">
        <v>1</v>
      </c>
    </row>
    <row r="31242" customFormat="false" ht="12.8" hidden="false" customHeight="false" outlineLevel="0" collapsed="false">
      <c r="B31242" s="0" t="s">
        <v>12183</v>
      </c>
    </row>
    <row r="31244" customFormat="false" ht="12.8" hidden="false" customHeight="false" outlineLevel="0" collapsed="false">
      <c r="A31244" s="0" t="s">
        <v>12184</v>
      </c>
      <c r="B31244" s="0" t="str">
        <f aca="false">HYPERLINK("https://lindat.mff.cuni.cz/services/teitok/pdtc10/index.php?action=vallex&amp;frame=v-w4287f4_ZU", "probíhat (v-w4287f4_ZU)")</f>
        <v>probíhat (v-w4287f4_ZU)</v>
      </c>
    </row>
    <row r="31245" customFormat="false" ht="12.8" hidden="false" customHeight="false" outlineLevel="0" collapsed="false">
      <c r="B31245" s="0" t="s">
        <v>1</v>
      </c>
    </row>
    <row r="31247" customFormat="false" ht="12.8" hidden="false" customHeight="false" outlineLevel="0" collapsed="false">
      <c r="A31247" s="0" t="s">
        <v>12185</v>
      </c>
      <c r="B31247" s="0" t="str">
        <f aca="false">HYPERLINK("https://lindat.mff.cuni.cz/services/teitok/pdtc10/index.php?action=vallex&amp;frame=v-w4289f2", "probírat (v-w4289f2)")</f>
        <v>probírat (v-w4289f2)</v>
      </c>
      <c r="E31247" s="0" t="str">
        <f aca="false">HYPERLINK("https://lindat.mff.cuni.cz/services/SynSemClass40/SynSemClass40.html?veclass=vec00031#vec00031-ces-cm00044", "vec00031")</f>
        <v>vec00031</v>
      </c>
      <c r="F31247" s="0" t="s">
        <v>277</v>
      </c>
    </row>
    <row r="31248" customFormat="false" ht="12.8" hidden="false" customHeight="false" outlineLevel="0" collapsed="false">
      <c r="B31248" s="0" t="s">
        <v>1</v>
      </c>
      <c r="C31248" s="0" t="s">
        <v>278</v>
      </c>
      <c r="E31248" s="0" t="s">
        <v>147</v>
      </c>
      <c r="F31248" s="0" t="s">
        <v>279</v>
      </c>
    </row>
    <row r="31249" customFormat="false" ht="12.8" hidden="false" customHeight="false" outlineLevel="0" collapsed="false">
      <c r="B31249" s="0" t="s">
        <v>59</v>
      </c>
      <c r="C31249" s="0" t="s">
        <v>280</v>
      </c>
      <c r="E31249" s="0" t="s">
        <v>218</v>
      </c>
      <c r="F31249" s="0" t="s">
        <v>281</v>
      </c>
    </row>
    <row r="31250" customFormat="false" ht="12.8" hidden="false" customHeight="false" outlineLevel="0" collapsed="false">
      <c r="B31250" s="0" t="s">
        <v>276</v>
      </c>
      <c r="C31250" s="0" t="s">
        <v>282</v>
      </c>
      <c r="E31250" s="0" t="s">
        <v>221</v>
      </c>
      <c r="F31250" s="0" t="s">
        <v>283</v>
      </c>
    </row>
    <row r="31252" customFormat="false" ht="12.8" hidden="false" customHeight="false" outlineLevel="0" collapsed="false">
      <c r="A31252" s="0" t="s">
        <v>12186</v>
      </c>
      <c r="B31252" s="0" t="str">
        <f aca="false">HYPERLINK("https://lindat.mff.cuni.cz/services/teitok/pdtc10/index.php?action=vallex&amp;frame=v-w4289f3", "probírat (v-w4289f3)")</f>
        <v>probírat (v-w4289f3)</v>
      </c>
      <c r="E31252" s="0" t="str">
        <f aca="false">HYPERLINK("https://lindat.mff.cuni.cz/services/SynSemClass40/SynSemClass40.html?veclass=vec01471#vec01471-ces-cm00002", "vec01471")</f>
        <v>vec01471</v>
      </c>
      <c r="F31252" s="0" t="s">
        <v>742</v>
      </c>
    </row>
    <row r="31253" customFormat="false" ht="12.8" hidden="false" customHeight="false" outlineLevel="0" collapsed="false">
      <c r="B31253" s="0" t="s">
        <v>1</v>
      </c>
      <c r="C31253" s="0" t="s">
        <v>459</v>
      </c>
      <c r="E31253" s="0" t="s">
        <v>76</v>
      </c>
      <c r="F31253" s="0" t="s">
        <v>743</v>
      </c>
    </row>
    <row r="31254" customFormat="false" ht="12.8" hidden="false" customHeight="false" outlineLevel="0" collapsed="false">
      <c r="B31254" s="0" t="s">
        <v>8</v>
      </c>
      <c r="C31254" s="0" t="s">
        <v>744</v>
      </c>
      <c r="E31254" s="0" t="s">
        <v>142</v>
      </c>
      <c r="F31254" s="0" t="s">
        <v>745</v>
      </c>
    </row>
    <row r="31255" customFormat="false" ht="12.8" hidden="false" customHeight="false" outlineLevel="0" collapsed="false">
      <c r="B31255" s="0" t="s">
        <v>36</v>
      </c>
      <c r="E31255" s="0" t="s">
        <v>746</v>
      </c>
      <c r="F31255" s="0" t="s">
        <v>747</v>
      </c>
    </row>
    <row r="31257" customFormat="false" ht="12.8" hidden="false" customHeight="false" outlineLevel="0" collapsed="false">
      <c r="A31257" s="0" t="s">
        <v>12187</v>
      </c>
      <c r="B31257" s="0" t="str">
        <f aca="false">HYPERLINK("https://lindat.mff.cuni.cz/services/teitok/pdtc10/index.php?action=vallex&amp;frame=v-w4289f1", "probírat (v-w4289f1)")</f>
        <v>probírat (v-w4289f1)</v>
      </c>
      <c r="E31257" s="0" t="str">
        <f aca="false">HYPERLINK("https://lindat.mff.cuni.cz/services/SynSemClass40/SynSemClass40.html?veclass=vec00879#vec00879-ces-cm00002", "vec00879")</f>
        <v>vec00879</v>
      </c>
      <c r="F31257" s="0" t="s">
        <v>12158</v>
      </c>
    </row>
    <row r="31258" customFormat="false" ht="12.8" hidden="false" customHeight="false" outlineLevel="0" collapsed="false">
      <c r="B31258" s="0" t="s">
        <v>1</v>
      </c>
      <c r="C31258" s="0" t="s">
        <v>4695</v>
      </c>
      <c r="E31258" s="0" t="s">
        <v>12159</v>
      </c>
      <c r="F31258" s="0" t="s">
        <v>12160</v>
      </c>
    </row>
    <row r="31259" customFormat="false" ht="12.8" hidden="false" customHeight="false" outlineLevel="0" collapsed="false">
      <c r="B31259" s="0" t="s">
        <v>8</v>
      </c>
      <c r="C31259" s="0" t="s">
        <v>1940</v>
      </c>
      <c r="E31259" s="0" t="s">
        <v>12161</v>
      </c>
      <c r="F31259" s="0" t="s">
        <v>12162</v>
      </c>
    </row>
    <row r="31261" customFormat="false" ht="12.8" hidden="false" customHeight="false" outlineLevel="0" collapsed="false">
      <c r="A31261" s="0" t="s">
        <v>12188</v>
      </c>
      <c r="B31261" s="0" t="str">
        <f aca="false">HYPERLINK("https://lindat.mff.cuni.cz/services/teitok/pdtc10/index.php?action=vallex&amp;frame=v-w4289f4_ZU", "probírat (v-w4289f4_ZU)")</f>
        <v>probírat (v-w4289f4_ZU)</v>
      </c>
    </row>
    <row r="31262" customFormat="false" ht="12.8" hidden="false" customHeight="false" outlineLevel="0" collapsed="false">
      <c r="B31262" s="0" t="s">
        <v>1</v>
      </c>
    </row>
    <row r="31263" customFormat="false" ht="12.8" hidden="false" customHeight="false" outlineLevel="0" collapsed="false">
      <c r="B31263" s="0" t="s">
        <v>8</v>
      </c>
    </row>
    <row r="31265" customFormat="false" ht="12.8" hidden="false" customHeight="false" outlineLevel="0" collapsed="false">
      <c r="A31265" s="0" t="s">
        <v>12188</v>
      </c>
      <c r="B31265" s="0" t="str">
        <f aca="false">HYPERLINK("https://lindat.mff.cuni.cz/services/teitok/pdtc10/index.php?action=vallex&amp;frame=v-w4289hsa_982", "probírat (v-w4289hsa_982) - substituted with v-w4289f4_ZU")</f>
        <v>probírat (v-w4289hsa_982) - substituted with v-w4289f4_ZU</v>
      </c>
    </row>
    <row r="31266" customFormat="false" ht="12.8" hidden="false" customHeight="false" outlineLevel="0" collapsed="false">
      <c r="B31266" s="0" t="s">
        <v>1</v>
      </c>
    </row>
    <row r="31267" customFormat="false" ht="12.8" hidden="false" customHeight="false" outlineLevel="0" collapsed="false">
      <c r="B31267" s="0" t="s">
        <v>8</v>
      </c>
    </row>
    <row r="31269" customFormat="false" ht="12.8" hidden="false" customHeight="false" outlineLevel="0" collapsed="false">
      <c r="A31269" s="0" t="s">
        <v>12189</v>
      </c>
      <c r="B31269" s="0" t="str">
        <f aca="false">HYPERLINK("https://lindat.mff.cuni.cz/services/teitok/pdtc10/index.php?action=vallex&amp;frame=v-w4290f1", "probírat se (v-w4290f1)")</f>
        <v>probírat se (v-w4290f1)</v>
      </c>
    </row>
    <row r="31270" customFormat="false" ht="12.8" hidden="false" customHeight="false" outlineLevel="0" collapsed="false">
      <c r="B31270" s="0" t="s">
        <v>1</v>
      </c>
    </row>
    <row r="31271" customFormat="false" ht="12.8" hidden="false" customHeight="false" outlineLevel="0" collapsed="false">
      <c r="B31271" s="0" t="s">
        <v>286</v>
      </c>
    </row>
    <row r="31273" customFormat="false" ht="12.8" hidden="false" customHeight="false" outlineLevel="0" collapsed="false">
      <c r="A31273" s="0" t="s">
        <v>12190</v>
      </c>
      <c r="B31273" s="0" t="str">
        <f aca="false">HYPERLINK("https://lindat.mff.cuni.cz/services/teitok/pdtc10/index.php?action=vallex&amp;frame=v-w4290hsa_947", "probírat se (v-w4290hsa_947)")</f>
        <v>probírat se (v-w4290hsa_947)</v>
      </c>
      <c r="E31273" s="0" t="str">
        <f aca="false">HYPERLINK("https://lindat.mff.cuni.cz/services/SynSemClass40/SynSemClass40.html?veclass=vec00879#vec00879-ces-cm00009", "vec00879")</f>
        <v>vec00879</v>
      </c>
      <c r="F31273" s="0" t="s">
        <v>12158</v>
      </c>
    </row>
    <row r="31274" customFormat="false" ht="12.8" hidden="false" customHeight="false" outlineLevel="0" collapsed="false">
      <c r="B31274" s="0" t="s">
        <v>1</v>
      </c>
      <c r="C31274" s="0" t="s">
        <v>4695</v>
      </c>
      <c r="E31274" s="0" t="s">
        <v>12159</v>
      </c>
      <c r="F31274" s="0" t="s">
        <v>12160</v>
      </c>
    </row>
    <row r="31275" customFormat="false" ht="12.8" hidden="false" customHeight="false" outlineLevel="0" collapsed="false">
      <c r="B31275" s="0" t="s">
        <v>336</v>
      </c>
      <c r="C31275" s="0" t="s">
        <v>12165</v>
      </c>
      <c r="E31275" s="0" t="s">
        <v>12166</v>
      </c>
      <c r="F31275" s="0" t="s">
        <v>12167</v>
      </c>
    </row>
    <row r="31277" customFormat="false" ht="12.8" hidden="false" customHeight="false" outlineLevel="0" collapsed="false">
      <c r="A31277" s="0" t="s">
        <v>12191</v>
      </c>
      <c r="B31277" s="0" t="str">
        <f aca="false">HYPERLINK("https://lindat.mff.cuni.cz/services/teitok/pdtc10/index.php?action=vallex&amp;frame=v-w4291f1", "probít se (v-w4291f1)")</f>
        <v>probít se (v-w4291f1)</v>
      </c>
    </row>
    <row r="31278" customFormat="false" ht="12.8" hidden="false" customHeight="false" outlineLevel="0" collapsed="false">
      <c r="B31278" s="0" t="s">
        <v>1</v>
      </c>
    </row>
    <row r="31279" customFormat="false" ht="12.8" hidden="false" customHeight="false" outlineLevel="0" collapsed="false">
      <c r="B31279" s="0" t="s">
        <v>336</v>
      </c>
    </row>
    <row r="31281" customFormat="false" ht="12.8" hidden="false" customHeight="false" outlineLevel="0" collapsed="false">
      <c r="A31281" s="0" t="s">
        <v>12192</v>
      </c>
      <c r="B31281" s="0" t="str">
        <f aca="false">HYPERLINK("https://lindat.mff.cuni.cz/services/teitok/pdtc10/index.php?action=vallex&amp;frame=v-w4286f3_ZU", "proběhnout (v-w4286f3_ZU)")</f>
        <v>proběhnout (v-w4286f3_ZU)</v>
      </c>
    </row>
    <row r="31282" customFormat="false" ht="12.8" hidden="false" customHeight="false" outlineLevel="0" collapsed="false">
      <c r="B31282" s="0" t="s">
        <v>1</v>
      </c>
    </row>
    <row r="31283" customFormat="false" ht="12.8" hidden="false" customHeight="false" outlineLevel="0" collapsed="false">
      <c r="B31283" s="0" t="s">
        <v>8</v>
      </c>
    </row>
    <row r="31285" customFormat="false" ht="12.8" hidden="false" customHeight="false" outlineLevel="0" collapsed="false">
      <c r="A31285" s="0" t="s">
        <v>12193</v>
      </c>
      <c r="B31285" s="0" t="str">
        <f aca="false">HYPERLINK("https://lindat.mff.cuni.cz/services/teitok/pdtc10/index.php?action=vallex&amp;frame=v-w4286f2", "proběhnout (v-w4286f2)")</f>
        <v>proběhnout (v-w4286f2)</v>
      </c>
    </row>
    <row r="31286" customFormat="false" ht="12.8" hidden="false" customHeight="false" outlineLevel="0" collapsed="false">
      <c r="B31286" s="0" t="s">
        <v>1</v>
      </c>
    </row>
    <row r="31287" customFormat="false" ht="12.8" hidden="false" customHeight="false" outlineLevel="0" collapsed="false">
      <c r="B31287" s="0" t="s">
        <v>336</v>
      </c>
    </row>
    <row r="31289" customFormat="false" ht="12.8" hidden="false" customHeight="false" outlineLevel="0" collapsed="false">
      <c r="A31289" s="0" t="s">
        <v>12194</v>
      </c>
      <c r="B31289" s="0" t="str">
        <f aca="false">HYPERLINK("https://lindat.mff.cuni.cz/services/teitok/pdtc10/index.php?action=vallex&amp;frame=v-w4286f1", "proběhnout (v-w4286f1)")</f>
        <v>proběhnout (v-w4286f1)</v>
      </c>
      <c r="E31289" s="0" t="str">
        <f aca="false">HYPERLINK("https://lindat.mff.cuni.cz/services/SynSemClass40/SynSemClass40.html?veclass=vec00097#vec00097-ces-cm00023", "vec00097")</f>
        <v>vec00097</v>
      </c>
      <c r="F31289" s="0" t="s">
        <v>373</v>
      </c>
    </row>
    <row r="31290" customFormat="false" ht="12.8" hidden="false" customHeight="false" outlineLevel="0" collapsed="false">
      <c r="B31290" s="0" t="s">
        <v>1</v>
      </c>
      <c r="C31290" s="0" t="s">
        <v>374</v>
      </c>
      <c r="E31290" s="0" t="s">
        <v>375</v>
      </c>
      <c r="F31290" s="0" t="s">
        <v>376</v>
      </c>
    </row>
    <row r="31292" customFormat="false" ht="12.8" hidden="false" customHeight="false" outlineLevel="0" collapsed="false">
      <c r="A31292" s="0" t="s">
        <v>12195</v>
      </c>
      <c r="B31292" s="0" t="str">
        <f aca="false">HYPERLINK("https://lindat.mff.cuni.cz/services/teitok/pdtc10/index.php?action=vallex&amp;frame=v-w4286hsa_1675", "proběhnout (v-w4286hsa_1675)")</f>
        <v>proběhnout (v-w4286hsa_1675)</v>
      </c>
    </row>
    <row r="31293" customFormat="false" ht="12.8" hidden="false" customHeight="false" outlineLevel="0" collapsed="false">
      <c r="B31293" s="0" t="s">
        <v>1</v>
      </c>
    </row>
    <row r="31294" customFormat="false" ht="12.8" hidden="false" customHeight="false" outlineLevel="0" collapsed="false">
      <c r="B31294" s="0" t="s">
        <v>336</v>
      </c>
    </row>
    <row r="31296" customFormat="false" ht="12.8" hidden="false" customHeight="false" outlineLevel="0" collapsed="false">
      <c r="A31296" s="0" t="s">
        <v>12196</v>
      </c>
      <c r="B31296" s="0" t="str">
        <f aca="false">HYPERLINK("https://lindat.mff.cuni.cz/services/teitok/pdtc10/index.php?action=vallex&amp;frame=v-whsa_1712hsa_1713", "proběhnout se (v-whsa_1712hsa_1713)")</f>
        <v>proběhnout se (v-whsa_1712hsa_1713)</v>
      </c>
    </row>
    <row r="31297" customFormat="false" ht="12.8" hidden="false" customHeight="false" outlineLevel="0" collapsed="false">
      <c r="B31297" s="0" t="s">
        <v>1</v>
      </c>
    </row>
    <row r="31299" customFormat="false" ht="12.8" hidden="false" customHeight="false" outlineLevel="0" collapsed="false">
      <c r="A31299" s="0" t="s">
        <v>12197</v>
      </c>
      <c r="B31299" s="0" t="str">
        <f aca="false">HYPERLINK("https://lindat.mff.cuni.cz/services/teitok/pdtc10/index.php?action=vallex&amp;frame=v-w4304f1", "procedit (v-w4304f1)")</f>
        <v>procedit (v-w4304f1)</v>
      </c>
    </row>
    <row r="31300" customFormat="false" ht="12.8" hidden="false" customHeight="false" outlineLevel="0" collapsed="false">
      <c r="B31300" s="0" t="s">
        <v>1</v>
      </c>
    </row>
    <row r="31301" customFormat="false" ht="12.8" hidden="false" customHeight="false" outlineLevel="0" collapsed="false">
      <c r="B31301" s="0" t="s">
        <v>8</v>
      </c>
    </row>
    <row r="31302" customFormat="false" ht="12.8" hidden="false" customHeight="false" outlineLevel="0" collapsed="false">
      <c r="B31302" s="0" t="s">
        <v>132</v>
      </c>
    </row>
    <row r="31304" customFormat="false" ht="12.8" hidden="false" customHeight="false" outlineLevel="0" collapsed="false">
      <c r="A31304" s="0" t="s">
        <v>12198</v>
      </c>
      <c r="B31304" s="0" t="str">
        <f aca="false">HYPERLINK("https://lindat.mff.cuni.cz/services/teitok/pdtc10/index.php?action=vallex&amp;frame=v-w4304f2", "procedit (v-w4304f2)")</f>
        <v>procedit (v-w4304f2)</v>
      </c>
    </row>
    <row r="31305" customFormat="false" ht="12.8" hidden="false" customHeight="false" outlineLevel="0" collapsed="false">
      <c r="B31305" s="0" t="s">
        <v>1</v>
      </c>
    </row>
    <row r="31306" customFormat="false" ht="12.8" hidden="false" customHeight="false" outlineLevel="0" collapsed="false">
      <c r="B31306" s="0" t="s">
        <v>8</v>
      </c>
    </row>
    <row r="31308" customFormat="false" ht="12.8" hidden="false" customHeight="false" outlineLevel="0" collapsed="false">
      <c r="A31308" s="0" t="s">
        <v>12199</v>
      </c>
      <c r="B31308" s="0" t="str">
        <f aca="false">HYPERLINK("https://lindat.mff.cuni.cz/services/teitok/pdtc10/index.php?action=vallex&amp;frame=v-whsb_48hsa_49", "procestovat (v-whsb_48hsa_49)")</f>
        <v>procestovat (v-whsb_48hsa_49)</v>
      </c>
    </row>
    <row r="31309" customFormat="false" ht="12.8" hidden="false" customHeight="false" outlineLevel="0" collapsed="false">
      <c r="B31309" s="0" t="s">
        <v>1</v>
      </c>
    </row>
    <row r="31310" customFormat="false" ht="12.8" hidden="false" customHeight="false" outlineLevel="0" collapsed="false">
      <c r="B31310" s="0" t="s">
        <v>8</v>
      </c>
    </row>
    <row r="31312" customFormat="false" ht="12.8" hidden="false" customHeight="false" outlineLevel="0" collapsed="false">
      <c r="A31312" s="0" t="s">
        <v>12200</v>
      </c>
      <c r="B31312" s="0" t="str">
        <f aca="false">HYPERLINK("https://lindat.mff.cuni.cz/services/teitok/pdtc10/index.php?action=vallex&amp;frame=v-whsa_1944hsa_1945", "prochodit (v-whsa_1944hsa_1945)")</f>
        <v>prochodit (v-whsa_1944hsa_1945)</v>
      </c>
    </row>
    <row r="31313" customFormat="false" ht="12.8" hidden="false" customHeight="false" outlineLevel="0" collapsed="false">
      <c r="B31313" s="0" t="s">
        <v>1</v>
      </c>
    </row>
    <row r="31314" customFormat="false" ht="12.8" hidden="false" customHeight="false" outlineLevel="0" collapsed="false">
      <c r="B31314" s="0" t="s">
        <v>8</v>
      </c>
    </row>
    <row r="31316" customFormat="false" ht="12.8" hidden="false" customHeight="false" outlineLevel="0" collapsed="false">
      <c r="A31316" s="0" t="s">
        <v>12201</v>
      </c>
      <c r="B31316" s="0" t="str">
        <f aca="false">HYPERLINK("https://lindat.mff.cuni.cz/services/teitok/pdtc10/index.php?action=vallex&amp;frame=v-w4377f2", "procházet (v-w4377f2)")</f>
        <v>procházet (v-w4377f2)</v>
      </c>
    </row>
    <row r="31317" customFormat="false" ht="12.8" hidden="false" customHeight="false" outlineLevel="0" collapsed="false">
      <c r="B31317" s="0" t="s">
        <v>1</v>
      </c>
    </row>
    <row r="31318" customFormat="false" ht="12.8" hidden="false" customHeight="false" outlineLevel="0" collapsed="false">
      <c r="B31318" s="0" t="s">
        <v>8</v>
      </c>
    </row>
    <row r="31320" customFormat="false" ht="12.8" hidden="false" customHeight="false" outlineLevel="0" collapsed="false">
      <c r="A31320" s="0" t="s">
        <v>12202</v>
      </c>
      <c r="B31320" s="0" t="str">
        <f aca="false">HYPERLINK("https://lindat.mff.cuni.cz/services/teitok/pdtc10/index.php?action=vallex&amp;frame=v-w4377f4_ZU", "procházet (v-w4377f4_ZU)")</f>
        <v>procházet (v-w4377f4_ZU)</v>
      </c>
      <c r="E31320" s="0" t="str">
        <f aca="false">HYPERLINK("https://lindat.mff.cuni.cz/services/SynSemClass40/SynSemClass40.html?veclass=vec00684#vec00684-ces-cm00004", "vec00684")</f>
        <v>vec00684</v>
      </c>
      <c r="F31320" s="0" t="s">
        <v>12203</v>
      </c>
    </row>
    <row r="31321" customFormat="false" ht="12.8" hidden="false" customHeight="false" outlineLevel="0" collapsed="false">
      <c r="B31321" s="0" t="s">
        <v>1</v>
      </c>
      <c r="C31321" s="0" t="s">
        <v>154</v>
      </c>
      <c r="E31321" s="0" t="s">
        <v>115</v>
      </c>
      <c r="F31321" s="0" t="s">
        <v>12204</v>
      </c>
    </row>
    <row r="31322" customFormat="false" ht="12.8" hidden="false" customHeight="false" outlineLevel="0" collapsed="false">
      <c r="B31322" s="0" t="s">
        <v>8</v>
      </c>
      <c r="C31322" s="0" t="s">
        <v>158</v>
      </c>
      <c r="E31322" s="0" t="s">
        <v>4060</v>
      </c>
      <c r="F31322" s="0" t="s">
        <v>12205</v>
      </c>
    </row>
    <row r="31324" customFormat="false" ht="12.8" hidden="false" customHeight="false" outlineLevel="0" collapsed="false">
      <c r="A31324" s="0" t="s">
        <v>12206</v>
      </c>
      <c r="B31324" s="0" t="str">
        <f aca="false">HYPERLINK("https://lindat.mff.cuni.cz/services/teitok/pdtc10/index.php?action=vallex&amp;frame=v-w4377f1", "procházet (v-w4377f1)")</f>
        <v>procházet (v-w4377f1)</v>
      </c>
      <c r="E31324" s="0" t="str">
        <f aca="false">HYPERLINK("https://lindat.mff.cuni.cz/services/SynSemClass40/SynSemClass40.html?veclass=vec00379#vec00379-ces-cm00014", "vec00379")</f>
        <v>vec00379</v>
      </c>
      <c r="F31324" s="0" t="s">
        <v>10883</v>
      </c>
    </row>
    <row r="31325" customFormat="false" ht="12.8" hidden="false" customHeight="false" outlineLevel="0" collapsed="false">
      <c r="B31325" s="0" t="s">
        <v>1</v>
      </c>
      <c r="C31325" s="0" t="s">
        <v>10884</v>
      </c>
      <c r="E31325" s="0" t="s">
        <v>266</v>
      </c>
      <c r="F31325" s="0" t="s">
        <v>10885</v>
      </c>
    </row>
    <row r="31326" customFormat="false" ht="12.8" hidden="false" customHeight="false" outlineLevel="0" collapsed="false">
      <c r="B31326" s="0" t="s">
        <v>336</v>
      </c>
      <c r="C31326" s="0" t="s">
        <v>12207</v>
      </c>
      <c r="E31326" s="0" t="s">
        <v>12208</v>
      </c>
      <c r="F31326" s="0" t="s">
        <v>12209</v>
      </c>
    </row>
    <row r="31328" customFormat="false" ht="12.8" hidden="false" customHeight="false" outlineLevel="0" collapsed="false">
      <c r="A31328" s="0" t="s">
        <v>12210</v>
      </c>
      <c r="B31328" s="0" t="str">
        <f aca="false">HYPERLINK("https://lindat.mff.cuni.cz/services/teitok/pdtc10/index.php?action=vallex&amp;frame=v-w4377f3", "procházet (v-w4377f3)")</f>
        <v>procházet (v-w4377f3)</v>
      </c>
      <c r="E31328" s="0" t="str">
        <f aca="false">HYPERLINK("https://lindat.mff.cuni.cz/services/SynSemClass40/SynSemClass40.html?veclass=vec00685#vec00685-ces-cm00030", "vec00685")</f>
        <v>vec00685</v>
      </c>
      <c r="F31328" s="0" t="s">
        <v>12211</v>
      </c>
      <c r="H31328" s="0" t="str">
        <f aca="false">HYPERLINK("https://lindat.mff.cuni.cz/services/SynSemClass40/SynSemClass40.html?veclass=vec01347#vec01347-ces-cm00010", "vec01347")</f>
        <v>vec01347</v>
      </c>
      <c r="I31328" s="0" t="s">
        <v>5321</v>
      </c>
    </row>
    <row r="31329" customFormat="false" ht="12.8" hidden="false" customHeight="false" outlineLevel="0" collapsed="false">
      <c r="B31329" s="0" t="s">
        <v>1</v>
      </c>
      <c r="C31329" s="0" t="s">
        <v>12212</v>
      </c>
      <c r="E31329" s="0" t="s">
        <v>334</v>
      </c>
      <c r="F31329" s="0" t="s">
        <v>12213</v>
      </c>
      <c r="H31329" s="0" t="s">
        <v>957</v>
      </c>
      <c r="I31329" s="0" t="s">
        <v>5323</v>
      </c>
    </row>
    <row r="31330" customFormat="false" ht="12.8" hidden="false" customHeight="false" outlineLevel="0" collapsed="false">
      <c r="B31330" s="0" t="s">
        <v>336</v>
      </c>
      <c r="E31330" s="0" t="s">
        <v>338</v>
      </c>
      <c r="F31330" s="0" t="s">
        <v>12214</v>
      </c>
      <c r="H31330" s="0" t="s">
        <v>338</v>
      </c>
      <c r="I31330" s="0" t="s">
        <v>12214</v>
      </c>
    </row>
    <row r="31332" customFormat="false" ht="12.8" hidden="false" customHeight="false" outlineLevel="0" collapsed="false">
      <c r="A31332" s="0" t="s">
        <v>12215</v>
      </c>
      <c r="B31332" s="0" t="str">
        <f aca="false">HYPERLINK("https://lindat.mff.cuni.cz/services/teitok/pdtc10/index.php?action=vallex&amp;frame=v-w4377f5_ZU", "procházet (v-w4377f5_ZU)")</f>
        <v>procházet (v-w4377f5_ZU)</v>
      </c>
      <c r="E31332" s="0" t="str">
        <f aca="false">HYPERLINK("https://lindat.mff.cuni.cz/services/SynSemClass40/SynSemClass40.html?veclass=vec00379#vec00379-ces-cm00037", "vec00379")</f>
        <v>vec00379</v>
      </c>
      <c r="F31332" s="0" t="s">
        <v>10883</v>
      </c>
    </row>
    <row r="31333" customFormat="false" ht="12.8" hidden="false" customHeight="false" outlineLevel="0" collapsed="false">
      <c r="B31333" s="0" t="s">
        <v>1</v>
      </c>
      <c r="C31333" s="0" t="s">
        <v>10884</v>
      </c>
      <c r="E31333" s="0" t="s">
        <v>266</v>
      </c>
      <c r="F31333" s="0" t="s">
        <v>10885</v>
      </c>
    </row>
    <row r="31334" customFormat="false" ht="12.8" hidden="false" customHeight="false" outlineLevel="0" collapsed="false">
      <c r="B31334" s="0" t="s">
        <v>12216</v>
      </c>
      <c r="C31334" s="0" t="s">
        <v>12217</v>
      </c>
      <c r="E31334" s="0" t="s">
        <v>12218</v>
      </c>
      <c r="F31334" s="0" t="s">
        <v>12219</v>
      </c>
    </row>
    <row r="31336" customFormat="false" ht="12.8" hidden="false" customHeight="false" outlineLevel="0" collapsed="false">
      <c r="A31336" s="0" t="s">
        <v>12215</v>
      </c>
      <c r="B31336" s="0" t="str">
        <f aca="false">HYPERLINK("https://lindat.mff.cuni.cz/services/teitok/pdtc10/index.php?action=vallex&amp;frame=v-w4377hsa_125", "procházet (v-w4377hsa_125) - substituted with v-w4377f5_ZU")</f>
        <v>procházet (v-w4377hsa_125) - substituted with v-w4377f5_ZU</v>
      </c>
    </row>
    <row r="31337" customFormat="false" ht="12.8" hidden="false" customHeight="false" outlineLevel="0" collapsed="false">
      <c r="B31337" s="0" t="s">
        <v>1</v>
      </c>
    </row>
    <row r="31338" customFormat="false" ht="12.8" hidden="false" customHeight="false" outlineLevel="0" collapsed="false">
      <c r="B31338" s="0" t="s">
        <v>12216</v>
      </c>
    </row>
    <row r="31340" customFormat="false" ht="12.8" hidden="false" customHeight="false" outlineLevel="0" collapsed="false">
      <c r="A31340" s="0" t="s">
        <v>12220</v>
      </c>
      <c r="B31340" s="0" t="str">
        <f aca="false">HYPERLINK("https://lindat.mff.cuni.cz/services/teitok/pdtc10/index.php?action=vallex&amp;frame=v-w4377f6_ZU", "procházet (v-w4377f6_ZU)")</f>
        <v>procházet (v-w4377f6_ZU)</v>
      </c>
    </row>
    <row r="31341" customFormat="false" ht="12.8" hidden="false" customHeight="false" outlineLevel="0" collapsed="false">
      <c r="B31341" s="0" t="s">
        <v>1</v>
      </c>
    </row>
    <row r="31342" customFormat="false" ht="12.8" hidden="false" customHeight="false" outlineLevel="0" collapsed="false">
      <c r="B31342" s="0" t="s">
        <v>186</v>
      </c>
    </row>
    <row r="31344" customFormat="false" ht="12.8" hidden="false" customHeight="false" outlineLevel="0" collapsed="false">
      <c r="A31344" s="0" t="s">
        <v>12221</v>
      </c>
      <c r="B31344" s="0" t="str">
        <f aca="false">HYPERLINK("https://lindat.mff.cuni.cz/services/teitok/pdtc10/index.php?action=vallex&amp;frame=v-w4378f1", "procházet se (v-w4378f1)")</f>
        <v>procházet se (v-w4378f1)</v>
      </c>
      <c r="E31344" s="0" t="str">
        <f aca="false">HYPERLINK("https://lindat.mff.cuni.cz/services/SynSemClass40/SynSemClass40.html?veclass=vec01025#vec01025-ces-cm00048", "vec01025")</f>
        <v>vec01025</v>
      </c>
      <c r="F31344" s="0" t="s">
        <v>332</v>
      </c>
    </row>
    <row r="31345" customFormat="false" ht="12.8" hidden="false" customHeight="false" outlineLevel="0" collapsed="false">
      <c r="B31345" s="0" t="s">
        <v>1</v>
      </c>
      <c r="C31345" s="0" t="s">
        <v>333</v>
      </c>
      <c r="E31345" s="0" t="s">
        <v>334</v>
      </c>
      <c r="F31345" s="0" t="s">
        <v>335</v>
      </c>
    </row>
    <row r="31347" customFormat="false" ht="12.8" hidden="false" customHeight="false" outlineLevel="0" collapsed="false">
      <c r="A31347" s="0" t="s">
        <v>12222</v>
      </c>
      <c r="B31347" s="0" t="str">
        <f aca="false">HYPERLINK("https://lindat.mff.cuni.cz/services/teitok/pdtc10/index.php?action=vallex&amp;frame=v-w4307f1", "procitnout (v-w4307f1)")</f>
        <v>procitnout (v-w4307f1)</v>
      </c>
    </row>
    <row r="31348" customFormat="false" ht="12.8" hidden="false" customHeight="false" outlineLevel="0" collapsed="false">
      <c r="B31348" s="0" t="s">
        <v>1</v>
      </c>
    </row>
    <row r="31349" customFormat="false" ht="12.8" hidden="false" customHeight="false" outlineLevel="0" collapsed="false">
      <c r="B31349" s="0" t="s">
        <v>763</v>
      </c>
    </row>
    <row r="31351" customFormat="false" ht="12.8" hidden="false" customHeight="false" outlineLevel="0" collapsed="false">
      <c r="A31351" s="0" t="s">
        <v>12223</v>
      </c>
      <c r="B31351" s="0" t="str">
        <f aca="false">HYPERLINK("https://lindat.mff.cuni.cz/services/teitok/pdtc10/index.php?action=vallex&amp;frame=v-w4308f1", "proclít (v-w4308f1)")</f>
        <v>proclít (v-w4308f1)</v>
      </c>
    </row>
    <row r="31352" customFormat="false" ht="12.8" hidden="false" customHeight="false" outlineLevel="0" collapsed="false">
      <c r="B31352" s="0" t="s">
        <v>1</v>
      </c>
    </row>
    <row r="31353" customFormat="false" ht="12.8" hidden="false" customHeight="false" outlineLevel="0" collapsed="false">
      <c r="B31353" s="0" t="s">
        <v>8</v>
      </c>
    </row>
    <row r="31355" customFormat="false" ht="12.8" hidden="false" customHeight="false" outlineLevel="0" collapsed="false">
      <c r="A31355" s="0" t="s">
        <v>12224</v>
      </c>
      <c r="B31355" s="0" t="str">
        <f aca="false">HYPERLINK("https://lindat.mff.cuni.cz/services/teitok/pdtc10/index.php?action=vallex&amp;frame=v-w4309f1", "proclívat (v-w4309f1)")</f>
        <v>proclívat (v-w4309f1)</v>
      </c>
    </row>
    <row r="31356" customFormat="false" ht="12.8" hidden="false" customHeight="false" outlineLevel="0" collapsed="false">
      <c r="B31356" s="0" t="s">
        <v>1</v>
      </c>
    </row>
    <row r="31357" customFormat="false" ht="12.8" hidden="false" customHeight="false" outlineLevel="0" collapsed="false">
      <c r="B31357" s="0" t="s">
        <v>8</v>
      </c>
    </row>
    <row r="31359" customFormat="false" ht="12.8" hidden="false" customHeight="false" outlineLevel="0" collapsed="false">
      <c r="A31359" s="0" t="s">
        <v>12225</v>
      </c>
      <c r="B31359" s="0" t="str">
        <f aca="false">HYPERLINK("https://lindat.mff.cuni.cz/services/teitok/pdtc10/index.php?action=vallex&amp;frame=v-whsa_690f1_ZU", "procvičit (v-whsa_690f1_ZU)")</f>
        <v>procvičit (v-whsa_690f1_ZU)</v>
      </c>
    </row>
    <row r="31360" customFormat="false" ht="12.8" hidden="false" customHeight="false" outlineLevel="0" collapsed="false">
      <c r="B31360" s="0" t="s">
        <v>1</v>
      </c>
    </row>
    <row r="31361" customFormat="false" ht="12.8" hidden="false" customHeight="false" outlineLevel="0" collapsed="false">
      <c r="B31361" s="0" t="s">
        <v>8</v>
      </c>
    </row>
    <row r="31363" customFormat="false" ht="12.8" hidden="false" customHeight="false" outlineLevel="0" collapsed="false">
      <c r="A31363" s="0" t="s">
        <v>12226</v>
      </c>
      <c r="B31363" s="0" t="str">
        <f aca="false">HYPERLINK("https://lindat.mff.cuni.cz/services/teitok/pdtc10/index.php?action=vallex&amp;frame=v-whsa_690hsa_691", "procvičit (v-whsa_690hsa_691)")</f>
        <v>procvičit (v-whsa_690hsa_691)</v>
      </c>
    </row>
    <row r="31364" customFormat="false" ht="12.8" hidden="false" customHeight="false" outlineLevel="0" collapsed="false">
      <c r="B31364" s="0" t="s">
        <v>1</v>
      </c>
    </row>
    <row r="31365" customFormat="false" ht="12.8" hidden="false" customHeight="false" outlineLevel="0" collapsed="false">
      <c r="B31365" s="0" t="s">
        <v>8</v>
      </c>
    </row>
    <row r="31367" customFormat="false" ht="12.8" hidden="false" customHeight="false" outlineLevel="0" collapsed="false">
      <c r="A31367" s="0" t="s">
        <v>12227</v>
      </c>
      <c r="B31367" s="0" t="str">
        <f aca="false">HYPERLINK("https://lindat.mff.cuni.cz/services/teitok/pdtc10/index.php?action=vallex&amp;frame=v-w4310f1", "procvičovat (v-w4310f1)")</f>
        <v>procvičovat (v-w4310f1)</v>
      </c>
    </row>
    <row r="31368" customFormat="false" ht="12.8" hidden="false" customHeight="false" outlineLevel="0" collapsed="false">
      <c r="B31368" s="0" t="s">
        <v>1</v>
      </c>
    </row>
    <row r="31369" customFormat="false" ht="12.8" hidden="false" customHeight="false" outlineLevel="0" collapsed="false">
      <c r="B31369" s="0" t="s">
        <v>8</v>
      </c>
    </row>
    <row r="31371" customFormat="false" ht="12.8" hidden="false" customHeight="false" outlineLevel="0" collapsed="false">
      <c r="A31371" s="0" t="s">
        <v>12228</v>
      </c>
      <c r="B31371" s="0" t="str">
        <f aca="false">HYPERLINK("https://lindat.mff.cuni.cz/services/teitok/pdtc10/index.php?action=vallex&amp;frame=v-w4310hsa_1477", "procvičovat (v-w4310hsa_1477)")</f>
        <v>procvičovat (v-w4310hsa_1477)</v>
      </c>
    </row>
    <row r="31372" customFormat="false" ht="12.8" hidden="false" customHeight="false" outlineLevel="0" collapsed="false">
      <c r="B31372" s="0" t="s">
        <v>1</v>
      </c>
    </row>
    <row r="31373" customFormat="false" ht="12.8" hidden="false" customHeight="false" outlineLevel="0" collapsed="false">
      <c r="B31373" s="0" t="s">
        <v>8</v>
      </c>
    </row>
    <row r="31375" customFormat="false" ht="12.8" hidden="false" customHeight="false" outlineLevel="0" collapsed="false">
      <c r="A31375" s="0" t="s">
        <v>12229</v>
      </c>
      <c r="B31375" s="0" t="str">
        <f aca="false">HYPERLINK("https://lindat.mff.cuni.cz/services/teitok/pdtc10/index.php?action=vallex&amp;frame=v-w4313f1", "prodat (v-w4313f1)")</f>
        <v>prodat (v-w4313f1)</v>
      </c>
      <c r="E31375" s="0" t="str">
        <f aca="false">HYPERLINK("https://lindat.mff.cuni.cz/services/SynSemClass40/SynSemClass40.html?veclass=vec00083#vec00083-ces-cm00010", "vec00083")</f>
        <v>vec00083</v>
      </c>
      <c r="F31375" s="0" t="s">
        <v>9165</v>
      </c>
    </row>
    <row r="31376" customFormat="false" ht="12.8" hidden="false" customHeight="false" outlineLevel="0" collapsed="false">
      <c r="B31376" s="0" t="s">
        <v>1</v>
      </c>
      <c r="C31376" s="0" t="s">
        <v>9166</v>
      </c>
      <c r="E31376" s="0" t="s">
        <v>3198</v>
      </c>
      <c r="F31376" s="0" t="s">
        <v>9167</v>
      </c>
    </row>
    <row r="31377" customFormat="false" ht="12.8" hidden="false" customHeight="false" outlineLevel="0" collapsed="false">
      <c r="B31377" s="0" t="s">
        <v>8</v>
      </c>
      <c r="C31377" s="0" t="s">
        <v>9168</v>
      </c>
      <c r="E31377" s="0" t="s">
        <v>3201</v>
      </c>
      <c r="F31377" s="0" t="s">
        <v>9169</v>
      </c>
    </row>
    <row r="31378" customFormat="false" ht="12.8" hidden="false" customHeight="false" outlineLevel="0" collapsed="false">
      <c r="B31378" s="0" t="s">
        <v>52</v>
      </c>
      <c r="C31378" s="0" t="s">
        <v>9170</v>
      </c>
      <c r="E31378" s="0" t="s">
        <v>8304</v>
      </c>
      <c r="F31378" s="0" t="s">
        <v>9171</v>
      </c>
    </row>
    <row r="31380" customFormat="false" ht="12.8" hidden="false" customHeight="false" outlineLevel="0" collapsed="false">
      <c r="A31380" s="0" t="s">
        <v>12230</v>
      </c>
      <c r="B31380" s="0" t="str">
        <f aca="false">HYPERLINK("https://lindat.mff.cuni.cz/services/teitok/pdtc10/index.php?action=vallex&amp;frame=v-whsa_552f1_ZU", "prodchnout (v-whsa_552f1_ZU)")</f>
        <v>prodchnout (v-whsa_552f1_ZU)</v>
      </c>
      <c r="E31380" s="0" t="str">
        <f aca="false">HYPERLINK("https://lindat.mff.cuni.cz/services/SynSemClass40/SynSemClass40.html?veclass=vec00519#vec00519-ces-cm00041", "vec00519")</f>
        <v>vec00519</v>
      </c>
      <c r="F31380" s="0" t="s">
        <v>12231</v>
      </c>
    </row>
    <row r="31381" customFormat="false" ht="12.8" hidden="false" customHeight="false" outlineLevel="0" collapsed="false">
      <c r="B31381" s="0" t="s">
        <v>1</v>
      </c>
      <c r="C31381" s="0" t="s">
        <v>11624</v>
      </c>
      <c r="E31381" s="0" t="s">
        <v>4850</v>
      </c>
      <c r="F31381" s="0" t="s">
        <v>12232</v>
      </c>
    </row>
    <row r="31382" customFormat="false" ht="12.8" hidden="false" customHeight="false" outlineLevel="0" collapsed="false">
      <c r="B31382" s="0" t="s">
        <v>8</v>
      </c>
      <c r="C31382" s="0" t="s">
        <v>12233</v>
      </c>
      <c r="E31382" s="0" t="s">
        <v>4852</v>
      </c>
      <c r="F31382" s="0" t="s">
        <v>12234</v>
      </c>
    </row>
    <row r="31384" customFormat="false" ht="12.8" hidden="false" customHeight="false" outlineLevel="0" collapsed="false">
      <c r="A31384" s="0" t="s">
        <v>12230</v>
      </c>
      <c r="B31384" s="0" t="str">
        <f aca="false">HYPERLINK("https://lindat.mff.cuni.cz/services/teitok/pdtc10/index.php?action=vallex&amp;frame=v-whsa_552hsa_553", "prodchnout (v-whsa_552hsa_553) - substituted with v-whsa_552f1_ZU")</f>
        <v>prodchnout (v-whsa_552hsa_553) - substituted with v-whsa_552f1_ZU</v>
      </c>
    </row>
    <row r="31385" customFormat="false" ht="12.8" hidden="false" customHeight="false" outlineLevel="0" collapsed="false">
      <c r="B31385" s="0" t="s">
        <v>1</v>
      </c>
    </row>
    <row r="31386" customFormat="false" ht="12.8" hidden="false" customHeight="false" outlineLevel="0" collapsed="false">
      <c r="B31386" s="0" t="s">
        <v>8</v>
      </c>
    </row>
    <row r="31388" customFormat="false" ht="12.8" hidden="false" customHeight="false" outlineLevel="0" collapsed="false">
      <c r="A31388" s="0" t="s">
        <v>12235</v>
      </c>
      <c r="B31388" s="0" t="str">
        <f aca="false">HYPERLINK("https://lindat.mff.cuni.cz/services/teitok/pdtc10/index.php?action=vallex&amp;frame=v-w4324f1", "prodiskutovat (v-w4324f1)")</f>
        <v>prodiskutovat (v-w4324f1)</v>
      </c>
      <c r="E31388" s="0" t="str">
        <f aca="false">HYPERLINK("https://lindat.mff.cuni.cz/services/SynSemClass40/SynSemClass40.html?veclass=vec00031#vec00031-ces-cm00046", "vec00031")</f>
        <v>vec00031</v>
      </c>
      <c r="F31388" s="0" t="s">
        <v>277</v>
      </c>
    </row>
    <row r="31389" customFormat="false" ht="12.8" hidden="false" customHeight="false" outlineLevel="0" collapsed="false">
      <c r="B31389" s="0" t="s">
        <v>1</v>
      </c>
      <c r="C31389" s="0" t="s">
        <v>278</v>
      </c>
      <c r="E31389" s="0" t="s">
        <v>147</v>
      </c>
      <c r="F31389" s="0" t="s">
        <v>279</v>
      </c>
    </row>
    <row r="31390" customFormat="false" ht="12.8" hidden="false" customHeight="false" outlineLevel="0" collapsed="false">
      <c r="B31390" s="0" t="s">
        <v>8</v>
      </c>
      <c r="C31390" s="0" t="s">
        <v>280</v>
      </c>
      <c r="E31390" s="0" t="s">
        <v>218</v>
      </c>
      <c r="F31390" s="0" t="s">
        <v>281</v>
      </c>
    </row>
    <row r="31391" customFormat="false" ht="12.8" hidden="false" customHeight="false" outlineLevel="0" collapsed="false">
      <c r="B31391" s="0" t="s">
        <v>276</v>
      </c>
      <c r="C31391" s="0" t="s">
        <v>282</v>
      </c>
      <c r="E31391" s="0" t="s">
        <v>221</v>
      </c>
      <c r="F31391" s="0" t="s">
        <v>283</v>
      </c>
    </row>
    <row r="31393" customFormat="false" ht="12.8" hidden="false" customHeight="false" outlineLevel="0" collapsed="false">
      <c r="A31393" s="0" t="s">
        <v>12236</v>
      </c>
      <c r="B31393" s="0" t="str">
        <f aca="false">HYPERLINK("https://lindat.mff.cuni.cz/services/teitok/pdtc10/index.php?action=vallex&amp;frame=v-w11564_ZUf1_ZU", "prodiskutovávat (v-w11564_ZUf1_ZU)")</f>
        <v>prodiskutovávat (v-w11564_ZUf1_ZU)</v>
      </c>
      <c r="E31393" s="0" t="str">
        <f aca="false">HYPERLINK("https://lindat.mff.cuni.cz/services/SynSemClass40/SynSemClass40.html?veclass=vec00031#vec00031-ces-cm00047", "vec00031")</f>
        <v>vec00031</v>
      </c>
      <c r="F31393" s="0" t="s">
        <v>277</v>
      </c>
    </row>
    <row r="31394" customFormat="false" ht="12.8" hidden="false" customHeight="false" outlineLevel="0" collapsed="false">
      <c r="B31394" s="0" t="s">
        <v>1</v>
      </c>
      <c r="C31394" s="0" t="s">
        <v>278</v>
      </c>
      <c r="E31394" s="0" t="s">
        <v>147</v>
      </c>
      <c r="F31394" s="0" t="s">
        <v>279</v>
      </c>
    </row>
    <row r="31395" customFormat="false" ht="12.8" hidden="false" customHeight="false" outlineLevel="0" collapsed="false">
      <c r="B31395" s="0" t="s">
        <v>8</v>
      </c>
      <c r="C31395" s="0" t="s">
        <v>280</v>
      </c>
      <c r="E31395" s="0" t="s">
        <v>218</v>
      </c>
      <c r="F31395" s="0" t="s">
        <v>281</v>
      </c>
    </row>
    <row r="31396" customFormat="false" ht="12.8" hidden="false" customHeight="false" outlineLevel="0" collapsed="false">
      <c r="B31396" s="0" t="s">
        <v>276</v>
      </c>
      <c r="C31396" s="0" t="s">
        <v>282</v>
      </c>
      <c r="E31396" s="0" t="s">
        <v>221</v>
      </c>
      <c r="F31396" s="0" t="s">
        <v>283</v>
      </c>
    </row>
    <row r="31398" customFormat="false" ht="12.8" hidden="false" customHeight="false" outlineLevel="0" collapsed="false">
      <c r="A31398" s="0" t="s">
        <v>12237</v>
      </c>
      <c r="B31398" s="0" t="str">
        <f aca="false">HYPERLINK("https://lindat.mff.cuni.cz/services/teitok/pdtc10/index.php?action=vallex&amp;frame=v-w4326f1", "prodloužit (v-w4326f1)")</f>
        <v>prodloužit (v-w4326f1)</v>
      </c>
      <c r="E31398" s="0" t="str">
        <f aca="false">HYPERLINK("https://lindat.mff.cuni.cz/services/SynSemClass40/SynSemClass40.html?veclass=vec00274#vec00274-ces-cm00001", "vec00274")</f>
        <v>vec00274</v>
      </c>
      <c r="F31398" s="0" t="s">
        <v>12238</v>
      </c>
    </row>
    <row r="31399" customFormat="false" ht="12.8" hidden="false" customHeight="false" outlineLevel="0" collapsed="false">
      <c r="B31399" s="0" t="s">
        <v>1</v>
      </c>
      <c r="C31399" s="0" t="s">
        <v>12239</v>
      </c>
      <c r="E31399" s="0" t="s">
        <v>31</v>
      </c>
      <c r="F31399" s="0" t="s">
        <v>12240</v>
      </c>
    </row>
    <row r="31400" customFormat="false" ht="12.8" hidden="false" customHeight="false" outlineLevel="0" collapsed="false">
      <c r="B31400" s="0" t="s">
        <v>8</v>
      </c>
      <c r="C31400" s="0" t="s">
        <v>5452</v>
      </c>
      <c r="E31400" s="0" t="s">
        <v>34</v>
      </c>
      <c r="F31400" s="0" t="s">
        <v>12241</v>
      </c>
    </row>
    <row r="31401" customFormat="false" ht="12.8" hidden="false" customHeight="false" outlineLevel="0" collapsed="false">
      <c r="B31401" s="0" t="s">
        <v>36</v>
      </c>
      <c r="C31401" s="0" t="s">
        <v>1849</v>
      </c>
      <c r="E31401" s="0" t="s">
        <v>5152</v>
      </c>
      <c r="F31401" s="0" t="s">
        <v>12242</v>
      </c>
    </row>
    <row r="31402" customFormat="false" ht="12.8" hidden="false" customHeight="false" outlineLevel="0" collapsed="false">
      <c r="B31402" s="0" t="s">
        <v>101</v>
      </c>
      <c r="C31402" s="0" t="s">
        <v>12243</v>
      </c>
      <c r="E31402" s="0" t="s">
        <v>5796</v>
      </c>
      <c r="F31402" s="0" t="s">
        <v>12244</v>
      </c>
    </row>
    <row r="31404" customFormat="false" ht="12.8" hidden="false" customHeight="false" outlineLevel="0" collapsed="false">
      <c r="A31404" s="0" t="s">
        <v>12245</v>
      </c>
      <c r="B31404" s="0" t="str">
        <f aca="false">HYPERLINK("https://lindat.mff.cuni.cz/services/teitok/pdtc10/index.php?action=vallex&amp;frame=v-w4327f1", "prodloužit se (v-w4327f1)")</f>
        <v>prodloužit se (v-w4327f1)</v>
      </c>
      <c r="E31404" s="0" t="str">
        <f aca="false">HYPERLINK("https://lindat.mff.cuni.cz/services/SynSemClass40/SynSemClass40.html?veclass=vec01271#vec01271-ces-cm00002", "vec01271")</f>
        <v>vec01271</v>
      </c>
      <c r="F31404" s="0" t="s">
        <v>12246</v>
      </c>
    </row>
    <row r="31405" customFormat="false" ht="12.8" hidden="false" customHeight="false" outlineLevel="0" collapsed="false">
      <c r="B31405" s="0" t="s">
        <v>1</v>
      </c>
      <c r="C31405" s="0" t="s">
        <v>549</v>
      </c>
      <c r="E31405" s="0" t="s">
        <v>84</v>
      </c>
      <c r="F31405" s="0" t="s">
        <v>10051</v>
      </c>
    </row>
    <row r="31407" customFormat="false" ht="12.8" hidden="false" customHeight="false" outlineLevel="0" collapsed="false">
      <c r="A31407" s="0" t="s">
        <v>12247</v>
      </c>
      <c r="B31407" s="0" t="str">
        <f aca="false">HYPERLINK("https://lindat.mff.cuni.cz/services/teitok/pdtc10/index.php?action=vallex&amp;frame=v-w4329f1", "prodlužovat (v-w4329f1)")</f>
        <v>prodlužovat (v-w4329f1)</v>
      </c>
      <c r="E31407" s="0" t="str">
        <f aca="false">HYPERLINK("https://lindat.mff.cuni.cz/services/SynSemClass40/SynSemClass40.html?veclass=vec00274#vec00274-ces-cm00005", "vec00274")</f>
        <v>vec00274</v>
      </c>
      <c r="F31407" s="0" t="s">
        <v>12238</v>
      </c>
    </row>
    <row r="31408" customFormat="false" ht="12.8" hidden="false" customHeight="false" outlineLevel="0" collapsed="false">
      <c r="B31408" s="0" t="s">
        <v>1</v>
      </c>
      <c r="C31408" s="0" t="s">
        <v>12239</v>
      </c>
      <c r="E31408" s="0" t="s">
        <v>31</v>
      </c>
      <c r="F31408" s="0" t="s">
        <v>12240</v>
      </c>
    </row>
    <row r="31409" customFormat="false" ht="12.8" hidden="false" customHeight="false" outlineLevel="0" collapsed="false">
      <c r="B31409" s="0" t="s">
        <v>8</v>
      </c>
      <c r="C31409" s="0" t="s">
        <v>5452</v>
      </c>
      <c r="E31409" s="0" t="s">
        <v>34</v>
      </c>
      <c r="F31409" s="0" t="s">
        <v>12241</v>
      </c>
    </row>
    <row r="31410" customFormat="false" ht="12.8" hidden="false" customHeight="false" outlineLevel="0" collapsed="false">
      <c r="B31410" s="0" t="s">
        <v>36</v>
      </c>
      <c r="C31410" s="0" t="s">
        <v>1849</v>
      </c>
      <c r="E31410" s="0" t="s">
        <v>5152</v>
      </c>
      <c r="F31410" s="0" t="s">
        <v>12242</v>
      </c>
    </row>
    <row r="31411" customFormat="false" ht="12.8" hidden="false" customHeight="false" outlineLevel="0" collapsed="false">
      <c r="B31411" s="0" t="s">
        <v>101</v>
      </c>
      <c r="C31411" s="0" t="s">
        <v>12243</v>
      </c>
      <c r="E31411" s="0" t="s">
        <v>5796</v>
      </c>
      <c r="F31411" s="0" t="s">
        <v>12244</v>
      </c>
    </row>
    <row r="31413" customFormat="false" ht="12.8" hidden="false" customHeight="false" outlineLevel="0" collapsed="false">
      <c r="A31413" s="0" t="s">
        <v>12248</v>
      </c>
      <c r="B31413" s="0" t="str">
        <f aca="false">HYPERLINK("https://lindat.mff.cuni.cz/services/teitok/pdtc10/index.php?action=vallex&amp;frame=v-w4330f1", "prodlužovat se (v-w4330f1)")</f>
        <v>prodlužovat se (v-w4330f1)</v>
      </c>
    </row>
    <row r="31414" customFormat="false" ht="12.8" hidden="false" customHeight="false" outlineLevel="0" collapsed="false">
      <c r="B31414" s="0" t="s">
        <v>1</v>
      </c>
    </row>
    <row r="31416" customFormat="false" ht="12.8" hidden="false" customHeight="false" outlineLevel="0" collapsed="false">
      <c r="A31416" s="0" t="s">
        <v>12249</v>
      </c>
      <c r="B31416" s="0" t="str">
        <f aca="false">HYPERLINK("https://lindat.mff.cuni.cz/services/teitok/pdtc10/index.php?action=vallex&amp;frame=v-w4331f2", "prodrat se (v-w4331f2)")</f>
        <v>prodrat se (v-w4331f2)</v>
      </c>
      <c r="E31416" s="0" t="str">
        <f aca="false">HYPERLINK("https://lindat.mff.cuni.cz/services/SynSemClass40/SynSemClass40.html?veclass=vec00279#vec00279-ces-cm00077", "vec00279")</f>
        <v>vec00279</v>
      </c>
      <c r="F31416" s="0" t="s">
        <v>9067</v>
      </c>
    </row>
    <row r="31417" customFormat="false" ht="12.8" hidden="false" customHeight="false" outlineLevel="0" collapsed="false">
      <c r="B31417" s="0" t="s">
        <v>1</v>
      </c>
      <c r="C31417" s="0" t="s">
        <v>9068</v>
      </c>
      <c r="E31417" s="0" t="s">
        <v>11</v>
      </c>
      <c r="F31417" s="0" t="s">
        <v>9069</v>
      </c>
    </row>
    <row r="31418" customFormat="false" ht="12.8" hidden="false" customHeight="false" outlineLevel="0" collapsed="false">
      <c r="B31418" s="0" t="s">
        <v>336</v>
      </c>
      <c r="C31418" s="0" t="s">
        <v>12250</v>
      </c>
      <c r="E31418" s="0" t="s">
        <v>12251</v>
      </c>
      <c r="F31418" s="0" t="s">
        <v>12252</v>
      </c>
    </row>
    <row r="31420" customFormat="false" ht="12.8" hidden="false" customHeight="false" outlineLevel="0" collapsed="false">
      <c r="A31420" s="0" t="s">
        <v>12253</v>
      </c>
      <c r="B31420" s="0" t="str">
        <f aca="false">HYPERLINK("https://lindat.mff.cuni.cz/services/teitok/pdtc10/index.php?action=vallex&amp;frame=v-w4331f1", "prodrat se (v-w4331f1)")</f>
        <v>prodrat se (v-w4331f1)</v>
      </c>
    </row>
    <row r="31421" customFormat="false" ht="12.8" hidden="false" customHeight="false" outlineLevel="0" collapsed="false">
      <c r="B31421" s="0" t="s">
        <v>1</v>
      </c>
    </row>
    <row r="31422" customFormat="false" ht="12.8" hidden="false" customHeight="false" outlineLevel="0" collapsed="false">
      <c r="B31422" s="0" t="s">
        <v>164</v>
      </c>
    </row>
    <row r="31424" customFormat="false" ht="12.8" hidden="false" customHeight="false" outlineLevel="0" collapsed="false">
      <c r="A31424" s="0" t="s">
        <v>12254</v>
      </c>
      <c r="B31424" s="0" t="str">
        <f aca="false">HYPERLINK("https://lindat.mff.cuni.cz/services/teitok/pdtc10/index.php?action=vallex&amp;frame=v-w4332f1", "prodražit (v-w4332f1)")</f>
        <v>prodražit (v-w4332f1)</v>
      </c>
    </row>
    <row r="31425" customFormat="false" ht="12.8" hidden="false" customHeight="false" outlineLevel="0" collapsed="false">
      <c r="B31425" s="0" t="s">
        <v>1</v>
      </c>
    </row>
    <row r="31426" customFormat="false" ht="12.8" hidden="false" customHeight="false" outlineLevel="0" collapsed="false">
      <c r="B31426" s="0" t="s">
        <v>8</v>
      </c>
    </row>
    <row r="31428" customFormat="false" ht="12.8" hidden="false" customHeight="false" outlineLevel="0" collapsed="false">
      <c r="A31428" s="0" t="s">
        <v>12255</v>
      </c>
      <c r="B31428" s="0" t="str">
        <f aca="false">HYPERLINK("https://lindat.mff.cuni.cz/services/teitok/pdtc10/index.php?action=vallex&amp;frame=v-w4333f1", "prodražit se (v-w4333f1)")</f>
        <v>prodražit se (v-w4333f1)</v>
      </c>
    </row>
    <row r="31429" customFormat="false" ht="12.8" hidden="false" customHeight="false" outlineLevel="0" collapsed="false">
      <c r="B31429" s="0" t="s">
        <v>1</v>
      </c>
    </row>
    <row r="31431" customFormat="false" ht="12.8" hidden="false" customHeight="false" outlineLevel="0" collapsed="false">
      <c r="A31431" s="0" t="s">
        <v>12256</v>
      </c>
      <c r="B31431" s="0" t="str">
        <f aca="false">HYPERLINK("https://lindat.mff.cuni.cz/services/teitok/pdtc10/index.php?action=vallex&amp;frame=v-w4334f1", "prodražovat (v-w4334f1)")</f>
        <v>prodražovat (v-w4334f1)</v>
      </c>
    </row>
    <row r="31432" customFormat="false" ht="12.8" hidden="false" customHeight="false" outlineLevel="0" collapsed="false">
      <c r="B31432" s="0" t="s">
        <v>1</v>
      </c>
    </row>
    <row r="31433" customFormat="false" ht="12.8" hidden="false" customHeight="false" outlineLevel="0" collapsed="false">
      <c r="B31433" s="0" t="s">
        <v>8</v>
      </c>
    </row>
    <row r="31435" customFormat="false" ht="12.8" hidden="false" customHeight="false" outlineLevel="0" collapsed="false">
      <c r="A31435" s="0" t="s">
        <v>12257</v>
      </c>
      <c r="B31435" s="0" t="str">
        <f aca="false">HYPERLINK("https://lindat.mff.cuni.cz/services/teitok/pdtc10/index.php?action=vallex&amp;frame=v-w4335f1", "prodražovat se (v-w4335f1)")</f>
        <v>prodražovat se (v-w4335f1)</v>
      </c>
    </row>
    <row r="31436" customFormat="false" ht="12.8" hidden="false" customHeight="false" outlineLevel="0" collapsed="false">
      <c r="B31436" s="0" t="s">
        <v>1</v>
      </c>
    </row>
    <row r="31438" customFormat="false" ht="12.8" hidden="false" customHeight="false" outlineLevel="0" collapsed="false">
      <c r="A31438" s="0" t="s">
        <v>12258</v>
      </c>
      <c r="B31438" s="0" t="str">
        <f aca="false">HYPERLINK("https://lindat.mff.cuni.cz/services/teitok/pdtc10/index.php?action=vallex&amp;frame=v-w4338f1", "produkovat (v-w4338f1)")</f>
        <v>produkovat (v-w4338f1)</v>
      </c>
      <c r="E31438" s="0" t="str">
        <f aca="false">HYPERLINK("https://lindat.mff.cuni.cz/services/SynSemClass40/SynSemClass40.html?veclass=vec00084#vec00084-ces-cm00001", "vec00084")</f>
        <v>vec00084</v>
      </c>
      <c r="F31438" s="0" t="s">
        <v>778</v>
      </c>
      <c r="H31438" s="0" t="str">
        <f aca="false">HYPERLINK("https://lindat.mff.cuni.cz/services/SynSemClass40/SynSemClass40.html?veclass=vec00360#vec00360-ces-cm00041", "vec00360")</f>
        <v>vec00360</v>
      </c>
      <c r="I31438" s="0" t="s">
        <v>5330</v>
      </c>
    </row>
    <row r="31439" customFormat="false" ht="12.8" hidden="false" customHeight="false" outlineLevel="0" collapsed="false">
      <c r="B31439" s="0" t="s">
        <v>1</v>
      </c>
      <c r="C31439" s="0" t="s">
        <v>12259</v>
      </c>
      <c r="E31439" s="0" t="s">
        <v>31</v>
      </c>
      <c r="F31439" s="0" t="s">
        <v>781</v>
      </c>
      <c r="H31439" s="0" t="s">
        <v>768</v>
      </c>
      <c r="I31439" s="0" t="s">
        <v>5332</v>
      </c>
    </row>
    <row r="31440" customFormat="false" ht="12.8" hidden="false" customHeight="false" outlineLevel="0" collapsed="false">
      <c r="B31440" s="0" t="s">
        <v>8</v>
      </c>
      <c r="C31440" s="0" t="s">
        <v>12260</v>
      </c>
      <c r="E31440" s="0" t="s">
        <v>771</v>
      </c>
      <c r="F31440" s="0" t="s">
        <v>784</v>
      </c>
      <c r="H31440" s="0" t="s">
        <v>771</v>
      </c>
      <c r="I31440" s="0" t="s">
        <v>5334</v>
      </c>
    </row>
    <row r="31441" customFormat="false" ht="12.8" hidden="false" customHeight="false" outlineLevel="0" collapsed="false">
      <c r="B31441" s="0" t="s">
        <v>36</v>
      </c>
      <c r="C31441" s="0" t="s">
        <v>12261</v>
      </c>
      <c r="E31441" s="0" t="s">
        <v>787</v>
      </c>
      <c r="F31441" s="0" t="s">
        <v>788</v>
      </c>
      <c r="H31441" s="0" t="s">
        <v>787</v>
      </c>
      <c r="I31441" s="0" t="s">
        <v>5336</v>
      </c>
    </row>
    <row r="31443" customFormat="false" ht="12.8" hidden="false" customHeight="false" outlineLevel="0" collapsed="false">
      <c r="A31443" s="0" t="s">
        <v>12262</v>
      </c>
      <c r="B31443" s="0" t="str">
        <f aca="false">HYPERLINK("https://lindat.mff.cuni.cz/services/teitok/pdtc10/index.php?action=vallex&amp;frame=v-w4316f1", "prodávat (v-w4316f1)")</f>
        <v>prodávat (v-w4316f1)</v>
      </c>
      <c r="E31443" s="0" t="str">
        <f aca="false">HYPERLINK("https://lindat.mff.cuni.cz/services/SynSemClass40/SynSemClass40.html?veclass=vec00083#vec00083-ces-cm00001", "vec00083")</f>
        <v>vec00083</v>
      </c>
      <c r="F31443" s="0" t="s">
        <v>9165</v>
      </c>
    </row>
    <row r="31444" customFormat="false" ht="12.8" hidden="false" customHeight="false" outlineLevel="0" collapsed="false">
      <c r="B31444" s="0" t="s">
        <v>1</v>
      </c>
      <c r="C31444" s="0" t="s">
        <v>9166</v>
      </c>
      <c r="E31444" s="0" t="s">
        <v>3198</v>
      </c>
      <c r="F31444" s="0" t="s">
        <v>9167</v>
      </c>
    </row>
    <row r="31445" customFormat="false" ht="12.8" hidden="false" customHeight="false" outlineLevel="0" collapsed="false">
      <c r="B31445" s="0" t="s">
        <v>8</v>
      </c>
      <c r="C31445" s="0" t="s">
        <v>9168</v>
      </c>
      <c r="E31445" s="0" t="s">
        <v>3201</v>
      </c>
      <c r="F31445" s="0" t="s">
        <v>9169</v>
      </c>
    </row>
    <row r="31446" customFormat="false" ht="12.8" hidden="false" customHeight="false" outlineLevel="0" collapsed="false">
      <c r="B31446" s="0" t="s">
        <v>52</v>
      </c>
      <c r="C31446" s="0" t="s">
        <v>9170</v>
      </c>
      <c r="E31446" s="0" t="s">
        <v>8304</v>
      </c>
      <c r="F31446" s="0" t="s">
        <v>9171</v>
      </c>
    </row>
    <row r="31448" customFormat="false" ht="12.8" hidden="false" customHeight="false" outlineLevel="0" collapsed="false">
      <c r="A31448" s="0" t="s">
        <v>12263</v>
      </c>
      <c r="B31448" s="0" t="str">
        <f aca="false">HYPERLINK("https://lindat.mff.cuni.cz/services/teitok/pdtc10/index.php?action=vallex&amp;frame=v-w4323f1", "prodírat se (v-w4323f1)")</f>
        <v>prodírat se (v-w4323f1)</v>
      </c>
    </row>
    <row r="31449" customFormat="false" ht="12.8" hidden="false" customHeight="false" outlineLevel="0" collapsed="false">
      <c r="B31449" s="0" t="s">
        <v>1</v>
      </c>
    </row>
    <row r="31451" customFormat="false" ht="12.8" hidden="false" customHeight="false" outlineLevel="0" collapsed="false">
      <c r="A31451" s="0" t="s">
        <v>12264</v>
      </c>
      <c r="B31451" s="0" t="str">
        <f aca="false">HYPERLINK("https://lindat.mff.cuni.cz/services/teitok/pdtc10/index.php?action=vallex&amp;frame=v-w4320f2", "prodělat (v-w4320f2)")</f>
        <v>prodělat (v-w4320f2)</v>
      </c>
      <c r="E31451" s="0" t="str">
        <f aca="false">HYPERLINK("https://lindat.mff.cuni.cz/services/SynSemClass40/SynSemClass40.html?veclass=vec01193#vec01193-ces-cm00007", "vec01193")</f>
        <v>vec01193</v>
      </c>
      <c r="F31451" s="0" t="s">
        <v>12265</v>
      </c>
    </row>
    <row r="31452" customFormat="false" ht="12.8" hidden="false" customHeight="false" outlineLevel="0" collapsed="false">
      <c r="B31452" s="0" t="s">
        <v>1</v>
      </c>
      <c r="C31452" s="0" t="s">
        <v>447</v>
      </c>
      <c r="E31452" s="0" t="s">
        <v>10404</v>
      </c>
      <c r="F31452" s="0" t="s">
        <v>12266</v>
      </c>
    </row>
    <row r="31453" customFormat="false" ht="12.8" hidden="false" customHeight="false" outlineLevel="0" collapsed="false">
      <c r="B31453" s="0" t="s">
        <v>8</v>
      </c>
      <c r="C31453" s="0" t="s">
        <v>2082</v>
      </c>
      <c r="E31453" s="0" t="s">
        <v>2732</v>
      </c>
      <c r="F31453" s="0" t="s">
        <v>12267</v>
      </c>
    </row>
    <row r="31454" customFormat="false" ht="12.8" hidden="false" customHeight="false" outlineLevel="0" collapsed="false">
      <c r="B31454" s="0" t="s">
        <v>773</v>
      </c>
      <c r="E31454" s="0" t="s">
        <v>12268</v>
      </c>
      <c r="F31454" s="0" t="s">
        <v>12269</v>
      </c>
    </row>
    <row r="31456" customFormat="false" ht="12.8" hidden="false" customHeight="false" outlineLevel="0" collapsed="false">
      <c r="A31456" s="0" t="s">
        <v>12270</v>
      </c>
      <c r="B31456" s="0" t="str">
        <f aca="false">HYPERLINK("https://lindat.mff.cuni.cz/services/teitok/pdtc10/index.php?action=vallex&amp;frame=v-w4320f1", "prodělat (v-w4320f1)")</f>
        <v>prodělat (v-w4320f1)</v>
      </c>
      <c r="E31456" s="0" t="str">
        <f aca="false">HYPERLINK("https://lindat.mff.cuni.cz/services/SynSemClass40/SynSemClass40.html?veclass=vec00379#vec00379-ces-cm00012", "vec00379")</f>
        <v>vec00379</v>
      </c>
      <c r="F31456" s="0" t="s">
        <v>10883</v>
      </c>
    </row>
    <row r="31457" customFormat="false" ht="12.8" hidden="false" customHeight="false" outlineLevel="0" collapsed="false">
      <c r="B31457" s="0" t="s">
        <v>1</v>
      </c>
      <c r="C31457" s="0" t="s">
        <v>10884</v>
      </c>
      <c r="E31457" s="0" t="s">
        <v>266</v>
      </c>
      <c r="F31457" s="0" t="s">
        <v>10885</v>
      </c>
    </row>
    <row r="31458" customFormat="false" ht="12.8" hidden="false" customHeight="false" outlineLevel="0" collapsed="false">
      <c r="B31458" s="0" t="s">
        <v>8</v>
      </c>
      <c r="C31458" s="0" t="s">
        <v>10886</v>
      </c>
      <c r="E31458" s="0" t="s">
        <v>10887</v>
      </c>
      <c r="F31458" s="0" t="s">
        <v>10888</v>
      </c>
    </row>
    <row r="31460" customFormat="false" ht="12.8" hidden="false" customHeight="false" outlineLevel="0" collapsed="false">
      <c r="A31460" s="0" t="s">
        <v>12271</v>
      </c>
      <c r="B31460" s="0" t="str">
        <f aca="false">HYPERLINK("https://lindat.mff.cuni.cz/services/teitok/pdtc10/index.php?action=vallex&amp;frame=v-w4321f1", "prodělávat (v-w4321f1)")</f>
        <v>prodělávat (v-w4321f1)</v>
      </c>
      <c r="E31460" s="0" t="str">
        <f aca="false">HYPERLINK("https://lindat.mff.cuni.cz/services/SynSemClass40/SynSemClass40.html?veclass=vec01193#vec01193-ces-cm00046", "vec01193")</f>
        <v>vec01193</v>
      </c>
      <c r="F31460" s="0" t="s">
        <v>12265</v>
      </c>
    </row>
    <row r="31461" customFormat="false" ht="12.8" hidden="false" customHeight="false" outlineLevel="0" collapsed="false">
      <c r="B31461" s="0" t="s">
        <v>1</v>
      </c>
      <c r="C31461" s="0" t="s">
        <v>447</v>
      </c>
      <c r="E31461" s="0" t="s">
        <v>10404</v>
      </c>
      <c r="F31461" s="0" t="s">
        <v>12266</v>
      </c>
    </row>
    <row r="31462" customFormat="false" ht="12.8" hidden="false" customHeight="false" outlineLevel="0" collapsed="false">
      <c r="B31462" s="0" t="s">
        <v>8</v>
      </c>
      <c r="C31462" s="0" t="s">
        <v>2082</v>
      </c>
      <c r="E31462" s="0" t="s">
        <v>2732</v>
      </c>
      <c r="F31462" s="0" t="s">
        <v>12267</v>
      </c>
    </row>
    <row r="31463" customFormat="false" ht="12.8" hidden="false" customHeight="false" outlineLevel="0" collapsed="false">
      <c r="B31463" s="0" t="s">
        <v>773</v>
      </c>
      <c r="E31463" s="0" t="s">
        <v>12268</v>
      </c>
      <c r="F31463" s="0" t="s">
        <v>12269</v>
      </c>
    </row>
    <row r="31465" customFormat="false" ht="12.8" hidden="false" customHeight="false" outlineLevel="0" collapsed="false">
      <c r="A31465" s="0" t="s">
        <v>12272</v>
      </c>
      <c r="B31465" s="0" t="str">
        <f aca="false">HYPERLINK("https://lindat.mff.cuni.cz/services/teitok/pdtc10/index.php?action=vallex&amp;frame=v-w4321f2", "prodělávat (v-w4321f2)")</f>
        <v>prodělávat (v-w4321f2)</v>
      </c>
      <c r="E31465" s="0" t="str">
        <f aca="false">HYPERLINK("https://lindat.mff.cuni.cz/services/SynSemClass40/SynSemClass40.html?veclass=vec00379#vec00379-ces-cm00054", "vec00379")</f>
        <v>vec00379</v>
      </c>
      <c r="F31465" s="0" t="s">
        <v>10883</v>
      </c>
    </row>
    <row r="31466" customFormat="false" ht="12.8" hidden="false" customHeight="false" outlineLevel="0" collapsed="false">
      <c r="B31466" s="0" t="s">
        <v>1</v>
      </c>
      <c r="C31466" s="0" t="s">
        <v>10884</v>
      </c>
      <c r="E31466" s="0" t="s">
        <v>266</v>
      </c>
      <c r="F31466" s="0" t="s">
        <v>10885</v>
      </c>
    </row>
    <row r="31467" customFormat="false" ht="12.8" hidden="false" customHeight="false" outlineLevel="0" collapsed="false">
      <c r="B31467" s="0" t="s">
        <v>8</v>
      </c>
      <c r="C31467" s="0" t="s">
        <v>10886</v>
      </c>
      <c r="E31467" s="0" t="s">
        <v>10887</v>
      </c>
      <c r="F31467" s="0" t="s">
        <v>10888</v>
      </c>
    </row>
    <row r="31469" customFormat="false" ht="12.8" hidden="false" customHeight="false" outlineLevel="0" collapsed="false">
      <c r="A31469" s="0" t="s">
        <v>12273</v>
      </c>
      <c r="B31469" s="0" t="str">
        <f aca="false">HYPERLINK("https://lindat.mff.cuni.cz/services/teitok/pdtc10/index.php?action=vallex&amp;frame=v-w4342f1", "profanovat (v-w4342f1)")</f>
        <v>profanovat (v-w4342f1)</v>
      </c>
    </row>
    <row r="31470" customFormat="false" ht="12.8" hidden="false" customHeight="false" outlineLevel="0" collapsed="false">
      <c r="B31470" s="0" t="s">
        <v>1</v>
      </c>
    </row>
    <row r="31471" customFormat="false" ht="12.8" hidden="false" customHeight="false" outlineLevel="0" collapsed="false">
      <c r="B31471" s="0" t="s">
        <v>8</v>
      </c>
    </row>
    <row r="31473" customFormat="false" ht="12.8" hidden="false" customHeight="false" outlineLevel="0" collapsed="false">
      <c r="A31473" s="0" t="s">
        <v>12274</v>
      </c>
      <c r="B31473" s="0" t="str">
        <f aca="false">HYPERLINK("https://lindat.mff.cuni.cz/services/teitok/pdtc10/index.php?action=vallex&amp;frame=v-w4344f1", "profesionalizovat (v-w4344f1)")</f>
        <v>profesionalizovat (v-w4344f1)</v>
      </c>
    </row>
    <row r="31474" customFormat="false" ht="12.8" hidden="false" customHeight="false" outlineLevel="0" collapsed="false">
      <c r="B31474" s="0" t="s">
        <v>1</v>
      </c>
    </row>
    <row r="31475" customFormat="false" ht="12.8" hidden="false" customHeight="false" outlineLevel="0" collapsed="false">
      <c r="B31475" s="0" t="s">
        <v>8</v>
      </c>
    </row>
    <row r="31477" customFormat="false" ht="12.8" hidden="false" customHeight="false" outlineLevel="0" collapsed="false">
      <c r="A31477" s="0" t="s">
        <v>12275</v>
      </c>
      <c r="B31477" s="0" t="str">
        <f aca="false">HYPERLINK("https://lindat.mff.cuni.cz/services/teitok/pdtc10/index.php?action=vallex&amp;frame=v-w4346f1", "profilovat (v-w4346f1)")</f>
        <v>profilovat (v-w4346f1)</v>
      </c>
    </row>
    <row r="31478" customFormat="false" ht="12.8" hidden="false" customHeight="false" outlineLevel="0" collapsed="false">
      <c r="B31478" s="0" t="s">
        <v>1</v>
      </c>
    </row>
    <row r="31479" customFormat="false" ht="12.8" hidden="false" customHeight="false" outlineLevel="0" collapsed="false">
      <c r="B31479" s="0" t="s">
        <v>8</v>
      </c>
    </row>
    <row r="31481" customFormat="false" ht="12.8" hidden="false" customHeight="false" outlineLevel="0" collapsed="false">
      <c r="A31481" s="0" t="s">
        <v>12276</v>
      </c>
      <c r="B31481" s="0" t="str">
        <f aca="false">HYPERLINK("https://lindat.mff.cuni.cz/services/teitok/pdtc10/index.php?action=vallex&amp;frame=v-w4347f3_ZU", "profitovat (v-w4347f3_ZU)")</f>
        <v>profitovat (v-w4347f3_ZU)</v>
      </c>
      <c r="E31481" s="0" t="str">
        <f aca="false">HYPERLINK("https://lindat.mff.cuni.cz/services/SynSemClass40/SynSemClass40.html?veclass=vec00169#vec00169-ces-cm00009", "vec00169")</f>
        <v>vec00169</v>
      </c>
      <c r="F31481" s="0" t="s">
        <v>12277</v>
      </c>
    </row>
    <row r="31482" customFormat="false" ht="12.8" hidden="false" customHeight="false" outlineLevel="0" collapsed="false">
      <c r="B31482" s="0" t="s">
        <v>1</v>
      </c>
      <c r="C31482" s="0" t="s">
        <v>12278</v>
      </c>
      <c r="E31482" s="0" t="s">
        <v>1567</v>
      </c>
      <c r="F31482" s="0" t="s">
        <v>12279</v>
      </c>
    </row>
    <row r="31483" customFormat="false" ht="12.8" hidden="false" customHeight="false" outlineLevel="0" collapsed="false">
      <c r="B31483" s="0" t="s">
        <v>12280</v>
      </c>
      <c r="C31483" s="0" t="s">
        <v>12281</v>
      </c>
      <c r="E31483" s="0" t="s">
        <v>6001</v>
      </c>
      <c r="F31483" s="0" t="s">
        <v>12282</v>
      </c>
    </row>
    <row r="31485" customFormat="false" ht="12.8" hidden="false" customHeight="false" outlineLevel="0" collapsed="false">
      <c r="A31485" s="0" t="s">
        <v>12276</v>
      </c>
      <c r="B31485" s="0" t="str">
        <f aca="false">HYPERLINK("https://lindat.mff.cuni.cz/services/teitok/pdtc10/index.php?action=vallex&amp;frame=v-w4347f1", "profitovat (v-w4347f1) - substituted with v-w4347f3_ZU")</f>
        <v>profitovat (v-w4347f1) - substituted with v-w4347f3_ZU</v>
      </c>
    </row>
    <row r="31486" customFormat="false" ht="12.8" hidden="false" customHeight="false" outlineLevel="0" collapsed="false">
      <c r="B31486" s="0" t="s">
        <v>1</v>
      </c>
    </row>
    <row r="31487" customFormat="false" ht="12.8" hidden="false" customHeight="false" outlineLevel="0" collapsed="false">
      <c r="B31487" s="0" t="s">
        <v>12280</v>
      </c>
    </row>
    <row r="31489" customFormat="false" ht="12.8" hidden="false" customHeight="false" outlineLevel="0" collapsed="false">
      <c r="A31489" s="0" t="s">
        <v>12276</v>
      </c>
      <c r="B31489" s="0" t="str">
        <f aca="false">HYPERLINK("https://lindat.mff.cuni.cz/services/teitok/pdtc10/index.php?action=vallex&amp;frame=v-w4347f2_ZU", "profitovat (v-w4347f2_ZU) - substituted with v-w4347f3_ZU")</f>
        <v>profitovat (v-w4347f2_ZU) - substituted with v-w4347f3_ZU</v>
      </c>
    </row>
    <row r="31490" customFormat="false" ht="12.8" hidden="false" customHeight="false" outlineLevel="0" collapsed="false">
      <c r="B31490" s="0" t="s">
        <v>1</v>
      </c>
    </row>
    <row r="31491" customFormat="false" ht="12.8" hidden="false" customHeight="false" outlineLevel="0" collapsed="false">
      <c r="B31491" s="0" t="s">
        <v>12280</v>
      </c>
    </row>
    <row r="31493" customFormat="false" ht="12.8" hidden="false" customHeight="false" outlineLevel="0" collapsed="false">
      <c r="A31493" s="0" t="s">
        <v>12283</v>
      </c>
      <c r="B31493" s="0" t="str">
        <f aca="false">HYPERLINK("https://lindat.mff.cuni.cz/services/teitok/pdtc10/index.php?action=vallex&amp;frame=v-w4348f1", "profrčet (v-w4348f1)")</f>
        <v>profrčet (v-w4348f1)</v>
      </c>
    </row>
    <row r="31494" customFormat="false" ht="12.8" hidden="false" customHeight="false" outlineLevel="0" collapsed="false">
      <c r="B31494" s="0" t="s">
        <v>1</v>
      </c>
    </row>
    <row r="31495" customFormat="false" ht="12.8" hidden="false" customHeight="false" outlineLevel="0" collapsed="false">
      <c r="B31495" s="0" t="s">
        <v>336</v>
      </c>
    </row>
    <row r="31497" customFormat="false" ht="12.8" hidden="false" customHeight="false" outlineLevel="0" collapsed="false">
      <c r="A31497" s="0" t="s">
        <v>12284</v>
      </c>
      <c r="B31497" s="0" t="str">
        <f aca="false">HYPERLINK("https://lindat.mff.cuni.cz/services/teitok/pdtc10/index.php?action=vallex&amp;frame=v-w4350f1", "prognózovat (v-w4350f1)")</f>
        <v>prognózovat (v-w4350f1)</v>
      </c>
    </row>
    <row r="31498" customFormat="false" ht="12.8" hidden="false" customHeight="false" outlineLevel="0" collapsed="false">
      <c r="B31498" s="0" t="s">
        <v>1</v>
      </c>
    </row>
    <row r="31499" customFormat="false" ht="12.8" hidden="false" customHeight="false" outlineLevel="0" collapsed="false">
      <c r="B31499" s="0" t="s">
        <v>59</v>
      </c>
    </row>
    <row r="31501" customFormat="false" ht="12.8" hidden="false" customHeight="false" outlineLevel="0" collapsed="false">
      <c r="A31501" s="0" t="s">
        <v>12285</v>
      </c>
      <c r="B31501" s="0" t="str">
        <f aca="false">HYPERLINK("https://lindat.mff.cuni.cz/services/teitok/pdtc10/index.php?action=vallex&amp;frame=v-w10110f2", "programovat (v-w10110f2)")</f>
        <v>programovat (v-w10110f2)</v>
      </c>
      <c r="E31501" s="0" t="str">
        <f aca="false">HYPERLINK("https://lindat.mff.cuni.cz/services/SynSemClass40/SynSemClass40.html?veclass=vec01046#vec01046-ces-cm00008", "vec01046")</f>
        <v>vec01046</v>
      </c>
      <c r="F31501" s="0" t="s">
        <v>7577</v>
      </c>
    </row>
    <row r="31502" customFormat="false" ht="12.8" hidden="false" customHeight="false" outlineLevel="0" collapsed="false">
      <c r="B31502" s="0" t="s">
        <v>1</v>
      </c>
      <c r="C31502" s="0" t="s">
        <v>4695</v>
      </c>
      <c r="E31502" s="0" t="s">
        <v>768</v>
      </c>
      <c r="F31502" s="0" t="s">
        <v>4781</v>
      </c>
    </row>
    <row r="31503" customFormat="false" ht="12.8" hidden="false" customHeight="false" outlineLevel="0" collapsed="false">
      <c r="B31503" s="0" t="s">
        <v>8</v>
      </c>
      <c r="C31503" s="0" t="s">
        <v>7578</v>
      </c>
      <c r="E31503" s="0" t="s">
        <v>771</v>
      </c>
      <c r="F31503" s="0" t="s">
        <v>7579</v>
      </c>
    </row>
    <row r="31505" customFormat="false" ht="12.8" hidden="false" customHeight="false" outlineLevel="0" collapsed="false">
      <c r="A31505" s="0" t="s">
        <v>12286</v>
      </c>
      <c r="B31505" s="0" t="str">
        <f aca="false">HYPERLINK("https://lindat.mff.cuni.cz/services/teitok/pdtc10/index.php?action=vallex&amp;frame=v-w4353f1", "prohazovat (v-w4353f1)")</f>
        <v>prohazovat (v-w4353f1)</v>
      </c>
    </row>
    <row r="31506" customFormat="false" ht="12.8" hidden="false" customHeight="false" outlineLevel="0" collapsed="false">
      <c r="B31506" s="0" t="s">
        <v>1</v>
      </c>
    </row>
    <row r="31507" customFormat="false" ht="12.8" hidden="false" customHeight="false" outlineLevel="0" collapsed="false">
      <c r="B31507" s="0" t="s">
        <v>8</v>
      </c>
    </row>
    <row r="31509" customFormat="false" ht="12.8" hidden="false" customHeight="false" outlineLevel="0" collapsed="false">
      <c r="A31509" s="0" t="s">
        <v>12287</v>
      </c>
      <c r="B31509" s="0" t="str">
        <f aca="false">HYPERLINK("https://lindat.mff.cuni.cz/services/teitok/pdtc10/index.php?action=vallex&amp;frame=v-w4353hsa_1610", "prohazovat (v-w4353hsa_1610)")</f>
        <v>prohazovat (v-w4353hsa_1610)</v>
      </c>
    </row>
    <row r="31510" customFormat="false" ht="12.8" hidden="false" customHeight="false" outlineLevel="0" collapsed="false">
      <c r="B31510" s="0" t="s">
        <v>1</v>
      </c>
    </row>
    <row r="31511" customFormat="false" ht="12.8" hidden="false" customHeight="false" outlineLevel="0" collapsed="false">
      <c r="B31511" s="0" t="s">
        <v>8</v>
      </c>
    </row>
    <row r="31513" customFormat="false" ht="12.8" hidden="false" customHeight="false" outlineLevel="0" collapsed="false">
      <c r="A31513" s="0" t="s">
        <v>12288</v>
      </c>
      <c r="B31513" s="0" t="str">
        <f aca="false">HYPERLINK("https://lindat.mff.cuni.cz/services/teitok/pdtc10/index.php?action=vallex&amp;frame=v-w4357f2", "prohlašovat (v-w4357f2)")</f>
        <v>prohlašovat (v-w4357f2)</v>
      </c>
      <c r="E31513" s="0" t="str">
        <f aca="false">HYPERLINK("https://lindat.mff.cuni.cz/services/SynSemClass40/SynSemClass40.html?veclass=vec00488#vec00488-ces-cm00006", "vec00488")</f>
        <v>vec00488</v>
      </c>
      <c r="F31513" s="0" t="s">
        <v>12289</v>
      </c>
      <c r="H31513" s="0" t="str">
        <f aca="false">HYPERLINK("https://lindat.mff.cuni.cz/services/SynSemClass40/SynSemClass40.html?veclass=vec01526#vec01526-ces-cm00006", "vec01526")</f>
        <v>vec01526</v>
      </c>
      <c r="I31513" s="0" t="s">
        <v>12290</v>
      </c>
    </row>
    <row r="31514" customFormat="false" ht="12.8" hidden="false" customHeight="false" outlineLevel="0" collapsed="false">
      <c r="B31514" s="0" t="s">
        <v>1</v>
      </c>
      <c r="C31514" s="0" t="s">
        <v>4774</v>
      </c>
      <c r="E31514" s="0" t="s">
        <v>147</v>
      </c>
      <c r="F31514" s="0" t="s">
        <v>12291</v>
      </c>
      <c r="H31514" s="0" t="s">
        <v>206</v>
      </c>
      <c r="I31514" s="0" t="s">
        <v>12292</v>
      </c>
    </row>
    <row r="31515" customFormat="false" ht="12.8" hidden="false" customHeight="false" outlineLevel="0" collapsed="false">
      <c r="B31515" s="0" t="s">
        <v>8</v>
      </c>
      <c r="C31515" s="0" t="s">
        <v>12293</v>
      </c>
      <c r="E31515" s="0" t="s">
        <v>34</v>
      </c>
      <c r="F31515" s="0" t="s">
        <v>12294</v>
      </c>
      <c r="H31515" s="0" t="s">
        <v>4297</v>
      </c>
      <c r="I31515" s="0" t="s">
        <v>12295</v>
      </c>
    </row>
    <row r="31516" customFormat="false" ht="12.8" hidden="false" customHeight="false" outlineLevel="0" collapsed="false">
      <c r="B31516" s="0" t="s">
        <v>12296</v>
      </c>
      <c r="C31516" s="0" t="s">
        <v>12297</v>
      </c>
      <c r="E31516" s="0" t="s">
        <v>8029</v>
      </c>
      <c r="F31516" s="0" t="s">
        <v>12298</v>
      </c>
      <c r="H31516" s="0" t="s">
        <v>12299</v>
      </c>
      <c r="I31516" s="0" t="s">
        <v>12300</v>
      </c>
    </row>
    <row r="31518" customFormat="false" ht="12.8" hidden="false" customHeight="false" outlineLevel="0" collapsed="false">
      <c r="A31518" s="0" t="s">
        <v>12301</v>
      </c>
      <c r="B31518" s="0" t="str">
        <f aca="false">HYPERLINK("https://lindat.mff.cuni.cz/services/teitok/pdtc10/index.php?action=vallex&amp;frame=v-w4357f3", "prohlašovat (v-w4357f3)")</f>
        <v>prohlašovat (v-w4357f3)</v>
      </c>
    </row>
    <row r="31519" customFormat="false" ht="12.8" hidden="false" customHeight="false" outlineLevel="0" collapsed="false">
      <c r="B31519" s="0" t="s">
        <v>1</v>
      </c>
    </row>
    <row r="31520" customFormat="false" ht="12.8" hidden="false" customHeight="false" outlineLevel="0" collapsed="false">
      <c r="B31520" s="0" t="s">
        <v>8</v>
      </c>
    </row>
    <row r="31522" customFormat="false" ht="12.8" hidden="false" customHeight="false" outlineLevel="0" collapsed="false">
      <c r="A31522" s="0" t="s">
        <v>12302</v>
      </c>
      <c r="B31522" s="0" t="str">
        <f aca="false">HYPERLINK("https://lindat.mff.cuni.cz/services/teitok/pdtc10/index.php?action=vallex&amp;frame=v-w4357f1", "prohlašovat (v-w4357f1)")</f>
        <v>prohlašovat (v-w4357f1)</v>
      </c>
      <c r="E31522" s="0" t="str">
        <f aca="false">HYPERLINK("https://lindat.mff.cuni.cz/services/SynSemClass40/SynSemClass40.html?veclass=vec00060#vec00060-ces-cm00074", "vec00060")</f>
        <v>vec00060</v>
      </c>
      <c r="F31522" s="0" t="s">
        <v>213</v>
      </c>
    </row>
    <row r="31523" customFormat="false" ht="12.8" hidden="false" customHeight="false" outlineLevel="0" collapsed="false">
      <c r="B31523" s="0" t="s">
        <v>1</v>
      </c>
      <c r="C31523" s="0" t="s">
        <v>214</v>
      </c>
      <c r="E31523" s="0" t="s">
        <v>147</v>
      </c>
      <c r="F31523" s="0" t="s">
        <v>215</v>
      </c>
    </row>
    <row r="31524" customFormat="false" ht="12.8" hidden="false" customHeight="false" outlineLevel="0" collapsed="false">
      <c r="B31524" s="0" t="s">
        <v>6412</v>
      </c>
      <c r="C31524" s="0" t="s">
        <v>2216</v>
      </c>
      <c r="E31524" s="0" t="s">
        <v>2217</v>
      </c>
      <c r="F31524" s="0" t="s">
        <v>2218</v>
      </c>
    </row>
    <row r="31525" customFormat="false" ht="12.8" hidden="false" customHeight="false" outlineLevel="0" collapsed="false">
      <c r="B31525" s="0" t="s">
        <v>10831</v>
      </c>
      <c r="C31525" s="0" t="s">
        <v>217</v>
      </c>
      <c r="E31525" s="0" t="s">
        <v>218</v>
      </c>
      <c r="F31525" s="0" t="s">
        <v>219</v>
      </c>
    </row>
    <row r="31527" customFormat="false" ht="12.8" hidden="false" customHeight="false" outlineLevel="0" collapsed="false">
      <c r="A31527" s="0" t="s">
        <v>12303</v>
      </c>
      <c r="B31527" s="0" t="str">
        <f aca="false">HYPERLINK("https://lindat.mff.cuni.cz/services/teitok/pdtc10/index.php?action=vallex&amp;frame=v-w4358f1", "prohledat (v-w4358f1)")</f>
        <v>prohledat (v-w4358f1)</v>
      </c>
      <c r="E31527" s="0" t="str">
        <f aca="false">HYPERLINK("https://lindat.mff.cuni.cz/services/SynSemClass40/SynSemClass40.html?veclass=vec00684#vec00684-ces-cm00003", "vec00684")</f>
        <v>vec00684</v>
      </c>
      <c r="F31527" s="0" t="s">
        <v>12203</v>
      </c>
    </row>
    <row r="31528" customFormat="false" ht="12.8" hidden="false" customHeight="false" outlineLevel="0" collapsed="false">
      <c r="B31528" s="0" t="s">
        <v>1</v>
      </c>
      <c r="C31528" s="0" t="s">
        <v>154</v>
      </c>
      <c r="E31528" s="0" t="s">
        <v>115</v>
      </c>
      <c r="F31528" s="0" t="s">
        <v>12204</v>
      </c>
    </row>
    <row r="31529" customFormat="false" ht="12.8" hidden="false" customHeight="false" outlineLevel="0" collapsed="false">
      <c r="B31529" s="0" t="s">
        <v>8</v>
      </c>
      <c r="C31529" s="0" t="s">
        <v>158</v>
      </c>
      <c r="E31529" s="0" t="s">
        <v>4060</v>
      </c>
      <c r="F31529" s="0" t="s">
        <v>12205</v>
      </c>
    </row>
    <row r="31531" customFormat="false" ht="12.8" hidden="false" customHeight="false" outlineLevel="0" collapsed="false">
      <c r="A31531" s="0" t="s">
        <v>12304</v>
      </c>
      <c r="B31531" s="0" t="str">
        <f aca="false">HYPERLINK("https://lindat.mff.cuni.cz/services/teitok/pdtc10/index.php?action=vallex&amp;frame=v-w10979f2", "prohledávat (v-w10979f2)")</f>
        <v>prohledávat (v-w10979f2)</v>
      </c>
      <c r="E31531" s="0" t="str">
        <f aca="false">HYPERLINK("https://lindat.mff.cuni.cz/services/SynSemClass40/SynSemClass40.html?veclass=vec00684#vec00684-ces-cm00007", "vec00684")</f>
        <v>vec00684</v>
      </c>
      <c r="F31531" s="0" t="s">
        <v>12203</v>
      </c>
      <c r="H31531" s="0" t="str">
        <f aca="false">HYPERLINK("https://lindat.mff.cuni.cz/services/SynSemClass40/SynSemClass40.html?veclass=vec01527#vec01527-ces-cm00008", "vec01527")</f>
        <v>vec01527</v>
      </c>
      <c r="I31531" s="0" t="s">
        <v>4556</v>
      </c>
    </row>
    <row r="31532" customFormat="false" ht="12.8" hidden="false" customHeight="false" outlineLevel="0" collapsed="false">
      <c r="B31532" s="0" t="s">
        <v>1</v>
      </c>
      <c r="C31532" s="0" t="s">
        <v>12305</v>
      </c>
      <c r="E31532" s="0" t="s">
        <v>115</v>
      </c>
      <c r="F31532" s="0" t="s">
        <v>12204</v>
      </c>
      <c r="H31532" s="0" t="s">
        <v>2263</v>
      </c>
      <c r="I31532" s="0" t="s">
        <v>4557</v>
      </c>
    </row>
    <row r="31533" customFormat="false" ht="12.8" hidden="false" customHeight="false" outlineLevel="0" collapsed="false">
      <c r="B31533" s="0" t="s">
        <v>8</v>
      </c>
      <c r="C31533" s="0" t="s">
        <v>2627</v>
      </c>
      <c r="E31533" s="0" t="s">
        <v>4060</v>
      </c>
      <c r="F31533" s="0" t="s">
        <v>12205</v>
      </c>
      <c r="H31533" s="0" t="s">
        <v>6241</v>
      </c>
      <c r="I31533" s="0" t="s">
        <v>12306</v>
      </c>
    </row>
    <row r="31535" customFormat="false" ht="12.8" hidden="false" customHeight="false" outlineLevel="0" collapsed="false">
      <c r="A31535" s="0" t="s">
        <v>12307</v>
      </c>
      <c r="B31535" s="0" t="str">
        <f aca="false">HYPERLINK("https://lindat.mff.cuni.cz/services/teitok/pdtc10/index.php?action=vallex&amp;frame=v-w4366f1", "prohloubit (v-w4366f1)")</f>
        <v>prohloubit (v-w4366f1)</v>
      </c>
      <c r="E31535" s="0" t="str">
        <f aca="false">HYPERLINK("https://lindat.mff.cuni.cz/services/SynSemClass40/SynSemClass40.html?veclass=vec00785#vec00785-ces-cm00021", "vec00785")</f>
        <v>vec00785</v>
      </c>
      <c r="F31535" s="0" t="s">
        <v>5463</v>
      </c>
    </row>
    <row r="31536" customFormat="false" ht="12.8" hidden="false" customHeight="false" outlineLevel="0" collapsed="false">
      <c r="B31536" s="0" t="s">
        <v>1</v>
      </c>
      <c r="C31536" s="0" t="s">
        <v>12308</v>
      </c>
      <c r="E31536" s="0" t="s">
        <v>76</v>
      </c>
      <c r="F31536" s="0" t="s">
        <v>5466</v>
      </c>
    </row>
    <row r="31537" customFormat="false" ht="12.8" hidden="false" customHeight="false" outlineLevel="0" collapsed="false">
      <c r="B31537" s="0" t="s">
        <v>8</v>
      </c>
      <c r="C31537" s="0" t="s">
        <v>12309</v>
      </c>
      <c r="E31537" s="0" t="s">
        <v>142</v>
      </c>
      <c r="F31537" s="0" t="s">
        <v>5469</v>
      </c>
    </row>
    <row r="31539" customFormat="false" ht="12.8" hidden="false" customHeight="false" outlineLevel="0" collapsed="false">
      <c r="A31539" s="0" t="s">
        <v>12310</v>
      </c>
      <c r="B31539" s="0" t="str">
        <f aca="false">HYPERLINK("https://lindat.mff.cuni.cz/services/teitok/pdtc10/index.php?action=vallex&amp;frame=v-w4366f2", "prohloubit (v-w4366f2)")</f>
        <v>prohloubit (v-w4366f2)</v>
      </c>
    </row>
    <row r="31540" customFormat="false" ht="12.8" hidden="false" customHeight="false" outlineLevel="0" collapsed="false">
      <c r="B31540" s="0" t="s">
        <v>1</v>
      </c>
    </row>
    <row r="31541" customFormat="false" ht="12.8" hidden="false" customHeight="false" outlineLevel="0" collapsed="false">
      <c r="B31541" s="0" t="s">
        <v>8</v>
      </c>
    </row>
    <row r="31543" customFormat="false" ht="12.8" hidden="false" customHeight="false" outlineLevel="0" collapsed="false">
      <c r="A31543" s="0" t="s">
        <v>12311</v>
      </c>
      <c r="B31543" s="0" t="str">
        <f aca="false">HYPERLINK("https://lindat.mff.cuni.cz/services/teitok/pdtc10/index.php?action=vallex&amp;frame=v-w4367f1", "prohloubit se (v-w4367f1)")</f>
        <v>prohloubit se (v-w4367f1)</v>
      </c>
    </row>
    <row r="31544" customFormat="false" ht="12.8" hidden="false" customHeight="false" outlineLevel="0" collapsed="false">
      <c r="B31544" s="0" t="s">
        <v>1</v>
      </c>
    </row>
    <row r="31545" customFormat="false" ht="12.8" hidden="false" customHeight="false" outlineLevel="0" collapsed="false">
      <c r="B31545" s="0" t="s">
        <v>69</v>
      </c>
    </row>
    <row r="31546" customFormat="false" ht="12.8" hidden="false" customHeight="false" outlineLevel="0" collapsed="false">
      <c r="B31546" s="0" t="s">
        <v>36</v>
      </c>
    </row>
    <row r="31548" customFormat="false" ht="12.8" hidden="false" customHeight="false" outlineLevel="0" collapsed="false">
      <c r="A31548" s="0" t="s">
        <v>12312</v>
      </c>
      <c r="B31548" s="0" t="str">
        <f aca="false">HYPERLINK("https://lindat.mff.cuni.cz/services/teitok/pdtc10/index.php?action=vallex&amp;frame=v-w4367f2_ZU", "prohloubit se (v-w4367f2_ZU)")</f>
        <v>prohloubit se (v-w4367f2_ZU)</v>
      </c>
    </row>
    <row r="31549" customFormat="false" ht="12.8" hidden="false" customHeight="false" outlineLevel="0" collapsed="false">
      <c r="B31549" s="0" t="s">
        <v>1</v>
      </c>
    </row>
    <row r="31551" customFormat="false" ht="12.8" hidden="false" customHeight="false" outlineLevel="0" collapsed="false">
      <c r="A31551" s="0" t="s">
        <v>12313</v>
      </c>
      <c r="B31551" s="0" t="str">
        <f aca="false">HYPERLINK("https://lindat.mff.cuni.cz/services/teitok/pdtc10/index.php?action=vallex&amp;frame=v-w4369f1", "prohlubovat (v-w4369f1)")</f>
        <v>prohlubovat (v-w4369f1)</v>
      </c>
      <c r="E31551" s="0" t="str">
        <f aca="false">HYPERLINK("https://lindat.mff.cuni.cz/services/SynSemClass40/SynSemClass40.html?veclass=vec00785#vec00785-ces-cm00105", "vec00785")</f>
        <v>vec00785</v>
      </c>
      <c r="F31551" s="0" t="s">
        <v>5463</v>
      </c>
    </row>
    <row r="31552" customFormat="false" ht="12.8" hidden="false" customHeight="false" outlineLevel="0" collapsed="false">
      <c r="B31552" s="0" t="s">
        <v>1</v>
      </c>
      <c r="C31552" s="0" t="s">
        <v>12308</v>
      </c>
      <c r="E31552" s="0" t="s">
        <v>76</v>
      </c>
      <c r="F31552" s="0" t="s">
        <v>5466</v>
      </c>
    </row>
    <row r="31553" customFormat="false" ht="12.8" hidden="false" customHeight="false" outlineLevel="0" collapsed="false">
      <c r="B31553" s="0" t="s">
        <v>8</v>
      </c>
      <c r="C31553" s="0" t="s">
        <v>12309</v>
      </c>
      <c r="E31553" s="0" t="s">
        <v>142</v>
      </c>
      <c r="F31553" s="0" t="s">
        <v>5469</v>
      </c>
    </row>
    <row r="31555" customFormat="false" ht="12.8" hidden="false" customHeight="false" outlineLevel="0" collapsed="false">
      <c r="A31555" s="0" t="s">
        <v>12314</v>
      </c>
      <c r="B31555" s="0" t="str">
        <f aca="false">HYPERLINK("https://lindat.mff.cuni.cz/services/teitok/pdtc10/index.php?action=vallex&amp;frame=v-w4369f2", "prohlubovat (v-w4369f2)")</f>
        <v>prohlubovat (v-w4369f2)</v>
      </c>
    </row>
    <row r="31556" customFormat="false" ht="12.8" hidden="false" customHeight="false" outlineLevel="0" collapsed="false">
      <c r="B31556" s="0" t="s">
        <v>1</v>
      </c>
    </row>
    <row r="31557" customFormat="false" ht="12.8" hidden="false" customHeight="false" outlineLevel="0" collapsed="false">
      <c r="B31557" s="0" t="s">
        <v>8</v>
      </c>
    </row>
    <row r="31559" customFormat="false" ht="12.8" hidden="false" customHeight="false" outlineLevel="0" collapsed="false">
      <c r="A31559" s="0" t="s">
        <v>12315</v>
      </c>
      <c r="B31559" s="0" t="str">
        <f aca="false">HYPERLINK("https://lindat.mff.cuni.cz/services/teitok/pdtc10/index.php?action=vallex&amp;frame=v-w4370f1", "prohlubovat se (v-w4370f1)")</f>
        <v>prohlubovat se (v-w4370f1)</v>
      </c>
    </row>
    <row r="31560" customFormat="false" ht="12.8" hidden="false" customHeight="false" outlineLevel="0" collapsed="false">
      <c r="B31560" s="0" t="s">
        <v>1</v>
      </c>
    </row>
    <row r="31561" customFormat="false" ht="12.8" hidden="false" customHeight="false" outlineLevel="0" collapsed="false">
      <c r="B31561" s="0" t="s">
        <v>69</v>
      </c>
    </row>
    <row r="31562" customFormat="false" ht="12.8" hidden="false" customHeight="false" outlineLevel="0" collapsed="false">
      <c r="B31562" s="0" t="s">
        <v>36</v>
      </c>
    </row>
    <row r="31564" customFormat="false" ht="12.8" hidden="false" customHeight="false" outlineLevel="0" collapsed="false">
      <c r="A31564" s="0" t="s">
        <v>12316</v>
      </c>
      <c r="B31564" s="0" t="str">
        <f aca="false">HYPERLINK("https://lindat.mff.cuni.cz/services/teitok/pdtc10/index.php?action=vallex&amp;frame=v-w4354f4_ZU", "prohlásit (v-w4354f4_ZU)")</f>
        <v>prohlásit (v-w4354f4_ZU)</v>
      </c>
      <c r="E31564" s="0" t="str">
        <f aca="false">HYPERLINK("https://lindat.mff.cuni.cz/services/SynSemClass40/SynSemClass40.html?veclass=vec00488#vec00488-ces-cm00001", "vec00488")</f>
        <v>vec00488</v>
      </c>
      <c r="F31564" s="0" t="s">
        <v>12289</v>
      </c>
      <c r="H31564" s="0" t="str">
        <f aca="false">HYPERLINK("https://lindat.mff.cuni.cz/services/SynSemClass40/SynSemClass40.html?veclass=vec01526#vec01526-ces-cm00004", "vec01526")</f>
        <v>vec01526</v>
      </c>
      <c r="I31564" s="0" t="s">
        <v>12290</v>
      </c>
    </row>
    <row r="31565" customFormat="false" ht="12.8" hidden="false" customHeight="false" outlineLevel="0" collapsed="false">
      <c r="B31565" s="0" t="s">
        <v>1</v>
      </c>
      <c r="C31565" s="0" t="s">
        <v>4774</v>
      </c>
      <c r="E31565" s="0" t="s">
        <v>147</v>
      </c>
      <c r="F31565" s="0" t="s">
        <v>12291</v>
      </c>
      <c r="H31565" s="0" t="s">
        <v>206</v>
      </c>
      <c r="I31565" s="0" t="s">
        <v>12292</v>
      </c>
    </row>
    <row r="31566" customFormat="false" ht="12.8" hidden="false" customHeight="false" outlineLevel="0" collapsed="false">
      <c r="B31566" s="0" t="s">
        <v>8</v>
      </c>
      <c r="C31566" s="0" t="s">
        <v>12293</v>
      </c>
      <c r="E31566" s="0" t="s">
        <v>34</v>
      </c>
      <c r="F31566" s="0" t="s">
        <v>12294</v>
      </c>
      <c r="H31566" s="0" t="s">
        <v>4297</v>
      </c>
      <c r="I31566" s="0" t="s">
        <v>12295</v>
      </c>
    </row>
    <row r="31567" customFormat="false" ht="12.8" hidden="false" customHeight="false" outlineLevel="0" collapsed="false">
      <c r="B31567" s="0" t="s">
        <v>12317</v>
      </c>
      <c r="C31567" s="0" t="s">
        <v>12297</v>
      </c>
      <c r="E31567" s="0" t="s">
        <v>8029</v>
      </c>
      <c r="F31567" s="0" t="s">
        <v>12298</v>
      </c>
      <c r="H31567" s="0" t="s">
        <v>12299</v>
      </c>
      <c r="I31567" s="0" t="s">
        <v>12300</v>
      </c>
    </row>
    <row r="31569" customFormat="false" ht="12.8" hidden="false" customHeight="false" outlineLevel="0" collapsed="false">
      <c r="A31569" s="0" t="s">
        <v>12316</v>
      </c>
      <c r="B31569" s="0" t="str">
        <f aca="false">HYPERLINK("https://lindat.mff.cuni.cz/services/teitok/pdtc10/index.php?action=vallex&amp;frame=v-w4354f2", "prohlásit (v-w4354f2) - substituted with v-w4354f4_ZU")</f>
        <v>prohlásit (v-w4354f2) - substituted with v-w4354f4_ZU</v>
      </c>
    </row>
    <row r="31570" customFormat="false" ht="12.8" hidden="false" customHeight="false" outlineLevel="0" collapsed="false">
      <c r="B31570" s="0" t="s">
        <v>1</v>
      </c>
    </row>
    <row r="31571" customFormat="false" ht="12.8" hidden="false" customHeight="false" outlineLevel="0" collapsed="false">
      <c r="B31571" s="0" t="s">
        <v>8</v>
      </c>
    </row>
    <row r="31572" customFormat="false" ht="12.8" hidden="false" customHeight="false" outlineLevel="0" collapsed="false">
      <c r="B31572" s="0" t="s">
        <v>12317</v>
      </c>
    </row>
    <row r="31574" customFormat="false" ht="12.8" hidden="false" customHeight="false" outlineLevel="0" collapsed="false">
      <c r="A31574" s="0" t="s">
        <v>12318</v>
      </c>
      <c r="B31574" s="0" t="str">
        <f aca="false">HYPERLINK("https://lindat.mff.cuni.cz/services/teitok/pdtc10/index.php?action=vallex&amp;frame=v-w4354f3", "prohlásit (v-w4354f3)")</f>
        <v>prohlásit (v-w4354f3)</v>
      </c>
    </row>
    <row r="31575" customFormat="false" ht="12.8" hidden="false" customHeight="false" outlineLevel="0" collapsed="false">
      <c r="B31575" s="0" t="s">
        <v>1</v>
      </c>
    </row>
    <row r="31576" customFormat="false" ht="12.8" hidden="false" customHeight="false" outlineLevel="0" collapsed="false">
      <c r="B31576" s="0" t="s">
        <v>8</v>
      </c>
    </row>
    <row r="31578" customFormat="false" ht="12.8" hidden="false" customHeight="false" outlineLevel="0" collapsed="false">
      <c r="A31578" s="0" t="s">
        <v>12319</v>
      </c>
      <c r="B31578" s="0" t="str">
        <f aca="false">HYPERLINK("https://lindat.mff.cuni.cz/services/teitok/pdtc10/index.php?action=vallex&amp;frame=v-w4354f1", "prohlásit (v-w4354f1)")</f>
        <v>prohlásit (v-w4354f1)</v>
      </c>
      <c r="E31578" s="0" t="str">
        <f aca="false">HYPERLINK("https://lindat.mff.cuni.cz/services/SynSemClass40/SynSemClass40.html?veclass=vec00060#vec00060-ces-cm00072", "vec00060")</f>
        <v>vec00060</v>
      </c>
      <c r="F31578" s="0" t="s">
        <v>213</v>
      </c>
    </row>
    <row r="31579" customFormat="false" ht="12.8" hidden="false" customHeight="false" outlineLevel="0" collapsed="false">
      <c r="B31579" s="0" t="s">
        <v>1</v>
      </c>
      <c r="C31579" s="0" t="s">
        <v>214</v>
      </c>
      <c r="E31579" s="0" t="s">
        <v>147</v>
      </c>
      <c r="F31579" s="0" t="s">
        <v>215</v>
      </c>
    </row>
    <row r="31580" customFormat="false" ht="12.8" hidden="false" customHeight="false" outlineLevel="0" collapsed="false">
      <c r="B31580" s="0" t="s">
        <v>6412</v>
      </c>
      <c r="C31580" s="0" t="s">
        <v>2216</v>
      </c>
      <c r="E31580" s="0" t="s">
        <v>2217</v>
      </c>
      <c r="F31580" s="0" t="s">
        <v>2218</v>
      </c>
    </row>
    <row r="31581" customFormat="false" ht="12.8" hidden="false" customHeight="false" outlineLevel="0" collapsed="false">
      <c r="B31581" s="0" t="s">
        <v>10831</v>
      </c>
      <c r="C31581" s="0" t="s">
        <v>217</v>
      </c>
      <c r="E31581" s="0" t="s">
        <v>218</v>
      </c>
      <c r="F31581" s="0" t="s">
        <v>219</v>
      </c>
    </row>
    <row r="31583" customFormat="false" ht="12.8" hidden="false" customHeight="false" outlineLevel="0" collapsed="false">
      <c r="A31583" s="0" t="s">
        <v>12320</v>
      </c>
      <c r="B31583" s="0" t="str">
        <f aca="false">HYPERLINK("https://lindat.mff.cuni.cz/services/teitok/pdtc10/index.php?action=vallex&amp;frame=v-w4360f1", "prohlédnout (v-w4360f1)")</f>
        <v>prohlédnout (v-w4360f1)</v>
      </c>
    </row>
    <row r="31584" customFormat="false" ht="12.8" hidden="false" customHeight="false" outlineLevel="0" collapsed="false">
      <c r="B31584" s="0" t="s">
        <v>1</v>
      </c>
    </row>
    <row r="31585" customFormat="false" ht="12.8" hidden="false" customHeight="false" outlineLevel="0" collapsed="false">
      <c r="B31585" s="0" t="s">
        <v>2265</v>
      </c>
    </row>
    <row r="31587" customFormat="false" ht="12.8" hidden="false" customHeight="false" outlineLevel="0" collapsed="false">
      <c r="A31587" s="0" t="s">
        <v>12321</v>
      </c>
      <c r="B31587" s="0" t="str">
        <f aca="false">HYPERLINK("https://lindat.mff.cuni.cz/services/teitok/pdtc10/index.php?action=vallex&amp;frame=v-w4361hsa_563", "prohlédnout si (v-w4361hsa_563)")</f>
        <v>prohlédnout si (v-w4361hsa_563)</v>
      </c>
    </row>
    <row r="31588" customFormat="false" ht="12.8" hidden="false" customHeight="false" outlineLevel="0" collapsed="false">
      <c r="B31588" s="0" t="s">
        <v>1</v>
      </c>
    </row>
    <row r="31589" customFormat="false" ht="12.8" hidden="false" customHeight="false" outlineLevel="0" collapsed="false">
      <c r="B31589" s="0" t="s">
        <v>305</v>
      </c>
    </row>
    <row r="31591" customFormat="false" ht="12.8" hidden="false" customHeight="false" outlineLevel="0" collapsed="false">
      <c r="A31591" s="0" t="s">
        <v>12321</v>
      </c>
      <c r="B31591" s="0" t="str">
        <f aca="false">HYPERLINK("https://lindat.mff.cuni.cz/services/teitok/pdtc10/index.php?action=vallex&amp;frame=v-w4361f1", "prohlédnout si (v-w4361f1) - substituted with v-w4361hsa_563")</f>
        <v>prohlédnout si (v-w4361f1) - substituted with v-w4361hsa_563</v>
      </c>
      <c r="E31591" s="0" t="str">
        <f aca="false">HYPERLINK("https://lindat.mff.cuni.cz/services/SynSemClass40/SynSemClass40.html?veclass=vec00869#vec00869-ces-cm00025", "vec00869")</f>
        <v>vec00869</v>
      </c>
      <c r="F31591" s="0" t="s">
        <v>3855</v>
      </c>
      <c r="H31591" s="0" t="str">
        <f aca="false">HYPERLINK("https://lindat.mff.cuni.cz/services/SynSemClass40/SynSemClass40.html?veclass=vec01515#vec01515-ces-cm00008", "vec01515")</f>
        <v>vec01515</v>
      </c>
      <c r="I31591" s="0" t="s">
        <v>12322</v>
      </c>
    </row>
    <row r="31592" customFormat="false" ht="12.8" hidden="false" customHeight="false" outlineLevel="0" collapsed="false">
      <c r="B31592" s="0" t="s">
        <v>1</v>
      </c>
      <c r="C31592" s="0" t="s">
        <v>12323</v>
      </c>
      <c r="E31592" s="0" t="s">
        <v>3856</v>
      </c>
      <c r="F31592" s="0" t="s">
        <v>3857</v>
      </c>
      <c r="H31592" s="0" t="s">
        <v>3856</v>
      </c>
      <c r="I31592" s="0" t="s">
        <v>3857</v>
      </c>
    </row>
    <row r="31593" customFormat="false" ht="12.8" hidden="false" customHeight="false" outlineLevel="0" collapsed="false">
      <c r="B31593" s="0" t="s">
        <v>305</v>
      </c>
      <c r="C31593" s="0" t="s">
        <v>12324</v>
      </c>
      <c r="E31593" s="0" t="s">
        <v>384</v>
      </c>
      <c r="F31593" s="0" t="s">
        <v>12325</v>
      </c>
      <c r="H31593" s="0" t="s">
        <v>119</v>
      </c>
      <c r="I31593" s="0" t="s">
        <v>12326</v>
      </c>
    </row>
    <row r="31595" customFormat="false" ht="12.8" hidden="false" customHeight="false" outlineLevel="0" collapsed="false">
      <c r="A31595" s="0" t="s">
        <v>12327</v>
      </c>
      <c r="B31595" s="0" t="str">
        <f aca="false">HYPERLINK("https://lindat.mff.cuni.cz/services/teitok/pdtc10/index.php?action=vallex&amp;frame=v-whsa_1911f1_ZU", "prohlídnout (v-whsa_1911f1_ZU)")</f>
        <v>prohlídnout (v-whsa_1911f1_ZU)</v>
      </c>
    </row>
    <row r="31596" customFormat="false" ht="12.8" hidden="false" customHeight="false" outlineLevel="0" collapsed="false">
      <c r="B31596" s="0" t="s">
        <v>1</v>
      </c>
    </row>
    <row r="31597" customFormat="false" ht="12.8" hidden="false" customHeight="false" outlineLevel="0" collapsed="false">
      <c r="B31597" s="0" t="s">
        <v>2265</v>
      </c>
    </row>
    <row r="31599" customFormat="false" ht="12.8" hidden="false" customHeight="false" outlineLevel="0" collapsed="false">
      <c r="A31599" s="0" t="s">
        <v>12327</v>
      </c>
      <c r="B31599" s="0" t="str">
        <f aca="false">HYPERLINK("https://lindat.mff.cuni.cz/services/teitok/pdtc10/index.php?action=vallex&amp;frame=v-whsa_1911hsa_1912", "prohlídnout (v-whsa_1911hsa_1912) - substituted with v-whsa_1911f1_ZU")</f>
        <v>prohlídnout (v-whsa_1911hsa_1912) - substituted with v-whsa_1911f1_ZU</v>
      </c>
    </row>
    <row r="31600" customFormat="false" ht="12.8" hidden="false" customHeight="false" outlineLevel="0" collapsed="false">
      <c r="B31600" s="0" t="s">
        <v>1</v>
      </c>
    </row>
    <row r="31601" customFormat="false" ht="12.8" hidden="false" customHeight="false" outlineLevel="0" collapsed="false">
      <c r="B31601" s="0" t="s">
        <v>2265</v>
      </c>
    </row>
    <row r="31603" customFormat="false" ht="12.8" hidden="false" customHeight="false" outlineLevel="0" collapsed="false">
      <c r="A31603" s="0" t="s">
        <v>12328</v>
      </c>
      <c r="B31603" s="0" t="str">
        <f aca="false">HYPERLINK("https://lindat.mff.cuni.cz/services/teitok/pdtc10/index.php?action=vallex&amp;frame=v-whsa_1209hsa_1210", "prohlídnout si (v-whsa_1209hsa_1210)")</f>
        <v>prohlídnout si (v-whsa_1209hsa_1210)</v>
      </c>
    </row>
    <row r="31604" customFormat="false" ht="12.8" hidden="false" customHeight="false" outlineLevel="0" collapsed="false">
      <c r="B31604" s="0" t="s">
        <v>1</v>
      </c>
    </row>
    <row r="31605" customFormat="false" ht="12.8" hidden="false" customHeight="false" outlineLevel="0" collapsed="false">
      <c r="B31605" s="0" t="s">
        <v>8</v>
      </c>
    </row>
    <row r="31607" customFormat="false" ht="12.8" hidden="false" customHeight="false" outlineLevel="0" collapsed="false">
      <c r="A31607" s="0" t="s">
        <v>12329</v>
      </c>
      <c r="B31607" s="0" t="str">
        <f aca="false">HYPERLINK("https://lindat.mff.cuni.cz/services/teitok/pdtc10/index.php?action=vallex&amp;frame=v-w4363f1", "prohlížet (v-w4363f1)")</f>
        <v>prohlížet (v-w4363f1)</v>
      </c>
    </row>
    <row r="31608" customFormat="false" ht="12.8" hidden="false" customHeight="false" outlineLevel="0" collapsed="false">
      <c r="B31608" s="0" t="s">
        <v>1</v>
      </c>
    </row>
    <row r="31609" customFormat="false" ht="12.8" hidden="false" customHeight="false" outlineLevel="0" collapsed="false">
      <c r="B31609" s="0" t="s">
        <v>8</v>
      </c>
    </row>
    <row r="31611" customFormat="false" ht="12.8" hidden="false" customHeight="false" outlineLevel="0" collapsed="false">
      <c r="A31611" s="0" t="s">
        <v>12330</v>
      </c>
      <c r="B31611" s="0" t="str">
        <f aca="false">HYPERLINK("https://lindat.mff.cuni.cz/services/teitok/pdtc10/index.php?action=vallex&amp;frame=v-w4363f2", "prohlížet (v-w4363f2)")</f>
        <v>prohlížet (v-w4363f2)</v>
      </c>
    </row>
    <row r="31612" customFormat="false" ht="12.8" hidden="false" customHeight="false" outlineLevel="0" collapsed="false">
      <c r="B31612" s="0" t="s">
        <v>1</v>
      </c>
    </row>
    <row r="31613" customFormat="false" ht="12.8" hidden="false" customHeight="false" outlineLevel="0" collapsed="false">
      <c r="B31613" s="0" t="s">
        <v>8</v>
      </c>
    </row>
    <row r="31615" customFormat="false" ht="12.8" hidden="false" customHeight="false" outlineLevel="0" collapsed="false">
      <c r="A31615" s="0" t="s">
        <v>12331</v>
      </c>
      <c r="B31615" s="0" t="str">
        <f aca="false">HYPERLINK("https://lindat.mff.cuni.cz/services/teitok/pdtc10/index.php?action=vallex&amp;frame=v-w4364f1", "prohlížet si (v-w4364f1)")</f>
        <v>prohlížet si (v-w4364f1)</v>
      </c>
      <c r="E31615" s="0" t="str">
        <f aca="false">HYPERLINK("https://lindat.mff.cuni.cz/services/SynSemClass40/SynSemClass40.html?veclass=vec01515#vec01515-ces-cm00009", "vec01515")</f>
        <v>vec01515</v>
      </c>
      <c r="F31615" s="0" t="s">
        <v>12322</v>
      </c>
    </row>
    <row r="31616" customFormat="false" ht="12.8" hidden="false" customHeight="false" outlineLevel="0" collapsed="false">
      <c r="B31616" s="0" t="s">
        <v>1</v>
      </c>
      <c r="C31616" s="0" t="s">
        <v>3727</v>
      </c>
      <c r="E31616" s="0" t="s">
        <v>3856</v>
      </c>
      <c r="F31616" s="0" t="s">
        <v>3857</v>
      </c>
    </row>
    <row r="31617" customFormat="false" ht="12.8" hidden="false" customHeight="false" outlineLevel="0" collapsed="false">
      <c r="B31617" s="0" t="s">
        <v>8</v>
      </c>
      <c r="C31617" s="0" t="s">
        <v>12332</v>
      </c>
      <c r="E31617" s="0" t="s">
        <v>119</v>
      </c>
      <c r="F31617" s="0" t="s">
        <v>12326</v>
      </c>
    </row>
    <row r="31619" customFormat="false" ht="12.8" hidden="false" customHeight="false" outlineLevel="0" collapsed="false">
      <c r="A31619" s="0" t="s">
        <v>12333</v>
      </c>
      <c r="B31619" s="0" t="str">
        <f aca="false">HYPERLINK("https://lindat.mff.cuni.cz/services/teitok/pdtc10/index.php?action=vallex&amp;frame=v-w11385f2", "prohnat se (v-w11385f2)")</f>
        <v>prohnat se (v-w11385f2)</v>
      </c>
      <c r="E31619" s="0" t="str">
        <f aca="false">HYPERLINK("https://lindat.mff.cuni.cz/services/SynSemClass40/SynSemClass40.html?veclass=vec00881#vec00881-ces-cm00001", "vec00881")</f>
        <v>vec00881</v>
      </c>
      <c r="F31619" s="0" t="s">
        <v>12334</v>
      </c>
    </row>
    <row r="31620" customFormat="false" ht="12.8" hidden="false" customHeight="false" outlineLevel="0" collapsed="false">
      <c r="B31620" s="0" t="s">
        <v>1</v>
      </c>
      <c r="C31620" s="0" t="s">
        <v>12335</v>
      </c>
      <c r="E31620" s="0" t="s">
        <v>334</v>
      </c>
      <c r="F31620" s="0" t="s">
        <v>12336</v>
      </c>
    </row>
    <row r="31621" customFormat="false" ht="12.8" hidden="false" customHeight="false" outlineLevel="0" collapsed="false">
      <c r="B31621" s="0" t="s">
        <v>336</v>
      </c>
      <c r="E31621" s="0" t="s">
        <v>338</v>
      </c>
      <c r="F31621" s="0" t="s">
        <v>12214</v>
      </c>
    </row>
    <row r="31623" customFormat="false" ht="12.8" hidden="false" customHeight="false" outlineLevel="0" collapsed="false">
      <c r="A31623" s="0" t="s">
        <v>12337</v>
      </c>
      <c r="B31623" s="0" t="str">
        <f aca="false">HYPERLINK("https://lindat.mff.cuni.cz/services/teitok/pdtc10/index.php?action=vallex&amp;frame=v-whsa_425hsa_426", "prohnout (v-whsa_425hsa_426)")</f>
        <v>prohnout (v-whsa_425hsa_426)</v>
      </c>
    </row>
    <row r="31624" customFormat="false" ht="12.8" hidden="false" customHeight="false" outlineLevel="0" collapsed="false">
      <c r="B31624" s="0" t="s">
        <v>1</v>
      </c>
    </row>
    <row r="31625" customFormat="false" ht="12.8" hidden="false" customHeight="false" outlineLevel="0" collapsed="false">
      <c r="B31625" s="0" t="s">
        <v>8</v>
      </c>
    </row>
    <row r="31627" customFormat="false" ht="12.8" hidden="false" customHeight="false" outlineLevel="0" collapsed="false">
      <c r="A31627" s="0" t="s">
        <v>12338</v>
      </c>
      <c r="B31627" s="0" t="str">
        <f aca="false">HYPERLINK("https://lindat.mff.cuni.cz/services/teitok/pdtc10/index.php?action=vallex&amp;frame=v-w11391f1", "prohnout se (v-w11391f1)")</f>
        <v>prohnout se (v-w11391f1)</v>
      </c>
      <c r="E31627" s="0" t="str">
        <f aca="false">HYPERLINK("https://lindat.mff.cuni.cz/services/SynSemClass40/SynSemClass40.html?veclass=vec00993#vec00993-ces-cm00002", "vec00993")</f>
        <v>vec00993</v>
      </c>
      <c r="F31627" s="0" t="s">
        <v>9590</v>
      </c>
    </row>
    <row r="31628" customFormat="false" ht="12.8" hidden="false" customHeight="false" outlineLevel="0" collapsed="false">
      <c r="B31628" s="0" t="s">
        <v>1</v>
      </c>
      <c r="C31628" s="0" t="s">
        <v>2087</v>
      </c>
      <c r="E31628" s="0" t="s">
        <v>235</v>
      </c>
      <c r="F31628" s="0" t="s">
        <v>9592</v>
      </c>
    </row>
    <row r="31630" customFormat="false" ht="12.8" hidden="false" customHeight="false" outlineLevel="0" collapsed="false">
      <c r="A31630" s="0" t="s">
        <v>12339</v>
      </c>
      <c r="B31630" s="0" t="str">
        <f aca="false">HYPERLINK("https://lindat.mff.cuni.cz/services/teitok/pdtc10/index.php?action=vallex&amp;frame=v-w11391hsa_1854", "prohnout se (v-w11391hsa_1854)")</f>
        <v>prohnout se (v-w11391hsa_1854)</v>
      </c>
    </row>
    <row r="31631" customFormat="false" ht="12.8" hidden="false" customHeight="false" outlineLevel="0" collapsed="false">
      <c r="B31631" s="0" t="s">
        <v>1</v>
      </c>
    </row>
    <row r="31633" customFormat="false" ht="12.8" hidden="false" customHeight="false" outlineLevel="0" collapsed="false">
      <c r="A31633" s="0" t="s">
        <v>12340</v>
      </c>
      <c r="B31633" s="0" t="str">
        <f aca="false">HYPERLINK("https://lindat.mff.cuni.cz/services/teitok/pdtc10/index.php?action=vallex&amp;frame=v-w4371f1", "prohodit (v-w4371f1)")</f>
        <v>prohodit (v-w4371f1)</v>
      </c>
    </row>
    <row r="31634" customFormat="false" ht="12.8" hidden="false" customHeight="false" outlineLevel="0" collapsed="false">
      <c r="B31634" s="0" t="s">
        <v>1</v>
      </c>
    </row>
    <row r="31635" customFormat="false" ht="12.8" hidden="false" customHeight="false" outlineLevel="0" collapsed="false">
      <c r="B31635" s="0" t="s">
        <v>8</v>
      </c>
    </row>
    <row r="31636" customFormat="false" ht="12.8" hidden="false" customHeight="false" outlineLevel="0" collapsed="false">
      <c r="B31636" s="0" t="s">
        <v>276</v>
      </c>
    </row>
    <row r="31638" customFormat="false" ht="12.8" hidden="false" customHeight="false" outlineLevel="0" collapsed="false">
      <c r="A31638" s="0" t="s">
        <v>12341</v>
      </c>
      <c r="B31638" s="0" t="str">
        <f aca="false">HYPERLINK("https://lindat.mff.cuni.cz/services/teitok/pdtc10/index.php?action=vallex&amp;frame=v-w4371f2", "prohodit (v-w4371f2)")</f>
        <v>prohodit (v-w4371f2)</v>
      </c>
    </row>
    <row r="31639" customFormat="false" ht="12.8" hidden="false" customHeight="false" outlineLevel="0" collapsed="false">
      <c r="B31639" s="0" t="s">
        <v>1</v>
      </c>
    </row>
    <row r="31640" customFormat="false" ht="12.8" hidden="false" customHeight="false" outlineLevel="0" collapsed="false">
      <c r="B31640" s="0" t="s">
        <v>8</v>
      </c>
    </row>
    <row r="31641" customFormat="false" ht="12.8" hidden="false" customHeight="false" outlineLevel="0" collapsed="false">
      <c r="B31641" s="0" t="s">
        <v>10565</v>
      </c>
    </row>
    <row r="31643" customFormat="false" ht="12.8" hidden="false" customHeight="false" outlineLevel="0" collapsed="false">
      <c r="A31643" s="0" t="s">
        <v>12342</v>
      </c>
      <c r="B31643" s="0" t="str">
        <f aca="false">HYPERLINK("https://lindat.mff.cuni.cz/services/teitok/pdtc10/index.php?action=vallex&amp;frame=v-w4371f3", "prohodit (v-w4371f3)")</f>
        <v>prohodit (v-w4371f3)</v>
      </c>
    </row>
    <row r="31644" customFormat="false" ht="12.8" hidden="false" customHeight="false" outlineLevel="0" collapsed="false">
      <c r="B31644" s="0" t="s">
        <v>1</v>
      </c>
    </row>
    <row r="31645" customFormat="false" ht="12.8" hidden="false" customHeight="false" outlineLevel="0" collapsed="false">
      <c r="B31645" s="0" t="s">
        <v>8</v>
      </c>
    </row>
    <row r="31647" customFormat="false" ht="12.8" hidden="false" customHeight="false" outlineLevel="0" collapsed="false">
      <c r="A31647" s="0" t="s">
        <v>12343</v>
      </c>
      <c r="B31647" s="0" t="str">
        <f aca="false">HYPERLINK("https://lindat.mff.cuni.cz/services/teitok/pdtc10/index.php?action=vallex&amp;frame=v-w4371f5_ZU", "prohodit (v-w4371f5_ZU)")</f>
        <v>prohodit (v-w4371f5_ZU)</v>
      </c>
    </row>
    <row r="31648" customFormat="false" ht="12.8" hidden="false" customHeight="false" outlineLevel="0" collapsed="false">
      <c r="B31648" s="0" t="s">
        <v>1</v>
      </c>
    </row>
    <row r="31649" customFormat="false" ht="12.8" hidden="false" customHeight="false" outlineLevel="0" collapsed="false">
      <c r="B31649" s="0" t="s">
        <v>1332</v>
      </c>
    </row>
    <row r="31651" customFormat="false" ht="12.8" hidden="false" customHeight="false" outlineLevel="0" collapsed="false">
      <c r="A31651" s="0" t="s">
        <v>12343</v>
      </c>
      <c r="B31651" s="0" t="str">
        <f aca="false">HYPERLINK("https://lindat.mff.cuni.cz/services/teitok/pdtc10/index.php?action=vallex&amp;frame=v-w4371f4_ZU", "prohodit (v-w4371f4_ZU) - substituted with v-w4371f5_ZU")</f>
        <v>prohodit (v-w4371f4_ZU) - substituted with v-w4371f5_ZU</v>
      </c>
    </row>
    <row r="31652" customFormat="false" ht="12.8" hidden="false" customHeight="false" outlineLevel="0" collapsed="false">
      <c r="B31652" s="0" t="s">
        <v>1</v>
      </c>
    </row>
    <row r="31653" customFormat="false" ht="12.8" hidden="false" customHeight="false" outlineLevel="0" collapsed="false">
      <c r="B31653" s="0" t="s">
        <v>1332</v>
      </c>
    </row>
    <row r="31655" customFormat="false" ht="12.8" hidden="false" customHeight="false" outlineLevel="0" collapsed="false">
      <c r="A31655" s="0" t="s">
        <v>12344</v>
      </c>
      <c r="B31655" s="0" t="str">
        <f aca="false">HYPERLINK("https://lindat.mff.cuni.cz/services/teitok/pdtc10/index.php?action=vallex&amp;frame=v-w11455f2", "prohodit si (v-w11455f2)")</f>
        <v>prohodit si (v-w11455f2)</v>
      </c>
    </row>
    <row r="31656" customFormat="false" ht="12.8" hidden="false" customHeight="false" outlineLevel="0" collapsed="false">
      <c r="B31656" s="0" t="s">
        <v>1</v>
      </c>
    </row>
    <row r="31657" customFormat="false" ht="12.8" hidden="false" customHeight="false" outlineLevel="0" collapsed="false">
      <c r="B31657" s="0" t="s">
        <v>8</v>
      </c>
    </row>
    <row r="31658" customFormat="false" ht="12.8" hidden="false" customHeight="false" outlineLevel="0" collapsed="false">
      <c r="B31658" s="0" t="s">
        <v>3205</v>
      </c>
    </row>
    <row r="31659" customFormat="false" ht="12.8" hidden="false" customHeight="false" outlineLevel="0" collapsed="false">
      <c r="B31659" s="0" t="s">
        <v>723</v>
      </c>
    </row>
    <row r="31661" customFormat="false" ht="12.8" hidden="false" customHeight="false" outlineLevel="0" collapsed="false">
      <c r="A31661" s="0" t="s">
        <v>12345</v>
      </c>
      <c r="B31661" s="0" t="str">
        <f aca="false">HYPERLINK("https://lindat.mff.cuni.cz/services/teitok/pdtc10/index.php?action=vallex&amp;frame=v-w11686_ZUf1_ZU", "prohovořit (v-w11686_ZUf1_ZU)")</f>
        <v>prohovořit (v-w11686_ZUf1_ZU)</v>
      </c>
    </row>
    <row r="31662" customFormat="false" ht="12.8" hidden="false" customHeight="false" outlineLevel="0" collapsed="false">
      <c r="B31662" s="0" t="s">
        <v>1</v>
      </c>
    </row>
    <row r="31663" customFormat="false" ht="12.8" hidden="false" customHeight="false" outlineLevel="0" collapsed="false">
      <c r="B31663" s="0" t="s">
        <v>8</v>
      </c>
    </row>
    <row r="31664" customFormat="false" ht="12.8" hidden="false" customHeight="false" outlineLevel="0" collapsed="false">
      <c r="B31664" s="0" t="s">
        <v>276</v>
      </c>
    </row>
    <row r="31666" customFormat="false" ht="12.8" hidden="false" customHeight="false" outlineLevel="0" collapsed="false">
      <c r="A31666" s="0" t="s">
        <v>12346</v>
      </c>
      <c r="B31666" s="0" t="str">
        <f aca="false">HYPERLINK("https://lindat.mff.cuni.cz/services/teitok/pdtc10/index.php?action=vallex&amp;frame=v-w12240_ZUf1_ZU", "prohrabovat (v-w12240_ZUf1_ZU)")</f>
        <v>prohrabovat (v-w12240_ZUf1_ZU)</v>
      </c>
    </row>
    <row r="31667" customFormat="false" ht="12.8" hidden="false" customHeight="false" outlineLevel="0" collapsed="false">
      <c r="B31667" s="0" t="s">
        <v>1</v>
      </c>
    </row>
    <row r="31668" customFormat="false" ht="12.8" hidden="false" customHeight="false" outlineLevel="0" collapsed="false">
      <c r="B31668" s="0" t="s">
        <v>8</v>
      </c>
    </row>
    <row r="31670" customFormat="false" ht="12.8" hidden="false" customHeight="false" outlineLevel="0" collapsed="false">
      <c r="A31670" s="0" t="s">
        <v>12347</v>
      </c>
      <c r="B31670" s="0" t="str">
        <f aca="false">HYPERLINK("https://lindat.mff.cuni.cz/services/teitok/pdtc10/index.php?action=vallex&amp;frame=v-w10455f2", "prohrabávat (v-w10455f2)")</f>
        <v>prohrabávat (v-w10455f2)</v>
      </c>
      <c r="E31670" s="0" t="str">
        <f aca="false">HYPERLINK("https://lindat.mff.cuni.cz/services/SynSemClass40/SynSemClass40.html?veclass=vec01216#vec01216-ces-cm00002", "vec01216")</f>
        <v>vec01216</v>
      </c>
      <c r="F31670" s="0" t="s">
        <v>4555</v>
      </c>
    </row>
    <row r="31671" customFormat="false" ht="12.8" hidden="false" customHeight="false" outlineLevel="0" collapsed="false">
      <c r="B31671" s="0" t="s">
        <v>1</v>
      </c>
      <c r="C31671" s="0" t="s">
        <v>459</v>
      </c>
      <c r="E31671" s="0" t="s">
        <v>31</v>
      </c>
      <c r="F31671" s="0" t="s">
        <v>2437</v>
      </c>
    </row>
    <row r="31672" customFormat="false" ht="12.8" hidden="false" customHeight="false" outlineLevel="0" collapsed="false">
      <c r="B31672" s="0" t="s">
        <v>8</v>
      </c>
      <c r="C31672" s="0" t="s">
        <v>1940</v>
      </c>
      <c r="E31672" s="0" t="s">
        <v>514</v>
      </c>
      <c r="F31672" s="0" t="s">
        <v>12348</v>
      </c>
    </row>
    <row r="31674" customFormat="false" ht="12.8" hidden="false" customHeight="false" outlineLevel="0" collapsed="false">
      <c r="A31674" s="0" t="s">
        <v>12349</v>
      </c>
      <c r="B31674" s="0" t="str">
        <f aca="false">HYPERLINK("https://lindat.mff.cuni.cz/services/teitok/pdtc10/index.php?action=vallex&amp;frame=v-w11929_ZUf1_ZU", "prohrabávat se (v-w11929_ZUf1_ZU)")</f>
        <v>prohrabávat se (v-w11929_ZUf1_ZU)</v>
      </c>
    </row>
    <row r="31675" customFormat="false" ht="12.8" hidden="false" customHeight="false" outlineLevel="0" collapsed="false">
      <c r="B31675" s="0" t="s">
        <v>1</v>
      </c>
    </row>
    <row r="31676" customFormat="false" ht="12.8" hidden="false" customHeight="false" outlineLevel="0" collapsed="false">
      <c r="B31676" s="0" t="s">
        <v>4966</v>
      </c>
    </row>
    <row r="31678" customFormat="false" ht="12.8" hidden="false" customHeight="false" outlineLevel="0" collapsed="false">
      <c r="A31678" s="0" t="s">
        <v>12350</v>
      </c>
      <c r="B31678" s="0" t="str">
        <f aca="false">HYPERLINK("https://lindat.mff.cuni.cz/services/teitok/pdtc10/index.php?action=vallex&amp;frame=v-w4374f2_ZU", "prohrát (v-w4374f2_ZU)")</f>
        <v>prohrát (v-w4374f2_ZU)</v>
      </c>
    </row>
    <row r="31679" customFormat="false" ht="12.8" hidden="false" customHeight="false" outlineLevel="0" collapsed="false">
      <c r="B31679" s="0" t="s">
        <v>1</v>
      </c>
    </row>
    <row r="31680" customFormat="false" ht="12.8" hidden="false" customHeight="false" outlineLevel="0" collapsed="false">
      <c r="B31680" s="0" t="s">
        <v>12351</v>
      </c>
    </row>
    <row r="31681" customFormat="false" ht="12.8" hidden="false" customHeight="false" outlineLevel="0" collapsed="false">
      <c r="B31681" s="0" t="s">
        <v>3153</v>
      </c>
    </row>
    <row r="31683" customFormat="false" ht="12.8" hidden="false" customHeight="false" outlineLevel="0" collapsed="false">
      <c r="A31683" s="0" t="s">
        <v>12350</v>
      </c>
      <c r="B31683" s="0" t="str">
        <f aca="false">HYPERLINK("https://lindat.mff.cuni.cz/services/teitok/pdtc10/index.php?action=vallex&amp;frame=v-w4374f1", "prohrát (v-w4374f1) - substituted with v-w4374f2_ZU")</f>
        <v>prohrát (v-w4374f1) - substituted with v-w4374f2_ZU</v>
      </c>
      <c r="E31683" s="0" t="str">
        <f aca="false">HYPERLINK("https://lindat.mff.cuni.cz/services/SynSemClass40/SynSemClass40.html?veclass=vec00275#vec00275-ces-cm00001", "vec00275")</f>
        <v>vec00275</v>
      </c>
      <c r="F31683" s="0" t="s">
        <v>12352</v>
      </c>
    </row>
    <row r="31684" customFormat="false" ht="12.8" hidden="false" customHeight="false" outlineLevel="0" collapsed="false">
      <c r="B31684" s="0" t="s">
        <v>1</v>
      </c>
      <c r="C31684" s="0" t="s">
        <v>3091</v>
      </c>
      <c r="E31684" s="0" t="s">
        <v>10404</v>
      </c>
      <c r="F31684" s="0" t="s">
        <v>12353</v>
      </c>
    </row>
    <row r="31685" customFormat="false" ht="12.8" hidden="false" customHeight="false" outlineLevel="0" collapsed="false">
      <c r="B31685" s="0" t="s">
        <v>12351</v>
      </c>
      <c r="C31685" s="0" t="s">
        <v>12354</v>
      </c>
      <c r="E31685" s="0" t="s">
        <v>432</v>
      </c>
      <c r="F31685" s="0" t="s">
        <v>12355</v>
      </c>
    </row>
    <row r="31686" customFormat="false" ht="12.8" hidden="false" customHeight="false" outlineLevel="0" collapsed="false">
      <c r="B31686" s="0" t="s">
        <v>3153</v>
      </c>
      <c r="C31686" s="0" t="s">
        <v>1391</v>
      </c>
      <c r="E31686" s="0" t="s">
        <v>12356</v>
      </c>
      <c r="F31686" s="0" t="s">
        <v>12357</v>
      </c>
    </row>
    <row r="31688" customFormat="false" ht="12.8" hidden="false" customHeight="false" outlineLevel="0" collapsed="false">
      <c r="A31688" s="0" t="s">
        <v>12358</v>
      </c>
      <c r="B31688" s="0" t="str">
        <f aca="false">HYPERLINK("https://lindat.mff.cuni.cz/services/teitok/pdtc10/index.php?action=vallex&amp;frame=v-w4375f1", "prohrávat (v-w4375f1)")</f>
        <v>prohrávat (v-w4375f1)</v>
      </c>
      <c r="E31688" s="0" t="str">
        <f aca="false">HYPERLINK("https://lindat.mff.cuni.cz/services/SynSemClass40/SynSemClass40.html?veclass=vec00275#vec00275-ces-cm00004", "vec00275")</f>
        <v>vec00275</v>
      </c>
      <c r="F31688" s="0" t="s">
        <v>12352</v>
      </c>
    </row>
    <row r="31689" customFormat="false" ht="12.8" hidden="false" customHeight="false" outlineLevel="0" collapsed="false">
      <c r="B31689" s="0" t="s">
        <v>1</v>
      </c>
      <c r="C31689" s="0" t="s">
        <v>3091</v>
      </c>
      <c r="E31689" s="0" t="s">
        <v>10404</v>
      </c>
      <c r="F31689" s="0" t="s">
        <v>12353</v>
      </c>
    </row>
    <row r="31690" customFormat="false" ht="12.8" hidden="false" customHeight="false" outlineLevel="0" collapsed="false">
      <c r="B31690" s="0" t="s">
        <v>12351</v>
      </c>
      <c r="C31690" s="0" t="s">
        <v>12354</v>
      </c>
      <c r="E31690" s="0" t="s">
        <v>432</v>
      </c>
      <c r="F31690" s="0" t="s">
        <v>12355</v>
      </c>
    </row>
    <row r="31691" customFormat="false" ht="12.8" hidden="false" customHeight="false" outlineLevel="0" collapsed="false">
      <c r="B31691" s="0" t="s">
        <v>3153</v>
      </c>
      <c r="C31691" s="0" t="s">
        <v>1391</v>
      </c>
      <c r="E31691" s="0" t="s">
        <v>12356</v>
      </c>
      <c r="F31691" s="0" t="s">
        <v>12357</v>
      </c>
    </row>
    <row r="31693" customFormat="false" ht="12.8" hidden="false" customHeight="false" outlineLevel="0" collapsed="false">
      <c r="A31693" s="0" t="s">
        <v>12359</v>
      </c>
      <c r="B31693" s="0" t="str">
        <f aca="false">HYPERLINK("https://lindat.mff.cuni.cz/services/teitok/pdtc10/index.php?action=vallex&amp;frame=v-whsa_1562hsa_1563", "prohánět (v-whsa_1562hsa_1563)")</f>
        <v>prohánět (v-whsa_1562hsa_1563)</v>
      </c>
    </row>
    <row r="31694" customFormat="false" ht="12.8" hidden="false" customHeight="false" outlineLevel="0" collapsed="false">
      <c r="B31694" s="0" t="s">
        <v>1</v>
      </c>
    </row>
    <row r="31695" customFormat="false" ht="12.8" hidden="false" customHeight="false" outlineLevel="0" collapsed="false">
      <c r="B31695" s="0" t="s">
        <v>8</v>
      </c>
    </row>
    <row r="31697" customFormat="false" ht="12.8" hidden="false" customHeight="false" outlineLevel="0" collapsed="false">
      <c r="A31697" s="0" t="s">
        <v>12360</v>
      </c>
      <c r="B31697" s="0" t="str">
        <f aca="false">HYPERLINK("https://lindat.mff.cuni.cz/services/teitok/pdtc10/index.php?action=vallex&amp;frame=v-whsa_443f1_ZU", "prohánět se (v-whsa_443f1_ZU)")</f>
        <v>prohánět se (v-whsa_443f1_ZU)</v>
      </c>
    </row>
    <row r="31698" customFormat="false" ht="12.8" hidden="false" customHeight="false" outlineLevel="0" collapsed="false">
      <c r="B31698" s="0" t="s">
        <v>1</v>
      </c>
    </row>
    <row r="31700" customFormat="false" ht="12.8" hidden="false" customHeight="false" outlineLevel="0" collapsed="false">
      <c r="A31700" s="0" t="s">
        <v>12361</v>
      </c>
      <c r="B31700" s="0" t="str">
        <f aca="false">HYPERLINK("https://lindat.mff.cuni.cz/services/teitok/pdtc10/index.php?action=vallex&amp;frame=v-whsa_443hsa_444", "prohánět se (v-whsa_443hsa_444)")</f>
        <v>prohánět se (v-whsa_443hsa_444)</v>
      </c>
    </row>
    <row r="31701" customFormat="false" ht="12.8" hidden="false" customHeight="false" outlineLevel="0" collapsed="false">
      <c r="B31701" s="0" t="s">
        <v>1</v>
      </c>
    </row>
    <row r="31702" customFormat="false" ht="12.8" hidden="false" customHeight="false" outlineLevel="0" collapsed="false">
      <c r="B31702" s="0" t="s">
        <v>336</v>
      </c>
    </row>
    <row r="31704" customFormat="false" ht="12.8" hidden="false" customHeight="false" outlineLevel="0" collapsed="false">
      <c r="A31704" s="0" t="s">
        <v>12362</v>
      </c>
      <c r="B31704" s="0" t="str">
        <f aca="false">HYPERLINK("https://lindat.mff.cuni.cz/services/teitok/pdtc10/index.php?action=vallex&amp;frame=v-whsb_618hsa_619", "proházet (v-whsb_618hsa_619)")</f>
        <v>proházet (v-whsb_618hsa_619)</v>
      </c>
    </row>
    <row r="31705" customFormat="false" ht="12.8" hidden="false" customHeight="false" outlineLevel="0" collapsed="false">
      <c r="B31705" s="0" t="s">
        <v>1</v>
      </c>
    </row>
    <row r="31706" customFormat="false" ht="12.8" hidden="false" customHeight="false" outlineLevel="0" collapsed="false">
      <c r="B31706" s="0" t="s">
        <v>8</v>
      </c>
    </row>
    <row r="31708" customFormat="false" ht="12.8" hidden="false" customHeight="false" outlineLevel="0" collapsed="false">
      <c r="A31708" s="0" t="s">
        <v>12363</v>
      </c>
      <c r="B31708" s="0" t="str">
        <f aca="false">HYPERLINK("https://lindat.mff.cuni.cz/services/teitok/pdtc10/index.php?action=vallex&amp;frame=v-w4376f1", "prohřešit se (v-w4376f1)")</f>
        <v>prohřešit se (v-w4376f1)</v>
      </c>
    </row>
    <row r="31709" customFormat="false" ht="12.8" hidden="false" customHeight="false" outlineLevel="0" collapsed="false">
      <c r="B31709" s="0" t="s">
        <v>1</v>
      </c>
    </row>
    <row r="31711" customFormat="false" ht="12.8" hidden="false" customHeight="false" outlineLevel="0" collapsed="false">
      <c r="A31711" s="0" t="s">
        <v>12364</v>
      </c>
      <c r="B31711" s="0" t="str">
        <f aca="false">HYPERLINK("https://lindat.mff.cuni.cz/services/teitok/pdtc10/index.php?action=vallex&amp;frame=v-w12115_ZUf1_ZU", "prohřívat (v-w12115_ZUf1_ZU)")</f>
        <v>prohřívat (v-w12115_ZUf1_ZU)</v>
      </c>
    </row>
    <row r="31712" customFormat="false" ht="12.8" hidden="false" customHeight="false" outlineLevel="0" collapsed="false">
      <c r="B31712" s="0" t="s">
        <v>1</v>
      </c>
    </row>
    <row r="31713" customFormat="false" ht="12.8" hidden="false" customHeight="false" outlineLevel="0" collapsed="false">
      <c r="B31713" s="0" t="s">
        <v>8</v>
      </c>
    </row>
    <row r="31715" customFormat="false" ht="12.8" hidden="false" customHeight="false" outlineLevel="0" collapsed="false">
      <c r="A31715" s="0" t="s">
        <v>12365</v>
      </c>
      <c r="B31715" s="0" t="str">
        <f aca="false">HYPERLINK("https://lindat.mff.cuni.cz/services/teitok/pdtc10/index.php?action=vallex&amp;frame=v-w11130f2", "proinvestovat (v-w11130f2)")</f>
        <v>proinvestovat (v-w11130f2)</v>
      </c>
    </row>
    <row r="31716" customFormat="false" ht="12.8" hidden="false" customHeight="false" outlineLevel="0" collapsed="false">
      <c r="B31716" s="0" t="s">
        <v>1</v>
      </c>
    </row>
    <row r="31717" customFormat="false" ht="12.8" hidden="false" customHeight="false" outlineLevel="0" collapsed="false">
      <c r="B31717" s="0" t="s">
        <v>8</v>
      </c>
    </row>
    <row r="31719" customFormat="false" ht="12.8" hidden="false" customHeight="false" outlineLevel="0" collapsed="false">
      <c r="A31719" s="0" t="s">
        <v>12366</v>
      </c>
      <c r="B31719" s="0" t="str">
        <f aca="false">HYPERLINK("https://lindat.mff.cuni.cz/services/teitok/pdtc10/index.php?action=vallex&amp;frame=v-w4381f2", "projednat (v-w4381f2)")</f>
        <v>projednat (v-w4381f2)</v>
      </c>
      <c r="E31719" s="0" t="str">
        <f aca="false">HYPERLINK("https://lindat.mff.cuni.cz/services/SynSemClass40/SynSemClass40.html?veclass=vec00031#vec00031-ces-cm00052", "vec00031")</f>
        <v>vec00031</v>
      </c>
      <c r="F31719" s="0" t="s">
        <v>277</v>
      </c>
      <c r="H31719" s="0" t="str">
        <f aca="false">HYPERLINK("https://lindat.mff.cuni.cz/services/SynSemClass40/SynSemClass40.html?veclass=vec00162#vec00162-ces-cm00013", "vec00162")</f>
        <v>vec00162</v>
      </c>
      <c r="I31719" s="0" t="s">
        <v>1109</v>
      </c>
    </row>
    <row r="31720" customFormat="false" ht="12.8" hidden="false" customHeight="false" outlineLevel="0" collapsed="false">
      <c r="B31720" s="0" t="s">
        <v>1</v>
      </c>
      <c r="C31720" s="0" t="s">
        <v>12367</v>
      </c>
      <c r="E31720" s="0" t="s">
        <v>147</v>
      </c>
      <c r="F31720" s="0" t="s">
        <v>279</v>
      </c>
      <c r="H31720" s="0" t="s">
        <v>2241</v>
      </c>
      <c r="I31720" s="0" t="s">
        <v>2242</v>
      </c>
    </row>
    <row r="31721" customFormat="false" ht="12.8" hidden="false" customHeight="false" outlineLevel="0" collapsed="false">
      <c r="B31721" s="0" t="s">
        <v>8</v>
      </c>
      <c r="C31721" s="0" t="s">
        <v>12368</v>
      </c>
      <c r="E31721" s="0" t="s">
        <v>218</v>
      </c>
      <c r="F31721" s="0" t="s">
        <v>281</v>
      </c>
      <c r="H31721" s="0" t="s">
        <v>209</v>
      </c>
      <c r="I31721" s="0" t="s">
        <v>2245</v>
      </c>
    </row>
    <row r="31722" customFormat="false" ht="12.8" hidden="false" customHeight="false" outlineLevel="0" collapsed="false">
      <c r="B31722" s="0" t="s">
        <v>276</v>
      </c>
      <c r="C31722" s="0" t="s">
        <v>12369</v>
      </c>
      <c r="E31722" s="0" t="s">
        <v>221</v>
      </c>
      <c r="F31722" s="0" t="s">
        <v>283</v>
      </c>
      <c r="H31722" s="0" t="s">
        <v>2247</v>
      </c>
      <c r="I31722" s="0" t="s">
        <v>2248</v>
      </c>
    </row>
    <row r="31724" customFormat="false" ht="12.8" hidden="false" customHeight="false" outlineLevel="0" collapsed="false">
      <c r="A31724" s="0" t="s">
        <v>12370</v>
      </c>
      <c r="B31724" s="0" t="str">
        <f aca="false">HYPERLINK("https://lindat.mff.cuni.cz/services/teitok/pdtc10/index.php?action=vallex&amp;frame=v-w4381f1", "projednat (v-w4381f1)")</f>
        <v>projednat (v-w4381f1)</v>
      </c>
      <c r="E31724" s="0" t="str">
        <f aca="false">HYPERLINK("https://lindat.mff.cuni.cz/services/SynSemClass40/SynSemClass40.html?veclass=vec00162#vec00162-ces-cm00012", "vec00162")</f>
        <v>vec00162</v>
      </c>
      <c r="F31724" s="0" t="s">
        <v>1109</v>
      </c>
    </row>
    <row r="31725" customFormat="false" ht="12.8" hidden="false" customHeight="false" outlineLevel="0" collapsed="false">
      <c r="B31725" s="0" t="s">
        <v>1</v>
      </c>
      <c r="C31725" s="0" t="s">
        <v>2240</v>
      </c>
      <c r="E31725" s="0" t="s">
        <v>2241</v>
      </c>
      <c r="F31725" s="0" t="s">
        <v>2242</v>
      </c>
    </row>
    <row r="31726" customFormat="false" ht="12.8" hidden="false" customHeight="false" outlineLevel="0" collapsed="false">
      <c r="B31726" s="0" t="s">
        <v>12371</v>
      </c>
      <c r="C31726" s="0" t="s">
        <v>2244</v>
      </c>
      <c r="E31726" s="0" t="s">
        <v>209</v>
      </c>
      <c r="F31726" s="0" t="s">
        <v>2245</v>
      </c>
    </row>
    <row r="31728" customFormat="false" ht="12.8" hidden="false" customHeight="false" outlineLevel="0" collapsed="false">
      <c r="A31728" s="0" t="s">
        <v>12372</v>
      </c>
      <c r="B31728" s="0" t="str">
        <f aca="false">HYPERLINK("https://lindat.mff.cuni.cz/services/teitok/pdtc10/index.php?action=vallex&amp;frame=v-w4384f2", "projednávat (v-w4384f2)")</f>
        <v>projednávat (v-w4384f2)</v>
      </c>
      <c r="E31728" s="0" t="str">
        <f aca="false">HYPERLINK("https://lindat.mff.cuni.cz/services/SynSemClass40/SynSemClass40.html?veclass=vec00031#vec00031-ces-cm00054", "vec00031")</f>
        <v>vec00031</v>
      </c>
      <c r="F31728" s="0" t="s">
        <v>277</v>
      </c>
      <c r="H31728" s="0" t="str">
        <f aca="false">HYPERLINK("https://lindat.mff.cuni.cz/services/SynSemClass40/SynSemClass40.html?veclass=vec00162#vec00162-ces-cm00015", "vec00162")</f>
        <v>vec00162</v>
      </c>
      <c r="I31728" s="0" t="s">
        <v>1109</v>
      </c>
    </row>
    <row r="31729" customFormat="false" ht="12.8" hidden="false" customHeight="false" outlineLevel="0" collapsed="false">
      <c r="B31729" s="0" t="s">
        <v>1</v>
      </c>
      <c r="C31729" s="0" t="s">
        <v>12367</v>
      </c>
      <c r="E31729" s="0" t="s">
        <v>147</v>
      </c>
      <c r="F31729" s="0" t="s">
        <v>279</v>
      </c>
      <c r="H31729" s="0" t="s">
        <v>2241</v>
      </c>
      <c r="I31729" s="0" t="s">
        <v>2242</v>
      </c>
    </row>
    <row r="31730" customFormat="false" ht="12.8" hidden="false" customHeight="false" outlineLevel="0" collapsed="false">
      <c r="B31730" s="0" t="s">
        <v>8</v>
      </c>
      <c r="C31730" s="0" t="s">
        <v>12368</v>
      </c>
      <c r="E31730" s="0" t="s">
        <v>218</v>
      </c>
      <c r="F31730" s="0" t="s">
        <v>281</v>
      </c>
      <c r="H31730" s="0" t="s">
        <v>209</v>
      </c>
      <c r="I31730" s="0" t="s">
        <v>2245</v>
      </c>
    </row>
    <row r="31731" customFormat="false" ht="12.8" hidden="false" customHeight="false" outlineLevel="0" collapsed="false">
      <c r="B31731" s="0" t="s">
        <v>276</v>
      </c>
      <c r="C31731" s="0" t="s">
        <v>12369</v>
      </c>
      <c r="E31731" s="0" t="s">
        <v>221</v>
      </c>
      <c r="F31731" s="0" t="s">
        <v>283</v>
      </c>
      <c r="H31731" s="0" t="s">
        <v>2247</v>
      </c>
      <c r="I31731" s="0" t="s">
        <v>2248</v>
      </c>
    </row>
    <row r="31733" customFormat="false" ht="12.8" hidden="false" customHeight="false" outlineLevel="0" collapsed="false">
      <c r="A31733" s="0" t="s">
        <v>12373</v>
      </c>
      <c r="B31733" s="0" t="str">
        <f aca="false">HYPERLINK("https://lindat.mff.cuni.cz/services/teitok/pdtc10/index.php?action=vallex&amp;frame=v-w4384f1", "projednávat (v-w4384f1)")</f>
        <v>projednávat (v-w4384f1)</v>
      </c>
      <c r="E31733" s="0" t="str">
        <f aca="false">HYPERLINK("https://lindat.mff.cuni.cz/services/SynSemClass40/SynSemClass40.html?veclass=vec00162#vec00162-ces-cm00014", "vec00162")</f>
        <v>vec00162</v>
      </c>
      <c r="F31733" s="0" t="s">
        <v>1109</v>
      </c>
    </row>
    <row r="31734" customFormat="false" ht="12.8" hidden="false" customHeight="false" outlineLevel="0" collapsed="false">
      <c r="B31734" s="0" t="s">
        <v>1</v>
      </c>
      <c r="C31734" s="0" t="s">
        <v>2240</v>
      </c>
      <c r="E31734" s="0" t="s">
        <v>2241</v>
      </c>
      <c r="F31734" s="0" t="s">
        <v>2242</v>
      </c>
    </row>
    <row r="31735" customFormat="false" ht="12.8" hidden="false" customHeight="false" outlineLevel="0" collapsed="false">
      <c r="B31735" s="0" t="s">
        <v>12371</v>
      </c>
      <c r="C31735" s="0" t="s">
        <v>2244</v>
      </c>
      <c r="E31735" s="0" t="s">
        <v>209</v>
      </c>
      <c r="F31735" s="0" t="s">
        <v>2245</v>
      </c>
    </row>
    <row r="31737" customFormat="false" ht="12.8" hidden="false" customHeight="false" outlineLevel="0" collapsed="false">
      <c r="A31737" s="0" t="s">
        <v>12374</v>
      </c>
      <c r="B31737" s="0" t="str">
        <f aca="false">HYPERLINK("https://lindat.mff.cuni.cz/services/teitok/pdtc10/index.php?action=vallex&amp;frame=v-w4388f1", "projektovat (v-w4388f1)")</f>
        <v>projektovat (v-w4388f1)</v>
      </c>
    </row>
    <row r="31738" customFormat="false" ht="12.8" hidden="false" customHeight="false" outlineLevel="0" collapsed="false">
      <c r="B31738" s="0" t="s">
        <v>1</v>
      </c>
    </row>
    <row r="31739" customFormat="false" ht="12.8" hidden="false" customHeight="false" outlineLevel="0" collapsed="false">
      <c r="B31739" s="0" t="s">
        <v>8</v>
      </c>
    </row>
    <row r="31741" customFormat="false" ht="12.8" hidden="false" customHeight="false" outlineLevel="0" collapsed="false">
      <c r="A31741" s="0" t="s">
        <v>12375</v>
      </c>
      <c r="B31741" s="0" t="str">
        <f aca="false">HYPERLINK("https://lindat.mff.cuni.cz/services/teitok/pdtc10/index.php?action=vallex&amp;frame=v-w4389f6_ZU", "projet (v-w4389f6_ZU)")</f>
        <v>projet (v-w4389f6_ZU)</v>
      </c>
    </row>
    <row r="31742" customFormat="false" ht="12.8" hidden="false" customHeight="false" outlineLevel="0" collapsed="false">
      <c r="B31742" s="0" t="s">
        <v>1</v>
      </c>
    </row>
    <row r="31743" customFormat="false" ht="12.8" hidden="false" customHeight="false" outlineLevel="0" collapsed="false">
      <c r="B31743" s="0" t="s">
        <v>305</v>
      </c>
    </row>
    <row r="31745" customFormat="false" ht="12.8" hidden="false" customHeight="false" outlineLevel="0" collapsed="false">
      <c r="A31745" s="0" t="s">
        <v>12375</v>
      </c>
      <c r="B31745" s="0" t="str">
        <f aca="false">HYPERLINK("https://lindat.mff.cuni.cz/services/teitok/pdtc10/index.php?action=vallex&amp;frame=v-w4389f3", "projet (v-w4389f3) - substituted with v-w4389f6_ZU")</f>
        <v>projet (v-w4389f3) - substituted with v-w4389f6_ZU</v>
      </c>
    </row>
    <row r="31746" customFormat="false" ht="12.8" hidden="false" customHeight="false" outlineLevel="0" collapsed="false">
      <c r="B31746" s="0" t="s">
        <v>1</v>
      </c>
    </row>
    <row r="31747" customFormat="false" ht="12.8" hidden="false" customHeight="false" outlineLevel="0" collapsed="false">
      <c r="B31747" s="0" t="s">
        <v>305</v>
      </c>
    </row>
    <row r="31749" customFormat="false" ht="12.8" hidden="false" customHeight="false" outlineLevel="0" collapsed="false">
      <c r="A31749" s="0" t="s">
        <v>12376</v>
      </c>
      <c r="B31749" s="0" t="str">
        <f aca="false">HYPERLINK("https://lindat.mff.cuni.cz/services/teitok/pdtc10/index.php?action=vallex&amp;frame=v-w4389f2", "projet (v-w4389f2)")</f>
        <v>projet (v-w4389f2)</v>
      </c>
    </row>
    <row r="31750" customFormat="false" ht="12.8" hidden="false" customHeight="false" outlineLevel="0" collapsed="false">
      <c r="B31750" s="0" t="s">
        <v>1</v>
      </c>
    </row>
    <row r="31751" customFormat="false" ht="12.8" hidden="false" customHeight="false" outlineLevel="0" collapsed="false">
      <c r="B31751" s="0" t="s">
        <v>8</v>
      </c>
    </row>
    <row r="31753" customFormat="false" ht="12.8" hidden="false" customHeight="false" outlineLevel="0" collapsed="false">
      <c r="A31753" s="0" t="s">
        <v>12377</v>
      </c>
      <c r="B31753" s="0" t="str">
        <f aca="false">HYPERLINK("https://lindat.mff.cuni.cz/services/teitok/pdtc10/index.php?action=vallex&amp;frame=v-w4389f1", "projet (v-w4389f1)")</f>
        <v>projet (v-w4389f1)</v>
      </c>
      <c r="E31753" s="0" t="str">
        <f aca="false">HYPERLINK("https://lindat.mff.cuni.cz/services/SynSemClass40/SynSemClass40.html?veclass=vec00882#vec00882-ces-cm00001", "vec00882")</f>
        <v>vec00882</v>
      </c>
      <c r="F31753" s="0" t="s">
        <v>12378</v>
      </c>
    </row>
    <row r="31754" customFormat="false" ht="12.8" hidden="false" customHeight="false" outlineLevel="0" collapsed="false">
      <c r="B31754" s="0" t="s">
        <v>1</v>
      </c>
      <c r="C31754" s="0" t="s">
        <v>3375</v>
      </c>
      <c r="E31754" s="0" t="s">
        <v>334</v>
      </c>
      <c r="F31754" s="0" t="s">
        <v>4927</v>
      </c>
    </row>
    <row r="31755" customFormat="false" ht="12.8" hidden="false" customHeight="false" outlineLevel="0" collapsed="false">
      <c r="B31755" s="0" t="s">
        <v>336</v>
      </c>
      <c r="C31755" s="0" t="s">
        <v>12379</v>
      </c>
      <c r="E31755" s="0" t="s">
        <v>338</v>
      </c>
      <c r="F31755" s="0" t="s">
        <v>12380</v>
      </c>
    </row>
    <row r="31757" customFormat="false" ht="12.8" hidden="false" customHeight="false" outlineLevel="0" collapsed="false">
      <c r="A31757" s="0" t="s">
        <v>12381</v>
      </c>
      <c r="B31757" s="0" t="str">
        <f aca="false">HYPERLINK("https://lindat.mff.cuni.cz/services/teitok/pdtc10/index.php?action=vallex&amp;frame=v-w4389f4_ZU", "projet (v-w4389f4_ZU)")</f>
        <v>projet (v-w4389f4_ZU)</v>
      </c>
    </row>
    <row r="31758" customFormat="false" ht="12.8" hidden="false" customHeight="false" outlineLevel="0" collapsed="false">
      <c r="B31758" s="0" t="s">
        <v>1</v>
      </c>
    </row>
    <row r="31759" customFormat="false" ht="12.8" hidden="false" customHeight="false" outlineLevel="0" collapsed="false">
      <c r="B31759" s="0" t="s">
        <v>8</v>
      </c>
    </row>
    <row r="31761" customFormat="false" ht="12.8" hidden="false" customHeight="false" outlineLevel="0" collapsed="false">
      <c r="A31761" s="0" t="s">
        <v>12381</v>
      </c>
      <c r="B31761" s="0" t="str">
        <f aca="false">HYPERLINK("https://lindat.mff.cuni.cz/services/teitok/pdtc10/index.php?action=vallex&amp;frame=v-w4389hsa_798", "projet (v-w4389hsa_798) - substituted with v-w4389f4_ZU")</f>
        <v>projet (v-w4389hsa_798) - substituted with v-w4389f4_ZU</v>
      </c>
    </row>
    <row r="31762" customFormat="false" ht="12.8" hidden="false" customHeight="false" outlineLevel="0" collapsed="false">
      <c r="B31762" s="0" t="s">
        <v>1</v>
      </c>
    </row>
    <row r="31763" customFormat="false" ht="12.8" hidden="false" customHeight="false" outlineLevel="0" collapsed="false">
      <c r="B31763" s="0" t="s">
        <v>8</v>
      </c>
    </row>
    <row r="31765" customFormat="false" ht="12.8" hidden="false" customHeight="false" outlineLevel="0" collapsed="false">
      <c r="A31765" s="0" t="s">
        <v>12382</v>
      </c>
      <c r="B31765" s="0" t="str">
        <f aca="false">HYPERLINK("https://lindat.mff.cuni.cz/services/teitok/pdtc10/index.php?action=vallex&amp;frame=v-w4389f5_ZU", "projet (v-w4389f5_ZU)")</f>
        <v>projet (v-w4389f5_ZU)</v>
      </c>
    </row>
    <row r="31766" customFormat="false" ht="12.8" hidden="false" customHeight="false" outlineLevel="0" collapsed="false">
      <c r="B31766" s="0" t="s">
        <v>1</v>
      </c>
    </row>
    <row r="31767" customFormat="false" ht="12.8" hidden="false" customHeight="false" outlineLevel="0" collapsed="false">
      <c r="B31767" s="0" t="s">
        <v>286</v>
      </c>
    </row>
    <row r="31769" customFormat="false" ht="12.8" hidden="false" customHeight="false" outlineLevel="0" collapsed="false">
      <c r="A31769" s="0" t="s">
        <v>12383</v>
      </c>
      <c r="B31769" s="0" t="str">
        <f aca="false">HYPERLINK("https://lindat.mff.cuni.cz/services/teitok/pdtc10/index.php?action=vallex&amp;frame=v-w4390f1", "projet se (v-w4390f1)")</f>
        <v>projet se (v-w4390f1)</v>
      </c>
    </row>
    <row r="31770" customFormat="false" ht="12.8" hidden="false" customHeight="false" outlineLevel="0" collapsed="false">
      <c r="B31770" s="0" t="s">
        <v>1</v>
      </c>
    </row>
    <row r="31772" customFormat="false" ht="12.8" hidden="false" customHeight="false" outlineLevel="0" collapsed="false">
      <c r="A31772" s="0" t="s">
        <v>12384</v>
      </c>
      <c r="B31772" s="0" t="str">
        <f aca="false">HYPERLINK("https://lindat.mff.cuni.cz/services/teitok/pdtc10/index.php?action=vallex&amp;frame=v-w4392f3", "projevit (v-w4392f3)")</f>
        <v>projevit (v-w4392f3)</v>
      </c>
    </row>
    <row r="31773" customFormat="false" ht="12.8" hidden="false" customHeight="false" outlineLevel="0" collapsed="false">
      <c r="B31773" s="0" t="s">
        <v>1</v>
      </c>
    </row>
    <row r="31774" customFormat="false" ht="12.8" hidden="false" customHeight="false" outlineLevel="0" collapsed="false">
      <c r="B31774" s="0" t="s">
        <v>305</v>
      </c>
    </row>
    <row r="31776" customFormat="false" ht="12.8" hidden="false" customHeight="false" outlineLevel="0" collapsed="false">
      <c r="A31776" s="0" t="s">
        <v>12385</v>
      </c>
      <c r="B31776" s="0" t="str">
        <f aca="false">HYPERLINK("https://lindat.mff.cuni.cz/services/teitok/pdtc10/index.php?action=vallex&amp;frame=v-w4392f6_ZU", "projevit (v-w4392f6_ZU)")</f>
        <v>projevit (v-w4392f6_ZU)</v>
      </c>
    </row>
    <row r="31777" customFormat="false" ht="12.8" hidden="false" customHeight="false" outlineLevel="0" collapsed="false">
      <c r="B31777" s="0" t="s">
        <v>1</v>
      </c>
    </row>
    <row r="31778" customFormat="false" ht="12.8" hidden="false" customHeight="false" outlineLevel="0" collapsed="false">
      <c r="B31778" s="0" t="s">
        <v>12386</v>
      </c>
    </row>
    <row r="31779" customFormat="false" ht="12.8" hidden="false" customHeight="false" outlineLevel="0" collapsed="false">
      <c r="B31779" s="0" t="s">
        <v>132</v>
      </c>
    </row>
    <row r="31781" customFormat="false" ht="12.8" hidden="false" customHeight="false" outlineLevel="0" collapsed="false">
      <c r="A31781" s="0" t="s">
        <v>12385</v>
      </c>
      <c r="B31781" s="0" t="str">
        <f aca="false">HYPERLINK("https://lindat.mff.cuni.cz/services/teitok/pdtc10/index.php?action=vallex&amp;frame=v-w4392f2", "projevit (v-w4392f2) - substituted with v-w4392f6_ZU")</f>
        <v>projevit (v-w4392f2) - substituted with v-w4392f6_ZU</v>
      </c>
    </row>
    <row r="31782" customFormat="false" ht="12.8" hidden="false" customHeight="false" outlineLevel="0" collapsed="false">
      <c r="B31782" s="0" t="s">
        <v>1</v>
      </c>
    </row>
    <row r="31783" customFormat="false" ht="12.8" hidden="false" customHeight="false" outlineLevel="0" collapsed="false">
      <c r="B31783" s="0" t="s">
        <v>12386</v>
      </c>
    </row>
    <row r="31784" customFormat="false" ht="12.8" hidden="false" customHeight="false" outlineLevel="0" collapsed="false">
      <c r="B31784" s="0" t="s">
        <v>132</v>
      </c>
    </row>
    <row r="31786" customFormat="false" ht="12.8" hidden="false" customHeight="false" outlineLevel="0" collapsed="false">
      <c r="A31786" s="0" t="s">
        <v>12387</v>
      </c>
      <c r="B31786" s="0" t="str">
        <f aca="false">HYPERLINK("https://lindat.mff.cuni.cz/services/teitok/pdtc10/index.php?action=vallex&amp;frame=v-w4392hsa_443", "projevit (v-w4392hsa_443)")</f>
        <v>projevit (v-w4392hsa_443)</v>
      </c>
      <c r="E31786" s="0" t="str">
        <f aca="false">HYPERLINK("https://lindat.mff.cuni.cz/services/SynSemClass40/SynSemClass40.html?veclass=vec00243#vec00243-ces-cm00004", "vec00243")</f>
        <v>vec00243</v>
      </c>
      <c r="F31786" s="0" t="s">
        <v>816</v>
      </c>
      <c r="H31786" s="0" t="str">
        <f aca="false">HYPERLINK("https://lindat.mff.cuni.cz/services/SynSemClass40/SynSemClass40.html?veclass=vec00574#vec00574-ces-cm00040", "vec00574")</f>
        <v>vec00574</v>
      </c>
      <c r="I31786" s="0" t="s">
        <v>5067</v>
      </c>
    </row>
    <row r="31787" customFormat="false" ht="12.8" hidden="false" customHeight="false" outlineLevel="0" collapsed="false">
      <c r="B31787" s="0" t="s">
        <v>1</v>
      </c>
      <c r="C31787" s="0" t="s">
        <v>12388</v>
      </c>
      <c r="E31787" s="0" t="s">
        <v>155</v>
      </c>
      <c r="F31787" s="0" t="s">
        <v>818</v>
      </c>
      <c r="H31787" s="0" t="s">
        <v>621</v>
      </c>
      <c r="I31787" s="0" t="s">
        <v>5069</v>
      </c>
    </row>
    <row r="31788" customFormat="false" ht="12.8" hidden="false" customHeight="false" outlineLevel="0" collapsed="false">
      <c r="B31788" s="0" t="s">
        <v>12389</v>
      </c>
      <c r="C31788" s="0" t="s">
        <v>12390</v>
      </c>
      <c r="H31788" s="0" t="s">
        <v>12391</v>
      </c>
      <c r="I31788" s="0" t="s">
        <v>12392</v>
      </c>
    </row>
    <row r="31790" customFormat="false" ht="12.8" hidden="false" customHeight="false" outlineLevel="0" collapsed="false">
      <c r="A31790" s="0" t="s">
        <v>12387</v>
      </c>
      <c r="B31790" s="0" t="str">
        <f aca="false">HYPERLINK("https://lindat.mff.cuni.cz/services/teitok/pdtc10/index.php?action=vallex&amp;frame=v-w4392f1", "projevit (v-w4392f1) - substituted with v-w4392hsa_443")</f>
        <v>projevit (v-w4392f1) - substituted with v-w4392hsa_443</v>
      </c>
    </row>
    <row r="31791" customFormat="false" ht="12.8" hidden="false" customHeight="false" outlineLevel="0" collapsed="false">
      <c r="B31791" s="0" t="s">
        <v>1</v>
      </c>
    </row>
    <row r="31792" customFormat="false" ht="12.8" hidden="false" customHeight="false" outlineLevel="0" collapsed="false">
      <c r="B31792" s="0" t="s">
        <v>12389</v>
      </c>
    </row>
    <row r="31794" customFormat="false" ht="12.8" hidden="false" customHeight="false" outlineLevel="0" collapsed="false">
      <c r="A31794" s="0" t="s">
        <v>12387</v>
      </c>
      <c r="B31794" s="0" t="str">
        <f aca="false">HYPERLINK("https://lindat.mff.cuni.cz/services/teitok/pdtc10/index.php?action=vallex&amp;frame=v-w4392f4_ZU", "projevit (v-w4392f4_ZU) - substituted with v-w4392hsa_443")</f>
        <v>projevit (v-w4392f4_ZU) - substituted with v-w4392hsa_443</v>
      </c>
    </row>
    <row r="31795" customFormat="false" ht="12.8" hidden="false" customHeight="false" outlineLevel="0" collapsed="false">
      <c r="B31795" s="0" t="s">
        <v>1</v>
      </c>
    </row>
    <row r="31796" customFormat="false" ht="12.8" hidden="false" customHeight="false" outlineLevel="0" collapsed="false">
      <c r="B31796" s="0" t="s">
        <v>12389</v>
      </c>
    </row>
    <row r="31798" customFormat="false" ht="12.8" hidden="false" customHeight="false" outlineLevel="0" collapsed="false">
      <c r="A31798" s="0" t="s">
        <v>12387</v>
      </c>
      <c r="B31798" s="0" t="str">
        <f aca="false">HYPERLINK("https://lindat.mff.cuni.cz/services/teitok/pdtc10/index.php?action=vallex&amp;frame=v-w4392f5_ZU", "projevit (v-w4392f5_ZU) - substituted with v-w4392hsa_443")</f>
        <v>projevit (v-w4392f5_ZU) - substituted with v-w4392hsa_443</v>
      </c>
    </row>
    <row r="31799" customFormat="false" ht="12.8" hidden="false" customHeight="false" outlineLevel="0" collapsed="false">
      <c r="B31799" s="0" t="s">
        <v>1</v>
      </c>
    </row>
    <row r="31800" customFormat="false" ht="12.8" hidden="false" customHeight="false" outlineLevel="0" collapsed="false">
      <c r="B31800" s="0" t="s">
        <v>12389</v>
      </c>
    </row>
    <row r="31802" customFormat="false" ht="12.8" hidden="false" customHeight="false" outlineLevel="0" collapsed="false">
      <c r="A31802" s="0" t="s">
        <v>12393</v>
      </c>
      <c r="B31802" s="0" t="str">
        <f aca="false">HYPERLINK("https://lindat.mff.cuni.cz/services/teitok/pdtc10/index.php?action=vallex&amp;frame=v-w4393f2", "projevit se (v-w4393f2)")</f>
        <v>projevit se (v-w4393f2)</v>
      </c>
      <c r="E31802" s="0" t="str">
        <f aca="false">HYPERLINK("https://lindat.mff.cuni.cz/services/SynSemClass40/SynSemClass40.html?veclass=vec00883#vec00883-ces-cm00001", "vec00883")</f>
        <v>vec00883</v>
      </c>
      <c r="F31802" s="0" t="s">
        <v>12394</v>
      </c>
    </row>
    <row r="31803" customFormat="false" ht="12.8" hidden="false" customHeight="false" outlineLevel="0" collapsed="false">
      <c r="B31803" s="0" t="s">
        <v>1</v>
      </c>
      <c r="E31803" s="0" t="s">
        <v>4943</v>
      </c>
      <c r="F31803" s="0" t="s">
        <v>12395</v>
      </c>
    </row>
    <row r="31804" customFormat="false" ht="12.8" hidden="false" customHeight="false" outlineLevel="0" collapsed="false">
      <c r="B31804" s="0" t="s">
        <v>12396</v>
      </c>
      <c r="E31804" s="0" t="s">
        <v>12397</v>
      </c>
      <c r="F31804" s="0" t="s">
        <v>12398</v>
      </c>
    </row>
    <row r="31806" customFormat="false" ht="12.8" hidden="false" customHeight="false" outlineLevel="0" collapsed="false">
      <c r="A31806" s="0" t="s">
        <v>12399</v>
      </c>
      <c r="B31806" s="0" t="str">
        <f aca="false">HYPERLINK("https://lindat.mff.cuni.cz/services/teitok/pdtc10/index.php?action=vallex&amp;frame=v-w4393f1", "projevit se (v-w4393f1)")</f>
        <v>projevit se (v-w4393f1)</v>
      </c>
      <c r="E31806" s="0" t="str">
        <f aca="false">HYPERLINK("https://lindat.mff.cuni.cz/services/SynSemClass40/SynSemClass40.html?veclass=vec00086#vec00086-ces-cm00001", "vec00086")</f>
        <v>vec00086</v>
      </c>
      <c r="F31806" s="0" t="s">
        <v>12400</v>
      </c>
    </row>
    <row r="31807" customFormat="false" ht="12.8" hidden="false" customHeight="false" outlineLevel="0" collapsed="false">
      <c r="B31807" s="0" t="s">
        <v>1</v>
      </c>
      <c r="C31807" s="0" t="s">
        <v>2157</v>
      </c>
      <c r="E31807" s="0" t="s">
        <v>4943</v>
      </c>
      <c r="F31807" s="0" t="s">
        <v>5999</v>
      </c>
    </row>
    <row r="31809" customFormat="false" ht="12.8" hidden="false" customHeight="false" outlineLevel="0" collapsed="false">
      <c r="A31809" s="0" t="s">
        <v>12401</v>
      </c>
      <c r="B31809" s="0" t="str">
        <f aca="false">HYPERLINK("https://lindat.mff.cuni.cz/services/teitok/pdtc10/index.php?action=vallex&amp;frame=v-w4393f3", "projevit se (v-w4393f3)")</f>
        <v>projevit se (v-w4393f3)</v>
      </c>
      <c r="E31809" s="0" t="str">
        <f aca="false">HYPERLINK("https://lindat.mff.cuni.cz/services/SynSemClass40/SynSemClass40.html?veclass=vec00164#vec00164-ces-cm00252", "vec00164")</f>
        <v>vec00164</v>
      </c>
      <c r="F31809" s="0" t="s">
        <v>4941</v>
      </c>
    </row>
    <row r="31810" customFormat="false" ht="12.8" hidden="false" customHeight="false" outlineLevel="0" collapsed="false">
      <c r="B31810" s="0" t="s">
        <v>1</v>
      </c>
      <c r="C31810" s="0" t="s">
        <v>4942</v>
      </c>
      <c r="E31810" s="0" t="s">
        <v>4943</v>
      </c>
      <c r="F31810" s="0" t="s">
        <v>4944</v>
      </c>
    </row>
    <row r="31811" customFormat="false" ht="12.8" hidden="false" customHeight="false" outlineLevel="0" collapsed="false">
      <c r="B31811" s="0" t="s">
        <v>725</v>
      </c>
      <c r="C31811" s="0" t="s">
        <v>12402</v>
      </c>
      <c r="E31811" s="0" t="s">
        <v>12403</v>
      </c>
      <c r="F31811" s="0" t="s">
        <v>12404</v>
      </c>
    </row>
    <row r="31812" customFormat="false" ht="12.8" hidden="false" customHeight="false" outlineLevel="0" collapsed="false">
      <c r="B31812" s="0" t="s">
        <v>642</v>
      </c>
      <c r="C31812" s="0" t="s">
        <v>4957</v>
      </c>
      <c r="E31812" s="0" t="s">
        <v>12403</v>
      </c>
      <c r="F31812" s="0" t="s">
        <v>12404</v>
      </c>
    </row>
    <row r="31813" customFormat="false" ht="12.8" hidden="false" customHeight="false" outlineLevel="0" collapsed="false">
      <c r="B31813" s="0" t="s">
        <v>646</v>
      </c>
      <c r="C31813" s="0" t="s">
        <v>12405</v>
      </c>
      <c r="E31813" s="0" t="s">
        <v>12403</v>
      </c>
      <c r="F31813" s="0" t="s">
        <v>12404</v>
      </c>
    </row>
    <row r="31814" customFormat="false" ht="12.8" hidden="false" customHeight="false" outlineLevel="0" collapsed="false">
      <c r="B31814" s="0" t="s">
        <v>648</v>
      </c>
      <c r="C31814" s="0" t="s">
        <v>12406</v>
      </c>
      <c r="E31814" s="0" t="s">
        <v>12403</v>
      </c>
      <c r="F31814" s="0" t="s">
        <v>12404</v>
      </c>
    </row>
    <row r="31815" customFormat="false" ht="12.8" hidden="false" customHeight="false" outlineLevel="0" collapsed="false">
      <c r="B31815" s="0" t="s">
        <v>650</v>
      </c>
      <c r="C31815" s="0" t="s">
        <v>12407</v>
      </c>
      <c r="E31815" s="0" t="s">
        <v>12403</v>
      </c>
      <c r="F31815" s="0" t="s">
        <v>12404</v>
      </c>
    </row>
    <row r="31816" customFormat="false" ht="12.8" hidden="false" customHeight="false" outlineLevel="0" collapsed="false">
      <c r="B31816" s="0" t="s">
        <v>652</v>
      </c>
      <c r="C31816" s="0" t="s">
        <v>12408</v>
      </c>
      <c r="E31816" s="0" t="s">
        <v>12403</v>
      </c>
      <c r="F31816" s="0" t="s">
        <v>12404</v>
      </c>
    </row>
    <row r="31818" customFormat="false" ht="12.8" hidden="false" customHeight="false" outlineLevel="0" collapsed="false">
      <c r="A31818" s="0" t="s">
        <v>12409</v>
      </c>
      <c r="B31818" s="0" t="str">
        <f aca="false">HYPERLINK("https://lindat.mff.cuni.cz/services/teitok/pdtc10/index.php?action=vallex&amp;frame=v-w4394f2", "projevovat (v-w4394f2)")</f>
        <v>projevovat (v-w4394f2)</v>
      </c>
      <c r="E31818" s="0" t="str">
        <f aca="false">HYPERLINK("https://lindat.mff.cuni.cz/services/SynSemClass40/SynSemClass40.html?veclass=vec00516#vec00516-ces-cm00042", "vec00516")</f>
        <v>vec00516</v>
      </c>
      <c r="F31818" s="0" t="s">
        <v>4818</v>
      </c>
    </row>
    <row r="31819" customFormat="false" ht="12.8" hidden="false" customHeight="false" outlineLevel="0" collapsed="false">
      <c r="B31819" s="0" t="s">
        <v>1</v>
      </c>
      <c r="C31819" s="0" t="s">
        <v>4819</v>
      </c>
      <c r="E31819" s="0" t="s">
        <v>11</v>
      </c>
      <c r="F31819" s="0" t="s">
        <v>4820</v>
      </c>
    </row>
    <row r="31820" customFormat="false" ht="12.8" hidden="false" customHeight="false" outlineLevel="0" collapsed="false">
      <c r="B31820" s="0" t="s">
        <v>305</v>
      </c>
      <c r="C31820" s="0" t="s">
        <v>4821</v>
      </c>
      <c r="E31820" s="0" t="s">
        <v>12410</v>
      </c>
      <c r="F31820" s="0" t="s">
        <v>12411</v>
      </c>
    </row>
    <row r="31822" customFormat="false" ht="12.8" hidden="false" customHeight="false" outlineLevel="0" collapsed="false">
      <c r="A31822" s="0" t="s">
        <v>12412</v>
      </c>
      <c r="B31822" s="0" t="str">
        <f aca="false">HYPERLINK("https://lindat.mff.cuni.cz/services/teitok/pdtc10/index.php?action=vallex&amp;frame=v-w4394f3", "projevovat (v-w4394f3)")</f>
        <v>projevovat (v-w4394f3)</v>
      </c>
    </row>
    <row r="31823" customFormat="false" ht="12.8" hidden="false" customHeight="false" outlineLevel="0" collapsed="false">
      <c r="B31823" s="0" t="s">
        <v>1</v>
      </c>
    </row>
    <row r="31824" customFormat="false" ht="12.8" hidden="false" customHeight="false" outlineLevel="0" collapsed="false">
      <c r="B31824" s="0" t="s">
        <v>12413</v>
      </c>
    </row>
    <row r="31825" customFormat="false" ht="12.8" hidden="false" customHeight="false" outlineLevel="0" collapsed="false">
      <c r="B31825" s="0" t="s">
        <v>52</v>
      </c>
    </row>
    <row r="31827" customFormat="false" ht="12.8" hidden="false" customHeight="false" outlineLevel="0" collapsed="false">
      <c r="A31827" s="0" t="s">
        <v>12414</v>
      </c>
      <c r="B31827" s="0" t="str">
        <f aca="false">HYPERLINK("https://lindat.mff.cuni.cz/services/teitok/pdtc10/index.php?action=vallex&amp;frame=v-w4394hsa_723", "projevovat (v-w4394hsa_723)")</f>
        <v>projevovat (v-w4394hsa_723)</v>
      </c>
      <c r="E31827" s="0" t="str">
        <f aca="false">HYPERLINK("https://lindat.mff.cuni.cz/services/SynSemClass40/SynSemClass40.html?veclass=vec00243#vec00243-ces-cm00015", "vec00243")</f>
        <v>vec00243</v>
      </c>
      <c r="F31827" s="0" t="s">
        <v>816</v>
      </c>
    </row>
    <row r="31828" customFormat="false" ht="12.8" hidden="false" customHeight="false" outlineLevel="0" collapsed="false">
      <c r="B31828" s="0" t="s">
        <v>1</v>
      </c>
      <c r="C31828" s="0" t="s">
        <v>817</v>
      </c>
      <c r="E31828" s="0" t="s">
        <v>155</v>
      </c>
      <c r="F31828" s="0" t="s">
        <v>818</v>
      </c>
    </row>
    <row r="31829" customFormat="false" ht="12.8" hidden="false" customHeight="false" outlineLevel="0" collapsed="false">
      <c r="B31829" s="0" t="s">
        <v>12415</v>
      </c>
    </row>
    <row r="31831" customFormat="false" ht="12.8" hidden="false" customHeight="false" outlineLevel="0" collapsed="false">
      <c r="A31831" s="0" t="s">
        <v>12414</v>
      </c>
      <c r="B31831" s="0" t="str">
        <f aca="false">HYPERLINK("https://lindat.mff.cuni.cz/services/teitok/pdtc10/index.php?action=vallex&amp;frame=v-w4394f1", "projevovat (v-w4394f1) - substituted with v-w4394hsa_723")</f>
        <v>projevovat (v-w4394f1) - substituted with v-w4394hsa_723</v>
      </c>
    </row>
    <row r="31832" customFormat="false" ht="12.8" hidden="false" customHeight="false" outlineLevel="0" collapsed="false">
      <c r="B31832" s="0" t="s">
        <v>1</v>
      </c>
    </row>
    <row r="31833" customFormat="false" ht="12.8" hidden="false" customHeight="false" outlineLevel="0" collapsed="false">
      <c r="B31833" s="0" t="s">
        <v>12415</v>
      </c>
    </row>
    <row r="31835" customFormat="false" ht="12.8" hidden="false" customHeight="false" outlineLevel="0" collapsed="false">
      <c r="A31835" s="0" t="s">
        <v>12416</v>
      </c>
      <c r="B31835" s="0" t="str">
        <f aca="false">HYPERLINK("https://lindat.mff.cuni.cz/services/teitok/pdtc10/index.php?action=vallex&amp;frame=v-w4395f2", "projevovat se (v-w4395f2)")</f>
        <v>projevovat se (v-w4395f2)</v>
      </c>
      <c r="E31835" s="0" t="str">
        <f aca="false">HYPERLINK("https://lindat.mff.cuni.cz/services/SynSemClass40/SynSemClass40.html?veclass=vec00883#vec00883-ces-cm00005", "vec00883")</f>
        <v>vec00883</v>
      </c>
      <c r="F31835" s="0" t="s">
        <v>12394</v>
      </c>
    </row>
    <row r="31836" customFormat="false" ht="12.8" hidden="false" customHeight="false" outlineLevel="0" collapsed="false">
      <c r="B31836" s="0" t="s">
        <v>1</v>
      </c>
      <c r="E31836" s="0" t="s">
        <v>4943</v>
      </c>
      <c r="F31836" s="0" t="s">
        <v>12395</v>
      </c>
    </row>
    <row r="31837" customFormat="false" ht="12.8" hidden="false" customHeight="false" outlineLevel="0" collapsed="false">
      <c r="B31837" s="0" t="s">
        <v>12417</v>
      </c>
      <c r="E31837" s="0" t="s">
        <v>12397</v>
      </c>
      <c r="F31837" s="0" t="s">
        <v>12398</v>
      </c>
    </row>
    <row r="31839" customFormat="false" ht="12.8" hidden="false" customHeight="false" outlineLevel="0" collapsed="false">
      <c r="A31839" s="0" t="s">
        <v>12418</v>
      </c>
      <c r="B31839" s="0" t="str">
        <f aca="false">HYPERLINK("https://lindat.mff.cuni.cz/services/teitok/pdtc10/index.php?action=vallex&amp;frame=v-w4395f1", "projevovat se (v-w4395f1)")</f>
        <v>projevovat se (v-w4395f1)</v>
      </c>
      <c r="E31839" s="0" t="str">
        <f aca="false">HYPERLINK("https://lindat.mff.cuni.cz/services/SynSemClass40/SynSemClass40.html?veclass=vec00086#vec00086-ces-cm00094", "vec00086")</f>
        <v>vec00086</v>
      </c>
      <c r="F31839" s="0" t="s">
        <v>12400</v>
      </c>
    </row>
    <row r="31840" customFormat="false" ht="12.8" hidden="false" customHeight="false" outlineLevel="0" collapsed="false">
      <c r="B31840" s="0" t="s">
        <v>843</v>
      </c>
      <c r="C31840" s="0" t="s">
        <v>2157</v>
      </c>
      <c r="E31840" s="0" t="s">
        <v>4943</v>
      </c>
      <c r="F31840" s="0" t="s">
        <v>5999</v>
      </c>
    </row>
    <row r="31842" customFormat="false" ht="12.8" hidden="false" customHeight="false" outlineLevel="0" collapsed="false">
      <c r="A31842" s="0" t="s">
        <v>12419</v>
      </c>
      <c r="B31842" s="0" t="str">
        <f aca="false">HYPERLINK("https://lindat.mff.cuni.cz/services/teitok/pdtc10/index.php?action=vallex&amp;frame=v-w4395f3", "projevovat se (v-w4395f3)")</f>
        <v>projevovat se (v-w4395f3)</v>
      </c>
      <c r="E31842" s="0" t="str">
        <f aca="false">HYPERLINK("https://lindat.mff.cuni.cz/services/SynSemClass40/SynSemClass40.html?veclass=vec00164#vec00164-ces-cm00124", "vec00164")</f>
        <v>vec00164</v>
      </c>
      <c r="F31842" s="0" t="s">
        <v>4941</v>
      </c>
    </row>
    <row r="31843" customFormat="false" ht="12.8" hidden="false" customHeight="false" outlineLevel="0" collapsed="false">
      <c r="B31843" s="0" t="s">
        <v>1</v>
      </c>
      <c r="C31843" s="0" t="s">
        <v>4942</v>
      </c>
      <c r="E31843" s="0" t="s">
        <v>4943</v>
      </c>
      <c r="F31843" s="0" t="s">
        <v>4944</v>
      </c>
    </row>
    <row r="31844" customFormat="false" ht="12.8" hidden="false" customHeight="false" outlineLevel="0" collapsed="false">
      <c r="B31844" s="0" t="s">
        <v>725</v>
      </c>
      <c r="C31844" s="0" t="s">
        <v>12402</v>
      </c>
    </row>
    <row r="31845" customFormat="false" ht="12.8" hidden="false" customHeight="false" outlineLevel="0" collapsed="false">
      <c r="B31845" s="0" t="s">
        <v>642</v>
      </c>
      <c r="C31845" s="0" t="s">
        <v>4957</v>
      </c>
      <c r="E31845" s="0" t="s">
        <v>4316</v>
      </c>
      <c r="F31845" s="0" t="s">
        <v>12420</v>
      </c>
    </row>
    <row r="31846" customFormat="false" ht="12.8" hidden="false" customHeight="false" outlineLevel="0" collapsed="false">
      <c r="B31846" s="0" t="s">
        <v>648</v>
      </c>
      <c r="C31846" s="0" t="s">
        <v>12406</v>
      </c>
      <c r="E31846" s="0" t="s">
        <v>4316</v>
      </c>
      <c r="F31846" s="0" t="s">
        <v>12420</v>
      </c>
    </row>
    <row r="31847" customFormat="false" ht="12.8" hidden="false" customHeight="false" outlineLevel="0" collapsed="false">
      <c r="B31847" s="0" t="s">
        <v>650</v>
      </c>
      <c r="C31847" s="0" t="s">
        <v>12421</v>
      </c>
      <c r="E31847" s="0" t="s">
        <v>12422</v>
      </c>
      <c r="F31847" s="0" t="s">
        <v>12423</v>
      </c>
    </row>
    <row r="31848" customFormat="false" ht="12.8" hidden="false" customHeight="false" outlineLevel="0" collapsed="false">
      <c r="B31848" s="0" t="s">
        <v>652</v>
      </c>
      <c r="C31848" s="0" t="s">
        <v>12408</v>
      </c>
      <c r="E31848" s="0" t="s">
        <v>4316</v>
      </c>
      <c r="F31848" s="0" t="s">
        <v>12420</v>
      </c>
    </row>
    <row r="31849" customFormat="false" ht="12.8" hidden="false" customHeight="false" outlineLevel="0" collapsed="false">
      <c r="B31849" s="0" t="s">
        <v>2887</v>
      </c>
      <c r="C31849" s="0" t="s">
        <v>12424</v>
      </c>
    </row>
    <row r="31851" customFormat="false" ht="12.8" hidden="false" customHeight="false" outlineLevel="0" collapsed="false">
      <c r="A31851" s="0" t="s">
        <v>12425</v>
      </c>
      <c r="B31851" s="0" t="str">
        <f aca="false">HYPERLINK("https://lindat.mff.cuni.cz/services/teitok/pdtc10/index.php?action=vallex&amp;frame=v-whsa_173f1_ZU", "projezdit (v-whsa_173f1_ZU)")</f>
        <v>projezdit (v-whsa_173f1_ZU)</v>
      </c>
    </row>
    <row r="31852" customFormat="false" ht="12.8" hidden="false" customHeight="false" outlineLevel="0" collapsed="false">
      <c r="B31852" s="0" t="s">
        <v>1</v>
      </c>
    </row>
    <row r="31853" customFormat="false" ht="12.8" hidden="false" customHeight="false" outlineLevel="0" collapsed="false">
      <c r="B31853" s="0" t="s">
        <v>8</v>
      </c>
    </row>
    <row r="31855" customFormat="false" ht="12.8" hidden="false" customHeight="false" outlineLevel="0" collapsed="false">
      <c r="A31855" s="0" t="s">
        <v>12425</v>
      </c>
      <c r="B31855" s="0" t="str">
        <f aca="false">HYPERLINK("https://lindat.mff.cuni.cz/services/teitok/pdtc10/index.php?action=vallex&amp;frame=v-whsa_173hsa_174", "projezdit (v-whsa_173hsa_174) - substituted with v-whsa_173f1_ZU")</f>
        <v>projezdit (v-whsa_173hsa_174) - substituted with v-whsa_173f1_ZU</v>
      </c>
    </row>
    <row r="31856" customFormat="false" ht="12.8" hidden="false" customHeight="false" outlineLevel="0" collapsed="false">
      <c r="B31856" s="0" t="s">
        <v>1</v>
      </c>
    </row>
    <row r="31857" customFormat="false" ht="12.8" hidden="false" customHeight="false" outlineLevel="0" collapsed="false">
      <c r="B31857" s="0" t="s">
        <v>8</v>
      </c>
    </row>
    <row r="31859" customFormat="false" ht="12.8" hidden="false" customHeight="false" outlineLevel="0" collapsed="false">
      <c r="A31859" s="0" t="s">
        <v>12426</v>
      </c>
      <c r="B31859" s="0" t="str">
        <f aca="false">HYPERLINK("https://lindat.mff.cuni.cz/services/teitok/pdtc10/index.php?action=vallex&amp;frame=v-w4396f4", "projít (v-w4396f4)")</f>
        <v>projít (v-w4396f4)</v>
      </c>
    </row>
    <row r="31860" customFormat="false" ht="12.8" hidden="false" customHeight="false" outlineLevel="0" collapsed="false">
      <c r="B31860" s="0" t="s">
        <v>1</v>
      </c>
    </row>
    <row r="31861" customFormat="false" ht="12.8" hidden="false" customHeight="false" outlineLevel="0" collapsed="false">
      <c r="B31861" s="0" t="s">
        <v>8</v>
      </c>
    </row>
    <row r="31863" customFormat="false" ht="12.8" hidden="false" customHeight="false" outlineLevel="0" collapsed="false">
      <c r="A31863" s="0" t="s">
        <v>12427</v>
      </c>
      <c r="B31863" s="0" t="str">
        <f aca="false">HYPERLINK("https://lindat.mff.cuni.cz/services/teitok/pdtc10/index.php?action=vallex&amp;frame=v-w4396f5", "projít (v-w4396f5)")</f>
        <v>projít (v-w4396f5)</v>
      </c>
      <c r="E31863" s="0" t="str">
        <f aca="false">HYPERLINK("https://lindat.mff.cuni.cz/services/SynSemClass40/SynSemClass40.html?veclass=vec00684#vec00684-ces-cm00011", "vec00684")</f>
        <v>vec00684</v>
      </c>
      <c r="F31863" s="0" t="s">
        <v>12203</v>
      </c>
    </row>
    <row r="31864" customFormat="false" ht="12.8" hidden="false" customHeight="false" outlineLevel="0" collapsed="false">
      <c r="B31864" s="0" t="s">
        <v>1</v>
      </c>
      <c r="C31864" s="0" t="s">
        <v>154</v>
      </c>
      <c r="E31864" s="0" t="s">
        <v>115</v>
      </c>
      <c r="F31864" s="0" t="s">
        <v>12204</v>
      </c>
    </row>
    <row r="31865" customFormat="false" ht="12.8" hidden="false" customHeight="false" outlineLevel="0" collapsed="false">
      <c r="B31865" s="0" t="s">
        <v>8</v>
      </c>
      <c r="C31865" s="0" t="s">
        <v>158</v>
      </c>
      <c r="E31865" s="0" t="s">
        <v>4060</v>
      </c>
      <c r="F31865" s="0" t="s">
        <v>12205</v>
      </c>
    </row>
    <row r="31867" customFormat="false" ht="12.8" hidden="false" customHeight="false" outlineLevel="0" collapsed="false">
      <c r="A31867" s="0" t="s">
        <v>12428</v>
      </c>
      <c r="B31867" s="0" t="str">
        <f aca="false">HYPERLINK("https://lindat.mff.cuni.cz/services/teitok/pdtc10/index.php?action=vallex&amp;frame=v-w4396f11_ZU", "projít (v-w4396f11_ZU)")</f>
        <v>projít (v-w4396f11_ZU)</v>
      </c>
    </row>
    <row r="31868" customFormat="false" ht="12.8" hidden="false" customHeight="false" outlineLevel="0" collapsed="false">
      <c r="B31868" s="0" t="s">
        <v>1</v>
      </c>
    </row>
    <row r="31869" customFormat="false" ht="12.8" hidden="false" customHeight="false" outlineLevel="0" collapsed="false">
      <c r="B31869" s="0" t="s">
        <v>10168</v>
      </c>
    </row>
    <row r="31871" customFormat="false" ht="12.8" hidden="false" customHeight="false" outlineLevel="0" collapsed="false">
      <c r="A31871" s="0" t="s">
        <v>12428</v>
      </c>
      <c r="B31871" s="0" t="str">
        <f aca="false">HYPERLINK("https://lindat.mff.cuni.cz/services/teitok/pdtc10/index.php?action=vallex&amp;frame=v-w4396f10_ZU", "projít (v-w4396f10_ZU) - substituted with v-w4396f11_ZU")</f>
        <v>projít (v-w4396f10_ZU) - substituted with v-w4396f11_ZU</v>
      </c>
    </row>
    <row r="31872" customFormat="false" ht="12.8" hidden="false" customHeight="false" outlineLevel="0" collapsed="false">
      <c r="B31872" s="0" t="s">
        <v>1</v>
      </c>
    </row>
    <row r="31873" customFormat="false" ht="12.8" hidden="false" customHeight="false" outlineLevel="0" collapsed="false">
      <c r="B31873" s="0" t="s">
        <v>10168</v>
      </c>
    </row>
    <row r="31875" customFormat="false" ht="12.8" hidden="false" customHeight="false" outlineLevel="0" collapsed="false">
      <c r="A31875" s="0" t="s">
        <v>12428</v>
      </c>
      <c r="B31875" s="0" t="str">
        <f aca="false">HYPERLINK("https://lindat.mff.cuni.cz/services/teitok/pdtc10/index.php?action=vallex&amp;frame=v-w4396f7", "projít (v-w4396f7) - substituted with v-w4396f11_ZU")</f>
        <v>projít (v-w4396f7) - substituted with v-w4396f11_ZU</v>
      </c>
      <c r="E31875" s="0" t="str">
        <f aca="false">HYPERLINK("https://lindat.mff.cuni.cz/services/SynSemClass40/SynSemClass40.html?veclass=vec00379#vec00379-ces-cm00040", "vec00379")</f>
        <v>vec00379</v>
      </c>
      <c r="F31875" s="0" t="s">
        <v>10883</v>
      </c>
    </row>
    <row r="31876" customFormat="false" ht="12.8" hidden="false" customHeight="false" outlineLevel="0" collapsed="false">
      <c r="B31876" s="0" t="s">
        <v>1</v>
      </c>
      <c r="C31876" s="0" t="s">
        <v>10884</v>
      </c>
      <c r="E31876" s="0" t="s">
        <v>266</v>
      </c>
      <c r="F31876" s="0" t="s">
        <v>10885</v>
      </c>
    </row>
    <row r="31877" customFormat="false" ht="12.8" hidden="false" customHeight="false" outlineLevel="0" collapsed="false">
      <c r="B31877" s="0" t="s">
        <v>10168</v>
      </c>
      <c r="C31877" s="0" t="s">
        <v>10886</v>
      </c>
      <c r="E31877" s="0" t="s">
        <v>10887</v>
      </c>
      <c r="F31877" s="0" t="s">
        <v>10888</v>
      </c>
    </row>
    <row r="31879" customFormat="false" ht="12.8" hidden="false" customHeight="false" outlineLevel="0" collapsed="false">
      <c r="A31879" s="0" t="s">
        <v>12428</v>
      </c>
      <c r="B31879" s="0" t="str">
        <f aca="false">HYPERLINK("https://lindat.mff.cuni.cz/services/teitok/pdtc10/index.php?action=vallex&amp;frame=v-w4396hsa_1956", "projít (v-w4396hsa_1956) - substituted with v-w4396f11_ZU")</f>
        <v>projít (v-w4396hsa_1956) - substituted with v-w4396f11_ZU</v>
      </c>
    </row>
    <row r="31880" customFormat="false" ht="12.8" hidden="false" customHeight="false" outlineLevel="0" collapsed="false">
      <c r="B31880" s="0" t="s">
        <v>1</v>
      </c>
    </row>
    <row r="31881" customFormat="false" ht="12.8" hidden="false" customHeight="false" outlineLevel="0" collapsed="false">
      <c r="B31881" s="0" t="s">
        <v>10168</v>
      </c>
    </row>
    <row r="31883" customFormat="false" ht="12.8" hidden="false" customHeight="false" outlineLevel="0" collapsed="false">
      <c r="A31883" s="0" t="s">
        <v>12429</v>
      </c>
      <c r="B31883" s="0" t="str">
        <f aca="false">HYPERLINK("https://lindat.mff.cuni.cz/services/teitok/pdtc10/index.php?action=vallex&amp;frame=v-w4396f3", "projít (v-w4396f3)")</f>
        <v>projít (v-w4396f3)</v>
      </c>
      <c r="E31883" s="0" t="str">
        <f aca="false">HYPERLINK("https://lindat.mff.cuni.cz/services/SynSemClass40/SynSemClass40.html?veclass=vec00686#vec00686-ces-cm00001", "vec00686")</f>
        <v>vec00686</v>
      </c>
      <c r="F31883" s="0" t="s">
        <v>12430</v>
      </c>
    </row>
    <row r="31884" customFormat="false" ht="12.8" hidden="false" customHeight="false" outlineLevel="0" collapsed="false">
      <c r="B31884" s="0" t="s">
        <v>843</v>
      </c>
      <c r="C31884" s="0" t="s">
        <v>549</v>
      </c>
      <c r="E31884" s="0" t="s">
        <v>1086</v>
      </c>
      <c r="F31884" s="0" t="s">
        <v>12431</v>
      </c>
    </row>
    <row r="31885" customFormat="false" ht="12.8" hidden="false" customHeight="false" outlineLevel="0" collapsed="false">
      <c r="B31885" s="0" t="s">
        <v>157</v>
      </c>
      <c r="C31885" s="0" t="s">
        <v>12432</v>
      </c>
      <c r="E31885" s="0" t="s">
        <v>4438</v>
      </c>
      <c r="F31885" s="0" t="s">
        <v>12433</v>
      </c>
    </row>
    <row r="31887" customFormat="false" ht="12.8" hidden="false" customHeight="false" outlineLevel="0" collapsed="false">
      <c r="A31887" s="0" t="s">
        <v>12434</v>
      </c>
      <c r="B31887" s="0" t="str">
        <f aca="false">HYPERLINK("https://lindat.mff.cuni.cz/services/teitok/pdtc10/index.php?action=vallex&amp;frame=v-w4396f1", "projít (v-w4396f1)")</f>
        <v>projít (v-w4396f1)</v>
      </c>
      <c r="E31887" s="0" t="str">
        <f aca="false">HYPERLINK("https://lindat.mff.cuni.cz/services/SynSemClass40/SynSemClass40.html?veclass=vec00685#vec00685-ces-cm00001", "vec00685")</f>
        <v>vec00685</v>
      </c>
      <c r="F31887" s="0" t="s">
        <v>12211</v>
      </c>
    </row>
    <row r="31888" customFormat="false" ht="12.8" hidden="false" customHeight="false" outlineLevel="0" collapsed="false">
      <c r="B31888" s="0" t="s">
        <v>1</v>
      </c>
      <c r="C31888" s="0" t="s">
        <v>12435</v>
      </c>
      <c r="E31888" s="0" t="s">
        <v>334</v>
      </c>
      <c r="F31888" s="0" t="s">
        <v>12213</v>
      </c>
    </row>
    <row r="31889" customFormat="false" ht="12.8" hidden="false" customHeight="false" outlineLevel="0" collapsed="false">
      <c r="B31889" s="0" t="s">
        <v>336</v>
      </c>
      <c r="E31889" s="0" t="s">
        <v>338</v>
      </c>
      <c r="F31889" s="0" t="s">
        <v>12214</v>
      </c>
    </row>
    <row r="31891" customFormat="false" ht="12.8" hidden="false" customHeight="false" outlineLevel="0" collapsed="false">
      <c r="A31891" s="0" t="s">
        <v>12436</v>
      </c>
      <c r="B31891" s="0" t="str">
        <f aca="false">HYPERLINK("https://lindat.mff.cuni.cz/services/teitok/pdtc10/index.php?action=vallex&amp;frame=v-w4396f2", "projít (v-w4396f2)")</f>
        <v>projít (v-w4396f2)</v>
      </c>
      <c r="E31891" s="0" t="str">
        <f aca="false">HYPERLINK("https://lindat.mff.cuni.cz/services/SynSemClass40/SynSemClass40.html?veclass=vec01272#vec01272-ces-cm00003", "vec01272")</f>
        <v>vec01272</v>
      </c>
      <c r="F31891" s="0" t="s">
        <v>10383</v>
      </c>
    </row>
    <row r="31892" customFormat="false" ht="12.8" hidden="false" customHeight="false" outlineLevel="0" collapsed="false">
      <c r="B31892" s="0" t="s">
        <v>1</v>
      </c>
      <c r="C31892" s="0" t="s">
        <v>12437</v>
      </c>
      <c r="E31892" s="0" t="s">
        <v>957</v>
      </c>
      <c r="F31892" s="0" t="s">
        <v>10385</v>
      </c>
    </row>
    <row r="31894" customFormat="false" ht="12.8" hidden="false" customHeight="false" outlineLevel="0" collapsed="false">
      <c r="A31894" s="0" t="s">
        <v>12438</v>
      </c>
      <c r="B31894" s="0" t="str">
        <f aca="false">HYPERLINK("https://lindat.mff.cuni.cz/services/teitok/pdtc10/index.php?action=vallex&amp;frame=v-w4396f9", "projít (v-w4396f9)")</f>
        <v>projít (v-w4396f9)</v>
      </c>
    </row>
    <row r="31895" customFormat="false" ht="12.8" hidden="false" customHeight="false" outlineLevel="0" collapsed="false">
      <c r="B31895" s="0" t="s">
        <v>1</v>
      </c>
    </row>
    <row r="31897" customFormat="false" ht="12.8" hidden="false" customHeight="false" outlineLevel="0" collapsed="false">
      <c r="A31897" s="0" t="s">
        <v>12439</v>
      </c>
      <c r="B31897" s="0" t="str">
        <f aca="false">HYPERLINK("https://lindat.mff.cuni.cz/services/teitok/pdtc10/index.php?action=vallex&amp;frame=v-w4396f8", "projít (v-w4396f8)")</f>
        <v>projít (v-w4396f8)</v>
      </c>
    </row>
    <row r="31898" customFormat="false" ht="12.8" hidden="false" customHeight="false" outlineLevel="0" collapsed="false">
      <c r="B31898" s="0" t="s">
        <v>1</v>
      </c>
    </row>
    <row r="31900" customFormat="false" ht="12.8" hidden="false" customHeight="false" outlineLevel="0" collapsed="false">
      <c r="A31900" s="0" t="s">
        <v>12440</v>
      </c>
      <c r="B31900" s="0" t="str">
        <f aca="false">HYPERLINK("https://lindat.mff.cuni.cz/services/teitok/pdtc10/index.php?action=vallex&amp;frame=v-w4396f6", "projít (v-w4396f6)")</f>
        <v>projít (v-w4396f6)</v>
      </c>
    </row>
    <row r="31901" customFormat="false" ht="12.8" hidden="false" customHeight="false" outlineLevel="0" collapsed="false">
      <c r="B31901" s="0" t="s">
        <v>1</v>
      </c>
    </row>
    <row r="31902" customFormat="false" ht="12.8" hidden="false" customHeight="false" outlineLevel="0" collapsed="false">
      <c r="B31902" s="0" t="s">
        <v>6076</v>
      </c>
    </row>
    <row r="31903" customFormat="false" ht="12.8" hidden="false" customHeight="false" outlineLevel="0" collapsed="false">
      <c r="B31903" s="0" t="s">
        <v>186</v>
      </c>
    </row>
    <row r="31905" customFormat="false" ht="12.8" hidden="false" customHeight="false" outlineLevel="0" collapsed="false">
      <c r="A31905" s="0" t="s">
        <v>12441</v>
      </c>
      <c r="B31905" s="0" t="str">
        <f aca="false">HYPERLINK("https://lindat.mff.cuni.cz/services/teitok/pdtc10/index.php?action=vallex&amp;frame=v-w4396f12_ZU", "projít (v-w4396f12_ZU)")</f>
        <v>projít (v-w4396f12_ZU)</v>
      </c>
    </row>
    <row r="31906" customFormat="false" ht="12.8" hidden="false" customHeight="false" outlineLevel="0" collapsed="false">
      <c r="B31906" s="0" t="s">
        <v>1</v>
      </c>
    </row>
    <row r="31907" customFormat="false" ht="12.8" hidden="false" customHeight="false" outlineLevel="0" collapsed="false">
      <c r="B31907" s="0" t="s">
        <v>4966</v>
      </c>
    </row>
    <row r="31909" customFormat="false" ht="12.8" hidden="false" customHeight="false" outlineLevel="0" collapsed="false">
      <c r="A31909" s="0" t="s">
        <v>12442</v>
      </c>
      <c r="B31909" s="0" t="str">
        <f aca="false">HYPERLINK("https://lindat.mff.cuni.cz/services/teitok/pdtc10/index.php?action=vallex&amp;frame=v-w4397f1", "projít se (v-w4397f1)")</f>
        <v>projít se (v-w4397f1)</v>
      </c>
    </row>
    <row r="31910" customFormat="false" ht="12.8" hidden="false" customHeight="false" outlineLevel="0" collapsed="false">
      <c r="B31910" s="0" t="s">
        <v>1</v>
      </c>
    </row>
    <row r="31912" customFormat="false" ht="12.8" hidden="false" customHeight="false" outlineLevel="0" collapsed="false">
      <c r="A31912" s="0" t="s">
        <v>12443</v>
      </c>
      <c r="B31912" s="0" t="str">
        <f aca="false">HYPERLINK("https://lindat.mff.cuni.cz/services/teitok/pdtc10/index.php?action=vallex&amp;frame=v-w11565_ZUf3_ZU", "projít si (v-w11565_ZUf3_ZU)")</f>
        <v>projít si (v-w11565_ZUf3_ZU)</v>
      </c>
    </row>
    <row r="31913" customFormat="false" ht="12.8" hidden="false" customHeight="false" outlineLevel="0" collapsed="false">
      <c r="B31913" s="0" t="s">
        <v>1</v>
      </c>
    </row>
    <row r="31914" customFormat="false" ht="12.8" hidden="false" customHeight="false" outlineLevel="0" collapsed="false">
      <c r="B31914" s="0" t="s">
        <v>286</v>
      </c>
    </row>
    <row r="31916" customFormat="false" ht="12.8" hidden="false" customHeight="false" outlineLevel="0" collapsed="false">
      <c r="A31916" s="0" t="s">
        <v>12443</v>
      </c>
      <c r="B31916" s="0" t="str">
        <f aca="false">HYPERLINK("https://lindat.mff.cuni.cz/services/teitok/pdtc10/index.php?action=vallex&amp;frame=v-w11565_ZUf1_ZU", "projít si (v-w11565_ZUf1_ZU) - substituted with v-w11565_ZUf3_ZU")</f>
        <v>projít si (v-w11565_ZUf1_ZU) - substituted with v-w11565_ZUf3_ZU</v>
      </c>
    </row>
    <row r="31917" customFormat="false" ht="12.8" hidden="false" customHeight="false" outlineLevel="0" collapsed="false">
      <c r="B31917" s="0" t="s">
        <v>1</v>
      </c>
    </row>
    <row r="31918" customFormat="false" ht="12.8" hidden="false" customHeight="false" outlineLevel="0" collapsed="false">
      <c r="B31918" s="0" t="s">
        <v>286</v>
      </c>
    </row>
    <row r="31920" customFormat="false" ht="12.8" hidden="false" customHeight="false" outlineLevel="0" collapsed="false">
      <c r="A31920" s="0" t="s">
        <v>12444</v>
      </c>
      <c r="B31920" s="0" t="str">
        <f aca="false">HYPERLINK("https://lindat.mff.cuni.cz/services/teitok/pdtc10/index.php?action=vallex&amp;frame=v-w11565_ZUf2_ZU", "projít si (v-w11565_ZUf2_ZU)")</f>
        <v>projít si (v-w11565_ZUf2_ZU)</v>
      </c>
    </row>
    <row r="31921" customFormat="false" ht="12.8" hidden="false" customHeight="false" outlineLevel="0" collapsed="false">
      <c r="B31921" s="0" t="s">
        <v>1</v>
      </c>
    </row>
    <row r="31922" customFormat="false" ht="12.8" hidden="false" customHeight="false" outlineLevel="0" collapsed="false">
      <c r="B31922" s="0" t="s">
        <v>8</v>
      </c>
    </row>
    <row r="31924" customFormat="false" ht="12.8" hidden="false" customHeight="false" outlineLevel="0" collapsed="false">
      <c r="A31924" s="0" t="s">
        <v>12445</v>
      </c>
      <c r="B31924" s="0" t="str">
        <f aca="false">HYPERLINK("https://lindat.mff.cuni.cz/services/teitok/pdtc10/index.php?action=vallex&amp;frame=v-w4398f1", "projíždět (v-w4398f1)")</f>
        <v>projíždět (v-w4398f1)</v>
      </c>
      <c r="E31924" s="0" t="str">
        <f aca="false">HYPERLINK("https://lindat.mff.cuni.cz/services/SynSemClass40/SynSemClass40.html?veclass=vec00882#vec00882-ces-cm00011", "vec00882")</f>
        <v>vec00882</v>
      </c>
      <c r="F31924" s="0" t="s">
        <v>12378</v>
      </c>
    </row>
    <row r="31925" customFormat="false" ht="12.8" hidden="false" customHeight="false" outlineLevel="0" collapsed="false">
      <c r="B31925" s="0" t="s">
        <v>1</v>
      </c>
      <c r="C31925" s="0" t="s">
        <v>3375</v>
      </c>
      <c r="E31925" s="0" t="s">
        <v>334</v>
      </c>
      <c r="F31925" s="0" t="s">
        <v>4927</v>
      </c>
    </row>
    <row r="31926" customFormat="false" ht="12.8" hidden="false" customHeight="false" outlineLevel="0" collapsed="false">
      <c r="B31926" s="0" t="s">
        <v>336</v>
      </c>
      <c r="C31926" s="0" t="s">
        <v>12379</v>
      </c>
      <c r="E31926" s="0" t="s">
        <v>338</v>
      </c>
      <c r="F31926" s="0" t="s">
        <v>12380</v>
      </c>
    </row>
    <row r="31928" customFormat="false" ht="12.8" hidden="false" customHeight="false" outlineLevel="0" collapsed="false">
      <c r="A31928" s="0" t="s">
        <v>12446</v>
      </c>
      <c r="B31928" s="0" t="str">
        <f aca="false">HYPERLINK("https://lindat.mff.cuni.cz/services/teitok/pdtc10/index.php?action=vallex&amp;frame=v-w4398f2_ZU", "projíždět (v-w4398f2_ZU)")</f>
        <v>projíždět (v-w4398f2_ZU)</v>
      </c>
      <c r="E31928" s="0" t="str">
        <f aca="false">HYPERLINK("https://lindat.mff.cuni.cz/services/SynSemClass40/SynSemClass40.html?veclass=vec00684#vec00684-ces-cm00013", "vec00684")</f>
        <v>vec00684</v>
      </c>
      <c r="F31928" s="0" t="s">
        <v>12203</v>
      </c>
      <c r="H31928" s="0" t="str">
        <f aca="false">HYPERLINK("https://lindat.mff.cuni.cz/services/SynSemClass40/SynSemClass40.html?veclass=vec00882#vec00882-ces-cm00016", "vec00882")</f>
        <v>vec00882</v>
      </c>
      <c r="I31928" s="0" t="s">
        <v>12378</v>
      </c>
    </row>
    <row r="31929" customFormat="false" ht="12.8" hidden="false" customHeight="false" outlineLevel="0" collapsed="false">
      <c r="B31929" s="0" t="s">
        <v>1</v>
      </c>
      <c r="C31929" s="0" t="s">
        <v>3241</v>
      </c>
      <c r="E31929" s="0" t="s">
        <v>115</v>
      </c>
      <c r="F31929" s="0" t="s">
        <v>12204</v>
      </c>
      <c r="H31929" s="0" t="s">
        <v>334</v>
      </c>
      <c r="I31929" s="0" t="s">
        <v>4927</v>
      </c>
    </row>
    <row r="31930" customFormat="false" ht="12.8" hidden="false" customHeight="false" outlineLevel="0" collapsed="false">
      <c r="B31930" s="0" t="s">
        <v>8</v>
      </c>
      <c r="C31930" s="0" t="s">
        <v>5391</v>
      </c>
      <c r="E31930" s="0" t="s">
        <v>4060</v>
      </c>
      <c r="F31930" s="0" t="s">
        <v>12205</v>
      </c>
      <c r="H31930" s="0" t="s">
        <v>1402</v>
      </c>
      <c r="I31930" s="0" t="s">
        <v>12447</v>
      </c>
    </row>
    <row r="31932" customFormat="false" ht="12.8" hidden="false" customHeight="false" outlineLevel="0" collapsed="false">
      <c r="A31932" s="0" t="s">
        <v>12446</v>
      </c>
      <c r="B31932" s="0" t="str">
        <f aca="false">HYPERLINK("https://lindat.mff.cuni.cz/services/teitok/pdtc10/index.php?action=vallex&amp;frame=v-w4398hsa_359", "projíždět (v-w4398hsa_359) - substituted with v-w4398f2_ZU")</f>
        <v>projíždět (v-w4398hsa_359) - substituted with v-w4398f2_ZU</v>
      </c>
    </row>
    <row r="31933" customFormat="false" ht="12.8" hidden="false" customHeight="false" outlineLevel="0" collapsed="false">
      <c r="B31933" s="0" t="s">
        <v>1</v>
      </c>
    </row>
    <row r="31934" customFormat="false" ht="12.8" hidden="false" customHeight="false" outlineLevel="0" collapsed="false">
      <c r="B31934" s="0" t="s">
        <v>8</v>
      </c>
    </row>
    <row r="31936" customFormat="false" ht="12.8" hidden="false" customHeight="false" outlineLevel="0" collapsed="false">
      <c r="A31936" s="0" t="s">
        <v>12448</v>
      </c>
      <c r="B31936" s="0" t="str">
        <f aca="false">HYPERLINK("https://lindat.mff.cuni.cz/services/teitok/pdtc10/index.php?action=vallex&amp;frame=v-whsa_1810hsa_1811", "projíždět se (v-whsa_1810hsa_1811)")</f>
        <v>projíždět se (v-whsa_1810hsa_1811)</v>
      </c>
    </row>
    <row r="31937" customFormat="false" ht="12.8" hidden="false" customHeight="false" outlineLevel="0" collapsed="false">
      <c r="B31937" s="0" t="s">
        <v>1</v>
      </c>
    </row>
    <row r="31939" customFormat="false" ht="12.8" hidden="false" customHeight="false" outlineLevel="0" collapsed="false">
      <c r="A31939" s="0" t="s">
        <v>12449</v>
      </c>
      <c r="B31939" s="0" t="str">
        <f aca="false">HYPERLINK("https://lindat.mff.cuni.cz/services/teitok/pdtc10/index.php?action=vallex&amp;frame=v-w4402f3_ZU", "prokazovat (v-w4402f3_ZU)")</f>
        <v>prokazovat (v-w4402f3_ZU)</v>
      </c>
    </row>
    <row r="31940" customFormat="false" ht="12.8" hidden="false" customHeight="false" outlineLevel="0" collapsed="false">
      <c r="B31940" s="0" t="s">
        <v>1</v>
      </c>
    </row>
    <row r="31941" customFormat="false" ht="12.8" hidden="false" customHeight="false" outlineLevel="0" collapsed="false">
      <c r="B31941" s="0" t="s">
        <v>8</v>
      </c>
    </row>
    <row r="31942" customFormat="false" ht="12.8" hidden="false" customHeight="false" outlineLevel="0" collapsed="false">
      <c r="B31942" s="0" t="s">
        <v>52</v>
      </c>
    </row>
    <row r="31944" customFormat="false" ht="12.8" hidden="false" customHeight="false" outlineLevel="0" collapsed="false">
      <c r="A31944" s="0" t="s">
        <v>12450</v>
      </c>
      <c r="B31944" s="0" t="str">
        <f aca="false">HYPERLINK("https://lindat.mff.cuni.cz/services/teitok/pdtc10/index.php?action=vallex&amp;frame=v-w4402f4_ZU", "prokazovat (v-w4402f4_ZU)")</f>
        <v>prokazovat (v-w4402f4_ZU)</v>
      </c>
      <c r="E31944" s="0" t="str">
        <f aca="false">HYPERLINK("https://lindat.mff.cuni.cz/services/SynSemClass40/SynSemClass40.html?veclass=vec00163#vec00163-ces-cm00116", "vec00163")</f>
        <v>vec00163</v>
      </c>
      <c r="F31944" s="0" t="s">
        <v>12451</v>
      </c>
    </row>
    <row r="31945" customFormat="false" ht="12.8" hidden="false" customHeight="false" outlineLevel="0" collapsed="false">
      <c r="B31945" s="0" t="s">
        <v>1</v>
      </c>
      <c r="C31945" s="0" t="s">
        <v>1436</v>
      </c>
      <c r="E31945" s="0" t="s">
        <v>31</v>
      </c>
      <c r="F31945" s="0" t="s">
        <v>608</v>
      </c>
    </row>
    <row r="31946" customFormat="false" ht="12.8" hidden="false" customHeight="false" outlineLevel="0" collapsed="false">
      <c r="B31946" s="0" t="s">
        <v>8893</v>
      </c>
      <c r="C31946" s="0" t="s">
        <v>1543</v>
      </c>
      <c r="E31946" s="0" t="s">
        <v>1347</v>
      </c>
      <c r="F31946" s="0" t="s">
        <v>12452</v>
      </c>
    </row>
    <row r="31947" customFormat="false" ht="12.8" hidden="false" customHeight="false" outlineLevel="0" collapsed="false">
      <c r="B31947" s="0" t="s">
        <v>132</v>
      </c>
      <c r="E31947" s="0" t="s">
        <v>221</v>
      </c>
      <c r="F31947" s="0" t="s">
        <v>4699</v>
      </c>
    </row>
    <row r="31949" customFormat="false" ht="12.8" hidden="false" customHeight="false" outlineLevel="0" collapsed="false">
      <c r="A31949" s="0" t="s">
        <v>12450</v>
      </c>
      <c r="B31949" s="0" t="str">
        <f aca="false">HYPERLINK("https://lindat.mff.cuni.cz/services/teitok/pdtc10/index.php?action=vallex&amp;frame=v-w4402f1", "prokazovat (v-w4402f1) - substituted with v-w4402f4_ZU")</f>
        <v>prokazovat (v-w4402f1) - substituted with v-w4402f4_ZU</v>
      </c>
    </row>
    <row r="31950" customFormat="false" ht="12.8" hidden="false" customHeight="false" outlineLevel="0" collapsed="false">
      <c r="B31950" s="0" t="s">
        <v>1</v>
      </c>
    </row>
    <row r="31951" customFormat="false" ht="12.8" hidden="false" customHeight="false" outlineLevel="0" collapsed="false">
      <c r="B31951" s="0" t="s">
        <v>8893</v>
      </c>
    </row>
    <row r="31952" customFormat="false" ht="12.8" hidden="false" customHeight="false" outlineLevel="0" collapsed="false">
      <c r="B31952" s="0" t="s">
        <v>132</v>
      </c>
    </row>
    <row r="31954" customFormat="false" ht="12.8" hidden="false" customHeight="false" outlineLevel="0" collapsed="false">
      <c r="A31954" s="0" t="s">
        <v>12453</v>
      </c>
      <c r="B31954" s="0" t="str">
        <f aca="false">HYPERLINK("https://lindat.mff.cuni.cz/services/teitok/pdtc10/index.php?action=vallex&amp;frame=v-w4402f2", "prokazovat (v-w4402f2)")</f>
        <v>prokazovat (v-w4402f2)</v>
      </c>
      <c r="E31954" s="0" t="str">
        <f aca="false">HYPERLINK("https://lindat.mff.cuni.cz/services/SynSemClass40/SynSemClass40.html?veclass=vec00087#vec00087-ces-cm00032", "vec00087")</f>
        <v>vec00087</v>
      </c>
      <c r="F31954" s="0" t="s">
        <v>2368</v>
      </c>
    </row>
    <row r="31955" customFormat="false" ht="12.8" hidden="false" customHeight="false" outlineLevel="0" collapsed="false">
      <c r="B31955" s="0" t="s">
        <v>1</v>
      </c>
      <c r="C31955" s="0" t="s">
        <v>2379</v>
      </c>
      <c r="E31955" s="0" t="s">
        <v>2370</v>
      </c>
      <c r="F31955" s="0" t="s">
        <v>2371</v>
      </c>
    </row>
    <row r="31956" customFormat="false" ht="12.8" hidden="false" customHeight="false" outlineLevel="0" collapsed="false">
      <c r="B31956" s="0" t="s">
        <v>59</v>
      </c>
      <c r="C31956" s="0" t="s">
        <v>2380</v>
      </c>
      <c r="E31956" s="0" t="s">
        <v>2373</v>
      </c>
      <c r="F31956" s="0" t="s">
        <v>2374</v>
      </c>
    </row>
    <row r="31958" customFormat="false" ht="12.8" hidden="false" customHeight="false" outlineLevel="0" collapsed="false">
      <c r="A31958" s="0" t="s">
        <v>12454</v>
      </c>
      <c r="B31958" s="0" t="str">
        <f aca="false">HYPERLINK("https://lindat.mff.cuni.cz/services/teitok/pdtc10/index.php?action=vallex&amp;frame=v-w4407f1", "proklamovat (v-w4407f1)")</f>
        <v>proklamovat (v-w4407f1)</v>
      </c>
    </row>
    <row r="31959" customFormat="false" ht="12.8" hidden="false" customHeight="false" outlineLevel="0" collapsed="false">
      <c r="B31959" s="0" t="s">
        <v>1</v>
      </c>
    </row>
    <row r="31960" customFormat="false" ht="12.8" hidden="false" customHeight="false" outlineLevel="0" collapsed="false">
      <c r="B31960" s="0" t="s">
        <v>59</v>
      </c>
    </row>
    <row r="31962" customFormat="false" ht="12.8" hidden="false" customHeight="false" outlineLevel="0" collapsed="false">
      <c r="A31962" s="0" t="s">
        <v>12455</v>
      </c>
      <c r="B31962" s="0" t="str">
        <f aca="false">HYPERLINK("https://lindat.mff.cuni.cz/services/teitok/pdtc10/index.php?action=vallex&amp;frame=v-w4408f1", "proklestit (v-w4408f1)")</f>
        <v>proklestit (v-w4408f1)</v>
      </c>
      <c r="E31962" s="0" t="str">
        <f aca="false">HYPERLINK("https://lindat.mff.cuni.cz/services/SynSemClass40/SynSemClass40.html?veclass=vec00884#vec00884-ces-cm00001", "vec00884")</f>
        <v>vec00884</v>
      </c>
      <c r="F31962" s="0" t="s">
        <v>2073</v>
      </c>
    </row>
    <row r="31963" customFormat="false" ht="12.8" hidden="false" customHeight="false" outlineLevel="0" collapsed="false">
      <c r="B31963" s="0" t="s">
        <v>1</v>
      </c>
      <c r="C31963" s="0" t="s">
        <v>447</v>
      </c>
      <c r="E31963" s="0" t="s">
        <v>206</v>
      </c>
      <c r="F31963" s="0" t="s">
        <v>2075</v>
      </c>
    </row>
    <row r="31964" customFormat="false" ht="12.8" hidden="false" customHeight="false" outlineLevel="0" collapsed="false">
      <c r="B31964" s="0" t="s">
        <v>8</v>
      </c>
      <c r="C31964" s="0" t="s">
        <v>798</v>
      </c>
      <c r="E31964" s="0" t="s">
        <v>7635</v>
      </c>
      <c r="F31964" s="0" t="s">
        <v>12456</v>
      </c>
    </row>
    <row r="31966" customFormat="false" ht="12.8" hidden="false" customHeight="false" outlineLevel="0" collapsed="false">
      <c r="A31966" s="0" t="s">
        <v>12457</v>
      </c>
      <c r="B31966" s="0" t="str">
        <f aca="false">HYPERLINK("https://lindat.mff.cuni.cz/services/teitok/pdtc10/index.php?action=vallex&amp;frame=v-w12237_ZUf1_ZU", "proklimbat (v-w12237_ZUf1_ZU)")</f>
        <v>proklimbat (v-w12237_ZUf1_ZU)</v>
      </c>
    </row>
    <row r="31967" customFormat="false" ht="12.8" hidden="false" customHeight="false" outlineLevel="0" collapsed="false">
      <c r="B31967" s="0" t="s">
        <v>1</v>
      </c>
    </row>
    <row r="31968" customFormat="false" ht="12.8" hidden="false" customHeight="false" outlineLevel="0" collapsed="false">
      <c r="B31968" s="0" t="s">
        <v>8</v>
      </c>
    </row>
    <row r="31970" customFormat="false" ht="12.8" hidden="false" customHeight="false" outlineLevel="0" collapsed="false">
      <c r="A31970" s="0" t="s">
        <v>12458</v>
      </c>
      <c r="B31970" s="0" t="str">
        <f aca="false">HYPERLINK("https://lindat.mff.cuni.cz/services/teitok/pdtc10/index.php?action=vallex&amp;frame=v-w10619f2", "prokličkovat (v-w10619f2)")</f>
        <v>prokličkovat (v-w10619f2)</v>
      </c>
    </row>
    <row r="31971" customFormat="false" ht="12.8" hidden="false" customHeight="false" outlineLevel="0" collapsed="false">
      <c r="B31971" s="0" t="s">
        <v>1</v>
      </c>
    </row>
    <row r="31972" customFormat="false" ht="12.8" hidden="false" customHeight="false" outlineLevel="0" collapsed="false">
      <c r="B31972" s="0" t="s">
        <v>336</v>
      </c>
    </row>
    <row r="31974" customFormat="false" ht="12.8" hidden="false" customHeight="false" outlineLevel="0" collapsed="false">
      <c r="A31974" s="0" t="s">
        <v>12459</v>
      </c>
      <c r="B31974" s="0" t="str">
        <f aca="false">HYPERLINK("https://lindat.mff.cuni.cz/services/teitok/pdtc10/index.php?action=vallex&amp;frame=v-w10135f2", "proklouznout (v-w10135f2)")</f>
        <v>proklouznout (v-w10135f2)</v>
      </c>
      <c r="E31974" s="0" t="str">
        <f aca="false">HYPERLINK("https://lindat.mff.cuni.cz/services/SynSemClass40/SynSemClass40.html?veclass=vec00218#vec00218-ces-cm00261", "vec00218")</f>
        <v>vec00218</v>
      </c>
      <c r="F31974" s="0" t="s">
        <v>2143</v>
      </c>
    </row>
    <row r="31975" customFormat="false" ht="12.8" hidden="false" customHeight="false" outlineLevel="0" collapsed="false">
      <c r="B31975" s="0" t="s">
        <v>1</v>
      </c>
      <c r="C31975" s="0" t="s">
        <v>2144</v>
      </c>
      <c r="E31975" s="0" t="s">
        <v>11</v>
      </c>
      <c r="F31975" s="0" t="s">
        <v>2145</v>
      </c>
    </row>
    <row r="31976" customFormat="false" ht="12.8" hidden="false" customHeight="false" outlineLevel="0" collapsed="false">
      <c r="B31976" s="0" t="s">
        <v>164</v>
      </c>
      <c r="C31976" s="0" t="s">
        <v>2146</v>
      </c>
      <c r="E31976" s="0" t="s">
        <v>370</v>
      </c>
      <c r="F31976" s="0" t="s">
        <v>2147</v>
      </c>
    </row>
    <row r="31978" customFormat="false" ht="12.8" hidden="false" customHeight="false" outlineLevel="0" collapsed="false">
      <c r="A31978" s="0" t="s">
        <v>12460</v>
      </c>
      <c r="B31978" s="0" t="str">
        <f aca="false">HYPERLINK("https://lindat.mff.cuni.cz/services/teitok/pdtc10/index.php?action=vallex&amp;frame=v-w10220f2", "prokládat (v-w10220f2)")</f>
        <v>prokládat (v-w10220f2)</v>
      </c>
    </row>
    <row r="31979" customFormat="false" ht="12.8" hidden="false" customHeight="false" outlineLevel="0" collapsed="false">
      <c r="B31979" s="0" t="s">
        <v>1</v>
      </c>
    </row>
    <row r="31980" customFormat="false" ht="12.8" hidden="false" customHeight="false" outlineLevel="0" collapsed="false">
      <c r="B31980" s="0" t="s">
        <v>8</v>
      </c>
    </row>
    <row r="31981" customFormat="false" ht="12.8" hidden="false" customHeight="false" outlineLevel="0" collapsed="false">
      <c r="B31981" s="0" t="s">
        <v>7045</v>
      </c>
    </row>
    <row r="31983" customFormat="false" ht="12.8" hidden="false" customHeight="false" outlineLevel="0" collapsed="false">
      <c r="A31983" s="0" t="s">
        <v>12461</v>
      </c>
      <c r="B31983" s="0" t="str">
        <f aca="false">HYPERLINK("https://lindat.mff.cuni.cz/services/teitok/pdtc10/index.php?action=vallex&amp;frame=v-whsa_1964hsa_1965", "proklít (v-whsa_1964hsa_1965)")</f>
        <v>proklít (v-whsa_1964hsa_1965)</v>
      </c>
    </row>
    <row r="31984" customFormat="false" ht="12.8" hidden="false" customHeight="false" outlineLevel="0" collapsed="false">
      <c r="B31984" s="0" t="s">
        <v>1</v>
      </c>
    </row>
    <row r="31985" customFormat="false" ht="12.8" hidden="false" customHeight="false" outlineLevel="0" collapsed="false">
      <c r="B31985" s="0" t="s">
        <v>8</v>
      </c>
    </row>
    <row r="31987" customFormat="false" ht="12.8" hidden="false" customHeight="false" outlineLevel="0" collapsed="false">
      <c r="A31987" s="0" t="s">
        <v>12462</v>
      </c>
      <c r="B31987" s="0" t="str">
        <f aca="false">HYPERLINK("https://lindat.mff.cuni.cz/services/teitok/pdtc10/index.php?action=vallex&amp;frame=v-whsa_818f1_ZU", "prokopat se (v-whsa_818f1_ZU)")</f>
        <v>prokopat se (v-whsa_818f1_ZU)</v>
      </c>
      <c r="E31987" s="0" t="str">
        <f aca="false">HYPERLINK("https://lindat.mff.cuni.cz/services/SynSemClass40/SynSemClass40.html?veclass=vec01273#vec01273-ces-cm00001", "vec01273")</f>
        <v>vec01273</v>
      </c>
      <c r="F31987" s="0" t="s">
        <v>12463</v>
      </c>
    </row>
    <row r="31988" customFormat="false" ht="12.8" hidden="false" customHeight="false" outlineLevel="0" collapsed="false">
      <c r="B31988" s="0" t="s">
        <v>1</v>
      </c>
      <c r="E31988" s="0" t="s">
        <v>31</v>
      </c>
      <c r="F31988" s="0" t="s">
        <v>49</v>
      </c>
    </row>
    <row r="31990" customFormat="false" ht="12.8" hidden="false" customHeight="false" outlineLevel="0" collapsed="false">
      <c r="A31990" s="0" t="s">
        <v>12462</v>
      </c>
      <c r="B31990" s="0" t="str">
        <f aca="false">HYPERLINK("https://lindat.mff.cuni.cz/services/teitok/pdtc10/index.php?action=vallex&amp;frame=v-whsa_818hsa_819", "prokopat se (v-whsa_818hsa_819) - substituted with v-whsa_818f1_ZU")</f>
        <v>prokopat se (v-whsa_818hsa_819) - substituted with v-whsa_818f1_ZU</v>
      </c>
    </row>
    <row r="31991" customFormat="false" ht="12.8" hidden="false" customHeight="false" outlineLevel="0" collapsed="false">
      <c r="B31991" s="0" t="s">
        <v>1</v>
      </c>
    </row>
    <row r="31993" customFormat="false" ht="12.8" hidden="false" customHeight="false" outlineLevel="0" collapsed="false">
      <c r="A31993" s="0" t="s">
        <v>12464</v>
      </c>
      <c r="B31993" s="0" t="str">
        <f aca="false">HYPERLINK("https://lindat.mff.cuni.cz/services/teitok/pdtc10/index.php?action=vallex&amp;frame=v-w11406f2", "prokopnout se (v-w11406f2)")</f>
        <v>prokopnout se (v-w11406f2)</v>
      </c>
    </row>
    <row r="31994" customFormat="false" ht="12.8" hidden="false" customHeight="false" outlineLevel="0" collapsed="false">
      <c r="B31994" s="0" t="s">
        <v>1</v>
      </c>
    </row>
    <row r="31996" customFormat="false" ht="12.8" hidden="false" customHeight="false" outlineLevel="0" collapsed="false">
      <c r="A31996" s="0" t="s">
        <v>12465</v>
      </c>
      <c r="B31996" s="0" t="str">
        <f aca="false">HYPERLINK("https://lindat.mff.cuni.cz/services/teitok/pdtc10/index.php?action=vallex&amp;frame=v-w4410f1", "prokouknout (v-w4410f1)")</f>
        <v>prokouknout (v-w4410f1)</v>
      </c>
      <c r="E31996" s="0" t="str">
        <f aca="false">HYPERLINK("https://lindat.mff.cuni.cz/services/SynSemClass40/SynSemClass40.html?veclass=vec00909#vec00909-ces-cm00177", "vec00909")</f>
        <v>vec00909</v>
      </c>
      <c r="F31996" s="0" t="s">
        <v>1954</v>
      </c>
    </row>
    <row r="31997" customFormat="false" ht="12.8" hidden="false" customHeight="false" outlineLevel="0" collapsed="false">
      <c r="B31997" s="0" t="s">
        <v>1</v>
      </c>
      <c r="C31997" s="0" t="s">
        <v>4256</v>
      </c>
      <c r="E31997" s="0" t="s">
        <v>621</v>
      </c>
      <c r="F31997" s="0" t="s">
        <v>1957</v>
      </c>
    </row>
    <row r="31998" customFormat="false" ht="12.8" hidden="false" customHeight="false" outlineLevel="0" collapsed="false">
      <c r="B31998" s="0" t="s">
        <v>8</v>
      </c>
      <c r="C31998" s="0" t="s">
        <v>4766</v>
      </c>
      <c r="E31998" s="0" t="s">
        <v>180</v>
      </c>
      <c r="F31998" s="0" t="s">
        <v>1961</v>
      </c>
    </row>
    <row r="32000" customFormat="false" ht="12.8" hidden="false" customHeight="false" outlineLevel="0" collapsed="false">
      <c r="A32000" s="0" t="s">
        <v>12466</v>
      </c>
      <c r="B32000" s="0" t="str">
        <f aca="false">HYPERLINK("https://lindat.mff.cuni.cz/services/teitok/pdtc10/index.php?action=vallex&amp;frame=v-w4411f1", "prokousat se (v-w4411f1)")</f>
        <v>prokousat se (v-w4411f1)</v>
      </c>
      <c r="E32000" s="0" t="str">
        <f aca="false">HYPERLINK("https://lindat.mff.cuni.cz/services/SynSemClass40/SynSemClass40.html?veclass=vec00279#vec00279-ces-cm00078", "vec00279")</f>
        <v>vec00279</v>
      </c>
      <c r="F32000" s="0" t="s">
        <v>9067</v>
      </c>
    </row>
    <row r="32001" customFormat="false" ht="12.8" hidden="false" customHeight="false" outlineLevel="0" collapsed="false">
      <c r="B32001" s="0" t="s">
        <v>1</v>
      </c>
      <c r="C32001" s="0" t="s">
        <v>9068</v>
      </c>
      <c r="E32001" s="0" t="s">
        <v>11</v>
      </c>
      <c r="F32001" s="0" t="s">
        <v>9069</v>
      </c>
    </row>
    <row r="32002" customFormat="false" ht="12.8" hidden="false" customHeight="false" outlineLevel="0" collapsed="false">
      <c r="B32002" s="0" t="s">
        <v>336</v>
      </c>
      <c r="C32002" s="0" t="s">
        <v>12250</v>
      </c>
      <c r="E32002" s="0" t="s">
        <v>12251</v>
      </c>
      <c r="F32002" s="0" t="s">
        <v>12252</v>
      </c>
    </row>
    <row r="32004" customFormat="false" ht="12.8" hidden="false" customHeight="false" outlineLevel="0" collapsed="false">
      <c r="A32004" s="0" t="s">
        <v>12467</v>
      </c>
      <c r="B32004" s="0" t="str">
        <f aca="false">HYPERLINK("https://lindat.mff.cuni.cz/services/teitok/pdtc10/index.php?action=vallex&amp;frame=v-w11396f1", "prokousávat se (v-w11396f1)")</f>
        <v>prokousávat se (v-w11396f1)</v>
      </c>
      <c r="E32004" s="0" t="str">
        <f aca="false">HYPERLINK("https://lindat.mff.cuni.cz/services/SynSemClass40/SynSemClass40.html?veclass=vec00279#vec00279-ces-cm00079", "vec00279")</f>
        <v>vec00279</v>
      </c>
      <c r="F32004" s="0" t="s">
        <v>9067</v>
      </c>
    </row>
    <row r="32005" customFormat="false" ht="12.8" hidden="false" customHeight="false" outlineLevel="0" collapsed="false">
      <c r="B32005" s="0" t="s">
        <v>1</v>
      </c>
      <c r="C32005" s="0" t="s">
        <v>9068</v>
      </c>
      <c r="E32005" s="0" t="s">
        <v>11</v>
      </c>
      <c r="F32005" s="0" t="s">
        <v>9069</v>
      </c>
    </row>
    <row r="32006" customFormat="false" ht="12.8" hidden="false" customHeight="false" outlineLevel="0" collapsed="false">
      <c r="B32006" s="0" t="s">
        <v>336</v>
      </c>
      <c r="C32006" s="0" t="s">
        <v>12250</v>
      </c>
      <c r="E32006" s="0" t="s">
        <v>12251</v>
      </c>
      <c r="F32006" s="0" t="s">
        <v>12252</v>
      </c>
    </row>
    <row r="32008" customFormat="false" ht="12.8" hidden="false" customHeight="false" outlineLevel="0" collapsed="false">
      <c r="A32008" s="0" t="s">
        <v>12468</v>
      </c>
      <c r="B32008" s="0" t="str">
        <f aca="false">HYPERLINK("https://lindat.mff.cuni.cz/services/teitok/pdtc10/index.php?action=vallex&amp;frame=v-w11357f1", "prokrvovat se (v-w11357f1)")</f>
        <v>prokrvovat se (v-w11357f1)</v>
      </c>
    </row>
    <row r="32009" customFormat="false" ht="12.8" hidden="false" customHeight="false" outlineLevel="0" collapsed="false">
      <c r="B32009" s="0" t="s">
        <v>1</v>
      </c>
    </row>
    <row r="32011" customFormat="false" ht="12.8" hidden="false" customHeight="false" outlineLevel="0" collapsed="false">
      <c r="A32011" s="0" t="s">
        <v>12469</v>
      </c>
      <c r="B32011" s="0" t="str">
        <f aca="false">HYPERLINK("https://lindat.mff.cuni.cz/services/teitok/pdtc10/index.php?action=vallex&amp;frame=v-w4400f3_ZU", "prokázat (v-w4400f3_ZU)")</f>
        <v>prokázat (v-w4400f3_ZU)</v>
      </c>
      <c r="E32011" s="0" t="str">
        <f aca="false">HYPERLINK("https://lindat.mff.cuni.cz/services/SynSemClass40/SynSemClass40.html?veclass=vec00087#vec00087-ces-cm00030", "vec00087")</f>
        <v>vec00087</v>
      </c>
      <c r="F32011" s="0" t="s">
        <v>2368</v>
      </c>
    </row>
    <row r="32012" customFormat="false" ht="12.8" hidden="false" customHeight="false" outlineLevel="0" collapsed="false">
      <c r="B32012" s="0" t="s">
        <v>1</v>
      </c>
      <c r="C32012" s="0" t="s">
        <v>2379</v>
      </c>
      <c r="E32012" s="0" t="s">
        <v>2370</v>
      </c>
      <c r="F32012" s="0" t="s">
        <v>2371</v>
      </c>
    </row>
    <row r="32013" customFormat="false" ht="12.8" hidden="false" customHeight="false" outlineLevel="0" collapsed="false">
      <c r="B32013" s="0" t="s">
        <v>8893</v>
      </c>
      <c r="C32013" s="0" t="s">
        <v>2380</v>
      </c>
      <c r="E32013" s="0" t="s">
        <v>2373</v>
      </c>
      <c r="F32013" s="0" t="s">
        <v>2374</v>
      </c>
    </row>
    <row r="32014" customFormat="false" ht="12.8" hidden="false" customHeight="false" outlineLevel="0" collapsed="false">
      <c r="B32014" s="0" t="s">
        <v>132</v>
      </c>
      <c r="C32014" s="0" t="s">
        <v>2384</v>
      </c>
      <c r="E32014" s="0" t="s">
        <v>2376</v>
      </c>
      <c r="F32014" s="0" t="s">
        <v>2377</v>
      </c>
    </row>
    <row r="32016" customFormat="false" ht="12.8" hidden="false" customHeight="false" outlineLevel="0" collapsed="false">
      <c r="A32016" s="0" t="s">
        <v>12469</v>
      </c>
      <c r="B32016" s="0" t="str">
        <f aca="false">HYPERLINK("https://lindat.mff.cuni.cz/services/teitok/pdtc10/index.php?action=vallex&amp;frame=v-w4400f1", "prokázat (v-w4400f1) - substituted with v-w4400f3_ZU")</f>
        <v>prokázat (v-w4400f1) - substituted with v-w4400f3_ZU</v>
      </c>
    </row>
    <row r="32017" customFormat="false" ht="12.8" hidden="false" customHeight="false" outlineLevel="0" collapsed="false">
      <c r="B32017" s="0" t="s">
        <v>1</v>
      </c>
    </row>
    <row r="32018" customFormat="false" ht="12.8" hidden="false" customHeight="false" outlineLevel="0" collapsed="false">
      <c r="B32018" s="0" t="s">
        <v>8893</v>
      </c>
    </row>
    <row r="32019" customFormat="false" ht="12.8" hidden="false" customHeight="false" outlineLevel="0" collapsed="false">
      <c r="B32019" s="0" t="s">
        <v>132</v>
      </c>
    </row>
    <row r="32021" customFormat="false" ht="12.8" hidden="false" customHeight="false" outlineLevel="0" collapsed="false">
      <c r="A32021" s="0" t="s">
        <v>12470</v>
      </c>
      <c r="B32021" s="0" t="str">
        <f aca="false">HYPERLINK("https://lindat.mff.cuni.cz/services/teitok/pdtc10/index.php?action=vallex&amp;frame=v-w4400f2", "prokázat (v-w4400f2)")</f>
        <v>prokázat (v-w4400f2)</v>
      </c>
      <c r="E32021" s="0" t="str">
        <f aca="false">HYPERLINK("https://lindat.mff.cuni.cz/services/SynSemClass40/SynSemClass40.html?veclass=vec00087#vec00087-ces-cm00001", "vec00087")</f>
        <v>vec00087</v>
      </c>
      <c r="F32021" s="0" t="s">
        <v>2368</v>
      </c>
    </row>
    <row r="32022" customFormat="false" ht="12.8" hidden="false" customHeight="false" outlineLevel="0" collapsed="false">
      <c r="B32022" s="0" t="s">
        <v>1</v>
      </c>
      <c r="C32022" s="0" t="s">
        <v>2379</v>
      </c>
      <c r="E32022" s="0" t="s">
        <v>2370</v>
      </c>
      <c r="F32022" s="0" t="s">
        <v>2371</v>
      </c>
    </row>
    <row r="32023" customFormat="false" ht="12.8" hidden="false" customHeight="false" outlineLevel="0" collapsed="false">
      <c r="B32023" s="0" t="s">
        <v>59</v>
      </c>
      <c r="C32023" s="0" t="s">
        <v>2380</v>
      </c>
      <c r="E32023" s="0" t="s">
        <v>2373</v>
      </c>
      <c r="F32023" s="0" t="s">
        <v>2374</v>
      </c>
    </row>
    <row r="32025" customFormat="false" ht="12.8" hidden="false" customHeight="false" outlineLevel="0" collapsed="false">
      <c r="A32025" s="0" t="s">
        <v>12471</v>
      </c>
      <c r="B32025" s="0" t="str">
        <f aca="false">HYPERLINK("https://lindat.mff.cuni.cz/services/teitok/pdtc10/index.php?action=vallex&amp;frame=v-w4400hsa_1241", "prokázat (v-w4400hsa_1241)")</f>
        <v>prokázat (v-w4400hsa_1241)</v>
      </c>
    </row>
    <row r="32026" customFormat="false" ht="12.8" hidden="false" customHeight="false" outlineLevel="0" collapsed="false">
      <c r="B32026" s="0" t="s">
        <v>1</v>
      </c>
    </row>
    <row r="32027" customFormat="false" ht="12.8" hidden="false" customHeight="false" outlineLevel="0" collapsed="false">
      <c r="B32027" s="0" t="s">
        <v>8</v>
      </c>
    </row>
    <row r="32028" customFormat="false" ht="12.8" hidden="false" customHeight="false" outlineLevel="0" collapsed="false">
      <c r="B32028" s="0" t="s">
        <v>52</v>
      </c>
    </row>
    <row r="32030" customFormat="false" ht="12.8" hidden="false" customHeight="false" outlineLevel="0" collapsed="false">
      <c r="A32030" s="0" t="s">
        <v>12472</v>
      </c>
      <c r="B32030" s="0" t="str">
        <f aca="false">HYPERLINK("https://lindat.mff.cuni.cz/services/teitok/pdtc10/index.php?action=vallex&amp;frame=v-w4401f2", "prokázat se (v-w4401f2)")</f>
        <v>prokázat se (v-w4401f2)</v>
      </c>
    </row>
    <row r="32031" customFormat="false" ht="12.8" hidden="false" customHeight="false" outlineLevel="0" collapsed="false">
      <c r="B32031" s="0" t="s">
        <v>1</v>
      </c>
    </row>
    <row r="32032" customFormat="false" ht="12.8" hidden="false" customHeight="false" outlineLevel="0" collapsed="false">
      <c r="B32032" s="0" t="s">
        <v>286</v>
      </c>
    </row>
    <row r="32034" customFormat="false" ht="12.8" hidden="false" customHeight="false" outlineLevel="0" collapsed="false">
      <c r="A32034" s="0" t="s">
        <v>12473</v>
      </c>
      <c r="B32034" s="0" t="str">
        <f aca="false">HYPERLINK("https://lindat.mff.cuni.cz/services/teitok/pdtc10/index.php?action=vallex&amp;frame=v-w4401f3_ZU", "prokázat se (v-w4401f3_ZU)")</f>
        <v>prokázat se (v-w4401f3_ZU)</v>
      </c>
    </row>
    <row r="32035" customFormat="false" ht="12.8" hidden="false" customHeight="false" outlineLevel="0" collapsed="false">
      <c r="B32035" s="0" t="s">
        <v>1</v>
      </c>
    </row>
    <row r="32036" customFormat="false" ht="12.8" hidden="false" customHeight="false" outlineLevel="0" collapsed="false">
      <c r="B32036" s="0" t="s">
        <v>12474</v>
      </c>
    </row>
    <row r="32038" customFormat="false" ht="12.8" hidden="false" customHeight="false" outlineLevel="0" collapsed="false">
      <c r="A32038" s="0" t="s">
        <v>12475</v>
      </c>
      <c r="B32038" s="0" t="str">
        <f aca="false">HYPERLINK("https://lindat.mff.cuni.cz/services/teitok/pdtc10/index.php?action=vallex&amp;frame=v-w4401f1", "prokázat se (v-w4401f1)")</f>
        <v>prokázat se (v-w4401f1)</v>
      </c>
    </row>
    <row r="32039" customFormat="false" ht="12.8" hidden="false" customHeight="false" outlineLevel="0" collapsed="false">
      <c r="B32039" s="0" t="s">
        <v>12476</v>
      </c>
    </row>
    <row r="32041" customFormat="false" ht="12.8" hidden="false" customHeight="false" outlineLevel="0" collapsed="false">
      <c r="A32041" s="0" t="s">
        <v>12477</v>
      </c>
      <c r="B32041" s="0" t="str">
        <f aca="false">HYPERLINK("https://lindat.mff.cuni.cz/services/teitok/pdtc10/index.php?action=vallex&amp;frame=v-w4409f1", "prokňučet (v-w4409f1)")</f>
        <v>prokňučet (v-w4409f1)</v>
      </c>
    </row>
    <row r="32042" customFormat="false" ht="12.8" hidden="false" customHeight="false" outlineLevel="0" collapsed="false">
      <c r="B32042" s="0" t="s">
        <v>1</v>
      </c>
    </row>
    <row r="32043" customFormat="false" ht="12.8" hidden="false" customHeight="false" outlineLevel="0" collapsed="false">
      <c r="B32043" s="0" t="s">
        <v>8</v>
      </c>
    </row>
    <row r="32045" customFormat="false" ht="12.8" hidden="false" customHeight="false" outlineLevel="0" collapsed="false">
      <c r="A32045" s="0" t="s">
        <v>12478</v>
      </c>
      <c r="B32045" s="0" t="str">
        <f aca="false">HYPERLINK("https://lindat.mff.cuni.cz/services/teitok/pdtc10/index.php?action=vallex&amp;frame=v-w11321f1", "prokřičet se (v-w11321f1)")</f>
        <v>prokřičet se (v-w11321f1)</v>
      </c>
    </row>
    <row r="32046" customFormat="false" ht="12.8" hidden="false" customHeight="false" outlineLevel="0" collapsed="false">
      <c r="B32046" s="0" t="s">
        <v>1</v>
      </c>
    </row>
    <row r="32047" customFormat="false" ht="12.8" hidden="false" customHeight="false" outlineLevel="0" collapsed="false">
      <c r="B32047" s="0" t="s">
        <v>336</v>
      </c>
    </row>
    <row r="32049" customFormat="false" ht="12.8" hidden="false" customHeight="false" outlineLevel="0" collapsed="false">
      <c r="A32049" s="0" t="s">
        <v>12479</v>
      </c>
      <c r="B32049" s="0" t="str">
        <f aca="false">HYPERLINK("https://lindat.mff.cuni.cz/services/teitok/pdtc10/index.php?action=vallex&amp;frame=v-w4413f1", "prolamovat (v-w4413f1)")</f>
        <v>prolamovat (v-w4413f1)</v>
      </c>
      <c r="E32049" s="0" t="str">
        <f aca="false">HYPERLINK("https://lindat.mff.cuni.cz/services/SynSemClass40/SynSemClass40.html?veclass=vec00885#vec00885-ces-cm00008", "vec00885")</f>
        <v>vec00885</v>
      </c>
      <c r="F32049" s="0" t="s">
        <v>12480</v>
      </c>
    </row>
    <row r="32050" customFormat="false" ht="12.8" hidden="false" customHeight="false" outlineLevel="0" collapsed="false">
      <c r="B32050" s="0" t="s">
        <v>1</v>
      </c>
      <c r="C32050" s="0" t="s">
        <v>1752</v>
      </c>
      <c r="E32050" s="0" t="s">
        <v>1890</v>
      </c>
      <c r="F32050" s="0" t="s">
        <v>12481</v>
      </c>
    </row>
    <row r="32051" customFormat="false" ht="12.8" hidden="false" customHeight="false" outlineLevel="0" collapsed="false">
      <c r="B32051" s="0" t="s">
        <v>8</v>
      </c>
      <c r="C32051" s="0" t="s">
        <v>3252</v>
      </c>
      <c r="E32051" s="0" t="s">
        <v>1893</v>
      </c>
      <c r="F32051" s="0" t="s">
        <v>12482</v>
      </c>
    </row>
    <row r="32053" customFormat="false" ht="12.8" hidden="false" customHeight="false" outlineLevel="0" collapsed="false">
      <c r="A32053" s="0" t="s">
        <v>12483</v>
      </c>
      <c r="B32053" s="0" t="str">
        <f aca="false">HYPERLINK("https://lindat.mff.cuni.cz/services/teitok/pdtc10/index.php?action=vallex&amp;frame=v-w11566_ZUf1_ZU", "proletět (v-w11566_ZUf1_ZU)")</f>
        <v>proletět (v-w11566_ZUf1_ZU)</v>
      </c>
    </row>
    <row r="32054" customFormat="false" ht="12.8" hidden="false" customHeight="false" outlineLevel="0" collapsed="false">
      <c r="B32054" s="0" t="s">
        <v>1</v>
      </c>
    </row>
    <row r="32055" customFormat="false" ht="12.8" hidden="false" customHeight="false" outlineLevel="0" collapsed="false">
      <c r="B32055" s="0" t="s">
        <v>4966</v>
      </c>
    </row>
    <row r="32057" customFormat="false" ht="12.8" hidden="false" customHeight="false" outlineLevel="0" collapsed="false">
      <c r="A32057" s="0" t="s">
        <v>12484</v>
      </c>
      <c r="B32057" s="0" t="str">
        <f aca="false">HYPERLINK("https://lindat.mff.cuni.cz/services/teitok/pdtc10/index.php?action=vallex&amp;frame=v-whsb_882hsa_883", "proletět se (v-whsb_882hsa_883)")</f>
        <v>proletět se (v-whsb_882hsa_883)</v>
      </c>
    </row>
    <row r="32058" customFormat="false" ht="12.8" hidden="false" customHeight="false" outlineLevel="0" collapsed="false">
      <c r="B32058" s="0" t="s">
        <v>1</v>
      </c>
    </row>
    <row r="32060" customFormat="false" ht="12.8" hidden="false" customHeight="false" outlineLevel="0" collapsed="false">
      <c r="A32060" s="0" t="s">
        <v>12485</v>
      </c>
      <c r="B32060" s="0" t="str">
        <f aca="false">HYPERLINK("https://lindat.mff.cuni.cz/services/teitok/pdtc10/index.php?action=vallex&amp;frame=v-w4414f1", "proležet (v-w4414f1)")</f>
        <v>proležet (v-w4414f1)</v>
      </c>
    </row>
    <row r="32061" customFormat="false" ht="12.8" hidden="false" customHeight="false" outlineLevel="0" collapsed="false">
      <c r="B32061" s="0" t="s">
        <v>1</v>
      </c>
    </row>
    <row r="32062" customFormat="false" ht="12.8" hidden="false" customHeight="false" outlineLevel="0" collapsed="false">
      <c r="B32062" s="0" t="s">
        <v>8</v>
      </c>
    </row>
    <row r="32064" customFormat="false" ht="12.8" hidden="false" customHeight="false" outlineLevel="0" collapsed="false">
      <c r="A32064" s="0" t="s">
        <v>12486</v>
      </c>
      <c r="B32064" s="0" t="str">
        <f aca="false">HYPERLINK("https://lindat.mff.cuni.cz/services/teitok/pdtc10/index.php?action=vallex&amp;frame=v-w4414f2", "proležet (v-w4414f2)")</f>
        <v>proležet (v-w4414f2)</v>
      </c>
    </row>
    <row r="32065" customFormat="false" ht="12.8" hidden="false" customHeight="false" outlineLevel="0" collapsed="false">
      <c r="B32065" s="0" t="s">
        <v>1</v>
      </c>
    </row>
    <row r="32066" customFormat="false" ht="12.8" hidden="false" customHeight="false" outlineLevel="0" collapsed="false">
      <c r="B32066" s="0" t="s">
        <v>8</v>
      </c>
    </row>
    <row r="32068" customFormat="false" ht="12.8" hidden="false" customHeight="false" outlineLevel="0" collapsed="false">
      <c r="A32068" s="0" t="s">
        <v>12487</v>
      </c>
      <c r="B32068" s="0" t="str">
        <f aca="false">HYPERLINK("https://lindat.mff.cuni.cz/services/teitok/pdtc10/index.php?action=vallex&amp;frame=v-w4417f1", "prolistovat (v-w4417f1)")</f>
        <v>prolistovat (v-w4417f1)</v>
      </c>
      <c r="E32068" s="0" t="str">
        <f aca="false">HYPERLINK("https://lindat.mff.cuni.cz/services/SynSemClass40/SynSemClass40.html?veclass=vec01224#vec01224-ces-cm00004", "vec01224")</f>
        <v>vec01224</v>
      </c>
      <c r="F32068" s="0" t="s">
        <v>6051</v>
      </c>
    </row>
    <row r="32069" customFormat="false" ht="12.8" hidden="false" customHeight="false" outlineLevel="0" collapsed="false">
      <c r="B32069" s="0" t="s">
        <v>1</v>
      </c>
      <c r="E32069" s="0" t="s">
        <v>621</v>
      </c>
      <c r="F32069" s="0" t="s">
        <v>4213</v>
      </c>
    </row>
    <row r="32070" customFormat="false" ht="12.8" hidden="false" customHeight="false" outlineLevel="0" collapsed="false">
      <c r="B32070" s="0" t="s">
        <v>8</v>
      </c>
      <c r="E32070" s="0" t="s">
        <v>1732</v>
      </c>
      <c r="F32070" s="0" t="s">
        <v>6052</v>
      </c>
    </row>
    <row r="32072" customFormat="false" ht="12.8" hidden="false" customHeight="false" outlineLevel="0" collapsed="false">
      <c r="A32072" s="0" t="s">
        <v>12488</v>
      </c>
      <c r="B32072" s="0" t="str">
        <f aca="false">HYPERLINK("https://lindat.mff.cuni.cz/services/teitok/pdtc10/index.php?action=vallex&amp;frame=v-w4418f1", "prolnout (v-w4418f1)")</f>
        <v>prolnout (v-w4418f1)</v>
      </c>
    </row>
    <row r="32073" customFormat="false" ht="12.8" hidden="false" customHeight="false" outlineLevel="0" collapsed="false">
      <c r="B32073" s="0" t="s">
        <v>1</v>
      </c>
    </row>
    <row r="32074" customFormat="false" ht="12.8" hidden="false" customHeight="false" outlineLevel="0" collapsed="false">
      <c r="B32074" s="0" t="s">
        <v>8</v>
      </c>
    </row>
    <row r="32076" customFormat="false" ht="12.8" hidden="false" customHeight="false" outlineLevel="0" collapsed="false">
      <c r="A32076" s="0" t="s">
        <v>12489</v>
      </c>
      <c r="B32076" s="0" t="str">
        <f aca="false">HYPERLINK("https://lindat.mff.cuni.cz/services/teitok/pdtc10/index.php?action=vallex&amp;frame=v-w4421f1", "prolomit (v-w4421f1)")</f>
        <v>prolomit (v-w4421f1)</v>
      </c>
      <c r="E32076" s="0" t="str">
        <f aca="false">HYPERLINK("https://lindat.mff.cuni.cz/services/SynSemClass40/SynSemClass40.html?veclass=vec00885#vec00885-ces-cm00001", "vec00885")</f>
        <v>vec00885</v>
      </c>
      <c r="F32076" s="0" t="s">
        <v>12480</v>
      </c>
    </row>
    <row r="32077" customFormat="false" ht="12.8" hidden="false" customHeight="false" outlineLevel="0" collapsed="false">
      <c r="B32077" s="0" t="s">
        <v>1</v>
      </c>
      <c r="C32077" s="0" t="s">
        <v>1752</v>
      </c>
      <c r="E32077" s="0" t="s">
        <v>1890</v>
      </c>
      <c r="F32077" s="0" t="s">
        <v>12481</v>
      </c>
    </row>
    <row r="32078" customFormat="false" ht="12.8" hidden="false" customHeight="false" outlineLevel="0" collapsed="false">
      <c r="B32078" s="0" t="s">
        <v>8</v>
      </c>
      <c r="C32078" s="0" t="s">
        <v>3252</v>
      </c>
      <c r="E32078" s="0" t="s">
        <v>1893</v>
      </c>
      <c r="F32078" s="0" t="s">
        <v>12482</v>
      </c>
    </row>
    <row r="32080" customFormat="false" ht="12.8" hidden="false" customHeight="false" outlineLevel="0" collapsed="false">
      <c r="A32080" s="0" t="s">
        <v>12490</v>
      </c>
      <c r="B32080" s="0" t="str">
        <f aca="false">HYPERLINK("https://lindat.mff.cuni.cz/services/teitok/pdtc10/index.php?action=vallex&amp;frame=v-w4421hsa_5", "prolomit (v-w4421hsa_5)")</f>
        <v>prolomit (v-w4421hsa_5)</v>
      </c>
      <c r="E32080" s="0" t="str">
        <f aca="false">HYPERLINK("https://lindat.mff.cuni.cz/services/SynSemClass40/SynSemClass40.html?veclass=vec00885#vec00885-ces-cm00009", "vec00885")</f>
        <v>vec00885</v>
      </c>
      <c r="F32080" s="0" t="s">
        <v>12480</v>
      </c>
    </row>
    <row r="32081" customFormat="false" ht="12.8" hidden="false" customHeight="false" outlineLevel="0" collapsed="false">
      <c r="B32081" s="0" t="s">
        <v>1</v>
      </c>
      <c r="C32081" s="0" t="s">
        <v>1752</v>
      </c>
      <c r="E32081" s="0" t="s">
        <v>1890</v>
      </c>
      <c r="F32081" s="0" t="s">
        <v>12481</v>
      </c>
    </row>
    <row r="32082" customFormat="false" ht="12.8" hidden="false" customHeight="false" outlineLevel="0" collapsed="false">
      <c r="B32082" s="0" t="s">
        <v>8</v>
      </c>
      <c r="C32082" s="0" t="s">
        <v>3252</v>
      </c>
      <c r="E32082" s="0" t="s">
        <v>1893</v>
      </c>
      <c r="F32082" s="0" t="s">
        <v>12482</v>
      </c>
    </row>
    <row r="32084" customFormat="false" ht="12.8" hidden="false" customHeight="false" outlineLevel="0" collapsed="false">
      <c r="A32084" s="0" t="s">
        <v>12491</v>
      </c>
      <c r="B32084" s="0" t="str">
        <f aca="false">HYPERLINK("https://lindat.mff.cuni.cz/services/teitok/pdtc10/index.php?action=vallex&amp;frame=v-whsa_1234hsa_1235", "prolomit se (v-whsa_1234hsa_1235)")</f>
        <v>prolomit se (v-whsa_1234hsa_1235)</v>
      </c>
    </row>
    <row r="32085" customFormat="false" ht="12.8" hidden="false" customHeight="false" outlineLevel="0" collapsed="false">
      <c r="B32085" s="0" t="s">
        <v>1</v>
      </c>
    </row>
    <row r="32086" customFormat="false" ht="12.8" hidden="false" customHeight="false" outlineLevel="0" collapsed="false">
      <c r="B32086" s="0" t="s">
        <v>164</v>
      </c>
    </row>
    <row r="32088" customFormat="false" ht="12.8" hidden="false" customHeight="false" outlineLevel="0" collapsed="false">
      <c r="A32088" s="0" t="s">
        <v>12492</v>
      </c>
      <c r="B32088" s="0" t="str">
        <f aca="false">HYPERLINK("https://lindat.mff.cuni.cz/services/teitok/pdtc10/index.php?action=vallex&amp;frame=v-whsa_1234f1_ZU", "prolomit se (v-whsa_1234f1_ZU)")</f>
        <v>prolomit se (v-whsa_1234f1_ZU)</v>
      </c>
    </row>
    <row r="32089" customFormat="false" ht="12.8" hidden="false" customHeight="false" outlineLevel="0" collapsed="false">
      <c r="B32089" s="0" t="s">
        <v>1</v>
      </c>
    </row>
    <row r="32091" customFormat="false" ht="12.8" hidden="false" customHeight="false" outlineLevel="0" collapsed="false">
      <c r="A32091" s="0" t="s">
        <v>12493</v>
      </c>
      <c r="B32091" s="0" t="str">
        <f aca="false">HYPERLINK("https://lindat.mff.cuni.cz/services/teitok/pdtc10/index.php?action=vallex&amp;frame=v-w11179f2", "prolongovat (v-w11179f2)")</f>
        <v>prolongovat (v-w11179f2)</v>
      </c>
    </row>
    <row r="32092" customFormat="false" ht="12.8" hidden="false" customHeight="false" outlineLevel="0" collapsed="false">
      <c r="B32092" s="0" t="s">
        <v>1</v>
      </c>
    </row>
    <row r="32093" customFormat="false" ht="12.8" hidden="false" customHeight="false" outlineLevel="0" collapsed="false">
      <c r="B32093" s="0" t="s">
        <v>8</v>
      </c>
    </row>
    <row r="32095" customFormat="false" ht="12.8" hidden="false" customHeight="false" outlineLevel="0" collapsed="false">
      <c r="A32095" s="0" t="s">
        <v>12494</v>
      </c>
      <c r="B32095" s="0" t="str">
        <f aca="false">HYPERLINK("https://lindat.mff.cuni.cz/services/teitok/pdtc10/index.php?action=vallex&amp;frame=v-whsa_486hsa_487", "prolétnout (v-whsa_486hsa_487)")</f>
        <v>prolétnout (v-whsa_486hsa_487)</v>
      </c>
    </row>
    <row r="32096" customFormat="false" ht="12.8" hidden="false" customHeight="false" outlineLevel="0" collapsed="false">
      <c r="B32096" s="0" t="s">
        <v>1</v>
      </c>
    </row>
    <row r="32097" customFormat="false" ht="12.8" hidden="false" customHeight="false" outlineLevel="0" collapsed="false">
      <c r="B32097" s="0" t="s">
        <v>164</v>
      </c>
    </row>
    <row r="32099" customFormat="false" ht="12.8" hidden="false" customHeight="false" outlineLevel="0" collapsed="false">
      <c r="A32099" s="0" t="s">
        <v>12495</v>
      </c>
      <c r="B32099" s="0" t="str">
        <f aca="false">HYPERLINK("https://lindat.mff.cuni.cz/services/teitok/pdtc10/index.php?action=vallex&amp;frame=v-whsb_663f2_ZU", "prolévat (v-whsb_663f2_ZU)")</f>
        <v>prolévat (v-whsb_663f2_ZU)</v>
      </c>
    </row>
    <row r="32100" customFormat="false" ht="12.8" hidden="false" customHeight="false" outlineLevel="0" collapsed="false">
      <c r="B32100" s="0" t="s">
        <v>1</v>
      </c>
    </row>
    <row r="32101" customFormat="false" ht="12.8" hidden="false" customHeight="false" outlineLevel="0" collapsed="false">
      <c r="B32101" s="0" t="s">
        <v>11679</v>
      </c>
    </row>
    <row r="32103" customFormat="false" ht="12.8" hidden="false" customHeight="false" outlineLevel="0" collapsed="false">
      <c r="A32103" s="0" t="s">
        <v>12495</v>
      </c>
      <c r="B32103" s="0" t="str">
        <f aca="false">HYPERLINK("https://lindat.mff.cuni.cz/services/teitok/pdtc10/index.php?action=vallex&amp;frame=v-whsb_663f1_ZU", "prolévat (v-whsb_663f1_ZU) - substituted with v-whsb_663f2_ZU")</f>
        <v>prolévat (v-whsb_663f1_ZU) - substituted with v-whsb_663f2_ZU</v>
      </c>
    </row>
    <row r="32104" customFormat="false" ht="12.8" hidden="false" customHeight="false" outlineLevel="0" collapsed="false">
      <c r="B32104" s="0" t="s">
        <v>1</v>
      </c>
    </row>
    <row r="32105" customFormat="false" ht="12.8" hidden="false" customHeight="false" outlineLevel="0" collapsed="false">
      <c r="B32105" s="0" t="s">
        <v>11679</v>
      </c>
    </row>
    <row r="32107" customFormat="false" ht="12.8" hidden="false" customHeight="false" outlineLevel="0" collapsed="false">
      <c r="A32107" s="0" t="s">
        <v>12495</v>
      </c>
      <c r="B32107" s="0" t="str">
        <f aca="false">HYPERLINK("https://lindat.mff.cuni.cz/services/teitok/pdtc10/index.php?action=vallex&amp;frame=v-whsb_663hsa_664", "prolévat (v-whsb_663hsa_664) - substituted with v-whsb_663f2_ZU")</f>
        <v>prolévat (v-whsb_663hsa_664) - substituted with v-whsb_663f2_ZU</v>
      </c>
    </row>
    <row r="32108" customFormat="false" ht="12.8" hidden="false" customHeight="false" outlineLevel="0" collapsed="false">
      <c r="B32108" s="0" t="s">
        <v>1</v>
      </c>
    </row>
    <row r="32109" customFormat="false" ht="12.8" hidden="false" customHeight="false" outlineLevel="0" collapsed="false">
      <c r="B32109" s="0" t="s">
        <v>11679</v>
      </c>
    </row>
    <row r="32111" customFormat="false" ht="12.8" hidden="false" customHeight="false" outlineLevel="0" collapsed="false">
      <c r="A32111" s="0" t="s">
        <v>12496</v>
      </c>
      <c r="B32111" s="0" t="str">
        <f aca="false">HYPERLINK("https://lindat.mff.cuni.cz/services/teitok/pdtc10/index.php?action=vallex&amp;frame=v-whsb_1278hsa_1279", "prolézat (v-whsb_1278hsa_1279)")</f>
        <v>prolézat (v-whsb_1278hsa_1279)</v>
      </c>
    </row>
    <row r="32112" customFormat="false" ht="12.8" hidden="false" customHeight="false" outlineLevel="0" collapsed="false">
      <c r="B32112" s="0" t="s">
        <v>1</v>
      </c>
    </row>
    <row r="32113" customFormat="false" ht="12.8" hidden="false" customHeight="false" outlineLevel="0" collapsed="false">
      <c r="B32113" s="0" t="s">
        <v>8</v>
      </c>
    </row>
    <row r="32115" customFormat="false" ht="12.8" hidden="false" customHeight="false" outlineLevel="0" collapsed="false">
      <c r="A32115" s="0" t="s">
        <v>12497</v>
      </c>
      <c r="B32115" s="0" t="str">
        <f aca="false">HYPERLINK("https://lindat.mff.cuni.cz/services/teitok/pdtc10/index.php?action=vallex&amp;frame=v-whsb_676hsa_677", "prolézt (v-whsb_676hsa_677)")</f>
        <v>prolézt (v-whsb_676hsa_677)</v>
      </c>
    </row>
    <row r="32116" customFormat="false" ht="12.8" hidden="false" customHeight="false" outlineLevel="0" collapsed="false">
      <c r="B32116" s="0" t="s">
        <v>1</v>
      </c>
    </row>
    <row r="32117" customFormat="false" ht="12.8" hidden="false" customHeight="false" outlineLevel="0" collapsed="false">
      <c r="B32117" s="0" t="s">
        <v>164</v>
      </c>
    </row>
    <row r="32119" customFormat="false" ht="12.8" hidden="false" customHeight="false" outlineLevel="0" collapsed="false">
      <c r="A32119" s="0" t="s">
        <v>12498</v>
      </c>
      <c r="B32119" s="0" t="str">
        <f aca="false">HYPERLINK("https://lindat.mff.cuni.cz/services/teitok/pdtc10/index.php?action=vallex&amp;frame=v-w4416f1", "prolínat se (v-w4416f1)")</f>
        <v>prolínat se (v-w4416f1)</v>
      </c>
    </row>
    <row r="32120" customFormat="false" ht="12.8" hidden="false" customHeight="false" outlineLevel="0" collapsed="false">
      <c r="B32120" s="0" t="s">
        <v>1</v>
      </c>
    </row>
    <row r="32121" customFormat="false" ht="12.8" hidden="false" customHeight="false" outlineLevel="0" collapsed="false">
      <c r="B32121" s="0" t="s">
        <v>721</v>
      </c>
    </row>
    <row r="32123" customFormat="false" ht="12.8" hidden="false" customHeight="false" outlineLevel="0" collapsed="false">
      <c r="A32123" s="0" t="s">
        <v>12499</v>
      </c>
      <c r="B32123" s="0" t="str">
        <f aca="false">HYPERLINK("https://lindat.mff.cuni.cz/services/teitok/pdtc10/index.php?action=vallex&amp;frame=v-w4416f2_MM", "prolínat se (v-w4416f2_MM)")</f>
        <v>prolínat se (v-w4416f2_MM)</v>
      </c>
    </row>
    <row r="32124" customFormat="false" ht="12.8" hidden="false" customHeight="false" outlineLevel="0" collapsed="false">
      <c r="B32124" s="0" t="s">
        <v>1</v>
      </c>
    </row>
    <row r="32125" customFormat="false" ht="12.8" hidden="false" customHeight="false" outlineLevel="0" collapsed="false">
      <c r="B32125" s="0" t="s">
        <v>336</v>
      </c>
    </row>
    <row r="32127" customFormat="false" ht="12.8" hidden="false" customHeight="false" outlineLevel="0" collapsed="false">
      <c r="A32127" s="0" t="s">
        <v>12500</v>
      </c>
      <c r="B32127" s="0" t="str">
        <f aca="false">HYPERLINK("https://lindat.mff.cuni.cz/services/teitok/pdtc10/index.php?action=vallex&amp;frame=v-w12281_ZUf1_ZU", "prolítnout (v-w12281_ZUf1_ZU)")</f>
        <v>prolítnout (v-w12281_ZUf1_ZU)</v>
      </c>
    </row>
    <row r="32128" customFormat="false" ht="12.8" hidden="false" customHeight="false" outlineLevel="0" collapsed="false">
      <c r="B32128" s="0" t="s">
        <v>1</v>
      </c>
    </row>
    <row r="32129" customFormat="false" ht="12.8" hidden="false" customHeight="false" outlineLevel="0" collapsed="false">
      <c r="B32129" s="0" t="s">
        <v>12501</v>
      </c>
    </row>
    <row r="32130" customFormat="false" ht="12.8" hidden="false" customHeight="false" outlineLevel="0" collapsed="false">
      <c r="B32130" s="0" t="s">
        <v>186</v>
      </c>
    </row>
    <row r="32132" customFormat="false" ht="12.8" hidden="false" customHeight="false" outlineLevel="0" collapsed="false">
      <c r="A32132" s="0" t="s">
        <v>12502</v>
      </c>
      <c r="B32132" s="0" t="str">
        <f aca="false">HYPERLINK("https://lindat.mff.cuni.cz/services/teitok/pdtc10/index.php?action=vallex&amp;frame=v-w4422f1", "promarnit (v-w4422f1)")</f>
        <v>promarnit (v-w4422f1)</v>
      </c>
      <c r="E32132" s="0" t="str">
        <f aca="false">HYPERLINK("https://lindat.mff.cuni.cz/services/SynSemClass40/SynSemClass40.html?veclass=vec00886#vec00886-ces-cm00003", "vec00886")</f>
        <v>vec00886</v>
      </c>
      <c r="F32132" s="0" t="s">
        <v>10586</v>
      </c>
    </row>
    <row r="32133" customFormat="false" ht="12.8" hidden="false" customHeight="false" outlineLevel="0" collapsed="false">
      <c r="B32133" s="0" t="s">
        <v>1</v>
      </c>
      <c r="C32133" s="0" t="s">
        <v>4264</v>
      </c>
      <c r="E32133" s="0" t="s">
        <v>10587</v>
      </c>
      <c r="F32133" s="0" t="s">
        <v>10588</v>
      </c>
    </row>
    <row r="32134" customFormat="false" ht="12.8" hidden="false" customHeight="false" outlineLevel="0" collapsed="false">
      <c r="B32134" s="0" t="s">
        <v>8</v>
      </c>
      <c r="C32134" s="0" t="s">
        <v>7124</v>
      </c>
      <c r="E32134" s="0" t="s">
        <v>10589</v>
      </c>
      <c r="F32134" s="0" t="s">
        <v>10590</v>
      </c>
    </row>
    <row r="32136" customFormat="false" ht="12.8" hidden="false" customHeight="false" outlineLevel="0" collapsed="false">
      <c r="A32136" s="0" t="s">
        <v>12503</v>
      </c>
      <c r="B32136" s="0" t="str">
        <f aca="false">HYPERLINK("https://lindat.mff.cuni.cz/services/teitok/pdtc10/index.php?action=vallex&amp;frame=v-w4423f1", "promarodit (v-w4423f1)")</f>
        <v>promarodit (v-w4423f1)</v>
      </c>
    </row>
    <row r="32137" customFormat="false" ht="12.8" hidden="false" customHeight="false" outlineLevel="0" collapsed="false">
      <c r="B32137" s="0" t="s">
        <v>1</v>
      </c>
    </row>
    <row r="32138" customFormat="false" ht="12.8" hidden="false" customHeight="false" outlineLevel="0" collapsed="false">
      <c r="B32138" s="0" t="s">
        <v>8</v>
      </c>
    </row>
    <row r="32140" customFormat="false" ht="12.8" hidden="false" customHeight="false" outlineLevel="0" collapsed="false">
      <c r="A32140" s="0" t="s">
        <v>12504</v>
      </c>
      <c r="B32140" s="0" t="str">
        <f aca="false">HYPERLINK("https://lindat.mff.cuni.cz/services/teitok/pdtc10/index.php?action=vallex&amp;frame=v-w12162_ZUf1_ZU", "promenádovat se (v-w12162_ZUf1_ZU)")</f>
        <v>promenádovat se (v-w12162_ZUf1_ZU)</v>
      </c>
    </row>
    <row r="32141" customFormat="false" ht="12.8" hidden="false" customHeight="false" outlineLevel="0" collapsed="false">
      <c r="B32141" s="0" t="s">
        <v>1</v>
      </c>
    </row>
    <row r="32143" customFormat="false" ht="12.8" hidden="false" customHeight="false" outlineLevel="0" collapsed="false">
      <c r="A32143" s="0" t="s">
        <v>12505</v>
      </c>
      <c r="B32143" s="0" t="str">
        <f aca="false">HYPERLINK("https://lindat.mff.cuni.cz/services/teitok/pdtc10/index.php?action=vallex&amp;frame=v-w10778f2", "promeškat (v-w10778f2)")</f>
        <v>promeškat (v-w10778f2)</v>
      </c>
      <c r="E32143" s="0" t="str">
        <f aca="false">HYPERLINK("https://lindat.mff.cuni.cz/services/SynSemClass40/SynSemClass40.html?veclass=vec01430#vec01430-ces-cm00001", "vec01430")</f>
        <v>vec01430</v>
      </c>
      <c r="F32143" s="0" t="s">
        <v>12506</v>
      </c>
    </row>
    <row r="32144" customFormat="false" ht="12.8" hidden="false" customHeight="false" outlineLevel="0" collapsed="false">
      <c r="B32144" s="0" t="s">
        <v>1</v>
      </c>
      <c r="C32144" s="0" t="s">
        <v>12507</v>
      </c>
      <c r="E32144" s="0" t="s">
        <v>11</v>
      </c>
      <c r="F32144" s="0" t="s">
        <v>12508</v>
      </c>
    </row>
    <row r="32145" customFormat="false" ht="12.8" hidden="false" customHeight="false" outlineLevel="0" collapsed="false">
      <c r="B32145" s="0" t="s">
        <v>8</v>
      </c>
      <c r="C32145" s="0" t="s">
        <v>12509</v>
      </c>
      <c r="E32145" s="0" t="s">
        <v>6091</v>
      </c>
      <c r="F32145" s="0" t="s">
        <v>12510</v>
      </c>
    </row>
    <row r="32147" customFormat="false" ht="12.8" hidden="false" customHeight="false" outlineLevel="0" collapsed="false">
      <c r="A32147" s="0" t="s">
        <v>12511</v>
      </c>
      <c r="B32147" s="0" t="str">
        <f aca="false">HYPERLINK("https://lindat.mff.cuni.cz/services/teitok/pdtc10/index.php?action=vallex&amp;frame=v-w4433f1", "prominout (v-w4433f1)")</f>
        <v>prominout (v-w4433f1)</v>
      </c>
      <c r="E32147" s="0" t="str">
        <f aca="false">HYPERLINK("https://lindat.mff.cuni.cz/services/SynSemClass40/SynSemClass40.html?veclass=vec01058#vec01058-ces-cm00003", "vec01058")</f>
        <v>vec01058</v>
      </c>
      <c r="F32147" s="0" t="s">
        <v>9112</v>
      </c>
    </row>
    <row r="32148" customFormat="false" ht="12.8" hidden="false" customHeight="false" outlineLevel="0" collapsed="false">
      <c r="B32148" s="0" t="s">
        <v>1</v>
      </c>
      <c r="C32148" s="0" t="s">
        <v>459</v>
      </c>
      <c r="E32148" s="0" t="s">
        <v>9113</v>
      </c>
      <c r="F32148" s="0" t="s">
        <v>9114</v>
      </c>
    </row>
    <row r="32149" customFormat="false" ht="12.8" hidden="false" customHeight="false" outlineLevel="0" collapsed="false">
      <c r="B32149" s="0" t="s">
        <v>59</v>
      </c>
      <c r="C32149" s="0" t="s">
        <v>2293</v>
      </c>
      <c r="E32149" s="0" t="s">
        <v>9115</v>
      </c>
      <c r="F32149" s="0" t="s">
        <v>9116</v>
      </c>
    </row>
    <row r="32150" customFormat="false" ht="12.8" hidden="false" customHeight="false" outlineLevel="0" collapsed="false">
      <c r="B32150" s="0" t="s">
        <v>52</v>
      </c>
      <c r="C32150" s="0" t="s">
        <v>9117</v>
      </c>
      <c r="E32150" s="0" t="s">
        <v>9118</v>
      </c>
      <c r="F32150" s="0" t="s">
        <v>9119</v>
      </c>
    </row>
    <row r="32152" customFormat="false" ht="12.8" hidden="false" customHeight="false" outlineLevel="0" collapsed="false">
      <c r="A32152" s="0" t="s">
        <v>12512</v>
      </c>
      <c r="B32152" s="0" t="str">
        <f aca="false">HYPERLINK("https://lindat.mff.cuni.cz/services/teitok/pdtc10/index.php?action=vallex&amp;frame=v-w4442f1", "promlouvat (v-w4442f1)")</f>
        <v>promlouvat (v-w4442f1)</v>
      </c>
      <c r="E32152" s="0" t="str">
        <f aca="false">HYPERLINK("https://lindat.mff.cuni.cz/services/SynSemClass40/SynSemClass40.html?veclass=vec00031#vec00031-ces-cm00113", "vec00031")</f>
        <v>vec00031</v>
      </c>
      <c r="F32152" s="0" t="s">
        <v>277</v>
      </c>
    </row>
    <row r="32153" customFormat="false" ht="12.8" hidden="false" customHeight="false" outlineLevel="0" collapsed="false">
      <c r="B32153" s="0" t="s">
        <v>1</v>
      </c>
      <c r="C32153" s="0" t="s">
        <v>278</v>
      </c>
      <c r="E32153" s="0" t="s">
        <v>147</v>
      </c>
      <c r="F32153" s="0" t="s">
        <v>279</v>
      </c>
    </row>
    <row r="32154" customFormat="false" ht="12.8" hidden="false" customHeight="false" outlineLevel="0" collapsed="false">
      <c r="B32154" s="0" t="s">
        <v>11171</v>
      </c>
      <c r="C32154" s="0" t="s">
        <v>280</v>
      </c>
      <c r="E32154" s="0" t="s">
        <v>218</v>
      </c>
      <c r="F32154" s="0" t="s">
        <v>281</v>
      </c>
    </row>
    <row r="32155" customFormat="false" ht="12.8" hidden="false" customHeight="false" outlineLevel="0" collapsed="false">
      <c r="B32155" s="0" t="s">
        <v>12513</v>
      </c>
      <c r="C32155" s="0" t="s">
        <v>282</v>
      </c>
      <c r="E32155" s="0" t="s">
        <v>221</v>
      </c>
      <c r="F32155" s="0" t="s">
        <v>283</v>
      </c>
    </row>
    <row r="32157" customFormat="false" ht="12.8" hidden="false" customHeight="false" outlineLevel="0" collapsed="false">
      <c r="A32157" s="0" t="s">
        <v>12514</v>
      </c>
      <c r="B32157" s="0" t="str">
        <f aca="false">HYPERLINK("https://lindat.mff.cuni.cz/services/teitok/pdtc10/index.php?action=vallex&amp;frame=v-w4444f1", "promluvit (v-w4444f1)")</f>
        <v>promluvit (v-w4444f1)</v>
      </c>
      <c r="E32157" s="0" t="str">
        <f aca="false">HYPERLINK("https://lindat.mff.cuni.cz/services/SynSemClass40/SynSemClass40.html?veclass=vec00031#vec00031-ces-cm00055", "vec00031")</f>
        <v>vec00031</v>
      </c>
      <c r="F32157" s="0" t="s">
        <v>277</v>
      </c>
    </row>
    <row r="32158" customFormat="false" ht="12.8" hidden="false" customHeight="false" outlineLevel="0" collapsed="false">
      <c r="B32158" s="0" t="s">
        <v>1</v>
      </c>
      <c r="C32158" s="0" t="s">
        <v>278</v>
      </c>
      <c r="E32158" s="0" t="s">
        <v>147</v>
      </c>
      <c r="F32158" s="0" t="s">
        <v>279</v>
      </c>
    </row>
    <row r="32159" customFormat="false" ht="12.8" hidden="false" customHeight="false" outlineLevel="0" collapsed="false">
      <c r="B32159" s="0" t="s">
        <v>496</v>
      </c>
      <c r="C32159" s="0" t="s">
        <v>280</v>
      </c>
      <c r="E32159" s="0" t="s">
        <v>218</v>
      </c>
      <c r="F32159" s="0" t="s">
        <v>281</v>
      </c>
    </row>
    <row r="32160" customFormat="false" ht="12.8" hidden="false" customHeight="false" outlineLevel="0" collapsed="false">
      <c r="B32160" s="0" t="s">
        <v>12513</v>
      </c>
      <c r="C32160" s="0" t="s">
        <v>282</v>
      </c>
      <c r="E32160" s="0" t="s">
        <v>221</v>
      </c>
      <c r="F32160" s="0" t="s">
        <v>283</v>
      </c>
    </row>
    <row r="32162" customFormat="false" ht="12.8" hidden="false" customHeight="false" outlineLevel="0" collapsed="false">
      <c r="A32162" s="0" t="s">
        <v>12515</v>
      </c>
      <c r="B32162" s="0" t="str">
        <f aca="false">HYPERLINK("https://lindat.mff.cuni.cz/services/teitok/pdtc10/index.php?action=vallex&amp;frame=v-w4444f2", "promluvit (v-w4444f2)")</f>
        <v>promluvit (v-w4444f2)</v>
      </c>
    </row>
    <row r="32163" customFormat="false" ht="12.8" hidden="false" customHeight="false" outlineLevel="0" collapsed="false">
      <c r="B32163" s="0" t="s">
        <v>1</v>
      </c>
    </row>
    <row r="32164" customFormat="false" ht="12.8" hidden="false" customHeight="false" outlineLevel="0" collapsed="false">
      <c r="B32164" s="0" t="s">
        <v>1187</v>
      </c>
    </row>
    <row r="32166" customFormat="false" ht="12.8" hidden="false" customHeight="false" outlineLevel="0" collapsed="false">
      <c r="A32166" s="0" t="s">
        <v>12516</v>
      </c>
      <c r="B32166" s="0" t="str">
        <f aca="false">HYPERLINK("https://lindat.mff.cuni.cz/services/teitok/pdtc10/index.php?action=vallex&amp;frame=v-w4444f3", "promluvit (v-w4444f3)")</f>
        <v>promluvit (v-w4444f3)</v>
      </c>
    </row>
    <row r="32167" customFormat="false" ht="12.8" hidden="false" customHeight="false" outlineLevel="0" collapsed="false">
      <c r="B32167" s="0" t="s">
        <v>1</v>
      </c>
    </row>
    <row r="32168" customFormat="false" ht="12.8" hidden="false" customHeight="false" outlineLevel="0" collapsed="false">
      <c r="B32168" s="0" t="s">
        <v>45</v>
      </c>
    </row>
    <row r="32170" customFormat="false" ht="12.8" hidden="false" customHeight="false" outlineLevel="0" collapsed="false">
      <c r="A32170" s="0" t="s">
        <v>12517</v>
      </c>
      <c r="B32170" s="0" t="str">
        <f aca="false">HYPERLINK("https://lindat.mff.cuni.cz/services/teitok/pdtc10/index.php?action=vallex&amp;frame=v-w4444f4", "promluvit (v-w4444f4)")</f>
        <v>promluvit (v-w4444f4)</v>
      </c>
    </row>
    <row r="32171" customFormat="false" ht="12.8" hidden="false" customHeight="false" outlineLevel="0" collapsed="false">
      <c r="B32171" s="0" t="s">
        <v>1</v>
      </c>
    </row>
    <row r="32173" customFormat="false" ht="12.8" hidden="false" customHeight="false" outlineLevel="0" collapsed="false">
      <c r="A32173" s="0" t="s">
        <v>12518</v>
      </c>
      <c r="B32173" s="0" t="str">
        <f aca="false">HYPERLINK("https://lindat.mff.cuni.cz/services/teitok/pdtc10/index.php?action=vallex&amp;frame=v-w4445f1", "promluvit si (v-w4445f1)")</f>
        <v>promluvit si (v-w4445f1)</v>
      </c>
      <c r="E32173" s="0" t="str">
        <f aca="false">HYPERLINK("https://lindat.mff.cuni.cz/services/SynSemClass40/SynSemClass40.html?veclass=vec00031#vec00031-ces-cm00056", "vec00031")</f>
        <v>vec00031</v>
      </c>
      <c r="F32173" s="0" t="s">
        <v>277</v>
      </c>
    </row>
    <row r="32174" customFormat="false" ht="12.8" hidden="false" customHeight="false" outlineLevel="0" collapsed="false">
      <c r="B32174" s="0" t="s">
        <v>1</v>
      </c>
      <c r="C32174" s="0" t="s">
        <v>278</v>
      </c>
      <c r="E32174" s="0" t="s">
        <v>147</v>
      </c>
      <c r="F32174" s="0" t="s">
        <v>279</v>
      </c>
    </row>
    <row r="32175" customFormat="false" ht="12.8" hidden="false" customHeight="false" outlineLevel="0" collapsed="false">
      <c r="B32175" s="0" t="s">
        <v>318</v>
      </c>
      <c r="C32175" s="0" t="s">
        <v>280</v>
      </c>
      <c r="E32175" s="0" t="s">
        <v>218</v>
      </c>
      <c r="F32175" s="0" t="s">
        <v>281</v>
      </c>
    </row>
    <row r="32176" customFormat="false" ht="12.8" hidden="false" customHeight="false" outlineLevel="0" collapsed="false">
      <c r="B32176" s="0" t="s">
        <v>276</v>
      </c>
      <c r="C32176" s="0" t="s">
        <v>282</v>
      </c>
      <c r="E32176" s="0" t="s">
        <v>221</v>
      </c>
      <c r="F32176" s="0" t="s">
        <v>283</v>
      </c>
    </row>
    <row r="32178" customFormat="false" ht="12.8" hidden="false" customHeight="false" outlineLevel="0" collapsed="false">
      <c r="A32178" s="0" t="s">
        <v>12519</v>
      </c>
      <c r="B32178" s="0" t="str">
        <f aca="false">HYPERLINK("https://lindat.mff.cuni.cz/services/teitok/pdtc10/index.php?action=vallex&amp;frame=v-w4441f1", "promlčet (v-w4441f1)")</f>
        <v>promlčet (v-w4441f1)</v>
      </c>
    </row>
    <row r="32179" customFormat="false" ht="12.8" hidden="false" customHeight="false" outlineLevel="0" collapsed="false">
      <c r="B32179" s="0" t="s">
        <v>1</v>
      </c>
    </row>
    <row r="32180" customFormat="false" ht="12.8" hidden="false" customHeight="false" outlineLevel="0" collapsed="false">
      <c r="B32180" s="0" t="s">
        <v>12520</v>
      </c>
    </row>
    <row r="32182" customFormat="false" ht="12.8" hidden="false" customHeight="false" outlineLevel="0" collapsed="false">
      <c r="A32182" s="0" t="s">
        <v>12521</v>
      </c>
      <c r="B32182" s="0" t="str">
        <f aca="false">HYPERLINK("https://lindat.mff.cuni.cz/services/teitok/pdtc10/index.php?action=vallex&amp;frame=v-w11986_ZUf1_ZU", "promnout (v-w11986_ZUf1_ZU)")</f>
        <v>promnout (v-w11986_ZUf1_ZU)</v>
      </c>
    </row>
    <row r="32183" customFormat="false" ht="12.8" hidden="false" customHeight="false" outlineLevel="0" collapsed="false">
      <c r="B32183" s="0" t="s">
        <v>1</v>
      </c>
    </row>
    <row r="32184" customFormat="false" ht="12.8" hidden="false" customHeight="false" outlineLevel="0" collapsed="false">
      <c r="B32184" s="0" t="s">
        <v>8</v>
      </c>
    </row>
    <row r="32186" customFormat="false" ht="12.8" hidden="false" customHeight="false" outlineLevel="0" collapsed="false">
      <c r="A32186" s="0" t="s">
        <v>12522</v>
      </c>
      <c r="B32186" s="0" t="str">
        <f aca="false">HYPERLINK("https://lindat.mff.cuni.cz/services/teitok/pdtc10/index.php?action=vallex&amp;frame=v-w11987_ZUf1_ZU", "promnout se (v-w11987_ZUf1_ZU)")</f>
        <v>promnout se (v-w11987_ZUf1_ZU)</v>
      </c>
    </row>
    <row r="32187" customFormat="false" ht="12.8" hidden="false" customHeight="false" outlineLevel="0" collapsed="false">
      <c r="B32187" s="0" t="s">
        <v>1</v>
      </c>
    </row>
    <row r="32188" customFormat="false" ht="12.8" hidden="false" customHeight="false" outlineLevel="0" collapsed="false">
      <c r="B32188" s="0" t="s">
        <v>721</v>
      </c>
    </row>
    <row r="32190" customFormat="false" ht="12.8" hidden="false" customHeight="false" outlineLevel="0" collapsed="false">
      <c r="A32190" s="0" t="s">
        <v>12523</v>
      </c>
      <c r="B32190" s="0" t="str">
        <f aca="false">HYPERLINK("https://lindat.mff.cuni.cz/services/teitok/pdtc10/index.php?action=vallex&amp;frame=v-whsa_196hsa_197", "promovat (v-whsa_196hsa_197)")</f>
        <v>promovat (v-whsa_196hsa_197)</v>
      </c>
    </row>
    <row r="32191" customFormat="false" ht="12.8" hidden="false" customHeight="false" outlineLevel="0" collapsed="false">
      <c r="B32191" s="0" t="s">
        <v>1</v>
      </c>
    </row>
    <row r="32193" customFormat="false" ht="12.8" hidden="false" customHeight="false" outlineLevel="0" collapsed="false">
      <c r="A32193" s="0" t="s">
        <v>12524</v>
      </c>
      <c r="B32193" s="0" t="str">
        <f aca="false">HYPERLINK("https://lindat.mff.cuni.cz/services/teitok/pdtc10/index.php?action=vallex&amp;frame=v-whsa_368hsa_369", "promočit (v-whsa_368hsa_369)")</f>
        <v>promočit (v-whsa_368hsa_369)</v>
      </c>
    </row>
    <row r="32194" customFormat="false" ht="12.8" hidden="false" customHeight="false" outlineLevel="0" collapsed="false">
      <c r="B32194" s="0" t="s">
        <v>1</v>
      </c>
    </row>
    <row r="32195" customFormat="false" ht="12.8" hidden="false" customHeight="false" outlineLevel="0" collapsed="false">
      <c r="B32195" s="0" t="s">
        <v>8</v>
      </c>
    </row>
    <row r="32197" customFormat="false" ht="12.8" hidden="false" customHeight="false" outlineLevel="0" collapsed="false">
      <c r="A32197" s="0" t="s">
        <v>12525</v>
      </c>
      <c r="B32197" s="0" t="str">
        <f aca="false">HYPERLINK("https://lindat.mff.cuni.cz/services/teitok/pdtc10/index.php?action=vallex&amp;frame=v-w11104f2", "promrhat (v-w11104f2)")</f>
        <v>promrhat (v-w11104f2)</v>
      </c>
      <c r="E32197" s="0" t="str">
        <f aca="false">HYPERLINK("https://lindat.mff.cuni.cz/services/SynSemClass40/SynSemClass40.html?veclass=vec00886#vec00886-ces-cm00001", "vec00886")</f>
        <v>vec00886</v>
      </c>
      <c r="F32197" s="0" t="s">
        <v>10586</v>
      </c>
    </row>
    <row r="32198" customFormat="false" ht="12.8" hidden="false" customHeight="false" outlineLevel="0" collapsed="false">
      <c r="B32198" s="0" t="s">
        <v>1</v>
      </c>
      <c r="C32198" s="0" t="s">
        <v>4264</v>
      </c>
      <c r="E32198" s="0" t="s">
        <v>10587</v>
      </c>
      <c r="F32198" s="0" t="s">
        <v>10588</v>
      </c>
    </row>
    <row r="32199" customFormat="false" ht="12.8" hidden="false" customHeight="false" outlineLevel="0" collapsed="false">
      <c r="B32199" s="0" t="s">
        <v>8</v>
      </c>
      <c r="C32199" s="0" t="s">
        <v>7124</v>
      </c>
      <c r="E32199" s="0" t="s">
        <v>10589</v>
      </c>
      <c r="F32199" s="0" t="s">
        <v>10590</v>
      </c>
    </row>
    <row r="32201" customFormat="false" ht="12.8" hidden="false" customHeight="false" outlineLevel="0" collapsed="false">
      <c r="A32201" s="0" t="s">
        <v>12526</v>
      </c>
      <c r="B32201" s="0" t="str">
        <f aca="false">HYPERLINK("https://lindat.mff.cuni.cz/services/teitok/pdtc10/index.php?action=vallex&amp;frame=v-w10360f2", "promrhávat (v-w10360f2)")</f>
        <v>promrhávat (v-w10360f2)</v>
      </c>
      <c r="E32201" s="0" t="str">
        <f aca="false">HYPERLINK("https://lindat.mff.cuni.cz/services/SynSemClass40/SynSemClass40.html?veclass=vec00886#vec00886-ces-cm00004", "vec00886")</f>
        <v>vec00886</v>
      </c>
      <c r="F32201" s="0" t="s">
        <v>10586</v>
      </c>
    </row>
    <row r="32202" customFormat="false" ht="12.8" hidden="false" customHeight="false" outlineLevel="0" collapsed="false">
      <c r="B32202" s="0" t="s">
        <v>1</v>
      </c>
      <c r="C32202" s="0" t="s">
        <v>4264</v>
      </c>
      <c r="E32202" s="0" t="s">
        <v>10587</v>
      </c>
      <c r="F32202" s="0" t="s">
        <v>10588</v>
      </c>
    </row>
    <row r="32203" customFormat="false" ht="12.8" hidden="false" customHeight="false" outlineLevel="0" collapsed="false">
      <c r="B32203" s="0" t="s">
        <v>8</v>
      </c>
      <c r="C32203" s="0" t="s">
        <v>7124</v>
      </c>
      <c r="E32203" s="0" t="s">
        <v>10589</v>
      </c>
      <c r="F32203" s="0" t="s">
        <v>10590</v>
      </c>
    </row>
    <row r="32205" customFormat="false" ht="12.8" hidden="false" customHeight="false" outlineLevel="0" collapsed="false">
      <c r="A32205" s="0" t="s">
        <v>12527</v>
      </c>
      <c r="B32205" s="0" t="str">
        <f aca="false">HYPERLINK("https://lindat.mff.cuni.cz/services/teitok/pdtc10/index.php?action=vallex&amp;frame=v-w11951_ZUf1_ZU", "promrzat (v-w11951_ZUf1_ZU)")</f>
        <v>promrzat (v-w11951_ZUf1_ZU)</v>
      </c>
    </row>
    <row r="32206" customFormat="false" ht="12.8" hidden="false" customHeight="false" outlineLevel="0" collapsed="false">
      <c r="B32206" s="0" t="s">
        <v>1</v>
      </c>
    </row>
    <row r="32208" customFormat="false" ht="12.8" hidden="false" customHeight="false" outlineLevel="0" collapsed="false">
      <c r="A32208" s="0" t="s">
        <v>12528</v>
      </c>
      <c r="B32208" s="0" t="str">
        <f aca="false">HYPERLINK("https://lindat.mff.cuni.cz/services/teitok/pdtc10/index.php?action=vallex&amp;frame=v-w4446f1", "promyslet (v-w4446f1)")</f>
        <v>promyslet (v-w4446f1)</v>
      </c>
      <c r="E32208" s="0" t="str">
        <f aca="false">HYPERLINK("https://lindat.mff.cuni.cz/services/SynSemClass40/SynSemClass40.html?veclass=vec01081#vec01081-ces-cm00003", "vec01081")</f>
        <v>vec01081</v>
      </c>
      <c r="F32208" s="0" t="s">
        <v>3361</v>
      </c>
    </row>
    <row r="32209" customFormat="false" ht="12.8" hidden="false" customHeight="false" outlineLevel="0" collapsed="false">
      <c r="B32209" s="0" t="s">
        <v>1</v>
      </c>
      <c r="C32209" s="0" t="s">
        <v>459</v>
      </c>
      <c r="E32209" s="0" t="s">
        <v>914</v>
      </c>
      <c r="F32209" s="0" t="s">
        <v>3362</v>
      </c>
    </row>
    <row r="32210" customFormat="false" ht="12.8" hidden="false" customHeight="false" outlineLevel="0" collapsed="false">
      <c r="B32210" s="0" t="s">
        <v>2493</v>
      </c>
      <c r="C32210" s="0" t="s">
        <v>531</v>
      </c>
      <c r="E32210" s="0" t="s">
        <v>230</v>
      </c>
      <c r="F32210" s="0" t="s">
        <v>3364</v>
      </c>
    </row>
    <row r="32212" customFormat="false" ht="12.8" hidden="false" customHeight="false" outlineLevel="0" collapsed="false">
      <c r="A32212" s="0" t="s">
        <v>12529</v>
      </c>
      <c r="B32212" s="0" t="str">
        <f aca="false">HYPERLINK("https://lindat.mff.cuni.cz/services/teitok/pdtc10/index.php?action=vallex&amp;frame=v-w4447f1", "promyslit (v-w4447f1)")</f>
        <v>promyslit (v-w4447f1)</v>
      </c>
    </row>
    <row r="32213" customFormat="false" ht="12.8" hidden="false" customHeight="false" outlineLevel="0" collapsed="false">
      <c r="B32213" s="0" t="s">
        <v>1</v>
      </c>
    </row>
    <row r="32214" customFormat="false" ht="12.8" hidden="false" customHeight="false" outlineLevel="0" collapsed="false">
      <c r="B32214" s="0" t="s">
        <v>2493</v>
      </c>
    </row>
    <row r="32216" customFormat="false" ht="12.8" hidden="false" customHeight="false" outlineLevel="0" collapsed="false">
      <c r="A32216" s="0" t="s">
        <v>12530</v>
      </c>
      <c r="B32216" s="0" t="str">
        <f aca="false">HYPERLINK("https://lindat.mff.cuni.cz/services/teitok/pdtc10/index.php?action=vallex&amp;frame=v-w10984f2", "promáčet (v-w10984f2)")</f>
        <v>promáčet (v-w10984f2)</v>
      </c>
      <c r="E32216" s="0" t="str">
        <f aca="false">HYPERLINK("https://lindat.mff.cuni.cz/services/SynSemClass40/SynSemClass40.html?veclass=vec01429#vec01429-ces-cm00001", "vec01429")</f>
        <v>vec01429</v>
      </c>
      <c r="F32216" s="0" t="s">
        <v>12531</v>
      </c>
    </row>
    <row r="32217" customFormat="false" ht="12.8" hidden="false" customHeight="false" outlineLevel="0" collapsed="false">
      <c r="B32217" s="0" t="s">
        <v>1</v>
      </c>
      <c r="E32217" s="0" t="s">
        <v>31</v>
      </c>
      <c r="F32217" s="0" t="s">
        <v>49</v>
      </c>
    </row>
    <row r="32218" customFormat="false" ht="12.8" hidden="false" customHeight="false" outlineLevel="0" collapsed="false">
      <c r="B32218" s="0" t="s">
        <v>8</v>
      </c>
      <c r="E32218" s="0" t="s">
        <v>87</v>
      </c>
      <c r="F32218" s="0" t="s">
        <v>9709</v>
      </c>
    </row>
    <row r="32220" customFormat="false" ht="12.8" hidden="false" customHeight="false" outlineLevel="0" collapsed="false">
      <c r="A32220" s="0" t="s">
        <v>12532</v>
      </c>
      <c r="B32220" s="0" t="str">
        <f aca="false">HYPERLINK("https://lindat.mff.cuni.cz/services/teitok/pdtc10/index.php?action=vallex&amp;frame=v-w4430f1", "promíchat (v-w4430f1)")</f>
        <v>promíchat (v-w4430f1)</v>
      </c>
      <c r="E32220" s="0" t="str">
        <f aca="false">HYPERLINK("https://lindat.mff.cuni.cz/services/SynSemClass40/SynSemClass40.html?veclass=vec00623#vec00623-ces-cm00004", "vec00623")</f>
        <v>vec00623</v>
      </c>
      <c r="F32220" s="0" t="s">
        <v>5439</v>
      </c>
    </row>
    <row r="32221" customFormat="false" ht="12.8" hidden="false" customHeight="false" outlineLevel="0" collapsed="false">
      <c r="B32221" s="0" t="s">
        <v>1</v>
      </c>
      <c r="C32221" s="0" t="s">
        <v>5440</v>
      </c>
      <c r="E32221" s="0" t="s">
        <v>31</v>
      </c>
      <c r="F32221" s="0" t="s">
        <v>5441</v>
      </c>
    </row>
    <row r="32222" customFormat="false" ht="12.8" hidden="false" customHeight="false" outlineLevel="0" collapsed="false">
      <c r="B32222" s="0" t="s">
        <v>8</v>
      </c>
      <c r="C32222" s="0" t="s">
        <v>12533</v>
      </c>
      <c r="E32222" s="0" t="s">
        <v>12534</v>
      </c>
      <c r="F32222" s="0" t="s">
        <v>12535</v>
      </c>
    </row>
    <row r="32224" customFormat="false" ht="12.8" hidden="false" customHeight="false" outlineLevel="0" collapsed="false">
      <c r="A32224" s="0" t="s">
        <v>12536</v>
      </c>
      <c r="B32224" s="0" t="str">
        <f aca="false">HYPERLINK("https://lindat.mff.cuni.cz/services/teitok/pdtc10/index.php?action=vallex&amp;frame=v-w4430hsa_1941", "promíchat (v-w4430hsa_1941)")</f>
        <v>promíchat (v-w4430hsa_1941)</v>
      </c>
    </row>
    <row r="32225" customFormat="false" ht="12.8" hidden="false" customHeight="false" outlineLevel="0" collapsed="false">
      <c r="B32225" s="0" t="s">
        <v>1</v>
      </c>
    </row>
    <row r="32226" customFormat="false" ht="12.8" hidden="false" customHeight="false" outlineLevel="0" collapsed="false">
      <c r="B32226" s="0" t="s">
        <v>8</v>
      </c>
    </row>
    <row r="32228" customFormat="false" ht="12.8" hidden="false" customHeight="false" outlineLevel="0" collapsed="false">
      <c r="A32228" s="0" t="s">
        <v>12537</v>
      </c>
      <c r="B32228" s="0" t="str">
        <f aca="false">HYPERLINK("https://lindat.mff.cuni.cz/services/teitok/pdtc10/index.php?action=vallex&amp;frame=v-w10224f3", "promíjet (v-w10224f3)")</f>
        <v>promíjet (v-w10224f3)</v>
      </c>
      <c r="E32228" s="0" t="str">
        <f aca="false">HYPERLINK("https://lindat.mff.cuni.cz/services/SynSemClass40/SynSemClass40.html?veclass=vec01058#vec01058-ces-cm00002", "vec01058")</f>
        <v>vec01058</v>
      </c>
      <c r="F32228" s="0" t="s">
        <v>9112</v>
      </c>
    </row>
    <row r="32229" customFormat="false" ht="12.8" hidden="false" customHeight="false" outlineLevel="0" collapsed="false">
      <c r="B32229" s="0" t="s">
        <v>1</v>
      </c>
      <c r="C32229" s="0" t="s">
        <v>459</v>
      </c>
      <c r="E32229" s="0" t="s">
        <v>9113</v>
      </c>
      <c r="F32229" s="0" t="s">
        <v>9114</v>
      </c>
    </row>
    <row r="32230" customFormat="false" ht="12.8" hidden="false" customHeight="false" outlineLevel="0" collapsed="false">
      <c r="B32230" s="0" t="s">
        <v>59</v>
      </c>
      <c r="C32230" s="0" t="s">
        <v>2293</v>
      </c>
      <c r="E32230" s="0" t="s">
        <v>9115</v>
      </c>
      <c r="F32230" s="0" t="s">
        <v>9116</v>
      </c>
    </row>
    <row r="32231" customFormat="false" ht="12.8" hidden="false" customHeight="false" outlineLevel="0" collapsed="false">
      <c r="B32231" s="0" t="s">
        <v>52</v>
      </c>
      <c r="C32231" s="0" t="s">
        <v>9117</v>
      </c>
      <c r="E32231" s="0" t="s">
        <v>9118</v>
      </c>
      <c r="F32231" s="0" t="s">
        <v>9119</v>
      </c>
    </row>
    <row r="32233" customFormat="false" ht="12.8" hidden="false" customHeight="false" outlineLevel="0" collapsed="false">
      <c r="A32233" s="0" t="s">
        <v>12538</v>
      </c>
      <c r="B32233" s="0" t="str">
        <f aca="false">HYPERLINK("https://lindat.mff.cuni.cz/services/teitok/pdtc10/index.php?action=vallex&amp;frame=v-w4436f1", "promítat (v-w4436f1)")</f>
        <v>promítat (v-w4436f1)</v>
      </c>
      <c r="E32233" s="0" t="str">
        <f aca="false">HYPERLINK("https://lindat.mff.cuni.cz/services/SynSemClass40/SynSemClass40.html?veclass=vec00358#vec00358-ces-cm00027", "vec00358")</f>
        <v>vec00358</v>
      </c>
      <c r="F32233" s="0" t="s">
        <v>9453</v>
      </c>
    </row>
    <row r="32234" customFormat="false" ht="12.8" hidden="false" customHeight="false" outlineLevel="0" collapsed="false">
      <c r="B32234" s="0" t="s">
        <v>1</v>
      </c>
      <c r="C32234" s="0" t="s">
        <v>9454</v>
      </c>
      <c r="E32234" s="0" t="s">
        <v>9455</v>
      </c>
      <c r="F32234" s="0" t="s">
        <v>9456</v>
      </c>
    </row>
    <row r="32235" customFormat="false" ht="12.8" hidden="false" customHeight="false" outlineLevel="0" collapsed="false">
      <c r="B32235" s="0" t="s">
        <v>8</v>
      </c>
      <c r="C32235" s="0" t="s">
        <v>198</v>
      </c>
      <c r="E32235" s="0" t="s">
        <v>9457</v>
      </c>
      <c r="F32235" s="0" t="s">
        <v>9458</v>
      </c>
    </row>
    <row r="32237" customFormat="false" ht="12.8" hidden="false" customHeight="false" outlineLevel="0" collapsed="false">
      <c r="A32237" s="0" t="s">
        <v>12539</v>
      </c>
      <c r="B32237" s="0" t="str">
        <f aca="false">HYPERLINK("https://lindat.mff.cuni.cz/services/teitok/pdtc10/index.php?action=vallex&amp;frame=v-w4437f2", "promítat se (v-w4437f2)")</f>
        <v>promítat se (v-w4437f2)</v>
      </c>
    </row>
    <row r="32238" customFormat="false" ht="12.8" hidden="false" customHeight="false" outlineLevel="0" collapsed="false">
      <c r="B32238" s="0" t="s">
        <v>1</v>
      </c>
    </row>
    <row r="32239" customFormat="false" ht="12.8" hidden="false" customHeight="false" outlineLevel="0" collapsed="false">
      <c r="B32239" s="0" t="s">
        <v>5</v>
      </c>
    </row>
    <row r="32241" customFormat="false" ht="12.8" hidden="false" customHeight="false" outlineLevel="0" collapsed="false">
      <c r="A32241" s="0" t="s">
        <v>12540</v>
      </c>
      <c r="B32241" s="0" t="str">
        <f aca="false">HYPERLINK("https://lindat.mff.cuni.cz/services/teitok/pdtc10/index.php?action=vallex&amp;frame=v-w4437f1", "promítat se (v-w4437f1)")</f>
        <v>promítat se (v-w4437f1)</v>
      </c>
      <c r="E32241" s="0" t="str">
        <f aca="false">HYPERLINK("https://lindat.mff.cuni.cz/services/SynSemClass40/SynSemClass40.html?veclass=vec01080#vec01080-ces-cm00005", "vec01080")</f>
        <v>vec01080</v>
      </c>
      <c r="F32241" s="0" t="s">
        <v>12541</v>
      </c>
    </row>
    <row r="32242" customFormat="false" ht="12.8" hidden="false" customHeight="false" outlineLevel="0" collapsed="false">
      <c r="B32242" s="0" t="s">
        <v>1</v>
      </c>
      <c r="C32242" s="0" t="s">
        <v>10344</v>
      </c>
      <c r="E32242" s="0" t="s">
        <v>1086</v>
      </c>
      <c r="F32242" s="0" t="s">
        <v>12542</v>
      </c>
    </row>
    <row r="32243" customFormat="false" ht="12.8" hidden="false" customHeight="false" outlineLevel="0" collapsed="false">
      <c r="B32243" s="0" t="s">
        <v>164</v>
      </c>
      <c r="C32243" s="0" t="s">
        <v>12543</v>
      </c>
      <c r="E32243" s="0" t="s">
        <v>4584</v>
      </c>
      <c r="F32243" s="0" t="s">
        <v>12544</v>
      </c>
    </row>
    <row r="32245" customFormat="false" ht="12.8" hidden="false" customHeight="false" outlineLevel="0" collapsed="false">
      <c r="A32245" s="0" t="s">
        <v>12545</v>
      </c>
      <c r="B32245" s="0" t="str">
        <f aca="false">HYPERLINK("https://lindat.mff.cuni.cz/services/teitok/pdtc10/index.php?action=vallex&amp;frame=v-w4438f3", "promítnout (v-w4438f3)")</f>
        <v>promítnout (v-w4438f3)</v>
      </c>
    </row>
    <row r="32246" customFormat="false" ht="12.8" hidden="false" customHeight="false" outlineLevel="0" collapsed="false">
      <c r="B32246" s="0" t="s">
        <v>1</v>
      </c>
    </row>
    <row r="32247" customFormat="false" ht="12.8" hidden="false" customHeight="false" outlineLevel="0" collapsed="false">
      <c r="B32247" s="0" t="s">
        <v>8</v>
      </c>
    </row>
    <row r="32248" customFormat="false" ht="12.8" hidden="false" customHeight="false" outlineLevel="0" collapsed="false">
      <c r="B32248" s="0" t="s">
        <v>5</v>
      </c>
    </row>
    <row r="32250" customFormat="false" ht="12.8" hidden="false" customHeight="false" outlineLevel="0" collapsed="false">
      <c r="A32250" s="0" t="s">
        <v>12546</v>
      </c>
      <c r="B32250" s="0" t="str">
        <f aca="false">HYPERLINK("https://lindat.mff.cuni.cz/services/teitok/pdtc10/index.php?action=vallex&amp;frame=v-w4438f1", "promítnout (v-w4438f1)")</f>
        <v>promítnout (v-w4438f1)</v>
      </c>
    </row>
    <row r="32251" customFormat="false" ht="12.8" hidden="false" customHeight="false" outlineLevel="0" collapsed="false">
      <c r="B32251" s="0" t="s">
        <v>1</v>
      </c>
    </row>
    <row r="32252" customFormat="false" ht="12.8" hidden="false" customHeight="false" outlineLevel="0" collapsed="false">
      <c r="B32252" s="0" t="s">
        <v>8</v>
      </c>
    </row>
    <row r="32253" customFormat="false" ht="12.8" hidden="false" customHeight="false" outlineLevel="0" collapsed="false">
      <c r="B32253" s="0" t="s">
        <v>164</v>
      </c>
    </row>
    <row r="32255" customFormat="false" ht="12.8" hidden="false" customHeight="false" outlineLevel="0" collapsed="false">
      <c r="A32255" s="0" t="s">
        <v>12547</v>
      </c>
      <c r="B32255" s="0" t="str">
        <f aca="false">HYPERLINK("https://lindat.mff.cuni.cz/services/teitok/pdtc10/index.php?action=vallex&amp;frame=v-w4438f2", "promítnout (v-w4438f2)")</f>
        <v>promítnout (v-w4438f2)</v>
      </c>
    </row>
    <row r="32256" customFormat="false" ht="12.8" hidden="false" customHeight="false" outlineLevel="0" collapsed="false">
      <c r="B32256" s="0" t="s">
        <v>1</v>
      </c>
    </row>
    <row r="32257" customFormat="false" ht="12.8" hidden="false" customHeight="false" outlineLevel="0" collapsed="false">
      <c r="B32257" s="0" t="s">
        <v>8</v>
      </c>
    </row>
    <row r="32259" customFormat="false" ht="12.8" hidden="false" customHeight="false" outlineLevel="0" collapsed="false">
      <c r="A32259" s="0" t="s">
        <v>12548</v>
      </c>
      <c r="B32259" s="0" t="str">
        <f aca="false">HYPERLINK("https://lindat.mff.cuni.cz/services/teitok/pdtc10/index.php?action=vallex&amp;frame=v-w4439f2", "promítnout se (v-w4439f2)")</f>
        <v>promítnout se (v-w4439f2)</v>
      </c>
      <c r="E32259" s="0" t="str">
        <f aca="false">HYPERLINK("https://lindat.mff.cuni.cz/services/SynSemClass40/SynSemClass40.html?veclass=vec01080#vec01080-ces-cm00006", "vec01080")</f>
        <v>vec01080</v>
      </c>
      <c r="F32259" s="0" t="s">
        <v>12541</v>
      </c>
    </row>
    <row r="32260" customFormat="false" ht="12.8" hidden="false" customHeight="false" outlineLevel="0" collapsed="false">
      <c r="B32260" s="0" t="s">
        <v>1</v>
      </c>
      <c r="C32260" s="0" t="s">
        <v>10344</v>
      </c>
      <c r="E32260" s="0" t="s">
        <v>1086</v>
      </c>
      <c r="F32260" s="0" t="s">
        <v>12542</v>
      </c>
    </row>
    <row r="32261" customFormat="false" ht="12.8" hidden="false" customHeight="false" outlineLevel="0" collapsed="false">
      <c r="B32261" s="0" t="s">
        <v>5</v>
      </c>
      <c r="C32261" s="0" t="s">
        <v>12549</v>
      </c>
      <c r="E32261" s="0" t="s">
        <v>757</v>
      </c>
      <c r="F32261" s="0" t="s">
        <v>12550</v>
      </c>
    </row>
    <row r="32263" customFormat="false" ht="12.8" hidden="false" customHeight="false" outlineLevel="0" collapsed="false">
      <c r="A32263" s="0" t="s">
        <v>12551</v>
      </c>
      <c r="B32263" s="0" t="str">
        <f aca="false">HYPERLINK("https://lindat.mff.cuni.cz/services/teitok/pdtc10/index.php?action=vallex&amp;frame=v-w4439f1", "promítnout se (v-w4439f1)")</f>
        <v>promítnout se (v-w4439f1)</v>
      </c>
      <c r="E32263" s="0" t="str">
        <f aca="false">HYPERLINK("https://lindat.mff.cuni.cz/services/SynSemClass40/SynSemClass40.html?veclass=vec01080#vec01080-ces-cm00001", "vec01080")</f>
        <v>vec01080</v>
      </c>
      <c r="F32263" s="0" t="s">
        <v>12541</v>
      </c>
    </row>
    <row r="32264" customFormat="false" ht="12.8" hidden="false" customHeight="false" outlineLevel="0" collapsed="false">
      <c r="B32264" s="0" t="s">
        <v>1</v>
      </c>
      <c r="C32264" s="0" t="s">
        <v>10344</v>
      </c>
      <c r="E32264" s="0" t="s">
        <v>1086</v>
      </c>
      <c r="F32264" s="0" t="s">
        <v>12542</v>
      </c>
    </row>
    <row r="32265" customFormat="false" ht="12.8" hidden="false" customHeight="false" outlineLevel="0" collapsed="false">
      <c r="B32265" s="0" t="s">
        <v>164</v>
      </c>
      <c r="C32265" s="0" t="s">
        <v>12543</v>
      </c>
      <c r="E32265" s="0" t="s">
        <v>4584</v>
      </c>
      <c r="F32265" s="0" t="s">
        <v>12544</v>
      </c>
    </row>
    <row r="32267" customFormat="false" ht="12.8" hidden="false" customHeight="false" outlineLevel="0" collapsed="false">
      <c r="A32267" s="0" t="s">
        <v>12552</v>
      </c>
      <c r="B32267" s="0" t="str">
        <f aca="false">HYPERLINK("https://lindat.mff.cuni.cz/services/teitok/pdtc10/index.php?action=vallex&amp;frame=v-w12180_ZUf1_ZU", "promítnout si (v-w12180_ZUf1_ZU)")</f>
        <v>promítnout si (v-w12180_ZUf1_ZU)</v>
      </c>
    </row>
    <row r="32268" customFormat="false" ht="12.8" hidden="false" customHeight="false" outlineLevel="0" collapsed="false">
      <c r="B32268" s="0" t="s">
        <v>1</v>
      </c>
    </row>
    <row r="32269" customFormat="false" ht="12.8" hidden="false" customHeight="false" outlineLevel="0" collapsed="false">
      <c r="B32269" s="0" t="s">
        <v>8</v>
      </c>
    </row>
    <row r="32271" customFormat="false" ht="12.8" hidden="false" customHeight="false" outlineLevel="0" collapsed="false">
      <c r="A32271" s="0" t="s">
        <v>12553</v>
      </c>
      <c r="B32271" s="0" t="str">
        <f aca="false">HYPERLINK("https://lindat.mff.cuni.cz/services/teitok/pdtc10/index.php?action=vallex&amp;frame=v-w4449f1", "promýšlet (v-w4449f1)")</f>
        <v>promýšlet (v-w4449f1)</v>
      </c>
      <c r="E32271" s="0" t="str">
        <f aca="false">HYPERLINK("https://lindat.mff.cuni.cz/services/SynSemClass40/SynSemClass40.html?veclass=vec01081#vec01081-ces-cm00001", "vec01081")</f>
        <v>vec01081</v>
      </c>
      <c r="F32271" s="0" t="s">
        <v>3361</v>
      </c>
    </row>
    <row r="32272" customFormat="false" ht="12.8" hidden="false" customHeight="false" outlineLevel="0" collapsed="false">
      <c r="B32272" s="0" t="s">
        <v>1</v>
      </c>
      <c r="C32272" s="0" t="s">
        <v>459</v>
      </c>
      <c r="E32272" s="0" t="s">
        <v>914</v>
      </c>
      <c r="F32272" s="0" t="s">
        <v>3362</v>
      </c>
    </row>
    <row r="32273" customFormat="false" ht="12.8" hidden="false" customHeight="false" outlineLevel="0" collapsed="false">
      <c r="B32273" s="0" t="s">
        <v>12554</v>
      </c>
      <c r="C32273" s="0" t="s">
        <v>531</v>
      </c>
      <c r="E32273" s="0" t="s">
        <v>230</v>
      </c>
      <c r="F32273" s="0" t="s">
        <v>3364</v>
      </c>
    </row>
    <row r="32275" customFormat="false" ht="12.8" hidden="false" customHeight="false" outlineLevel="0" collapsed="false">
      <c r="A32275" s="0" t="s">
        <v>12555</v>
      </c>
      <c r="B32275" s="0" t="str">
        <f aca="false">HYPERLINK("https://lindat.mff.cuni.cz/services/teitok/pdtc10/index.php?action=vallex&amp;frame=v-w4426f2", "proměnit (v-w4426f2)")</f>
        <v>proměnit (v-w4426f2)</v>
      </c>
      <c r="E32275" s="0" t="str">
        <f aca="false">HYPERLINK("https://lindat.mff.cuni.cz/services/SynSemClass40/SynSemClass40.html?veclass=vec00095#vec00095-ces-cm00016", "vec00095")</f>
        <v>vec00095</v>
      </c>
      <c r="F32275" s="0" t="s">
        <v>29</v>
      </c>
    </row>
    <row r="32276" customFormat="false" ht="12.8" hidden="false" customHeight="false" outlineLevel="0" collapsed="false">
      <c r="B32276" s="0" t="s">
        <v>1</v>
      </c>
      <c r="C32276" s="0" t="s">
        <v>30</v>
      </c>
      <c r="E32276" s="0" t="s">
        <v>31</v>
      </c>
      <c r="F32276" s="0" t="s">
        <v>32</v>
      </c>
    </row>
    <row r="32277" customFormat="false" ht="12.8" hidden="false" customHeight="false" outlineLevel="0" collapsed="false">
      <c r="B32277" s="0" t="s">
        <v>8</v>
      </c>
      <c r="C32277" s="0" t="s">
        <v>33</v>
      </c>
      <c r="E32277" s="0" t="s">
        <v>34</v>
      </c>
      <c r="F32277" s="0" t="s">
        <v>35</v>
      </c>
    </row>
    <row r="32278" customFormat="false" ht="12.8" hidden="false" customHeight="false" outlineLevel="0" collapsed="false">
      <c r="B32278" s="0" t="s">
        <v>36</v>
      </c>
      <c r="C32278" s="0" t="s">
        <v>37</v>
      </c>
      <c r="E32278" s="0" t="s">
        <v>38</v>
      </c>
      <c r="F32278" s="0" t="s">
        <v>39</v>
      </c>
    </row>
    <row r="32279" customFormat="false" ht="12.8" hidden="false" customHeight="false" outlineLevel="0" collapsed="false">
      <c r="B32279" s="0" t="s">
        <v>5587</v>
      </c>
      <c r="C32279" s="0" t="s">
        <v>41</v>
      </c>
      <c r="E32279" s="0" t="s">
        <v>42</v>
      </c>
      <c r="F32279" s="0" t="s">
        <v>43</v>
      </c>
    </row>
    <row r="32281" customFormat="false" ht="12.8" hidden="false" customHeight="false" outlineLevel="0" collapsed="false">
      <c r="A32281" s="0" t="s">
        <v>12556</v>
      </c>
      <c r="B32281" s="0" t="str">
        <f aca="false">HYPERLINK("https://lindat.mff.cuni.cz/services/teitok/pdtc10/index.php?action=vallex&amp;frame=v-w4426f1", "proměnit (v-w4426f1)")</f>
        <v>proměnit (v-w4426f1)</v>
      </c>
      <c r="E32281" s="0" t="str">
        <f aca="false">HYPERLINK("https://lindat.mff.cuni.cz/services/SynSemClass40/SynSemClass40.html?veclass=vec00095#vec00095-ces-cm00015", "vec00095")</f>
        <v>vec00095</v>
      </c>
      <c r="F32281" s="0" t="s">
        <v>29</v>
      </c>
    </row>
    <row r="32282" customFormat="false" ht="12.8" hidden="false" customHeight="false" outlineLevel="0" collapsed="false">
      <c r="B32282" s="0" t="s">
        <v>1</v>
      </c>
      <c r="C32282" s="0" t="s">
        <v>30</v>
      </c>
      <c r="E32282" s="0" t="s">
        <v>31</v>
      </c>
      <c r="F32282" s="0" t="s">
        <v>32</v>
      </c>
    </row>
    <row r="32283" customFormat="false" ht="12.8" hidden="false" customHeight="false" outlineLevel="0" collapsed="false">
      <c r="B32283" s="0" t="s">
        <v>8</v>
      </c>
      <c r="C32283" s="0" t="s">
        <v>33</v>
      </c>
      <c r="E32283" s="0" t="s">
        <v>34</v>
      </c>
      <c r="F32283" s="0" t="s">
        <v>35</v>
      </c>
    </row>
    <row r="32284" customFormat="false" ht="12.8" hidden="false" customHeight="false" outlineLevel="0" collapsed="false">
      <c r="B32284" s="0" t="s">
        <v>12557</v>
      </c>
      <c r="C32284" s="0" t="s">
        <v>41</v>
      </c>
      <c r="E32284" s="0" t="s">
        <v>42</v>
      </c>
      <c r="F32284" s="0" t="s">
        <v>43</v>
      </c>
    </row>
    <row r="32286" customFormat="false" ht="12.8" hidden="false" customHeight="false" outlineLevel="0" collapsed="false">
      <c r="A32286" s="0" t="s">
        <v>12558</v>
      </c>
      <c r="B32286" s="0" t="str">
        <f aca="false">HYPERLINK("https://lindat.mff.cuni.cz/services/teitok/pdtc10/index.php?action=vallex&amp;frame=v-w4426f3_ZU", "proměnit (v-w4426f3_ZU)")</f>
        <v>proměnit (v-w4426f3_ZU)</v>
      </c>
      <c r="E32286" s="0" t="str">
        <f aca="false">HYPERLINK("https://lindat.mff.cuni.cz/services/SynSemClass40/SynSemClass40.html?veclass=vec00030#vec00030-ces-cm00032", "vec00030")</f>
        <v>vec00030</v>
      </c>
      <c r="F32286" s="0" t="s">
        <v>6942</v>
      </c>
    </row>
    <row r="32287" customFormat="false" ht="12.8" hidden="false" customHeight="false" outlineLevel="0" collapsed="false">
      <c r="B32287" s="0" t="s">
        <v>1</v>
      </c>
      <c r="C32287" s="0" t="s">
        <v>6943</v>
      </c>
      <c r="E32287" s="0" t="s">
        <v>6944</v>
      </c>
      <c r="F32287" s="0" t="s">
        <v>6945</v>
      </c>
    </row>
    <row r="32288" customFormat="false" ht="12.8" hidden="false" customHeight="false" outlineLevel="0" collapsed="false">
      <c r="B32288" s="0" t="s">
        <v>8</v>
      </c>
      <c r="C32288" s="0" t="s">
        <v>6946</v>
      </c>
      <c r="E32288" s="0" t="s">
        <v>4852</v>
      </c>
      <c r="F32288" s="0" t="s">
        <v>6947</v>
      </c>
    </row>
    <row r="32289" customFormat="false" ht="12.8" hidden="false" customHeight="false" outlineLevel="0" collapsed="false">
      <c r="B32289" s="0" t="s">
        <v>3205</v>
      </c>
      <c r="C32289" s="0" t="s">
        <v>6948</v>
      </c>
      <c r="E32289" s="0" t="s">
        <v>6949</v>
      </c>
      <c r="F32289" s="0" t="s">
        <v>6950</v>
      </c>
    </row>
    <row r="32290" customFormat="false" ht="12.8" hidden="false" customHeight="false" outlineLevel="0" collapsed="false">
      <c r="B32290" s="0" t="s">
        <v>12559</v>
      </c>
      <c r="C32290" s="0" t="s">
        <v>6951</v>
      </c>
      <c r="E32290" s="0" t="s">
        <v>5445</v>
      </c>
      <c r="F32290" s="0" t="s">
        <v>6952</v>
      </c>
    </row>
    <row r="32292" customFormat="false" ht="12.8" hidden="false" customHeight="false" outlineLevel="0" collapsed="false">
      <c r="A32292" s="0" t="s">
        <v>12558</v>
      </c>
      <c r="B32292" s="0" t="str">
        <f aca="false">HYPERLINK("https://lindat.mff.cuni.cz/services/teitok/pdtc10/index.php?action=vallex&amp;frame=v-w4426hsa_386", "proměnit (v-w4426hsa_386) - substituted with v-w4426f3_ZU")</f>
        <v>proměnit (v-w4426hsa_386) - substituted with v-w4426f3_ZU</v>
      </c>
    </row>
    <row r="32293" customFormat="false" ht="12.8" hidden="false" customHeight="false" outlineLevel="0" collapsed="false">
      <c r="B32293" s="0" t="s">
        <v>1</v>
      </c>
    </row>
    <row r="32294" customFormat="false" ht="12.8" hidden="false" customHeight="false" outlineLevel="0" collapsed="false">
      <c r="B32294" s="0" t="s">
        <v>8</v>
      </c>
    </row>
    <row r="32295" customFormat="false" ht="12.8" hidden="false" customHeight="false" outlineLevel="0" collapsed="false">
      <c r="B32295" s="0" t="s">
        <v>3205</v>
      </c>
    </row>
    <row r="32296" customFormat="false" ht="12.8" hidden="false" customHeight="false" outlineLevel="0" collapsed="false">
      <c r="B32296" s="0" t="s">
        <v>12559</v>
      </c>
    </row>
    <row r="32298" customFormat="false" ht="12.8" hidden="false" customHeight="false" outlineLevel="0" collapsed="false">
      <c r="A32298" s="0" t="s">
        <v>12560</v>
      </c>
      <c r="B32298" s="0" t="str">
        <f aca="false">HYPERLINK("https://lindat.mff.cuni.cz/services/teitok/pdtc10/index.php?action=vallex&amp;frame=v-w4427f1", "proměnit se (v-w4427f1)")</f>
        <v>proměnit se (v-w4427f1)</v>
      </c>
      <c r="E32298" s="0" t="str">
        <f aca="false">HYPERLINK("https://lindat.mff.cuni.cz/services/SynSemClass40/SynSemClass40.html?veclass=vec01132#vec01132-ces-cm00003", "vec01132")</f>
        <v>vec01132</v>
      </c>
      <c r="F32298" s="0" t="s">
        <v>6967</v>
      </c>
    </row>
    <row r="32299" customFormat="false" ht="12.8" hidden="false" customHeight="false" outlineLevel="0" collapsed="false">
      <c r="B32299" s="0" t="s">
        <v>1</v>
      </c>
      <c r="C32299" s="0" t="s">
        <v>6968</v>
      </c>
      <c r="E32299" s="0" t="s">
        <v>84</v>
      </c>
      <c r="F32299" s="0" t="s">
        <v>6969</v>
      </c>
    </row>
    <row r="32300" customFormat="false" ht="12.8" hidden="false" customHeight="false" outlineLevel="0" collapsed="false">
      <c r="B32300" s="0" t="s">
        <v>12561</v>
      </c>
      <c r="C32300" s="0" t="s">
        <v>6971</v>
      </c>
      <c r="E32300" s="0" t="s">
        <v>1592</v>
      </c>
      <c r="F32300" s="0" t="s">
        <v>6972</v>
      </c>
    </row>
    <row r="32301" customFormat="false" ht="12.8" hidden="false" customHeight="false" outlineLevel="0" collapsed="false">
      <c r="B32301" s="0" t="s">
        <v>36</v>
      </c>
      <c r="C32301" s="0" t="s">
        <v>6973</v>
      </c>
      <c r="E32301" s="0" t="s">
        <v>38</v>
      </c>
      <c r="F32301" s="0" t="s">
        <v>6974</v>
      </c>
    </row>
    <row r="32303" customFormat="false" ht="12.8" hidden="false" customHeight="false" outlineLevel="0" collapsed="false">
      <c r="A32303" s="0" t="s">
        <v>12562</v>
      </c>
      <c r="B32303" s="0" t="str">
        <f aca="false">HYPERLINK("https://lindat.mff.cuni.cz/services/teitok/pdtc10/index.php?action=vallex&amp;frame=v-w4428f2", "proměňovat (v-w4428f2)")</f>
        <v>proměňovat (v-w4428f2)</v>
      </c>
      <c r="E32303" s="0" t="str">
        <f aca="false">HYPERLINK("https://lindat.mff.cuni.cz/services/SynSemClass40/SynSemClass40.html?veclass=vec00095#vec00095-ces-cm00018", "vec00095")</f>
        <v>vec00095</v>
      </c>
      <c r="F32303" s="0" t="s">
        <v>29</v>
      </c>
    </row>
    <row r="32304" customFormat="false" ht="12.8" hidden="false" customHeight="false" outlineLevel="0" collapsed="false">
      <c r="B32304" s="0" t="s">
        <v>1</v>
      </c>
      <c r="C32304" s="0" t="s">
        <v>30</v>
      </c>
      <c r="E32304" s="0" t="s">
        <v>31</v>
      </c>
      <c r="F32304" s="0" t="s">
        <v>32</v>
      </c>
    </row>
    <row r="32305" customFormat="false" ht="12.8" hidden="false" customHeight="false" outlineLevel="0" collapsed="false">
      <c r="B32305" s="0" t="s">
        <v>8</v>
      </c>
      <c r="C32305" s="0" t="s">
        <v>33</v>
      </c>
      <c r="E32305" s="0" t="s">
        <v>34</v>
      </c>
      <c r="F32305" s="0" t="s">
        <v>35</v>
      </c>
    </row>
    <row r="32306" customFormat="false" ht="12.8" hidden="false" customHeight="false" outlineLevel="0" collapsed="false">
      <c r="B32306" s="0" t="s">
        <v>36</v>
      </c>
      <c r="C32306" s="0" t="s">
        <v>37</v>
      </c>
      <c r="E32306" s="0" t="s">
        <v>38</v>
      </c>
      <c r="F32306" s="0" t="s">
        <v>39</v>
      </c>
    </row>
    <row r="32307" customFormat="false" ht="12.8" hidden="false" customHeight="false" outlineLevel="0" collapsed="false">
      <c r="B32307" s="0" t="s">
        <v>5587</v>
      </c>
      <c r="C32307" s="0" t="s">
        <v>41</v>
      </c>
      <c r="E32307" s="0" t="s">
        <v>42</v>
      </c>
      <c r="F32307" s="0" t="s">
        <v>43</v>
      </c>
    </row>
    <row r="32309" customFormat="false" ht="12.8" hidden="false" customHeight="false" outlineLevel="0" collapsed="false">
      <c r="A32309" s="0" t="s">
        <v>12563</v>
      </c>
      <c r="B32309" s="0" t="str">
        <f aca="false">HYPERLINK("https://lindat.mff.cuni.cz/services/teitok/pdtc10/index.php?action=vallex&amp;frame=v-w4428f1", "proměňovat (v-w4428f1)")</f>
        <v>proměňovat (v-w4428f1)</v>
      </c>
    </row>
    <row r="32310" customFormat="false" ht="12.8" hidden="false" customHeight="false" outlineLevel="0" collapsed="false">
      <c r="B32310" s="0" t="s">
        <v>1</v>
      </c>
    </row>
    <row r="32311" customFormat="false" ht="12.8" hidden="false" customHeight="false" outlineLevel="0" collapsed="false">
      <c r="B32311" s="0" t="s">
        <v>8</v>
      </c>
    </row>
    <row r="32312" customFormat="false" ht="12.8" hidden="false" customHeight="false" outlineLevel="0" collapsed="false">
      <c r="B32312" s="0" t="s">
        <v>8472</v>
      </c>
    </row>
    <row r="32314" customFormat="false" ht="12.8" hidden="false" customHeight="false" outlineLevel="0" collapsed="false">
      <c r="A32314" s="0" t="s">
        <v>12564</v>
      </c>
      <c r="B32314" s="0" t="str">
        <f aca="false">HYPERLINK("https://lindat.mff.cuni.cz/services/teitok/pdtc10/index.php?action=vallex&amp;frame=v-w4429f1", "proměňovat se (v-w4429f1)")</f>
        <v>proměňovat se (v-w4429f1)</v>
      </c>
      <c r="E32314" s="0" t="str">
        <f aca="false">HYPERLINK("https://lindat.mff.cuni.cz/services/SynSemClass40/SynSemClass40.html?veclass=vec01132#vec01132-ces-cm00022", "vec01132")</f>
        <v>vec01132</v>
      </c>
      <c r="F32314" s="0" t="s">
        <v>6967</v>
      </c>
    </row>
    <row r="32315" customFormat="false" ht="12.8" hidden="false" customHeight="false" outlineLevel="0" collapsed="false">
      <c r="B32315" s="0" t="s">
        <v>1</v>
      </c>
      <c r="C32315" s="0" t="s">
        <v>6968</v>
      </c>
      <c r="E32315" s="0" t="s">
        <v>84</v>
      </c>
      <c r="F32315" s="0" t="s">
        <v>6969</v>
      </c>
    </row>
    <row r="32316" customFormat="false" ht="12.8" hidden="false" customHeight="false" outlineLevel="0" collapsed="false">
      <c r="B32316" s="0" t="s">
        <v>12561</v>
      </c>
      <c r="C32316" s="0" t="s">
        <v>6971</v>
      </c>
      <c r="E32316" s="0" t="s">
        <v>1592</v>
      </c>
      <c r="F32316" s="0" t="s">
        <v>6972</v>
      </c>
    </row>
    <row r="32317" customFormat="false" ht="12.8" hidden="false" customHeight="false" outlineLevel="0" collapsed="false">
      <c r="B32317" s="0" t="s">
        <v>36</v>
      </c>
      <c r="C32317" s="0" t="s">
        <v>6973</v>
      </c>
      <c r="E32317" s="0" t="s">
        <v>38</v>
      </c>
      <c r="F32317" s="0" t="s">
        <v>6974</v>
      </c>
    </row>
    <row r="32319" customFormat="false" ht="12.8" hidden="false" customHeight="false" outlineLevel="0" collapsed="false">
      <c r="A32319" s="0" t="s">
        <v>12565</v>
      </c>
      <c r="B32319" s="0" t="str">
        <f aca="false">HYPERLINK("https://lindat.mff.cuni.cz/services/teitok/pdtc10/index.php?action=vallex&amp;frame=v-w4454f1", "pronajmout (v-w4454f1)")</f>
        <v>pronajmout (v-w4454f1)</v>
      </c>
      <c r="E32319" s="0" t="str">
        <f aca="false">HYPERLINK("https://lindat.mff.cuni.cz/services/SynSemClass40/SynSemClass40.html?veclass=vec00490#vec00490-ces-cm00001", "vec00490")</f>
        <v>vec00490</v>
      </c>
      <c r="F32319" s="0" t="s">
        <v>12566</v>
      </c>
    </row>
    <row r="32320" customFormat="false" ht="12.8" hidden="false" customHeight="false" outlineLevel="0" collapsed="false">
      <c r="B32320" s="0" t="s">
        <v>1</v>
      </c>
      <c r="C32320" s="0" t="s">
        <v>825</v>
      </c>
      <c r="E32320" s="0" t="s">
        <v>4416</v>
      </c>
      <c r="F32320" s="0" t="s">
        <v>12567</v>
      </c>
    </row>
    <row r="32321" customFormat="false" ht="12.8" hidden="false" customHeight="false" outlineLevel="0" collapsed="false">
      <c r="B32321" s="0" t="s">
        <v>8</v>
      </c>
      <c r="C32321" s="0" t="s">
        <v>3200</v>
      </c>
      <c r="E32321" s="0" t="s">
        <v>5521</v>
      </c>
      <c r="F32321" s="0" t="s">
        <v>12568</v>
      </c>
    </row>
    <row r="32322" customFormat="false" ht="12.8" hidden="false" customHeight="false" outlineLevel="0" collapsed="false">
      <c r="B32322" s="0" t="s">
        <v>52</v>
      </c>
      <c r="C32322" s="0" t="s">
        <v>6427</v>
      </c>
      <c r="E32322" s="0" t="s">
        <v>53</v>
      </c>
      <c r="F32322" s="0" t="s">
        <v>12569</v>
      </c>
    </row>
    <row r="32324" customFormat="false" ht="12.8" hidden="false" customHeight="false" outlineLevel="0" collapsed="false">
      <c r="A32324" s="0" t="s">
        <v>12570</v>
      </c>
      <c r="B32324" s="0" t="str">
        <f aca="false">HYPERLINK("https://lindat.mff.cuni.cz/services/teitok/pdtc10/index.php?action=vallex&amp;frame=v-w4454f2", "pronajmout (v-w4454f2)")</f>
        <v>pronajmout (v-w4454f2)</v>
      </c>
      <c r="E32324" s="0" t="str">
        <f aca="false">HYPERLINK("https://lindat.mff.cuni.cz/services/SynSemClass40/SynSemClass40.html?veclass=vec01082#vec01082-ces-cm00001", "vec01082")</f>
        <v>vec01082</v>
      </c>
      <c r="F32324" s="0" t="s">
        <v>12571</v>
      </c>
    </row>
    <row r="32325" customFormat="false" ht="12.8" hidden="false" customHeight="false" outlineLevel="0" collapsed="false">
      <c r="B32325" s="0" t="s">
        <v>1</v>
      </c>
      <c r="C32325" s="0" t="s">
        <v>3000</v>
      </c>
      <c r="E32325" s="0" t="s">
        <v>1567</v>
      </c>
      <c r="F32325" s="0" t="s">
        <v>12572</v>
      </c>
    </row>
    <row r="32326" customFormat="false" ht="12.8" hidden="false" customHeight="false" outlineLevel="0" collapsed="false">
      <c r="B32326" s="0" t="s">
        <v>8</v>
      </c>
      <c r="C32326" s="0" t="s">
        <v>449</v>
      </c>
      <c r="E32326" s="0" t="s">
        <v>5521</v>
      </c>
      <c r="F32326" s="0" t="s">
        <v>12573</v>
      </c>
    </row>
    <row r="32327" customFormat="false" ht="12.8" hidden="false" customHeight="false" outlineLevel="0" collapsed="false">
      <c r="B32327" s="0" t="s">
        <v>602</v>
      </c>
      <c r="C32327" s="0" t="s">
        <v>5335</v>
      </c>
      <c r="E32327" s="0" t="s">
        <v>12574</v>
      </c>
      <c r="F32327" s="0" t="s">
        <v>12575</v>
      </c>
    </row>
    <row r="32329" customFormat="false" ht="12.8" hidden="false" customHeight="false" outlineLevel="0" collapsed="false">
      <c r="A32329" s="0" t="s">
        <v>12576</v>
      </c>
      <c r="B32329" s="0" t="str">
        <f aca="false">HYPERLINK("https://lindat.mff.cuni.cz/services/teitok/pdtc10/index.php?action=vallex&amp;frame=v-w4452f1", "pronajímat (v-w4452f1)")</f>
        <v>pronajímat (v-w4452f1)</v>
      </c>
      <c r="E32329" s="0" t="str">
        <f aca="false">HYPERLINK("https://lindat.mff.cuni.cz/services/SynSemClass40/SynSemClass40.html?veclass=vec00490#vec00490-ces-cm00002", "vec00490")</f>
        <v>vec00490</v>
      </c>
      <c r="F32329" s="0" t="s">
        <v>12566</v>
      </c>
    </row>
    <row r="32330" customFormat="false" ht="12.8" hidden="false" customHeight="false" outlineLevel="0" collapsed="false">
      <c r="B32330" s="0" t="s">
        <v>1</v>
      </c>
      <c r="C32330" s="0" t="s">
        <v>825</v>
      </c>
      <c r="E32330" s="0" t="s">
        <v>4416</v>
      </c>
      <c r="F32330" s="0" t="s">
        <v>12567</v>
      </c>
    </row>
    <row r="32331" customFormat="false" ht="12.8" hidden="false" customHeight="false" outlineLevel="0" collapsed="false">
      <c r="B32331" s="0" t="s">
        <v>8</v>
      </c>
      <c r="C32331" s="0" t="s">
        <v>3200</v>
      </c>
      <c r="E32331" s="0" t="s">
        <v>5521</v>
      </c>
      <c r="F32331" s="0" t="s">
        <v>12568</v>
      </c>
    </row>
    <row r="32332" customFormat="false" ht="12.8" hidden="false" customHeight="false" outlineLevel="0" collapsed="false">
      <c r="B32332" s="0" t="s">
        <v>52</v>
      </c>
      <c r="C32332" s="0" t="s">
        <v>6427</v>
      </c>
      <c r="E32332" s="0" t="s">
        <v>53</v>
      </c>
      <c r="F32332" s="0" t="s">
        <v>12569</v>
      </c>
    </row>
    <row r="32334" customFormat="false" ht="12.8" hidden="false" customHeight="false" outlineLevel="0" collapsed="false">
      <c r="A32334" s="0" t="s">
        <v>12577</v>
      </c>
      <c r="B32334" s="0" t="str">
        <f aca="false">HYPERLINK("https://lindat.mff.cuni.cz/services/teitok/pdtc10/index.php?action=vallex&amp;frame=v-w4452f2", "pronajímat (v-w4452f2)")</f>
        <v>pronajímat (v-w4452f2)</v>
      </c>
      <c r="E32334" s="0" t="str">
        <f aca="false">HYPERLINK("https://lindat.mff.cuni.cz/services/SynSemClass40/SynSemClass40.html?veclass=vec01082#vec01082-ces-cm00002", "vec01082")</f>
        <v>vec01082</v>
      </c>
      <c r="F32334" s="0" t="s">
        <v>12571</v>
      </c>
    </row>
    <row r="32335" customFormat="false" ht="12.8" hidden="false" customHeight="false" outlineLevel="0" collapsed="false">
      <c r="B32335" s="0" t="s">
        <v>1</v>
      </c>
      <c r="C32335" s="0" t="s">
        <v>3000</v>
      </c>
      <c r="E32335" s="0" t="s">
        <v>1567</v>
      </c>
      <c r="F32335" s="0" t="s">
        <v>12572</v>
      </c>
    </row>
    <row r="32336" customFormat="false" ht="12.8" hidden="false" customHeight="false" outlineLevel="0" collapsed="false">
      <c r="B32336" s="0" t="s">
        <v>8</v>
      </c>
      <c r="C32336" s="0" t="s">
        <v>449</v>
      </c>
      <c r="E32336" s="0" t="s">
        <v>5521</v>
      </c>
      <c r="F32336" s="0" t="s">
        <v>12573</v>
      </c>
    </row>
    <row r="32337" customFormat="false" ht="12.8" hidden="false" customHeight="false" outlineLevel="0" collapsed="false">
      <c r="B32337" s="0" t="s">
        <v>602</v>
      </c>
      <c r="C32337" s="0" t="s">
        <v>5335</v>
      </c>
      <c r="E32337" s="0" t="s">
        <v>12574</v>
      </c>
      <c r="F32337" s="0" t="s">
        <v>12575</v>
      </c>
    </row>
    <row r="32339" customFormat="false" ht="12.8" hidden="false" customHeight="false" outlineLevel="0" collapsed="false">
      <c r="A32339" s="0" t="s">
        <v>12578</v>
      </c>
      <c r="B32339" s="0" t="str">
        <f aca="false">HYPERLINK("https://lindat.mff.cuni.cz/services/teitok/pdtc10/index.php?action=vallex&amp;frame=v-w4461f1", "pronikat (v-w4461f1)")</f>
        <v>pronikat (v-w4461f1)</v>
      </c>
      <c r="E32339" s="0" t="str">
        <f aca="false">HYPERLINK("https://lindat.mff.cuni.cz/services/SynSemClass40/SynSemClass40.html?veclass=vec00218#vec00218-ces-cm00090", "vec00218")</f>
        <v>vec00218</v>
      </c>
      <c r="F32339" s="0" t="s">
        <v>2143</v>
      </c>
    </row>
    <row r="32340" customFormat="false" ht="12.8" hidden="false" customHeight="false" outlineLevel="0" collapsed="false">
      <c r="B32340" s="0" t="s">
        <v>1</v>
      </c>
      <c r="C32340" s="0" t="s">
        <v>2144</v>
      </c>
      <c r="E32340" s="0" t="s">
        <v>11</v>
      </c>
      <c r="F32340" s="0" t="s">
        <v>2145</v>
      </c>
    </row>
    <row r="32341" customFormat="false" ht="12.8" hidden="false" customHeight="false" outlineLevel="0" collapsed="false">
      <c r="B32341" s="0" t="s">
        <v>164</v>
      </c>
      <c r="C32341" s="0" t="s">
        <v>2146</v>
      </c>
      <c r="E32341" s="0" t="s">
        <v>370</v>
      </c>
      <c r="F32341" s="0" t="s">
        <v>2147</v>
      </c>
    </row>
    <row r="32343" customFormat="false" ht="12.8" hidden="false" customHeight="false" outlineLevel="0" collapsed="false">
      <c r="A32343" s="0" t="s">
        <v>12579</v>
      </c>
      <c r="B32343" s="0" t="str">
        <f aca="false">HYPERLINK("https://lindat.mff.cuni.cz/services/teitok/pdtc10/index.php?action=vallex&amp;frame=v-w4462f2", "proniknout (v-w4462f2)")</f>
        <v>proniknout (v-w4462f2)</v>
      </c>
    </row>
    <row r="32344" customFormat="false" ht="12.8" hidden="false" customHeight="false" outlineLevel="0" collapsed="false">
      <c r="B32344" s="0" t="s">
        <v>1</v>
      </c>
    </row>
    <row r="32345" customFormat="false" ht="12.8" hidden="false" customHeight="false" outlineLevel="0" collapsed="false">
      <c r="B32345" s="0" t="s">
        <v>8</v>
      </c>
    </row>
    <row r="32347" customFormat="false" ht="12.8" hidden="false" customHeight="false" outlineLevel="0" collapsed="false">
      <c r="A32347" s="0" t="s">
        <v>12580</v>
      </c>
      <c r="B32347" s="0" t="str">
        <f aca="false">HYPERLINK("https://lindat.mff.cuni.cz/services/teitok/pdtc10/index.php?action=vallex&amp;frame=v-w4462f3", "proniknout (v-w4462f3)")</f>
        <v>proniknout (v-w4462f3)</v>
      </c>
    </row>
    <row r="32348" customFormat="false" ht="12.8" hidden="false" customHeight="false" outlineLevel="0" collapsed="false">
      <c r="B32348" s="0" t="s">
        <v>1</v>
      </c>
    </row>
    <row r="32349" customFormat="false" ht="12.8" hidden="false" customHeight="false" outlineLevel="0" collapsed="false">
      <c r="B32349" s="0" t="s">
        <v>336</v>
      </c>
    </row>
    <row r="32351" customFormat="false" ht="12.8" hidden="false" customHeight="false" outlineLevel="0" collapsed="false">
      <c r="A32351" s="0" t="s">
        <v>12581</v>
      </c>
      <c r="B32351" s="0" t="str">
        <f aca="false">HYPERLINK("https://lindat.mff.cuni.cz/services/teitok/pdtc10/index.php?action=vallex&amp;frame=v-w4462f1", "proniknout (v-w4462f1)")</f>
        <v>proniknout (v-w4462f1)</v>
      </c>
      <c r="E32351" s="0" t="str">
        <f aca="false">HYPERLINK("https://lindat.mff.cuni.cz/services/SynSemClass40/SynSemClass40.html?veclass=vec00218#vec00218-ces-cm00091", "vec00218")</f>
        <v>vec00218</v>
      </c>
      <c r="F32351" s="0" t="s">
        <v>2143</v>
      </c>
    </row>
    <row r="32352" customFormat="false" ht="12.8" hidden="false" customHeight="false" outlineLevel="0" collapsed="false">
      <c r="B32352" s="0" t="s">
        <v>1</v>
      </c>
      <c r="C32352" s="0" t="s">
        <v>2144</v>
      </c>
      <c r="E32352" s="0" t="s">
        <v>11</v>
      </c>
      <c r="F32352" s="0" t="s">
        <v>2145</v>
      </c>
    </row>
    <row r="32353" customFormat="false" ht="12.8" hidden="false" customHeight="false" outlineLevel="0" collapsed="false">
      <c r="B32353" s="0" t="s">
        <v>164</v>
      </c>
      <c r="C32353" s="0" t="s">
        <v>2146</v>
      </c>
      <c r="E32353" s="0" t="s">
        <v>370</v>
      </c>
      <c r="F32353" s="0" t="s">
        <v>2147</v>
      </c>
    </row>
    <row r="32355" customFormat="false" ht="12.8" hidden="false" customHeight="false" outlineLevel="0" collapsed="false">
      <c r="A32355" s="0" t="s">
        <v>12582</v>
      </c>
      <c r="B32355" s="0" t="str">
        <f aca="false">HYPERLINK("https://lindat.mff.cuni.cz/services/teitok/pdtc10/index.php?action=vallex&amp;frame=v-w4462hsa_187", "proniknout (v-w4462hsa_187)")</f>
        <v>proniknout (v-w4462hsa_187)</v>
      </c>
    </row>
    <row r="32356" customFormat="false" ht="12.8" hidden="false" customHeight="false" outlineLevel="0" collapsed="false">
      <c r="B32356" s="0" t="s">
        <v>1</v>
      </c>
    </row>
    <row r="32357" customFormat="false" ht="12.8" hidden="false" customHeight="false" outlineLevel="0" collapsed="false">
      <c r="B32357" s="0" t="s">
        <v>1187</v>
      </c>
    </row>
    <row r="32359" customFormat="false" ht="12.8" hidden="false" customHeight="false" outlineLevel="0" collapsed="false">
      <c r="A32359" s="0" t="s">
        <v>12583</v>
      </c>
      <c r="B32359" s="0" t="str">
        <f aca="false">HYPERLINK("https://lindat.mff.cuni.cz/services/teitok/pdtc10/index.php?action=vallex&amp;frame=v-w4457f1", "pronásledovat (v-w4457f1)")</f>
        <v>pronásledovat (v-w4457f1)</v>
      </c>
      <c r="E32359" s="0" t="str">
        <f aca="false">HYPERLINK("https://lindat.mff.cuni.cz/services/SynSemClass40/SynSemClass40.html?veclass=vec00687#vec00687-ces-cm00001", "vec00687")</f>
        <v>vec00687</v>
      </c>
      <c r="F32359" s="0" t="s">
        <v>4470</v>
      </c>
    </row>
    <row r="32360" customFormat="false" ht="12.8" hidden="false" customHeight="false" outlineLevel="0" collapsed="false">
      <c r="B32360" s="0" t="s">
        <v>1</v>
      </c>
      <c r="C32360" s="0" t="s">
        <v>4471</v>
      </c>
      <c r="E32360" s="0" t="s">
        <v>2291</v>
      </c>
      <c r="F32360" s="0" t="s">
        <v>4472</v>
      </c>
    </row>
    <row r="32361" customFormat="false" ht="12.8" hidden="false" customHeight="false" outlineLevel="0" collapsed="false">
      <c r="B32361" s="0" t="s">
        <v>8</v>
      </c>
      <c r="C32361" s="0" t="s">
        <v>4473</v>
      </c>
      <c r="E32361" s="0" t="s">
        <v>384</v>
      </c>
      <c r="F32361" s="0" t="s">
        <v>4474</v>
      </c>
    </row>
    <row r="32363" customFormat="false" ht="12.8" hidden="false" customHeight="false" outlineLevel="0" collapsed="false">
      <c r="A32363" s="0" t="s">
        <v>12584</v>
      </c>
      <c r="B32363" s="0" t="str">
        <f aca="false">HYPERLINK("https://lindat.mff.cuni.cz/services/teitok/pdtc10/index.php?action=vallex&amp;frame=v-w4458f1", "pronášet (v-w4458f1)")</f>
        <v>pronášet (v-w4458f1)</v>
      </c>
      <c r="E32363" s="0" t="str">
        <f aca="false">HYPERLINK("https://lindat.mff.cuni.cz/services/SynSemClass40/SynSemClass40.html?veclass=vec01431#vec01431-ces-cm00001", "vec01431")</f>
        <v>vec01431</v>
      </c>
      <c r="F32363" s="0" t="s">
        <v>12585</v>
      </c>
    </row>
    <row r="32364" customFormat="false" ht="12.8" hidden="false" customHeight="false" outlineLevel="0" collapsed="false">
      <c r="B32364" s="0" t="s">
        <v>1</v>
      </c>
      <c r="E32364" s="0" t="s">
        <v>147</v>
      </c>
      <c r="F32364" s="0" t="s">
        <v>5874</v>
      </c>
    </row>
    <row r="32365" customFormat="false" ht="12.8" hidden="false" customHeight="false" outlineLevel="0" collapsed="false">
      <c r="B32365" s="0" t="s">
        <v>8</v>
      </c>
      <c r="E32365" s="0" t="s">
        <v>218</v>
      </c>
      <c r="F32365" s="0" t="s">
        <v>12586</v>
      </c>
    </row>
    <row r="32367" customFormat="false" ht="12.8" hidden="false" customHeight="false" outlineLevel="0" collapsed="false">
      <c r="A32367" s="0" t="s">
        <v>12587</v>
      </c>
      <c r="B32367" s="0" t="str">
        <f aca="false">HYPERLINK("https://lindat.mff.cuni.cz/services/teitok/pdtc10/index.php?action=vallex&amp;frame=v-w4458f2", "pronášet (v-w4458f2)")</f>
        <v>pronášet (v-w4458f2)</v>
      </c>
      <c r="E32367" s="0" t="str">
        <f aca="false">HYPERLINK("https://lindat.mff.cuni.cz/services/SynSemClass40/SynSemClass40.html?veclass=vec00060#vec00060-ces-cm00447", "vec00060")</f>
        <v>vec00060</v>
      </c>
      <c r="F32367" s="0" t="s">
        <v>213</v>
      </c>
    </row>
    <row r="32368" customFormat="false" ht="12.8" hidden="false" customHeight="false" outlineLevel="0" collapsed="false">
      <c r="B32368" s="0" t="s">
        <v>1</v>
      </c>
      <c r="C32368" s="0" t="s">
        <v>214</v>
      </c>
      <c r="E32368" s="0" t="s">
        <v>147</v>
      </c>
      <c r="F32368" s="0" t="s">
        <v>215</v>
      </c>
    </row>
    <row r="32369" customFormat="false" ht="12.8" hidden="false" customHeight="false" outlineLevel="0" collapsed="false">
      <c r="B32369" s="0" t="s">
        <v>6412</v>
      </c>
      <c r="C32369" s="0" t="s">
        <v>2216</v>
      </c>
      <c r="E32369" s="0" t="s">
        <v>2217</v>
      </c>
      <c r="F32369" s="0" t="s">
        <v>2218</v>
      </c>
    </row>
    <row r="32370" customFormat="false" ht="12.8" hidden="false" customHeight="false" outlineLevel="0" collapsed="false">
      <c r="B32370" s="0" t="s">
        <v>496</v>
      </c>
      <c r="C32370" s="0" t="s">
        <v>217</v>
      </c>
      <c r="E32370" s="0" t="s">
        <v>218</v>
      </c>
      <c r="F32370" s="0" t="s">
        <v>219</v>
      </c>
    </row>
    <row r="32372" customFormat="false" ht="12.8" hidden="false" customHeight="false" outlineLevel="0" collapsed="false">
      <c r="A32372" s="0" t="s">
        <v>12588</v>
      </c>
      <c r="B32372" s="0" t="str">
        <f aca="false">HYPERLINK("https://lindat.mff.cuni.cz/services/teitok/pdtc10/index.php?action=vallex&amp;frame=v-w4459f1", "pronést (v-w4459f1)")</f>
        <v>pronést (v-w4459f1)</v>
      </c>
      <c r="E32372" s="0" t="str">
        <f aca="false">HYPERLINK("https://lindat.mff.cuni.cz/services/SynSemClass40/SynSemClass40.html?veclass=vec01431#vec01431-ces-cm00002", "vec01431")</f>
        <v>vec01431</v>
      </c>
      <c r="F32372" s="0" t="s">
        <v>12585</v>
      </c>
    </row>
    <row r="32373" customFormat="false" ht="12.8" hidden="false" customHeight="false" outlineLevel="0" collapsed="false">
      <c r="B32373" s="0" t="s">
        <v>1</v>
      </c>
      <c r="E32373" s="0" t="s">
        <v>147</v>
      </c>
      <c r="F32373" s="0" t="s">
        <v>5874</v>
      </c>
    </row>
    <row r="32374" customFormat="false" ht="12.8" hidden="false" customHeight="false" outlineLevel="0" collapsed="false">
      <c r="B32374" s="0" t="s">
        <v>8</v>
      </c>
      <c r="E32374" s="0" t="s">
        <v>218</v>
      </c>
      <c r="F32374" s="0" t="s">
        <v>12586</v>
      </c>
    </row>
    <row r="32375" customFormat="false" ht="12.8" hidden="false" customHeight="false" outlineLevel="0" collapsed="false">
      <c r="B32375" s="0" t="s">
        <v>11006</v>
      </c>
      <c r="E32375" s="0" t="s">
        <v>221</v>
      </c>
      <c r="F32375" s="0" t="s">
        <v>4699</v>
      </c>
    </row>
    <row r="32377" customFormat="false" ht="12.8" hidden="false" customHeight="false" outlineLevel="0" collapsed="false">
      <c r="A32377" s="0" t="s">
        <v>12589</v>
      </c>
      <c r="B32377" s="0" t="str">
        <f aca="false">HYPERLINK("https://lindat.mff.cuni.cz/services/teitok/pdtc10/index.php?action=vallex&amp;frame=v-w4459f2", "pronést (v-w4459f2)")</f>
        <v>pronést (v-w4459f2)</v>
      </c>
      <c r="E32377" s="0" t="str">
        <f aca="false">HYPERLINK("https://lindat.mff.cuni.cz/services/SynSemClass40/SynSemClass40.html?veclass=vec00060#vec00060-ces-cm00076", "vec00060")</f>
        <v>vec00060</v>
      </c>
      <c r="F32377" s="0" t="s">
        <v>213</v>
      </c>
    </row>
    <row r="32378" customFormat="false" ht="12.8" hidden="false" customHeight="false" outlineLevel="0" collapsed="false">
      <c r="B32378" s="0" t="s">
        <v>1</v>
      </c>
      <c r="C32378" s="0" t="s">
        <v>214</v>
      </c>
      <c r="E32378" s="0" t="s">
        <v>147</v>
      </c>
      <c r="F32378" s="0" t="s">
        <v>215</v>
      </c>
    </row>
    <row r="32379" customFormat="false" ht="12.8" hidden="false" customHeight="false" outlineLevel="0" collapsed="false">
      <c r="B32379" s="0" t="s">
        <v>6412</v>
      </c>
      <c r="C32379" s="0" t="s">
        <v>2216</v>
      </c>
      <c r="E32379" s="0" t="s">
        <v>2217</v>
      </c>
      <c r="F32379" s="0" t="s">
        <v>2218</v>
      </c>
    </row>
    <row r="32380" customFormat="false" ht="12.8" hidden="false" customHeight="false" outlineLevel="0" collapsed="false">
      <c r="B32380" s="0" t="s">
        <v>496</v>
      </c>
      <c r="C32380" s="0" t="s">
        <v>217</v>
      </c>
      <c r="E32380" s="0" t="s">
        <v>218</v>
      </c>
      <c r="F32380" s="0" t="s">
        <v>219</v>
      </c>
    </row>
    <row r="32382" customFormat="false" ht="12.8" hidden="false" customHeight="false" outlineLevel="0" collapsed="false">
      <c r="A32382" s="0" t="s">
        <v>12590</v>
      </c>
      <c r="B32382" s="0" t="str">
        <f aca="false">HYPERLINK("https://lindat.mff.cuni.cz/services/teitok/pdtc10/index.php?action=vallex&amp;frame=v-w4466f1", "propadat (v-w4466f1)")</f>
        <v>propadat (v-w4466f1)</v>
      </c>
    </row>
    <row r="32383" customFormat="false" ht="12.8" hidden="false" customHeight="false" outlineLevel="0" collapsed="false">
      <c r="B32383" s="0" t="s">
        <v>1</v>
      </c>
    </row>
    <row r="32384" customFormat="false" ht="12.8" hidden="false" customHeight="false" outlineLevel="0" collapsed="false">
      <c r="B32384" s="0" t="s">
        <v>186</v>
      </c>
    </row>
    <row r="32386" customFormat="false" ht="12.8" hidden="false" customHeight="false" outlineLevel="0" collapsed="false">
      <c r="A32386" s="0" t="s">
        <v>12591</v>
      </c>
      <c r="B32386" s="0" t="str">
        <f aca="false">HYPERLINK("https://lindat.mff.cuni.cz/services/teitok/pdtc10/index.php?action=vallex&amp;frame=v-w4466f2", "propadat (v-w4466f2)")</f>
        <v>propadat (v-w4466f2)</v>
      </c>
    </row>
    <row r="32387" customFormat="false" ht="12.8" hidden="false" customHeight="false" outlineLevel="0" collapsed="false">
      <c r="B32387" s="0" t="s">
        <v>1</v>
      </c>
    </row>
    <row r="32389" customFormat="false" ht="12.8" hidden="false" customHeight="false" outlineLevel="0" collapsed="false">
      <c r="A32389" s="0" t="s">
        <v>12592</v>
      </c>
      <c r="B32389" s="0" t="str">
        <f aca="false">HYPERLINK("https://lindat.mff.cuni.cz/services/teitok/pdtc10/index.php?action=vallex&amp;frame=v-w4466hsa_621", "propadat (v-w4466hsa_621)")</f>
        <v>propadat (v-w4466hsa_621)</v>
      </c>
      <c r="E32389" s="0" t="str">
        <f aca="false">HYPERLINK("https://lindat.mff.cuni.cz/services/SynSemClass40/SynSemClass40.html?veclass=vec00599#vec00599-ces-cm00033", "vec00599")</f>
        <v>vec00599</v>
      </c>
      <c r="F32389" s="0" t="s">
        <v>4593</v>
      </c>
    </row>
    <row r="32390" customFormat="false" ht="12.8" hidden="false" customHeight="false" outlineLevel="0" collapsed="false">
      <c r="B32390" s="0" t="s">
        <v>1</v>
      </c>
      <c r="C32390" s="0" t="s">
        <v>4594</v>
      </c>
      <c r="E32390" s="0" t="s">
        <v>4595</v>
      </c>
      <c r="F32390" s="0" t="s">
        <v>4596</v>
      </c>
    </row>
    <row r="32392" customFormat="false" ht="12.8" hidden="false" customHeight="false" outlineLevel="0" collapsed="false">
      <c r="A32392" s="0" t="s">
        <v>12593</v>
      </c>
      <c r="B32392" s="0" t="str">
        <f aca="false">HYPERLINK("https://lindat.mff.cuni.cz/services/teitok/pdtc10/index.php?action=vallex&amp;frame=v-w4466hsa_622", "propadat (v-w4466hsa_622)")</f>
        <v>propadat (v-w4466hsa_622)</v>
      </c>
    </row>
    <row r="32393" customFormat="false" ht="12.8" hidden="false" customHeight="false" outlineLevel="0" collapsed="false">
      <c r="B32393" s="0" t="s">
        <v>1</v>
      </c>
    </row>
    <row r="32395" customFormat="false" ht="12.8" hidden="false" customHeight="false" outlineLevel="0" collapsed="false">
      <c r="A32395" s="0" t="s">
        <v>12594</v>
      </c>
      <c r="B32395" s="0" t="str">
        <f aca="false">HYPERLINK("https://lindat.mff.cuni.cz/services/teitok/pdtc10/index.php?action=vallex&amp;frame=v-w11567_ZUf3_ZU", "propadat se (v-w11567_ZUf3_ZU)")</f>
        <v>propadat se (v-w11567_ZUf3_ZU)</v>
      </c>
      <c r="E32395" s="0" t="str">
        <f aca="false">HYPERLINK("https://lindat.mff.cuni.cz/services/SynSemClass40/SynSemClass40.html?veclass=vec00028#vec00028-ces-cm00036", "vec00028")</f>
        <v>vec00028</v>
      </c>
      <c r="F32395" s="0" t="s">
        <v>5301</v>
      </c>
      <c r="H32395" s="0" t="str">
        <f aca="false">HYPERLINK("https://lindat.mff.cuni.cz/services/SynSemClass40/SynSemClass40.html?veclass=vec01512#vec01512-ces-cm00049", "vec01512")</f>
        <v>vec01512</v>
      </c>
      <c r="I32395" s="0" t="s">
        <v>5302</v>
      </c>
    </row>
    <row r="32396" customFormat="false" ht="12.8" hidden="false" customHeight="false" outlineLevel="0" collapsed="false">
      <c r="B32396" s="0" t="s">
        <v>1</v>
      </c>
      <c r="C32396" s="0" t="s">
        <v>5303</v>
      </c>
      <c r="E32396" s="0" t="s">
        <v>235</v>
      </c>
      <c r="F32396" s="0" t="s">
        <v>5304</v>
      </c>
      <c r="H32396" s="0" t="s">
        <v>334</v>
      </c>
      <c r="I32396" s="0" t="s">
        <v>5305</v>
      </c>
    </row>
    <row r="32397" customFormat="false" ht="12.8" hidden="false" customHeight="false" outlineLevel="0" collapsed="false">
      <c r="B32397" s="0" t="s">
        <v>4007</v>
      </c>
      <c r="C32397" s="0" t="s">
        <v>5306</v>
      </c>
      <c r="E32397" s="0" t="s">
        <v>5149</v>
      </c>
      <c r="F32397" s="0" t="s">
        <v>5307</v>
      </c>
      <c r="H32397" s="0" t="s">
        <v>5308</v>
      </c>
      <c r="I32397" s="0" t="s">
        <v>5309</v>
      </c>
    </row>
    <row r="32398" customFormat="false" ht="12.8" hidden="false" customHeight="false" outlineLevel="0" collapsed="false">
      <c r="B32398" s="0" t="s">
        <v>36</v>
      </c>
      <c r="C32398" s="0" t="s">
        <v>5310</v>
      </c>
      <c r="E32398" s="0" t="s">
        <v>5152</v>
      </c>
      <c r="F32398" s="0" t="s">
        <v>5311</v>
      </c>
      <c r="H32398" s="0" t="s">
        <v>5312</v>
      </c>
      <c r="I32398" s="0" t="s">
        <v>5313</v>
      </c>
    </row>
    <row r="32400" customFormat="false" ht="12.8" hidden="false" customHeight="false" outlineLevel="0" collapsed="false">
      <c r="A32400" s="0" t="s">
        <v>12594</v>
      </c>
      <c r="B32400" s="0" t="str">
        <f aca="false">HYPERLINK("https://lindat.mff.cuni.cz/services/teitok/pdtc10/index.php?action=vallex&amp;frame=v-w11567_ZUf1_ZU", "propadat se (v-w11567_ZUf1_ZU) - substituted with v-w11567_ZUf3_ZU")</f>
        <v>propadat se (v-w11567_ZUf1_ZU) - substituted with v-w11567_ZUf3_ZU</v>
      </c>
    </row>
    <row r="32401" customFormat="false" ht="12.8" hidden="false" customHeight="false" outlineLevel="0" collapsed="false">
      <c r="B32401" s="0" t="s">
        <v>1</v>
      </c>
    </row>
    <row r="32402" customFormat="false" ht="12.8" hidden="false" customHeight="false" outlineLevel="0" collapsed="false">
      <c r="B32402" s="0" t="s">
        <v>4007</v>
      </c>
    </row>
    <row r="32403" customFormat="false" ht="12.8" hidden="false" customHeight="false" outlineLevel="0" collapsed="false">
      <c r="B32403" s="0" t="s">
        <v>36</v>
      </c>
    </row>
    <row r="32405" customFormat="false" ht="12.8" hidden="false" customHeight="false" outlineLevel="0" collapsed="false">
      <c r="A32405" s="0" t="s">
        <v>12594</v>
      </c>
      <c r="B32405" s="0" t="str">
        <f aca="false">HYPERLINK("https://lindat.mff.cuni.cz/services/teitok/pdtc10/index.php?action=vallex&amp;frame=v-w11567_ZUf2_ZU", "propadat se (v-w11567_ZUf2_ZU) - substituted with v-w11567_ZUf3_ZU")</f>
        <v>propadat se (v-w11567_ZUf2_ZU) - substituted with v-w11567_ZUf3_ZU</v>
      </c>
    </row>
    <row r="32406" customFormat="false" ht="12.8" hidden="false" customHeight="false" outlineLevel="0" collapsed="false">
      <c r="B32406" s="0" t="s">
        <v>1</v>
      </c>
    </row>
    <row r="32407" customFormat="false" ht="12.8" hidden="false" customHeight="false" outlineLevel="0" collapsed="false">
      <c r="B32407" s="0" t="s">
        <v>4007</v>
      </c>
    </row>
    <row r="32408" customFormat="false" ht="12.8" hidden="false" customHeight="false" outlineLevel="0" collapsed="false">
      <c r="B32408" s="0" t="s">
        <v>36</v>
      </c>
    </row>
    <row r="32410" customFormat="false" ht="12.8" hidden="false" customHeight="false" outlineLevel="0" collapsed="false">
      <c r="A32410" s="0" t="s">
        <v>12595</v>
      </c>
      <c r="B32410" s="0" t="str">
        <f aca="false">HYPERLINK("https://lindat.mff.cuni.cz/services/teitok/pdtc10/index.php?action=vallex&amp;frame=v-w11567_ZUf4_ZU", "propadat se (v-w11567_ZUf4_ZU)")</f>
        <v>propadat se (v-w11567_ZUf4_ZU)</v>
      </c>
      <c r="E32410" s="0" t="str">
        <f aca="false">HYPERLINK("https://lindat.mff.cuni.cz/services/SynSemClass40/SynSemClass40.html?veclass=vec01512#vec01512-ces-cm00050", "vec01512")</f>
        <v>vec01512</v>
      </c>
      <c r="F32410" s="0" t="s">
        <v>5302</v>
      </c>
      <c r="H32410" s="0" t="str">
        <f aca="false">HYPERLINK("https://lindat.mff.cuni.cz/services/SynSemClass40/SynSemClass40.html?veclass=vec01542#vec01542-ces-cm00009", "vec01542")</f>
        <v>vec01542</v>
      </c>
      <c r="I32410" s="0" t="s">
        <v>11702</v>
      </c>
    </row>
    <row r="32411" customFormat="false" ht="12.8" hidden="false" customHeight="false" outlineLevel="0" collapsed="false">
      <c r="B32411" s="0" t="s">
        <v>1</v>
      </c>
      <c r="C32411" s="0" t="s">
        <v>11703</v>
      </c>
      <c r="E32411" s="0" t="s">
        <v>334</v>
      </c>
      <c r="F32411" s="0" t="s">
        <v>5305</v>
      </c>
      <c r="H32411" s="0" t="s">
        <v>6270</v>
      </c>
      <c r="I32411" s="0" t="s">
        <v>11704</v>
      </c>
    </row>
    <row r="32413" customFormat="false" ht="12.8" hidden="false" customHeight="false" outlineLevel="0" collapsed="false">
      <c r="A32413" s="0" t="s">
        <v>12596</v>
      </c>
      <c r="B32413" s="0" t="str">
        <f aca="false">HYPERLINK("https://lindat.mff.cuni.cz/services/teitok/pdtc10/index.php?action=vallex&amp;frame=v-w4467f5_ZU", "propadnout (v-w4467f5_ZU)")</f>
        <v>propadnout (v-w4467f5_ZU)</v>
      </c>
      <c r="E32413" s="0" t="str">
        <f aca="false">HYPERLINK("https://lindat.mff.cuni.cz/services/SynSemClass40/SynSemClass40.html?veclass=vec00028#vec00028-ces-cm00039", "vec00028")</f>
        <v>vec00028</v>
      </c>
      <c r="F32413" s="0" t="s">
        <v>5301</v>
      </c>
    </row>
    <row r="32414" customFormat="false" ht="12.8" hidden="false" customHeight="false" outlineLevel="0" collapsed="false">
      <c r="B32414" s="0" t="s">
        <v>1</v>
      </c>
      <c r="C32414" s="0" t="s">
        <v>9964</v>
      </c>
      <c r="E32414" s="0" t="s">
        <v>235</v>
      </c>
      <c r="F32414" s="0" t="s">
        <v>5304</v>
      </c>
    </row>
    <row r="32415" customFormat="false" ht="12.8" hidden="false" customHeight="false" outlineLevel="0" collapsed="false">
      <c r="B32415" s="0" t="s">
        <v>69</v>
      </c>
      <c r="C32415" s="0" t="s">
        <v>9965</v>
      </c>
      <c r="E32415" s="0" t="s">
        <v>5149</v>
      </c>
      <c r="F32415" s="0" t="s">
        <v>5307</v>
      </c>
    </row>
    <row r="32416" customFormat="false" ht="12.8" hidden="false" customHeight="false" outlineLevel="0" collapsed="false">
      <c r="B32416" s="0" t="s">
        <v>36</v>
      </c>
      <c r="C32416" s="0" t="s">
        <v>9966</v>
      </c>
      <c r="E32416" s="0" t="s">
        <v>5152</v>
      </c>
      <c r="F32416" s="0" t="s">
        <v>5311</v>
      </c>
    </row>
    <row r="32418" customFormat="false" ht="12.8" hidden="false" customHeight="false" outlineLevel="0" collapsed="false">
      <c r="A32418" s="0" t="s">
        <v>12597</v>
      </c>
      <c r="B32418" s="0" t="str">
        <f aca="false">HYPERLINK("https://lindat.mff.cuni.cz/services/teitok/pdtc10/index.php?action=vallex&amp;frame=v-w4467f2", "propadnout (v-w4467f2)")</f>
        <v>propadnout (v-w4467f2)</v>
      </c>
    </row>
    <row r="32419" customFormat="false" ht="12.8" hidden="false" customHeight="false" outlineLevel="0" collapsed="false">
      <c r="B32419" s="0" t="s">
        <v>1</v>
      </c>
    </row>
    <row r="32420" customFormat="false" ht="12.8" hidden="false" customHeight="false" outlineLevel="0" collapsed="false">
      <c r="B32420" s="0" t="s">
        <v>186</v>
      </c>
    </row>
    <row r="32422" customFormat="false" ht="12.8" hidden="false" customHeight="false" outlineLevel="0" collapsed="false">
      <c r="A32422" s="0" t="s">
        <v>12598</v>
      </c>
      <c r="B32422" s="0" t="str">
        <f aca="false">HYPERLINK("https://lindat.mff.cuni.cz/services/teitok/pdtc10/index.php?action=vallex&amp;frame=v-w4467f1", "propadnout (v-w4467f1)")</f>
        <v>propadnout (v-w4467f1)</v>
      </c>
    </row>
    <row r="32423" customFormat="false" ht="12.8" hidden="false" customHeight="false" outlineLevel="0" collapsed="false">
      <c r="B32423" s="0" t="s">
        <v>1</v>
      </c>
    </row>
    <row r="32425" customFormat="false" ht="12.8" hidden="false" customHeight="false" outlineLevel="0" collapsed="false">
      <c r="A32425" s="0" t="s">
        <v>12599</v>
      </c>
      <c r="B32425" s="0" t="str">
        <f aca="false">HYPERLINK("https://lindat.mff.cuni.cz/services/teitok/pdtc10/index.php?action=vallex&amp;frame=v-w4467f3", "propadnout (v-w4467f3)")</f>
        <v>propadnout (v-w4467f3)</v>
      </c>
    </row>
    <row r="32426" customFormat="false" ht="12.8" hidden="false" customHeight="false" outlineLevel="0" collapsed="false">
      <c r="B32426" s="0" t="s">
        <v>1</v>
      </c>
    </row>
    <row r="32428" customFormat="false" ht="12.8" hidden="false" customHeight="false" outlineLevel="0" collapsed="false">
      <c r="A32428" s="0" t="s">
        <v>12600</v>
      </c>
      <c r="B32428" s="0" t="str">
        <f aca="false">HYPERLINK("https://lindat.mff.cuni.cz/services/teitok/pdtc10/index.php?action=vallex&amp;frame=v-w4467f4_ZU", "propadnout (v-w4467f4_ZU)")</f>
        <v>propadnout (v-w4467f4_ZU)</v>
      </c>
      <c r="E32428" s="0" t="str">
        <f aca="false">HYPERLINK("https://lindat.mff.cuni.cz/services/SynSemClass40/SynSemClass40.html?veclass=vec00599#vec00599-ces-cm00008", "vec00599")</f>
        <v>vec00599</v>
      </c>
      <c r="F32428" s="0" t="s">
        <v>4593</v>
      </c>
      <c r="H32428" s="0" t="str">
        <f aca="false">HYPERLINK("https://lindat.mff.cuni.cz/services/SynSemClass40/SynSemClass40.html?veclass=vec01272#vec01272-ces-cm00023", "vec01272")</f>
        <v>vec01272</v>
      </c>
      <c r="I32428" s="0" t="s">
        <v>10383</v>
      </c>
    </row>
    <row r="32429" customFormat="false" ht="12.8" hidden="false" customHeight="false" outlineLevel="0" collapsed="false">
      <c r="B32429" s="0" t="s">
        <v>1</v>
      </c>
      <c r="C32429" s="0" t="s">
        <v>10384</v>
      </c>
      <c r="E32429" s="0" t="s">
        <v>4595</v>
      </c>
      <c r="F32429" s="0" t="s">
        <v>4596</v>
      </c>
      <c r="H32429" s="0" t="s">
        <v>957</v>
      </c>
      <c r="I32429" s="0" t="s">
        <v>10385</v>
      </c>
    </row>
    <row r="32431" customFormat="false" ht="12.8" hidden="false" customHeight="false" outlineLevel="0" collapsed="false">
      <c r="A32431" s="0" t="s">
        <v>12601</v>
      </c>
      <c r="B32431" s="0" t="str">
        <f aca="false">HYPERLINK("https://lindat.mff.cuni.cz/services/teitok/pdtc10/index.php?action=vallex&amp;frame=v-w4468f5_ZU", "propadnout se (v-w4468f5_ZU)")</f>
        <v>propadnout se (v-w4468f5_ZU)</v>
      </c>
      <c r="E32431" s="0" t="str">
        <f aca="false">HYPERLINK("https://lindat.mff.cuni.cz/services/SynSemClass40/SynSemClass40.html?veclass=vec00028#vec00028-ces-cm00040", "vec00028")</f>
        <v>vec00028</v>
      </c>
      <c r="F32431" s="0" t="s">
        <v>5301</v>
      </c>
      <c r="H32431" s="0" t="str">
        <f aca="false">HYPERLINK("https://lindat.mff.cuni.cz/services/SynSemClass40/SynSemClass40.html?veclass=vec01512#vec01512-ces-cm00051", "vec01512")</f>
        <v>vec01512</v>
      </c>
      <c r="I32431" s="0" t="s">
        <v>5302</v>
      </c>
    </row>
    <row r="32432" customFormat="false" ht="12.8" hidden="false" customHeight="false" outlineLevel="0" collapsed="false">
      <c r="B32432" s="0" t="s">
        <v>1</v>
      </c>
      <c r="C32432" s="0" t="s">
        <v>5303</v>
      </c>
      <c r="E32432" s="0" t="s">
        <v>235</v>
      </c>
      <c r="F32432" s="0" t="s">
        <v>5304</v>
      </c>
      <c r="H32432" s="0" t="s">
        <v>334</v>
      </c>
      <c r="I32432" s="0" t="s">
        <v>5305</v>
      </c>
    </row>
    <row r="32433" customFormat="false" ht="12.8" hidden="false" customHeight="false" outlineLevel="0" collapsed="false">
      <c r="B32433" s="0" t="s">
        <v>69</v>
      </c>
      <c r="C32433" s="0" t="s">
        <v>5306</v>
      </c>
      <c r="E32433" s="0" t="s">
        <v>5149</v>
      </c>
      <c r="F32433" s="0" t="s">
        <v>5307</v>
      </c>
      <c r="H32433" s="0" t="s">
        <v>5308</v>
      </c>
      <c r="I32433" s="0" t="s">
        <v>5309</v>
      </c>
    </row>
    <row r="32434" customFormat="false" ht="12.8" hidden="false" customHeight="false" outlineLevel="0" collapsed="false">
      <c r="B32434" s="0" t="s">
        <v>36</v>
      </c>
      <c r="C32434" s="0" t="s">
        <v>5310</v>
      </c>
      <c r="E32434" s="0" t="s">
        <v>5152</v>
      </c>
      <c r="F32434" s="0" t="s">
        <v>5311</v>
      </c>
      <c r="H32434" s="0" t="s">
        <v>5312</v>
      </c>
      <c r="I32434" s="0" t="s">
        <v>5313</v>
      </c>
    </row>
    <row r="32436" customFormat="false" ht="12.8" hidden="false" customHeight="false" outlineLevel="0" collapsed="false">
      <c r="A32436" s="0" t="s">
        <v>12601</v>
      </c>
      <c r="B32436" s="0" t="str">
        <f aca="false">HYPERLINK("https://lindat.mff.cuni.cz/services/teitok/pdtc10/index.php?action=vallex&amp;frame=v-w4468f1", "propadnout se (v-w4468f1) - substituted with v-w4468f5_ZU")</f>
        <v>propadnout se (v-w4468f1) - substituted with v-w4468f5_ZU</v>
      </c>
    </row>
    <row r="32437" customFormat="false" ht="12.8" hidden="false" customHeight="false" outlineLevel="0" collapsed="false">
      <c r="B32437" s="0" t="s">
        <v>1</v>
      </c>
    </row>
    <row r="32438" customFormat="false" ht="12.8" hidden="false" customHeight="false" outlineLevel="0" collapsed="false">
      <c r="B32438" s="0" t="s">
        <v>69</v>
      </c>
    </row>
    <row r="32439" customFormat="false" ht="12.8" hidden="false" customHeight="false" outlineLevel="0" collapsed="false">
      <c r="B32439" s="0" t="s">
        <v>36</v>
      </c>
    </row>
    <row r="32441" customFormat="false" ht="12.8" hidden="false" customHeight="false" outlineLevel="0" collapsed="false">
      <c r="A32441" s="0" t="s">
        <v>12601</v>
      </c>
      <c r="B32441" s="0" t="str">
        <f aca="false">HYPERLINK("https://lindat.mff.cuni.cz/services/teitok/pdtc10/index.php?action=vallex&amp;frame=v-w4468f2_ZU", "propadnout se (v-w4468f2_ZU) - substituted with v-w4468f5_ZU")</f>
        <v>propadnout se (v-w4468f2_ZU) - substituted with v-w4468f5_ZU</v>
      </c>
    </row>
    <row r="32442" customFormat="false" ht="12.8" hidden="false" customHeight="false" outlineLevel="0" collapsed="false">
      <c r="B32442" s="0" t="s">
        <v>1</v>
      </c>
    </row>
    <row r="32443" customFormat="false" ht="12.8" hidden="false" customHeight="false" outlineLevel="0" collapsed="false">
      <c r="B32443" s="0" t="s">
        <v>69</v>
      </c>
    </row>
    <row r="32444" customFormat="false" ht="12.8" hidden="false" customHeight="false" outlineLevel="0" collapsed="false">
      <c r="B32444" s="0" t="s">
        <v>36</v>
      </c>
    </row>
    <row r="32446" customFormat="false" ht="12.8" hidden="false" customHeight="false" outlineLevel="0" collapsed="false">
      <c r="A32446" s="0" t="s">
        <v>12601</v>
      </c>
      <c r="B32446" s="0" t="str">
        <f aca="false">HYPERLINK("https://lindat.mff.cuni.cz/services/teitok/pdtc10/index.php?action=vallex&amp;frame=v-w4468f3_ZU", "propadnout se (v-w4468f3_ZU) - substituted with v-w4468f5_ZU")</f>
        <v>propadnout se (v-w4468f3_ZU) - substituted with v-w4468f5_ZU</v>
      </c>
    </row>
    <row r="32447" customFormat="false" ht="12.8" hidden="false" customHeight="false" outlineLevel="0" collapsed="false">
      <c r="B32447" s="0" t="s">
        <v>1</v>
      </c>
    </row>
    <row r="32448" customFormat="false" ht="12.8" hidden="false" customHeight="false" outlineLevel="0" collapsed="false">
      <c r="B32448" s="0" t="s">
        <v>69</v>
      </c>
    </row>
    <row r="32449" customFormat="false" ht="12.8" hidden="false" customHeight="false" outlineLevel="0" collapsed="false">
      <c r="B32449" s="0" t="s">
        <v>36</v>
      </c>
    </row>
    <row r="32451" customFormat="false" ht="12.8" hidden="false" customHeight="false" outlineLevel="0" collapsed="false">
      <c r="A32451" s="0" t="s">
        <v>12601</v>
      </c>
      <c r="B32451" s="0" t="str">
        <f aca="false">HYPERLINK("https://lindat.mff.cuni.cz/services/teitok/pdtc10/index.php?action=vallex&amp;frame=v-w4468f4_ZU", "propadnout se (v-w4468f4_ZU) - substituted with v-w4468f5_ZU")</f>
        <v>propadnout se (v-w4468f4_ZU) - substituted with v-w4468f5_ZU</v>
      </c>
    </row>
    <row r="32452" customFormat="false" ht="12.8" hidden="false" customHeight="false" outlineLevel="0" collapsed="false">
      <c r="B32452" s="0" t="s">
        <v>1</v>
      </c>
    </row>
    <row r="32453" customFormat="false" ht="12.8" hidden="false" customHeight="false" outlineLevel="0" collapsed="false">
      <c r="B32453" s="0" t="s">
        <v>69</v>
      </c>
    </row>
    <row r="32454" customFormat="false" ht="12.8" hidden="false" customHeight="false" outlineLevel="0" collapsed="false">
      <c r="B32454" s="0" t="s">
        <v>36</v>
      </c>
    </row>
    <row r="32456" customFormat="false" ht="12.8" hidden="false" customHeight="false" outlineLevel="0" collapsed="false">
      <c r="A32456" s="0" t="s">
        <v>12602</v>
      </c>
      <c r="B32456" s="0" t="str">
        <f aca="false">HYPERLINK("https://lindat.mff.cuni.cz/services/teitok/pdtc10/index.php?action=vallex&amp;frame=v-w4468f6_MM", "propadnout se (v-w4468f6_MM)")</f>
        <v>propadnout se (v-w4468f6_MM)</v>
      </c>
    </row>
    <row r="32457" customFormat="false" ht="12.8" hidden="false" customHeight="false" outlineLevel="0" collapsed="false">
      <c r="B32457" s="0" t="s">
        <v>1</v>
      </c>
    </row>
    <row r="32459" customFormat="false" ht="12.8" hidden="false" customHeight="false" outlineLevel="0" collapsed="false">
      <c r="A32459" s="0" t="s">
        <v>12603</v>
      </c>
      <c r="B32459" s="0" t="str">
        <f aca="false">HYPERLINK("https://lindat.mff.cuni.cz/services/teitok/pdtc10/index.php?action=vallex&amp;frame=v-w4474f1", "propagovat (v-w4474f1)")</f>
        <v>propagovat (v-w4474f1)</v>
      </c>
      <c r="E32459" s="0" t="str">
        <f aca="false">HYPERLINK("https://lindat.mff.cuni.cz/services/SynSemClass40/SynSemClass40.html?veclass=vec00276#vec00276-ces-cm00001", "vec00276")</f>
        <v>vec00276</v>
      </c>
      <c r="F32459" s="0" t="s">
        <v>11383</v>
      </c>
    </row>
    <row r="32460" customFormat="false" ht="12.8" hidden="false" customHeight="false" outlineLevel="0" collapsed="false">
      <c r="B32460" s="0" t="s">
        <v>1</v>
      </c>
      <c r="C32460" s="0" t="s">
        <v>428</v>
      </c>
      <c r="E32460" s="0" t="s">
        <v>31</v>
      </c>
      <c r="F32460" s="0" t="s">
        <v>11384</v>
      </c>
    </row>
    <row r="32461" customFormat="false" ht="12.8" hidden="false" customHeight="false" outlineLevel="0" collapsed="false">
      <c r="B32461" s="0" t="s">
        <v>59</v>
      </c>
      <c r="C32461" s="0" t="s">
        <v>11385</v>
      </c>
      <c r="E32461" s="0" t="s">
        <v>4890</v>
      </c>
      <c r="F32461" s="0" t="s">
        <v>11386</v>
      </c>
    </row>
    <row r="32463" customFormat="false" ht="12.8" hidden="false" customHeight="false" outlineLevel="0" collapsed="false">
      <c r="A32463" s="0" t="s">
        <v>12604</v>
      </c>
      <c r="B32463" s="0" t="str">
        <f aca="false">HYPERLINK("https://lindat.mff.cuni.cz/services/teitok/pdtc10/index.php?action=vallex&amp;frame=v-w4479f1", "propašovat (v-w4479f1)")</f>
        <v>propašovat (v-w4479f1)</v>
      </c>
      <c r="E32463" s="0" t="str">
        <f aca="false">HYPERLINK("https://lindat.mff.cuni.cz/services/SynSemClass40/SynSemClass40.html?veclass=vec00011#vec00011-ces-cm00173", "vec00011")</f>
        <v>vec00011</v>
      </c>
      <c r="F32463" s="0" t="s">
        <v>2193</v>
      </c>
      <c r="H32463" s="0" t="str">
        <f aca="false">HYPERLINK("https://lindat.mff.cuni.cz/services/SynSemClass40/SynSemClass40.html?veclass=vec00172#vec00172-ces-cm00032", "vec00172")</f>
        <v>vec00172</v>
      </c>
      <c r="I32463" s="0" t="s">
        <v>2513</v>
      </c>
      <c r="K32463" s="0" t="str">
        <f aca="false">HYPERLINK("https://lindat.mff.cuni.cz/services/SynSemClass40/SynSemClass40.html?veclass=vec00283#vec00283-ces-cm00109", "vec00283")</f>
        <v>vec00283</v>
      </c>
      <c r="L32463" s="0" t="s">
        <v>8946</v>
      </c>
      <c r="N32463" s="0" t="str">
        <f aca="false">HYPERLINK("https://lindat.mff.cuni.cz/services/SynSemClass40/SynSemClass40.html?veclass=vec00566#vec00566-ces-cm00012", "vec00566")</f>
        <v>vec00566</v>
      </c>
      <c r="O32463" s="0" t="s">
        <v>7991</v>
      </c>
    </row>
    <row r="32464" customFormat="false" ht="12.8" hidden="false" customHeight="false" outlineLevel="0" collapsed="false">
      <c r="B32464" s="0" t="s">
        <v>1</v>
      </c>
      <c r="C32464" s="0" t="s">
        <v>12605</v>
      </c>
      <c r="E32464" s="0" t="s">
        <v>2196</v>
      </c>
      <c r="F32464" s="0" t="s">
        <v>2197</v>
      </c>
      <c r="H32464" s="0" t="s">
        <v>2196</v>
      </c>
      <c r="I32464" s="0" t="s">
        <v>2515</v>
      </c>
      <c r="K32464" s="0" t="s">
        <v>2196</v>
      </c>
      <c r="L32464" s="0" t="s">
        <v>8947</v>
      </c>
      <c r="N32464" s="0" t="s">
        <v>2196</v>
      </c>
      <c r="O32464" s="0" t="s">
        <v>4400</v>
      </c>
    </row>
    <row r="32465" customFormat="false" ht="12.8" hidden="false" customHeight="false" outlineLevel="0" collapsed="false">
      <c r="B32465" s="0" t="s">
        <v>8</v>
      </c>
      <c r="C32465" s="0" t="s">
        <v>12606</v>
      </c>
      <c r="E32465" s="0" t="s">
        <v>2200</v>
      </c>
      <c r="F32465" s="0" t="s">
        <v>2201</v>
      </c>
      <c r="H32465" s="0" t="s">
        <v>2200</v>
      </c>
      <c r="I32465" s="0" t="s">
        <v>2517</v>
      </c>
      <c r="K32465" s="0" t="s">
        <v>2200</v>
      </c>
      <c r="L32465" s="0" t="s">
        <v>8949</v>
      </c>
      <c r="N32465" s="0" t="s">
        <v>2200</v>
      </c>
      <c r="O32465" s="0" t="s">
        <v>7993</v>
      </c>
    </row>
    <row r="32466" customFormat="false" ht="12.8" hidden="false" customHeight="false" outlineLevel="0" collapsed="false">
      <c r="B32466" s="0" t="s">
        <v>164</v>
      </c>
      <c r="C32466" s="0" t="s">
        <v>12607</v>
      </c>
      <c r="E32466" s="0" t="s">
        <v>2212</v>
      </c>
      <c r="F32466" s="0" t="s">
        <v>2213</v>
      </c>
      <c r="H32466" s="0" t="s">
        <v>1315</v>
      </c>
      <c r="I32466" s="0" t="s">
        <v>1316</v>
      </c>
      <c r="K32466" s="0" t="s">
        <v>388</v>
      </c>
      <c r="L32466" s="0" t="s">
        <v>11521</v>
      </c>
      <c r="N32466" s="0" t="s">
        <v>1315</v>
      </c>
      <c r="O32466" s="0" t="s">
        <v>1316</v>
      </c>
    </row>
    <row r="32468" customFormat="false" ht="12.8" hidden="false" customHeight="false" outlineLevel="0" collapsed="false">
      <c r="A32468" s="0" t="s">
        <v>12608</v>
      </c>
      <c r="B32468" s="0" t="str">
        <f aca="false">HYPERLINK("https://lindat.mff.cuni.cz/services/teitok/pdtc10/index.php?action=vallex&amp;frame=v-whsa_597hsa_598", "proplachovat (v-whsa_597hsa_598)")</f>
        <v>proplachovat (v-whsa_597hsa_598)</v>
      </c>
    </row>
    <row r="32469" customFormat="false" ht="12.8" hidden="false" customHeight="false" outlineLevel="0" collapsed="false">
      <c r="B32469" s="0" t="s">
        <v>1</v>
      </c>
    </row>
    <row r="32470" customFormat="false" ht="12.8" hidden="false" customHeight="false" outlineLevel="0" collapsed="false">
      <c r="B32470" s="0" t="s">
        <v>8</v>
      </c>
    </row>
    <row r="32472" customFormat="false" ht="12.8" hidden="false" customHeight="false" outlineLevel="0" collapsed="false">
      <c r="A32472" s="0" t="s">
        <v>12609</v>
      </c>
      <c r="B32472" s="0" t="str">
        <f aca="false">HYPERLINK("https://lindat.mff.cuni.cz/services/teitok/pdtc10/index.php?action=vallex&amp;frame=v-w11954_ZUf1_ZU", "proplakat (v-w11954_ZUf1_ZU)")</f>
        <v>proplakat (v-w11954_ZUf1_ZU)</v>
      </c>
    </row>
    <row r="32473" customFormat="false" ht="12.8" hidden="false" customHeight="false" outlineLevel="0" collapsed="false">
      <c r="B32473" s="0" t="s">
        <v>1</v>
      </c>
    </row>
    <row r="32474" customFormat="false" ht="12.8" hidden="false" customHeight="false" outlineLevel="0" collapsed="false">
      <c r="B32474" s="0" t="s">
        <v>8</v>
      </c>
    </row>
    <row r="32476" customFormat="false" ht="12.8" hidden="false" customHeight="false" outlineLevel="0" collapsed="false">
      <c r="A32476" s="0" t="s">
        <v>12610</v>
      </c>
      <c r="B32476" s="0" t="str">
        <f aca="false">HYPERLINK("https://lindat.mff.cuni.cz/services/teitok/pdtc10/index.php?action=vallex&amp;frame=v-w4485f1", "proplatit (v-w4485f1)")</f>
        <v>proplatit (v-w4485f1)</v>
      </c>
    </row>
    <row r="32477" customFormat="false" ht="12.8" hidden="false" customHeight="false" outlineLevel="0" collapsed="false">
      <c r="B32477" s="0" t="s">
        <v>1</v>
      </c>
    </row>
    <row r="32478" customFormat="false" ht="12.8" hidden="false" customHeight="false" outlineLevel="0" collapsed="false">
      <c r="B32478" s="0" t="s">
        <v>8</v>
      </c>
    </row>
    <row r="32479" customFormat="false" ht="12.8" hidden="false" customHeight="false" outlineLevel="0" collapsed="false">
      <c r="B32479" s="0" t="s">
        <v>52</v>
      </c>
    </row>
    <row r="32481" customFormat="false" ht="12.8" hidden="false" customHeight="false" outlineLevel="0" collapsed="false">
      <c r="A32481" s="0" t="s">
        <v>12611</v>
      </c>
      <c r="B32481" s="0" t="str">
        <f aca="false">HYPERLINK("https://lindat.mff.cuni.cz/services/teitok/pdtc10/index.php?action=vallex&amp;frame=v-whsa_1820hsa_1821", "proplout (v-whsa_1820hsa_1821)")</f>
        <v>proplout (v-whsa_1820hsa_1821)</v>
      </c>
    </row>
    <row r="32482" customFormat="false" ht="12.8" hidden="false" customHeight="false" outlineLevel="0" collapsed="false">
      <c r="B32482" s="0" t="s">
        <v>1</v>
      </c>
    </row>
    <row r="32483" customFormat="false" ht="12.8" hidden="false" customHeight="false" outlineLevel="0" collapsed="false">
      <c r="B32483" s="0" t="s">
        <v>336</v>
      </c>
    </row>
    <row r="32485" customFormat="false" ht="12.8" hidden="false" customHeight="false" outlineLevel="0" collapsed="false">
      <c r="A32485" s="0" t="s">
        <v>12612</v>
      </c>
      <c r="B32485" s="0" t="str">
        <f aca="false">HYPERLINK("https://lindat.mff.cuni.cz/services/teitok/pdtc10/index.php?action=vallex&amp;frame=v-whsa_1736hsa_1737", "proplouvat (v-whsa_1736hsa_1737)")</f>
        <v>proplouvat (v-whsa_1736hsa_1737)</v>
      </c>
    </row>
    <row r="32486" customFormat="false" ht="12.8" hidden="false" customHeight="false" outlineLevel="0" collapsed="false">
      <c r="B32486" s="0" t="s">
        <v>1</v>
      </c>
    </row>
    <row r="32487" customFormat="false" ht="12.8" hidden="false" customHeight="false" outlineLevel="0" collapsed="false">
      <c r="B32487" s="0" t="s">
        <v>336</v>
      </c>
    </row>
    <row r="32489" customFormat="false" ht="12.8" hidden="false" customHeight="false" outlineLevel="0" collapsed="false">
      <c r="A32489" s="0" t="s">
        <v>12613</v>
      </c>
      <c r="B32489" s="0" t="str">
        <f aca="false">HYPERLINK("https://lindat.mff.cuni.cz/services/teitok/pdtc10/index.php?action=vallex&amp;frame=v-w4484f1", "proplácet (v-w4484f1)")</f>
        <v>proplácet (v-w4484f1)</v>
      </c>
    </row>
    <row r="32490" customFormat="false" ht="12.8" hidden="false" customHeight="false" outlineLevel="0" collapsed="false">
      <c r="B32490" s="0" t="s">
        <v>1</v>
      </c>
    </row>
    <row r="32491" customFormat="false" ht="12.8" hidden="false" customHeight="false" outlineLevel="0" collapsed="false">
      <c r="B32491" s="0" t="s">
        <v>8</v>
      </c>
    </row>
    <row r="32492" customFormat="false" ht="12.8" hidden="false" customHeight="false" outlineLevel="0" collapsed="false">
      <c r="B32492" s="0" t="s">
        <v>52</v>
      </c>
    </row>
    <row r="32494" customFormat="false" ht="12.8" hidden="false" customHeight="false" outlineLevel="0" collapsed="false">
      <c r="A32494" s="0" t="s">
        <v>12614</v>
      </c>
      <c r="B32494" s="0" t="str">
        <f aca="false">HYPERLINK("https://lindat.mff.cuni.cz/services/teitok/pdtc10/index.php?action=vallex&amp;frame=v-w11183f2", "proplést (v-w11183f2)")</f>
        <v>proplést (v-w11183f2)</v>
      </c>
      <c r="E32494" s="0" t="str">
        <f aca="false">HYPERLINK("https://lindat.mff.cuni.cz/services/SynSemClass40/SynSemClass40.html?veclass=vec00723#vec00723-ces-cm00113", "vec00723")</f>
        <v>vec00723</v>
      </c>
      <c r="F32494" s="0" t="s">
        <v>4849</v>
      </c>
    </row>
    <row r="32495" customFormat="false" ht="12.8" hidden="false" customHeight="false" outlineLevel="0" collapsed="false">
      <c r="B32495" s="0" t="s">
        <v>1</v>
      </c>
      <c r="C32495" s="0" t="s">
        <v>106</v>
      </c>
      <c r="E32495" s="0" t="s">
        <v>4850</v>
      </c>
      <c r="F32495" s="0" t="s">
        <v>4851</v>
      </c>
    </row>
    <row r="32496" customFormat="false" ht="12.8" hidden="false" customHeight="false" outlineLevel="0" collapsed="false">
      <c r="B32496" s="0" t="s">
        <v>8</v>
      </c>
      <c r="C32496" s="0" t="s">
        <v>1388</v>
      </c>
      <c r="E32496" s="0" t="s">
        <v>4852</v>
      </c>
      <c r="F32496" s="0" t="s">
        <v>4853</v>
      </c>
    </row>
    <row r="32497" customFormat="false" ht="12.8" hidden="false" customHeight="false" outlineLevel="0" collapsed="false">
      <c r="B32497" s="0" t="s">
        <v>276</v>
      </c>
      <c r="C32497" s="0" t="s">
        <v>4854</v>
      </c>
      <c r="E32497" s="0" t="s">
        <v>4855</v>
      </c>
      <c r="F32497" s="0" t="s">
        <v>4856</v>
      </c>
    </row>
    <row r="32498" customFormat="false" ht="12.8" hidden="false" customHeight="false" outlineLevel="0" collapsed="false">
      <c r="B32498" s="0" t="s">
        <v>3026</v>
      </c>
    </row>
    <row r="32500" customFormat="false" ht="12.8" hidden="false" customHeight="false" outlineLevel="0" collapsed="false">
      <c r="A32500" s="0" t="s">
        <v>12615</v>
      </c>
      <c r="B32500" s="0" t="str">
        <f aca="false">HYPERLINK("https://lindat.mff.cuni.cz/services/teitok/pdtc10/index.php?action=vallex&amp;frame=v-w4486f1", "proplétat (v-w4486f1)")</f>
        <v>proplétat (v-w4486f1)</v>
      </c>
    </row>
    <row r="32501" customFormat="false" ht="12.8" hidden="false" customHeight="false" outlineLevel="0" collapsed="false">
      <c r="B32501" s="0" t="s">
        <v>1</v>
      </c>
    </row>
    <row r="32502" customFormat="false" ht="12.8" hidden="false" customHeight="false" outlineLevel="0" collapsed="false">
      <c r="B32502" s="0" t="s">
        <v>8</v>
      </c>
    </row>
    <row r="32503" customFormat="false" ht="12.8" hidden="false" customHeight="false" outlineLevel="0" collapsed="false">
      <c r="B32503" s="0" t="s">
        <v>3537</v>
      </c>
    </row>
    <row r="32505" customFormat="false" ht="12.8" hidden="false" customHeight="false" outlineLevel="0" collapsed="false">
      <c r="A32505" s="0" t="s">
        <v>12616</v>
      </c>
      <c r="B32505" s="0" t="str">
        <f aca="false">HYPERLINK("https://lindat.mff.cuni.cz/services/teitok/pdtc10/index.php?action=vallex&amp;frame=v-w4487f1", "proplétat se (v-w4487f1)")</f>
        <v>proplétat se (v-w4487f1)</v>
      </c>
    </row>
    <row r="32506" customFormat="false" ht="12.8" hidden="false" customHeight="false" outlineLevel="0" collapsed="false">
      <c r="B32506" s="0" t="s">
        <v>1</v>
      </c>
    </row>
    <row r="32507" customFormat="false" ht="12.8" hidden="false" customHeight="false" outlineLevel="0" collapsed="false">
      <c r="B32507" s="0" t="s">
        <v>336</v>
      </c>
    </row>
    <row r="32509" customFormat="false" ht="12.8" hidden="false" customHeight="false" outlineLevel="0" collapsed="false">
      <c r="A32509" s="0" t="s">
        <v>12617</v>
      </c>
      <c r="B32509" s="0" t="str">
        <f aca="false">HYPERLINK("https://lindat.mff.cuni.cz/services/teitok/pdtc10/index.php?action=vallex&amp;frame=v-w4487f2_ZU", "proplétat se (v-w4487f2_ZU)")</f>
        <v>proplétat se (v-w4487f2_ZU)</v>
      </c>
    </row>
    <row r="32510" customFormat="false" ht="12.8" hidden="false" customHeight="false" outlineLevel="0" collapsed="false">
      <c r="B32510" s="0" t="s">
        <v>1</v>
      </c>
    </row>
    <row r="32511" customFormat="false" ht="12.8" hidden="false" customHeight="false" outlineLevel="0" collapsed="false">
      <c r="B32511" s="0" t="s">
        <v>1262</v>
      </c>
    </row>
    <row r="32513" customFormat="false" ht="12.8" hidden="false" customHeight="false" outlineLevel="0" collapsed="false">
      <c r="A32513" s="0" t="s">
        <v>12618</v>
      </c>
      <c r="B32513" s="0" t="str">
        <f aca="false">HYPERLINK("https://lindat.mff.cuni.cz/services/teitok/pdtc10/index.php?action=vallex&amp;frame=v-w4487f3_ZU", "proplétat se (v-w4487f3_ZU)")</f>
        <v>proplétat se (v-w4487f3_ZU)</v>
      </c>
    </row>
    <row r="32514" customFormat="false" ht="12.8" hidden="false" customHeight="false" outlineLevel="0" collapsed="false">
      <c r="B32514" s="0" t="s">
        <v>1</v>
      </c>
    </row>
    <row r="32515" customFormat="false" ht="12.8" hidden="false" customHeight="false" outlineLevel="0" collapsed="false">
      <c r="B32515" s="0" t="s">
        <v>721</v>
      </c>
    </row>
    <row r="32517" customFormat="false" ht="12.8" hidden="false" customHeight="false" outlineLevel="0" collapsed="false">
      <c r="A32517" s="0" t="s">
        <v>12619</v>
      </c>
      <c r="B32517" s="0" t="str">
        <f aca="false">HYPERLINK("https://lindat.mff.cuni.cz/services/teitok/pdtc10/index.php?action=vallex&amp;frame=v-whsa_1784hsa_1785", "proplít (v-whsa_1784hsa_1785)")</f>
        <v>proplít (v-whsa_1784hsa_1785)</v>
      </c>
    </row>
    <row r="32518" customFormat="false" ht="12.8" hidden="false" customHeight="false" outlineLevel="0" collapsed="false">
      <c r="B32518" s="0" t="s">
        <v>1</v>
      </c>
    </row>
    <row r="32519" customFormat="false" ht="12.8" hidden="false" customHeight="false" outlineLevel="0" collapsed="false">
      <c r="B32519" s="0" t="s">
        <v>8</v>
      </c>
    </row>
    <row r="32521" customFormat="false" ht="12.8" hidden="false" customHeight="false" outlineLevel="0" collapsed="false">
      <c r="A32521" s="0" t="s">
        <v>12620</v>
      </c>
      <c r="B32521" s="0" t="str">
        <f aca="false">HYPERLINK("https://lindat.mff.cuni.cz/services/teitok/pdtc10/index.php?action=vallex&amp;frame=v-w11382f1", "proplížit se (v-w11382f1)")</f>
        <v>proplížit se (v-w11382f1)</v>
      </c>
      <c r="E32521" s="0" t="str">
        <f aca="false">HYPERLINK("https://lindat.mff.cuni.cz/services/SynSemClass40/SynSemClass40.html?veclass=vec00665#vec00665-ces-cm00010", "vec00665")</f>
        <v>vec00665</v>
      </c>
      <c r="F32521" s="0" t="s">
        <v>10529</v>
      </c>
      <c r="H32521" s="0" t="str">
        <f aca="false">HYPERLINK("https://lindat.mff.cuni.cz/services/SynSemClass40/SynSemClass40.html?veclass=vec00884#vec00884-ces-cm00003", "vec00884")</f>
        <v>vec00884</v>
      </c>
      <c r="I32521" s="0" t="s">
        <v>2073</v>
      </c>
    </row>
    <row r="32522" customFormat="false" ht="12.8" hidden="false" customHeight="false" outlineLevel="0" collapsed="false">
      <c r="B32522" s="0" t="s">
        <v>1</v>
      </c>
      <c r="C32522" s="0" t="s">
        <v>428</v>
      </c>
      <c r="E32522" s="0" t="s">
        <v>334</v>
      </c>
      <c r="F32522" s="0" t="s">
        <v>10530</v>
      </c>
      <c r="H32522" s="0" t="s">
        <v>206</v>
      </c>
      <c r="I32522" s="0" t="s">
        <v>2075</v>
      </c>
    </row>
    <row r="32523" customFormat="false" ht="12.8" hidden="false" customHeight="false" outlineLevel="0" collapsed="false">
      <c r="B32523" s="0" t="s">
        <v>361</v>
      </c>
      <c r="C32523" s="0" t="s">
        <v>12621</v>
      </c>
      <c r="E32523" s="0" t="s">
        <v>1315</v>
      </c>
      <c r="F32523" s="0" t="s">
        <v>1316</v>
      </c>
      <c r="H32523" s="0" t="s">
        <v>3229</v>
      </c>
      <c r="I32523" s="0" t="s">
        <v>12622</v>
      </c>
    </row>
    <row r="32525" customFormat="false" ht="12.8" hidden="false" customHeight="false" outlineLevel="0" collapsed="false">
      <c r="A32525" s="0" t="s">
        <v>12623</v>
      </c>
      <c r="B32525" s="0" t="str">
        <f aca="false">HYPERLINK("https://lindat.mff.cuni.cz/services/teitok/pdtc10/index.php?action=vallex&amp;frame=v-w10540f2", "proplýtvat (v-w10540f2)")</f>
        <v>proplýtvat (v-w10540f2)</v>
      </c>
    </row>
    <row r="32526" customFormat="false" ht="12.8" hidden="false" customHeight="false" outlineLevel="0" collapsed="false">
      <c r="B32526" s="0" t="s">
        <v>1</v>
      </c>
    </row>
    <row r="32527" customFormat="false" ht="12.8" hidden="false" customHeight="false" outlineLevel="0" collapsed="false">
      <c r="B32527" s="0" t="s">
        <v>8</v>
      </c>
    </row>
    <row r="32529" customFormat="false" ht="12.8" hidden="false" customHeight="false" outlineLevel="0" collapsed="false">
      <c r="A32529" s="0" t="s">
        <v>12624</v>
      </c>
      <c r="B32529" s="0" t="str">
        <f aca="false">HYPERLINK("https://lindat.mff.cuni.cz/services/teitok/pdtc10/index.php?action=vallex&amp;frame=v-w4493f3", "propojit (v-w4493f3)")</f>
        <v>propojit (v-w4493f3)</v>
      </c>
      <c r="E32529" s="0" t="str">
        <f aca="false">HYPERLINK("https://lindat.mff.cuni.cz/services/SynSemClass40/SynSemClass40.html?veclass=vec00519#vec00519-ces-cm00005", "vec00519")</f>
        <v>vec00519</v>
      </c>
      <c r="F32529" s="0" t="s">
        <v>12231</v>
      </c>
      <c r="H32529" s="0" t="str">
        <f aca="false">HYPERLINK("https://lindat.mff.cuni.cz/services/SynSemClass40/SynSemClass40.html?veclass=vec00723#vec00723-ces-cm00036", "vec00723")</f>
        <v>vec00723</v>
      </c>
      <c r="I32529" s="0" t="s">
        <v>4849</v>
      </c>
    </row>
    <row r="32530" customFormat="false" ht="12.8" hidden="false" customHeight="false" outlineLevel="0" collapsed="false">
      <c r="B32530" s="0" t="s">
        <v>1</v>
      </c>
      <c r="C32530" s="0" t="s">
        <v>12625</v>
      </c>
      <c r="E32530" s="0" t="s">
        <v>4850</v>
      </c>
      <c r="F32530" s="0" t="s">
        <v>12232</v>
      </c>
      <c r="H32530" s="0" t="s">
        <v>4850</v>
      </c>
      <c r="I32530" s="0" t="s">
        <v>4851</v>
      </c>
    </row>
    <row r="32531" customFormat="false" ht="12.8" hidden="false" customHeight="false" outlineLevel="0" collapsed="false">
      <c r="B32531" s="0" t="s">
        <v>8</v>
      </c>
      <c r="C32531" s="0" t="s">
        <v>12626</v>
      </c>
      <c r="E32531" s="0" t="s">
        <v>4852</v>
      </c>
      <c r="F32531" s="0" t="s">
        <v>12234</v>
      </c>
      <c r="H32531" s="0" t="s">
        <v>4852</v>
      </c>
      <c r="I32531" s="0" t="s">
        <v>4853</v>
      </c>
    </row>
    <row r="32532" customFormat="false" ht="12.8" hidden="false" customHeight="false" outlineLevel="0" collapsed="false">
      <c r="B32532" s="0" t="s">
        <v>276</v>
      </c>
      <c r="C32532" s="0" t="s">
        <v>12627</v>
      </c>
      <c r="E32532" s="0" t="s">
        <v>4855</v>
      </c>
      <c r="F32532" s="0" t="s">
        <v>12628</v>
      </c>
      <c r="H32532" s="0" t="s">
        <v>4855</v>
      </c>
      <c r="I32532" s="0" t="s">
        <v>4856</v>
      </c>
    </row>
    <row r="32533" customFormat="false" ht="12.8" hidden="false" customHeight="false" outlineLevel="0" collapsed="false">
      <c r="B32533" s="0" t="s">
        <v>12629</v>
      </c>
      <c r="C32533" s="0" t="s">
        <v>4857</v>
      </c>
      <c r="H32533" s="0" t="s">
        <v>4858</v>
      </c>
      <c r="I32533" s="0" t="s">
        <v>4859</v>
      </c>
    </row>
    <row r="32535" customFormat="false" ht="12.8" hidden="false" customHeight="false" outlineLevel="0" collapsed="false">
      <c r="A32535" s="0" t="s">
        <v>12630</v>
      </c>
      <c r="B32535" s="0" t="str">
        <f aca="false">HYPERLINK("https://lindat.mff.cuni.cz/services/teitok/pdtc10/index.php?action=vallex&amp;frame=v-w4493f4_ZU", "propojit (v-w4493f4_ZU)")</f>
        <v>propojit (v-w4493f4_ZU)</v>
      </c>
    </row>
    <row r="32536" customFormat="false" ht="12.8" hidden="false" customHeight="false" outlineLevel="0" collapsed="false">
      <c r="B32536" s="0" t="s">
        <v>1</v>
      </c>
    </row>
    <row r="32537" customFormat="false" ht="12.8" hidden="false" customHeight="false" outlineLevel="0" collapsed="false">
      <c r="B32537" s="0" t="s">
        <v>8</v>
      </c>
    </row>
    <row r="32538" customFormat="false" ht="12.8" hidden="false" customHeight="false" outlineLevel="0" collapsed="false">
      <c r="B32538" s="0" t="s">
        <v>12631</v>
      </c>
    </row>
    <row r="32540" customFormat="false" ht="12.8" hidden="false" customHeight="false" outlineLevel="0" collapsed="false">
      <c r="A32540" s="0" t="s">
        <v>12630</v>
      </c>
      <c r="B32540" s="0" t="str">
        <f aca="false">HYPERLINK("https://lindat.mff.cuni.cz/services/teitok/pdtc10/index.php?action=vallex&amp;frame=v-w4493f2", "propojit (v-w4493f2) - substituted with v-w4493f4_ZU")</f>
        <v>propojit (v-w4493f2) - substituted with v-w4493f4_ZU</v>
      </c>
      <c r="E32540" s="0" t="str">
        <f aca="false">HYPERLINK("https://lindat.mff.cuni.cz/services/SynSemClass40/SynSemClass40.html?veclass=vec00519#vec00519-ces-cm00004", "vec00519")</f>
        <v>vec00519</v>
      </c>
      <c r="F32540" s="0" t="s">
        <v>12231</v>
      </c>
    </row>
    <row r="32541" customFormat="false" ht="12.8" hidden="false" customHeight="false" outlineLevel="0" collapsed="false">
      <c r="B32541" s="0" t="s">
        <v>1</v>
      </c>
      <c r="C32541" s="0" t="s">
        <v>11624</v>
      </c>
      <c r="E32541" s="0" t="s">
        <v>4850</v>
      </c>
      <c r="F32541" s="0" t="s">
        <v>12232</v>
      </c>
    </row>
    <row r="32542" customFormat="false" ht="12.8" hidden="false" customHeight="false" outlineLevel="0" collapsed="false">
      <c r="B32542" s="0" t="s">
        <v>8</v>
      </c>
      <c r="C32542" s="0" t="s">
        <v>12233</v>
      </c>
      <c r="E32542" s="0" t="s">
        <v>4852</v>
      </c>
      <c r="F32542" s="0" t="s">
        <v>12234</v>
      </c>
    </row>
    <row r="32543" customFormat="false" ht="12.8" hidden="false" customHeight="false" outlineLevel="0" collapsed="false">
      <c r="B32543" s="0" t="s">
        <v>12631</v>
      </c>
      <c r="C32543" s="0" t="s">
        <v>12632</v>
      </c>
      <c r="E32543" s="0" t="s">
        <v>4855</v>
      </c>
      <c r="F32543" s="0" t="s">
        <v>12628</v>
      </c>
    </row>
    <row r="32545" customFormat="false" ht="12.8" hidden="false" customHeight="false" outlineLevel="0" collapsed="false">
      <c r="A32545" s="0" t="s">
        <v>12633</v>
      </c>
      <c r="B32545" s="0" t="str">
        <f aca="false">HYPERLINK("https://lindat.mff.cuni.cz/services/teitok/pdtc10/index.php?action=vallex&amp;frame=v-w4493f1", "propojit (v-w4493f1)")</f>
        <v>propojit (v-w4493f1)</v>
      </c>
    </row>
    <row r="32546" customFormat="false" ht="12.8" hidden="false" customHeight="false" outlineLevel="0" collapsed="false">
      <c r="B32546" s="0" t="s">
        <v>1</v>
      </c>
    </row>
    <row r="32547" customFormat="false" ht="12.8" hidden="false" customHeight="false" outlineLevel="0" collapsed="false">
      <c r="B32547" s="0" t="s">
        <v>8</v>
      </c>
    </row>
    <row r="32548" customFormat="false" ht="12.8" hidden="false" customHeight="false" outlineLevel="0" collapsed="false">
      <c r="B32548" s="0" t="s">
        <v>3537</v>
      </c>
    </row>
    <row r="32550" customFormat="false" ht="12.8" hidden="false" customHeight="false" outlineLevel="0" collapsed="false">
      <c r="A32550" s="0" t="s">
        <v>12634</v>
      </c>
      <c r="B32550" s="0" t="str">
        <f aca="false">HYPERLINK("https://lindat.mff.cuni.cz/services/teitok/pdtc10/index.php?action=vallex&amp;frame=v-w4493hsa_1948", "propojit (v-w4493hsa_1948)")</f>
        <v>propojit (v-w4493hsa_1948)</v>
      </c>
    </row>
    <row r="32551" customFormat="false" ht="12.8" hidden="false" customHeight="false" outlineLevel="0" collapsed="false">
      <c r="B32551" s="0" t="s">
        <v>1</v>
      </c>
    </row>
    <row r="32552" customFormat="false" ht="12.8" hidden="false" customHeight="false" outlineLevel="0" collapsed="false">
      <c r="B32552" s="0" t="s">
        <v>8</v>
      </c>
    </row>
    <row r="32553" customFormat="false" ht="12.8" hidden="false" customHeight="false" outlineLevel="0" collapsed="false">
      <c r="B32553" s="0" t="s">
        <v>631</v>
      </c>
    </row>
    <row r="32554" customFormat="false" ht="12.8" hidden="false" customHeight="false" outlineLevel="0" collapsed="false">
      <c r="B32554" s="0" t="s">
        <v>164</v>
      </c>
    </row>
    <row r="32556" customFormat="false" ht="12.8" hidden="false" customHeight="false" outlineLevel="0" collapsed="false">
      <c r="A32556" s="0" t="s">
        <v>12635</v>
      </c>
      <c r="B32556" s="0" t="str">
        <f aca="false">HYPERLINK("https://lindat.mff.cuni.cz/services/teitok/pdtc10/index.php?action=vallex&amp;frame=v-w4494f1", "propojit se (v-w4494f1)")</f>
        <v>propojit se (v-w4494f1)</v>
      </c>
    </row>
    <row r="32557" customFormat="false" ht="12.8" hidden="false" customHeight="false" outlineLevel="0" collapsed="false">
      <c r="B32557" s="0" t="s">
        <v>1</v>
      </c>
    </row>
    <row r="32558" customFormat="false" ht="12.8" hidden="false" customHeight="false" outlineLevel="0" collapsed="false">
      <c r="B32558" s="0" t="s">
        <v>721</v>
      </c>
    </row>
    <row r="32560" customFormat="false" ht="12.8" hidden="false" customHeight="false" outlineLevel="0" collapsed="false">
      <c r="A32560" s="0" t="s">
        <v>12636</v>
      </c>
      <c r="B32560" s="0" t="str">
        <f aca="false">HYPERLINK("https://lindat.mff.cuni.cz/services/teitok/pdtc10/index.php?action=vallex&amp;frame=v-w4496f2", "propojovat (v-w4496f2)")</f>
        <v>propojovat (v-w4496f2)</v>
      </c>
      <c r="E32560" s="0" t="str">
        <f aca="false">HYPERLINK("https://lindat.mff.cuni.cz/services/SynSemClass40/SynSemClass40.html?veclass=vec00723#vec00723-ces-cm00115", "vec00723")</f>
        <v>vec00723</v>
      </c>
      <c r="F32560" s="0" t="s">
        <v>4849</v>
      </c>
    </row>
    <row r="32561" customFormat="false" ht="12.8" hidden="false" customHeight="false" outlineLevel="0" collapsed="false">
      <c r="B32561" s="0" t="s">
        <v>1</v>
      </c>
      <c r="C32561" s="0" t="s">
        <v>106</v>
      </c>
      <c r="E32561" s="0" t="s">
        <v>4850</v>
      </c>
      <c r="F32561" s="0" t="s">
        <v>4851</v>
      </c>
    </row>
    <row r="32562" customFormat="false" ht="12.8" hidden="false" customHeight="false" outlineLevel="0" collapsed="false">
      <c r="B32562" s="0" t="s">
        <v>8</v>
      </c>
      <c r="C32562" s="0" t="s">
        <v>1388</v>
      </c>
      <c r="E32562" s="0" t="s">
        <v>4852</v>
      </c>
      <c r="F32562" s="0" t="s">
        <v>4853</v>
      </c>
    </row>
    <row r="32563" customFormat="false" ht="12.8" hidden="false" customHeight="false" outlineLevel="0" collapsed="false">
      <c r="B32563" s="0" t="s">
        <v>276</v>
      </c>
      <c r="C32563" s="0" t="s">
        <v>4854</v>
      </c>
      <c r="E32563" s="0" t="s">
        <v>4855</v>
      </c>
      <c r="F32563" s="0" t="s">
        <v>4856</v>
      </c>
    </row>
    <row r="32564" customFormat="false" ht="12.8" hidden="false" customHeight="false" outlineLevel="0" collapsed="false">
      <c r="B32564" s="0" t="s">
        <v>3026</v>
      </c>
      <c r="C32564" s="0" t="s">
        <v>4857</v>
      </c>
      <c r="E32564" s="0" t="s">
        <v>4858</v>
      </c>
      <c r="F32564" s="0" t="s">
        <v>4859</v>
      </c>
    </row>
    <row r="32566" customFormat="false" ht="12.8" hidden="false" customHeight="false" outlineLevel="0" collapsed="false">
      <c r="A32566" s="0" t="s">
        <v>12637</v>
      </c>
      <c r="B32566" s="0" t="str">
        <f aca="false">HYPERLINK("https://lindat.mff.cuni.cz/services/teitok/pdtc10/index.php?action=vallex&amp;frame=v-w4496f1", "propojovat (v-w4496f1)")</f>
        <v>propojovat (v-w4496f1)</v>
      </c>
      <c r="E32566" s="0" t="str">
        <f aca="false">HYPERLINK("https://lindat.mff.cuni.cz/services/SynSemClass40/SynSemClass40.html?veclass=vec00519#vec00519-ces-cm00030", "vec00519")</f>
        <v>vec00519</v>
      </c>
      <c r="F32566" s="0" t="s">
        <v>12231</v>
      </c>
    </row>
    <row r="32567" customFormat="false" ht="12.8" hidden="false" customHeight="false" outlineLevel="0" collapsed="false">
      <c r="B32567" s="0" t="s">
        <v>1</v>
      </c>
      <c r="C32567" s="0" t="s">
        <v>11624</v>
      </c>
      <c r="E32567" s="0" t="s">
        <v>4850</v>
      </c>
      <c r="F32567" s="0" t="s">
        <v>12232</v>
      </c>
    </row>
    <row r="32568" customFormat="false" ht="12.8" hidden="false" customHeight="false" outlineLevel="0" collapsed="false">
      <c r="B32568" s="0" t="s">
        <v>8</v>
      </c>
      <c r="C32568" s="0" t="s">
        <v>12233</v>
      </c>
      <c r="E32568" s="0" t="s">
        <v>4852</v>
      </c>
      <c r="F32568" s="0" t="s">
        <v>12234</v>
      </c>
    </row>
    <row r="32569" customFormat="false" ht="12.8" hidden="false" customHeight="false" outlineLevel="0" collapsed="false">
      <c r="B32569" s="0" t="s">
        <v>276</v>
      </c>
      <c r="C32569" s="0" t="s">
        <v>12632</v>
      </c>
      <c r="E32569" s="0" t="s">
        <v>4855</v>
      </c>
      <c r="F32569" s="0" t="s">
        <v>12628</v>
      </c>
    </row>
    <row r="32571" customFormat="false" ht="12.8" hidden="false" customHeight="false" outlineLevel="0" collapsed="false">
      <c r="A32571" s="0" t="s">
        <v>12638</v>
      </c>
      <c r="B32571" s="0" t="str">
        <f aca="false">HYPERLINK("https://lindat.mff.cuni.cz/services/teitok/pdtc10/index.php?action=vallex&amp;frame=v-w4498f3_ZU", "propouštět (v-w4498f3_ZU)")</f>
        <v>propouštět (v-w4498f3_ZU)</v>
      </c>
    </row>
    <row r="32572" customFormat="false" ht="12.8" hidden="false" customHeight="false" outlineLevel="0" collapsed="false">
      <c r="B32572" s="0" t="s">
        <v>1</v>
      </c>
    </row>
    <row r="32573" customFormat="false" ht="12.8" hidden="false" customHeight="false" outlineLevel="0" collapsed="false">
      <c r="B32573" s="0" t="s">
        <v>8</v>
      </c>
    </row>
    <row r="32574" customFormat="false" ht="12.8" hidden="false" customHeight="false" outlineLevel="0" collapsed="false">
      <c r="B32574" s="0" t="s">
        <v>6273</v>
      </c>
    </row>
    <row r="32576" customFormat="false" ht="12.8" hidden="false" customHeight="false" outlineLevel="0" collapsed="false">
      <c r="A32576" s="0" t="s">
        <v>12638</v>
      </c>
      <c r="B32576" s="0" t="str">
        <f aca="false">HYPERLINK("https://lindat.mff.cuni.cz/services/teitok/pdtc10/index.php?action=vallex&amp;frame=v-w4498f1", "propouštět (v-w4498f1) - substituted with v-w4498f3_ZU")</f>
        <v>propouštět (v-w4498f1) - substituted with v-w4498f3_ZU</v>
      </c>
      <c r="E32576" s="0" t="str">
        <f aca="false">HYPERLINK("https://lindat.mff.cuni.cz/services/SynSemClass40/SynSemClass40.html?veclass=vec00555#vec00555-ces-cm00015", "vec00555")</f>
        <v>vec00555</v>
      </c>
      <c r="F32576" s="0" t="s">
        <v>1918</v>
      </c>
    </row>
    <row r="32577" customFormat="false" ht="12.8" hidden="false" customHeight="false" outlineLevel="0" collapsed="false">
      <c r="B32577" s="0" t="s">
        <v>1</v>
      </c>
      <c r="C32577" s="0" t="s">
        <v>1919</v>
      </c>
      <c r="E32577" s="0" t="s">
        <v>31</v>
      </c>
      <c r="F32577" s="0" t="s">
        <v>1920</v>
      </c>
    </row>
    <row r="32578" customFormat="false" ht="12.8" hidden="false" customHeight="false" outlineLevel="0" collapsed="false">
      <c r="B32578" s="0" t="s">
        <v>8</v>
      </c>
      <c r="C32578" s="0" t="s">
        <v>1921</v>
      </c>
      <c r="E32578" s="0" t="s">
        <v>532</v>
      </c>
      <c r="F32578" s="0" t="s">
        <v>1922</v>
      </c>
    </row>
    <row r="32579" customFormat="false" ht="12.8" hidden="false" customHeight="false" outlineLevel="0" collapsed="false">
      <c r="B32579" s="0" t="s">
        <v>6273</v>
      </c>
    </row>
    <row r="32581" customFormat="false" ht="12.8" hidden="false" customHeight="false" outlineLevel="0" collapsed="false">
      <c r="A32581" s="0" t="s">
        <v>12639</v>
      </c>
      <c r="B32581" s="0" t="str">
        <f aca="false">HYPERLINK("https://lindat.mff.cuni.cz/services/teitok/pdtc10/index.php?action=vallex&amp;frame=v-w4498f2_ZU", "propouštět (v-w4498f2_ZU)")</f>
        <v>propouštět (v-w4498f2_ZU)</v>
      </c>
      <c r="E32581" s="0" t="str">
        <f aca="false">HYPERLINK("https://lindat.mff.cuni.cz/services/SynSemClass40/SynSemClass40.html?veclass=vec01478#vec01478-ces-cm00001", "vec01478")</f>
        <v>vec01478</v>
      </c>
      <c r="F32581" s="0" t="s">
        <v>12640</v>
      </c>
    </row>
    <row r="32582" customFormat="false" ht="12.8" hidden="false" customHeight="false" outlineLevel="0" collapsed="false">
      <c r="B32582" s="0" t="s">
        <v>1</v>
      </c>
      <c r="E32582" s="0" t="s">
        <v>12641</v>
      </c>
      <c r="F32582" s="0" t="s">
        <v>12642</v>
      </c>
    </row>
    <row r="32583" customFormat="false" ht="12.8" hidden="false" customHeight="false" outlineLevel="0" collapsed="false">
      <c r="B32583" s="0" t="s">
        <v>8</v>
      </c>
      <c r="E32583" s="0" t="s">
        <v>34</v>
      </c>
      <c r="F32583" s="0" t="s">
        <v>2022</v>
      </c>
    </row>
    <row r="32585" customFormat="false" ht="12.8" hidden="false" customHeight="false" outlineLevel="0" collapsed="false">
      <c r="A32585" s="0" t="s">
        <v>12643</v>
      </c>
      <c r="B32585" s="0" t="str">
        <f aca="false">HYPERLINK("https://lindat.mff.cuni.cz/services/teitok/pdtc10/index.php?action=vallex&amp;frame=v-w4490f1", "propočíst (v-w4490f1)")</f>
        <v>propočíst (v-w4490f1)</v>
      </c>
    </row>
    <row r="32586" customFormat="false" ht="12.8" hidden="false" customHeight="false" outlineLevel="0" collapsed="false">
      <c r="B32586" s="0" t="s">
        <v>1</v>
      </c>
    </row>
    <row r="32587" customFormat="false" ht="12.8" hidden="false" customHeight="false" outlineLevel="0" collapsed="false">
      <c r="B32587" s="0" t="s">
        <v>1838</v>
      </c>
    </row>
    <row r="32588" customFormat="false" ht="12.8" hidden="false" customHeight="false" outlineLevel="0" collapsed="false">
      <c r="B32588" s="0" t="s">
        <v>36</v>
      </c>
    </row>
    <row r="32589" customFormat="false" ht="12.8" hidden="false" customHeight="false" outlineLevel="0" collapsed="false">
      <c r="B32589" s="0" t="s">
        <v>101</v>
      </c>
    </row>
    <row r="32591" customFormat="false" ht="12.8" hidden="false" customHeight="false" outlineLevel="0" collapsed="false">
      <c r="A32591" s="0" t="s">
        <v>12644</v>
      </c>
      <c r="B32591" s="0" t="str">
        <f aca="false">HYPERLINK("https://lindat.mff.cuni.cz/services/teitok/pdtc10/index.php?action=vallex&amp;frame=v-w4491f1", "propočítávat (v-w4491f1)")</f>
        <v>propočítávat (v-w4491f1)</v>
      </c>
    </row>
    <row r="32592" customFormat="false" ht="12.8" hidden="false" customHeight="false" outlineLevel="0" collapsed="false">
      <c r="B32592" s="0" t="s">
        <v>1</v>
      </c>
    </row>
    <row r="32593" customFormat="false" ht="12.8" hidden="false" customHeight="false" outlineLevel="0" collapsed="false">
      <c r="B32593" s="0" t="s">
        <v>1838</v>
      </c>
    </row>
    <row r="32594" customFormat="false" ht="12.8" hidden="false" customHeight="false" outlineLevel="0" collapsed="false">
      <c r="B32594" s="0" t="s">
        <v>36</v>
      </c>
    </row>
    <row r="32596" customFormat="false" ht="12.8" hidden="false" customHeight="false" outlineLevel="0" collapsed="false">
      <c r="A32596" s="0" t="s">
        <v>12645</v>
      </c>
      <c r="B32596" s="0" t="str">
        <f aca="false">HYPERLINK("https://lindat.mff.cuni.cz/services/teitok/pdtc10/index.php?action=vallex&amp;frame=v-w4501f1", "propracovat (v-w4501f1)")</f>
        <v>propracovat (v-w4501f1)</v>
      </c>
    </row>
    <row r="32597" customFormat="false" ht="12.8" hidden="false" customHeight="false" outlineLevel="0" collapsed="false">
      <c r="B32597" s="0" t="s">
        <v>1</v>
      </c>
    </row>
    <row r="32598" customFormat="false" ht="12.8" hidden="false" customHeight="false" outlineLevel="0" collapsed="false">
      <c r="B32598" s="0" t="s">
        <v>8</v>
      </c>
    </row>
    <row r="32600" customFormat="false" ht="12.8" hidden="false" customHeight="false" outlineLevel="0" collapsed="false">
      <c r="A32600" s="0" t="s">
        <v>12646</v>
      </c>
      <c r="B32600" s="0" t="str">
        <f aca="false">HYPERLINK("https://lindat.mff.cuni.cz/services/teitok/pdtc10/index.php?action=vallex&amp;frame=v-w4502f2", "propracovat se (v-w4502f2)")</f>
        <v>propracovat se (v-w4502f2)</v>
      </c>
    </row>
    <row r="32601" customFormat="false" ht="12.8" hidden="false" customHeight="false" outlineLevel="0" collapsed="false">
      <c r="B32601" s="0" t="s">
        <v>1</v>
      </c>
    </row>
    <row r="32602" customFormat="false" ht="12.8" hidden="false" customHeight="false" outlineLevel="0" collapsed="false">
      <c r="B32602" s="0" t="s">
        <v>45</v>
      </c>
    </row>
    <row r="32604" customFormat="false" ht="12.8" hidden="false" customHeight="false" outlineLevel="0" collapsed="false">
      <c r="A32604" s="0" t="s">
        <v>12647</v>
      </c>
      <c r="B32604" s="0" t="str">
        <f aca="false">HYPERLINK("https://lindat.mff.cuni.cz/services/teitok/pdtc10/index.php?action=vallex&amp;frame=v-w4502f1", "propracovat se (v-w4502f1)")</f>
        <v>propracovat se (v-w4502f1)</v>
      </c>
    </row>
    <row r="32605" customFormat="false" ht="12.8" hidden="false" customHeight="false" outlineLevel="0" collapsed="false">
      <c r="B32605" s="0" t="s">
        <v>1</v>
      </c>
    </row>
    <row r="32606" customFormat="false" ht="12.8" hidden="false" customHeight="false" outlineLevel="0" collapsed="false">
      <c r="B32606" s="0" t="s">
        <v>164</v>
      </c>
    </row>
    <row r="32608" customFormat="false" ht="12.8" hidden="false" customHeight="false" outlineLevel="0" collapsed="false">
      <c r="A32608" s="0" t="s">
        <v>12648</v>
      </c>
      <c r="B32608" s="0" t="str">
        <f aca="false">HYPERLINK("https://lindat.mff.cuni.cz/services/teitok/pdtc10/index.php?action=vallex&amp;frame=v-w4503f1", "propracovávat se (v-w4503f1)")</f>
        <v>propracovávat se (v-w4503f1)</v>
      </c>
    </row>
    <row r="32609" customFormat="false" ht="12.8" hidden="false" customHeight="false" outlineLevel="0" collapsed="false">
      <c r="B32609" s="0" t="s">
        <v>1</v>
      </c>
    </row>
    <row r="32610" customFormat="false" ht="12.8" hidden="false" customHeight="false" outlineLevel="0" collapsed="false">
      <c r="B32610" s="0" t="s">
        <v>164</v>
      </c>
    </row>
    <row r="32612" customFormat="false" ht="12.8" hidden="false" customHeight="false" outlineLevel="0" collapsed="false">
      <c r="A32612" s="0" t="s">
        <v>12649</v>
      </c>
      <c r="B32612" s="0" t="str">
        <f aca="false">HYPERLINK("https://lindat.mff.cuni.cz/services/teitok/pdtc10/index.php?action=vallex&amp;frame=v-w11972_ZUf1_ZU", "propršet (v-w11972_ZUf1_ZU)")</f>
        <v>propršet (v-w11972_ZUf1_ZU)</v>
      </c>
    </row>
    <row r="32613" customFormat="false" ht="12.8" hidden="false" customHeight="false" outlineLevel="0" collapsed="false">
      <c r="B32613" s="0" t="s">
        <v>1</v>
      </c>
    </row>
    <row r="32615" customFormat="false" ht="12.8" hidden="false" customHeight="false" outlineLevel="0" collapsed="false">
      <c r="A32615" s="0" t="s">
        <v>12650</v>
      </c>
      <c r="B32615" s="0" t="str">
        <f aca="false">HYPERLINK("https://lindat.mff.cuni.cz/services/teitok/pdtc10/index.php?action=vallex&amp;frame=v-whsa_2039hsa_2040", "propsat (v-whsa_2039hsa_2040)")</f>
        <v>propsat (v-whsa_2039hsa_2040)</v>
      </c>
    </row>
    <row r="32616" customFormat="false" ht="12.8" hidden="false" customHeight="false" outlineLevel="0" collapsed="false">
      <c r="B32616" s="0" t="s">
        <v>1</v>
      </c>
    </row>
    <row r="32617" customFormat="false" ht="12.8" hidden="false" customHeight="false" outlineLevel="0" collapsed="false">
      <c r="B32617" s="0" t="s">
        <v>8</v>
      </c>
    </row>
    <row r="32619" customFormat="false" ht="12.8" hidden="false" customHeight="false" outlineLevel="0" collapsed="false">
      <c r="A32619" s="0" t="s">
        <v>12651</v>
      </c>
      <c r="B32619" s="0" t="str">
        <f aca="false">HYPERLINK("https://lindat.mff.cuni.cz/services/teitok/pdtc10/index.php?action=vallex&amp;frame=v-whsa_980hsa_981", "propukat (v-whsa_980hsa_981)")</f>
        <v>propukat (v-whsa_980hsa_981)</v>
      </c>
      <c r="E32619" s="0" t="str">
        <f aca="false">HYPERLINK("https://lindat.mff.cuni.cz/services/SynSemClass40/SynSemClass40.html?veclass=vec00097#vec00097-ces-cm00195", "vec00097")</f>
        <v>vec00097</v>
      </c>
      <c r="F32619" s="0" t="s">
        <v>373</v>
      </c>
      <c r="H32619" s="0" t="str">
        <f aca="false">HYPERLINK("https://lindat.mff.cuni.cz/services/SynSemClass40/SynSemClass40.html?veclass=vec01518#vec01518-ces-cm00013", "vec01518")</f>
        <v>vec01518</v>
      </c>
      <c r="I32619" s="0" t="s">
        <v>2921</v>
      </c>
    </row>
    <row r="32620" customFormat="false" ht="12.8" hidden="false" customHeight="false" outlineLevel="0" collapsed="false">
      <c r="B32620" s="0" t="s">
        <v>1</v>
      </c>
      <c r="C32620" s="0" t="s">
        <v>2922</v>
      </c>
      <c r="E32620" s="0" t="s">
        <v>375</v>
      </c>
      <c r="F32620" s="0" t="s">
        <v>376</v>
      </c>
      <c r="H32620" s="0" t="s">
        <v>2923</v>
      </c>
      <c r="I32620" s="0" t="s">
        <v>2924</v>
      </c>
    </row>
    <row r="32622" customFormat="false" ht="12.8" hidden="false" customHeight="false" outlineLevel="0" collapsed="false">
      <c r="A32622" s="0" t="s">
        <v>12652</v>
      </c>
      <c r="B32622" s="0" t="str">
        <f aca="false">HYPERLINK("https://lindat.mff.cuni.cz/services/teitok/pdtc10/index.php?action=vallex&amp;frame=v-w4506f1", "propuknout (v-w4506f1)")</f>
        <v>propuknout (v-w4506f1)</v>
      </c>
      <c r="E32622" s="0" t="str">
        <f aca="false">HYPERLINK("https://lindat.mff.cuni.cz/services/SynSemClass40/SynSemClass40.html?veclass=vec00018#vec00018-ces-cm00005", "vec00018")</f>
        <v>vec00018</v>
      </c>
      <c r="F32622" s="0" t="s">
        <v>2155</v>
      </c>
      <c r="H32622" s="0" t="str">
        <f aca="false">HYPERLINK("https://lindat.mff.cuni.cz/services/SynSemClass40/SynSemClass40.html?veclass=vec01518#vec01518-ces-cm00014", "vec01518")</f>
        <v>vec01518</v>
      </c>
      <c r="I32622" s="0" t="s">
        <v>2921</v>
      </c>
    </row>
    <row r="32623" customFormat="false" ht="12.8" hidden="false" customHeight="false" outlineLevel="0" collapsed="false">
      <c r="B32623" s="0" t="s">
        <v>1</v>
      </c>
      <c r="C32623" s="0" t="s">
        <v>12653</v>
      </c>
      <c r="E32623" s="0" t="s">
        <v>2158</v>
      </c>
      <c r="F32623" s="0" t="s">
        <v>2159</v>
      </c>
      <c r="H32623" s="0" t="s">
        <v>2923</v>
      </c>
      <c r="I32623" s="0" t="s">
        <v>2924</v>
      </c>
    </row>
    <row r="32625" customFormat="false" ht="12.8" hidden="false" customHeight="false" outlineLevel="0" collapsed="false">
      <c r="A32625" s="0" t="s">
        <v>12654</v>
      </c>
      <c r="B32625" s="0" t="str">
        <f aca="false">HYPERLINK("https://lindat.mff.cuni.cz/services/teitok/pdtc10/index.php?action=vallex&amp;frame=v-w4506hsa_1773", "propuknout (v-w4506hsa_1773)")</f>
        <v>propuknout (v-w4506hsa_1773)</v>
      </c>
    </row>
    <row r="32626" customFormat="false" ht="12.8" hidden="false" customHeight="false" outlineLevel="0" collapsed="false">
      <c r="B32626" s="0" t="s">
        <v>1</v>
      </c>
    </row>
    <row r="32627" customFormat="false" ht="12.8" hidden="false" customHeight="false" outlineLevel="0" collapsed="false">
      <c r="B32627" s="0" t="s">
        <v>2769</v>
      </c>
    </row>
    <row r="32629" customFormat="false" ht="12.8" hidden="false" customHeight="false" outlineLevel="0" collapsed="false">
      <c r="A32629" s="0" t="s">
        <v>12655</v>
      </c>
      <c r="B32629" s="0" t="str">
        <f aca="false">HYPERLINK("https://lindat.mff.cuni.cz/services/teitok/pdtc10/index.php?action=vallex&amp;frame=v-w4508f1", "propustit (v-w4508f1)")</f>
        <v>propustit (v-w4508f1)</v>
      </c>
      <c r="E32629" s="0" t="str">
        <f aca="false">HYPERLINK("https://lindat.mff.cuni.cz/services/SynSemClass40/SynSemClass40.html?veclass=vec00555#vec00555-ces-cm00004", "vec00555")</f>
        <v>vec00555</v>
      </c>
      <c r="F32629" s="0" t="s">
        <v>1918</v>
      </c>
    </row>
    <row r="32630" customFormat="false" ht="12.8" hidden="false" customHeight="false" outlineLevel="0" collapsed="false">
      <c r="B32630" s="0" t="s">
        <v>1</v>
      </c>
      <c r="C32630" s="0" t="s">
        <v>1919</v>
      </c>
      <c r="E32630" s="0" t="s">
        <v>31</v>
      </c>
      <c r="F32630" s="0" t="s">
        <v>1920</v>
      </c>
    </row>
    <row r="32631" customFormat="false" ht="12.8" hidden="false" customHeight="false" outlineLevel="0" collapsed="false">
      <c r="B32631" s="0" t="s">
        <v>8</v>
      </c>
      <c r="C32631" s="0" t="s">
        <v>1921</v>
      </c>
      <c r="E32631" s="0" t="s">
        <v>532</v>
      </c>
      <c r="F32631" s="0" t="s">
        <v>1922</v>
      </c>
    </row>
    <row r="32632" customFormat="false" ht="12.8" hidden="false" customHeight="false" outlineLevel="0" collapsed="false">
      <c r="B32632" s="0" t="s">
        <v>631</v>
      </c>
      <c r="C32632" s="0" t="s">
        <v>1923</v>
      </c>
      <c r="E32632" s="0" t="s">
        <v>1924</v>
      </c>
      <c r="F32632" s="0" t="s">
        <v>1925</v>
      </c>
    </row>
    <row r="32634" customFormat="false" ht="12.8" hidden="false" customHeight="false" outlineLevel="0" collapsed="false">
      <c r="A32634" s="0" t="s">
        <v>12656</v>
      </c>
      <c r="B32634" s="0" t="str">
        <f aca="false">HYPERLINK("https://lindat.mff.cuni.cz/services/teitok/pdtc10/index.php?action=vallex&amp;frame=v-w4508f2", "propustit (v-w4508f2)")</f>
        <v>propustit (v-w4508f2)</v>
      </c>
      <c r="E32634" s="0" t="str">
        <f aca="false">HYPERLINK("https://lindat.mff.cuni.cz/services/SynSemClass40/SynSemClass40.html?veclass=vec01478#vec01478-ces-cm00002", "vec01478")</f>
        <v>vec01478</v>
      </c>
      <c r="F32634" s="0" t="s">
        <v>12640</v>
      </c>
    </row>
    <row r="32635" customFormat="false" ht="12.8" hidden="false" customHeight="false" outlineLevel="0" collapsed="false">
      <c r="B32635" s="0" t="s">
        <v>1</v>
      </c>
      <c r="E32635" s="0" t="s">
        <v>12641</v>
      </c>
      <c r="F32635" s="0" t="s">
        <v>12642</v>
      </c>
    </row>
    <row r="32636" customFormat="false" ht="12.8" hidden="false" customHeight="false" outlineLevel="0" collapsed="false">
      <c r="B32636" s="0" t="s">
        <v>8</v>
      </c>
      <c r="E32636" s="0" t="s">
        <v>34</v>
      </c>
      <c r="F32636" s="0" t="s">
        <v>2022</v>
      </c>
    </row>
    <row r="32638" customFormat="false" ht="12.8" hidden="false" customHeight="false" outlineLevel="0" collapsed="false">
      <c r="A32638" s="0" t="s">
        <v>12657</v>
      </c>
      <c r="B32638" s="0" t="str">
        <f aca="false">HYPERLINK("https://lindat.mff.cuni.cz/services/teitok/pdtc10/index.php?action=vallex&amp;frame=v-w4476f1", "propálit (v-w4476f1)")</f>
        <v>propálit (v-w4476f1)</v>
      </c>
    </row>
    <row r="32639" customFormat="false" ht="12.8" hidden="false" customHeight="false" outlineLevel="0" collapsed="false">
      <c r="B32639" s="0" t="s">
        <v>1</v>
      </c>
    </row>
    <row r="32640" customFormat="false" ht="12.8" hidden="false" customHeight="false" outlineLevel="0" collapsed="false">
      <c r="B32640" s="0" t="s">
        <v>8</v>
      </c>
    </row>
    <row r="32642" customFormat="false" ht="12.8" hidden="false" customHeight="false" outlineLevel="0" collapsed="false">
      <c r="A32642" s="0" t="s">
        <v>12658</v>
      </c>
      <c r="B32642" s="0" t="str">
        <f aca="false">HYPERLINK("https://lindat.mff.cuni.cz/services/teitok/pdtc10/index.php?action=vallex&amp;frame=v-w4477f1", "propálit se (v-w4477f1)")</f>
        <v>propálit se (v-w4477f1)</v>
      </c>
    </row>
    <row r="32643" customFormat="false" ht="12.8" hidden="false" customHeight="false" outlineLevel="0" collapsed="false">
      <c r="B32643" s="0" t="s">
        <v>1</v>
      </c>
    </row>
    <row r="32645" customFormat="false" ht="12.8" hidden="false" customHeight="false" outlineLevel="0" collapsed="false">
      <c r="A32645" s="0" t="s">
        <v>12659</v>
      </c>
      <c r="B32645" s="0" t="str">
        <f aca="false">HYPERLINK("https://lindat.mff.cuni.cz/services/teitok/pdtc10/index.php?action=vallex&amp;frame=v-w4477f2", "propálit se (v-w4477f2)")</f>
        <v>propálit se (v-w4477f2)</v>
      </c>
    </row>
    <row r="32646" customFormat="false" ht="12.8" hidden="false" customHeight="false" outlineLevel="0" collapsed="false">
      <c r="B32646" s="0" t="s">
        <v>1</v>
      </c>
    </row>
    <row r="32648" customFormat="false" ht="12.8" hidden="false" customHeight="false" outlineLevel="0" collapsed="false">
      <c r="A32648" s="0" t="s">
        <v>12660</v>
      </c>
      <c r="B32648" s="0" t="str">
        <f aca="false">HYPERLINK("https://lindat.mff.cuni.cz/services/teitok/pdtc10/index.php?action=vallex&amp;frame=v-w4478f1", "propásnout (v-w4478f1)")</f>
        <v>propásnout (v-w4478f1)</v>
      </c>
      <c r="E32648" s="0" t="str">
        <f aca="false">HYPERLINK("https://lindat.mff.cuni.cz/services/SynSemClass40/SynSemClass40.html?veclass=vec01430#vec01430-ces-cm00002", "vec01430")</f>
        <v>vec01430</v>
      </c>
      <c r="F32648" s="0" t="s">
        <v>12506</v>
      </c>
    </row>
    <row r="32649" customFormat="false" ht="12.8" hidden="false" customHeight="false" outlineLevel="0" collapsed="false">
      <c r="B32649" s="0" t="s">
        <v>1</v>
      </c>
      <c r="C32649" s="0" t="s">
        <v>12507</v>
      </c>
      <c r="E32649" s="0" t="s">
        <v>11</v>
      </c>
      <c r="F32649" s="0" t="s">
        <v>12508</v>
      </c>
    </row>
    <row r="32650" customFormat="false" ht="12.8" hidden="false" customHeight="false" outlineLevel="0" collapsed="false">
      <c r="B32650" s="0" t="s">
        <v>8</v>
      </c>
      <c r="C32650" s="0" t="s">
        <v>12509</v>
      </c>
      <c r="E32650" s="0" t="s">
        <v>6091</v>
      </c>
      <c r="F32650" s="0" t="s">
        <v>12510</v>
      </c>
    </row>
    <row r="32652" customFormat="false" ht="12.8" hidden="false" customHeight="false" outlineLevel="0" collapsed="false">
      <c r="A32652" s="0" t="s">
        <v>12661</v>
      </c>
      <c r="B32652" s="0" t="str">
        <f aca="false">HYPERLINK("https://lindat.mff.cuni.cz/services/teitok/pdtc10/index.php?action=vallex&amp;frame=v-w10108f2", "propást (v-w10108f2)")</f>
        <v>propást (v-w10108f2)</v>
      </c>
      <c r="E32652" s="0" t="str">
        <f aca="false">HYPERLINK("https://lindat.mff.cuni.cz/services/SynSemClass40/SynSemClass40.html?veclass=vec01430#vec01430-ces-cm00003", "vec01430")</f>
        <v>vec01430</v>
      </c>
      <c r="F32652" s="0" t="s">
        <v>12506</v>
      </c>
    </row>
    <row r="32653" customFormat="false" ht="12.8" hidden="false" customHeight="false" outlineLevel="0" collapsed="false">
      <c r="B32653" s="0" t="s">
        <v>1</v>
      </c>
      <c r="C32653" s="0" t="s">
        <v>12507</v>
      </c>
      <c r="E32653" s="0" t="s">
        <v>11</v>
      </c>
      <c r="F32653" s="0" t="s">
        <v>12508</v>
      </c>
    </row>
    <row r="32654" customFormat="false" ht="12.8" hidden="false" customHeight="false" outlineLevel="0" collapsed="false">
      <c r="B32654" s="0" t="s">
        <v>8</v>
      </c>
      <c r="C32654" s="0" t="s">
        <v>12509</v>
      </c>
      <c r="E32654" s="0" t="s">
        <v>6091</v>
      </c>
      <c r="F32654" s="0" t="s">
        <v>12510</v>
      </c>
    </row>
    <row r="32656" customFormat="false" ht="12.8" hidden="false" customHeight="false" outlineLevel="0" collapsed="false">
      <c r="A32656" s="0" t="s">
        <v>12662</v>
      </c>
      <c r="B32656" s="0" t="str">
        <f aca="false">HYPERLINK("https://lindat.mff.cuni.cz/services/teitok/pdtc10/index.php?action=vallex&amp;frame=v-w4480f1", "propíchat (v-w4480f1)")</f>
        <v>propíchat (v-w4480f1)</v>
      </c>
    </row>
    <row r="32657" customFormat="false" ht="12.8" hidden="false" customHeight="false" outlineLevel="0" collapsed="false">
      <c r="B32657" s="0" t="s">
        <v>1</v>
      </c>
    </row>
    <row r="32658" customFormat="false" ht="12.8" hidden="false" customHeight="false" outlineLevel="0" collapsed="false">
      <c r="B32658" s="0" t="s">
        <v>8</v>
      </c>
    </row>
    <row r="32660" customFormat="false" ht="12.8" hidden="false" customHeight="false" outlineLevel="0" collapsed="false">
      <c r="A32660" s="0" t="s">
        <v>12663</v>
      </c>
      <c r="B32660" s="0" t="str">
        <f aca="false">HYPERLINK("https://lindat.mff.cuni.cz/services/teitok/pdtc10/index.php?action=vallex&amp;frame=v-w4481f1", "propíchnout (v-w4481f1)")</f>
        <v>propíchnout (v-w4481f1)</v>
      </c>
      <c r="E32660" s="0" t="str">
        <f aca="false">HYPERLINK("https://lindat.mff.cuni.cz/services/SynSemClass40/SynSemClass40.html?veclass=vec01276#vec01276-ces-cm00001", "vec01276")</f>
        <v>vec01276</v>
      </c>
      <c r="F32660" s="0" t="s">
        <v>12664</v>
      </c>
    </row>
    <row r="32661" customFormat="false" ht="12.8" hidden="false" customHeight="false" outlineLevel="0" collapsed="false">
      <c r="B32661" s="0" t="s">
        <v>1</v>
      </c>
      <c r="C32661" s="0" t="s">
        <v>4695</v>
      </c>
      <c r="E32661" s="0" t="s">
        <v>1890</v>
      </c>
      <c r="F32661" s="0" t="s">
        <v>12665</v>
      </c>
    </row>
    <row r="32662" customFormat="false" ht="12.8" hidden="false" customHeight="false" outlineLevel="0" collapsed="false">
      <c r="B32662" s="0" t="s">
        <v>8</v>
      </c>
      <c r="C32662" s="0" t="s">
        <v>462</v>
      </c>
      <c r="E32662" s="0" t="s">
        <v>1893</v>
      </c>
      <c r="F32662" s="0" t="s">
        <v>12666</v>
      </c>
    </row>
    <row r="32664" customFormat="false" ht="12.8" hidden="false" customHeight="false" outlineLevel="0" collapsed="false">
      <c r="A32664" s="0" t="s">
        <v>12667</v>
      </c>
      <c r="B32664" s="0" t="str">
        <f aca="false">HYPERLINK("https://lindat.mff.cuni.cz/services/teitok/pdtc10/index.php?action=vallex&amp;frame=v-w10625f2", "propírat (v-w10625f2)")</f>
        <v>propírat (v-w10625f2)</v>
      </c>
    </row>
    <row r="32665" customFormat="false" ht="12.8" hidden="false" customHeight="false" outlineLevel="0" collapsed="false">
      <c r="B32665" s="0" t="s">
        <v>1</v>
      </c>
    </row>
    <row r="32666" customFormat="false" ht="12.8" hidden="false" customHeight="false" outlineLevel="0" collapsed="false">
      <c r="B32666" s="0" t="s">
        <v>228</v>
      </c>
    </row>
    <row r="32668" customFormat="false" ht="12.8" hidden="false" customHeight="false" outlineLevel="0" collapsed="false">
      <c r="A32668" s="0" t="s">
        <v>12668</v>
      </c>
      <c r="B32668" s="0" t="str">
        <f aca="false">HYPERLINK("https://lindat.mff.cuni.cz/services/teitok/pdtc10/index.php?action=vallex&amp;frame=v-w4482f1", "propít (v-w4482f1)")</f>
        <v>propít (v-w4482f1)</v>
      </c>
    </row>
    <row r="32669" customFormat="false" ht="12.8" hidden="false" customHeight="false" outlineLevel="0" collapsed="false">
      <c r="B32669" s="0" t="s">
        <v>1</v>
      </c>
    </row>
    <row r="32670" customFormat="false" ht="12.8" hidden="false" customHeight="false" outlineLevel="0" collapsed="false">
      <c r="B32670" s="0" t="s">
        <v>8</v>
      </c>
    </row>
    <row r="32672" customFormat="false" ht="12.8" hidden="false" customHeight="false" outlineLevel="0" collapsed="false">
      <c r="A32672" s="0" t="s">
        <v>12669</v>
      </c>
      <c r="B32672" s="0" t="str">
        <f aca="false">HYPERLINK("https://lindat.mff.cuni.cz/services/teitok/pdtc10/index.php?action=vallex&amp;frame=v-w4505f1", "propůjčit (v-w4505f1)")</f>
        <v>propůjčit (v-w4505f1)</v>
      </c>
      <c r="E32672" s="0" t="str">
        <f aca="false">HYPERLINK("https://lindat.mff.cuni.cz/services/SynSemClass40/SynSemClass40.html?veclass=vec00074#vec00074-ces-cm00123", "vec00074")</f>
        <v>vec00074</v>
      </c>
      <c r="F32672" s="0" t="s">
        <v>1782</v>
      </c>
    </row>
    <row r="32673" customFormat="false" ht="12.8" hidden="false" customHeight="false" outlineLevel="0" collapsed="false">
      <c r="B32673" s="0" t="s">
        <v>1</v>
      </c>
      <c r="C32673" s="0" t="s">
        <v>1783</v>
      </c>
      <c r="E32673" s="0" t="s">
        <v>1784</v>
      </c>
      <c r="F32673" s="0" t="s">
        <v>1785</v>
      </c>
    </row>
    <row r="32674" customFormat="false" ht="12.8" hidden="false" customHeight="false" outlineLevel="0" collapsed="false">
      <c r="B32674" s="0" t="s">
        <v>8</v>
      </c>
      <c r="C32674" s="0" t="s">
        <v>1786</v>
      </c>
      <c r="E32674" s="0" t="s">
        <v>1787</v>
      </c>
      <c r="F32674" s="0" t="s">
        <v>1788</v>
      </c>
    </row>
    <row r="32675" customFormat="false" ht="12.8" hidden="false" customHeight="false" outlineLevel="0" collapsed="false">
      <c r="B32675" s="0" t="s">
        <v>52</v>
      </c>
      <c r="C32675" s="0" t="s">
        <v>1789</v>
      </c>
      <c r="E32675" s="0" t="s">
        <v>53</v>
      </c>
      <c r="F32675" s="0" t="s">
        <v>1790</v>
      </c>
    </row>
    <row r="32677" customFormat="false" ht="12.8" hidden="false" customHeight="false" outlineLevel="0" collapsed="false">
      <c r="A32677" s="0" t="s">
        <v>12670</v>
      </c>
      <c r="B32677" s="0" t="str">
        <f aca="false">HYPERLINK("https://lindat.mff.cuni.cz/services/teitok/pdtc10/index.php?action=vallex&amp;frame=v-w10735f2", "propůjčovat (v-w10735f2)")</f>
        <v>propůjčovat (v-w10735f2)</v>
      </c>
      <c r="E32677" s="0" t="str">
        <f aca="false">HYPERLINK("https://lindat.mff.cuni.cz/services/SynSemClass40/SynSemClass40.html?veclass=vec00074#vec00074-ces-cm00124", "vec00074")</f>
        <v>vec00074</v>
      </c>
      <c r="F32677" s="0" t="s">
        <v>1782</v>
      </c>
      <c r="H32677" s="0" t="str">
        <f aca="false">HYPERLINK("https://lindat.mff.cuni.cz/services/SynSemClass40/SynSemClass40.html?veclass=vec01087#vec01087-ces-cm00145", "vec01087")</f>
        <v>vec01087</v>
      </c>
      <c r="I32677" s="0" t="s">
        <v>1863</v>
      </c>
    </row>
    <row r="32678" customFormat="false" ht="12.8" hidden="false" customHeight="false" outlineLevel="0" collapsed="false">
      <c r="B32678" s="0" t="s">
        <v>1</v>
      </c>
      <c r="C32678" s="0" t="s">
        <v>12671</v>
      </c>
      <c r="E32678" s="0" t="s">
        <v>1784</v>
      </c>
      <c r="F32678" s="0" t="s">
        <v>1785</v>
      </c>
      <c r="H32678" s="0" t="s">
        <v>1868</v>
      </c>
      <c r="I32678" s="0" t="s">
        <v>1869</v>
      </c>
    </row>
    <row r="32679" customFormat="false" ht="12.8" hidden="false" customHeight="false" outlineLevel="0" collapsed="false">
      <c r="B32679" s="0" t="s">
        <v>8</v>
      </c>
      <c r="C32679" s="0" t="s">
        <v>12672</v>
      </c>
      <c r="E32679" s="0" t="s">
        <v>1787</v>
      </c>
      <c r="F32679" s="0" t="s">
        <v>1788</v>
      </c>
      <c r="H32679" s="0" t="s">
        <v>1875</v>
      </c>
      <c r="I32679" s="0" t="s">
        <v>1876</v>
      </c>
    </row>
    <row r="32680" customFormat="false" ht="12.8" hidden="false" customHeight="false" outlineLevel="0" collapsed="false">
      <c r="B32680" s="0" t="s">
        <v>52</v>
      </c>
      <c r="C32680" s="0" t="s">
        <v>12673</v>
      </c>
      <c r="E32680" s="0" t="s">
        <v>53</v>
      </c>
      <c r="F32680" s="0" t="s">
        <v>1790</v>
      </c>
      <c r="H32680" s="0" t="s">
        <v>53</v>
      </c>
      <c r="I32680" s="0" t="s">
        <v>1880</v>
      </c>
    </row>
    <row r="32682" customFormat="false" ht="12.8" hidden="false" customHeight="false" outlineLevel="0" collapsed="false">
      <c r="A32682" s="0" t="s">
        <v>12674</v>
      </c>
      <c r="B32682" s="0" t="str">
        <f aca="false">HYPERLINK("https://lindat.mff.cuni.cz/services/teitok/pdtc10/index.php?action=vallex&amp;frame=v-w4510f1", "prorazit (v-w4510f1)")</f>
        <v>prorazit (v-w4510f1)</v>
      </c>
    </row>
    <row r="32683" customFormat="false" ht="12.8" hidden="false" customHeight="false" outlineLevel="0" collapsed="false">
      <c r="B32683" s="0" t="s">
        <v>1</v>
      </c>
    </row>
    <row r="32684" customFormat="false" ht="12.8" hidden="false" customHeight="false" outlineLevel="0" collapsed="false">
      <c r="B32684" s="0" t="s">
        <v>8</v>
      </c>
    </row>
    <row r="32686" customFormat="false" ht="12.8" hidden="false" customHeight="false" outlineLevel="0" collapsed="false">
      <c r="A32686" s="0" t="s">
        <v>12675</v>
      </c>
      <c r="B32686" s="0" t="str">
        <f aca="false">HYPERLINK("https://lindat.mff.cuni.cz/services/teitok/pdtc10/index.php?action=vallex&amp;frame=v-w4510f4", "prorazit (v-w4510f4)")</f>
        <v>prorazit (v-w4510f4)</v>
      </c>
    </row>
    <row r="32687" customFormat="false" ht="12.8" hidden="false" customHeight="false" outlineLevel="0" collapsed="false">
      <c r="B32687" s="0" t="s">
        <v>1</v>
      </c>
    </row>
    <row r="32688" customFormat="false" ht="12.8" hidden="false" customHeight="false" outlineLevel="0" collapsed="false">
      <c r="B32688" s="0" t="s">
        <v>8</v>
      </c>
    </row>
    <row r="32690" customFormat="false" ht="12.8" hidden="false" customHeight="false" outlineLevel="0" collapsed="false">
      <c r="A32690" s="0" t="s">
        <v>12676</v>
      </c>
      <c r="B32690" s="0" t="str">
        <f aca="false">HYPERLINK("https://lindat.mff.cuni.cz/services/teitok/pdtc10/index.php?action=vallex&amp;frame=v-w4510f2", "prorazit (v-w4510f2)")</f>
        <v>prorazit (v-w4510f2)</v>
      </c>
      <c r="E32690" s="0" t="str">
        <f aca="false">HYPERLINK("https://lindat.mff.cuni.cz/services/SynSemClass40/SynSemClass40.html?veclass=vec00688#vec00688-ces-cm00001", "vec00688")</f>
        <v>vec00688</v>
      </c>
      <c r="F32690" s="0" t="s">
        <v>12677</v>
      </c>
    </row>
    <row r="32691" customFormat="false" ht="12.8" hidden="false" customHeight="false" outlineLevel="0" collapsed="false">
      <c r="B32691" s="0" t="s">
        <v>1</v>
      </c>
      <c r="C32691" s="0" t="s">
        <v>1752</v>
      </c>
      <c r="E32691" s="0" t="s">
        <v>11</v>
      </c>
      <c r="F32691" s="0" t="s">
        <v>12678</v>
      </c>
    </row>
    <row r="32692" customFormat="false" ht="12.8" hidden="false" customHeight="false" outlineLevel="0" collapsed="false">
      <c r="B32692" s="0" t="s">
        <v>4277</v>
      </c>
      <c r="C32692" s="0" t="s">
        <v>3252</v>
      </c>
      <c r="E32692" s="0" t="s">
        <v>12679</v>
      </c>
      <c r="F32692" s="0" t="s">
        <v>12680</v>
      </c>
    </row>
    <row r="32694" customFormat="false" ht="12.8" hidden="false" customHeight="false" outlineLevel="0" collapsed="false">
      <c r="A32694" s="0" t="s">
        <v>12681</v>
      </c>
      <c r="B32694" s="0" t="str">
        <f aca="false">HYPERLINK("https://lindat.mff.cuni.cz/services/teitok/pdtc10/index.php?action=vallex&amp;frame=v-w4510f3", "prorazit (v-w4510f3)")</f>
        <v>prorazit (v-w4510f3)</v>
      </c>
      <c r="E32694" s="0" t="str">
        <f aca="false">HYPERLINK("https://lindat.mff.cuni.cz/services/SynSemClass40/SynSemClass40.html?veclass=vec01273#vec01273-ces-cm00002", "vec01273")</f>
        <v>vec01273</v>
      </c>
      <c r="F32694" s="0" t="s">
        <v>12463</v>
      </c>
    </row>
    <row r="32695" customFormat="false" ht="12.8" hidden="false" customHeight="false" outlineLevel="0" collapsed="false">
      <c r="B32695" s="0" t="s">
        <v>1</v>
      </c>
      <c r="E32695" s="0" t="s">
        <v>31</v>
      </c>
      <c r="F32695" s="0" t="s">
        <v>49</v>
      </c>
    </row>
    <row r="32696" customFormat="false" ht="12.8" hidden="false" customHeight="false" outlineLevel="0" collapsed="false">
      <c r="B32696" s="0" t="s">
        <v>336</v>
      </c>
      <c r="E32696" s="0" t="s">
        <v>12251</v>
      </c>
      <c r="F32696" s="0" t="s">
        <v>12682</v>
      </c>
    </row>
    <row r="32698" customFormat="false" ht="12.8" hidden="false" customHeight="false" outlineLevel="0" collapsed="false">
      <c r="A32698" s="0" t="s">
        <v>12683</v>
      </c>
      <c r="B32698" s="0" t="str">
        <f aca="false">HYPERLINK("https://lindat.mff.cuni.cz/services/teitok/pdtc10/index.php?action=vallex&amp;frame=v-w4510f5", "prorazit (v-w4510f5)")</f>
        <v>prorazit (v-w4510f5)</v>
      </c>
      <c r="E32698" s="0" t="str">
        <f aca="false">HYPERLINK("https://lindat.mff.cuni.cz/services/SynSemClass40/SynSemClass40.html?veclass=vec00888#vec00888-ces-cm00001", "vec00888")</f>
        <v>vec00888</v>
      </c>
      <c r="F32698" s="0" t="s">
        <v>12146</v>
      </c>
    </row>
    <row r="32699" customFormat="false" ht="12.8" hidden="false" customHeight="false" outlineLevel="0" collapsed="false">
      <c r="B32699" s="0" t="s">
        <v>1</v>
      </c>
      <c r="E32699" s="0" t="s">
        <v>12147</v>
      </c>
      <c r="F32699" s="0" t="s">
        <v>12148</v>
      </c>
    </row>
    <row r="32700" customFormat="false" ht="12.8" hidden="false" customHeight="false" outlineLevel="0" collapsed="false">
      <c r="B32700" s="0" t="s">
        <v>164</v>
      </c>
      <c r="E32700" s="0" t="s">
        <v>3229</v>
      </c>
      <c r="F32700" s="0" t="s">
        <v>8716</v>
      </c>
    </row>
    <row r="32702" customFormat="false" ht="12.8" hidden="false" customHeight="false" outlineLevel="0" collapsed="false">
      <c r="A32702" s="0" t="s">
        <v>12684</v>
      </c>
      <c r="B32702" s="0" t="str">
        <f aca="false">HYPERLINK("https://lindat.mff.cuni.cz/services/teitok/pdtc10/index.php?action=vallex&amp;frame=v-w4514f1", "prorezavět (v-w4514f1)")</f>
        <v>prorezavět (v-w4514f1)</v>
      </c>
    </row>
    <row r="32703" customFormat="false" ht="12.8" hidden="false" customHeight="false" outlineLevel="0" collapsed="false">
      <c r="B32703" s="0" t="s">
        <v>1</v>
      </c>
    </row>
    <row r="32705" customFormat="false" ht="12.8" hidden="false" customHeight="false" outlineLevel="0" collapsed="false">
      <c r="A32705" s="0" t="s">
        <v>12685</v>
      </c>
      <c r="B32705" s="0" t="str">
        <f aca="false">HYPERLINK("https://lindat.mff.cuni.cz/services/teitok/pdtc10/index.php?action=vallex&amp;frame=v-w10555f2", "prorokovat (v-w10555f2)")</f>
        <v>prorokovat (v-w10555f2)</v>
      </c>
      <c r="E32705" s="0" t="str">
        <f aca="false">HYPERLINK("https://lindat.mff.cuni.cz/services/SynSemClass40/SynSemClass40.html?veclass=vec00093#vec00093-ces-cm00014", "vec00093")</f>
        <v>vec00093</v>
      </c>
      <c r="F32705" s="0" t="s">
        <v>4708</v>
      </c>
    </row>
    <row r="32706" customFormat="false" ht="12.8" hidden="false" customHeight="false" outlineLevel="0" collapsed="false">
      <c r="B32706" s="0" t="s">
        <v>1</v>
      </c>
      <c r="C32706" s="0" t="s">
        <v>2758</v>
      </c>
      <c r="E32706" s="0" t="s">
        <v>4709</v>
      </c>
      <c r="F32706" s="0" t="s">
        <v>4710</v>
      </c>
    </row>
    <row r="32707" customFormat="false" ht="12.8" hidden="false" customHeight="false" outlineLevel="0" collapsed="false">
      <c r="B32707" s="0" t="s">
        <v>3028</v>
      </c>
      <c r="C32707" s="0" t="s">
        <v>4712</v>
      </c>
      <c r="E32707" s="0" t="s">
        <v>4713</v>
      </c>
      <c r="F32707" s="0" t="s">
        <v>4714</v>
      </c>
    </row>
    <row r="32709" customFormat="false" ht="12.8" hidden="false" customHeight="false" outlineLevel="0" collapsed="false">
      <c r="A32709" s="0" t="s">
        <v>12686</v>
      </c>
      <c r="B32709" s="0" t="str">
        <f aca="false">HYPERLINK("https://lindat.mff.cuni.cz/services/teitok/pdtc10/index.php?action=vallex&amp;frame=v-w4512f1", "prorážet (v-w4512f1)")</f>
        <v>prorážet (v-w4512f1)</v>
      </c>
    </row>
    <row r="32710" customFormat="false" ht="12.8" hidden="false" customHeight="false" outlineLevel="0" collapsed="false">
      <c r="B32710" s="0" t="s">
        <v>1</v>
      </c>
    </row>
    <row r="32711" customFormat="false" ht="12.8" hidden="false" customHeight="false" outlineLevel="0" collapsed="false">
      <c r="B32711" s="0" t="s">
        <v>8</v>
      </c>
    </row>
    <row r="32713" customFormat="false" ht="12.8" hidden="false" customHeight="false" outlineLevel="0" collapsed="false">
      <c r="A32713" s="0" t="s">
        <v>12687</v>
      </c>
      <c r="B32713" s="0" t="str">
        <f aca="false">HYPERLINK("https://lindat.mff.cuni.cz/services/teitok/pdtc10/index.php?action=vallex&amp;frame=v-w4512f2", "prorážet (v-w4512f2)")</f>
        <v>prorážet (v-w4512f2)</v>
      </c>
    </row>
    <row r="32714" customFormat="false" ht="12.8" hidden="false" customHeight="false" outlineLevel="0" collapsed="false">
      <c r="B32714" s="0" t="s">
        <v>1</v>
      </c>
    </row>
    <row r="32716" customFormat="false" ht="12.8" hidden="false" customHeight="false" outlineLevel="0" collapsed="false">
      <c r="A32716" s="0" t="s">
        <v>12688</v>
      </c>
      <c r="B32716" s="0" t="str">
        <f aca="false">HYPERLINK("https://lindat.mff.cuni.cz/services/teitok/pdtc10/index.php?action=vallex&amp;frame=v-w4517f2", "prorůstat (v-w4517f2)")</f>
        <v>prorůstat (v-w4517f2)</v>
      </c>
    </row>
    <row r="32717" customFormat="false" ht="12.8" hidden="false" customHeight="false" outlineLevel="0" collapsed="false">
      <c r="B32717" s="0" t="s">
        <v>1</v>
      </c>
    </row>
    <row r="32718" customFormat="false" ht="12.8" hidden="false" customHeight="false" outlineLevel="0" collapsed="false">
      <c r="B32718" s="0" t="s">
        <v>8</v>
      </c>
    </row>
    <row r="32720" customFormat="false" ht="12.8" hidden="false" customHeight="false" outlineLevel="0" collapsed="false">
      <c r="A32720" s="0" t="s">
        <v>12689</v>
      </c>
      <c r="B32720" s="0" t="str">
        <f aca="false">HYPERLINK("https://lindat.mff.cuni.cz/services/teitok/pdtc10/index.php?action=vallex&amp;frame=v-w4517f1", "prorůstat (v-w4517f1)")</f>
        <v>prorůstat (v-w4517f1)</v>
      </c>
    </row>
    <row r="32721" customFormat="false" ht="12.8" hidden="false" customHeight="false" outlineLevel="0" collapsed="false">
      <c r="B32721" s="0" t="s">
        <v>1</v>
      </c>
    </row>
    <row r="32722" customFormat="false" ht="12.8" hidden="false" customHeight="false" outlineLevel="0" collapsed="false">
      <c r="B32722" s="0" t="s">
        <v>164</v>
      </c>
    </row>
    <row r="32724" customFormat="false" ht="12.8" hidden="false" customHeight="false" outlineLevel="0" collapsed="false">
      <c r="A32724" s="0" t="s">
        <v>12690</v>
      </c>
      <c r="B32724" s="0" t="str">
        <f aca="false">HYPERLINK("https://lindat.mff.cuni.cz/services/teitok/pdtc10/index.php?action=vallex&amp;frame=v-w4517f3_ZU", "prorůstat (v-w4517f3_ZU)")</f>
        <v>prorůstat (v-w4517f3_ZU)</v>
      </c>
    </row>
    <row r="32725" customFormat="false" ht="12.8" hidden="false" customHeight="false" outlineLevel="0" collapsed="false">
      <c r="B32725" s="0" t="s">
        <v>1</v>
      </c>
    </row>
    <row r="32726" customFormat="false" ht="12.8" hidden="false" customHeight="false" outlineLevel="0" collapsed="false">
      <c r="B32726" s="0" t="s">
        <v>4966</v>
      </c>
    </row>
    <row r="32728" customFormat="false" ht="12.8" hidden="false" customHeight="false" outlineLevel="0" collapsed="false">
      <c r="A32728" s="0" t="s">
        <v>12691</v>
      </c>
      <c r="B32728" s="0" t="str">
        <f aca="false">HYPERLINK("https://lindat.mff.cuni.cz/services/teitok/pdtc10/index.php?action=vallex&amp;frame=v-w4519f2", "prosadit (v-w4519f2)")</f>
        <v>prosadit (v-w4519f2)</v>
      </c>
    </row>
    <row r="32729" customFormat="false" ht="12.8" hidden="false" customHeight="false" outlineLevel="0" collapsed="false">
      <c r="B32729" s="0" t="s">
        <v>1</v>
      </c>
    </row>
    <row r="32730" customFormat="false" ht="12.8" hidden="false" customHeight="false" outlineLevel="0" collapsed="false">
      <c r="B32730" s="0" t="s">
        <v>8</v>
      </c>
    </row>
    <row r="32731" customFormat="false" ht="12.8" hidden="false" customHeight="false" outlineLevel="0" collapsed="false">
      <c r="B32731" s="0" t="s">
        <v>164</v>
      </c>
    </row>
    <row r="32733" customFormat="false" ht="12.8" hidden="false" customHeight="false" outlineLevel="0" collapsed="false">
      <c r="A32733" s="0" t="s">
        <v>12692</v>
      </c>
      <c r="B32733" s="0" t="str">
        <f aca="false">HYPERLINK("https://lindat.mff.cuni.cz/services/teitok/pdtc10/index.php?action=vallex&amp;frame=v-w4519f1", "prosadit (v-w4519f1)")</f>
        <v>prosadit (v-w4519f1)</v>
      </c>
      <c r="E32733" s="0" t="str">
        <f aca="false">HYPERLINK("https://lindat.mff.cuni.cz/services/SynSemClass40/SynSemClass40.html?veclass=vec00743#vec00743-ces-cm00007", "vec00743")</f>
        <v>vec00743</v>
      </c>
      <c r="F32733" s="0" t="s">
        <v>10875</v>
      </c>
    </row>
    <row r="32734" customFormat="false" ht="12.8" hidden="false" customHeight="false" outlineLevel="0" collapsed="false">
      <c r="B32734" s="0" t="s">
        <v>1</v>
      </c>
      <c r="C32734" s="0" t="s">
        <v>10876</v>
      </c>
      <c r="E32734" s="0" t="s">
        <v>31</v>
      </c>
      <c r="F32734" s="0" t="s">
        <v>10877</v>
      </c>
    </row>
    <row r="32735" customFormat="false" ht="12.8" hidden="false" customHeight="false" outlineLevel="0" collapsed="false">
      <c r="B32735" s="0" t="s">
        <v>216</v>
      </c>
      <c r="C32735" s="0" t="s">
        <v>10878</v>
      </c>
      <c r="E32735" s="0" t="s">
        <v>532</v>
      </c>
      <c r="F32735" s="0" t="s">
        <v>10879</v>
      </c>
    </row>
    <row r="32737" customFormat="false" ht="12.8" hidden="false" customHeight="false" outlineLevel="0" collapsed="false">
      <c r="A32737" s="0" t="s">
        <v>12693</v>
      </c>
      <c r="B32737" s="0" t="str">
        <f aca="false">HYPERLINK("https://lindat.mff.cuni.cz/services/teitok/pdtc10/index.php?action=vallex&amp;frame=v-w4519f3", "prosadit (v-w4519f3)")</f>
        <v>prosadit (v-w4519f3)</v>
      </c>
      <c r="E32737" s="0" t="str">
        <f aca="false">HYPERLINK("https://lindat.mff.cuni.cz/services/SynSemClass40/SynSemClass40.html?veclass=vec00689#vec00689-ces-cm00008", "vec00689")</f>
        <v>vec00689</v>
      </c>
      <c r="F32737" s="0" t="s">
        <v>12694</v>
      </c>
      <c r="H32737" s="0" t="str">
        <f aca="false">HYPERLINK("https://lindat.mff.cuni.cz/services/SynSemClass40/SynSemClass40.html?veclass=vec00743#vec00743-ces-cm00030", "vec00743")</f>
        <v>vec00743</v>
      </c>
      <c r="I32737" s="0" t="s">
        <v>10875</v>
      </c>
    </row>
    <row r="32738" customFormat="false" ht="12.8" hidden="false" customHeight="false" outlineLevel="0" collapsed="false">
      <c r="B32738" s="0" t="s">
        <v>1</v>
      </c>
      <c r="C32738" s="0" t="s">
        <v>12695</v>
      </c>
      <c r="E32738" s="0" t="s">
        <v>2106</v>
      </c>
      <c r="F32738" s="0" t="s">
        <v>12696</v>
      </c>
      <c r="H32738" s="0" t="s">
        <v>31</v>
      </c>
      <c r="I32738" s="0" t="s">
        <v>10877</v>
      </c>
    </row>
    <row r="32739" customFormat="false" ht="12.8" hidden="false" customHeight="false" outlineLevel="0" collapsed="false">
      <c r="B32739" s="0" t="s">
        <v>12697</v>
      </c>
      <c r="C32739" s="0" t="s">
        <v>12698</v>
      </c>
      <c r="H32739" s="0" t="s">
        <v>12699</v>
      </c>
      <c r="I32739" s="0" t="s">
        <v>12700</v>
      </c>
    </row>
    <row r="32741" customFormat="false" ht="12.8" hidden="false" customHeight="false" outlineLevel="0" collapsed="false">
      <c r="A32741" s="0" t="s">
        <v>12701</v>
      </c>
      <c r="B32741" s="0" t="str">
        <f aca="false">HYPERLINK("https://lindat.mff.cuni.cz/services/teitok/pdtc10/index.php?action=vallex&amp;frame=v-w4520f1", "prosadit se (v-w4520f1)")</f>
        <v>prosadit se (v-w4520f1)</v>
      </c>
      <c r="E32741" s="0" t="str">
        <f aca="false">HYPERLINK("https://lindat.mff.cuni.cz/services/SynSemClass40/SynSemClass40.html?veclass=vec00689#vec00689-ces-cm00001", "vec00689")</f>
        <v>vec00689</v>
      </c>
      <c r="F32741" s="0" t="s">
        <v>12694</v>
      </c>
    </row>
    <row r="32742" customFormat="false" ht="12.8" hidden="false" customHeight="false" outlineLevel="0" collapsed="false">
      <c r="B32742" s="0" t="s">
        <v>1</v>
      </c>
      <c r="C32742" s="0" t="s">
        <v>12702</v>
      </c>
      <c r="E32742" s="0" t="s">
        <v>2106</v>
      </c>
      <c r="F32742" s="0" t="s">
        <v>12696</v>
      </c>
    </row>
    <row r="32744" customFormat="false" ht="12.8" hidden="false" customHeight="false" outlineLevel="0" collapsed="false">
      <c r="A32744" s="0" t="s">
        <v>12703</v>
      </c>
      <c r="B32744" s="0" t="str">
        <f aca="false">HYPERLINK("https://lindat.mff.cuni.cz/services/teitok/pdtc10/index.php?action=vallex&amp;frame=v-w10892f3", "prosakovat (v-w10892f3)")</f>
        <v>prosakovat (v-w10892f3)</v>
      </c>
    </row>
    <row r="32745" customFormat="false" ht="12.8" hidden="false" customHeight="false" outlineLevel="0" collapsed="false">
      <c r="B32745" s="0" t="s">
        <v>1</v>
      </c>
    </row>
    <row r="32746" customFormat="false" ht="12.8" hidden="false" customHeight="false" outlineLevel="0" collapsed="false">
      <c r="B32746" s="0" t="s">
        <v>5</v>
      </c>
    </row>
    <row r="32748" customFormat="false" ht="12.8" hidden="false" customHeight="false" outlineLevel="0" collapsed="false">
      <c r="A32748" s="0" t="s">
        <v>12704</v>
      </c>
      <c r="B32748" s="0" t="str">
        <f aca="false">HYPERLINK("https://lindat.mff.cuni.cz/services/teitok/pdtc10/index.php?action=vallex&amp;frame=v-w10892f4_MM", "prosakovat (v-w10892f4_MM)")</f>
        <v>prosakovat (v-w10892f4_MM)</v>
      </c>
    </row>
    <row r="32749" customFormat="false" ht="12.8" hidden="false" customHeight="false" outlineLevel="0" collapsed="false">
      <c r="B32749" s="0" t="s">
        <v>1</v>
      </c>
    </row>
    <row r="32751" customFormat="false" ht="12.8" hidden="false" customHeight="false" outlineLevel="0" collapsed="false">
      <c r="A32751" s="0" t="s">
        <v>12705</v>
      </c>
      <c r="B32751" s="0" t="str">
        <f aca="false">HYPERLINK("https://lindat.mff.cuni.cz/services/teitok/pdtc10/index.php?action=vallex&amp;frame=v-w10892hsa_1234", "prosakovat (v-w10892hsa_1234)")</f>
        <v>prosakovat (v-w10892hsa_1234)</v>
      </c>
    </row>
    <row r="32752" customFormat="false" ht="12.8" hidden="false" customHeight="false" outlineLevel="0" collapsed="false">
      <c r="B32752" s="0" t="s">
        <v>1</v>
      </c>
    </row>
    <row r="32753" customFormat="false" ht="12.8" hidden="false" customHeight="false" outlineLevel="0" collapsed="false">
      <c r="B32753" s="0" t="s">
        <v>164</v>
      </c>
    </row>
    <row r="32755" customFormat="false" ht="12.8" hidden="false" customHeight="false" outlineLevel="0" collapsed="false">
      <c r="A32755" s="0" t="s">
        <v>12706</v>
      </c>
      <c r="B32755" s="0" t="str">
        <f aca="false">HYPERLINK("https://lindat.mff.cuni.cz/services/teitok/pdtc10/index.php?action=vallex&amp;frame=v-w4527f1", "prosazovat (v-w4527f1)")</f>
        <v>prosazovat (v-w4527f1)</v>
      </c>
      <c r="E32755" s="0" t="str">
        <f aca="false">HYPERLINK("https://lindat.mff.cuni.cz/services/SynSemClass40/SynSemClass40.html?veclass=vec00743#vec00743-ces-cm00026", "vec00743")</f>
        <v>vec00743</v>
      </c>
      <c r="F32755" s="0" t="s">
        <v>10875</v>
      </c>
    </row>
    <row r="32756" customFormat="false" ht="12.8" hidden="false" customHeight="false" outlineLevel="0" collapsed="false">
      <c r="B32756" s="0" t="s">
        <v>1</v>
      </c>
      <c r="C32756" s="0" t="s">
        <v>10876</v>
      </c>
      <c r="E32756" s="0" t="s">
        <v>31</v>
      </c>
      <c r="F32756" s="0" t="s">
        <v>10877</v>
      </c>
    </row>
    <row r="32757" customFormat="false" ht="12.8" hidden="false" customHeight="false" outlineLevel="0" collapsed="false">
      <c r="B32757" s="0" t="s">
        <v>12707</v>
      </c>
      <c r="C32757" s="0" t="s">
        <v>10878</v>
      </c>
      <c r="E32757" s="0" t="s">
        <v>532</v>
      </c>
      <c r="F32757" s="0" t="s">
        <v>10879</v>
      </c>
    </row>
    <row r="32759" customFormat="false" ht="12.8" hidden="false" customHeight="false" outlineLevel="0" collapsed="false">
      <c r="A32759" s="0" t="s">
        <v>12708</v>
      </c>
      <c r="B32759" s="0" t="str">
        <f aca="false">HYPERLINK("https://lindat.mff.cuni.cz/services/teitok/pdtc10/index.php?action=vallex&amp;frame=v-w4528f1", "prosazovat se (v-w4528f1)")</f>
        <v>prosazovat se (v-w4528f1)</v>
      </c>
      <c r="E32759" s="0" t="str">
        <f aca="false">HYPERLINK("https://lindat.mff.cuni.cz/services/SynSemClass40/SynSemClass40.html?veclass=vec00689#vec00689-ces-cm00006", "vec00689")</f>
        <v>vec00689</v>
      </c>
      <c r="F32759" s="0" t="s">
        <v>12694</v>
      </c>
    </row>
    <row r="32760" customFormat="false" ht="12.8" hidden="false" customHeight="false" outlineLevel="0" collapsed="false">
      <c r="B32760" s="0" t="s">
        <v>1</v>
      </c>
      <c r="C32760" s="0" t="s">
        <v>12702</v>
      </c>
      <c r="E32760" s="0" t="s">
        <v>2106</v>
      </c>
      <c r="F32760" s="0" t="s">
        <v>12696</v>
      </c>
    </row>
    <row r="32762" customFormat="false" ht="12.8" hidden="false" customHeight="false" outlineLevel="0" collapsed="false">
      <c r="A32762" s="0" t="s">
        <v>12709</v>
      </c>
      <c r="B32762" s="0" t="str">
        <f aca="false">HYPERLINK("https://lindat.mff.cuni.cz/services/teitok/pdtc10/index.php?action=vallex&amp;frame=v-w10885f2", "prosedět (v-w10885f2)")</f>
        <v>prosedět (v-w10885f2)</v>
      </c>
    </row>
    <row r="32763" customFormat="false" ht="12.8" hidden="false" customHeight="false" outlineLevel="0" collapsed="false">
      <c r="B32763" s="0" t="s">
        <v>1</v>
      </c>
    </row>
    <row r="32764" customFormat="false" ht="12.8" hidden="false" customHeight="false" outlineLevel="0" collapsed="false">
      <c r="B32764" s="0" t="s">
        <v>8</v>
      </c>
    </row>
    <row r="32766" customFormat="false" ht="12.8" hidden="false" customHeight="false" outlineLevel="0" collapsed="false">
      <c r="A32766" s="0" t="s">
        <v>12710</v>
      </c>
      <c r="B32766" s="0" t="str">
        <f aca="false">HYPERLINK("https://lindat.mff.cuni.cz/services/teitok/pdtc10/index.php?action=vallex&amp;frame=v-w11257f1", "prosekat (v-w11257f1)")</f>
        <v>prosekat (v-w11257f1)</v>
      </c>
    </row>
    <row r="32767" customFormat="false" ht="12.8" hidden="false" customHeight="false" outlineLevel="0" collapsed="false">
      <c r="B32767" s="0" t="s">
        <v>1</v>
      </c>
    </row>
    <row r="32768" customFormat="false" ht="12.8" hidden="false" customHeight="false" outlineLevel="0" collapsed="false">
      <c r="B32768" s="0" t="s">
        <v>8</v>
      </c>
    </row>
    <row r="32770" customFormat="false" ht="12.8" hidden="false" customHeight="false" outlineLevel="0" collapsed="false">
      <c r="A32770" s="0" t="s">
        <v>12711</v>
      </c>
      <c r="B32770" s="0" t="str">
        <f aca="false">HYPERLINK("https://lindat.mff.cuni.cz/services/teitok/pdtc10/index.php?action=vallex&amp;frame=v-w4531f1", "prosekat se (v-w4531f1)")</f>
        <v>prosekat se (v-w4531f1)</v>
      </c>
      <c r="E32770" s="0" t="str">
        <f aca="false">HYPERLINK("https://lindat.mff.cuni.cz/services/SynSemClass40/SynSemClass40.html?veclass=vec00884#vec00884-ces-cm00004", "vec00884")</f>
        <v>vec00884</v>
      </c>
      <c r="F32770" s="0" t="s">
        <v>2073</v>
      </c>
      <c r="H32770" s="0" t="str">
        <f aca="false">HYPERLINK("https://lindat.mff.cuni.cz/services/SynSemClass40/SynSemClass40.html?veclass=vec00885#vec00885-ces-cm00039", "vec00885")</f>
        <v>vec00885</v>
      </c>
      <c r="I32770" s="0" t="s">
        <v>12480</v>
      </c>
    </row>
    <row r="32771" customFormat="false" ht="12.8" hidden="false" customHeight="false" outlineLevel="0" collapsed="false">
      <c r="B32771" s="0" t="s">
        <v>1</v>
      </c>
      <c r="C32771" s="0" t="s">
        <v>106</v>
      </c>
      <c r="E32771" s="0" t="s">
        <v>206</v>
      </c>
      <c r="F32771" s="0" t="s">
        <v>2075</v>
      </c>
      <c r="H32771" s="0" t="s">
        <v>1890</v>
      </c>
      <c r="I32771" s="0" t="s">
        <v>12481</v>
      </c>
    </row>
    <row r="32772" customFormat="false" ht="12.8" hidden="false" customHeight="false" outlineLevel="0" collapsed="false">
      <c r="B32772" s="0" t="s">
        <v>336</v>
      </c>
      <c r="C32772" s="0" t="s">
        <v>12712</v>
      </c>
      <c r="E32772" s="0" t="s">
        <v>12251</v>
      </c>
      <c r="F32772" s="0" t="s">
        <v>12713</v>
      </c>
      <c r="H32772" s="0" t="s">
        <v>12714</v>
      </c>
      <c r="I32772" s="0" t="s">
        <v>12715</v>
      </c>
    </row>
    <row r="32774" customFormat="false" ht="12.8" hidden="false" customHeight="false" outlineLevel="0" collapsed="false">
      <c r="A32774" s="0" t="s">
        <v>12716</v>
      </c>
      <c r="B32774" s="0" t="str">
        <f aca="false">HYPERLINK("https://lindat.mff.cuni.cz/services/teitok/pdtc10/index.php?action=vallex&amp;frame=v-w10322f3", "prosekávat (v-w10322f3)")</f>
        <v>prosekávat (v-w10322f3)</v>
      </c>
    </row>
    <row r="32775" customFormat="false" ht="12.8" hidden="false" customHeight="false" outlineLevel="0" collapsed="false">
      <c r="B32775" s="0" t="s">
        <v>1</v>
      </c>
    </row>
    <row r="32776" customFormat="false" ht="12.8" hidden="false" customHeight="false" outlineLevel="0" collapsed="false">
      <c r="B32776" s="0" t="s">
        <v>8</v>
      </c>
    </row>
    <row r="32778" customFormat="false" ht="12.8" hidden="false" customHeight="false" outlineLevel="0" collapsed="false">
      <c r="A32778" s="0" t="s">
        <v>12717</v>
      </c>
      <c r="B32778" s="0" t="str">
        <f aca="false">HYPERLINK("https://lindat.mff.cuni.cz/services/teitok/pdtc10/index.php?action=vallex&amp;frame=v-w4532f3_ZU", "prosit (v-w4532f3_ZU)")</f>
        <v>prosit (v-w4532f3_ZU)</v>
      </c>
    </row>
    <row r="32779" customFormat="false" ht="12.8" hidden="false" customHeight="false" outlineLevel="0" collapsed="false">
      <c r="B32779" s="0" t="s">
        <v>1</v>
      </c>
    </row>
    <row r="32780" customFormat="false" ht="12.8" hidden="false" customHeight="false" outlineLevel="0" collapsed="false">
      <c r="B32780" s="0" t="s">
        <v>12718</v>
      </c>
    </row>
    <row r="32781" customFormat="false" ht="12.8" hidden="false" customHeight="false" outlineLevel="0" collapsed="false">
      <c r="B32781" s="0" t="s">
        <v>98</v>
      </c>
    </row>
    <row r="32783" customFormat="false" ht="12.8" hidden="false" customHeight="false" outlineLevel="0" collapsed="false">
      <c r="A32783" s="0" t="s">
        <v>12717</v>
      </c>
      <c r="B32783" s="0" t="str">
        <f aca="false">HYPERLINK("https://lindat.mff.cuni.cz/services/teitok/pdtc10/index.php?action=vallex&amp;frame=v-w4532f1", "prosit (v-w4532f1) - substituted with v-w4532f3_ZU")</f>
        <v>prosit (v-w4532f1) - substituted with v-w4532f3_ZU</v>
      </c>
      <c r="E32783" s="0" t="str">
        <f aca="false">HYPERLINK("https://lindat.mff.cuni.cz/services/SynSemClass40/SynSemClass40.html?veclass=vec01495#vec01495-ces-cm00028", "vec01495")</f>
        <v>vec01495</v>
      </c>
      <c r="F32783" s="0" t="s">
        <v>6335</v>
      </c>
    </row>
    <row r="32784" customFormat="false" ht="12.8" hidden="false" customHeight="false" outlineLevel="0" collapsed="false">
      <c r="B32784" s="0" t="s">
        <v>1</v>
      </c>
      <c r="C32784" s="0" t="s">
        <v>6336</v>
      </c>
      <c r="E32784" s="0" t="s">
        <v>147</v>
      </c>
      <c r="F32784" s="0" t="s">
        <v>6337</v>
      </c>
    </row>
    <row r="32785" customFormat="false" ht="12.8" hidden="false" customHeight="false" outlineLevel="0" collapsed="false">
      <c r="B32785" s="0" t="s">
        <v>12718</v>
      </c>
      <c r="C32785" s="0" t="s">
        <v>6338</v>
      </c>
      <c r="E32785" s="0" t="s">
        <v>50</v>
      </c>
      <c r="F32785" s="0" t="s">
        <v>6339</v>
      </c>
    </row>
    <row r="32786" customFormat="false" ht="12.8" hidden="false" customHeight="false" outlineLevel="0" collapsed="false">
      <c r="B32786" s="0" t="s">
        <v>98</v>
      </c>
      <c r="C32786" s="0" t="s">
        <v>11365</v>
      </c>
      <c r="E32786" s="0" t="s">
        <v>8489</v>
      </c>
      <c r="F32786" s="0" t="s">
        <v>8490</v>
      </c>
    </row>
    <row r="32788" customFormat="false" ht="12.8" hidden="false" customHeight="false" outlineLevel="0" collapsed="false">
      <c r="A32788" s="0" t="s">
        <v>12717</v>
      </c>
      <c r="B32788" s="0" t="str">
        <f aca="false">HYPERLINK("https://lindat.mff.cuni.cz/services/teitok/pdtc10/index.php?action=vallex&amp;frame=v-w4532f2_ZU", "prosit (v-w4532f2_ZU) - substituted with v-w4532f3_ZU")</f>
        <v>prosit (v-w4532f2_ZU) - substituted with v-w4532f3_ZU</v>
      </c>
    </row>
    <row r="32789" customFormat="false" ht="12.8" hidden="false" customHeight="false" outlineLevel="0" collapsed="false">
      <c r="B32789" s="0" t="s">
        <v>1</v>
      </c>
    </row>
    <row r="32790" customFormat="false" ht="12.8" hidden="false" customHeight="false" outlineLevel="0" collapsed="false">
      <c r="B32790" s="0" t="s">
        <v>12718</v>
      </c>
    </row>
    <row r="32791" customFormat="false" ht="12.8" hidden="false" customHeight="false" outlineLevel="0" collapsed="false">
      <c r="B32791" s="0" t="s">
        <v>98</v>
      </c>
    </row>
    <row r="32793" customFormat="false" ht="12.8" hidden="false" customHeight="false" outlineLevel="0" collapsed="false">
      <c r="A32793" s="0" t="s">
        <v>12717</v>
      </c>
      <c r="B32793" s="0" t="str">
        <f aca="false">HYPERLINK("https://lindat.mff.cuni.cz/services/teitok/pdtc10/index.php?action=vallex&amp;frame=v-w4532hsa_1404", "prosit (v-w4532hsa_1404) - substituted with v-w4532f3_ZU")</f>
        <v>prosit (v-w4532hsa_1404) - substituted with v-w4532f3_ZU</v>
      </c>
    </row>
    <row r="32794" customFormat="false" ht="12.8" hidden="false" customHeight="false" outlineLevel="0" collapsed="false">
      <c r="B32794" s="0" t="s">
        <v>1</v>
      </c>
    </row>
    <row r="32795" customFormat="false" ht="12.8" hidden="false" customHeight="false" outlineLevel="0" collapsed="false">
      <c r="B32795" s="0" t="s">
        <v>12718</v>
      </c>
    </row>
    <row r="32796" customFormat="false" ht="12.8" hidden="false" customHeight="false" outlineLevel="0" collapsed="false">
      <c r="B32796" s="0" t="s">
        <v>98</v>
      </c>
    </row>
    <row r="32798" customFormat="false" ht="12.8" hidden="false" customHeight="false" outlineLevel="0" collapsed="false">
      <c r="A32798" s="0" t="s">
        <v>12719</v>
      </c>
      <c r="B32798" s="0" t="str">
        <f aca="false">HYPERLINK("https://lindat.mff.cuni.cz/services/teitok/pdtc10/index.php?action=vallex&amp;frame=v-w4533f2", "proskočit (v-w4533f2)")</f>
        <v>proskočit (v-w4533f2)</v>
      </c>
    </row>
    <row r="32799" customFormat="false" ht="12.8" hidden="false" customHeight="false" outlineLevel="0" collapsed="false">
      <c r="B32799" s="0" t="s">
        <v>1</v>
      </c>
    </row>
    <row r="32800" customFormat="false" ht="12.8" hidden="false" customHeight="false" outlineLevel="0" collapsed="false">
      <c r="B32800" s="0" t="s">
        <v>8</v>
      </c>
    </row>
    <row r="32802" customFormat="false" ht="12.8" hidden="false" customHeight="false" outlineLevel="0" collapsed="false">
      <c r="A32802" s="0" t="s">
        <v>12720</v>
      </c>
      <c r="B32802" s="0" t="str">
        <f aca="false">HYPERLINK("https://lindat.mff.cuni.cz/services/teitok/pdtc10/index.php?action=vallex&amp;frame=v-w4533f1", "proskočit (v-w4533f1)")</f>
        <v>proskočit (v-w4533f1)</v>
      </c>
    </row>
    <row r="32803" customFormat="false" ht="12.8" hidden="false" customHeight="false" outlineLevel="0" collapsed="false">
      <c r="B32803" s="0" t="s">
        <v>1</v>
      </c>
    </row>
    <row r="32804" customFormat="false" ht="12.8" hidden="false" customHeight="false" outlineLevel="0" collapsed="false">
      <c r="B32804" s="0" t="s">
        <v>336</v>
      </c>
    </row>
    <row r="32806" customFormat="false" ht="12.8" hidden="false" customHeight="false" outlineLevel="0" collapsed="false">
      <c r="A32806" s="0" t="s">
        <v>12721</v>
      </c>
      <c r="B32806" s="0" t="str">
        <f aca="false">HYPERLINK("https://lindat.mff.cuni.cz/services/teitok/pdtc10/index.php?action=vallex&amp;frame=v-w4534f1", "proslavit (v-w4534f1)")</f>
        <v>proslavit (v-w4534f1)</v>
      </c>
    </row>
    <row r="32807" customFormat="false" ht="12.8" hidden="false" customHeight="false" outlineLevel="0" collapsed="false">
      <c r="B32807" s="0" t="s">
        <v>1</v>
      </c>
    </row>
    <row r="32808" customFormat="false" ht="12.8" hidden="false" customHeight="false" outlineLevel="0" collapsed="false">
      <c r="B32808" s="0" t="s">
        <v>8</v>
      </c>
    </row>
    <row r="32810" customFormat="false" ht="12.8" hidden="false" customHeight="false" outlineLevel="0" collapsed="false">
      <c r="A32810" s="0" t="s">
        <v>12722</v>
      </c>
      <c r="B32810" s="0" t="str">
        <f aca="false">HYPERLINK("https://lindat.mff.cuni.cz/services/teitok/pdtc10/index.php?action=vallex&amp;frame=v-w4535f1", "proslavit se (v-w4535f1)")</f>
        <v>proslavit se (v-w4535f1)</v>
      </c>
    </row>
    <row r="32811" customFormat="false" ht="12.8" hidden="false" customHeight="false" outlineLevel="0" collapsed="false">
      <c r="B32811" s="0" t="s">
        <v>1</v>
      </c>
    </row>
    <row r="32813" customFormat="false" ht="12.8" hidden="false" customHeight="false" outlineLevel="0" collapsed="false">
      <c r="A32813" s="0" t="s">
        <v>12723</v>
      </c>
      <c r="B32813" s="0" t="str">
        <f aca="false">HYPERLINK("https://lindat.mff.cuni.cz/services/teitok/pdtc10/index.php?action=vallex&amp;frame=v-w11375f1", "proslechnout se (v-w11375f1)")</f>
        <v>proslechnout se (v-w11375f1)</v>
      </c>
    </row>
    <row r="32814" customFormat="false" ht="12.8" hidden="false" customHeight="false" outlineLevel="0" collapsed="false">
      <c r="B32814" s="0" t="s">
        <v>1102</v>
      </c>
    </row>
    <row r="32816" customFormat="false" ht="12.8" hidden="false" customHeight="false" outlineLevel="0" collapsed="false">
      <c r="A32816" s="0" t="s">
        <v>12724</v>
      </c>
      <c r="B32816" s="0" t="str">
        <f aca="false">HYPERLINK("https://lindat.mff.cuni.cz/services/teitok/pdtc10/index.php?action=vallex&amp;frame=v-w4536f1", "proslout (v-w4536f1)")</f>
        <v>proslout (v-w4536f1)</v>
      </c>
    </row>
    <row r="32817" customFormat="false" ht="12.8" hidden="false" customHeight="false" outlineLevel="0" collapsed="false">
      <c r="B32817" s="0" t="s">
        <v>1</v>
      </c>
    </row>
    <row r="32819" customFormat="false" ht="12.8" hidden="false" customHeight="false" outlineLevel="0" collapsed="false">
      <c r="A32819" s="0" t="s">
        <v>12725</v>
      </c>
      <c r="B32819" s="0" t="str">
        <f aca="false">HYPERLINK("https://lindat.mff.cuni.cz/services/teitok/pdtc10/index.php?action=vallex&amp;frame=v-w4537f1", "proslovit (v-w4537f1)")</f>
        <v>proslovit (v-w4537f1)</v>
      </c>
      <c r="E32819" s="0" t="str">
        <f aca="false">HYPERLINK("https://lindat.mff.cuni.cz/services/SynSemClass40/SynSemClass40.html?veclass=vec01431#vec01431-ces-cm00003", "vec01431")</f>
        <v>vec01431</v>
      </c>
      <c r="F32819" s="0" t="s">
        <v>12585</v>
      </c>
    </row>
    <row r="32820" customFormat="false" ht="12.8" hidden="false" customHeight="false" outlineLevel="0" collapsed="false">
      <c r="B32820" s="0" t="s">
        <v>1</v>
      </c>
      <c r="E32820" s="0" t="s">
        <v>147</v>
      </c>
      <c r="F32820" s="0" t="s">
        <v>5874</v>
      </c>
    </row>
    <row r="32821" customFormat="false" ht="12.8" hidden="false" customHeight="false" outlineLevel="0" collapsed="false">
      <c r="B32821" s="0" t="s">
        <v>8</v>
      </c>
      <c r="E32821" s="0" t="s">
        <v>218</v>
      </c>
      <c r="F32821" s="0" t="s">
        <v>12586</v>
      </c>
    </row>
    <row r="32822" customFormat="false" ht="12.8" hidden="false" customHeight="false" outlineLevel="0" collapsed="false">
      <c r="B32822" s="0" t="s">
        <v>11006</v>
      </c>
      <c r="E32822" s="0" t="s">
        <v>221</v>
      </c>
      <c r="F32822" s="0" t="s">
        <v>4699</v>
      </c>
    </row>
    <row r="32824" customFormat="false" ht="12.8" hidden="false" customHeight="false" outlineLevel="0" collapsed="false">
      <c r="A32824" s="0" t="s">
        <v>12726</v>
      </c>
      <c r="B32824" s="0" t="str">
        <f aca="false">HYPERLINK("https://lindat.mff.cuni.cz/services/teitok/pdtc10/index.php?action=vallex&amp;frame=v-w4539f2_ZU", "proslýchat se (v-w4539f2_ZU)")</f>
        <v>proslýchat se (v-w4539f2_ZU)</v>
      </c>
      <c r="E32824" s="0" t="str">
        <f aca="false">HYPERLINK("https://lindat.mff.cuni.cz/services/SynSemClass40/SynSemClass40.html?veclass=vec01278#vec01278-ces-cm00002", "vec01278")</f>
        <v>vec01278</v>
      </c>
      <c r="F32824" s="0" t="s">
        <v>11861</v>
      </c>
    </row>
    <row r="32825" customFormat="false" ht="12.8" hidden="false" customHeight="false" outlineLevel="0" collapsed="false">
      <c r="B32825" s="0" t="s">
        <v>843</v>
      </c>
      <c r="E32825" s="0" t="s">
        <v>12727</v>
      </c>
      <c r="F32825" s="0" t="s">
        <v>12728</v>
      </c>
    </row>
    <row r="32826" customFormat="false" ht="12.8" hidden="false" customHeight="false" outlineLevel="0" collapsed="false">
      <c r="B32826" s="0" t="s">
        <v>496</v>
      </c>
      <c r="E32826" s="0" t="s">
        <v>209</v>
      </c>
      <c r="F32826" s="0" t="s">
        <v>11127</v>
      </c>
    </row>
    <row r="32828" customFormat="false" ht="12.8" hidden="false" customHeight="false" outlineLevel="0" collapsed="false">
      <c r="A32828" s="0" t="s">
        <v>12726</v>
      </c>
      <c r="B32828" s="0" t="str">
        <f aca="false">HYPERLINK("https://lindat.mff.cuni.cz/services/teitok/pdtc10/index.php?action=vallex&amp;frame=v-w4539f1", "proslýchat se (v-w4539f1) - substituted with v-w4539f2_ZU")</f>
        <v>proslýchat se (v-w4539f1) - substituted with v-w4539f2_ZU</v>
      </c>
    </row>
    <row r="32829" customFormat="false" ht="12.8" hidden="false" customHeight="false" outlineLevel="0" collapsed="false">
      <c r="B32829" s="0" t="s">
        <v>843</v>
      </c>
    </row>
    <row r="32830" customFormat="false" ht="12.8" hidden="false" customHeight="false" outlineLevel="0" collapsed="false">
      <c r="B32830" s="0" t="s">
        <v>496</v>
      </c>
    </row>
    <row r="32832" customFormat="false" ht="12.8" hidden="false" customHeight="false" outlineLevel="0" collapsed="false">
      <c r="A32832" s="0" t="s">
        <v>12729</v>
      </c>
      <c r="B32832" s="0" t="str">
        <f aca="false">HYPERLINK("https://lindat.mff.cuni.cz/services/teitok/pdtc10/index.php?action=vallex&amp;frame=v-whsa_410f1_ZU", "prosmát (v-whsa_410f1_ZU)")</f>
        <v>prosmát (v-whsa_410f1_ZU)</v>
      </c>
    </row>
    <row r="32833" customFormat="false" ht="12.8" hidden="false" customHeight="false" outlineLevel="0" collapsed="false">
      <c r="B32833" s="0" t="s">
        <v>1</v>
      </c>
    </row>
    <row r="32834" customFormat="false" ht="12.8" hidden="false" customHeight="false" outlineLevel="0" collapsed="false">
      <c r="B32834" s="0" t="s">
        <v>8</v>
      </c>
    </row>
    <row r="32836" customFormat="false" ht="12.8" hidden="false" customHeight="false" outlineLevel="0" collapsed="false">
      <c r="A32836" s="0" t="s">
        <v>12729</v>
      </c>
      <c r="B32836" s="0" t="str">
        <f aca="false">HYPERLINK("https://lindat.mff.cuni.cz/services/teitok/pdtc10/index.php?action=vallex&amp;frame=v-whsa_410hsa_411", "prosmát (v-whsa_410hsa_411) - substituted with v-whsa_410f1_ZU")</f>
        <v>prosmát (v-whsa_410hsa_411) - substituted with v-whsa_410f1_ZU</v>
      </c>
    </row>
    <row r="32837" customFormat="false" ht="12.8" hidden="false" customHeight="false" outlineLevel="0" collapsed="false">
      <c r="B32837" s="0" t="s">
        <v>1</v>
      </c>
    </row>
    <row r="32838" customFormat="false" ht="12.8" hidden="false" customHeight="false" outlineLevel="0" collapsed="false">
      <c r="B32838" s="0" t="s">
        <v>8</v>
      </c>
    </row>
    <row r="32840" customFormat="false" ht="12.8" hidden="false" customHeight="false" outlineLevel="0" collapsed="false">
      <c r="A32840" s="0" t="s">
        <v>12730</v>
      </c>
      <c r="B32840" s="0" t="str">
        <f aca="false">HYPERLINK("https://lindat.mff.cuni.cz/services/teitok/pdtc10/index.php?action=vallex&amp;frame=v-w11569_ZUf1_ZU", "prosmát se (v-w11569_ZUf1_ZU)")</f>
        <v>prosmát se (v-w11569_ZUf1_ZU)</v>
      </c>
    </row>
    <row r="32841" customFormat="false" ht="12.8" hidden="false" customHeight="false" outlineLevel="0" collapsed="false">
      <c r="B32841" s="0" t="s">
        <v>1</v>
      </c>
    </row>
    <row r="32842" customFormat="false" ht="12.8" hidden="false" customHeight="false" outlineLevel="0" collapsed="false">
      <c r="B32842" s="0" t="s">
        <v>4966</v>
      </c>
    </row>
    <row r="32844" customFormat="false" ht="12.8" hidden="false" customHeight="false" outlineLevel="0" collapsed="false">
      <c r="A32844" s="0" t="s">
        <v>12731</v>
      </c>
      <c r="B32844" s="0" t="str">
        <f aca="false">HYPERLINK("https://lindat.mff.cuni.cz/services/teitok/pdtc10/index.php?action=vallex&amp;frame=v-w11569_ZUhsa_293", "prosmát se (v-w11569_ZUhsa_293)")</f>
        <v>prosmát se (v-w11569_ZUhsa_293)</v>
      </c>
    </row>
    <row r="32845" customFormat="false" ht="12.8" hidden="false" customHeight="false" outlineLevel="0" collapsed="false">
      <c r="B32845" s="0" t="s">
        <v>1</v>
      </c>
    </row>
    <row r="32846" customFormat="false" ht="12.8" hidden="false" customHeight="false" outlineLevel="0" collapsed="false">
      <c r="B32846" s="0" t="s">
        <v>164</v>
      </c>
    </row>
    <row r="32848" customFormat="false" ht="12.8" hidden="false" customHeight="false" outlineLevel="0" collapsed="false">
      <c r="A32848" s="0" t="s">
        <v>12732</v>
      </c>
      <c r="B32848" s="0" t="str">
        <f aca="false">HYPERLINK("https://lindat.mff.cuni.cz/services/teitok/pdtc10/index.php?action=vallex&amp;frame=v-w11691_ZUf1_ZU", "prosolovat (v-w11691_ZUf1_ZU)")</f>
        <v>prosolovat (v-w11691_ZUf1_ZU)</v>
      </c>
    </row>
    <row r="32849" customFormat="false" ht="12.8" hidden="false" customHeight="false" outlineLevel="0" collapsed="false">
      <c r="B32849" s="0" t="s">
        <v>1</v>
      </c>
    </row>
    <row r="32850" customFormat="false" ht="12.8" hidden="false" customHeight="false" outlineLevel="0" collapsed="false">
      <c r="B32850" s="0" t="s">
        <v>8</v>
      </c>
    </row>
    <row r="32852" customFormat="false" ht="12.8" hidden="false" customHeight="false" outlineLevel="0" collapsed="false">
      <c r="A32852" s="0" t="s">
        <v>12733</v>
      </c>
      <c r="B32852" s="0" t="str">
        <f aca="false">HYPERLINK("https://lindat.mff.cuni.cz/services/teitok/pdtc10/index.php?action=vallex&amp;frame=v-w11471f1", "prospat (v-w11471f1)")</f>
        <v>prospat (v-w11471f1)</v>
      </c>
      <c r="E32852" s="0" t="str">
        <f aca="false">HYPERLINK("https://lindat.mff.cuni.cz/services/SynSemClass40/SynSemClass40.html?veclass=vec01279#vec01279-ces-cm00003", "vec01279")</f>
        <v>vec01279</v>
      </c>
      <c r="F32852" s="0" t="s">
        <v>12734</v>
      </c>
    </row>
    <row r="32853" customFormat="false" ht="12.8" hidden="false" customHeight="false" outlineLevel="0" collapsed="false">
      <c r="B32853" s="0" t="s">
        <v>1</v>
      </c>
      <c r="C32853" s="0" t="s">
        <v>4695</v>
      </c>
      <c r="E32853" s="0" t="s">
        <v>11</v>
      </c>
      <c r="F32853" s="0" t="s">
        <v>5950</v>
      </c>
    </row>
    <row r="32854" customFormat="false" ht="12.8" hidden="false" customHeight="false" outlineLevel="0" collapsed="false">
      <c r="B32854" s="0" t="s">
        <v>8</v>
      </c>
      <c r="E32854" s="0" t="s">
        <v>188</v>
      </c>
      <c r="F32854" s="0" t="s">
        <v>12735</v>
      </c>
    </row>
    <row r="32856" customFormat="false" ht="12.8" hidden="false" customHeight="false" outlineLevel="0" collapsed="false">
      <c r="A32856" s="0" t="s">
        <v>12736</v>
      </c>
      <c r="B32856" s="0" t="str">
        <f aca="false">HYPERLINK("https://lindat.mff.cuni.cz/services/teitok/pdtc10/index.php?action=vallex&amp;frame=v-w4540f1", "prospat se (v-w4540f1)")</f>
        <v>prospat se (v-w4540f1)</v>
      </c>
    </row>
    <row r="32857" customFormat="false" ht="12.8" hidden="false" customHeight="false" outlineLevel="0" collapsed="false">
      <c r="B32857" s="0" t="s">
        <v>1</v>
      </c>
    </row>
    <row r="32859" customFormat="false" ht="12.8" hidden="false" customHeight="false" outlineLevel="0" collapsed="false">
      <c r="A32859" s="0" t="s">
        <v>12737</v>
      </c>
      <c r="B32859" s="0" t="str">
        <f aca="false">HYPERLINK("https://lindat.mff.cuni.cz/services/teitok/pdtc10/index.php?action=vallex&amp;frame=v-w4543f2_ZU", "prosperovat (v-w4543f2_ZU)")</f>
        <v>prosperovat (v-w4543f2_ZU)</v>
      </c>
      <c r="E32859" s="0" t="str">
        <f aca="false">HYPERLINK("https://lindat.mff.cuni.cz/services/SynSemClass40/SynSemClass40.html?veclass=vec00510#vec00510-ces-cm00049", "vec00510")</f>
        <v>vec00510</v>
      </c>
      <c r="F32859" s="0" t="s">
        <v>4074</v>
      </c>
    </row>
    <row r="32860" customFormat="false" ht="12.8" hidden="false" customHeight="false" outlineLevel="0" collapsed="false">
      <c r="B32860" s="0" t="s">
        <v>1</v>
      </c>
      <c r="C32860" s="0" t="s">
        <v>5871</v>
      </c>
      <c r="E32860" s="0" t="s">
        <v>84</v>
      </c>
      <c r="F32860" s="0" t="s">
        <v>4077</v>
      </c>
    </row>
    <row r="32861" customFormat="false" ht="12.8" hidden="false" customHeight="false" outlineLevel="0" collapsed="false">
      <c r="B32861" s="0" t="s">
        <v>12738</v>
      </c>
    </row>
    <row r="32863" customFormat="false" ht="12.8" hidden="false" customHeight="false" outlineLevel="0" collapsed="false">
      <c r="A32863" s="0" t="s">
        <v>12737</v>
      </c>
      <c r="B32863" s="0" t="str">
        <f aca="false">HYPERLINK("https://lindat.mff.cuni.cz/services/teitok/pdtc10/index.php?action=vallex&amp;frame=v-w4543f1", "prosperovat (v-w4543f1) - substituted with v-w4543f2_ZU")</f>
        <v>prosperovat (v-w4543f1) - substituted with v-w4543f2_ZU</v>
      </c>
    </row>
    <row r="32864" customFormat="false" ht="12.8" hidden="false" customHeight="false" outlineLevel="0" collapsed="false">
      <c r="B32864" s="0" t="s">
        <v>1</v>
      </c>
    </row>
    <row r="32865" customFormat="false" ht="12.8" hidden="false" customHeight="false" outlineLevel="0" collapsed="false">
      <c r="B32865" s="0" t="s">
        <v>12738</v>
      </c>
    </row>
    <row r="32867" customFormat="false" ht="12.8" hidden="false" customHeight="false" outlineLevel="0" collapsed="false">
      <c r="A32867" s="0" t="s">
        <v>12737</v>
      </c>
      <c r="B32867" s="0" t="str">
        <f aca="false">HYPERLINK("https://lindat.mff.cuni.cz/services/teitok/pdtc10/index.php?action=vallex&amp;frame=v-w4543hsa_983", "prosperovat (v-w4543hsa_983) - substituted with v-w4543f2_ZU")</f>
        <v>prosperovat (v-w4543hsa_983) - substituted with v-w4543f2_ZU</v>
      </c>
    </row>
    <row r="32868" customFormat="false" ht="12.8" hidden="false" customHeight="false" outlineLevel="0" collapsed="false">
      <c r="B32868" s="0" t="s">
        <v>1</v>
      </c>
    </row>
    <row r="32869" customFormat="false" ht="12.8" hidden="false" customHeight="false" outlineLevel="0" collapsed="false">
      <c r="B32869" s="0" t="s">
        <v>12738</v>
      </c>
    </row>
    <row r="32871" customFormat="false" ht="12.8" hidden="false" customHeight="false" outlineLevel="0" collapsed="false">
      <c r="A32871" s="0" t="s">
        <v>12739</v>
      </c>
      <c r="B32871" s="0" t="str">
        <f aca="false">HYPERLINK("https://lindat.mff.cuni.cz/services/teitok/pdtc10/index.php?action=vallex&amp;frame=v-w4547f1", "prospívat (v-w4547f1)")</f>
        <v>prospívat (v-w4547f1)</v>
      </c>
    </row>
    <row r="32872" customFormat="false" ht="12.8" hidden="false" customHeight="false" outlineLevel="0" collapsed="false">
      <c r="B32872" s="0" t="s">
        <v>1181</v>
      </c>
    </row>
    <row r="32873" customFormat="false" ht="12.8" hidden="false" customHeight="false" outlineLevel="0" collapsed="false">
      <c r="B32873" s="0" t="s">
        <v>186</v>
      </c>
    </row>
    <row r="32875" customFormat="false" ht="12.8" hidden="false" customHeight="false" outlineLevel="0" collapsed="false">
      <c r="A32875" s="0" t="s">
        <v>12740</v>
      </c>
      <c r="B32875" s="0" t="str">
        <f aca="false">HYPERLINK("https://lindat.mff.cuni.cz/services/teitok/pdtc10/index.php?action=vallex&amp;frame=v-w4547f2", "prospívat (v-w4547f2)")</f>
        <v>prospívat (v-w4547f2)</v>
      </c>
    </row>
    <row r="32876" customFormat="false" ht="12.8" hidden="false" customHeight="false" outlineLevel="0" collapsed="false">
      <c r="B32876" s="0" t="s">
        <v>1</v>
      </c>
    </row>
    <row r="32878" customFormat="false" ht="12.8" hidden="false" customHeight="false" outlineLevel="0" collapsed="false">
      <c r="A32878" s="0" t="s">
        <v>12741</v>
      </c>
      <c r="B32878" s="0" t="str">
        <f aca="false">HYPERLINK("https://lindat.mff.cuni.cz/services/teitok/pdtc10/index.php?action=vallex&amp;frame=v-w4545f1", "prospět (v-w4545f1)")</f>
        <v>prospět (v-w4545f1)</v>
      </c>
    </row>
    <row r="32879" customFormat="false" ht="12.8" hidden="false" customHeight="false" outlineLevel="0" collapsed="false">
      <c r="B32879" s="0" t="s">
        <v>1181</v>
      </c>
    </row>
    <row r="32880" customFormat="false" ht="12.8" hidden="false" customHeight="false" outlineLevel="0" collapsed="false">
      <c r="B32880" s="0" t="s">
        <v>186</v>
      </c>
    </row>
    <row r="32882" customFormat="false" ht="12.8" hidden="false" customHeight="false" outlineLevel="0" collapsed="false">
      <c r="A32882" s="0" t="s">
        <v>12742</v>
      </c>
      <c r="B32882" s="0" t="str">
        <f aca="false">HYPERLINK("https://lindat.mff.cuni.cz/services/teitok/pdtc10/index.php?action=vallex&amp;frame=v-w4545f2", "prospět (v-w4545f2)")</f>
        <v>prospět (v-w4545f2)</v>
      </c>
    </row>
    <row r="32883" customFormat="false" ht="12.8" hidden="false" customHeight="false" outlineLevel="0" collapsed="false">
      <c r="B32883" s="0" t="s">
        <v>1</v>
      </c>
    </row>
    <row r="32885" customFormat="false" ht="12.8" hidden="false" customHeight="false" outlineLevel="0" collapsed="false">
      <c r="A32885" s="0" t="s">
        <v>12743</v>
      </c>
      <c r="B32885" s="0" t="str">
        <f aca="false">HYPERLINK("https://lindat.mff.cuni.cz/services/teitok/pdtc10/index.php?action=vallex&amp;frame=v-w4548f2", "prostavět (v-w4548f2)")</f>
        <v>prostavět (v-w4548f2)</v>
      </c>
    </row>
    <row r="32886" customFormat="false" ht="12.8" hidden="false" customHeight="false" outlineLevel="0" collapsed="false">
      <c r="B32886" s="0" t="s">
        <v>1</v>
      </c>
    </row>
    <row r="32887" customFormat="false" ht="12.8" hidden="false" customHeight="false" outlineLevel="0" collapsed="false">
      <c r="B32887" s="0" t="s">
        <v>8</v>
      </c>
    </row>
    <row r="32888" customFormat="false" ht="12.8" hidden="false" customHeight="false" outlineLevel="0" collapsed="false">
      <c r="B32888" s="0" t="s">
        <v>723</v>
      </c>
    </row>
    <row r="32890" customFormat="false" ht="12.8" hidden="false" customHeight="false" outlineLevel="0" collapsed="false">
      <c r="A32890" s="0" t="s">
        <v>12744</v>
      </c>
      <c r="B32890" s="0" t="str">
        <f aca="false">HYPERLINK("https://lindat.mff.cuni.cz/services/teitok/pdtc10/index.php?action=vallex&amp;frame=v-w4548f1", "prostavět (v-w4548f1)")</f>
        <v>prostavět (v-w4548f1)</v>
      </c>
    </row>
    <row r="32891" customFormat="false" ht="12.8" hidden="false" customHeight="false" outlineLevel="0" collapsed="false">
      <c r="B32891" s="0" t="s">
        <v>1</v>
      </c>
    </row>
    <row r="32892" customFormat="false" ht="12.8" hidden="false" customHeight="false" outlineLevel="0" collapsed="false">
      <c r="B32892" s="0" t="s">
        <v>865</v>
      </c>
    </row>
    <row r="32893" customFormat="false" ht="12.8" hidden="false" customHeight="false" outlineLevel="0" collapsed="false">
      <c r="B32893" s="0" t="s">
        <v>2069</v>
      </c>
    </row>
    <row r="32895" customFormat="false" ht="12.8" hidden="false" customHeight="false" outlineLevel="0" collapsed="false">
      <c r="A32895" s="0" t="s">
        <v>12745</v>
      </c>
      <c r="B32895" s="0" t="str">
        <f aca="false">HYPERLINK("https://lindat.mff.cuni.cz/services/teitok/pdtc10/index.php?action=vallex&amp;frame=v-w4548hsa_1661", "prostavět (v-w4548hsa_1661)")</f>
        <v>prostavět (v-w4548hsa_1661)</v>
      </c>
    </row>
    <row r="32896" customFormat="false" ht="12.8" hidden="false" customHeight="false" outlineLevel="0" collapsed="false">
      <c r="B32896" s="0" t="s">
        <v>1</v>
      </c>
    </row>
    <row r="32897" customFormat="false" ht="12.8" hidden="false" customHeight="false" outlineLevel="0" collapsed="false">
      <c r="B32897" s="0" t="s">
        <v>8</v>
      </c>
    </row>
    <row r="32899" customFormat="false" ht="12.8" hidden="false" customHeight="false" outlineLevel="0" collapsed="false">
      <c r="A32899" s="0" t="s">
        <v>12746</v>
      </c>
      <c r="B32899" s="0" t="str">
        <f aca="false">HYPERLINK("https://lindat.mff.cuni.cz/services/teitok/pdtc10/index.php?action=vallex&amp;frame=v-w4549f1", "prostavět se (v-w4549f1)")</f>
        <v>prostavět se (v-w4549f1)</v>
      </c>
    </row>
    <row r="32900" customFormat="false" ht="12.8" hidden="false" customHeight="false" outlineLevel="0" collapsed="false">
      <c r="B32900" s="0" t="s">
        <v>1</v>
      </c>
    </row>
    <row r="32901" customFormat="false" ht="12.8" hidden="false" customHeight="false" outlineLevel="0" collapsed="false">
      <c r="B32901" s="0" t="s">
        <v>164</v>
      </c>
    </row>
    <row r="32903" customFormat="false" ht="12.8" hidden="false" customHeight="false" outlineLevel="0" collapsed="false">
      <c r="A32903" s="0" t="s">
        <v>12747</v>
      </c>
      <c r="B32903" s="0" t="str">
        <f aca="false">HYPERLINK("https://lindat.mff.cuni.cz/services/teitok/pdtc10/index.php?action=vallex&amp;frame=v-w4550f1", "prostituovat se (v-w4550f1)")</f>
        <v>prostituovat se (v-w4550f1)</v>
      </c>
    </row>
    <row r="32904" customFormat="false" ht="12.8" hidden="false" customHeight="false" outlineLevel="0" collapsed="false">
      <c r="B32904" s="0" t="s">
        <v>1</v>
      </c>
    </row>
    <row r="32906" customFormat="false" ht="12.8" hidden="false" customHeight="false" outlineLevel="0" collapsed="false">
      <c r="A32906" s="0" t="s">
        <v>12748</v>
      </c>
      <c r="B32906" s="0" t="str">
        <f aca="false">HYPERLINK("https://lindat.mff.cuni.cz/services/teitok/pdtc10/index.php?action=vallex&amp;frame=v-w4553f1", "prostoupit (v-w4553f1)")</f>
        <v>prostoupit (v-w4553f1)</v>
      </c>
      <c r="E32906" s="0" t="str">
        <f aca="false">HYPERLINK("https://lindat.mff.cuni.cz/services/SynSemClass40/SynSemClass40.html?veclass=vec00576#vec00576-ces-cm00008", "vec00576")</f>
        <v>vec00576</v>
      </c>
      <c r="F32906" s="0" t="s">
        <v>8601</v>
      </c>
    </row>
    <row r="32907" customFormat="false" ht="12.8" hidden="false" customHeight="false" outlineLevel="0" collapsed="false">
      <c r="B32907" s="0" t="s">
        <v>1</v>
      </c>
      <c r="C32907" s="0" t="s">
        <v>8602</v>
      </c>
      <c r="E32907" s="0" t="s">
        <v>957</v>
      </c>
      <c r="F32907" s="0" t="s">
        <v>8603</v>
      </c>
    </row>
    <row r="32908" customFormat="false" ht="12.8" hidden="false" customHeight="false" outlineLevel="0" collapsed="false">
      <c r="B32908" s="0" t="s">
        <v>8</v>
      </c>
      <c r="C32908" s="0" t="s">
        <v>8604</v>
      </c>
      <c r="E32908" s="0" t="s">
        <v>142</v>
      </c>
      <c r="F32908" s="0" t="s">
        <v>8605</v>
      </c>
    </row>
    <row r="32910" customFormat="false" ht="12.8" hidden="false" customHeight="false" outlineLevel="0" collapsed="false">
      <c r="A32910" s="0" t="s">
        <v>12749</v>
      </c>
      <c r="B32910" s="0" t="str">
        <f aca="false">HYPERLINK("https://lindat.mff.cuni.cz/services/teitok/pdtc10/index.php?action=vallex&amp;frame=v-w4553f2", "prostoupit (v-w4553f2)")</f>
        <v>prostoupit (v-w4553f2)</v>
      </c>
    </row>
    <row r="32911" customFormat="false" ht="12.8" hidden="false" customHeight="false" outlineLevel="0" collapsed="false">
      <c r="B32911" s="0" t="s">
        <v>1</v>
      </c>
    </row>
    <row r="32912" customFormat="false" ht="12.8" hidden="false" customHeight="false" outlineLevel="0" collapsed="false">
      <c r="B32912" s="0" t="s">
        <v>336</v>
      </c>
    </row>
    <row r="32914" customFormat="false" ht="12.8" hidden="false" customHeight="false" outlineLevel="0" collapsed="false">
      <c r="A32914" s="0" t="s">
        <v>12750</v>
      </c>
      <c r="B32914" s="0" t="str">
        <f aca="false">HYPERLINK("https://lindat.mff.cuni.cz/services/teitok/pdtc10/index.php?action=vallex&amp;frame=v-w10526f2", "prostrkat (v-w10526f2)")</f>
        <v>prostrkat (v-w10526f2)</v>
      </c>
    </row>
    <row r="32915" customFormat="false" ht="12.8" hidden="false" customHeight="false" outlineLevel="0" collapsed="false">
      <c r="B32915" s="0" t="s">
        <v>1</v>
      </c>
    </row>
    <row r="32916" customFormat="false" ht="12.8" hidden="false" customHeight="false" outlineLevel="0" collapsed="false">
      <c r="B32916" s="0" t="s">
        <v>8</v>
      </c>
    </row>
    <row r="32917" customFormat="false" ht="12.8" hidden="false" customHeight="false" outlineLevel="0" collapsed="false">
      <c r="B32917" s="0" t="s">
        <v>336</v>
      </c>
    </row>
    <row r="32919" customFormat="false" ht="12.8" hidden="false" customHeight="false" outlineLevel="0" collapsed="false">
      <c r="A32919" s="0" t="s">
        <v>12751</v>
      </c>
      <c r="B32919" s="0" t="str">
        <f aca="false">HYPERLINK("https://lindat.mff.cuni.cz/services/teitok/pdtc10/index.php?action=vallex&amp;frame=v-w4554f2", "prostrčit (v-w4554f2)")</f>
        <v>prostrčit (v-w4554f2)</v>
      </c>
    </row>
    <row r="32920" customFormat="false" ht="12.8" hidden="false" customHeight="false" outlineLevel="0" collapsed="false">
      <c r="B32920" s="0" t="s">
        <v>1</v>
      </c>
    </row>
    <row r="32921" customFormat="false" ht="12.8" hidden="false" customHeight="false" outlineLevel="0" collapsed="false">
      <c r="B32921" s="0" t="s">
        <v>8</v>
      </c>
    </row>
    <row r="32922" customFormat="false" ht="12.8" hidden="false" customHeight="false" outlineLevel="0" collapsed="false">
      <c r="B32922" s="0" t="s">
        <v>52</v>
      </c>
    </row>
    <row r="32924" customFormat="false" ht="12.8" hidden="false" customHeight="false" outlineLevel="0" collapsed="false">
      <c r="A32924" s="0" t="s">
        <v>12752</v>
      </c>
      <c r="B32924" s="0" t="str">
        <f aca="false">HYPERLINK("https://lindat.mff.cuni.cz/services/teitok/pdtc10/index.php?action=vallex&amp;frame=v-w4554f1", "prostrčit (v-w4554f1)")</f>
        <v>prostrčit (v-w4554f1)</v>
      </c>
    </row>
    <row r="32925" customFormat="false" ht="12.8" hidden="false" customHeight="false" outlineLevel="0" collapsed="false">
      <c r="B32925" s="0" t="s">
        <v>1</v>
      </c>
    </row>
    <row r="32926" customFormat="false" ht="12.8" hidden="false" customHeight="false" outlineLevel="0" collapsed="false">
      <c r="B32926" s="0" t="s">
        <v>8</v>
      </c>
    </row>
    <row r="32927" customFormat="false" ht="12.8" hidden="false" customHeight="false" outlineLevel="0" collapsed="false">
      <c r="B32927" s="0" t="s">
        <v>336</v>
      </c>
    </row>
    <row r="32929" customFormat="false" ht="12.8" hidden="false" customHeight="false" outlineLevel="0" collapsed="false">
      <c r="A32929" s="0" t="s">
        <v>12753</v>
      </c>
      <c r="B32929" s="0" t="str">
        <f aca="false">HYPERLINK("https://lindat.mff.cuni.cz/services/teitok/pdtc10/index.php?action=vallex&amp;frame=v-w4559f1", "prostudovat (v-w4559f1)")</f>
        <v>prostudovat (v-w4559f1)</v>
      </c>
      <c r="E32929" s="0" t="str">
        <f aca="false">HYPERLINK("https://lindat.mff.cuni.cz/services/SynSemClass40/SynSemClass40.html?veclass=vec00090#vec00090-ces-cm00015", "vec00090")</f>
        <v>vec00090</v>
      </c>
      <c r="F32929" s="0" t="s">
        <v>113</v>
      </c>
    </row>
    <row r="32930" customFormat="false" ht="12.8" hidden="false" customHeight="false" outlineLevel="0" collapsed="false">
      <c r="B32930" s="0" t="s">
        <v>1</v>
      </c>
      <c r="C32930" s="0" t="s">
        <v>114</v>
      </c>
      <c r="E32930" s="0" t="s">
        <v>115</v>
      </c>
      <c r="F32930" s="0" t="s">
        <v>116</v>
      </c>
    </row>
    <row r="32931" customFormat="false" ht="12.8" hidden="false" customHeight="false" outlineLevel="0" collapsed="false">
      <c r="B32931" s="0" t="s">
        <v>8</v>
      </c>
      <c r="C32931" s="0" t="s">
        <v>118</v>
      </c>
      <c r="E32931" s="0" t="s">
        <v>119</v>
      </c>
      <c r="F32931" s="0" t="s">
        <v>120</v>
      </c>
    </row>
    <row r="32933" customFormat="false" ht="12.8" hidden="false" customHeight="false" outlineLevel="0" collapsed="false">
      <c r="A32933" s="0" t="s">
        <v>12754</v>
      </c>
      <c r="B32933" s="0" t="str">
        <f aca="false">HYPERLINK("https://lindat.mff.cuni.cz/services/teitok/pdtc10/index.php?action=vallex&amp;frame=v-whsa_992hsa_993", "prostudovávat (v-whsa_992hsa_993)")</f>
        <v>prostudovávat (v-whsa_992hsa_993)</v>
      </c>
      <c r="E32933" s="0" t="str">
        <f aca="false">HYPERLINK("https://lindat.mff.cuni.cz/services/SynSemClass40/SynSemClass40.html?veclass=vec00090#vec00090-ces-cm00099", "vec00090")</f>
        <v>vec00090</v>
      </c>
      <c r="F32933" s="0" t="s">
        <v>113</v>
      </c>
    </row>
    <row r="32934" customFormat="false" ht="12.8" hidden="false" customHeight="false" outlineLevel="0" collapsed="false">
      <c r="B32934" s="0" t="s">
        <v>1</v>
      </c>
      <c r="C32934" s="0" t="s">
        <v>114</v>
      </c>
      <c r="E32934" s="0" t="s">
        <v>115</v>
      </c>
      <c r="F32934" s="0" t="s">
        <v>116</v>
      </c>
    </row>
    <row r="32935" customFormat="false" ht="12.8" hidden="false" customHeight="false" outlineLevel="0" collapsed="false">
      <c r="B32935" s="0" t="s">
        <v>8</v>
      </c>
      <c r="C32935" s="0" t="s">
        <v>118</v>
      </c>
      <c r="E32935" s="0" t="s">
        <v>119</v>
      </c>
      <c r="F32935" s="0" t="s">
        <v>120</v>
      </c>
    </row>
    <row r="32937" customFormat="false" ht="12.8" hidden="false" customHeight="false" outlineLevel="0" collapsed="false">
      <c r="A32937" s="0" t="s">
        <v>12755</v>
      </c>
      <c r="B32937" s="0" t="str">
        <f aca="false">HYPERLINK("https://lindat.mff.cuni.cz/services/teitok/pdtc10/index.php?action=vallex&amp;frame=v-w4561f2", "prostupovat (v-w4561f2)")</f>
        <v>prostupovat (v-w4561f2)</v>
      </c>
    </row>
    <row r="32938" customFormat="false" ht="12.8" hidden="false" customHeight="false" outlineLevel="0" collapsed="false">
      <c r="B32938" s="0" t="s">
        <v>1</v>
      </c>
    </row>
    <row r="32939" customFormat="false" ht="12.8" hidden="false" customHeight="false" outlineLevel="0" collapsed="false">
      <c r="B32939" s="0" t="s">
        <v>8</v>
      </c>
    </row>
    <row r="32941" customFormat="false" ht="12.8" hidden="false" customHeight="false" outlineLevel="0" collapsed="false">
      <c r="A32941" s="0" t="s">
        <v>12756</v>
      </c>
      <c r="B32941" s="0" t="str">
        <f aca="false">HYPERLINK("https://lindat.mff.cuni.cz/services/teitok/pdtc10/index.php?action=vallex&amp;frame=v-w4561f1", "prostupovat (v-w4561f1)")</f>
        <v>prostupovat (v-w4561f1)</v>
      </c>
    </row>
    <row r="32942" customFormat="false" ht="12.8" hidden="false" customHeight="false" outlineLevel="0" collapsed="false">
      <c r="B32942" s="0" t="s">
        <v>1</v>
      </c>
    </row>
    <row r="32943" customFormat="false" ht="12.8" hidden="false" customHeight="false" outlineLevel="0" collapsed="false">
      <c r="B32943" s="0" t="s">
        <v>336</v>
      </c>
    </row>
    <row r="32945" customFormat="false" ht="12.8" hidden="false" customHeight="false" outlineLevel="0" collapsed="false">
      <c r="A32945" s="0" t="s">
        <v>12757</v>
      </c>
      <c r="B32945" s="0" t="str">
        <f aca="false">HYPERLINK("https://lindat.mff.cuni.cz/services/teitok/pdtc10/index.php?action=vallex&amp;frame=v-w4556f1", "prostřelit (v-w4556f1)")</f>
        <v>prostřelit (v-w4556f1)</v>
      </c>
    </row>
    <row r="32946" customFormat="false" ht="12.8" hidden="false" customHeight="false" outlineLevel="0" collapsed="false">
      <c r="B32946" s="0" t="s">
        <v>1</v>
      </c>
    </row>
    <row r="32947" customFormat="false" ht="12.8" hidden="false" customHeight="false" outlineLevel="0" collapsed="false">
      <c r="B32947" s="0" t="s">
        <v>8</v>
      </c>
    </row>
    <row r="32949" customFormat="false" ht="12.8" hidden="false" customHeight="false" outlineLevel="0" collapsed="false">
      <c r="A32949" s="0" t="s">
        <v>12758</v>
      </c>
      <c r="B32949" s="0" t="str">
        <f aca="false">HYPERLINK("https://lindat.mff.cuni.cz/services/teitok/pdtc10/index.php?action=vallex&amp;frame=v-whsb_529hsa_530", "prostřihnout (v-whsb_529hsa_530)")</f>
        <v>prostřihnout (v-whsb_529hsa_530)</v>
      </c>
    </row>
    <row r="32950" customFormat="false" ht="12.8" hidden="false" customHeight="false" outlineLevel="0" collapsed="false">
      <c r="B32950" s="0" t="s">
        <v>1</v>
      </c>
    </row>
    <row r="32951" customFormat="false" ht="12.8" hidden="false" customHeight="false" outlineLevel="0" collapsed="false">
      <c r="B32951" s="0" t="s">
        <v>8</v>
      </c>
    </row>
    <row r="32953" customFormat="false" ht="12.8" hidden="false" customHeight="false" outlineLevel="0" collapsed="false">
      <c r="A32953" s="0" t="s">
        <v>12759</v>
      </c>
      <c r="B32953" s="0" t="str">
        <f aca="false">HYPERLINK("https://lindat.mff.cuni.cz/services/teitok/pdtc10/index.php?action=vallex&amp;frame=v-w11378f1", "prostřídat se (v-w11378f1)")</f>
        <v>prostřídat se (v-w11378f1)</v>
      </c>
    </row>
    <row r="32954" customFormat="false" ht="12.8" hidden="false" customHeight="false" outlineLevel="0" collapsed="false">
      <c r="B32954" s="0" t="s">
        <v>1</v>
      </c>
    </row>
    <row r="32955" customFormat="false" ht="12.8" hidden="false" customHeight="false" outlineLevel="0" collapsed="false">
      <c r="B32955" s="0" t="s">
        <v>721</v>
      </c>
    </row>
    <row r="32957" customFormat="false" ht="12.8" hidden="false" customHeight="false" outlineLevel="0" collapsed="false">
      <c r="A32957" s="0" t="s">
        <v>12760</v>
      </c>
      <c r="B32957" s="0" t="str">
        <f aca="false">HYPERLINK("https://lindat.mff.cuni.cz/services/teitok/pdtc10/index.php?action=vallex&amp;frame=v-w4557f1", "prostříhat (v-w4557f1)")</f>
        <v>prostříhat (v-w4557f1)</v>
      </c>
    </row>
    <row r="32958" customFormat="false" ht="12.8" hidden="false" customHeight="false" outlineLevel="0" collapsed="false">
      <c r="B32958" s="0" t="s">
        <v>1</v>
      </c>
    </row>
    <row r="32959" customFormat="false" ht="12.8" hidden="false" customHeight="false" outlineLevel="0" collapsed="false">
      <c r="B32959" s="0" t="s">
        <v>8</v>
      </c>
    </row>
    <row r="32961" customFormat="false" ht="12.8" hidden="false" customHeight="false" outlineLevel="0" collapsed="false">
      <c r="A32961" s="0" t="s">
        <v>12761</v>
      </c>
      <c r="B32961" s="0" t="str">
        <f aca="false">HYPERLINK("https://lindat.mff.cuni.cz/services/teitok/pdtc10/index.php?action=vallex&amp;frame=v-w4557hsa_535", "prostříhat (v-w4557hsa_535)")</f>
        <v>prostříhat (v-w4557hsa_535)</v>
      </c>
      <c r="E32961" s="0" t="str">
        <f aca="false">HYPERLINK("https://lindat.mff.cuni.cz/services/SynSemClass40/SynSemClass40.html?veclass=vec01280#vec01280-ces-cm00004", "vec01280")</f>
        <v>vec01280</v>
      </c>
      <c r="F32961" s="0" t="s">
        <v>12762</v>
      </c>
    </row>
    <row r="32962" customFormat="false" ht="12.8" hidden="false" customHeight="false" outlineLevel="0" collapsed="false">
      <c r="B32962" s="0" t="s">
        <v>1</v>
      </c>
      <c r="E32962" s="0" t="s">
        <v>5401</v>
      </c>
      <c r="F32962" s="0" t="s">
        <v>10055</v>
      </c>
    </row>
    <row r="32963" customFormat="false" ht="12.8" hidden="false" customHeight="false" outlineLevel="0" collapsed="false">
      <c r="B32963" s="0" t="s">
        <v>8</v>
      </c>
      <c r="E32963" s="0" t="s">
        <v>5405</v>
      </c>
      <c r="F32963" s="0" t="s">
        <v>12763</v>
      </c>
    </row>
    <row r="32965" customFormat="false" ht="12.8" hidden="false" customHeight="false" outlineLevel="0" collapsed="false">
      <c r="A32965" s="0" t="s">
        <v>12764</v>
      </c>
      <c r="B32965" s="0" t="str">
        <f aca="false">HYPERLINK("https://lindat.mff.cuni.cz/services/teitok/pdtc10/index.php?action=vallex&amp;frame=v-whsa_374hsa_375", "prostřít (v-whsa_374hsa_375)")</f>
        <v>prostřít (v-whsa_374hsa_375)</v>
      </c>
    </row>
    <row r="32966" customFormat="false" ht="12.8" hidden="false" customHeight="false" outlineLevel="0" collapsed="false">
      <c r="B32966" s="0" t="s">
        <v>1</v>
      </c>
    </row>
    <row r="32967" customFormat="false" ht="12.8" hidden="false" customHeight="false" outlineLevel="0" collapsed="false">
      <c r="B32967" s="0" t="s">
        <v>8</v>
      </c>
    </row>
    <row r="32969" customFormat="false" ht="12.8" hidden="false" customHeight="false" outlineLevel="0" collapsed="false">
      <c r="A32969" s="0" t="s">
        <v>12765</v>
      </c>
      <c r="B32969" s="0" t="str">
        <f aca="false">HYPERLINK("https://lindat.mff.cuni.cz/services/teitok/pdtc10/index.php?action=vallex&amp;frame=v-w10329f2", "prosvištět (v-w10329f2)")</f>
        <v>prosvištět (v-w10329f2)</v>
      </c>
    </row>
    <row r="32970" customFormat="false" ht="12.8" hidden="false" customHeight="false" outlineLevel="0" collapsed="false">
      <c r="B32970" s="0" t="s">
        <v>1</v>
      </c>
    </row>
    <row r="32971" customFormat="false" ht="12.8" hidden="false" customHeight="false" outlineLevel="0" collapsed="false">
      <c r="B32971" s="0" t="s">
        <v>336</v>
      </c>
    </row>
    <row r="32973" customFormat="false" ht="12.8" hidden="false" customHeight="false" outlineLevel="0" collapsed="false">
      <c r="A32973" s="0" t="s">
        <v>12766</v>
      </c>
      <c r="B32973" s="0" t="str">
        <f aca="false">HYPERLINK("https://lindat.mff.cuni.cz/services/teitok/pdtc10/index.php?action=vallex&amp;frame=v-w4563f1", "prosvítat (v-w4563f1)")</f>
        <v>prosvítat (v-w4563f1)</v>
      </c>
    </row>
    <row r="32974" customFormat="false" ht="12.8" hidden="false" customHeight="false" outlineLevel="0" collapsed="false">
      <c r="B32974" s="0" t="s">
        <v>1</v>
      </c>
    </row>
    <row r="32975" customFormat="false" ht="12.8" hidden="false" customHeight="false" outlineLevel="0" collapsed="false">
      <c r="B32975" s="0" t="s">
        <v>336</v>
      </c>
    </row>
    <row r="32977" customFormat="false" ht="12.8" hidden="false" customHeight="false" outlineLevel="0" collapsed="false">
      <c r="A32977" s="0" t="s">
        <v>12767</v>
      </c>
      <c r="B32977" s="0" t="str">
        <f aca="false">HYPERLINK("https://lindat.mff.cuni.cz/services/teitok/pdtc10/index.php?action=vallex&amp;frame=v-whsa_934hsa_935", "prosvítit (v-whsa_934hsa_935)")</f>
        <v>prosvítit (v-whsa_934hsa_935)</v>
      </c>
    </row>
    <row r="32978" customFormat="false" ht="12.8" hidden="false" customHeight="false" outlineLevel="0" collapsed="false">
      <c r="B32978" s="0" t="s">
        <v>1</v>
      </c>
    </row>
    <row r="32979" customFormat="false" ht="12.8" hidden="false" customHeight="false" outlineLevel="0" collapsed="false">
      <c r="B32979" s="0" t="s">
        <v>8</v>
      </c>
    </row>
    <row r="32981" customFormat="false" ht="12.8" hidden="false" customHeight="false" outlineLevel="0" collapsed="false">
      <c r="A32981" s="0" t="s">
        <v>12768</v>
      </c>
      <c r="B32981" s="0" t="str">
        <f aca="false">HYPERLINK("https://lindat.mff.cuni.cz/services/teitok/pdtc10/index.php?action=vallex&amp;frame=v-w10427f2", "prosvětlit (v-w10427f2)")</f>
        <v>prosvětlit (v-w10427f2)</v>
      </c>
    </row>
    <row r="32982" customFormat="false" ht="12.8" hidden="false" customHeight="false" outlineLevel="0" collapsed="false">
      <c r="B32982" s="0" t="s">
        <v>1</v>
      </c>
    </row>
    <row r="32983" customFormat="false" ht="12.8" hidden="false" customHeight="false" outlineLevel="0" collapsed="false">
      <c r="B32983" s="0" t="s">
        <v>8</v>
      </c>
    </row>
    <row r="32985" customFormat="false" ht="12.8" hidden="false" customHeight="false" outlineLevel="0" collapsed="false">
      <c r="A32985" s="0" t="s">
        <v>12769</v>
      </c>
      <c r="B32985" s="0" t="str">
        <f aca="false">HYPERLINK("https://lindat.mff.cuni.cz/services/teitok/pdtc10/index.php?action=vallex&amp;frame=v-w12358_MMf1_MM", "prosvětlovat (v-w12358_MMf1_MM)")</f>
        <v>prosvětlovat (v-w12358_MMf1_MM)</v>
      </c>
    </row>
    <row r="32986" customFormat="false" ht="12.8" hidden="false" customHeight="false" outlineLevel="0" collapsed="false">
      <c r="B32986" s="0" t="s">
        <v>1</v>
      </c>
    </row>
    <row r="32987" customFormat="false" ht="12.8" hidden="false" customHeight="false" outlineLevel="0" collapsed="false">
      <c r="B32987" s="0" t="s">
        <v>8</v>
      </c>
    </row>
    <row r="32989" customFormat="false" ht="12.8" hidden="false" customHeight="false" outlineLevel="0" collapsed="false">
      <c r="A32989" s="0" t="s">
        <v>12770</v>
      </c>
      <c r="B32989" s="0" t="str">
        <f aca="false">HYPERLINK("https://lindat.mff.cuni.cz/services/teitok/pdtc10/index.php?action=vallex&amp;frame=v-w11759_ZUf1_ZU", "prosychat (v-w11759_ZUf1_ZU)")</f>
        <v>prosychat (v-w11759_ZUf1_ZU)</v>
      </c>
    </row>
    <row r="32990" customFormat="false" ht="12.8" hidden="false" customHeight="false" outlineLevel="0" collapsed="false">
      <c r="B32990" s="0" t="s">
        <v>1</v>
      </c>
    </row>
    <row r="32992" customFormat="false" ht="12.8" hidden="false" customHeight="false" outlineLevel="0" collapsed="false">
      <c r="A32992" s="0" t="s">
        <v>12771</v>
      </c>
      <c r="B32992" s="0" t="str">
        <f aca="false">HYPERLINK("https://lindat.mff.cuni.cz/services/teitok/pdtc10/index.php?action=vallex&amp;frame=v-w4522f3", "prosáknout (v-w4522f3)")</f>
        <v>prosáknout (v-w4522f3)</v>
      </c>
    </row>
    <row r="32993" customFormat="false" ht="12.8" hidden="false" customHeight="false" outlineLevel="0" collapsed="false">
      <c r="B32993" s="0" t="s">
        <v>1</v>
      </c>
    </row>
    <row r="32994" customFormat="false" ht="12.8" hidden="false" customHeight="false" outlineLevel="0" collapsed="false">
      <c r="B32994" s="0" t="s">
        <v>286</v>
      </c>
    </row>
    <row r="32996" customFormat="false" ht="12.8" hidden="false" customHeight="false" outlineLevel="0" collapsed="false">
      <c r="A32996" s="0" t="s">
        <v>12772</v>
      </c>
      <c r="B32996" s="0" t="str">
        <f aca="false">HYPERLINK("https://lindat.mff.cuni.cz/services/teitok/pdtc10/index.php?action=vallex&amp;frame=v-w4522f2", "prosáknout (v-w4522f2)")</f>
        <v>prosáknout (v-w4522f2)</v>
      </c>
    </row>
    <row r="32997" customFormat="false" ht="12.8" hidden="false" customHeight="false" outlineLevel="0" collapsed="false">
      <c r="B32997" s="0" t="s">
        <v>1</v>
      </c>
    </row>
    <row r="32998" customFormat="false" ht="12.8" hidden="false" customHeight="false" outlineLevel="0" collapsed="false">
      <c r="B32998" s="0" t="s">
        <v>336</v>
      </c>
    </row>
    <row r="33000" customFormat="false" ht="12.8" hidden="false" customHeight="false" outlineLevel="0" collapsed="false">
      <c r="A33000" s="0" t="s">
        <v>12773</v>
      </c>
      <c r="B33000" s="0" t="str">
        <f aca="false">HYPERLINK("https://lindat.mff.cuni.cz/services/teitok/pdtc10/index.php?action=vallex&amp;frame=v-w4522f1", "prosáknout (v-w4522f1)")</f>
        <v>prosáknout (v-w4522f1)</v>
      </c>
      <c r="E33000" s="0" t="str">
        <f aca="false">HYPERLINK("https://lindat.mff.cuni.cz/services/SynSemClass40/SynSemClass40.html?veclass=vec00218#vec00218-ces-cm00262", "vec00218")</f>
        <v>vec00218</v>
      </c>
      <c r="F33000" s="0" t="s">
        <v>2143</v>
      </c>
    </row>
    <row r="33001" customFormat="false" ht="12.8" hidden="false" customHeight="false" outlineLevel="0" collapsed="false">
      <c r="B33001" s="0" t="s">
        <v>1</v>
      </c>
      <c r="C33001" s="0" t="s">
        <v>2144</v>
      </c>
      <c r="E33001" s="0" t="s">
        <v>11</v>
      </c>
      <c r="F33001" s="0" t="s">
        <v>2145</v>
      </c>
    </row>
    <row r="33002" customFormat="false" ht="12.8" hidden="false" customHeight="false" outlineLevel="0" collapsed="false">
      <c r="B33002" s="0" t="s">
        <v>164</v>
      </c>
      <c r="C33002" s="0" t="s">
        <v>2146</v>
      </c>
      <c r="E33002" s="0" t="s">
        <v>370</v>
      </c>
      <c r="F33002" s="0" t="s">
        <v>2147</v>
      </c>
    </row>
    <row r="33004" customFormat="false" ht="12.8" hidden="false" customHeight="false" outlineLevel="0" collapsed="false">
      <c r="A33004" s="0" t="s">
        <v>12774</v>
      </c>
      <c r="B33004" s="0" t="str">
        <f aca="false">HYPERLINK("https://lindat.mff.cuni.cz/services/teitok/pdtc10/index.php?action=vallex&amp;frame=v-whsa_1318hsa_1319", "prosít (v-whsa_1318hsa_1319)")</f>
        <v>prosít (v-whsa_1318hsa_1319)</v>
      </c>
    </row>
    <row r="33005" customFormat="false" ht="12.8" hidden="false" customHeight="false" outlineLevel="0" collapsed="false">
      <c r="B33005" s="0" t="s">
        <v>1</v>
      </c>
    </row>
    <row r="33006" customFormat="false" ht="12.8" hidden="false" customHeight="false" outlineLevel="0" collapsed="false">
      <c r="B33006" s="0" t="s">
        <v>8</v>
      </c>
    </row>
    <row r="33008" customFormat="false" ht="12.8" hidden="false" customHeight="false" outlineLevel="0" collapsed="false">
      <c r="A33008" s="0" t="s">
        <v>12775</v>
      </c>
      <c r="B33008" s="0" t="str">
        <f aca="false">HYPERLINK("https://lindat.mff.cuni.cz/services/teitok/pdtc10/index.php?action=vallex&amp;frame=v-w4571f1", "protahovat (v-w4571f1)")</f>
        <v>protahovat (v-w4571f1)</v>
      </c>
      <c r="E33008" s="0" t="str">
        <f aca="false">HYPERLINK("https://lindat.mff.cuni.cz/services/SynSemClass40/SynSemClass40.html?veclass=vec00274#vec00274-ces-cm00019", "vec00274")</f>
        <v>vec00274</v>
      </c>
      <c r="F33008" s="0" t="s">
        <v>12238</v>
      </c>
    </row>
    <row r="33009" customFormat="false" ht="12.8" hidden="false" customHeight="false" outlineLevel="0" collapsed="false">
      <c r="B33009" s="0" t="s">
        <v>1</v>
      </c>
      <c r="C33009" s="0" t="s">
        <v>12239</v>
      </c>
      <c r="E33009" s="0" t="s">
        <v>31</v>
      </c>
      <c r="F33009" s="0" t="s">
        <v>12240</v>
      </c>
    </row>
    <row r="33010" customFormat="false" ht="12.8" hidden="false" customHeight="false" outlineLevel="0" collapsed="false">
      <c r="B33010" s="0" t="s">
        <v>8</v>
      </c>
      <c r="C33010" s="0" t="s">
        <v>5452</v>
      </c>
      <c r="E33010" s="0" t="s">
        <v>34</v>
      </c>
      <c r="F33010" s="0" t="s">
        <v>12241</v>
      </c>
    </row>
    <row r="33011" customFormat="false" ht="12.8" hidden="false" customHeight="false" outlineLevel="0" collapsed="false">
      <c r="B33011" s="0" t="s">
        <v>36</v>
      </c>
      <c r="C33011" s="0" t="s">
        <v>1849</v>
      </c>
      <c r="E33011" s="0" t="s">
        <v>5152</v>
      </c>
      <c r="F33011" s="0" t="s">
        <v>12242</v>
      </c>
    </row>
    <row r="33012" customFormat="false" ht="12.8" hidden="false" customHeight="false" outlineLevel="0" collapsed="false">
      <c r="B33012" s="0" t="s">
        <v>101</v>
      </c>
      <c r="C33012" s="0" t="s">
        <v>12243</v>
      </c>
      <c r="E33012" s="0" t="s">
        <v>5796</v>
      </c>
      <c r="F33012" s="0" t="s">
        <v>12244</v>
      </c>
    </row>
    <row r="33014" customFormat="false" ht="12.8" hidden="false" customHeight="false" outlineLevel="0" collapsed="false">
      <c r="A33014" s="0" t="s">
        <v>12776</v>
      </c>
      <c r="B33014" s="0" t="str">
        <f aca="false">HYPERLINK("https://lindat.mff.cuni.cz/services/teitok/pdtc10/index.php?action=vallex&amp;frame=v-w4571hsa_1292", "protahovat (v-w4571hsa_1292)")</f>
        <v>protahovat (v-w4571hsa_1292)</v>
      </c>
    </row>
    <row r="33015" customFormat="false" ht="12.8" hidden="false" customHeight="false" outlineLevel="0" collapsed="false">
      <c r="B33015" s="0" t="s">
        <v>1</v>
      </c>
    </row>
    <row r="33016" customFormat="false" ht="12.8" hidden="false" customHeight="false" outlineLevel="0" collapsed="false">
      <c r="B33016" s="0" t="s">
        <v>8</v>
      </c>
    </row>
    <row r="33018" customFormat="false" ht="12.8" hidden="false" customHeight="false" outlineLevel="0" collapsed="false">
      <c r="A33018" s="0" t="s">
        <v>12777</v>
      </c>
      <c r="B33018" s="0" t="str">
        <f aca="false">HYPERLINK("https://lindat.mff.cuni.cz/services/teitok/pdtc10/index.php?action=vallex&amp;frame=v-w4571f2_ZU", "protahovat (v-w4571f2_ZU)")</f>
        <v>protahovat (v-w4571f2_ZU)</v>
      </c>
    </row>
    <row r="33019" customFormat="false" ht="12.8" hidden="false" customHeight="false" outlineLevel="0" collapsed="false">
      <c r="B33019" s="0" t="s">
        <v>1</v>
      </c>
    </row>
    <row r="33020" customFormat="false" ht="12.8" hidden="false" customHeight="false" outlineLevel="0" collapsed="false">
      <c r="B33020" s="0" t="s">
        <v>8</v>
      </c>
    </row>
    <row r="33022" customFormat="false" ht="12.8" hidden="false" customHeight="false" outlineLevel="0" collapsed="false">
      <c r="A33022" s="0" t="s">
        <v>12778</v>
      </c>
      <c r="B33022" s="0" t="str">
        <f aca="false">HYPERLINK("https://lindat.mff.cuni.cz/services/teitok/pdtc10/index.php?action=vallex&amp;frame=v-w12034_ZUf1_ZU", "protancovat (v-w12034_ZUf1_ZU)")</f>
        <v>protancovat (v-w12034_ZUf1_ZU)</v>
      </c>
    </row>
    <row r="33023" customFormat="false" ht="12.8" hidden="false" customHeight="false" outlineLevel="0" collapsed="false">
      <c r="B33023" s="0" t="s">
        <v>1</v>
      </c>
    </row>
    <row r="33024" customFormat="false" ht="12.8" hidden="false" customHeight="false" outlineLevel="0" collapsed="false">
      <c r="B33024" s="0" t="s">
        <v>8</v>
      </c>
    </row>
    <row r="33026" customFormat="false" ht="12.8" hidden="false" customHeight="false" outlineLevel="0" collapsed="false">
      <c r="A33026" s="0" t="s">
        <v>12779</v>
      </c>
      <c r="B33026" s="0" t="str">
        <f aca="false">HYPERLINK("https://lindat.mff.cuni.cz/services/teitok/pdtc10/index.php?action=vallex&amp;frame=v-whsb_153hsa_154", "protavit se (v-whsb_153hsa_154)")</f>
        <v>protavit se (v-whsb_153hsa_154)</v>
      </c>
    </row>
    <row r="33027" customFormat="false" ht="12.8" hidden="false" customHeight="false" outlineLevel="0" collapsed="false">
      <c r="B33027" s="0" t="s">
        <v>1</v>
      </c>
    </row>
    <row r="33029" customFormat="false" ht="12.8" hidden="false" customHeight="false" outlineLevel="0" collapsed="false">
      <c r="A33029" s="0" t="s">
        <v>12780</v>
      </c>
      <c r="B33029" s="0" t="str">
        <f aca="false">HYPERLINK("https://lindat.mff.cuni.cz/services/teitok/pdtc10/index.php?action=vallex&amp;frame=v-w4575f3_ZU", "protestovat (v-w4575f3_ZU)")</f>
        <v>protestovat (v-w4575f3_ZU)</v>
      </c>
      <c r="E33029" s="0" t="str">
        <f aca="false">HYPERLINK("https://lindat.mff.cuni.cz/services/SynSemClass40/SynSemClass40.html?veclass=vec00461#vec00461-ces-cm00011", "vec00461")</f>
        <v>vec00461</v>
      </c>
      <c r="F33029" s="0" t="s">
        <v>476</v>
      </c>
    </row>
    <row r="33030" customFormat="false" ht="12.8" hidden="false" customHeight="false" outlineLevel="0" collapsed="false">
      <c r="B33030" s="0" t="s">
        <v>1</v>
      </c>
      <c r="C33030" s="0" t="s">
        <v>477</v>
      </c>
      <c r="E33030" s="0" t="s">
        <v>478</v>
      </c>
      <c r="F33030" s="0" t="s">
        <v>479</v>
      </c>
    </row>
    <row r="33031" customFormat="false" ht="12.8" hidden="false" customHeight="false" outlineLevel="0" collapsed="false">
      <c r="B33031" s="0" t="s">
        <v>12781</v>
      </c>
      <c r="C33031" s="0" t="s">
        <v>9606</v>
      </c>
      <c r="E33031" s="0" t="s">
        <v>9099</v>
      </c>
      <c r="F33031" s="0" t="s">
        <v>9607</v>
      </c>
    </row>
    <row r="33033" customFormat="false" ht="12.8" hidden="false" customHeight="false" outlineLevel="0" collapsed="false">
      <c r="A33033" s="0" t="s">
        <v>12780</v>
      </c>
      <c r="B33033" s="0" t="str">
        <f aca="false">HYPERLINK("https://lindat.mff.cuni.cz/services/teitok/pdtc10/index.php?action=vallex&amp;frame=v-w4575f1", "protestovat (v-w4575f1) - substituted with v-w4575f3_ZU")</f>
        <v>protestovat (v-w4575f1) - substituted with v-w4575f3_ZU</v>
      </c>
    </row>
    <row r="33034" customFormat="false" ht="12.8" hidden="false" customHeight="false" outlineLevel="0" collapsed="false">
      <c r="B33034" s="0" t="s">
        <v>1</v>
      </c>
    </row>
    <row r="33035" customFormat="false" ht="12.8" hidden="false" customHeight="false" outlineLevel="0" collapsed="false">
      <c r="B33035" s="0" t="s">
        <v>12781</v>
      </c>
    </row>
    <row r="33037" customFormat="false" ht="12.8" hidden="false" customHeight="false" outlineLevel="0" collapsed="false">
      <c r="A33037" s="0" t="s">
        <v>12780</v>
      </c>
      <c r="B33037" s="0" t="str">
        <f aca="false">HYPERLINK("https://lindat.mff.cuni.cz/services/teitok/pdtc10/index.php?action=vallex&amp;frame=v-w4575f2_ZU", "protestovat (v-w4575f2_ZU) - substituted with v-w4575f3_ZU")</f>
        <v>protestovat (v-w4575f2_ZU) - substituted with v-w4575f3_ZU</v>
      </c>
    </row>
    <row r="33038" customFormat="false" ht="12.8" hidden="false" customHeight="false" outlineLevel="0" collapsed="false">
      <c r="B33038" s="0" t="s">
        <v>1</v>
      </c>
    </row>
    <row r="33039" customFormat="false" ht="12.8" hidden="false" customHeight="false" outlineLevel="0" collapsed="false">
      <c r="B33039" s="0" t="s">
        <v>12781</v>
      </c>
    </row>
    <row r="33041" customFormat="false" ht="12.8" hidden="false" customHeight="false" outlineLevel="0" collapsed="false">
      <c r="A33041" s="0" t="s">
        <v>12782</v>
      </c>
      <c r="B33041" s="0" t="str">
        <f aca="false">HYPERLINK("https://lindat.mff.cuni.cz/services/teitok/pdtc10/index.php?action=vallex&amp;frame=v-w4577f1", "protežovat (v-w4577f1)")</f>
        <v>protežovat (v-w4577f1)</v>
      </c>
    </row>
    <row r="33042" customFormat="false" ht="12.8" hidden="false" customHeight="false" outlineLevel="0" collapsed="false">
      <c r="B33042" s="0" t="s">
        <v>1</v>
      </c>
    </row>
    <row r="33043" customFormat="false" ht="12.8" hidden="false" customHeight="false" outlineLevel="0" collapsed="false">
      <c r="B33043" s="0" t="s">
        <v>8</v>
      </c>
    </row>
    <row r="33045" customFormat="false" ht="12.8" hidden="false" customHeight="false" outlineLevel="0" collapsed="false">
      <c r="A33045" s="0" t="s">
        <v>12783</v>
      </c>
      <c r="B33045" s="0" t="str">
        <f aca="false">HYPERLINK("https://lindat.mff.cuni.cz/services/teitok/pdtc10/index.php?action=vallex&amp;frame=v-w11092f2", "protiřečit (v-w11092f2)")</f>
        <v>protiřečit (v-w11092f2)</v>
      </c>
      <c r="E33045" s="0" t="str">
        <f aca="false">HYPERLINK("https://lindat.mff.cuni.cz/services/SynSemClass40/SynSemClass40.html?veclass=vec00852#vec00852-ces-cm00011", "vec00852")</f>
        <v>vec00852</v>
      </c>
      <c r="F33045" s="0" t="s">
        <v>9097</v>
      </c>
    </row>
    <row r="33046" customFormat="false" ht="12.8" hidden="false" customHeight="false" outlineLevel="0" collapsed="false">
      <c r="B33046" s="0" t="s">
        <v>1</v>
      </c>
      <c r="C33046" s="0" t="s">
        <v>512</v>
      </c>
      <c r="E33046" s="0" t="s">
        <v>478</v>
      </c>
      <c r="F33046" s="0" t="s">
        <v>9098</v>
      </c>
    </row>
    <row r="33047" customFormat="false" ht="12.8" hidden="false" customHeight="false" outlineLevel="0" collapsed="false">
      <c r="B33047" s="0" t="s">
        <v>186</v>
      </c>
      <c r="C33047" s="0" t="s">
        <v>1940</v>
      </c>
      <c r="E33047" s="0" t="s">
        <v>9099</v>
      </c>
      <c r="F33047" s="0" t="s">
        <v>9100</v>
      </c>
    </row>
    <row r="33049" customFormat="false" ht="12.8" hidden="false" customHeight="false" outlineLevel="0" collapsed="false">
      <c r="A33049" s="0" t="s">
        <v>12784</v>
      </c>
      <c r="B33049" s="0" t="str">
        <f aca="false">HYPERLINK("https://lindat.mff.cuni.cz/services/teitok/pdtc10/index.php?action=vallex&amp;frame=v-w4588f1", "protkat (v-w4588f1)")</f>
        <v>protkat (v-w4588f1)</v>
      </c>
    </row>
    <row r="33050" customFormat="false" ht="12.8" hidden="false" customHeight="false" outlineLevel="0" collapsed="false">
      <c r="B33050" s="0" t="s">
        <v>1</v>
      </c>
    </row>
    <row r="33051" customFormat="false" ht="12.8" hidden="false" customHeight="false" outlineLevel="0" collapsed="false">
      <c r="B33051" s="0" t="s">
        <v>8</v>
      </c>
    </row>
    <row r="33053" customFormat="false" ht="12.8" hidden="false" customHeight="false" outlineLevel="0" collapsed="false">
      <c r="A33053" s="0" t="s">
        <v>12785</v>
      </c>
      <c r="B33053" s="0" t="str">
        <f aca="false">HYPERLINK("https://lindat.mff.cuni.cz/services/teitok/pdtc10/index.php?action=vallex&amp;frame=v-w10694f2", "protkávat (v-w10694f2)")</f>
        <v>protkávat (v-w10694f2)</v>
      </c>
      <c r="E33053" s="0" t="str">
        <f aca="false">HYPERLINK("https://lindat.mff.cuni.cz/services/SynSemClass40/SynSemClass40.html?veclass=vec00519#vec00519-ces-cm00042", "vec00519")</f>
        <v>vec00519</v>
      </c>
      <c r="F33053" s="0" t="s">
        <v>12231</v>
      </c>
    </row>
    <row r="33054" customFormat="false" ht="12.8" hidden="false" customHeight="false" outlineLevel="0" collapsed="false">
      <c r="B33054" s="0" t="s">
        <v>1</v>
      </c>
      <c r="C33054" s="0" t="s">
        <v>11624</v>
      </c>
      <c r="E33054" s="0" t="s">
        <v>4850</v>
      </c>
      <c r="F33054" s="0" t="s">
        <v>12232</v>
      </c>
    </row>
    <row r="33055" customFormat="false" ht="12.8" hidden="false" customHeight="false" outlineLevel="0" collapsed="false">
      <c r="B33055" s="0" t="s">
        <v>8</v>
      </c>
      <c r="C33055" s="0" t="s">
        <v>12233</v>
      </c>
      <c r="E33055" s="0" t="s">
        <v>4852</v>
      </c>
      <c r="F33055" s="0" t="s">
        <v>12234</v>
      </c>
    </row>
    <row r="33057" customFormat="false" ht="12.8" hidden="false" customHeight="false" outlineLevel="0" collapsed="false">
      <c r="A33057" s="0" t="s">
        <v>12786</v>
      </c>
      <c r="B33057" s="0" t="str">
        <f aca="false">HYPERLINK("https://lindat.mff.cuni.cz/services/teitok/pdtc10/index.php?action=vallex&amp;frame=v-w11070f3", "protlačit (v-w11070f3)")</f>
        <v>protlačit (v-w11070f3)</v>
      </c>
      <c r="E33057" s="0" t="str">
        <f aca="false">HYPERLINK("https://lindat.mff.cuni.cz/services/SynSemClass40/SynSemClass40.html?veclass=vec00546#vec00546-ces-cm00021", "vec00546")</f>
        <v>vec00546</v>
      </c>
      <c r="F33057" s="0" t="s">
        <v>5397</v>
      </c>
    </row>
    <row r="33058" customFormat="false" ht="12.8" hidden="false" customHeight="false" outlineLevel="0" collapsed="false">
      <c r="B33058" s="0" t="s">
        <v>1</v>
      </c>
      <c r="C33058" s="0" t="s">
        <v>3000</v>
      </c>
      <c r="E33058" s="0" t="s">
        <v>206</v>
      </c>
      <c r="F33058" s="0" t="s">
        <v>5400</v>
      </c>
    </row>
    <row r="33059" customFormat="false" ht="12.8" hidden="false" customHeight="false" outlineLevel="0" collapsed="false">
      <c r="B33059" s="0" t="s">
        <v>8</v>
      </c>
      <c r="C33059" s="0" t="s">
        <v>6312</v>
      </c>
      <c r="E33059" s="0" t="s">
        <v>1823</v>
      </c>
      <c r="F33059" s="0" t="s">
        <v>5404</v>
      </c>
    </row>
    <row r="33061" customFormat="false" ht="12.8" hidden="false" customHeight="false" outlineLevel="0" collapsed="false">
      <c r="A33061" s="0" t="s">
        <v>12787</v>
      </c>
      <c r="B33061" s="0" t="str">
        <f aca="false">HYPERLINK("https://lindat.mff.cuni.cz/services/teitok/pdtc10/index.php?action=vallex&amp;frame=v-w11099f2", "protlačovat (v-w11099f2)")</f>
        <v>protlačovat (v-w11099f2)</v>
      </c>
      <c r="E33061" s="0" t="str">
        <f aca="false">HYPERLINK("https://lindat.mff.cuni.cz/services/SynSemClass40/SynSemClass40.html?veclass=vec00546#vec00546-ces-cm00039", "vec00546")</f>
        <v>vec00546</v>
      </c>
      <c r="F33061" s="0" t="s">
        <v>5397</v>
      </c>
    </row>
    <row r="33062" customFormat="false" ht="12.8" hidden="false" customHeight="false" outlineLevel="0" collapsed="false">
      <c r="B33062" s="0" t="s">
        <v>1</v>
      </c>
      <c r="C33062" s="0" t="s">
        <v>3000</v>
      </c>
      <c r="E33062" s="0" t="s">
        <v>206</v>
      </c>
      <c r="F33062" s="0" t="s">
        <v>5400</v>
      </c>
    </row>
    <row r="33063" customFormat="false" ht="12.8" hidden="false" customHeight="false" outlineLevel="0" collapsed="false">
      <c r="B33063" s="0" t="s">
        <v>8</v>
      </c>
      <c r="C33063" s="0" t="s">
        <v>6312</v>
      </c>
      <c r="E33063" s="0" t="s">
        <v>1823</v>
      </c>
      <c r="F33063" s="0" t="s">
        <v>5404</v>
      </c>
    </row>
    <row r="33065" customFormat="false" ht="12.8" hidden="false" customHeight="false" outlineLevel="0" collapsed="false">
      <c r="A33065" s="0" t="s">
        <v>12788</v>
      </c>
      <c r="B33065" s="0" t="str">
        <f aca="false">HYPERLINK("https://lindat.mff.cuni.cz/services/teitok/pdtc10/index.php?action=vallex&amp;frame=v-w12266_ZUf1_ZU", "protloukat (v-w12266_ZUf1_ZU)")</f>
        <v>protloukat (v-w12266_ZUf1_ZU)</v>
      </c>
    </row>
    <row r="33066" customFormat="false" ht="12.8" hidden="false" customHeight="false" outlineLevel="0" collapsed="false">
      <c r="B33066" s="0" t="s">
        <v>1</v>
      </c>
    </row>
    <row r="33067" customFormat="false" ht="12.8" hidden="false" customHeight="false" outlineLevel="0" collapsed="false">
      <c r="B33067" s="0" t="s">
        <v>8</v>
      </c>
    </row>
    <row r="33069" customFormat="false" ht="12.8" hidden="false" customHeight="false" outlineLevel="0" collapsed="false">
      <c r="A33069" s="0" t="s">
        <v>12789</v>
      </c>
      <c r="B33069" s="0" t="str">
        <f aca="false">HYPERLINK("https://lindat.mff.cuni.cz/services/teitok/pdtc10/index.php?action=vallex&amp;frame=v-w11704_ZUf3_MM", "protloukat se (v-w11704_ZUf3_MM)")</f>
        <v>protloukat se (v-w11704_ZUf3_MM)</v>
      </c>
    </row>
    <row r="33070" customFormat="false" ht="12.8" hidden="false" customHeight="false" outlineLevel="0" collapsed="false">
      <c r="B33070" s="0" t="s">
        <v>1</v>
      </c>
    </row>
    <row r="33071" customFormat="false" ht="12.8" hidden="false" customHeight="false" outlineLevel="0" collapsed="false">
      <c r="B33071" s="0" t="s">
        <v>4966</v>
      </c>
    </row>
    <row r="33073" customFormat="false" ht="12.8" hidden="false" customHeight="false" outlineLevel="0" collapsed="false">
      <c r="A33073" s="0" t="s">
        <v>12789</v>
      </c>
      <c r="B33073" s="0" t="str">
        <f aca="false">HYPERLINK("https://lindat.mff.cuni.cz/services/teitok/pdtc10/index.php?action=vallex&amp;frame=v-w11704_ZUf1_ZU", "protloukat se (v-w11704_ZUf1_ZU) - substituted with v-w11704_ZUf3_MM")</f>
        <v>protloukat se (v-w11704_ZUf1_ZU) - substituted with v-w11704_ZUf3_MM</v>
      </c>
    </row>
    <row r="33074" customFormat="false" ht="12.8" hidden="false" customHeight="false" outlineLevel="0" collapsed="false">
      <c r="B33074" s="0" t="s">
        <v>1</v>
      </c>
    </row>
    <row r="33075" customFormat="false" ht="12.8" hidden="false" customHeight="false" outlineLevel="0" collapsed="false">
      <c r="B33075" s="0" t="s">
        <v>4966</v>
      </c>
    </row>
    <row r="33077" customFormat="false" ht="12.8" hidden="false" customHeight="false" outlineLevel="0" collapsed="false">
      <c r="A33077" s="0" t="s">
        <v>12789</v>
      </c>
      <c r="B33077" s="0" t="str">
        <f aca="false">HYPERLINK("https://lindat.mff.cuni.cz/services/teitok/pdtc10/index.php?action=vallex&amp;frame=v-w11704_ZUf2_ZU", "protloukat se (v-w11704_ZUf2_ZU) - substituted with v-w11704_ZUf3_MM")</f>
        <v>protloukat se (v-w11704_ZUf2_ZU) - substituted with v-w11704_ZUf3_MM</v>
      </c>
    </row>
    <row r="33078" customFormat="false" ht="12.8" hidden="false" customHeight="false" outlineLevel="0" collapsed="false">
      <c r="B33078" s="0" t="s">
        <v>1</v>
      </c>
    </row>
    <row r="33079" customFormat="false" ht="12.8" hidden="false" customHeight="false" outlineLevel="0" collapsed="false">
      <c r="B33079" s="0" t="s">
        <v>4966</v>
      </c>
    </row>
    <row r="33081" customFormat="false" ht="12.8" hidden="false" customHeight="false" outlineLevel="0" collapsed="false">
      <c r="A33081" s="0" t="s">
        <v>12790</v>
      </c>
      <c r="B33081" s="0" t="str">
        <f aca="false">HYPERLINK("https://lindat.mff.cuni.cz/services/teitok/pdtc10/index.php?action=vallex&amp;frame=v-w10396f2", "protnout (v-w10396f2)")</f>
        <v>protnout (v-w10396f2)</v>
      </c>
    </row>
    <row r="33082" customFormat="false" ht="12.8" hidden="false" customHeight="false" outlineLevel="0" collapsed="false">
      <c r="B33082" s="0" t="s">
        <v>1</v>
      </c>
    </row>
    <row r="33083" customFormat="false" ht="12.8" hidden="false" customHeight="false" outlineLevel="0" collapsed="false">
      <c r="B33083" s="0" t="s">
        <v>8</v>
      </c>
    </row>
    <row r="33085" customFormat="false" ht="12.8" hidden="false" customHeight="false" outlineLevel="0" collapsed="false">
      <c r="A33085" s="0" t="s">
        <v>12791</v>
      </c>
      <c r="B33085" s="0" t="str">
        <f aca="false">HYPERLINK("https://lindat.mff.cuni.cz/services/teitok/pdtc10/index.php?action=vallex&amp;frame=v-w10396f3_ZU", "protnout (v-w10396f3_ZU)")</f>
        <v>protnout (v-w10396f3_ZU)</v>
      </c>
      <c r="E33085" s="0" t="str">
        <f aca="false">HYPERLINK("https://lindat.mff.cuni.cz/services/SynSemClass40/SynSemClass40.html?veclass=vec00318#vec00318-ces-cm00021", "vec00318")</f>
        <v>vec00318</v>
      </c>
      <c r="F33085" s="0" t="s">
        <v>3218</v>
      </c>
      <c r="H33085" s="0" t="str">
        <f aca="false">HYPERLINK("https://lindat.mff.cuni.cz/services/SynSemClass40/SynSemClass40.html?veclass=vec00892#vec00892-ces-cm00004", "vec00892")</f>
        <v>vec00892</v>
      </c>
      <c r="I33085" s="0" t="s">
        <v>5820</v>
      </c>
    </row>
    <row r="33086" customFormat="false" ht="12.8" hidden="false" customHeight="false" outlineLevel="0" collapsed="false">
      <c r="B33086" s="0" t="s">
        <v>1</v>
      </c>
      <c r="C33086" s="0" t="s">
        <v>12792</v>
      </c>
      <c r="E33086" s="0" t="s">
        <v>2241</v>
      </c>
      <c r="F33086" s="0" t="s">
        <v>3220</v>
      </c>
      <c r="H33086" s="0" t="s">
        <v>5822</v>
      </c>
      <c r="I33086" s="0" t="s">
        <v>5823</v>
      </c>
    </row>
    <row r="33087" customFormat="false" ht="12.8" hidden="false" customHeight="false" outlineLevel="0" collapsed="false">
      <c r="B33087" s="0" t="s">
        <v>8</v>
      </c>
      <c r="C33087" s="0" t="s">
        <v>12793</v>
      </c>
      <c r="E33087" s="0" t="s">
        <v>2665</v>
      </c>
      <c r="F33087" s="0" t="s">
        <v>3222</v>
      </c>
      <c r="H33087" s="0" t="s">
        <v>5824</v>
      </c>
      <c r="I33087" s="0" t="s">
        <v>5825</v>
      </c>
    </row>
    <row r="33089" customFormat="false" ht="12.8" hidden="false" customHeight="false" outlineLevel="0" collapsed="false">
      <c r="A33089" s="0" t="s">
        <v>12794</v>
      </c>
      <c r="B33089" s="0" t="str">
        <f aca="false">HYPERLINK("https://lindat.mff.cuni.cz/services/teitok/pdtc10/index.php?action=vallex&amp;frame=v-whsa_754hsa_755", "protnout se (v-whsa_754hsa_755)")</f>
        <v>protnout se (v-whsa_754hsa_755)</v>
      </c>
    </row>
    <row r="33090" customFormat="false" ht="12.8" hidden="false" customHeight="false" outlineLevel="0" collapsed="false">
      <c r="B33090" s="0" t="s">
        <v>1</v>
      </c>
    </row>
    <row r="33091" customFormat="false" ht="12.8" hidden="false" customHeight="false" outlineLevel="0" collapsed="false">
      <c r="B33091" s="0" t="s">
        <v>721</v>
      </c>
    </row>
    <row r="33093" customFormat="false" ht="12.8" hidden="false" customHeight="false" outlineLevel="0" collapsed="false">
      <c r="A33093" s="0" t="s">
        <v>12795</v>
      </c>
      <c r="B33093" s="0" t="str">
        <f aca="false">HYPERLINK("https://lindat.mff.cuni.cz/services/teitok/pdtc10/index.php?action=vallex&amp;frame=v-whsa_228hsa_229", "protrhat se (v-whsa_228hsa_229)")</f>
        <v>protrhat se (v-whsa_228hsa_229)</v>
      </c>
    </row>
    <row r="33094" customFormat="false" ht="12.8" hidden="false" customHeight="false" outlineLevel="0" collapsed="false">
      <c r="B33094" s="0" t="s">
        <v>1</v>
      </c>
    </row>
    <row r="33096" customFormat="false" ht="12.8" hidden="false" customHeight="false" outlineLevel="0" collapsed="false">
      <c r="A33096" s="0" t="s">
        <v>12796</v>
      </c>
      <c r="B33096" s="0" t="str">
        <f aca="false">HYPERLINK("https://lindat.mff.cuni.cz/services/teitok/pdtc10/index.php?action=vallex&amp;frame=v-w4592f1", "protrhnout (v-w4592f1)")</f>
        <v>protrhnout (v-w4592f1)</v>
      </c>
    </row>
    <row r="33097" customFormat="false" ht="12.8" hidden="false" customHeight="false" outlineLevel="0" collapsed="false">
      <c r="B33097" s="0" t="s">
        <v>1</v>
      </c>
    </row>
    <row r="33098" customFormat="false" ht="12.8" hidden="false" customHeight="false" outlineLevel="0" collapsed="false">
      <c r="B33098" s="0" t="s">
        <v>8</v>
      </c>
    </row>
    <row r="33100" customFormat="false" ht="12.8" hidden="false" customHeight="false" outlineLevel="0" collapsed="false">
      <c r="A33100" s="0" t="s">
        <v>12797</v>
      </c>
      <c r="B33100" s="0" t="str">
        <f aca="false">HYPERLINK("https://lindat.mff.cuni.cz/services/teitok/pdtc10/index.php?action=vallex&amp;frame=v-w4592f3", "protrhnout (v-w4592f3)")</f>
        <v>protrhnout (v-w4592f3)</v>
      </c>
    </row>
    <row r="33101" customFormat="false" ht="12.8" hidden="false" customHeight="false" outlineLevel="0" collapsed="false">
      <c r="B33101" s="0" t="s">
        <v>1</v>
      </c>
    </row>
    <row r="33102" customFormat="false" ht="12.8" hidden="false" customHeight="false" outlineLevel="0" collapsed="false">
      <c r="B33102" s="0" t="s">
        <v>8</v>
      </c>
    </row>
    <row r="33104" customFormat="false" ht="12.8" hidden="false" customHeight="false" outlineLevel="0" collapsed="false">
      <c r="A33104" s="0" t="s">
        <v>12798</v>
      </c>
      <c r="B33104" s="0" t="str">
        <f aca="false">HYPERLINK("https://lindat.mff.cuni.cz/services/teitok/pdtc10/index.php?action=vallex&amp;frame=v-w4592f2", "protrhnout (v-w4592f2)")</f>
        <v>protrhnout (v-w4592f2)</v>
      </c>
    </row>
    <row r="33105" customFormat="false" ht="12.8" hidden="false" customHeight="false" outlineLevel="0" collapsed="false">
      <c r="B33105" s="0" t="s">
        <v>1</v>
      </c>
    </row>
    <row r="33106" customFormat="false" ht="12.8" hidden="false" customHeight="false" outlineLevel="0" collapsed="false">
      <c r="B33106" s="0" t="s">
        <v>8</v>
      </c>
    </row>
    <row r="33108" customFormat="false" ht="12.8" hidden="false" customHeight="false" outlineLevel="0" collapsed="false">
      <c r="A33108" s="0" t="s">
        <v>12799</v>
      </c>
      <c r="B33108" s="0" t="str">
        <f aca="false">HYPERLINK("https://lindat.mff.cuni.cz/services/teitok/pdtc10/index.php?action=vallex&amp;frame=v-w4593f1", "protrhnout se (v-w4593f1)")</f>
        <v>protrhnout se (v-w4593f1)</v>
      </c>
    </row>
    <row r="33109" customFormat="false" ht="12.8" hidden="false" customHeight="false" outlineLevel="0" collapsed="false">
      <c r="B33109" s="0" t="s">
        <v>1</v>
      </c>
    </row>
    <row r="33111" customFormat="false" ht="12.8" hidden="false" customHeight="false" outlineLevel="0" collapsed="false">
      <c r="A33111" s="0" t="s">
        <v>12800</v>
      </c>
      <c r="B33111" s="0" t="str">
        <f aca="false">HYPERLINK("https://lindat.mff.cuni.cz/services/teitok/pdtc10/index.php?action=vallex&amp;frame=v-w4590f1", "protrhávat (v-w4590f1)")</f>
        <v>protrhávat (v-w4590f1)</v>
      </c>
      <c r="E33111" s="0" t="str">
        <f aca="false">HYPERLINK("https://lindat.mff.cuni.cz/services/SynSemClass40/SynSemClass40.html?veclass=vec00885#vec00885-ces-cm00041", "vec00885")</f>
        <v>vec00885</v>
      </c>
      <c r="F33111" s="0" t="s">
        <v>12480</v>
      </c>
    </row>
    <row r="33112" customFormat="false" ht="12.8" hidden="false" customHeight="false" outlineLevel="0" collapsed="false">
      <c r="B33112" s="0" t="s">
        <v>1</v>
      </c>
      <c r="C33112" s="0" t="s">
        <v>1752</v>
      </c>
      <c r="E33112" s="0" t="s">
        <v>1890</v>
      </c>
      <c r="F33112" s="0" t="s">
        <v>12481</v>
      </c>
    </row>
    <row r="33113" customFormat="false" ht="12.8" hidden="false" customHeight="false" outlineLevel="0" collapsed="false">
      <c r="B33113" s="0" t="s">
        <v>8</v>
      </c>
      <c r="C33113" s="0" t="s">
        <v>3252</v>
      </c>
      <c r="E33113" s="0" t="s">
        <v>1893</v>
      </c>
      <c r="F33113" s="0" t="s">
        <v>12482</v>
      </c>
    </row>
    <row r="33115" customFormat="false" ht="12.8" hidden="false" customHeight="false" outlineLevel="0" collapsed="false">
      <c r="A33115" s="0" t="s">
        <v>12801</v>
      </c>
      <c r="B33115" s="0" t="str">
        <f aca="false">HYPERLINK("https://lindat.mff.cuni.cz/services/teitok/pdtc10/index.php?action=vallex&amp;frame=v-w4591f1", "protrhávat se (v-w4591f1)")</f>
        <v>protrhávat se (v-w4591f1)</v>
      </c>
    </row>
    <row r="33116" customFormat="false" ht="12.8" hidden="false" customHeight="false" outlineLevel="0" collapsed="false">
      <c r="B33116" s="0" t="s">
        <v>1</v>
      </c>
    </row>
    <row r="33118" customFormat="false" ht="12.8" hidden="false" customHeight="false" outlineLevel="0" collapsed="false">
      <c r="A33118" s="0" t="s">
        <v>12802</v>
      </c>
      <c r="B33118" s="0" t="str">
        <f aca="false">HYPERLINK("https://lindat.mff.cuni.cz/services/teitok/pdtc10/index.php?action=vallex&amp;frame=v-w4594f1", "protrpět (v-w4594f1)")</f>
        <v>protrpět (v-w4594f1)</v>
      </c>
      <c r="E33118" s="0" t="str">
        <f aca="false">HYPERLINK("https://lindat.mff.cuni.cz/services/SynSemClass40/SynSemClass40.html?veclass=vec00491#vec00491-ces-cm00012", "vec00491")</f>
        <v>vec00491</v>
      </c>
      <c r="F33118" s="0" t="s">
        <v>12803</v>
      </c>
    </row>
    <row r="33119" customFormat="false" ht="12.8" hidden="false" customHeight="false" outlineLevel="0" collapsed="false">
      <c r="B33119" s="0" t="s">
        <v>1</v>
      </c>
      <c r="C33119" s="0" t="s">
        <v>12804</v>
      </c>
      <c r="E33119" s="0" t="s">
        <v>12805</v>
      </c>
      <c r="F33119" s="0" t="s">
        <v>12806</v>
      </c>
    </row>
    <row r="33120" customFormat="false" ht="12.8" hidden="false" customHeight="false" outlineLevel="0" collapsed="false">
      <c r="B33120" s="0" t="s">
        <v>8</v>
      </c>
      <c r="C33120" s="0" t="s">
        <v>12807</v>
      </c>
      <c r="E33120" s="0" t="s">
        <v>2885</v>
      </c>
      <c r="F33120" s="0" t="s">
        <v>12808</v>
      </c>
    </row>
    <row r="33122" customFormat="false" ht="12.8" hidden="false" customHeight="false" outlineLevel="0" collapsed="false">
      <c r="A33122" s="0" t="s">
        <v>12809</v>
      </c>
      <c r="B33122" s="0" t="str">
        <f aca="false">HYPERLINK("https://lindat.mff.cuni.cz/services/teitok/pdtc10/index.php?action=vallex&amp;frame=v-w4568f1", "protáhnout (v-w4568f1)")</f>
        <v>protáhnout (v-w4568f1)</v>
      </c>
      <c r="E33122" s="0" t="str">
        <f aca="false">HYPERLINK("https://lindat.mff.cuni.cz/services/SynSemClass40/SynSemClass40.html?veclass=vec00274#vec00274-ces-cm00006", "vec00274")</f>
        <v>vec00274</v>
      </c>
      <c r="F33122" s="0" t="s">
        <v>12238</v>
      </c>
    </row>
    <row r="33123" customFormat="false" ht="12.8" hidden="false" customHeight="false" outlineLevel="0" collapsed="false">
      <c r="B33123" s="0" t="s">
        <v>1</v>
      </c>
      <c r="C33123" s="0" t="s">
        <v>12239</v>
      </c>
      <c r="E33123" s="0" t="s">
        <v>31</v>
      </c>
      <c r="F33123" s="0" t="s">
        <v>12240</v>
      </c>
    </row>
    <row r="33124" customFormat="false" ht="12.8" hidden="false" customHeight="false" outlineLevel="0" collapsed="false">
      <c r="B33124" s="0" t="s">
        <v>8</v>
      </c>
      <c r="C33124" s="0" t="s">
        <v>5452</v>
      </c>
      <c r="E33124" s="0" t="s">
        <v>34</v>
      </c>
      <c r="F33124" s="0" t="s">
        <v>12241</v>
      </c>
    </row>
    <row r="33125" customFormat="false" ht="12.8" hidden="false" customHeight="false" outlineLevel="0" collapsed="false">
      <c r="B33125" s="0" t="s">
        <v>36</v>
      </c>
      <c r="C33125" s="0" t="s">
        <v>1849</v>
      </c>
      <c r="E33125" s="0" t="s">
        <v>5152</v>
      </c>
      <c r="F33125" s="0" t="s">
        <v>12242</v>
      </c>
    </row>
    <row r="33126" customFormat="false" ht="12.8" hidden="false" customHeight="false" outlineLevel="0" collapsed="false">
      <c r="B33126" s="0" t="s">
        <v>101</v>
      </c>
      <c r="C33126" s="0" t="s">
        <v>12243</v>
      </c>
      <c r="E33126" s="0" t="s">
        <v>5796</v>
      </c>
      <c r="F33126" s="0" t="s">
        <v>12244</v>
      </c>
    </row>
    <row r="33128" customFormat="false" ht="12.8" hidden="false" customHeight="false" outlineLevel="0" collapsed="false">
      <c r="A33128" s="0" t="s">
        <v>12810</v>
      </c>
      <c r="B33128" s="0" t="str">
        <f aca="false">HYPERLINK("https://lindat.mff.cuni.cz/services/teitok/pdtc10/index.php?action=vallex&amp;frame=v-w4568f2", "protáhnout (v-w4568f2)")</f>
        <v>protáhnout (v-w4568f2)</v>
      </c>
    </row>
    <row r="33129" customFormat="false" ht="12.8" hidden="false" customHeight="false" outlineLevel="0" collapsed="false">
      <c r="B33129" s="0" t="s">
        <v>1</v>
      </c>
    </row>
    <row r="33130" customFormat="false" ht="12.8" hidden="false" customHeight="false" outlineLevel="0" collapsed="false">
      <c r="B33130" s="0" t="s">
        <v>8</v>
      </c>
    </row>
    <row r="33131" customFormat="false" ht="12.8" hidden="false" customHeight="false" outlineLevel="0" collapsed="false">
      <c r="B33131" s="0" t="s">
        <v>336</v>
      </c>
    </row>
    <row r="33133" customFormat="false" ht="12.8" hidden="false" customHeight="false" outlineLevel="0" collapsed="false">
      <c r="A33133" s="0" t="s">
        <v>12811</v>
      </c>
      <c r="B33133" s="0" t="str">
        <f aca="false">HYPERLINK("https://lindat.mff.cuni.cz/services/teitok/pdtc10/index.php?action=vallex&amp;frame=v-w4568f3_ZU", "protáhnout (v-w4568f3_ZU)")</f>
        <v>protáhnout (v-w4568f3_ZU)</v>
      </c>
    </row>
    <row r="33134" customFormat="false" ht="12.8" hidden="false" customHeight="false" outlineLevel="0" collapsed="false">
      <c r="B33134" s="0" t="s">
        <v>1</v>
      </c>
    </row>
    <row r="33135" customFormat="false" ht="12.8" hidden="false" customHeight="false" outlineLevel="0" collapsed="false">
      <c r="B33135" s="0" t="s">
        <v>8</v>
      </c>
    </row>
    <row r="33137" customFormat="false" ht="12.8" hidden="false" customHeight="false" outlineLevel="0" collapsed="false">
      <c r="A33137" s="0" t="s">
        <v>12812</v>
      </c>
      <c r="B33137" s="0" t="str">
        <f aca="false">HYPERLINK("https://lindat.mff.cuni.cz/services/teitok/pdtc10/index.php?action=vallex&amp;frame=v-w4569f5_ZU", "protáhnout se (v-w4569f5_ZU)")</f>
        <v>protáhnout se (v-w4569f5_ZU)</v>
      </c>
      <c r="E33137" s="0" t="str">
        <f aca="false">HYPERLINK("https://lindat.mff.cuni.cz/services/SynSemClass40/SynSemClass40.html?veclass=vec01332#vec01332-ces-cm00008", "vec01332")</f>
        <v>vec01332</v>
      </c>
      <c r="F33137" s="0" t="s">
        <v>12813</v>
      </c>
    </row>
    <row r="33138" customFormat="false" ht="12.8" hidden="false" customHeight="false" outlineLevel="0" collapsed="false">
      <c r="B33138" s="0" t="s">
        <v>1</v>
      </c>
      <c r="C33138" s="0" t="s">
        <v>12814</v>
      </c>
      <c r="E33138" s="0" t="s">
        <v>375</v>
      </c>
      <c r="F33138" s="0" t="s">
        <v>12815</v>
      </c>
    </row>
    <row r="33139" customFormat="false" ht="12.8" hidden="false" customHeight="false" outlineLevel="0" collapsed="false">
      <c r="B33139" s="0" t="s">
        <v>763</v>
      </c>
      <c r="E33139" s="0" t="s">
        <v>7980</v>
      </c>
      <c r="F33139" s="0" t="s">
        <v>12816</v>
      </c>
    </row>
    <row r="33140" customFormat="false" ht="12.8" hidden="false" customHeight="false" outlineLevel="0" collapsed="false">
      <c r="B33140" s="0" t="s">
        <v>101</v>
      </c>
      <c r="E33140" s="0" t="s">
        <v>12817</v>
      </c>
      <c r="F33140" s="0" t="s">
        <v>12818</v>
      </c>
    </row>
    <row r="33142" customFormat="false" ht="12.8" hidden="false" customHeight="false" outlineLevel="0" collapsed="false">
      <c r="A33142" s="0" t="s">
        <v>12812</v>
      </c>
      <c r="B33142" s="0" t="str">
        <f aca="false">HYPERLINK("https://lindat.mff.cuni.cz/services/teitok/pdtc10/index.php?action=vallex&amp;frame=v-w4569f1", "protáhnout se (v-w4569f1) - substituted with v-w4569f5_ZU")</f>
        <v>protáhnout se (v-w4569f1) - substituted with v-w4569f5_ZU</v>
      </c>
    </row>
    <row r="33143" customFormat="false" ht="12.8" hidden="false" customHeight="false" outlineLevel="0" collapsed="false">
      <c r="B33143" s="0" t="s">
        <v>1</v>
      </c>
    </row>
    <row r="33144" customFormat="false" ht="12.8" hidden="false" customHeight="false" outlineLevel="0" collapsed="false">
      <c r="B33144" s="0" t="s">
        <v>763</v>
      </c>
    </row>
    <row r="33145" customFormat="false" ht="12.8" hidden="false" customHeight="false" outlineLevel="0" collapsed="false">
      <c r="B33145" s="0" t="s">
        <v>101</v>
      </c>
    </row>
    <row r="33147" customFormat="false" ht="12.8" hidden="false" customHeight="false" outlineLevel="0" collapsed="false">
      <c r="A33147" s="0" t="s">
        <v>12812</v>
      </c>
      <c r="B33147" s="0" t="str">
        <f aca="false">HYPERLINK("https://lindat.mff.cuni.cz/services/teitok/pdtc10/index.php?action=vallex&amp;frame=v-w4569f3_ZU", "protáhnout se (v-w4569f3_ZU) - substituted with v-w4569f5_ZU")</f>
        <v>protáhnout se (v-w4569f3_ZU) - substituted with v-w4569f5_ZU</v>
      </c>
    </row>
    <row r="33148" customFormat="false" ht="12.8" hidden="false" customHeight="false" outlineLevel="0" collapsed="false">
      <c r="B33148" s="0" t="s">
        <v>1</v>
      </c>
    </row>
    <row r="33149" customFormat="false" ht="12.8" hidden="false" customHeight="false" outlineLevel="0" collapsed="false">
      <c r="B33149" s="0" t="s">
        <v>763</v>
      </c>
    </row>
    <row r="33150" customFormat="false" ht="12.8" hidden="false" customHeight="false" outlineLevel="0" collapsed="false">
      <c r="B33150" s="0" t="s">
        <v>101</v>
      </c>
    </row>
    <row r="33152" customFormat="false" ht="12.8" hidden="false" customHeight="false" outlineLevel="0" collapsed="false">
      <c r="A33152" s="0" t="s">
        <v>12812</v>
      </c>
      <c r="B33152" s="0" t="str">
        <f aca="false">HYPERLINK("https://lindat.mff.cuni.cz/services/teitok/pdtc10/index.php?action=vallex&amp;frame=v-w4569f4_ZU", "protáhnout se (v-w4569f4_ZU) - substituted with v-w4569f5_ZU")</f>
        <v>protáhnout se (v-w4569f4_ZU) - substituted with v-w4569f5_ZU</v>
      </c>
    </row>
    <row r="33153" customFormat="false" ht="12.8" hidden="false" customHeight="false" outlineLevel="0" collapsed="false">
      <c r="B33153" s="0" t="s">
        <v>1</v>
      </c>
    </row>
    <row r="33154" customFormat="false" ht="12.8" hidden="false" customHeight="false" outlineLevel="0" collapsed="false">
      <c r="B33154" s="0" t="s">
        <v>763</v>
      </c>
    </row>
    <row r="33155" customFormat="false" ht="12.8" hidden="false" customHeight="false" outlineLevel="0" collapsed="false">
      <c r="B33155" s="0" t="s">
        <v>101</v>
      </c>
    </row>
    <row r="33157" customFormat="false" ht="12.8" hidden="false" customHeight="false" outlineLevel="0" collapsed="false">
      <c r="A33157" s="0" t="s">
        <v>12819</v>
      </c>
      <c r="B33157" s="0" t="str">
        <f aca="false">HYPERLINK("https://lindat.mff.cuni.cz/services/teitok/pdtc10/index.php?action=vallex&amp;frame=v-w4569f2", "protáhnout se (v-w4569f2)")</f>
        <v>protáhnout se (v-w4569f2)</v>
      </c>
    </row>
    <row r="33158" customFormat="false" ht="12.8" hidden="false" customHeight="false" outlineLevel="0" collapsed="false">
      <c r="B33158" s="0" t="s">
        <v>1</v>
      </c>
    </row>
    <row r="33160" customFormat="false" ht="12.8" hidden="false" customHeight="false" outlineLevel="0" collapsed="false">
      <c r="A33160" s="0" t="s">
        <v>12820</v>
      </c>
      <c r="B33160" s="0" t="str">
        <f aca="false">HYPERLINK("https://lindat.mff.cuni.cz/services/teitok/pdtc10/index.php?action=vallex&amp;frame=v-w4569f6_ZU", "protáhnout se (v-w4569f6_ZU)")</f>
        <v>protáhnout se (v-w4569f6_ZU)</v>
      </c>
    </row>
    <row r="33161" customFormat="false" ht="12.8" hidden="false" customHeight="false" outlineLevel="0" collapsed="false">
      <c r="B33161" s="0" t="s">
        <v>1</v>
      </c>
    </row>
    <row r="33162" customFormat="false" ht="12.8" hidden="false" customHeight="false" outlineLevel="0" collapsed="false">
      <c r="B33162" s="0" t="s">
        <v>763</v>
      </c>
    </row>
    <row r="33163" customFormat="false" ht="12.8" hidden="false" customHeight="false" outlineLevel="0" collapsed="false">
      <c r="B33163" s="0" t="s">
        <v>101</v>
      </c>
    </row>
    <row r="33165" customFormat="false" ht="12.8" hidden="false" customHeight="false" outlineLevel="0" collapsed="false">
      <c r="A33165" s="0" t="s">
        <v>12821</v>
      </c>
      <c r="B33165" s="0" t="str">
        <f aca="false">HYPERLINK("https://lindat.mff.cuni.cz/services/teitok/pdtc10/index.php?action=vallex&amp;frame=v-w4569f7_ZU", "protáhnout se (v-w4569f7_ZU)")</f>
        <v>protáhnout se (v-w4569f7_ZU)</v>
      </c>
    </row>
    <row r="33166" customFormat="false" ht="12.8" hidden="false" customHeight="false" outlineLevel="0" collapsed="false">
      <c r="B33166" s="0" t="s">
        <v>1</v>
      </c>
    </row>
    <row r="33168" customFormat="false" ht="12.8" hidden="false" customHeight="false" outlineLevel="0" collapsed="false">
      <c r="A33168" s="0" t="s">
        <v>12822</v>
      </c>
      <c r="B33168" s="0" t="str">
        <f aca="false">HYPERLINK("https://lindat.mff.cuni.cz/services/teitok/pdtc10/index.php?action=vallex&amp;frame=v-w4569hsa_850", "protáhnout se (v-w4569hsa_850)")</f>
        <v>protáhnout se (v-w4569hsa_850)</v>
      </c>
    </row>
    <row r="33169" customFormat="false" ht="12.8" hidden="false" customHeight="false" outlineLevel="0" collapsed="false">
      <c r="B33169" s="0" t="s">
        <v>1</v>
      </c>
    </row>
    <row r="33170" customFormat="false" ht="12.8" hidden="false" customHeight="false" outlineLevel="0" collapsed="false">
      <c r="B33170" s="0" t="s">
        <v>336</v>
      </c>
    </row>
    <row r="33172" customFormat="false" ht="12.8" hidden="false" customHeight="false" outlineLevel="0" collapsed="false">
      <c r="A33172" s="0" t="s">
        <v>12823</v>
      </c>
      <c r="B33172" s="0" t="str">
        <f aca="false">HYPERLINK("https://lindat.mff.cuni.cz/services/teitok/pdtc10/index.php?action=vallex&amp;frame=v-w4572f1", "protéci (v-w4572f1)")</f>
        <v>protéci (v-w4572f1)</v>
      </c>
    </row>
    <row r="33173" customFormat="false" ht="12.8" hidden="false" customHeight="false" outlineLevel="0" collapsed="false">
      <c r="B33173" s="0" t="s">
        <v>1</v>
      </c>
    </row>
    <row r="33174" customFormat="false" ht="12.8" hidden="false" customHeight="false" outlineLevel="0" collapsed="false">
      <c r="B33174" s="0" t="s">
        <v>336</v>
      </c>
    </row>
    <row r="33176" customFormat="false" ht="12.8" hidden="false" customHeight="false" outlineLevel="0" collapsed="false">
      <c r="A33176" s="0" t="s">
        <v>12824</v>
      </c>
      <c r="B33176" s="0" t="str">
        <f aca="false">HYPERLINK("https://lindat.mff.cuni.cz/services/teitok/pdtc10/index.php?action=vallex&amp;frame=v-w4573f1", "protékat (v-w4573f1)")</f>
        <v>protékat (v-w4573f1)</v>
      </c>
      <c r="E33176" s="0" t="str">
        <f aca="false">HYPERLINK("https://lindat.mff.cuni.cz/services/SynSemClass40/SynSemClass40.html?veclass=vec00882#vec00882-ces-cm00017", "vec00882")</f>
        <v>vec00882</v>
      </c>
      <c r="F33176" s="0" t="s">
        <v>12378</v>
      </c>
    </row>
    <row r="33177" customFormat="false" ht="12.8" hidden="false" customHeight="false" outlineLevel="0" collapsed="false">
      <c r="B33177" s="0" t="s">
        <v>1</v>
      </c>
      <c r="C33177" s="0" t="s">
        <v>3375</v>
      </c>
      <c r="E33177" s="0" t="s">
        <v>334</v>
      </c>
      <c r="F33177" s="0" t="s">
        <v>4927</v>
      </c>
    </row>
    <row r="33178" customFormat="false" ht="12.8" hidden="false" customHeight="false" outlineLevel="0" collapsed="false">
      <c r="B33178" s="0" t="s">
        <v>336</v>
      </c>
      <c r="C33178" s="0" t="s">
        <v>12379</v>
      </c>
      <c r="E33178" s="0" t="s">
        <v>338</v>
      </c>
      <c r="F33178" s="0" t="s">
        <v>12380</v>
      </c>
    </row>
    <row r="33180" customFormat="false" ht="12.8" hidden="false" customHeight="false" outlineLevel="0" collapsed="false">
      <c r="A33180" s="0" t="s">
        <v>12825</v>
      </c>
      <c r="B33180" s="0" t="str">
        <f aca="false">HYPERLINK("https://lindat.mff.cuni.cz/services/teitok/pdtc10/index.php?action=vallex&amp;frame=v-w4573hsa_1262", "protékat (v-w4573hsa_1262)")</f>
        <v>protékat (v-w4573hsa_1262)</v>
      </c>
    </row>
    <row r="33181" customFormat="false" ht="12.8" hidden="false" customHeight="false" outlineLevel="0" collapsed="false">
      <c r="B33181" s="0" t="s">
        <v>1</v>
      </c>
    </row>
    <row r="33182" customFormat="false" ht="12.8" hidden="false" customHeight="false" outlineLevel="0" collapsed="false">
      <c r="B33182" s="0" t="s">
        <v>8</v>
      </c>
    </row>
    <row r="33184" customFormat="false" ht="12.8" hidden="false" customHeight="false" outlineLevel="0" collapsed="false">
      <c r="A33184" s="0" t="s">
        <v>12826</v>
      </c>
      <c r="B33184" s="0" t="str">
        <f aca="false">HYPERLINK("https://lindat.mff.cuni.cz/services/teitok/pdtc10/index.php?action=vallex&amp;frame=v-w4581f1", "protínat (v-w4581f1)")</f>
        <v>protínat (v-w4581f1)</v>
      </c>
    </row>
    <row r="33185" customFormat="false" ht="12.8" hidden="false" customHeight="false" outlineLevel="0" collapsed="false">
      <c r="B33185" s="0" t="s">
        <v>1</v>
      </c>
    </row>
    <row r="33186" customFormat="false" ht="12.8" hidden="false" customHeight="false" outlineLevel="0" collapsed="false">
      <c r="B33186" s="0" t="s">
        <v>8</v>
      </c>
    </row>
    <row r="33188" customFormat="false" ht="12.8" hidden="false" customHeight="false" outlineLevel="0" collapsed="false">
      <c r="A33188" s="0" t="s">
        <v>12827</v>
      </c>
      <c r="B33188" s="0" t="str">
        <f aca="false">HYPERLINK("https://lindat.mff.cuni.cz/services/teitok/pdtc10/index.php?action=vallex&amp;frame=v-whsb_499hsa_500", "protínat se (v-whsb_499hsa_500)")</f>
        <v>protínat se (v-whsb_499hsa_500)</v>
      </c>
    </row>
    <row r="33189" customFormat="false" ht="12.8" hidden="false" customHeight="false" outlineLevel="0" collapsed="false">
      <c r="B33189" s="0" t="s">
        <v>1</v>
      </c>
    </row>
    <row r="33190" customFormat="false" ht="12.8" hidden="false" customHeight="false" outlineLevel="0" collapsed="false">
      <c r="B33190" s="0" t="s">
        <v>721</v>
      </c>
    </row>
    <row r="33192" customFormat="false" ht="12.8" hidden="false" customHeight="false" outlineLevel="0" collapsed="false">
      <c r="A33192" s="0" t="s">
        <v>12828</v>
      </c>
      <c r="B33192" s="0" t="str">
        <f aca="false">HYPERLINK("https://lindat.mff.cuni.cz/services/teitok/pdtc10/index.php?action=vallex&amp;frame=v-whsa_1738hsa_1739", "protřást (v-whsa_1738hsa_1739)")</f>
        <v>protřást (v-whsa_1738hsa_1739)</v>
      </c>
    </row>
    <row r="33193" customFormat="false" ht="12.8" hidden="false" customHeight="false" outlineLevel="0" collapsed="false">
      <c r="B33193" s="0" t="s">
        <v>1</v>
      </c>
    </row>
    <row r="33194" customFormat="false" ht="12.8" hidden="false" customHeight="false" outlineLevel="0" collapsed="false">
      <c r="B33194" s="0" t="s">
        <v>8</v>
      </c>
    </row>
    <row r="33196" customFormat="false" ht="12.8" hidden="false" customHeight="false" outlineLevel="0" collapsed="false">
      <c r="A33196" s="0" t="s">
        <v>12829</v>
      </c>
      <c r="B33196" s="0" t="str">
        <f aca="false">HYPERLINK("https://lindat.mff.cuni.cz/services/teitok/pdtc10/index.php?action=vallex&amp;frame=v-whsa_1223hsa_1224", "protřídit (v-whsa_1223hsa_1224)")</f>
        <v>protřídit (v-whsa_1223hsa_1224)</v>
      </c>
      <c r="E33196" s="0" t="str">
        <f aca="false">HYPERLINK("https://lindat.mff.cuni.cz/services/SynSemClass40/SynSemClass40.html?veclass=vec00879#vec00879-ces-cm00004", "vec00879")</f>
        <v>vec00879</v>
      </c>
      <c r="F33196" s="0" t="s">
        <v>12158</v>
      </c>
    </row>
    <row r="33197" customFormat="false" ht="12.8" hidden="false" customHeight="false" outlineLevel="0" collapsed="false">
      <c r="B33197" s="0" t="s">
        <v>1</v>
      </c>
      <c r="C33197" s="0" t="s">
        <v>4695</v>
      </c>
      <c r="E33197" s="0" t="s">
        <v>12159</v>
      </c>
      <c r="F33197" s="0" t="s">
        <v>12160</v>
      </c>
    </row>
    <row r="33198" customFormat="false" ht="12.8" hidden="false" customHeight="false" outlineLevel="0" collapsed="false">
      <c r="B33198" s="0" t="s">
        <v>8</v>
      </c>
      <c r="C33198" s="0" t="s">
        <v>1940</v>
      </c>
      <c r="E33198" s="0" t="s">
        <v>12161</v>
      </c>
      <c r="F33198" s="0" t="s">
        <v>12162</v>
      </c>
    </row>
    <row r="33200" customFormat="false" ht="12.8" hidden="false" customHeight="false" outlineLevel="0" collapsed="false">
      <c r="A33200" s="0" t="s">
        <v>12830</v>
      </c>
      <c r="B33200" s="0" t="str">
        <f aca="false">HYPERLINK("https://lindat.mff.cuni.cz/services/teitok/pdtc10/index.php?action=vallex&amp;frame=v-w4597f1", "proudit (v-w4597f1)")</f>
        <v>proudit (v-w4597f1)</v>
      </c>
      <c r="E33200" s="0" t="str">
        <f aca="false">HYPERLINK("https://lindat.mff.cuni.cz/services/SynSemClass40/SynSemClass40.html?veclass=vec00952#vec00952-ces-cm00004", "vec00952")</f>
        <v>vec00952</v>
      </c>
      <c r="F33200" s="0" t="s">
        <v>3038</v>
      </c>
    </row>
    <row r="33201" customFormat="false" ht="12.8" hidden="false" customHeight="false" outlineLevel="0" collapsed="false">
      <c r="B33201" s="0" t="s">
        <v>1</v>
      </c>
      <c r="C33201" s="0" t="s">
        <v>12831</v>
      </c>
      <c r="E33201" s="0" t="s">
        <v>334</v>
      </c>
      <c r="F33201" s="0" t="s">
        <v>3040</v>
      </c>
    </row>
    <row r="33203" customFormat="false" ht="12.8" hidden="false" customHeight="false" outlineLevel="0" collapsed="false">
      <c r="A33203" s="0" t="s">
        <v>12832</v>
      </c>
      <c r="B33203" s="0" t="str">
        <f aca="false">HYPERLINK("https://lindat.mff.cuni.cz/services/teitok/pdtc10/index.php?action=vallex&amp;frame=v-w4598f1", "proukázat (v-w4598f1)")</f>
        <v>proukázat (v-w4598f1)</v>
      </c>
    </row>
    <row r="33204" customFormat="false" ht="12.8" hidden="false" customHeight="false" outlineLevel="0" collapsed="false">
      <c r="B33204" s="0" t="s">
        <v>1</v>
      </c>
    </row>
    <row r="33205" customFormat="false" ht="12.8" hidden="false" customHeight="false" outlineLevel="0" collapsed="false">
      <c r="B33205" s="0" t="s">
        <v>1899</v>
      </c>
    </row>
    <row r="33206" customFormat="false" ht="12.8" hidden="false" customHeight="false" outlineLevel="0" collapsed="false">
      <c r="B33206" s="0" t="s">
        <v>52</v>
      </c>
    </row>
    <row r="33208" customFormat="false" ht="12.8" hidden="false" customHeight="false" outlineLevel="0" collapsed="false">
      <c r="A33208" s="0" t="s">
        <v>12833</v>
      </c>
      <c r="B33208" s="0" t="str">
        <f aca="false">HYPERLINK("https://lindat.mff.cuni.cz/services/teitok/pdtc10/index.php?action=vallex&amp;frame=v-w4602f1", "provalit (v-w4602f1)")</f>
        <v>provalit (v-w4602f1)</v>
      </c>
    </row>
    <row r="33209" customFormat="false" ht="12.8" hidden="false" customHeight="false" outlineLevel="0" collapsed="false">
      <c r="B33209" s="0" t="s">
        <v>1</v>
      </c>
    </row>
    <row r="33210" customFormat="false" ht="12.8" hidden="false" customHeight="false" outlineLevel="0" collapsed="false">
      <c r="B33210" s="0" t="s">
        <v>8</v>
      </c>
    </row>
    <row r="33212" customFormat="false" ht="12.8" hidden="false" customHeight="false" outlineLevel="0" collapsed="false">
      <c r="A33212" s="0" t="s">
        <v>12834</v>
      </c>
      <c r="B33212" s="0" t="str">
        <f aca="false">HYPERLINK("https://lindat.mff.cuni.cz/services/teitok/pdtc10/index.php?action=vallex&amp;frame=v-w11392f1", "provalit se (v-w11392f1)")</f>
        <v>provalit se (v-w11392f1)</v>
      </c>
    </row>
    <row r="33213" customFormat="false" ht="12.8" hidden="false" customHeight="false" outlineLevel="0" collapsed="false">
      <c r="B33213" s="0" t="s">
        <v>1</v>
      </c>
    </row>
    <row r="33215" customFormat="false" ht="12.8" hidden="false" customHeight="false" outlineLevel="0" collapsed="false">
      <c r="A33215" s="0" t="s">
        <v>12835</v>
      </c>
      <c r="B33215" s="0" t="str">
        <f aca="false">HYPERLINK("https://lindat.mff.cuni.cz/services/teitok/pdtc10/index.php?action=vallex&amp;frame=v-w11392hsa_1660", "provalit se (v-w11392hsa_1660)")</f>
        <v>provalit se (v-w11392hsa_1660)</v>
      </c>
    </row>
    <row r="33216" customFormat="false" ht="12.8" hidden="false" customHeight="false" outlineLevel="0" collapsed="false">
      <c r="B33216" s="0" t="s">
        <v>1</v>
      </c>
    </row>
    <row r="33218" customFormat="false" ht="12.8" hidden="false" customHeight="false" outlineLevel="0" collapsed="false">
      <c r="A33218" s="0" t="s">
        <v>12836</v>
      </c>
      <c r="B33218" s="0" t="str">
        <f aca="false">HYPERLINK("https://lindat.mff.cuni.cz/services/teitok/pdtc10/index.php?action=vallex&amp;frame=v-w4606f1", "provdat (v-w4606f1)")</f>
        <v>provdat (v-w4606f1)</v>
      </c>
    </row>
    <row r="33219" customFormat="false" ht="12.8" hidden="false" customHeight="false" outlineLevel="0" collapsed="false">
      <c r="B33219" s="0" t="s">
        <v>1</v>
      </c>
    </row>
    <row r="33220" customFormat="false" ht="12.8" hidden="false" customHeight="false" outlineLevel="0" collapsed="false">
      <c r="B33220" s="0" t="s">
        <v>8</v>
      </c>
    </row>
    <row r="33221" customFormat="false" ht="12.8" hidden="false" customHeight="false" outlineLevel="0" collapsed="false">
      <c r="B33221" s="0" t="s">
        <v>12837</v>
      </c>
    </row>
    <row r="33223" customFormat="false" ht="12.8" hidden="false" customHeight="false" outlineLevel="0" collapsed="false">
      <c r="A33223" s="0" t="s">
        <v>12838</v>
      </c>
      <c r="B33223" s="0" t="str">
        <f aca="false">HYPERLINK("https://lindat.mff.cuni.cz/services/teitok/pdtc10/index.php?action=vallex&amp;frame=v-w4607f1", "provdat se (v-w4607f1)")</f>
        <v>provdat se (v-w4607f1)</v>
      </c>
    </row>
    <row r="33224" customFormat="false" ht="12.8" hidden="false" customHeight="false" outlineLevel="0" collapsed="false">
      <c r="B33224" s="0" t="s">
        <v>1</v>
      </c>
    </row>
    <row r="33225" customFormat="false" ht="12.8" hidden="false" customHeight="false" outlineLevel="0" collapsed="false">
      <c r="B33225" s="0" t="s">
        <v>2069</v>
      </c>
    </row>
    <row r="33227" customFormat="false" ht="12.8" hidden="false" customHeight="false" outlineLevel="0" collapsed="false">
      <c r="A33227" s="0" t="s">
        <v>12839</v>
      </c>
      <c r="B33227" s="0" t="str">
        <f aca="false">HYPERLINK("https://lindat.mff.cuni.cz/services/teitok/pdtc10/index.php?action=vallex&amp;frame=v-w4621f1", "provinit se (v-w4621f1)")</f>
        <v>provinit se (v-w4621f1)</v>
      </c>
      <c r="E33227" s="0" t="str">
        <f aca="false">HYPERLINK("https://lindat.mff.cuni.cz/services/SynSemClass40/SynSemClass40.html?veclass=vec01231#vec01231-ces-cm00003", "vec01231")</f>
        <v>vec01231</v>
      </c>
      <c r="F33227" s="0" t="s">
        <v>6316</v>
      </c>
    </row>
    <row r="33228" customFormat="false" ht="12.8" hidden="false" customHeight="false" outlineLevel="0" collapsed="false">
      <c r="B33228" s="0" t="s">
        <v>1</v>
      </c>
      <c r="C33228" s="0" t="s">
        <v>6317</v>
      </c>
      <c r="E33228" s="0" t="s">
        <v>31</v>
      </c>
      <c r="F33228" s="0" t="s">
        <v>6318</v>
      </c>
    </row>
    <row r="33230" customFormat="false" ht="12.8" hidden="false" customHeight="false" outlineLevel="0" collapsed="false">
      <c r="A33230" s="0" t="s">
        <v>12840</v>
      </c>
      <c r="B33230" s="0" t="str">
        <f aca="false">HYPERLINK("https://lindat.mff.cuni.cz/services/teitok/pdtc10/index.php?action=vallex&amp;frame=v-w4624f2_ZU", "provokovat (v-w4624f2_ZU)")</f>
        <v>provokovat (v-w4624f2_ZU)</v>
      </c>
    </row>
    <row r="33231" customFormat="false" ht="12.8" hidden="false" customHeight="false" outlineLevel="0" collapsed="false">
      <c r="B33231" s="0" t="s">
        <v>1</v>
      </c>
    </row>
    <row r="33232" customFormat="false" ht="12.8" hidden="false" customHeight="false" outlineLevel="0" collapsed="false">
      <c r="B33232" s="0" t="s">
        <v>8</v>
      </c>
    </row>
    <row r="33233" customFormat="false" ht="12.8" hidden="false" customHeight="false" outlineLevel="0" collapsed="false">
      <c r="B33233" s="0" t="s">
        <v>2594</v>
      </c>
    </row>
    <row r="33235" customFormat="false" ht="12.8" hidden="false" customHeight="false" outlineLevel="0" collapsed="false">
      <c r="A33235" s="0" t="s">
        <v>12840</v>
      </c>
      <c r="B33235" s="0" t="str">
        <f aca="false">HYPERLINK("https://lindat.mff.cuni.cz/services/teitok/pdtc10/index.php?action=vallex&amp;frame=v-w4624f1", "provokovat (v-w4624f1) - substituted with v-w4624f2_ZU")</f>
        <v>provokovat (v-w4624f1) - substituted with v-w4624f2_ZU</v>
      </c>
    </row>
    <row r="33236" customFormat="false" ht="12.8" hidden="false" customHeight="false" outlineLevel="0" collapsed="false">
      <c r="B33236" s="0" t="s">
        <v>1</v>
      </c>
    </row>
    <row r="33237" customFormat="false" ht="12.8" hidden="false" customHeight="false" outlineLevel="0" collapsed="false">
      <c r="B33237" s="0" t="s">
        <v>8</v>
      </c>
    </row>
    <row r="33238" customFormat="false" ht="12.8" hidden="false" customHeight="false" outlineLevel="0" collapsed="false">
      <c r="B33238" s="0" t="s">
        <v>2594</v>
      </c>
    </row>
    <row r="33240" customFormat="false" ht="12.8" hidden="false" customHeight="false" outlineLevel="0" collapsed="false">
      <c r="A33240" s="0" t="s">
        <v>12841</v>
      </c>
      <c r="B33240" s="0" t="str">
        <f aca="false">HYPERLINK("https://lindat.mff.cuni.cz/services/teitok/pdtc10/index.php?action=vallex&amp;frame=v-w10837f3_ZU", "provolat (v-w10837f3_ZU)")</f>
        <v>provolat (v-w10837f3_ZU)</v>
      </c>
    </row>
    <row r="33241" customFormat="false" ht="12.8" hidden="false" customHeight="false" outlineLevel="0" collapsed="false">
      <c r="B33241" s="0" t="s">
        <v>1</v>
      </c>
    </row>
    <row r="33242" customFormat="false" ht="12.8" hidden="false" customHeight="false" outlineLevel="0" collapsed="false">
      <c r="B33242" s="0" t="s">
        <v>8</v>
      </c>
    </row>
    <row r="33243" customFormat="false" ht="12.8" hidden="false" customHeight="false" outlineLevel="0" collapsed="false">
      <c r="B33243" s="0" t="s">
        <v>52</v>
      </c>
    </row>
    <row r="33245" customFormat="false" ht="12.8" hidden="false" customHeight="false" outlineLevel="0" collapsed="false">
      <c r="A33245" s="0" t="s">
        <v>12842</v>
      </c>
      <c r="B33245" s="0" t="str">
        <f aca="false">HYPERLINK("https://lindat.mff.cuni.cz/services/teitok/pdtc10/index.php?action=vallex&amp;frame=v-w10837f2", "provolat (v-w10837f2)")</f>
        <v>provolat (v-w10837f2)</v>
      </c>
    </row>
    <row r="33246" customFormat="false" ht="12.8" hidden="false" customHeight="false" outlineLevel="0" collapsed="false">
      <c r="B33246" s="0" t="s">
        <v>1</v>
      </c>
    </row>
    <row r="33247" customFormat="false" ht="12.8" hidden="false" customHeight="false" outlineLevel="0" collapsed="false">
      <c r="B33247" s="0" t="s">
        <v>6412</v>
      </c>
    </row>
    <row r="33248" customFormat="false" ht="12.8" hidden="false" customHeight="false" outlineLevel="0" collapsed="false">
      <c r="B33248" s="0" t="s">
        <v>2219</v>
      </c>
    </row>
    <row r="33250" customFormat="false" ht="12.8" hidden="false" customHeight="false" outlineLevel="0" collapsed="false">
      <c r="A33250" s="0" t="s">
        <v>12843</v>
      </c>
      <c r="B33250" s="0" t="str">
        <f aca="false">HYPERLINK("https://lindat.mff.cuni.cz/services/teitok/pdtc10/index.php?action=vallex&amp;frame=v-w4625f2", "provolávat (v-w4625f2)")</f>
        <v>provolávat (v-w4625f2)</v>
      </c>
      <c r="E33250" s="0" t="str">
        <f aca="false">HYPERLINK("https://lindat.mff.cuni.cz/services/SynSemClass40/SynSemClass40.html?veclass=vec01114#vec01114-ces-cm00008", "vec01114")</f>
        <v>vec01114</v>
      </c>
      <c r="F33250" s="0" t="s">
        <v>12844</v>
      </c>
    </row>
    <row r="33251" customFormat="false" ht="12.8" hidden="false" customHeight="false" outlineLevel="0" collapsed="false">
      <c r="B33251" s="0" t="s">
        <v>1</v>
      </c>
      <c r="C33251" s="0" t="s">
        <v>239</v>
      </c>
      <c r="E33251" s="0" t="s">
        <v>147</v>
      </c>
      <c r="F33251" s="0" t="s">
        <v>12845</v>
      </c>
    </row>
    <row r="33252" customFormat="false" ht="12.8" hidden="false" customHeight="false" outlineLevel="0" collapsed="false">
      <c r="B33252" s="0" t="s">
        <v>305</v>
      </c>
      <c r="C33252" s="0" t="s">
        <v>5391</v>
      </c>
      <c r="E33252" s="0" t="s">
        <v>12846</v>
      </c>
      <c r="F33252" s="0" t="s">
        <v>12847</v>
      </c>
    </row>
    <row r="33254" customFormat="false" ht="12.8" hidden="false" customHeight="false" outlineLevel="0" collapsed="false">
      <c r="A33254" s="0" t="s">
        <v>12843</v>
      </c>
      <c r="B33254" s="0" t="str">
        <f aca="false">HYPERLINK("https://lindat.mff.cuni.cz/services/teitok/pdtc10/index.php?action=vallex&amp;frame=v-w4625f1", "provolávat (v-w4625f1) - substituted with v-w4625f2")</f>
        <v>provolávat (v-w4625f1) - substituted with v-w4625f2</v>
      </c>
    </row>
    <row r="33255" customFormat="false" ht="12.8" hidden="false" customHeight="false" outlineLevel="0" collapsed="false">
      <c r="B33255" s="0" t="s">
        <v>1</v>
      </c>
    </row>
    <row r="33256" customFormat="false" ht="12.8" hidden="false" customHeight="false" outlineLevel="0" collapsed="false">
      <c r="B33256" s="0" t="s">
        <v>305</v>
      </c>
    </row>
    <row r="33258" customFormat="false" ht="12.8" hidden="false" customHeight="false" outlineLevel="0" collapsed="false">
      <c r="A33258" s="0" t="s">
        <v>12848</v>
      </c>
      <c r="B33258" s="0" t="str">
        <f aca="false">HYPERLINK("https://lindat.mff.cuni.cz/services/teitok/pdtc10/index.php?action=vallex&amp;frame=v-w4628f1", "provozovat (v-w4628f1)")</f>
        <v>provozovat (v-w4628f1)</v>
      </c>
      <c r="E33258" s="0" t="str">
        <f aca="false">HYPERLINK("https://lindat.mff.cuni.cz/services/SynSemClass40/SynSemClass40.html?veclass=vec00277#vec00277-ces-cm00001", "vec00277")</f>
        <v>vec00277</v>
      </c>
      <c r="F33258" s="0" t="s">
        <v>2025</v>
      </c>
      <c r="H33258" s="0" t="str">
        <f aca="false">HYPERLINK("https://lindat.mff.cuni.cz/services/SynSemClass40/SynSemClass40.html?veclass=vec01458#vec01458-ces-cm00049", "vec01458")</f>
        <v>vec01458</v>
      </c>
      <c r="I33258" s="0" t="s">
        <v>127</v>
      </c>
    </row>
    <row r="33259" customFormat="false" ht="12.8" hidden="false" customHeight="false" outlineLevel="0" collapsed="false">
      <c r="B33259" s="0" t="s">
        <v>1</v>
      </c>
      <c r="C33259" s="0" t="s">
        <v>12849</v>
      </c>
      <c r="E33259" s="0" t="s">
        <v>2027</v>
      </c>
      <c r="F33259" s="0" t="s">
        <v>2028</v>
      </c>
      <c r="H33259" s="0" t="s">
        <v>31</v>
      </c>
      <c r="I33259" s="0" t="s">
        <v>130</v>
      </c>
    </row>
    <row r="33260" customFormat="false" ht="12.8" hidden="false" customHeight="false" outlineLevel="0" collapsed="false">
      <c r="B33260" s="0" t="s">
        <v>8</v>
      </c>
      <c r="C33260" s="0" t="s">
        <v>12850</v>
      </c>
      <c r="E33260" s="0" t="s">
        <v>1995</v>
      </c>
      <c r="F33260" s="0" t="s">
        <v>2030</v>
      </c>
      <c r="H33260" s="0" t="s">
        <v>14</v>
      </c>
      <c r="I33260" s="0" t="s">
        <v>288</v>
      </c>
    </row>
    <row r="33262" customFormat="false" ht="12.8" hidden="false" customHeight="false" outlineLevel="0" collapsed="false">
      <c r="A33262" s="0" t="s">
        <v>12851</v>
      </c>
      <c r="B33262" s="0" t="str">
        <f aca="false">HYPERLINK("https://lindat.mff.cuni.cz/services/teitok/pdtc10/index.php?action=vallex&amp;frame=v-w4628f2_ZU", "provozovat (v-w4628f2_ZU)")</f>
        <v>provozovat (v-w4628f2_ZU)</v>
      </c>
    </row>
    <row r="33263" customFormat="false" ht="12.8" hidden="false" customHeight="false" outlineLevel="0" collapsed="false">
      <c r="B33263" s="0" t="s">
        <v>1</v>
      </c>
    </row>
    <row r="33264" customFormat="false" ht="12.8" hidden="false" customHeight="false" outlineLevel="0" collapsed="false">
      <c r="B33264" s="0" t="s">
        <v>12852</v>
      </c>
    </row>
    <row r="33266" customFormat="false" ht="12.8" hidden="false" customHeight="false" outlineLevel="0" collapsed="false">
      <c r="A33266" s="0" t="s">
        <v>12853</v>
      </c>
      <c r="B33266" s="0" t="str">
        <f aca="false">HYPERLINK("https://lindat.mff.cuni.cz/services/teitok/pdtc10/index.php?action=vallex&amp;frame=v-w4628hsa_1626", "provozovat (v-w4628hsa_1626)")</f>
        <v>provozovat (v-w4628hsa_1626)</v>
      </c>
    </row>
    <row r="33267" customFormat="false" ht="12.8" hidden="false" customHeight="false" outlineLevel="0" collapsed="false">
      <c r="B33267" s="0" t="s">
        <v>1</v>
      </c>
    </row>
    <row r="33268" customFormat="false" ht="12.8" hidden="false" customHeight="false" outlineLevel="0" collapsed="false">
      <c r="B33268" s="0" t="s">
        <v>8</v>
      </c>
    </row>
    <row r="33270" customFormat="false" ht="12.8" hidden="false" customHeight="false" outlineLevel="0" collapsed="false">
      <c r="A33270" s="0" t="s">
        <v>12854</v>
      </c>
      <c r="B33270" s="0" t="str">
        <f aca="false">HYPERLINK("https://lindat.mff.cuni.cz/services/teitok/pdtc10/index.php?action=vallex&amp;frame=v-w10099f2", "provrtat (v-w10099f2)")</f>
        <v>provrtat (v-w10099f2)</v>
      </c>
    </row>
    <row r="33271" customFormat="false" ht="12.8" hidden="false" customHeight="false" outlineLevel="0" collapsed="false">
      <c r="B33271" s="0" t="s">
        <v>1</v>
      </c>
    </row>
    <row r="33272" customFormat="false" ht="12.8" hidden="false" customHeight="false" outlineLevel="0" collapsed="false">
      <c r="B33272" s="0" t="s">
        <v>8</v>
      </c>
    </row>
    <row r="33274" customFormat="false" ht="12.8" hidden="false" customHeight="false" outlineLevel="0" collapsed="false">
      <c r="A33274" s="0" t="s">
        <v>12855</v>
      </c>
      <c r="B33274" s="0" t="str">
        <f aca="false">HYPERLINK("https://lindat.mff.cuni.cz/services/teitok/pdtc10/index.php?action=vallex&amp;frame=v-w4601f2", "provádět (v-w4601f2)")</f>
        <v>provádět (v-w4601f2)</v>
      </c>
      <c r="E33274" s="0" t="str">
        <f aca="false">HYPERLINK("https://lindat.mff.cuni.cz/services/SynSemClass40/SynSemClass40.html?veclass=vec00089#vec00089-ces-cm00287", "vec00089")</f>
        <v>vec00089</v>
      </c>
      <c r="F33274" s="0" t="s">
        <v>3959</v>
      </c>
      <c r="H33274" s="0" t="str">
        <f aca="false">HYPERLINK("https://lindat.mff.cuni.cz/services/SynSemClass40/SynSemClass40.html?veclass=vec00533#vec00533-ces-cm00018", "vec00533")</f>
        <v>vec00533</v>
      </c>
      <c r="I33274" s="0" t="s">
        <v>10808</v>
      </c>
    </row>
    <row r="33275" customFormat="false" ht="12.8" hidden="false" customHeight="false" outlineLevel="0" collapsed="false">
      <c r="B33275" s="0" t="s">
        <v>1</v>
      </c>
      <c r="C33275" s="0" t="s">
        <v>12856</v>
      </c>
      <c r="E33275" s="0" t="s">
        <v>31</v>
      </c>
      <c r="F33275" s="0" t="s">
        <v>3960</v>
      </c>
      <c r="H33275" s="0" t="s">
        <v>31</v>
      </c>
      <c r="I33275" s="0" t="s">
        <v>10810</v>
      </c>
    </row>
    <row r="33276" customFormat="false" ht="12.8" hidden="false" customHeight="false" outlineLevel="0" collapsed="false">
      <c r="B33276" s="0" t="s">
        <v>8</v>
      </c>
      <c r="C33276" s="0" t="s">
        <v>5753</v>
      </c>
      <c r="E33276" s="0" t="s">
        <v>2628</v>
      </c>
      <c r="F33276" s="0" t="s">
        <v>3961</v>
      </c>
      <c r="H33276" s="0" t="s">
        <v>1732</v>
      </c>
      <c r="I33276" s="0" t="s">
        <v>10812</v>
      </c>
    </row>
    <row r="33277" customFormat="false" ht="12.8" hidden="false" customHeight="false" outlineLevel="0" collapsed="false">
      <c r="B33277" s="0" t="s">
        <v>12857</v>
      </c>
      <c r="C33277" s="0" t="s">
        <v>12858</v>
      </c>
      <c r="H33277" s="0" t="s">
        <v>12859</v>
      </c>
      <c r="I33277" s="0" t="s">
        <v>12860</v>
      </c>
    </row>
    <row r="33279" customFormat="false" ht="12.8" hidden="false" customHeight="false" outlineLevel="0" collapsed="false">
      <c r="A33279" s="0" t="s">
        <v>12861</v>
      </c>
      <c r="B33279" s="0" t="str">
        <f aca="false">HYPERLINK("https://lindat.mff.cuni.cz/services/teitok/pdtc10/index.php?action=vallex&amp;frame=v-w4601f4", "provádět (v-w4601f4)")</f>
        <v>provádět (v-w4601f4)</v>
      </c>
    </row>
    <row r="33280" customFormat="false" ht="12.8" hidden="false" customHeight="false" outlineLevel="0" collapsed="false">
      <c r="B33280" s="0" t="s">
        <v>1</v>
      </c>
    </row>
    <row r="33281" customFormat="false" ht="12.8" hidden="false" customHeight="false" outlineLevel="0" collapsed="false">
      <c r="B33281" s="0" t="s">
        <v>8</v>
      </c>
    </row>
    <row r="33282" customFormat="false" ht="12.8" hidden="false" customHeight="false" outlineLevel="0" collapsed="false">
      <c r="B33282" s="0" t="s">
        <v>336</v>
      </c>
    </row>
    <row r="33284" customFormat="false" ht="12.8" hidden="false" customHeight="false" outlineLevel="0" collapsed="false">
      <c r="A33284" s="0" t="s">
        <v>12862</v>
      </c>
      <c r="B33284" s="0" t="str">
        <f aca="false">HYPERLINK("https://lindat.mff.cuni.cz/services/teitok/pdtc10/index.php?action=vallex&amp;frame=v-w4601f1", "provádět (v-w4601f1)")</f>
        <v>provádět (v-w4601f1)</v>
      </c>
      <c r="E33284" s="0" t="str">
        <f aca="false">HYPERLINK("https://lindat.mff.cuni.cz/services/SynSemClass40/SynSemClass40.html?veclass=vec01188#vec01188-ces-cm00010", "vec01188")</f>
        <v>vec01188</v>
      </c>
      <c r="F33284" s="0" t="s">
        <v>5481</v>
      </c>
      <c r="H33284" s="0" t="str">
        <f aca="false">HYPERLINK("https://lindat.mff.cuni.cz/services/SynSemClass40/SynSemClass40.html?veclass=vec01414#vec01414-ces-cm00005", "vec01414")</f>
        <v>vec01414</v>
      </c>
      <c r="I33284" s="0" t="s">
        <v>5475</v>
      </c>
      <c r="K33284" s="0" t="str">
        <f aca="false">HYPERLINK("https://lindat.mff.cuni.cz/services/SynSemClass40/SynSemClass40.html?veclass=vec01458#vec01458-ces-cm00044", "vec01458")</f>
        <v>vec01458</v>
      </c>
      <c r="L33284" s="0" t="s">
        <v>127</v>
      </c>
    </row>
    <row r="33285" customFormat="false" ht="12.8" hidden="false" customHeight="false" outlineLevel="0" collapsed="false">
      <c r="B33285" s="0" t="s">
        <v>1</v>
      </c>
      <c r="C33285" s="0" t="s">
        <v>12863</v>
      </c>
      <c r="E33285" s="0" t="s">
        <v>31</v>
      </c>
      <c r="F33285" s="0" t="s">
        <v>5483</v>
      </c>
      <c r="H33285" s="0" t="s">
        <v>31</v>
      </c>
      <c r="I33285" s="0" t="s">
        <v>5477</v>
      </c>
      <c r="K33285" s="0" t="s">
        <v>31</v>
      </c>
      <c r="L33285" s="0" t="s">
        <v>130</v>
      </c>
    </row>
    <row r="33286" customFormat="false" ht="12.8" hidden="false" customHeight="false" outlineLevel="0" collapsed="false">
      <c r="B33286" s="0" t="s">
        <v>8</v>
      </c>
      <c r="C33286" s="0" t="s">
        <v>12864</v>
      </c>
      <c r="E33286" s="0" t="s">
        <v>523</v>
      </c>
      <c r="F33286" s="0" t="s">
        <v>10813</v>
      </c>
      <c r="H33286" s="0" t="s">
        <v>14</v>
      </c>
      <c r="I33286" s="0" t="s">
        <v>5479</v>
      </c>
      <c r="K33286" s="0" t="s">
        <v>14</v>
      </c>
      <c r="L33286" s="0" t="s">
        <v>288</v>
      </c>
    </row>
    <row r="33288" customFormat="false" ht="12.8" hidden="false" customHeight="false" outlineLevel="0" collapsed="false">
      <c r="A33288" s="0" t="s">
        <v>12865</v>
      </c>
      <c r="B33288" s="0" t="str">
        <f aca="false">HYPERLINK("https://lindat.mff.cuni.cz/services/teitok/pdtc10/index.php?action=vallex&amp;frame=v-w4601f6", "provádět (v-w4601f6)")</f>
        <v>provádět (v-w4601f6)</v>
      </c>
    </row>
    <row r="33289" customFormat="false" ht="12.8" hidden="false" customHeight="false" outlineLevel="0" collapsed="false">
      <c r="B33289" s="0" t="s">
        <v>1</v>
      </c>
    </row>
    <row r="33290" customFormat="false" ht="12.8" hidden="false" customHeight="false" outlineLevel="0" collapsed="false">
      <c r="B33290" s="0" t="s">
        <v>12866</v>
      </c>
    </row>
    <row r="33291" customFormat="false" ht="12.8" hidden="false" customHeight="false" outlineLevel="0" collapsed="false">
      <c r="B33291" s="0" t="s">
        <v>132</v>
      </c>
    </row>
    <row r="33293" customFormat="false" ht="12.8" hidden="false" customHeight="false" outlineLevel="0" collapsed="false">
      <c r="A33293" s="0" t="s">
        <v>12867</v>
      </c>
      <c r="B33293" s="0" t="str">
        <f aca="false">HYPERLINK("https://lindat.mff.cuni.cz/services/teitok/pdtc10/index.php?action=vallex&amp;frame=v-w4601f5", "provádět (v-w4601f5)")</f>
        <v>provádět (v-w4601f5)</v>
      </c>
      <c r="E33293" s="0" t="str">
        <f aca="false">HYPERLINK("https://lindat.mff.cuni.cz/services/SynSemClass40/SynSemClass40.html?veclass=vec01188#vec01188-ces-cm00249", "vec01188")</f>
        <v>vec01188</v>
      </c>
      <c r="F33293" s="0" t="s">
        <v>5481</v>
      </c>
    </row>
    <row r="33294" customFormat="false" ht="12.8" hidden="false" customHeight="false" outlineLevel="0" collapsed="false">
      <c r="B33294" s="0" t="s">
        <v>1</v>
      </c>
      <c r="C33294" s="0" t="s">
        <v>10802</v>
      </c>
      <c r="E33294" s="0" t="s">
        <v>31</v>
      </c>
      <c r="F33294" s="0" t="s">
        <v>5483</v>
      </c>
    </row>
    <row r="33295" customFormat="false" ht="12.8" hidden="false" customHeight="false" outlineLevel="0" collapsed="false">
      <c r="B33295" s="0" t="s">
        <v>12868</v>
      </c>
      <c r="C33295" s="0" t="s">
        <v>10804</v>
      </c>
      <c r="E33295" s="0" t="s">
        <v>3478</v>
      </c>
      <c r="F33295" s="0" t="s">
        <v>5488</v>
      </c>
    </row>
    <row r="33297" customFormat="false" ht="12.8" hidden="false" customHeight="false" outlineLevel="0" collapsed="false">
      <c r="A33297" s="0" t="s">
        <v>12869</v>
      </c>
      <c r="B33297" s="0" t="str">
        <f aca="false">HYPERLINK("https://lindat.mff.cuni.cz/services/teitok/pdtc10/index.php?action=vallex&amp;frame=v-w4601f19_MM", "provádět (v-w4601f19_MM)")</f>
        <v>provádět (v-w4601f19_MM)</v>
      </c>
    </row>
    <row r="33298" customFormat="false" ht="12.8" hidden="false" customHeight="false" outlineLevel="0" collapsed="false">
      <c r="B33298" s="0" t="s">
        <v>1</v>
      </c>
    </row>
    <row r="33299" customFormat="false" ht="12.8" hidden="false" customHeight="false" outlineLevel="0" collapsed="false">
      <c r="B33299" s="0" t="s">
        <v>12870</v>
      </c>
    </row>
    <row r="33301" customFormat="false" ht="12.8" hidden="false" customHeight="false" outlineLevel="0" collapsed="false">
      <c r="A33301" s="0" t="s">
        <v>12869</v>
      </c>
      <c r="B33301" s="0" t="str">
        <f aca="false">HYPERLINK("https://lindat.mff.cuni.cz/services/teitok/pdtc10/index.php?action=vallex&amp;frame=v-w4601f10_ZU", "provádět (v-w4601f10_ZU) - substituted with v-w4601f19_MM")</f>
        <v>provádět (v-w4601f10_ZU) - substituted with v-w4601f19_MM</v>
      </c>
    </row>
    <row r="33302" customFormat="false" ht="12.8" hidden="false" customHeight="false" outlineLevel="0" collapsed="false">
      <c r="B33302" s="0" t="s">
        <v>1</v>
      </c>
    </row>
    <row r="33303" customFormat="false" ht="12.8" hidden="false" customHeight="false" outlineLevel="0" collapsed="false">
      <c r="B33303" s="0" t="s">
        <v>12870</v>
      </c>
    </row>
    <row r="33305" customFormat="false" ht="12.8" hidden="false" customHeight="false" outlineLevel="0" collapsed="false">
      <c r="A33305" s="0" t="s">
        <v>12869</v>
      </c>
      <c r="B33305" s="0" t="str">
        <f aca="false">HYPERLINK("https://lindat.mff.cuni.cz/services/teitok/pdtc10/index.php?action=vallex&amp;frame=v-w4601f11_ZU", "provádět (v-w4601f11_ZU) - substituted with v-w4601f19_MM")</f>
        <v>provádět (v-w4601f11_ZU) - substituted with v-w4601f19_MM</v>
      </c>
    </row>
    <row r="33306" customFormat="false" ht="12.8" hidden="false" customHeight="false" outlineLevel="0" collapsed="false">
      <c r="B33306" s="0" t="s">
        <v>1</v>
      </c>
    </row>
    <row r="33307" customFormat="false" ht="12.8" hidden="false" customHeight="false" outlineLevel="0" collapsed="false">
      <c r="B33307" s="0" t="s">
        <v>12870</v>
      </c>
    </row>
    <row r="33309" customFormat="false" ht="12.8" hidden="false" customHeight="false" outlineLevel="0" collapsed="false">
      <c r="A33309" s="0" t="s">
        <v>12869</v>
      </c>
      <c r="B33309" s="0" t="str">
        <f aca="false">HYPERLINK("https://lindat.mff.cuni.cz/services/teitok/pdtc10/index.php?action=vallex&amp;frame=v-w4601f12_ZU", "provádět (v-w4601f12_ZU) - substituted with v-w4601f19_MM")</f>
        <v>provádět (v-w4601f12_ZU) - substituted with v-w4601f19_MM</v>
      </c>
    </row>
    <row r="33310" customFormat="false" ht="12.8" hidden="false" customHeight="false" outlineLevel="0" collapsed="false">
      <c r="B33310" s="0" t="s">
        <v>1</v>
      </c>
    </row>
    <row r="33311" customFormat="false" ht="12.8" hidden="false" customHeight="false" outlineLevel="0" collapsed="false">
      <c r="B33311" s="0" t="s">
        <v>12870</v>
      </c>
    </row>
    <row r="33313" customFormat="false" ht="12.8" hidden="false" customHeight="false" outlineLevel="0" collapsed="false">
      <c r="A33313" s="0" t="s">
        <v>12869</v>
      </c>
      <c r="B33313" s="0" t="str">
        <f aca="false">HYPERLINK("https://lindat.mff.cuni.cz/services/teitok/pdtc10/index.php?action=vallex&amp;frame=v-w4601f14_ZU", "provádět (v-w4601f14_ZU) - substituted with v-w4601f19_MM")</f>
        <v>provádět (v-w4601f14_ZU) - substituted with v-w4601f19_MM</v>
      </c>
    </row>
    <row r="33314" customFormat="false" ht="12.8" hidden="false" customHeight="false" outlineLevel="0" collapsed="false">
      <c r="B33314" s="0" t="s">
        <v>1</v>
      </c>
    </row>
    <row r="33315" customFormat="false" ht="12.8" hidden="false" customHeight="false" outlineLevel="0" collapsed="false">
      <c r="B33315" s="0" t="s">
        <v>12870</v>
      </c>
    </row>
    <row r="33317" customFormat="false" ht="12.8" hidden="false" customHeight="false" outlineLevel="0" collapsed="false">
      <c r="A33317" s="0" t="s">
        <v>12869</v>
      </c>
      <c r="B33317" s="0" t="str">
        <f aca="false">HYPERLINK("https://lindat.mff.cuni.cz/services/teitok/pdtc10/index.php?action=vallex&amp;frame=v-w4601f15_ZU", "provádět (v-w4601f15_ZU) - substituted with v-w4601f19_MM")</f>
        <v>provádět (v-w4601f15_ZU) - substituted with v-w4601f19_MM</v>
      </c>
    </row>
    <row r="33318" customFormat="false" ht="12.8" hidden="false" customHeight="false" outlineLevel="0" collapsed="false">
      <c r="B33318" s="0" t="s">
        <v>1</v>
      </c>
    </row>
    <row r="33319" customFormat="false" ht="12.8" hidden="false" customHeight="false" outlineLevel="0" collapsed="false">
      <c r="B33319" s="0" t="s">
        <v>12870</v>
      </c>
    </row>
    <row r="33321" customFormat="false" ht="12.8" hidden="false" customHeight="false" outlineLevel="0" collapsed="false">
      <c r="A33321" s="0" t="s">
        <v>12869</v>
      </c>
      <c r="B33321" s="0" t="str">
        <f aca="false">HYPERLINK("https://lindat.mff.cuni.cz/services/teitok/pdtc10/index.php?action=vallex&amp;frame=v-w4601f16_ZU", "provádět (v-w4601f16_ZU) - substituted with v-w4601f19_MM")</f>
        <v>provádět (v-w4601f16_ZU) - substituted with v-w4601f19_MM</v>
      </c>
    </row>
    <row r="33322" customFormat="false" ht="12.8" hidden="false" customHeight="false" outlineLevel="0" collapsed="false">
      <c r="B33322" s="0" t="s">
        <v>1</v>
      </c>
    </row>
    <row r="33323" customFormat="false" ht="12.8" hidden="false" customHeight="false" outlineLevel="0" collapsed="false">
      <c r="B33323" s="0" t="s">
        <v>12870</v>
      </c>
    </row>
    <row r="33325" customFormat="false" ht="12.8" hidden="false" customHeight="false" outlineLevel="0" collapsed="false">
      <c r="A33325" s="0" t="s">
        <v>12869</v>
      </c>
      <c r="B33325" s="0" t="str">
        <f aca="false">HYPERLINK("https://lindat.mff.cuni.cz/services/teitok/pdtc10/index.php?action=vallex&amp;frame=v-w4601f17_ZU", "provádět (v-w4601f17_ZU) - substituted with v-w4601f19_MM")</f>
        <v>provádět (v-w4601f17_ZU) - substituted with v-w4601f19_MM</v>
      </c>
    </row>
    <row r="33326" customFormat="false" ht="12.8" hidden="false" customHeight="false" outlineLevel="0" collapsed="false">
      <c r="B33326" s="0" t="s">
        <v>1</v>
      </c>
    </row>
    <row r="33327" customFormat="false" ht="12.8" hidden="false" customHeight="false" outlineLevel="0" collapsed="false">
      <c r="B33327" s="0" t="s">
        <v>12870</v>
      </c>
    </row>
    <row r="33329" customFormat="false" ht="12.8" hidden="false" customHeight="false" outlineLevel="0" collapsed="false">
      <c r="A33329" s="0" t="s">
        <v>12869</v>
      </c>
      <c r="B33329" s="0" t="str">
        <f aca="false">HYPERLINK("https://lindat.mff.cuni.cz/services/teitok/pdtc10/index.php?action=vallex&amp;frame=v-w4601f18_ZU", "provádět (v-w4601f18_ZU) - substituted with v-w4601f19_MM")</f>
        <v>provádět (v-w4601f18_ZU) - substituted with v-w4601f19_MM</v>
      </c>
    </row>
    <row r="33330" customFormat="false" ht="12.8" hidden="false" customHeight="false" outlineLevel="0" collapsed="false">
      <c r="B33330" s="0" t="s">
        <v>1</v>
      </c>
    </row>
    <row r="33331" customFormat="false" ht="12.8" hidden="false" customHeight="false" outlineLevel="0" collapsed="false">
      <c r="B33331" s="0" t="s">
        <v>12870</v>
      </c>
    </row>
    <row r="33333" customFormat="false" ht="12.8" hidden="false" customHeight="false" outlineLevel="0" collapsed="false">
      <c r="A33333" s="0" t="s">
        <v>12869</v>
      </c>
      <c r="B33333" s="0" t="str">
        <f aca="false">HYPERLINK("https://lindat.mff.cuni.cz/services/teitok/pdtc10/index.php?action=vallex&amp;frame=v-w4601f3", "provádět (v-w4601f3) - substituted with v-w4601f19_MM")</f>
        <v>provádět (v-w4601f3) - substituted with v-w4601f19_MM</v>
      </c>
    </row>
    <row r="33334" customFormat="false" ht="12.8" hidden="false" customHeight="false" outlineLevel="0" collapsed="false">
      <c r="B33334" s="0" t="s">
        <v>1</v>
      </c>
    </row>
    <row r="33335" customFormat="false" ht="12.8" hidden="false" customHeight="false" outlineLevel="0" collapsed="false">
      <c r="B33335" s="0" t="s">
        <v>12870</v>
      </c>
    </row>
    <row r="33337" customFormat="false" ht="12.8" hidden="false" customHeight="false" outlineLevel="0" collapsed="false">
      <c r="A33337" s="0" t="s">
        <v>12869</v>
      </c>
      <c r="B33337" s="0" t="str">
        <f aca="false">HYPERLINK("https://lindat.mff.cuni.cz/services/teitok/pdtc10/index.php?action=vallex&amp;frame=v-w4601f7_ZU", "provádět (v-w4601f7_ZU) - substituted with v-w4601f19_MM")</f>
        <v>provádět (v-w4601f7_ZU) - substituted with v-w4601f19_MM</v>
      </c>
    </row>
    <row r="33338" customFormat="false" ht="12.8" hidden="false" customHeight="false" outlineLevel="0" collapsed="false">
      <c r="B33338" s="0" t="s">
        <v>1</v>
      </c>
    </row>
    <row r="33339" customFormat="false" ht="12.8" hidden="false" customHeight="false" outlineLevel="0" collapsed="false">
      <c r="B33339" s="0" t="s">
        <v>12870</v>
      </c>
    </row>
    <row r="33341" customFormat="false" ht="12.8" hidden="false" customHeight="false" outlineLevel="0" collapsed="false">
      <c r="A33341" s="0" t="s">
        <v>12869</v>
      </c>
      <c r="B33341" s="0" t="str">
        <f aca="false">HYPERLINK("https://lindat.mff.cuni.cz/services/teitok/pdtc10/index.php?action=vallex&amp;frame=v-w4601f8_ZU", "provádět (v-w4601f8_ZU) - substituted with v-w4601f19_MM")</f>
        <v>provádět (v-w4601f8_ZU) - substituted with v-w4601f19_MM</v>
      </c>
    </row>
    <row r="33342" customFormat="false" ht="12.8" hidden="false" customHeight="false" outlineLevel="0" collapsed="false">
      <c r="B33342" s="0" t="s">
        <v>1</v>
      </c>
    </row>
    <row r="33343" customFormat="false" ht="12.8" hidden="false" customHeight="false" outlineLevel="0" collapsed="false">
      <c r="B33343" s="0" t="s">
        <v>12870</v>
      </c>
    </row>
    <row r="33345" customFormat="false" ht="12.8" hidden="false" customHeight="false" outlineLevel="0" collapsed="false">
      <c r="A33345" s="0" t="s">
        <v>12869</v>
      </c>
      <c r="B33345" s="0" t="str">
        <f aca="false">HYPERLINK("https://lindat.mff.cuni.cz/services/teitok/pdtc10/index.php?action=vallex&amp;frame=v-w4601f9_ZU", "provádět (v-w4601f9_ZU) - substituted with v-w4601f19_MM")</f>
        <v>provádět (v-w4601f9_ZU) - substituted with v-w4601f19_MM</v>
      </c>
    </row>
    <row r="33346" customFormat="false" ht="12.8" hidden="false" customHeight="false" outlineLevel="0" collapsed="false">
      <c r="B33346" s="0" t="s">
        <v>1</v>
      </c>
    </row>
    <row r="33347" customFormat="false" ht="12.8" hidden="false" customHeight="false" outlineLevel="0" collapsed="false">
      <c r="B33347" s="0" t="s">
        <v>12870</v>
      </c>
    </row>
    <row r="33349" customFormat="false" ht="12.8" hidden="false" customHeight="false" outlineLevel="0" collapsed="false">
      <c r="A33349" s="0" t="s">
        <v>12869</v>
      </c>
      <c r="B33349" s="0" t="str">
        <f aca="false">HYPERLINK("https://lindat.mff.cuni.cz/services/teitok/pdtc10/index.php?action=vallex&amp;frame=v-w4601hsa_175", "provádět (v-w4601hsa_175) - substituted with v-w4601f19_MM")</f>
        <v>provádět (v-w4601hsa_175) - substituted with v-w4601f19_MM</v>
      </c>
      <c r="E33349" s="0" t="str">
        <f aca="false">HYPERLINK("https://lindat.mff.cuni.cz/services/SynSemClass40/SynSemClass40.html?veclass=vec00090#vec00090-ces-cm00077", "vec00090")</f>
        <v>vec00090</v>
      </c>
      <c r="F33349" s="0" t="s">
        <v>113</v>
      </c>
      <c r="H33349" s="0" t="str">
        <f aca="false">HYPERLINK("https://lindat.mff.cuni.cz/services/SynSemClass40/SynSemClass40.html?veclass=vec01188#vec01188-ces-cm00011", "vec01188")</f>
        <v>vec01188</v>
      </c>
      <c r="I33349" s="0" t="s">
        <v>5481</v>
      </c>
      <c r="K33349" s="0" t="str">
        <f aca="false">HYPERLINK("https://lindat.mff.cuni.cz/services/SynSemClass40/SynSemClass40.html?veclass=vec01458#vec01458-ces-cm00046", "vec01458")</f>
        <v>vec01458</v>
      </c>
      <c r="L33349" s="0" t="s">
        <v>127</v>
      </c>
    </row>
    <row r="33350" customFormat="false" ht="12.8" hidden="false" customHeight="false" outlineLevel="0" collapsed="false">
      <c r="B33350" s="0" t="s">
        <v>1</v>
      </c>
      <c r="C33350" s="0" t="s">
        <v>12871</v>
      </c>
      <c r="E33350" s="0" t="s">
        <v>115</v>
      </c>
      <c r="F33350" s="0" t="s">
        <v>116</v>
      </c>
      <c r="H33350" s="0" t="s">
        <v>31</v>
      </c>
      <c r="I33350" s="0" t="s">
        <v>5483</v>
      </c>
      <c r="K33350" s="0" t="s">
        <v>31</v>
      </c>
      <c r="L33350" s="0" t="s">
        <v>130</v>
      </c>
    </row>
    <row r="33351" customFormat="false" ht="12.8" hidden="false" customHeight="false" outlineLevel="0" collapsed="false">
      <c r="B33351" s="0" t="s">
        <v>12870</v>
      </c>
      <c r="C33351" s="0" t="s">
        <v>12872</v>
      </c>
      <c r="E33351" s="0" t="s">
        <v>12873</v>
      </c>
      <c r="F33351" s="0" t="s">
        <v>12874</v>
      </c>
      <c r="H33351" s="0" t="s">
        <v>3478</v>
      </c>
      <c r="I33351" s="0" t="s">
        <v>5488</v>
      </c>
      <c r="K33351" s="0" t="s">
        <v>12875</v>
      </c>
      <c r="L33351" s="0" t="s">
        <v>12876</v>
      </c>
    </row>
    <row r="33353" customFormat="false" ht="12.8" hidden="false" customHeight="false" outlineLevel="0" collapsed="false">
      <c r="A33353" s="0" t="s">
        <v>12877</v>
      </c>
      <c r="B33353" s="0" t="str">
        <f aca="false">HYPERLINK("https://lindat.mff.cuni.cz/services/teitok/pdtc10/index.php?action=vallex&amp;frame=v-w4601hsa_176", "provádět (v-w4601hsa_176)")</f>
        <v>provádět (v-w4601hsa_176)</v>
      </c>
      <c r="E33353" s="0" t="str">
        <f aca="false">HYPERLINK("https://lindat.mff.cuni.cz/services/SynSemClass40/SynSemClass40.html?veclass=vec00089#vec00089-ces-cm00092", "vec00089")</f>
        <v>vec00089</v>
      </c>
      <c r="F33353" s="0" t="s">
        <v>3959</v>
      </c>
      <c r="H33353" s="0" t="str">
        <f aca="false">HYPERLINK("https://lindat.mff.cuni.cz/services/SynSemClass40/SynSemClass40.html?veclass=vec01188#vec01188-ces-cm00250", "vec01188")</f>
        <v>vec01188</v>
      </c>
      <c r="I33353" s="0" t="s">
        <v>5481</v>
      </c>
    </row>
    <row r="33354" customFormat="false" ht="12.8" hidden="false" customHeight="false" outlineLevel="0" collapsed="false">
      <c r="B33354" s="0" t="s">
        <v>1</v>
      </c>
      <c r="C33354" s="0" t="s">
        <v>5482</v>
      </c>
      <c r="E33354" s="0" t="s">
        <v>31</v>
      </c>
      <c r="F33354" s="0" t="s">
        <v>3960</v>
      </c>
      <c r="H33354" s="0" t="s">
        <v>31</v>
      </c>
      <c r="I33354" s="0" t="s">
        <v>5483</v>
      </c>
    </row>
    <row r="33355" customFormat="false" ht="12.8" hidden="false" customHeight="false" outlineLevel="0" collapsed="false">
      <c r="B33355" s="0" t="s">
        <v>12878</v>
      </c>
      <c r="C33355" s="0" t="s">
        <v>5485</v>
      </c>
      <c r="E33355" s="0" t="s">
        <v>5486</v>
      </c>
      <c r="F33355" s="0" t="s">
        <v>5487</v>
      </c>
      <c r="H33355" s="0" t="s">
        <v>3478</v>
      </c>
      <c r="I33355" s="0" t="s">
        <v>5488</v>
      </c>
    </row>
    <row r="33357" customFormat="false" ht="12.8" hidden="false" customHeight="false" outlineLevel="0" collapsed="false">
      <c r="A33357" s="0" t="s">
        <v>12879</v>
      </c>
      <c r="B33357" s="0" t="str">
        <f aca="false">HYPERLINK("https://lindat.mff.cuni.cz/services/teitok/pdtc10/index.php?action=vallex&amp;frame=v-w4601f13_ZU", "provádět (v-w4601f13_ZU)")</f>
        <v>provádět (v-w4601f13_ZU)</v>
      </c>
    </row>
    <row r="33358" customFormat="false" ht="12.8" hidden="false" customHeight="false" outlineLevel="0" collapsed="false">
      <c r="B33358" s="0" t="s">
        <v>1</v>
      </c>
    </row>
    <row r="33359" customFormat="false" ht="12.8" hidden="false" customHeight="false" outlineLevel="0" collapsed="false">
      <c r="B33359" s="0" t="s">
        <v>12880</v>
      </c>
    </row>
    <row r="33361" customFormat="false" ht="12.8" hidden="false" customHeight="false" outlineLevel="0" collapsed="false">
      <c r="A33361" s="0" t="s">
        <v>12881</v>
      </c>
      <c r="B33361" s="0" t="str">
        <f aca="false">HYPERLINK("https://lindat.mff.cuni.cz/services/teitok/pdtc10/index.php?action=vallex&amp;frame=v-whsa_338f1_ZU", "proválčit (v-whsa_338f1_ZU)")</f>
        <v>proválčit (v-whsa_338f1_ZU)</v>
      </c>
    </row>
    <row r="33362" customFormat="false" ht="12.8" hidden="false" customHeight="false" outlineLevel="0" collapsed="false">
      <c r="B33362" s="0" t="s">
        <v>1</v>
      </c>
    </row>
    <row r="33363" customFormat="false" ht="12.8" hidden="false" customHeight="false" outlineLevel="0" collapsed="false">
      <c r="B33363" s="0" t="s">
        <v>8</v>
      </c>
    </row>
    <row r="33365" customFormat="false" ht="12.8" hidden="false" customHeight="false" outlineLevel="0" collapsed="false">
      <c r="A33365" s="0" t="s">
        <v>12881</v>
      </c>
      <c r="B33365" s="0" t="str">
        <f aca="false">HYPERLINK("https://lindat.mff.cuni.cz/services/teitok/pdtc10/index.php?action=vallex&amp;frame=v-whsa_338hsa_339", "proválčit (v-whsa_338hsa_339) - substituted with v-whsa_338f1_ZU")</f>
        <v>proválčit (v-whsa_338hsa_339) - substituted with v-whsa_338f1_ZU</v>
      </c>
    </row>
    <row r="33366" customFormat="false" ht="12.8" hidden="false" customHeight="false" outlineLevel="0" collapsed="false">
      <c r="B33366" s="0" t="s">
        <v>1</v>
      </c>
    </row>
    <row r="33367" customFormat="false" ht="12.8" hidden="false" customHeight="false" outlineLevel="0" collapsed="false">
      <c r="B33367" s="0" t="s">
        <v>8</v>
      </c>
    </row>
    <row r="33369" customFormat="false" ht="12.8" hidden="false" customHeight="false" outlineLevel="0" collapsed="false">
      <c r="A33369" s="0" t="s">
        <v>12882</v>
      </c>
      <c r="B33369" s="0" t="str">
        <f aca="false">HYPERLINK("https://lindat.mff.cuni.cz/services/teitok/pdtc10/index.php?action=vallex&amp;frame=v-whsa_338f2_ZU", "proválčit (v-whsa_338f2_ZU)")</f>
        <v>proválčit (v-whsa_338f2_ZU)</v>
      </c>
    </row>
    <row r="33370" customFormat="false" ht="12.8" hidden="false" customHeight="false" outlineLevel="0" collapsed="false">
      <c r="B33370" s="0" t="s">
        <v>1</v>
      </c>
    </row>
    <row r="33371" customFormat="false" ht="12.8" hidden="false" customHeight="false" outlineLevel="0" collapsed="false">
      <c r="B33371" s="0" t="s">
        <v>8</v>
      </c>
    </row>
    <row r="33372" customFormat="false" ht="12.8" hidden="false" customHeight="false" outlineLevel="0" collapsed="false">
      <c r="B33372" s="0" t="s">
        <v>3153</v>
      </c>
    </row>
    <row r="33374" customFormat="false" ht="12.8" hidden="false" customHeight="false" outlineLevel="0" collapsed="false">
      <c r="A33374" s="0" t="s">
        <v>12882</v>
      </c>
      <c r="B33374" s="0" t="str">
        <f aca="false">HYPERLINK("https://lindat.mff.cuni.cz/services/teitok/pdtc10/index.php?action=vallex&amp;frame=v-whsa_338hsa_340", "proválčit (v-whsa_338hsa_340) - substituted with v-whsa_338f2_ZU")</f>
        <v>proválčit (v-whsa_338hsa_340) - substituted with v-whsa_338f2_ZU</v>
      </c>
    </row>
    <row r="33375" customFormat="false" ht="12.8" hidden="false" customHeight="false" outlineLevel="0" collapsed="false">
      <c r="B33375" s="0" t="s">
        <v>1</v>
      </c>
    </row>
    <row r="33376" customFormat="false" ht="12.8" hidden="false" customHeight="false" outlineLevel="0" collapsed="false">
      <c r="B33376" s="0" t="s">
        <v>8</v>
      </c>
    </row>
    <row r="33377" customFormat="false" ht="12.8" hidden="false" customHeight="false" outlineLevel="0" collapsed="false">
      <c r="B33377" s="0" t="s">
        <v>3153</v>
      </c>
    </row>
    <row r="33379" customFormat="false" ht="12.8" hidden="false" customHeight="false" outlineLevel="0" collapsed="false">
      <c r="A33379" s="0" t="s">
        <v>12883</v>
      </c>
      <c r="B33379" s="0" t="str">
        <f aca="false">HYPERLINK("https://lindat.mff.cuni.cz/services/teitok/pdtc10/index.php?action=vallex&amp;frame=v-w4605f1", "provázet (v-w4605f1)")</f>
        <v>provázet (v-w4605f1)</v>
      </c>
    </row>
    <row r="33380" customFormat="false" ht="12.8" hidden="false" customHeight="false" outlineLevel="0" collapsed="false">
      <c r="B33380" s="0" t="s">
        <v>1</v>
      </c>
    </row>
    <row r="33381" customFormat="false" ht="12.8" hidden="false" customHeight="false" outlineLevel="0" collapsed="false">
      <c r="B33381" s="0" t="s">
        <v>8</v>
      </c>
    </row>
    <row r="33383" customFormat="false" ht="12.8" hidden="false" customHeight="false" outlineLevel="0" collapsed="false">
      <c r="A33383" s="0" t="s">
        <v>12884</v>
      </c>
      <c r="B33383" s="0" t="str">
        <f aca="false">HYPERLINK("https://lindat.mff.cuni.cz/services/teitok/pdtc10/index.php?action=vallex&amp;frame=v-w4605f2", "provázet (v-w4605f2)")</f>
        <v>provázet (v-w4605f2)</v>
      </c>
      <c r="E33383" s="0" t="str">
        <f aca="false">HYPERLINK("https://lindat.mff.cuni.cz/services/SynSemClass40/SynSemClass40.html?veclass=vec01282#vec01282-ces-cm00004", "vec01282")</f>
        <v>vec01282</v>
      </c>
      <c r="F33383" s="0" t="s">
        <v>2659</v>
      </c>
      <c r="H33383" s="0" t="str">
        <f aca="false">HYPERLINK("https://lindat.mff.cuni.cz/services/SynSemClass40/SynSemClass40.html?veclass=vec01394#vec01394-ces-cm00006", "vec01394")</f>
        <v>vec01394</v>
      </c>
      <c r="I33383" s="0" t="s">
        <v>2660</v>
      </c>
    </row>
    <row r="33384" customFormat="false" ht="12.8" hidden="false" customHeight="false" outlineLevel="0" collapsed="false">
      <c r="B33384" s="0" t="s">
        <v>1</v>
      </c>
      <c r="C33384" s="0" t="s">
        <v>2661</v>
      </c>
      <c r="E33384" s="0" t="s">
        <v>2241</v>
      </c>
      <c r="F33384" s="0" t="s">
        <v>2662</v>
      </c>
      <c r="H33384" s="0" t="s">
        <v>2241</v>
      </c>
      <c r="I33384" s="0" t="s">
        <v>2663</v>
      </c>
    </row>
    <row r="33385" customFormat="false" ht="12.8" hidden="false" customHeight="false" outlineLevel="0" collapsed="false">
      <c r="B33385" s="0" t="s">
        <v>8</v>
      </c>
      <c r="C33385" s="0" t="s">
        <v>2664</v>
      </c>
      <c r="E33385" s="0" t="s">
        <v>2665</v>
      </c>
      <c r="F33385" s="0" t="s">
        <v>2666</v>
      </c>
      <c r="H33385" s="0" t="s">
        <v>2665</v>
      </c>
      <c r="I33385" s="0" t="s">
        <v>2667</v>
      </c>
    </row>
    <row r="33387" customFormat="false" ht="12.8" hidden="false" customHeight="false" outlineLevel="0" collapsed="false">
      <c r="A33387" s="0" t="s">
        <v>12885</v>
      </c>
      <c r="B33387" s="0" t="str">
        <f aca="false">HYPERLINK("https://lindat.mff.cuni.cz/services/teitok/pdtc10/index.php?action=vallex&amp;frame=v-w12097_ZUf1_ZU", "provážet (v-w12097_ZUf1_ZU)")</f>
        <v>provážet (v-w12097_ZUf1_ZU)</v>
      </c>
    </row>
    <row r="33388" customFormat="false" ht="12.8" hidden="false" customHeight="false" outlineLevel="0" collapsed="false">
      <c r="B33388" s="0" t="s">
        <v>1</v>
      </c>
    </row>
    <row r="33389" customFormat="false" ht="12.8" hidden="false" customHeight="false" outlineLevel="0" collapsed="false">
      <c r="B33389" s="0" t="s">
        <v>8</v>
      </c>
    </row>
    <row r="33391" customFormat="false" ht="12.8" hidden="false" customHeight="false" outlineLevel="0" collapsed="false">
      <c r="A33391" s="0" t="s">
        <v>12886</v>
      </c>
      <c r="B33391" s="0" t="str">
        <f aca="false">HYPERLINK("https://lindat.mff.cuni.cz/services/teitok/pdtc10/index.php?action=vallex&amp;frame=v-w4616f4", "provést (v-w4616f4)")</f>
        <v>provést (v-w4616f4)</v>
      </c>
      <c r="E33391" s="0" t="str">
        <f aca="false">HYPERLINK("https://lindat.mff.cuni.cz/services/SynSemClass40/SynSemClass40.html?veclass=vec01394#vec01394-ces-cm00007", "vec01394")</f>
        <v>vec01394</v>
      </c>
      <c r="F33391" s="0" t="s">
        <v>2660</v>
      </c>
    </row>
    <row r="33392" customFormat="false" ht="12.8" hidden="false" customHeight="false" outlineLevel="0" collapsed="false">
      <c r="B33392" s="0" t="s">
        <v>1</v>
      </c>
      <c r="C33392" s="0" t="s">
        <v>3375</v>
      </c>
      <c r="E33392" s="0" t="s">
        <v>2241</v>
      </c>
      <c r="F33392" s="0" t="s">
        <v>2663</v>
      </c>
    </row>
    <row r="33393" customFormat="false" ht="12.8" hidden="false" customHeight="false" outlineLevel="0" collapsed="false">
      <c r="B33393" s="0" t="s">
        <v>8</v>
      </c>
      <c r="C33393" s="0" t="s">
        <v>7124</v>
      </c>
      <c r="E33393" s="0" t="s">
        <v>2665</v>
      </c>
      <c r="F33393" s="0" t="s">
        <v>2667</v>
      </c>
    </row>
    <row r="33394" customFormat="false" ht="12.8" hidden="false" customHeight="false" outlineLevel="0" collapsed="false">
      <c r="B33394" s="0" t="s">
        <v>336</v>
      </c>
      <c r="E33394" s="0" t="s">
        <v>5076</v>
      </c>
      <c r="F33394" s="0" t="s">
        <v>12887</v>
      </c>
    </row>
    <row r="33396" customFormat="false" ht="12.8" hidden="false" customHeight="false" outlineLevel="0" collapsed="false">
      <c r="A33396" s="0" t="s">
        <v>12888</v>
      </c>
      <c r="B33396" s="0" t="str">
        <f aca="false">HYPERLINK("https://lindat.mff.cuni.cz/services/teitok/pdtc10/index.php?action=vallex&amp;frame=v-w4616f1", "provést (v-w4616f1)")</f>
        <v>provést (v-w4616f1)</v>
      </c>
      <c r="E33396" s="0" t="str">
        <f aca="false">HYPERLINK("https://lindat.mff.cuni.cz/services/SynSemClass40/SynSemClass40.html?veclass=vec01188#vec01188-ces-cm00012", "vec01188")</f>
        <v>vec01188</v>
      </c>
      <c r="F33396" s="0" t="s">
        <v>5481</v>
      </c>
      <c r="H33396" s="0" t="str">
        <f aca="false">HYPERLINK("https://lindat.mff.cuni.cz/services/SynSemClass40/SynSemClass40.html?veclass=vec01414#vec01414-ces-cm00006", "vec01414")</f>
        <v>vec01414</v>
      </c>
      <c r="I33396" s="0" t="s">
        <v>5475</v>
      </c>
    </row>
    <row r="33397" customFormat="false" ht="12.8" hidden="false" customHeight="false" outlineLevel="0" collapsed="false">
      <c r="B33397" s="0" t="s">
        <v>1</v>
      </c>
      <c r="C33397" s="0" t="s">
        <v>12889</v>
      </c>
      <c r="E33397" s="0" t="s">
        <v>31</v>
      </c>
      <c r="F33397" s="0" t="s">
        <v>5483</v>
      </c>
      <c r="H33397" s="0" t="s">
        <v>31</v>
      </c>
      <c r="I33397" s="0" t="s">
        <v>5477</v>
      </c>
    </row>
    <row r="33398" customFormat="false" ht="12.8" hidden="false" customHeight="false" outlineLevel="0" collapsed="false">
      <c r="B33398" s="0" t="s">
        <v>8</v>
      </c>
      <c r="C33398" s="0" t="s">
        <v>12890</v>
      </c>
      <c r="E33398" s="0" t="s">
        <v>523</v>
      </c>
      <c r="F33398" s="0" t="s">
        <v>10813</v>
      </c>
      <c r="H33398" s="0" t="s">
        <v>14</v>
      </c>
      <c r="I33398" s="0" t="s">
        <v>5479</v>
      </c>
    </row>
    <row r="33400" customFormat="false" ht="12.8" hidden="false" customHeight="false" outlineLevel="0" collapsed="false">
      <c r="A33400" s="0" t="s">
        <v>12891</v>
      </c>
      <c r="B33400" s="0" t="str">
        <f aca="false">HYPERLINK("https://lindat.mff.cuni.cz/services/teitok/pdtc10/index.php?action=vallex&amp;frame=v-w4616f3", "provést (v-w4616f3)")</f>
        <v>provést (v-w4616f3)</v>
      </c>
    </row>
    <row r="33401" customFormat="false" ht="12.8" hidden="false" customHeight="false" outlineLevel="0" collapsed="false">
      <c r="B33401" s="0" t="s">
        <v>1</v>
      </c>
    </row>
    <row r="33402" customFormat="false" ht="12.8" hidden="false" customHeight="false" outlineLevel="0" collapsed="false">
      <c r="B33402" s="0" t="s">
        <v>12866</v>
      </c>
    </row>
    <row r="33403" customFormat="false" ht="12.8" hidden="false" customHeight="false" outlineLevel="0" collapsed="false">
      <c r="B33403" s="0" t="s">
        <v>132</v>
      </c>
    </row>
    <row r="33405" customFormat="false" ht="12.8" hidden="false" customHeight="false" outlineLevel="0" collapsed="false">
      <c r="A33405" s="0" t="s">
        <v>12892</v>
      </c>
      <c r="B33405" s="0" t="str">
        <f aca="false">HYPERLINK("https://lindat.mff.cuni.cz/services/teitok/pdtc10/index.php?action=vallex&amp;frame=v-w4616f25_MM", "provést (v-w4616f25_MM)")</f>
        <v>provést (v-w4616f25_MM)</v>
      </c>
    </row>
    <row r="33406" customFormat="false" ht="12.8" hidden="false" customHeight="false" outlineLevel="0" collapsed="false">
      <c r="B33406" s="0" t="s">
        <v>1</v>
      </c>
    </row>
    <row r="33407" customFormat="false" ht="12.8" hidden="false" customHeight="false" outlineLevel="0" collapsed="false">
      <c r="B33407" s="0" t="s">
        <v>12893</v>
      </c>
    </row>
    <row r="33409" customFormat="false" ht="12.8" hidden="false" customHeight="false" outlineLevel="0" collapsed="false">
      <c r="A33409" s="0" t="s">
        <v>12892</v>
      </c>
      <c r="B33409" s="0" t="str">
        <f aca="false">HYPERLINK("https://lindat.mff.cuni.cz/services/teitok/pdtc10/index.php?action=vallex&amp;frame=v-w4616f10_ZU", "provést (v-w4616f10_ZU) - substituted with v-w4616f25_MM")</f>
        <v>provést (v-w4616f10_ZU) - substituted with v-w4616f25_MM</v>
      </c>
    </row>
    <row r="33410" customFormat="false" ht="12.8" hidden="false" customHeight="false" outlineLevel="0" collapsed="false">
      <c r="B33410" s="0" t="s">
        <v>1</v>
      </c>
    </row>
    <row r="33411" customFormat="false" ht="12.8" hidden="false" customHeight="false" outlineLevel="0" collapsed="false">
      <c r="B33411" s="0" t="s">
        <v>12893</v>
      </c>
    </row>
    <row r="33413" customFormat="false" ht="12.8" hidden="false" customHeight="false" outlineLevel="0" collapsed="false">
      <c r="A33413" s="0" t="s">
        <v>12892</v>
      </c>
      <c r="B33413" s="0" t="str">
        <f aca="false">HYPERLINK("https://lindat.mff.cuni.cz/services/teitok/pdtc10/index.php?action=vallex&amp;frame=v-w4616f11_ZU", "provést (v-w4616f11_ZU) - substituted with v-w4616f25_MM")</f>
        <v>provést (v-w4616f11_ZU) - substituted with v-w4616f25_MM</v>
      </c>
    </row>
    <row r="33414" customFormat="false" ht="12.8" hidden="false" customHeight="false" outlineLevel="0" collapsed="false">
      <c r="B33414" s="0" t="s">
        <v>1</v>
      </c>
    </row>
    <row r="33415" customFormat="false" ht="12.8" hidden="false" customHeight="false" outlineLevel="0" collapsed="false">
      <c r="B33415" s="0" t="s">
        <v>12893</v>
      </c>
    </row>
    <row r="33417" customFormat="false" ht="12.8" hidden="false" customHeight="false" outlineLevel="0" collapsed="false">
      <c r="A33417" s="0" t="s">
        <v>12892</v>
      </c>
      <c r="B33417" s="0" t="str">
        <f aca="false">HYPERLINK("https://lindat.mff.cuni.cz/services/teitok/pdtc10/index.php?action=vallex&amp;frame=v-w4616f12_ZU", "provést (v-w4616f12_ZU) - substituted with v-w4616f25_MM")</f>
        <v>provést (v-w4616f12_ZU) - substituted with v-w4616f25_MM</v>
      </c>
    </row>
    <row r="33418" customFormat="false" ht="12.8" hidden="false" customHeight="false" outlineLevel="0" collapsed="false">
      <c r="B33418" s="0" t="s">
        <v>1</v>
      </c>
    </row>
    <row r="33419" customFormat="false" ht="12.8" hidden="false" customHeight="false" outlineLevel="0" collapsed="false">
      <c r="B33419" s="0" t="s">
        <v>12893</v>
      </c>
    </row>
    <row r="33421" customFormat="false" ht="12.8" hidden="false" customHeight="false" outlineLevel="0" collapsed="false">
      <c r="A33421" s="0" t="s">
        <v>12892</v>
      </c>
      <c r="B33421" s="0" t="str">
        <f aca="false">HYPERLINK("https://lindat.mff.cuni.cz/services/teitok/pdtc10/index.php?action=vallex&amp;frame=v-w4616f13_ZU", "provést (v-w4616f13_ZU) - substituted with v-w4616f25_MM")</f>
        <v>provést (v-w4616f13_ZU) - substituted with v-w4616f25_MM</v>
      </c>
    </row>
    <row r="33422" customFormat="false" ht="12.8" hidden="false" customHeight="false" outlineLevel="0" collapsed="false">
      <c r="B33422" s="0" t="s">
        <v>1</v>
      </c>
    </row>
    <row r="33423" customFormat="false" ht="12.8" hidden="false" customHeight="false" outlineLevel="0" collapsed="false">
      <c r="B33423" s="0" t="s">
        <v>12893</v>
      </c>
    </row>
    <row r="33425" customFormat="false" ht="12.8" hidden="false" customHeight="false" outlineLevel="0" collapsed="false">
      <c r="A33425" s="0" t="s">
        <v>12892</v>
      </c>
      <c r="B33425" s="0" t="str">
        <f aca="false">HYPERLINK("https://lindat.mff.cuni.cz/services/teitok/pdtc10/index.php?action=vallex&amp;frame=v-w4616f14_ZU", "provést (v-w4616f14_ZU) - substituted with v-w4616f25_MM")</f>
        <v>provést (v-w4616f14_ZU) - substituted with v-w4616f25_MM</v>
      </c>
    </row>
    <row r="33426" customFormat="false" ht="12.8" hidden="false" customHeight="false" outlineLevel="0" collapsed="false">
      <c r="B33426" s="0" t="s">
        <v>1</v>
      </c>
    </row>
    <row r="33427" customFormat="false" ht="12.8" hidden="false" customHeight="false" outlineLevel="0" collapsed="false">
      <c r="B33427" s="0" t="s">
        <v>12893</v>
      </c>
    </row>
    <row r="33429" customFormat="false" ht="12.8" hidden="false" customHeight="false" outlineLevel="0" collapsed="false">
      <c r="A33429" s="0" t="s">
        <v>12892</v>
      </c>
      <c r="B33429" s="0" t="str">
        <f aca="false">HYPERLINK("https://lindat.mff.cuni.cz/services/teitok/pdtc10/index.php?action=vallex&amp;frame=v-w4616f16_ZU", "provést (v-w4616f16_ZU) - substituted with v-w4616f25_MM")</f>
        <v>provést (v-w4616f16_ZU) - substituted with v-w4616f25_MM</v>
      </c>
    </row>
    <row r="33430" customFormat="false" ht="12.8" hidden="false" customHeight="false" outlineLevel="0" collapsed="false">
      <c r="B33430" s="0" t="s">
        <v>1</v>
      </c>
    </row>
    <row r="33431" customFormat="false" ht="12.8" hidden="false" customHeight="false" outlineLevel="0" collapsed="false">
      <c r="B33431" s="0" t="s">
        <v>12893</v>
      </c>
    </row>
    <row r="33433" customFormat="false" ht="12.8" hidden="false" customHeight="false" outlineLevel="0" collapsed="false">
      <c r="A33433" s="0" t="s">
        <v>12892</v>
      </c>
      <c r="B33433" s="0" t="str">
        <f aca="false">HYPERLINK("https://lindat.mff.cuni.cz/services/teitok/pdtc10/index.php?action=vallex&amp;frame=v-w4616f17_ZU", "provést (v-w4616f17_ZU) - substituted with v-w4616f25_MM")</f>
        <v>provést (v-w4616f17_ZU) - substituted with v-w4616f25_MM</v>
      </c>
    </row>
    <row r="33434" customFormat="false" ht="12.8" hidden="false" customHeight="false" outlineLevel="0" collapsed="false">
      <c r="B33434" s="0" t="s">
        <v>1</v>
      </c>
    </row>
    <row r="33435" customFormat="false" ht="12.8" hidden="false" customHeight="false" outlineLevel="0" collapsed="false">
      <c r="B33435" s="0" t="s">
        <v>12893</v>
      </c>
    </row>
    <row r="33437" customFormat="false" ht="12.8" hidden="false" customHeight="false" outlineLevel="0" collapsed="false">
      <c r="A33437" s="0" t="s">
        <v>12892</v>
      </c>
      <c r="B33437" s="0" t="str">
        <f aca="false">HYPERLINK("https://lindat.mff.cuni.cz/services/teitok/pdtc10/index.php?action=vallex&amp;frame=v-w4616f18_ZU", "provést (v-w4616f18_ZU) - substituted with v-w4616f25_MM")</f>
        <v>provést (v-w4616f18_ZU) - substituted with v-w4616f25_MM</v>
      </c>
    </row>
    <row r="33438" customFormat="false" ht="12.8" hidden="false" customHeight="false" outlineLevel="0" collapsed="false">
      <c r="B33438" s="0" t="s">
        <v>1</v>
      </c>
    </row>
    <row r="33439" customFormat="false" ht="12.8" hidden="false" customHeight="false" outlineLevel="0" collapsed="false">
      <c r="B33439" s="0" t="s">
        <v>12893</v>
      </c>
    </row>
    <row r="33441" customFormat="false" ht="12.8" hidden="false" customHeight="false" outlineLevel="0" collapsed="false">
      <c r="A33441" s="0" t="s">
        <v>12892</v>
      </c>
      <c r="B33441" s="0" t="str">
        <f aca="false">HYPERLINK("https://lindat.mff.cuni.cz/services/teitok/pdtc10/index.php?action=vallex&amp;frame=v-w4616f19_ZU", "provést (v-w4616f19_ZU) - substituted with v-w4616f25_MM")</f>
        <v>provést (v-w4616f19_ZU) - substituted with v-w4616f25_MM</v>
      </c>
    </row>
    <row r="33442" customFormat="false" ht="12.8" hidden="false" customHeight="false" outlineLevel="0" collapsed="false">
      <c r="B33442" s="0" t="s">
        <v>1</v>
      </c>
    </row>
    <row r="33443" customFormat="false" ht="12.8" hidden="false" customHeight="false" outlineLevel="0" collapsed="false">
      <c r="B33443" s="0" t="s">
        <v>12893</v>
      </c>
    </row>
    <row r="33445" customFormat="false" ht="12.8" hidden="false" customHeight="false" outlineLevel="0" collapsed="false">
      <c r="A33445" s="0" t="s">
        <v>12892</v>
      </c>
      <c r="B33445" s="0" t="str">
        <f aca="false">HYPERLINK("https://lindat.mff.cuni.cz/services/teitok/pdtc10/index.php?action=vallex&amp;frame=v-w4616f2", "provést (v-w4616f2) - substituted with v-w4616f25_MM")</f>
        <v>provést (v-w4616f2) - substituted with v-w4616f25_MM</v>
      </c>
    </row>
    <row r="33446" customFormat="false" ht="12.8" hidden="false" customHeight="false" outlineLevel="0" collapsed="false">
      <c r="B33446" s="0" t="s">
        <v>1</v>
      </c>
    </row>
    <row r="33447" customFormat="false" ht="12.8" hidden="false" customHeight="false" outlineLevel="0" collapsed="false">
      <c r="B33447" s="0" t="s">
        <v>12893</v>
      </c>
    </row>
    <row r="33449" customFormat="false" ht="12.8" hidden="false" customHeight="false" outlineLevel="0" collapsed="false">
      <c r="A33449" s="0" t="s">
        <v>12892</v>
      </c>
      <c r="B33449" s="0" t="str">
        <f aca="false">HYPERLINK("https://lindat.mff.cuni.cz/services/teitok/pdtc10/index.php?action=vallex&amp;frame=v-w4616f20_ZU", "provést (v-w4616f20_ZU) - substituted with v-w4616f25_MM")</f>
        <v>provést (v-w4616f20_ZU) - substituted with v-w4616f25_MM</v>
      </c>
    </row>
    <row r="33450" customFormat="false" ht="12.8" hidden="false" customHeight="false" outlineLevel="0" collapsed="false">
      <c r="B33450" s="0" t="s">
        <v>1</v>
      </c>
    </row>
    <row r="33451" customFormat="false" ht="12.8" hidden="false" customHeight="false" outlineLevel="0" collapsed="false">
      <c r="B33451" s="0" t="s">
        <v>12893</v>
      </c>
    </row>
    <row r="33453" customFormat="false" ht="12.8" hidden="false" customHeight="false" outlineLevel="0" collapsed="false">
      <c r="A33453" s="0" t="s">
        <v>12892</v>
      </c>
      <c r="B33453" s="0" t="str">
        <f aca="false">HYPERLINK("https://lindat.mff.cuni.cz/services/teitok/pdtc10/index.php?action=vallex&amp;frame=v-w4616f21_ZU", "provést (v-w4616f21_ZU) - substituted with v-w4616f25_MM")</f>
        <v>provést (v-w4616f21_ZU) - substituted with v-w4616f25_MM</v>
      </c>
      <c r="E33453" s="0" t="str">
        <f aca="false">HYPERLINK("https://lindat.mff.cuni.cz/services/SynSemClass40/SynSemClass40.html?veclass=vec00089#vec00089-ces-cm00001", "vec00089")</f>
        <v>vec00089</v>
      </c>
      <c r="F33453" s="0" t="s">
        <v>3959</v>
      </c>
      <c r="H33453" s="0" t="str">
        <f aca="false">HYPERLINK("https://lindat.mff.cuni.cz/services/SynSemClass40/SynSemClass40.html?veclass=vec00090#vec00090-ces-cm00103", "vec00090")</f>
        <v>vec00090</v>
      </c>
      <c r="I33453" s="0" t="s">
        <v>113</v>
      </c>
      <c r="K33453" s="0" t="str">
        <f aca="false">HYPERLINK("https://lindat.mff.cuni.cz/services/SynSemClass40/SynSemClass40.html?veclass=vec01188#vec01188-ces-cm00108", "vec01188")</f>
        <v>vec01188</v>
      </c>
      <c r="L33453" s="0" t="s">
        <v>5481</v>
      </c>
    </row>
    <row r="33454" customFormat="false" ht="12.8" hidden="false" customHeight="false" outlineLevel="0" collapsed="false">
      <c r="B33454" s="0" t="s">
        <v>1</v>
      </c>
      <c r="C33454" s="0" t="s">
        <v>12894</v>
      </c>
      <c r="E33454" s="0" t="s">
        <v>31</v>
      </c>
      <c r="F33454" s="0" t="s">
        <v>3960</v>
      </c>
      <c r="H33454" s="0" t="s">
        <v>115</v>
      </c>
      <c r="I33454" s="0" t="s">
        <v>116</v>
      </c>
      <c r="K33454" s="0" t="s">
        <v>31</v>
      </c>
      <c r="L33454" s="0" t="s">
        <v>5483</v>
      </c>
    </row>
    <row r="33455" customFormat="false" ht="12.8" hidden="false" customHeight="false" outlineLevel="0" collapsed="false">
      <c r="B33455" s="0" t="s">
        <v>12893</v>
      </c>
      <c r="C33455" s="0" t="s">
        <v>12895</v>
      </c>
      <c r="E33455" s="0" t="s">
        <v>5486</v>
      </c>
      <c r="F33455" s="0" t="s">
        <v>5487</v>
      </c>
      <c r="H33455" s="0" t="s">
        <v>12873</v>
      </c>
      <c r="I33455" s="0" t="s">
        <v>12874</v>
      </c>
      <c r="K33455" s="0" t="s">
        <v>3478</v>
      </c>
      <c r="L33455" s="0" t="s">
        <v>5488</v>
      </c>
    </row>
    <row r="33457" customFormat="false" ht="12.8" hidden="false" customHeight="false" outlineLevel="0" collapsed="false">
      <c r="A33457" s="0" t="s">
        <v>12892</v>
      </c>
      <c r="B33457" s="0" t="str">
        <f aca="false">HYPERLINK("https://lindat.mff.cuni.cz/services/teitok/pdtc10/index.php?action=vallex&amp;frame=v-w4616f23_ZU", "provést (v-w4616f23_ZU) - substituted with v-w4616f25_MM")</f>
        <v>provést (v-w4616f23_ZU) - substituted with v-w4616f25_MM</v>
      </c>
    </row>
    <row r="33458" customFormat="false" ht="12.8" hidden="false" customHeight="false" outlineLevel="0" collapsed="false">
      <c r="B33458" s="0" t="s">
        <v>1</v>
      </c>
    </row>
    <row r="33459" customFormat="false" ht="12.8" hidden="false" customHeight="false" outlineLevel="0" collapsed="false">
      <c r="B33459" s="0" t="s">
        <v>12893</v>
      </c>
    </row>
    <row r="33461" customFormat="false" ht="12.8" hidden="false" customHeight="false" outlineLevel="0" collapsed="false">
      <c r="A33461" s="0" t="s">
        <v>12892</v>
      </c>
      <c r="B33461" s="0" t="str">
        <f aca="false">HYPERLINK("https://lindat.mff.cuni.cz/services/teitok/pdtc10/index.php?action=vallex&amp;frame=v-w4616f24_ZU", "provést (v-w4616f24_ZU) - substituted with v-w4616f25_MM")</f>
        <v>provést (v-w4616f24_ZU) - substituted with v-w4616f25_MM</v>
      </c>
    </row>
    <row r="33462" customFormat="false" ht="12.8" hidden="false" customHeight="false" outlineLevel="0" collapsed="false">
      <c r="B33462" s="0" t="s">
        <v>1</v>
      </c>
    </row>
    <row r="33463" customFormat="false" ht="12.8" hidden="false" customHeight="false" outlineLevel="0" collapsed="false">
      <c r="B33463" s="0" t="s">
        <v>12893</v>
      </c>
    </row>
    <row r="33465" customFormat="false" ht="12.8" hidden="false" customHeight="false" outlineLevel="0" collapsed="false">
      <c r="A33465" s="0" t="s">
        <v>12892</v>
      </c>
      <c r="B33465" s="0" t="str">
        <f aca="false">HYPERLINK("https://lindat.mff.cuni.cz/services/teitok/pdtc10/index.php?action=vallex&amp;frame=v-w4616f6", "provést (v-w4616f6) - substituted with v-w4616f25_MM")</f>
        <v>provést (v-w4616f6) - substituted with v-w4616f25_MM</v>
      </c>
    </row>
    <row r="33466" customFormat="false" ht="12.8" hidden="false" customHeight="false" outlineLevel="0" collapsed="false">
      <c r="B33466" s="0" t="s">
        <v>1</v>
      </c>
    </row>
    <row r="33467" customFormat="false" ht="12.8" hidden="false" customHeight="false" outlineLevel="0" collapsed="false">
      <c r="B33467" s="0" t="s">
        <v>12893</v>
      </c>
    </row>
    <row r="33469" customFormat="false" ht="12.8" hidden="false" customHeight="false" outlineLevel="0" collapsed="false">
      <c r="A33469" s="0" t="s">
        <v>12892</v>
      </c>
      <c r="B33469" s="0" t="str">
        <f aca="false">HYPERLINK("https://lindat.mff.cuni.cz/services/teitok/pdtc10/index.php?action=vallex&amp;frame=v-w4616f7_ZU", "provést (v-w4616f7_ZU) - substituted with v-w4616f25_MM")</f>
        <v>provést (v-w4616f7_ZU) - substituted with v-w4616f25_MM</v>
      </c>
    </row>
    <row r="33470" customFormat="false" ht="12.8" hidden="false" customHeight="false" outlineLevel="0" collapsed="false">
      <c r="B33470" s="0" t="s">
        <v>1</v>
      </c>
    </row>
    <row r="33471" customFormat="false" ht="12.8" hidden="false" customHeight="false" outlineLevel="0" collapsed="false">
      <c r="B33471" s="0" t="s">
        <v>12893</v>
      </c>
    </row>
    <row r="33473" customFormat="false" ht="12.8" hidden="false" customHeight="false" outlineLevel="0" collapsed="false">
      <c r="A33473" s="0" t="s">
        <v>12892</v>
      </c>
      <c r="B33473" s="0" t="str">
        <f aca="false">HYPERLINK("https://lindat.mff.cuni.cz/services/teitok/pdtc10/index.php?action=vallex&amp;frame=v-w4616f8_ZU", "provést (v-w4616f8_ZU) - substituted with v-w4616f25_MM")</f>
        <v>provést (v-w4616f8_ZU) - substituted with v-w4616f25_MM</v>
      </c>
    </row>
    <row r="33474" customFormat="false" ht="12.8" hidden="false" customHeight="false" outlineLevel="0" collapsed="false">
      <c r="B33474" s="0" t="s">
        <v>1</v>
      </c>
    </row>
    <row r="33475" customFormat="false" ht="12.8" hidden="false" customHeight="false" outlineLevel="0" collapsed="false">
      <c r="B33475" s="0" t="s">
        <v>12893</v>
      </c>
    </row>
    <row r="33477" customFormat="false" ht="12.8" hidden="false" customHeight="false" outlineLevel="0" collapsed="false">
      <c r="A33477" s="0" t="s">
        <v>12892</v>
      </c>
      <c r="B33477" s="0" t="str">
        <f aca="false">HYPERLINK("https://lindat.mff.cuni.cz/services/teitok/pdtc10/index.php?action=vallex&amp;frame=v-w4616f9_ZU", "provést (v-w4616f9_ZU) - substituted with v-w4616f25_MM")</f>
        <v>provést (v-w4616f9_ZU) - substituted with v-w4616f25_MM</v>
      </c>
    </row>
    <row r="33478" customFormat="false" ht="12.8" hidden="false" customHeight="false" outlineLevel="0" collapsed="false">
      <c r="B33478" s="0" t="s">
        <v>1</v>
      </c>
    </row>
    <row r="33479" customFormat="false" ht="12.8" hidden="false" customHeight="false" outlineLevel="0" collapsed="false">
      <c r="B33479" s="0" t="s">
        <v>12893</v>
      </c>
    </row>
    <row r="33481" customFormat="false" ht="12.8" hidden="false" customHeight="false" outlineLevel="0" collapsed="false">
      <c r="A33481" s="0" t="s">
        <v>12892</v>
      </c>
      <c r="B33481" s="0" t="str">
        <f aca="false">HYPERLINK("https://lindat.mff.cuni.cz/services/teitok/pdtc10/index.php?action=vallex&amp;frame=v-w4616hsa_133", "provést (v-w4616hsa_133) - substituted with v-w4616f25_MM")</f>
        <v>provést (v-w4616hsa_133) - substituted with v-w4616f25_MM</v>
      </c>
    </row>
    <row r="33482" customFormat="false" ht="12.8" hidden="false" customHeight="false" outlineLevel="0" collapsed="false">
      <c r="B33482" s="0" t="s">
        <v>1</v>
      </c>
    </row>
    <row r="33483" customFormat="false" ht="12.8" hidden="false" customHeight="false" outlineLevel="0" collapsed="false">
      <c r="B33483" s="0" t="s">
        <v>12893</v>
      </c>
    </row>
    <row r="33485" customFormat="false" ht="12.8" hidden="false" customHeight="false" outlineLevel="0" collapsed="false">
      <c r="A33485" s="0" t="s">
        <v>12892</v>
      </c>
      <c r="B33485" s="0" t="str">
        <f aca="false">HYPERLINK("https://lindat.mff.cuni.cz/services/teitok/pdtc10/index.php?action=vallex&amp;frame=v-w4616hsa_93", "provést (v-w4616hsa_93) - substituted with v-w4616f25_MM")</f>
        <v>provést (v-w4616hsa_93) - substituted with v-w4616f25_MM</v>
      </c>
    </row>
    <row r="33486" customFormat="false" ht="12.8" hidden="false" customHeight="false" outlineLevel="0" collapsed="false">
      <c r="B33486" s="0" t="s">
        <v>1</v>
      </c>
    </row>
    <row r="33487" customFormat="false" ht="12.8" hidden="false" customHeight="false" outlineLevel="0" collapsed="false">
      <c r="B33487" s="0" t="s">
        <v>12893</v>
      </c>
    </row>
    <row r="33489" customFormat="false" ht="12.8" hidden="false" customHeight="false" outlineLevel="0" collapsed="false">
      <c r="A33489" s="0" t="s">
        <v>12896</v>
      </c>
      <c r="B33489" s="0" t="str">
        <f aca="false">HYPERLINK("https://lindat.mff.cuni.cz/services/teitok/pdtc10/index.php?action=vallex&amp;frame=v-w4616f15_ZU", "provést (v-w4616f15_ZU)")</f>
        <v>provést (v-w4616f15_ZU)</v>
      </c>
    </row>
    <row r="33490" customFormat="false" ht="12.8" hidden="false" customHeight="false" outlineLevel="0" collapsed="false">
      <c r="B33490" s="0" t="s">
        <v>1</v>
      </c>
    </row>
    <row r="33491" customFormat="false" ht="12.8" hidden="false" customHeight="false" outlineLevel="0" collapsed="false">
      <c r="B33491" s="0" t="s">
        <v>12897</v>
      </c>
    </row>
    <row r="33493" customFormat="false" ht="12.8" hidden="false" customHeight="false" outlineLevel="0" collapsed="false">
      <c r="A33493" s="0" t="s">
        <v>12896</v>
      </c>
      <c r="B33493" s="0" t="str">
        <f aca="false">HYPERLINK("https://lindat.mff.cuni.cz/services/teitok/pdtc10/index.php?action=vallex&amp;frame=v-w4616f5", "provést (v-w4616f5) - substituted with v-w4616f15_ZU")</f>
        <v>provést (v-w4616f5) - substituted with v-w4616f15_ZU</v>
      </c>
    </row>
    <row r="33494" customFormat="false" ht="12.8" hidden="false" customHeight="false" outlineLevel="0" collapsed="false">
      <c r="B33494" s="0" t="s">
        <v>1</v>
      </c>
    </row>
    <row r="33495" customFormat="false" ht="12.8" hidden="false" customHeight="false" outlineLevel="0" collapsed="false">
      <c r="B33495" s="0" t="s">
        <v>12897</v>
      </c>
    </row>
    <row r="33497" customFormat="false" ht="12.8" hidden="false" customHeight="false" outlineLevel="0" collapsed="false">
      <c r="A33497" s="0" t="s">
        <v>12898</v>
      </c>
      <c r="B33497" s="0" t="str">
        <f aca="false">HYPERLINK("https://lindat.mff.cuni.cz/services/teitok/pdtc10/index.php?action=vallex&amp;frame=v-w4616f22_ZU", "provést (v-w4616f22_ZU)")</f>
        <v>provést (v-w4616f22_ZU)</v>
      </c>
    </row>
    <row r="33498" customFormat="false" ht="12.8" hidden="false" customHeight="false" outlineLevel="0" collapsed="false">
      <c r="B33498" s="0" t="s">
        <v>1</v>
      </c>
    </row>
    <row r="33499" customFormat="false" ht="12.8" hidden="false" customHeight="false" outlineLevel="0" collapsed="false">
      <c r="B33499" s="0" t="s">
        <v>12899</v>
      </c>
    </row>
    <row r="33501" customFormat="false" ht="12.8" hidden="false" customHeight="false" outlineLevel="0" collapsed="false">
      <c r="A33501" s="0" t="s">
        <v>12900</v>
      </c>
      <c r="B33501" s="0" t="str">
        <f aca="false">HYPERLINK("https://lindat.mff.cuni.cz/services/teitok/pdtc10/index.php?action=vallex&amp;frame=v-w4616f26_MM", "provést (v-w4616f26_MM)")</f>
        <v>provést (v-w4616f26_MM)</v>
      </c>
    </row>
    <row r="33502" customFormat="false" ht="12.8" hidden="false" customHeight="false" outlineLevel="0" collapsed="false">
      <c r="B33502" s="0" t="s">
        <v>1</v>
      </c>
    </row>
    <row r="33503" customFormat="false" ht="12.8" hidden="false" customHeight="false" outlineLevel="0" collapsed="false">
      <c r="B33503" s="0" t="s">
        <v>59</v>
      </c>
    </row>
    <row r="33504" customFormat="false" ht="12.8" hidden="false" customHeight="false" outlineLevel="0" collapsed="false">
      <c r="B33504" s="0" t="s">
        <v>52</v>
      </c>
    </row>
    <row r="33506" customFormat="false" ht="12.8" hidden="false" customHeight="false" outlineLevel="0" collapsed="false">
      <c r="A33506" s="0" t="s">
        <v>12900</v>
      </c>
      <c r="B33506" s="0" t="str">
        <f aca="false">HYPERLINK("https://lindat.mff.cuni.cz/services/teitok/pdtc10/index.php?action=vallex&amp;frame=v-w4616hsa_92", "provést (v-w4616hsa_92) - substituted with v-w4616f26_MM")</f>
        <v>provést (v-w4616hsa_92) - substituted with v-w4616f26_MM</v>
      </c>
    </row>
    <row r="33507" customFormat="false" ht="12.8" hidden="false" customHeight="false" outlineLevel="0" collapsed="false">
      <c r="B33507" s="0" t="s">
        <v>1</v>
      </c>
    </row>
    <row r="33508" customFormat="false" ht="12.8" hidden="false" customHeight="false" outlineLevel="0" collapsed="false">
      <c r="B33508" s="0" t="s">
        <v>59</v>
      </c>
    </row>
    <row r="33509" customFormat="false" ht="12.8" hidden="false" customHeight="false" outlineLevel="0" collapsed="false">
      <c r="B33509" s="0" t="s">
        <v>52</v>
      </c>
    </row>
    <row r="33511" customFormat="false" ht="12.8" hidden="false" customHeight="false" outlineLevel="0" collapsed="false">
      <c r="A33511" s="0" t="s">
        <v>12901</v>
      </c>
      <c r="B33511" s="0" t="str">
        <f aca="false">HYPERLINK("https://lindat.mff.cuni.cz/services/teitok/pdtc10/index.php?action=vallex&amp;frame=v-w4619f1", "provézt (v-w4619f1)")</f>
        <v>provézt (v-w4619f1)</v>
      </c>
    </row>
    <row r="33512" customFormat="false" ht="12.8" hidden="false" customHeight="false" outlineLevel="0" collapsed="false">
      <c r="B33512" s="0" t="s">
        <v>1</v>
      </c>
    </row>
    <row r="33513" customFormat="false" ht="12.8" hidden="false" customHeight="false" outlineLevel="0" collapsed="false">
      <c r="B33513" s="0" t="s">
        <v>8</v>
      </c>
    </row>
    <row r="33515" customFormat="false" ht="12.8" hidden="false" customHeight="false" outlineLevel="0" collapsed="false">
      <c r="A33515" s="0" t="s">
        <v>12902</v>
      </c>
      <c r="B33515" s="0" t="str">
        <f aca="false">HYPERLINK("https://lindat.mff.cuni.cz/services/teitok/pdtc10/index.php?action=vallex&amp;frame=v-w4617f1", "provětrat (v-w4617f1)")</f>
        <v>provětrat (v-w4617f1)</v>
      </c>
    </row>
    <row r="33516" customFormat="false" ht="12.8" hidden="false" customHeight="false" outlineLevel="0" collapsed="false">
      <c r="B33516" s="0" t="s">
        <v>1</v>
      </c>
    </row>
    <row r="33517" customFormat="false" ht="12.8" hidden="false" customHeight="false" outlineLevel="0" collapsed="false">
      <c r="B33517" s="0" t="s">
        <v>8</v>
      </c>
    </row>
    <row r="33519" customFormat="false" ht="12.8" hidden="false" customHeight="false" outlineLevel="0" collapsed="false">
      <c r="A33519" s="0" t="s">
        <v>12903</v>
      </c>
      <c r="B33519" s="0" t="str">
        <f aca="false">HYPERLINK("https://lindat.mff.cuni.cz/services/teitok/pdtc10/index.php?action=vallex&amp;frame=v-w4617f2_ZU", "provětrat (v-w4617f2_ZU)")</f>
        <v>provětrat (v-w4617f2_ZU)</v>
      </c>
    </row>
    <row r="33520" customFormat="false" ht="12.8" hidden="false" customHeight="false" outlineLevel="0" collapsed="false">
      <c r="B33520" s="0" t="s">
        <v>1</v>
      </c>
    </row>
    <row r="33521" customFormat="false" ht="12.8" hidden="false" customHeight="false" outlineLevel="0" collapsed="false">
      <c r="B33521" s="0" t="s">
        <v>8</v>
      </c>
    </row>
    <row r="33523" customFormat="false" ht="12.8" hidden="false" customHeight="false" outlineLevel="0" collapsed="false">
      <c r="A33523" s="0" t="s">
        <v>12904</v>
      </c>
      <c r="B33523" s="0" t="str">
        <f aca="false">HYPERLINK("https://lindat.mff.cuni.cz/services/teitok/pdtc10/index.php?action=vallex&amp;frame=v-w10545f2", "provětrávat (v-w10545f2)")</f>
        <v>provětrávat (v-w10545f2)</v>
      </c>
    </row>
    <row r="33524" customFormat="false" ht="12.8" hidden="false" customHeight="false" outlineLevel="0" collapsed="false">
      <c r="B33524" s="0" t="s">
        <v>1</v>
      </c>
    </row>
    <row r="33525" customFormat="false" ht="12.8" hidden="false" customHeight="false" outlineLevel="0" collapsed="false">
      <c r="B33525" s="0" t="s">
        <v>8</v>
      </c>
    </row>
    <row r="33527" customFormat="false" ht="12.8" hidden="false" customHeight="false" outlineLevel="0" collapsed="false">
      <c r="A33527" s="0" t="s">
        <v>12905</v>
      </c>
      <c r="B33527" s="0" t="str">
        <f aca="false">HYPERLINK("https://lindat.mff.cuni.cz/services/teitok/pdtc10/index.php?action=vallex&amp;frame=v-w4613f1", "prověřit (v-w4613f1)")</f>
        <v>prověřit (v-w4613f1)</v>
      </c>
      <c r="E33527" s="0" t="str">
        <f aca="false">HYPERLINK("https://lindat.mff.cuni.cz/services/SynSemClass40/SynSemClass40.html?veclass=vec00090#vec00090-ces-cm00018", "vec00090")</f>
        <v>vec00090</v>
      </c>
      <c r="F33527" s="0" t="s">
        <v>113</v>
      </c>
    </row>
    <row r="33528" customFormat="false" ht="12.8" hidden="false" customHeight="false" outlineLevel="0" collapsed="false">
      <c r="B33528" s="0" t="s">
        <v>1</v>
      </c>
      <c r="C33528" s="0" t="s">
        <v>114</v>
      </c>
      <c r="E33528" s="0" t="s">
        <v>115</v>
      </c>
      <c r="F33528" s="0" t="s">
        <v>116</v>
      </c>
    </row>
    <row r="33529" customFormat="false" ht="12.8" hidden="false" customHeight="false" outlineLevel="0" collapsed="false">
      <c r="B33529" s="0" t="s">
        <v>2493</v>
      </c>
      <c r="C33529" s="0" t="s">
        <v>118</v>
      </c>
      <c r="E33529" s="0" t="s">
        <v>119</v>
      </c>
      <c r="F33529" s="0" t="s">
        <v>120</v>
      </c>
    </row>
    <row r="33531" customFormat="false" ht="12.8" hidden="false" customHeight="false" outlineLevel="0" collapsed="false">
      <c r="A33531" s="0" t="s">
        <v>12906</v>
      </c>
      <c r="B33531" s="0" t="str">
        <f aca="false">HYPERLINK("https://lindat.mff.cuni.cz/services/teitok/pdtc10/index.php?action=vallex&amp;frame=v-w4615f1", "prověřovat (v-w4615f1)")</f>
        <v>prověřovat (v-w4615f1)</v>
      </c>
      <c r="E33531" s="0" t="str">
        <f aca="false">HYPERLINK("https://lindat.mff.cuni.cz/services/SynSemClass40/SynSemClass40.html?veclass=vec00090#vec00090-ces-cm00019", "vec00090")</f>
        <v>vec00090</v>
      </c>
      <c r="F33531" s="0" t="s">
        <v>113</v>
      </c>
    </row>
    <row r="33532" customFormat="false" ht="12.8" hidden="false" customHeight="false" outlineLevel="0" collapsed="false">
      <c r="B33532" s="0" t="s">
        <v>1</v>
      </c>
      <c r="C33532" s="0" t="s">
        <v>114</v>
      </c>
      <c r="E33532" s="0" t="s">
        <v>115</v>
      </c>
      <c r="F33532" s="0" t="s">
        <v>116</v>
      </c>
    </row>
    <row r="33533" customFormat="false" ht="12.8" hidden="false" customHeight="false" outlineLevel="0" collapsed="false">
      <c r="B33533" s="0" t="s">
        <v>2493</v>
      </c>
      <c r="C33533" s="0" t="s">
        <v>118</v>
      </c>
      <c r="E33533" s="0" t="s">
        <v>119</v>
      </c>
      <c r="F33533" s="0" t="s">
        <v>120</v>
      </c>
    </row>
    <row r="33535" customFormat="false" ht="12.8" hidden="false" customHeight="false" outlineLevel="0" collapsed="false">
      <c r="A33535" s="0" t="s">
        <v>12907</v>
      </c>
      <c r="B33535" s="0" t="str">
        <f aca="false">HYPERLINK("https://lindat.mff.cuni.cz/services/teitok/pdtc10/index.php?action=vallex&amp;frame=v-w4633f1", "prozkoumat (v-w4633f1)")</f>
        <v>prozkoumat (v-w4633f1)</v>
      </c>
      <c r="E33535" s="0" t="str">
        <f aca="false">HYPERLINK("https://lindat.mff.cuni.cz/services/SynSemClass40/SynSemClass40.html?veclass=vec00090#vec00090-ces-cm00001", "vec00090")</f>
        <v>vec00090</v>
      </c>
      <c r="F33535" s="0" t="s">
        <v>113</v>
      </c>
      <c r="H33535" s="0" t="str">
        <f aca="false">HYPERLINK("https://lindat.mff.cuni.cz/services/SynSemClass40/SynSemClass40.html?veclass=vec01304#vec01304-ces-cm00017", "vec01304")</f>
        <v>vec01304</v>
      </c>
      <c r="I33535" s="0" t="s">
        <v>302</v>
      </c>
    </row>
    <row r="33536" customFormat="false" ht="12.8" hidden="false" customHeight="false" outlineLevel="0" collapsed="false">
      <c r="B33536" s="0" t="s">
        <v>1</v>
      </c>
      <c r="C33536" s="0" t="s">
        <v>12908</v>
      </c>
      <c r="E33536" s="0" t="s">
        <v>115</v>
      </c>
      <c r="F33536" s="0" t="s">
        <v>116</v>
      </c>
      <c r="H33536" s="0" t="s">
        <v>115</v>
      </c>
      <c r="I33536" s="0" t="s">
        <v>304</v>
      </c>
    </row>
    <row r="33537" customFormat="false" ht="12.8" hidden="false" customHeight="false" outlineLevel="0" collapsed="false">
      <c r="B33537" s="0" t="s">
        <v>8</v>
      </c>
      <c r="C33537" s="0" t="s">
        <v>12909</v>
      </c>
      <c r="E33537" s="0" t="s">
        <v>119</v>
      </c>
      <c r="F33537" s="0" t="s">
        <v>120</v>
      </c>
      <c r="H33537" s="0" t="s">
        <v>119</v>
      </c>
      <c r="I33537" s="0" t="s">
        <v>307</v>
      </c>
    </row>
    <row r="33539" customFormat="false" ht="12.8" hidden="false" customHeight="false" outlineLevel="0" collapsed="false">
      <c r="A33539" s="0" t="s">
        <v>12910</v>
      </c>
      <c r="B33539" s="0" t="str">
        <f aca="false">HYPERLINK("https://lindat.mff.cuni.cz/services/teitok/pdtc10/index.php?action=vallex&amp;frame=v-w4633f4_ZU", "prozkoumat (v-w4633f4_ZU)")</f>
        <v>prozkoumat (v-w4633f4_ZU)</v>
      </c>
    </row>
    <row r="33540" customFormat="false" ht="12.8" hidden="false" customHeight="false" outlineLevel="0" collapsed="false">
      <c r="B33540" s="0" t="s">
        <v>1</v>
      </c>
    </row>
    <row r="33541" customFormat="false" ht="12.8" hidden="false" customHeight="false" outlineLevel="0" collapsed="false">
      <c r="B33541" s="0" t="s">
        <v>12911</v>
      </c>
    </row>
    <row r="33543" customFormat="false" ht="12.8" hidden="false" customHeight="false" outlineLevel="0" collapsed="false">
      <c r="A33543" s="0" t="s">
        <v>12910</v>
      </c>
      <c r="B33543" s="0" t="str">
        <f aca="false">HYPERLINK("https://lindat.mff.cuni.cz/services/teitok/pdtc10/index.php?action=vallex&amp;frame=v-w4633f2_ZU", "prozkoumat (v-w4633f2_ZU) - substituted with v-w4633f4_ZU")</f>
        <v>prozkoumat (v-w4633f2_ZU) - substituted with v-w4633f4_ZU</v>
      </c>
    </row>
    <row r="33544" customFormat="false" ht="12.8" hidden="false" customHeight="false" outlineLevel="0" collapsed="false">
      <c r="B33544" s="0" t="s">
        <v>1</v>
      </c>
    </row>
    <row r="33545" customFormat="false" ht="12.8" hidden="false" customHeight="false" outlineLevel="0" collapsed="false">
      <c r="B33545" s="0" t="s">
        <v>12911</v>
      </c>
    </row>
    <row r="33547" customFormat="false" ht="12.8" hidden="false" customHeight="false" outlineLevel="0" collapsed="false">
      <c r="A33547" s="0" t="s">
        <v>12910</v>
      </c>
      <c r="B33547" s="0" t="str">
        <f aca="false">HYPERLINK("https://lindat.mff.cuni.cz/services/teitok/pdtc10/index.php?action=vallex&amp;frame=v-w4633f3_ZU", "prozkoumat (v-w4633f3_ZU) - substituted with v-w4633f4_ZU")</f>
        <v>prozkoumat (v-w4633f3_ZU) - substituted with v-w4633f4_ZU</v>
      </c>
      <c r="E33547" s="0" t="str">
        <f aca="false">HYPERLINK("https://lindat.mff.cuni.cz/services/SynSemClass40/SynSemClass40.html?veclass=vec00090#vec00090-ces-cm00020", "vec00090")</f>
        <v>vec00090</v>
      </c>
      <c r="F33547" s="0" t="s">
        <v>113</v>
      </c>
    </row>
    <row r="33548" customFormat="false" ht="12.8" hidden="false" customHeight="false" outlineLevel="0" collapsed="false">
      <c r="B33548" s="0" t="s">
        <v>1</v>
      </c>
      <c r="C33548" s="0" t="s">
        <v>114</v>
      </c>
      <c r="E33548" s="0" t="s">
        <v>115</v>
      </c>
      <c r="F33548" s="0" t="s">
        <v>116</v>
      </c>
    </row>
    <row r="33549" customFormat="false" ht="12.8" hidden="false" customHeight="false" outlineLevel="0" collapsed="false">
      <c r="B33549" s="0" t="s">
        <v>12911</v>
      </c>
      <c r="C33549" s="0" t="s">
        <v>118</v>
      </c>
      <c r="E33549" s="0" t="s">
        <v>119</v>
      </c>
      <c r="F33549" s="0" t="s">
        <v>120</v>
      </c>
    </row>
    <row r="33551" customFormat="false" ht="12.8" hidden="false" customHeight="false" outlineLevel="0" collapsed="false">
      <c r="A33551" s="0" t="s">
        <v>12910</v>
      </c>
      <c r="B33551" s="0" t="str">
        <f aca="false">HYPERLINK("https://lindat.mff.cuni.cz/services/teitok/pdtc10/index.php?action=vallex&amp;frame=v-w4633hsa_505", "prozkoumat (v-w4633hsa_505) - substituted with v-w4633f4_ZU")</f>
        <v>prozkoumat (v-w4633hsa_505) - substituted with v-w4633f4_ZU</v>
      </c>
    </row>
    <row r="33552" customFormat="false" ht="12.8" hidden="false" customHeight="false" outlineLevel="0" collapsed="false">
      <c r="B33552" s="0" t="s">
        <v>1</v>
      </c>
    </row>
    <row r="33553" customFormat="false" ht="12.8" hidden="false" customHeight="false" outlineLevel="0" collapsed="false">
      <c r="B33553" s="0" t="s">
        <v>12911</v>
      </c>
    </row>
    <row r="33555" customFormat="false" ht="12.8" hidden="false" customHeight="false" outlineLevel="0" collapsed="false">
      <c r="A33555" s="0" t="s">
        <v>12912</v>
      </c>
      <c r="B33555" s="0" t="str">
        <f aca="false">HYPERLINK("https://lindat.mff.cuni.cz/services/teitok/pdtc10/index.php?action=vallex&amp;frame=v-w10743f2", "prozkoumávat (v-w10743f2)")</f>
        <v>prozkoumávat (v-w10743f2)</v>
      </c>
      <c r="E33555" s="0" t="str">
        <f aca="false">HYPERLINK("https://lindat.mff.cuni.cz/services/SynSemClass40/SynSemClass40.html?veclass=vec00090#vec00090-ces-cm00021", "vec00090")</f>
        <v>vec00090</v>
      </c>
      <c r="F33555" s="0" t="s">
        <v>113</v>
      </c>
    </row>
    <row r="33556" customFormat="false" ht="12.8" hidden="false" customHeight="false" outlineLevel="0" collapsed="false">
      <c r="B33556" s="0" t="s">
        <v>1</v>
      </c>
      <c r="C33556" s="0" t="s">
        <v>114</v>
      </c>
      <c r="E33556" s="0" t="s">
        <v>115</v>
      </c>
      <c r="F33556" s="0" t="s">
        <v>116</v>
      </c>
    </row>
    <row r="33557" customFormat="false" ht="12.8" hidden="false" customHeight="false" outlineLevel="0" collapsed="false">
      <c r="B33557" s="0" t="s">
        <v>8</v>
      </c>
      <c r="C33557" s="0" t="s">
        <v>118</v>
      </c>
      <c r="E33557" s="0" t="s">
        <v>119</v>
      </c>
      <c r="F33557" s="0" t="s">
        <v>120</v>
      </c>
    </row>
    <row r="33559" customFormat="false" ht="12.8" hidden="false" customHeight="false" outlineLevel="0" collapsed="false">
      <c r="A33559" s="0" t="s">
        <v>12913</v>
      </c>
      <c r="B33559" s="0" t="str">
        <f aca="false">HYPERLINK("https://lindat.mff.cuni.cz/services/teitok/pdtc10/index.php?action=vallex&amp;frame=v-whsa_508f2_ZU", "prozpívat (v-whsa_508f2_ZU)")</f>
        <v>prozpívat (v-whsa_508f2_ZU)</v>
      </c>
    </row>
    <row r="33560" customFormat="false" ht="12.8" hidden="false" customHeight="false" outlineLevel="0" collapsed="false">
      <c r="B33560" s="0" t="s">
        <v>1</v>
      </c>
    </row>
    <row r="33561" customFormat="false" ht="12.8" hidden="false" customHeight="false" outlineLevel="0" collapsed="false">
      <c r="B33561" s="0" t="s">
        <v>8</v>
      </c>
    </row>
    <row r="33563" customFormat="false" ht="12.8" hidden="false" customHeight="false" outlineLevel="0" collapsed="false">
      <c r="A33563" s="0" t="s">
        <v>12913</v>
      </c>
      <c r="B33563" s="0" t="str">
        <f aca="false">HYPERLINK("https://lindat.mff.cuni.cz/services/teitok/pdtc10/index.php?action=vallex&amp;frame=v-whsa_508f1_ZU", "prozpívat (v-whsa_508f1_ZU) - substituted with v-whsa_508f2_ZU")</f>
        <v>prozpívat (v-whsa_508f1_ZU) - substituted with v-whsa_508f2_ZU</v>
      </c>
    </row>
    <row r="33564" customFormat="false" ht="12.8" hidden="false" customHeight="false" outlineLevel="0" collapsed="false">
      <c r="B33564" s="0" t="s">
        <v>1</v>
      </c>
    </row>
    <row r="33565" customFormat="false" ht="12.8" hidden="false" customHeight="false" outlineLevel="0" collapsed="false">
      <c r="B33565" s="0" t="s">
        <v>8</v>
      </c>
    </row>
    <row r="33567" customFormat="false" ht="12.8" hidden="false" customHeight="false" outlineLevel="0" collapsed="false">
      <c r="A33567" s="0" t="s">
        <v>12913</v>
      </c>
      <c r="B33567" s="0" t="str">
        <f aca="false">HYPERLINK("https://lindat.mff.cuni.cz/services/teitok/pdtc10/index.php?action=vallex&amp;frame=v-whsa_508hsa_509", "prozpívat (v-whsa_508hsa_509) - substituted with v-whsa_508f2_ZU")</f>
        <v>prozpívat (v-whsa_508hsa_509) - substituted with v-whsa_508f2_ZU</v>
      </c>
    </row>
    <row r="33568" customFormat="false" ht="12.8" hidden="false" customHeight="false" outlineLevel="0" collapsed="false">
      <c r="B33568" s="0" t="s">
        <v>1</v>
      </c>
    </row>
    <row r="33569" customFormat="false" ht="12.8" hidden="false" customHeight="false" outlineLevel="0" collapsed="false">
      <c r="B33569" s="0" t="s">
        <v>8</v>
      </c>
    </row>
    <row r="33571" customFormat="false" ht="12.8" hidden="false" customHeight="false" outlineLevel="0" collapsed="false">
      <c r="A33571" s="0" t="s">
        <v>12914</v>
      </c>
      <c r="B33571" s="0" t="str">
        <f aca="false">HYPERLINK("https://lindat.mff.cuni.cz/services/teitok/pdtc10/index.php?action=vallex&amp;frame=v-w11570_ZUf1_ZU", "prozpívat se (v-w11570_ZUf1_ZU)")</f>
        <v>prozpívat se (v-w11570_ZUf1_ZU)</v>
      </c>
    </row>
    <row r="33572" customFormat="false" ht="12.8" hidden="false" customHeight="false" outlineLevel="0" collapsed="false">
      <c r="B33572" s="0" t="s">
        <v>1</v>
      </c>
    </row>
    <row r="33573" customFormat="false" ht="12.8" hidden="false" customHeight="false" outlineLevel="0" collapsed="false">
      <c r="B33573" s="0" t="s">
        <v>4966</v>
      </c>
    </row>
    <row r="33575" customFormat="false" ht="12.8" hidden="false" customHeight="false" outlineLevel="0" collapsed="false">
      <c r="A33575" s="0" t="s">
        <v>12915</v>
      </c>
      <c r="B33575" s="0" t="str">
        <f aca="false">HYPERLINK("https://lindat.mff.cuni.cz/services/teitok/pdtc10/index.php?action=vallex&amp;frame=v-w11570_ZUf2_ZU", "prozpívat se (v-w11570_ZUf2_ZU)")</f>
        <v>prozpívat se (v-w11570_ZUf2_ZU)</v>
      </c>
    </row>
    <row r="33576" customFormat="false" ht="12.8" hidden="false" customHeight="false" outlineLevel="0" collapsed="false">
      <c r="B33576" s="0" t="s">
        <v>1</v>
      </c>
    </row>
    <row r="33577" customFormat="false" ht="12.8" hidden="false" customHeight="false" outlineLevel="0" collapsed="false">
      <c r="B33577" s="0" t="s">
        <v>164</v>
      </c>
    </row>
    <row r="33579" customFormat="false" ht="12.8" hidden="false" customHeight="false" outlineLevel="0" collapsed="false">
      <c r="A33579" s="0" t="s">
        <v>12915</v>
      </c>
      <c r="B33579" s="0" t="str">
        <f aca="false">HYPERLINK("https://lindat.mff.cuni.cz/services/teitok/pdtc10/index.php?action=vallex&amp;frame=v-w11570_ZUhsa_513", "prozpívat se (v-w11570_ZUhsa_513) - substituted with v-w11570_ZUf2_ZU")</f>
        <v>prozpívat se (v-w11570_ZUhsa_513) - substituted with v-w11570_ZUf2_ZU</v>
      </c>
    </row>
    <row r="33580" customFormat="false" ht="12.8" hidden="false" customHeight="false" outlineLevel="0" collapsed="false">
      <c r="B33580" s="0" t="s">
        <v>1</v>
      </c>
    </row>
    <row r="33581" customFormat="false" ht="12.8" hidden="false" customHeight="false" outlineLevel="0" collapsed="false">
      <c r="B33581" s="0" t="s">
        <v>164</v>
      </c>
    </row>
    <row r="33583" customFormat="false" ht="12.8" hidden="false" customHeight="false" outlineLevel="0" collapsed="false">
      <c r="A33583" s="0" t="s">
        <v>12916</v>
      </c>
      <c r="B33583" s="0" t="str">
        <f aca="false">HYPERLINK("https://lindat.mff.cuni.cz/services/teitok/pdtc10/index.php?action=vallex&amp;frame=v-w10559f2", "prozpěvovat (v-w10559f2)")</f>
        <v>prozpěvovat (v-w10559f2)</v>
      </c>
    </row>
    <row r="33584" customFormat="false" ht="12.8" hidden="false" customHeight="false" outlineLevel="0" collapsed="false">
      <c r="B33584" s="0" t="s">
        <v>1</v>
      </c>
    </row>
    <row r="33585" customFormat="false" ht="12.8" hidden="false" customHeight="false" outlineLevel="0" collapsed="false">
      <c r="B33585" s="0" t="s">
        <v>12917</v>
      </c>
    </row>
    <row r="33586" customFormat="false" ht="12.8" hidden="false" customHeight="false" outlineLevel="0" collapsed="false">
      <c r="B33586" s="0" t="s">
        <v>496</v>
      </c>
    </row>
    <row r="33587" customFormat="false" ht="12.8" hidden="false" customHeight="false" outlineLevel="0" collapsed="false">
      <c r="B33587" s="0" t="s">
        <v>132</v>
      </c>
    </row>
    <row r="33589" customFormat="false" ht="12.8" hidden="false" customHeight="false" outlineLevel="0" collapsed="false">
      <c r="A33589" s="0" t="s">
        <v>12918</v>
      </c>
      <c r="B33589" s="0" t="str">
        <f aca="false">HYPERLINK("https://lindat.mff.cuni.cz/services/teitok/pdtc10/index.php?action=vallex&amp;frame=v-w4634f1", "prozradit (v-w4634f1)")</f>
        <v>prozradit (v-w4634f1)</v>
      </c>
      <c r="E33589" s="0" t="str">
        <f aca="false">HYPERLINK("https://lindat.mff.cuni.cz/services/SynSemClass40/SynSemClass40.html?veclass=vec00060#vec00060-ces-cm00077", "vec00060")</f>
        <v>vec00060</v>
      </c>
      <c r="F33589" s="0" t="s">
        <v>213</v>
      </c>
    </row>
    <row r="33590" customFormat="false" ht="12.8" hidden="false" customHeight="false" outlineLevel="0" collapsed="false">
      <c r="B33590" s="0" t="s">
        <v>1</v>
      </c>
      <c r="C33590" s="0" t="s">
        <v>214</v>
      </c>
      <c r="E33590" s="0" t="s">
        <v>147</v>
      </c>
      <c r="F33590" s="0" t="s">
        <v>215</v>
      </c>
    </row>
    <row r="33591" customFormat="false" ht="12.8" hidden="false" customHeight="false" outlineLevel="0" collapsed="false">
      <c r="B33591" s="0" t="s">
        <v>52</v>
      </c>
      <c r="C33591" s="0" t="s">
        <v>220</v>
      </c>
      <c r="E33591" s="0" t="s">
        <v>221</v>
      </c>
      <c r="F33591" s="0" t="s">
        <v>222</v>
      </c>
    </row>
    <row r="33592" customFormat="false" ht="12.8" hidden="false" customHeight="false" outlineLevel="0" collapsed="false">
      <c r="B33592" s="0" t="s">
        <v>12919</v>
      </c>
      <c r="C33592" s="0" t="s">
        <v>2216</v>
      </c>
      <c r="E33592" s="0" t="s">
        <v>2217</v>
      </c>
      <c r="F33592" s="0" t="s">
        <v>2218</v>
      </c>
    </row>
    <row r="33593" customFormat="false" ht="12.8" hidden="false" customHeight="false" outlineLevel="0" collapsed="false">
      <c r="B33593" s="0" t="s">
        <v>12920</v>
      </c>
      <c r="C33593" s="0" t="s">
        <v>217</v>
      </c>
      <c r="E33593" s="0" t="s">
        <v>218</v>
      </c>
      <c r="F33593" s="0" t="s">
        <v>219</v>
      </c>
    </row>
    <row r="33595" customFormat="false" ht="12.8" hidden="false" customHeight="false" outlineLevel="0" collapsed="false">
      <c r="A33595" s="0" t="s">
        <v>12921</v>
      </c>
      <c r="B33595" s="0" t="str">
        <f aca="false">HYPERLINK("https://lindat.mff.cuni.cz/services/teitok/pdtc10/index.php?action=vallex&amp;frame=v-whsa_1299f1_ZU", "prozradit se (v-whsa_1299f1_ZU)")</f>
        <v>prozradit se (v-whsa_1299f1_ZU)</v>
      </c>
      <c r="E33595" s="0" t="str">
        <f aca="false">HYPERLINK("https://lindat.mff.cuni.cz/services/SynSemClass40/SynSemClass40.html?veclass=vec01432#vec01432-ces-cm00003", "vec01432")</f>
        <v>vec01432</v>
      </c>
      <c r="F33595" s="0" t="s">
        <v>12922</v>
      </c>
    </row>
    <row r="33596" customFormat="false" ht="12.8" hidden="false" customHeight="false" outlineLevel="0" collapsed="false">
      <c r="B33596" s="0" t="s">
        <v>1</v>
      </c>
      <c r="C33596" s="0" t="s">
        <v>471</v>
      </c>
      <c r="E33596" s="0" t="s">
        <v>147</v>
      </c>
      <c r="F33596" s="0" t="s">
        <v>12923</v>
      </c>
    </row>
    <row r="33597" customFormat="false" ht="12.8" hidden="false" customHeight="false" outlineLevel="0" collapsed="false">
      <c r="B33597" s="0" t="s">
        <v>918</v>
      </c>
      <c r="C33597" s="0" t="s">
        <v>531</v>
      </c>
      <c r="E33597" s="0" t="s">
        <v>3134</v>
      </c>
      <c r="F33597" s="0" t="s">
        <v>12924</v>
      </c>
    </row>
    <row r="33599" customFormat="false" ht="12.8" hidden="false" customHeight="false" outlineLevel="0" collapsed="false">
      <c r="A33599" s="0" t="s">
        <v>12921</v>
      </c>
      <c r="B33599" s="0" t="str">
        <f aca="false">HYPERLINK("https://lindat.mff.cuni.cz/services/teitok/pdtc10/index.php?action=vallex&amp;frame=v-whsa_1299hsa_1300", "prozradit se (v-whsa_1299hsa_1300) - substituted with v-whsa_1299f1_ZU")</f>
        <v>prozradit se (v-whsa_1299hsa_1300) - substituted with v-whsa_1299f1_ZU</v>
      </c>
    </row>
    <row r="33600" customFormat="false" ht="12.8" hidden="false" customHeight="false" outlineLevel="0" collapsed="false">
      <c r="B33600" s="0" t="s">
        <v>1</v>
      </c>
    </row>
    <row r="33601" customFormat="false" ht="12.8" hidden="false" customHeight="false" outlineLevel="0" collapsed="false">
      <c r="B33601" s="0" t="s">
        <v>918</v>
      </c>
    </row>
    <row r="33603" customFormat="false" ht="12.8" hidden="false" customHeight="false" outlineLevel="0" collapsed="false">
      <c r="A33603" s="0" t="s">
        <v>12925</v>
      </c>
      <c r="B33603" s="0" t="str">
        <f aca="false">HYPERLINK("https://lindat.mff.cuni.cz/services/teitok/pdtc10/index.php?action=vallex&amp;frame=v-w4636f1", "prozrazovat (v-w4636f1)")</f>
        <v>prozrazovat (v-w4636f1)</v>
      </c>
      <c r="E33603" s="0" t="str">
        <f aca="false">HYPERLINK("https://lindat.mff.cuni.cz/services/SynSemClass40/SynSemClass40.html?veclass=vec00060#vec00060-ces-cm00078", "vec00060")</f>
        <v>vec00060</v>
      </c>
      <c r="F33603" s="0" t="s">
        <v>213</v>
      </c>
    </row>
    <row r="33604" customFormat="false" ht="12.8" hidden="false" customHeight="false" outlineLevel="0" collapsed="false">
      <c r="B33604" s="0" t="s">
        <v>1</v>
      </c>
      <c r="C33604" s="0" t="s">
        <v>214</v>
      </c>
      <c r="E33604" s="0" t="s">
        <v>147</v>
      </c>
      <c r="F33604" s="0" t="s">
        <v>215</v>
      </c>
    </row>
    <row r="33605" customFormat="false" ht="12.8" hidden="false" customHeight="false" outlineLevel="0" collapsed="false">
      <c r="B33605" s="0" t="s">
        <v>52</v>
      </c>
      <c r="C33605" s="0" t="s">
        <v>220</v>
      </c>
      <c r="E33605" s="0" t="s">
        <v>221</v>
      </c>
      <c r="F33605" s="0" t="s">
        <v>222</v>
      </c>
    </row>
    <row r="33606" customFormat="false" ht="12.8" hidden="false" customHeight="false" outlineLevel="0" collapsed="false">
      <c r="B33606" s="0" t="s">
        <v>12917</v>
      </c>
      <c r="C33606" s="0" t="s">
        <v>2216</v>
      </c>
      <c r="E33606" s="0" t="s">
        <v>2217</v>
      </c>
      <c r="F33606" s="0" t="s">
        <v>2218</v>
      </c>
    </row>
    <row r="33607" customFormat="false" ht="12.8" hidden="false" customHeight="false" outlineLevel="0" collapsed="false">
      <c r="B33607" s="0" t="s">
        <v>12920</v>
      </c>
      <c r="C33607" s="0" t="s">
        <v>217</v>
      </c>
      <c r="E33607" s="0" t="s">
        <v>218</v>
      </c>
      <c r="F33607" s="0" t="s">
        <v>219</v>
      </c>
    </row>
    <row r="33609" customFormat="false" ht="12.8" hidden="false" customHeight="false" outlineLevel="0" collapsed="false">
      <c r="A33609" s="0" t="s">
        <v>12926</v>
      </c>
      <c r="B33609" s="0" t="str">
        <f aca="false">HYPERLINK("https://lindat.mff.cuni.cz/services/teitok/pdtc10/index.php?action=vallex&amp;frame=v-w10269f2", "pročesat (v-w10269f2)")</f>
        <v>pročesat (v-w10269f2)</v>
      </c>
      <c r="E33609" s="0" t="str">
        <f aca="false">HYPERLINK("https://lindat.mff.cuni.cz/services/SynSemClass40/SynSemClass40.html?veclass=vec00684#vec00684-ces-cm00002", "vec00684")</f>
        <v>vec00684</v>
      </c>
      <c r="F33609" s="0" t="s">
        <v>12203</v>
      </c>
    </row>
    <row r="33610" customFormat="false" ht="12.8" hidden="false" customHeight="false" outlineLevel="0" collapsed="false">
      <c r="B33610" s="0" t="s">
        <v>1</v>
      </c>
      <c r="C33610" s="0" t="s">
        <v>154</v>
      </c>
      <c r="E33610" s="0" t="s">
        <v>115</v>
      </c>
      <c r="F33610" s="0" t="s">
        <v>12204</v>
      </c>
    </row>
    <row r="33611" customFormat="false" ht="12.8" hidden="false" customHeight="false" outlineLevel="0" collapsed="false">
      <c r="B33611" s="0" t="s">
        <v>8</v>
      </c>
      <c r="C33611" s="0" t="s">
        <v>158</v>
      </c>
      <c r="E33611" s="0" t="s">
        <v>4060</v>
      </c>
      <c r="F33611" s="0" t="s">
        <v>12205</v>
      </c>
    </row>
    <row r="33613" customFormat="false" ht="12.8" hidden="false" customHeight="false" outlineLevel="0" collapsed="false">
      <c r="A33613" s="0" t="s">
        <v>12927</v>
      </c>
      <c r="B33613" s="0" t="str">
        <f aca="false">HYPERLINK("https://lindat.mff.cuni.cz/services/teitok/pdtc10/index.php?action=vallex&amp;frame=v-w10269f3", "pročesat (v-w10269f3)")</f>
        <v>pročesat (v-w10269f3)</v>
      </c>
    </row>
    <row r="33614" customFormat="false" ht="12.8" hidden="false" customHeight="false" outlineLevel="0" collapsed="false">
      <c r="B33614" s="0" t="s">
        <v>1</v>
      </c>
    </row>
    <row r="33615" customFormat="false" ht="12.8" hidden="false" customHeight="false" outlineLevel="0" collapsed="false">
      <c r="B33615" s="0" t="s">
        <v>8</v>
      </c>
    </row>
    <row r="33617" customFormat="false" ht="12.8" hidden="false" customHeight="false" outlineLevel="0" collapsed="false">
      <c r="A33617" s="0" t="s">
        <v>12928</v>
      </c>
      <c r="B33617" s="0" t="str">
        <f aca="false">HYPERLINK("https://lindat.mff.cuni.cz/services/teitok/pdtc10/index.php?action=vallex&amp;frame=v-w4311f1", "pročesávat (v-w4311f1)")</f>
        <v>pročesávat (v-w4311f1)</v>
      </c>
      <c r="E33617" s="0" t="str">
        <f aca="false">HYPERLINK("https://lindat.mff.cuni.cz/services/SynSemClass40/SynSemClass40.html?veclass=vec00684#vec00684-ces-cm00001", "vec00684")</f>
        <v>vec00684</v>
      </c>
      <c r="F33617" s="0" t="s">
        <v>12203</v>
      </c>
    </row>
    <row r="33618" customFormat="false" ht="12.8" hidden="false" customHeight="false" outlineLevel="0" collapsed="false">
      <c r="B33618" s="0" t="s">
        <v>1</v>
      </c>
      <c r="C33618" s="0" t="s">
        <v>154</v>
      </c>
      <c r="E33618" s="0" t="s">
        <v>115</v>
      </c>
      <c r="F33618" s="0" t="s">
        <v>12204</v>
      </c>
    </row>
    <row r="33619" customFormat="false" ht="12.8" hidden="false" customHeight="false" outlineLevel="0" collapsed="false">
      <c r="B33619" s="0" t="s">
        <v>8</v>
      </c>
      <c r="C33619" s="0" t="s">
        <v>158</v>
      </c>
      <c r="E33619" s="0" t="s">
        <v>4060</v>
      </c>
      <c r="F33619" s="0" t="s">
        <v>12205</v>
      </c>
    </row>
    <row r="33621" customFormat="false" ht="12.8" hidden="false" customHeight="false" outlineLevel="0" collapsed="false">
      <c r="A33621" s="0" t="s">
        <v>12929</v>
      </c>
      <c r="B33621" s="0" t="str">
        <f aca="false">HYPERLINK("https://lindat.mff.cuni.cz/services/teitok/pdtc10/index.php?action=vallex&amp;frame=v-w4311f2", "pročesávat (v-w4311f2)")</f>
        <v>pročesávat (v-w4311f2)</v>
      </c>
    </row>
    <row r="33622" customFormat="false" ht="12.8" hidden="false" customHeight="false" outlineLevel="0" collapsed="false">
      <c r="B33622" s="0" t="s">
        <v>1</v>
      </c>
    </row>
    <row r="33623" customFormat="false" ht="12.8" hidden="false" customHeight="false" outlineLevel="0" collapsed="false">
      <c r="B33623" s="0" t="s">
        <v>8</v>
      </c>
    </row>
    <row r="33625" customFormat="false" ht="12.8" hidden="false" customHeight="false" outlineLevel="0" collapsed="false">
      <c r="A33625" s="0" t="s">
        <v>12930</v>
      </c>
      <c r="B33625" s="0" t="str">
        <f aca="false">HYPERLINK("https://lindat.mff.cuni.cz/services/teitok/pdtc10/index.php?action=vallex&amp;frame=v-w10059f2", "pročistit (v-w10059f2)")</f>
        <v>pročistit (v-w10059f2)</v>
      </c>
      <c r="E33625" s="0" t="str">
        <f aca="false">HYPERLINK("https://lindat.mff.cuni.cz/services/SynSemClass40/SynSemClass40.html?veclass=vec00552#vec00552-ces-cm00007", "vec00552")</f>
        <v>vec00552</v>
      </c>
      <c r="F33625" s="0" t="s">
        <v>5992</v>
      </c>
    </row>
    <row r="33626" customFormat="false" ht="12.8" hidden="false" customHeight="false" outlineLevel="0" collapsed="false">
      <c r="B33626" s="0" t="s">
        <v>1</v>
      </c>
      <c r="C33626" s="0" t="s">
        <v>239</v>
      </c>
      <c r="E33626" s="0" t="s">
        <v>31</v>
      </c>
      <c r="F33626" s="0" t="s">
        <v>5993</v>
      </c>
    </row>
    <row r="33627" customFormat="false" ht="12.8" hidden="false" customHeight="false" outlineLevel="0" collapsed="false">
      <c r="B33627" s="0" t="s">
        <v>8</v>
      </c>
      <c r="C33627" s="0" t="s">
        <v>5994</v>
      </c>
      <c r="E33627" s="0" t="s">
        <v>34</v>
      </c>
      <c r="F33627" s="0" t="s">
        <v>5995</v>
      </c>
    </row>
    <row r="33628" customFormat="false" ht="12.8" hidden="false" customHeight="false" outlineLevel="0" collapsed="false">
      <c r="B33628" s="0" t="s">
        <v>602</v>
      </c>
      <c r="C33628" s="0" t="s">
        <v>12931</v>
      </c>
      <c r="E33628" s="0" t="s">
        <v>9867</v>
      </c>
      <c r="F33628" s="0" t="s">
        <v>10302</v>
      </c>
    </row>
    <row r="33630" customFormat="false" ht="12.8" hidden="false" customHeight="false" outlineLevel="0" collapsed="false">
      <c r="A33630" s="0" t="s">
        <v>12932</v>
      </c>
      <c r="B33630" s="0" t="str">
        <f aca="false">HYPERLINK("https://lindat.mff.cuni.cz/services/teitok/pdtc10/index.php?action=vallex&amp;frame=v-whsa_1763hsa_1764", "pročíst (v-whsa_1763hsa_1764)")</f>
        <v>pročíst (v-whsa_1763hsa_1764)</v>
      </c>
    </row>
    <row r="33631" customFormat="false" ht="12.8" hidden="false" customHeight="false" outlineLevel="0" collapsed="false">
      <c r="B33631" s="0" t="s">
        <v>1</v>
      </c>
    </row>
    <row r="33632" customFormat="false" ht="12.8" hidden="false" customHeight="false" outlineLevel="0" collapsed="false">
      <c r="B33632" s="0" t="s">
        <v>8</v>
      </c>
    </row>
    <row r="33634" customFormat="false" ht="12.8" hidden="false" customHeight="false" outlineLevel="0" collapsed="false">
      <c r="A33634" s="0" t="s">
        <v>12933</v>
      </c>
      <c r="B33634" s="0" t="str">
        <f aca="false">HYPERLINK("https://lindat.mff.cuni.cz/services/teitok/pdtc10/index.php?action=vallex&amp;frame=v-whsa_1216hsa_1217", "pročítat (v-whsa_1216hsa_1217)")</f>
        <v>pročítat (v-whsa_1216hsa_1217)</v>
      </c>
    </row>
    <row r="33635" customFormat="false" ht="12.8" hidden="false" customHeight="false" outlineLevel="0" collapsed="false">
      <c r="B33635" s="0" t="s">
        <v>1</v>
      </c>
    </row>
    <row r="33636" customFormat="false" ht="12.8" hidden="false" customHeight="false" outlineLevel="0" collapsed="false">
      <c r="B33636" s="0" t="s">
        <v>8</v>
      </c>
    </row>
    <row r="33638" customFormat="false" ht="12.8" hidden="false" customHeight="false" outlineLevel="0" collapsed="false">
      <c r="A33638" s="0" t="s">
        <v>12934</v>
      </c>
      <c r="B33638" s="0" t="str">
        <f aca="false">HYPERLINK("https://lindat.mff.cuni.cz/services/teitok/pdtc10/index.php?action=vallex&amp;frame=v-whsa_1216f1_ZU", "pročítat (v-whsa_1216f1_ZU)")</f>
        <v>pročítat (v-whsa_1216f1_ZU)</v>
      </c>
    </row>
    <row r="33639" customFormat="false" ht="12.8" hidden="false" customHeight="false" outlineLevel="0" collapsed="false">
      <c r="B33639" s="0" t="s">
        <v>1</v>
      </c>
    </row>
    <row r="33640" customFormat="false" ht="12.8" hidden="false" customHeight="false" outlineLevel="0" collapsed="false">
      <c r="B33640" s="0" t="s">
        <v>319</v>
      </c>
    </row>
    <row r="33641" customFormat="false" ht="12.8" hidden="false" customHeight="false" outlineLevel="0" collapsed="false">
      <c r="B33641" s="0" t="s">
        <v>496</v>
      </c>
    </row>
    <row r="33642" customFormat="false" ht="12.8" hidden="false" customHeight="false" outlineLevel="0" collapsed="false">
      <c r="B33642" s="0" t="s">
        <v>132</v>
      </c>
    </row>
    <row r="33644" customFormat="false" ht="12.8" hidden="false" customHeight="false" outlineLevel="0" collapsed="false">
      <c r="A33644" s="0" t="s">
        <v>12935</v>
      </c>
      <c r="B33644" s="0" t="str">
        <f aca="false">HYPERLINK("https://lindat.mff.cuni.cz/services/teitok/pdtc10/index.php?action=vallex&amp;frame=v-whsa_1029f1_ZU", "prořeknout (v-whsa_1029f1_ZU)")</f>
        <v>prořeknout (v-whsa_1029f1_ZU)</v>
      </c>
    </row>
    <row r="33645" customFormat="false" ht="12.8" hidden="false" customHeight="false" outlineLevel="0" collapsed="false">
      <c r="B33645" s="0" t="s">
        <v>1</v>
      </c>
    </row>
    <row r="33646" customFormat="false" ht="12.8" hidden="false" customHeight="false" outlineLevel="0" collapsed="false">
      <c r="B33646" s="0" t="s">
        <v>8</v>
      </c>
    </row>
    <row r="33648" customFormat="false" ht="12.8" hidden="false" customHeight="false" outlineLevel="0" collapsed="false">
      <c r="A33648" s="0" t="s">
        <v>12935</v>
      </c>
      <c r="B33648" s="0" t="str">
        <f aca="false">HYPERLINK("https://lindat.mff.cuni.cz/services/teitok/pdtc10/index.php?action=vallex&amp;frame=v-whsa_1029hsa_1030", "prořeknout (v-whsa_1029hsa_1030) - substituted with v-whsa_1029f1_ZU")</f>
        <v>prořeknout (v-whsa_1029hsa_1030) - substituted with v-whsa_1029f1_ZU</v>
      </c>
    </row>
    <row r="33649" customFormat="false" ht="12.8" hidden="false" customHeight="false" outlineLevel="0" collapsed="false">
      <c r="B33649" s="0" t="s">
        <v>1</v>
      </c>
    </row>
    <row r="33650" customFormat="false" ht="12.8" hidden="false" customHeight="false" outlineLevel="0" collapsed="false">
      <c r="B33650" s="0" t="s">
        <v>8</v>
      </c>
    </row>
    <row r="33652" customFormat="false" ht="12.8" hidden="false" customHeight="false" outlineLevel="0" collapsed="false">
      <c r="A33652" s="0" t="s">
        <v>12936</v>
      </c>
      <c r="B33652" s="0" t="str">
        <f aca="false">HYPERLINK("https://lindat.mff.cuni.cz/services/teitok/pdtc10/index.php?action=vallex&amp;frame=v-w4518f1", "prořeknout se (v-w4518f1)")</f>
        <v>prořeknout se (v-w4518f1)</v>
      </c>
      <c r="E33652" s="0" t="str">
        <f aca="false">HYPERLINK("https://lindat.mff.cuni.cz/services/SynSemClass40/SynSemClass40.html?veclass=vec01432#vec01432-ces-cm00002", "vec01432")</f>
        <v>vec01432</v>
      </c>
      <c r="F33652" s="0" t="s">
        <v>12922</v>
      </c>
    </row>
    <row r="33653" customFormat="false" ht="12.8" hidden="false" customHeight="false" outlineLevel="0" collapsed="false">
      <c r="B33653" s="0" t="s">
        <v>1</v>
      </c>
      <c r="C33653" s="0" t="s">
        <v>471</v>
      </c>
      <c r="E33653" s="0" t="s">
        <v>147</v>
      </c>
      <c r="F33653" s="0" t="s">
        <v>12923</v>
      </c>
    </row>
    <row r="33655" customFormat="false" ht="12.8" hidden="false" customHeight="false" outlineLevel="0" collapsed="false">
      <c r="A33655" s="0" t="s">
        <v>12937</v>
      </c>
      <c r="B33655" s="0" t="str">
        <f aca="false">HYPERLINK("https://lindat.mff.cuni.cz/services/teitok/pdtc10/index.php?action=vallex&amp;frame=v-whsa_1060f2_ZU", "prořídnout (v-whsa_1060f2_ZU)")</f>
        <v>prořídnout (v-whsa_1060f2_ZU)</v>
      </c>
    </row>
    <row r="33656" customFormat="false" ht="12.8" hidden="false" customHeight="false" outlineLevel="0" collapsed="false">
      <c r="B33656" s="0" t="s">
        <v>1</v>
      </c>
    </row>
    <row r="33658" customFormat="false" ht="12.8" hidden="false" customHeight="false" outlineLevel="0" collapsed="false">
      <c r="A33658" s="0" t="s">
        <v>12937</v>
      </c>
      <c r="B33658" s="0" t="str">
        <f aca="false">HYPERLINK("https://lindat.mff.cuni.cz/services/teitok/pdtc10/index.php?action=vallex&amp;frame=v-whsa_1060f1_ZU", "prořídnout (v-whsa_1060f1_ZU) - substituted with v-whsa_1060f2_ZU")</f>
        <v>prořídnout (v-whsa_1060f1_ZU) - substituted with v-whsa_1060f2_ZU</v>
      </c>
    </row>
    <row r="33659" customFormat="false" ht="12.8" hidden="false" customHeight="false" outlineLevel="0" collapsed="false">
      <c r="B33659" s="0" t="s">
        <v>1</v>
      </c>
    </row>
    <row r="33661" customFormat="false" ht="12.8" hidden="false" customHeight="false" outlineLevel="0" collapsed="false">
      <c r="A33661" s="0" t="s">
        <v>12937</v>
      </c>
      <c r="B33661" s="0" t="str">
        <f aca="false">HYPERLINK("https://lindat.mff.cuni.cz/services/teitok/pdtc10/index.php?action=vallex&amp;frame=v-whsa_1060hsa_1061", "prořídnout (v-whsa_1060hsa_1061) - substituted with v-whsa_1060f2_ZU")</f>
        <v>prořídnout (v-whsa_1060hsa_1061) - substituted with v-whsa_1060f2_ZU</v>
      </c>
    </row>
    <row r="33662" customFormat="false" ht="12.8" hidden="false" customHeight="false" outlineLevel="0" collapsed="false">
      <c r="B33662" s="0" t="s">
        <v>1</v>
      </c>
    </row>
    <row r="33664" customFormat="false" ht="12.8" hidden="false" customHeight="false" outlineLevel="0" collapsed="false">
      <c r="A33664" s="0" t="s">
        <v>12938</v>
      </c>
      <c r="B33664" s="0" t="str">
        <f aca="false">HYPERLINK("https://lindat.mff.cuni.cz/services/teitok/pdtc10/index.php?action=vallex&amp;frame=v-w11424f1", "prořítit se (v-w11424f1)")</f>
        <v>prořítit se (v-w11424f1)</v>
      </c>
    </row>
    <row r="33665" customFormat="false" ht="12.8" hidden="false" customHeight="false" outlineLevel="0" collapsed="false">
      <c r="B33665" s="0" t="s">
        <v>1</v>
      </c>
    </row>
    <row r="33666" customFormat="false" ht="12.8" hidden="false" customHeight="false" outlineLevel="0" collapsed="false">
      <c r="B33666" s="0" t="s">
        <v>336</v>
      </c>
    </row>
    <row r="33668" customFormat="false" ht="12.8" hidden="false" customHeight="false" outlineLevel="0" collapsed="false">
      <c r="A33668" s="0" t="s">
        <v>12939</v>
      </c>
      <c r="B33668" s="0" t="str">
        <f aca="false">HYPERLINK("https://lindat.mff.cuni.cz/services/teitok/pdtc10/index.php?action=vallex&amp;frame=v-w4565f1", "prošetřit (v-w4565f1)")</f>
        <v>prošetřit (v-w4565f1)</v>
      </c>
      <c r="E33668" s="0" t="str">
        <f aca="false">HYPERLINK("https://lindat.mff.cuni.cz/services/SynSemClass40/SynSemClass40.html?veclass=vec00090#vec00090-ces-cm00016", "vec00090")</f>
        <v>vec00090</v>
      </c>
      <c r="F33668" s="0" t="s">
        <v>113</v>
      </c>
    </row>
    <row r="33669" customFormat="false" ht="12.8" hidden="false" customHeight="false" outlineLevel="0" collapsed="false">
      <c r="B33669" s="0" t="s">
        <v>1</v>
      </c>
      <c r="C33669" s="0" t="s">
        <v>114</v>
      </c>
      <c r="E33669" s="0" t="s">
        <v>115</v>
      </c>
      <c r="F33669" s="0" t="s">
        <v>116</v>
      </c>
    </row>
    <row r="33670" customFormat="false" ht="12.8" hidden="false" customHeight="false" outlineLevel="0" collapsed="false">
      <c r="B33670" s="0" t="s">
        <v>2493</v>
      </c>
      <c r="C33670" s="0" t="s">
        <v>118</v>
      </c>
      <c r="E33670" s="0" t="s">
        <v>119</v>
      </c>
      <c r="F33670" s="0" t="s">
        <v>120</v>
      </c>
    </row>
    <row r="33672" customFormat="false" ht="12.8" hidden="false" customHeight="false" outlineLevel="0" collapsed="false">
      <c r="A33672" s="0" t="s">
        <v>12940</v>
      </c>
      <c r="B33672" s="0" t="str">
        <f aca="false">HYPERLINK("https://lindat.mff.cuni.cz/services/teitok/pdtc10/index.php?action=vallex&amp;frame=v-w4566f1", "prošetřovat (v-w4566f1)")</f>
        <v>prošetřovat (v-w4566f1)</v>
      </c>
      <c r="E33672" s="0" t="str">
        <f aca="false">HYPERLINK("https://lindat.mff.cuni.cz/services/SynSemClass40/SynSemClass40.html?veclass=vec00090#vec00090-ces-cm00017", "vec00090")</f>
        <v>vec00090</v>
      </c>
      <c r="F33672" s="0" t="s">
        <v>113</v>
      </c>
    </row>
    <row r="33673" customFormat="false" ht="12.8" hidden="false" customHeight="false" outlineLevel="0" collapsed="false">
      <c r="B33673" s="0" t="s">
        <v>1</v>
      </c>
      <c r="C33673" s="0" t="s">
        <v>114</v>
      </c>
      <c r="E33673" s="0" t="s">
        <v>115</v>
      </c>
      <c r="F33673" s="0" t="s">
        <v>116</v>
      </c>
    </row>
    <row r="33674" customFormat="false" ht="12.8" hidden="false" customHeight="false" outlineLevel="0" collapsed="false">
      <c r="B33674" s="0" t="s">
        <v>2493</v>
      </c>
      <c r="C33674" s="0" t="s">
        <v>118</v>
      </c>
      <c r="E33674" s="0" t="s">
        <v>119</v>
      </c>
      <c r="F33674" s="0" t="s">
        <v>120</v>
      </c>
    </row>
    <row r="33676" customFormat="false" ht="12.8" hidden="false" customHeight="false" outlineLevel="0" collapsed="false">
      <c r="A33676" s="0" t="s">
        <v>12941</v>
      </c>
      <c r="B33676" s="0" t="str">
        <f aca="false">HYPERLINK("https://lindat.mff.cuni.cz/services/teitok/pdtc10/index.php?action=vallex&amp;frame=v-w4567f1", "proškolit (v-w4567f1)")</f>
        <v>proškolit (v-w4567f1)</v>
      </c>
    </row>
    <row r="33677" customFormat="false" ht="12.8" hidden="false" customHeight="false" outlineLevel="0" collapsed="false">
      <c r="B33677" s="0" t="s">
        <v>1</v>
      </c>
    </row>
    <row r="33678" customFormat="false" ht="12.8" hidden="false" customHeight="false" outlineLevel="0" collapsed="false">
      <c r="B33678" s="0" t="s">
        <v>8</v>
      </c>
    </row>
    <row r="33680" customFormat="false" ht="12.8" hidden="false" customHeight="false" outlineLevel="0" collapsed="false">
      <c r="A33680" s="0" t="s">
        <v>12942</v>
      </c>
      <c r="B33680" s="0" t="str">
        <f aca="false">HYPERLINK("https://lindat.mff.cuni.cz/services/teitok/pdtc10/index.php?action=vallex&amp;frame=v-w12243_ZUf1_ZU", "proškolovat (v-w12243_ZUf1_ZU)")</f>
        <v>proškolovat (v-w12243_ZUf1_ZU)</v>
      </c>
    </row>
    <row r="33681" customFormat="false" ht="12.8" hidden="false" customHeight="false" outlineLevel="0" collapsed="false">
      <c r="B33681" s="0" t="s">
        <v>1</v>
      </c>
    </row>
    <row r="33682" customFormat="false" ht="12.8" hidden="false" customHeight="false" outlineLevel="0" collapsed="false">
      <c r="B33682" s="0" t="s">
        <v>8</v>
      </c>
    </row>
    <row r="33684" customFormat="false" ht="12.8" hidden="false" customHeight="false" outlineLevel="0" collapsed="false">
      <c r="A33684" s="0" t="s">
        <v>12943</v>
      </c>
      <c r="B33684" s="0" t="str">
        <f aca="false">HYPERLINK("https://lindat.mff.cuni.cz/services/teitok/pdtc10/index.php?action=vallex&amp;frame=v-w11568_ZUf1_ZU", "prošlapat (v-w11568_ZUf1_ZU)")</f>
        <v>prošlapat (v-w11568_ZUf1_ZU)</v>
      </c>
    </row>
    <row r="33685" customFormat="false" ht="12.8" hidden="false" customHeight="false" outlineLevel="0" collapsed="false">
      <c r="B33685" s="0" t="s">
        <v>1</v>
      </c>
    </row>
    <row r="33686" customFormat="false" ht="12.8" hidden="false" customHeight="false" outlineLevel="0" collapsed="false">
      <c r="B33686" s="0" t="s">
        <v>8</v>
      </c>
    </row>
    <row r="33688" customFormat="false" ht="12.8" hidden="false" customHeight="false" outlineLevel="0" collapsed="false">
      <c r="A33688" s="0" t="s">
        <v>12944</v>
      </c>
      <c r="B33688" s="0" t="str">
        <f aca="false">HYPERLINK("https://lindat.mff.cuni.cz/services/teitok/pdtc10/index.php?action=vallex&amp;frame=v-w11928_ZUf1_ZU", "prošlapávat (v-w11928_ZUf1_ZU)")</f>
        <v>prošlapávat (v-w11928_ZUf1_ZU)</v>
      </c>
    </row>
    <row r="33689" customFormat="false" ht="12.8" hidden="false" customHeight="false" outlineLevel="0" collapsed="false">
      <c r="B33689" s="0" t="s">
        <v>1</v>
      </c>
    </row>
    <row r="33690" customFormat="false" ht="12.8" hidden="false" customHeight="false" outlineLevel="0" collapsed="false">
      <c r="B33690" s="0" t="s">
        <v>8</v>
      </c>
    </row>
    <row r="33692" customFormat="false" ht="12.8" hidden="false" customHeight="false" outlineLevel="0" collapsed="false">
      <c r="A33692" s="0" t="s">
        <v>12945</v>
      </c>
      <c r="B33692" s="0" t="str">
        <f aca="false">HYPERLINK("https://lindat.mff.cuni.cz/services/teitok/pdtc10/index.php?action=vallex&amp;frame=v-whsa_1582hsa_1583", "prošlechťovat (v-whsa_1582hsa_1583)")</f>
        <v>prošlechťovat (v-whsa_1582hsa_1583)</v>
      </c>
    </row>
    <row r="33693" customFormat="false" ht="12.8" hidden="false" customHeight="false" outlineLevel="0" collapsed="false">
      <c r="B33693" s="0" t="s">
        <v>1</v>
      </c>
    </row>
    <row r="33694" customFormat="false" ht="12.8" hidden="false" customHeight="false" outlineLevel="0" collapsed="false">
      <c r="B33694" s="0" t="s">
        <v>8</v>
      </c>
    </row>
    <row r="33696" customFormat="false" ht="12.8" hidden="false" customHeight="false" outlineLevel="0" collapsed="false">
      <c r="A33696" s="0" t="s">
        <v>12946</v>
      </c>
      <c r="B33696" s="0" t="str">
        <f aca="false">HYPERLINK("https://lindat.mff.cuni.cz/services/teitok/pdtc10/index.php?action=vallex&amp;frame=v-whsa_2043hsa_2044", "prošlápnout (v-whsa_2043hsa_2044)")</f>
        <v>prošlápnout (v-whsa_2043hsa_2044)</v>
      </c>
    </row>
    <row r="33697" customFormat="false" ht="12.8" hidden="false" customHeight="false" outlineLevel="0" collapsed="false">
      <c r="B33697" s="0" t="s">
        <v>1</v>
      </c>
    </row>
    <row r="33698" customFormat="false" ht="12.8" hidden="false" customHeight="false" outlineLevel="0" collapsed="false">
      <c r="B33698" s="0" t="s">
        <v>8</v>
      </c>
    </row>
    <row r="33700" customFormat="false" ht="12.8" hidden="false" customHeight="false" outlineLevel="0" collapsed="false">
      <c r="A33700" s="0" t="s">
        <v>12947</v>
      </c>
      <c r="B33700" s="0" t="str">
        <f aca="false">HYPERLINK("https://lindat.mff.cuni.cz/services/teitok/pdtc10/index.php?action=vallex&amp;frame=v-w10371f2", "prošoupat (v-w10371f2)")</f>
        <v>prošoupat (v-w10371f2)</v>
      </c>
      <c r="E33700" s="0" t="str">
        <f aca="false">HYPERLINK("https://lindat.mff.cuni.cz/services/SynSemClass40/SynSemClass40.html?veclass=vec01281#vec01281-ces-cm00003", "vec01281")</f>
        <v>vec01281</v>
      </c>
      <c r="F33700" s="0" t="s">
        <v>12948</v>
      </c>
    </row>
    <row r="33701" customFormat="false" ht="12.8" hidden="false" customHeight="false" outlineLevel="0" collapsed="false">
      <c r="B33701" s="0" t="s">
        <v>1</v>
      </c>
      <c r="C33701" s="0" t="s">
        <v>4695</v>
      </c>
      <c r="E33701" s="0" t="s">
        <v>7690</v>
      </c>
      <c r="F33701" s="0" t="s">
        <v>12949</v>
      </c>
    </row>
    <row r="33702" customFormat="false" ht="12.8" hidden="false" customHeight="false" outlineLevel="0" collapsed="false">
      <c r="B33702" s="0" t="s">
        <v>8</v>
      </c>
      <c r="C33702" s="0" t="s">
        <v>462</v>
      </c>
      <c r="E33702" s="0" t="s">
        <v>7692</v>
      </c>
      <c r="F33702" s="0" t="s">
        <v>12950</v>
      </c>
    </row>
    <row r="33704" customFormat="false" ht="12.8" hidden="false" customHeight="false" outlineLevel="0" collapsed="false">
      <c r="A33704" s="0" t="s">
        <v>12951</v>
      </c>
      <c r="B33704" s="0" t="str">
        <f aca="false">HYPERLINK("https://lindat.mff.cuni.cz/services/teitok/pdtc10/index.php?action=vallex&amp;frame=v-w10202f2", "prošoupávat (v-w10202f2)")</f>
        <v>prošoupávat (v-w10202f2)</v>
      </c>
    </row>
    <row r="33705" customFormat="false" ht="12.8" hidden="false" customHeight="false" outlineLevel="0" collapsed="false">
      <c r="B33705" s="0" t="s">
        <v>1</v>
      </c>
    </row>
    <row r="33706" customFormat="false" ht="12.8" hidden="false" customHeight="false" outlineLevel="0" collapsed="false">
      <c r="B33706" s="0" t="s">
        <v>8</v>
      </c>
    </row>
    <row r="33708" customFormat="false" ht="12.8" hidden="false" customHeight="false" outlineLevel="0" collapsed="false">
      <c r="A33708" s="0" t="s">
        <v>12952</v>
      </c>
      <c r="B33708" s="0" t="str">
        <f aca="false">HYPERLINK("https://lindat.mff.cuni.cz/services/teitok/pdtc10/index.php?action=vallex&amp;frame=v-w11784_ZUf1_ZU", "prošpikovat (v-w11784_ZUf1_ZU)")</f>
        <v>prošpikovat (v-w11784_ZUf1_ZU)</v>
      </c>
    </row>
    <row r="33709" customFormat="false" ht="12.8" hidden="false" customHeight="false" outlineLevel="0" collapsed="false">
      <c r="B33709" s="0" t="s">
        <v>1</v>
      </c>
    </row>
    <row r="33710" customFormat="false" ht="12.8" hidden="false" customHeight="false" outlineLevel="0" collapsed="false">
      <c r="B33710" s="0" t="s">
        <v>8</v>
      </c>
    </row>
    <row r="33711" customFormat="false" ht="12.8" hidden="false" customHeight="false" outlineLevel="0" collapsed="false">
      <c r="B33711" s="0" t="s">
        <v>7045</v>
      </c>
    </row>
    <row r="33713" customFormat="false" ht="12.8" hidden="false" customHeight="false" outlineLevel="0" collapsed="false">
      <c r="A33713" s="0" t="s">
        <v>12953</v>
      </c>
      <c r="B33713" s="0" t="str">
        <f aca="false">HYPERLINK("https://lindat.mff.cuni.cz/services/teitok/pdtc10/index.php?action=vallex&amp;frame=v-whsa_345hsa_346", "prošťouchávat (v-whsa_345hsa_346)")</f>
        <v>prošťouchávat (v-whsa_345hsa_346)</v>
      </c>
    </row>
    <row r="33714" customFormat="false" ht="12.8" hidden="false" customHeight="false" outlineLevel="0" collapsed="false">
      <c r="B33714" s="0" t="s">
        <v>1</v>
      </c>
    </row>
    <row r="33715" customFormat="false" ht="12.8" hidden="false" customHeight="false" outlineLevel="0" collapsed="false">
      <c r="B33715" s="0" t="s">
        <v>8</v>
      </c>
    </row>
    <row r="33717" customFormat="false" ht="12.8" hidden="false" customHeight="false" outlineLevel="0" collapsed="false">
      <c r="A33717" s="0" t="s">
        <v>12954</v>
      </c>
      <c r="B33717" s="0" t="str">
        <f aca="false">HYPERLINK("https://lindat.mff.cuni.cz/services/teitok/pdtc10/index.php?action=vallex&amp;frame=v-w4643f1", "prožrat (v-w4643f1)")</f>
        <v>prožrat (v-w4643f1)</v>
      </c>
    </row>
    <row r="33718" customFormat="false" ht="12.8" hidden="false" customHeight="false" outlineLevel="0" collapsed="false">
      <c r="B33718" s="0" t="s">
        <v>1</v>
      </c>
    </row>
    <row r="33719" customFormat="false" ht="12.8" hidden="false" customHeight="false" outlineLevel="0" collapsed="false">
      <c r="B33719" s="0" t="s">
        <v>8</v>
      </c>
    </row>
    <row r="33721" customFormat="false" ht="12.8" hidden="false" customHeight="false" outlineLevel="0" collapsed="false">
      <c r="A33721" s="0" t="s">
        <v>12955</v>
      </c>
      <c r="B33721" s="0" t="str">
        <f aca="false">HYPERLINK("https://lindat.mff.cuni.cz/services/teitok/pdtc10/index.php?action=vallex&amp;frame=v-w4637f2", "prožít (v-w4637f2)")</f>
        <v>prožít (v-w4637f2)</v>
      </c>
    </row>
    <row r="33722" customFormat="false" ht="12.8" hidden="false" customHeight="false" outlineLevel="0" collapsed="false">
      <c r="B33722" s="0" t="s">
        <v>1</v>
      </c>
    </row>
    <row r="33723" customFormat="false" ht="12.8" hidden="false" customHeight="false" outlineLevel="0" collapsed="false">
      <c r="B33723" s="0" t="s">
        <v>8</v>
      </c>
    </row>
    <row r="33724" customFormat="false" ht="12.8" hidden="false" customHeight="false" outlineLevel="0" collapsed="false">
      <c r="B33724" s="0" t="s">
        <v>5</v>
      </c>
    </row>
    <row r="33726" customFormat="false" ht="12.8" hidden="false" customHeight="false" outlineLevel="0" collapsed="false">
      <c r="A33726" s="0" t="s">
        <v>12956</v>
      </c>
      <c r="B33726" s="0" t="str">
        <f aca="false">HYPERLINK("https://lindat.mff.cuni.cz/services/teitok/pdtc10/index.php?action=vallex&amp;frame=v-w4637f5_ZU", "prožít (v-w4637f5_ZU)")</f>
        <v>prožít (v-w4637f5_ZU)</v>
      </c>
    </row>
    <row r="33727" customFormat="false" ht="12.8" hidden="false" customHeight="false" outlineLevel="0" collapsed="false">
      <c r="B33727" s="0" t="s">
        <v>1</v>
      </c>
    </row>
    <row r="33728" customFormat="false" ht="12.8" hidden="false" customHeight="false" outlineLevel="0" collapsed="false">
      <c r="B33728" s="0" t="s">
        <v>59</v>
      </c>
    </row>
    <row r="33730" customFormat="false" ht="12.8" hidden="false" customHeight="false" outlineLevel="0" collapsed="false">
      <c r="A33730" s="0" t="s">
        <v>12956</v>
      </c>
      <c r="B33730" s="0" t="str">
        <f aca="false">HYPERLINK("https://lindat.mff.cuni.cz/services/teitok/pdtc10/index.php?action=vallex&amp;frame=v-w4637f1", "prožít (v-w4637f1) - substituted with v-w4637f5_ZU")</f>
        <v>prožít (v-w4637f1) - substituted with v-w4637f5_ZU</v>
      </c>
      <c r="E33730" s="0" t="str">
        <f aca="false">HYPERLINK("https://lindat.mff.cuni.cz/services/SynSemClass40/SynSemClass40.html?veclass=vec00379#vec00379-ces-cm00016", "vec00379")</f>
        <v>vec00379</v>
      </c>
      <c r="F33730" s="0" t="s">
        <v>10883</v>
      </c>
    </row>
    <row r="33731" customFormat="false" ht="12.8" hidden="false" customHeight="false" outlineLevel="0" collapsed="false">
      <c r="B33731" s="0" t="s">
        <v>1</v>
      </c>
      <c r="C33731" s="0" t="s">
        <v>10884</v>
      </c>
      <c r="E33731" s="0" t="s">
        <v>266</v>
      </c>
      <c r="F33731" s="0" t="s">
        <v>10885</v>
      </c>
    </row>
    <row r="33732" customFormat="false" ht="12.8" hidden="false" customHeight="false" outlineLevel="0" collapsed="false">
      <c r="B33732" s="0" t="s">
        <v>59</v>
      </c>
      <c r="C33732" s="0" t="s">
        <v>10886</v>
      </c>
      <c r="E33732" s="0" t="s">
        <v>10887</v>
      </c>
      <c r="F33732" s="0" t="s">
        <v>10888</v>
      </c>
    </row>
    <row r="33734" customFormat="false" ht="12.8" hidden="false" customHeight="false" outlineLevel="0" collapsed="false">
      <c r="A33734" s="0" t="s">
        <v>12957</v>
      </c>
      <c r="B33734" s="0" t="str">
        <f aca="false">HYPERLINK("https://lindat.mff.cuni.cz/services/teitok/pdtc10/index.php?action=vallex&amp;frame=v-w4637f4", "prožít (v-w4637f4)")</f>
        <v>prožít (v-w4637f4)</v>
      </c>
    </row>
    <row r="33735" customFormat="false" ht="12.8" hidden="false" customHeight="false" outlineLevel="0" collapsed="false">
      <c r="B33735" s="0" t="s">
        <v>1</v>
      </c>
    </row>
    <row r="33736" customFormat="false" ht="12.8" hidden="false" customHeight="false" outlineLevel="0" collapsed="false">
      <c r="B33736" s="0" t="s">
        <v>8</v>
      </c>
    </row>
    <row r="33737" customFormat="false" ht="12.8" hidden="false" customHeight="false" outlineLevel="0" collapsed="false">
      <c r="B33737" s="0" t="s">
        <v>725</v>
      </c>
    </row>
    <row r="33738" customFormat="false" ht="12.8" hidden="false" customHeight="false" outlineLevel="0" collapsed="false">
      <c r="B33738" s="0" t="s">
        <v>6510</v>
      </c>
    </row>
    <row r="33739" customFormat="false" ht="12.8" hidden="false" customHeight="false" outlineLevel="0" collapsed="false">
      <c r="B33739" s="0" t="s">
        <v>642</v>
      </c>
    </row>
    <row r="33740" customFormat="false" ht="12.8" hidden="false" customHeight="false" outlineLevel="0" collapsed="false">
      <c r="B33740" s="0" t="s">
        <v>646</v>
      </c>
    </row>
    <row r="33741" customFormat="false" ht="12.8" hidden="false" customHeight="false" outlineLevel="0" collapsed="false">
      <c r="B33741" s="0" t="s">
        <v>648</v>
      </c>
    </row>
    <row r="33742" customFormat="false" ht="12.8" hidden="false" customHeight="false" outlineLevel="0" collapsed="false">
      <c r="B33742" s="0" t="s">
        <v>650</v>
      </c>
    </row>
    <row r="33743" customFormat="false" ht="12.8" hidden="false" customHeight="false" outlineLevel="0" collapsed="false">
      <c r="B33743" s="0" t="s">
        <v>652</v>
      </c>
    </row>
    <row r="33745" customFormat="false" ht="12.8" hidden="false" customHeight="false" outlineLevel="0" collapsed="false">
      <c r="A33745" s="0" t="s">
        <v>12958</v>
      </c>
      <c r="B33745" s="0" t="str">
        <f aca="false">HYPERLINK("https://lindat.mff.cuni.cz/services/teitok/pdtc10/index.php?action=vallex&amp;frame=v-w4637f3", "prožít (v-w4637f3)")</f>
        <v>prožít (v-w4637f3)</v>
      </c>
    </row>
    <row r="33746" customFormat="false" ht="12.8" hidden="false" customHeight="false" outlineLevel="0" collapsed="false">
      <c r="B33746" s="0" t="s">
        <v>944</v>
      </c>
    </row>
    <row r="33747" customFormat="false" ht="12.8" hidden="false" customHeight="false" outlineLevel="0" collapsed="false">
      <c r="B33747" s="0" t="s">
        <v>12959</v>
      </c>
    </row>
    <row r="33748" customFormat="false" ht="12.8" hidden="false" customHeight="false" outlineLevel="0" collapsed="false">
      <c r="B33748" s="0" t="s">
        <v>228</v>
      </c>
    </row>
    <row r="33750" customFormat="false" ht="12.8" hidden="false" customHeight="false" outlineLevel="0" collapsed="false">
      <c r="A33750" s="0" t="s">
        <v>12960</v>
      </c>
      <c r="B33750" s="0" t="str">
        <f aca="false">HYPERLINK("https://lindat.mff.cuni.cz/services/teitok/pdtc10/index.php?action=vallex&amp;frame=v-w12349_MMf1_MM", "prožít si (v-w12349_MMf1_MM)")</f>
        <v>prožít si (v-w12349_MMf1_MM)</v>
      </c>
    </row>
    <row r="33751" customFormat="false" ht="12.8" hidden="false" customHeight="false" outlineLevel="0" collapsed="false">
      <c r="B33751" s="0" t="s">
        <v>1</v>
      </c>
    </row>
    <row r="33752" customFormat="false" ht="12.8" hidden="false" customHeight="false" outlineLevel="0" collapsed="false">
      <c r="B33752" s="0" t="s">
        <v>8</v>
      </c>
    </row>
    <row r="33754" customFormat="false" ht="12.8" hidden="false" customHeight="false" outlineLevel="0" collapsed="false">
      <c r="A33754" s="0" t="s">
        <v>12961</v>
      </c>
      <c r="B33754" s="0" t="str">
        <f aca="false">HYPERLINK("https://lindat.mff.cuni.cz/services/teitok/pdtc10/index.php?action=vallex&amp;frame=v-w4641f1", "prožívat (v-w4641f1)")</f>
        <v>prožívat (v-w4641f1)</v>
      </c>
      <c r="E33754" s="0" t="str">
        <f aca="false">HYPERLINK("https://lindat.mff.cuni.cz/services/SynSemClass40/SynSemClass40.html?veclass=vec00379#vec00379-ces-cm00017", "vec00379")</f>
        <v>vec00379</v>
      </c>
      <c r="F33754" s="0" t="s">
        <v>10883</v>
      </c>
    </row>
    <row r="33755" customFormat="false" ht="12.8" hidden="false" customHeight="false" outlineLevel="0" collapsed="false">
      <c r="B33755" s="0" t="s">
        <v>1</v>
      </c>
      <c r="C33755" s="0" t="s">
        <v>10884</v>
      </c>
      <c r="E33755" s="0" t="s">
        <v>266</v>
      </c>
      <c r="F33755" s="0" t="s">
        <v>10885</v>
      </c>
    </row>
    <row r="33756" customFormat="false" ht="12.8" hidden="false" customHeight="false" outlineLevel="0" collapsed="false">
      <c r="B33756" s="0" t="s">
        <v>305</v>
      </c>
      <c r="C33756" s="0" t="s">
        <v>10886</v>
      </c>
      <c r="E33756" s="0" t="s">
        <v>10887</v>
      </c>
      <c r="F33756" s="0" t="s">
        <v>10888</v>
      </c>
    </row>
    <row r="33758" customFormat="false" ht="12.8" hidden="false" customHeight="false" outlineLevel="0" collapsed="false">
      <c r="A33758" s="0" t="s">
        <v>12962</v>
      </c>
      <c r="B33758" s="0" t="str">
        <f aca="false">HYPERLINK("https://lindat.mff.cuni.cz/services/teitok/pdtc10/index.php?action=vallex&amp;frame=v-w4641f4_ZU", "prožívat (v-w4641f4_ZU)")</f>
        <v>prožívat (v-w4641f4_ZU)</v>
      </c>
    </row>
    <row r="33759" customFormat="false" ht="12.8" hidden="false" customHeight="false" outlineLevel="0" collapsed="false">
      <c r="B33759" s="0" t="s">
        <v>1</v>
      </c>
    </row>
    <row r="33760" customFormat="false" ht="12.8" hidden="false" customHeight="false" outlineLevel="0" collapsed="false">
      <c r="B33760" s="0" t="s">
        <v>8</v>
      </c>
    </row>
    <row r="33762" customFormat="false" ht="12.8" hidden="false" customHeight="false" outlineLevel="0" collapsed="false">
      <c r="A33762" s="0" t="s">
        <v>12962</v>
      </c>
      <c r="B33762" s="0" t="str">
        <f aca="false">HYPERLINK("https://lindat.mff.cuni.cz/services/teitok/pdtc10/index.php?action=vallex&amp;frame=v-w4641f2_ZU", "prožívat (v-w4641f2_ZU) - substituted with v-w4641f4_ZU")</f>
        <v>prožívat (v-w4641f2_ZU) - substituted with v-w4641f4_ZU</v>
      </c>
    </row>
    <row r="33763" customFormat="false" ht="12.8" hidden="false" customHeight="false" outlineLevel="0" collapsed="false">
      <c r="B33763" s="0" t="s">
        <v>1</v>
      </c>
    </row>
    <row r="33764" customFormat="false" ht="12.8" hidden="false" customHeight="false" outlineLevel="0" collapsed="false">
      <c r="B33764" s="0" t="s">
        <v>8</v>
      </c>
    </row>
    <row r="33766" customFormat="false" ht="12.8" hidden="false" customHeight="false" outlineLevel="0" collapsed="false">
      <c r="A33766" s="0" t="s">
        <v>12962</v>
      </c>
      <c r="B33766" s="0" t="str">
        <f aca="false">HYPERLINK("https://lindat.mff.cuni.cz/services/teitok/pdtc10/index.php?action=vallex&amp;frame=v-w4641f3_ZU", "prožívat (v-w4641f3_ZU) - substituted with v-w4641f4_ZU")</f>
        <v>prožívat (v-w4641f3_ZU) - substituted with v-w4641f4_ZU</v>
      </c>
    </row>
    <row r="33767" customFormat="false" ht="12.8" hidden="false" customHeight="false" outlineLevel="0" collapsed="false">
      <c r="B33767" s="0" t="s">
        <v>1</v>
      </c>
    </row>
    <row r="33768" customFormat="false" ht="12.8" hidden="false" customHeight="false" outlineLevel="0" collapsed="false">
      <c r="B33768" s="0" t="s">
        <v>8</v>
      </c>
    </row>
    <row r="33770" customFormat="false" ht="12.8" hidden="false" customHeight="false" outlineLevel="0" collapsed="false">
      <c r="A33770" s="0" t="s">
        <v>12963</v>
      </c>
      <c r="B33770" s="0" t="str">
        <f aca="false">HYPERLINK("https://lindat.mff.cuni.cz/services/teitok/pdtc10/index.php?action=vallex&amp;frame=v-whsa_1290f2_ZU", "prát (v-whsa_1290f2_ZU)")</f>
        <v>prát (v-whsa_1290f2_ZU)</v>
      </c>
    </row>
    <row r="33771" customFormat="false" ht="12.8" hidden="false" customHeight="false" outlineLevel="0" collapsed="false">
      <c r="B33771" s="0" t="s">
        <v>1</v>
      </c>
    </row>
    <row r="33772" customFormat="false" ht="12.8" hidden="false" customHeight="false" outlineLevel="0" collapsed="false">
      <c r="B33772" s="0" t="s">
        <v>12964</v>
      </c>
    </row>
    <row r="33774" customFormat="false" ht="12.8" hidden="false" customHeight="false" outlineLevel="0" collapsed="false">
      <c r="A33774" s="0" t="s">
        <v>12963</v>
      </c>
      <c r="B33774" s="0" t="str">
        <f aca="false">HYPERLINK("https://lindat.mff.cuni.cz/services/teitok/pdtc10/index.php?action=vallex&amp;frame=v-whsa_1290f1_ZU", "prát (v-whsa_1290f1_ZU) - substituted with v-whsa_1290f2_ZU")</f>
        <v>prát (v-whsa_1290f1_ZU) - substituted with v-whsa_1290f2_ZU</v>
      </c>
    </row>
    <row r="33775" customFormat="false" ht="12.8" hidden="false" customHeight="false" outlineLevel="0" collapsed="false">
      <c r="B33775" s="0" t="s">
        <v>1</v>
      </c>
    </row>
    <row r="33776" customFormat="false" ht="12.8" hidden="false" customHeight="false" outlineLevel="0" collapsed="false">
      <c r="B33776" s="0" t="s">
        <v>12964</v>
      </c>
    </row>
    <row r="33778" customFormat="false" ht="12.8" hidden="false" customHeight="false" outlineLevel="0" collapsed="false">
      <c r="A33778" s="0" t="s">
        <v>12963</v>
      </c>
      <c r="B33778" s="0" t="str">
        <f aca="false">HYPERLINK("https://lindat.mff.cuni.cz/services/teitok/pdtc10/index.php?action=vallex&amp;frame=v-whsa_1290hsa_1291", "prát (v-whsa_1290hsa_1291) - substituted with v-whsa_1290f2_ZU")</f>
        <v>prát (v-whsa_1290hsa_1291) - substituted with v-whsa_1290f2_ZU</v>
      </c>
    </row>
    <row r="33779" customFormat="false" ht="12.8" hidden="false" customHeight="false" outlineLevel="0" collapsed="false">
      <c r="B33779" s="0" t="s">
        <v>1</v>
      </c>
    </row>
    <row r="33780" customFormat="false" ht="12.8" hidden="false" customHeight="false" outlineLevel="0" collapsed="false">
      <c r="B33780" s="0" t="s">
        <v>12964</v>
      </c>
    </row>
    <row r="33782" customFormat="false" ht="12.8" hidden="false" customHeight="false" outlineLevel="0" collapsed="false">
      <c r="A33782" s="0" t="s">
        <v>12965</v>
      </c>
      <c r="B33782" s="0" t="str">
        <f aca="false">HYPERLINK("https://lindat.mff.cuni.cz/services/teitok/pdtc10/index.php?action=vallex&amp;frame=v-whsa_1290f3_ZU", "prát (v-whsa_1290f3_ZU)")</f>
        <v>prát (v-whsa_1290f3_ZU)</v>
      </c>
    </row>
    <row r="33783" customFormat="false" ht="12.8" hidden="false" customHeight="false" outlineLevel="0" collapsed="false">
      <c r="B33783" s="0" t="s">
        <v>1</v>
      </c>
    </row>
    <row r="33784" customFormat="false" ht="12.8" hidden="false" customHeight="false" outlineLevel="0" collapsed="false">
      <c r="B33784" s="0" t="s">
        <v>8</v>
      </c>
    </row>
    <row r="33786" customFormat="false" ht="12.8" hidden="false" customHeight="false" outlineLevel="0" collapsed="false">
      <c r="A33786" s="0" t="s">
        <v>12966</v>
      </c>
      <c r="B33786" s="0" t="str">
        <f aca="false">HYPERLINK("https://lindat.mff.cuni.cz/services/teitok/pdtc10/index.php?action=vallex&amp;frame=v-whsa_1286hsa_1287", "prát (v-whsa_1286hsa_1287)")</f>
        <v>prát (v-whsa_1286hsa_1287)</v>
      </c>
    </row>
    <row r="33787" customFormat="false" ht="12.8" hidden="false" customHeight="false" outlineLevel="0" collapsed="false">
      <c r="B33787" s="0" t="s">
        <v>1</v>
      </c>
    </row>
    <row r="33788" customFormat="false" ht="12.8" hidden="false" customHeight="false" outlineLevel="0" collapsed="false">
      <c r="B33788" s="0" t="s">
        <v>8</v>
      </c>
    </row>
    <row r="33790" customFormat="false" ht="12.8" hidden="false" customHeight="false" outlineLevel="0" collapsed="false">
      <c r="A33790" s="0" t="s">
        <v>12967</v>
      </c>
      <c r="B33790" s="0" t="str">
        <f aca="false">HYPERLINK("https://lindat.mff.cuni.cz/services/teitok/pdtc10/index.php?action=vallex&amp;frame=v-whsa_1288hsa_1289", "prát (v-whsa_1288hsa_1289)")</f>
        <v>prát (v-whsa_1288hsa_1289)</v>
      </c>
    </row>
    <row r="33791" customFormat="false" ht="12.8" hidden="false" customHeight="false" outlineLevel="0" collapsed="false">
      <c r="B33791" s="0" t="s">
        <v>1</v>
      </c>
    </row>
    <row r="33792" customFormat="false" ht="12.8" hidden="false" customHeight="false" outlineLevel="0" collapsed="false">
      <c r="B33792" s="0" t="s">
        <v>12968</v>
      </c>
    </row>
    <row r="33794" customFormat="false" ht="12.8" hidden="false" customHeight="false" outlineLevel="0" collapsed="false">
      <c r="A33794" s="0" t="s">
        <v>12969</v>
      </c>
      <c r="B33794" s="0" t="str">
        <f aca="false">HYPERLINK("https://lindat.mff.cuni.cz/services/teitok/pdtc10/index.php?action=vallex&amp;frame=v-w4256f1", "prát se (v-w4256f1)")</f>
        <v>prát se (v-w4256f1)</v>
      </c>
      <c r="E33794" s="0" t="str">
        <f aca="false">HYPERLINK("https://lindat.mff.cuni.cz/services/SynSemClass40/SynSemClass40.html?veclass=vec00121#vec00121-ces-cm00013", "vec00121")</f>
        <v>vec00121</v>
      </c>
      <c r="F33794" s="0" t="s">
        <v>414</v>
      </c>
    </row>
    <row r="33795" customFormat="false" ht="12.8" hidden="false" customHeight="false" outlineLevel="0" collapsed="false">
      <c r="B33795" s="0" t="s">
        <v>1</v>
      </c>
      <c r="C33795" s="0" t="s">
        <v>415</v>
      </c>
      <c r="E33795" s="0" t="s">
        <v>416</v>
      </c>
      <c r="F33795" s="0" t="s">
        <v>417</v>
      </c>
    </row>
    <row r="33796" customFormat="false" ht="12.8" hidden="false" customHeight="false" outlineLevel="0" collapsed="false">
      <c r="B33796" s="0" t="s">
        <v>276</v>
      </c>
      <c r="C33796" s="0" t="s">
        <v>419</v>
      </c>
      <c r="E33796" s="0" t="s">
        <v>420</v>
      </c>
      <c r="F33796" s="0" t="s">
        <v>421</v>
      </c>
    </row>
    <row r="33797" customFormat="false" ht="12.8" hidden="false" customHeight="false" outlineLevel="0" collapsed="false">
      <c r="B33797" s="0" t="s">
        <v>3152</v>
      </c>
      <c r="C33797" s="0" t="s">
        <v>423</v>
      </c>
      <c r="E33797" s="0" t="s">
        <v>424</v>
      </c>
      <c r="F33797" s="0" t="s">
        <v>425</v>
      </c>
    </row>
    <row r="33799" customFormat="false" ht="12.8" hidden="false" customHeight="false" outlineLevel="0" collapsed="false">
      <c r="A33799" s="0" t="s">
        <v>12970</v>
      </c>
      <c r="B33799" s="0" t="str">
        <f aca="false">HYPERLINK("https://lindat.mff.cuni.cz/services/teitok/pdtc10/index.php?action=vallex&amp;frame=v-w4660f1", "prýštit (v-w4660f1)")</f>
        <v>prýštit (v-w4660f1)</v>
      </c>
    </row>
    <row r="33800" customFormat="false" ht="12.8" hidden="false" customHeight="false" outlineLevel="0" collapsed="false">
      <c r="B33800" s="0" t="s">
        <v>1</v>
      </c>
    </row>
    <row r="33802" customFormat="false" ht="12.8" hidden="false" customHeight="false" outlineLevel="0" collapsed="false">
      <c r="A33802" s="0" t="s">
        <v>12971</v>
      </c>
      <c r="B33802" s="0" t="str">
        <f aca="false">HYPERLINK("https://lindat.mff.cuni.cz/services/teitok/pdtc10/index.php?action=vallex&amp;frame=v-w4644f2", "pršet (v-w4644f2)")</f>
        <v>pršet (v-w4644f2)</v>
      </c>
      <c r="E33802" s="0" t="str">
        <f aca="false">HYPERLINK("https://lindat.mff.cuni.cz/services/SynSemClass40/SynSemClass40.html?veclass=vec00467#vec00467-ces-cm00039", "vec00467")</f>
        <v>vec00467</v>
      </c>
      <c r="F33802" s="0" t="s">
        <v>2536</v>
      </c>
      <c r="H33802" s="0" t="str">
        <f aca="false">HYPERLINK("https://lindat.mff.cuni.cz/services/SynSemClass40/SynSemClass40.html?veclass=vec01524#vec01524-ces-cm00029", "vec01524")</f>
        <v>vec01524</v>
      </c>
      <c r="I33802" s="0" t="s">
        <v>12972</v>
      </c>
    </row>
    <row r="33803" customFormat="false" ht="12.8" hidden="false" customHeight="false" outlineLevel="0" collapsed="false">
      <c r="B33803" s="0" t="s">
        <v>1</v>
      </c>
      <c r="C33803" s="0" t="s">
        <v>6269</v>
      </c>
      <c r="E33803" s="0" t="s">
        <v>2538</v>
      </c>
      <c r="F33803" s="0" t="s">
        <v>2539</v>
      </c>
      <c r="H33803" s="0" t="s">
        <v>4943</v>
      </c>
      <c r="I33803" s="0" t="s">
        <v>12973</v>
      </c>
    </row>
    <row r="33805" customFormat="false" ht="12.8" hidden="false" customHeight="false" outlineLevel="0" collapsed="false">
      <c r="A33805" s="0" t="s">
        <v>12974</v>
      </c>
      <c r="B33805" s="0" t="str">
        <f aca="false">HYPERLINK("https://lindat.mff.cuni.cz/services/teitok/pdtc10/index.php?action=vallex&amp;frame=v-w4644f1", "pršet (v-w4644f1)")</f>
        <v>pršet (v-w4644f1)</v>
      </c>
      <c r="E33805" s="0" t="str">
        <f aca="false">HYPERLINK("https://lindat.mff.cuni.cz/services/SynSemClass40/SynSemClass40.html?veclass=vec01524#vec01524-ces-cm00028", "vec01524")</f>
        <v>vec01524</v>
      </c>
      <c r="F33805" s="0" t="s">
        <v>12972</v>
      </c>
    </row>
    <row r="33807" customFormat="false" ht="12.8" hidden="false" customHeight="false" outlineLevel="0" collapsed="false">
      <c r="A33807" s="0" t="s">
        <v>12975</v>
      </c>
      <c r="B33807" s="0" t="str">
        <f aca="false">HYPERLINK("https://lindat.mff.cuni.cz/services/teitok/pdtc10/index.php?action=vallex&amp;frame=v-w5369f8", "psát (v-w5369f8)")</f>
        <v>psát (v-w5369f8)</v>
      </c>
    </row>
    <row r="33808" customFormat="false" ht="12.8" hidden="false" customHeight="false" outlineLevel="0" collapsed="false">
      <c r="B33808" s="0" t="s">
        <v>1</v>
      </c>
    </row>
    <row r="33809" customFormat="false" ht="12.8" hidden="false" customHeight="false" outlineLevel="0" collapsed="false">
      <c r="B33809" s="0" t="s">
        <v>814</v>
      </c>
    </row>
    <row r="33810" customFormat="false" ht="12.8" hidden="false" customHeight="false" outlineLevel="0" collapsed="false">
      <c r="B33810" s="0" t="s">
        <v>52</v>
      </c>
    </row>
    <row r="33812" customFormat="false" ht="12.8" hidden="false" customHeight="false" outlineLevel="0" collapsed="false">
      <c r="A33812" s="0" t="s">
        <v>12976</v>
      </c>
      <c r="B33812" s="0" t="str">
        <f aca="false">HYPERLINK("https://lindat.mff.cuni.cz/services/teitok/pdtc10/index.php?action=vallex&amp;frame=v-w5369f9_ZU", "psát (v-w5369f9_ZU)")</f>
        <v>psát (v-w5369f9_ZU)</v>
      </c>
      <c r="E33812" s="0" t="str">
        <f aca="false">HYPERLINK("https://lindat.mff.cuni.cz/services/SynSemClass40/SynSemClass40.html?veclass=vec01345#vec01345-ces-cm00003", "vec01345")</f>
        <v>vec01345</v>
      </c>
      <c r="F33812" s="0" t="s">
        <v>7584</v>
      </c>
    </row>
    <row r="33813" customFormat="false" ht="12.8" hidden="false" customHeight="false" outlineLevel="0" collapsed="false">
      <c r="B33813" s="0" t="s">
        <v>10261</v>
      </c>
      <c r="C33813" s="0" t="s">
        <v>3288</v>
      </c>
      <c r="E33813" s="0" t="s">
        <v>768</v>
      </c>
      <c r="F33813" s="0" t="s">
        <v>7585</v>
      </c>
    </row>
    <row r="33814" customFormat="false" ht="12.8" hidden="false" customHeight="false" outlineLevel="0" collapsed="false">
      <c r="B33814" s="0" t="s">
        <v>12977</v>
      </c>
      <c r="C33814" s="0" t="s">
        <v>7586</v>
      </c>
      <c r="E33814" s="0" t="s">
        <v>218</v>
      </c>
      <c r="F33814" s="0" t="s">
        <v>7587</v>
      </c>
    </row>
    <row r="33815" customFormat="false" ht="12.8" hidden="false" customHeight="false" outlineLevel="0" collapsed="false">
      <c r="B33815" s="0" t="s">
        <v>5</v>
      </c>
      <c r="E33815" s="0" t="s">
        <v>3254</v>
      </c>
      <c r="F33815" s="0" t="s">
        <v>3255</v>
      </c>
    </row>
    <row r="33817" customFormat="false" ht="12.8" hidden="false" customHeight="false" outlineLevel="0" collapsed="false">
      <c r="A33817" s="0" t="s">
        <v>12976</v>
      </c>
      <c r="B33817" s="0" t="str">
        <f aca="false">HYPERLINK("https://lindat.mff.cuni.cz/services/teitok/pdtc10/index.php?action=vallex&amp;frame=v-w5369f6", "psát (v-w5369f6) - substituted with v-w5369f9_ZU")</f>
        <v>psát (v-w5369f6) - substituted with v-w5369f9_ZU</v>
      </c>
    </row>
    <row r="33818" customFormat="false" ht="12.8" hidden="false" customHeight="false" outlineLevel="0" collapsed="false">
      <c r="B33818" s="0" t="s">
        <v>10261</v>
      </c>
    </row>
    <row r="33819" customFormat="false" ht="12.8" hidden="false" customHeight="false" outlineLevel="0" collapsed="false">
      <c r="B33819" s="0" t="s">
        <v>12977</v>
      </c>
    </row>
    <row r="33820" customFormat="false" ht="12.8" hidden="false" customHeight="false" outlineLevel="0" collapsed="false">
      <c r="B33820" s="0" t="s">
        <v>5</v>
      </c>
    </row>
    <row r="33822" customFormat="false" ht="12.8" hidden="false" customHeight="false" outlineLevel="0" collapsed="false">
      <c r="A33822" s="0" t="s">
        <v>12976</v>
      </c>
      <c r="B33822" s="0" t="str">
        <f aca="false">HYPERLINK("https://lindat.mff.cuni.cz/services/teitok/pdtc10/index.php?action=vallex&amp;frame=v-w5369hsa_343", "psát (v-w5369hsa_343) - substituted with v-w5369f9_ZU")</f>
        <v>psát (v-w5369hsa_343) - substituted with v-w5369f9_ZU</v>
      </c>
    </row>
    <row r="33823" customFormat="false" ht="12.8" hidden="false" customHeight="false" outlineLevel="0" collapsed="false">
      <c r="B33823" s="0" t="s">
        <v>10261</v>
      </c>
    </row>
    <row r="33824" customFormat="false" ht="12.8" hidden="false" customHeight="false" outlineLevel="0" collapsed="false">
      <c r="B33824" s="0" t="s">
        <v>12977</v>
      </c>
    </row>
    <row r="33825" customFormat="false" ht="12.8" hidden="false" customHeight="false" outlineLevel="0" collapsed="false">
      <c r="B33825" s="0" t="s">
        <v>5</v>
      </c>
    </row>
    <row r="33827" customFormat="false" ht="12.8" hidden="false" customHeight="false" outlineLevel="0" collapsed="false">
      <c r="A33827" s="0" t="s">
        <v>12978</v>
      </c>
      <c r="B33827" s="0" t="str">
        <f aca="false">HYPERLINK("https://lindat.mff.cuni.cz/services/teitok/pdtc10/index.php?action=vallex&amp;frame=v-w5369f3", "psát (v-w5369f3)")</f>
        <v>psát (v-w5369f3)</v>
      </c>
      <c r="E33827" s="0" t="str">
        <f aca="false">HYPERLINK("https://lindat.mff.cuni.cz/services/SynSemClass40/SynSemClass40.html?veclass=vec00060#vec00060-ces-cm00100", "vec00060")</f>
        <v>vec00060</v>
      </c>
      <c r="F33827" s="0" t="s">
        <v>213</v>
      </c>
    </row>
    <row r="33828" customFormat="false" ht="12.8" hidden="false" customHeight="false" outlineLevel="0" collapsed="false">
      <c r="B33828" s="0" t="s">
        <v>1</v>
      </c>
      <c r="C33828" s="0" t="s">
        <v>214</v>
      </c>
      <c r="E33828" s="0" t="s">
        <v>147</v>
      </c>
      <c r="F33828" s="0" t="s">
        <v>215</v>
      </c>
    </row>
    <row r="33829" customFormat="false" ht="12.8" hidden="false" customHeight="false" outlineLevel="0" collapsed="false">
      <c r="B33829" s="0" t="s">
        <v>318</v>
      </c>
      <c r="C33829" s="0" t="s">
        <v>217</v>
      </c>
      <c r="E33829" s="0" t="s">
        <v>218</v>
      </c>
      <c r="F33829" s="0" t="s">
        <v>219</v>
      </c>
    </row>
    <row r="33830" customFormat="false" ht="12.8" hidden="false" customHeight="false" outlineLevel="0" collapsed="false">
      <c r="B33830" s="0" t="s">
        <v>132</v>
      </c>
      <c r="C33830" s="0" t="s">
        <v>220</v>
      </c>
      <c r="E33830" s="0" t="s">
        <v>221</v>
      </c>
      <c r="F33830" s="0" t="s">
        <v>222</v>
      </c>
    </row>
    <row r="33832" customFormat="false" ht="12.8" hidden="false" customHeight="false" outlineLevel="0" collapsed="false">
      <c r="A33832" s="0" t="s">
        <v>12979</v>
      </c>
      <c r="B33832" s="0" t="str">
        <f aca="false">HYPERLINK("https://lindat.mff.cuni.cz/services/teitok/pdtc10/index.php?action=vallex&amp;frame=v-w5369f5", "psát (v-w5369f5)")</f>
        <v>psát (v-w5369f5)</v>
      </c>
    </row>
    <row r="33833" customFormat="false" ht="12.8" hidden="false" customHeight="false" outlineLevel="0" collapsed="false">
      <c r="B33833" s="0" t="s">
        <v>1</v>
      </c>
    </row>
    <row r="33834" customFormat="false" ht="12.8" hidden="false" customHeight="false" outlineLevel="0" collapsed="false">
      <c r="B33834" s="0" t="s">
        <v>7589</v>
      </c>
    </row>
    <row r="33835" customFormat="false" ht="12.8" hidden="false" customHeight="false" outlineLevel="0" collapsed="false">
      <c r="B33835" s="0" t="s">
        <v>164</v>
      </c>
    </row>
    <row r="33837" customFormat="false" ht="12.8" hidden="false" customHeight="false" outlineLevel="0" collapsed="false">
      <c r="A33837" s="0" t="s">
        <v>12980</v>
      </c>
      <c r="B33837" s="0" t="str">
        <f aca="false">HYPERLINK("https://lindat.mff.cuni.cz/services/teitok/pdtc10/index.php?action=vallex&amp;frame=v-w5369f7", "psát (v-w5369f7)")</f>
        <v>psát (v-w5369f7)</v>
      </c>
    </row>
    <row r="33838" customFormat="false" ht="12.8" hidden="false" customHeight="false" outlineLevel="0" collapsed="false">
      <c r="B33838" s="0" t="s">
        <v>1</v>
      </c>
    </row>
    <row r="33839" customFormat="false" ht="12.8" hidden="false" customHeight="false" outlineLevel="0" collapsed="false">
      <c r="B33839" s="0" t="s">
        <v>814</v>
      </c>
    </row>
    <row r="33840" customFormat="false" ht="12.8" hidden="false" customHeight="false" outlineLevel="0" collapsed="false">
      <c r="B33840" s="0" t="s">
        <v>164</v>
      </c>
    </row>
    <row r="33842" customFormat="false" ht="12.8" hidden="false" customHeight="false" outlineLevel="0" collapsed="false">
      <c r="A33842" s="0" t="s">
        <v>12981</v>
      </c>
      <c r="B33842" s="0" t="str">
        <f aca="false">HYPERLINK("https://lindat.mff.cuni.cz/services/teitok/pdtc10/index.php?action=vallex&amp;frame=v-w5369f13_ZU", "psát (v-w5369f13_ZU)")</f>
        <v>psát (v-w5369f13_ZU)</v>
      </c>
    </row>
    <row r="33843" customFormat="false" ht="12.8" hidden="false" customHeight="false" outlineLevel="0" collapsed="false">
      <c r="B33843" s="0" t="s">
        <v>1</v>
      </c>
    </row>
    <row r="33844" customFormat="false" ht="12.8" hidden="false" customHeight="false" outlineLevel="0" collapsed="false">
      <c r="B33844" s="0" t="s">
        <v>305</v>
      </c>
    </row>
    <row r="33846" customFormat="false" ht="12.8" hidden="false" customHeight="false" outlineLevel="0" collapsed="false">
      <c r="A33846" s="0" t="s">
        <v>12981</v>
      </c>
      <c r="B33846" s="0" t="str">
        <f aca="false">HYPERLINK("https://lindat.mff.cuni.cz/services/teitok/pdtc10/index.php?action=vallex&amp;frame=v-w5369f10_ZU", "psát (v-w5369f10_ZU) - substituted with v-w5369f13_ZU")</f>
        <v>psát (v-w5369f10_ZU) - substituted with v-w5369f13_ZU</v>
      </c>
    </row>
    <row r="33847" customFormat="false" ht="12.8" hidden="false" customHeight="false" outlineLevel="0" collapsed="false">
      <c r="B33847" s="0" t="s">
        <v>1</v>
      </c>
    </row>
    <row r="33848" customFormat="false" ht="12.8" hidden="false" customHeight="false" outlineLevel="0" collapsed="false">
      <c r="B33848" s="0" t="s">
        <v>305</v>
      </c>
    </row>
    <row r="33850" customFormat="false" ht="12.8" hidden="false" customHeight="false" outlineLevel="0" collapsed="false">
      <c r="A33850" s="0" t="s">
        <v>12981</v>
      </c>
      <c r="B33850" s="0" t="str">
        <f aca="false">HYPERLINK("https://lindat.mff.cuni.cz/services/teitok/pdtc10/index.php?action=vallex&amp;frame=v-w5369f2", "psát (v-w5369f2) - substituted with v-w5369f13_ZU")</f>
        <v>psát (v-w5369f2) - substituted with v-w5369f13_ZU</v>
      </c>
      <c r="E33850" s="0" t="str">
        <f aca="false">HYPERLINK("https://lindat.mff.cuni.cz/services/SynSemClass40/SynSemClass40.html?veclass=vec00037#vec00037-ces-cm00003", "vec00037")</f>
        <v>vec00037</v>
      </c>
      <c r="F33850" s="0" t="s">
        <v>7592</v>
      </c>
    </row>
    <row r="33851" customFormat="false" ht="12.8" hidden="false" customHeight="false" outlineLevel="0" collapsed="false">
      <c r="B33851" s="0" t="s">
        <v>1</v>
      </c>
      <c r="C33851" s="0" t="s">
        <v>6252</v>
      </c>
      <c r="E33851" s="0" t="s">
        <v>768</v>
      </c>
      <c r="F33851" s="0" t="s">
        <v>7593</v>
      </c>
    </row>
    <row r="33852" customFormat="false" ht="12.8" hidden="false" customHeight="false" outlineLevel="0" collapsed="false">
      <c r="B33852" s="0" t="s">
        <v>305</v>
      </c>
      <c r="C33852" s="0" t="s">
        <v>5583</v>
      </c>
      <c r="E33852" s="0" t="s">
        <v>771</v>
      </c>
      <c r="F33852" s="0" t="s">
        <v>7594</v>
      </c>
    </row>
    <row r="33854" customFormat="false" ht="12.8" hidden="false" customHeight="false" outlineLevel="0" collapsed="false">
      <c r="A33854" s="0" t="s">
        <v>12982</v>
      </c>
      <c r="B33854" s="0" t="str">
        <f aca="false">HYPERLINK("https://lindat.mff.cuni.cz/services/teitok/pdtc10/index.php?action=vallex&amp;frame=v-w5369f14_ZU", "psát (v-w5369f14_ZU)")</f>
        <v>psát (v-w5369f14_ZU)</v>
      </c>
    </row>
    <row r="33855" customFormat="false" ht="12.8" hidden="false" customHeight="false" outlineLevel="0" collapsed="false">
      <c r="B33855" s="0" t="s">
        <v>1</v>
      </c>
    </row>
    <row r="33856" customFormat="false" ht="12.8" hidden="false" customHeight="false" outlineLevel="0" collapsed="false">
      <c r="B33856" s="0" t="s">
        <v>12983</v>
      </c>
    </row>
    <row r="33857" customFormat="false" ht="12.8" hidden="false" customHeight="false" outlineLevel="0" collapsed="false">
      <c r="B33857" s="0" t="s">
        <v>496</v>
      </c>
    </row>
    <row r="33858" customFormat="false" ht="12.8" hidden="false" customHeight="false" outlineLevel="0" collapsed="false">
      <c r="B33858" s="0" t="s">
        <v>132</v>
      </c>
    </row>
    <row r="33860" customFormat="false" ht="12.8" hidden="false" customHeight="false" outlineLevel="0" collapsed="false">
      <c r="A33860" s="0" t="s">
        <v>12982</v>
      </c>
      <c r="B33860" s="0" t="str">
        <f aca="false">HYPERLINK("https://lindat.mff.cuni.cz/services/teitok/pdtc10/index.php?action=vallex&amp;frame=v-w5369f1", "psát (v-w5369f1) - substituted with v-w5369f14_ZU")</f>
        <v>psát (v-w5369f1) - substituted with v-w5369f14_ZU</v>
      </c>
      <c r="E33860" s="0" t="str">
        <f aca="false">HYPERLINK("https://lindat.mff.cuni.cz/services/SynSemClass40/SynSemClass40.html?veclass=vec00060#vec00060-ces-cm00099", "vec00060")</f>
        <v>vec00060</v>
      </c>
      <c r="F33860" s="0" t="s">
        <v>213</v>
      </c>
    </row>
    <row r="33861" customFormat="false" ht="12.8" hidden="false" customHeight="false" outlineLevel="0" collapsed="false">
      <c r="B33861" s="0" t="s">
        <v>1</v>
      </c>
      <c r="C33861" s="0" t="s">
        <v>214</v>
      </c>
      <c r="E33861" s="0" t="s">
        <v>147</v>
      </c>
      <c r="F33861" s="0" t="s">
        <v>215</v>
      </c>
    </row>
    <row r="33862" customFormat="false" ht="12.8" hidden="false" customHeight="false" outlineLevel="0" collapsed="false">
      <c r="B33862" s="0" t="s">
        <v>12983</v>
      </c>
      <c r="C33862" s="0" t="s">
        <v>2216</v>
      </c>
      <c r="E33862" s="0" t="s">
        <v>2217</v>
      </c>
      <c r="F33862" s="0" t="s">
        <v>2218</v>
      </c>
    </row>
    <row r="33863" customFormat="false" ht="12.8" hidden="false" customHeight="false" outlineLevel="0" collapsed="false">
      <c r="B33863" s="0" t="s">
        <v>496</v>
      </c>
      <c r="C33863" s="0" t="s">
        <v>217</v>
      </c>
      <c r="E33863" s="0" t="s">
        <v>218</v>
      </c>
      <c r="F33863" s="0" t="s">
        <v>219</v>
      </c>
    </row>
    <row r="33864" customFormat="false" ht="12.8" hidden="false" customHeight="false" outlineLevel="0" collapsed="false">
      <c r="B33864" s="0" t="s">
        <v>132</v>
      </c>
      <c r="C33864" s="0" t="s">
        <v>220</v>
      </c>
      <c r="E33864" s="0" t="s">
        <v>221</v>
      </c>
      <c r="F33864" s="0" t="s">
        <v>222</v>
      </c>
    </row>
    <row r="33866" customFormat="false" ht="12.8" hidden="false" customHeight="false" outlineLevel="0" collapsed="false">
      <c r="A33866" s="0" t="s">
        <v>12982</v>
      </c>
      <c r="B33866" s="0" t="str">
        <f aca="false">HYPERLINK("https://lindat.mff.cuni.cz/services/teitok/pdtc10/index.php?action=vallex&amp;frame=v-w5369f11_ZU", "psát (v-w5369f11_ZU) - substituted with v-w5369f14_ZU")</f>
        <v>psát (v-w5369f11_ZU) - substituted with v-w5369f14_ZU</v>
      </c>
    </row>
    <row r="33867" customFormat="false" ht="12.8" hidden="false" customHeight="false" outlineLevel="0" collapsed="false">
      <c r="B33867" s="0" t="s">
        <v>1</v>
      </c>
    </row>
    <row r="33868" customFormat="false" ht="12.8" hidden="false" customHeight="false" outlineLevel="0" collapsed="false">
      <c r="B33868" s="0" t="s">
        <v>12983</v>
      </c>
    </row>
    <row r="33869" customFormat="false" ht="12.8" hidden="false" customHeight="false" outlineLevel="0" collapsed="false">
      <c r="B33869" s="0" t="s">
        <v>496</v>
      </c>
    </row>
    <row r="33870" customFormat="false" ht="12.8" hidden="false" customHeight="false" outlineLevel="0" collapsed="false">
      <c r="B33870" s="0" t="s">
        <v>132</v>
      </c>
    </row>
    <row r="33872" customFormat="false" ht="12.8" hidden="false" customHeight="false" outlineLevel="0" collapsed="false">
      <c r="A33872" s="0" t="s">
        <v>12982</v>
      </c>
      <c r="B33872" s="0" t="str">
        <f aca="false">HYPERLINK("https://lindat.mff.cuni.cz/services/teitok/pdtc10/index.php?action=vallex&amp;frame=v-w5369f12_ZU", "psát (v-w5369f12_ZU) - substituted with v-w5369f14_ZU")</f>
        <v>psát (v-w5369f12_ZU) - substituted with v-w5369f14_ZU</v>
      </c>
    </row>
    <row r="33873" customFormat="false" ht="12.8" hidden="false" customHeight="false" outlineLevel="0" collapsed="false">
      <c r="B33873" s="0" t="s">
        <v>1</v>
      </c>
    </row>
    <row r="33874" customFormat="false" ht="12.8" hidden="false" customHeight="false" outlineLevel="0" collapsed="false">
      <c r="B33874" s="0" t="s">
        <v>12983</v>
      </c>
    </row>
    <row r="33875" customFormat="false" ht="12.8" hidden="false" customHeight="false" outlineLevel="0" collapsed="false">
      <c r="B33875" s="0" t="s">
        <v>496</v>
      </c>
    </row>
    <row r="33876" customFormat="false" ht="12.8" hidden="false" customHeight="false" outlineLevel="0" collapsed="false">
      <c r="B33876" s="0" t="s">
        <v>132</v>
      </c>
    </row>
    <row r="33878" customFormat="false" ht="12.8" hidden="false" customHeight="false" outlineLevel="0" collapsed="false">
      <c r="A33878" s="0" t="s">
        <v>12984</v>
      </c>
      <c r="B33878" s="0" t="str">
        <f aca="false">HYPERLINK("https://lindat.mff.cuni.cz/services/teitok/pdtc10/index.php?action=vallex&amp;frame=v-w5369f4", "psát (v-w5369f4)")</f>
        <v>psát (v-w5369f4)</v>
      </c>
    </row>
    <row r="33879" customFormat="false" ht="12.8" hidden="false" customHeight="false" outlineLevel="0" collapsed="false">
      <c r="B33879" s="0" t="s">
        <v>1</v>
      </c>
    </row>
    <row r="33881" customFormat="false" ht="12.8" hidden="false" customHeight="false" outlineLevel="0" collapsed="false">
      <c r="A33881" s="0" t="s">
        <v>12985</v>
      </c>
      <c r="B33881" s="0" t="str">
        <f aca="false">HYPERLINK("https://lindat.mff.cuni.cz/services/teitok/pdtc10/index.php?action=vallex&amp;frame=v-whsa_1523f1_MM", "psát si (v-whsa_1523f1_MM)")</f>
        <v>psát si (v-whsa_1523f1_MM)</v>
      </c>
    </row>
    <row r="33882" customFormat="false" ht="12.8" hidden="false" customHeight="false" outlineLevel="0" collapsed="false">
      <c r="B33882" s="0" t="s">
        <v>1</v>
      </c>
    </row>
    <row r="33883" customFormat="false" ht="12.8" hidden="false" customHeight="false" outlineLevel="0" collapsed="false">
      <c r="B33883" s="0" t="s">
        <v>697</v>
      </c>
    </row>
    <row r="33884" customFormat="false" ht="12.8" hidden="false" customHeight="false" outlineLevel="0" collapsed="false">
      <c r="B33884" s="0" t="s">
        <v>918</v>
      </c>
    </row>
    <row r="33886" customFormat="false" ht="12.8" hidden="false" customHeight="false" outlineLevel="0" collapsed="false">
      <c r="A33886" s="0" t="s">
        <v>12986</v>
      </c>
      <c r="B33886" s="0" t="str">
        <f aca="false">HYPERLINK("https://lindat.mff.cuni.cz/services/teitok/pdtc10/index.php?action=vallex&amp;frame=v-whsa_1523hsa_1524", "psát si (v-whsa_1523hsa_1524)")</f>
        <v>psát si (v-whsa_1523hsa_1524)</v>
      </c>
    </row>
    <row r="33887" customFormat="false" ht="12.8" hidden="false" customHeight="false" outlineLevel="0" collapsed="false">
      <c r="B33887" s="0" t="s">
        <v>1</v>
      </c>
    </row>
    <row r="33888" customFormat="false" ht="12.8" hidden="false" customHeight="false" outlineLevel="0" collapsed="false">
      <c r="B33888" s="0" t="s">
        <v>276</v>
      </c>
    </row>
    <row r="33889" customFormat="false" ht="12.8" hidden="false" customHeight="false" outlineLevel="0" collapsed="false">
      <c r="B33889" s="0" t="s">
        <v>495</v>
      </c>
    </row>
    <row r="33890" customFormat="false" ht="12.8" hidden="false" customHeight="false" outlineLevel="0" collapsed="false">
      <c r="B33890" s="0" t="s">
        <v>496</v>
      </c>
    </row>
    <row r="33892" customFormat="false" ht="12.8" hidden="false" customHeight="false" outlineLevel="0" collapsed="false">
      <c r="A33892" s="0" t="s">
        <v>12987</v>
      </c>
      <c r="B33892" s="0" t="str">
        <f aca="false">HYPERLINK("https://lindat.mff.cuni.cz/services/teitok/pdtc10/index.php?action=vallex&amp;frame=v-w5370f1", "psávat (v-w5370f1)")</f>
        <v>psávat (v-w5370f1)</v>
      </c>
      <c r="E33892" s="0" t="str">
        <f aca="false">HYPERLINK("https://lindat.mff.cuni.cz/services/SynSemClass40/SynSemClass40.html?veclass=vec00037#vec00037-ces-cm00005", "vec00037")</f>
        <v>vec00037</v>
      </c>
      <c r="F33892" s="0" t="s">
        <v>7592</v>
      </c>
    </row>
    <row r="33893" customFormat="false" ht="12.8" hidden="false" customHeight="false" outlineLevel="0" collapsed="false">
      <c r="B33893" s="0" t="s">
        <v>1</v>
      </c>
      <c r="C33893" s="0" t="s">
        <v>6252</v>
      </c>
      <c r="E33893" s="0" t="s">
        <v>768</v>
      </c>
      <c r="F33893" s="0" t="s">
        <v>7593</v>
      </c>
    </row>
    <row r="33894" customFormat="false" ht="12.8" hidden="false" customHeight="false" outlineLevel="0" collapsed="false">
      <c r="B33894" s="0" t="s">
        <v>8</v>
      </c>
      <c r="C33894" s="0" t="s">
        <v>5583</v>
      </c>
      <c r="E33894" s="0" t="s">
        <v>771</v>
      </c>
      <c r="F33894" s="0" t="s">
        <v>7594</v>
      </c>
    </row>
    <row r="33896" customFormat="false" ht="12.8" hidden="false" customHeight="false" outlineLevel="0" collapsed="false">
      <c r="A33896" s="0" t="s">
        <v>12988</v>
      </c>
      <c r="B33896" s="0" t="str">
        <f aca="false">HYPERLINK("https://lindat.mff.cuni.cz/services/teitok/pdtc10/index.php?action=vallex&amp;frame=v-w5371f1", "ptát se (v-w5371f1)")</f>
        <v>ptát se (v-w5371f1)</v>
      </c>
      <c r="E33896" s="0" t="str">
        <f aca="false">HYPERLINK("https://lindat.mff.cuni.cz/services/SynSemClass40/SynSemClass40.html?veclass=vec00384#vec00384-ces-cm00010", "vec00384")</f>
        <v>vec00384</v>
      </c>
      <c r="F33896" s="0" t="s">
        <v>2985</v>
      </c>
    </row>
    <row r="33897" customFormat="false" ht="12.8" hidden="false" customHeight="false" outlineLevel="0" collapsed="false">
      <c r="B33897" s="0" t="s">
        <v>1</v>
      </c>
      <c r="C33897" s="0" t="s">
        <v>2986</v>
      </c>
      <c r="E33897" s="0" t="s">
        <v>147</v>
      </c>
      <c r="F33897" s="0" t="s">
        <v>2987</v>
      </c>
    </row>
    <row r="33898" customFormat="false" ht="12.8" hidden="false" customHeight="false" outlineLevel="0" collapsed="false">
      <c r="B33898" s="0" t="s">
        <v>10166</v>
      </c>
      <c r="C33898" s="0" t="s">
        <v>2989</v>
      </c>
      <c r="E33898" s="0" t="s">
        <v>218</v>
      </c>
      <c r="F33898" s="0" t="s">
        <v>2990</v>
      </c>
    </row>
    <row r="33899" customFormat="false" ht="12.8" hidden="false" customHeight="false" outlineLevel="0" collapsed="false">
      <c r="B33899" s="0" t="s">
        <v>2991</v>
      </c>
      <c r="C33899" s="0" t="s">
        <v>2992</v>
      </c>
      <c r="E33899" s="0" t="s">
        <v>221</v>
      </c>
      <c r="F33899" s="0" t="s">
        <v>2993</v>
      </c>
    </row>
    <row r="33901" customFormat="false" ht="12.8" hidden="false" customHeight="false" outlineLevel="0" collapsed="false">
      <c r="A33901" s="0" t="s">
        <v>12989</v>
      </c>
      <c r="B33901" s="0" t="str">
        <f aca="false">HYPERLINK("https://lindat.mff.cuni.cz/services/teitok/pdtc10/index.php?action=vallex&amp;frame=v-w5371f2", "ptát se (v-w5371f2)")</f>
        <v>ptát se (v-w5371f2)</v>
      </c>
    </row>
    <row r="33902" customFormat="false" ht="12.8" hidden="false" customHeight="false" outlineLevel="0" collapsed="false">
      <c r="B33902" s="0" t="s">
        <v>1</v>
      </c>
    </row>
    <row r="33903" customFormat="false" ht="12.8" hidden="false" customHeight="false" outlineLevel="0" collapsed="false">
      <c r="B33903" s="0" t="s">
        <v>1659</v>
      </c>
    </row>
    <row r="33904" customFormat="false" ht="12.8" hidden="false" customHeight="false" outlineLevel="0" collapsed="false">
      <c r="B33904" s="0" t="s">
        <v>12990</v>
      </c>
    </row>
    <row r="33906" customFormat="false" ht="12.8" hidden="false" customHeight="false" outlineLevel="0" collapsed="false">
      <c r="A33906" s="0" t="s">
        <v>12991</v>
      </c>
      <c r="B33906" s="0" t="str">
        <f aca="false">HYPERLINK("https://lindat.mff.cuni.cz/services/teitok/pdtc10/index.php?action=vallex&amp;frame=v-w12117_ZUf1_ZU", "ptávat se (v-w12117_ZUf1_ZU)")</f>
        <v>ptávat se (v-w12117_ZUf1_ZU)</v>
      </c>
    </row>
    <row r="33907" customFormat="false" ht="12.8" hidden="false" customHeight="false" outlineLevel="0" collapsed="false">
      <c r="B33907" s="0" t="s">
        <v>1</v>
      </c>
    </row>
    <row r="33908" customFormat="false" ht="12.8" hidden="false" customHeight="false" outlineLevel="0" collapsed="false">
      <c r="B33908" s="0" t="s">
        <v>10166</v>
      </c>
    </row>
    <row r="33909" customFormat="false" ht="12.8" hidden="false" customHeight="false" outlineLevel="0" collapsed="false">
      <c r="B33909" s="0" t="s">
        <v>2991</v>
      </c>
    </row>
    <row r="33911" customFormat="false" ht="12.8" hidden="false" customHeight="false" outlineLevel="0" collapsed="false">
      <c r="A33911" s="0" t="s">
        <v>12992</v>
      </c>
      <c r="B33911" s="0" t="str">
        <f aca="false">HYPERLINK("https://lindat.mff.cuni.cz/services/teitok/pdtc10/index.php?action=vallex&amp;frame=v-w5374f1", "publikovat (v-w5374f1)")</f>
        <v>publikovat (v-w5374f1)</v>
      </c>
      <c r="E33911" s="0" t="str">
        <f aca="false">HYPERLINK("https://lindat.mff.cuni.cz/services/SynSemClass40/SynSemClass40.html?veclass=vec00351#vec00351-ces-cm00018", "vec00351")</f>
        <v>vec00351</v>
      </c>
      <c r="F33911" s="0" t="s">
        <v>12993</v>
      </c>
    </row>
    <row r="33912" customFormat="false" ht="12.8" hidden="false" customHeight="false" outlineLevel="0" collapsed="false">
      <c r="B33912" s="0" t="s">
        <v>1</v>
      </c>
      <c r="C33912" s="0" t="s">
        <v>12994</v>
      </c>
      <c r="E33912" s="0" t="s">
        <v>768</v>
      </c>
      <c r="F33912" s="0" t="s">
        <v>12995</v>
      </c>
    </row>
    <row r="33913" customFormat="false" ht="12.8" hidden="false" customHeight="false" outlineLevel="0" collapsed="false">
      <c r="B33913" s="0" t="s">
        <v>8</v>
      </c>
      <c r="C33913" s="0" t="s">
        <v>12996</v>
      </c>
      <c r="E33913" s="0" t="s">
        <v>12997</v>
      </c>
      <c r="F33913" s="0" t="s">
        <v>12998</v>
      </c>
    </row>
    <row r="33915" customFormat="false" ht="12.8" hidden="false" customHeight="false" outlineLevel="0" collapsed="false">
      <c r="A33915" s="0" t="s">
        <v>12999</v>
      </c>
      <c r="B33915" s="0" t="str">
        <f aca="false">HYPERLINK("https://lindat.mff.cuni.cz/services/teitok/pdtc10/index.php?action=vallex&amp;frame=v-w5374f2", "publikovat (v-w5374f2)")</f>
        <v>publikovat (v-w5374f2)</v>
      </c>
    </row>
    <row r="33916" customFormat="false" ht="12.8" hidden="false" customHeight="false" outlineLevel="0" collapsed="false">
      <c r="B33916" s="0" t="s">
        <v>1</v>
      </c>
    </row>
    <row r="33917" customFormat="false" ht="12.8" hidden="false" customHeight="false" outlineLevel="0" collapsed="false">
      <c r="B33917" s="0" t="s">
        <v>2382</v>
      </c>
    </row>
    <row r="33918" customFormat="false" ht="12.8" hidden="false" customHeight="false" outlineLevel="0" collapsed="false">
      <c r="B33918" s="0" t="s">
        <v>496</v>
      </c>
    </row>
    <row r="33920" customFormat="false" ht="12.8" hidden="false" customHeight="false" outlineLevel="0" collapsed="false">
      <c r="A33920" s="0" t="s">
        <v>13000</v>
      </c>
      <c r="B33920" s="0" t="str">
        <f aca="false">HYPERLINK("https://lindat.mff.cuni.cz/services/teitok/pdtc10/index.php?action=vallex&amp;frame=v-whsa_137hsa_138", "pukat (v-whsa_137hsa_138)")</f>
        <v>pukat (v-whsa_137hsa_138)</v>
      </c>
      <c r="E33920" s="0" t="str">
        <f aca="false">HYPERLINK("https://lindat.mff.cuni.cz/services/SynSemClass40/SynSemClass40.html?veclass=vec00681#vec00681-ces-cm00004", "vec00681")</f>
        <v>vec00681</v>
      </c>
      <c r="F33920" s="0" t="s">
        <v>11358</v>
      </c>
    </row>
    <row r="33921" customFormat="false" ht="12.8" hidden="false" customHeight="false" outlineLevel="0" collapsed="false">
      <c r="B33921" s="0" t="s">
        <v>1</v>
      </c>
      <c r="C33921" s="0" t="s">
        <v>11359</v>
      </c>
      <c r="E33921" s="0" t="s">
        <v>84</v>
      </c>
      <c r="F33921" s="0" t="s">
        <v>11360</v>
      </c>
    </row>
    <row r="33923" customFormat="false" ht="12.8" hidden="false" customHeight="false" outlineLevel="0" collapsed="false">
      <c r="A33923" s="0" t="s">
        <v>13001</v>
      </c>
      <c r="B33923" s="0" t="str">
        <f aca="false">HYPERLINK("https://lindat.mff.cuni.cz/services/teitok/pdtc10/index.php?action=vallex&amp;frame=v-w5383f1", "puknout (v-w5383f1)")</f>
        <v>puknout (v-w5383f1)</v>
      </c>
    </row>
    <row r="33924" customFormat="false" ht="12.8" hidden="false" customHeight="false" outlineLevel="0" collapsed="false">
      <c r="B33924" s="0" t="s">
        <v>1</v>
      </c>
    </row>
    <row r="33926" customFormat="false" ht="12.8" hidden="false" customHeight="false" outlineLevel="0" collapsed="false">
      <c r="A33926" s="0" t="s">
        <v>13002</v>
      </c>
      <c r="B33926" s="0" t="str">
        <f aca="false">HYPERLINK("https://lindat.mff.cuni.cz/services/teitok/pdtc10/index.php?action=vallex&amp;frame=v-whsa_36hsa_37", "pulsovat (v-whsa_36hsa_37)")</f>
        <v>pulsovat (v-whsa_36hsa_37)</v>
      </c>
      <c r="E33926" s="0" t="str">
        <f aca="false">HYPERLINK("https://lindat.mff.cuni.cz/services/SynSemClass40/SynSemClass40.html?veclass=vec01531#vec01531-ces-cm00012", "vec01531")</f>
        <v>vec01531</v>
      </c>
      <c r="F33926" s="0" t="s">
        <v>11180</v>
      </c>
    </row>
    <row r="33927" customFormat="false" ht="12.8" hidden="false" customHeight="false" outlineLevel="0" collapsed="false">
      <c r="B33927" s="0" t="s">
        <v>1</v>
      </c>
      <c r="E33927" s="0" t="s">
        <v>334</v>
      </c>
      <c r="F33927" s="0" t="s">
        <v>11032</v>
      </c>
    </row>
    <row r="33929" customFormat="false" ht="12.8" hidden="false" customHeight="false" outlineLevel="0" collapsed="false">
      <c r="A33929" s="0" t="s">
        <v>13003</v>
      </c>
      <c r="B33929" s="0" t="str">
        <f aca="false">HYPERLINK("https://lindat.mff.cuni.cz/services/teitok/pdtc10/index.php?action=vallex&amp;frame=v-whsa_857hsa_858", "pumpovat (v-whsa_857hsa_858)")</f>
        <v>pumpovat (v-whsa_857hsa_858)</v>
      </c>
    </row>
    <row r="33930" customFormat="false" ht="12.8" hidden="false" customHeight="false" outlineLevel="0" collapsed="false">
      <c r="B33930" s="0" t="s">
        <v>1</v>
      </c>
    </row>
    <row r="33931" customFormat="false" ht="12.8" hidden="false" customHeight="false" outlineLevel="0" collapsed="false">
      <c r="B33931" s="0" t="s">
        <v>8</v>
      </c>
    </row>
    <row r="33932" customFormat="false" ht="12.8" hidden="false" customHeight="false" outlineLevel="0" collapsed="false">
      <c r="B33932" s="0" t="s">
        <v>164</v>
      </c>
    </row>
    <row r="33934" customFormat="false" ht="12.8" hidden="false" customHeight="false" outlineLevel="0" collapsed="false">
      <c r="A33934" s="0" t="s">
        <v>13004</v>
      </c>
      <c r="B33934" s="0" t="str">
        <f aca="false">HYPERLINK("https://lindat.mff.cuni.cz/services/teitok/pdtc10/index.php?action=vallex&amp;frame=v-whsa_857f1_ZU", "pumpovat (v-whsa_857f1_ZU)")</f>
        <v>pumpovat (v-whsa_857f1_ZU)</v>
      </c>
    </row>
    <row r="33935" customFormat="false" ht="12.8" hidden="false" customHeight="false" outlineLevel="0" collapsed="false">
      <c r="B33935" s="0" t="s">
        <v>1</v>
      </c>
    </row>
    <row r="33936" customFormat="false" ht="12.8" hidden="false" customHeight="false" outlineLevel="0" collapsed="false">
      <c r="B33936" s="0" t="s">
        <v>8</v>
      </c>
    </row>
    <row r="33938" customFormat="false" ht="12.8" hidden="false" customHeight="false" outlineLevel="0" collapsed="false">
      <c r="A33938" s="0" t="s">
        <v>13005</v>
      </c>
      <c r="B33938" s="0" t="str">
        <f aca="false">HYPERLINK("https://lindat.mff.cuni.cz/services/teitok/pdtc10/index.php?action=vallex&amp;frame=v-whsa_1025hsa_1026", "puncovat (v-whsa_1025hsa_1026)")</f>
        <v>puncovat (v-whsa_1025hsa_1026)</v>
      </c>
    </row>
    <row r="33939" customFormat="false" ht="12.8" hidden="false" customHeight="false" outlineLevel="0" collapsed="false">
      <c r="B33939" s="0" t="s">
        <v>1</v>
      </c>
    </row>
    <row r="33940" customFormat="false" ht="12.8" hidden="false" customHeight="false" outlineLevel="0" collapsed="false">
      <c r="B33940" s="0" t="s">
        <v>8</v>
      </c>
    </row>
    <row r="33942" customFormat="false" ht="12.8" hidden="false" customHeight="false" outlineLevel="0" collapsed="false">
      <c r="A33942" s="0" t="s">
        <v>13006</v>
      </c>
      <c r="B33942" s="0" t="str">
        <f aca="false">HYPERLINK("https://lindat.mff.cuni.cz/services/teitok/pdtc10/index.php?action=vallex&amp;frame=v-w5385f2", "pusinkovat (v-w5385f2)")</f>
        <v>pusinkovat (v-w5385f2)</v>
      </c>
    </row>
    <row r="33943" customFormat="false" ht="12.8" hidden="false" customHeight="false" outlineLevel="0" collapsed="false">
      <c r="B33943" s="0" t="s">
        <v>1</v>
      </c>
    </row>
    <row r="33944" customFormat="false" ht="12.8" hidden="false" customHeight="false" outlineLevel="0" collapsed="false">
      <c r="B33944" s="0" t="s">
        <v>721</v>
      </c>
    </row>
    <row r="33945" customFormat="false" ht="12.8" hidden="false" customHeight="false" outlineLevel="0" collapsed="false">
      <c r="B33945" s="0" t="s">
        <v>1502</v>
      </c>
    </row>
    <row r="33947" customFormat="false" ht="12.8" hidden="false" customHeight="false" outlineLevel="0" collapsed="false">
      <c r="A33947" s="0" t="s">
        <v>13007</v>
      </c>
      <c r="B33947" s="0" t="str">
        <f aca="false">HYPERLINK("https://lindat.mff.cuni.cz/services/teitok/pdtc10/index.php?action=vallex&amp;frame=v-w5385f1", "pusinkovat (v-w5385f1)")</f>
        <v>pusinkovat (v-w5385f1)</v>
      </c>
    </row>
    <row r="33948" customFormat="false" ht="12.8" hidden="false" customHeight="false" outlineLevel="0" collapsed="false">
      <c r="B33948" s="0" t="s">
        <v>1</v>
      </c>
    </row>
    <row r="33949" customFormat="false" ht="12.8" hidden="false" customHeight="false" outlineLevel="0" collapsed="false">
      <c r="B33949" s="0" t="s">
        <v>8</v>
      </c>
    </row>
    <row r="33951" customFormat="false" ht="12.8" hidden="false" customHeight="false" outlineLevel="0" collapsed="false">
      <c r="A33951" s="0" t="s">
        <v>13008</v>
      </c>
      <c r="B33951" s="0" t="str">
        <f aca="false">HYPERLINK("https://lindat.mff.cuni.cz/services/teitok/pdtc10/index.php?action=vallex&amp;frame=v-w5390f3", "pustit (v-w5390f3)")</f>
        <v>pustit (v-w5390f3)</v>
      </c>
    </row>
    <row r="33952" customFormat="false" ht="12.8" hidden="false" customHeight="false" outlineLevel="0" collapsed="false">
      <c r="B33952" s="0" t="s">
        <v>1</v>
      </c>
    </row>
    <row r="33953" customFormat="false" ht="12.8" hidden="false" customHeight="false" outlineLevel="0" collapsed="false">
      <c r="B33953" s="0" t="s">
        <v>311</v>
      </c>
    </row>
    <row r="33954" customFormat="false" ht="12.8" hidden="false" customHeight="false" outlineLevel="0" collapsed="false">
      <c r="B33954" s="0" t="s">
        <v>98</v>
      </c>
    </row>
    <row r="33956" customFormat="false" ht="12.8" hidden="false" customHeight="false" outlineLevel="0" collapsed="false">
      <c r="A33956" s="0" t="s">
        <v>13009</v>
      </c>
      <c r="B33956" s="0" t="str">
        <f aca="false">HYPERLINK("https://lindat.mff.cuni.cz/services/teitok/pdtc10/index.php?action=vallex&amp;frame=v-w5390f1", "pustit (v-w5390f1)")</f>
        <v>pustit (v-w5390f1)</v>
      </c>
    </row>
    <row r="33957" customFormat="false" ht="12.8" hidden="false" customHeight="false" outlineLevel="0" collapsed="false">
      <c r="B33957" s="0" t="s">
        <v>1</v>
      </c>
    </row>
    <row r="33958" customFormat="false" ht="12.8" hidden="false" customHeight="false" outlineLevel="0" collapsed="false">
      <c r="B33958" s="0" t="s">
        <v>8</v>
      </c>
    </row>
    <row r="33959" customFormat="false" ht="12.8" hidden="false" customHeight="false" outlineLevel="0" collapsed="false">
      <c r="B33959" s="0" t="s">
        <v>164</v>
      </c>
    </row>
    <row r="33961" customFormat="false" ht="12.8" hidden="false" customHeight="false" outlineLevel="0" collapsed="false">
      <c r="A33961" s="0" t="s">
        <v>13010</v>
      </c>
      <c r="B33961" s="0" t="str">
        <f aca="false">HYPERLINK("https://lindat.mff.cuni.cz/services/teitok/pdtc10/index.php?action=vallex&amp;frame=v-w5390f2", "pustit (v-w5390f2)")</f>
        <v>pustit (v-w5390f2)</v>
      </c>
      <c r="E33961" s="0" t="str">
        <f aca="false">HYPERLINK("https://lindat.mff.cuni.cz/services/SynSemClass40/SynSemClass40.html?veclass=vec00942#vec00942-ces-cm00070", "vec00942")</f>
        <v>vec00942</v>
      </c>
      <c r="F33961" s="0" t="s">
        <v>1686</v>
      </c>
    </row>
    <row r="33962" customFormat="false" ht="12.8" hidden="false" customHeight="false" outlineLevel="0" collapsed="false">
      <c r="B33962" s="0" t="s">
        <v>1</v>
      </c>
      <c r="C33962" s="0" t="s">
        <v>1687</v>
      </c>
      <c r="E33962" s="0" t="s">
        <v>11</v>
      </c>
      <c r="F33962" s="0" t="s">
        <v>1688</v>
      </c>
    </row>
    <row r="33963" customFormat="false" ht="12.8" hidden="false" customHeight="false" outlineLevel="0" collapsed="false">
      <c r="B33963" s="0" t="s">
        <v>8</v>
      </c>
      <c r="C33963" s="0" t="s">
        <v>1690</v>
      </c>
      <c r="E33963" s="0" t="s">
        <v>140</v>
      </c>
      <c r="F33963" s="0" t="s">
        <v>1691</v>
      </c>
    </row>
    <row r="33965" customFormat="false" ht="12.8" hidden="false" customHeight="false" outlineLevel="0" collapsed="false">
      <c r="A33965" s="0" t="s">
        <v>13011</v>
      </c>
      <c r="B33965" s="0" t="str">
        <f aca="false">HYPERLINK("https://lindat.mff.cuni.cz/services/teitok/pdtc10/index.php?action=vallex&amp;frame=v-w5390f7", "pustit (v-w5390f7)")</f>
        <v>pustit (v-w5390f7)</v>
      </c>
    </row>
    <row r="33966" customFormat="false" ht="12.8" hidden="false" customHeight="false" outlineLevel="0" collapsed="false">
      <c r="B33966" s="0" t="s">
        <v>1</v>
      </c>
    </row>
    <row r="33967" customFormat="false" ht="12.8" hidden="false" customHeight="false" outlineLevel="0" collapsed="false">
      <c r="B33967" s="0" t="s">
        <v>8</v>
      </c>
    </row>
    <row r="33969" customFormat="false" ht="12.8" hidden="false" customHeight="false" outlineLevel="0" collapsed="false">
      <c r="A33969" s="0" t="s">
        <v>13012</v>
      </c>
      <c r="B33969" s="0" t="str">
        <f aca="false">HYPERLINK("https://lindat.mff.cuni.cz/services/teitok/pdtc10/index.php?action=vallex&amp;frame=v-w5390f6", "pustit (v-w5390f6)")</f>
        <v>pustit (v-w5390f6)</v>
      </c>
      <c r="E33969" s="0" t="str">
        <f aca="false">HYPERLINK("https://lindat.mff.cuni.cz/services/SynSemClass40/SynSemClass40.html?veclass=vec01396#vec01396-ces-cm00004", "vec01396")</f>
        <v>vec01396</v>
      </c>
      <c r="F33969" s="0" t="s">
        <v>3257</v>
      </c>
    </row>
    <row r="33970" customFormat="false" ht="12.8" hidden="false" customHeight="false" outlineLevel="0" collapsed="false">
      <c r="B33970" s="0" t="s">
        <v>1</v>
      </c>
      <c r="C33970" s="0" t="s">
        <v>3258</v>
      </c>
      <c r="E33970" s="0" t="s">
        <v>11</v>
      </c>
      <c r="F33970" s="0" t="s">
        <v>3259</v>
      </c>
    </row>
    <row r="33971" customFormat="false" ht="12.8" hidden="false" customHeight="false" outlineLevel="0" collapsed="false">
      <c r="B33971" s="0" t="s">
        <v>8</v>
      </c>
      <c r="C33971" s="0" t="s">
        <v>3260</v>
      </c>
      <c r="E33971" s="0" t="s">
        <v>514</v>
      </c>
      <c r="F33971" s="0" t="s">
        <v>3261</v>
      </c>
    </row>
    <row r="33973" customFormat="false" ht="12.8" hidden="false" customHeight="false" outlineLevel="0" collapsed="false">
      <c r="A33973" s="0" t="s">
        <v>13013</v>
      </c>
      <c r="B33973" s="0" t="str">
        <f aca="false">HYPERLINK("https://lindat.mff.cuni.cz/services/teitok/pdtc10/index.php?action=vallex&amp;frame=v-w5390f4", "pustit (v-w5390f4)")</f>
        <v>pustit (v-w5390f4)</v>
      </c>
    </row>
    <row r="33974" customFormat="false" ht="12.8" hidden="false" customHeight="false" outlineLevel="0" collapsed="false">
      <c r="B33974" s="0" t="s">
        <v>1</v>
      </c>
    </row>
    <row r="33975" customFormat="false" ht="12.8" hidden="false" customHeight="false" outlineLevel="0" collapsed="false">
      <c r="B33975" s="0" t="s">
        <v>13014</v>
      </c>
    </row>
    <row r="33976" customFormat="false" ht="12.8" hidden="false" customHeight="false" outlineLevel="0" collapsed="false">
      <c r="B33976" s="0" t="s">
        <v>8</v>
      </c>
    </row>
    <row r="33978" customFormat="false" ht="12.8" hidden="false" customHeight="false" outlineLevel="0" collapsed="false">
      <c r="A33978" s="0" t="s">
        <v>13015</v>
      </c>
      <c r="B33978" s="0" t="str">
        <f aca="false">HYPERLINK("https://lindat.mff.cuni.cz/services/teitok/pdtc10/index.php?action=vallex&amp;frame=v-w5390f5", "pustit (v-w5390f5)")</f>
        <v>pustit (v-w5390f5)</v>
      </c>
    </row>
    <row r="33979" customFormat="false" ht="12.8" hidden="false" customHeight="false" outlineLevel="0" collapsed="false">
      <c r="B33979" s="0" t="s">
        <v>1</v>
      </c>
    </row>
    <row r="33980" customFormat="false" ht="12.8" hidden="false" customHeight="false" outlineLevel="0" collapsed="false">
      <c r="B33980" s="0" t="s">
        <v>13016</v>
      </c>
    </row>
    <row r="33981" customFormat="false" ht="12.8" hidden="false" customHeight="false" outlineLevel="0" collapsed="false">
      <c r="B33981" s="0" t="s">
        <v>8</v>
      </c>
    </row>
    <row r="33983" customFormat="false" ht="12.8" hidden="false" customHeight="false" outlineLevel="0" collapsed="false">
      <c r="A33983" s="0" t="s">
        <v>13017</v>
      </c>
      <c r="B33983" s="0" t="str">
        <f aca="false">HYPERLINK("https://lindat.mff.cuni.cz/services/teitok/pdtc10/index.php?action=vallex&amp;frame=v-w5390f9_ZU", "pustit (v-w5390f9_ZU)")</f>
        <v>pustit (v-w5390f9_ZU)</v>
      </c>
    </row>
    <row r="33984" customFormat="false" ht="12.8" hidden="false" customHeight="false" outlineLevel="0" collapsed="false">
      <c r="B33984" s="0" t="s">
        <v>1</v>
      </c>
    </row>
    <row r="33985" customFormat="false" ht="12.8" hidden="false" customHeight="false" outlineLevel="0" collapsed="false">
      <c r="B33985" s="0" t="s">
        <v>8</v>
      </c>
    </row>
    <row r="33986" customFormat="false" ht="12.8" hidden="false" customHeight="false" outlineLevel="0" collapsed="false">
      <c r="B33986" s="0" t="s">
        <v>164</v>
      </c>
    </row>
    <row r="33988" customFormat="false" ht="12.8" hidden="false" customHeight="false" outlineLevel="0" collapsed="false">
      <c r="A33988" s="0" t="s">
        <v>13017</v>
      </c>
      <c r="B33988" s="0" t="str">
        <f aca="false">HYPERLINK("https://lindat.mff.cuni.cz/services/teitok/pdtc10/index.php?action=vallex&amp;frame=v-w5390f8_ZU", "pustit (v-w5390f8_ZU) - substituted with v-w5390f9_ZU")</f>
        <v>pustit (v-w5390f8_ZU) - substituted with v-w5390f9_ZU</v>
      </c>
    </row>
    <row r="33989" customFormat="false" ht="12.8" hidden="false" customHeight="false" outlineLevel="0" collapsed="false">
      <c r="B33989" s="0" t="s">
        <v>1</v>
      </c>
    </row>
    <row r="33990" customFormat="false" ht="12.8" hidden="false" customHeight="false" outlineLevel="0" collapsed="false">
      <c r="B33990" s="0" t="s">
        <v>8</v>
      </c>
    </row>
    <row r="33991" customFormat="false" ht="12.8" hidden="false" customHeight="false" outlineLevel="0" collapsed="false">
      <c r="B33991" s="0" t="s">
        <v>164</v>
      </c>
    </row>
    <row r="33993" customFormat="false" ht="12.8" hidden="false" customHeight="false" outlineLevel="0" collapsed="false">
      <c r="A33993" s="0" t="s">
        <v>13018</v>
      </c>
      <c r="B33993" s="0" t="str">
        <f aca="false">HYPERLINK("https://lindat.mff.cuni.cz/services/teitok/pdtc10/index.php?action=vallex&amp;frame=v-w5390f10_ZU", "pustit (v-w5390f10_ZU)")</f>
        <v>pustit (v-w5390f10_ZU)</v>
      </c>
    </row>
    <row r="33994" customFormat="false" ht="12.8" hidden="false" customHeight="false" outlineLevel="0" collapsed="false">
      <c r="B33994" s="0" t="s">
        <v>1</v>
      </c>
    </row>
    <row r="33995" customFormat="false" ht="12.8" hidden="false" customHeight="false" outlineLevel="0" collapsed="false">
      <c r="B33995" s="0" t="s">
        <v>8</v>
      </c>
    </row>
    <row r="33997" customFormat="false" ht="12.8" hidden="false" customHeight="false" outlineLevel="0" collapsed="false">
      <c r="A33997" s="0" t="s">
        <v>13019</v>
      </c>
      <c r="B33997" s="0" t="str">
        <f aca="false">HYPERLINK("https://lindat.mff.cuni.cz/services/teitok/pdtc10/index.php?action=vallex&amp;frame=v-w5391f2", "pustit se (v-w5391f2)")</f>
        <v>pustit se (v-w5391f2)</v>
      </c>
      <c r="E33997" s="0" t="str">
        <f aca="false">HYPERLINK("https://lindat.mff.cuni.cz/services/SynSemClass40/SynSemClass40.html?veclass=vec00698#vec00698-ces-cm00001", "vec00698")</f>
        <v>vec00698</v>
      </c>
      <c r="F33997" s="0" t="s">
        <v>3615</v>
      </c>
    </row>
    <row r="33998" customFormat="false" ht="12.8" hidden="false" customHeight="false" outlineLevel="0" collapsed="false">
      <c r="B33998" s="0" t="s">
        <v>1</v>
      </c>
      <c r="C33998" s="0" t="s">
        <v>3616</v>
      </c>
      <c r="E33998" s="0" t="s">
        <v>31</v>
      </c>
      <c r="F33998" s="0" t="s">
        <v>3617</v>
      </c>
    </row>
    <row r="33999" customFormat="false" ht="12.8" hidden="false" customHeight="false" outlineLevel="0" collapsed="false">
      <c r="B33999" s="0" t="s">
        <v>1187</v>
      </c>
      <c r="C33999" s="0" t="s">
        <v>3618</v>
      </c>
      <c r="E33999" s="0" t="s">
        <v>79</v>
      </c>
      <c r="F33999" s="0" t="s">
        <v>3619</v>
      </c>
    </row>
    <row r="34001" customFormat="false" ht="12.8" hidden="false" customHeight="false" outlineLevel="0" collapsed="false">
      <c r="A34001" s="0" t="s">
        <v>13020</v>
      </c>
      <c r="B34001" s="0" t="str">
        <f aca="false">HYPERLINK("https://lindat.mff.cuni.cz/services/teitok/pdtc10/index.php?action=vallex&amp;frame=v-w5391f3", "pustit se (v-w5391f3)")</f>
        <v>pustit se (v-w5391f3)</v>
      </c>
    </row>
    <row r="34002" customFormat="false" ht="12.8" hidden="false" customHeight="false" outlineLevel="0" collapsed="false">
      <c r="B34002" s="0" t="s">
        <v>1</v>
      </c>
    </row>
    <row r="34003" customFormat="false" ht="12.8" hidden="false" customHeight="false" outlineLevel="0" collapsed="false">
      <c r="B34003" s="0" t="s">
        <v>164</v>
      </c>
    </row>
    <row r="34005" customFormat="false" ht="12.8" hidden="false" customHeight="false" outlineLevel="0" collapsed="false">
      <c r="A34005" s="0" t="s">
        <v>13021</v>
      </c>
      <c r="B34005" s="0" t="str">
        <f aca="false">HYPERLINK("https://lindat.mff.cuni.cz/services/teitok/pdtc10/index.php?action=vallex&amp;frame=v-w5391f10_MM", "pustit se (v-w5391f10_MM)")</f>
        <v>pustit se (v-w5391f10_MM)</v>
      </c>
    </row>
    <row r="34006" customFormat="false" ht="12.8" hidden="false" customHeight="false" outlineLevel="0" collapsed="false">
      <c r="B34006" s="0" t="s">
        <v>1</v>
      </c>
    </row>
    <row r="34007" customFormat="false" ht="12.8" hidden="false" customHeight="false" outlineLevel="0" collapsed="false">
      <c r="B34007" s="0" t="s">
        <v>13022</v>
      </c>
    </row>
    <row r="34009" customFormat="false" ht="12.8" hidden="false" customHeight="false" outlineLevel="0" collapsed="false">
      <c r="A34009" s="0" t="s">
        <v>13021</v>
      </c>
      <c r="B34009" s="0" t="str">
        <f aca="false">HYPERLINK("https://lindat.mff.cuni.cz/services/teitok/pdtc10/index.php?action=vallex&amp;frame=v-w5391f1", "pustit se (v-w5391f1) - substituted with v-w5391f10_MM")</f>
        <v>pustit se (v-w5391f1) - substituted with v-w5391f10_MM</v>
      </c>
    </row>
    <row r="34010" customFormat="false" ht="12.8" hidden="false" customHeight="false" outlineLevel="0" collapsed="false">
      <c r="B34010" s="0" t="s">
        <v>1</v>
      </c>
    </row>
    <row r="34011" customFormat="false" ht="12.8" hidden="false" customHeight="false" outlineLevel="0" collapsed="false">
      <c r="B34011" s="0" t="s">
        <v>13022</v>
      </c>
    </row>
    <row r="34013" customFormat="false" ht="12.8" hidden="false" customHeight="false" outlineLevel="0" collapsed="false">
      <c r="A34013" s="0" t="s">
        <v>13021</v>
      </c>
      <c r="B34013" s="0" t="str">
        <f aca="false">HYPERLINK("https://lindat.mff.cuni.cz/services/teitok/pdtc10/index.php?action=vallex&amp;frame=v-w5391f4_ZU", "pustit se (v-w5391f4_ZU) - substituted with v-w5391f10_MM")</f>
        <v>pustit se (v-w5391f4_ZU) - substituted with v-w5391f10_MM</v>
      </c>
    </row>
    <row r="34014" customFormat="false" ht="12.8" hidden="false" customHeight="false" outlineLevel="0" collapsed="false">
      <c r="B34014" s="0" t="s">
        <v>1</v>
      </c>
    </row>
    <row r="34015" customFormat="false" ht="12.8" hidden="false" customHeight="false" outlineLevel="0" collapsed="false">
      <c r="B34015" s="0" t="s">
        <v>13022</v>
      </c>
    </row>
    <row r="34017" customFormat="false" ht="12.8" hidden="false" customHeight="false" outlineLevel="0" collapsed="false">
      <c r="A34017" s="0" t="s">
        <v>13021</v>
      </c>
      <c r="B34017" s="0" t="str">
        <f aca="false">HYPERLINK("https://lindat.mff.cuni.cz/services/teitok/pdtc10/index.php?action=vallex&amp;frame=v-w5391f5_ZU", "pustit se (v-w5391f5_ZU) - substituted with v-w5391f10_MM")</f>
        <v>pustit se (v-w5391f5_ZU) - substituted with v-w5391f10_MM</v>
      </c>
    </row>
    <row r="34018" customFormat="false" ht="12.8" hidden="false" customHeight="false" outlineLevel="0" collapsed="false">
      <c r="B34018" s="0" t="s">
        <v>1</v>
      </c>
    </row>
    <row r="34019" customFormat="false" ht="12.8" hidden="false" customHeight="false" outlineLevel="0" collapsed="false">
      <c r="B34019" s="0" t="s">
        <v>13022</v>
      </c>
    </row>
    <row r="34021" customFormat="false" ht="12.8" hidden="false" customHeight="false" outlineLevel="0" collapsed="false">
      <c r="A34021" s="0" t="s">
        <v>13021</v>
      </c>
      <c r="B34021" s="0" t="str">
        <f aca="false">HYPERLINK("https://lindat.mff.cuni.cz/services/teitok/pdtc10/index.php?action=vallex&amp;frame=v-w5391f6_ZU", "pustit se (v-w5391f6_ZU) - substituted with v-w5391f10_MM")</f>
        <v>pustit se (v-w5391f6_ZU) - substituted with v-w5391f10_MM</v>
      </c>
    </row>
    <row r="34022" customFormat="false" ht="12.8" hidden="false" customHeight="false" outlineLevel="0" collapsed="false">
      <c r="B34022" s="0" t="s">
        <v>1</v>
      </c>
    </row>
    <row r="34023" customFormat="false" ht="12.8" hidden="false" customHeight="false" outlineLevel="0" collapsed="false">
      <c r="B34023" s="0" t="s">
        <v>13022</v>
      </c>
    </row>
    <row r="34025" customFormat="false" ht="12.8" hidden="false" customHeight="false" outlineLevel="0" collapsed="false">
      <c r="A34025" s="0" t="s">
        <v>13021</v>
      </c>
      <c r="B34025" s="0" t="str">
        <f aca="false">HYPERLINK("https://lindat.mff.cuni.cz/services/teitok/pdtc10/index.php?action=vallex&amp;frame=v-w5391f7_ZU", "pustit se (v-w5391f7_ZU) - substituted with v-w5391f10_MM")</f>
        <v>pustit se (v-w5391f7_ZU) - substituted with v-w5391f10_MM</v>
      </c>
      <c r="E34025" s="0" t="str">
        <f aca="false">HYPERLINK("https://lindat.mff.cuni.cz/services/SynSemClass40/SynSemClass40.html?veclass=vec00038#vec00038-ces-cm00025", "vec00038")</f>
        <v>vec00038</v>
      </c>
      <c r="F34025" s="0" t="s">
        <v>74</v>
      </c>
    </row>
    <row r="34026" customFormat="false" ht="12.8" hidden="false" customHeight="false" outlineLevel="0" collapsed="false">
      <c r="B34026" s="0" t="s">
        <v>1</v>
      </c>
      <c r="C34026" s="0" t="s">
        <v>75</v>
      </c>
      <c r="E34026" s="0" t="s">
        <v>76</v>
      </c>
      <c r="F34026" s="0" t="s">
        <v>77</v>
      </c>
    </row>
    <row r="34027" customFormat="false" ht="12.8" hidden="false" customHeight="false" outlineLevel="0" collapsed="false">
      <c r="B34027" s="0" t="s">
        <v>13022</v>
      </c>
      <c r="C34027" s="0" t="s">
        <v>13023</v>
      </c>
      <c r="E34027" s="0" t="s">
        <v>13024</v>
      </c>
      <c r="F34027" s="0" t="s">
        <v>13025</v>
      </c>
    </row>
    <row r="34029" customFormat="false" ht="12.8" hidden="false" customHeight="false" outlineLevel="0" collapsed="false">
      <c r="A34029" s="0" t="s">
        <v>13021</v>
      </c>
      <c r="B34029" s="0" t="str">
        <f aca="false">HYPERLINK("https://lindat.mff.cuni.cz/services/teitok/pdtc10/index.php?action=vallex&amp;frame=v-w5391f8_ZU", "pustit se (v-w5391f8_ZU) - substituted with v-w5391f10_MM")</f>
        <v>pustit se (v-w5391f8_ZU) - substituted with v-w5391f10_MM</v>
      </c>
    </row>
    <row r="34030" customFormat="false" ht="12.8" hidden="false" customHeight="false" outlineLevel="0" collapsed="false">
      <c r="B34030" s="0" t="s">
        <v>1</v>
      </c>
    </row>
    <row r="34031" customFormat="false" ht="12.8" hidden="false" customHeight="false" outlineLevel="0" collapsed="false">
      <c r="B34031" s="0" t="s">
        <v>13022</v>
      </c>
    </row>
    <row r="34033" customFormat="false" ht="12.8" hidden="false" customHeight="false" outlineLevel="0" collapsed="false">
      <c r="A34033" s="0" t="s">
        <v>13021</v>
      </c>
      <c r="B34033" s="0" t="str">
        <f aca="false">HYPERLINK("https://lindat.mff.cuni.cz/services/teitok/pdtc10/index.php?action=vallex&amp;frame=v-w5391f9_ZU", "pustit se (v-w5391f9_ZU) - substituted with v-w5391f10_MM")</f>
        <v>pustit se (v-w5391f9_ZU) - substituted with v-w5391f10_MM</v>
      </c>
    </row>
    <row r="34034" customFormat="false" ht="12.8" hidden="false" customHeight="false" outlineLevel="0" collapsed="false">
      <c r="B34034" s="0" t="s">
        <v>1</v>
      </c>
    </row>
    <row r="34035" customFormat="false" ht="12.8" hidden="false" customHeight="false" outlineLevel="0" collapsed="false">
      <c r="B34035" s="0" t="s">
        <v>13022</v>
      </c>
    </row>
    <row r="34037" customFormat="false" ht="12.8" hidden="false" customHeight="false" outlineLevel="0" collapsed="false">
      <c r="A34037" s="0" t="s">
        <v>13021</v>
      </c>
      <c r="B34037" s="0" t="str">
        <f aca="false">HYPERLINK("https://lindat.mff.cuni.cz/services/teitok/pdtc10/index.php?action=vallex&amp;frame=v-w5391hsa_877", "pustit se (v-w5391hsa_877) - substituted with v-w5391f10_MM")</f>
        <v>pustit se (v-w5391hsa_877) - substituted with v-w5391f10_MM</v>
      </c>
    </row>
    <row r="34038" customFormat="false" ht="12.8" hidden="false" customHeight="false" outlineLevel="0" collapsed="false">
      <c r="B34038" s="0" t="s">
        <v>1</v>
      </c>
    </row>
    <row r="34039" customFormat="false" ht="12.8" hidden="false" customHeight="false" outlineLevel="0" collapsed="false">
      <c r="B34039" s="0" t="s">
        <v>13022</v>
      </c>
    </row>
    <row r="34041" customFormat="false" ht="12.8" hidden="false" customHeight="false" outlineLevel="0" collapsed="false">
      <c r="A34041" s="0" t="s">
        <v>13026</v>
      </c>
      <c r="B34041" s="0" t="str">
        <f aca="false">HYPERLINK("https://lindat.mff.cuni.cz/services/teitok/pdtc10/index.php?action=vallex&amp;frame=v-w5391hsa_1801", "pustit se (v-w5391hsa_1801)")</f>
        <v>pustit se (v-w5391hsa_1801)</v>
      </c>
    </row>
    <row r="34042" customFormat="false" ht="12.8" hidden="false" customHeight="false" outlineLevel="0" collapsed="false">
      <c r="B34042" s="0" t="s">
        <v>1</v>
      </c>
    </row>
    <row r="34043" customFormat="false" ht="12.8" hidden="false" customHeight="false" outlineLevel="0" collapsed="false">
      <c r="B34043" s="0" t="s">
        <v>1187</v>
      </c>
    </row>
    <row r="34045" customFormat="false" ht="12.8" hidden="false" customHeight="false" outlineLevel="0" collapsed="false">
      <c r="A34045" s="0" t="s">
        <v>13027</v>
      </c>
      <c r="B34045" s="0" t="str">
        <f aca="false">HYPERLINK("https://lindat.mff.cuni.cz/services/teitok/pdtc10/index.php?action=vallex&amp;frame=v-w5391hsa_1802", "pustit se (v-w5391hsa_1802)")</f>
        <v>pustit se (v-w5391hsa_1802)</v>
      </c>
    </row>
    <row r="34046" customFormat="false" ht="12.8" hidden="false" customHeight="false" outlineLevel="0" collapsed="false">
      <c r="B34046" s="0" t="s">
        <v>1</v>
      </c>
    </row>
    <row r="34047" customFormat="false" ht="12.8" hidden="false" customHeight="false" outlineLevel="0" collapsed="false">
      <c r="B34047" s="0" t="s">
        <v>1187</v>
      </c>
    </row>
    <row r="34049" customFormat="false" ht="12.8" hidden="false" customHeight="false" outlineLevel="0" collapsed="false">
      <c r="A34049" s="0" t="s">
        <v>13028</v>
      </c>
      <c r="B34049" s="0" t="str">
        <f aca="false">HYPERLINK("https://lindat.mff.cuni.cz/services/teitok/pdtc10/index.php?action=vallex&amp;frame=v-w5393f1", "putovat (v-w5393f1)")</f>
        <v>putovat (v-w5393f1)</v>
      </c>
      <c r="E34049" s="0" t="str">
        <f aca="false">HYPERLINK("https://lindat.mff.cuni.cz/services/SynSemClass40/SynSemClass40.html?veclass=vec00403#vec00403-ces-cm00010", "vec00403")</f>
        <v>vec00403</v>
      </c>
      <c r="F34049" s="0" t="s">
        <v>1368</v>
      </c>
    </row>
    <row r="34050" customFormat="false" ht="12.8" hidden="false" customHeight="false" outlineLevel="0" collapsed="false">
      <c r="B34050" s="0" t="s">
        <v>1</v>
      </c>
      <c r="C34050" s="0" t="s">
        <v>1369</v>
      </c>
      <c r="E34050" s="0" t="s">
        <v>11</v>
      </c>
      <c r="F34050" s="0" t="s">
        <v>1370</v>
      </c>
    </row>
    <row r="34052" customFormat="false" ht="12.8" hidden="false" customHeight="false" outlineLevel="0" collapsed="false">
      <c r="A34052" s="0" t="s">
        <v>13029</v>
      </c>
      <c r="B34052" s="0" t="str">
        <f aca="false">HYPERLINK("https://lindat.mff.cuni.cz/services/teitok/pdtc10/index.php?action=vallex&amp;frame=v-w5395f1", "pykat (v-w5395f1)")</f>
        <v>pykat (v-w5395f1)</v>
      </c>
    </row>
    <row r="34053" customFormat="false" ht="12.8" hidden="false" customHeight="false" outlineLevel="0" collapsed="false">
      <c r="B34053" s="0" t="s">
        <v>1</v>
      </c>
    </row>
    <row r="34054" customFormat="false" ht="12.8" hidden="false" customHeight="false" outlineLevel="0" collapsed="false">
      <c r="B34054" s="0" t="s">
        <v>2069</v>
      </c>
    </row>
    <row r="34056" customFormat="false" ht="12.8" hidden="false" customHeight="false" outlineLevel="0" collapsed="false">
      <c r="A34056" s="0" t="s">
        <v>13030</v>
      </c>
      <c r="B34056" s="0" t="str">
        <f aca="false">HYPERLINK("https://lindat.mff.cuni.cz/services/teitok/pdtc10/index.php?action=vallex&amp;frame=v-w5398f1", "pytlačit (v-w5398f1)")</f>
        <v>pytlačit (v-w5398f1)</v>
      </c>
    </row>
    <row r="34057" customFormat="false" ht="12.8" hidden="false" customHeight="false" outlineLevel="0" collapsed="false">
      <c r="B34057" s="0" t="s">
        <v>1</v>
      </c>
    </row>
    <row r="34059" customFormat="false" ht="12.8" hidden="false" customHeight="false" outlineLevel="0" collapsed="false">
      <c r="A34059" s="0" t="s">
        <v>13031</v>
      </c>
      <c r="B34059" s="0" t="str">
        <f aca="false">HYPERLINK("https://lindat.mff.cuni.cz/services/teitok/pdtc10/index.php?action=vallex&amp;frame=v-w5396f1", "pyšnit se (v-w5396f1)")</f>
        <v>pyšnit se (v-w5396f1)</v>
      </c>
      <c r="E34059" s="0" t="str">
        <f aca="false">HYPERLINK("https://lindat.mff.cuni.cz/services/SynSemClass40/SynSemClass40.html?veclass=vec00418#vec00418-ces-cm00007", "vec00418")</f>
        <v>vec00418</v>
      </c>
      <c r="F34059" s="0" t="s">
        <v>1385</v>
      </c>
    </row>
    <row r="34060" customFormat="false" ht="12.8" hidden="false" customHeight="false" outlineLevel="0" collapsed="false">
      <c r="B34060" s="0" t="s">
        <v>1</v>
      </c>
      <c r="C34060" s="0" t="s">
        <v>255</v>
      </c>
      <c r="E34060" s="0" t="s">
        <v>1386</v>
      </c>
      <c r="F34060" s="0" t="s">
        <v>1387</v>
      </c>
    </row>
    <row r="34061" customFormat="false" ht="12.8" hidden="false" customHeight="false" outlineLevel="0" collapsed="false">
      <c r="B34061" s="0" t="s">
        <v>286</v>
      </c>
      <c r="C34061" s="0" t="s">
        <v>1388</v>
      </c>
      <c r="E34061" s="0" t="s">
        <v>1389</v>
      </c>
      <c r="F34061" s="0" t="s">
        <v>1390</v>
      </c>
    </row>
    <row r="34063" customFormat="false" ht="12.8" hidden="false" customHeight="false" outlineLevel="0" collapsed="false">
      <c r="A34063" s="0" t="s">
        <v>13032</v>
      </c>
      <c r="B34063" s="0" t="str">
        <f aca="false">HYPERLINK("https://lindat.mff.cuni.cz/services/teitok/pdtc10/index.php?action=vallex&amp;frame=v-w3358f1", "páchat (v-w3358f1)")</f>
        <v>páchat (v-w3358f1)</v>
      </c>
      <c r="E34063" s="0" t="str">
        <f aca="false">HYPERLINK("https://lindat.mff.cuni.cz/services/SynSemClass40/SynSemClass40.html?veclass=vec00009#vec00009-ces-cm00029", "vec00009")</f>
        <v>vec00009</v>
      </c>
      <c r="F34063" s="0" t="s">
        <v>2625</v>
      </c>
    </row>
    <row r="34064" customFormat="false" ht="12.8" hidden="false" customHeight="false" outlineLevel="0" collapsed="false">
      <c r="B34064" s="0" t="s">
        <v>1</v>
      </c>
      <c r="C34064" s="0" t="s">
        <v>239</v>
      </c>
      <c r="E34064" s="0" t="s">
        <v>1573</v>
      </c>
      <c r="F34064" s="0" t="s">
        <v>2626</v>
      </c>
    </row>
    <row r="34065" customFormat="false" ht="12.8" hidden="false" customHeight="false" outlineLevel="0" collapsed="false">
      <c r="B34065" s="0" t="s">
        <v>8</v>
      </c>
      <c r="C34065" s="0" t="s">
        <v>2627</v>
      </c>
      <c r="E34065" s="0" t="s">
        <v>2628</v>
      </c>
      <c r="F34065" s="0" t="s">
        <v>2629</v>
      </c>
    </row>
    <row r="34067" customFormat="false" ht="12.8" hidden="false" customHeight="false" outlineLevel="0" collapsed="false">
      <c r="A34067" s="0" t="s">
        <v>13033</v>
      </c>
      <c r="B34067" s="0" t="str">
        <f aca="false">HYPERLINK("https://lindat.mff.cuni.cz/services/teitok/pdtc10/index.php?action=vallex&amp;frame=v-w3360f1", "páchnout (v-w3360f1)")</f>
        <v>páchnout (v-w3360f1)</v>
      </c>
      <c r="E34067" s="0" t="str">
        <f aca="false">HYPERLINK("https://lindat.mff.cuni.cz/services/SynSemClass40/SynSemClass40.html?veclass=vec00926#vec00926-ces-cm00002", "vec00926")</f>
        <v>vec00926</v>
      </c>
      <c r="F34067" s="0" t="s">
        <v>13034</v>
      </c>
    </row>
    <row r="34068" customFormat="false" ht="12.8" hidden="false" customHeight="false" outlineLevel="0" collapsed="false">
      <c r="B34068" s="0" t="s">
        <v>1</v>
      </c>
      <c r="C34068" s="0" t="s">
        <v>10</v>
      </c>
      <c r="E34068" s="0" t="s">
        <v>4943</v>
      </c>
      <c r="F34068" s="0" t="s">
        <v>13035</v>
      </c>
    </row>
    <row r="34069" customFormat="false" ht="12.8" hidden="false" customHeight="false" outlineLevel="0" collapsed="false">
      <c r="B34069" s="0" t="s">
        <v>13036</v>
      </c>
      <c r="E34069" s="0" t="s">
        <v>920</v>
      </c>
      <c r="F34069" s="0" t="s">
        <v>13037</v>
      </c>
    </row>
    <row r="34071" customFormat="false" ht="12.8" hidden="false" customHeight="false" outlineLevel="0" collapsed="false">
      <c r="A34071" s="0" t="s">
        <v>13038</v>
      </c>
      <c r="B34071" s="0" t="str">
        <f aca="false">HYPERLINK("https://lindat.mff.cuni.cz/services/teitok/pdtc10/index.php?action=vallex&amp;frame=v-w11942_ZUf2_ZU", "pádlovat (v-w11942_ZUf2_ZU)")</f>
        <v>pádlovat (v-w11942_ZUf2_ZU)</v>
      </c>
    </row>
    <row r="34072" customFormat="false" ht="12.8" hidden="false" customHeight="false" outlineLevel="0" collapsed="false">
      <c r="B34072" s="0" t="s">
        <v>1</v>
      </c>
    </row>
    <row r="34074" customFormat="false" ht="12.8" hidden="false" customHeight="false" outlineLevel="0" collapsed="false">
      <c r="A34074" s="0" t="s">
        <v>13038</v>
      </c>
      <c r="B34074" s="0" t="str">
        <f aca="false">HYPERLINK("https://lindat.mff.cuni.cz/services/teitok/pdtc10/index.php?action=vallex&amp;frame=v-w11942_ZUf1_ZU", "pádlovat (v-w11942_ZUf1_ZU) - substituted with v-w11942_ZUf2_ZU")</f>
        <v>pádlovat (v-w11942_ZUf1_ZU) - substituted with v-w11942_ZUf2_ZU</v>
      </c>
    </row>
    <row r="34075" customFormat="false" ht="12.8" hidden="false" customHeight="false" outlineLevel="0" collapsed="false">
      <c r="B34075" s="0" t="s">
        <v>1</v>
      </c>
    </row>
    <row r="34077" customFormat="false" ht="12.8" hidden="false" customHeight="false" outlineLevel="0" collapsed="false">
      <c r="A34077" s="0" t="s">
        <v>13039</v>
      </c>
      <c r="B34077" s="0" t="str">
        <f aca="false">HYPERLINK("https://lindat.mff.cuni.cz/services/teitok/pdtc10/index.php?action=vallex&amp;frame=v-w3364f1", "pálit (v-w3364f1)")</f>
        <v>pálit (v-w3364f1)</v>
      </c>
    </row>
    <row r="34078" customFormat="false" ht="12.8" hidden="false" customHeight="false" outlineLevel="0" collapsed="false">
      <c r="B34078" s="0" t="s">
        <v>1</v>
      </c>
    </row>
    <row r="34079" customFormat="false" ht="12.8" hidden="false" customHeight="false" outlineLevel="0" collapsed="false">
      <c r="B34079" s="0" t="s">
        <v>8</v>
      </c>
    </row>
    <row r="34081" customFormat="false" ht="12.8" hidden="false" customHeight="false" outlineLevel="0" collapsed="false">
      <c r="A34081" s="0" t="s">
        <v>13040</v>
      </c>
      <c r="B34081" s="0" t="str">
        <f aca="false">HYPERLINK("https://lindat.mff.cuni.cz/services/teitok/pdtc10/index.php?action=vallex&amp;frame=v-w3364f2", "pálit (v-w3364f2)")</f>
        <v>pálit (v-w3364f2)</v>
      </c>
    </row>
    <row r="34082" customFormat="false" ht="12.8" hidden="false" customHeight="false" outlineLevel="0" collapsed="false">
      <c r="B34082" s="0" t="s">
        <v>1</v>
      </c>
    </row>
    <row r="34083" customFormat="false" ht="12.8" hidden="false" customHeight="false" outlineLevel="0" collapsed="false">
      <c r="B34083" s="0" t="s">
        <v>8</v>
      </c>
    </row>
    <row r="34085" customFormat="false" ht="12.8" hidden="false" customHeight="false" outlineLevel="0" collapsed="false">
      <c r="A34085" s="0" t="s">
        <v>13041</v>
      </c>
      <c r="B34085" s="0" t="str">
        <f aca="false">HYPERLINK("https://lindat.mff.cuni.cz/services/teitok/pdtc10/index.php?action=vallex&amp;frame=v-w3364f3_ZU", "pálit (v-w3364f3_ZU)")</f>
        <v>pálit (v-w3364f3_ZU)</v>
      </c>
    </row>
    <row r="34086" customFormat="false" ht="12.8" hidden="false" customHeight="false" outlineLevel="0" collapsed="false">
      <c r="B34086" s="0" t="s">
        <v>1</v>
      </c>
    </row>
    <row r="34088" customFormat="false" ht="12.8" hidden="false" customHeight="false" outlineLevel="0" collapsed="false">
      <c r="A34088" s="0" t="s">
        <v>13041</v>
      </c>
      <c r="B34088" s="0" t="str">
        <f aca="false">HYPERLINK("https://lindat.mff.cuni.cz/services/teitok/pdtc10/index.php?action=vallex&amp;frame=v-w3364hsa_542", "pálit (v-w3364hsa_542) - substituted with v-w3364f3_ZU")</f>
        <v>pálit (v-w3364hsa_542) - substituted with v-w3364f3_ZU</v>
      </c>
    </row>
    <row r="34089" customFormat="false" ht="12.8" hidden="false" customHeight="false" outlineLevel="0" collapsed="false">
      <c r="B34089" s="0" t="s">
        <v>1</v>
      </c>
    </row>
    <row r="34091" customFormat="false" ht="12.8" hidden="false" customHeight="false" outlineLevel="0" collapsed="false">
      <c r="A34091" s="0" t="s">
        <v>13042</v>
      </c>
      <c r="B34091" s="0" t="str">
        <f aca="false">HYPERLINK("https://lindat.mff.cuni.cz/services/teitok/pdtc10/index.php?action=vallex&amp;frame=v-w3364f4_ZU", "pálit (v-w3364f4_ZU)")</f>
        <v>pálit (v-w3364f4_ZU)</v>
      </c>
    </row>
    <row r="34092" customFormat="false" ht="12.8" hidden="false" customHeight="false" outlineLevel="0" collapsed="false">
      <c r="B34092" s="0" t="s">
        <v>1</v>
      </c>
    </row>
    <row r="34093" customFormat="false" ht="12.8" hidden="false" customHeight="false" outlineLevel="0" collapsed="false">
      <c r="B34093" s="0" t="s">
        <v>8</v>
      </c>
    </row>
    <row r="34095" customFormat="false" ht="12.8" hidden="false" customHeight="false" outlineLevel="0" collapsed="false">
      <c r="A34095" s="0" t="s">
        <v>13043</v>
      </c>
      <c r="B34095" s="0" t="str">
        <f aca="false">HYPERLINK("https://lindat.mff.cuni.cz/services/teitok/pdtc10/index.php?action=vallex&amp;frame=v-w3364hsa_459", "pálit (v-w3364hsa_459)")</f>
        <v>pálit (v-w3364hsa_459)</v>
      </c>
    </row>
    <row r="34096" customFormat="false" ht="12.8" hidden="false" customHeight="false" outlineLevel="0" collapsed="false">
      <c r="B34096" s="0" t="s">
        <v>1</v>
      </c>
    </row>
    <row r="34098" customFormat="false" ht="12.8" hidden="false" customHeight="false" outlineLevel="0" collapsed="false">
      <c r="A34098" s="0" t="s">
        <v>13044</v>
      </c>
      <c r="B34098" s="0" t="str">
        <f aca="false">HYPERLINK("https://lindat.mff.cuni.cz/services/teitok/pdtc10/index.php?action=vallex&amp;frame=v-w3365f1", "pálit si (v-w3365f1)")</f>
        <v>pálit si (v-w3365f1)</v>
      </c>
    </row>
    <row r="34099" customFormat="false" ht="12.8" hidden="false" customHeight="false" outlineLevel="0" collapsed="false">
      <c r="B34099" s="0" t="s">
        <v>1</v>
      </c>
    </row>
    <row r="34100" customFormat="false" ht="12.8" hidden="false" customHeight="false" outlineLevel="0" collapsed="false">
      <c r="B34100" s="0" t="s">
        <v>13045</v>
      </c>
    </row>
    <row r="34102" customFormat="false" ht="12.8" hidden="false" customHeight="false" outlineLevel="0" collapsed="false">
      <c r="A34102" s="0" t="s">
        <v>13046</v>
      </c>
      <c r="B34102" s="0" t="str">
        <f aca="false">HYPERLINK("https://lindat.mff.cuni.cz/services/teitok/pdtc10/index.php?action=vallex&amp;frame=v-w10502f5_ZU", "párovat (v-w10502f5_ZU)")</f>
        <v>párovat (v-w10502f5_ZU)</v>
      </c>
      <c r="E34102" s="0" t="str">
        <f aca="false">HYPERLINK("https://lindat.mff.cuni.cz/services/SynSemClass40/SynSemClass40.html?veclass=vec00723#vec00723-ces-cm00119", "vec00723")</f>
        <v>vec00723</v>
      </c>
      <c r="F34102" s="0" t="s">
        <v>4849</v>
      </c>
    </row>
    <row r="34103" customFormat="false" ht="12.8" hidden="false" customHeight="false" outlineLevel="0" collapsed="false">
      <c r="B34103" s="0" t="s">
        <v>1</v>
      </c>
      <c r="C34103" s="0" t="s">
        <v>106</v>
      </c>
      <c r="E34103" s="0" t="s">
        <v>4850</v>
      </c>
      <c r="F34103" s="0" t="s">
        <v>4851</v>
      </c>
    </row>
    <row r="34104" customFormat="false" ht="12.8" hidden="false" customHeight="false" outlineLevel="0" collapsed="false">
      <c r="B34104" s="0" t="s">
        <v>8</v>
      </c>
      <c r="C34104" s="0" t="s">
        <v>1388</v>
      </c>
      <c r="E34104" s="0" t="s">
        <v>4852</v>
      </c>
      <c r="F34104" s="0" t="s">
        <v>4853</v>
      </c>
    </row>
    <row r="34105" customFormat="false" ht="12.8" hidden="false" customHeight="false" outlineLevel="0" collapsed="false">
      <c r="B34105" s="0" t="s">
        <v>3537</v>
      </c>
      <c r="C34105" s="0" t="s">
        <v>13047</v>
      </c>
      <c r="E34105" s="0" t="s">
        <v>5445</v>
      </c>
      <c r="F34105" s="0" t="s">
        <v>13048</v>
      </c>
    </row>
    <row r="34107" customFormat="false" ht="12.8" hidden="false" customHeight="false" outlineLevel="0" collapsed="false">
      <c r="A34107" s="0" t="s">
        <v>13046</v>
      </c>
      <c r="B34107" s="0" t="str">
        <f aca="false">HYPERLINK("https://lindat.mff.cuni.cz/services/teitok/pdtc10/index.php?action=vallex&amp;frame=v-w10502f2", "párovat (v-w10502f2) - substituted with v-w10502f5_ZU")</f>
        <v>párovat (v-w10502f2) - substituted with v-w10502f5_ZU</v>
      </c>
    </row>
    <row r="34108" customFormat="false" ht="12.8" hidden="false" customHeight="false" outlineLevel="0" collapsed="false">
      <c r="B34108" s="0" t="s">
        <v>1</v>
      </c>
    </row>
    <row r="34109" customFormat="false" ht="12.8" hidden="false" customHeight="false" outlineLevel="0" collapsed="false">
      <c r="B34109" s="0" t="s">
        <v>8</v>
      </c>
    </row>
    <row r="34110" customFormat="false" ht="12.8" hidden="false" customHeight="false" outlineLevel="0" collapsed="false">
      <c r="B34110" s="0" t="s">
        <v>3537</v>
      </c>
    </row>
    <row r="34112" customFormat="false" ht="12.8" hidden="false" customHeight="false" outlineLevel="0" collapsed="false">
      <c r="A34112" s="0" t="s">
        <v>13046</v>
      </c>
      <c r="B34112" s="0" t="str">
        <f aca="false">HYPERLINK("https://lindat.mff.cuni.cz/services/teitok/pdtc10/index.php?action=vallex&amp;frame=v-w10502f4_ZU", "párovat (v-w10502f4_ZU) - substituted with v-w10502f5_ZU")</f>
        <v>párovat (v-w10502f4_ZU) - substituted with v-w10502f5_ZU</v>
      </c>
    </row>
    <row r="34113" customFormat="false" ht="12.8" hidden="false" customHeight="false" outlineLevel="0" collapsed="false">
      <c r="B34113" s="0" t="s">
        <v>1</v>
      </c>
    </row>
    <row r="34114" customFormat="false" ht="12.8" hidden="false" customHeight="false" outlineLevel="0" collapsed="false">
      <c r="B34114" s="0" t="s">
        <v>8</v>
      </c>
    </row>
    <row r="34115" customFormat="false" ht="12.8" hidden="false" customHeight="false" outlineLevel="0" collapsed="false">
      <c r="B34115" s="0" t="s">
        <v>3537</v>
      </c>
    </row>
    <row r="34117" customFormat="false" ht="12.8" hidden="false" customHeight="false" outlineLevel="0" collapsed="false">
      <c r="A34117" s="0" t="s">
        <v>13049</v>
      </c>
      <c r="B34117" s="0" t="str">
        <f aca="false">HYPERLINK("https://lindat.mff.cuni.cz/services/teitok/pdtc10/index.php?action=vallex&amp;frame=v-w10502f3_ZU", "párovat (v-w10502f3_ZU)")</f>
        <v>párovat (v-w10502f3_ZU)</v>
      </c>
    </row>
    <row r="34118" customFormat="false" ht="12.8" hidden="false" customHeight="false" outlineLevel="0" collapsed="false">
      <c r="B34118" s="0" t="s">
        <v>1</v>
      </c>
    </row>
    <row r="34119" customFormat="false" ht="12.8" hidden="false" customHeight="false" outlineLevel="0" collapsed="false">
      <c r="B34119" s="0" t="s">
        <v>8</v>
      </c>
    </row>
    <row r="34121" customFormat="false" ht="12.8" hidden="false" customHeight="false" outlineLevel="0" collapsed="false">
      <c r="A34121" s="0" t="s">
        <v>13050</v>
      </c>
      <c r="B34121" s="0" t="str">
        <f aca="false">HYPERLINK("https://lindat.mff.cuni.cz/services/teitok/pdtc10/index.php?action=vallex&amp;frame=v-whsa_1178hsa_1179", "párovat se (v-whsa_1178hsa_1179)")</f>
        <v>párovat se (v-whsa_1178hsa_1179)</v>
      </c>
    </row>
    <row r="34122" customFormat="false" ht="12.8" hidden="false" customHeight="false" outlineLevel="0" collapsed="false">
      <c r="B34122" s="0" t="s">
        <v>1</v>
      </c>
    </row>
    <row r="34123" customFormat="false" ht="12.8" hidden="false" customHeight="false" outlineLevel="0" collapsed="false">
      <c r="B34123" s="0" t="s">
        <v>721</v>
      </c>
    </row>
    <row r="34125" customFormat="false" ht="12.8" hidden="false" customHeight="false" outlineLevel="0" collapsed="false">
      <c r="A34125" s="0" t="s">
        <v>13051</v>
      </c>
      <c r="B34125" s="0" t="str">
        <f aca="false">HYPERLINK("https://lindat.mff.cuni.cz/services/teitok/pdtc10/index.php?action=vallex&amp;frame=v-w11545_ZUf1_ZU", "pást (v-w11545_ZUf1_ZU)")</f>
        <v>pást (v-w11545_ZUf1_ZU)</v>
      </c>
    </row>
    <row r="34126" customFormat="false" ht="12.8" hidden="false" customHeight="false" outlineLevel="0" collapsed="false">
      <c r="B34126" s="0" t="s">
        <v>1</v>
      </c>
    </row>
    <row r="34127" customFormat="false" ht="12.8" hidden="false" customHeight="false" outlineLevel="0" collapsed="false">
      <c r="B34127" s="0" t="s">
        <v>1659</v>
      </c>
    </row>
    <row r="34129" customFormat="false" ht="12.8" hidden="false" customHeight="false" outlineLevel="0" collapsed="false">
      <c r="A34129" s="0" t="s">
        <v>13052</v>
      </c>
      <c r="B34129" s="0" t="str">
        <f aca="false">HYPERLINK("https://lindat.mff.cuni.cz/services/teitok/pdtc10/index.php?action=vallex&amp;frame=v-w11545_ZUhsa_1086", "pást (v-w11545_ZUhsa_1086)")</f>
        <v>pást (v-w11545_ZUhsa_1086)</v>
      </c>
    </row>
    <row r="34130" customFormat="false" ht="12.8" hidden="false" customHeight="false" outlineLevel="0" collapsed="false">
      <c r="B34130" s="0" t="s">
        <v>1</v>
      </c>
    </row>
    <row r="34131" customFormat="false" ht="12.8" hidden="false" customHeight="false" outlineLevel="0" collapsed="false">
      <c r="B34131" s="0" t="s">
        <v>8</v>
      </c>
    </row>
    <row r="34133" customFormat="false" ht="12.8" hidden="false" customHeight="false" outlineLevel="0" collapsed="false">
      <c r="A34133" s="0" t="s">
        <v>13053</v>
      </c>
      <c r="B34133" s="0" t="str">
        <f aca="false">HYPERLINK("https://lindat.mff.cuni.cz/services/teitok/pdtc10/index.php?action=vallex&amp;frame=v-w11318f2", "pást se (v-w11318f2)")</f>
        <v>pást se (v-w11318f2)</v>
      </c>
    </row>
    <row r="34134" customFormat="false" ht="12.8" hidden="false" customHeight="false" outlineLevel="0" collapsed="false">
      <c r="B34134" s="0" t="s">
        <v>1</v>
      </c>
    </row>
    <row r="34135" customFormat="false" ht="12.8" hidden="false" customHeight="false" outlineLevel="0" collapsed="false">
      <c r="B34135" s="0" t="s">
        <v>8</v>
      </c>
    </row>
    <row r="34137" customFormat="false" ht="12.8" hidden="false" customHeight="false" outlineLevel="0" collapsed="false">
      <c r="A34137" s="0" t="s">
        <v>13054</v>
      </c>
      <c r="B34137" s="0" t="str">
        <f aca="false">HYPERLINK("https://lindat.mff.cuni.cz/services/teitok/pdtc10/index.php?action=vallex&amp;frame=v-w11318f3_ZU", "pást se (v-w11318f3_ZU)")</f>
        <v>pást se (v-w11318f3_ZU)</v>
      </c>
    </row>
    <row r="34138" customFormat="false" ht="12.8" hidden="false" customHeight="false" outlineLevel="0" collapsed="false">
      <c r="B34138" s="0" t="s">
        <v>1</v>
      </c>
    </row>
    <row r="34140" customFormat="false" ht="12.8" hidden="false" customHeight="false" outlineLevel="0" collapsed="false">
      <c r="A34140" s="0" t="s">
        <v>13054</v>
      </c>
      <c r="B34140" s="0" t="str">
        <f aca="false">HYPERLINK("https://lindat.mff.cuni.cz/services/teitok/pdtc10/index.php?action=vallex&amp;frame=v-w11318f1", "pást se (v-w11318f1) - substituted with v-w11318f3_ZU")</f>
        <v>pást se (v-w11318f1) - substituted with v-w11318f3_ZU</v>
      </c>
      <c r="E34140" s="0" t="str">
        <f aca="false">HYPERLINK("https://lindat.mff.cuni.cz/services/SynSemClass40/SynSemClass40.html?veclass=vec01067#vec01067-ces-cm00001", "vec01067")</f>
        <v>vec01067</v>
      </c>
      <c r="F34140" s="0" t="s">
        <v>13055</v>
      </c>
    </row>
    <row r="34141" customFormat="false" ht="12.8" hidden="false" customHeight="false" outlineLevel="0" collapsed="false">
      <c r="B34141" s="0" t="s">
        <v>1</v>
      </c>
      <c r="C34141" s="0" t="s">
        <v>459</v>
      </c>
      <c r="E34141" s="0" t="s">
        <v>658</v>
      </c>
      <c r="F34141" s="0" t="s">
        <v>13056</v>
      </c>
    </row>
    <row r="34143" customFormat="false" ht="12.8" hidden="false" customHeight="false" outlineLevel="0" collapsed="false">
      <c r="A34143" s="0" t="s">
        <v>13057</v>
      </c>
      <c r="B34143" s="0" t="str">
        <f aca="false">HYPERLINK("https://lindat.mff.cuni.cz/services/teitok/pdtc10/index.php?action=vallex&amp;frame=v-w3407f3_ZU", "pátrat (v-w3407f3_ZU)")</f>
        <v>pátrat (v-w3407f3_ZU)</v>
      </c>
    </row>
    <row r="34144" customFormat="false" ht="12.8" hidden="false" customHeight="false" outlineLevel="0" collapsed="false">
      <c r="B34144" s="0" t="s">
        <v>1</v>
      </c>
    </row>
    <row r="34145" customFormat="false" ht="12.8" hidden="false" customHeight="false" outlineLevel="0" collapsed="false">
      <c r="B34145" s="0" t="s">
        <v>13058</v>
      </c>
    </row>
    <row r="34147" customFormat="false" ht="12.8" hidden="false" customHeight="false" outlineLevel="0" collapsed="false">
      <c r="A34147" s="0" t="s">
        <v>13057</v>
      </c>
      <c r="B34147" s="0" t="str">
        <f aca="false">HYPERLINK("https://lindat.mff.cuni.cz/services/teitok/pdtc10/index.php?action=vallex&amp;frame=v-w3407f1", "pátrat (v-w3407f1) - substituted with v-w3407f3_ZU")</f>
        <v>pátrat (v-w3407f1) - substituted with v-w3407f3_ZU</v>
      </c>
      <c r="E34147" s="0" t="str">
        <f aca="false">HYPERLINK("https://lindat.mff.cuni.cz/services/SynSemClass40/SynSemClass40.html?veclass=vec00021#vec00021-ces-cm00023", "vec00021")</f>
        <v>vec00021</v>
      </c>
      <c r="F34147" s="0" t="s">
        <v>2261</v>
      </c>
    </row>
    <row r="34148" customFormat="false" ht="12.8" hidden="false" customHeight="false" outlineLevel="0" collapsed="false">
      <c r="B34148" s="0" t="s">
        <v>1</v>
      </c>
      <c r="C34148" s="0" t="s">
        <v>2262</v>
      </c>
      <c r="E34148" s="0" t="s">
        <v>2263</v>
      </c>
      <c r="F34148" s="0" t="s">
        <v>2264</v>
      </c>
    </row>
    <row r="34149" customFormat="false" ht="12.8" hidden="false" customHeight="false" outlineLevel="0" collapsed="false">
      <c r="B34149" s="0" t="s">
        <v>13058</v>
      </c>
      <c r="C34149" s="0" t="s">
        <v>2266</v>
      </c>
      <c r="E34149" s="0" t="s">
        <v>2267</v>
      </c>
      <c r="F34149" s="0" t="s">
        <v>2268</v>
      </c>
    </row>
    <row r="34151" customFormat="false" ht="12.8" hidden="false" customHeight="false" outlineLevel="0" collapsed="false">
      <c r="A34151" s="0" t="s">
        <v>13057</v>
      </c>
      <c r="B34151" s="0" t="str">
        <f aca="false">HYPERLINK("https://lindat.mff.cuni.cz/services/teitok/pdtc10/index.php?action=vallex&amp;frame=v-w3407f2_ZU", "pátrat (v-w3407f2_ZU) - substituted with v-w3407f3_ZU")</f>
        <v>pátrat (v-w3407f2_ZU) - substituted with v-w3407f3_ZU</v>
      </c>
    </row>
    <row r="34152" customFormat="false" ht="12.8" hidden="false" customHeight="false" outlineLevel="0" collapsed="false">
      <c r="B34152" s="0" t="s">
        <v>1</v>
      </c>
    </row>
    <row r="34153" customFormat="false" ht="12.8" hidden="false" customHeight="false" outlineLevel="0" collapsed="false">
      <c r="B34153" s="0" t="s">
        <v>13058</v>
      </c>
    </row>
    <row r="34155" customFormat="false" ht="12.8" hidden="false" customHeight="false" outlineLevel="0" collapsed="false">
      <c r="A34155" s="0" t="s">
        <v>13059</v>
      </c>
      <c r="B34155" s="0" t="str">
        <f aca="false">HYPERLINK("https://lindat.mff.cuni.cz/services/teitok/pdtc10/index.php?action=vallex&amp;frame=v-w3413f3_ZU", "péci (v-w3413f3_ZU)")</f>
        <v>péci (v-w3413f3_ZU)</v>
      </c>
    </row>
    <row r="34156" customFormat="false" ht="12.8" hidden="false" customHeight="false" outlineLevel="0" collapsed="false">
      <c r="B34156" s="0" t="s">
        <v>1</v>
      </c>
    </row>
    <row r="34157" customFormat="false" ht="12.8" hidden="false" customHeight="false" outlineLevel="0" collapsed="false">
      <c r="B34157" s="0" t="s">
        <v>8</v>
      </c>
    </row>
    <row r="34158" customFormat="false" ht="12.8" hidden="false" customHeight="false" outlineLevel="0" collapsed="false">
      <c r="B34158" s="0" t="s">
        <v>36</v>
      </c>
    </row>
    <row r="34160" customFormat="false" ht="12.8" hidden="false" customHeight="false" outlineLevel="0" collapsed="false">
      <c r="A34160" s="0" t="s">
        <v>13059</v>
      </c>
      <c r="B34160" s="0" t="str">
        <f aca="false">HYPERLINK("https://lindat.mff.cuni.cz/services/teitok/pdtc10/index.php?action=vallex&amp;frame=v-w3413f1", "péci (v-w3413f1) - substituted with v-w3413f3_ZU")</f>
        <v>péci (v-w3413f1) - substituted with v-w3413f3_ZU</v>
      </c>
    </row>
    <row r="34161" customFormat="false" ht="12.8" hidden="false" customHeight="false" outlineLevel="0" collapsed="false">
      <c r="B34161" s="0" t="s">
        <v>1</v>
      </c>
    </row>
    <row r="34162" customFormat="false" ht="12.8" hidden="false" customHeight="false" outlineLevel="0" collapsed="false">
      <c r="B34162" s="0" t="s">
        <v>8</v>
      </c>
    </row>
    <row r="34163" customFormat="false" ht="12.8" hidden="false" customHeight="false" outlineLevel="0" collapsed="false">
      <c r="B34163" s="0" t="s">
        <v>36</v>
      </c>
    </row>
    <row r="34165" customFormat="false" ht="12.8" hidden="false" customHeight="false" outlineLevel="0" collapsed="false">
      <c r="A34165" s="0" t="s">
        <v>13060</v>
      </c>
      <c r="B34165" s="0" t="str">
        <f aca="false">HYPERLINK("https://lindat.mff.cuni.cz/services/teitok/pdtc10/index.php?action=vallex&amp;frame=v-w3413f2_ZU", "péci (v-w3413f2_ZU)")</f>
        <v>péci (v-w3413f2_ZU)</v>
      </c>
    </row>
    <row r="34166" customFormat="false" ht="12.8" hidden="false" customHeight="false" outlineLevel="0" collapsed="false">
      <c r="B34166" s="0" t="s">
        <v>1</v>
      </c>
    </row>
    <row r="34167" customFormat="false" ht="12.8" hidden="false" customHeight="false" outlineLevel="0" collapsed="false">
      <c r="B34167" s="0" t="s">
        <v>8</v>
      </c>
    </row>
    <row r="34169" customFormat="false" ht="12.8" hidden="false" customHeight="false" outlineLevel="0" collapsed="false">
      <c r="A34169" s="0" t="s">
        <v>13061</v>
      </c>
      <c r="B34169" s="0" t="str">
        <f aca="false">HYPERLINK("https://lindat.mff.cuni.cz/services/teitok/pdtc10/index.php?action=vallex&amp;frame=v-w3437f3", "píchat (v-w3437f3)")</f>
        <v>píchat (v-w3437f3)</v>
      </c>
    </row>
    <row r="34170" customFormat="false" ht="12.8" hidden="false" customHeight="false" outlineLevel="0" collapsed="false">
      <c r="B34170" s="0" t="s">
        <v>1</v>
      </c>
    </row>
    <row r="34171" customFormat="false" ht="12.8" hidden="false" customHeight="false" outlineLevel="0" collapsed="false">
      <c r="B34171" s="0" t="s">
        <v>8</v>
      </c>
    </row>
    <row r="34172" customFormat="false" ht="12.8" hidden="false" customHeight="false" outlineLevel="0" collapsed="false">
      <c r="B34172" s="0" t="s">
        <v>164</v>
      </c>
    </row>
    <row r="34174" customFormat="false" ht="12.8" hidden="false" customHeight="false" outlineLevel="0" collapsed="false">
      <c r="A34174" s="0" t="s">
        <v>13062</v>
      </c>
      <c r="B34174" s="0" t="str">
        <f aca="false">HYPERLINK("https://lindat.mff.cuni.cz/services/teitok/pdtc10/index.php?action=vallex&amp;frame=v-w3437f1", "píchat (v-w3437f1)")</f>
        <v>píchat (v-w3437f1)</v>
      </c>
    </row>
    <row r="34175" customFormat="false" ht="12.8" hidden="false" customHeight="false" outlineLevel="0" collapsed="false">
      <c r="B34175" s="0" t="s">
        <v>1</v>
      </c>
    </row>
    <row r="34176" customFormat="false" ht="12.8" hidden="false" customHeight="false" outlineLevel="0" collapsed="false">
      <c r="B34176" s="0" t="s">
        <v>8</v>
      </c>
    </row>
    <row r="34178" customFormat="false" ht="12.8" hidden="false" customHeight="false" outlineLevel="0" collapsed="false">
      <c r="A34178" s="0" t="s">
        <v>13063</v>
      </c>
      <c r="B34178" s="0" t="str">
        <f aca="false">HYPERLINK("https://lindat.mff.cuni.cz/services/teitok/pdtc10/index.php?action=vallex&amp;frame=v-w3437f2", "píchat (v-w3437f2)")</f>
        <v>píchat (v-w3437f2)</v>
      </c>
    </row>
    <row r="34179" customFormat="false" ht="12.8" hidden="false" customHeight="false" outlineLevel="0" collapsed="false">
      <c r="B34179" s="0" t="s">
        <v>264</v>
      </c>
    </row>
    <row r="34180" customFormat="false" ht="12.8" hidden="false" customHeight="false" outlineLevel="0" collapsed="false">
      <c r="B34180" s="0" t="s">
        <v>5</v>
      </c>
    </row>
    <row r="34182" customFormat="false" ht="12.8" hidden="false" customHeight="false" outlineLevel="0" collapsed="false">
      <c r="A34182" s="0" t="s">
        <v>13064</v>
      </c>
      <c r="B34182" s="0" t="str">
        <f aca="false">HYPERLINK("https://lindat.mff.cuni.cz/services/teitok/pdtc10/index.php?action=vallex&amp;frame=v-w3437f4_ZU", "píchat (v-w3437f4_ZU)")</f>
        <v>píchat (v-w3437f4_ZU)</v>
      </c>
    </row>
    <row r="34183" customFormat="false" ht="12.8" hidden="false" customHeight="false" outlineLevel="0" collapsed="false">
      <c r="B34183" s="0" t="s">
        <v>1</v>
      </c>
    </row>
    <row r="34184" customFormat="false" ht="12.8" hidden="false" customHeight="false" outlineLevel="0" collapsed="false">
      <c r="B34184" s="0" t="s">
        <v>132</v>
      </c>
    </row>
    <row r="34185" customFormat="false" ht="12.8" hidden="false" customHeight="false" outlineLevel="0" collapsed="false">
      <c r="B34185" s="0" t="s">
        <v>8</v>
      </c>
    </row>
    <row r="34187" customFormat="false" ht="12.8" hidden="false" customHeight="false" outlineLevel="0" collapsed="false">
      <c r="A34187" s="0" t="s">
        <v>13065</v>
      </c>
      <c r="B34187" s="0" t="str">
        <f aca="false">HYPERLINK("https://lindat.mff.cuni.cz/services/teitok/pdtc10/index.php?action=vallex&amp;frame=v-w3438f1", "píchnout (v-w3438f1)")</f>
        <v>píchnout (v-w3438f1)</v>
      </c>
    </row>
    <row r="34188" customFormat="false" ht="12.8" hidden="false" customHeight="false" outlineLevel="0" collapsed="false">
      <c r="B34188" s="0" t="s">
        <v>1</v>
      </c>
    </row>
    <row r="34189" customFormat="false" ht="12.8" hidden="false" customHeight="false" outlineLevel="0" collapsed="false">
      <c r="B34189" s="0" t="s">
        <v>8</v>
      </c>
    </row>
    <row r="34191" customFormat="false" ht="12.8" hidden="false" customHeight="false" outlineLevel="0" collapsed="false">
      <c r="A34191" s="0" t="s">
        <v>13066</v>
      </c>
      <c r="B34191" s="0" t="str">
        <f aca="false">HYPERLINK("https://lindat.mff.cuni.cz/services/teitok/pdtc10/index.php?action=vallex&amp;frame=v-w3438f2", "píchnout (v-w3438f2)")</f>
        <v>píchnout (v-w3438f2)</v>
      </c>
      <c r="E34191" s="0" t="str">
        <f aca="false">HYPERLINK("https://lindat.mff.cuni.cz/services/SynSemClass40/SynSemClass40.html?veclass=vec00932#vec00932-ces-cm00013", "vec00932")</f>
        <v>vec00932</v>
      </c>
      <c r="F34191" s="0" t="s">
        <v>4723</v>
      </c>
    </row>
    <row r="34192" customFormat="false" ht="12.8" hidden="false" customHeight="false" outlineLevel="0" collapsed="false">
      <c r="B34192" s="0" t="s">
        <v>1</v>
      </c>
      <c r="C34192" s="0" t="s">
        <v>3000</v>
      </c>
      <c r="E34192" s="0" t="s">
        <v>4726</v>
      </c>
      <c r="F34192" s="0" t="s">
        <v>4727</v>
      </c>
    </row>
    <row r="34193" customFormat="false" ht="12.8" hidden="false" customHeight="false" outlineLevel="0" collapsed="false">
      <c r="B34193" s="0" t="s">
        <v>164</v>
      </c>
      <c r="E34193" s="0" t="s">
        <v>370</v>
      </c>
      <c r="F34193" s="0" t="s">
        <v>3041</v>
      </c>
    </row>
    <row r="34194" customFormat="false" ht="12.8" hidden="false" customHeight="false" outlineLevel="0" collapsed="false">
      <c r="B34194" s="0" t="s">
        <v>390</v>
      </c>
      <c r="C34194" s="0" t="s">
        <v>639</v>
      </c>
      <c r="E34194" s="0" t="s">
        <v>514</v>
      </c>
      <c r="F34194" s="0" t="s">
        <v>4730</v>
      </c>
    </row>
    <row r="34196" customFormat="false" ht="12.8" hidden="false" customHeight="false" outlineLevel="0" collapsed="false">
      <c r="A34196" s="0" t="s">
        <v>13067</v>
      </c>
      <c r="B34196" s="0" t="str">
        <f aca="false">HYPERLINK("https://lindat.mff.cuni.cz/services/teitok/pdtc10/index.php?action=vallex&amp;frame=v-w3438hsa_1447", "píchnout (v-w3438hsa_1447)")</f>
        <v>píchnout (v-w3438hsa_1447)</v>
      </c>
    </row>
    <row r="34197" customFormat="false" ht="12.8" hidden="false" customHeight="false" outlineLevel="0" collapsed="false">
      <c r="B34197" s="0" t="s">
        <v>1</v>
      </c>
    </row>
    <row r="34198" customFormat="false" ht="12.8" hidden="false" customHeight="false" outlineLevel="0" collapsed="false">
      <c r="B34198" s="0" t="s">
        <v>8</v>
      </c>
    </row>
    <row r="34200" customFormat="false" ht="12.8" hidden="false" customHeight="false" outlineLevel="0" collapsed="false">
      <c r="A34200" s="0" t="s">
        <v>13068</v>
      </c>
      <c r="B34200" s="0" t="str">
        <f aca="false">HYPERLINK("https://lindat.mff.cuni.cz/services/teitok/pdtc10/index.php?action=vallex&amp;frame=v-whsa_290hsa_291", "píct (v-whsa_290hsa_291)")</f>
        <v>píct (v-whsa_290hsa_291)</v>
      </c>
    </row>
    <row r="34201" customFormat="false" ht="12.8" hidden="false" customHeight="false" outlineLevel="0" collapsed="false">
      <c r="B34201" s="0" t="s">
        <v>1</v>
      </c>
    </row>
    <row r="34202" customFormat="false" ht="12.8" hidden="false" customHeight="false" outlineLevel="0" collapsed="false">
      <c r="B34202" s="0" t="s">
        <v>721</v>
      </c>
    </row>
    <row r="34204" customFormat="false" ht="12.8" hidden="false" customHeight="false" outlineLevel="0" collapsed="false">
      <c r="A34204" s="0" t="s">
        <v>13069</v>
      </c>
      <c r="B34204" s="0" t="str">
        <f aca="false">HYPERLINK("https://lindat.mff.cuni.cz/services/teitok/pdtc10/index.php?action=vallex&amp;frame=v-w3434f1", "pídit se (v-w3434f1)")</f>
        <v>pídit se (v-w3434f1)</v>
      </c>
    </row>
    <row r="34205" customFormat="false" ht="12.8" hidden="false" customHeight="false" outlineLevel="0" collapsed="false">
      <c r="B34205" s="0" t="s">
        <v>1</v>
      </c>
    </row>
    <row r="34206" customFormat="false" ht="12.8" hidden="false" customHeight="false" outlineLevel="0" collapsed="false">
      <c r="B34206" s="0" t="s">
        <v>1659</v>
      </c>
    </row>
    <row r="34208" customFormat="false" ht="12.8" hidden="false" customHeight="false" outlineLevel="0" collapsed="false">
      <c r="A34208" s="0" t="s">
        <v>13070</v>
      </c>
      <c r="B34208" s="0" t="str">
        <f aca="false">HYPERLINK("https://lindat.mff.cuni.cz/services/teitok/pdtc10/index.php?action=vallex&amp;frame=v-w11034f2", "pípat (v-w11034f2)")</f>
        <v>pípat (v-w11034f2)</v>
      </c>
    </row>
    <row r="34209" customFormat="false" ht="12.8" hidden="false" customHeight="false" outlineLevel="0" collapsed="false">
      <c r="B34209" s="0" t="s">
        <v>1</v>
      </c>
    </row>
    <row r="34211" customFormat="false" ht="12.8" hidden="false" customHeight="false" outlineLevel="0" collapsed="false">
      <c r="A34211" s="0" t="s">
        <v>13071</v>
      </c>
      <c r="B34211" s="0" t="str">
        <f aca="false">HYPERLINK("https://lindat.mff.cuni.cz/services/teitok/pdtc10/index.php?action=vallex&amp;frame=v-w3446f1", "pískat (v-w3446f1)")</f>
        <v>pískat (v-w3446f1)</v>
      </c>
    </row>
    <row r="34212" customFormat="false" ht="12.8" hidden="false" customHeight="false" outlineLevel="0" collapsed="false">
      <c r="B34212" s="0" t="s">
        <v>1</v>
      </c>
    </row>
    <row r="34213" customFormat="false" ht="12.8" hidden="false" customHeight="false" outlineLevel="0" collapsed="false">
      <c r="B34213" s="0" t="s">
        <v>8</v>
      </c>
    </row>
    <row r="34215" customFormat="false" ht="12.8" hidden="false" customHeight="false" outlineLevel="0" collapsed="false">
      <c r="A34215" s="0" t="s">
        <v>13072</v>
      </c>
      <c r="B34215" s="0" t="str">
        <f aca="false">HYPERLINK("https://lindat.mff.cuni.cz/services/teitok/pdtc10/index.php?action=vallex&amp;frame=v-w3446f2", "pískat (v-w3446f2)")</f>
        <v>pískat (v-w3446f2)</v>
      </c>
      <c r="E34215" s="0" t="str">
        <f aca="false">HYPERLINK("https://lindat.mff.cuni.cz/services/SynSemClass40/SynSemClass40.html?veclass=vec01398#vec01398-ces-cm00003", "vec01398")</f>
        <v>vec01398</v>
      </c>
      <c r="F34215" s="0" t="s">
        <v>4694</v>
      </c>
    </row>
    <row r="34216" customFormat="false" ht="12.8" hidden="false" customHeight="false" outlineLevel="0" collapsed="false">
      <c r="B34216" s="0" t="s">
        <v>1</v>
      </c>
      <c r="C34216" s="0" t="s">
        <v>4695</v>
      </c>
      <c r="E34216" s="0" t="s">
        <v>147</v>
      </c>
      <c r="F34216" s="0" t="s">
        <v>4696</v>
      </c>
    </row>
    <row r="34218" customFormat="false" ht="12.8" hidden="false" customHeight="false" outlineLevel="0" collapsed="false">
      <c r="A34218" s="0" t="s">
        <v>13073</v>
      </c>
      <c r="B34218" s="0" t="str">
        <f aca="false">HYPERLINK("https://lindat.mff.cuni.cz/services/teitok/pdtc10/index.php?action=vallex&amp;frame=v-w3447f1", "písknout (v-w3447f1)")</f>
        <v>písknout (v-w3447f1)</v>
      </c>
    </row>
    <row r="34219" customFormat="false" ht="12.8" hidden="false" customHeight="false" outlineLevel="0" collapsed="false">
      <c r="B34219" s="0" t="s">
        <v>1</v>
      </c>
    </row>
    <row r="34220" customFormat="false" ht="12.8" hidden="false" customHeight="false" outlineLevel="0" collapsed="false">
      <c r="B34220" s="0" t="s">
        <v>8</v>
      </c>
    </row>
    <row r="34222" customFormat="false" ht="12.8" hidden="false" customHeight="false" outlineLevel="0" collapsed="false">
      <c r="A34222" s="0" t="s">
        <v>13074</v>
      </c>
      <c r="B34222" s="0" t="str">
        <f aca="false">HYPERLINK("https://lindat.mff.cuni.cz/services/teitok/pdtc10/index.php?action=vallex&amp;frame=v-w3450f1", "pít (v-w3450f1)")</f>
        <v>pít (v-w3450f1)</v>
      </c>
      <c r="E34222" s="0" t="str">
        <f aca="false">HYPERLINK("https://lindat.mff.cuni.cz/services/SynSemClass40/SynSemClass40.html?veclass=vec00866#vec00866-ces-cm00001", "vec00866")</f>
        <v>vec00866</v>
      </c>
      <c r="F34222" s="0" t="s">
        <v>4327</v>
      </c>
    </row>
    <row r="34223" customFormat="false" ht="12.8" hidden="false" customHeight="false" outlineLevel="0" collapsed="false">
      <c r="B34223" s="0" t="s">
        <v>1</v>
      </c>
      <c r="C34223" s="0" t="s">
        <v>106</v>
      </c>
      <c r="E34223" s="0" t="s">
        <v>658</v>
      </c>
      <c r="F34223" s="0" t="s">
        <v>4330</v>
      </c>
    </row>
    <row r="34224" customFormat="false" ht="12.8" hidden="false" customHeight="false" outlineLevel="0" collapsed="false">
      <c r="B34224" s="0" t="s">
        <v>8</v>
      </c>
      <c r="C34224" s="0" t="s">
        <v>449</v>
      </c>
      <c r="E34224" s="0" t="s">
        <v>661</v>
      </c>
      <c r="F34224" s="0" t="s">
        <v>4333</v>
      </c>
    </row>
    <row r="34226" customFormat="false" ht="12.8" hidden="false" customHeight="false" outlineLevel="0" collapsed="false">
      <c r="A34226" s="0" t="s">
        <v>13075</v>
      </c>
      <c r="B34226" s="0" t="str">
        <f aca="false">HYPERLINK("https://lindat.mff.cuni.cz/services/teitok/pdtc10/index.php?action=vallex&amp;frame=v-w3450hsa_1257", "pít (v-w3450hsa_1257)")</f>
        <v>pít (v-w3450hsa_1257)</v>
      </c>
      <c r="E34226" s="0" t="str">
        <f aca="false">HYPERLINK("https://lindat.mff.cuni.cz/services/SynSemClass40/SynSemClass40.html?veclass=vec00866#vec00866-ces-cm00002", "vec00866")</f>
        <v>vec00866</v>
      </c>
      <c r="F34226" s="0" t="s">
        <v>4327</v>
      </c>
    </row>
    <row r="34227" customFormat="false" ht="12.8" hidden="false" customHeight="false" outlineLevel="0" collapsed="false">
      <c r="B34227" s="0" t="s">
        <v>1</v>
      </c>
      <c r="C34227" s="0" t="s">
        <v>106</v>
      </c>
      <c r="E34227" s="0" t="s">
        <v>658</v>
      </c>
      <c r="F34227" s="0" t="s">
        <v>4330</v>
      </c>
    </row>
    <row r="34229" customFormat="false" ht="12.8" hidden="false" customHeight="false" outlineLevel="0" collapsed="false">
      <c r="A34229" s="0" t="s">
        <v>13076</v>
      </c>
      <c r="B34229" s="0" t="str">
        <f aca="false">HYPERLINK("https://lindat.mff.cuni.cz/services/teitok/pdtc10/index.php?action=vallex&amp;frame=v-w4218f1", "pózovat (v-w4218f1)")</f>
        <v>pózovat (v-w4218f1)</v>
      </c>
    </row>
    <row r="34230" customFormat="false" ht="12.8" hidden="false" customHeight="false" outlineLevel="0" collapsed="false">
      <c r="B34230" s="0" t="s">
        <v>1</v>
      </c>
    </row>
    <row r="34232" customFormat="false" ht="12.8" hidden="false" customHeight="false" outlineLevel="0" collapsed="false">
      <c r="A34232" s="0" t="s">
        <v>13077</v>
      </c>
      <c r="B34232" s="0" t="str">
        <f aca="false">HYPERLINK("https://lindat.mff.cuni.cz/services/teitok/pdtc10/index.php?action=vallex&amp;frame=v-w3431f1", "pěstovat (v-w3431f1)")</f>
        <v>pěstovat (v-w3431f1)</v>
      </c>
      <c r="E34232" s="0" t="str">
        <f aca="false">HYPERLINK("https://lindat.mff.cuni.cz/services/SynSemClass40/SynSemClass40.html?veclass=vec00468#vec00468-ces-cm00001", "vec00468")</f>
        <v>vec00468</v>
      </c>
      <c r="F34232" s="0" t="s">
        <v>1440</v>
      </c>
    </row>
    <row r="34233" customFormat="false" ht="12.8" hidden="false" customHeight="false" outlineLevel="0" collapsed="false">
      <c r="B34233" s="0" t="s">
        <v>1</v>
      </c>
      <c r="C34233" s="0" t="s">
        <v>333</v>
      </c>
      <c r="E34233" s="0" t="s">
        <v>1441</v>
      </c>
      <c r="F34233" s="0" t="s">
        <v>1442</v>
      </c>
    </row>
    <row r="34234" customFormat="false" ht="12.8" hidden="false" customHeight="false" outlineLevel="0" collapsed="false">
      <c r="B34234" s="0" t="s">
        <v>8</v>
      </c>
      <c r="C34234" s="0" t="s">
        <v>1443</v>
      </c>
      <c r="E34234" s="0" t="s">
        <v>1444</v>
      </c>
      <c r="F34234" s="0" t="s">
        <v>1445</v>
      </c>
    </row>
    <row r="34236" customFormat="false" ht="12.8" hidden="false" customHeight="false" outlineLevel="0" collapsed="false">
      <c r="A34236" s="0" t="s">
        <v>13078</v>
      </c>
      <c r="B34236" s="0" t="str">
        <f aca="false">HYPERLINK("https://lindat.mff.cuni.cz/services/teitok/pdtc10/index.php?action=vallex&amp;frame=v-w3431hsa_1255", "pěstovat (v-w3431hsa_1255)")</f>
        <v>pěstovat (v-w3431hsa_1255)</v>
      </c>
    </row>
    <row r="34237" customFormat="false" ht="12.8" hidden="false" customHeight="false" outlineLevel="0" collapsed="false">
      <c r="B34237" s="0" t="s">
        <v>1</v>
      </c>
    </row>
    <row r="34238" customFormat="false" ht="12.8" hidden="false" customHeight="false" outlineLevel="0" collapsed="false">
      <c r="B34238" s="0" t="s">
        <v>8</v>
      </c>
    </row>
    <row r="34240" customFormat="false" ht="12.8" hidden="false" customHeight="false" outlineLevel="0" collapsed="false">
      <c r="A34240" s="0" t="s">
        <v>13079</v>
      </c>
      <c r="B34240" s="0" t="str">
        <f aca="false">HYPERLINK("https://lindat.mff.cuni.cz/services/teitok/pdtc10/index.php?action=vallex&amp;frame=v-w12075_ZUf1_ZU", "pěstovat si (v-w12075_ZUf1_ZU)")</f>
        <v>pěstovat si (v-w12075_ZUf1_ZU)</v>
      </c>
    </row>
    <row r="34241" customFormat="false" ht="12.8" hidden="false" customHeight="false" outlineLevel="0" collapsed="false">
      <c r="B34241" s="0" t="s">
        <v>1</v>
      </c>
    </row>
    <row r="34242" customFormat="false" ht="12.8" hidden="false" customHeight="false" outlineLevel="0" collapsed="false">
      <c r="B34242" s="0" t="s">
        <v>8</v>
      </c>
    </row>
    <row r="34244" customFormat="false" ht="12.8" hidden="false" customHeight="false" outlineLevel="0" collapsed="false">
      <c r="A34244" s="0" t="s">
        <v>13080</v>
      </c>
      <c r="B34244" s="0" t="str">
        <f aca="false">HYPERLINK("https://lindat.mff.cuni.cz/services/teitok/pdtc10/index.php?action=vallex&amp;frame=v-whsa_1312hsa_1313", "pěstovávat (v-whsa_1312hsa_1313)")</f>
        <v>pěstovávat (v-whsa_1312hsa_1313)</v>
      </c>
    </row>
    <row r="34245" customFormat="false" ht="12.8" hidden="false" customHeight="false" outlineLevel="0" collapsed="false">
      <c r="B34245" s="0" t="s">
        <v>1</v>
      </c>
    </row>
    <row r="34246" customFormat="false" ht="12.8" hidden="false" customHeight="false" outlineLevel="0" collapsed="false">
      <c r="B34246" s="0" t="s">
        <v>8</v>
      </c>
    </row>
    <row r="34248" customFormat="false" ht="12.8" hidden="false" customHeight="false" outlineLevel="0" collapsed="false">
      <c r="A34248" s="0" t="s">
        <v>13081</v>
      </c>
      <c r="B34248" s="0" t="str">
        <f aca="false">HYPERLINK("https://lindat.mff.cuni.cz/services/teitok/pdtc10/index.php?action=vallex&amp;frame=v-w3432f5", "pět (v-w3432f5)")</f>
        <v>pět (v-w3432f5)</v>
      </c>
    </row>
    <row r="34249" customFormat="false" ht="12.8" hidden="false" customHeight="false" outlineLevel="0" collapsed="false">
      <c r="B34249" s="0" t="s">
        <v>1</v>
      </c>
    </row>
    <row r="34250" customFormat="false" ht="12.8" hidden="false" customHeight="false" outlineLevel="0" collapsed="false">
      <c r="B34250" s="0" t="s">
        <v>8</v>
      </c>
    </row>
    <row r="34251" customFormat="false" ht="12.8" hidden="false" customHeight="false" outlineLevel="0" collapsed="false">
      <c r="B34251" s="0" t="s">
        <v>132</v>
      </c>
    </row>
    <row r="34253" customFormat="false" ht="12.8" hidden="false" customHeight="false" outlineLevel="0" collapsed="false">
      <c r="A34253" s="0" t="s">
        <v>13082</v>
      </c>
      <c r="B34253" s="0" t="str">
        <f aca="false">HYPERLINK("https://lindat.mff.cuni.cz/services/teitok/pdtc10/index.php?action=vallex&amp;frame=v-w3432f2", "pět (v-w3432f2)")</f>
        <v>pět (v-w3432f2)</v>
      </c>
    </row>
    <row r="34254" customFormat="false" ht="12.8" hidden="false" customHeight="false" outlineLevel="0" collapsed="false">
      <c r="B34254" s="0" t="s">
        <v>1</v>
      </c>
    </row>
    <row r="34255" customFormat="false" ht="12.8" hidden="false" customHeight="false" outlineLevel="0" collapsed="false">
      <c r="B34255" s="0" t="s">
        <v>318</v>
      </c>
    </row>
    <row r="34256" customFormat="false" ht="12.8" hidden="false" customHeight="false" outlineLevel="0" collapsed="false">
      <c r="B34256" s="0" t="s">
        <v>132</v>
      </c>
    </row>
    <row r="34258" customFormat="false" ht="12.8" hidden="false" customHeight="false" outlineLevel="0" collapsed="false">
      <c r="A34258" s="0" t="s">
        <v>13083</v>
      </c>
      <c r="B34258" s="0" t="str">
        <f aca="false">HYPERLINK("https://lindat.mff.cuni.cz/services/teitok/pdtc10/index.php?action=vallex&amp;frame=v-w3432hsa_1074", "pět (v-w3432hsa_1074)")</f>
        <v>pět (v-w3432hsa_1074)</v>
      </c>
    </row>
    <row r="34259" customFormat="false" ht="12.8" hidden="false" customHeight="false" outlineLevel="0" collapsed="false">
      <c r="B34259" s="0" t="s">
        <v>1</v>
      </c>
    </row>
    <row r="34260" customFormat="false" ht="12.8" hidden="false" customHeight="false" outlineLevel="0" collapsed="false">
      <c r="B34260" s="0" t="s">
        <v>13084</v>
      </c>
    </row>
    <row r="34261" customFormat="false" ht="12.8" hidden="false" customHeight="false" outlineLevel="0" collapsed="false">
      <c r="B34261" s="0" t="s">
        <v>319</v>
      </c>
    </row>
    <row r="34263" customFormat="false" ht="12.8" hidden="false" customHeight="false" outlineLevel="0" collapsed="false">
      <c r="A34263" s="0" t="s">
        <v>13083</v>
      </c>
      <c r="B34263" s="0" t="str">
        <f aca="false">HYPERLINK("https://lindat.mff.cuni.cz/services/teitok/pdtc10/index.php?action=vallex&amp;frame=v-w3432f4", "pět (v-w3432f4) - substituted with v-w3432hsa_1074")</f>
        <v>pět (v-w3432f4) - substituted with v-w3432hsa_1074</v>
      </c>
    </row>
    <row r="34264" customFormat="false" ht="12.8" hidden="false" customHeight="false" outlineLevel="0" collapsed="false">
      <c r="B34264" s="0" t="s">
        <v>1</v>
      </c>
    </row>
    <row r="34265" customFormat="false" ht="12.8" hidden="false" customHeight="false" outlineLevel="0" collapsed="false">
      <c r="B34265" s="0" t="s">
        <v>13084</v>
      </c>
    </row>
    <row r="34266" customFormat="false" ht="12.8" hidden="false" customHeight="false" outlineLevel="0" collapsed="false">
      <c r="B34266" s="0" t="s">
        <v>319</v>
      </c>
    </row>
    <row r="34268" customFormat="false" ht="12.8" hidden="false" customHeight="false" outlineLevel="0" collapsed="false">
      <c r="A34268" s="0" t="s">
        <v>13085</v>
      </c>
      <c r="B34268" s="0" t="str">
        <f aca="false">HYPERLINK("https://lindat.mff.cuni.cz/services/teitok/pdtc10/index.php?action=vallex&amp;frame=v-w3432f3", "pět (v-w3432f3)")</f>
        <v>pět (v-w3432f3)</v>
      </c>
    </row>
    <row r="34269" customFormat="false" ht="12.8" hidden="false" customHeight="false" outlineLevel="0" collapsed="false">
      <c r="B34269" s="0" t="s">
        <v>1</v>
      </c>
    </row>
    <row r="34270" customFormat="false" ht="12.8" hidden="false" customHeight="false" outlineLevel="0" collapsed="false">
      <c r="B34270" s="0" t="s">
        <v>6412</v>
      </c>
    </row>
    <row r="34271" customFormat="false" ht="12.8" hidden="false" customHeight="false" outlineLevel="0" collapsed="false">
      <c r="B34271" s="0" t="s">
        <v>496</v>
      </c>
    </row>
    <row r="34272" customFormat="false" ht="12.8" hidden="false" customHeight="false" outlineLevel="0" collapsed="false">
      <c r="B34272" s="0" t="s">
        <v>132</v>
      </c>
    </row>
    <row r="34274" customFormat="false" ht="12.8" hidden="false" customHeight="false" outlineLevel="0" collapsed="false">
      <c r="A34274" s="0" t="s">
        <v>13086</v>
      </c>
      <c r="B34274" s="0" t="str">
        <f aca="false">HYPERLINK("https://lindat.mff.cuni.cz/services/teitok/pdtc10/index.php?action=vallex&amp;frame=v-w3432f1", "pět (v-w3432f1)")</f>
        <v>pět (v-w3432f1)</v>
      </c>
    </row>
    <row r="34275" customFormat="false" ht="12.8" hidden="false" customHeight="false" outlineLevel="0" collapsed="false">
      <c r="B34275" s="0" t="s">
        <v>1</v>
      </c>
    </row>
    <row r="34277" customFormat="false" ht="12.8" hidden="false" customHeight="false" outlineLevel="0" collapsed="false">
      <c r="A34277" s="0" t="s">
        <v>13087</v>
      </c>
      <c r="B34277" s="0" t="str">
        <f aca="false">HYPERLINK("https://lindat.mff.cuni.cz/services/teitok/pdtc10/index.php?action=vallex&amp;frame=v-whsa_1130hsa_1131", "přebalit (v-whsa_1130hsa_1131)")</f>
        <v>přebalit (v-whsa_1130hsa_1131)</v>
      </c>
    </row>
    <row r="34278" customFormat="false" ht="12.8" hidden="false" customHeight="false" outlineLevel="0" collapsed="false">
      <c r="B34278" s="0" t="s">
        <v>1</v>
      </c>
    </row>
    <row r="34279" customFormat="false" ht="12.8" hidden="false" customHeight="false" outlineLevel="0" collapsed="false">
      <c r="B34279" s="0" t="s">
        <v>8</v>
      </c>
    </row>
    <row r="34281" customFormat="false" ht="12.8" hidden="false" customHeight="false" outlineLevel="0" collapsed="false">
      <c r="A34281" s="0" t="s">
        <v>13088</v>
      </c>
      <c r="B34281" s="0" t="str">
        <f aca="false">HYPERLINK("https://lindat.mff.cuni.cz/services/teitok/pdtc10/index.php?action=vallex&amp;frame=v-w11722_ZUf1_ZU", "přebalovat (v-w11722_ZUf1_ZU)")</f>
        <v>přebalovat (v-w11722_ZUf1_ZU)</v>
      </c>
    </row>
    <row r="34282" customFormat="false" ht="12.8" hidden="false" customHeight="false" outlineLevel="0" collapsed="false">
      <c r="B34282" s="0" t="s">
        <v>1</v>
      </c>
    </row>
    <row r="34283" customFormat="false" ht="12.8" hidden="false" customHeight="false" outlineLevel="0" collapsed="false">
      <c r="B34283" s="0" t="s">
        <v>8</v>
      </c>
    </row>
    <row r="34285" customFormat="false" ht="12.8" hidden="false" customHeight="false" outlineLevel="0" collapsed="false">
      <c r="A34285" s="0" t="s">
        <v>13089</v>
      </c>
      <c r="B34285" s="0" t="str">
        <f aca="false">HYPERLINK("https://lindat.mff.cuni.cz/services/teitok/pdtc10/index.php?action=vallex&amp;frame=v-w4674f1", "přebolet (v-w4674f1)")</f>
        <v>přebolet (v-w4674f1)</v>
      </c>
    </row>
    <row r="34286" customFormat="false" ht="12.8" hidden="false" customHeight="false" outlineLevel="0" collapsed="false">
      <c r="B34286" s="0" t="s">
        <v>1</v>
      </c>
    </row>
    <row r="34288" customFormat="false" ht="12.8" hidden="false" customHeight="false" outlineLevel="0" collapsed="false">
      <c r="A34288" s="0" t="s">
        <v>13090</v>
      </c>
      <c r="B34288" s="0" t="str">
        <f aca="false">HYPERLINK("https://lindat.mff.cuni.cz/services/teitok/pdtc10/index.php?action=vallex&amp;frame=v-w4675f1", "přebrat (v-w4675f1)")</f>
        <v>přebrat (v-w4675f1)</v>
      </c>
      <c r="E34288" s="0" t="str">
        <f aca="false">HYPERLINK("https://lindat.mff.cuni.cz/services/SynSemClass40/SynSemClass40.html?veclass=vec00189#vec00189-ces-cm00253", "vec00189")</f>
        <v>vec00189</v>
      </c>
      <c r="F34288" s="0" t="s">
        <v>2169</v>
      </c>
    </row>
    <row r="34289" customFormat="false" ht="12.8" hidden="false" customHeight="false" outlineLevel="0" collapsed="false">
      <c r="B34289" s="0" t="s">
        <v>1</v>
      </c>
      <c r="C34289" s="0" t="s">
        <v>2170</v>
      </c>
      <c r="E34289" s="0" t="s">
        <v>1567</v>
      </c>
      <c r="F34289" s="0" t="s">
        <v>2171</v>
      </c>
    </row>
    <row r="34290" customFormat="false" ht="12.8" hidden="false" customHeight="false" outlineLevel="0" collapsed="false">
      <c r="B34290" s="0" t="s">
        <v>8</v>
      </c>
      <c r="C34290" s="0" t="s">
        <v>2173</v>
      </c>
      <c r="E34290" s="0" t="s">
        <v>2111</v>
      </c>
      <c r="F34290" s="0" t="s">
        <v>2174</v>
      </c>
    </row>
    <row r="34291" customFormat="false" ht="12.8" hidden="false" customHeight="false" outlineLevel="0" collapsed="false">
      <c r="B34291" s="0" t="s">
        <v>602</v>
      </c>
      <c r="C34291" s="0" t="s">
        <v>2175</v>
      </c>
      <c r="E34291" s="0" t="s">
        <v>2176</v>
      </c>
      <c r="F34291" s="0" t="s">
        <v>2177</v>
      </c>
    </row>
    <row r="34293" customFormat="false" ht="12.8" hidden="false" customHeight="false" outlineLevel="0" collapsed="false">
      <c r="A34293" s="0" t="s">
        <v>13091</v>
      </c>
      <c r="B34293" s="0" t="str">
        <f aca="false">HYPERLINK("https://lindat.mff.cuni.cz/services/teitok/pdtc10/index.php?action=vallex&amp;frame=v-w4675f2_ZU", "přebrat (v-w4675f2_ZU)")</f>
        <v>přebrat (v-w4675f2_ZU)</v>
      </c>
    </row>
    <row r="34294" customFormat="false" ht="12.8" hidden="false" customHeight="false" outlineLevel="0" collapsed="false">
      <c r="B34294" s="0" t="s">
        <v>1</v>
      </c>
    </row>
    <row r="34295" customFormat="false" ht="12.8" hidden="false" customHeight="false" outlineLevel="0" collapsed="false">
      <c r="B34295" s="0" t="s">
        <v>13092</v>
      </c>
    </row>
    <row r="34296" customFormat="false" ht="12.8" hidden="false" customHeight="false" outlineLevel="0" collapsed="false">
      <c r="B34296" s="0" t="s">
        <v>8</v>
      </c>
    </row>
    <row r="34297" customFormat="false" ht="12.8" hidden="false" customHeight="false" outlineLevel="0" collapsed="false">
      <c r="B34297" s="0" t="s">
        <v>602</v>
      </c>
    </row>
    <row r="34299" customFormat="false" ht="12.8" hidden="false" customHeight="false" outlineLevel="0" collapsed="false">
      <c r="A34299" s="0" t="s">
        <v>13091</v>
      </c>
      <c r="B34299" s="0" t="str">
        <f aca="false">HYPERLINK("https://lindat.mff.cuni.cz/services/teitok/pdtc10/index.php?action=vallex&amp;frame=v-w4675hsa_164", "přebrat (v-w4675hsa_164) - substituted with v-w4675f2_ZU")</f>
        <v>přebrat (v-w4675hsa_164) - substituted with v-w4675f2_ZU</v>
      </c>
    </row>
    <row r="34300" customFormat="false" ht="12.8" hidden="false" customHeight="false" outlineLevel="0" collapsed="false">
      <c r="B34300" s="0" t="s">
        <v>1</v>
      </c>
    </row>
    <row r="34301" customFormat="false" ht="12.8" hidden="false" customHeight="false" outlineLevel="0" collapsed="false">
      <c r="B34301" s="0" t="s">
        <v>13092</v>
      </c>
    </row>
    <row r="34302" customFormat="false" ht="12.8" hidden="false" customHeight="false" outlineLevel="0" collapsed="false">
      <c r="B34302" s="0" t="s">
        <v>8</v>
      </c>
    </row>
    <row r="34303" customFormat="false" ht="12.8" hidden="false" customHeight="false" outlineLevel="0" collapsed="false">
      <c r="B34303" s="0" t="s">
        <v>602</v>
      </c>
    </row>
    <row r="34305" customFormat="false" ht="12.8" hidden="false" customHeight="false" outlineLevel="0" collapsed="false">
      <c r="A34305" s="0" t="s">
        <v>13093</v>
      </c>
      <c r="B34305" s="0" t="str">
        <f aca="false">HYPERLINK("https://lindat.mff.cuni.cz/services/teitok/pdtc10/index.php?action=vallex&amp;frame=v-whsa_2016hsa_2017", "přebrodit (v-whsa_2016hsa_2017)")</f>
        <v>přebrodit (v-whsa_2016hsa_2017)</v>
      </c>
    </row>
    <row r="34306" customFormat="false" ht="12.8" hidden="false" customHeight="false" outlineLevel="0" collapsed="false">
      <c r="B34306" s="0" t="s">
        <v>1</v>
      </c>
    </row>
    <row r="34307" customFormat="false" ht="12.8" hidden="false" customHeight="false" outlineLevel="0" collapsed="false">
      <c r="B34307" s="0" t="s">
        <v>8</v>
      </c>
    </row>
    <row r="34309" customFormat="false" ht="12.8" hidden="false" customHeight="false" outlineLevel="0" collapsed="false">
      <c r="A34309" s="0" t="s">
        <v>13094</v>
      </c>
      <c r="B34309" s="0" t="str">
        <f aca="false">HYPERLINK("https://lindat.mff.cuni.cz/services/teitok/pdtc10/index.php?action=vallex&amp;frame=v-w4676f1", "přebudovat (v-w4676f1)")</f>
        <v>přebudovat (v-w4676f1)</v>
      </c>
    </row>
    <row r="34310" customFormat="false" ht="12.8" hidden="false" customHeight="false" outlineLevel="0" collapsed="false">
      <c r="B34310" s="0" t="s">
        <v>1</v>
      </c>
    </row>
    <row r="34311" customFormat="false" ht="12.8" hidden="false" customHeight="false" outlineLevel="0" collapsed="false">
      <c r="B34311" s="0" t="s">
        <v>8</v>
      </c>
    </row>
    <row r="34312" customFormat="false" ht="12.8" hidden="false" customHeight="false" outlineLevel="0" collapsed="false">
      <c r="B34312" s="0" t="s">
        <v>36</v>
      </c>
    </row>
    <row r="34313" customFormat="false" ht="12.8" hidden="false" customHeight="false" outlineLevel="0" collapsed="false">
      <c r="B34313" s="0" t="s">
        <v>101</v>
      </c>
    </row>
    <row r="34315" customFormat="false" ht="12.8" hidden="false" customHeight="false" outlineLevel="0" collapsed="false">
      <c r="A34315" s="0" t="s">
        <v>13095</v>
      </c>
      <c r="B34315" s="0" t="str">
        <f aca="false">HYPERLINK("https://lindat.mff.cuni.cz/services/teitok/pdtc10/index.php?action=vallex&amp;frame=v-w10915f2", "přebudovávat (v-w10915f2)")</f>
        <v>přebudovávat (v-w10915f2)</v>
      </c>
      <c r="E34315" s="0" t="str">
        <f aca="false">HYPERLINK("https://lindat.mff.cuni.cz/services/SynSemClass40/SynSemClass40.html?veclass=vec00095#vec00095-ces-cm00084", "vec00095")</f>
        <v>vec00095</v>
      </c>
      <c r="F34315" s="0" t="s">
        <v>29</v>
      </c>
    </row>
    <row r="34316" customFormat="false" ht="12.8" hidden="false" customHeight="false" outlineLevel="0" collapsed="false">
      <c r="B34316" s="0" t="s">
        <v>1</v>
      </c>
      <c r="C34316" s="0" t="s">
        <v>30</v>
      </c>
      <c r="E34316" s="0" t="s">
        <v>31</v>
      </c>
      <c r="F34316" s="0" t="s">
        <v>32</v>
      </c>
    </row>
    <row r="34317" customFormat="false" ht="12.8" hidden="false" customHeight="false" outlineLevel="0" collapsed="false">
      <c r="B34317" s="0" t="s">
        <v>8</v>
      </c>
      <c r="C34317" s="0" t="s">
        <v>33</v>
      </c>
      <c r="E34317" s="0" t="s">
        <v>34</v>
      </c>
      <c r="F34317" s="0" t="s">
        <v>35</v>
      </c>
    </row>
    <row r="34318" customFormat="false" ht="12.8" hidden="false" customHeight="false" outlineLevel="0" collapsed="false">
      <c r="B34318" s="0" t="s">
        <v>101</v>
      </c>
      <c r="C34318" s="0" t="s">
        <v>41</v>
      </c>
      <c r="E34318" s="0" t="s">
        <v>42</v>
      </c>
      <c r="F34318" s="0" t="s">
        <v>43</v>
      </c>
    </row>
    <row r="34320" customFormat="false" ht="12.8" hidden="false" customHeight="false" outlineLevel="0" collapsed="false">
      <c r="A34320" s="0" t="s">
        <v>13096</v>
      </c>
      <c r="B34320" s="0" t="str">
        <f aca="false">HYPERLINK("https://lindat.mff.cuni.cz/services/teitok/pdtc10/index.php?action=vallex&amp;frame=v-w10646f3", "přebásnit (v-w10646f3)")</f>
        <v>přebásnit (v-w10646f3)</v>
      </c>
    </row>
    <row r="34321" customFormat="false" ht="12.8" hidden="false" customHeight="false" outlineLevel="0" collapsed="false">
      <c r="B34321" s="0" t="s">
        <v>1</v>
      </c>
    </row>
    <row r="34322" customFormat="false" ht="12.8" hidden="false" customHeight="false" outlineLevel="0" collapsed="false">
      <c r="B34322" s="0" t="s">
        <v>8</v>
      </c>
    </row>
    <row r="34323" customFormat="false" ht="12.8" hidden="false" customHeight="false" outlineLevel="0" collapsed="false">
      <c r="B34323" s="0" t="s">
        <v>36</v>
      </c>
    </row>
    <row r="34324" customFormat="false" ht="12.8" hidden="false" customHeight="false" outlineLevel="0" collapsed="false">
      <c r="B34324" s="0" t="s">
        <v>4167</v>
      </c>
    </row>
    <row r="34326" customFormat="false" ht="12.8" hidden="false" customHeight="false" outlineLevel="0" collapsed="false">
      <c r="A34326" s="0" t="s">
        <v>13097</v>
      </c>
      <c r="B34326" s="0" t="str">
        <f aca="false">HYPERLINK("https://lindat.mff.cuni.cz/services/teitok/pdtc10/index.php?action=vallex&amp;frame=v-w4670f2", "přebíhat (v-w4670f2)")</f>
        <v>přebíhat (v-w4670f2)</v>
      </c>
    </row>
    <row r="34327" customFormat="false" ht="12.8" hidden="false" customHeight="false" outlineLevel="0" collapsed="false">
      <c r="B34327" s="0" t="s">
        <v>1</v>
      </c>
    </row>
    <row r="34328" customFormat="false" ht="12.8" hidden="false" customHeight="false" outlineLevel="0" collapsed="false">
      <c r="B34328" s="0" t="s">
        <v>8</v>
      </c>
    </row>
    <row r="34330" customFormat="false" ht="12.8" hidden="false" customHeight="false" outlineLevel="0" collapsed="false">
      <c r="A34330" s="0" t="s">
        <v>13098</v>
      </c>
      <c r="B34330" s="0" t="str">
        <f aca="false">HYPERLINK("https://lindat.mff.cuni.cz/services/teitok/pdtc10/index.php?action=vallex&amp;frame=v-w4670f1", "přebíhat (v-w4670f1)")</f>
        <v>přebíhat (v-w4670f1)</v>
      </c>
      <c r="E34330" s="0" t="str">
        <f aca="false">HYPERLINK("https://lindat.mff.cuni.cz/services/SynSemClass40/SynSemClass40.html?veclass=vec01086#vec01086-ces-cm00001", "vec01086")</f>
        <v>vec01086</v>
      </c>
      <c r="F34330" s="0" t="s">
        <v>13099</v>
      </c>
    </row>
    <row r="34331" customFormat="false" ht="12.8" hidden="false" customHeight="false" outlineLevel="0" collapsed="false">
      <c r="B34331" s="0" t="s">
        <v>1</v>
      </c>
      <c r="E34331" s="0" t="s">
        <v>334</v>
      </c>
      <c r="F34331" s="0" t="s">
        <v>11032</v>
      </c>
    </row>
    <row r="34332" customFormat="false" ht="12.8" hidden="false" customHeight="false" outlineLevel="0" collapsed="false">
      <c r="B34332" s="0" t="s">
        <v>631</v>
      </c>
      <c r="E34332" s="0" t="s">
        <v>1949</v>
      </c>
      <c r="F34332" s="0" t="s">
        <v>2896</v>
      </c>
    </row>
    <row r="34333" customFormat="false" ht="12.8" hidden="false" customHeight="false" outlineLevel="0" collapsed="false">
      <c r="B34333" s="0" t="s">
        <v>164</v>
      </c>
      <c r="E34333" s="0" t="s">
        <v>1315</v>
      </c>
      <c r="F34333" s="0" t="s">
        <v>1316</v>
      </c>
    </row>
    <row r="34335" customFormat="false" ht="12.8" hidden="false" customHeight="false" outlineLevel="0" collapsed="false">
      <c r="A34335" s="0" t="s">
        <v>13100</v>
      </c>
      <c r="B34335" s="0" t="str">
        <f aca="false">HYPERLINK("https://lindat.mff.cuni.cz/services/teitok/pdtc10/index.php?action=vallex&amp;frame=v-w4670f3_ZU", "přebíhat (v-w4670f3_ZU)")</f>
        <v>přebíhat (v-w4670f3_ZU)</v>
      </c>
      <c r="E34335" s="0" t="str">
        <f aca="false">HYPERLINK("https://lindat.mff.cuni.cz/services/SynSemClass40/SynSemClass40.html?veclass=vec01085#vec01085-ces-cm00016", "vec01085")</f>
        <v>vec01085</v>
      </c>
      <c r="F34335" s="0" t="s">
        <v>1303</v>
      </c>
    </row>
    <row r="34336" customFormat="false" ht="12.8" hidden="false" customHeight="false" outlineLevel="0" collapsed="false">
      <c r="B34336" s="0" t="s">
        <v>1</v>
      </c>
      <c r="C34336" s="0" t="s">
        <v>512</v>
      </c>
      <c r="E34336" s="0" t="s">
        <v>334</v>
      </c>
      <c r="F34336" s="0" t="s">
        <v>1304</v>
      </c>
    </row>
    <row r="34337" customFormat="false" ht="12.8" hidden="false" customHeight="false" outlineLevel="0" collapsed="false">
      <c r="B34337" s="0" t="s">
        <v>4966</v>
      </c>
    </row>
    <row r="34339" customFormat="false" ht="12.8" hidden="false" customHeight="false" outlineLevel="0" collapsed="false">
      <c r="A34339" s="0" t="s">
        <v>13101</v>
      </c>
      <c r="B34339" s="0" t="str">
        <f aca="false">HYPERLINK("https://lindat.mff.cuni.cz/services/teitok/pdtc10/index.php?action=vallex&amp;frame=v-w10098f2", "přebíjet (v-w10098f2)")</f>
        <v>přebíjet (v-w10098f2)</v>
      </c>
      <c r="E34339" s="0" t="str">
        <f aca="false">HYPERLINK("https://lindat.mff.cuni.cz/services/SynSemClass40/SynSemClass40.html?veclass=vec00091#vec00091-ces-cm00024", "vec00091")</f>
        <v>vec00091</v>
      </c>
      <c r="F34339" s="0" t="s">
        <v>13102</v>
      </c>
    </row>
    <row r="34340" customFormat="false" ht="12.8" hidden="false" customHeight="false" outlineLevel="0" collapsed="false">
      <c r="B34340" s="0" t="s">
        <v>1</v>
      </c>
      <c r="C34340" s="0" t="s">
        <v>447</v>
      </c>
      <c r="E34340" s="0" t="s">
        <v>7246</v>
      </c>
      <c r="F34340" s="0" t="s">
        <v>13103</v>
      </c>
    </row>
    <row r="34341" customFormat="false" ht="12.8" hidden="false" customHeight="false" outlineLevel="0" collapsed="false">
      <c r="B34341" s="0" t="s">
        <v>8</v>
      </c>
      <c r="C34341" s="0" t="s">
        <v>2627</v>
      </c>
      <c r="E34341" s="0" t="s">
        <v>6961</v>
      </c>
      <c r="F34341" s="0" t="s">
        <v>13104</v>
      </c>
    </row>
    <row r="34343" customFormat="false" ht="12.8" hidden="false" customHeight="false" outlineLevel="0" collapsed="false">
      <c r="A34343" s="0" t="s">
        <v>13105</v>
      </c>
      <c r="B34343" s="0" t="str">
        <f aca="false">HYPERLINK("https://lindat.mff.cuni.cz/services/teitok/pdtc10/index.php?action=vallex&amp;frame=v-w4672f1", "přebírat (v-w4672f1)")</f>
        <v>přebírat (v-w4672f1)</v>
      </c>
      <c r="E34343" s="0" t="str">
        <f aca="false">HYPERLINK("https://lindat.mff.cuni.cz/services/SynSemClass40/SynSemClass40.html?veclass=vec00189#vec00189-ces-cm00099", "vec00189")</f>
        <v>vec00189</v>
      </c>
      <c r="F34343" s="0" t="s">
        <v>2169</v>
      </c>
    </row>
    <row r="34344" customFormat="false" ht="12.8" hidden="false" customHeight="false" outlineLevel="0" collapsed="false">
      <c r="B34344" s="0" t="s">
        <v>1</v>
      </c>
      <c r="C34344" s="0" t="s">
        <v>2170</v>
      </c>
      <c r="E34344" s="0" t="s">
        <v>1567</v>
      </c>
      <c r="F34344" s="0" t="s">
        <v>2171</v>
      </c>
    </row>
    <row r="34345" customFormat="false" ht="12.8" hidden="false" customHeight="false" outlineLevel="0" collapsed="false">
      <c r="B34345" s="0" t="s">
        <v>8</v>
      </c>
      <c r="C34345" s="0" t="s">
        <v>2173</v>
      </c>
      <c r="E34345" s="0" t="s">
        <v>2111</v>
      </c>
      <c r="F34345" s="0" t="s">
        <v>2174</v>
      </c>
    </row>
    <row r="34346" customFormat="false" ht="12.8" hidden="false" customHeight="false" outlineLevel="0" collapsed="false">
      <c r="B34346" s="0" t="s">
        <v>602</v>
      </c>
      <c r="C34346" s="0" t="s">
        <v>2175</v>
      </c>
      <c r="E34346" s="0" t="s">
        <v>2176</v>
      </c>
      <c r="F34346" s="0" t="s">
        <v>2177</v>
      </c>
    </row>
    <row r="34348" customFormat="false" ht="12.8" hidden="false" customHeight="false" outlineLevel="0" collapsed="false">
      <c r="A34348" s="0" t="s">
        <v>13106</v>
      </c>
      <c r="B34348" s="0" t="str">
        <f aca="false">HYPERLINK("https://lindat.mff.cuni.cz/services/teitok/pdtc10/index.php?action=vallex&amp;frame=v-w4672f2_ZU", "přebírat (v-w4672f2_ZU)")</f>
        <v>přebírat (v-w4672f2_ZU)</v>
      </c>
    </row>
    <row r="34349" customFormat="false" ht="12.8" hidden="false" customHeight="false" outlineLevel="0" collapsed="false">
      <c r="B34349" s="0" t="s">
        <v>1</v>
      </c>
    </row>
    <row r="34350" customFormat="false" ht="12.8" hidden="false" customHeight="false" outlineLevel="0" collapsed="false">
      <c r="B34350" s="0" t="s">
        <v>675</v>
      </c>
    </row>
    <row r="34351" customFormat="false" ht="12.8" hidden="false" customHeight="false" outlineLevel="0" collapsed="false">
      <c r="B34351" s="0" t="s">
        <v>59</v>
      </c>
    </row>
    <row r="34353" customFormat="false" ht="12.8" hidden="false" customHeight="false" outlineLevel="0" collapsed="false">
      <c r="A34353" s="0" t="s">
        <v>13107</v>
      </c>
      <c r="B34353" s="0" t="str">
        <f aca="false">HYPERLINK("https://lindat.mff.cuni.cz/services/teitok/pdtc10/index.php?action=vallex&amp;frame=v-w4672f3_MM", "přebírat (v-w4672f3_MM)")</f>
        <v>přebírat (v-w4672f3_MM)</v>
      </c>
    </row>
    <row r="34354" customFormat="false" ht="12.8" hidden="false" customHeight="false" outlineLevel="0" collapsed="false">
      <c r="B34354" s="0" t="s">
        <v>1</v>
      </c>
    </row>
    <row r="34355" customFormat="false" ht="12.8" hidden="false" customHeight="false" outlineLevel="0" collapsed="false">
      <c r="B34355" s="0" t="s">
        <v>8</v>
      </c>
    </row>
    <row r="34357" customFormat="false" ht="12.8" hidden="false" customHeight="false" outlineLevel="0" collapsed="false">
      <c r="A34357" s="0" t="s">
        <v>13108</v>
      </c>
      <c r="B34357" s="0" t="str">
        <f aca="false">HYPERLINK("https://lindat.mff.cuni.cz/services/teitok/pdtc10/index.php?action=vallex&amp;frame=v-w4673f1", "přebít (v-w4673f1)")</f>
        <v>přebít (v-w4673f1)</v>
      </c>
      <c r="E34357" s="0" t="str">
        <f aca="false">HYPERLINK("https://lindat.mff.cuni.cz/services/SynSemClass40/SynSemClass40.html?veclass=vec00091#vec00091-ces-cm00001", "vec00091")</f>
        <v>vec00091</v>
      </c>
      <c r="F34357" s="0" t="s">
        <v>13102</v>
      </c>
      <c r="H34357" s="0" t="str">
        <f aca="false">HYPERLINK("https://lindat.mff.cuni.cz/services/SynSemClass40/SynSemClass40.html?veclass=vec01285#vec01285-ces-cm00005", "vec01285")</f>
        <v>vec01285</v>
      </c>
      <c r="I34357" s="0" t="s">
        <v>13109</v>
      </c>
    </row>
    <row r="34358" customFormat="false" ht="12.8" hidden="false" customHeight="false" outlineLevel="0" collapsed="false">
      <c r="B34358" s="0" t="s">
        <v>1</v>
      </c>
      <c r="C34358" s="0" t="s">
        <v>106</v>
      </c>
      <c r="E34358" s="0" t="s">
        <v>7246</v>
      </c>
      <c r="F34358" s="0" t="s">
        <v>13103</v>
      </c>
      <c r="H34358" s="0" t="s">
        <v>2554</v>
      </c>
      <c r="I34358" s="0" t="s">
        <v>13110</v>
      </c>
    </row>
    <row r="34359" customFormat="false" ht="12.8" hidden="false" customHeight="false" outlineLevel="0" collapsed="false">
      <c r="B34359" s="0" t="s">
        <v>8</v>
      </c>
      <c r="C34359" s="0" t="s">
        <v>13111</v>
      </c>
      <c r="E34359" s="0" t="s">
        <v>6961</v>
      </c>
      <c r="F34359" s="0" t="s">
        <v>13104</v>
      </c>
      <c r="H34359" s="0" t="s">
        <v>4143</v>
      </c>
      <c r="I34359" s="0" t="s">
        <v>13112</v>
      </c>
    </row>
    <row r="34361" customFormat="false" ht="12.8" hidden="false" customHeight="false" outlineLevel="0" collapsed="false">
      <c r="A34361" s="0" t="s">
        <v>13113</v>
      </c>
      <c r="B34361" s="0" t="str">
        <f aca="false">HYPERLINK("https://lindat.mff.cuni.cz/services/teitok/pdtc10/index.php?action=vallex&amp;frame=v-w4678f1", "přebývat (v-w4678f1)")</f>
        <v>přebývat (v-w4678f1)</v>
      </c>
    </row>
    <row r="34362" customFormat="false" ht="12.8" hidden="false" customHeight="false" outlineLevel="0" collapsed="false">
      <c r="B34362" s="0" t="s">
        <v>1</v>
      </c>
    </row>
    <row r="34363" customFormat="false" ht="12.8" hidden="false" customHeight="false" outlineLevel="0" collapsed="false">
      <c r="B34363" s="0" t="s">
        <v>157</v>
      </c>
    </row>
    <row r="34365" customFormat="false" ht="12.8" hidden="false" customHeight="false" outlineLevel="0" collapsed="false">
      <c r="A34365" s="0" t="s">
        <v>13114</v>
      </c>
      <c r="B34365" s="0" t="str">
        <f aca="false">HYPERLINK("https://lindat.mff.cuni.cz/services/teitok/pdtc10/index.php?action=vallex&amp;frame=v-w4678f2", "přebývat (v-w4678f2)")</f>
        <v>přebývat (v-w4678f2)</v>
      </c>
      <c r="E34365" s="0" t="str">
        <f aca="false">HYPERLINK("https://lindat.mff.cuni.cz/services/SynSemClass40/SynSemClass40.html?veclass=vec00394#vec00394-ces-cm00013", "vec00394")</f>
        <v>vec00394</v>
      </c>
      <c r="F34365" s="0" t="s">
        <v>3338</v>
      </c>
    </row>
    <row r="34366" customFormat="false" ht="12.8" hidden="false" customHeight="false" outlineLevel="0" collapsed="false">
      <c r="B34366" s="0" t="s">
        <v>1</v>
      </c>
      <c r="C34366" s="0" t="s">
        <v>3345</v>
      </c>
      <c r="E34366" s="0" t="s">
        <v>11</v>
      </c>
      <c r="F34366" s="0" t="s">
        <v>3340</v>
      </c>
    </row>
    <row r="34367" customFormat="false" ht="12.8" hidden="false" customHeight="false" outlineLevel="0" collapsed="false">
      <c r="B34367" s="0" t="s">
        <v>5</v>
      </c>
      <c r="C34367" s="0" t="s">
        <v>3346</v>
      </c>
      <c r="E34367" s="0" t="s">
        <v>3254</v>
      </c>
      <c r="F34367" s="0" t="s">
        <v>3343</v>
      </c>
    </row>
    <row r="34369" customFormat="false" ht="12.8" hidden="false" customHeight="false" outlineLevel="0" collapsed="false">
      <c r="A34369" s="0" t="s">
        <v>13115</v>
      </c>
      <c r="B34369" s="0" t="str">
        <f aca="false">HYPERLINK("https://lindat.mff.cuni.cz/services/teitok/pdtc10/index.php?action=vallex&amp;frame=v-w4668f2", "přeběhnout (v-w4668f2)")</f>
        <v>přeběhnout (v-w4668f2)</v>
      </c>
      <c r="E34369" s="0" t="str">
        <f aca="false">HYPERLINK("https://lindat.mff.cuni.cz/services/SynSemClass40/SynSemClass40.html?veclass=vec01085#vec01085-ces-cm00001", "vec01085")</f>
        <v>vec01085</v>
      </c>
      <c r="F34369" s="0" t="s">
        <v>1303</v>
      </c>
    </row>
    <row r="34370" customFormat="false" ht="12.8" hidden="false" customHeight="false" outlineLevel="0" collapsed="false">
      <c r="B34370" s="0" t="s">
        <v>1</v>
      </c>
      <c r="C34370" s="0" t="s">
        <v>512</v>
      </c>
      <c r="E34370" s="0" t="s">
        <v>334</v>
      </c>
      <c r="F34370" s="0" t="s">
        <v>1304</v>
      </c>
    </row>
    <row r="34371" customFormat="false" ht="12.8" hidden="false" customHeight="false" outlineLevel="0" collapsed="false">
      <c r="B34371" s="0" t="s">
        <v>8</v>
      </c>
      <c r="E34371" s="0" t="s">
        <v>4060</v>
      </c>
      <c r="F34371" s="0" t="s">
        <v>13116</v>
      </c>
    </row>
    <row r="34373" customFormat="false" ht="12.8" hidden="false" customHeight="false" outlineLevel="0" collapsed="false">
      <c r="A34373" s="0" t="s">
        <v>13117</v>
      </c>
      <c r="B34373" s="0" t="str">
        <f aca="false">HYPERLINK("https://lindat.mff.cuni.cz/services/teitok/pdtc10/index.php?action=vallex&amp;frame=v-w4668f1", "přeběhnout (v-w4668f1)")</f>
        <v>přeběhnout (v-w4668f1)</v>
      </c>
      <c r="E34373" s="0" t="str">
        <f aca="false">HYPERLINK("https://lindat.mff.cuni.cz/services/SynSemClass40/SynSemClass40.html?veclass=vec00048#vec00048-ces-cm00186", "vec00048")</f>
        <v>vec00048</v>
      </c>
      <c r="F34373" s="0" t="s">
        <v>1945</v>
      </c>
    </row>
    <row r="34374" customFormat="false" ht="12.8" hidden="false" customHeight="false" outlineLevel="0" collapsed="false">
      <c r="B34374" s="0" t="s">
        <v>1</v>
      </c>
      <c r="C34374" s="0" t="s">
        <v>1946</v>
      </c>
      <c r="E34374" s="0" t="s">
        <v>334</v>
      </c>
      <c r="F34374" s="0" t="s">
        <v>1947</v>
      </c>
    </row>
    <row r="34375" customFormat="false" ht="12.8" hidden="false" customHeight="false" outlineLevel="0" collapsed="false">
      <c r="B34375" s="0" t="s">
        <v>631</v>
      </c>
      <c r="C34375" s="0" t="s">
        <v>1948</v>
      </c>
      <c r="E34375" s="0" t="s">
        <v>1949</v>
      </c>
      <c r="F34375" s="0" t="s">
        <v>1950</v>
      </c>
    </row>
    <row r="34376" customFormat="false" ht="12.8" hidden="false" customHeight="false" outlineLevel="0" collapsed="false">
      <c r="B34376" s="0" t="s">
        <v>164</v>
      </c>
      <c r="E34376" s="0" t="s">
        <v>1315</v>
      </c>
      <c r="F34376" s="0" t="s">
        <v>1316</v>
      </c>
    </row>
    <row r="34378" customFormat="false" ht="12.8" hidden="false" customHeight="false" outlineLevel="0" collapsed="false">
      <c r="A34378" s="0" t="s">
        <v>13118</v>
      </c>
      <c r="B34378" s="0" t="str">
        <f aca="false">HYPERLINK("https://lindat.mff.cuni.cz/services/teitok/pdtc10/index.php?action=vallex&amp;frame=v-w10658f2", "přecedit (v-w10658f2)")</f>
        <v>přecedit (v-w10658f2)</v>
      </c>
    </row>
    <row r="34379" customFormat="false" ht="12.8" hidden="false" customHeight="false" outlineLevel="0" collapsed="false">
      <c r="B34379" s="0" t="s">
        <v>1</v>
      </c>
    </row>
    <row r="34380" customFormat="false" ht="12.8" hidden="false" customHeight="false" outlineLevel="0" collapsed="false">
      <c r="B34380" s="0" t="s">
        <v>8</v>
      </c>
    </row>
    <row r="34382" customFormat="false" ht="12.8" hidden="false" customHeight="false" outlineLevel="0" collapsed="false">
      <c r="A34382" s="0" t="s">
        <v>13119</v>
      </c>
      <c r="B34382" s="0" t="str">
        <f aca="false">HYPERLINK("https://lindat.mff.cuni.cz/services/teitok/pdtc10/index.php?action=vallex&amp;frame=v-w4679f1", "přecenit (v-w4679f1)")</f>
        <v>přecenit (v-w4679f1)</v>
      </c>
      <c r="E34382" s="0" t="str">
        <f aca="false">HYPERLINK("https://lindat.mff.cuni.cz/services/SynSemClass40/SynSemClass40.html?veclass=vec00634#vec00634-ces-cm00004", "vec00634")</f>
        <v>vec00634</v>
      </c>
      <c r="F34382" s="0" t="s">
        <v>7123</v>
      </c>
    </row>
    <row r="34383" customFormat="false" ht="12.8" hidden="false" customHeight="false" outlineLevel="0" collapsed="false">
      <c r="B34383" s="0" t="s">
        <v>1</v>
      </c>
      <c r="C34383" s="0" t="s">
        <v>239</v>
      </c>
      <c r="E34383" s="0" t="s">
        <v>31</v>
      </c>
      <c r="F34383" s="0" t="s">
        <v>5993</v>
      </c>
    </row>
    <row r="34384" customFormat="false" ht="12.8" hidden="false" customHeight="false" outlineLevel="0" collapsed="false">
      <c r="B34384" s="0" t="s">
        <v>228</v>
      </c>
      <c r="C34384" s="0" t="s">
        <v>7124</v>
      </c>
      <c r="E34384" s="0" t="s">
        <v>180</v>
      </c>
      <c r="F34384" s="0" t="s">
        <v>7125</v>
      </c>
    </row>
    <row r="34386" customFormat="false" ht="12.8" hidden="false" customHeight="false" outlineLevel="0" collapsed="false">
      <c r="A34386" s="0" t="s">
        <v>13120</v>
      </c>
      <c r="B34386" s="0" t="str">
        <f aca="false">HYPERLINK("https://lindat.mff.cuni.cz/services/teitok/pdtc10/index.php?action=vallex&amp;frame=v-w4680f1", "přeceňovat (v-w4680f1)")</f>
        <v>přeceňovat (v-w4680f1)</v>
      </c>
      <c r="E34386" s="0" t="str">
        <f aca="false">HYPERLINK("https://lindat.mff.cuni.cz/services/SynSemClass40/SynSemClass40.html?veclass=vec00634#vec00634-ces-cm00012", "vec00634")</f>
        <v>vec00634</v>
      </c>
      <c r="F34386" s="0" t="s">
        <v>7123</v>
      </c>
    </row>
    <row r="34387" customFormat="false" ht="12.8" hidden="false" customHeight="false" outlineLevel="0" collapsed="false">
      <c r="B34387" s="0" t="s">
        <v>1</v>
      </c>
      <c r="C34387" s="0" t="s">
        <v>239</v>
      </c>
      <c r="E34387" s="0" t="s">
        <v>31</v>
      </c>
      <c r="F34387" s="0" t="s">
        <v>5993</v>
      </c>
    </row>
    <row r="34388" customFormat="false" ht="12.8" hidden="false" customHeight="false" outlineLevel="0" collapsed="false">
      <c r="B34388" s="0" t="s">
        <v>228</v>
      </c>
      <c r="C34388" s="0" t="s">
        <v>7124</v>
      </c>
      <c r="E34388" s="0" t="s">
        <v>180</v>
      </c>
      <c r="F34388" s="0" t="s">
        <v>7125</v>
      </c>
    </row>
    <row r="34390" customFormat="false" ht="12.8" hidden="false" customHeight="false" outlineLevel="0" collapsed="false">
      <c r="A34390" s="0" t="s">
        <v>13121</v>
      </c>
      <c r="B34390" s="0" t="str">
        <f aca="false">HYPERLINK("https://lindat.mff.cuni.cz/services/teitok/pdtc10/index.php?action=vallex&amp;frame=v-whsa_1717hsa_1718", "přechodit (v-whsa_1717hsa_1718)")</f>
        <v>přechodit (v-whsa_1717hsa_1718)</v>
      </c>
    </row>
    <row r="34391" customFormat="false" ht="12.8" hidden="false" customHeight="false" outlineLevel="0" collapsed="false">
      <c r="B34391" s="0" t="s">
        <v>1</v>
      </c>
    </row>
    <row r="34392" customFormat="false" ht="12.8" hidden="false" customHeight="false" outlineLevel="0" collapsed="false">
      <c r="B34392" s="0" t="s">
        <v>8</v>
      </c>
    </row>
    <row r="34394" customFormat="false" ht="12.8" hidden="false" customHeight="false" outlineLevel="0" collapsed="false">
      <c r="A34394" s="0" t="s">
        <v>13122</v>
      </c>
      <c r="B34394" s="0" t="str">
        <f aca="false">HYPERLINK("https://lindat.mff.cuni.cz/services/teitok/pdtc10/index.php?action=vallex&amp;frame=v-w4822f1", "přechovávat (v-w4822f1)")</f>
        <v>přechovávat (v-w4822f1)</v>
      </c>
      <c r="E34394" s="0" t="str">
        <f aca="false">HYPERLINK("https://lindat.mff.cuni.cz/services/SynSemClass40/SynSemClass40.html?veclass=vec00921#vec00921-ces-cm00003", "vec00921")</f>
        <v>vec00921</v>
      </c>
      <c r="F34394" s="0" t="s">
        <v>13123</v>
      </c>
    </row>
    <row r="34395" customFormat="false" ht="12.8" hidden="false" customHeight="false" outlineLevel="0" collapsed="false">
      <c r="B34395" s="0" t="s">
        <v>1</v>
      </c>
      <c r="C34395" s="0" t="s">
        <v>2578</v>
      </c>
      <c r="E34395" s="0" t="s">
        <v>31</v>
      </c>
      <c r="F34395" s="0" t="s">
        <v>2579</v>
      </c>
    </row>
    <row r="34396" customFormat="false" ht="12.8" hidden="false" customHeight="false" outlineLevel="0" collapsed="false">
      <c r="B34396" s="0" t="s">
        <v>8</v>
      </c>
      <c r="C34396" s="0" t="s">
        <v>827</v>
      </c>
      <c r="E34396" s="0" t="s">
        <v>3201</v>
      </c>
      <c r="F34396" s="0" t="s">
        <v>13124</v>
      </c>
    </row>
    <row r="34398" customFormat="false" ht="12.8" hidden="false" customHeight="false" outlineLevel="0" collapsed="false">
      <c r="A34398" s="0" t="s">
        <v>13125</v>
      </c>
      <c r="B34398" s="0" t="str">
        <f aca="false">HYPERLINK("https://lindat.mff.cuni.cz/services/teitok/pdtc10/index.php?action=vallex&amp;frame=v-w11553_ZUf1_ZU", "přechytračit (v-w11553_ZUf1_ZU)")</f>
        <v>přechytračit (v-w11553_ZUf1_ZU)</v>
      </c>
      <c r="E34398" s="0" t="str">
        <f aca="false">HYPERLINK("https://lindat.mff.cuni.cz/services/SynSemClass40/SynSemClass40.html?veclass=vec01089#vec01089-ces-cm00001", "vec01089")</f>
        <v>vec01089</v>
      </c>
      <c r="F34398" s="0" t="s">
        <v>13126</v>
      </c>
    </row>
    <row r="34399" customFormat="false" ht="12.8" hidden="false" customHeight="false" outlineLevel="0" collapsed="false">
      <c r="B34399" s="0" t="s">
        <v>1</v>
      </c>
      <c r="E34399" s="0" t="s">
        <v>2106</v>
      </c>
      <c r="F34399" s="0" t="s">
        <v>5389</v>
      </c>
    </row>
    <row r="34400" customFormat="false" ht="12.8" hidden="false" customHeight="false" outlineLevel="0" collapsed="false">
      <c r="B34400" s="0" t="s">
        <v>8</v>
      </c>
      <c r="E34400" s="0" t="s">
        <v>5392</v>
      </c>
      <c r="F34400" s="0" t="s">
        <v>13127</v>
      </c>
    </row>
    <row r="34402" customFormat="false" ht="12.8" hidden="false" customHeight="false" outlineLevel="0" collapsed="false">
      <c r="A34402" s="0" t="s">
        <v>13128</v>
      </c>
      <c r="B34402" s="0" t="str">
        <f aca="false">HYPERLINK("https://lindat.mff.cuni.cz/services/teitok/pdtc10/index.php?action=vallex&amp;frame=v-w4819f2", "přecházet (v-w4819f2)")</f>
        <v>přecházet (v-w4819f2)</v>
      </c>
      <c r="E34402" s="0" t="str">
        <f aca="false">HYPERLINK("https://lindat.mff.cuni.cz/services/SynSemClass40/SynSemClass40.html?veclass=vec00496#vec00496-ces-cm00007", "vec00496")</f>
        <v>vec00496</v>
      </c>
      <c r="F34402" s="0" t="s">
        <v>13129</v>
      </c>
    </row>
    <row r="34403" customFormat="false" ht="12.8" hidden="false" customHeight="false" outlineLevel="0" collapsed="false">
      <c r="B34403" s="0" t="s">
        <v>1</v>
      </c>
      <c r="C34403" s="0" t="s">
        <v>13130</v>
      </c>
      <c r="E34403" s="0" t="s">
        <v>11</v>
      </c>
      <c r="F34403" s="0" t="s">
        <v>13131</v>
      </c>
    </row>
    <row r="34404" customFormat="false" ht="12.8" hidden="false" customHeight="false" outlineLevel="0" collapsed="false">
      <c r="B34404" s="0" t="s">
        <v>13132</v>
      </c>
      <c r="C34404" s="0" t="s">
        <v>13133</v>
      </c>
      <c r="E34404" s="0" t="s">
        <v>1592</v>
      </c>
      <c r="F34404" s="0" t="s">
        <v>13134</v>
      </c>
    </row>
    <row r="34405" customFormat="false" ht="12.8" hidden="false" customHeight="false" outlineLevel="0" collapsed="false">
      <c r="B34405" s="0" t="s">
        <v>2840</v>
      </c>
      <c r="C34405" s="0" t="s">
        <v>13135</v>
      </c>
      <c r="E34405" s="0" t="s">
        <v>2176</v>
      </c>
      <c r="F34405" s="0" t="s">
        <v>13136</v>
      </c>
    </row>
    <row r="34407" customFormat="false" ht="12.8" hidden="false" customHeight="false" outlineLevel="0" collapsed="false">
      <c r="A34407" s="0" t="s">
        <v>13137</v>
      </c>
      <c r="B34407" s="0" t="str">
        <f aca="false">HYPERLINK("https://lindat.mff.cuni.cz/services/teitok/pdtc10/index.php?action=vallex&amp;frame=v-w4819f6", "přecházet (v-w4819f6)")</f>
        <v>přecházet (v-w4819f6)</v>
      </c>
    </row>
    <row r="34408" customFormat="false" ht="12.8" hidden="false" customHeight="false" outlineLevel="0" collapsed="false">
      <c r="B34408" s="0" t="s">
        <v>1</v>
      </c>
    </row>
    <row r="34409" customFormat="false" ht="12.8" hidden="false" customHeight="false" outlineLevel="0" collapsed="false">
      <c r="B34409" s="0" t="s">
        <v>59</v>
      </c>
    </row>
    <row r="34411" customFormat="false" ht="12.8" hidden="false" customHeight="false" outlineLevel="0" collapsed="false">
      <c r="A34411" s="0" t="s">
        <v>13138</v>
      </c>
      <c r="B34411" s="0" t="str">
        <f aca="false">HYPERLINK("https://lindat.mff.cuni.cz/services/teitok/pdtc10/index.php?action=vallex&amp;frame=v-w4819f4", "přecházet (v-w4819f4)")</f>
        <v>přecházet (v-w4819f4)</v>
      </c>
    </row>
    <row r="34412" customFormat="false" ht="12.8" hidden="false" customHeight="false" outlineLevel="0" collapsed="false">
      <c r="B34412" s="0" t="s">
        <v>1</v>
      </c>
    </row>
    <row r="34413" customFormat="false" ht="12.8" hidden="false" customHeight="false" outlineLevel="0" collapsed="false">
      <c r="B34413" s="0" t="s">
        <v>8</v>
      </c>
    </row>
    <row r="34415" customFormat="false" ht="12.8" hidden="false" customHeight="false" outlineLevel="0" collapsed="false">
      <c r="A34415" s="0" t="s">
        <v>13139</v>
      </c>
      <c r="B34415" s="0" t="str">
        <f aca="false">HYPERLINK("https://lindat.mff.cuni.cz/services/teitok/pdtc10/index.php?action=vallex&amp;frame=v-w4819f8", "přecházet (v-w4819f8)")</f>
        <v>přecházet (v-w4819f8)</v>
      </c>
    </row>
    <row r="34416" customFormat="false" ht="12.8" hidden="false" customHeight="false" outlineLevel="0" collapsed="false">
      <c r="B34416" s="0" t="s">
        <v>1</v>
      </c>
    </row>
    <row r="34417" customFormat="false" ht="12.8" hidden="false" customHeight="false" outlineLevel="0" collapsed="false">
      <c r="B34417" s="0" t="s">
        <v>8</v>
      </c>
    </row>
    <row r="34419" customFormat="false" ht="12.8" hidden="false" customHeight="false" outlineLevel="0" collapsed="false">
      <c r="A34419" s="0" t="s">
        <v>13140</v>
      </c>
      <c r="B34419" s="0" t="str">
        <f aca="false">HYPERLINK("https://lindat.mff.cuni.cz/services/teitok/pdtc10/index.php?action=vallex&amp;frame=v-w4819f9", "přecházet (v-w4819f9)")</f>
        <v>přecházet (v-w4819f9)</v>
      </c>
      <c r="E34419" s="0" t="str">
        <f aca="false">HYPERLINK("https://lindat.mff.cuni.cz/services/SynSemClass40/SynSemClass40.html?veclass=vec00113#vec00113-ces-cm00315", "vec00113")</f>
        <v>vec00113</v>
      </c>
      <c r="F34419" s="0" t="s">
        <v>2122</v>
      </c>
    </row>
    <row r="34420" customFormat="false" ht="12.8" hidden="false" customHeight="false" outlineLevel="0" collapsed="false">
      <c r="B34420" s="0" t="s">
        <v>1</v>
      </c>
      <c r="C34420" s="0" t="s">
        <v>4146</v>
      </c>
      <c r="E34420" s="0" t="s">
        <v>1084</v>
      </c>
      <c r="F34420" s="0" t="s">
        <v>2124</v>
      </c>
    </row>
    <row r="34421" customFormat="false" ht="12.8" hidden="false" customHeight="false" outlineLevel="0" collapsed="false">
      <c r="B34421" s="0" t="s">
        <v>390</v>
      </c>
    </row>
    <row r="34423" customFormat="false" ht="12.8" hidden="false" customHeight="false" outlineLevel="0" collapsed="false">
      <c r="A34423" s="0" t="s">
        <v>13141</v>
      </c>
      <c r="B34423" s="0" t="str">
        <f aca="false">HYPERLINK("https://lindat.mff.cuni.cz/services/teitok/pdtc10/index.php?action=vallex&amp;frame=v-w4819f1", "přecházet (v-w4819f1)")</f>
        <v>přecházet (v-w4819f1)</v>
      </c>
      <c r="E34423" s="0" t="str">
        <f aca="false">HYPERLINK("https://lindat.mff.cuni.cz/services/SynSemClass40/SynSemClass40.html?veclass=vec00227#vec00227-ces-cm00112", "vec00227")</f>
        <v>vec00227</v>
      </c>
      <c r="F34423" s="0" t="s">
        <v>1313</v>
      </c>
    </row>
    <row r="34424" customFormat="false" ht="12.8" hidden="false" customHeight="false" outlineLevel="0" collapsed="false">
      <c r="B34424" s="0" t="s">
        <v>1</v>
      </c>
      <c r="C34424" s="0" t="s">
        <v>83</v>
      </c>
      <c r="E34424" s="0" t="s">
        <v>334</v>
      </c>
      <c r="F34424" s="0" t="s">
        <v>1314</v>
      </c>
    </row>
    <row r="34425" customFormat="false" ht="12.8" hidden="false" customHeight="false" outlineLevel="0" collapsed="false">
      <c r="B34425" s="0" t="s">
        <v>631</v>
      </c>
      <c r="E34425" s="0" t="s">
        <v>1949</v>
      </c>
      <c r="F34425" s="0" t="s">
        <v>2896</v>
      </c>
    </row>
    <row r="34426" customFormat="false" ht="12.8" hidden="false" customHeight="false" outlineLevel="0" collapsed="false">
      <c r="B34426" s="0" t="s">
        <v>164</v>
      </c>
      <c r="E34426" s="0" t="s">
        <v>1315</v>
      </c>
      <c r="F34426" s="0" t="s">
        <v>1316</v>
      </c>
    </row>
    <row r="34428" customFormat="false" ht="12.8" hidden="false" customHeight="false" outlineLevel="0" collapsed="false">
      <c r="A34428" s="0" t="s">
        <v>13142</v>
      </c>
      <c r="B34428" s="0" t="str">
        <f aca="false">HYPERLINK("https://lindat.mff.cuni.cz/services/teitok/pdtc10/index.php?action=vallex&amp;frame=v-w4819f3", "přecházet (v-w4819f3)")</f>
        <v>přecházet (v-w4819f3)</v>
      </c>
      <c r="E34428" s="0" t="str">
        <f aca="false">HYPERLINK("https://lindat.mff.cuni.cz/services/SynSemClass40/SynSemClass40.html?veclass=vec01025#vec01025-ces-cm00039", "vec01025")</f>
        <v>vec01025</v>
      </c>
      <c r="F34428" s="0" t="s">
        <v>332</v>
      </c>
    </row>
    <row r="34429" customFormat="false" ht="12.8" hidden="false" customHeight="false" outlineLevel="0" collapsed="false">
      <c r="B34429" s="0" t="s">
        <v>1</v>
      </c>
      <c r="C34429" s="0" t="s">
        <v>333</v>
      </c>
      <c r="E34429" s="0" t="s">
        <v>334</v>
      </c>
      <c r="F34429" s="0" t="s">
        <v>335</v>
      </c>
    </row>
    <row r="34430" customFormat="false" ht="12.8" hidden="false" customHeight="false" outlineLevel="0" collapsed="false">
      <c r="B34430" s="0" t="s">
        <v>336</v>
      </c>
      <c r="C34430" s="0" t="s">
        <v>337</v>
      </c>
      <c r="E34430" s="0" t="s">
        <v>338</v>
      </c>
      <c r="F34430" s="0" t="s">
        <v>339</v>
      </c>
    </row>
    <row r="34432" customFormat="false" ht="12.8" hidden="false" customHeight="false" outlineLevel="0" collapsed="false">
      <c r="A34432" s="0" t="s">
        <v>13143</v>
      </c>
      <c r="B34432" s="0" t="str">
        <f aca="false">HYPERLINK("https://lindat.mff.cuni.cz/services/teitok/pdtc10/index.php?action=vallex&amp;frame=v-w4819f7", "přecházet (v-w4819f7)")</f>
        <v>přecházet (v-w4819f7)</v>
      </c>
    </row>
    <row r="34433" customFormat="false" ht="12.8" hidden="false" customHeight="false" outlineLevel="0" collapsed="false">
      <c r="B34433" s="0" t="s">
        <v>1</v>
      </c>
    </row>
    <row r="34434" customFormat="false" ht="12.8" hidden="false" customHeight="false" outlineLevel="0" collapsed="false">
      <c r="B34434" s="0" t="s">
        <v>361</v>
      </c>
    </row>
    <row r="34436" customFormat="false" ht="12.8" hidden="false" customHeight="false" outlineLevel="0" collapsed="false">
      <c r="A34436" s="0" t="s">
        <v>13144</v>
      </c>
      <c r="B34436" s="0" t="str">
        <f aca="false">HYPERLINK("https://lindat.mff.cuni.cz/services/teitok/pdtc10/index.php?action=vallex&amp;frame=v-w4819f5", "přecházet (v-w4819f5)")</f>
        <v>přecházet (v-w4819f5)</v>
      </c>
    </row>
    <row r="34437" customFormat="false" ht="12.8" hidden="false" customHeight="false" outlineLevel="0" collapsed="false">
      <c r="B34437" s="0" t="s">
        <v>1</v>
      </c>
    </row>
    <row r="34439" customFormat="false" ht="12.8" hidden="false" customHeight="false" outlineLevel="0" collapsed="false">
      <c r="A34439" s="0" t="s">
        <v>13145</v>
      </c>
      <c r="B34439" s="0" t="str">
        <f aca="false">HYPERLINK("https://lindat.mff.cuni.cz/services/teitok/pdtc10/index.php?action=vallex&amp;frame=v-w4694f1", "předat (v-w4694f1)")</f>
        <v>předat (v-w4694f1)</v>
      </c>
      <c r="E34439" s="0" t="str">
        <f aca="false">HYPERLINK("https://lindat.mff.cuni.cz/services/SynSemClass40/SynSemClass40.html?veclass=vec01087#vec01087-ces-cm00007", "vec01087")</f>
        <v>vec01087</v>
      </c>
      <c r="F34439" s="0" t="s">
        <v>1863</v>
      </c>
    </row>
    <row r="34440" customFormat="false" ht="12.8" hidden="false" customHeight="false" outlineLevel="0" collapsed="false">
      <c r="B34440" s="0" t="s">
        <v>1</v>
      </c>
      <c r="C34440" s="0" t="s">
        <v>5752</v>
      </c>
      <c r="E34440" s="0" t="s">
        <v>1868</v>
      </c>
      <c r="F34440" s="0" t="s">
        <v>1869</v>
      </c>
    </row>
    <row r="34441" customFormat="false" ht="12.8" hidden="false" customHeight="false" outlineLevel="0" collapsed="false">
      <c r="B34441" s="0" t="s">
        <v>8</v>
      </c>
      <c r="C34441" s="0" t="s">
        <v>8873</v>
      </c>
      <c r="E34441" s="0" t="s">
        <v>1875</v>
      </c>
      <c r="F34441" s="0" t="s">
        <v>1876</v>
      </c>
    </row>
    <row r="34442" customFormat="false" ht="12.8" hidden="false" customHeight="false" outlineLevel="0" collapsed="false">
      <c r="B34442" s="0" t="s">
        <v>52</v>
      </c>
      <c r="C34442" s="0" t="s">
        <v>11615</v>
      </c>
      <c r="E34442" s="0" t="s">
        <v>53</v>
      </c>
      <c r="F34442" s="0" t="s">
        <v>1880</v>
      </c>
    </row>
    <row r="34444" customFormat="false" ht="12.8" hidden="false" customHeight="false" outlineLevel="0" collapsed="false">
      <c r="A34444" s="0" t="s">
        <v>13146</v>
      </c>
      <c r="B34444" s="0" t="str">
        <f aca="false">HYPERLINK("https://lindat.mff.cuni.cz/services/teitok/pdtc10/index.php?action=vallex&amp;frame=v-w4694f2", "předat (v-w4694f2)")</f>
        <v>předat (v-w4694f2)</v>
      </c>
      <c r="E34444" s="0" t="str">
        <f aca="false">HYPERLINK("https://lindat.mff.cuni.cz/services/SynSemClass40/SynSemClass40.html?veclass=vec01087#vec01087-ces-cm00066", "vec01087")</f>
        <v>vec01087</v>
      </c>
      <c r="F34444" s="0" t="s">
        <v>1863</v>
      </c>
    </row>
    <row r="34445" customFormat="false" ht="12.8" hidden="false" customHeight="false" outlineLevel="0" collapsed="false">
      <c r="B34445" s="0" t="s">
        <v>1</v>
      </c>
      <c r="C34445" s="0" t="s">
        <v>5752</v>
      </c>
      <c r="E34445" s="0" t="s">
        <v>1868</v>
      </c>
      <c r="F34445" s="0" t="s">
        <v>1869</v>
      </c>
    </row>
    <row r="34446" customFormat="false" ht="12.8" hidden="false" customHeight="false" outlineLevel="0" collapsed="false">
      <c r="B34446" s="0" t="s">
        <v>8</v>
      </c>
      <c r="C34446" s="0" t="s">
        <v>8873</v>
      </c>
      <c r="E34446" s="0" t="s">
        <v>1875</v>
      </c>
      <c r="F34446" s="0" t="s">
        <v>1876</v>
      </c>
    </row>
    <row r="34447" customFormat="false" ht="12.8" hidden="false" customHeight="false" outlineLevel="0" collapsed="false">
      <c r="B34447" s="0" t="s">
        <v>164</v>
      </c>
      <c r="C34447" s="0" t="s">
        <v>8874</v>
      </c>
      <c r="E34447" s="0" t="s">
        <v>2212</v>
      </c>
      <c r="F34447" s="0" t="s">
        <v>8875</v>
      </c>
    </row>
    <row r="34449" customFormat="false" ht="12.8" hidden="false" customHeight="false" outlineLevel="0" collapsed="false">
      <c r="A34449" s="0" t="s">
        <v>13147</v>
      </c>
      <c r="B34449" s="0" t="str">
        <f aca="false">HYPERLINK("https://lindat.mff.cuni.cz/services/teitok/pdtc10/index.php?action=vallex&amp;frame=v-w4694hsa_468", "předat (v-w4694hsa_468)")</f>
        <v>předat (v-w4694hsa_468)</v>
      </c>
      <c r="E34449" s="0" t="str">
        <f aca="false">HYPERLINK("https://lindat.mff.cuni.cz/services/SynSemClass40/SynSemClass40.html?veclass=vec01087#vec01087-ces-cm00067", "vec01087")</f>
        <v>vec01087</v>
      </c>
      <c r="F34449" s="0" t="s">
        <v>1863</v>
      </c>
    </row>
    <row r="34450" customFormat="false" ht="12.8" hidden="false" customHeight="false" outlineLevel="0" collapsed="false">
      <c r="B34450" s="0" t="s">
        <v>1</v>
      </c>
      <c r="C34450" s="0" t="s">
        <v>5752</v>
      </c>
      <c r="E34450" s="0" t="s">
        <v>1868</v>
      </c>
      <c r="F34450" s="0" t="s">
        <v>1869</v>
      </c>
    </row>
    <row r="34451" customFormat="false" ht="12.8" hidden="false" customHeight="false" outlineLevel="0" collapsed="false">
      <c r="B34451" s="0" t="s">
        <v>13148</v>
      </c>
      <c r="C34451" s="0" t="s">
        <v>13149</v>
      </c>
      <c r="E34451" s="0" t="s">
        <v>13150</v>
      </c>
      <c r="F34451" s="0" t="s">
        <v>13151</v>
      </c>
    </row>
    <row r="34452" customFormat="false" ht="12.8" hidden="false" customHeight="false" outlineLevel="0" collapsed="false">
      <c r="B34452" s="0" t="s">
        <v>52</v>
      </c>
      <c r="C34452" s="0" t="s">
        <v>11615</v>
      </c>
      <c r="E34452" s="0" t="s">
        <v>53</v>
      </c>
      <c r="F34452" s="0" t="s">
        <v>1880</v>
      </c>
    </row>
    <row r="34454" customFormat="false" ht="12.8" hidden="false" customHeight="false" outlineLevel="0" collapsed="false">
      <c r="A34454" s="0" t="s">
        <v>13147</v>
      </c>
      <c r="B34454" s="0" t="str">
        <f aca="false">HYPERLINK("https://lindat.mff.cuni.cz/services/teitok/pdtc10/index.php?action=vallex&amp;frame=v-w4694f3", "předat (v-w4694f3) - substituted with v-w4694hsa_468")</f>
        <v>předat (v-w4694f3) - substituted with v-w4694hsa_468</v>
      </c>
    </row>
    <row r="34455" customFormat="false" ht="12.8" hidden="false" customHeight="false" outlineLevel="0" collapsed="false">
      <c r="B34455" s="0" t="s">
        <v>1</v>
      </c>
    </row>
    <row r="34456" customFormat="false" ht="12.8" hidden="false" customHeight="false" outlineLevel="0" collapsed="false">
      <c r="B34456" s="0" t="s">
        <v>13148</v>
      </c>
    </row>
    <row r="34457" customFormat="false" ht="12.8" hidden="false" customHeight="false" outlineLevel="0" collapsed="false">
      <c r="B34457" s="0" t="s">
        <v>52</v>
      </c>
    </row>
    <row r="34459" customFormat="false" ht="12.8" hidden="false" customHeight="false" outlineLevel="0" collapsed="false">
      <c r="A34459" s="0" t="s">
        <v>13152</v>
      </c>
      <c r="B34459" s="0" t="str">
        <f aca="false">HYPERLINK("https://lindat.mff.cuni.cz/services/teitok/pdtc10/index.php?action=vallex&amp;frame=v-w4694hsa_469", "předat (v-w4694hsa_469)")</f>
        <v>předat (v-w4694hsa_469)</v>
      </c>
    </row>
    <row r="34460" customFormat="false" ht="12.8" hidden="false" customHeight="false" outlineLevel="0" collapsed="false">
      <c r="B34460" s="0" t="s">
        <v>1</v>
      </c>
    </row>
    <row r="34461" customFormat="false" ht="12.8" hidden="false" customHeight="false" outlineLevel="0" collapsed="false">
      <c r="B34461" s="0" t="s">
        <v>13148</v>
      </c>
    </row>
    <row r="34462" customFormat="false" ht="12.8" hidden="false" customHeight="false" outlineLevel="0" collapsed="false">
      <c r="B34462" s="0" t="s">
        <v>164</v>
      </c>
    </row>
    <row r="34464" customFormat="false" ht="12.8" hidden="false" customHeight="false" outlineLevel="0" collapsed="false">
      <c r="A34464" s="0" t="s">
        <v>13152</v>
      </c>
      <c r="B34464" s="0" t="str">
        <f aca="false">HYPERLINK("https://lindat.mff.cuni.cz/services/teitok/pdtc10/index.php?action=vallex&amp;frame=v-w4694f4", "předat (v-w4694f4) - substituted with v-w4694hsa_469")</f>
        <v>předat (v-w4694f4) - substituted with v-w4694hsa_469</v>
      </c>
    </row>
    <row r="34465" customFormat="false" ht="12.8" hidden="false" customHeight="false" outlineLevel="0" collapsed="false">
      <c r="B34465" s="0" t="s">
        <v>1</v>
      </c>
    </row>
    <row r="34466" customFormat="false" ht="12.8" hidden="false" customHeight="false" outlineLevel="0" collapsed="false">
      <c r="B34466" s="0" t="s">
        <v>13148</v>
      </c>
    </row>
    <row r="34467" customFormat="false" ht="12.8" hidden="false" customHeight="false" outlineLevel="0" collapsed="false">
      <c r="B34467" s="0" t="s">
        <v>164</v>
      </c>
    </row>
    <row r="34469" customFormat="false" ht="12.8" hidden="false" customHeight="false" outlineLevel="0" collapsed="false">
      <c r="A34469" s="0" t="s">
        <v>13153</v>
      </c>
      <c r="B34469" s="0" t="str">
        <f aca="false">HYPERLINK("https://lindat.mff.cuni.cz/services/teitok/pdtc10/index.php?action=vallex&amp;frame=v-w4695f1", "předat se (v-w4695f1)")</f>
        <v>předat se (v-w4695f1)</v>
      </c>
    </row>
    <row r="34470" customFormat="false" ht="12.8" hidden="false" customHeight="false" outlineLevel="0" collapsed="false">
      <c r="B34470" s="0" t="s">
        <v>1</v>
      </c>
    </row>
    <row r="34472" customFormat="false" ht="12.8" hidden="false" customHeight="false" outlineLevel="0" collapsed="false">
      <c r="A34472" s="0" t="s">
        <v>13154</v>
      </c>
      <c r="B34472" s="0" t="str">
        <f aca="false">HYPERLINK("https://lindat.mff.cuni.cz/services/teitok/pdtc10/index.php?action=vallex&amp;frame=v-whsa_649hsa_650", "předat si (v-whsa_649hsa_650)")</f>
        <v>předat si (v-whsa_649hsa_650)</v>
      </c>
    </row>
    <row r="34473" customFormat="false" ht="12.8" hidden="false" customHeight="false" outlineLevel="0" collapsed="false">
      <c r="B34473" s="0" t="s">
        <v>1</v>
      </c>
    </row>
    <row r="34474" customFormat="false" ht="12.8" hidden="false" customHeight="false" outlineLevel="0" collapsed="false">
      <c r="B34474" s="0" t="s">
        <v>8</v>
      </c>
    </row>
    <row r="34475" customFormat="false" ht="12.8" hidden="false" customHeight="false" outlineLevel="0" collapsed="false">
      <c r="B34475" s="0" t="s">
        <v>276</v>
      </c>
    </row>
    <row r="34477" customFormat="false" ht="12.8" hidden="false" customHeight="false" outlineLevel="0" collapsed="false">
      <c r="A34477" s="0" t="s">
        <v>13155</v>
      </c>
      <c r="B34477" s="0" t="str">
        <f aca="false">HYPERLINK("https://lindat.mff.cuni.cz/services/teitok/pdtc10/index.php?action=vallex&amp;frame=v-w4701f1", "předbíhat (v-w4701f1)")</f>
        <v>předbíhat (v-w4701f1)</v>
      </c>
    </row>
    <row r="34478" customFormat="false" ht="12.8" hidden="false" customHeight="false" outlineLevel="0" collapsed="false">
      <c r="B34478" s="0" t="s">
        <v>1</v>
      </c>
    </row>
    <row r="34479" customFormat="false" ht="12.8" hidden="false" customHeight="false" outlineLevel="0" collapsed="false">
      <c r="B34479" s="0" t="s">
        <v>8</v>
      </c>
    </row>
    <row r="34481" customFormat="false" ht="12.8" hidden="false" customHeight="false" outlineLevel="0" collapsed="false">
      <c r="A34481" s="0" t="s">
        <v>13156</v>
      </c>
      <c r="B34481" s="0" t="str">
        <f aca="false">HYPERLINK("https://lindat.mff.cuni.cz/services/teitok/pdtc10/index.php?action=vallex&amp;frame=v-w4701f2_ZU", "předbíhat (v-w4701f2_ZU)")</f>
        <v>předbíhat (v-w4701f2_ZU)</v>
      </c>
    </row>
    <row r="34482" customFormat="false" ht="12.8" hidden="false" customHeight="false" outlineLevel="0" collapsed="false">
      <c r="B34482" s="0" t="s">
        <v>1</v>
      </c>
    </row>
    <row r="34483" customFormat="false" ht="12.8" hidden="false" customHeight="false" outlineLevel="0" collapsed="false">
      <c r="B34483" s="0" t="s">
        <v>186</v>
      </c>
    </row>
    <row r="34485" customFormat="false" ht="12.8" hidden="false" customHeight="false" outlineLevel="0" collapsed="false">
      <c r="A34485" s="0" t="s">
        <v>13157</v>
      </c>
      <c r="B34485" s="0" t="str">
        <f aca="false">HYPERLINK("https://lindat.mff.cuni.cz/services/teitok/pdtc10/index.php?action=vallex&amp;frame=v-w4702f1", "předbíhat se (v-w4702f1)")</f>
        <v>předbíhat se (v-w4702f1)</v>
      </c>
    </row>
    <row r="34486" customFormat="false" ht="12.8" hidden="false" customHeight="false" outlineLevel="0" collapsed="false">
      <c r="B34486" s="0" t="s">
        <v>1</v>
      </c>
    </row>
    <row r="34488" customFormat="false" ht="12.8" hidden="false" customHeight="false" outlineLevel="0" collapsed="false">
      <c r="A34488" s="0" t="s">
        <v>13158</v>
      </c>
      <c r="B34488" s="0" t="str">
        <f aca="false">HYPERLINK("https://lindat.mff.cuni.cz/services/teitok/pdtc10/index.php?action=vallex&amp;frame=v-w4700f1", "předběhnout (v-w4700f1)")</f>
        <v>předběhnout (v-w4700f1)</v>
      </c>
      <c r="E34488" s="0" t="str">
        <f aca="false">HYPERLINK("https://lindat.mff.cuni.cz/services/SynSemClass40/SynSemClass40.html?veclass=vec00370#vec00370-ces-cm00019", "vec00370")</f>
        <v>vec00370</v>
      </c>
      <c r="F34488" s="0" t="s">
        <v>9840</v>
      </c>
    </row>
    <row r="34489" customFormat="false" ht="12.8" hidden="false" customHeight="false" outlineLevel="0" collapsed="false">
      <c r="B34489" s="0" t="s">
        <v>1</v>
      </c>
      <c r="C34489" s="0" t="s">
        <v>3241</v>
      </c>
      <c r="E34489" s="0" t="s">
        <v>11</v>
      </c>
      <c r="F34489" s="0" t="s">
        <v>6122</v>
      </c>
    </row>
    <row r="34490" customFormat="false" ht="12.8" hidden="false" customHeight="false" outlineLevel="0" collapsed="false">
      <c r="B34490" s="0" t="s">
        <v>13159</v>
      </c>
      <c r="C34490" s="0" t="s">
        <v>9841</v>
      </c>
      <c r="E34490" s="0" t="s">
        <v>34</v>
      </c>
      <c r="F34490" s="0" t="s">
        <v>9842</v>
      </c>
    </row>
    <row r="34492" customFormat="false" ht="12.8" hidden="false" customHeight="false" outlineLevel="0" collapsed="false">
      <c r="A34492" s="0" t="s">
        <v>13160</v>
      </c>
      <c r="B34492" s="0" t="str">
        <f aca="false">HYPERLINK("https://lindat.mff.cuni.cz/services/teitok/pdtc10/index.php?action=vallex&amp;frame=v-w4700f2", "předběhnout (v-w4700f2)")</f>
        <v>předběhnout (v-w4700f2)</v>
      </c>
    </row>
    <row r="34493" customFormat="false" ht="12.8" hidden="false" customHeight="false" outlineLevel="0" collapsed="false">
      <c r="B34493" s="0" t="s">
        <v>1</v>
      </c>
    </row>
    <row r="34494" customFormat="false" ht="12.8" hidden="false" customHeight="false" outlineLevel="0" collapsed="false">
      <c r="B34494" s="0" t="s">
        <v>8</v>
      </c>
    </row>
    <row r="34496" customFormat="false" ht="12.8" hidden="false" customHeight="false" outlineLevel="0" collapsed="false">
      <c r="A34496" s="0" t="s">
        <v>13161</v>
      </c>
      <c r="B34496" s="0" t="str">
        <f aca="false">HYPERLINK("https://lindat.mff.cuni.cz/services/teitok/pdtc10/index.php?action=vallex&amp;frame=v-w4720f1", "předcházet (v-w4720f1)")</f>
        <v>předcházet (v-w4720f1)</v>
      </c>
      <c r="E34496" s="0" t="str">
        <f aca="false">HYPERLINK("https://lindat.mff.cuni.cz/services/SynSemClass40/SynSemClass40.html?veclass=vec00692#vec00692-ces-cm00001", "vec00692")</f>
        <v>vec00692</v>
      </c>
      <c r="F34496" s="0" t="s">
        <v>13162</v>
      </c>
    </row>
    <row r="34497" customFormat="false" ht="12.8" hidden="false" customHeight="false" outlineLevel="0" collapsed="false">
      <c r="B34497" s="0" t="s">
        <v>1</v>
      </c>
      <c r="C34497" s="0" t="s">
        <v>13163</v>
      </c>
      <c r="E34497" s="0" t="s">
        <v>13164</v>
      </c>
      <c r="F34497" s="0" t="s">
        <v>13165</v>
      </c>
    </row>
    <row r="34498" customFormat="false" ht="12.8" hidden="false" customHeight="false" outlineLevel="0" collapsed="false">
      <c r="B34498" s="0" t="s">
        <v>186</v>
      </c>
      <c r="C34498" s="0" t="s">
        <v>13166</v>
      </c>
      <c r="E34498" s="0" t="s">
        <v>13167</v>
      </c>
      <c r="F34498" s="0" t="s">
        <v>13168</v>
      </c>
    </row>
    <row r="34500" customFormat="false" ht="12.8" hidden="false" customHeight="false" outlineLevel="0" collapsed="false">
      <c r="A34500" s="0" t="s">
        <v>13169</v>
      </c>
      <c r="B34500" s="0" t="str">
        <f aca="false">HYPERLINK("https://lindat.mff.cuni.cz/services/teitok/pdtc10/index.php?action=vallex&amp;frame=v-w4720f2", "předcházet (v-w4720f2)")</f>
        <v>předcházet (v-w4720f2)</v>
      </c>
    </row>
    <row r="34501" customFormat="false" ht="12.8" hidden="false" customHeight="false" outlineLevel="0" collapsed="false">
      <c r="B34501" s="0" t="s">
        <v>13170</v>
      </c>
    </row>
    <row r="34503" customFormat="false" ht="12.8" hidden="false" customHeight="false" outlineLevel="0" collapsed="false">
      <c r="A34503" s="0" t="s">
        <v>13171</v>
      </c>
      <c r="B34503" s="0" t="str">
        <f aca="false">HYPERLINK("https://lindat.mff.cuni.cz/services/teitok/pdtc10/index.php?action=vallex&amp;frame=v-w4720hsa_950", "předcházet (v-w4720hsa_950)")</f>
        <v>předcházet (v-w4720hsa_950)</v>
      </c>
    </row>
    <row r="34504" customFormat="false" ht="12.8" hidden="false" customHeight="false" outlineLevel="0" collapsed="false">
      <c r="B34504" s="0" t="s">
        <v>1</v>
      </c>
    </row>
    <row r="34505" customFormat="false" ht="12.8" hidden="false" customHeight="false" outlineLevel="0" collapsed="false">
      <c r="B34505" s="0" t="s">
        <v>8</v>
      </c>
    </row>
    <row r="34507" customFormat="false" ht="12.8" hidden="false" customHeight="false" outlineLevel="0" collapsed="false">
      <c r="A34507" s="0" t="s">
        <v>13172</v>
      </c>
      <c r="B34507" s="0" t="str">
        <f aca="false">HYPERLINK("https://lindat.mff.cuni.cz/services/teitok/pdtc10/index.php?action=vallex&amp;frame=v-w4720hsa_951", "předcházet (v-w4720hsa_951)")</f>
        <v>předcházet (v-w4720hsa_951)</v>
      </c>
      <c r="E34507" s="0" t="str">
        <f aca="false">HYPERLINK("https://lindat.mff.cuni.cz/services/SynSemClass40/SynSemClass40.html?veclass=vec00174#vec00174-ces-cm00012", "vec00174")</f>
        <v>vec00174</v>
      </c>
      <c r="F34507" s="0" t="s">
        <v>325</v>
      </c>
    </row>
    <row r="34508" customFormat="false" ht="12.8" hidden="false" customHeight="false" outlineLevel="0" collapsed="false">
      <c r="B34508" s="0" t="s">
        <v>1</v>
      </c>
      <c r="C34508" s="0" t="s">
        <v>326</v>
      </c>
      <c r="E34508" s="0" t="s">
        <v>76</v>
      </c>
      <c r="F34508" s="0" t="s">
        <v>327</v>
      </c>
    </row>
    <row r="34509" customFormat="false" ht="12.8" hidden="false" customHeight="false" outlineLevel="0" collapsed="false">
      <c r="B34509" s="0" t="s">
        <v>186</v>
      </c>
      <c r="C34509" s="0" t="s">
        <v>328</v>
      </c>
      <c r="E34509" s="0" t="s">
        <v>188</v>
      </c>
      <c r="F34509" s="0" t="s">
        <v>329</v>
      </c>
    </row>
    <row r="34511" customFormat="false" ht="12.8" hidden="false" customHeight="false" outlineLevel="0" collapsed="false">
      <c r="A34511" s="0" t="s">
        <v>13173</v>
      </c>
      <c r="B34511" s="0" t="str">
        <f aca="false">HYPERLINK("https://lindat.mff.cuni.cz/services/teitok/pdtc10/index.php?action=vallex&amp;frame=v-whsb_279f1_ZU", "předcvičovat (v-whsb_279f1_ZU)")</f>
        <v>předcvičovat (v-whsb_279f1_ZU)</v>
      </c>
    </row>
    <row r="34512" customFormat="false" ht="12.8" hidden="false" customHeight="false" outlineLevel="0" collapsed="false">
      <c r="B34512" s="0" t="s">
        <v>1</v>
      </c>
    </row>
    <row r="34513" customFormat="false" ht="12.8" hidden="false" customHeight="false" outlineLevel="0" collapsed="false">
      <c r="B34513" s="0" t="s">
        <v>8</v>
      </c>
    </row>
    <row r="34514" customFormat="false" ht="12.8" hidden="false" customHeight="false" outlineLevel="0" collapsed="false">
      <c r="B34514" s="0" t="s">
        <v>132</v>
      </c>
    </row>
    <row r="34516" customFormat="false" ht="12.8" hidden="false" customHeight="false" outlineLevel="0" collapsed="false">
      <c r="A34516" s="0" t="s">
        <v>13173</v>
      </c>
      <c r="B34516" s="0" t="str">
        <f aca="false">HYPERLINK("https://lindat.mff.cuni.cz/services/teitok/pdtc10/index.php?action=vallex&amp;frame=v-whsb_279hsa_280", "předcvičovat (v-whsb_279hsa_280) - substituted with v-whsb_279f1_ZU")</f>
        <v>předcvičovat (v-whsb_279hsa_280) - substituted with v-whsb_279f1_ZU</v>
      </c>
    </row>
    <row r="34517" customFormat="false" ht="12.8" hidden="false" customHeight="false" outlineLevel="0" collapsed="false">
      <c r="B34517" s="0" t="s">
        <v>1</v>
      </c>
    </row>
    <row r="34518" customFormat="false" ht="12.8" hidden="false" customHeight="false" outlineLevel="0" collapsed="false">
      <c r="B34518" s="0" t="s">
        <v>8</v>
      </c>
    </row>
    <row r="34519" customFormat="false" ht="12.8" hidden="false" customHeight="false" outlineLevel="0" collapsed="false">
      <c r="B34519" s="0" t="s">
        <v>132</v>
      </c>
    </row>
    <row r="34521" customFormat="false" ht="12.8" hidden="false" customHeight="false" outlineLevel="0" collapsed="false">
      <c r="A34521" s="0" t="s">
        <v>13174</v>
      </c>
      <c r="B34521" s="0" t="str">
        <f aca="false">HYPERLINK("https://lindat.mff.cuni.cz/services/teitok/pdtc10/index.php?action=vallex&amp;frame=v-w10891f2", "předehnat (v-w10891f2)")</f>
        <v>předehnat (v-w10891f2)</v>
      </c>
    </row>
    <row r="34522" customFormat="false" ht="12.8" hidden="false" customHeight="false" outlineLevel="0" collapsed="false">
      <c r="B34522" s="0" t="s">
        <v>1</v>
      </c>
    </row>
    <row r="34523" customFormat="false" ht="12.8" hidden="false" customHeight="false" outlineLevel="0" collapsed="false">
      <c r="B34523" s="0" t="s">
        <v>8</v>
      </c>
    </row>
    <row r="34525" customFormat="false" ht="12.8" hidden="false" customHeight="false" outlineLevel="0" collapsed="false">
      <c r="A34525" s="0" t="s">
        <v>13175</v>
      </c>
      <c r="B34525" s="0" t="str">
        <f aca="false">HYPERLINK("https://lindat.mff.cuni.cz/services/teitok/pdtc10/index.php?action=vallex&amp;frame=v-whsa_183f1_ZU", "předehrát (v-whsa_183f1_ZU)")</f>
        <v>předehrát (v-whsa_183f1_ZU)</v>
      </c>
    </row>
    <row r="34526" customFormat="false" ht="12.8" hidden="false" customHeight="false" outlineLevel="0" collapsed="false">
      <c r="B34526" s="0" t="s">
        <v>1</v>
      </c>
    </row>
    <row r="34527" customFormat="false" ht="12.8" hidden="false" customHeight="false" outlineLevel="0" collapsed="false">
      <c r="B34527" s="0" t="s">
        <v>8</v>
      </c>
    </row>
    <row r="34529" customFormat="false" ht="12.8" hidden="false" customHeight="false" outlineLevel="0" collapsed="false">
      <c r="A34529" s="0" t="s">
        <v>13175</v>
      </c>
      <c r="B34529" s="0" t="str">
        <f aca="false">HYPERLINK("https://lindat.mff.cuni.cz/services/teitok/pdtc10/index.php?action=vallex&amp;frame=v-whsa_183hsa_184", "předehrát (v-whsa_183hsa_184) - substituted with v-whsa_183f1_ZU")</f>
        <v>předehrát (v-whsa_183hsa_184) - substituted with v-whsa_183f1_ZU</v>
      </c>
    </row>
    <row r="34530" customFormat="false" ht="12.8" hidden="false" customHeight="false" outlineLevel="0" collapsed="false">
      <c r="B34530" s="0" t="s">
        <v>1</v>
      </c>
    </row>
    <row r="34531" customFormat="false" ht="12.8" hidden="false" customHeight="false" outlineLevel="0" collapsed="false">
      <c r="B34531" s="0" t="s">
        <v>8</v>
      </c>
    </row>
    <row r="34533" customFormat="false" ht="12.8" hidden="false" customHeight="false" outlineLevel="0" collapsed="false">
      <c r="A34533" s="0" t="s">
        <v>13176</v>
      </c>
      <c r="B34533" s="0" t="str">
        <f aca="false">HYPERLINK("https://lindat.mff.cuni.cz/services/teitok/pdtc10/index.php?action=vallex&amp;frame=v-w12068_ZUf1_ZU", "předejet (v-w12068_ZUf1_ZU)")</f>
        <v>předejet (v-w12068_ZUf1_ZU)</v>
      </c>
    </row>
    <row r="34534" customFormat="false" ht="12.8" hidden="false" customHeight="false" outlineLevel="0" collapsed="false">
      <c r="B34534" s="0" t="s">
        <v>1</v>
      </c>
    </row>
    <row r="34535" customFormat="false" ht="12.8" hidden="false" customHeight="false" outlineLevel="0" collapsed="false">
      <c r="B34535" s="0" t="s">
        <v>8</v>
      </c>
    </row>
    <row r="34537" customFormat="false" ht="12.8" hidden="false" customHeight="false" outlineLevel="0" collapsed="false">
      <c r="A34537" s="0" t="s">
        <v>13177</v>
      </c>
      <c r="B34537" s="0" t="str">
        <f aca="false">HYPERLINK("https://lindat.mff.cuni.cz/services/teitok/pdtc10/index.php?action=vallex&amp;frame=v-w10162f2", "předejmout (v-w10162f2)")</f>
        <v>předejmout (v-w10162f2)</v>
      </c>
      <c r="E34537" s="0" t="str">
        <f aca="false">HYPERLINK("https://lindat.mff.cuni.cz/services/SynSemClass40/SynSemClass40.html?veclass=vec00093#vec00093-ces-cm00039", "vec00093")</f>
        <v>vec00093</v>
      </c>
      <c r="F34537" s="0" t="s">
        <v>4708</v>
      </c>
    </row>
    <row r="34538" customFormat="false" ht="12.8" hidden="false" customHeight="false" outlineLevel="0" collapsed="false">
      <c r="B34538" s="0" t="s">
        <v>1</v>
      </c>
      <c r="C34538" s="0" t="s">
        <v>2758</v>
      </c>
      <c r="E34538" s="0" t="s">
        <v>4709</v>
      </c>
      <c r="F34538" s="0" t="s">
        <v>4710</v>
      </c>
    </row>
    <row r="34539" customFormat="false" ht="12.8" hidden="false" customHeight="false" outlineLevel="0" collapsed="false">
      <c r="B34539" s="0" t="s">
        <v>8</v>
      </c>
      <c r="C34539" s="0" t="s">
        <v>4712</v>
      </c>
      <c r="E34539" s="0" t="s">
        <v>4713</v>
      </c>
      <c r="F34539" s="0" t="s">
        <v>4714</v>
      </c>
    </row>
    <row r="34541" customFormat="false" ht="12.8" hidden="false" customHeight="false" outlineLevel="0" collapsed="false">
      <c r="A34541" s="0" t="s">
        <v>13178</v>
      </c>
      <c r="B34541" s="0" t="str">
        <f aca="false">HYPERLINK("https://lindat.mff.cuni.cz/services/teitok/pdtc10/index.php?action=vallex&amp;frame=v-w4708f1", "předejít (v-w4708f1)")</f>
        <v>předejít (v-w4708f1)</v>
      </c>
      <c r="E34541" s="0" t="str">
        <f aca="false">HYPERLINK("https://lindat.mff.cuni.cz/services/SynSemClass40/SynSemClass40.html?veclass=vec00174#vec00174-ces-cm00010", "vec00174")</f>
        <v>vec00174</v>
      </c>
      <c r="F34541" s="0" t="s">
        <v>325</v>
      </c>
    </row>
    <row r="34542" customFormat="false" ht="12.8" hidden="false" customHeight="false" outlineLevel="0" collapsed="false">
      <c r="B34542" s="0" t="s">
        <v>1</v>
      </c>
      <c r="C34542" s="0" t="s">
        <v>326</v>
      </c>
      <c r="E34542" s="0" t="s">
        <v>76</v>
      </c>
      <c r="F34542" s="0" t="s">
        <v>327</v>
      </c>
    </row>
    <row r="34543" customFormat="false" ht="12.8" hidden="false" customHeight="false" outlineLevel="0" collapsed="false">
      <c r="B34543" s="0" t="s">
        <v>186</v>
      </c>
      <c r="C34543" s="0" t="s">
        <v>328</v>
      </c>
      <c r="E34543" s="0" t="s">
        <v>188</v>
      </c>
      <c r="F34543" s="0" t="s">
        <v>329</v>
      </c>
    </row>
    <row r="34545" customFormat="false" ht="12.8" hidden="false" customHeight="false" outlineLevel="0" collapsed="false">
      <c r="A34545" s="0" t="s">
        <v>13179</v>
      </c>
      <c r="B34545" s="0" t="str">
        <f aca="false">HYPERLINK("https://lindat.mff.cuni.cz/services/teitok/pdtc10/index.php?action=vallex&amp;frame=v-w4708f3_ZU", "předejít (v-w4708f3_ZU)")</f>
        <v>předejít (v-w4708f3_ZU)</v>
      </c>
    </row>
    <row r="34546" customFormat="false" ht="12.8" hidden="false" customHeight="false" outlineLevel="0" collapsed="false">
      <c r="B34546" s="0" t="s">
        <v>1</v>
      </c>
    </row>
    <row r="34547" customFormat="false" ht="12.8" hidden="false" customHeight="false" outlineLevel="0" collapsed="false">
      <c r="B34547" s="0" t="s">
        <v>13159</v>
      </c>
    </row>
    <row r="34549" customFormat="false" ht="12.8" hidden="false" customHeight="false" outlineLevel="0" collapsed="false">
      <c r="A34549" s="0" t="s">
        <v>13179</v>
      </c>
      <c r="B34549" s="0" t="str">
        <f aca="false">HYPERLINK("https://lindat.mff.cuni.cz/services/teitok/pdtc10/index.php?action=vallex&amp;frame=v-w4708f2", "předejít (v-w4708f2) - substituted with v-w4708f3_ZU")</f>
        <v>předejít (v-w4708f2) - substituted with v-w4708f3_ZU</v>
      </c>
      <c r="E34549" s="0" t="str">
        <f aca="false">HYPERLINK("https://lindat.mff.cuni.cz/services/SynSemClass40/SynSemClass40.html?veclass=vec00692#vec00692-ces-cm00021", "vec00692")</f>
        <v>vec00692</v>
      </c>
      <c r="F34549" s="0" t="s">
        <v>13162</v>
      </c>
    </row>
    <row r="34550" customFormat="false" ht="12.8" hidden="false" customHeight="false" outlineLevel="0" collapsed="false">
      <c r="B34550" s="0" t="s">
        <v>1</v>
      </c>
      <c r="C34550" s="0" t="s">
        <v>13163</v>
      </c>
      <c r="E34550" s="0" t="s">
        <v>13164</v>
      </c>
      <c r="F34550" s="0" t="s">
        <v>13165</v>
      </c>
    </row>
    <row r="34551" customFormat="false" ht="12.8" hidden="false" customHeight="false" outlineLevel="0" collapsed="false">
      <c r="B34551" s="0" t="s">
        <v>13159</v>
      </c>
      <c r="C34551" s="0" t="s">
        <v>13166</v>
      </c>
      <c r="E34551" s="0" t="s">
        <v>13167</v>
      </c>
      <c r="F34551" s="0" t="s">
        <v>13168</v>
      </c>
    </row>
    <row r="34553" customFormat="false" ht="12.8" hidden="false" customHeight="false" outlineLevel="0" collapsed="false">
      <c r="A34553" s="0" t="s">
        <v>13180</v>
      </c>
      <c r="B34553" s="0" t="str">
        <f aca="false">HYPERLINK("https://lindat.mff.cuni.cz/services/teitok/pdtc10/index.php?action=vallex&amp;frame=v-w4712f1", "předepisovat (v-w4712f1)")</f>
        <v>předepisovat (v-w4712f1)</v>
      </c>
      <c r="E34553" s="0" t="str">
        <f aca="false">HYPERLINK("https://lindat.mff.cuni.cz/services/SynSemClass40/SynSemClass40.html?veclass=vec00743#vec00743-ces-cm00008", "vec00743")</f>
        <v>vec00743</v>
      </c>
      <c r="F34553" s="0" t="s">
        <v>10875</v>
      </c>
    </row>
    <row r="34554" customFormat="false" ht="12.8" hidden="false" customHeight="false" outlineLevel="0" collapsed="false">
      <c r="B34554" s="0" t="s">
        <v>1</v>
      </c>
      <c r="C34554" s="0" t="s">
        <v>10876</v>
      </c>
      <c r="E34554" s="0" t="s">
        <v>31</v>
      </c>
      <c r="F34554" s="0" t="s">
        <v>10877</v>
      </c>
    </row>
    <row r="34555" customFormat="false" ht="12.8" hidden="false" customHeight="false" outlineLevel="0" collapsed="false">
      <c r="B34555" s="0" t="s">
        <v>13181</v>
      </c>
      <c r="C34555" s="0" t="s">
        <v>10878</v>
      </c>
      <c r="E34555" s="0" t="s">
        <v>532</v>
      </c>
      <c r="F34555" s="0" t="s">
        <v>10879</v>
      </c>
    </row>
    <row r="34556" customFormat="false" ht="12.8" hidden="false" customHeight="false" outlineLevel="0" collapsed="false">
      <c r="B34556" s="0" t="s">
        <v>52</v>
      </c>
      <c r="C34556" s="0" t="s">
        <v>10880</v>
      </c>
      <c r="E34556" s="0" t="s">
        <v>53</v>
      </c>
      <c r="F34556" s="0" t="s">
        <v>10881</v>
      </c>
    </row>
    <row r="34558" customFormat="false" ht="12.8" hidden="false" customHeight="false" outlineLevel="0" collapsed="false">
      <c r="A34558" s="0" t="s">
        <v>13182</v>
      </c>
      <c r="B34558" s="0" t="str">
        <f aca="false">HYPERLINK("https://lindat.mff.cuni.cz/services/teitok/pdtc10/index.php?action=vallex&amp;frame=v-w4714f1", "předepsat (v-w4714f1)")</f>
        <v>předepsat (v-w4714f1)</v>
      </c>
      <c r="E34558" s="0" t="str">
        <f aca="false">HYPERLINK("https://lindat.mff.cuni.cz/services/SynSemClass40/SynSemClass40.html?veclass=vec00743#vec00743-ces-cm00027", "vec00743")</f>
        <v>vec00743</v>
      </c>
      <c r="F34558" s="0" t="s">
        <v>10875</v>
      </c>
    </row>
    <row r="34559" customFormat="false" ht="12.8" hidden="false" customHeight="false" outlineLevel="0" collapsed="false">
      <c r="B34559" s="0" t="s">
        <v>1</v>
      </c>
      <c r="C34559" s="0" t="s">
        <v>10876</v>
      </c>
      <c r="E34559" s="0" t="s">
        <v>31</v>
      </c>
      <c r="F34559" s="0" t="s">
        <v>10877</v>
      </c>
    </row>
    <row r="34560" customFormat="false" ht="12.8" hidden="false" customHeight="false" outlineLevel="0" collapsed="false">
      <c r="B34560" s="0" t="s">
        <v>13183</v>
      </c>
      <c r="C34560" s="0" t="s">
        <v>10878</v>
      </c>
      <c r="E34560" s="0" t="s">
        <v>532</v>
      </c>
      <c r="F34560" s="0" t="s">
        <v>10879</v>
      </c>
    </row>
    <row r="34561" customFormat="false" ht="12.8" hidden="false" customHeight="false" outlineLevel="0" collapsed="false">
      <c r="B34561" s="0" t="s">
        <v>52</v>
      </c>
      <c r="C34561" s="0" t="s">
        <v>10880</v>
      </c>
      <c r="E34561" s="0" t="s">
        <v>53</v>
      </c>
      <c r="F34561" s="0" t="s">
        <v>10881</v>
      </c>
    </row>
    <row r="34563" customFormat="false" ht="12.8" hidden="false" customHeight="false" outlineLevel="0" collapsed="false">
      <c r="A34563" s="0" t="s">
        <v>13184</v>
      </c>
      <c r="B34563" s="0" t="str">
        <f aca="false">HYPERLINK("https://lindat.mff.cuni.cz/services/teitok/pdtc10/index.php?action=vallex&amp;frame=v-whsa_321hsa_322", "předeslat (v-whsa_321hsa_322)")</f>
        <v>předeslat (v-whsa_321hsa_322)</v>
      </c>
    </row>
    <row r="34564" customFormat="false" ht="12.8" hidden="false" customHeight="false" outlineLevel="0" collapsed="false">
      <c r="B34564" s="0" t="s">
        <v>1</v>
      </c>
    </row>
    <row r="34565" customFormat="false" ht="12.8" hidden="false" customHeight="false" outlineLevel="0" collapsed="false">
      <c r="B34565" s="0" t="s">
        <v>59</v>
      </c>
    </row>
    <row r="34567" customFormat="false" ht="12.8" hidden="false" customHeight="false" outlineLevel="0" collapsed="false">
      <c r="A34567" s="0" t="s">
        <v>13185</v>
      </c>
      <c r="B34567" s="0" t="str">
        <f aca="false">HYPERLINK("https://lindat.mff.cuni.cz/services/teitok/pdtc10/index.php?action=vallex&amp;frame=v-w4715f1", "předestřít (v-w4715f1)")</f>
        <v>předestřít (v-w4715f1)</v>
      </c>
    </row>
    <row r="34568" customFormat="false" ht="12.8" hidden="false" customHeight="false" outlineLevel="0" collapsed="false">
      <c r="B34568" s="0" t="s">
        <v>1</v>
      </c>
    </row>
    <row r="34569" customFormat="false" ht="12.8" hidden="false" customHeight="false" outlineLevel="0" collapsed="false">
      <c r="B34569" s="0" t="s">
        <v>228</v>
      </c>
    </row>
    <row r="34570" customFormat="false" ht="12.8" hidden="false" customHeight="false" outlineLevel="0" collapsed="false">
      <c r="B34570" s="0" t="s">
        <v>52</v>
      </c>
    </row>
    <row r="34572" customFormat="false" ht="12.8" hidden="false" customHeight="false" outlineLevel="0" collapsed="false">
      <c r="A34572" s="0" t="s">
        <v>13186</v>
      </c>
      <c r="B34572" s="0" t="str">
        <f aca="false">HYPERLINK("https://lindat.mff.cuni.cz/services/teitok/pdtc10/index.php?action=vallex&amp;frame=v-w10369f2", "předhazovat (v-w10369f2)")</f>
        <v>předhazovat (v-w10369f2)</v>
      </c>
    </row>
    <row r="34573" customFormat="false" ht="12.8" hidden="false" customHeight="false" outlineLevel="0" collapsed="false">
      <c r="B34573" s="0" t="s">
        <v>1</v>
      </c>
    </row>
    <row r="34574" customFormat="false" ht="12.8" hidden="false" customHeight="false" outlineLevel="0" collapsed="false">
      <c r="B34574" s="0" t="s">
        <v>13187</v>
      </c>
    </row>
    <row r="34575" customFormat="false" ht="12.8" hidden="false" customHeight="false" outlineLevel="0" collapsed="false">
      <c r="B34575" s="0" t="s">
        <v>52</v>
      </c>
    </row>
    <row r="34577" customFormat="false" ht="12.8" hidden="false" customHeight="false" outlineLevel="0" collapsed="false">
      <c r="A34577" s="0" t="s">
        <v>13188</v>
      </c>
      <c r="B34577" s="0" t="str">
        <f aca="false">HYPERLINK("https://lindat.mff.cuni.cz/services/teitok/pdtc10/index.php?action=vallex&amp;frame=v-w4717f1", "předhánět (v-w4717f1)")</f>
        <v>předhánět (v-w4717f1)</v>
      </c>
    </row>
    <row r="34578" customFormat="false" ht="12.8" hidden="false" customHeight="false" outlineLevel="0" collapsed="false">
      <c r="B34578" s="0" t="s">
        <v>1</v>
      </c>
    </row>
    <row r="34579" customFormat="false" ht="12.8" hidden="false" customHeight="false" outlineLevel="0" collapsed="false">
      <c r="B34579" s="0" t="s">
        <v>8</v>
      </c>
    </row>
    <row r="34581" customFormat="false" ht="12.8" hidden="false" customHeight="false" outlineLevel="0" collapsed="false">
      <c r="A34581" s="0" t="s">
        <v>13189</v>
      </c>
      <c r="B34581" s="0" t="str">
        <f aca="false">HYPERLINK("https://lindat.mff.cuni.cz/services/teitok/pdtc10/index.php?action=vallex&amp;frame=v-w11371f2_ZU", "předhánět se (v-w11371f2_ZU)")</f>
        <v>předhánět se (v-w11371f2_ZU)</v>
      </c>
      <c r="E34581" s="0" t="str">
        <f aca="false">HYPERLINK("https://lindat.mff.cuni.cz/services/SynSemClass40/SynSemClass40.html?veclass=vec00121#vec00121-ces-cm00014", "vec00121")</f>
        <v>vec00121</v>
      </c>
      <c r="F34581" s="0" t="s">
        <v>414</v>
      </c>
    </row>
    <row r="34582" customFormat="false" ht="12.8" hidden="false" customHeight="false" outlineLevel="0" collapsed="false">
      <c r="B34582" s="0" t="s">
        <v>1</v>
      </c>
      <c r="C34582" s="0" t="s">
        <v>415</v>
      </c>
      <c r="E34582" s="0" t="s">
        <v>416</v>
      </c>
      <c r="F34582" s="0" t="s">
        <v>417</v>
      </c>
    </row>
    <row r="34583" customFormat="false" ht="12.8" hidden="false" customHeight="false" outlineLevel="0" collapsed="false">
      <c r="B34583" s="0" t="s">
        <v>276</v>
      </c>
      <c r="C34583" s="0" t="s">
        <v>419</v>
      </c>
      <c r="E34583" s="0" t="s">
        <v>420</v>
      </c>
      <c r="F34583" s="0" t="s">
        <v>421</v>
      </c>
    </row>
    <row r="34584" customFormat="false" ht="12.8" hidden="false" customHeight="false" outlineLevel="0" collapsed="false">
      <c r="B34584" s="0" t="s">
        <v>13190</v>
      </c>
      <c r="C34584" s="0" t="s">
        <v>423</v>
      </c>
      <c r="E34584" s="0" t="s">
        <v>424</v>
      </c>
      <c r="F34584" s="0" t="s">
        <v>425</v>
      </c>
    </row>
    <row r="34586" customFormat="false" ht="12.8" hidden="false" customHeight="false" outlineLevel="0" collapsed="false">
      <c r="A34586" s="0" t="s">
        <v>13189</v>
      </c>
      <c r="B34586" s="0" t="str">
        <f aca="false">HYPERLINK("https://lindat.mff.cuni.cz/services/teitok/pdtc10/index.php?action=vallex&amp;frame=v-w11371f1", "předhánět se (v-w11371f1) - substituted with v-w11371f2_ZU")</f>
        <v>předhánět se (v-w11371f1) - substituted with v-w11371f2_ZU</v>
      </c>
    </row>
    <row r="34587" customFormat="false" ht="12.8" hidden="false" customHeight="false" outlineLevel="0" collapsed="false">
      <c r="B34587" s="0" t="s">
        <v>1</v>
      </c>
    </row>
    <row r="34588" customFormat="false" ht="12.8" hidden="false" customHeight="false" outlineLevel="0" collapsed="false">
      <c r="B34588" s="0" t="s">
        <v>276</v>
      </c>
    </row>
    <row r="34589" customFormat="false" ht="12.8" hidden="false" customHeight="false" outlineLevel="0" collapsed="false">
      <c r="B34589" s="0" t="s">
        <v>13190</v>
      </c>
    </row>
    <row r="34591" customFormat="false" ht="12.8" hidden="false" customHeight="false" outlineLevel="0" collapsed="false">
      <c r="A34591" s="0" t="s">
        <v>13191</v>
      </c>
      <c r="B34591" s="0" t="str">
        <f aca="false">HYPERLINK("https://lindat.mff.cuni.cz/services/teitok/pdtc10/index.php?action=vallex&amp;frame=v-w4722f1", "předimenzovat (v-w4722f1)")</f>
        <v>předimenzovat (v-w4722f1)</v>
      </c>
    </row>
    <row r="34592" customFormat="false" ht="12.8" hidden="false" customHeight="false" outlineLevel="0" collapsed="false">
      <c r="B34592" s="0" t="s">
        <v>1</v>
      </c>
    </row>
    <row r="34593" customFormat="false" ht="12.8" hidden="false" customHeight="false" outlineLevel="0" collapsed="false">
      <c r="B34593" s="0" t="s">
        <v>8</v>
      </c>
    </row>
    <row r="34595" customFormat="false" ht="12.8" hidden="false" customHeight="false" outlineLevel="0" collapsed="false">
      <c r="A34595" s="0" t="s">
        <v>13192</v>
      </c>
      <c r="B34595" s="0" t="str">
        <f aca="false">HYPERLINK("https://lindat.mff.cuni.cz/services/teitok/pdtc10/index.php?action=vallex&amp;frame=v-w12135_ZUf2_ZU", "předjet (v-w12135_ZUf2_ZU)")</f>
        <v>předjet (v-w12135_ZUf2_ZU)</v>
      </c>
    </row>
    <row r="34596" customFormat="false" ht="12.8" hidden="false" customHeight="false" outlineLevel="0" collapsed="false">
      <c r="B34596" s="0" t="s">
        <v>1</v>
      </c>
    </row>
    <row r="34597" customFormat="false" ht="12.8" hidden="false" customHeight="false" outlineLevel="0" collapsed="false">
      <c r="B34597" s="0" t="s">
        <v>8</v>
      </c>
    </row>
    <row r="34599" customFormat="false" ht="12.8" hidden="false" customHeight="false" outlineLevel="0" collapsed="false">
      <c r="A34599" s="0" t="s">
        <v>13192</v>
      </c>
      <c r="B34599" s="0" t="str">
        <f aca="false">HYPERLINK("https://lindat.mff.cuni.cz/services/teitok/pdtc10/index.php?action=vallex&amp;frame=v-w12135_ZUf1_ZU", "předjet (v-w12135_ZUf1_ZU) - substituted with v-w12135_ZUf2_ZU")</f>
        <v>předjet (v-w12135_ZUf1_ZU) - substituted with v-w12135_ZUf2_ZU</v>
      </c>
    </row>
    <row r="34600" customFormat="false" ht="12.8" hidden="false" customHeight="false" outlineLevel="0" collapsed="false">
      <c r="B34600" s="0" t="s">
        <v>1</v>
      </c>
    </row>
    <row r="34601" customFormat="false" ht="12.8" hidden="false" customHeight="false" outlineLevel="0" collapsed="false">
      <c r="B34601" s="0" t="s">
        <v>8</v>
      </c>
    </row>
    <row r="34603" customFormat="false" ht="12.8" hidden="false" customHeight="false" outlineLevel="0" collapsed="false">
      <c r="A34603" s="0" t="s">
        <v>13193</v>
      </c>
      <c r="B34603" s="0" t="str">
        <f aca="false">HYPERLINK("https://lindat.mff.cuni.cz/services/teitok/pdtc10/index.php?action=vallex&amp;frame=v-w4724f2_ZU", "předjímat (v-w4724f2_ZU)")</f>
        <v>předjímat (v-w4724f2_ZU)</v>
      </c>
      <c r="E34603" s="0" t="str">
        <f aca="false">HYPERLINK("https://lindat.mff.cuni.cz/services/SynSemClass40/SynSemClass40.html?veclass=vec00093#vec00093-ces-cm00015", "vec00093")</f>
        <v>vec00093</v>
      </c>
      <c r="F34603" s="0" t="s">
        <v>4708</v>
      </c>
    </row>
    <row r="34604" customFormat="false" ht="12.8" hidden="false" customHeight="false" outlineLevel="0" collapsed="false">
      <c r="B34604" s="0" t="s">
        <v>1</v>
      </c>
      <c r="C34604" s="0" t="s">
        <v>2758</v>
      </c>
      <c r="E34604" s="0" t="s">
        <v>4709</v>
      </c>
      <c r="F34604" s="0" t="s">
        <v>4710</v>
      </c>
    </row>
    <row r="34605" customFormat="false" ht="12.8" hidden="false" customHeight="false" outlineLevel="0" collapsed="false">
      <c r="B34605" s="0" t="s">
        <v>59</v>
      </c>
      <c r="C34605" s="0" t="s">
        <v>4712</v>
      </c>
      <c r="E34605" s="0" t="s">
        <v>4713</v>
      </c>
      <c r="F34605" s="0" t="s">
        <v>4714</v>
      </c>
    </row>
    <row r="34607" customFormat="false" ht="12.8" hidden="false" customHeight="false" outlineLevel="0" collapsed="false">
      <c r="A34607" s="0" t="s">
        <v>13193</v>
      </c>
      <c r="B34607" s="0" t="str">
        <f aca="false">HYPERLINK("https://lindat.mff.cuni.cz/services/teitok/pdtc10/index.php?action=vallex&amp;frame=v-w4724f1", "předjímat (v-w4724f1) - substituted with v-w4724f2_ZU")</f>
        <v>předjímat (v-w4724f1) - substituted with v-w4724f2_ZU</v>
      </c>
    </row>
    <row r="34608" customFormat="false" ht="12.8" hidden="false" customHeight="false" outlineLevel="0" collapsed="false">
      <c r="B34608" s="0" t="s">
        <v>1</v>
      </c>
    </row>
    <row r="34609" customFormat="false" ht="12.8" hidden="false" customHeight="false" outlineLevel="0" collapsed="false">
      <c r="B34609" s="0" t="s">
        <v>59</v>
      </c>
    </row>
    <row r="34611" customFormat="false" ht="12.8" hidden="false" customHeight="false" outlineLevel="0" collapsed="false">
      <c r="A34611" s="0" t="s">
        <v>13194</v>
      </c>
      <c r="B34611" s="0" t="str">
        <f aca="false">HYPERLINK("https://lindat.mff.cuni.cz/services/teitok/pdtc10/index.php?action=vallex&amp;frame=v-w4726f1", "předjíždět (v-w4726f1)")</f>
        <v>předjíždět (v-w4726f1)</v>
      </c>
    </row>
    <row r="34612" customFormat="false" ht="12.8" hidden="false" customHeight="false" outlineLevel="0" collapsed="false">
      <c r="B34612" s="0" t="s">
        <v>1</v>
      </c>
    </row>
    <row r="34613" customFormat="false" ht="12.8" hidden="false" customHeight="false" outlineLevel="0" collapsed="false">
      <c r="B34613" s="0" t="s">
        <v>8</v>
      </c>
    </row>
    <row r="34615" customFormat="false" ht="12.8" hidden="false" customHeight="false" outlineLevel="0" collapsed="false">
      <c r="A34615" s="0" t="s">
        <v>13195</v>
      </c>
      <c r="B34615" s="0" t="str">
        <f aca="false">HYPERLINK("https://lindat.mff.cuni.cz/services/teitok/pdtc10/index.php?action=vallex&amp;frame=v-w11246f1", "předklonit se (v-w11246f1)")</f>
        <v>předklonit se (v-w11246f1)</v>
      </c>
      <c r="E34615" s="0" t="str">
        <f aca="false">HYPERLINK("https://lindat.mff.cuni.cz/services/SynSemClass40/SynSemClass40.html?veclass=vec00637#vec00637-ces-cm00008", "vec00637")</f>
        <v>vec00637</v>
      </c>
      <c r="F34615" s="0" t="s">
        <v>7311</v>
      </c>
    </row>
    <row r="34616" customFormat="false" ht="12.8" hidden="false" customHeight="false" outlineLevel="0" collapsed="false">
      <c r="B34616" s="0" t="s">
        <v>1</v>
      </c>
      <c r="C34616" s="0" t="s">
        <v>7312</v>
      </c>
      <c r="E34616" s="0" t="s">
        <v>334</v>
      </c>
      <c r="F34616" s="0" t="s">
        <v>7313</v>
      </c>
    </row>
    <row r="34618" customFormat="false" ht="12.8" hidden="false" customHeight="false" outlineLevel="0" collapsed="false">
      <c r="A34618" s="0" t="s">
        <v>13196</v>
      </c>
      <c r="B34618" s="0" t="str">
        <f aca="false">HYPERLINK("https://lindat.mff.cuni.cz/services/teitok/pdtc10/index.php?action=vallex&amp;frame=v-w4728f1", "předkládat (v-w4728f1)")</f>
        <v>předkládat (v-w4728f1)</v>
      </c>
      <c r="E34618" s="0" t="str">
        <f aca="false">HYPERLINK("https://lindat.mff.cuni.cz/services/SynSemClass40/SynSemClass40.html?veclass=vec00033#vec00033-ces-cm00164", "vec00033")</f>
        <v>vec00033</v>
      </c>
      <c r="F34618" s="0" t="s">
        <v>3408</v>
      </c>
    </row>
    <row r="34619" customFormat="false" ht="12.8" hidden="false" customHeight="false" outlineLevel="0" collapsed="false">
      <c r="B34619" s="0" t="s">
        <v>1</v>
      </c>
      <c r="C34619" s="0" t="s">
        <v>3468</v>
      </c>
      <c r="E34619" s="0" t="s">
        <v>3410</v>
      </c>
      <c r="F34619" s="0" t="s">
        <v>3411</v>
      </c>
    </row>
    <row r="34620" customFormat="false" ht="12.8" hidden="false" customHeight="false" outlineLevel="0" collapsed="false">
      <c r="B34620" s="0" t="s">
        <v>1838</v>
      </c>
      <c r="C34620" s="0" t="s">
        <v>3525</v>
      </c>
      <c r="E34620" s="0" t="s">
        <v>3413</v>
      </c>
      <c r="F34620" s="0" t="s">
        <v>3414</v>
      </c>
    </row>
    <row r="34621" customFormat="false" ht="12.8" hidden="false" customHeight="false" outlineLevel="0" collapsed="false">
      <c r="B34621" s="0" t="s">
        <v>52</v>
      </c>
      <c r="C34621" s="0" t="s">
        <v>3415</v>
      </c>
      <c r="E34621" s="0" t="s">
        <v>53</v>
      </c>
      <c r="F34621" s="0" t="s">
        <v>3416</v>
      </c>
    </row>
    <row r="34623" customFormat="false" ht="12.8" hidden="false" customHeight="false" outlineLevel="0" collapsed="false">
      <c r="A34623" s="0" t="s">
        <v>13197</v>
      </c>
      <c r="B34623" s="0" t="str">
        <f aca="false">HYPERLINK("https://lindat.mff.cuni.cz/services/teitok/pdtc10/index.php?action=vallex&amp;frame=v-w4733f1", "předložit (v-w4733f1)")</f>
        <v>předložit (v-w4733f1)</v>
      </c>
      <c r="E34623" s="0" t="str">
        <f aca="false">HYPERLINK("https://lindat.mff.cuni.cz/services/SynSemClass40/SynSemClass40.html?veclass=vec00033#vec00033-ces-cm00064", "vec00033")</f>
        <v>vec00033</v>
      </c>
      <c r="F34623" s="0" t="s">
        <v>3408</v>
      </c>
      <c r="H34623" s="0" t="str">
        <f aca="false">HYPERLINK("https://lindat.mff.cuni.cz/services/SynSemClass40/SynSemClass40.html?veclass=vec00087#vec00087-ces-cm00125", "vec00087")</f>
        <v>vec00087</v>
      </c>
      <c r="I34623" s="0" t="s">
        <v>2368</v>
      </c>
    </row>
    <row r="34624" customFormat="false" ht="12.8" hidden="false" customHeight="false" outlineLevel="0" collapsed="false">
      <c r="B34624" s="0" t="s">
        <v>1</v>
      </c>
      <c r="C34624" s="0" t="s">
        <v>13198</v>
      </c>
      <c r="E34624" s="0" t="s">
        <v>3410</v>
      </c>
      <c r="F34624" s="0" t="s">
        <v>3411</v>
      </c>
      <c r="H34624" s="0" t="s">
        <v>2370</v>
      </c>
      <c r="I34624" s="0" t="s">
        <v>2371</v>
      </c>
    </row>
    <row r="34625" customFormat="false" ht="12.8" hidden="false" customHeight="false" outlineLevel="0" collapsed="false">
      <c r="B34625" s="0" t="s">
        <v>8</v>
      </c>
      <c r="C34625" s="0" t="s">
        <v>13199</v>
      </c>
      <c r="E34625" s="0" t="s">
        <v>3413</v>
      </c>
      <c r="F34625" s="0" t="s">
        <v>3414</v>
      </c>
      <c r="H34625" s="0" t="s">
        <v>2373</v>
      </c>
      <c r="I34625" s="0" t="s">
        <v>2374</v>
      </c>
    </row>
    <row r="34626" customFormat="false" ht="12.8" hidden="false" customHeight="false" outlineLevel="0" collapsed="false">
      <c r="B34626" s="0" t="s">
        <v>52</v>
      </c>
      <c r="C34626" s="0" t="s">
        <v>13200</v>
      </c>
      <c r="E34626" s="0" t="s">
        <v>53</v>
      </c>
      <c r="F34626" s="0" t="s">
        <v>3416</v>
      </c>
      <c r="H34626" s="0" t="s">
        <v>2376</v>
      </c>
      <c r="I34626" s="0" t="s">
        <v>2377</v>
      </c>
    </row>
    <row r="34628" customFormat="false" ht="12.8" hidden="false" customHeight="false" outlineLevel="0" collapsed="false">
      <c r="A34628" s="0" t="s">
        <v>13201</v>
      </c>
      <c r="B34628" s="0" t="str">
        <f aca="false">HYPERLINK("https://lindat.mff.cuni.cz/services/teitok/pdtc10/index.php?action=vallex&amp;frame=v-w4733f2", "předložit (v-w4733f2)")</f>
        <v>předložit (v-w4733f2)</v>
      </c>
      <c r="E34628" s="0" t="str">
        <f aca="false">HYPERLINK("https://lindat.mff.cuni.cz/services/SynSemClass40/SynSemClass40.html?veclass=vec00033#vec00033-ces-cm00165", "vec00033")</f>
        <v>vec00033</v>
      </c>
      <c r="F34628" s="0" t="s">
        <v>3408</v>
      </c>
    </row>
    <row r="34629" customFormat="false" ht="12.8" hidden="false" customHeight="false" outlineLevel="0" collapsed="false">
      <c r="B34629" s="0" t="s">
        <v>1</v>
      </c>
      <c r="C34629" s="0" t="s">
        <v>3468</v>
      </c>
      <c r="E34629" s="0" t="s">
        <v>3410</v>
      </c>
      <c r="F34629" s="0" t="s">
        <v>3411</v>
      </c>
    </row>
    <row r="34630" customFormat="false" ht="12.8" hidden="false" customHeight="false" outlineLevel="0" collapsed="false">
      <c r="B34630" s="0" t="s">
        <v>8</v>
      </c>
      <c r="C34630" s="0" t="s">
        <v>3525</v>
      </c>
      <c r="E34630" s="0" t="s">
        <v>3413</v>
      </c>
      <c r="F34630" s="0" t="s">
        <v>3414</v>
      </c>
    </row>
    <row r="34631" customFormat="false" ht="12.8" hidden="false" customHeight="false" outlineLevel="0" collapsed="false">
      <c r="B34631" s="0" t="s">
        <v>5</v>
      </c>
      <c r="C34631" s="0" t="s">
        <v>13202</v>
      </c>
      <c r="E34631" s="0" t="s">
        <v>10702</v>
      </c>
      <c r="F34631" s="0" t="s">
        <v>10703</v>
      </c>
    </row>
    <row r="34633" customFormat="false" ht="12.8" hidden="false" customHeight="false" outlineLevel="0" collapsed="false">
      <c r="A34633" s="0" t="s">
        <v>13203</v>
      </c>
      <c r="B34633" s="0" t="str">
        <f aca="false">HYPERLINK("https://lindat.mff.cuni.cz/services/teitok/pdtc10/index.php?action=vallex&amp;frame=v-w4733f3", "předložit (v-w4733f3)")</f>
        <v>předložit (v-w4733f3)</v>
      </c>
      <c r="E34633" s="0" t="str">
        <f aca="false">HYPERLINK("https://lindat.mff.cuni.cz/services/SynSemClass40/SynSemClass40.html?veclass=vec00039#vec00039-ces-cm00022", "vec00039")</f>
        <v>vec00039</v>
      </c>
      <c r="F34633" s="0" t="s">
        <v>2618</v>
      </c>
    </row>
    <row r="34634" customFormat="false" ht="12.8" hidden="false" customHeight="false" outlineLevel="0" collapsed="false">
      <c r="B34634" s="0" t="s">
        <v>1</v>
      </c>
      <c r="C34634" s="0" t="s">
        <v>1992</v>
      </c>
      <c r="E34634" s="0" t="s">
        <v>2619</v>
      </c>
      <c r="F34634" s="0" t="s">
        <v>2620</v>
      </c>
    </row>
    <row r="34635" customFormat="false" ht="12.8" hidden="false" customHeight="false" outlineLevel="0" collapsed="false">
      <c r="B34635" s="0" t="s">
        <v>8</v>
      </c>
      <c r="C34635" s="0" t="s">
        <v>2621</v>
      </c>
      <c r="E34635" s="0" t="s">
        <v>66</v>
      </c>
      <c r="F34635" s="0" t="s">
        <v>2622</v>
      </c>
    </row>
    <row r="34636" customFormat="false" ht="12.8" hidden="false" customHeight="false" outlineLevel="0" collapsed="false">
      <c r="B34636" s="0" t="s">
        <v>164</v>
      </c>
      <c r="C34636" s="0" t="s">
        <v>13204</v>
      </c>
      <c r="E34636" s="0" t="s">
        <v>4619</v>
      </c>
      <c r="F34636" s="0" t="s">
        <v>13205</v>
      </c>
    </row>
    <row r="34638" customFormat="false" ht="12.8" hidden="false" customHeight="false" outlineLevel="0" collapsed="false">
      <c r="A34638" s="0" t="s">
        <v>13206</v>
      </c>
      <c r="B34638" s="0" t="str">
        <f aca="false">HYPERLINK("https://lindat.mff.cuni.cz/services/teitok/pdtc10/index.php?action=vallex&amp;frame=v-w4735f2", "přednášet (v-w4735f2)")</f>
        <v>přednášet (v-w4735f2)</v>
      </c>
      <c r="E34638" s="0" t="str">
        <f aca="false">HYPERLINK("https://lindat.mff.cuni.cz/services/SynSemClass40/SynSemClass40.html?veclass=vec00531#vec00531-ces-cm00011", "vec00531")</f>
        <v>vec00531</v>
      </c>
      <c r="F34638" s="0" t="s">
        <v>7870</v>
      </c>
    </row>
    <row r="34639" customFormat="false" ht="12.8" hidden="false" customHeight="false" outlineLevel="0" collapsed="false">
      <c r="B34639" s="0" t="s">
        <v>629</v>
      </c>
      <c r="C34639" s="0" t="s">
        <v>4001</v>
      </c>
      <c r="E34639" s="0" t="s">
        <v>206</v>
      </c>
      <c r="F34639" s="0" t="s">
        <v>7871</v>
      </c>
    </row>
    <row r="34640" customFormat="false" ht="12.8" hidden="false" customHeight="false" outlineLevel="0" collapsed="false">
      <c r="B34640" s="0" t="s">
        <v>13207</v>
      </c>
      <c r="C34640" s="0" t="s">
        <v>7873</v>
      </c>
      <c r="E34640" s="0" t="s">
        <v>7874</v>
      </c>
      <c r="F34640" s="0" t="s">
        <v>7875</v>
      </c>
    </row>
    <row r="34641" customFormat="false" ht="12.8" hidden="false" customHeight="false" outlineLevel="0" collapsed="false">
      <c r="B34641" s="0" t="s">
        <v>132</v>
      </c>
      <c r="C34641" s="0" t="s">
        <v>7876</v>
      </c>
      <c r="E34641" s="0" t="s">
        <v>564</v>
      </c>
      <c r="F34641" s="0" t="s">
        <v>7877</v>
      </c>
    </row>
    <row r="34643" customFormat="false" ht="12.8" hidden="false" customHeight="false" outlineLevel="0" collapsed="false">
      <c r="A34643" s="0" t="s">
        <v>13208</v>
      </c>
      <c r="B34643" s="0" t="str">
        <f aca="false">HYPERLINK("https://lindat.mff.cuni.cz/services/teitok/pdtc10/index.php?action=vallex&amp;frame=v-w4735f1", "přednášet (v-w4735f1)")</f>
        <v>přednášet (v-w4735f1)</v>
      </c>
      <c r="E34643" s="0" t="str">
        <f aca="false">HYPERLINK("https://lindat.mff.cuni.cz/services/SynSemClass40/SynSemClass40.html?veclass=vec00531#vec00531-ces-cm00012", "vec00531")</f>
        <v>vec00531</v>
      </c>
      <c r="F34643" s="0" t="s">
        <v>7870</v>
      </c>
    </row>
    <row r="34644" customFormat="false" ht="12.8" hidden="false" customHeight="false" outlineLevel="0" collapsed="false">
      <c r="B34644" s="0" t="s">
        <v>1</v>
      </c>
      <c r="C34644" s="0" t="s">
        <v>4001</v>
      </c>
      <c r="E34644" s="0" t="s">
        <v>206</v>
      </c>
      <c r="F34644" s="0" t="s">
        <v>7871</v>
      </c>
    </row>
    <row r="34645" customFormat="false" ht="12.8" hidden="false" customHeight="false" outlineLevel="0" collapsed="false">
      <c r="B34645" s="0" t="s">
        <v>8</v>
      </c>
      <c r="C34645" s="0" t="s">
        <v>7873</v>
      </c>
      <c r="E34645" s="0" t="s">
        <v>7874</v>
      </c>
      <c r="F34645" s="0" t="s">
        <v>7875</v>
      </c>
    </row>
    <row r="34646" customFormat="false" ht="12.8" hidden="false" customHeight="false" outlineLevel="0" collapsed="false">
      <c r="B34646" s="0" t="s">
        <v>132</v>
      </c>
      <c r="C34646" s="0" t="s">
        <v>7876</v>
      </c>
      <c r="E34646" s="0" t="s">
        <v>564</v>
      </c>
      <c r="F34646" s="0" t="s">
        <v>7877</v>
      </c>
    </row>
    <row r="34648" customFormat="false" ht="12.8" hidden="false" customHeight="false" outlineLevel="0" collapsed="false">
      <c r="A34648" s="0" t="s">
        <v>13209</v>
      </c>
      <c r="B34648" s="0" t="str">
        <f aca="false">HYPERLINK("https://lindat.mff.cuni.cz/services/teitok/pdtc10/index.php?action=vallex&amp;frame=v-w4735f3", "přednášet (v-w4735f3)")</f>
        <v>přednášet (v-w4735f3)</v>
      </c>
    </row>
    <row r="34649" customFormat="false" ht="12.8" hidden="false" customHeight="false" outlineLevel="0" collapsed="false">
      <c r="B34649" s="0" t="s">
        <v>1</v>
      </c>
    </row>
    <row r="34650" customFormat="false" ht="12.8" hidden="false" customHeight="false" outlineLevel="0" collapsed="false">
      <c r="B34650" s="0" t="s">
        <v>12917</v>
      </c>
    </row>
    <row r="34651" customFormat="false" ht="12.8" hidden="false" customHeight="false" outlineLevel="0" collapsed="false">
      <c r="B34651" s="0" t="s">
        <v>496</v>
      </c>
    </row>
    <row r="34652" customFormat="false" ht="12.8" hidden="false" customHeight="false" outlineLevel="0" collapsed="false">
      <c r="B34652" s="0" t="s">
        <v>132</v>
      </c>
    </row>
    <row r="34654" customFormat="false" ht="12.8" hidden="false" customHeight="false" outlineLevel="0" collapsed="false">
      <c r="A34654" s="0" t="s">
        <v>13210</v>
      </c>
      <c r="B34654" s="0" t="str">
        <f aca="false">HYPERLINK("https://lindat.mff.cuni.cz/services/teitok/pdtc10/index.php?action=vallex&amp;frame=v-w4735hsa_866", "přednášet (v-w4735hsa_866)")</f>
        <v>přednášet (v-w4735hsa_866)</v>
      </c>
      <c r="E34654" s="0" t="str">
        <f aca="false">HYPERLINK("https://lindat.mff.cuni.cz/services/SynSemClass40/SynSemClass40.html?veclass=vec00531#vec00531-ces-cm00013", "vec00531")</f>
        <v>vec00531</v>
      </c>
      <c r="F34654" s="0" t="s">
        <v>7870</v>
      </c>
    </row>
    <row r="34655" customFormat="false" ht="12.8" hidden="false" customHeight="false" outlineLevel="0" collapsed="false">
      <c r="B34655" s="0" t="s">
        <v>1</v>
      </c>
      <c r="C34655" s="0" t="s">
        <v>4001</v>
      </c>
      <c r="E34655" s="0" t="s">
        <v>206</v>
      </c>
      <c r="F34655" s="0" t="s">
        <v>7871</v>
      </c>
    </row>
    <row r="34656" customFormat="false" ht="12.8" hidden="false" customHeight="false" outlineLevel="0" collapsed="false">
      <c r="B34656" s="0" t="s">
        <v>8</v>
      </c>
      <c r="C34656" s="0" t="s">
        <v>7873</v>
      </c>
      <c r="E34656" s="0" t="s">
        <v>7874</v>
      </c>
      <c r="F34656" s="0" t="s">
        <v>7875</v>
      </c>
    </row>
    <row r="34657" customFormat="false" ht="12.8" hidden="false" customHeight="false" outlineLevel="0" collapsed="false">
      <c r="B34657" s="0" t="s">
        <v>52</v>
      </c>
      <c r="C34657" s="0" t="s">
        <v>7876</v>
      </c>
      <c r="E34657" s="0" t="s">
        <v>564</v>
      </c>
      <c r="F34657" s="0" t="s">
        <v>7877</v>
      </c>
    </row>
    <row r="34659" customFormat="false" ht="12.8" hidden="false" customHeight="false" outlineLevel="0" collapsed="false">
      <c r="A34659" s="0" t="s">
        <v>13211</v>
      </c>
      <c r="B34659" s="0" t="str">
        <f aca="false">HYPERLINK("https://lindat.mff.cuni.cz/services/teitok/pdtc10/index.php?action=vallex&amp;frame=v-w4737f1", "přednést (v-w4737f1)")</f>
        <v>přednést (v-w4737f1)</v>
      </c>
      <c r="E34659" s="0" t="str">
        <f aca="false">HYPERLINK("https://lindat.mff.cuni.cz/services/SynSemClass40/SynSemClass40.html?veclass=vec00531#vec00531-ces-cm00014", "vec00531")</f>
        <v>vec00531</v>
      </c>
      <c r="F34659" s="0" t="s">
        <v>7870</v>
      </c>
      <c r="H34659" s="0" t="str">
        <f aca="false">HYPERLINK("https://lindat.mff.cuni.cz/services/SynSemClass40/SynSemClass40.html?veclass=vec01431#vec01431-ces-cm00005", "vec01431")</f>
        <v>vec01431</v>
      </c>
      <c r="I34659" s="0" t="s">
        <v>12585</v>
      </c>
    </row>
    <row r="34660" customFormat="false" ht="12.8" hidden="false" customHeight="false" outlineLevel="0" collapsed="false">
      <c r="B34660" s="0" t="s">
        <v>1</v>
      </c>
      <c r="C34660" s="0" t="s">
        <v>4001</v>
      </c>
      <c r="E34660" s="0" t="s">
        <v>206</v>
      </c>
      <c r="F34660" s="0" t="s">
        <v>7871</v>
      </c>
      <c r="H34660" s="0" t="s">
        <v>147</v>
      </c>
      <c r="I34660" s="0" t="s">
        <v>5874</v>
      </c>
    </row>
    <row r="34661" customFormat="false" ht="12.8" hidden="false" customHeight="false" outlineLevel="0" collapsed="false">
      <c r="B34661" s="0" t="s">
        <v>8</v>
      </c>
      <c r="C34661" s="0" t="s">
        <v>7873</v>
      </c>
      <c r="E34661" s="0" t="s">
        <v>7874</v>
      </c>
      <c r="F34661" s="0" t="s">
        <v>7875</v>
      </c>
      <c r="H34661" s="0" t="s">
        <v>218</v>
      </c>
      <c r="I34661" s="0" t="s">
        <v>12586</v>
      </c>
    </row>
    <row r="34662" customFormat="false" ht="12.8" hidden="false" customHeight="false" outlineLevel="0" collapsed="false">
      <c r="B34662" s="0" t="s">
        <v>132</v>
      </c>
      <c r="C34662" s="0" t="s">
        <v>7876</v>
      </c>
      <c r="E34662" s="0" t="s">
        <v>564</v>
      </c>
      <c r="F34662" s="0" t="s">
        <v>7877</v>
      </c>
      <c r="H34662" s="0" t="s">
        <v>221</v>
      </c>
      <c r="I34662" s="0" t="s">
        <v>4699</v>
      </c>
    </row>
    <row r="34664" customFormat="false" ht="12.8" hidden="false" customHeight="false" outlineLevel="0" collapsed="false">
      <c r="A34664" s="0" t="s">
        <v>13212</v>
      </c>
      <c r="B34664" s="0" t="str">
        <f aca="false">HYPERLINK("https://lindat.mff.cuni.cz/services/teitok/pdtc10/index.php?action=vallex&amp;frame=v-w4740f1", "předpisovat (v-w4740f1)")</f>
        <v>předpisovat (v-w4740f1)</v>
      </c>
    </row>
    <row r="34665" customFormat="false" ht="12.8" hidden="false" customHeight="false" outlineLevel="0" collapsed="false">
      <c r="B34665" s="0" t="s">
        <v>1</v>
      </c>
    </row>
    <row r="34666" customFormat="false" ht="12.8" hidden="false" customHeight="false" outlineLevel="0" collapsed="false">
      <c r="B34666" s="0" t="s">
        <v>9923</v>
      </c>
    </row>
    <row r="34667" customFormat="false" ht="12.8" hidden="false" customHeight="false" outlineLevel="0" collapsed="false">
      <c r="B34667" s="0" t="s">
        <v>52</v>
      </c>
    </row>
    <row r="34669" customFormat="false" ht="12.8" hidden="false" customHeight="false" outlineLevel="0" collapsed="false">
      <c r="A34669" s="0" t="s">
        <v>13213</v>
      </c>
      <c r="B34669" s="0" t="str">
        <f aca="false">HYPERLINK("https://lindat.mff.cuni.cz/services/teitok/pdtc10/index.php?action=vallex&amp;frame=v-w4741f1", "předplatit (v-w4741f1)")</f>
        <v>předplatit (v-w4741f1)</v>
      </c>
    </row>
    <row r="34670" customFormat="false" ht="12.8" hidden="false" customHeight="false" outlineLevel="0" collapsed="false">
      <c r="B34670" s="0" t="s">
        <v>1</v>
      </c>
    </row>
    <row r="34671" customFormat="false" ht="12.8" hidden="false" customHeight="false" outlineLevel="0" collapsed="false">
      <c r="B34671" s="0" t="s">
        <v>8</v>
      </c>
    </row>
    <row r="34673" customFormat="false" ht="12.8" hidden="false" customHeight="false" outlineLevel="0" collapsed="false">
      <c r="A34673" s="0" t="s">
        <v>13214</v>
      </c>
      <c r="B34673" s="0" t="str">
        <f aca="false">HYPERLINK("https://lindat.mff.cuni.cz/services/teitok/pdtc10/index.php?action=vallex&amp;frame=v-w10168f2", "předplácet (v-w10168f2)")</f>
        <v>předplácet (v-w10168f2)</v>
      </c>
      <c r="E34673" s="0" t="str">
        <f aca="false">HYPERLINK("https://lindat.mff.cuni.cz/services/SynSemClass40/SynSemClass40.html?veclass=vec00451#vec00451-ces-cm00006", "vec00451")</f>
        <v>vec00451</v>
      </c>
      <c r="F34673" s="0" t="s">
        <v>8375</v>
      </c>
      <c r="H34673" s="0" t="str">
        <f aca="false">HYPERLINK("https://lindat.mff.cuni.cz/services/SynSemClass40/SynSemClass40.html?veclass=vec01238#vec01238-ces-cm00005", "vec01238")</f>
        <v>vec01238</v>
      </c>
      <c r="I34673" s="0" t="s">
        <v>8809</v>
      </c>
    </row>
    <row r="34674" customFormat="false" ht="12.8" hidden="false" customHeight="false" outlineLevel="0" collapsed="false">
      <c r="B34674" s="0" t="s">
        <v>1</v>
      </c>
      <c r="C34674" s="0" t="s">
        <v>3288</v>
      </c>
      <c r="E34674" s="0" t="s">
        <v>3441</v>
      </c>
      <c r="F34674" s="0" t="s">
        <v>8376</v>
      </c>
      <c r="H34674" s="0" t="s">
        <v>5703</v>
      </c>
      <c r="I34674" s="0" t="s">
        <v>8810</v>
      </c>
    </row>
    <row r="34675" customFormat="false" ht="12.8" hidden="false" customHeight="false" outlineLevel="0" collapsed="false">
      <c r="B34675" s="0" t="s">
        <v>8</v>
      </c>
      <c r="C34675" s="0" t="s">
        <v>827</v>
      </c>
      <c r="E34675" s="0" t="s">
        <v>1985</v>
      </c>
      <c r="F34675" s="0" t="s">
        <v>8377</v>
      </c>
      <c r="H34675" s="0" t="s">
        <v>3201</v>
      </c>
      <c r="I34675" s="0" t="s">
        <v>8811</v>
      </c>
    </row>
    <row r="34677" customFormat="false" ht="12.8" hidden="false" customHeight="false" outlineLevel="0" collapsed="false">
      <c r="A34677" s="0" t="s">
        <v>13215</v>
      </c>
      <c r="B34677" s="0" t="str">
        <f aca="false">HYPERLINK("https://lindat.mff.cuni.cz/services/teitok/pdtc10/index.php?action=vallex&amp;frame=v-w4745f1", "předpokládat (v-w4745f1)")</f>
        <v>předpokládat (v-w4745f1)</v>
      </c>
      <c r="E34677" s="0" t="str">
        <f aca="false">HYPERLINK("https://lindat.mff.cuni.cz/services/SynSemClass40/SynSemClass40.html?veclass=vec00092#vec00092-ces-cm00001", "vec00092")</f>
        <v>vec00092</v>
      </c>
      <c r="F34677" s="0" t="s">
        <v>13216</v>
      </c>
    </row>
    <row r="34678" customFormat="false" ht="12.8" hidden="false" customHeight="false" outlineLevel="0" collapsed="false">
      <c r="B34678" s="0" t="s">
        <v>13217</v>
      </c>
      <c r="C34678" s="0" t="s">
        <v>13218</v>
      </c>
      <c r="E34678" s="0" t="s">
        <v>31</v>
      </c>
      <c r="F34678" s="0" t="s">
        <v>13219</v>
      </c>
    </row>
    <row r="34679" customFormat="false" ht="12.8" hidden="false" customHeight="false" outlineLevel="0" collapsed="false">
      <c r="B34679" s="0" t="s">
        <v>13220</v>
      </c>
      <c r="C34679" s="0" t="s">
        <v>13221</v>
      </c>
      <c r="E34679" s="0" t="s">
        <v>1544</v>
      </c>
      <c r="F34679" s="0" t="s">
        <v>13222</v>
      </c>
    </row>
    <row r="34681" customFormat="false" ht="12.8" hidden="false" customHeight="false" outlineLevel="0" collapsed="false">
      <c r="A34681" s="0" t="s">
        <v>13223</v>
      </c>
      <c r="B34681" s="0" t="str">
        <f aca="false">HYPERLINK("https://lindat.mff.cuni.cz/services/teitok/pdtc10/index.php?action=vallex&amp;frame=v-w4745f2", "předpokládat (v-w4745f2)")</f>
        <v>předpokládat (v-w4745f2)</v>
      </c>
      <c r="E34681" s="0" t="str">
        <f aca="false">HYPERLINK("https://lindat.mff.cuni.cz/services/SynSemClass40/SynSemClass40.html?veclass=vec00032#vec00032-ces-cm00060", "vec00032")</f>
        <v>vec00032</v>
      </c>
      <c r="F34681" s="0" t="s">
        <v>911</v>
      </c>
    </row>
    <row r="34682" customFormat="false" ht="12.8" hidden="false" customHeight="false" outlineLevel="0" collapsed="false">
      <c r="B34682" s="0" t="s">
        <v>1</v>
      </c>
      <c r="C34682" s="0" t="s">
        <v>2485</v>
      </c>
      <c r="E34682" s="0" t="s">
        <v>914</v>
      </c>
      <c r="F34682" s="0" t="s">
        <v>915</v>
      </c>
    </row>
    <row r="34683" customFormat="false" ht="12.8" hidden="false" customHeight="false" outlineLevel="0" collapsed="false">
      <c r="B34683" s="0" t="s">
        <v>2486</v>
      </c>
      <c r="C34683" s="0" t="s">
        <v>2487</v>
      </c>
      <c r="E34683" s="0" t="s">
        <v>626</v>
      </c>
      <c r="F34683" s="0" t="s">
        <v>2488</v>
      </c>
    </row>
    <row r="34684" customFormat="false" ht="12.8" hidden="false" customHeight="false" outlineLevel="0" collapsed="false">
      <c r="B34684" s="0" t="s">
        <v>496</v>
      </c>
      <c r="C34684" s="0" t="s">
        <v>2489</v>
      </c>
      <c r="E34684" s="0" t="s">
        <v>180</v>
      </c>
      <c r="F34684" s="0" t="s">
        <v>2490</v>
      </c>
    </row>
    <row r="34686" customFormat="false" ht="12.8" hidden="false" customHeight="false" outlineLevel="0" collapsed="false">
      <c r="A34686" s="0" t="s">
        <v>13224</v>
      </c>
      <c r="B34686" s="0" t="str">
        <f aca="false">HYPERLINK("https://lindat.mff.cuni.cz/services/teitok/pdtc10/index.php?action=vallex&amp;frame=v-w4749f1", "předpovídat (v-w4749f1)")</f>
        <v>předpovídat (v-w4749f1)</v>
      </c>
      <c r="E34686" s="0" t="str">
        <f aca="false">HYPERLINK("https://lindat.mff.cuni.cz/services/SynSemClass40/SynSemClass40.html?veclass=vec00093#vec00093-ces-cm00001", "vec00093")</f>
        <v>vec00093</v>
      </c>
      <c r="F34686" s="0" t="s">
        <v>4708</v>
      </c>
    </row>
    <row r="34687" customFormat="false" ht="12.8" hidden="false" customHeight="false" outlineLevel="0" collapsed="false">
      <c r="B34687" s="0" t="s">
        <v>1</v>
      </c>
      <c r="C34687" s="0" t="s">
        <v>2758</v>
      </c>
      <c r="E34687" s="0" t="s">
        <v>4709</v>
      </c>
      <c r="F34687" s="0" t="s">
        <v>4710</v>
      </c>
    </row>
    <row r="34688" customFormat="false" ht="12.8" hidden="false" customHeight="false" outlineLevel="0" collapsed="false">
      <c r="B34688" s="0" t="s">
        <v>1838</v>
      </c>
      <c r="C34688" s="0" t="s">
        <v>4712</v>
      </c>
      <c r="E34688" s="0" t="s">
        <v>4713</v>
      </c>
      <c r="F34688" s="0" t="s">
        <v>4714</v>
      </c>
    </row>
    <row r="34690" customFormat="false" ht="12.8" hidden="false" customHeight="false" outlineLevel="0" collapsed="false">
      <c r="A34690" s="0" t="s">
        <v>13225</v>
      </c>
      <c r="B34690" s="0" t="str">
        <f aca="false">HYPERLINK("https://lindat.mff.cuni.cz/services/teitok/pdtc10/index.php?action=vallex&amp;frame=v-w4747f1", "předpovědět (v-w4747f1)")</f>
        <v>předpovědět (v-w4747f1)</v>
      </c>
      <c r="E34690" s="0" t="str">
        <f aca="false">HYPERLINK("https://lindat.mff.cuni.cz/services/SynSemClass40/SynSemClass40.html?veclass=vec00093#vec00093-ces-cm00018", "vec00093")</f>
        <v>vec00093</v>
      </c>
      <c r="F34690" s="0" t="s">
        <v>4708</v>
      </c>
    </row>
    <row r="34691" customFormat="false" ht="12.8" hidden="false" customHeight="false" outlineLevel="0" collapsed="false">
      <c r="B34691" s="0" t="s">
        <v>1</v>
      </c>
      <c r="C34691" s="0" t="s">
        <v>2758</v>
      </c>
      <c r="E34691" s="0" t="s">
        <v>4709</v>
      </c>
      <c r="F34691" s="0" t="s">
        <v>4710</v>
      </c>
    </row>
    <row r="34692" customFormat="false" ht="12.8" hidden="false" customHeight="false" outlineLevel="0" collapsed="false">
      <c r="B34692" s="0" t="s">
        <v>13226</v>
      </c>
      <c r="C34692" s="0" t="s">
        <v>4712</v>
      </c>
      <c r="E34692" s="0" t="s">
        <v>4713</v>
      </c>
      <c r="F34692" s="0" t="s">
        <v>4714</v>
      </c>
    </row>
    <row r="34694" customFormat="false" ht="12.8" hidden="false" customHeight="false" outlineLevel="0" collapsed="false">
      <c r="A34694" s="0" t="s">
        <v>13227</v>
      </c>
      <c r="B34694" s="0" t="str">
        <f aca="false">HYPERLINK("https://lindat.mff.cuni.cz/services/teitok/pdtc10/index.php?action=vallex&amp;frame=v-w4751f1", "předražit (v-w4751f1)")</f>
        <v>předražit (v-w4751f1)</v>
      </c>
    </row>
    <row r="34695" customFormat="false" ht="12.8" hidden="false" customHeight="false" outlineLevel="0" collapsed="false">
      <c r="B34695" s="0" t="s">
        <v>1</v>
      </c>
    </row>
    <row r="34696" customFormat="false" ht="12.8" hidden="false" customHeight="false" outlineLevel="0" collapsed="false">
      <c r="B34696" s="0" t="s">
        <v>8</v>
      </c>
    </row>
    <row r="34698" customFormat="false" ht="12.8" hidden="false" customHeight="false" outlineLevel="0" collapsed="false">
      <c r="A34698" s="0" t="s">
        <v>13228</v>
      </c>
      <c r="B34698" s="0" t="str">
        <f aca="false">HYPERLINK("https://lindat.mff.cuni.cz/services/teitok/pdtc10/index.php?action=vallex&amp;frame=v-w4752f1", "předražovat (v-w4752f1)")</f>
        <v>předražovat (v-w4752f1)</v>
      </c>
    </row>
    <row r="34699" customFormat="false" ht="12.8" hidden="false" customHeight="false" outlineLevel="0" collapsed="false">
      <c r="B34699" s="0" t="s">
        <v>1</v>
      </c>
    </row>
    <row r="34700" customFormat="false" ht="12.8" hidden="false" customHeight="false" outlineLevel="0" collapsed="false">
      <c r="B34700" s="0" t="s">
        <v>8</v>
      </c>
    </row>
    <row r="34702" customFormat="false" ht="12.8" hidden="false" customHeight="false" outlineLevel="0" collapsed="false">
      <c r="A34702" s="0" t="s">
        <v>13229</v>
      </c>
      <c r="B34702" s="0" t="str">
        <f aca="false">HYPERLINK("https://lindat.mff.cuni.cz/services/teitok/pdtc10/index.php?action=vallex&amp;frame=v-w4756f1", "předsedat (v-w4756f1)")</f>
        <v>předsedat (v-w4756f1)</v>
      </c>
      <c r="E34702" s="0" t="str">
        <f aca="false">HYPERLINK("https://lindat.mff.cuni.cz/services/SynSemClass40/SynSemClass40.html?veclass=vec00302#vec00302-ces-cm00039", "vec00302")</f>
        <v>vec00302</v>
      </c>
      <c r="F34702" s="0" t="s">
        <v>1991</v>
      </c>
    </row>
    <row r="34703" customFormat="false" ht="12.8" hidden="false" customHeight="false" outlineLevel="0" collapsed="false">
      <c r="B34703" s="0" t="s">
        <v>1</v>
      </c>
      <c r="C34703" s="0" t="s">
        <v>1992</v>
      </c>
      <c r="E34703" s="0" t="s">
        <v>206</v>
      </c>
      <c r="F34703" s="0" t="s">
        <v>1993</v>
      </c>
    </row>
    <row r="34704" customFormat="false" ht="12.8" hidden="false" customHeight="false" outlineLevel="0" collapsed="false">
      <c r="B34704" s="0" t="s">
        <v>186</v>
      </c>
      <c r="C34704" s="0" t="s">
        <v>1994</v>
      </c>
      <c r="E34704" s="0" t="s">
        <v>1995</v>
      </c>
      <c r="F34704" s="0" t="s">
        <v>1996</v>
      </c>
    </row>
    <row r="34706" customFormat="false" ht="12.8" hidden="false" customHeight="false" outlineLevel="0" collapsed="false">
      <c r="A34706" s="0" t="s">
        <v>13230</v>
      </c>
      <c r="B34706" s="0" t="str">
        <f aca="false">HYPERLINK("https://lindat.mff.cuni.cz/services/teitok/pdtc10/index.php?action=vallex&amp;frame=v-w4757f1", "předsevzít si (v-w4757f1)")</f>
        <v>předsevzít si (v-w4757f1)</v>
      </c>
    </row>
    <row r="34707" customFormat="false" ht="12.8" hidden="false" customHeight="false" outlineLevel="0" collapsed="false">
      <c r="B34707" s="0" t="s">
        <v>1</v>
      </c>
    </row>
    <row r="34708" customFormat="false" ht="12.8" hidden="false" customHeight="false" outlineLevel="0" collapsed="false">
      <c r="B34708" s="0" t="s">
        <v>7503</v>
      </c>
    </row>
    <row r="34710" customFormat="false" ht="12.8" hidden="false" customHeight="false" outlineLevel="0" collapsed="false">
      <c r="A34710" s="0" t="s">
        <v>13231</v>
      </c>
      <c r="B34710" s="0" t="str">
        <f aca="false">HYPERLINK("https://lindat.mff.cuni.cz/services/teitok/pdtc10/index.php?action=vallex&amp;frame=v-w4760f2", "představit (v-w4760f2)")</f>
        <v>představit (v-w4760f2)</v>
      </c>
      <c r="E34710" s="0" t="str">
        <f aca="false">HYPERLINK("https://lindat.mff.cuni.cz/services/SynSemClass40/SynSemClass40.html?veclass=vec00330#vec00330-ces-cm00120", "vec00330")</f>
        <v>vec00330</v>
      </c>
      <c r="F34710" s="0" t="s">
        <v>1896</v>
      </c>
    </row>
    <row r="34711" customFormat="false" ht="12.8" hidden="false" customHeight="false" outlineLevel="0" collapsed="false">
      <c r="B34711" s="0" t="s">
        <v>1</v>
      </c>
      <c r="C34711" s="0" t="s">
        <v>1897</v>
      </c>
      <c r="E34711" s="0" t="s">
        <v>11</v>
      </c>
      <c r="F34711" s="0" t="s">
        <v>1898</v>
      </c>
    </row>
    <row r="34712" customFormat="false" ht="12.8" hidden="false" customHeight="false" outlineLevel="0" collapsed="false">
      <c r="B34712" s="0" t="s">
        <v>8</v>
      </c>
      <c r="C34712" s="0" t="s">
        <v>1900</v>
      </c>
      <c r="E34712" s="0" t="s">
        <v>180</v>
      </c>
      <c r="F34712" s="0" t="s">
        <v>1901</v>
      </c>
    </row>
    <row r="34713" customFormat="false" ht="12.8" hidden="false" customHeight="false" outlineLevel="0" collapsed="false">
      <c r="B34713" s="0" t="s">
        <v>52</v>
      </c>
      <c r="C34713" s="0" t="s">
        <v>1902</v>
      </c>
      <c r="E34713" s="0" t="s">
        <v>221</v>
      </c>
      <c r="F34713" s="0" t="s">
        <v>1903</v>
      </c>
    </row>
    <row r="34715" customFormat="false" ht="12.8" hidden="false" customHeight="false" outlineLevel="0" collapsed="false">
      <c r="A34715" s="0" t="s">
        <v>13232</v>
      </c>
      <c r="B34715" s="0" t="str">
        <f aca="false">HYPERLINK("https://lindat.mff.cuni.cz/services/teitok/pdtc10/index.php?action=vallex&amp;frame=v-w4760f1", "představit (v-w4760f1)")</f>
        <v>představit (v-w4760f1)</v>
      </c>
      <c r="E34715" s="0" t="str">
        <f aca="false">HYPERLINK("https://lindat.mff.cuni.cz/services/SynSemClass40/SynSemClass40.html?veclass=vec00330#vec00330-ces-cm00112", "vec00330")</f>
        <v>vec00330</v>
      </c>
      <c r="F34715" s="0" t="s">
        <v>1896</v>
      </c>
      <c r="H34715" s="0" t="str">
        <f aca="false">HYPERLINK("https://lindat.mff.cuni.cz/services/SynSemClass40/SynSemClass40.html?veclass=vec00946#vec00946-ces-cm00015", "vec00946")</f>
        <v>vec00946</v>
      </c>
      <c r="I34715" s="0" t="s">
        <v>13233</v>
      </c>
    </row>
    <row r="34716" customFormat="false" ht="12.8" hidden="false" customHeight="false" outlineLevel="0" collapsed="false">
      <c r="B34716" s="0" t="s">
        <v>1</v>
      </c>
      <c r="C34716" s="0" t="s">
        <v>13234</v>
      </c>
      <c r="E34716" s="0" t="s">
        <v>11</v>
      </c>
      <c r="F34716" s="0" t="s">
        <v>1898</v>
      </c>
      <c r="H34716" s="0" t="s">
        <v>768</v>
      </c>
      <c r="I34716" s="0" t="s">
        <v>13235</v>
      </c>
    </row>
    <row r="34717" customFormat="false" ht="12.8" hidden="false" customHeight="false" outlineLevel="0" collapsed="false">
      <c r="B34717" s="0" t="s">
        <v>59</v>
      </c>
      <c r="C34717" s="0" t="s">
        <v>13236</v>
      </c>
      <c r="E34717" s="0" t="s">
        <v>180</v>
      </c>
      <c r="F34717" s="0" t="s">
        <v>1901</v>
      </c>
      <c r="H34717" s="0" t="s">
        <v>771</v>
      </c>
      <c r="I34717" s="0" t="s">
        <v>13237</v>
      </c>
    </row>
    <row r="34718" customFormat="false" ht="12.8" hidden="false" customHeight="false" outlineLevel="0" collapsed="false">
      <c r="B34718" s="0" t="s">
        <v>132</v>
      </c>
      <c r="C34718" s="0" t="s">
        <v>1902</v>
      </c>
      <c r="E34718" s="0" t="s">
        <v>221</v>
      </c>
      <c r="F34718" s="0" t="s">
        <v>1903</v>
      </c>
    </row>
    <row r="34720" customFormat="false" ht="12.8" hidden="false" customHeight="false" outlineLevel="0" collapsed="false">
      <c r="A34720" s="0" t="s">
        <v>13238</v>
      </c>
      <c r="B34720" s="0" t="str">
        <f aca="false">HYPERLINK("https://lindat.mff.cuni.cz/services/teitok/pdtc10/index.php?action=vallex&amp;frame=v-w4760f4", "představit (v-w4760f4)")</f>
        <v>představit (v-w4760f4)</v>
      </c>
    </row>
    <row r="34721" customFormat="false" ht="12.8" hidden="false" customHeight="false" outlineLevel="0" collapsed="false">
      <c r="B34721" s="0" t="s">
        <v>835</v>
      </c>
    </row>
    <row r="34722" customFormat="false" ht="12.8" hidden="false" customHeight="false" outlineLevel="0" collapsed="false">
      <c r="B34722" s="0" t="s">
        <v>6636</v>
      </c>
    </row>
    <row r="34724" customFormat="false" ht="12.8" hidden="false" customHeight="false" outlineLevel="0" collapsed="false">
      <c r="A34724" s="0" t="s">
        <v>13239</v>
      </c>
      <c r="B34724" s="0" t="str">
        <f aca="false">HYPERLINK("https://lindat.mff.cuni.cz/services/teitok/pdtc10/index.php?action=vallex&amp;frame=v-w4760f3", "představit (v-w4760f3)")</f>
        <v>představit (v-w4760f3)</v>
      </c>
    </row>
    <row r="34725" customFormat="false" ht="12.8" hidden="false" customHeight="false" outlineLevel="0" collapsed="false">
      <c r="B34725" s="0" t="s">
        <v>1</v>
      </c>
    </row>
    <row r="34726" customFormat="false" ht="12.8" hidden="false" customHeight="false" outlineLevel="0" collapsed="false">
      <c r="B34726" s="0" t="s">
        <v>8</v>
      </c>
    </row>
    <row r="34728" customFormat="false" ht="12.8" hidden="false" customHeight="false" outlineLevel="0" collapsed="false">
      <c r="A34728" s="0" t="s">
        <v>13240</v>
      </c>
      <c r="B34728" s="0" t="str">
        <f aca="false">HYPERLINK("https://lindat.mff.cuni.cz/services/teitok/pdtc10/index.php?action=vallex&amp;frame=v-w4763f1", "představit se (v-w4763f1)")</f>
        <v>představit se (v-w4763f1)</v>
      </c>
    </row>
    <row r="34729" customFormat="false" ht="12.8" hidden="false" customHeight="false" outlineLevel="0" collapsed="false">
      <c r="B34729" s="0" t="s">
        <v>1</v>
      </c>
    </row>
    <row r="34730" customFormat="false" ht="12.8" hidden="false" customHeight="false" outlineLevel="0" collapsed="false">
      <c r="B34730" s="0" t="s">
        <v>186</v>
      </c>
    </row>
    <row r="34732" customFormat="false" ht="12.8" hidden="false" customHeight="false" outlineLevel="0" collapsed="false">
      <c r="A34732" s="0" t="s">
        <v>13241</v>
      </c>
      <c r="B34732" s="0" t="str">
        <f aca="false">HYPERLINK("https://lindat.mff.cuni.cz/services/teitok/pdtc10/index.php?action=vallex&amp;frame=v-w4764f2", "představit si (v-w4764f2)")</f>
        <v>představit si (v-w4764f2)</v>
      </c>
    </row>
    <row r="34733" customFormat="false" ht="12.8" hidden="false" customHeight="false" outlineLevel="0" collapsed="false">
      <c r="B34733" s="0" t="s">
        <v>1</v>
      </c>
    </row>
    <row r="34734" customFormat="false" ht="12.8" hidden="false" customHeight="false" outlineLevel="0" collapsed="false">
      <c r="B34734" s="0" t="s">
        <v>1642</v>
      </c>
    </row>
    <row r="34735" customFormat="false" ht="12.8" hidden="false" customHeight="false" outlineLevel="0" collapsed="false">
      <c r="B34735" s="0" t="s">
        <v>2382</v>
      </c>
    </row>
    <row r="34737" customFormat="false" ht="12.8" hidden="false" customHeight="false" outlineLevel="0" collapsed="false">
      <c r="A34737" s="0" t="s">
        <v>13242</v>
      </c>
      <c r="B34737" s="0" t="str">
        <f aca="false">HYPERLINK("https://lindat.mff.cuni.cz/services/teitok/pdtc10/index.php?action=vallex&amp;frame=v-w4764f4_ZU", "představit si (v-w4764f4_ZU)")</f>
        <v>představit si (v-w4764f4_ZU)</v>
      </c>
    </row>
    <row r="34738" customFormat="false" ht="12.8" hidden="false" customHeight="false" outlineLevel="0" collapsed="false">
      <c r="B34738" s="0" t="s">
        <v>1</v>
      </c>
    </row>
    <row r="34739" customFormat="false" ht="12.8" hidden="false" customHeight="false" outlineLevel="0" collapsed="false">
      <c r="B34739" s="0" t="s">
        <v>13243</v>
      </c>
    </row>
    <row r="34741" customFormat="false" ht="12.8" hidden="false" customHeight="false" outlineLevel="0" collapsed="false">
      <c r="A34741" s="0" t="s">
        <v>13242</v>
      </c>
      <c r="B34741" s="0" t="str">
        <f aca="false">HYPERLINK("https://lindat.mff.cuni.cz/services/teitok/pdtc10/index.php?action=vallex&amp;frame=v-w4764f1", "představit si (v-w4764f1) - substituted with v-w4764f4_ZU")</f>
        <v>představit si (v-w4764f1) - substituted with v-w4764f4_ZU</v>
      </c>
      <c r="E34741" s="0" t="str">
        <f aca="false">HYPERLINK("https://lindat.mff.cuni.cz/services/SynSemClass40/SynSemClass40.html?veclass=vec00493#vec00493-ces-cm00001", "vec00493")</f>
        <v>vec00493</v>
      </c>
      <c r="F34741" s="0" t="s">
        <v>13244</v>
      </c>
    </row>
    <row r="34742" customFormat="false" ht="12.8" hidden="false" customHeight="false" outlineLevel="0" collapsed="false">
      <c r="B34742" s="0" t="s">
        <v>1</v>
      </c>
      <c r="C34742" s="0" t="s">
        <v>8644</v>
      </c>
      <c r="E34742" s="0" t="s">
        <v>621</v>
      </c>
      <c r="F34742" s="0" t="s">
        <v>13245</v>
      </c>
    </row>
    <row r="34743" customFormat="false" ht="12.8" hidden="false" customHeight="false" outlineLevel="0" collapsed="false">
      <c r="B34743" s="0" t="s">
        <v>13243</v>
      </c>
      <c r="C34743" s="0" t="s">
        <v>13246</v>
      </c>
      <c r="E34743" s="0" t="s">
        <v>180</v>
      </c>
      <c r="F34743" s="0" t="s">
        <v>13247</v>
      </c>
    </row>
    <row r="34745" customFormat="false" ht="12.8" hidden="false" customHeight="false" outlineLevel="0" collapsed="false">
      <c r="A34745" s="0" t="s">
        <v>13242</v>
      </c>
      <c r="B34745" s="0" t="str">
        <f aca="false">HYPERLINK("https://lindat.mff.cuni.cz/services/teitok/pdtc10/index.php?action=vallex&amp;frame=v-w4764f3_ZU", "představit si (v-w4764f3_ZU) - substituted with v-w4764f4_ZU")</f>
        <v>představit si (v-w4764f3_ZU) - substituted with v-w4764f4_ZU</v>
      </c>
    </row>
    <row r="34746" customFormat="false" ht="12.8" hidden="false" customHeight="false" outlineLevel="0" collapsed="false">
      <c r="B34746" s="0" t="s">
        <v>1</v>
      </c>
    </row>
    <row r="34747" customFormat="false" ht="12.8" hidden="false" customHeight="false" outlineLevel="0" collapsed="false">
      <c r="B34747" s="0" t="s">
        <v>13243</v>
      </c>
    </row>
    <row r="34749" customFormat="false" ht="12.8" hidden="false" customHeight="false" outlineLevel="0" collapsed="false">
      <c r="A34749" s="0" t="s">
        <v>13248</v>
      </c>
      <c r="B34749" s="0" t="str">
        <f aca="false">HYPERLINK("https://lindat.mff.cuni.cz/services/teitok/pdtc10/index.php?action=vallex&amp;frame=v-w4764hsa_1090", "představit si (v-w4764hsa_1090)")</f>
        <v>představit si (v-w4764hsa_1090)</v>
      </c>
    </row>
    <row r="34750" customFormat="false" ht="12.8" hidden="false" customHeight="false" outlineLevel="0" collapsed="false">
      <c r="B34750" s="0" t="s">
        <v>1</v>
      </c>
    </row>
    <row r="34751" customFormat="false" ht="12.8" hidden="false" customHeight="false" outlineLevel="0" collapsed="false">
      <c r="B34751" s="0" t="s">
        <v>3057</v>
      </c>
    </row>
    <row r="34752" customFormat="false" ht="12.8" hidden="false" customHeight="false" outlineLevel="0" collapsed="false">
      <c r="B34752" s="0" t="s">
        <v>496</v>
      </c>
    </row>
    <row r="34754" customFormat="false" ht="12.8" hidden="false" customHeight="false" outlineLevel="0" collapsed="false">
      <c r="A34754" s="0" t="s">
        <v>13249</v>
      </c>
      <c r="B34754" s="0" t="str">
        <f aca="false">HYPERLINK("https://lindat.mff.cuni.cz/services/teitok/pdtc10/index.php?action=vallex&amp;frame=v-w4766f2", "představovat (v-w4766f2)")</f>
        <v>představovat (v-w4766f2)</v>
      </c>
      <c r="E34754" s="0" t="str">
        <f aca="false">HYPERLINK("https://lindat.mff.cuni.cz/services/SynSemClass40/SynSemClass40.html?veclass=vec00330#vec00330-ces-cm00121", "vec00330")</f>
        <v>vec00330</v>
      </c>
      <c r="F34754" s="0" t="s">
        <v>1896</v>
      </c>
    </row>
    <row r="34755" customFormat="false" ht="12.8" hidden="false" customHeight="false" outlineLevel="0" collapsed="false">
      <c r="B34755" s="0" t="s">
        <v>1</v>
      </c>
      <c r="C34755" s="0" t="s">
        <v>1897</v>
      </c>
      <c r="E34755" s="0" t="s">
        <v>11</v>
      </c>
      <c r="F34755" s="0" t="s">
        <v>1898</v>
      </c>
    </row>
    <row r="34756" customFormat="false" ht="12.8" hidden="false" customHeight="false" outlineLevel="0" collapsed="false">
      <c r="B34756" s="0" t="s">
        <v>8</v>
      </c>
      <c r="C34756" s="0" t="s">
        <v>1900</v>
      </c>
      <c r="E34756" s="0" t="s">
        <v>180</v>
      </c>
      <c r="F34756" s="0" t="s">
        <v>1901</v>
      </c>
    </row>
    <row r="34757" customFormat="false" ht="12.8" hidden="false" customHeight="false" outlineLevel="0" collapsed="false">
      <c r="B34757" s="0" t="s">
        <v>52</v>
      </c>
      <c r="C34757" s="0" t="s">
        <v>1902</v>
      </c>
      <c r="E34757" s="0" t="s">
        <v>221</v>
      </c>
      <c r="F34757" s="0" t="s">
        <v>1903</v>
      </c>
    </row>
    <row r="34759" customFormat="false" ht="12.8" hidden="false" customHeight="false" outlineLevel="0" collapsed="false">
      <c r="A34759" s="0" t="s">
        <v>13250</v>
      </c>
      <c r="B34759" s="0" t="str">
        <f aca="false">HYPERLINK("https://lindat.mff.cuni.cz/services/teitok/pdtc10/index.php?action=vallex&amp;frame=v-w4766f3", "představovat (v-w4766f3)")</f>
        <v>představovat (v-w4766f3)</v>
      </c>
      <c r="E34759" s="0" t="str">
        <f aca="false">HYPERLINK("https://lindat.mff.cuni.cz/services/SynSemClass40/SynSemClass40.html?veclass=vec00946#vec00946-ces-cm00017", "vec00946")</f>
        <v>vec00946</v>
      </c>
      <c r="F34759" s="0" t="s">
        <v>13233</v>
      </c>
    </row>
    <row r="34760" customFormat="false" ht="12.8" hidden="false" customHeight="false" outlineLevel="0" collapsed="false">
      <c r="B34760" s="0" t="s">
        <v>1</v>
      </c>
      <c r="C34760" s="0" t="s">
        <v>4725</v>
      </c>
      <c r="E34760" s="0" t="s">
        <v>768</v>
      </c>
      <c r="F34760" s="0" t="s">
        <v>13235</v>
      </c>
    </row>
    <row r="34761" customFormat="false" ht="12.8" hidden="false" customHeight="false" outlineLevel="0" collapsed="false">
      <c r="B34761" s="0" t="s">
        <v>59</v>
      </c>
      <c r="C34761" s="0" t="s">
        <v>6960</v>
      </c>
      <c r="E34761" s="0" t="s">
        <v>771</v>
      </c>
      <c r="F34761" s="0" t="s">
        <v>13237</v>
      </c>
    </row>
    <row r="34762" customFormat="false" ht="12.8" hidden="false" customHeight="false" outlineLevel="0" collapsed="false">
      <c r="B34762" s="0" t="s">
        <v>132</v>
      </c>
    </row>
    <row r="34764" customFormat="false" ht="12.8" hidden="false" customHeight="false" outlineLevel="0" collapsed="false">
      <c r="A34764" s="0" t="s">
        <v>13251</v>
      </c>
      <c r="B34764" s="0" t="str">
        <f aca="false">HYPERLINK("https://lindat.mff.cuni.cz/services/teitok/pdtc10/index.php?action=vallex&amp;frame=v-w4766f1", "představovat (v-w4766f1)")</f>
        <v>představovat (v-w4766f1)</v>
      </c>
      <c r="E34764" s="0" t="str">
        <f aca="false">HYPERLINK("https://lindat.mff.cuni.cz/services/SynSemClass40/SynSemClass40.html?veclass=vec00366#vec00366-ces-cm00033", "vec00366")</f>
        <v>vec00366</v>
      </c>
      <c r="F34764" s="0" t="s">
        <v>8570</v>
      </c>
    </row>
    <row r="34765" customFormat="false" ht="12.8" hidden="false" customHeight="false" outlineLevel="0" collapsed="false">
      <c r="B34765" s="0" t="s">
        <v>835</v>
      </c>
      <c r="C34765" s="0" t="s">
        <v>13252</v>
      </c>
      <c r="E34765" s="0" t="s">
        <v>9375</v>
      </c>
      <c r="F34765" s="0" t="s">
        <v>13253</v>
      </c>
    </row>
    <row r="34766" customFormat="false" ht="12.8" hidden="false" customHeight="false" outlineLevel="0" collapsed="false">
      <c r="B34766" s="0" t="s">
        <v>6636</v>
      </c>
      <c r="C34766" s="0" t="s">
        <v>13254</v>
      </c>
      <c r="E34766" s="0" t="s">
        <v>5279</v>
      </c>
      <c r="F34766" s="0" t="s">
        <v>13255</v>
      </c>
    </row>
    <row r="34768" customFormat="false" ht="12.8" hidden="false" customHeight="false" outlineLevel="0" collapsed="false">
      <c r="A34768" s="0" t="s">
        <v>13256</v>
      </c>
      <c r="B34768" s="0" t="str">
        <f aca="false">HYPERLINK("https://lindat.mff.cuni.cz/services/teitok/pdtc10/index.php?action=vallex&amp;frame=v-w4767f1", "představovat se (v-w4767f1)")</f>
        <v>představovat se (v-w4767f1)</v>
      </c>
    </row>
    <row r="34769" customFormat="false" ht="12.8" hidden="false" customHeight="false" outlineLevel="0" collapsed="false">
      <c r="B34769" s="0" t="s">
        <v>1</v>
      </c>
    </row>
    <row r="34770" customFormat="false" ht="12.8" hidden="false" customHeight="false" outlineLevel="0" collapsed="false">
      <c r="B34770" s="0" t="s">
        <v>186</v>
      </c>
    </row>
    <row r="34772" customFormat="false" ht="12.8" hidden="false" customHeight="false" outlineLevel="0" collapsed="false">
      <c r="A34772" s="0" t="s">
        <v>13257</v>
      </c>
      <c r="B34772" s="0" t="str">
        <f aca="false">HYPERLINK("https://lindat.mff.cuni.cz/services/teitok/pdtc10/index.php?action=vallex&amp;frame=v-w4768f3", "představovat si (v-w4768f3)")</f>
        <v>představovat si (v-w4768f3)</v>
      </c>
    </row>
    <row r="34773" customFormat="false" ht="12.8" hidden="false" customHeight="false" outlineLevel="0" collapsed="false">
      <c r="B34773" s="0" t="s">
        <v>1</v>
      </c>
    </row>
    <row r="34774" customFormat="false" ht="12.8" hidden="false" customHeight="false" outlineLevel="0" collapsed="false">
      <c r="B34774" s="0" t="s">
        <v>1642</v>
      </c>
    </row>
    <row r="34775" customFormat="false" ht="12.8" hidden="false" customHeight="false" outlineLevel="0" collapsed="false">
      <c r="B34775" s="0" t="s">
        <v>2382</v>
      </c>
    </row>
    <row r="34777" customFormat="false" ht="12.8" hidden="false" customHeight="false" outlineLevel="0" collapsed="false">
      <c r="A34777" s="0" t="s">
        <v>13258</v>
      </c>
      <c r="B34777" s="0" t="str">
        <f aca="false">HYPERLINK("https://lindat.mff.cuni.cz/services/teitok/pdtc10/index.php?action=vallex&amp;frame=v-w4768f1", "představovat si (v-w4768f1)")</f>
        <v>představovat si (v-w4768f1)</v>
      </c>
      <c r="E34777" s="0" t="str">
        <f aca="false">HYPERLINK("https://lindat.mff.cuni.cz/services/SynSemClass40/SynSemClass40.html?veclass=vec00493#vec00493-ces-cm00003", "vec00493")</f>
        <v>vec00493</v>
      </c>
      <c r="F34777" s="0" t="s">
        <v>13244</v>
      </c>
    </row>
    <row r="34778" customFormat="false" ht="12.8" hidden="false" customHeight="false" outlineLevel="0" collapsed="false">
      <c r="B34778" s="0" t="s">
        <v>1</v>
      </c>
      <c r="C34778" s="0" t="s">
        <v>8644</v>
      </c>
      <c r="E34778" s="0" t="s">
        <v>621</v>
      </c>
      <c r="F34778" s="0" t="s">
        <v>13245</v>
      </c>
    </row>
    <row r="34779" customFormat="false" ht="12.8" hidden="false" customHeight="false" outlineLevel="0" collapsed="false">
      <c r="B34779" s="0" t="s">
        <v>1754</v>
      </c>
      <c r="C34779" s="0" t="s">
        <v>13246</v>
      </c>
      <c r="E34779" s="0" t="s">
        <v>180</v>
      </c>
      <c r="F34779" s="0" t="s">
        <v>13247</v>
      </c>
    </row>
    <row r="34781" customFormat="false" ht="12.8" hidden="false" customHeight="false" outlineLevel="0" collapsed="false">
      <c r="A34781" s="0" t="s">
        <v>13259</v>
      </c>
      <c r="B34781" s="0" t="str">
        <f aca="false">HYPERLINK("https://lindat.mff.cuni.cz/services/teitok/pdtc10/index.php?action=vallex&amp;frame=v-w4768f2", "představovat si (v-w4768f2)")</f>
        <v>představovat si (v-w4768f2)</v>
      </c>
    </row>
    <row r="34782" customFormat="false" ht="12.8" hidden="false" customHeight="false" outlineLevel="0" collapsed="false">
      <c r="B34782" s="0" t="s">
        <v>1</v>
      </c>
    </row>
    <row r="34783" customFormat="false" ht="12.8" hidden="false" customHeight="false" outlineLevel="0" collapsed="false">
      <c r="B34783" s="0" t="s">
        <v>8</v>
      </c>
    </row>
    <row r="34784" customFormat="false" ht="12.8" hidden="false" customHeight="false" outlineLevel="0" collapsed="false">
      <c r="B34784" s="0" t="s">
        <v>642</v>
      </c>
    </row>
    <row r="34785" customFormat="false" ht="12.8" hidden="false" customHeight="false" outlineLevel="0" collapsed="false">
      <c r="B34785" s="0" t="s">
        <v>648</v>
      </c>
    </row>
    <row r="34786" customFormat="false" ht="12.8" hidden="false" customHeight="false" outlineLevel="0" collapsed="false">
      <c r="B34786" s="0" t="s">
        <v>652</v>
      </c>
    </row>
    <row r="34788" customFormat="false" ht="12.8" hidden="false" customHeight="false" outlineLevel="0" collapsed="false">
      <c r="A34788" s="0" t="s">
        <v>13260</v>
      </c>
      <c r="B34788" s="0" t="str">
        <f aca="false">HYPERLINK("https://lindat.mff.cuni.cz/services/teitok/pdtc10/index.php?action=vallex&amp;frame=v-w4771f1", "předstihnout (v-w4771f1)")</f>
        <v>předstihnout (v-w4771f1)</v>
      </c>
      <c r="E34788" s="0" t="str">
        <f aca="false">HYPERLINK("https://lindat.mff.cuni.cz/services/SynSemClass40/SynSemClass40.html?veclass=vec00279#vec00279-ces-cm00022", "vec00279")</f>
        <v>vec00279</v>
      </c>
      <c r="F34788" s="0" t="s">
        <v>9067</v>
      </c>
    </row>
    <row r="34789" customFormat="false" ht="12.8" hidden="false" customHeight="false" outlineLevel="0" collapsed="false">
      <c r="B34789" s="0" t="s">
        <v>1</v>
      </c>
      <c r="C34789" s="0" t="s">
        <v>9068</v>
      </c>
      <c r="E34789" s="0" t="s">
        <v>11</v>
      </c>
      <c r="F34789" s="0" t="s">
        <v>9069</v>
      </c>
    </row>
    <row r="34790" customFormat="false" ht="12.8" hidden="false" customHeight="false" outlineLevel="0" collapsed="false">
      <c r="B34790" s="0" t="s">
        <v>8</v>
      </c>
      <c r="C34790" s="0" t="s">
        <v>9070</v>
      </c>
      <c r="E34790" s="0" t="s">
        <v>7635</v>
      </c>
      <c r="F34790" s="0" t="s">
        <v>9071</v>
      </c>
    </row>
    <row r="34792" customFormat="false" ht="12.8" hidden="false" customHeight="false" outlineLevel="0" collapsed="false">
      <c r="A34792" s="0" t="s">
        <v>13261</v>
      </c>
      <c r="B34792" s="0" t="str">
        <f aca="false">HYPERLINK("https://lindat.mff.cuni.cz/services/teitok/pdtc10/index.php?action=vallex&amp;frame=v-w10775f2", "předstihovat (v-w10775f2)")</f>
        <v>předstihovat (v-w10775f2)</v>
      </c>
    </row>
    <row r="34793" customFormat="false" ht="12.8" hidden="false" customHeight="false" outlineLevel="0" collapsed="false">
      <c r="B34793" s="0" t="s">
        <v>1</v>
      </c>
    </row>
    <row r="34794" customFormat="false" ht="12.8" hidden="false" customHeight="false" outlineLevel="0" collapsed="false">
      <c r="B34794" s="0" t="s">
        <v>8</v>
      </c>
    </row>
    <row r="34796" customFormat="false" ht="12.8" hidden="false" customHeight="false" outlineLevel="0" collapsed="false">
      <c r="A34796" s="0" t="s">
        <v>13262</v>
      </c>
      <c r="B34796" s="0" t="str">
        <f aca="false">HYPERLINK("https://lindat.mff.cuni.cz/services/teitok/pdtc10/index.php?action=vallex&amp;frame=v-w4773f1", "předstoupit (v-w4773f1)")</f>
        <v>předstoupit (v-w4773f1)</v>
      </c>
      <c r="E34796" s="0" t="str">
        <f aca="false">HYPERLINK("https://lindat.mff.cuni.cz/services/SynSemClass40/SynSemClass40.html?veclass=vec00057#vec00057-ces-cm00051", "vec00057")</f>
        <v>vec00057</v>
      </c>
      <c r="F34796" s="0" t="s">
        <v>145</v>
      </c>
    </row>
    <row r="34797" customFormat="false" ht="12.8" hidden="false" customHeight="false" outlineLevel="0" collapsed="false">
      <c r="B34797" s="0" t="s">
        <v>1</v>
      </c>
      <c r="C34797" s="0" t="s">
        <v>146</v>
      </c>
      <c r="E34797" s="0" t="s">
        <v>147</v>
      </c>
      <c r="F34797" s="0" t="s">
        <v>148</v>
      </c>
    </row>
    <row r="34798" customFormat="false" ht="12.8" hidden="false" customHeight="false" outlineLevel="0" collapsed="false">
      <c r="B34798" s="0" t="s">
        <v>164</v>
      </c>
      <c r="C34798" s="0" t="s">
        <v>13263</v>
      </c>
      <c r="E34798" s="0" t="s">
        <v>13264</v>
      </c>
      <c r="F34798" s="0" t="s">
        <v>13265</v>
      </c>
    </row>
    <row r="34800" customFormat="false" ht="12.8" hidden="false" customHeight="false" outlineLevel="0" collapsed="false">
      <c r="A34800" s="0" t="s">
        <v>13266</v>
      </c>
      <c r="B34800" s="0" t="str">
        <f aca="false">HYPERLINK("https://lindat.mff.cuni.cz/services/teitok/pdtc10/index.php?action=vallex&amp;frame=v-w4774f1", "předstupovat (v-w4774f1)")</f>
        <v>předstupovat (v-w4774f1)</v>
      </c>
    </row>
    <row r="34801" customFormat="false" ht="12.8" hidden="false" customHeight="false" outlineLevel="0" collapsed="false">
      <c r="B34801" s="0" t="s">
        <v>1</v>
      </c>
    </row>
    <row r="34802" customFormat="false" ht="12.8" hidden="false" customHeight="false" outlineLevel="0" collapsed="false">
      <c r="B34802" s="0" t="s">
        <v>164</v>
      </c>
    </row>
    <row r="34804" customFormat="false" ht="12.8" hidden="false" customHeight="false" outlineLevel="0" collapsed="false">
      <c r="A34804" s="0" t="s">
        <v>13267</v>
      </c>
      <c r="B34804" s="0" t="str">
        <f aca="false">HYPERLINK("https://lindat.mff.cuni.cz/services/teitok/pdtc10/index.php?action=vallex&amp;frame=v-w4772f1", "předstírat (v-w4772f1)")</f>
        <v>předstírat (v-w4772f1)</v>
      </c>
      <c r="E34804" s="0" t="str">
        <f aca="false">HYPERLINK("https://lindat.mff.cuni.cz/services/SynSemClass40/SynSemClass40.html?veclass=vec00693#vec00693-ces-cm00001", "vec00693")</f>
        <v>vec00693</v>
      </c>
      <c r="F34804" s="0" t="s">
        <v>13268</v>
      </c>
    </row>
    <row r="34805" customFormat="false" ht="12.8" hidden="false" customHeight="false" outlineLevel="0" collapsed="false">
      <c r="B34805" s="0" t="s">
        <v>1</v>
      </c>
      <c r="E34805" s="0" t="s">
        <v>11</v>
      </c>
      <c r="F34805" s="0" t="s">
        <v>959</v>
      </c>
    </row>
    <row r="34806" customFormat="false" ht="12.8" hidden="false" customHeight="false" outlineLevel="0" collapsed="false">
      <c r="B34806" s="0" t="s">
        <v>228</v>
      </c>
      <c r="C34806" s="0" t="s">
        <v>800</v>
      </c>
      <c r="E34806" s="0" t="s">
        <v>180</v>
      </c>
      <c r="F34806" s="0" t="s">
        <v>13269</v>
      </c>
    </row>
    <row r="34808" customFormat="false" ht="12.8" hidden="false" customHeight="false" outlineLevel="0" collapsed="false">
      <c r="A34808" s="0" t="s">
        <v>13270</v>
      </c>
      <c r="B34808" s="0" t="str">
        <f aca="false">HYPERLINK("https://lindat.mff.cuni.cz/services/teitok/pdtc10/index.php?action=vallex&amp;frame=v-w10387f2", "předtočit (v-w10387f2)")</f>
        <v>předtočit (v-w10387f2)</v>
      </c>
    </row>
    <row r="34809" customFormat="false" ht="12.8" hidden="false" customHeight="false" outlineLevel="0" collapsed="false">
      <c r="B34809" s="0" t="s">
        <v>1</v>
      </c>
    </row>
    <row r="34810" customFormat="false" ht="12.8" hidden="false" customHeight="false" outlineLevel="0" collapsed="false">
      <c r="B34810" s="0" t="s">
        <v>8</v>
      </c>
    </row>
    <row r="34812" customFormat="false" ht="12.8" hidden="false" customHeight="false" outlineLevel="0" collapsed="false">
      <c r="A34812" s="0" t="s">
        <v>13271</v>
      </c>
      <c r="B34812" s="0" t="str">
        <f aca="false">HYPERLINK("https://lindat.mff.cuni.cz/services/teitok/pdtc10/index.php?action=vallex&amp;frame=v-w4777f2", "předurčit (v-w4777f2)")</f>
        <v>předurčit (v-w4777f2)</v>
      </c>
    </row>
    <row r="34813" customFormat="false" ht="12.8" hidden="false" customHeight="false" outlineLevel="0" collapsed="false">
      <c r="B34813" s="0" t="s">
        <v>1</v>
      </c>
    </row>
    <row r="34814" customFormat="false" ht="12.8" hidden="false" customHeight="false" outlineLevel="0" collapsed="false">
      <c r="B34814" s="0" t="s">
        <v>2811</v>
      </c>
    </row>
    <row r="34815" customFormat="false" ht="12.8" hidden="false" customHeight="false" outlineLevel="0" collapsed="false">
      <c r="B34815" s="0" t="s">
        <v>52</v>
      </c>
    </row>
    <row r="34817" customFormat="false" ht="12.8" hidden="false" customHeight="false" outlineLevel="0" collapsed="false">
      <c r="A34817" s="0" t="s">
        <v>13272</v>
      </c>
      <c r="B34817" s="0" t="str">
        <f aca="false">HYPERLINK("https://lindat.mff.cuni.cz/services/teitok/pdtc10/index.php?action=vallex&amp;frame=v-w4777f3", "předurčit (v-w4777f3)")</f>
        <v>předurčit (v-w4777f3)</v>
      </c>
    </row>
    <row r="34818" customFormat="false" ht="12.8" hidden="false" customHeight="false" outlineLevel="0" collapsed="false">
      <c r="B34818" s="0" t="s">
        <v>1</v>
      </c>
    </row>
    <row r="34819" customFormat="false" ht="12.8" hidden="false" customHeight="false" outlineLevel="0" collapsed="false">
      <c r="B34819" s="0" t="s">
        <v>8</v>
      </c>
    </row>
    <row r="34820" customFormat="false" ht="12.8" hidden="false" customHeight="false" outlineLevel="0" collapsed="false">
      <c r="B34820" s="0" t="s">
        <v>13273</v>
      </c>
    </row>
    <row r="34822" customFormat="false" ht="12.8" hidden="false" customHeight="false" outlineLevel="0" collapsed="false">
      <c r="A34822" s="0" t="s">
        <v>13274</v>
      </c>
      <c r="B34822" s="0" t="str">
        <f aca="false">HYPERLINK("https://lindat.mff.cuni.cz/services/teitok/pdtc10/index.php?action=vallex&amp;frame=v-w4777f1", "předurčit (v-w4777f1)")</f>
        <v>předurčit (v-w4777f1)</v>
      </c>
      <c r="E34822" s="0" t="str">
        <f aca="false">HYPERLINK("https://lindat.mff.cuni.cz/services/SynSemClass40/SynSemClass40.html?veclass=vec00889#vec00889-ces-cm00001", "vec00889")</f>
        <v>vec00889</v>
      </c>
      <c r="F34822" s="0" t="s">
        <v>13275</v>
      </c>
    </row>
    <row r="34823" customFormat="false" ht="12.8" hidden="false" customHeight="false" outlineLevel="0" collapsed="false">
      <c r="B34823" s="0" t="s">
        <v>1</v>
      </c>
      <c r="C34823" s="0" t="s">
        <v>459</v>
      </c>
      <c r="E34823" s="0" t="s">
        <v>13276</v>
      </c>
      <c r="F34823" s="0" t="s">
        <v>13277</v>
      </c>
    </row>
    <row r="34824" customFormat="false" ht="12.8" hidden="false" customHeight="false" outlineLevel="0" collapsed="false">
      <c r="B34824" s="0" t="s">
        <v>8</v>
      </c>
      <c r="C34824" s="0" t="s">
        <v>744</v>
      </c>
      <c r="E34824" s="0" t="s">
        <v>13278</v>
      </c>
      <c r="F34824" s="0" t="s">
        <v>13279</v>
      </c>
    </row>
    <row r="34826" customFormat="false" ht="12.8" hidden="false" customHeight="false" outlineLevel="0" collapsed="false">
      <c r="A34826" s="0" t="s">
        <v>13280</v>
      </c>
      <c r="B34826" s="0" t="str">
        <f aca="false">HYPERLINK("https://lindat.mff.cuni.cz/services/teitok/pdtc10/index.php?action=vallex&amp;frame=v-w4778f2", "předurčovat (v-w4778f2)")</f>
        <v>předurčovat (v-w4778f2)</v>
      </c>
    </row>
    <row r="34827" customFormat="false" ht="12.8" hidden="false" customHeight="false" outlineLevel="0" collapsed="false">
      <c r="B34827" s="0" t="s">
        <v>1</v>
      </c>
    </row>
    <row r="34828" customFormat="false" ht="12.8" hidden="false" customHeight="false" outlineLevel="0" collapsed="false">
      <c r="B34828" s="0" t="s">
        <v>2811</v>
      </c>
    </row>
    <row r="34829" customFormat="false" ht="12.8" hidden="false" customHeight="false" outlineLevel="0" collapsed="false">
      <c r="B34829" s="0" t="s">
        <v>52</v>
      </c>
    </row>
    <row r="34831" customFormat="false" ht="12.8" hidden="false" customHeight="false" outlineLevel="0" collapsed="false">
      <c r="A34831" s="0" t="s">
        <v>13281</v>
      </c>
      <c r="B34831" s="0" t="str">
        <f aca="false">HYPERLINK("https://lindat.mff.cuni.cz/services/teitok/pdtc10/index.php?action=vallex&amp;frame=v-w4778f3", "předurčovat (v-w4778f3)")</f>
        <v>předurčovat (v-w4778f3)</v>
      </c>
    </row>
    <row r="34832" customFormat="false" ht="12.8" hidden="false" customHeight="false" outlineLevel="0" collapsed="false">
      <c r="B34832" s="0" t="s">
        <v>1</v>
      </c>
    </row>
    <row r="34833" customFormat="false" ht="12.8" hidden="false" customHeight="false" outlineLevel="0" collapsed="false">
      <c r="B34833" s="0" t="s">
        <v>8</v>
      </c>
    </row>
    <row r="34834" customFormat="false" ht="12.8" hidden="false" customHeight="false" outlineLevel="0" collapsed="false">
      <c r="B34834" s="0" t="s">
        <v>13273</v>
      </c>
    </row>
    <row r="34836" customFormat="false" ht="12.8" hidden="false" customHeight="false" outlineLevel="0" collapsed="false">
      <c r="A34836" s="0" t="s">
        <v>13282</v>
      </c>
      <c r="B34836" s="0" t="str">
        <f aca="false">HYPERLINK("https://lindat.mff.cuni.cz/services/teitok/pdtc10/index.php?action=vallex&amp;frame=v-w4778f1", "předurčovat (v-w4778f1)")</f>
        <v>předurčovat (v-w4778f1)</v>
      </c>
      <c r="E34836" s="0" t="str">
        <f aca="false">HYPERLINK("https://lindat.mff.cuni.cz/services/SynSemClass40/SynSemClass40.html?veclass=vec00889#vec00889-ces-cm00003", "vec00889")</f>
        <v>vec00889</v>
      </c>
      <c r="F34836" s="0" t="s">
        <v>13275</v>
      </c>
    </row>
    <row r="34837" customFormat="false" ht="12.8" hidden="false" customHeight="false" outlineLevel="0" collapsed="false">
      <c r="B34837" s="0" t="s">
        <v>1</v>
      </c>
      <c r="C34837" s="0" t="s">
        <v>459</v>
      </c>
      <c r="E34837" s="0" t="s">
        <v>13276</v>
      </c>
      <c r="F34837" s="0" t="s">
        <v>13277</v>
      </c>
    </row>
    <row r="34838" customFormat="false" ht="12.8" hidden="false" customHeight="false" outlineLevel="0" collapsed="false">
      <c r="B34838" s="0" t="s">
        <v>8</v>
      </c>
      <c r="C34838" s="0" t="s">
        <v>744</v>
      </c>
      <c r="E34838" s="0" t="s">
        <v>13278</v>
      </c>
      <c r="F34838" s="0" t="s">
        <v>13279</v>
      </c>
    </row>
    <row r="34840" customFormat="false" ht="12.8" hidden="false" customHeight="false" outlineLevel="0" collapsed="false">
      <c r="A34840" s="0" t="s">
        <v>13283</v>
      </c>
      <c r="B34840" s="0" t="str">
        <f aca="false">HYPERLINK("https://lindat.mff.cuni.cz/services/teitok/pdtc10/index.php?action=vallex&amp;frame=v-w4786f1", "předvolat (v-w4786f1)")</f>
        <v>předvolat (v-w4786f1)</v>
      </c>
      <c r="E34840" s="0" t="str">
        <f aca="false">HYPERLINK("https://lindat.mff.cuni.cz/services/SynSemClass40/SynSemClass40.html?veclass=vec00485#vec00485-ces-cm00004", "vec00485")</f>
        <v>vec00485</v>
      </c>
      <c r="F34840" s="0" t="s">
        <v>6309</v>
      </c>
      <c r="H34840" s="0" t="str">
        <f aca="false">HYPERLINK("https://lindat.mff.cuni.cz/services/SynSemClass40/SynSemClass40.html?veclass=vec01330#vec01330-ces-cm00037", "vec01330")</f>
        <v>vec01330</v>
      </c>
      <c r="I34840" s="0" t="s">
        <v>12025</v>
      </c>
    </row>
    <row r="34841" customFormat="false" ht="12.8" hidden="false" customHeight="false" outlineLevel="0" collapsed="false">
      <c r="B34841" s="0" t="s">
        <v>1</v>
      </c>
      <c r="C34841" s="0" t="s">
        <v>13284</v>
      </c>
      <c r="E34841" s="0" t="s">
        <v>206</v>
      </c>
      <c r="F34841" s="0" t="s">
        <v>6311</v>
      </c>
      <c r="H34841" s="0" t="s">
        <v>4501</v>
      </c>
      <c r="I34841" s="0" t="s">
        <v>12027</v>
      </c>
    </row>
    <row r="34842" customFormat="false" ht="12.8" hidden="false" customHeight="false" outlineLevel="0" collapsed="false">
      <c r="B34842" s="0" t="s">
        <v>8</v>
      </c>
      <c r="C34842" s="0" t="s">
        <v>13285</v>
      </c>
      <c r="E34842" s="0" t="s">
        <v>3832</v>
      </c>
      <c r="F34842" s="0" t="s">
        <v>6313</v>
      </c>
      <c r="H34842" s="0" t="s">
        <v>188</v>
      </c>
      <c r="I34842" s="0" t="s">
        <v>12029</v>
      </c>
    </row>
    <row r="34844" customFormat="false" ht="12.8" hidden="false" customHeight="false" outlineLevel="0" collapsed="false">
      <c r="A34844" s="0" t="s">
        <v>13286</v>
      </c>
      <c r="B34844" s="0" t="str">
        <f aca="false">HYPERLINK("https://lindat.mff.cuni.cz/services/teitok/pdtc10/index.php?action=vallex&amp;frame=v-w4787f1", "předvolávat (v-w4787f1)")</f>
        <v>předvolávat (v-w4787f1)</v>
      </c>
      <c r="E34844" s="0" t="str">
        <f aca="false">HYPERLINK("https://lindat.mff.cuni.cz/services/SynSemClass40/SynSemClass40.html?veclass=vec00485#vec00485-ces-cm00030", "vec00485")</f>
        <v>vec00485</v>
      </c>
      <c r="F34844" s="0" t="s">
        <v>6309</v>
      </c>
    </row>
    <row r="34845" customFormat="false" ht="12.8" hidden="false" customHeight="false" outlineLevel="0" collapsed="false">
      <c r="B34845" s="0" t="s">
        <v>1</v>
      </c>
      <c r="C34845" s="0" t="s">
        <v>6310</v>
      </c>
      <c r="E34845" s="0" t="s">
        <v>206</v>
      </c>
      <c r="F34845" s="0" t="s">
        <v>6311</v>
      </c>
    </row>
    <row r="34846" customFormat="false" ht="12.8" hidden="false" customHeight="false" outlineLevel="0" collapsed="false">
      <c r="B34846" s="0" t="s">
        <v>8</v>
      </c>
      <c r="C34846" s="0" t="s">
        <v>6312</v>
      </c>
      <c r="E34846" s="0" t="s">
        <v>3832</v>
      </c>
      <c r="F34846" s="0" t="s">
        <v>6313</v>
      </c>
    </row>
    <row r="34848" customFormat="false" ht="12.8" hidden="false" customHeight="false" outlineLevel="0" collapsed="false">
      <c r="A34848" s="0" t="s">
        <v>13287</v>
      </c>
      <c r="B34848" s="0" t="str">
        <f aca="false">HYPERLINK("https://lindat.mff.cuni.cz/services/teitok/pdtc10/index.php?action=vallex&amp;frame=v-w4779f1", "předvádět (v-w4779f1)")</f>
        <v>předvádět (v-w4779f1)</v>
      </c>
      <c r="E34848" s="0" t="str">
        <f aca="false">HYPERLINK("https://lindat.mff.cuni.cz/services/SynSemClass40/SynSemClass40.html?veclass=vec00330#vec00330-ces-cm00054", "vec00330")</f>
        <v>vec00330</v>
      </c>
      <c r="F34848" s="0" t="s">
        <v>1896</v>
      </c>
    </row>
    <row r="34849" customFormat="false" ht="12.8" hidden="false" customHeight="false" outlineLevel="0" collapsed="false">
      <c r="B34849" s="0" t="s">
        <v>1</v>
      </c>
      <c r="C34849" s="0" t="s">
        <v>1897</v>
      </c>
      <c r="E34849" s="0" t="s">
        <v>11</v>
      </c>
      <c r="F34849" s="0" t="s">
        <v>1898</v>
      </c>
    </row>
    <row r="34850" customFormat="false" ht="12.8" hidden="false" customHeight="false" outlineLevel="0" collapsed="false">
      <c r="B34850" s="0" t="s">
        <v>13288</v>
      </c>
      <c r="C34850" s="0" t="s">
        <v>1900</v>
      </c>
      <c r="E34850" s="0" t="s">
        <v>180</v>
      </c>
      <c r="F34850" s="0" t="s">
        <v>1901</v>
      </c>
    </row>
    <row r="34851" customFormat="false" ht="12.8" hidden="false" customHeight="false" outlineLevel="0" collapsed="false">
      <c r="B34851" s="0" t="s">
        <v>52</v>
      </c>
      <c r="C34851" s="0" t="s">
        <v>1902</v>
      </c>
      <c r="E34851" s="0" t="s">
        <v>221</v>
      </c>
      <c r="F34851" s="0" t="s">
        <v>1903</v>
      </c>
    </row>
    <row r="34853" customFormat="false" ht="12.8" hidden="false" customHeight="false" outlineLevel="0" collapsed="false">
      <c r="A34853" s="0" t="s">
        <v>13289</v>
      </c>
      <c r="B34853" s="0" t="str">
        <f aca="false">HYPERLINK("https://lindat.mff.cuni.cz/services/teitok/pdtc10/index.php?action=vallex&amp;frame=v-w4780f2_ZU", "předvádět se (v-w4780f2_ZU)")</f>
        <v>předvádět se (v-w4780f2_ZU)</v>
      </c>
    </row>
    <row r="34854" customFormat="false" ht="12.8" hidden="false" customHeight="false" outlineLevel="0" collapsed="false">
      <c r="B34854" s="0" t="s">
        <v>1</v>
      </c>
    </row>
    <row r="34855" customFormat="false" ht="12.8" hidden="false" customHeight="false" outlineLevel="0" collapsed="false">
      <c r="B34855" s="0" t="s">
        <v>157</v>
      </c>
    </row>
    <row r="34857" customFormat="false" ht="12.8" hidden="false" customHeight="false" outlineLevel="0" collapsed="false">
      <c r="A34857" s="0" t="s">
        <v>13289</v>
      </c>
      <c r="B34857" s="0" t="str">
        <f aca="false">HYPERLINK("https://lindat.mff.cuni.cz/services/teitok/pdtc10/index.php?action=vallex&amp;frame=v-w4780f1", "předvádět se (v-w4780f1) - substituted with v-w4780f2_ZU")</f>
        <v>předvádět se (v-w4780f1) - substituted with v-w4780f2_ZU</v>
      </c>
      <c r="E34857" s="0" t="str">
        <f aca="false">HYPERLINK("https://lindat.mff.cuni.cz/services/SynSemClass40/SynSemClass40.html?veclass=vec00890#vec00890-ces-cm00001", "vec00890")</f>
        <v>vec00890</v>
      </c>
      <c r="F34857" s="0" t="s">
        <v>12130</v>
      </c>
    </row>
    <row r="34858" customFormat="false" ht="12.8" hidden="false" customHeight="false" outlineLevel="0" collapsed="false">
      <c r="B34858" s="0" t="s">
        <v>1</v>
      </c>
      <c r="C34858" s="0" t="s">
        <v>512</v>
      </c>
      <c r="E34858" s="0" t="s">
        <v>1386</v>
      </c>
      <c r="F34858" s="0" t="s">
        <v>12131</v>
      </c>
    </row>
    <row r="34859" customFormat="false" ht="12.8" hidden="false" customHeight="false" outlineLevel="0" collapsed="false">
      <c r="B34859" s="0" t="s">
        <v>157</v>
      </c>
      <c r="C34859" s="0" t="s">
        <v>744</v>
      </c>
      <c r="E34859" s="0" t="s">
        <v>150</v>
      </c>
      <c r="F34859" s="0" t="s">
        <v>12132</v>
      </c>
    </row>
    <row r="34861" customFormat="false" ht="12.8" hidden="false" customHeight="false" outlineLevel="0" collapsed="false">
      <c r="A34861" s="0" t="s">
        <v>13290</v>
      </c>
      <c r="B34861" s="0" t="str">
        <f aca="false">HYPERLINK("https://lindat.mff.cuni.cz/services/teitok/pdtc10/index.php?action=vallex&amp;frame=v-w4782f1", "předvést (v-w4782f1)")</f>
        <v>předvést (v-w4782f1)</v>
      </c>
      <c r="E34861" s="0" t="str">
        <f aca="false">HYPERLINK("https://lindat.mff.cuni.cz/services/SynSemClass40/SynSemClass40.html?veclass=vec00330#vec00330-ces-cm00055", "vec00330")</f>
        <v>vec00330</v>
      </c>
      <c r="F34861" s="0" t="s">
        <v>1896</v>
      </c>
      <c r="H34861" s="0" t="str">
        <f aca="false">HYPERLINK("https://lindat.mff.cuni.cz/services/SynSemClass40/SynSemClass40.html?veclass=vec01470#vec01470-ces-cm00027", "vec01470")</f>
        <v>vec01470</v>
      </c>
      <c r="I34861" s="0" t="s">
        <v>13291</v>
      </c>
    </row>
    <row r="34862" customFormat="false" ht="12.8" hidden="false" customHeight="false" outlineLevel="0" collapsed="false">
      <c r="B34862" s="0" t="s">
        <v>1</v>
      </c>
      <c r="C34862" s="0" t="s">
        <v>13292</v>
      </c>
      <c r="E34862" s="0" t="s">
        <v>11</v>
      </c>
      <c r="F34862" s="0" t="s">
        <v>1898</v>
      </c>
      <c r="H34862" s="0" t="s">
        <v>31</v>
      </c>
      <c r="I34862" s="0" t="s">
        <v>13293</v>
      </c>
    </row>
    <row r="34863" customFormat="false" ht="12.8" hidden="false" customHeight="false" outlineLevel="0" collapsed="false">
      <c r="B34863" s="0" t="s">
        <v>13288</v>
      </c>
      <c r="C34863" s="0" t="s">
        <v>13294</v>
      </c>
      <c r="E34863" s="0" t="s">
        <v>180</v>
      </c>
      <c r="F34863" s="0" t="s">
        <v>1901</v>
      </c>
      <c r="H34863" s="0" t="s">
        <v>1569</v>
      </c>
      <c r="I34863" s="0" t="s">
        <v>13295</v>
      </c>
    </row>
    <row r="34864" customFormat="false" ht="12.8" hidden="false" customHeight="false" outlineLevel="0" collapsed="false">
      <c r="B34864" s="0" t="s">
        <v>52</v>
      </c>
      <c r="C34864" s="0" t="s">
        <v>1902</v>
      </c>
      <c r="E34864" s="0" t="s">
        <v>221</v>
      </c>
      <c r="F34864" s="0" t="s">
        <v>1903</v>
      </c>
      <c r="H34864" s="0" t="s">
        <v>13296</v>
      </c>
      <c r="I34864" s="0" t="s">
        <v>13297</v>
      </c>
    </row>
    <row r="34866" customFormat="false" ht="12.8" hidden="false" customHeight="false" outlineLevel="0" collapsed="false">
      <c r="A34866" s="0" t="s">
        <v>13298</v>
      </c>
      <c r="B34866" s="0" t="str">
        <f aca="false">HYPERLINK("https://lindat.mff.cuni.cz/services/teitok/pdtc10/index.php?action=vallex&amp;frame=v-w4782f2", "předvést (v-w4782f2)")</f>
        <v>předvést (v-w4782f2)</v>
      </c>
      <c r="E34866" s="0" t="str">
        <f aca="false">HYPERLINK("https://lindat.mff.cuni.cz/services/SynSemClass40/SynSemClass40.html?veclass=vec01149#vec01149-ces-cm00007", "vec01149")</f>
        <v>vec01149</v>
      </c>
      <c r="F34866" s="0" t="s">
        <v>13299</v>
      </c>
    </row>
    <row r="34867" customFormat="false" ht="12.8" hidden="false" customHeight="false" outlineLevel="0" collapsed="false">
      <c r="B34867" s="0" t="s">
        <v>1</v>
      </c>
      <c r="C34867" s="0" t="s">
        <v>4695</v>
      </c>
      <c r="E34867" s="0" t="s">
        <v>206</v>
      </c>
      <c r="F34867" s="0" t="s">
        <v>7923</v>
      </c>
    </row>
    <row r="34868" customFormat="false" ht="12.8" hidden="false" customHeight="false" outlineLevel="0" collapsed="false">
      <c r="B34868" s="0" t="s">
        <v>8</v>
      </c>
      <c r="C34868" s="0" t="s">
        <v>531</v>
      </c>
      <c r="E34868" s="0" t="s">
        <v>5934</v>
      </c>
      <c r="F34868" s="0" t="s">
        <v>13300</v>
      </c>
    </row>
    <row r="34869" customFormat="false" ht="12.8" hidden="false" customHeight="false" outlineLevel="0" collapsed="false">
      <c r="B34869" s="0" t="s">
        <v>164</v>
      </c>
      <c r="E34869" s="0" t="s">
        <v>2212</v>
      </c>
      <c r="F34869" s="0" t="s">
        <v>13301</v>
      </c>
    </row>
    <row r="34871" customFormat="false" ht="12.8" hidden="false" customHeight="false" outlineLevel="0" collapsed="false">
      <c r="A34871" s="0" t="s">
        <v>13302</v>
      </c>
      <c r="B34871" s="0" t="str">
        <f aca="false">HYPERLINK("https://lindat.mff.cuni.cz/services/teitok/pdtc10/index.php?action=vallex&amp;frame=v-w4783f2", "předvést se (v-w4783f2)")</f>
        <v>předvést se (v-w4783f2)</v>
      </c>
      <c r="E34871" s="0" t="str">
        <f aca="false">HYPERLINK("https://lindat.mff.cuni.cz/services/SynSemClass40/SynSemClass40.html?veclass=vec00890#vec00890-ces-cm00004", "vec00890")</f>
        <v>vec00890</v>
      </c>
      <c r="F34871" s="0" t="s">
        <v>12130</v>
      </c>
    </row>
    <row r="34872" customFormat="false" ht="12.8" hidden="false" customHeight="false" outlineLevel="0" collapsed="false">
      <c r="B34872" s="0" t="s">
        <v>13303</v>
      </c>
      <c r="C34872" s="0" t="s">
        <v>512</v>
      </c>
      <c r="E34872" s="0" t="s">
        <v>1386</v>
      </c>
      <c r="F34872" s="0" t="s">
        <v>12131</v>
      </c>
    </row>
    <row r="34873" customFormat="false" ht="12.8" hidden="false" customHeight="false" outlineLevel="0" collapsed="false">
      <c r="B34873" s="0" t="s">
        <v>13304</v>
      </c>
      <c r="C34873" s="0" t="s">
        <v>744</v>
      </c>
      <c r="E34873" s="0" t="s">
        <v>150</v>
      </c>
      <c r="F34873" s="0" t="s">
        <v>12132</v>
      </c>
    </row>
    <row r="34875" customFormat="false" ht="12.8" hidden="false" customHeight="false" outlineLevel="0" collapsed="false">
      <c r="A34875" s="0" t="s">
        <v>13305</v>
      </c>
      <c r="B34875" s="0" t="str">
        <f aca="false">HYPERLINK("https://lindat.mff.cuni.cz/services/teitok/pdtc10/index.php?action=vallex&amp;frame=v-w4783f1", "předvést se (v-w4783f1)")</f>
        <v>předvést se (v-w4783f1)</v>
      </c>
      <c r="E34875" s="0" t="str">
        <f aca="false">HYPERLINK("https://lindat.mff.cuni.cz/services/SynSemClass40/SynSemClass40.html?veclass=vec00890#vec00890-ces-cm00003", "vec00890")</f>
        <v>vec00890</v>
      </c>
      <c r="F34875" s="0" t="s">
        <v>12130</v>
      </c>
    </row>
    <row r="34876" customFormat="false" ht="12.8" hidden="false" customHeight="false" outlineLevel="0" collapsed="false">
      <c r="B34876" s="0" t="s">
        <v>1</v>
      </c>
      <c r="C34876" s="0" t="s">
        <v>512</v>
      </c>
      <c r="E34876" s="0" t="s">
        <v>1386</v>
      </c>
      <c r="F34876" s="0" t="s">
        <v>12131</v>
      </c>
    </row>
    <row r="34877" customFormat="false" ht="12.8" hidden="false" customHeight="false" outlineLevel="0" collapsed="false">
      <c r="B34877" s="0" t="s">
        <v>157</v>
      </c>
      <c r="C34877" s="0" t="s">
        <v>744</v>
      </c>
      <c r="E34877" s="0" t="s">
        <v>150</v>
      </c>
      <c r="F34877" s="0" t="s">
        <v>12132</v>
      </c>
    </row>
    <row r="34879" customFormat="false" ht="12.8" hidden="false" customHeight="false" outlineLevel="0" collapsed="false">
      <c r="A34879" s="0" t="s">
        <v>13306</v>
      </c>
      <c r="B34879" s="0" t="str">
        <f aca="false">HYPERLINK("https://lindat.mff.cuni.cz/services/teitok/pdtc10/index.php?action=vallex&amp;frame=v-w4784f1", "předvídat (v-w4784f1)")</f>
        <v>předvídat (v-w4784f1)</v>
      </c>
      <c r="E34879" s="0" t="str">
        <f aca="false">HYPERLINK("https://lindat.mff.cuni.cz/services/SynSemClass40/SynSemClass40.html?veclass=vec00093#vec00093-ces-cm00019", "vec00093")</f>
        <v>vec00093</v>
      </c>
      <c r="F34879" s="0" t="s">
        <v>4708</v>
      </c>
    </row>
    <row r="34880" customFormat="false" ht="12.8" hidden="false" customHeight="false" outlineLevel="0" collapsed="false">
      <c r="B34880" s="0" t="s">
        <v>1</v>
      </c>
      <c r="C34880" s="0" t="s">
        <v>2758</v>
      </c>
      <c r="E34880" s="0" t="s">
        <v>4709</v>
      </c>
      <c r="F34880" s="0" t="s">
        <v>4710</v>
      </c>
    </row>
    <row r="34881" customFormat="false" ht="12.8" hidden="false" customHeight="false" outlineLevel="0" collapsed="false">
      <c r="B34881" s="0" t="s">
        <v>1838</v>
      </c>
      <c r="C34881" s="0" t="s">
        <v>4712</v>
      </c>
      <c r="E34881" s="0" t="s">
        <v>4713</v>
      </c>
      <c r="F34881" s="0" t="s">
        <v>4714</v>
      </c>
    </row>
    <row r="34883" customFormat="false" ht="12.8" hidden="false" customHeight="false" outlineLevel="0" collapsed="false">
      <c r="A34883" s="0" t="s">
        <v>13307</v>
      </c>
      <c r="B34883" s="0" t="str">
        <f aca="false">HYPERLINK("https://lindat.mff.cuni.cz/services/teitok/pdtc10/index.php?action=vallex&amp;frame=v-w4788f1", "předznamenat (v-w4788f1)")</f>
        <v>předznamenat (v-w4788f1)</v>
      </c>
      <c r="E34883" s="0" t="str">
        <f aca="false">HYPERLINK("https://lindat.mff.cuni.cz/services/SynSemClass40/SynSemClass40.html?veclass=vec00194#vec00194-ces-cm00392", "vec00194")</f>
        <v>vec00194</v>
      </c>
      <c r="F34883" s="0" t="s">
        <v>8446</v>
      </c>
    </row>
    <row r="34884" customFormat="false" ht="12.8" hidden="false" customHeight="false" outlineLevel="0" collapsed="false">
      <c r="B34884" s="0" t="s">
        <v>1</v>
      </c>
      <c r="C34884" s="0" t="s">
        <v>8447</v>
      </c>
      <c r="E34884" s="0" t="s">
        <v>8448</v>
      </c>
      <c r="F34884" s="0" t="s">
        <v>8449</v>
      </c>
    </row>
    <row r="34885" customFormat="false" ht="12.8" hidden="false" customHeight="false" outlineLevel="0" collapsed="false">
      <c r="B34885" s="0" t="s">
        <v>13308</v>
      </c>
      <c r="C34885" s="0" t="s">
        <v>8450</v>
      </c>
      <c r="E34885" s="0" t="s">
        <v>8451</v>
      </c>
      <c r="F34885" s="0" t="s">
        <v>8452</v>
      </c>
    </row>
    <row r="34887" customFormat="false" ht="12.8" hidden="false" customHeight="false" outlineLevel="0" collapsed="false">
      <c r="A34887" s="0" t="s">
        <v>13309</v>
      </c>
      <c r="B34887" s="0" t="str">
        <f aca="false">HYPERLINK("https://lindat.mff.cuni.cz/services/teitok/pdtc10/index.php?action=vallex&amp;frame=v-w4789f1", "předznamenávat (v-w4789f1)")</f>
        <v>předznamenávat (v-w4789f1)</v>
      </c>
      <c r="E34887" s="0" t="str">
        <f aca="false">HYPERLINK("https://lindat.mff.cuni.cz/services/SynSemClass40/SynSemClass40.html?veclass=vec00194#vec00194-ces-cm00197", "vec00194")</f>
        <v>vec00194</v>
      </c>
      <c r="F34887" s="0" t="s">
        <v>8446</v>
      </c>
    </row>
    <row r="34888" customFormat="false" ht="12.8" hidden="false" customHeight="false" outlineLevel="0" collapsed="false">
      <c r="B34888" s="0" t="s">
        <v>1</v>
      </c>
      <c r="C34888" s="0" t="s">
        <v>8447</v>
      </c>
      <c r="E34888" s="0" t="s">
        <v>8448</v>
      </c>
      <c r="F34888" s="0" t="s">
        <v>8449</v>
      </c>
    </row>
    <row r="34889" customFormat="false" ht="12.8" hidden="false" customHeight="false" outlineLevel="0" collapsed="false">
      <c r="B34889" s="0" t="s">
        <v>13308</v>
      </c>
      <c r="C34889" s="0" t="s">
        <v>8450</v>
      </c>
      <c r="E34889" s="0" t="s">
        <v>8451</v>
      </c>
      <c r="F34889" s="0" t="s">
        <v>8452</v>
      </c>
    </row>
    <row r="34891" customFormat="false" ht="12.8" hidden="false" customHeight="false" outlineLevel="0" collapsed="false">
      <c r="A34891" s="0" t="s">
        <v>13310</v>
      </c>
      <c r="B34891" s="0" t="str">
        <f aca="false">HYPERLINK("https://lindat.mff.cuni.cz/services/teitok/pdtc10/index.php?action=vallex&amp;frame=v-w12004_ZUf1_ZU", "předzásobit (v-w12004_ZUf1_ZU)")</f>
        <v>předzásobit (v-w12004_ZUf1_ZU)</v>
      </c>
    </row>
    <row r="34892" customFormat="false" ht="12.8" hidden="false" customHeight="false" outlineLevel="0" collapsed="false">
      <c r="B34892" s="0" t="s">
        <v>1</v>
      </c>
    </row>
    <row r="34893" customFormat="false" ht="12.8" hidden="false" customHeight="false" outlineLevel="0" collapsed="false">
      <c r="B34893" s="0" t="s">
        <v>98</v>
      </c>
    </row>
    <row r="34894" customFormat="false" ht="12.8" hidden="false" customHeight="false" outlineLevel="0" collapsed="false">
      <c r="B34894" s="0" t="s">
        <v>4287</v>
      </c>
    </row>
    <row r="34896" customFormat="false" ht="12.8" hidden="false" customHeight="false" outlineLevel="0" collapsed="false">
      <c r="A34896" s="0" t="s">
        <v>13311</v>
      </c>
      <c r="B34896" s="0" t="str">
        <f aca="false">HYPERLINK("https://lindat.mff.cuni.cz/services/teitok/pdtc10/index.php?action=vallex&amp;frame=v-w4697f1", "předávat (v-w4697f1)")</f>
        <v>předávat (v-w4697f1)</v>
      </c>
      <c r="E34896" s="0" t="str">
        <f aca="false">HYPERLINK("https://lindat.mff.cuni.cz/services/SynSemClass40/SynSemClass40.html?veclass=vec01087#vec01087-ces-cm00001", "vec01087")</f>
        <v>vec01087</v>
      </c>
      <c r="F34896" s="0" t="s">
        <v>1863</v>
      </c>
    </row>
    <row r="34897" customFormat="false" ht="12.8" hidden="false" customHeight="false" outlineLevel="0" collapsed="false">
      <c r="B34897" s="0" t="s">
        <v>1</v>
      </c>
      <c r="C34897" s="0" t="s">
        <v>5752</v>
      </c>
      <c r="E34897" s="0" t="s">
        <v>1868</v>
      </c>
      <c r="F34897" s="0" t="s">
        <v>1869</v>
      </c>
    </row>
    <row r="34898" customFormat="false" ht="12.8" hidden="false" customHeight="false" outlineLevel="0" collapsed="false">
      <c r="B34898" s="0" t="s">
        <v>8</v>
      </c>
      <c r="C34898" s="0" t="s">
        <v>8873</v>
      </c>
      <c r="E34898" s="0" t="s">
        <v>1875</v>
      </c>
      <c r="F34898" s="0" t="s">
        <v>1876</v>
      </c>
    </row>
    <row r="34899" customFormat="false" ht="12.8" hidden="false" customHeight="false" outlineLevel="0" collapsed="false">
      <c r="B34899" s="0" t="s">
        <v>52</v>
      </c>
      <c r="C34899" s="0" t="s">
        <v>11615</v>
      </c>
      <c r="E34899" s="0" t="s">
        <v>53</v>
      </c>
      <c r="F34899" s="0" t="s">
        <v>1880</v>
      </c>
    </row>
    <row r="34901" customFormat="false" ht="12.8" hidden="false" customHeight="false" outlineLevel="0" collapsed="false">
      <c r="A34901" s="0" t="s">
        <v>13312</v>
      </c>
      <c r="B34901" s="0" t="str">
        <f aca="false">HYPERLINK("https://lindat.mff.cuni.cz/services/teitok/pdtc10/index.php?action=vallex&amp;frame=v-w4697f2", "předávat (v-w4697f2)")</f>
        <v>předávat (v-w4697f2)</v>
      </c>
      <c r="E34901" s="0" t="str">
        <f aca="false">HYPERLINK("https://lindat.mff.cuni.cz/services/SynSemClass40/SynSemClass40.html?veclass=vec01087#vec01087-ces-cm00140", "vec01087")</f>
        <v>vec01087</v>
      </c>
      <c r="F34901" s="0" t="s">
        <v>1863</v>
      </c>
    </row>
    <row r="34902" customFormat="false" ht="12.8" hidden="false" customHeight="false" outlineLevel="0" collapsed="false">
      <c r="B34902" s="0" t="s">
        <v>1</v>
      </c>
      <c r="C34902" s="0" t="s">
        <v>5752</v>
      </c>
      <c r="E34902" s="0" t="s">
        <v>1868</v>
      </c>
      <c r="F34902" s="0" t="s">
        <v>1869</v>
      </c>
    </row>
    <row r="34903" customFormat="false" ht="12.8" hidden="false" customHeight="false" outlineLevel="0" collapsed="false">
      <c r="B34903" s="0" t="s">
        <v>8</v>
      </c>
      <c r="C34903" s="0" t="s">
        <v>8873</v>
      </c>
      <c r="E34903" s="0" t="s">
        <v>1875</v>
      </c>
      <c r="F34903" s="0" t="s">
        <v>1876</v>
      </c>
    </row>
    <row r="34904" customFormat="false" ht="12.8" hidden="false" customHeight="false" outlineLevel="0" collapsed="false">
      <c r="B34904" s="0" t="s">
        <v>164</v>
      </c>
      <c r="C34904" s="0" t="s">
        <v>8874</v>
      </c>
      <c r="E34904" s="0" t="s">
        <v>2212</v>
      </c>
      <c r="F34904" s="0" t="s">
        <v>8875</v>
      </c>
    </row>
    <row r="34906" customFormat="false" ht="12.8" hidden="false" customHeight="false" outlineLevel="0" collapsed="false">
      <c r="A34906" s="0" t="s">
        <v>13313</v>
      </c>
      <c r="B34906" s="0" t="str">
        <f aca="false">HYPERLINK("https://lindat.mff.cuni.cz/services/teitok/pdtc10/index.php?action=vallex&amp;frame=v-w4697f3", "předávat (v-w4697f3)")</f>
        <v>předávat (v-w4697f3)</v>
      </c>
      <c r="E34906" s="0" t="str">
        <f aca="false">HYPERLINK("https://lindat.mff.cuni.cz/services/SynSemClass40/SynSemClass40.html?veclass=vec01087#vec01087-ces-cm00141", "vec01087")</f>
        <v>vec01087</v>
      </c>
      <c r="F34906" s="0" t="s">
        <v>1863</v>
      </c>
    </row>
    <row r="34907" customFormat="false" ht="12.8" hidden="false" customHeight="false" outlineLevel="0" collapsed="false">
      <c r="B34907" s="0" t="s">
        <v>1</v>
      </c>
      <c r="C34907" s="0" t="s">
        <v>5752</v>
      </c>
      <c r="E34907" s="0" t="s">
        <v>1868</v>
      </c>
      <c r="F34907" s="0" t="s">
        <v>1869</v>
      </c>
    </row>
    <row r="34908" customFormat="false" ht="12.8" hidden="false" customHeight="false" outlineLevel="0" collapsed="false">
      <c r="B34908" s="0" t="s">
        <v>13314</v>
      </c>
      <c r="C34908" s="0" t="s">
        <v>13149</v>
      </c>
      <c r="E34908" s="0" t="s">
        <v>13150</v>
      </c>
      <c r="F34908" s="0" t="s">
        <v>13151</v>
      </c>
    </row>
    <row r="34909" customFormat="false" ht="12.8" hidden="false" customHeight="false" outlineLevel="0" collapsed="false">
      <c r="B34909" s="0" t="s">
        <v>52</v>
      </c>
      <c r="C34909" s="0" t="s">
        <v>11615</v>
      </c>
      <c r="E34909" s="0" t="s">
        <v>53</v>
      </c>
      <c r="F34909" s="0" t="s">
        <v>1880</v>
      </c>
    </row>
    <row r="34911" customFormat="false" ht="12.8" hidden="false" customHeight="false" outlineLevel="0" collapsed="false">
      <c r="A34911" s="0" t="s">
        <v>13315</v>
      </c>
      <c r="B34911" s="0" t="str">
        <f aca="false">HYPERLINK("https://lindat.mff.cuni.cz/services/teitok/pdtc10/index.php?action=vallex&amp;frame=v-w4697f4", "předávat (v-w4697f4)")</f>
        <v>předávat (v-w4697f4)</v>
      </c>
    </row>
    <row r="34912" customFormat="false" ht="12.8" hidden="false" customHeight="false" outlineLevel="0" collapsed="false">
      <c r="B34912" s="0" t="s">
        <v>1</v>
      </c>
    </row>
    <row r="34913" customFormat="false" ht="12.8" hidden="false" customHeight="false" outlineLevel="0" collapsed="false">
      <c r="B34913" s="0" t="s">
        <v>13314</v>
      </c>
    </row>
    <row r="34914" customFormat="false" ht="12.8" hidden="false" customHeight="false" outlineLevel="0" collapsed="false">
      <c r="B34914" s="0" t="s">
        <v>164</v>
      </c>
    </row>
    <row r="34916" customFormat="false" ht="12.8" hidden="false" customHeight="false" outlineLevel="0" collapsed="false">
      <c r="A34916" s="0" t="s">
        <v>13316</v>
      </c>
      <c r="B34916" s="0" t="str">
        <f aca="false">HYPERLINK("https://lindat.mff.cuni.cz/services/teitok/pdtc10/index.php?action=vallex&amp;frame=v-whsa_447hsa_448", "předávat si (v-whsa_447hsa_448)")</f>
        <v>předávat si (v-whsa_447hsa_448)</v>
      </c>
    </row>
    <row r="34917" customFormat="false" ht="12.8" hidden="false" customHeight="false" outlineLevel="0" collapsed="false">
      <c r="B34917" s="0" t="s">
        <v>1</v>
      </c>
    </row>
    <row r="34918" customFormat="false" ht="12.8" hidden="false" customHeight="false" outlineLevel="0" collapsed="false">
      <c r="B34918" s="0" t="s">
        <v>8</v>
      </c>
    </row>
    <row r="34919" customFormat="false" ht="12.8" hidden="false" customHeight="false" outlineLevel="0" collapsed="false">
      <c r="B34919" s="0" t="s">
        <v>3205</v>
      </c>
    </row>
    <row r="34921" customFormat="false" ht="12.8" hidden="false" customHeight="false" outlineLevel="0" collapsed="false">
      <c r="A34921" s="0" t="s">
        <v>13317</v>
      </c>
      <c r="B34921" s="0" t="str">
        <f aca="false">HYPERLINK("https://lindat.mff.cuni.cz/services/teitok/pdtc10/index.php?action=vallex&amp;frame=v-w11400f1", "předávkovat (v-w11400f1)")</f>
        <v>předávkovat (v-w11400f1)</v>
      </c>
      <c r="E34921" s="0" t="str">
        <f aca="false">HYPERLINK("https://lindat.mff.cuni.cz/services/SynSemClass40/SynSemClass40.html?veclass=vec01514#vec01514-ces-cm00004", "vec01514")</f>
        <v>vec01514</v>
      </c>
      <c r="F34921" s="0" t="s">
        <v>10139</v>
      </c>
    </row>
    <row r="34922" customFormat="false" ht="12.8" hidden="false" customHeight="false" outlineLevel="0" collapsed="false">
      <c r="B34922" s="0" t="s">
        <v>1</v>
      </c>
      <c r="C34922" s="0" t="s">
        <v>4114</v>
      </c>
      <c r="E34922" s="0" t="s">
        <v>206</v>
      </c>
      <c r="F34922" s="0" t="s">
        <v>10141</v>
      </c>
    </row>
    <row r="34923" customFormat="false" ht="12.8" hidden="false" customHeight="false" outlineLevel="0" collapsed="false">
      <c r="B34923" s="0" t="s">
        <v>8</v>
      </c>
      <c r="C34923" s="0" t="s">
        <v>3252</v>
      </c>
      <c r="E34923" s="0" t="s">
        <v>10142</v>
      </c>
      <c r="F34923" s="0" t="s">
        <v>10143</v>
      </c>
    </row>
    <row r="34925" customFormat="false" ht="12.8" hidden="false" customHeight="false" outlineLevel="0" collapsed="false">
      <c r="A34925" s="0" t="s">
        <v>13318</v>
      </c>
      <c r="B34925" s="0" t="str">
        <f aca="false">HYPERLINK("https://lindat.mff.cuni.cz/services/teitok/pdtc10/index.php?action=vallex&amp;frame=v-w4699f1", "předávkovat se (v-w4699f1)")</f>
        <v>předávkovat se (v-w4699f1)</v>
      </c>
      <c r="E34925" s="0" t="str">
        <f aca="false">HYPERLINK("https://lindat.mff.cuni.cz/services/SynSemClass40/SynSemClass40.html?veclass=vec01514#vec01514-ces-cm00005", "vec01514")</f>
        <v>vec01514</v>
      </c>
      <c r="F34925" s="0" t="s">
        <v>10139</v>
      </c>
    </row>
    <row r="34926" customFormat="false" ht="12.8" hidden="false" customHeight="false" outlineLevel="0" collapsed="false">
      <c r="B34926" s="0" t="s">
        <v>1</v>
      </c>
      <c r="C34926" s="0" t="s">
        <v>10145</v>
      </c>
      <c r="E34926" s="0" t="s">
        <v>10146</v>
      </c>
      <c r="F34926" s="0" t="s">
        <v>10147</v>
      </c>
    </row>
    <row r="34928" customFormat="false" ht="12.8" hidden="false" customHeight="false" outlineLevel="0" collapsed="false">
      <c r="A34928" s="0" t="s">
        <v>13319</v>
      </c>
      <c r="B34928" s="0" t="str">
        <f aca="false">HYPERLINK("https://lindat.mff.cuni.cz/services/teitok/pdtc10/index.php?action=vallex&amp;frame=v-w4703f1", "předčit (v-w4703f1)")</f>
        <v>předčit (v-w4703f1)</v>
      </c>
      <c r="E34928" s="0" t="str">
        <f aca="false">HYPERLINK("https://lindat.mff.cuni.cz/services/SynSemClass40/SynSemClass40.html?veclass=vec00279#vec00279-ces-cm00021", "vec00279")</f>
        <v>vec00279</v>
      </c>
      <c r="F34928" s="0" t="s">
        <v>9067</v>
      </c>
      <c r="H34928" s="0" t="str">
        <f aca="false">HYPERLINK("https://lindat.mff.cuni.cz/services/SynSemClass40/SynSemClass40.html?veclass=vec00280#vec00280-ces-cm00013", "vec00280")</f>
        <v>vec00280</v>
      </c>
      <c r="I34928" s="0" t="s">
        <v>13320</v>
      </c>
      <c r="K34928" s="0" t="str">
        <f aca="false">HYPERLINK("https://lindat.mff.cuni.cz/services/SynSemClass40/SynSemClass40.html?veclass=vec01285#vec01285-ces-cm00006", "vec01285")</f>
        <v>vec01285</v>
      </c>
      <c r="L34928" s="0" t="s">
        <v>13109</v>
      </c>
    </row>
    <row r="34929" customFormat="false" ht="12.8" hidden="false" customHeight="false" outlineLevel="0" collapsed="false">
      <c r="B34929" s="0" t="s">
        <v>1</v>
      </c>
      <c r="C34929" s="0" t="s">
        <v>13321</v>
      </c>
      <c r="E34929" s="0" t="s">
        <v>11</v>
      </c>
      <c r="F34929" s="0" t="s">
        <v>9069</v>
      </c>
      <c r="H34929" s="0" t="s">
        <v>957</v>
      </c>
      <c r="I34929" s="0" t="s">
        <v>13322</v>
      </c>
      <c r="K34929" s="0" t="s">
        <v>2554</v>
      </c>
      <c r="L34929" s="0" t="s">
        <v>13110</v>
      </c>
    </row>
    <row r="34930" customFormat="false" ht="12.8" hidden="false" customHeight="false" outlineLevel="0" collapsed="false">
      <c r="B34930" s="0" t="s">
        <v>8</v>
      </c>
      <c r="C34930" s="0" t="s">
        <v>13323</v>
      </c>
      <c r="E34930" s="0" t="s">
        <v>7635</v>
      </c>
      <c r="F34930" s="0" t="s">
        <v>9071</v>
      </c>
      <c r="H34930" s="0" t="s">
        <v>2732</v>
      </c>
      <c r="I34930" s="0" t="s">
        <v>13324</v>
      </c>
      <c r="K34930" s="0" t="s">
        <v>4143</v>
      </c>
      <c r="L34930" s="0" t="s">
        <v>13112</v>
      </c>
    </row>
    <row r="34932" customFormat="false" ht="12.8" hidden="false" customHeight="false" outlineLevel="0" collapsed="false">
      <c r="A34932" s="0" t="s">
        <v>13325</v>
      </c>
      <c r="B34932" s="0" t="str">
        <f aca="false">HYPERLINK("https://lindat.mff.cuni.cz/services/teitok/pdtc10/index.php?action=vallex&amp;frame=v-w4704f1", "předčítat (v-w4704f1)")</f>
        <v>předčítat (v-w4704f1)</v>
      </c>
      <c r="E34932" s="0" t="str">
        <f aca="false">HYPERLINK("https://lindat.mff.cuni.cz/services/SynSemClass40/SynSemClass40.html?veclass=vec00690#vec00690-ces-cm00001", "vec00690")</f>
        <v>vec00690</v>
      </c>
      <c r="F34932" s="0" t="s">
        <v>9532</v>
      </c>
    </row>
    <row r="34933" customFormat="false" ht="12.8" hidden="false" customHeight="false" outlineLevel="0" collapsed="false">
      <c r="B34933" s="0" t="s">
        <v>1</v>
      </c>
      <c r="C34933" s="0" t="s">
        <v>4774</v>
      </c>
      <c r="E34933" s="0" t="s">
        <v>147</v>
      </c>
      <c r="F34933" s="0" t="s">
        <v>9534</v>
      </c>
    </row>
    <row r="34934" customFormat="false" ht="12.8" hidden="false" customHeight="false" outlineLevel="0" collapsed="false">
      <c r="B34934" s="0" t="s">
        <v>13326</v>
      </c>
      <c r="C34934" s="0" t="s">
        <v>13327</v>
      </c>
      <c r="E34934" s="0" t="s">
        <v>2217</v>
      </c>
      <c r="F34934" s="0" t="s">
        <v>13328</v>
      </c>
    </row>
    <row r="34935" customFormat="false" ht="12.8" hidden="false" customHeight="false" outlineLevel="0" collapsed="false">
      <c r="B34935" s="0" t="s">
        <v>496</v>
      </c>
      <c r="C34935" s="0" t="s">
        <v>13329</v>
      </c>
      <c r="E34935" s="0" t="s">
        <v>218</v>
      </c>
      <c r="F34935" s="0" t="s">
        <v>9536</v>
      </c>
    </row>
    <row r="34936" customFormat="false" ht="12.8" hidden="false" customHeight="false" outlineLevel="0" collapsed="false">
      <c r="B34936" s="0" t="s">
        <v>132</v>
      </c>
      <c r="C34936" s="0" t="s">
        <v>1391</v>
      </c>
      <c r="E34936" s="0" t="s">
        <v>221</v>
      </c>
      <c r="F34936" s="0" t="s">
        <v>5579</v>
      </c>
    </row>
    <row r="34938" customFormat="false" ht="12.8" hidden="false" customHeight="false" outlineLevel="0" collapsed="false">
      <c r="A34938" s="0" t="s">
        <v>13330</v>
      </c>
      <c r="B34938" s="0" t="str">
        <f aca="false">HYPERLINK("https://lindat.mff.cuni.cz/services/teitok/pdtc10/index.php?action=vallex&amp;frame=v-w4709f1", "předělat (v-w4709f1)")</f>
        <v>předělat (v-w4709f1)</v>
      </c>
      <c r="E34938" s="0" t="str">
        <f aca="false">HYPERLINK("https://lindat.mff.cuni.cz/services/SynSemClass40/SynSemClass40.html?veclass=vec00095#vec00095-ces-cm00063", "vec00095")</f>
        <v>vec00095</v>
      </c>
      <c r="F34938" s="0" t="s">
        <v>29</v>
      </c>
    </row>
    <row r="34939" customFormat="false" ht="12.8" hidden="false" customHeight="false" outlineLevel="0" collapsed="false">
      <c r="B34939" s="0" t="s">
        <v>1</v>
      </c>
      <c r="C34939" s="0" t="s">
        <v>30</v>
      </c>
      <c r="E34939" s="0" t="s">
        <v>31</v>
      </c>
      <c r="F34939" s="0" t="s">
        <v>32</v>
      </c>
    </row>
    <row r="34940" customFormat="false" ht="12.8" hidden="false" customHeight="false" outlineLevel="0" collapsed="false">
      <c r="B34940" s="0" t="s">
        <v>8</v>
      </c>
      <c r="C34940" s="0" t="s">
        <v>33</v>
      </c>
      <c r="E34940" s="0" t="s">
        <v>34</v>
      </c>
      <c r="F34940" s="0" t="s">
        <v>35</v>
      </c>
    </row>
    <row r="34941" customFormat="false" ht="12.8" hidden="false" customHeight="false" outlineLevel="0" collapsed="false">
      <c r="B34941" s="0" t="s">
        <v>36</v>
      </c>
      <c r="C34941" s="0" t="s">
        <v>37</v>
      </c>
      <c r="E34941" s="0" t="s">
        <v>38</v>
      </c>
      <c r="F34941" s="0" t="s">
        <v>39</v>
      </c>
    </row>
    <row r="34942" customFormat="false" ht="12.8" hidden="false" customHeight="false" outlineLevel="0" collapsed="false">
      <c r="B34942" s="0" t="s">
        <v>101</v>
      </c>
      <c r="C34942" s="0" t="s">
        <v>41</v>
      </c>
      <c r="E34942" s="0" t="s">
        <v>42</v>
      </c>
      <c r="F34942" s="0" t="s">
        <v>43</v>
      </c>
    </row>
    <row r="34944" customFormat="false" ht="12.8" hidden="false" customHeight="false" outlineLevel="0" collapsed="false">
      <c r="A34944" s="0" t="s">
        <v>13331</v>
      </c>
      <c r="B34944" s="0" t="str">
        <f aca="false">HYPERLINK("https://lindat.mff.cuni.cz/services/teitok/pdtc10/index.php?action=vallex&amp;frame=v-w4710f1", "předělávat (v-w4710f1)")</f>
        <v>předělávat (v-w4710f1)</v>
      </c>
      <c r="E34944" s="0" t="str">
        <f aca="false">HYPERLINK("https://lindat.mff.cuni.cz/services/SynSemClass40/SynSemClass40.html?veclass=vec00095#vec00095-ces-cm00047", "vec00095")</f>
        <v>vec00095</v>
      </c>
      <c r="F34944" s="0" t="s">
        <v>29</v>
      </c>
    </row>
    <row r="34945" customFormat="false" ht="12.8" hidden="false" customHeight="false" outlineLevel="0" collapsed="false">
      <c r="B34945" s="0" t="s">
        <v>1</v>
      </c>
      <c r="C34945" s="0" t="s">
        <v>30</v>
      </c>
      <c r="E34945" s="0" t="s">
        <v>31</v>
      </c>
      <c r="F34945" s="0" t="s">
        <v>32</v>
      </c>
    </row>
    <row r="34946" customFormat="false" ht="12.8" hidden="false" customHeight="false" outlineLevel="0" collapsed="false">
      <c r="B34946" s="0" t="s">
        <v>8</v>
      </c>
      <c r="C34946" s="0" t="s">
        <v>33</v>
      </c>
      <c r="E34946" s="0" t="s">
        <v>34</v>
      </c>
      <c r="F34946" s="0" t="s">
        <v>35</v>
      </c>
    </row>
    <row r="34947" customFormat="false" ht="12.8" hidden="false" customHeight="false" outlineLevel="0" collapsed="false">
      <c r="B34947" s="0" t="s">
        <v>36</v>
      </c>
      <c r="C34947" s="0" t="s">
        <v>37</v>
      </c>
      <c r="E34947" s="0" t="s">
        <v>38</v>
      </c>
      <c r="F34947" s="0" t="s">
        <v>39</v>
      </c>
    </row>
    <row r="34948" customFormat="false" ht="12.8" hidden="false" customHeight="false" outlineLevel="0" collapsed="false">
      <c r="B34948" s="0" t="s">
        <v>101</v>
      </c>
      <c r="C34948" s="0" t="s">
        <v>41</v>
      </c>
      <c r="E34948" s="0" t="s">
        <v>42</v>
      </c>
      <c r="F34948" s="0" t="s">
        <v>43</v>
      </c>
    </row>
    <row r="34950" customFormat="false" ht="12.8" hidden="false" customHeight="false" outlineLevel="0" collapsed="false">
      <c r="A34950" s="0" t="s">
        <v>13332</v>
      </c>
      <c r="B34950" s="0" t="str">
        <f aca="false">HYPERLINK("https://lindat.mff.cuni.cz/services/teitok/pdtc10/index.php?action=vallex&amp;frame=v-w4753f1", "předřadit (v-w4753f1)")</f>
        <v>předřadit (v-w4753f1)</v>
      </c>
    </row>
    <row r="34951" customFormat="false" ht="12.8" hidden="false" customHeight="false" outlineLevel="0" collapsed="false">
      <c r="B34951" s="0" t="s">
        <v>1</v>
      </c>
    </row>
    <row r="34952" customFormat="false" ht="12.8" hidden="false" customHeight="false" outlineLevel="0" collapsed="false">
      <c r="B34952" s="0" t="s">
        <v>8</v>
      </c>
    </row>
    <row r="34953" customFormat="false" ht="12.8" hidden="false" customHeight="false" outlineLevel="0" collapsed="false">
      <c r="B34953" s="0" t="s">
        <v>52</v>
      </c>
    </row>
    <row r="34955" customFormat="false" ht="12.8" hidden="false" customHeight="false" outlineLevel="0" collapsed="false">
      <c r="A34955" s="0" t="s">
        <v>13333</v>
      </c>
      <c r="B34955" s="0" t="str">
        <f aca="false">HYPERLINK("https://lindat.mff.cuni.cz/services/teitok/pdtc10/index.php?action=vallex&amp;frame=v-w4754f1", "předříkávat (v-w4754f1)")</f>
        <v>předříkávat (v-w4754f1)</v>
      </c>
      <c r="E34955" s="0" t="str">
        <f aca="false">HYPERLINK("https://lindat.mff.cuni.cz/services/SynSemClass40/SynSemClass40.html?veclass=vec01431#vec01431-ces-cm00006", "vec01431")</f>
        <v>vec01431</v>
      </c>
      <c r="F34955" s="0" t="s">
        <v>12585</v>
      </c>
    </row>
    <row r="34956" customFormat="false" ht="12.8" hidden="false" customHeight="false" outlineLevel="0" collapsed="false">
      <c r="B34956" s="0" t="s">
        <v>1</v>
      </c>
      <c r="E34956" s="0" t="s">
        <v>147</v>
      </c>
      <c r="F34956" s="0" t="s">
        <v>5874</v>
      </c>
    </row>
    <row r="34957" customFormat="false" ht="12.8" hidden="false" customHeight="false" outlineLevel="0" collapsed="false">
      <c r="B34957" s="0" t="s">
        <v>8</v>
      </c>
      <c r="E34957" s="0" t="s">
        <v>218</v>
      </c>
      <c r="F34957" s="0" t="s">
        <v>12586</v>
      </c>
    </row>
    <row r="34958" customFormat="false" ht="12.8" hidden="false" customHeight="false" outlineLevel="0" collapsed="false">
      <c r="B34958" s="0" t="s">
        <v>132</v>
      </c>
      <c r="E34958" s="0" t="s">
        <v>221</v>
      </c>
      <c r="F34958" s="0" t="s">
        <v>4699</v>
      </c>
    </row>
    <row r="34960" customFormat="false" ht="12.8" hidden="false" customHeight="false" outlineLevel="0" collapsed="false">
      <c r="A34960" s="0" t="s">
        <v>13334</v>
      </c>
      <c r="B34960" s="0" t="str">
        <f aca="false">HYPERLINK("https://lindat.mff.cuni.cz/services/teitok/pdtc10/index.php?action=vallex&amp;frame=v-w12019_ZUf1_ZU", "předřít se (v-w12019_ZUf1_ZU)")</f>
        <v>předřít se (v-w12019_ZUf1_ZU)</v>
      </c>
    </row>
    <row r="34961" customFormat="false" ht="12.8" hidden="false" customHeight="false" outlineLevel="0" collapsed="false">
      <c r="B34961" s="0" t="s">
        <v>1</v>
      </c>
    </row>
    <row r="34963" customFormat="false" ht="12.8" hidden="false" customHeight="false" outlineLevel="0" collapsed="false">
      <c r="A34963" s="0" t="s">
        <v>13335</v>
      </c>
      <c r="B34963" s="0" t="str">
        <f aca="false">HYPERLINK("https://lindat.mff.cuni.cz/services/teitok/pdtc10/index.php?action=vallex&amp;frame=v-whsa_1997f1_ZU", "přefakturovat (v-whsa_1997f1_ZU)")</f>
        <v>přefakturovat (v-whsa_1997f1_ZU)</v>
      </c>
    </row>
    <row r="34964" customFormat="false" ht="12.8" hidden="false" customHeight="false" outlineLevel="0" collapsed="false">
      <c r="B34964" s="0" t="s">
        <v>1</v>
      </c>
    </row>
    <row r="34965" customFormat="false" ht="12.8" hidden="false" customHeight="false" outlineLevel="0" collapsed="false">
      <c r="B34965" s="0" t="s">
        <v>8</v>
      </c>
    </row>
    <row r="34966" customFormat="false" ht="12.8" hidden="false" customHeight="false" outlineLevel="0" collapsed="false">
      <c r="B34966" s="0" t="s">
        <v>36</v>
      </c>
    </row>
    <row r="34967" customFormat="false" ht="12.8" hidden="false" customHeight="false" outlineLevel="0" collapsed="false">
      <c r="B34967" s="0" t="s">
        <v>101</v>
      </c>
    </row>
    <row r="34969" customFormat="false" ht="12.8" hidden="false" customHeight="false" outlineLevel="0" collapsed="false">
      <c r="A34969" s="0" t="s">
        <v>13335</v>
      </c>
      <c r="B34969" s="0" t="str">
        <f aca="false">HYPERLINK("https://lindat.mff.cuni.cz/services/teitok/pdtc10/index.php?action=vallex&amp;frame=v-whsa_1997hsa_1998", "přefakturovat (v-whsa_1997hsa_1998) - substituted with v-whsa_1997f1_ZU")</f>
        <v>přefakturovat (v-whsa_1997hsa_1998) - substituted with v-whsa_1997f1_ZU</v>
      </c>
    </row>
    <row r="34970" customFormat="false" ht="12.8" hidden="false" customHeight="false" outlineLevel="0" collapsed="false">
      <c r="B34970" s="0" t="s">
        <v>1</v>
      </c>
    </row>
    <row r="34971" customFormat="false" ht="12.8" hidden="false" customHeight="false" outlineLevel="0" collapsed="false">
      <c r="B34971" s="0" t="s">
        <v>8</v>
      </c>
    </row>
    <row r="34972" customFormat="false" ht="12.8" hidden="false" customHeight="false" outlineLevel="0" collapsed="false">
      <c r="B34972" s="0" t="s">
        <v>36</v>
      </c>
    </row>
    <row r="34973" customFormat="false" ht="12.8" hidden="false" customHeight="false" outlineLevel="0" collapsed="false">
      <c r="B34973" s="0" t="s">
        <v>101</v>
      </c>
    </row>
    <row r="34975" customFormat="false" ht="12.8" hidden="false" customHeight="false" outlineLevel="0" collapsed="false">
      <c r="A34975" s="0" t="s">
        <v>13336</v>
      </c>
      <c r="B34975" s="0" t="str">
        <f aca="false">HYPERLINK("https://lindat.mff.cuni.cz/services/teitok/pdtc10/index.php?action=vallex&amp;frame=v-w4791f1", "přefilmovat (v-w4791f1)")</f>
        <v>přefilmovat (v-w4791f1)</v>
      </c>
    </row>
    <row r="34976" customFormat="false" ht="12.8" hidden="false" customHeight="false" outlineLevel="0" collapsed="false">
      <c r="B34976" s="0" t="s">
        <v>1</v>
      </c>
    </row>
    <row r="34977" customFormat="false" ht="12.8" hidden="false" customHeight="false" outlineLevel="0" collapsed="false">
      <c r="B34977" s="0" t="s">
        <v>8</v>
      </c>
    </row>
    <row r="34979" customFormat="false" ht="12.8" hidden="false" customHeight="false" outlineLevel="0" collapsed="false">
      <c r="A34979" s="0" t="s">
        <v>13337</v>
      </c>
      <c r="B34979" s="0" t="str">
        <f aca="false">HYPERLINK("https://lindat.mff.cuni.cz/services/teitok/pdtc10/index.php?action=vallex&amp;frame=v-w11196f2", "přeformulovat (v-w11196f2)")</f>
        <v>přeformulovat (v-w11196f2)</v>
      </c>
      <c r="E34979" s="0" t="str">
        <f aca="false">HYPERLINK("https://lindat.mff.cuni.cz/services/SynSemClass40/SynSemClass40.html?veclass=vec01093#vec01093-ces-cm00003", "vec01093")</f>
        <v>vec01093</v>
      </c>
      <c r="F34979" s="0" t="s">
        <v>13338</v>
      </c>
      <c r="H34979" s="0" t="str">
        <f aca="false">HYPERLINK("https://lindat.mff.cuni.cz/services/SynSemClass40/SynSemClass40.html?veclass=vec01304#vec01304-ces-cm00018", "vec01304")</f>
        <v>vec01304</v>
      </c>
      <c r="I34979" s="0" t="s">
        <v>302</v>
      </c>
    </row>
    <row r="34980" customFormat="false" ht="12.8" hidden="false" customHeight="false" outlineLevel="0" collapsed="false">
      <c r="B34980" s="0" t="s">
        <v>1</v>
      </c>
      <c r="C34980" s="0" t="s">
        <v>2707</v>
      </c>
      <c r="E34980" s="0" t="s">
        <v>9113</v>
      </c>
      <c r="F34980" s="0" t="s">
        <v>13339</v>
      </c>
      <c r="H34980" s="0" t="s">
        <v>115</v>
      </c>
      <c r="I34980" s="0" t="s">
        <v>304</v>
      </c>
    </row>
    <row r="34981" customFormat="false" ht="12.8" hidden="false" customHeight="false" outlineLevel="0" collapsed="false">
      <c r="B34981" s="0" t="s">
        <v>8</v>
      </c>
      <c r="C34981" s="0" t="s">
        <v>13340</v>
      </c>
      <c r="E34981" s="0" t="s">
        <v>1347</v>
      </c>
      <c r="F34981" s="0" t="s">
        <v>13341</v>
      </c>
      <c r="H34981" s="0" t="s">
        <v>119</v>
      </c>
      <c r="I34981" s="0" t="s">
        <v>307</v>
      </c>
    </row>
    <row r="34983" customFormat="false" ht="12.8" hidden="false" customHeight="false" outlineLevel="0" collapsed="false">
      <c r="A34983" s="0" t="s">
        <v>13342</v>
      </c>
      <c r="B34983" s="0" t="str">
        <f aca="false">HYPERLINK("https://lindat.mff.cuni.cz/services/teitok/pdtc10/index.php?action=vallex&amp;frame=v-w4794f1", "přehazovat (v-w4794f1)")</f>
        <v>přehazovat (v-w4794f1)</v>
      </c>
    </row>
    <row r="34984" customFormat="false" ht="12.8" hidden="false" customHeight="false" outlineLevel="0" collapsed="false">
      <c r="B34984" s="0" t="s">
        <v>1</v>
      </c>
    </row>
    <row r="34985" customFormat="false" ht="12.8" hidden="false" customHeight="false" outlineLevel="0" collapsed="false">
      <c r="B34985" s="0" t="s">
        <v>8</v>
      </c>
    </row>
    <row r="34986" customFormat="false" ht="12.8" hidden="false" customHeight="false" outlineLevel="0" collapsed="false">
      <c r="B34986" s="0" t="s">
        <v>162</v>
      </c>
    </row>
    <row r="34987" customFormat="false" ht="12.8" hidden="false" customHeight="false" outlineLevel="0" collapsed="false">
      <c r="B34987" s="0" t="s">
        <v>3889</v>
      </c>
    </row>
    <row r="34989" customFormat="false" ht="12.8" hidden="false" customHeight="false" outlineLevel="0" collapsed="false">
      <c r="A34989" s="0" t="s">
        <v>13343</v>
      </c>
      <c r="B34989" s="0" t="str">
        <f aca="false">HYPERLINK("https://lindat.mff.cuni.cz/services/teitok/pdtc10/index.php?action=vallex&amp;frame=v-w4794f2", "přehazovat (v-w4794f2)")</f>
        <v>přehazovat (v-w4794f2)</v>
      </c>
    </row>
    <row r="34990" customFormat="false" ht="12.8" hidden="false" customHeight="false" outlineLevel="0" collapsed="false">
      <c r="B34990" s="0" t="s">
        <v>1</v>
      </c>
    </row>
    <row r="34991" customFormat="false" ht="12.8" hidden="false" customHeight="false" outlineLevel="0" collapsed="false">
      <c r="B34991" s="0" t="s">
        <v>8</v>
      </c>
    </row>
    <row r="34992" customFormat="false" ht="12.8" hidden="false" customHeight="false" outlineLevel="0" collapsed="false">
      <c r="B34992" s="0" t="s">
        <v>631</v>
      </c>
    </row>
    <row r="34993" customFormat="false" ht="12.8" hidden="false" customHeight="false" outlineLevel="0" collapsed="false">
      <c r="B34993" s="0" t="s">
        <v>164</v>
      </c>
    </row>
    <row r="34995" customFormat="false" ht="12.8" hidden="false" customHeight="false" outlineLevel="0" collapsed="false">
      <c r="A34995" s="0" t="s">
        <v>13344</v>
      </c>
      <c r="B34995" s="0" t="str">
        <f aca="false">HYPERLINK("https://lindat.mff.cuni.cz/services/teitok/pdtc10/index.php?action=vallex&amp;frame=v-w4794hsa_516", "přehazovat (v-w4794hsa_516)")</f>
        <v>přehazovat (v-w4794hsa_516)</v>
      </c>
    </row>
    <row r="34996" customFormat="false" ht="12.8" hidden="false" customHeight="false" outlineLevel="0" collapsed="false">
      <c r="B34996" s="0" t="s">
        <v>1</v>
      </c>
    </row>
    <row r="34997" customFormat="false" ht="12.8" hidden="false" customHeight="false" outlineLevel="0" collapsed="false">
      <c r="B34997" s="0" t="s">
        <v>8</v>
      </c>
    </row>
    <row r="34998" customFormat="false" ht="12.8" hidden="false" customHeight="false" outlineLevel="0" collapsed="false">
      <c r="B34998" s="0" t="s">
        <v>10661</v>
      </c>
    </row>
    <row r="34999" customFormat="false" ht="12.8" hidden="false" customHeight="false" outlineLevel="0" collapsed="false">
      <c r="B34999" s="0" t="s">
        <v>1799</v>
      </c>
    </row>
    <row r="35001" customFormat="false" ht="12.8" hidden="false" customHeight="false" outlineLevel="0" collapsed="false">
      <c r="A35001" s="0" t="s">
        <v>13345</v>
      </c>
      <c r="B35001" s="0" t="str">
        <f aca="false">HYPERLINK("https://lindat.mff.cuni.cz/services/teitok/pdtc10/index.php?action=vallex&amp;frame=v-w4796f1", "přehlasovat (v-w4796f1)")</f>
        <v>přehlasovat (v-w4796f1)</v>
      </c>
    </row>
    <row r="35002" customFormat="false" ht="12.8" hidden="false" customHeight="false" outlineLevel="0" collapsed="false">
      <c r="B35002" s="0" t="s">
        <v>1</v>
      </c>
    </row>
    <row r="35003" customFormat="false" ht="12.8" hidden="false" customHeight="false" outlineLevel="0" collapsed="false">
      <c r="B35003" s="0" t="s">
        <v>8</v>
      </c>
    </row>
    <row r="35005" customFormat="false" ht="12.8" hidden="false" customHeight="false" outlineLevel="0" collapsed="false">
      <c r="A35005" s="0" t="s">
        <v>13346</v>
      </c>
      <c r="B35005" s="0" t="str">
        <f aca="false">HYPERLINK("https://lindat.mff.cuni.cz/services/teitok/pdtc10/index.php?action=vallex&amp;frame=v-w4797f1", "přehlavičkovat (v-w4797f1)")</f>
        <v>přehlavičkovat (v-w4797f1)</v>
      </c>
    </row>
    <row r="35006" customFormat="false" ht="12.8" hidden="false" customHeight="false" outlineLevel="0" collapsed="false">
      <c r="B35006" s="0" t="s">
        <v>1</v>
      </c>
    </row>
    <row r="35007" customFormat="false" ht="12.8" hidden="false" customHeight="false" outlineLevel="0" collapsed="false">
      <c r="B35007" s="0" t="s">
        <v>8</v>
      </c>
    </row>
    <row r="35009" customFormat="false" ht="12.8" hidden="false" customHeight="false" outlineLevel="0" collapsed="false">
      <c r="A35009" s="0" t="s">
        <v>13347</v>
      </c>
      <c r="B35009" s="0" t="str">
        <f aca="false">HYPERLINK("https://lindat.mff.cuni.cz/services/teitok/pdtc10/index.php?action=vallex&amp;frame=v-w4799f1", "přehlcovat (v-w4799f1)")</f>
        <v>přehlcovat (v-w4799f1)</v>
      </c>
    </row>
    <row r="35010" customFormat="false" ht="12.8" hidden="false" customHeight="false" outlineLevel="0" collapsed="false">
      <c r="B35010" s="0" t="s">
        <v>1</v>
      </c>
    </row>
    <row r="35011" customFormat="false" ht="12.8" hidden="false" customHeight="false" outlineLevel="0" collapsed="false">
      <c r="B35011" s="0" t="s">
        <v>8</v>
      </c>
    </row>
    <row r="35013" customFormat="false" ht="12.8" hidden="false" customHeight="false" outlineLevel="0" collapsed="false">
      <c r="A35013" s="0" t="s">
        <v>13348</v>
      </c>
      <c r="B35013" s="0" t="str">
        <f aca="false">HYPERLINK("https://lindat.mff.cuni.cz/services/teitok/pdtc10/index.php?action=vallex&amp;frame=v-w4804f1", "přehltit (v-w4804f1)")</f>
        <v>přehltit (v-w4804f1)</v>
      </c>
      <c r="E35013" s="0" t="str">
        <f aca="false">HYPERLINK("https://lindat.mff.cuni.cz/services/SynSemClass40/SynSemClass40.html?veclass=vec00576#vec00576-ces-cm00009", "vec00576")</f>
        <v>vec00576</v>
      </c>
      <c r="F35013" s="0" t="s">
        <v>8601</v>
      </c>
    </row>
    <row r="35014" customFormat="false" ht="12.8" hidden="false" customHeight="false" outlineLevel="0" collapsed="false">
      <c r="B35014" s="0" t="s">
        <v>1</v>
      </c>
      <c r="C35014" s="0" t="s">
        <v>8602</v>
      </c>
      <c r="E35014" s="0" t="s">
        <v>957</v>
      </c>
      <c r="F35014" s="0" t="s">
        <v>8603</v>
      </c>
    </row>
    <row r="35015" customFormat="false" ht="12.8" hidden="false" customHeight="false" outlineLevel="0" collapsed="false">
      <c r="B35015" s="0" t="s">
        <v>8</v>
      </c>
      <c r="C35015" s="0" t="s">
        <v>8604</v>
      </c>
      <c r="E35015" s="0" t="s">
        <v>142</v>
      </c>
      <c r="F35015" s="0" t="s">
        <v>8605</v>
      </c>
    </row>
    <row r="35017" customFormat="false" ht="12.8" hidden="false" customHeight="false" outlineLevel="0" collapsed="false">
      <c r="A35017" s="0" t="s">
        <v>13349</v>
      </c>
      <c r="B35017" s="0" t="str">
        <f aca="false">HYPERLINK("https://lindat.mff.cuni.cz/services/teitok/pdtc10/index.php?action=vallex&amp;frame=v-w11001f2", "přehlušit (v-w11001f2)")</f>
        <v>přehlušit (v-w11001f2)</v>
      </c>
      <c r="E35017" s="0" t="str">
        <f aca="false">HYPERLINK("https://lindat.mff.cuni.cz/services/SynSemClass40/SynSemClass40.html?veclass=vec00279#vec00279-ces-cm00067", "vec00279")</f>
        <v>vec00279</v>
      </c>
      <c r="F35017" s="0" t="s">
        <v>9067</v>
      </c>
    </row>
    <row r="35018" customFormat="false" ht="12.8" hidden="false" customHeight="false" outlineLevel="0" collapsed="false">
      <c r="B35018" s="0" t="s">
        <v>1</v>
      </c>
      <c r="C35018" s="0" t="s">
        <v>9068</v>
      </c>
      <c r="E35018" s="0" t="s">
        <v>11</v>
      </c>
      <c r="F35018" s="0" t="s">
        <v>9069</v>
      </c>
    </row>
    <row r="35019" customFormat="false" ht="12.8" hidden="false" customHeight="false" outlineLevel="0" collapsed="false">
      <c r="B35019" s="0" t="s">
        <v>8</v>
      </c>
      <c r="C35019" s="0" t="s">
        <v>9070</v>
      </c>
      <c r="E35019" s="0" t="s">
        <v>7635</v>
      </c>
      <c r="F35019" s="0" t="s">
        <v>9071</v>
      </c>
    </row>
    <row r="35021" customFormat="false" ht="12.8" hidden="false" customHeight="false" outlineLevel="0" collapsed="false">
      <c r="A35021" s="0" t="s">
        <v>13350</v>
      </c>
      <c r="B35021" s="0" t="str">
        <f aca="false">HYPERLINK("https://lindat.mff.cuni.cz/services/teitok/pdtc10/index.php?action=vallex&amp;frame=v-w4801f1", "přehlédnout (v-w4801f1)")</f>
        <v>přehlédnout (v-w4801f1)</v>
      </c>
      <c r="E35021" s="0" t="str">
        <f aca="false">HYPERLINK("https://lindat.mff.cuni.cz/services/SynSemClass40/SynSemClass40.html?veclass=vec00460#vec00460-ces-cm00016", "vec00460")</f>
        <v>vec00460</v>
      </c>
      <c r="F35021" s="0" t="s">
        <v>4773</v>
      </c>
    </row>
    <row r="35022" customFormat="false" ht="12.8" hidden="false" customHeight="false" outlineLevel="0" collapsed="false">
      <c r="B35022" s="0" t="s">
        <v>1</v>
      </c>
      <c r="C35022" s="0" t="s">
        <v>4774</v>
      </c>
      <c r="E35022" s="0" t="s">
        <v>2034</v>
      </c>
      <c r="F35022" s="0" t="s">
        <v>4775</v>
      </c>
    </row>
    <row r="35023" customFormat="false" ht="12.8" hidden="false" customHeight="false" outlineLevel="0" collapsed="false">
      <c r="B35023" s="0" t="s">
        <v>13351</v>
      </c>
      <c r="C35023" s="0" t="s">
        <v>4776</v>
      </c>
      <c r="E35023" s="0" t="s">
        <v>2037</v>
      </c>
      <c r="F35023" s="0" t="s">
        <v>4777</v>
      </c>
    </row>
    <row r="35025" customFormat="false" ht="12.8" hidden="false" customHeight="false" outlineLevel="0" collapsed="false">
      <c r="A35025" s="0" t="s">
        <v>13352</v>
      </c>
      <c r="B35025" s="0" t="str">
        <f aca="false">HYPERLINK("https://lindat.mff.cuni.cz/services/teitok/pdtc10/index.php?action=vallex&amp;frame=v-w4801f2", "přehlédnout (v-w4801f2)")</f>
        <v>přehlédnout (v-w4801f2)</v>
      </c>
      <c r="E35025" s="0" t="str">
        <f aca="false">HYPERLINK("https://lindat.mff.cuni.cz/services/SynSemClass40/SynSemClass40.html?veclass=vec01515#vec01515-ces-cm00011", "vec01515")</f>
        <v>vec01515</v>
      </c>
      <c r="F35025" s="0" t="s">
        <v>12322</v>
      </c>
    </row>
    <row r="35026" customFormat="false" ht="12.8" hidden="false" customHeight="false" outlineLevel="0" collapsed="false">
      <c r="B35026" s="0" t="s">
        <v>1</v>
      </c>
      <c r="C35026" s="0" t="s">
        <v>3727</v>
      </c>
      <c r="E35026" s="0" t="s">
        <v>3856</v>
      </c>
      <c r="F35026" s="0" t="s">
        <v>3857</v>
      </c>
    </row>
    <row r="35027" customFormat="false" ht="12.8" hidden="false" customHeight="false" outlineLevel="0" collapsed="false">
      <c r="B35027" s="0" t="s">
        <v>8</v>
      </c>
      <c r="C35027" s="0" t="s">
        <v>12332</v>
      </c>
      <c r="E35027" s="0" t="s">
        <v>119</v>
      </c>
      <c r="F35027" s="0" t="s">
        <v>12326</v>
      </c>
    </row>
    <row r="35029" customFormat="false" ht="12.8" hidden="false" customHeight="false" outlineLevel="0" collapsed="false">
      <c r="A35029" s="0" t="s">
        <v>13353</v>
      </c>
      <c r="B35029" s="0" t="str">
        <f aca="false">HYPERLINK("https://lindat.mff.cuni.cz/services/teitok/pdtc10/index.php?action=vallex&amp;frame=v-w4803f1", "přehlížet (v-w4803f1)")</f>
        <v>přehlížet (v-w4803f1)</v>
      </c>
      <c r="E35029" s="0" t="str">
        <f aca="false">HYPERLINK("https://lindat.mff.cuni.cz/services/SynSemClass40/SynSemClass40.html?veclass=vec00460#vec00460-ces-cm00007", "vec00460")</f>
        <v>vec00460</v>
      </c>
      <c r="F35029" s="0" t="s">
        <v>4773</v>
      </c>
    </row>
    <row r="35030" customFormat="false" ht="12.8" hidden="false" customHeight="false" outlineLevel="0" collapsed="false">
      <c r="B35030" s="0" t="s">
        <v>1</v>
      </c>
      <c r="C35030" s="0" t="s">
        <v>4774</v>
      </c>
      <c r="E35030" s="0" t="s">
        <v>2034</v>
      </c>
      <c r="F35030" s="0" t="s">
        <v>4775</v>
      </c>
    </row>
    <row r="35031" customFormat="false" ht="12.8" hidden="false" customHeight="false" outlineLevel="0" collapsed="false">
      <c r="B35031" s="0" t="s">
        <v>1838</v>
      </c>
      <c r="C35031" s="0" t="s">
        <v>4776</v>
      </c>
      <c r="E35031" s="0" t="s">
        <v>2037</v>
      </c>
      <c r="F35031" s="0" t="s">
        <v>4777</v>
      </c>
    </row>
    <row r="35033" customFormat="false" ht="12.8" hidden="false" customHeight="false" outlineLevel="0" collapsed="false">
      <c r="A35033" s="0" t="s">
        <v>13354</v>
      </c>
      <c r="B35033" s="0" t="str">
        <f aca="false">HYPERLINK("https://lindat.mff.cuni.cz/services/teitok/pdtc10/index.php?action=vallex&amp;frame=v-whsa_1200hsa_1201", "přehnat (v-whsa_1200hsa_1201)")</f>
        <v>přehnat (v-whsa_1200hsa_1201)</v>
      </c>
      <c r="E35033" s="0" t="str">
        <f aca="false">HYPERLINK("https://lindat.mff.cuni.cz/services/SynSemClass40/SynSemClass40.html?veclass=vec00634#vec00634-ces-cm00008", "vec00634")</f>
        <v>vec00634</v>
      </c>
      <c r="F35033" s="0" t="s">
        <v>7123</v>
      </c>
    </row>
    <row r="35034" customFormat="false" ht="12.8" hidden="false" customHeight="false" outlineLevel="0" collapsed="false">
      <c r="B35034" s="0" t="s">
        <v>1</v>
      </c>
      <c r="C35034" s="0" t="s">
        <v>239</v>
      </c>
      <c r="E35034" s="0" t="s">
        <v>31</v>
      </c>
      <c r="F35034" s="0" t="s">
        <v>5993</v>
      </c>
    </row>
    <row r="35035" customFormat="false" ht="12.8" hidden="false" customHeight="false" outlineLevel="0" collapsed="false">
      <c r="B35035" s="0" t="s">
        <v>8</v>
      </c>
      <c r="C35035" s="0" t="s">
        <v>7124</v>
      </c>
      <c r="E35035" s="0" t="s">
        <v>180</v>
      </c>
      <c r="F35035" s="0" t="s">
        <v>7125</v>
      </c>
    </row>
    <row r="35037" customFormat="false" ht="12.8" hidden="false" customHeight="false" outlineLevel="0" collapsed="false">
      <c r="A35037" s="0" t="s">
        <v>13355</v>
      </c>
      <c r="B35037" s="0" t="str">
        <f aca="false">HYPERLINK("https://lindat.mff.cuni.cz/services/teitok/pdtc10/index.php?action=vallex&amp;frame=v-whsa_1200f2_ZU", "přehnat (v-whsa_1200f2_ZU)")</f>
        <v>přehnat (v-whsa_1200f2_ZU)</v>
      </c>
    </row>
    <row r="35038" customFormat="false" ht="12.8" hidden="false" customHeight="false" outlineLevel="0" collapsed="false">
      <c r="B35038" s="0" t="s">
        <v>1</v>
      </c>
    </row>
    <row r="35039" customFormat="false" ht="12.8" hidden="false" customHeight="false" outlineLevel="0" collapsed="false">
      <c r="B35039" s="0" t="s">
        <v>697</v>
      </c>
    </row>
    <row r="35040" customFormat="false" ht="12.8" hidden="false" customHeight="false" outlineLevel="0" collapsed="false">
      <c r="B35040" s="0" t="s">
        <v>3321</v>
      </c>
    </row>
    <row r="35042" customFormat="false" ht="12.8" hidden="false" customHeight="false" outlineLevel="0" collapsed="false">
      <c r="A35042" s="0" t="s">
        <v>13355</v>
      </c>
      <c r="B35042" s="0" t="str">
        <f aca="false">HYPERLINK("https://lindat.mff.cuni.cz/services/teitok/pdtc10/index.php?action=vallex&amp;frame=v-whsa_1200f1_ZU", "přehnat (v-whsa_1200f1_ZU) - substituted with v-whsa_1200f2_ZU")</f>
        <v>přehnat (v-whsa_1200f1_ZU) - substituted with v-whsa_1200f2_ZU</v>
      </c>
    </row>
    <row r="35043" customFormat="false" ht="12.8" hidden="false" customHeight="false" outlineLevel="0" collapsed="false">
      <c r="B35043" s="0" t="s">
        <v>1</v>
      </c>
    </row>
    <row r="35044" customFormat="false" ht="12.8" hidden="false" customHeight="false" outlineLevel="0" collapsed="false">
      <c r="B35044" s="0" t="s">
        <v>697</v>
      </c>
    </row>
    <row r="35045" customFormat="false" ht="12.8" hidden="false" customHeight="false" outlineLevel="0" collapsed="false">
      <c r="B35045" s="0" t="s">
        <v>3321</v>
      </c>
    </row>
    <row r="35047" customFormat="false" ht="12.8" hidden="false" customHeight="false" outlineLevel="0" collapsed="false">
      <c r="A35047" s="0" t="s">
        <v>13355</v>
      </c>
      <c r="B35047" s="0" t="str">
        <f aca="false">HYPERLINK("https://lindat.mff.cuni.cz/services/teitok/pdtc10/index.php?action=vallex&amp;frame=v-whsa_1200hsa_1992", "přehnat (v-whsa_1200hsa_1992) - substituted with v-whsa_1200f2_ZU")</f>
        <v>přehnat (v-whsa_1200hsa_1992) - substituted with v-whsa_1200f2_ZU</v>
      </c>
    </row>
    <row r="35048" customFormat="false" ht="12.8" hidden="false" customHeight="false" outlineLevel="0" collapsed="false">
      <c r="B35048" s="0" t="s">
        <v>1</v>
      </c>
    </row>
    <row r="35049" customFormat="false" ht="12.8" hidden="false" customHeight="false" outlineLevel="0" collapsed="false">
      <c r="B35049" s="0" t="s">
        <v>697</v>
      </c>
    </row>
    <row r="35050" customFormat="false" ht="12.8" hidden="false" customHeight="false" outlineLevel="0" collapsed="false">
      <c r="B35050" s="0" t="s">
        <v>3321</v>
      </c>
    </row>
    <row r="35052" customFormat="false" ht="12.8" hidden="false" customHeight="false" outlineLevel="0" collapsed="false">
      <c r="A35052" s="0" t="s">
        <v>13356</v>
      </c>
      <c r="B35052" s="0" t="str">
        <f aca="false">HYPERLINK("https://lindat.mff.cuni.cz/services/teitok/pdtc10/index.php?action=vallex&amp;frame=v-whsa_1200f3_ZU", "přehnat (v-whsa_1200f3_ZU)")</f>
        <v>přehnat (v-whsa_1200f3_ZU)</v>
      </c>
    </row>
    <row r="35053" customFormat="false" ht="12.8" hidden="false" customHeight="false" outlineLevel="0" collapsed="false">
      <c r="B35053" s="0" t="s">
        <v>1</v>
      </c>
    </row>
    <row r="35054" customFormat="false" ht="12.8" hidden="false" customHeight="false" outlineLevel="0" collapsed="false">
      <c r="B35054" s="0" t="s">
        <v>8</v>
      </c>
    </row>
    <row r="35056" customFormat="false" ht="12.8" hidden="false" customHeight="false" outlineLevel="0" collapsed="false">
      <c r="A35056" s="0" t="s">
        <v>13357</v>
      </c>
      <c r="B35056" s="0" t="str">
        <f aca="false">HYPERLINK("https://lindat.mff.cuni.cz/services/teitok/pdtc10/index.php?action=vallex&amp;frame=v-w4805f4_ZU", "přehnat se (v-w4805f4_ZU)")</f>
        <v>přehnat se (v-w4805f4_ZU)</v>
      </c>
      <c r="E35056" s="0" t="str">
        <f aca="false">HYPERLINK("https://lindat.mff.cuni.cz/services/SynSemClass40/SynSemClass40.html?veclass=vec00881#vec00881-ces-cm00006", "vec00881")</f>
        <v>vec00881</v>
      </c>
      <c r="F35056" s="0" t="s">
        <v>12334</v>
      </c>
    </row>
    <row r="35057" customFormat="false" ht="12.8" hidden="false" customHeight="false" outlineLevel="0" collapsed="false">
      <c r="B35057" s="0" t="s">
        <v>1</v>
      </c>
      <c r="C35057" s="0" t="s">
        <v>12335</v>
      </c>
      <c r="E35057" s="0" t="s">
        <v>334</v>
      </c>
      <c r="F35057" s="0" t="s">
        <v>12336</v>
      </c>
    </row>
    <row r="35058" customFormat="false" ht="12.8" hidden="false" customHeight="false" outlineLevel="0" collapsed="false">
      <c r="B35058" s="0" t="s">
        <v>336</v>
      </c>
      <c r="E35058" s="0" t="s">
        <v>338</v>
      </c>
      <c r="F35058" s="0" t="s">
        <v>12214</v>
      </c>
    </row>
    <row r="35060" customFormat="false" ht="12.8" hidden="false" customHeight="false" outlineLevel="0" collapsed="false">
      <c r="A35060" s="0" t="s">
        <v>13357</v>
      </c>
      <c r="B35060" s="0" t="str">
        <f aca="false">HYPERLINK("https://lindat.mff.cuni.cz/services/teitok/pdtc10/index.php?action=vallex&amp;frame=v-w4805f2_ZU", "přehnat se (v-w4805f2_ZU) - substituted with v-w4805f4_ZU")</f>
        <v>přehnat se (v-w4805f2_ZU) - substituted with v-w4805f4_ZU</v>
      </c>
    </row>
    <row r="35061" customFormat="false" ht="12.8" hidden="false" customHeight="false" outlineLevel="0" collapsed="false">
      <c r="B35061" s="0" t="s">
        <v>1</v>
      </c>
    </row>
    <row r="35062" customFormat="false" ht="12.8" hidden="false" customHeight="false" outlineLevel="0" collapsed="false">
      <c r="B35062" s="0" t="s">
        <v>336</v>
      </c>
    </row>
    <row r="35064" customFormat="false" ht="12.8" hidden="false" customHeight="false" outlineLevel="0" collapsed="false">
      <c r="A35064" s="0" t="s">
        <v>13357</v>
      </c>
      <c r="B35064" s="0" t="str">
        <f aca="false">HYPERLINK("https://lindat.mff.cuni.cz/services/teitok/pdtc10/index.php?action=vallex&amp;frame=v-w4805f3_ZU", "přehnat se (v-w4805f3_ZU) - substituted with v-w4805f4_ZU")</f>
        <v>přehnat se (v-w4805f3_ZU) - substituted with v-w4805f4_ZU</v>
      </c>
    </row>
    <row r="35065" customFormat="false" ht="12.8" hidden="false" customHeight="false" outlineLevel="0" collapsed="false">
      <c r="B35065" s="0" t="s">
        <v>1</v>
      </c>
    </row>
    <row r="35066" customFormat="false" ht="12.8" hidden="false" customHeight="false" outlineLevel="0" collapsed="false">
      <c r="B35066" s="0" t="s">
        <v>336</v>
      </c>
    </row>
    <row r="35068" customFormat="false" ht="12.8" hidden="false" customHeight="false" outlineLevel="0" collapsed="false">
      <c r="A35068" s="0" t="s">
        <v>13358</v>
      </c>
      <c r="B35068" s="0" t="str">
        <f aca="false">HYPERLINK("https://lindat.mff.cuni.cz/services/teitok/pdtc10/index.php?action=vallex&amp;frame=v-w4805f1", "přehnat se (v-w4805f1)")</f>
        <v>přehnat se (v-w4805f1)</v>
      </c>
    </row>
    <row r="35069" customFormat="false" ht="12.8" hidden="false" customHeight="false" outlineLevel="0" collapsed="false">
      <c r="B35069" s="0" t="s">
        <v>1</v>
      </c>
    </row>
    <row r="35071" customFormat="false" ht="12.8" hidden="false" customHeight="false" outlineLevel="0" collapsed="false">
      <c r="A35071" s="0" t="s">
        <v>13359</v>
      </c>
      <c r="B35071" s="0" t="str">
        <f aca="false">HYPERLINK("https://lindat.mff.cuni.cz/services/teitok/pdtc10/index.php?action=vallex&amp;frame=v-w4806f1", "přehodit (v-w4806f1)")</f>
        <v>přehodit (v-w4806f1)</v>
      </c>
    </row>
    <row r="35072" customFormat="false" ht="12.8" hidden="false" customHeight="false" outlineLevel="0" collapsed="false">
      <c r="B35072" s="0" t="s">
        <v>1</v>
      </c>
    </row>
    <row r="35073" customFormat="false" ht="12.8" hidden="false" customHeight="false" outlineLevel="0" collapsed="false">
      <c r="B35073" s="0" t="s">
        <v>8</v>
      </c>
    </row>
    <row r="35075" customFormat="false" ht="12.8" hidden="false" customHeight="false" outlineLevel="0" collapsed="false">
      <c r="A35075" s="0" t="s">
        <v>13360</v>
      </c>
      <c r="B35075" s="0" t="str">
        <f aca="false">HYPERLINK("https://lindat.mff.cuni.cz/services/teitok/pdtc10/index.php?action=vallex&amp;frame=v-w4806f2", "přehodit (v-w4806f2)")</f>
        <v>přehodit (v-w4806f2)</v>
      </c>
    </row>
    <row r="35076" customFormat="false" ht="12.8" hidden="false" customHeight="false" outlineLevel="0" collapsed="false">
      <c r="B35076" s="0" t="s">
        <v>1</v>
      </c>
    </row>
    <row r="35077" customFormat="false" ht="12.8" hidden="false" customHeight="false" outlineLevel="0" collapsed="false">
      <c r="B35077" s="0" t="s">
        <v>8</v>
      </c>
    </row>
    <row r="35079" customFormat="false" ht="12.8" hidden="false" customHeight="false" outlineLevel="0" collapsed="false">
      <c r="A35079" s="0" t="s">
        <v>13361</v>
      </c>
      <c r="B35079" s="0" t="str">
        <f aca="false">HYPERLINK("https://lindat.mff.cuni.cz/services/teitok/pdtc10/index.php?action=vallex&amp;frame=v-w4806f3_ZU", "přehodit (v-w4806f3_ZU)")</f>
        <v>přehodit (v-w4806f3_ZU)</v>
      </c>
    </row>
    <row r="35080" customFormat="false" ht="12.8" hidden="false" customHeight="false" outlineLevel="0" collapsed="false">
      <c r="B35080" s="0" t="s">
        <v>1</v>
      </c>
    </row>
    <row r="35081" customFormat="false" ht="12.8" hidden="false" customHeight="false" outlineLevel="0" collapsed="false">
      <c r="B35081" s="0" t="s">
        <v>8</v>
      </c>
    </row>
    <row r="35082" customFormat="false" ht="12.8" hidden="false" customHeight="false" outlineLevel="0" collapsed="false">
      <c r="B35082" s="0" t="s">
        <v>454</v>
      </c>
    </row>
    <row r="35084" customFormat="false" ht="12.8" hidden="false" customHeight="false" outlineLevel="0" collapsed="false">
      <c r="A35084" s="0" t="s">
        <v>13362</v>
      </c>
      <c r="B35084" s="0" t="str">
        <f aca="false">HYPERLINK("https://lindat.mff.cuni.cz/services/teitok/pdtc10/index.php?action=vallex&amp;frame=v-w4808f1", "přehodnocovat (v-w4808f1)")</f>
        <v>přehodnocovat (v-w4808f1)</v>
      </c>
      <c r="E35084" s="0" t="str">
        <f aca="false">HYPERLINK("https://lindat.mff.cuni.cz/services/SynSemClass40/SynSemClass40.html?veclass=vec00095#vec00095-ces-cm00078", "vec00095")</f>
        <v>vec00095</v>
      </c>
      <c r="F35084" s="0" t="s">
        <v>29</v>
      </c>
    </row>
    <row r="35085" customFormat="false" ht="12.8" hidden="false" customHeight="false" outlineLevel="0" collapsed="false">
      <c r="B35085" s="0" t="s">
        <v>1</v>
      </c>
      <c r="C35085" s="0" t="s">
        <v>30</v>
      </c>
      <c r="E35085" s="0" t="s">
        <v>31</v>
      </c>
      <c r="F35085" s="0" t="s">
        <v>32</v>
      </c>
    </row>
    <row r="35086" customFormat="false" ht="12.8" hidden="false" customHeight="false" outlineLevel="0" collapsed="false">
      <c r="B35086" s="0" t="s">
        <v>8</v>
      </c>
      <c r="C35086" s="0" t="s">
        <v>33</v>
      </c>
      <c r="E35086" s="0" t="s">
        <v>34</v>
      </c>
      <c r="F35086" s="0" t="s">
        <v>35</v>
      </c>
    </row>
    <row r="35087" customFormat="false" ht="12.8" hidden="false" customHeight="false" outlineLevel="0" collapsed="false">
      <c r="B35087" s="0" t="s">
        <v>101</v>
      </c>
      <c r="C35087" s="0" t="s">
        <v>41</v>
      </c>
      <c r="E35087" s="0" t="s">
        <v>42</v>
      </c>
      <c r="F35087" s="0" t="s">
        <v>43</v>
      </c>
    </row>
    <row r="35089" customFormat="false" ht="12.8" hidden="false" customHeight="false" outlineLevel="0" collapsed="false">
      <c r="A35089" s="0" t="s">
        <v>13363</v>
      </c>
      <c r="B35089" s="0" t="str">
        <f aca="false">HYPERLINK("https://lindat.mff.cuni.cz/services/teitok/pdtc10/index.php?action=vallex&amp;frame=v-w4808f2", "přehodnocovat (v-w4808f2)")</f>
        <v>přehodnocovat (v-w4808f2)</v>
      </c>
      <c r="E35089" s="0" t="str">
        <f aca="false">HYPERLINK("https://lindat.mff.cuni.cz/services/SynSemClass40/SynSemClass40.html?veclass=vec01304#vec01304-ces-cm00003", "vec01304")</f>
        <v>vec01304</v>
      </c>
      <c r="F35089" s="0" t="s">
        <v>302</v>
      </c>
    </row>
    <row r="35090" customFormat="false" ht="12.8" hidden="false" customHeight="false" outlineLevel="0" collapsed="false">
      <c r="B35090" s="0" t="s">
        <v>1</v>
      </c>
      <c r="C35090" s="0" t="s">
        <v>303</v>
      </c>
      <c r="E35090" s="0" t="s">
        <v>115</v>
      </c>
      <c r="F35090" s="0" t="s">
        <v>304</v>
      </c>
    </row>
    <row r="35091" customFormat="false" ht="12.8" hidden="false" customHeight="false" outlineLevel="0" collapsed="false">
      <c r="B35091" s="0" t="s">
        <v>2493</v>
      </c>
      <c r="C35091" s="0" t="s">
        <v>306</v>
      </c>
      <c r="E35091" s="0" t="s">
        <v>119</v>
      </c>
      <c r="F35091" s="0" t="s">
        <v>307</v>
      </c>
    </row>
    <row r="35093" customFormat="false" ht="12.8" hidden="false" customHeight="false" outlineLevel="0" collapsed="false">
      <c r="A35093" s="0" t="s">
        <v>13364</v>
      </c>
      <c r="B35093" s="0" t="str">
        <f aca="false">HYPERLINK("https://lindat.mff.cuni.cz/services/teitok/pdtc10/index.php?action=vallex&amp;frame=v-w4809f2", "přehodnotit (v-w4809f2)")</f>
        <v>přehodnotit (v-w4809f2)</v>
      </c>
      <c r="E35093" s="0" t="str">
        <f aca="false">HYPERLINK("https://lindat.mff.cuni.cz/services/SynSemClass40/SynSemClass40.html?veclass=vec00095#vec00095-ces-cm00048", "vec00095")</f>
        <v>vec00095</v>
      </c>
      <c r="F35093" s="0" t="s">
        <v>29</v>
      </c>
    </row>
    <row r="35094" customFormat="false" ht="12.8" hidden="false" customHeight="false" outlineLevel="0" collapsed="false">
      <c r="B35094" s="0" t="s">
        <v>1</v>
      </c>
      <c r="C35094" s="0" t="s">
        <v>30</v>
      </c>
      <c r="E35094" s="0" t="s">
        <v>31</v>
      </c>
      <c r="F35094" s="0" t="s">
        <v>32</v>
      </c>
    </row>
    <row r="35095" customFormat="false" ht="12.8" hidden="false" customHeight="false" outlineLevel="0" collapsed="false">
      <c r="B35095" s="0" t="s">
        <v>8</v>
      </c>
      <c r="C35095" s="0" t="s">
        <v>33</v>
      </c>
      <c r="E35095" s="0" t="s">
        <v>34</v>
      </c>
      <c r="F35095" s="0" t="s">
        <v>35</v>
      </c>
    </row>
    <row r="35096" customFormat="false" ht="12.8" hidden="false" customHeight="false" outlineLevel="0" collapsed="false">
      <c r="B35096" s="0" t="s">
        <v>101</v>
      </c>
      <c r="C35096" s="0" t="s">
        <v>41</v>
      </c>
      <c r="E35096" s="0" t="s">
        <v>42</v>
      </c>
      <c r="F35096" s="0" t="s">
        <v>43</v>
      </c>
    </row>
    <row r="35098" customFormat="false" ht="12.8" hidden="false" customHeight="false" outlineLevel="0" collapsed="false">
      <c r="A35098" s="0" t="s">
        <v>13365</v>
      </c>
      <c r="B35098" s="0" t="str">
        <f aca="false">HYPERLINK("https://lindat.mff.cuni.cz/services/teitok/pdtc10/index.php?action=vallex&amp;frame=v-w4809f1", "přehodnotit (v-w4809f1)")</f>
        <v>přehodnotit (v-w4809f1)</v>
      </c>
      <c r="E35098" s="0" t="str">
        <f aca="false">HYPERLINK("https://lindat.mff.cuni.cz/services/SynSemClass40/SynSemClass40.html?veclass=vec00149#vec00149-ces-cm00071", "vec00149")</f>
        <v>vec00149</v>
      </c>
      <c r="F35098" s="0" t="s">
        <v>686</v>
      </c>
      <c r="H35098" s="0" t="str">
        <f aca="false">HYPERLINK("https://lindat.mff.cuni.cz/services/SynSemClass40/SynSemClass40.html?veclass=vec01304#vec01304-ces-cm00004", "vec01304")</f>
        <v>vec01304</v>
      </c>
      <c r="I35098" s="0" t="s">
        <v>302</v>
      </c>
    </row>
    <row r="35099" customFormat="false" ht="12.8" hidden="false" customHeight="false" outlineLevel="0" collapsed="false">
      <c r="B35099" s="0" t="s">
        <v>1</v>
      </c>
      <c r="C35099" s="0" t="s">
        <v>11543</v>
      </c>
      <c r="E35099" s="0" t="s">
        <v>621</v>
      </c>
      <c r="F35099" s="0" t="s">
        <v>688</v>
      </c>
      <c r="H35099" s="0" t="s">
        <v>115</v>
      </c>
      <c r="I35099" s="0" t="s">
        <v>304</v>
      </c>
    </row>
    <row r="35100" customFormat="false" ht="12.8" hidden="false" customHeight="false" outlineLevel="0" collapsed="false">
      <c r="B35100" s="0" t="s">
        <v>2493</v>
      </c>
      <c r="C35100" s="0" t="s">
        <v>11545</v>
      </c>
      <c r="E35100" s="0" t="s">
        <v>209</v>
      </c>
      <c r="F35100" s="0" t="s">
        <v>691</v>
      </c>
      <c r="H35100" s="0" t="s">
        <v>119</v>
      </c>
      <c r="I35100" s="0" t="s">
        <v>307</v>
      </c>
    </row>
    <row r="35102" customFormat="false" ht="12.8" hidden="false" customHeight="false" outlineLevel="0" collapsed="false">
      <c r="A35102" s="0" t="s">
        <v>13366</v>
      </c>
      <c r="B35102" s="0" t="str">
        <f aca="false">HYPERLINK("https://lindat.mff.cuni.cz/services/teitok/pdtc10/index.php?action=vallex&amp;frame=v-w11359f1", "přehoupnout se (v-w11359f1)")</f>
        <v>přehoupnout se (v-w11359f1)</v>
      </c>
    </row>
    <row r="35103" customFormat="false" ht="12.8" hidden="false" customHeight="false" outlineLevel="0" collapsed="false">
      <c r="B35103" s="0" t="s">
        <v>1</v>
      </c>
    </row>
    <row r="35104" customFormat="false" ht="12.8" hidden="false" customHeight="false" outlineLevel="0" collapsed="false">
      <c r="B35104" s="0" t="s">
        <v>361</v>
      </c>
    </row>
    <row r="35106" customFormat="false" ht="12.8" hidden="false" customHeight="false" outlineLevel="0" collapsed="false">
      <c r="A35106" s="0" t="s">
        <v>13367</v>
      </c>
      <c r="B35106" s="0" t="str">
        <f aca="false">HYPERLINK("https://lindat.mff.cuni.cz/services/teitok/pdtc10/index.php?action=vallex&amp;frame=v-w11273f1", "přehrabovat se (v-w11273f1)")</f>
        <v>přehrabovat se (v-w11273f1)</v>
      </c>
    </row>
    <row r="35107" customFormat="false" ht="12.8" hidden="false" customHeight="false" outlineLevel="0" collapsed="false">
      <c r="B35107" s="0" t="s">
        <v>1</v>
      </c>
    </row>
    <row r="35108" customFormat="false" ht="12.8" hidden="false" customHeight="false" outlineLevel="0" collapsed="false">
      <c r="B35108" s="0" t="s">
        <v>536</v>
      </c>
    </row>
    <row r="35110" customFormat="false" ht="12.8" hidden="false" customHeight="false" outlineLevel="0" collapsed="false">
      <c r="A35110" s="0" t="s">
        <v>13368</v>
      </c>
      <c r="B35110" s="0" t="str">
        <f aca="false">HYPERLINK("https://lindat.mff.cuni.cz/services/teitok/pdtc10/index.php?action=vallex&amp;frame=v-w4810f1", "přehradit (v-w4810f1)")</f>
        <v>přehradit (v-w4810f1)</v>
      </c>
    </row>
    <row r="35111" customFormat="false" ht="12.8" hidden="false" customHeight="false" outlineLevel="0" collapsed="false">
      <c r="B35111" s="0" t="s">
        <v>1</v>
      </c>
    </row>
    <row r="35112" customFormat="false" ht="12.8" hidden="false" customHeight="false" outlineLevel="0" collapsed="false">
      <c r="B35112" s="0" t="s">
        <v>8</v>
      </c>
    </row>
    <row r="35114" customFormat="false" ht="12.8" hidden="false" customHeight="false" outlineLevel="0" collapsed="false">
      <c r="A35114" s="0" t="s">
        <v>13369</v>
      </c>
      <c r="B35114" s="0" t="str">
        <f aca="false">HYPERLINK("https://lindat.mff.cuni.cz/services/teitok/pdtc10/index.php?action=vallex&amp;frame=v-w4811f1", "přehrát (v-w4811f1)")</f>
        <v>přehrát (v-w4811f1)</v>
      </c>
    </row>
    <row r="35115" customFormat="false" ht="12.8" hidden="false" customHeight="false" outlineLevel="0" collapsed="false">
      <c r="B35115" s="0" t="s">
        <v>1</v>
      </c>
    </row>
    <row r="35116" customFormat="false" ht="12.8" hidden="false" customHeight="false" outlineLevel="0" collapsed="false">
      <c r="B35116" s="0" t="s">
        <v>8</v>
      </c>
    </row>
    <row r="35118" customFormat="false" ht="12.8" hidden="false" customHeight="false" outlineLevel="0" collapsed="false">
      <c r="A35118" s="0" t="s">
        <v>13370</v>
      </c>
      <c r="B35118" s="0" t="str">
        <f aca="false">HYPERLINK("https://lindat.mff.cuni.cz/services/teitok/pdtc10/index.php?action=vallex&amp;frame=v-w4811f2", "přehrát (v-w4811f2)")</f>
        <v>přehrát (v-w4811f2)</v>
      </c>
      <c r="E35118" s="0" t="str">
        <f aca="false">HYPERLINK("https://lindat.mff.cuni.cz/services/SynSemClass40/SynSemClass40.html?veclass=vec00823#vec00823-ces-cm00019", "vec00823")</f>
        <v>vec00823</v>
      </c>
      <c r="F35118" s="0" t="s">
        <v>2321</v>
      </c>
    </row>
    <row r="35119" customFormat="false" ht="12.8" hidden="false" customHeight="false" outlineLevel="0" collapsed="false">
      <c r="B35119" s="0" t="s">
        <v>1</v>
      </c>
      <c r="E35119" s="0" t="s">
        <v>1830</v>
      </c>
      <c r="F35119" s="0" t="s">
        <v>2322</v>
      </c>
    </row>
    <row r="35120" customFormat="false" ht="12.8" hidden="false" customHeight="false" outlineLevel="0" collapsed="false">
      <c r="B35120" s="0" t="s">
        <v>8</v>
      </c>
      <c r="E35120" s="0" t="s">
        <v>2323</v>
      </c>
      <c r="F35120" s="0" t="s">
        <v>2324</v>
      </c>
    </row>
    <row r="35122" customFormat="false" ht="12.8" hidden="false" customHeight="false" outlineLevel="0" collapsed="false">
      <c r="A35122" s="0" t="s">
        <v>13371</v>
      </c>
      <c r="B35122" s="0" t="str">
        <f aca="false">HYPERLINK("https://lindat.mff.cuni.cz/services/teitok/pdtc10/index.php?action=vallex&amp;frame=v-w4811f4", "přehrát (v-w4811f4)")</f>
        <v>přehrát (v-w4811f4)</v>
      </c>
    </row>
    <row r="35123" customFormat="false" ht="12.8" hidden="false" customHeight="false" outlineLevel="0" collapsed="false">
      <c r="B35123" s="0" t="s">
        <v>1</v>
      </c>
    </row>
    <row r="35124" customFormat="false" ht="12.8" hidden="false" customHeight="false" outlineLevel="0" collapsed="false">
      <c r="B35124" s="0" t="s">
        <v>8</v>
      </c>
    </row>
    <row r="35126" customFormat="false" ht="12.8" hidden="false" customHeight="false" outlineLevel="0" collapsed="false">
      <c r="A35126" s="0" t="s">
        <v>13372</v>
      </c>
      <c r="B35126" s="0" t="str">
        <f aca="false">HYPERLINK("https://lindat.mff.cuni.cz/services/teitok/pdtc10/index.php?action=vallex&amp;frame=v-w4811f3", "přehrát (v-w4811f3)")</f>
        <v>přehrát (v-w4811f3)</v>
      </c>
      <c r="E35126" s="0" t="str">
        <f aca="false">HYPERLINK("https://lindat.mff.cuni.cz/services/SynSemClass40/SynSemClass40.html?veclass=vec00823#vec00823-ces-cm00032", "vec00823")</f>
        <v>vec00823</v>
      </c>
      <c r="F35126" s="0" t="s">
        <v>2321</v>
      </c>
    </row>
    <row r="35127" customFormat="false" ht="12.8" hidden="false" customHeight="false" outlineLevel="0" collapsed="false">
      <c r="B35127" s="0" t="s">
        <v>1</v>
      </c>
      <c r="E35127" s="0" t="s">
        <v>1830</v>
      </c>
      <c r="F35127" s="0" t="s">
        <v>2322</v>
      </c>
    </row>
    <row r="35128" customFormat="false" ht="12.8" hidden="false" customHeight="false" outlineLevel="0" collapsed="false">
      <c r="B35128" s="0" t="s">
        <v>8</v>
      </c>
      <c r="E35128" s="0" t="s">
        <v>2323</v>
      </c>
      <c r="F35128" s="0" t="s">
        <v>2324</v>
      </c>
    </row>
    <row r="35130" customFormat="false" ht="12.8" hidden="false" customHeight="false" outlineLevel="0" collapsed="false">
      <c r="A35130" s="0" t="s">
        <v>13373</v>
      </c>
      <c r="B35130" s="0" t="str">
        <f aca="false">HYPERLINK("https://lindat.mff.cuni.cz/services/teitok/pdtc10/index.php?action=vallex&amp;frame=v-w4812f1", "přehrávat (v-w4812f1)")</f>
        <v>přehrávat (v-w4812f1)</v>
      </c>
    </row>
    <row r="35131" customFormat="false" ht="12.8" hidden="false" customHeight="false" outlineLevel="0" collapsed="false">
      <c r="B35131" s="0" t="s">
        <v>1</v>
      </c>
    </row>
    <row r="35132" customFormat="false" ht="12.8" hidden="false" customHeight="false" outlineLevel="0" collapsed="false">
      <c r="B35132" s="0" t="s">
        <v>8</v>
      </c>
    </row>
    <row r="35134" customFormat="false" ht="12.8" hidden="false" customHeight="false" outlineLevel="0" collapsed="false">
      <c r="A35134" s="0" t="s">
        <v>13374</v>
      </c>
      <c r="B35134" s="0" t="str">
        <f aca="false">HYPERLINK("https://lindat.mff.cuni.cz/services/teitok/pdtc10/index.php?action=vallex&amp;frame=v-w4812hsa_424", "přehrávat (v-w4812hsa_424)")</f>
        <v>přehrávat (v-w4812hsa_424)</v>
      </c>
    </row>
    <row r="35135" customFormat="false" ht="12.8" hidden="false" customHeight="false" outlineLevel="0" collapsed="false">
      <c r="B35135" s="0" t="s">
        <v>1</v>
      </c>
    </row>
    <row r="35137" customFormat="false" ht="12.8" hidden="false" customHeight="false" outlineLevel="0" collapsed="false">
      <c r="A35137" s="0" t="s">
        <v>13375</v>
      </c>
      <c r="B35137" s="0" t="str">
        <f aca="false">HYPERLINK("https://lindat.mff.cuni.cz/services/teitok/pdtc10/index.php?action=vallex&amp;frame=v-w4812f2_ZU", "přehrávat (v-w4812f2_ZU)")</f>
        <v>přehrávat (v-w4812f2_ZU)</v>
      </c>
    </row>
    <row r="35138" customFormat="false" ht="12.8" hidden="false" customHeight="false" outlineLevel="0" collapsed="false">
      <c r="B35138" s="0" t="s">
        <v>1</v>
      </c>
    </row>
    <row r="35139" customFormat="false" ht="12.8" hidden="false" customHeight="false" outlineLevel="0" collapsed="false">
      <c r="B35139" s="0" t="s">
        <v>8</v>
      </c>
    </row>
    <row r="35141" customFormat="false" ht="12.8" hidden="false" customHeight="false" outlineLevel="0" collapsed="false">
      <c r="A35141" s="0" t="s">
        <v>13375</v>
      </c>
      <c r="B35141" s="0" t="str">
        <f aca="false">HYPERLINK("https://lindat.mff.cuni.cz/services/teitok/pdtc10/index.php?action=vallex&amp;frame=v-w4812hsa_425", "přehrávat (v-w4812hsa_425) - substituted with v-w4812f2_ZU")</f>
        <v>přehrávat (v-w4812hsa_425) - substituted with v-w4812f2_ZU</v>
      </c>
      <c r="E35141" s="0" t="str">
        <f aca="false">HYPERLINK("https://lindat.mff.cuni.cz/services/SynSemClass40/SynSemClass40.html?veclass=vec00823#vec00823-ces-cm00035", "vec00823")</f>
        <v>vec00823</v>
      </c>
      <c r="F35141" s="0" t="s">
        <v>2321</v>
      </c>
    </row>
    <row r="35142" customFormat="false" ht="12.8" hidden="false" customHeight="false" outlineLevel="0" collapsed="false">
      <c r="B35142" s="0" t="s">
        <v>1</v>
      </c>
      <c r="E35142" s="0" t="s">
        <v>1830</v>
      </c>
      <c r="F35142" s="0" t="s">
        <v>2322</v>
      </c>
    </row>
    <row r="35143" customFormat="false" ht="12.8" hidden="false" customHeight="false" outlineLevel="0" collapsed="false">
      <c r="B35143" s="0" t="s">
        <v>8</v>
      </c>
      <c r="E35143" s="0" t="s">
        <v>2323</v>
      </c>
      <c r="F35143" s="0" t="s">
        <v>2324</v>
      </c>
    </row>
    <row r="35145" customFormat="false" ht="12.8" hidden="false" customHeight="false" outlineLevel="0" collapsed="false">
      <c r="A35145" s="0" t="s">
        <v>13376</v>
      </c>
      <c r="B35145" s="0" t="str">
        <f aca="false">HYPERLINK("https://lindat.mff.cuni.cz/services/teitok/pdtc10/index.php?action=vallex&amp;frame=v-w4813f1", "přehrávat se (v-w4813f1)")</f>
        <v>přehrávat se (v-w4813f1)</v>
      </c>
    </row>
    <row r="35146" customFormat="false" ht="12.8" hidden="false" customHeight="false" outlineLevel="0" collapsed="false">
      <c r="B35146" s="0" t="s">
        <v>1</v>
      </c>
    </row>
    <row r="35147" customFormat="false" ht="12.8" hidden="false" customHeight="false" outlineLevel="0" collapsed="false">
      <c r="B35147" s="0" t="s">
        <v>6970</v>
      </c>
    </row>
    <row r="35148" customFormat="false" ht="12.8" hidden="false" customHeight="false" outlineLevel="0" collapsed="false">
      <c r="B35148" s="0" t="s">
        <v>36</v>
      </c>
    </row>
    <row r="35150" customFormat="false" ht="12.8" hidden="false" customHeight="false" outlineLevel="0" collapsed="false">
      <c r="A35150" s="0" t="s">
        <v>13377</v>
      </c>
      <c r="B35150" s="0" t="str">
        <f aca="false">HYPERLINK("https://lindat.mff.cuni.cz/services/teitok/pdtc10/index.php?action=vallex&amp;frame=v-w12035_ZUf2_ZU", "přehrávat si (v-w12035_ZUf2_ZU)")</f>
        <v>přehrávat si (v-w12035_ZUf2_ZU)</v>
      </c>
    </row>
    <row r="35151" customFormat="false" ht="12.8" hidden="false" customHeight="false" outlineLevel="0" collapsed="false">
      <c r="B35151" s="0" t="s">
        <v>1</v>
      </c>
    </row>
    <row r="35152" customFormat="false" ht="12.8" hidden="false" customHeight="false" outlineLevel="0" collapsed="false">
      <c r="B35152" s="0" t="s">
        <v>8</v>
      </c>
    </row>
    <row r="35154" customFormat="false" ht="12.8" hidden="false" customHeight="false" outlineLevel="0" collapsed="false">
      <c r="A35154" s="0" t="s">
        <v>13377</v>
      </c>
      <c r="B35154" s="0" t="str">
        <f aca="false">HYPERLINK("https://lindat.mff.cuni.cz/services/teitok/pdtc10/index.php?action=vallex&amp;frame=v-w12035_ZUf1_ZU", "přehrávat si (v-w12035_ZUf1_ZU) - substituted with v-w12035_ZUf2_ZU")</f>
        <v>přehrávat si (v-w12035_ZUf1_ZU) - substituted with v-w12035_ZUf2_ZU</v>
      </c>
    </row>
    <row r="35155" customFormat="false" ht="12.8" hidden="false" customHeight="false" outlineLevel="0" collapsed="false">
      <c r="B35155" s="0" t="s">
        <v>1</v>
      </c>
    </row>
    <row r="35156" customFormat="false" ht="12.8" hidden="false" customHeight="false" outlineLevel="0" collapsed="false">
      <c r="B35156" s="0" t="s">
        <v>8</v>
      </c>
    </row>
    <row r="35158" customFormat="false" ht="12.8" hidden="false" customHeight="false" outlineLevel="0" collapsed="false">
      <c r="A35158" s="0" t="s">
        <v>13378</v>
      </c>
      <c r="B35158" s="0" t="str">
        <f aca="false">HYPERLINK("https://lindat.mff.cuni.cz/services/teitok/pdtc10/index.php?action=vallex&amp;frame=v-w4816f1", "přehustit (v-w4816f1)")</f>
        <v>přehustit (v-w4816f1)</v>
      </c>
    </row>
    <row r="35159" customFormat="false" ht="12.8" hidden="false" customHeight="false" outlineLevel="0" collapsed="false">
      <c r="B35159" s="0" t="s">
        <v>1</v>
      </c>
    </row>
    <row r="35160" customFormat="false" ht="12.8" hidden="false" customHeight="false" outlineLevel="0" collapsed="false">
      <c r="B35160" s="0" t="s">
        <v>8</v>
      </c>
    </row>
    <row r="35162" customFormat="false" ht="12.8" hidden="false" customHeight="false" outlineLevel="0" collapsed="false">
      <c r="A35162" s="0" t="s">
        <v>13379</v>
      </c>
      <c r="B35162" s="0" t="str">
        <f aca="false">HYPERLINK("https://lindat.mff.cuni.cz/services/teitok/pdtc10/index.php?action=vallex&amp;frame=v-w4816f2", "přehustit (v-w4816f2)")</f>
        <v>přehustit (v-w4816f2)</v>
      </c>
    </row>
    <row r="35163" customFormat="false" ht="12.8" hidden="false" customHeight="false" outlineLevel="0" collapsed="false">
      <c r="B35163" s="0" t="s">
        <v>1</v>
      </c>
    </row>
    <row r="35164" customFormat="false" ht="12.8" hidden="false" customHeight="false" outlineLevel="0" collapsed="false">
      <c r="B35164" s="0" t="s">
        <v>8</v>
      </c>
    </row>
    <row r="35165" customFormat="false" ht="12.8" hidden="false" customHeight="false" outlineLevel="0" collapsed="false">
      <c r="B35165" s="0" t="s">
        <v>7045</v>
      </c>
    </row>
    <row r="35167" customFormat="false" ht="12.8" hidden="false" customHeight="false" outlineLevel="0" collapsed="false">
      <c r="A35167" s="0" t="s">
        <v>13380</v>
      </c>
      <c r="B35167" s="0" t="str">
        <f aca="false">HYPERLINK("https://lindat.mff.cuni.cz/services/teitok/pdtc10/index.php?action=vallex&amp;frame=v-w4792f1", "přehánět (v-w4792f1)")</f>
        <v>přehánět (v-w4792f1)</v>
      </c>
      <c r="E35167" s="0" t="str">
        <f aca="false">HYPERLINK("https://lindat.mff.cuni.cz/services/SynSemClass40/SynSemClass40.html?veclass=vec00634#vec00634-ces-cm00005", "vec00634")</f>
        <v>vec00634</v>
      </c>
      <c r="F35167" s="0" t="s">
        <v>7123</v>
      </c>
    </row>
    <row r="35168" customFormat="false" ht="12.8" hidden="false" customHeight="false" outlineLevel="0" collapsed="false">
      <c r="B35168" s="0" t="s">
        <v>1</v>
      </c>
      <c r="C35168" s="0" t="s">
        <v>239</v>
      </c>
      <c r="E35168" s="0" t="s">
        <v>31</v>
      </c>
      <c r="F35168" s="0" t="s">
        <v>5993</v>
      </c>
    </row>
    <row r="35169" customFormat="false" ht="12.8" hidden="false" customHeight="false" outlineLevel="0" collapsed="false">
      <c r="B35169" s="0" t="s">
        <v>8</v>
      </c>
      <c r="C35169" s="0" t="s">
        <v>7124</v>
      </c>
      <c r="E35169" s="0" t="s">
        <v>180</v>
      </c>
      <c r="F35169" s="0" t="s">
        <v>7125</v>
      </c>
    </row>
    <row r="35171" customFormat="false" ht="12.8" hidden="false" customHeight="false" outlineLevel="0" collapsed="false">
      <c r="A35171" s="0" t="s">
        <v>13381</v>
      </c>
      <c r="B35171" s="0" t="str">
        <f aca="false">HYPERLINK("https://lindat.mff.cuni.cz/services/teitok/pdtc10/index.php?action=vallex&amp;frame=v-w4814f1", "přehřát (v-w4814f1)")</f>
        <v>přehřát (v-w4814f1)</v>
      </c>
    </row>
    <row r="35172" customFormat="false" ht="12.8" hidden="false" customHeight="false" outlineLevel="0" collapsed="false">
      <c r="B35172" s="0" t="s">
        <v>1</v>
      </c>
    </row>
    <row r="35173" customFormat="false" ht="12.8" hidden="false" customHeight="false" outlineLevel="0" collapsed="false">
      <c r="B35173" s="0" t="s">
        <v>8</v>
      </c>
    </row>
    <row r="35175" customFormat="false" ht="12.8" hidden="false" customHeight="false" outlineLevel="0" collapsed="false">
      <c r="A35175" s="0" t="s">
        <v>13382</v>
      </c>
      <c r="B35175" s="0" t="str">
        <f aca="false">HYPERLINK("https://lindat.mff.cuni.cz/services/teitok/pdtc10/index.php?action=vallex&amp;frame=v-w4815f1", "přehřát se (v-w4815f1)")</f>
        <v>přehřát se (v-w4815f1)</v>
      </c>
    </row>
    <row r="35176" customFormat="false" ht="12.8" hidden="false" customHeight="false" outlineLevel="0" collapsed="false">
      <c r="B35176" s="0" t="s">
        <v>1</v>
      </c>
    </row>
    <row r="35178" customFormat="false" ht="12.8" hidden="false" customHeight="false" outlineLevel="0" collapsed="false">
      <c r="A35178" s="0" t="s">
        <v>13383</v>
      </c>
      <c r="B35178" s="0" t="str">
        <f aca="false">HYPERLINK("https://lindat.mff.cuni.cz/services/teitok/pdtc10/index.php?action=vallex&amp;frame=v-w12197_ZUf1_ZU", "přehřívat se (v-w12197_ZUf1_ZU)")</f>
        <v>přehřívat se (v-w12197_ZUf1_ZU)</v>
      </c>
    </row>
    <row r="35179" customFormat="false" ht="12.8" hidden="false" customHeight="false" outlineLevel="0" collapsed="false">
      <c r="B35179" s="0" t="s">
        <v>1</v>
      </c>
    </row>
    <row r="35181" customFormat="false" ht="12.8" hidden="false" customHeight="false" outlineLevel="0" collapsed="false">
      <c r="A35181" s="0" t="s">
        <v>13384</v>
      </c>
      <c r="B35181" s="0" t="str">
        <f aca="false">HYPERLINK("https://lindat.mff.cuni.cz/services/teitok/pdtc10/index.php?action=vallex&amp;frame=v-w4823f1", "přejet (v-w4823f1)")</f>
        <v>přejet (v-w4823f1)</v>
      </c>
    </row>
    <row r="35182" customFormat="false" ht="12.8" hidden="false" customHeight="false" outlineLevel="0" collapsed="false">
      <c r="B35182" s="0" t="s">
        <v>1</v>
      </c>
    </row>
    <row r="35183" customFormat="false" ht="12.8" hidden="false" customHeight="false" outlineLevel="0" collapsed="false">
      <c r="B35183" s="0" t="s">
        <v>8</v>
      </c>
    </row>
    <row r="35185" customFormat="false" ht="12.8" hidden="false" customHeight="false" outlineLevel="0" collapsed="false">
      <c r="A35185" s="0" t="s">
        <v>13385</v>
      </c>
      <c r="B35185" s="0" t="str">
        <f aca="false">HYPERLINK("https://lindat.mff.cuni.cz/services/teitok/pdtc10/index.php?action=vallex&amp;frame=v-w4823f4", "přejet (v-w4823f4)")</f>
        <v>přejet (v-w4823f4)</v>
      </c>
    </row>
    <row r="35186" customFormat="false" ht="12.8" hidden="false" customHeight="false" outlineLevel="0" collapsed="false">
      <c r="B35186" s="0" t="s">
        <v>1</v>
      </c>
    </row>
    <row r="35187" customFormat="false" ht="12.8" hidden="false" customHeight="false" outlineLevel="0" collapsed="false">
      <c r="B35187" s="0" t="s">
        <v>8</v>
      </c>
    </row>
    <row r="35189" customFormat="false" ht="12.8" hidden="false" customHeight="false" outlineLevel="0" collapsed="false">
      <c r="A35189" s="0" t="s">
        <v>13386</v>
      </c>
      <c r="B35189" s="0" t="str">
        <f aca="false">HYPERLINK("https://lindat.mff.cuni.cz/services/teitok/pdtc10/index.php?action=vallex&amp;frame=v-w4823f3", "přejet (v-w4823f3)")</f>
        <v>přejet (v-w4823f3)</v>
      </c>
    </row>
    <row r="35190" customFormat="false" ht="12.8" hidden="false" customHeight="false" outlineLevel="0" collapsed="false">
      <c r="B35190" s="0" t="s">
        <v>1</v>
      </c>
    </row>
    <row r="35191" customFormat="false" ht="12.8" hidden="false" customHeight="false" outlineLevel="0" collapsed="false">
      <c r="B35191" s="0" t="s">
        <v>631</v>
      </c>
    </row>
    <row r="35192" customFormat="false" ht="12.8" hidden="false" customHeight="false" outlineLevel="0" collapsed="false">
      <c r="B35192" s="0" t="s">
        <v>164</v>
      </c>
    </row>
    <row r="35194" customFormat="false" ht="12.8" hidden="false" customHeight="false" outlineLevel="0" collapsed="false">
      <c r="A35194" s="0" t="s">
        <v>13387</v>
      </c>
      <c r="B35194" s="0" t="str">
        <f aca="false">HYPERLINK("https://lindat.mff.cuni.cz/services/teitok/pdtc10/index.php?action=vallex&amp;frame=v-w4823f2", "přejet (v-w4823f2)")</f>
        <v>přejet (v-w4823f2)</v>
      </c>
    </row>
    <row r="35195" customFormat="false" ht="12.8" hidden="false" customHeight="false" outlineLevel="0" collapsed="false">
      <c r="B35195" s="0" t="s">
        <v>1</v>
      </c>
    </row>
    <row r="35196" customFormat="false" ht="12.8" hidden="false" customHeight="false" outlineLevel="0" collapsed="false">
      <c r="B35196" s="0" t="s">
        <v>336</v>
      </c>
    </row>
    <row r="35198" customFormat="false" ht="12.8" hidden="false" customHeight="false" outlineLevel="0" collapsed="false">
      <c r="A35198" s="0" t="s">
        <v>13388</v>
      </c>
      <c r="B35198" s="0" t="str">
        <f aca="false">HYPERLINK("https://lindat.mff.cuni.cz/services/teitok/pdtc10/index.php?action=vallex&amp;frame=v-w4823f5_ZU", "přejet (v-w4823f5_ZU)")</f>
        <v>přejet (v-w4823f5_ZU)</v>
      </c>
    </row>
    <row r="35199" customFormat="false" ht="12.8" hidden="false" customHeight="false" outlineLevel="0" collapsed="false">
      <c r="B35199" s="0" t="s">
        <v>1</v>
      </c>
    </row>
    <row r="35200" customFormat="false" ht="12.8" hidden="false" customHeight="false" outlineLevel="0" collapsed="false">
      <c r="B35200" s="0" t="s">
        <v>164</v>
      </c>
    </row>
    <row r="35202" customFormat="false" ht="12.8" hidden="false" customHeight="false" outlineLevel="0" collapsed="false">
      <c r="A35202" s="0" t="s">
        <v>13388</v>
      </c>
      <c r="B35202" s="0" t="str">
        <f aca="false">HYPERLINK("https://lindat.mff.cuni.cz/services/teitok/pdtc10/index.php?action=vallex&amp;frame=v-w4823hsa_873", "přejet (v-w4823hsa_873) - substituted with v-w4823f5_ZU")</f>
        <v>přejet (v-w4823hsa_873) - substituted with v-w4823f5_ZU</v>
      </c>
    </row>
    <row r="35203" customFormat="false" ht="12.8" hidden="false" customHeight="false" outlineLevel="0" collapsed="false">
      <c r="B35203" s="0" t="s">
        <v>1</v>
      </c>
    </row>
    <row r="35204" customFormat="false" ht="12.8" hidden="false" customHeight="false" outlineLevel="0" collapsed="false">
      <c r="B35204" s="0" t="s">
        <v>164</v>
      </c>
    </row>
    <row r="35206" customFormat="false" ht="12.8" hidden="false" customHeight="false" outlineLevel="0" collapsed="false">
      <c r="A35206" s="0" t="s">
        <v>13389</v>
      </c>
      <c r="B35206" s="0" t="str">
        <f aca="false">HYPERLINK("https://lindat.mff.cuni.cz/services/teitok/pdtc10/index.php?action=vallex&amp;frame=v-w4823f6_ZU", "přejet (v-w4823f6_ZU)")</f>
        <v>přejet (v-w4823f6_ZU)</v>
      </c>
    </row>
    <row r="35207" customFormat="false" ht="12.8" hidden="false" customHeight="false" outlineLevel="0" collapsed="false">
      <c r="B35207" s="0" t="s">
        <v>1</v>
      </c>
    </row>
    <row r="35208" customFormat="false" ht="12.8" hidden="false" customHeight="false" outlineLevel="0" collapsed="false">
      <c r="B35208" s="0" t="s">
        <v>8</v>
      </c>
    </row>
    <row r="35210" customFormat="false" ht="12.8" hidden="false" customHeight="false" outlineLevel="0" collapsed="false">
      <c r="A35210" s="0" t="s">
        <v>13390</v>
      </c>
      <c r="B35210" s="0" t="str">
        <f aca="false">HYPERLINK("https://lindat.mff.cuni.cz/services/teitok/pdtc10/index.php?action=vallex&amp;frame=v-w4823f9_ZU", "přejet (v-w4823f9_ZU)")</f>
        <v>přejet (v-w4823f9_ZU)</v>
      </c>
    </row>
    <row r="35211" customFormat="false" ht="12.8" hidden="false" customHeight="false" outlineLevel="0" collapsed="false">
      <c r="B35211" s="0" t="s">
        <v>1</v>
      </c>
    </row>
    <row r="35212" customFormat="false" ht="12.8" hidden="false" customHeight="false" outlineLevel="0" collapsed="false">
      <c r="B35212" s="0" t="s">
        <v>1262</v>
      </c>
    </row>
    <row r="35214" customFormat="false" ht="12.8" hidden="false" customHeight="false" outlineLevel="0" collapsed="false">
      <c r="A35214" s="0" t="s">
        <v>13390</v>
      </c>
      <c r="B35214" s="0" t="str">
        <f aca="false">HYPERLINK("https://lindat.mff.cuni.cz/services/teitok/pdtc10/index.php?action=vallex&amp;frame=v-w4823f7_ZU", "přejet (v-w4823f7_ZU) - substituted with v-w4823f9_ZU")</f>
        <v>přejet (v-w4823f7_ZU) - substituted with v-w4823f9_ZU</v>
      </c>
    </row>
    <row r="35215" customFormat="false" ht="12.8" hidden="false" customHeight="false" outlineLevel="0" collapsed="false">
      <c r="B35215" s="0" t="s">
        <v>1</v>
      </c>
    </row>
    <row r="35216" customFormat="false" ht="12.8" hidden="false" customHeight="false" outlineLevel="0" collapsed="false">
      <c r="B35216" s="0" t="s">
        <v>1262</v>
      </c>
    </row>
    <row r="35218" customFormat="false" ht="12.8" hidden="false" customHeight="false" outlineLevel="0" collapsed="false">
      <c r="A35218" s="0" t="s">
        <v>13390</v>
      </c>
      <c r="B35218" s="0" t="str">
        <f aca="false">HYPERLINK("https://lindat.mff.cuni.cz/services/teitok/pdtc10/index.php?action=vallex&amp;frame=v-w4823f8_ZU", "přejet (v-w4823f8_ZU) - substituted with v-w4823f9_ZU")</f>
        <v>přejet (v-w4823f8_ZU) - substituted with v-w4823f9_ZU</v>
      </c>
    </row>
    <row r="35219" customFormat="false" ht="12.8" hidden="false" customHeight="false" outlineLevel="0" collapsed="false">
      <c r="B35219" s="0" t="s">
        <v>1</v>
      </c>
    </row>
    <row r="35220" customFormat="false" ht="12.8" hidden="false" customHeight="false" outlineLevel="0" collapsed="false">
      <c r="B35220" s="0" t="s">
        <v>1262</v>
      </c>
    </row>
    <row r="35222" customFormat="false" ht="12.8" hidden="false" customHeight="false" outlineLevel="0" collapsed="false">
      <c r="A35222" s="0" t="s">
        <v>13391</v>
      </c>
      <c r="B35222" s="0" t="str">
        <f aca="false">HYPERLINK("https://lindat.mff.cuni.cz/services/teitok/pdtc10/index.php?action=vallex&amp;frame=v-w4829f1", "přejmenovat (v-w4829f1)")</f>
        <v>přejmenovat (v-w4829f1)</v>
      </c>
      <c r="E35222" s="0" t="str">
        <f aca="false">HYPERLINK("https://lindat.mff.cuni.cz/services/SynSemClass40/SynSemClass40.html?veclass=vec00891#vec00891-ces-cm00001", "vec00891")</f>
        <v>vec00891</v>
      </c>
      <c r="F35222" s="0" t="s">
        <v>11872</v>
      </c>
    </row>
    <row r="35223" customFormat="false" ht="12.8" hidden="false" customHeight="false" outlineLevel="0" collapsed="false">
      <c r="B35223" s="0" t="s">
        <v>1</v>
      </c>
      <c r="C35223" s="0" t="s">
        <v>459</v>
      </c>
      <c r="E35223" s="0" t="s">
        <v>8022</v>
      </c>
      <c r="F35223" s="0" t="s">
        <v>11874</v>
      </c>
    </row>
    <row r="35224" customFormat="false" ht="12.8" hidden="false" customHeight="false" outlineLevel="0" collapsed="false">
      <c r="B35224" s="0" t="s">
        <v>8</v>
      </c>
      <c r="C35224" s="0" t="s">
        <v>1575</v>
      </c>
      <c r="E35224" s="0" t="s">
        <v>8025</v>
      </c>
      <c r="F35224" s="0" t="s">
        <v>11876</v>
      </c>
    </row>
    <row r="35225" customFormat="false" ht="12.8" hidden="false" customHeight="false" outlineLevel="0" collapsed="false">
      <c r="B35225" s="0" t="s">
        <v>36</v>
      </c>
      <c r="E35225" s="0" t="s">
        <v>13392</v>
      </c>
      <c r="F35225" s="0" t="s">
        <v>13393</v>
      </c>
    </row>
    <row r="35226" customFormat="false" ht="12.8" hidden="false" customHeight="false" outlineLevel="0" collapsed="false">
      <c r="B35226" s="0" t="s">
        <v>101</v>
      </c>
      <c r="C35226" s="0" t="s">
        <v>13394</v>
      </c>
      <c r="E35226" s="0" t="s">
        <v>11878</v>
      </c>
      <c r="F35226" s="0" t="s">
        <v>11879</v>
      </c>
    </row>
    <row r="35228" customFormat="false" ht="12.8" hidden="false" customHeight="false" outlineLevel="0" collapsed="false">
      <c r="A35228" s="0" t="s">
        <v>13395</v>
      </c>
      <c r="B35228" s="0" t="str">
        <f aca="false">HYPERLINK("https://lindat.mff.cuni.cz/services/teitok/pdtc10/index.php?action=vallex&amp;frame=v-w4830f2", "přejmout (v-w4830f2)")</f>
        <v>přejmout (v-w4830f2)</v>
      </c>
    </row>
    <row r="35229" customFormat="false" ht="12.8" hidden="false" customHeight="false" outlineLevel="0" collapsed="false">
      <c r="B35229" s="0" t="s">
        <v>1</v>
      </c>
    </row>
    <row r="35230" customFormat="false" ht="12.8" hidden="false" customHeight="false" outlineLevel="0" collapsed="false">
      <c r="B35230" s="0" t="s">
        <v>8</v>
      </c>
    </row>
    <row r="35231" customFormat="false" ht="12.8" hidden="false" customHeight="false" outlineLevel="0" collapsed="false">
      <c r="B35231" s="0" t="s">
        <v>602</v>
      </c>
    </row>
    <row r="35233" customFormat="false" ht="12.8" hidden="false" customHeight="false" outlineLevel="0" collapsed="false">
      <c r="A35233" s="0" t="s">
        <v>13396</v>
      </c>
      <c r="B35233" s="0" t="str">
        <f aca="false">HYPERLINK("https://lindat.mff.cuni.cz/services/teitok/pdtc10/index.php?action=vallex&amp;frame=v-w4830f1", "přejmout (v-w4830f1)")</f>
        <v>přejmout (v-w4830f1)</v>
      </c>
    </row>
    <row r="35234" customFormat="false" ht="12.8" hidden="false" customHeight="false" outlineLevel="0" collapsed="false">
      <c r="B35234" s="0" t="s">
        <v>1</v>
      </c>
    </row>
    <row r="35235" customFormat="false" ht="12.8" hidden="false" customHeight="false" outlineLevel="0" collapsed="false">
      <c r="B35235" s="0" t="s">
        <v>8</v>
      </c>
    </row>
    <row r="35236" customFormat="false" ht="12.8" hidden="false" customHeight="false" outlineLevel="0" collapsed="false">
      <c r="B35236" s="0" t="s">
        <v>631</v>
      </c>
    </row>
    <row r="35238" customFormat="false" ht="12.8" hidden="false" customHeight="false" outlineLevel="0" collapsed="false">
      <c r="A35238" s="0" t="s">
        <v>13397</v>
      </c>
      <c r="B35238" s="0" t="str">
        <f aca="false">HYPERLINK("https://lindat.mff.cuni.cz/services/teitok/pdtc10/index.php?action=vallex&amp;frame=v-w4826f1", "přejímat (v-w4826f1)")</f>
        <v>přejímat (v-w4826f1)</v>
      </c>
    </row>
    <row r="35239" customFormat="false" ht="12.8" hidden="false" customHeight="false" outlineLevel="0" collapsed="false">
      <c r="B35239" s="0" t="s">
        <v>1</v>
      </c>
    </row>
    <row r="35240" customFormat="false" ht="12.8" hidden="false" customHeight="false" outlineLevel="0" collapsed="false">
      <c r="B35240" s="0" t="s">
        <v>8</v>
      </c>
    </row>
    <row r="35241" customFormat="false" ht="12.8" hidden="false" customHeight="false" outlineLevel="0" collapsed="false">
      <c r="B35241" s="0" t="s">
        <v>602</v>
      </c>
    </row>
    <row r="35243" customFormat="false" ht="12.8" hidden="false" customHeight="false" outlineLevel="0" collapsed="false">
      <c r="A35243" s="0" t="s">
        <v>13398</v>
      </c>
      <c r="B35243" s="0" t="str">
        <f aca="false">HYPERLINK("https://lindat.mff.cuni.cz/services/teitok/pdtc10/index.php?action=vallex&amp;frame=v-whsa_1061hsa_1062", "přejíst se (v-whsa_1061hsa_1062)")</f>
        <v>přejíst se (v-whsa_1061hsa_1062)</v>
      </c>
    </row>
    <row r="35244" customFormat="false" ht="12.8" hidden="false" customHeight="false" outlineLevel="0" collapsed="false">
      <c r="B35244" s="0" t="s">
        <v>1</v>
      </c>
    </row>
    <row r="35246" customFormat="false" ht="12.8" hidden="false" customHeight="false" outlineLevel="0" collapsed="false">
      <c r="A35246" s="0" t="s">
        <v>13399</v>
      </c>
      <c r="B35246" s="0" t="str">
        <f aca="false">HYPERLINK("https://lindat.mff.cuni.cz/services/teitok/pdtc10/index.php?action=vallex&amp;frame=v-w4827f2", "přejít (v-w4827f2)")</f>
        <v>přejít (v-w4827f2)</v>
      </c>
      <c r="E35246" s="0" t="str">
        <f aca="false">HYPERLINK("https://lindat.mff.cuni.cz/services/SynSemClass40/SynSemClass40.html?veclass=vec00496#vec00496-ces-cm00001", "vec00496")</f>
        <v>vec00496</v>
      </c>
      <c r="F35246" s="0" t="s">
        <v>13129</v>
      </c>
    </row>
    <row r="35247" customFormat="false" ht="12.8" hidden="false" customHeight="false" outlineLevel="0" collapsed="false">
      <c r="B35247" s="0" t="s">
        <v>1</v>
      </c>
      <c r="C35247" s="0" t="s">
        <v>13130</v>
      </c>
      <c r="E35247" s="0" t="s">
        <v>11</v>
      </c>
      <c r="F35247" s="0" t="s">
        <v>13131</v>
      </c>
    </row>
    <row r="35248" customFormat="false" ht="12.8" hidden="false" customHeight="false" outlineLevel="0" collapsed="false">
      <c r="B35248" s="0" t="s">
        <v>13400</v>
      </c>
      <c r="C35248" s="0" t="s">
        <v>13133</v>
      </c>
      <c r="E35248" s="0" t="s">
        <v>1592</v>
      </c>
      <c r="F35248" s="0" t="s">
        <v>13134</v>
      </c>
    </row>
    <row r="35249" customFormat="false" ht="12.8" hidden="false" customHeight="false" outlineLevel="0" collapsed="false">
      <c r="B35249" s="0" t="s">
        <v>2840</v>
      </c>
      <c r="C35249" s="0" t="s">
        <v>13135</v>
      </c>
      <c r="E35249" s="0" t="s">
        <v>2176</v>
      </c>
      <c r="F35249" s="0" t="s">
        <v>13136</v>
      </c>
    </row>
    <row r="35251" customFormat="false" ht="12.8" hidden="false" customHeight="false" outlineLevel="0" collapsed="false">
      <c r="A35251" s="0" t="s">
        <v>13401</v>
      </c>
      <c r="B35251" s="0" t="str">
        <f aca="false">HYPERLINK("https://lindat.mff.cuni.cz/services/teitok/pdtc10/index.php?action=vallex&amp;frame=v-w4827f6", "přejít (v-w4827f6)")</f>
        <v>přejít (v-w4827f6)</v>
      </c>
    </row>
    <row r="35252" customFormat="false" ht="12.8" hidden="false" customHeight="false" outlineLevel="0" collapsed="false">
      <c r="B35252" s="0" t="s">
        <v>1</v>
      </c>
    </row>
    <row r="35253" customFormat="false" ht="12.8" hidden="false" customHeight="false" outlineLevel="0" collapsed="false">
      <c r="B35253" s="0" t="s">
        <v>59</v>
      </c>
    </row>
    <row r="35255" customFormat="false" ht="12.8" hidden="false" customHeight="false" outlineLevel="0" collapsed="false">
      <c r="A35255" s="0" t="s">
        <v>13402</v>
      </c>
      <c r="B35255" s="0" t="str">
        <f aca="false">HYPERLINK("https://lindat.mff.cuni.cz/services/teitok/pdtc10/index.php?action=vallex&amp;frame=v-w4827f9", "přejít (v-w4827f9)")</f>
        <v>přejít (v-w4827f9)</v>
      </c>
      <c r="E35255" s="0" t="str">
        <f aca="false">HYPERLINK("https://lindat.mff.cuni.cz/services/SynSemClass40/SynSemClass40.html?veclass=vec01287#vec01287-ces-cm00002", "vec01287")</f>
        <v>vec01287</v>
      </c>
      <c r="F35255" s="0" t="s">
        <v>11031</v>
      </c>
    </row>
    <row r="35256" customFormat="false" ht="12.8" hidden="false" customHeight="false" outlineLevel="0" collapsed="false">
      <c r="B35256" s="0" t="s">
        <v>1</v>
      </c>
      <c r="E35256" s="0" t="s">
        <v>334</v>
      </c>
      <c r="F35256" s="0" t="s">
        <v>11032</v>
      </c>
    </row>
    <row r="35257" customFormat="false" ht="12.8" hidden="false" customHeight="false" outlineLevel="0" collapsed="false">
      <c r="B35257" s="0" t="s">
        <v>8</v>
      </c>
      <c r="E35257" s="0" t="s">
        <v>13403</v>
      </c>
      <c r="F35257" s="0" t="s">
        <v>13404</v>
      </c>
    </row>
    <row r="35259" customFormat="false" ht="12.8" hidden="false" customHeight="false" outlineLevel="0" collapsed="false">
      <c r="A35259" s="0" t="s">
        <v>13405</v>
      </c>
      <c r="B35259" s="0" t="str">
        <f aca="false">HYPERLINK("https://lindat.mff.cuni.cz/services/teitok/pdtc10/index.php?action=vallex&amp;frame=v-w4827f10_ZU", "přejít (v-w4827f10_ZU)")</f>
        <v>přejít (v-w4827f10_ZU)</v>
      </c>
      <c r="E35259" s="0" t="str">
        <f aca="false">HYPERLINK("https://lindat.mff.cuni.cz/services/SynSemClass40/SynSemClass40.html?veclass=vec00496#vec00496-ces-cm00009", "vec00496")</f>
        <v>vec00496</v>
      </c>
      <c r="F35259" s="0" t="s">
        <v>13129</v>
      </c>
    </row>
    <row r="35260" customFormat="false" ht="12.8" hidden="false" customHeight="false" outlineLevel="0" collapsed="false">
      <c r="B35260" s="0" t="s">
        <v>1</v>
      </c>
      <c r="C35260" s="0" t="s">
        <v>13130</v>
      </c>
      <c r="E35260" s="0" t="s">
        <v>11</v>
      </c>
      <c r="F35260" s="0" t="s">
        <v>13131</v>
      </c>
    </row>
    <row r="35261" customFormat="false" ht="12.8" hidden="false" customHeight="false" outlineLevel="0" collapsed="false">
      <c r="B35261" s="0" t="s">
        <v>13406</v>
      </c>
      <c r="C35261" s="0" t="s">
        <v>13133</v>
      </c>
      <c r="E35261" s="0" t="s">
        <v>1592</v>
      </c>
      <c r="F35261" s="0" t="s">
        <v>13134</v>
      </c>
    </row>
    <row r="35263" customFormat="false" ht="12.8" hidden="false" customHeight="false" outlineLevel="0" collapsed="false">
      <c r="A35263" s="0" t="s">
        <v>13405</v>
      </c>
      <c r="B35263" s="0" t="str">
        <f aca="false">HYPERLINK("https://lindat.mff.cuni.cz/services/teitok/pdtc10/index.php?action=vallex&amp;frame=v-w4827f3", "přejít (v-w4827f3) - substituted with v-w4827f10_ZU")</f>
        <v>přejít (v-w4827f3) - substituted with v-w4827f10_ZU</v>
      </c>
    </row>
    <row r="35264" customFormat="false" ht="12.8" hidden="false" customHeight="false" outlineLevel="0" collapsed="false">
      <c r="B35264" s="0" t="s">
        <v>1</v>
      </c>
    </row>
    <row r="35265" customFormat="false" ht="12.8" hidden="false" customHeight="false" outlineLevel="0" collapsed="false">
      <c r="B35265" s="0" t="s">
        <v>13406</v>
      </c>
    </row>
    <row r="35267" customFormat="false" ht="12.8" hidden="false" customHeight="false" outlineLevel="0" collapsed="false">
      <c r="A35267" s="0" t="s">
        <v>13407</v>
      </c>
      <c r="B35267" s="0" t="str">
        <f aca="false">HYPERLINK("https://lindat.mff.cuni.cz/services/teitok/pdtc10/index.php?action=vallex&amp;frame=v-w4827f7", "přejít (v-w4827f7)")</f>
        <v>přejít (v-w4827f7)</v>
      </c>
      <c r="E35267" s="0" t="str">
        <f aca="false">HYPERLINK("https://lindat.mff.cuni.cz/services/SynSemClass40/SynSemClass40.html?veclass=vec00113#vec00113-ces-cm00291", "vec00113")</f>
        <v>vec00113</v>
      </c>
      <c r="F35267" s="0" t="s">
        <v>2122</v>
      </c>
    </row>
    <row r="35268" customFormat="false" ht="12.8" hidden="false" customHeight="false" outlineLevel="0" collapsed="false">
      <c r="B35268" s="0" t="s">
        <v>1</v>
      </c>
      <c r="C35268" s="0" t="s">
        <v>4146</v>
      </c>
      <c r="E35268" s="0" t="s">
        <v>1084</v>
      </c>
      <c r="F35268" s="0" t="s">
        <v>2124</v>
      </c>
    </row>
    <row r="35269" customFormat="false" ht="12.8" hidden="false" customHeight="false" outlineLevel="0" collapsed="false">
      <c r="B35269" s="0" t="s">
        <v>390</v>
      </c>
    </row>
    <row r="35271" customFormat="false" ht="12.8" hidden="false" customHeight="false" outlineLevel="0" collapsed="false">
      <c r="A35271" s="0" t="s">
        <v>13408</v>
      </c>
      <c r="B35271" s="0" t="str">
        <f aca="false">HYPERLINK("https://lindat.mff.cuni.cz/services/teitok/pdtc10/index.php?action=vallex&amp;frame=v-w4827f1", "přejít (v-w4827f1)")</f>
        <v>přejít (v-w4827f1)</v>
      </c>
      <c r="E35271" s="0" t="str">
        <f aca="false">HYPERLINK("https://lindat.mff.cuni.cz/services/SynSemClass40/SynSemClass40.html?veclass=vec00048#vec00048-ces-cm00089", "vec00048")</f>
        <v>vec00048</v>
      </c>
      <c r="F35271" s="0" t="s">
        <v>1945</v>
      </c>
    </row>
    <row r="35272" customFormat="false" ht="12.8" hidden="false" customHeight="false" outlineLevel="0" collapsed="false">
      <c r="B35272" s="0" t="s">
        <v>1</v>
      </c>
      <c r="C35272" s="0" t="s">
        <v>1946</v>
      </c>
      <c r="E35272" s="0" t="s">
        <v>334</v>
      </c>
      <c r="F35272" s="0" t="s">
        <v>1947</v>
      </c>
    </row>
    <row r="35273" customFormat="false" ht="12.8" hidden="false" customHeight="false" outlineLevel="0" collapsed="false">
      <c r="B35273" s="0" t="s">
        <v>631</v>
      </c>
      <c r="C35273" s="0" t="s">
        <v>1948</v>
      </c>
      <c r="E35273" s="0" t="s">
        <v>1949</v>
      </c>
      <c r="F35273" s="0" t="s">
        <v>1950</v>
      </c>
    </row>
    <row r="35274" customFormat="false" ht="12.8" hidden="false" customHeight="false" outlineLevel="0" collapsed="false">
      <c r="B35274" s="0" t="s">
        <v>164</v>
      </c>
      <c r="E35274" s="0" t="s">
        <v>1315</v>
      </c>
      <c r="F35274" s="0" t="s">
        <v>1316</v>
      </c>
    </row>
    <row r="35276" customFormat="false" ht="12.8" hidden="false" customHeight="false" outlineLevel="0" collapsed="false">
      <c r="A35276" s="0" t="s">
        <v>13409</v>
      </c>
      <c r="B35276" s="0" t="str">
        <f aca="false">HYPERLINK("https://lindat.mff.cuni.cz/services/teitok/pdtc10/index.php?action=vallex&amp;frame=v-w4827f4", "přejít (v-w4827f4)")</f>
        <v>přejít (v-w4827f4)</v>
      </c>
      <c r="E35276" s="0" t="str">
        <f aca="false">HYPERLINK("https://lindat.mff.cuni.cz/services/SynSemClass40/SynSemClass40.html?veclass=vec01025#vec01025-ces-cm00020", "vec01025")</f>
        <v>vec01025</v>
      </c>
      <c r="F35276" s="0" t="s">
        <v>332</v>
      </c>
    </row>
    <row r="35277" customFormat="false" ht="12.8" hidden="false" customHeight="false" outlineLevel="0" collapsed="false">
      <c r="B35277" s="0" t="s">
        <v>1</v>
      </c>
      <c r="C35277" s="0" t="s">
        <v>333</v>
      </c>
      <c r="E35277" s="0" t="s">
        <v>334</v>
      </c>
      <c r="F35277" s="0" t="s">
        <v>335</v>
      </c>
    </row>
    <row r="35278" customFormat="false" ht="12.8" hidden="false" customHeight="false" outlineLevel="0" collapsed="false">
      <c r="B35278" s="0" t="s">
        <v>336</v>
      </c>
      <c r="C35278" s="0" t="s">
        <v>337</v>
      </c>
      <c r="E35278" s="0" t="s">
        <v>338</v>
      </c>
      <c r="F35278" s="0" t="s">
        <v>339</v>
      </c>
    </row>
    <row r="35280" customFormat="false" ht="12.8" hidden="false" customHeight="false" outlineLevel="0" collapsed="false">
      <c r="A35280" s="0" t="s">
        <v>13410</v>
      </c>
      <c r="B35280" s="0" t="str">
        <f aca="false">HYPERLINK("https://lindat.mff.cuni.cz/services/teitok/pdtc10/index.php?action=vallex&amp;frame=v-w4827f5", "přejít (v-w4827f5)")</f>
        <v>přejít (v-w4827f5)</v>
      </c>
    </row>
    <row r="35281" customFormat="false" ht="12.8" hidden="false" customHeight="false" outlineLevel="0" collapsed="false">
      <c r="B35281" s="0" t="s">
        <v>629</v>
      </c>
    </row>
    <row r="35282" customFormat="false" ht="12.8" hidden="false" customHeight="false" outlineLevel="0" collapsed="false">
      <c r="B35282" s="0" t="s">
        <v>361</v>
      </c>
    </row>
    <row r="35284" customFormat="false" ht="12.8" hidden="false" customHeight="false" outlineLevel="0" collapsed="false">
      <c r="A35284" s="0" t="s">
        <v>13411</v>
      </c>
      <c r="B35284" s="0" t="str">
        <f aca="false">HYPERLINK("https://lindat.mff.cuni.cz/services/teitok/pdtc10/index.php?action=vallex&amp;frame=v-w4827f8", "přejít (v-w4827f8)")</f>
        <v>přejít (v-w4827f8)</v>
      </c>
    </row>
    <row r="35285" customFormat="false" ht="12.8" hidden="false" customHeight="false" outlineLevel="0" collapsed="false">
      <c r="B35285" s="0" t="s">
        <v>1</v>
      </c>
    </row>
    <row r="35286" customFormat="false" ht="12.8" hidden="false" customHeight="false" outlineLevel="0" collapsed="false">
      <c r="B35286" s="0" t="s">
        <v>13412</v>
      </c>
    </row>
    <row r="35288" customFormat="false" ht="12.8" hidden="false" customHeight="false" outlineLevel="0" collapsed="false">
      <c r="A35288" s="0" t="s">
        <v>13413</v>
      </c>
      <c r="B35288" s="0" t="str">
        <f aca="false">HYPERLINK("https://lindat.mff.cuni.cz/services/teitok/pdtc10/index.php?action=vallex&amp;frame=v-w11054f2", "přejíždět (v-w11054f2)")</f>
        <v>přejíždět (v-w11054f2)</v>
      </c>
    </row>
    <row r="35289" customFormat="false" ht="12.8" hidden="false" customHeight="false" outlineLevel="0" collapsed="false">
      <c r="B35289" s="0" t="s">
        <v>1</v>
      </c>
    </row>
    <row r="35290" customFormat="false" ht="12.8" hidden="false" customHeight="false" outlineLevel="0" collapsed="false">
      <c r="B35290" s="0" t="s">
        <v>8</v>
      </c>
    </row>
    <row r="35292" customFormat="false" ht="12.8" hidden="false" customHeight="false" outlineLevel="0" collapsed="false">
      <c r="A35292" s="0" t="s">
        <v>13414</v>
      </c>
      <c r="B35292" s="0" t="str">
        <f aca="false">HYPERLINK("https://lindat.mff.cuni.cz/services/teitok/pdtc10/index.php?action=vallex&amp;frame=v-w11054f3_ZU", "přejíždět (v-w11054f3_ZU)")</f>
        <v>přejíždět (v-w11054f3_ZU)</v>
      </c>
    </row>
    <row r="35293" customFormat="false" ht="12.8" hidden="false" customHeight="false" outlineLevel="0" collapsed="false">
      <c r="B35293" s="0" t="s">
        <v>1</v>
      </c>
    </row>
    <row r="35294" customFormat="false" ht="12.8" hidden="false" customHeight="false" outlineLevel="0" collapsed="false">
      <c r="B35294" s="0" t="s">
        <v>631</v>
      </c>
    </row>
    <row r="35295" customFormat="false" ht="12.8" hidden="false" customHeight="false" outlineLevel="0" collapsed="false">
      <c r="B35295" s="0" t="s">
        <v>164</v>
      </c>
    </row>
    <row r="35297" customFormat="false" ht="12.8" hidden="false" customHeight="false" outlineLevel="0" collapsed="false">
      <c r="A35297" s="0" t="s">
        <v>13414</v>
      </c>
      <c r="B35297" s="0" t="str">
        <f aca="false">HYPERLINK("https://lindat.mff.cuni.cz/services/teitok/pdtc10/index.php?action=vallex&amp;frame=v-w11054hsa_785", "přejíždět (v-w11054hsa_785) - substituted with v-w11054f3_ZU")</f>
        <v>přejíždět (v-w11054hsa_785) - substituted with v-w11054f3_ZU</v>
      </c>
    </row>
    <row r="35298" customFormat="false" ht="12.8" hidden="false" customHeight="false" outlineLevel="0" collapsed="false">
      <c r="B35298" s="0" t="s">
        <v>1</v>
      </c>
    </row>
    <row r="35299" customFormat="false" ht="12.8" hidden="false" customHeight="false" outlineLevel="0" collapsed="false">
      <c r="B35299" s="0" t="s">
        <v>631</v>
      </c>
    </row>
    <row r="35300" customFormat="false" ht="12.8" hidden="false" customHeight="false" outlineLevel="0" collapsed="false">
      <c r="B35300" s="0" t="s">
        <v>164</v>
      </c>
    </row>
    <row r="35302" customFormat="false" ht="12.8" hidden="false" customHeight="false" outlineLevel="0" collapsed="false">
      <c r="A35302" s="0" t="s">
        <v>13415</v>
      </c>
      <c r="B35302" s="0" t="str">
        <f aca="false">HYPERLINK("https://lindat.mff.cuni.cz/services/teitok/pdtc10/index.php?action=vallex&amp;frame=v-w11054f4_ZU", "přejíždět (v-w11054f4_ZU)")</f>
        <v>přejíždět (v-w11054f4_ZU)</v>
      </c>
    </row>
    <row r="35303" customFormat="false" ht="12.8" hidden="false" customHeight="false" outlineLevel="0" collapsed="false">
      <c r="B35303" s="0" t="s">
        <v>1</v>
      </c>
    </row>
    <row r="35304" customFormat="false" ht="12.8" hidden="false" customHeight="false" outlineLevel="0" collapsed="false">
      <c r="B35304" s="0" t="s">
        <v>8</v>
      </c>
    </row>
    <row r="35306" customFormat="false" ht="12.8" hidden="false" customHeight="false" outlineLevel="0" collapsed="false">
      <c r="A35306" s="0" t="s">
        <v>13415</v>
      </c>
      <c r="B35306" s="0" t="str">
        <f aca="false">HYPERLINK("https://lindat.mff.cuni.cz/services/teitok/pdtc10/index.php?action=vallex&amp;frame=v-w11054hsa_786", "přejíždět (v-w11054hsa_786) - substituted with v-w11054f4_ZU")</f>
        <v>přejíždět (v-w11054hsa_786) - substituted with v-w11054f4_ZU</v>
      </c>
    </row>
    <row r="35307" customFormat="false" ht="12.8" hidden="false" customHeight="false" outlineLevel="0" collapsed="false">
      <c r="B35307" s="0" t="s">
        <v>1</v>
      </c>
    </row>
    <row r="35308" customFormat="false" ht="12.8" hidden="false" customHeight="false" outlineLevel="0" collapsed="false">
      <c r="B35308" s="0" t="s">
        <v>8</v>
      </c>
    </row>
    <row r="35310" customFormat="false" ht="12.8" hidden="false" customHeight="false" outlineLevel="0" collapsed="false">
      <c r="A35310" s="0" t="s">
        <v>13416</v>
      </c>
      <c r="B35310" s="0" t="str">
        <f aca="false">HYPERLINK("https://lindat.mff.cuni.cz/services/teitok/pdtc10/index.php?action=vallex&amp;frame=v-w11054hsa_784", "přejíždět (v-w11054hsa_784)")</f>
        <v>přejíždět (v-w11054hsa_784)</v>
      </c>
    </row>
    <row r="35311" customFormat="false" ht="12.8" hidden="false" customHeight="false" outlineLevel="0" collapsed="false">
      <c r="B35311" s="0" t="s">
        <v>1</v>
      </c>
    </row>
    <row r="35312" customFormat="false" ht="12.8" hidden="false" customHeight="false" outlineLevel="0" collapsed="false">
      <c r="B35312" s="0" t="s">
        <v>336</v>
      </c>
    </row>
    <row r="35314" customFormat="false" ht="12.8" hidden="false" customHeight="false" outlineLevel="0" collapsed="false">
      <c r="A35314" s="0" t="s">
        <v>13417</v>
      </c>
      <c r="B35314" s="0" t="str">
        <f aca="false">HYPERLINK("https://lindat.mff.cuni.cz/services/teitok/pdtc10/index.php?action=vallex&amp;frame=v-w4831f1", "překazit (v-w4831f1)")</f>
        <v>překazit (v-w4831f1)</v>
      </c>
      <c r="E35314" s="0" t="str">
        <f aca="false">HYPERLINK("https://lindat.mff.cuni.cz/services/SynSemClass40/SynSemClass40.html?veclass=vec00174#vec00174-ces-cm00048", "vec00174")</f>
        <v>vec00174</v>
      </c>
      <c r="F35314" s="0" t="s">
        <v>325</v>
      </c>
    </row>
    <row r="35315" customFormat="false" ht="12.8" hidden="false" customHeight="false" outlineLevel="0" collapsed="false">
      <c r="B35315" s="0" t="s">
        <v>1</v>
      </c>
      <c r="C35315" s="0" t="s">
        <v>326</v>
      </c>
      <c r="E35315" s="0" t="s">
        <v>76</v>
      </c>
      <c r="F35315" s="0" t="s">
        <v>327</v>
      </c>
    </row>
    <row r="35316" customFormat="false" ht="12.8" hidden="false" customHeight="false" outlineLevel="0" collapsed="false">
      <c r="B35316" s="0" t="s">
        <v>8</v>
      </c>
      <c r="C35316" s="0" t="s">
        <v>328</v>
      </c>
      <c r="E35316" s="0" t="s">
        <v>188</v>
      </c>
      <c r="F35316" s="0" t="s">
        <v>329</v>
      </c>
    </row>
    <row r="35317" customFormat="false" ht="12.8" hidden="false" customHeight="false" outlineLevel="0" collapsed="false">
      <c r="B35317" s="0" t="s">
        <v>132</v>
      </c>
    </row>
    <row r="35319" customFormat="false" ht="12.8" hidden="false" customHeight="false" outlineLevel="0" collapsed="false">
      <c r="A35319" s="0" t="s">
        <v>13418</v>
      </c>
      <c r="B35319" s="0" t="str">
        <f aca="false">HYPERLINK("https://lindat.mff.cuni.cz/services/teitok/pdtc10/index.php?action=vallex&amp;frame=v-w10504f2", "překlasifikovat (v-w10504f2)")</f>
        <v>překlasifikovat (v-w10504f2)</v>
      </c>
    </row>
    <row r="35320" customFormat="false" ht="12.8" hidden="false" customHeight="false" outlineLevel="0" collapsed="false">
      <c r="B35320" s="0" t="s">
        <v>1</v>
      </c>
    </row>
    <row r="35321" customFormat="false" ht="12.8" hidden="false" customHeight="false" outlineLevel="0" collapsed="false">
      <c r="B35321" s="0" t="s">
        <v>2493</v>
      </c>
    </row>
    <row r="35323" customFormat="false" ht="12.8" hidden="false" customHeight="false" outlineLevel="0" collapsed="false">
      <c r="A35323" s="0" t="s">
        <v>13419</v>
      </c>
      <c r="B35323" s="0" t="str">
        <f aca="false">HYPERLINK("https://lindat.mff.cuni.cz/services/teitok/pdtc10/index.php?action=vallex&amp;frame=v-w10504hsa_855", "překlasifikovat (v-w10504hsa_855)")</f>
        <v>překlasifikovat (v-w10504hsa_855)</v>
      </c>
      <c r="E35323" s="0" t="str">
        <f aca="false">HYPERLINK("https://lindat.mff.cuni.cz/services/SynSemClass40/SynSemClass40.html?veclass=vec00095#vec00095-ces-cm00085", "vec00095")</f>
        <v>vec00095</v>
      </c>
      <c r="F35323" s="0" t="s">
        <v>29</v>
      </c>
      <c r="H35323" s="0" t="str">
        <f aca="false">HYPERLINK("https://lindat.mff.cuni.cz/services/SynSemClass40/SynSemClass40.html?veclass=vec00103#vec00103-ces-cm00003", "vec00103")</f>
        <v>vec00103</v>
      </c>
      <c r="I35323" s="0" t="s">
        <v>13420</v>
      </c>
    </row>
    <row r="35324" customFormat="false" ht="12.8" hidden="false" customHeight="false" outlineLevel="0" collapsed="false">
      <c r="B35324" s="0" t="s">
        <v>1</v>
      </c>
      <c r="C35324" s="0" t="s">
        <v>11829</v>
      </c>
      <c r="E35324" s="0" t="s">
        <v>31</v>
      </c>
      <c r="F35324" s="0" t="s">
        <v>32</v>
      </c>
      <c r="H35324" s="0" t="s">
        <v>621</v>
      </c>
      <c r="I35324" s="0" t="s">
        <v>13421</v>
      </c>
    </row>
    <row r="35325" customFormat="false" ht="12.8" hidden="false" customHeight="false" outlineLevel="0" collapsed="false">
      <c r="B35325" s="0" t="s">
        <v>8</v>
      </c>
      <c r="C35325" s="0" t="s">
        <v>11830</v>
      </c>
      <c r="E35325" s="0" t="s">
        <v>34</v>
      </c>
      <c r="F35325" s="0" t="s">
        <v>35</v>
      </c>
      <c r="H35325" s="0" t="s">
        <v>1569</v>
      </c>
      <c r="I35325" s="0" t="s">
        <v>13422</v>
      </c>
    </row>
    <row r="35326" customFormat="false" ht="12.8" hidden="false" customHeight="false" outlineLevel="0" collapsed="false">
      <c r="B35326" s="0" t="s">
        <v>36</v>
      </c>
      <c r="C35326" s="0" t="s">
        <v>37</v>
      </c>
      <c r="E35326" s="0" t="s">
        <v>38</v>
      </c>
      <c r="F35326" s="0" t="s">
        <v>39</v>
      </c>
    </row>
    <row r="35327" customFormat="false" ht="12.8" hidden="false" customHeight="false" outlineLevel="0" collapsed="false">
      <c r="B35327" s="0" t="s">
        <v>101</v>
      </c>
      <c r="C35327" s="0" t="s">
        <v>13423</v>
      </c>
      <c r="E35327" s="0" t="s">
        <v>42</v>
      </c>
      <c r="F35327" s="0" t="s">
        <v>43</v>
      </c>
      <c r="H35327" s="0" t="s">
        <v>13424</v>
      </c>
      <c r="I35327" s="0" t="s">
        <v>13425</v>
      </c>
    </row>
    <row r="35329" customFormat="false" ht="12.8" hidden="false" customHeight="false" outlineLevel="0" collapsed="false">
      <c r="A35329" s="0" t="s">
        <v>13426</v>
      </c>
      <c r="B35329" s="0" t="str">
        <f aca="false">HYPERLINK("https://lindat.mff.cuni.cz/services/teitok/pdtc10/index.php?action=vallex&amp;frame=v-w4837f1", "překlenout (v-w4837f1)")</f>
        <v>překlenout (v-w4837f1)</v>
      </c>
      <c r="E35329" s="0" t="str">
        <f aca="false">HYPERLINK("https://lindat.mff.cuni.cz/services/SynSemClass40/SynSemClass40.html?veclass=vec00279#vec00279-ces-cm00075", "vec00279")</f>
        <v>vec00279</v>
      </c>
      <c r="F35329" s="0" t="s">
        <v>9067</v>
      </c>
    </row>
    <row r="35330" customFormat="false" ht="12.8" hidden="false" customHeight="false" outlineLevel="0" collapsed="false">
      <c r="B35330" s="0" t="s">
        <v>1</v>
      </c>
      <c r="C35330" s="0" t="s">
        <v>9068</v>
      </c>
      <c r="E35330" s="0" t="s">
        <v>11</v>
      </c>
      <c r="F35330" s="0" t="s">
        <v>9069</v>
      </c>
    </row>
    <row r="35331" customFormat="false" ht="12.8" hidden="false" customHeight="false" outlineLevel="0" collapsed="false">
      <c r="B35331" s="0" t="s">
        <v>8</v>
      </c>
      <c r="C35331" s="0" t="s">
        <v>9070</v>
      </c>
      <c r="E35331" s="0" t="s">
        <v>7635</v>
      </c>
      <c r="F35331" s="0" t="s">
        <v>9071</v>
      </c>
    </row>
    <row r="35333" customFormat="false" ht="12.8" hidden="false" customHeight="false" outlineLevel="0" collapsed="false">
      <c r="A35333" s="0" t="s">
        <v>13427</v>
      </c>
      <c r="B35333" s="0" t="str">
        <f aca="false">HYPERLINK("https://lindat.mff.cuni.cz/services/teitok/pdtc10/index.php?action=vallex&amp;frame=v-w4837f2", "překlenout (v-w4837f2)")</f>
        <v>překlenout (v-w4837f2)</v>
      </c>
    </row>
    <row r="35334" customFormat="false" ht="12.8" hidden="false" customHeight="false" outlineLevel="0" collapsed="false">
      <c r="B35334" s="0" t="s">
        <v>1</v>
      </c>
    </row>
    <row r="35335" customFormat="false" ht="12.8" hidden="false" customHeight="false" outlineLevel="0" collapsed="false">
      <c r="B35335" s="0" t="s">
        <v>8</v>
      </c>
    </row>
    <row r="35337" customFormat="false" ht="12.8" hidden="false" customHeight="false" outlineLevel="0" collapsed="false">
      <c r="A35337" s="0" t="s">
        <v>13428</v>
      </c>
      <c r="B35337" s="0" t="str">
        <f aca="false">HYPERLINK("https://lindat.mff.cuni.cz/services/teitok/pdtc10/index.php?action=vallex&amp;frame=v-w11943_ZUf1_ZU", "překlopit (v-w11943_ZUf1_ZU)")</f>
        <v>překlopit (v-w11943_ZUf1_ZU)</v>
      </c>
    </row>
    <row r="35338" customFormat="false" ht="12.8" hidden="false" customHeight="false" outlineLevel="0" collapsed="false">
      <c r="B35338" s="0" t="s">
        <v>1</v>
      </c>
    </row>
    <row r="35339" customFormat="false" ht="12.8" hidden="false" customHeight="false" outlineLevel="0" collapsed="false">
      <c r="B35339" s="0" t="s">
        <v>8</v>
      </c>
    </row>
    <row r="35341" customFormat="false" ht="12.8" hidden="false" customHeight="false" outlineLevel="0" collapsed="false">
      <c r="A35341" s="0" t="s">
        <v>13429</v>
      </c>
      <c r="B35341" s="0" t="str">
        <f aca="false">HYPERLINK("https://lindat.mff.cuni.cz/services/teitok/pdtc10/index.php?action=vallex&amp;frame=v-w4836f1", "překládat (v-w4836f1)")</f>
        <v>překládat (v-w4836f1)</v>
      </c>
      <c r="E35341" s="0" t="str">
        <f aca="false">HYPERLINK("https://lindat.mff.cuni.cz/services/SynSemClass40/SynSemClass40.html?veclass=vec01516#vec01516-ces-cm00002", "vec01516")</f>
        <v>vec01516</v>
      </c>
      <c r="F35341" s="0" t="s">
        <v>13430</v>
      </c>
    </row>
    <row r="35342" customFormat="false" ht="12.8" hidden="false" customHeight="false" outlineLevel="0" collapsed="false">
      <c r="B35342" s="0" t="s">
        <v>1</v>
      </c>
      <c r="E35342" s="0" t="s">
        <v>147</v>
      </c>
      <c r="F35342" s="0" t="s">
        <v>5874</v>
      </c>
    </row>
    <row r="35343" customFormat="false" ht="12.8" hidden="false" customHeight="false" outlineLevel="0" collapsed="false">
      <c r="B35343" s="0" t="s">
        <v>8</v>
      </c>
      <c r="E35343" s="0" t="s">
        <v>1569</v>
      </c>
      <c r="F35343" s="0" t="s">
        <v>13431</v>
      </c>
    </row>
    <row r="35344" customFormat="false" ht="12.8" hidden="false" customHeight="false" outlineLevel="0" collapsed="false">
      <c r="B35344" s="0" t="s">
        <v>36</v>
      </c>
      <c r="E35344" s="0" t="s">
        <v>38</v>
      </c>
      <c r="F35344" s="0" t="s">
        <v>8255</v>
      </c>
    </row>
    <row r="35345" customFormat="false" ht="12.8" hidden="false" customHeight="false" outlineLevel="0" collapsed="false">
      <c r="B35345" s="0" t="s">
        <v>245</v>
      </c>
      <c r="E35345" s="0" t="s">
        <v>42</v>
      </c>
      <c r="F35345" s="0" t="s">
        <v>13432</v>
      </c>
    </row>
    <row r="35347" customFormat="false" ht="12.8" hidden="false" customHeight="false" outlineLevel="0" collapsed="false">
      <c r="A35347" s="0" t="s">
        <v>13433</v>
      </c>
      <c r="B35347" s="0" t="str">
        <f aca="false">HYPERLINK("https://lindat.mff.cuni.cz/services/teitok/pdtc10/index.php?action=vallex&amp;frame=v-w11271f1", "překlápět se (v-w11271f1)")</f>
        <v>překlápět se (v-w11271f1)</v>
      </c>
    </row>
    <row r="35348" customFormat="false" ht="12.8" hidden="false" customHeight="false" outlineLevel="0" collapsed="false">
      <c r="B35348" s="0" t="s">
        <v>1</v>
      </c>
    </row>
    <row r="35350" customFormat="false" ht="12.8" hidden="false" customHeight="false" outlineLevel="0" collapsed="false">
      <c r="A35350" s="0" t="s">
        <v>13434</v>
      </c>
      <c r="B35350" s="0" t="str">
        <f aca="false">HYPERLINK("https://lindat.mff.cuni.cz/services/teitok/pdtc10/index.php?action=vallex&amp;frame=v-w4840f1", "překonat (v-w4840f1)")</f>
        <v>překonat (v-w4840f1)</v>
      </c>
      <c r="E35350" s="0" t="str">
        <f aca="false">HYPERLINK("https://lindat.mff.cuni.cz/services/SynSemClass40/SynSemClass40.html?veclass=vec00279#vec00279-ces-cm00001", "vec00279")</f>
        <v>vec00279</v>
      </c>
      <c r="F35350" s="0" t="s">
        <v>9067</v>
      </c>
    </row>
    <row r="35351" customFormat="false" ht="12.8" hidden="false" customHeight="false" outlineLevel="0" collapsed="false">
      <c r="B35351" s="0" t="s">
        <v>1</v>
      </c>
      <c r="C35351" s="0" t="s">
        <v>9068</v>
      </c>
      <c r="E35351" s="0" t="s">
        <v>11</v>
      </c>
      <c r="F35351" s="0" t="s">
        <v>9069</v>
      </c>
    </row>
    <row r="35352" customFormat="false" ht="12.8" hidden="false" customHeight="false" outlineLevel="0" collapsed="false">
      <c r="B35352" s="0" t="s">
        <v>8</v>
      </c>
      <c r="C35352" s="0" t="s">
        <v>9070</v>
      </c>
      <c r="E35352" s="0" t="s">
        <v>7635</v>
      </c>
      <c r="F35352" s="0" t="s">
        <v>9071</v>
      </c>
    </row>
    <row r="35354" customFormat="false" ht="12.8" hidden="false" customHeight="false" outlineLevel="0" collapsed="false">
      <c r="A35354" s="0" t="s">
        <v>13435</v>
      </c>
      <c r="B35354" s="0" t="str">
        <f aca="false">HYPERLINK("https://lindat.mff.cuni.cz/services/teitok/pdtc10/index.php?action=vallex&amp;frame=v-w4840f2_ZU", "překonat (v-w4840f2_ZU)")</f>
        <v>překonat (v-w4840f2_ZU)</v>
      </c>
      <c r="E35354" s="0" t="str">
        <f aca="false">HYPERLINK("https://lindat.mff.cuni.cz/services/SynSemClass40/SynSemClass40.html?veclass=vec00279#vec00279-ces-cm00023", "vec00279")</f>
        <v>vec00279</v>
      </c>
      <c r="F35354" s="0" t="s">
        <v>9067</v>
      </c>
    </row>
    <row r="35355" customFormat="false" ht="12.8" hidden="false" customHeight="false" outlineLevel="0" collapsed="false">
      <c r="B35355" s="0" t="s">
        <v>1</v>
      </c>
      <c r="C35355" s="0" t="s">
        <v>9068</v>
      </c>
      <c r="E35355" s="0" t="s">
        <v>11</v>
      </c>
      <c r="F35355" s="0" t="s">
        <v>9069</v>
      </c>
    </row>
    <row r="35356" customFormat="false" ht="12.8" hidden="false" customHeight="false" outlineLevel="0" collapsed="false">
      <c r="B35356" s="0" t="s">
        <v>8</v>
      </c>
      <c r="C35356" s="0" t="s">
        <v>9070</v>
      </c>
      <c r="E35356" s="0" t="s">
        <v>7635</v>
      </c>
      <c r="F35356" s="0" t="s">
        <v>9071</v>
      </c>
    </row>
    <row r="35358" customFormat="false" ht="12.8" hidden="false" customHeight="false" outlineLevel="0" collapsed="false">
      <c r="A35358" s="0" t="s">
        <v>13436</v>
      </c>
      <c r="B35358" s="0" t="str">
        <f aca="false">HYPERLINK("https://lindat.mff.cuni.cz/services/teitok/pdtc10/index.php?action=vallex&amp;frame=v-w4840f3_ZU", "překonat (v-w4840f3_ZU)")</f>
        <v>překonat (v-w4840f3_ZU)</v>
      </c>
      <c r="E35358" s="0" t="str">
        <f aca="false">HYPERLINK("https://lindat.mff.cuni.cz/services/SynSemClass40/SynSemClass40.html?veclass=vec00280#vec00280-ces-cm00020", "vec00280")</f>
        <v>vec00280</v>
      </c>
      <c r="F35358" s="0" t="s">
        <v>13320</v>
      </c>
    </row>
    <row r="35359" customFormat="false" ht="12.8" hidden="false" customHeight="false" outlineLevel="0" collapsed="false">
      <c r="B35359" s="0" t="s">
        <v>1</v>
      </c>
      <c r="C35359" s="0" t="s">
        <v>13437</v>
      </c>
      <c r="E35359" s="0" t="s">
        <v>957</v>
      </c>
      <c r="F35359" s="0" t="s">
        <v>13322</v>
      </c>
    </row>
    <row r="35360" customFormat="false" ht="12.8" hidden="false" customHeight="false" outlineLevel="0" collapsed="false">
      <c r="B35360" s="0" t="s">
        <v>8</v>
      </c>
      <c r="C35360" s="0" t="s">
        <v>13438</v>
      </c>
      <c r="E35360" s="0" t="s">
        <v>2732</v>
      </c>
      <c r="F35360" s="0" t="s">
        <v>13324</v>
      </c>
    </row>
    <row r="35362" customFormat="false" ht="12.8" hidden="false" customHeight="false" outlineLevel="0" collapsed="false">
      <c r="A35362" s="0" t="s">
        <v>13439</v>
      </c>
      <c r="B35362" s="0" t="str">
        <f aca="false">HYPERLINK("https://lindat.mff.cuni.cz/services/teitok/pdtc10/index.php?action=vallex&amp;frame=v-w4841f1", "překonat se (v-w4841f1)")</f>
        <v>překonat se (v-w4841f1)</v>
      </c>
      <c r="E35362" s="0" t="str">
        <f aca="false">HYPERLINK("https://lindat.mff.cuni.cz/services/SynSemClass40/SynSemClass40.html?veclass=vec01433#vec01433-ces-cm00003", "vec01433")</f>
        <v>vec01433</v>
      </c>
      <c r="F35362" s="0" t="s">
        <v>13440</v>
      </c>
    </row>
    <row r="35363" customFormat="false" ht="12.8" hidden="false" customHeight="false" outlineLevel="0" collapsed="false">
      <c r="B35363" s="0" t="s">
        <v>1</v>
      </c>
      <c r="E35363" s="0" t="s">
        <v>519</v>
      </c>
      <c r="F35363" s="0" t="s">
        <v>13441</v>
      </c>
    </row>
    <row r="35365" customFormat="false" ht="12.8" hidden="false" customHeight="false" outlineLevel="0" collapsed="false">
      <c r="A35365" s="0" t="s">
        <v>13442</v>
      </c>
      <c r="B35365" s="0" t="str">
        <f aca="false">HYPERLINK("https://lindat.mff.cuni.cz/services/teitok/pdtc10/index.php?action=vallex&amp;frame=v-w10242f2", "překontrolovat (v-w10242f2)")</f>
        <v>překontrolovat (v-w10242f2)</v>
      </c>
    </row>
    <row r="35366" customFormat="false" ht="12.8" hidden="false" customHeight="false" outlineLevel="0" collapsed="false">
      <c r="B35366" s="0" t="s">
        <v>1</v>
      </c>
    </row>
    <row r="35367" customFormat="false" ht="12.8" hidden="false" customHeight="false" outlineLevel="0" collapsed="false">
      <c r="B35367" s="0" t="s">
        <v>13443</v>
      </c>
    </row>
    <row r="35369" customFormat="false" ht="12.8" hidden="false" customHeight="false" outlineLevel="0" collapsed="false">
      <c r="A35369" s="0" t="s">
        <v>13444</v>
      </c>
      <c r="B35369" s="0" t="str">
        <f aca="false">HYPERLINK("https://lindat.mff.cuni.cz/services/teitok/pdtc10/index.php?action=vallex&amp;frame=v-w4843f1", "překonávat (v-w4843f1)")</f>
        <v>překonávat (v-w4843f1)</v>
      </c>
      <c r="E35369" s="0" t="str">
        <f aca="false">HYPERLINK("https://lindat.mff.cuni.cz/services/SynSemClass40/SynSemClass40.html?veclass=vec00279#vec00279-ces-cm00025", "vec00279")</f>
        <v>vec00279</v>
      </c>
      <c r="F35369" s="0" t="s">
        <v>9067</v>
      </c>
      <c r="H35369" s="0" t="str">
        <f aca="false">HYPERLINK("https://lindat.mff.cuni.cz/services/SynSemClass40/SynSemClass40.html?veclass=vec00280#vec00280-ces-cm00021", "vec00280")</f>
        <v>vec00280</v>
      </c>
      <c r="I35369" s="0" t="s">
        <v>13320</v>
      </c>
    </row>
    <row r="35370" customFormat="false" ht="12.8" hidden="false" customHeight="false" outlineLevel="0" collapsed="false">
      <c r="B35370" s="0" t="s">
        <v>1</v>
      </c>
      <c r="C35370" s="0" t="s">
        <v>13445</v>
      </c>
      <c r="E35370" s="0" t="s">
        <v>11</v>
      </c>
      <c r="F35370" s="0" t="s">
        <v>9069</v>
      </c>
      <c r="H35370" s="0" t="s">
        <v>957</v>
      </c>
      <c r="I35370" s="0" t="s">
        <v>13322</v>
      </c>
    </row>
    <row r="35371" customFormat="false" ht="12.8" hidden="false" customHeight="false" outlineLevel="0" collapsed="false">
      <c r="B35371" s="0" t="s">
        <v>8</v>
      </c>
      <c r="C35371" s="0" t="s">
        <v>13446</v>
      </c>
      <c r="E35371" s="0" t="s">
        <v>7635</v>
      </c>
      <c r="F35371" s="0" t="s">
        <v>9071</v>
      </c>
      <c r="H35371" s="0" t="s">
        <v>2732</v>
      </c>
      <c r="I35371" s="0" t="s">
        <v>13324</v>
      </c>
    </row>
    <row r="35373" customFormat="false" ht="12.8" hidden="false" customHeight="false" outlineLevel="0" collapsed="false">
      <c r="A35373" s="0" t="s">
        <v>13447</v>
      </c>
      <c r="B35373" s="0" t="str">
        <f aca="false">HYPERLINK("https://lindat.mff.cuni.cz/services/teitok/pdtc10/index.php?action=vallex&amp;frame=v-w4844f1", "překonávat se (v-w4844f1)")</f>
        <v>překonávat se (v-w4844f1)</v>
      </c>
      <c r="E35373" s="0" t="str">
        <f aca="false">HYPERLINK("https://lindat.mff.cuni.cz/services/SynSemClass40/SynSemClass40.html?veclass=vec01433#vec01433-ces-cm00004", "vec01433")</f>
        <v>vec01433</v>
      </c>
      <c r="F35373" s="0" t="s">
        <v>13440</v>
      </c>
    </row>
    <row r="35374" customFormat="false" ht="12.8" hidden="false" customHeight="false" outlineLevel="0" collapsed="false">
      <c r="B35374" s="0" t="s">
        <v>1</v>
      </c>
      <c r="E35374" s="0" t="s">
        <v>519</v>
      </c>
      <c r="F35374" s="0" t="s">
        <v>13441</v>
      </c>
    </row>
    <row r="35376" customFormat="false" ht="12.8" hidden="false" customHeight="false" outlineLevel="0" collapsed="false">
      <c r="A35376" s="0" t="s">
        <v>13448</v>
      </c>
      <c r="B35376" s="0" t="str">
        <f aca="false">HYPERLINK("https://lindat.mff.cuni.cz/services/teitok/pdtc10/index.php?action=vallex&amp;frame=v-w4845f1", "překopnout (v-w4845f1)")</f>
        <v>překopnout (v-w4845f1)</v>
      </c>
    </row>
    <row r="35377" customFormat="false" ht="12.8" hidden="false" customHeight="false" outlineLevel="0" collapsed="false">
      <c r="B35377" s="0" t="s">
        <v>1</v>
      </c>
    </row>
    <row r="35378" customFormat="false" ht="12.8" hidden="false" customHeight="false" outlineLevel="0" collapsed="false">
      <c r="B35378" s="0" t="s">
        <v>8</v>
      </c>
    </row>
    <row r="35380" customFormat="false" ht="12.8" hidden="false" customHeight="false" outlineLevel="0" collapsed="false">
      <c r="A35380" s="0" t="s">
        <v>13449</v>
      </c>
      <c r="B35380" s="0" t="str">
        <f aca="false">HYPERLINK("https://lindat.mff.cuni.cz/services/teitok/pdtc10/index.php?action=vallex&amp;frame=v-w4845f2", "překopnout (v-w4845f2)")</f>
        <v>překopnout (v-w4845f2)</v>
      </c>
    </row>
    <row r="35381" customFormat="false" ht="12.8" hidden="false" customHeight="false" outlineLevel="0" collapsed="false">
      <c r="B35381" s="0" t="s">
        <v>1</v>
      </c>
    </row>
    <row r="35382" customFormat="false" ht="12.8" hidden="false" customHeight="false" outlineLevel="0" collapsed="false">
      <c r="B35382" s="0" t="s">
        <v>8</v>
      </c>
    </row>
    <row r="35384" customFormat="false" ht="12.8" hidden="false" customHeight="false" outlineLevel="0" collapsed="false">
      <c r="A35384" s="0" t="s">
        <v>13450</v>
      </c>
      <c r="B35384" s="0" t="str">
        <f aca="false">HYPERLINK("https://lindat.mff.cuni.cz/services/teitok/pdtc10/index.php?action=vallex&amp;frame=v-w4846f1", "překousnout (v-w4846f1)")</f>
        <v>překousnout (v-w4846f1)</v>
      </c>
    </row>
    <row r="35385" customFormat="false" ht="12.8" hidden="false" customHeight="false" outlineLevel="0" collapsed="false">
      <c r="B35385" s="0" t="s">
        <v>1</v>
      </c>
    </row>
    <row r="35386" customFormat="false" ht="12.8" hidden="false" customHeight="false" outlineLevel="0" collapsed="false">
      <c r="B35386" s="0" t="s">
        <v>8</v>
      </c>
    </row>
    <row r="35388" customFormat="false" ht="12.8" hidden="false" customHeight="false" outlineLevel="0" collapsed="false">
      <c r="A35388" s="0" t="s">
        <v>13451</v>
      </c>
      <c r="B35388" s="0" t="str">
        <f aca="false">HYPERLINK("https://lindat.mff.cuni.cz/services/teitok/pdtc10/index.php?action=vallex&amp;frame=v-w4848f1", "překračovat (v-w4848f1)")</f>
        <v>překračovat (v-w4848f1)</v>
      </c>
      <c r="E35388" s="0" t="str">
        <f aca="false">HYPERLINK("https://lindat.mff.cuni.cz/services/SynSemClass40/SynSemClass40.html?veclass=vec00280#vec00280-ces-cm00022", "vec00280")</f>
        <v>vec00280</v>
      </c>
      <c r="F35388" s="0" t="s">
        <v>13320</v>
      </c>
    </row>
    <row r="35389" customFormat="false" ht="12.8" hidden="false" customHeight="false" outlineLevel="0" collapsed="false">
      <c r="B35389" s="0" t="s">
        <v>1</v>
      </c>
      <c r="C35389" s="0" t="s">
        <v>13437</v>
      </c>
      <c r="E35389" s="0" t="s">
        <v>957</v>
      </c>
      <c r="F35389" s="0" t="s">
        <v>13322</v>
      </c>
    </row>
    <row r="35390" customFormat="false" ht="12.8" hidden="false" customHeight="false" outlineLevel="0" collapsed="false">
      <c r="B35390" s="0" t="s">
        <v>8</v>
      </c>
      <c r="C35390" s="0" t="s">
        <v>13438</v>
      </c>
      <c r="E35390" s="0" t="s">
        <v>2732</v>
      </c>
      <c r="F35390" s="0" t="s">
        <v>13324</v>
      </c>
    </row>
    <row r="35392" customFormat="false" ht="12.8" hidden="false" customHeight="false" outlineLevel="0" collapsed="false">
      <c r="A35392" s="0" t="s">
        <v>13452</v>
      </c>
      <c r="B35392" s="0" t="str">
        <f aca="false">HYPERLINK("https://lindat.mff.cuni.cz/services/teitok/pdtc10/index.php?action=vallex&amp;frame=v-w4848hsa_572", "překračovat (v-w4848hsa_572)")</f>
        <v>překračovat (v-w4848hsa_572)</v>
      </c>
      <c r="E35392" s="0" t="str">
        <f aca="false">HYPERLINK("https://lindat.mff.cuni.cz/services/SynSemClass40/SynSemClass40.html?veclass=vec00280#vec00280-ces-cm00023", "vec00280")</f>
        <v>vec00280</v>
      </c>
      <c r="F35392" s="0" t="s">
        <v>13320</v>
      </c>
    </row>
    <row r="35393" customFormat="false" ht="12.8" hidden="false" customHeight="false" outlineLevel="0" collapsed="false">
      <c r="B35393" s="0" t="s">
        <v>1</v>
      </c>
      <c r="C35393" s="0" t="s">
        <v>13437</v>
      </c>
      <c r="E35393" s="0" t="s">
        <v>957</v>
      </c>
      <c r="F35393" s="0" t="s">
        <v>13322</v>
      </c>
    </row>
    <row r="35394" customFormat="false" ht="12.8" hidden="false" customHeight="false" outlineLevel="0" collapsed="false">
      <c r="B35394" s="0" t="s">
        <v>8</v>
      </c>
      <c r="C35394" s="0" t="s">
        <v>13438</v>
      </c>
      <c r="E35394" s="0" t="s">
        <v>2732</v>
      </c>
      <c r="F35394" s="0" t="s">
        <v>13324</v>
      </c>
    </row>
    <row r="35396" customFormat="false" ht="12.8" hidden="false" customHeight="false" outlineLevel="0" collapsed="false">
      <c r="A35396" s="0" t="s">
        <v>13453</v>
      </c>
      <c r="B35396" s="0" t="str">
        <f aca="false">HYPERLINK("https://lindat.mff.cuni.cz/services/teitok/pdtc10/index.php?action=vallex&amp;frame=v-w4848hsa_573", "překračovat (v-w4848hsa_573)")</f>
        <v>překračovat (v-w4848hsa_573)</v>
      </c>
      <c r="E35396" s="0" t="str">
        <f aca="false">HYPERLINK("https://lindat.mff.cuni.cz/services/SynSemClass40/SynSemClass40.html?veclass=vec00280#vec00280-ces-cm00024", "vec00280")</f>
        <v>vec00280</v>
      </c>
      <c r="F35396" s="0" t="s">
        <v>13320</v>
      </c>
    </row>
    <row r="35397" customFormat="false" ht="12.8" hidden="false" customHeight="false" outlineLevel="0" collapsed="false">
      <c r="B35397" s="0" t="s">
        <v>1</v>
      </c>
      <c r="C35397" s="0" t="s">
        <v>13437</v>
      </c>
      <c r="E35397" s="0" t="s">
        <v>957</v>
      </c>
      <c r="F35397" s="0" t="s">
        <v>13322</v>
      </c>
    </row>
    <row r="35398" customFormat="false" ht="12.8" hidden="false" customHeight="false" outlineLevel="0" collapsed="false">
      <c r="B35398" s="0" t="s">
        <v>8</v>
      </c>
      <c r="C35398" s="0" t="s">
        <v>13438</v>
      </c>
      <c r="E35398" s="0" t="s">
        <v>2732</v>
      </c>
      <c r="F35398" s="0" t="s">
        <v>13324</v>
      </c>
    </row>
    <row r="35400" customFormat="false" ht="12.8" hidden="false" customHeight="false" outlineLevel="0" collapsed="false">
      <c r="A35400" s="0" t="s">
        <v>13454</v>
      </c>
      <c r="B35400" s="0" t="str">
        <f aca="false">HYPERLINK("https://lindat.mff.cuni.cz/services/teitok/pdtc10/index.php?action=vallex&amp;frame=v-w4848f2_ZU", "překračovat (v-w4848f2_ZU)")</f>
        <v>překračovat (v-w4848f2_ZU)</v>
      </c>
    </row>
    <row r="35401" customFormat="false" ht="12.8" hidden="false" customHeight="false" outlineLevel="0" collapsed="false">
      <c r="B35401" s="0" t="s">
        <v>1</v>
      </c>
    </row>
    <row r="35402" customFormat="false" ht="12.8" hidden="false" customHeight="false" outlineLevel="0" collapsed="false">
      <c r="B35402" s="0" t="s">
        <v>8</v>
      </c>
    </row>
    <row r="35404" customFormat="false" ht="12.8" hidden="false" customHeight="false" outlineLevel="0" collapsed="false">
      <c r="A35404" s="0" t="s">
        <v>13455</v>
      </c>
      <c r="B35404" s="0" t="str">
        <f aca="false">HYPERLINK("https://lindat.mff.cuni.cz/services/teitok/pdtc10/index.php?action=vallex&amp;frame=v-w4849f1", "překreslovat (v-w4849f1)")</f>
        <v>překreslovat (v-w4849f1)</v>
      </c>
    </row>
    <row r="35405" customFormat="false" ht="12.8" hidden="false" customHeight="false" outlineLevel="0" collapsed="false">
      <c r="B35405" s="0" t="s">
        <v>1</v>
      </c>
    </row>
    <row r="35406" customFormat="false" ht="12.8" hidden="false" customHeight="false" outlineLevel="0" collapsed="false">
      <c r="B35406" s="0" t="s">
        <v>8</v>
      </c>
    </row>
    <row r="35408" customFormat="false" ht="12.8" hidden="false" customHeight="false" outlineLevel="0" collapsed="false">
      <c r="A35408" s="0" t="s">
        <v>13456</v>
      </c>
      <c r="B35408" s="0" t="str">
        <f aca="false">HYPERLINK("https://lindat.mff.cuni.cz/services/teitok/pdtc10/index.php?action=vallex&amp;frame=v-w4850f1", "překrmovat (v-w4850f1)")</f>
        <v>překrmovat (v-w4850f1)</v>
      </c>
    </row>
    <row r="35409" customFormat="false" ht="12.8" hidden="false" customHeight="false" outlineLevel="0" collapsed="false">
      <c r="B35409" s="0" t="s">
        <v>1</v>
      </c>
    </row>
    <row r="35410" customFormat="false" ht="12.8" hidden="false" customHeight="false" outlineLevel="0" collapsed="false">
      <c r="B35410" s="0" t="s">
        <v>8</v>
      </c>
    </row>
    <row r="35412" customFormat="false" ht="12.8" hidden="false" customHeight="false" outlineLevel="0" collapsed="false">
      <c r="A35412" s="0" t="s">
        <v>13457</v>
      </c>
      <c r="B35412" s="0" t="str">
        <f aca="false">HYPERLINK("https://lindat.mff.cuni.cz/services/teitok/pdtc10/index.php?action=vallex&amp;frame=v-w4854f1", "překroutit (v-w4854f1)")</f>
        <v>překroutit (v-w4854f1)</v>
      </c>
      <c r="E35412" s="0" t="str">
        <f aca="false">HYPERLINK("https://lindat.mff.cuni.cz/services/SynSemClass40/SynSemClass40.html?veclass=vec00791#vec00791-ces-cm00003", "vec00791")</f>
        <v>vec00791</v>
      </c>
      <c r="F35412" s="0" t="s">
        <v>4768</v>
      </c>
    </row>
    <row r="35413" customFormat="false" ht="12.8" hidden="false" customHeight="false" outlineLevel="0" collapsed="false">
      <c r="B35413" s="0" t="s">
        <v>1</v>
      </c>
      <c r="C35413" s="0" t="s">
        <v>4264</v>
      </c>
      <c r="E35413" s="0" t="s">
        <v>4726</v>
      </c>
      <c r="F35413" s="0" t="s">
        <v>4769</v>
      </c>
    </row>
    <row r="35414" customFormat="false" ht="12.8" hidden="false" customHeight="false" outlineLevel="0" collapsed="false">
      <c r="B35414" s="0" t="s">
        <v>59</v>
      </c>
      <c r="C35414" s="0" t="s">
        <v>4770</v>
      </c>
      <c r="E35414" s="0" t="s">
        <v>142</v>
      </c>
      <c r="F35414" s="0" t="s">
        <v>4771</v>
      </c>
    </row>
    <row r="35416" customFormat="false" ht="12.8" hidden="false" customHeight="false" outlineLevel="0" collapsed="false">
      <c r="A35416" s="0" t="s">
        <v>13458</v>
      </c>
      <c r="B35416" s="0" t="str">
        <f aca="false">HYPERLINK("https://lindat.mff.cuni.cz/services/teitok/pdtc10/index.php?action=vallex&amp;frame=v-w4852f1", "překročit (v-w4852f1)")</f>
        <v>překročit (v-w4852f1)</v>
      </c>
      <c r="E35416" s="0" t="str">
        <f aca="false">HYPERLINK("https://lindat.mff.cuni.cz/services/SynSemClass40/SynSemClass40.html?veclass=vec00280#vec00280-ces-cm00025", "vec00280")</f>
        <v>vec00280</v>
      </c>
      <c r="F35416" s="0" t="s">
        <v>13320</v>
      </c>
    </row>
    <row r="35417" customFormat="false" ht="12.8" hidden="false" customHeight="false" outlineLevel="0" collapsed="false">
      <c r="B35417" s="0" t="s">
        <v>1</v>
      </c>
      <c r="C35417" s="0" t="s">
        <v>13437</v>
      </c>
      <c r="E35417" s="0" t="s">
        <v>957</v>
      </c>
      <c r="F35417" s="0" t="s">
        <v>13322</v>
      </c>
    </row>
    <row r="35418" customFormat="false" ht="12.8" hidden="false" customHeight="false" outlineLevel="0" collapsed="false">
      <c r="B35418" s="0" t="s">
        <v>8</v>
      </c>
      <c r="C35418" s="0" t="s">
        <v>13438</v>
      </c>
      <c r="E35418" s="0" t="s">
        <v>2732</v>
      </c>
      <c r="F35418" s="0" t="s">
        <v>13324</v>
      </c>
    </row>
    <row r="35420" customFormat="false" ht="12.8" hidden="false" customHeight="false" outlineLevel="0" collapsed="false">
      <c r="A35420" s="0" t="s">
        <v>13459</v>
      </c>
      <c r="B35420" s="0" t="str">
        <f aca="false">HYPERLINK("https://lindat.mff.cuni.cz/services/teitok/pdtc10/index.php?action=vallex&amp;frame=v-w4852f2", "překročit (v-w4852f2)")</f>
        <v>překročit (v-w4852f2)</v>
      </c>
      <c r="E35420" s="0" t="str">
        <f aca="false">HYPERLINK("https://lindat.mff.cuni.cz/services/SynSemClass40/SynSemClass40.html?veclass=vec00280#vec00280-ces-cm00001", "vec00280")</f>
        <v>vec00280</v>
      </c>
      <c r="F35420" s="0" t="s">
        <v>13320</v>
      </c>
    </row>
    <row r="35421" customFormat="false" ht="12.8" hidden="false" customHeight="false" outlineLevel="0" collapsed="false">
      <c r="B35421" s="0" t="s">
        <v>1</v>
      </c>
      <c r="C35421" s="0" t="s">
        <v>13437</v>
      </c>
      <c r="E35421" s="0" t="s">
        <v>957</v>
      </c>
      <c r="F35421" s="0" t="s">
        <v>13322</v>
      </c>
    </row>
    <row r="35422" customFormat="false" ht="12.8" hidden="false" customHeight="false" outlineLevel="0" collapsed="false">
      <c r="B35422" s="0" t="s">
        <v>8</v>
      </c>
      <c r="C35422" s="0" t="s">
        <v>13438</v>
      </c>
      <c r="E35422" s="0" t="s">
        <v>2732</v>
      </c>
      <c r="F35422" s="0" t="s">
        <v>13324</v>
      </c>
    </row>
    <row r="35424" customFormat="false" ht="12.8" hidden="false" customHeight="false" outlineLevel="0" collapsed="false">
      <c r="A35424" s="0" t="s">
        <v>13460</v>
      </c>
      <c r="B35424" s="0" t="str">
        <f aca="false">HYPERLINK("https://lindat.mff.cuni.cz/services/teitok/pdtc10/index.php?action=vallex&amp;frame=v-w4852hsa_1958", "překročit (v-w4852hsa_1958)")</f>
        <v>překročit (v-w4852hsa_1958)</v>
      </c>
    </row>
    <row r="35425" customFormat="false" ht="12.8" hidden="false" customHeight="false" outlineLevel="0" collapsed="false">
      <c r="B35425" s="0" t="s">
        <v>1</v>
      </c>
    </row>
    <row r="35426" customFormat="false" ht="12.8" hidden="false" customHeight="false" outlineLevel="0" collapsed="false">
      <c r="B35426" s="0" t="s">
        <v>8</v>
      </c>
    </row>
    <row r="35428" customFormat="false" ht="12.8" hidden="false" customHeight="false" outlineLevel="0" collapsed="false">
      <c r="A35428" s="0" t="s">
        <v>13461</v>
      </c>
      <c r="B35428" s="0" t="str">
        <f aca="false">HYPERLINK("https://lindat.mff.cuni.cz/services/teitok/pdtc10/index.php?action=vallex&amp;frame=v-w10708f2", "překrucovat (v-w10708f2)")</f>
        <v>překrucovat (v-w10708f2)</v>
      </c>
      <c r="E35428" s="0" t="str">
        <f aca="false">HYPERLINK("https://lindat.mff.cuni.cz/services/SynSemClass40/SynSemClass40.html?veclass=vec00791#vec00791-ces-cm00009", "vec00791")</f>
        <v>vec00791</v>
      </c>
      <c r="F35428" s="0" t="s">
        <v>4768</v>
      </c>
    </row>
    <row r="35429" customFormat="false" ht="12.8" hidden="false" customHeight="false" outlineLevel="0" collapsed="false">
      <c r="B35429" s="0" t="s">
        <v>1</v>
      </c>
      <c r="C35429" s="0" t="s">
        <v>4264</v>
      </c>
      <c r="E35429" s="0" t="s">
        <v>4726</v>
      </c>
      <c r="F35429" s="0" t="s">
        <v>4769</v>
      </c>
    </row>
    <row r="35430" customFormat="false" ht="12.8" hidden="false" customHeight="false" outlineLevel="0" collapsed="false">
      <c r="B35430" s="0" t="s">
        <v>8</v>
      </c>
      <c r="C35430" s="0" t="s">
        <v>4770</v>
      </c>
      <c r="E35430" s="0" t="s">
        <v>142</v>
      </c>
      <c r="F35430" s="0" t="s">
        <v>4771</v>
      </c>
    </row>
    <row r="35432" customFormat="false" ht="12.8" hidden="false" customHeight="false" outlineLevel="0" collapsed="false">
      <c r="A35432" s="0" t="s">
        <v>13462</v>
      </c>
      <c r="B35432" s="0" t="str">
        <f aca="false">HYPERLINK("https://lindat.mff.cuni.cz/services/teitok/pdtc10/index.php?action=vallex&amp;frame=v-w4856f1", "překrýt (v-w4856f1)")</f>
        <v>překrýt (v-w4856f1)</v>
      </c>
    </row>
    <row r="35433" customFormat="false" ht="12.8" hidden="false" customHeight="false" outlineLevel="0" collapsed="false">
      <c r="B35433" s="0" t="s">
        <v>1</v>
      </c>
    </row>
    <row r="35434" customFormat="false" ht="12.8" hidden="false" customHeight="false" outlineLevel="0" collapsed="false">
      <c r="B35434" s="0" t="s">
        <v>59</v>
      </c>
    </row>
    <row r="35436" customFormat="false" ht="12.8" hidden="false" customHeight="false" outlineLevel="0" collapsed="false">
      <c r="A35436" s="0" t="s">
        <v>13463</v>
      </c>
      <c r="B35436" s="0" t="str">
        <f aca="false">HYPERLINK("https://lindat.mff.cuni.cz/services/teitok/pdtc10/index.php?action=vallex&amp;frame=v-w4856f2", "překrýt (v-w4856f2)")</f>
        <v>překrýt (v-w4856f2)</v>
      </c>
    </row>
    <row r="35437" customFormat="false" ht="12.8" hidden="false" customHeight="false" outlineLevel="0" collapsed="false">
      <c r="B35437" s="0" t="s">
        <v>1</v>
      </c>
    </row>
    <row r="35438" customFormat="false" ht="12.8" hidden="false" customHeight="false" outlineLevel="0" collapsed="false">
      <c r="B35438" s="0" t="s">
        <v>8</v>
      </c>
    </row>
    <row r="35440" customFormat="false" ht="12.8" hidden="false" customHeight="false" outlineLevel="0" collapsed="false">
      <c r="A35440" s="0" t="s">
        <v>13464</v>
      </c>
      <c r="B35440" s="0" t="str">
        <f aca="false">HYPERLINK("https://lindat.mff.cuni.cz/services/teitok/pdtc10/index.php?action=vallex&amp;frame=v-w4856f3_ZU", "překrýt (v-w4856f3_ZU)")</f>
        <v>překrýt (v-w4856f3_ZU)</v>
      </c>
    </row>
    <row r="35441" customFormat="false" ht="12.8" hidden="false" customHeight="false" outlineLevel="0" collapsed="false">
      <c r="B35441" s="0" t="s">
        <v>1</v>
      </c>
    </row>
    <row r="35442" customFormat="false" ht="12.8" hidden="false" customHeight="false" outlineLevel="0" collapsed="false">
      <c r="B35442" s="0" t="s">
        <v>8</v>
      </c>
    </row>
    <row r="35444" customFormat="false" ht="12.8" hidden="false" customHeight="false" outlineLevel="0" collapsed="false">
      <c r="A35444" s="0" t="s">
        <v>13465</v>
      </c>
      <c r="B35444" s="0" t="str">
        <f aca="false">HYPERLINK("https://lindat.mff.cuni.cz/services/teitok/pdtc10/index.php?action=vallex&amp;frame=v-w10338f3", "překrývat (v-w10338f3)")</f>
        <v>překrývat (v-w10338f3)</v>
      </c>
      <c r="E35444" s="0" t="str">
        <f aca="false">HYPERLINK("https://lindat.mff.cuni.cz/services/SynSemClass40/SynSemClass40.html?veclass=vec00872#vec00872-ces-cm00018", "vec00872")</f>
        <v>vec00872</v>
      </c>
      <c r="F35444" s="0" t="s">
        <v>8290</v>
      </c>
    </row>
    <row r="35445" customFormat="false" ht="12.8" hidden="false" customHeight="false" outlineLevel="0" collapsed="false">
      <c r="B35445" s="0" t="s">
        <v>1</v>
      </c>
      <c r="C35445" s="0" t="s">
        <v>8291</v>
      </c>
      <c r="E35445" s="0" t="s">
        <v>8292</v>
      </c>
      <c r="F35445" s="0" t="s">
        <v>8293</v>
      </c>
    </row>
    <row r="35446" customFormat="false" ht="12.8" hidden="false" customHeight="false" outlineLevel="0" collapsed="false">
      <c r="B35446" s="0" t="s">
        <v>59</v>
      </c>
      <c r="C35446" s="0" t="s">
        <v>2627</v>
      </c>
      <c r="E35446" s="0" t="s">
        <v>8294</v>
      </c>
      <c r="F35446" s="0" t="s">
        <v>8295</v>
      </c>
    </row>
    <row r="35448" customFormat="false" ht="12.8" hidden="false" customHeight="false" outlineLevel="0" collapsed="false">
      <c r="A35448" s="0" t="s">
        <v>13466</v>
      </c>
      <c r="B35448" s="0" t="str">
        <f aca="false">HYPERLINK("https://lindat.mff.cuni.cz/services/teitok/pdtc10/index.php?action=vallex&amp;frame=v-w10338f2", "překrývat (v-w10338f2)")</f>
        <v>překrývat (v-w10338f2)</v>
      </c>
      <c r="E35448" s="0" t="str">
        <f aca="false">HYPERLINK("https://lindat.mff.cuni.cz/services/SynSemClass40/SynSemClass40.html?veclass=vec00872#vec00872-ces-cm00017", "vec00872")</f>
        <v>vec00872</v>
      </c>
      <c r="F35448" s="0" t="s">
        <v>8290</v>
      </c>
    </row>
    <row r="35449" customFormat="false" ht="12.8" hidden="false" customHeight="false" outlineLevel="0" collapsed="false">
      <c r="B35449" s="0" t="s">
        <v>1</v>
      </c>
      <c r="C35449" s="0" t="s">
        <v>8291</v>
      </c>
      <c r="E35449" s="0" t="s">
        <v>8292</v>
      </c>
      <c r="F35449" s="0" t="s">
        <v>8293</v>
      </c>
    </row>
    <row r="35450" customFormat="false" ht="12.8" hidden="false" customHeight="false" outlineLevel="0" collapsed="false">
      <c r="B35450" s="0" t="s">
        <v>8</v>
      </c>
      <c r="C35450" s="0" t="s">
        <v>2627</v>
      </c>
      <c r="E35450" s="0" t="s">
        <v>8294</v>
      </c>
      <c r="F35450" s="0" t="s">
        <v>8295</v>
      </c>
    </row>
    <row r="35452" customFormat="false" ht="12.8" hidden="false" customHeight="false" outlineLevel="0" collapsed="false">
      <c r="A35452" s="0" t="s">
        <v>13467</v>
      </c>
      <c r="B35452" s="0" t="str">
        <f aca="false">HYPERLINK("https://lindat.mff.cuni.cz/services/teitok/pdtc10/index.php?action=vallex&amp;frame=v-w11289f1", "překrývat se (v-w11289f1)")</f>
        <v>překrývat se (v-w11289f1)</v>
      </c>
      <c r="E35452" s="0" t="str">
        <f aca="false">HYPERLINK("https://lindat.mff.cuni.cz/services/SynSemClass40/SynSemClass40.html?veclass=vec00892#vec00892-ces-cm00001", "vec00892")</f>
        <v>vec00892</v>
      </c>
      <c r="F35452" s="0" t="s">
        <v>5820</v>
      </c>
    </row>
    <row r="35453" customFormat="false" ht="12.8" hidden="false" customHeight="false" outlineLevel="0" collapsed="false">
      <c r="B35453" s="0" t="s">
        <v>1</v>
      </c>
      <c r="C35453" s="0" t="s">
        <v>5821</v>
      </c>
      <c r="E35453" s="0" t="s">
        <v>5822</v>
      </c>
      <c r="F35453" s="0" t="s">
        <v>5823</v>
      </c>
    </row>
    <row r="35454" customFormat="false" ht="12.8" hidden="false" customHeight="false" outlineLevel="0" collapsed="false">
      <c r="B35454" s="0" t="s">
        <v>721</v>
      </c>
      <c r="C35454" s="0" t="s">
        <v>800</v>
      </c>
      <c r="E35454" s="0" t="s">
        <v>5824</v>
      </c>
      <c r="F35454" s="0" t="s">
        <v>5825</v>
      </c>
    </row>
    <row r="35456" customFormat="false" ht="12.8" hidden="false" customHeight="false" outlineLevel="0" collapsed="false">
      <c r="A35456" s="0" t="s">
        <v>13468</v>
      </c>
      <c r="B35456" s="0" t="str">
        <f aca="false">HYPERLINK("https://lindat.mff.cuni.cz/services/teitok/pdtc10/index.php?action=vallex&amp;frame=v-w11298f3", "překulit se (v-w11298f3)")</f>
        <v>překulit se (v-w11298f3)</v>
      </c>
    </row>
    <row r="35457" customFormat="false" ht="12.8" hidden="false" customHeight="false" outlineLevel="0" collapsed="false">
      <c r="B35457" s="0" t="s">
        <v>1</v>
      </c>
    </row>
    <row r="35458" customFormat="false" ht="12.8" hidden="false" customHeight="false" outlineLevel="0" collapsed="false">
      <c r="B35458" s="0" t="s">
        <v>361</v>
      </c>
    </row>
    <row r="35460" customFormat="false" ht="12.8" hidden="false" customHeight="false" outlineLevel="0" collapsed="false">
      <c r="A35460" s="0" t="s">
        <v>13469</v>
      </c>
      <c r="B35460" s="0" t="str">
        <f aca="false">HYPERLINK("https://lindat.mff.cuni.cz/services/teitok/pdtc10/index.php?action=vallex&amp;frame=v-w11298f2", "překulit se (v-w11298f2)")</f>
        <v>překulit se (v-w11298f2)</v>
      </c>
    </row>
    <row r="35461" customFormat="false" ht="12.8" hidden="false" customHeight="false" outlineLevel="0" collapsed="false">
      <c r="B35461" s="0" t="s">
        <v>1</v>
      </c>
    </row>
    <row r="35462" customFormat="false" ht="12.8" hidden="false" customHeight="false" outlineLevel="0" collapsed="false">
      <c r="B35462" s="0" t="s">
        <v>164</v>
      </c>
    </row>
    <row r="35464" customFormat="false" ht="12.8" hidden="false" customHeight="false" outlineLevel="0" collapsed="false">
      <c r="A35464" s="0" t="s">
        <v>13470</v>
      </c>
      <c r="B35464" s="0" t="str">
        <f aca="false">HYPERLINK("https://lindat.mff.cuni.cz/services/teitok/pdtc10/index.php?action=vallex&amp;frame=v-w4862f1", "překvapit (v-w4862f1)")</f>
        <v>překvapit (v-w4862f1)</v>
      </c>
      <c r="E35464" s="0" t="str">
        <f aca="false">HYPERLINK("https://lindat.mff.cuni.cz/services/SynSemClass40/SynSemClass40.html?veclass=vec00094#vec00094-ces-cm00001", "vec00094")</f>
        <v>vec00094</v>
      </c>
      <c r="F35464" s="0" t="s">
        <v>9619</v>
      </c>
      <c r="H35464" s="0" t="str">
        <f aca="false">HYPERLINK("https://lindat.mff.cuni.cz/services/SynSemClass40/SynSemClass40.html?veclass=vec01506#vec01506-ces-cm00008", "vec01506")</f>
        <v>vec01506</v>
      </c>
      <c r="I35464" s="0" t="s">
        <v>5550</v>
      </c>
    </row>
    <row r="35465" customFormat="false" ht="12.8" hidden="false" customHeight="false" outlineLevel="0" collapsed="false">
      <c r="B35465" s="0" t="s">
        <v>9620</v>
      </c>
      <c r="C35465" s="0" t="s">
        <v>9621</v>
      </c>
      <c r="E35465" s="0" t="s">
        <v>1103</v>
      </c>
      <c r="F35465" s="0" t="s">
        <v>9622</v>
      </c>
      <c r="H35465" s="0" t="s">
        <v>266</v>
      </c>
      <c r="I35465" s="0" t="s">
        <v>5552</v>
      </c>
    </row>
    <row r="35466" customFormat="false" ht="12.8" hidden="false" customHeight="false" outlineLevel="0" collapsed="false">
      <c r="B35466" s="0" t="s">
        <v>8</v>
      </c>
      <c r="C35466" s="0" t="s">
        <v>9623</v>
      </c>
      <c r="E35466" s="0" t="s">
        <v>1399</v>
      </c>
      <c r="F35466" s="0" t="s">
        <v>9624</v>
      </c>
      <c r="H35466" s="0" t="s">
        <v>271</v>
      </c>
      <c r="I35466" s="0" t="s">
        <v>5554</v>
      </c>
    </row>
    <row r="35468" customFormat="false" ht="12.8" hidden="false" customHeight="false" outlineLevel="0" collapsed="false">
      <c r="A35468" s="0" t="s">
        <v>13471</v>
      </c>
      <c r="B35468" s="0" t="str">
        <f aca="false">HYPERLINK("https://lindat.mff.cuni.cz/services/teitok/pdtc10/index.php?action=vallex&amp;frame=v-w4862f3_ZU", "překvapit (v-w4862f3_ZU)")</f>
        <v>překvapit (v-w4862f3_ZU)</v>
      </c>
    </row>
    <row r="35469" customFormat="false" ht="12.8" hidden="false" customHeight="false" outlineLevel="0" collapsed="false">
      <c r="B35469" s="0" t="s">
        <v>1</v>
      </c>
    </row>
    <row r="35470" customFormat="false" ht="12.8" hidden="false" customHeight="false" outlineLevel="0" collapsed="false">
      <c r="B35470" s="0" t="s">
        <v>8</v>
      </c>
    </row>
    <row r="35472" customFormat="false" ht="12.8" hidden="false" customHeight="false" outlineLevel="0" collapsed="false">
      <c r="A35472" s="0" t="s">
        <v>13471</v>
      </c>
      <c r="B35472" s="0" t="str">
        <f aca="false">HYPERLINK("https://lindat.mff.cuni.cz/services/teitok/pdtc10/index.php?action=vallex&amp;frame=v-w4862f2", "překvapit (v-w4862f2) - substituted with v-w4862f3_ZU")</f>
        <v>překvapit (v-w4862f2) - substituted with v-w4862f3_ZU</v>
      </c>
    </row>
    <row r="35473" customFormat="false" ht="12.8" hidden="false" customHeight="false" outlineLevel="0" collapsed="false">
      <c r="B35473" s="0" t="s">
        <v>1</v>
      </c>
    </row>
    <row r="35474" customFormat="false" ht="12.8" hidden="false" customHeight="false" outlineLevel="0" collapsed="false">
      <c r="B35474" s="0" t="s">
        <v>8</v>
      </c>
    </row>
    <row r="35476" customFormat="false" ht="12.8" hidden="false" customHeight="false" outlineLevel="0" collapsed="false">
      <c r="A35476" s="0" t="s">
        <v>13472</v>
      </c>
      <c r="B35476" s="0" t="str">
        <f aca="false">HYPERLINK("https://lindat.mff.cuni.cz/services/teitok/pdtc10/index.php?action=vallex&amp;frame=v-w4863f1", "překvapovat (v-w4863f1)")</f>
        <v>překvapovat (v-w4863f1)</v>
      </c>
      <c r="E35476" s="0" t="str">
        <f aca="false">HYPERLINK("https://lindat.mff.cuni.cz/services/SynSemClass40/SynSemClass40.html?veclass=vec00094#vec00094-ces-cm00003", "vec00094")</f>
        <v>vec00094</v>
      </c>
      <c r="F35476" s="0" t="s">
        <v>9619</v>
      </c>
      <c r="H35476" s="0" t="str">
        <f aca="false">HYPERLINK("https://lindat.mff.cuni.cz/services/SynSemClass40/SynSemClass40.html?veclass=vec01506#vec01506-ces-cm00010", "vec01506")</f>
        <v>vec01506</v>
      </c>
      <c r="I35476" s="0" t="s">
        <v>5550</v>
      </c>
    </row>
    <row r="35477" customFormat="false" ht="12.8" hidden="false" customHeight="false" outlineLevel="0" collapsed="false">
      <c r="B35477" s="0" t="s">
        <v>9620</v>
      </c>
      <c r="C35477" s="0" t="s">
        <v>9621</v>
      </c>
      <c r="E35477" s="0" t="s">
        <v>1103</v>
      </c>
      <c r="F35477" s="0" t="s">
        <v>9622</v>
      </c>
      <c r="H35477" s="0" t="s">
        <v>266</v>
      </c>
      <c r="I35477" s="0" t="s">
        <v>5552</v>
      </c>
    </row>
    <row r="35478" customFormat="false" ht="12.8" hidden="false" customHeight="false" outlineLevel="0" collapsed="false">
      <c r="B35478" s="0" t="s">
        <v>8</v>
      </c>
      <c r="C35478" s="0" t="s">
        <v>9623</v>
      </c>
      <c r="E35478" s="0" t="s">
        <v>1399</v>
      </c>
      <c r="F35478" s="0" t="s">
        <v>9624</v>
      </c>
      <c r="H35478" s="0" t="s">
        <v>271</v>
      </c>
      <c r="I35478" s="0" t="s">
        <v>5554</v>
      </c>
    </row>
    <row r="35480" customFormat="false" ht="12.8" hidden="false" customHeight="false" outlineLevel="0" collapsed="false">
      <c r="A35480" s="0" t="s">
        <v>13473</v>
      </c>
      <c r="B35480" s="0" t="str">
        <f aca="false">HYPERLINK("https://lindat.mff.cuni.cz/services/teitok/pdtc10/index.php?action=vallex&amp;frame=v-w4863f2", "překvapovat (v-w4863f2)")</f>
        <v>překvapovat (v-w4863f2)</v>
      </c>
    </row>
    <row r="35481" customFormat="false" ht="12.8" hidden="false" customHeight="false" outlineLevel="0" collapsed="false">
      <c r="B35481" s="0" t="s">
        <v>1</v>
      </c>
    </row>
    <row r="35482" customFormat="false" ht="12.8" hidden="false" customHeight="false" outlineLevel="0" collapsed="false">
      <c r="B35482" s="0" t="s">
        <v>8</v>
      </c>
    </row>
    <row r="35484" customFormat="false" ht="12.8" hidden="false" customHeight="false" outlineLevel="0" collapsed="false">
      <c r="A35484" s="0" t="s">
        <v>13474</v>
      </c>
      <c r="B35484" s="0" t="str">
        <f aca="false">HYPERLINK("https://lindat.mff.cuni.cz/services/teitok/pdtc10/index.php?action=vallex&amp;frame=v-w10940f2", "překypovat (v-w10940f2)")</f>
        <v>překypovat (v-w10940f2)</v>
      </c>
      <c r="E35484" s="0" t="str">
        <f aca="false">HYPERLINK("https://lindat.mff.cuni.cz/services/SynSemClass40/SynSemClass40.html?veclass=vec00893#vec00893-ces-cm00001", "vec00893")</f>
        <v>vec00893</v>
      </c>
      <c r="F35484" s="0" t="s">
        <v>13475</v>
      </c>
    </row>
    <row r="35485" customFormat="false" ht="12.8" hidden="false" customHeight="false" outlineLevel="0" collapsed="false">
      <c r="B35485" s="0" t="s">
        <v>1</v>
      </c>
      <c r="C35485" s="0" t="s">
        <v>322</v>
      </c>
      <c r="E35485" s="0" t="s">
        <v>11</v>
      </c>
      <c r="F35485" s="0" t="s">
        <v>323</v>
      </c>
    </row>
    <row r="35486" customFormat="false" ht="12.8" hidden="false" customHeight="false" outlineLevel="0" collapsed="false">
      <c r="B35486" s="0" t="s">
        <v>286</v>
      </c>
      <c r="C35486" s="0" t="s">
        <v>2082</v>
      </c>
      <c r="E35486" s="0" t="s">
        <v>1768</v>
      </c>
      <c r="F35486" s="0" t="s">
        <v>13476</v>
      </c>
    </row>
    <row r="35488" customFormat="false" ht="12.8" hidden="false" customHeight="false" outlineLevel="0" collapsed="false">
      <c r="A35488" s="0" t="s">
        <v>13477</v>
      </c>
      <c r="B35488" s="0" t="str">
        <f aca="false">HYPERLINK("https://lindat.mff.cuni.cz/services/teitok/pdtc10/index.php?action=vallex&amp;frame=v-w10940f3", "překypovat (v-w10940f3)")</f>
        <v>překypovat (v-w10940f3)</v>
      </c>
    </row>
    <row r="35489" customFormat="false" ht="12.8" hidden="false" customHeight="false" outlineLevel="0" collapsed="false">
      <c r="B35489" s="0" t="s">
        <v>1</v>
      </c>
    </row>
    <row r="35490" customFormat="false" ht="12.8" hidden="false" customHeight="false" outlineLevel="0" collapsed="false">
      <c r="B35490" s="0" t="s">
        <v>4070</v>
      </c>
    </row>
    <row r="35492" customFormat="false" ht="12.8" hidden="false" customHeight="false" outlineLevel="0" collapsed="false">
      <c r="A35492" s="0" t="s">
        <v>13478</v>
      </c>
      <c r="B35492" s="0" t="str">
        <f aca="false">HYPERLINK("https://lindat.mff.cuni.cz/services/teitok/pdtc10/index.php?action=vallex&amp;frame=v-w10586f2", "překypět (v-w10586f2)")</f>
        <v>překypět (v-w10586f2)</v>
      </c>
    </row>
    <row r="35493" customFormat="false" ht="12.8" hidden="false" customHeight="false" outlineLevel="0" collapsed="false">
      <c r="B35493" s="0" t="s">
        <v>1</v>
      </c>
    </row>
    <row r="35495" customFormat="false" ht="12.8" hidden="false" customHeight="false" outlineLevel="0" collapsed="false">
      <c r="A35495" s="0" t="s">
        <v>13479</v>
      </c>
      <c r="B35495" s="0" t="str">
        <f aca="false">HYPERLINK("https://lindat.mff.cuni.cz/services/teitok/pdtc10/index.php?action=vallex&amp;frame=v-w4832f3_ZU", "překážet (v-w4832f3_ZU)")</f>
        <v>překážet (v-w4832f3_ZU)</v>
      </c>
    </row>
    <row r="35496" customFormat="false" ht="12.8" hidden="false" customHeight="false" outlineLevel="0" collapsed="false">
      <c r="B35496" s="0" t="s">
        <v>1</v>
      </c>
    </row>
    <row r="35497" customFormat="false" ht="12.8" hidden="false" customHeight="false" outlineLevel="0" collapsed="false">
      <c r="B35497" s="0" t="s">
        <v>13480</v>
      </c>
    </row>
    <row r="35498" customFormat="false" ht="12.8" hidden="false" customHeight="false" outlineLevel="0" collapsed="false">
      <c r="B35498" s="0" t="s">
        <v>132</v>
      </c>
    </row>
    <row r="35500" customFormat="false" ht="12.8" hidden="false" customHeight="false" outlineLevel="0" collapsed="false">
      <c r="A35500" s="0" t="s">
        <v>13479</v>
      </c>
      <c r="B35500" s="0" t="str">
        <f aca="false">HYPERLINK("https://lindat.mff.cuni.cz/services/teitok/pdtc10/index.php?action=vallex&amp;frame=v-w4832f1", "překážet (v-w4832f1) - substituted with v-w4832f3_ZU")</f>
        <v>překážet (v-w4832f1) - substituted with v-w4832f3_ZU</v>
      </c>
    </row>
    <row r="35501" customFormat="false" ht="12.8" hidden="false" customHeight="false" outlineLevel="0" collapsed="false">
      <c r="B35501" s="0" t="s">
        <v>1</v>
      </c>
    </row>
    <row r="35502" customFormat="false" ht="12.8" hidden="false" customHeight="false" outlineLevel="0" collapsed="false">
      <c r="B35502" s="0" t="s">
        <v>13480</v>
      </c>
    </row>
    <row r="35503" customFormat="false" ht="12.8" hidden="false" customHeight="false" outlineLevel="0" collapsed="false">
      <c r="B35503" s="0" t="s">
        <v>132</v>
      </c>
    </row>
    <row r="35505" customFormat="false" ht="12.8" hidden="false" customHeight="false" outlineLevel="0" collapsed="false">
      <c r="A35505" s="0" t="s">
        <v>13479</v>
      </c>
      <c r="B35505" s="0" t="str">
        <f aca="false">HYPERLINK("https://lindat.mff.cuni.cz/services/teitok/pdtc10/index.php?action=vallex&amp;frame=v-w4832hsa_721", "překážet (v-w4832hsa_721) - substituted with v-w4832f3_ZU")</f>
        <v>překážet (v-w4832hsa_721) - substituted with v-w4832f3_ZU</v>
      </c>
    </row>
    <row r="35506" customFormat="false" ht="12.8" hidden="false" customHeight="false" outlineLevel="0" collapsed="false">
      <c r="B35506" s="0" t="s">
        <v>1</v>
      </c>
    </row>
    <row r="35507" customFormat="false" ht="12.8" hidden="false" customHeight="false" outlineLevel="0" collapsed="false">
      <c r="B35507" s="0" t="s">
        <v>13480</v>
      </c>
    </row>
    <row r="35508" customFormat="false" ht="12.8" hidden="false" customHeight="false" outlineLevel="0" collapsed="false">
      <c r="B35508" s="0" t="s">
        <v>132</v>
      </c>
    </row>
    <row r="35510" customFormat="false" ht="12.8" hidden="false" customHeight="false" outlineLevel="0" collapsed="false">
      <c r="A35510" s="0" t="s">
        <v>13481</v>
      </c>
      <c r="B35510" s="0" t="str">
        <f aca="false">HYPERLINK("https://lindat.mff.cuni.cz/services/teitok/pdtc10/index.php?action=vallex&amp;frame=v-w4832f2", "překážet (v-w4832f2)")</f>
        <v>překážet (v-w4832f2)</v>
      </c>
    </row>
    <row r="35511" customFormat="false" ht="12.8" hidden="false" customHeight="false" outlineLevel="0" collapsed="false">
      <c r="B35511" s="0" t="s">
        <v>1</v>
      </c>
    </row>
    <row r="35512" customFormat="false" ht="12.8" hidden="false" customHeight="false" outlineLevel="0" collapsed="false">
      <c r="B35512" s="0" t="s">
        <v>186</v>
      </c>
    </row>
    <row r="35514" customFormat="false" ht="12.8" hidden="false" customHeight="false" outlineLevel="0" collapsed="false">
      <c r="A35514" s="0" t="s">
        <v>13482</v>
      </c>
      <c r="B35514" s="0" t="str">
        <f aca="false">HYPERLINK("https://lindat.mff.cuni.cz/services/teitok/pdtc10/index.php?action=vallex&amp;frame=v-w4858f1", "překřikovat (v-w4858f1)")</f>
        <v>překřikovat (v-w4858f1)</v>
      </c>
    </row>
    <row r="35515" customFormat="false" ht="12.8" hidden="false" customHeight="false" outlineLevel="0" collapsed="false">
      <c r="B35515" s="0" t="s">
        <v>1</v>
      </c>
    </row>
    <row r="35516" customFormat="false" ht="12.8" hidden="false" customHeight="false" outlineLevel="0" collapsed="false">
      <c r="B35516" s="0" t="s">
        <v>8</v>
      </c>
    </row>
    <row r="35518" customFormat="false" ht="12.8" hidden="false" customHeight="false" outlineLevel="0" collapsed="false">
      <c r="A35518" s="0" t="s">
        <v>13483</v>
      </c>
      <c r="B35518" s="0" t="str">
        <f aca="false">HYPERLINK("https://lindat.mff.cuni.cz/services/teitok/pdtc10/index.php?action=vallex&amp;frame=v-w4859f1", "překřtít (v-w4859f1)")</f>
        <v>překřtít (v-w4859f1)</v>
      </c>
    </row>
    <row r="35519" customFormat="false" ht="12.8" hidden="false" customHeight="false" outlineLevel="0" collapsed="false">
      <c r="B35519" s="0" t="s">
        <v>1</v>
      </c>
    </row>
    <row r="35520" customFormat="false" ht="12.8" hidden="false" customHeight="false" outlineLevel="0" collapsed="false">
      <c r="B35520" s="0" t="s">
        <v>8</v>
      </c>
    </row>
    <row r="35521" customFormat="false" ht="12.8" hidden="false" customHeight="false" outlineLevel="0" collapsed="false">
      <c r="B35521" s="0" t="s">
        <v>36</v>
      </c>
    </row>
    <row r="35522" customFormat="false" ht="12.8" hidden="false" customHeight="false" outlineLevel="0" collapsed="false">
      <c r="B35522" s="0" t="s">
        <v>101</v>
      </c>
    </row>
    <row r="35524" customFormat="false" ht="12.8" hidden="false" customHeight="false" outlineLevel="0" collapsed="false">
      <c r="A35524" s="0" t="s">
        <v>13484</v>
      </c>
      <c r="B35524" s="0" t="str">
        <f aca="false">HYPERLINK("https://lindat.mff.cuni.cz/services/teitok/pdtc10/index.php?action=vallex&amp;frame=v-w11056f2", "překřížit (v-w11056f2)")</f>
        <v>překřížit (v-w11056f2)</v>
      </c>
    </row>
    <row r="35525" customFormat="false" ht="12.8" hidden="false" customHeight="false" outlineLevel="0" collapsed="false">
      <c r="B35525" s="0" t="s">
        <v>1</v>
      </c>
    </row>
    <row r="35526" customFormat="false" ht="12.8" hidden="false" customHeight="false" outlineLevel="0" collapsed="false">
      <c r="B35526" s="0" t="s">
        <v>8</v>
      </c>
    </row>
    <row r="35528" customFormat="false" ht="12.8" hidden="false" customHeight="false" outlineLevel="0" collapsed="false">
      <c r="A35528" s="0" t="s">
        <v>13485</v>
      </c>
      <c r="B35528" s="0" t="str">
        <f aca="false">HYPERLINK("https://lindat.mff.cuni.cz/services/teitok/pdtc10/index.php?action=vallex&amp;frame=v-w11056f3_ZU", "překřížit (v-w11056f3_ZU)")</f>
        <v>překřížit (v-w11056f3_ZU)</v>
      </c>
    </row>
    <row r="35529" customFormat="false" ht="12.8" hidden="false" customHeight="false" outlineLevel="0" collapsed="false">
      <c r="B35529" s="0" t="s">
        <v>1</v>
      </c>
    </row>
    <row r="35530" customFormat="false" ht="12.8" hidden="false" customHeight="false" outlineLevel="0" collapsed="false">
      <c r="B35530" s="0" t="s">
        <v>13486</v>
      </c>
    </row>
    <row r="35531" customFormat="false" ht="12.8" hidden="false" customHeight="false" outlineLevel="0" collapsed="false">
      <c r="B35531" s="0" t="s">
        <v>186</v>
      </c>
    </row>
    <row r="35533" customFormat="false" ht="12.8" hidden="false" customHeight="false" outlineLevel="0" collapsed="false">
      <c r="A35533" s="0" t="s">
        <v>13487</v>
      </c>
      <c r="B35533" s="0" t="str">
        <f aca="false">HYPERLINK("https://lindat.mff.cuni.cz/services/teitok/pdtc10/index.php?action=vallex&amp;frame=v-w11286f1", "přeladit se (v-w11286f1)")</f>
        <v>přeladit se (v-w11286f1)</v>
      </c>
    </row>
    <row r="35534" customFormat="false" ht="12.8" hidden="false" customHeight="false" outlineLevel="0" collapsed="false">
      <c r="B35534" s="0" t="s">
        <v>1</v>
      </c>
    </row>
    <row r="35535" customFormat="false" ht="12.8" hidden="false" customHeight="false" outlineLevel="0" collapsed="false">
      <c r="B35535" s="0" t="s">
        <v>69</v>
      </c>
    </row>
    <row r="35536" customFormat="false" ht="12.8" hidden="false" customHeight="false" outlineLevel="0" collapsed="false">
      <c r="B35536" s="0" t="s">
        <v>36</v>
      </c>
    </row>
    <row r="35538" customFormat="false" ht="12.8" hidden="false" customHeight="false" outlineLevel="0" collapsed="false">
      <c r="A35538" s="0" t="s">
        <v>13488</v>
      </c>
      <c r="B35538" s="0" t="str">
        <f aca="false">HYPERLINK("https://lindat.mff.cuni.cz/services/teitok/pdtc10/index.php?action=vallex&amp;frame=v-whsa_254hsa_255", "přelarvovat (v-whsa_254hsa_255)")</f>
        <v>přelarvovat (v-whsa_254hsa_255)</v>
      </c>
    </row>
    <row r="35539" customFormat="false" ht="12.8" hidden="false" customHeight="false" outlineLevel="0" collapsed="false">
      <c r="B35539" s="0" t="s">
        <v>1</v>
      </c>
    </row>
    <row r="35540" customFormat="false" ht="12.8" hidden="false" customHeight="false" outlineLevel="0" collapsed="false">
      <c r="B35540" s="0" t="s">
        <v>8</v>
      </c>
    </row>
    <row r="35541" customFormat="false" ht="12.8" hidden="false" customHeight="false" outlineLevel="0" collapsed="false">
      <c r="B35541" s="0" t="s">
        <v>631</v>
      </c>
    </row>
    <row r="35542" customFormat="false" ht="12.8" hidden="false" customHeight="false" outlineLevel="0" collapsed="false">
      <c r="B35542" s="0" t="s">
        <v>164</v>
      </c>
    </row>
    <row r="35544" customFormat="false" ht="12.8" hidden="false" customHeight="false" outlineLevel="0" collapsed="false">
      <c r="A35544" s="0" t="s">
        <v>13489</v>
      </c>
      <c r="B35544" s="0" t="str">
        <f aca="false">HYPERLINK("https://lindat.mff.cuni.cz/services/teitok/pdtc10/index.php?action=vallex&amp;frame=v-w4864f1", "přelaďovat (v-w4864f1)")</f>
        <v>přelaďovat (v-w4864f1)</v>
      </c>
    </row>
    <row r="35545" customFormat="false" ht="12.8" hidden="false" customHeight="false" outlineLevel="0" collapsed="false">
      <c r="B35545" s="0" t="s">
        <v>1</v>
      </c>
    </row>
    <row r="35546" customFormat="false" ht="12.8" hidden="false" customHeight="false" outlineLevel="0" collapsed="false">
      <c r="B35546" s="0" t="s">
        <v>8</v>
      </c>
    </row>
    <row r="35548" customFormat="false" ht="12.8" hidden="false" customHeight="false" outlineLevel="0" collapsed="false">
      <c r="A35548" s="0" t="s">
        <v>13490</v>
      </c>
      <c r="B35548" s="0" t="str">
        <f aca="false">HYPERLINK("https://lindat.mff.cuni.cz/services/teitok/pdtc10/index.php?action=vallex&amp;frame=v-w4866f1", "přeletět (v-w4866f1)")</f>
        <v>přeletět (v-w4866f1)</v>
      </c>
    </row>
    <row r="35549" customFormat="false" ht="12.8" hidden="false" customHeight="false" outlineLevel="0" collapsed="false">
      <c r="B35549" s="0" t="s">
        <v>1</v>
      </c>
    </row>
    <row r="35550" customFormat="false" ht="12.8" hidden="false" customHeight="false" outlineLevel="0" collapsed="false">
      <c r="B35550" s="0" t="s">
        <v>8</v>
      </c>
    </row>
    <row r="35552" customFormat="false" ht="12.8" hidden="false" customHeight="false" outlineLevel="0" collapsed="false">
      <c r="A35552" s="0" t="s">
        <v>13491</v>
      </c>
      <c r="B35552" s="0" t="str">
        <f aca="false">HYPERLINK("https://lindat.mff.cuni.cz/services/teitok/pdtc10/index.php?action=vallex&amp;frame=v-w4866f2", "přeletět (v-w4866f2)")</f>
        <v>přeletět (v-w4866f2)</v>
      </c>
      <c r="E35552" s="0" t="str">
        <f aca="false">HYPERLINK("https://lindat.mff.cuni.cz/services/SynSemClass40/SynSemClass40.html?veclass=vec00427#vec00427-ces-cm00014", "vec00427")</f>
        <v>vec00427</v>
      </c>
      <c r="F35552" s="0" t="s">
        <v>2444</v>
      </c>
    </row>
    <row r="35553" customFormat="false" ht="12.8" hidden="false" customHeight="false" outlineLevel="0" collapsed="false">
      <c r="B35553" s="0" t="s">
        <v>1</v>
      </c>
      <c r="C35553" s="0" t="s">
        <v>5981</v>
      </c>
      <c r="E35553" s="0" t="s">
        <v>334</v>
      </c>
      <c r="F35553" s="0" t="s">
        <v>2447</v>
      </c>
    </row>
    <row r="35554" customFormat="false" ht="12.8" hidden="false" customHeight="false" outlineLevel="0" collapsed="false">
      <c r="B35554" s="0" t="s">
        <v>631</v>
      </c>
      <c r="E35554" s="0" t="s">
        <v>1949</v>
      </c>
      <c r="F35554" s="0" t="s">
        <v>2896</v>
      </c>
    </row>
    <row r="35555" customFormat="false" ht="12.8" hidden="false" customHeight="false" outlineLevel="0" collapsed="false">
      <c r="B35555" s="0" t="s">
        <v>164</v>
      </c>
      <c r="E35555" s="0" t="s">
        <v>1315</v>
      </c>
      <c r="F35555" s="0" t="s">
        <v>1316</v>
      </c>
    </row>
    <row r="35557" customFormat="false" ht="12.8" hidden="false" customHeight="false" outlineLevel="0" collapsed="false">
      <c r="A35557" s="0" t="s">
        <v>13492</v>
      </c>
      <c r="B35557" s="0" t="str">
        <f aca="false">HYPERLINK("https://lindat.mff.cuni.cz/services/teitok/pdtc10/index.php?action=vallex&amp;frame=v-w4869f1", "přelidnit (v-w4869f1)")</f>
        <v>přelidnit (v-w4869f1)</v>
      </c>
    </row>
    <row r="35558" customFormat="false" ht="12.8" hidden="false" customHeight="false" outlineLevel="0" collapsed="false">
      <c r="B35558" s="0" t="s">
        <v>1</v>
      </c>
    </row>
    <row r="35559" customFormat="false" ht="12.8" hidden="false" customHeight="false" outlineLevel="0" collapsed="false">
      <c r="B35559" s="0" t="s">
        <v>8</v>
      </c>
    </row>
    <row r="35561" customFormat="false" ht="12.8" hidden="false" customHeight="false" outlineLevel="0" collapsed="false">
      <c r="A35561" s="0" t="s">
        <v>13493</v>
      </c>
      <c r="B35561" s="0" t="str">
        <f aca="false">HYPERLINK("https://lindat.mff.cuni.cz/services/teitok/pdtc10/index.php?action=vallex&amp;frame=v-w4870f1", "přelidnit se (v-w4870f1)")</f>
        <v>přelidnit se (v-w4870f1)</v>
      </c>
    </row>
    <row r="35562" customFormat="false" ht="12.8" hidden="false" customHeight="false" outlineLevel="0" collapsed="false">
      <c r="B35562" s="0" t="s">
        <v>1</v>
      </c>
    </row>
    <row r="35564" customFormat="false" ht="12.8" hidden="false" customHeight="false" outlineLevel="0" collapsed="false">
      <c r="A35564" s="0" t="s">
        <v>13494</v>
      </c>
      <c r="B35564" s="0" t="str">
        <f aca="false">HYPERLINK("https://lindat.mff.cuni.cz/services/teitok/pdtc10/index.php?action=vallex&amp;frame=v-w4873f1", "přeložit (v-w4873f1)")</f>
        <v>přeložit (v-w4873f1)</v>
      </c>
      <c r="E35564" s="0" t="str">
        <f aca="false">HYPERLINK("https://lindat.mff.cuni.cz/services/SynSemClass40/SynSemClass40.html?veclass=vec01516#vec01516-ces-cm00003", "vec01516")</f>
        <v>vec01516</v>
      </c>
      <c r="F35564" s="0" t="s">
        <v>13430</v>
      </c>
    </row>
    <row r="35565" customFormat="false" ht="12.8" hidden="false" customHeight="false" outlineLevel="0" collapsed="false">
      <c r="B35565" s="0" t="s">
        <v>1</v>
      </c>
      <c r="E35565" s="0" t="s">
        <v>147</v>
      </c>
      <c r="F35565" s="0" t="s">
        <v>5874</v>
      </c>
    </row>
    <row r="35566" customFormat="false" ht="12.8" hidden="false" customHeight="false" outlineLevel="0" collapsed="false">
      <c r="B35566" s="0" t="s">
        <v>8</v>
      </c>
      <c r="E35566" s="0" t="s">
        <v>1569</v>
      </c>
      <c r="F35566" s="0" t="s">
        <v>13431</v>
      </c>
    </row>
    <row r="35567" customFormat="false" ht="12.8" hidden="false" customHeight="false" outlineLevel="0" collapsed="false">
      <c r="B35567" s="0" t="s">
        <v>36</v>
      </c>
      <c r="E35567" s="0" t="s">
        <v>38</v>
      </c>
      <c r="F35567" s="0" t="s">
        <v>8255</v>
      </c>
    </row>
    <row r="35568" customFormat="false" ht="12.8" hidden="false" customHeight="false" outlineLevel="0" collapsed="false">
      <c r="B35568" s="0" t="s">
        <v>245</v>
      </c>
      <c r="E35568" s="0" t="s">
        <v>42</v>
      </c>
      <c r="F35568" s="0" t="s">
        <v>13432</v>
      </c>
    </row>
    <row r="35570" customFormat="false" ht="12.8" hidden="false" customHeight="false" outlineLevel="0" collapsed="false">
      <c r="A35570" s="0" t="s">
        <v>13495</v>
      </c>
      <c r="B35570" s="0" t="str">
        <f aca="false">HYPERLINK("https://lindat.mff.cuni.cz/services/teitok/pdtc10/index.php?action=vallex&amp;frame=v-w4873f3", "přeložit (v-w4873f3)")</f>
        <v>přeložit (v-w4873f3)</v>
      </c>
    </row>
    <row r="35571" customFormat="false" ht="12.8" hidden="false" customHeight="false" outlineLevel="0" collapsed="false">
      <c r="B35571" s="0" t="s">
        <v>1</v>
      </c>
    </row>
    <row r="35572" customFormat="false" ht="12.8" hidden="false" customHeight="false" outlineLevel="0" collapsed="false">
      <c r="B35572" s="0" t="s">
        <v>8</v>
      </c>
    </row>
    <row r="35573" customFormat="false" ht="12.8" hidden="false" customHeight="false" outlineLevel="0" collapsed="false">
      <c r="B35573" s="0" t="s">
        <v>13496</v>
      </c>
    </row>
    <row r="35575" customFormat="false" ht="12.8" hidden="false" customHeight="false" outlineLevel="0" collapsed="false">
      <c r="A35575" s="0" t="s">
        <v>13497</v>
      </c>
      <c r="B35575" s="0" t="str">
        <f aca="false">HYPERLINK("https://lindat.mff.cuni.cz/services/teitok/pdtc10/index.php?action=vallex&amp;frame=v-w4873f6_ZU", "přeložit (v-w4873f6_ZU)")</f>
        <v>přeložit (v-w4873f6_ZU)</v>
      </c>
      <c r="E35575" s="0" t="str">
        <f aca="false">HYPERLINK("https://lindat.mff.cuni.cz/services/SynSemClass40/SynSemClass40.html?veclass=vec00894#vec00894-ces-cm00001", "vec00894")</f>
        <v>vec00894</v>
      </c>
      <c r="F35575" s="0" t="s">
        <v>13498</v>
      </c>
    </row>
    <row r="35576" customFormat="false" ht="12.8" hidden="false" customHeight="false" outlineLevel="0" collapsed="false">
      <c r="B35576" s="0" t="s">
        <v>1</v>
      </c>
      <c r="C35576" s="0" t="s">
        <v>13499</v>
      </c>
      <c r="E35576" s="0" t="s">
        <v>334</v>
      </c>
      <c r="F35576" s="0" t="s">
        <v>13500</v>
      </c>
    </row>
    <row r="35577" customFormat="false" ht="12.8" hidden="false" customHeight="false" outlineLevel="0" collapsed="false">
      <c r="B35577" s="0" t="s">
        <v>8</v>
      </c>
      <c r="C35577" s="0" t="s">
        <v>13501</v>
      </c>
      <c r="E35577" s="0" t="s">
        <v>2648</v>
      </c>
      <c r="F35577" s="0" t="s">
        <v>13502</v>
      </c>
    </row>
    <row r="35578" customFormat="false" ht="12.8" hidden="false" customHeight="false" outlineLevel="0" collapsed="false">
      <c r="B35578" s="0" t="s">
        <v>631</v>
      </c>
      <c r="E35578" s="0" t="s">
        <v>1949</v>
      </c>
      <c r="F35578" s="0" t="s">
        <v>2896</v>
      </c>
    </row>
    <row r="35579" customFormat="false" ht="12.8" hidden="false" customHeight="false" outlineLevel="0" collapsed="false">
      <c r="B35579" s="0" t="s">
        <v>164</v>
      </c>
      <c r="C35579" s="0" t="s">
        <v>13503</v>
      </c>
      <c r="E35579" s="0" t="s">
        <v>1315</v>
      </c>
      <c r="F35579" s="0" t="s">
        <v>13504</v>
      </c>
    </row>
    <row r="35581" customFormat="false" ht="12.8" hidden="false" customHeight="false" outlineLevel="0" collapsed="false">
      <c r="A35581" s="0" t="s">
        <v>13497</v>
      </c>
      <c r="B35581" s="0" t="str">
        <f aca="false">HYPERLINK("https://lindat.mff.cuni.cz/services/teitok/pdtc10/index.php?action=vallex&amp;frame=v-w4873f4_ZU", "přeložit (v-w4873f4_ZU) - substituted with v-w4873f6_ZU")</f>
        <v>přeložit (v-w4873f4_ZU) - substituted with v-w4873f6_ZU</v>
      </c>
    </row>
    <row r="35582" customFormat="false" ht="12.8" hidden="false" customHeight="false" outlineLevel="0" collapsed="false">
      <c r="B35582" s="0" t="s">
        <v>1</v>
      </c>
    </row>
    <row r="35583" customFormat="false" ht="12.8" hidden="false" customHeight="false" outlineLevel="0" collapsed="false">
      <c r="B35583" s="0" t="s">
        <v>8</v>
      </c>
    </row>
    <row r="35584" customFormat="false" ht="12.8" hidden="false" customHeight="false" outlineLevel="0" collapsed="false">
      <c r="B35584" s="0" t="s">
        <v>631</v>
      </c>
    </row>
    <row r="35585" customFormat="false" ht="12.8" hidden="false" customHeight="false" outlineLevel="0" collapsed="false">
      <c r="B35585" s="0" t="s">
        <v>164</v>
      </c>
    </row>
    <row r="35587" customFormat="false" ht="12.8" hidden="false" customHeight="false" outlineLevel="0" collapsed="false">
      <c r="A35587" s="0" t="s">
        <v>13497</v>
      </c>
      <c r="B35587" s="0" t="str">
        <f aca="false">HYPERLINK("https://lindat.mff.cuni.cz/services/teitok/pdtc10/index.php?action=vallex&amp;frame=v-w4873f5_ZU", "přeložit (v-w4873f5_ZU) - substituted with v-w4873f6_ZU")</f>
        <v>přeložit (v-w4873f5_ZU) - substituted with v-w4873f6_ZU</v>
      </c>
    </row>
    <row r="35588" customFormat="false" ht="12.8" hidden="false" customHeight="false" outlineLevel="0" collapsed="false">
      <c r="B35588" s="0" t="s">
        <v>1</v>
      </c>
    </row>
    <row r="35589" customFormat="false" ht="12.8" hidden="false" customHeight="false" outlineLevel="0" collapsed="false">
      <c r="B35589" s="0" t="s">
        <v>8</v>
      </c>
    </row>
    <row r="35590" customFormat="false" ht="12.8" hidden="false" customHeight="false" outlineLevel="0" collapsed="false">
      <c r="B35590" s="0" t="s">
        <v>631</v>
      </c>
    </row>
    <row r="35591" customFormat="false" ht="12.8" hidden="false" customHeight="false" outlineLevel="0" collapsed="false">
      <c r="B35591" s="0" t="s">
        <v>164</v>
      </c>
    </row>
    <row r="35593" customFormat="false" ht="12.8" hidden="false" customHeight="false" outlineLevel="0" collapsed="false">
      <c r="A35593" s="0" t="s">
        <v>13505</v>
      </c>
      <c r="B35593" s="0" t="str">
        <f aca="false">HYPERLINK("https://lindat.mff.cuni.cz/services/teitok/pdtc10/index.php?action=vallex&amp;frame=v-w4873f2", "přeložit (v-w4873f2)")</f>
        <v>přeložit (v-w4873f2)</v>
      </c>
      <c r="E35593" s="0" t="str">
        <f aca="false">HYPERLINK("https://lindat.mff.cuni.cz/services/SynSemClass40/SynSemClass40.html?veclass=vec01284#vec01284-ces-cm00001", "vec01284")</f>
        <v>vec01284</v>
      </c>
      <c r="F35593" s="0" t="s">
        <v>8765</v>
      </c>
    </row>
    <row r="35594" customFormat="false" ht="12.8" hidden="false" customHeight="false" outlineLevel="0" collapsed="false">
      <c r="B35594" s="0" t="s">
        <v>1</v>
      </c>
      <c r="C35594" s="0" t="s">
        <v>5370</v>
      </c>
      <c r="E35594" s="0" t="s">
        <v>84</v>
      </c>
      <c r="F35594" s="0" t="s">
        <v>8767</v>
      </c>
    </row>
    <row r="35595" customFormat="false" ht="12.8" hidden="false" customHeight="false" outlineLevel="0" collapsed="false">
      <c r="B35595" s="0" t="s">
        <v>8</v>
      </c>
      <c r="C35595" s="0" t="s">
        <v>13506</v>
      </c>
      <c r="E35595" s="0" t="s">
        <v>87</v>
      </c>
      <c r="F35595" s="0" t="s">
        <v>8769</v>
      </c>
    </row>
    <row r="35596" customFormat="false" ht="12.8" hidden="false" customHeight="false" outlineLevel="0" collapsed="false">
      <c r="B35596" s="0" t="s">
        <v>10661</v>
      </c>
      <c r="C35596" s="0" t="s">
        <v>13507</v>
      </c>
      <c r="E35596" s="0" t="s">
        <v>13508</v>
      </c>
      <c r="F35596" s="0" t="s">
        <v>13509</v>
      </c>
    </row>
    <row r="35597" customFormat="false" ht="12.8" hidden="false" customHeight="false" outlineLevel="0" collapsed="false">
      <c r="B35597" s="0" t="s">
        <v>1799</v>
      </c>
      <c r="C35597" s="0" t="s">
        <v>13510</v>
      </c>
      <c r="E35597" s="0" t="s">
        <v>13511</v>
      </c>
      <c r="F35597" s="0" t="s">
        <v>13512</v>
      </c>
    </row>
    <row r="35599" customFormat="false" ht="12.8" hidden="false" customHeight="false" outlineLevel="0" collapsed="false">
      <c r="A35599" s="0" t="s">
        <v>13513</v>
      </c>
      <c r="B35599" s="0" t="str">
        <f aca="false">HYPERLINK("https://lindat.mff.cuni.cz/services/teitok/pdtc10/index.php?action=vallex&amp;frame=v-w4874f1", "přelstít (v-w4874f1)")</f>
        <v>přelstít (v-w4874f1)</v>
      </c>
      <c r="E35599" s="0" t="str">
        <f aca="false">HYPERLINK("https://lindat.mff.cuni.cz/services/SynSemClass40/SynSemClass40.html?veclass=vec00766#vec00766-ces-cm00003", "vec00766")</f>
        <v>vec00766</v>
      </c>
      <c r="F35599" s="0" t="s">
        <v>13514</v>
      </c>
    </row>
    <row r="35600" customFormat="false" ht="12.8" hidden="false" customHeight="false" outlineLevel="0" collapsed="false">
      <c r="B35600" s="0" t="s">
        <v>1</v>
      </c>
      <c r="E35600" s="0" t="s">
        <v>2106</v>
      </c>
      <c r="F35600" s="0" t="s">
        <v>5389</v>
      </c>
    </row>
    <row r="35601" customFormat="false" ht="12.8" hidden="false" customHeight="false" outlineLevel="0" collapsed="false">
      <c r="B35601" s="0" t="s">
        <v>8</v>
      </c>
      <c r="C35601" s="0" t="s">
        <v>1910</v>
      </c>
      <c r="E35601" s="0" t="s">
        <v>5392</v>
      </c>
      <c r="F35601" s="0" t="s">
        <v>13515</v>
      </c>
    </row>
    <row r="35603" customFormat="false" ht="12.8" hidden="false" customHeight="false" outlineLevel="0" collapsed="false">
      <c r="A35603" s="0" t="s">
        <v>13516</v>
      </c>
      <c r="B35603" s="0" t="str">
        <f aca="false">HYPERLINK("https://lindat.mff.cuni.cz/services/teitok/pdtc10/index.php?action=vallex&amp;frame=v-w12303_MMf1_MM", "přelámat (v-w12303_MMf1_MM)")</f>
        <v>přelámat (v-w12303_MMf1_MM)</v>
      </c>
    </row>
    <row r="35604" customFormat="false" ht="12.8" hidden="false" customHeight="false" outlineLevel="0" collapsed="false">
      <c r="B35604" s="0" t="s">
        <v>1</v>
      </c>
    </row>
    <row r="35605" customFormat="false" ht="12.8" hidden="false" customHeight="false" outlineLevel="0" collapsed="false">
      <c r="B35605" s="0" t="s">
        <v>8</v>
      </c>
    </row>
    <row r="35606" customFormat="false" ht="12.8" hidden="false" customHeight="false" outlineLevel="0" collapsed="false">
      <c r="B35606" s="0" t="s">
        <v>3211</v>
      </c>
    </row>
    <row r="35608" customFormat="false" ht="12.8" hidden="false" customHeight="false" outlineLevel="0" collapsed="false">
      <c r="A35608" s="0" t="s">
        <v>13517</v>
      </c>
      <c r="B35608" s="0" t="str">
        <f aca="false">HYPERLINK("https://lindat.mff.cuni.cz/services/teitok/pdtc10/index.php?action=vallex&amp;frame=v-whsa_329f1_ZU", "přelétnout (v-whsa_329f1_ZU)")</f>
        <v>přelétnout (v-whsa_329f1_ZU)</v>
      </c>
    </row>
    <row r="35609" customFormat="false" ht="12.8" hidden="false" customHeight="false" outlineLevel="0" collapsed="false">
      <c r="B35609" s="0" t="s">
        <v>1</v>
      </c>
    </row>
    <row r="35610" customFormat="false" ht="12.8" hidden="false" customHeight="false" outlineLevel="0" collapsed="false">
      <c r="B35610" s="0" t="s">
        <v>631</v>
      </c>
    </row>
    <row r="35611" customFormat="false" ht="12.8" hidden="false" customHeight="false" outlineLevel="0" collapsed="false">
      <c r="B35611" s="0" t="s">
        <v>164</v>
      </c>
    </row>
    <row r="35613" customFormat="false" ht="12.8" hidden="false" customHeight="false" outlineLevel="0" collapsed="false">
      <c r="A35613" s="0" t="s">
        <v>13517</v>
      </c>
      <c r="B35613" s="0" t="str">
        <f aca="false">HYPERLINK("https://lindat.mff.cuni.cz/services/teitok/pdtc10/index.php?action=vallex&amp;frame=v-whsa_329hsa_330", "přelétnout (v-whsa_329hsa_330) - substituted with v-whsa_329f1_ZU")</f>
        <v>přelétnout (v-whsa_329hsa_330) - substituted with v-whsa_329f1_ZU</v>
      </c>
    </row>
    <row r="35614" customFormat="false" ht="12.8" hidden="false" customHeight="false" outlineLevel="0" collapsed="false">
      <c r="B35614" s="0" t="s">
        <v>1</v>
      </c>
    </row>
    <row r="35615" customFormat="false" ht="12.8" hidden="false" customHeight="false" outlineLevel="0" collapsed="false">
      <c r="B35615" s="0" t="s">
        <v>631</v>
      </c>
    </row>
    <row r="35616" customFormat="false" ht="12.8" hidden="false" customHeight="false" outlineLevel="0" collapsed="false">
      <c r="B35616" s="0" t="s">
        <v>164</v>
      </c>
    </row>
    <row r="35618" customFormat="false" ht="12.8" hidden="false" customHeight="false" outlineLevel="0" collapsed="false">
      <c r="A35618" s="0" t="s">
        <v>13518</v>
      </c>
      <c r="B35618" s="0" t="str">
        <f aca="false">HYPERLINK("https://lindat.mff.cuni.cz/services/teitok/pdtc10/index.php?action=vallex&amp;frame=v-whsa_1578hsa_1579", "přelétávat (v-whsa_1578hsa_1579)")</f>
        <v>přelétávat (v-whsa_1578hsa_1579)</v>
      </c>
    </row>
    <row r="35619" customFormat="false" ht="12.8" hidden="false" customHeight="false" outlineLevel="0" collapsed="false">
      <c r="B35619" s="0" t="s">
        <v>1</v>
      </c>
    </row>
    <row r="35620" customFormat="false" ht="12.8" hidden="false" customHeight="false" outlineLevel="0" collapsed="false">
      <c r="B35620" s="0" t="s">
        <v>8</v>
      </c>
    </row>
    <row r="35622" customFormat="false" ht="12.8" hidden="false" customHeight="false" outlineLevel="0" collapsed="false">
      <c r="A35622" s="0" t="s">
        <v>13519</v>
      </c>
      <c r="B35622" s="0" t="str">
        <f aca="false">HYPERLINK("https://lindat.mff.cuni.cz/services/teitok/pdtc10/index.php?action=vallex&amp;frame=v-whsa_1578hsa_1580", "přelétávat (v-whsa_1578hsa_1580)")</f>
        <v>přelétávat (v-whsa_1578hsa_1580)</v>
      </c>
    </row>
    <row r="35623" customFormat="false" ht="12.8" hidden="false" customHeight="false" outlineLevel="0" collapsed="false">
      <c r="B35623" s="0" t="s">
        <v>1</v>
      </c>
    </row>
    <row r="35624" customFormat="false" ht="12.8" hidden="false" customHeight="false" outlineLevel="0" collapsed="false">
      <c r="B35624" s="0" t="s">
        <v>631</v>
      </c>
    </row>
    <row r="35625" customFormat="false" ht="12.8" hidden="false" customHeight="false" outlineLevel="0" collapsed="false">
      <c r="B35625" s="0" t="s">
        <v>164</v>
      </c>
    </row>
    <row r="35627" customFormat="false" ht="12.8" hidden="false" customHeight="false" outlineLevel="0" collapsed="false">
      <c r="A35627" s="0" t="s">
        <v>13520</v>
      </c>
      <c r="B35627" s="0" t="str">
        <f aca="false">HYPERLINK("https://lindat.mff.cuni.cz/services/teitok/pdtc10/index.php?action=vallex&amp;frame=v-w10847f2", "přelévat (v-w10847f2)")</f>
        <v>přelévat (v-w10847f2)</v>
      </c>
      <c r="E35627" s="0" t="str">
        <f aca="false">HYPERLINK("https://lindat.mff.cuni.cz/services/SynSemClass40/SynSemClass40.html?veclass=vec00283#vec00283-ces-cm00085", "vec00283")</f>
        <v>vec00283</v>
      </c>
      <c r="F35627" s="0" t="s">
        <v>8946</v>
      </c>
    </row>
    <row r="35628" customFormat="false" ht="12.8" hidden="false" customHeight="false" outlineLevel="0" collapsed="false">
      <c r="B35628" s="0" t="s">
        <v>1</v>
      </c>
      <c r="C35628" s="0" t="s">
        <v>7911</v>
      </c>
      <c r="E35628" s="0" t="s">
        <v>2196</v>
      </c>
      <c r="F35628" s="0" t="s">
        <v>8947</v>
      </c>
    </row>
    <row r="35629" customFormat="false" ht="12.8" hidden="false" customHeight="false" outlineLevel="0" collapsed="false">
      <c r="B35629" s="0" t="s">
        <v>8</v>
      </c>
      <c r="C35629" s="0" t="s">
        <v>8948</v>
      </c>
      <c r="E35629" s="0" t="s">
        <v>2200</v>
      </c>
      <c r="F35629" s="0" t="s">
        <v>8949</v>
      </c>
    </row>
    <row r="35630" customFormat="false" ht="12.8" hidden="false" customHeight="false" outlineLevel="0" collapsed="false">
      <c r="B35630" s="0" t="s">
        <v>631</v>
      </c>
      <c r="E35630" s="0" t="s">
        <v>4096</v>
      </c>
      <c r="F35630" s="0" t="s">
        <v>4097</v>
      </c>
    </row>
    <row r="35631" customFormat="false" ht="12.8" hidden="false" customHeight="false" outlineLevel="0" collapsed="false">
      <c r="B35631" s="0" t="s">
        <v>164</v>
      </c>
      <c r="C35631" s="0" t="s">
        <v>11520</v>
      </c>
      <c r="E35631" s="0" t="s">
        <v>388</v>
      </c>
      <c r="F35631" s="0" t="s">
        <v>11521</v>
      </c>
    </row>
    <row r="35633" customFormat="false" ht="12.8" hidden="false" customHeight="false" outlineLevel="0" collapsed="false">
      <c r="A35633" s="0" t="s">
        <v>13521</v>
      </c>
      <c r="B35633" s="0" t="str">
        <f aca="false">HYPERLINK("https://lindat.mff.cuni.cz/services/teitok/pdtc10/index.php?action=vallex&amp;frame=v-whsa_1260hsa_1261", "přelévat se (v-whsa_1260hsa_1261)")</f>
        <v>přelévat se (v-whsa_1260hsa_1261)</v>
      </c>
    </row>
    <row r="35634" customFormat="false" ht="12.8" hidden="false" customHeight="false" outlineLevel="0" collapsed="false">
      <c r="B35634" s="0" t="s">
        <v>1</v>
      </c>
    </row>
    <row r="35635" customFormat="false" ht="12.8" hidden="false" customHeight="false" outlineLevel="0" collapsed="false">
      <c r="B35635" s="0" t="s">
        <v>631</v>
      </c>
    </row>
    <row r="35636" customFormat="false" ht="12.8" hidden="false" customHeight="false" outlineLevel="0" collapsed="false">
      <c r="B35636" s="0" t="s">
        <v>164</v>
      </c>
    </row>
    <row r="35638" customFormat="false" ht="12.8" hidden="false" customHeight="false" outlineLevel="0" collapsed="false">
      <c r="A35638" s="0" t="s">
        <v>13522</v>
      </c>
      <c r="B35638" s="0" t="str">
        <f aca="false">HYPERLINK("https://lindat.mff.cuni.cz/services/teitok/pdtc10/index.php?action=vallex&amp;frame=v-w4867f1", "přelézt (v-w4867f1)")</f>
        <v>přelézt (v-w4867f1)</v>
      </c>
      <c r="E35638" s="0" t="str">
        <f aca="false">HYPERLINK("https://lindat.mff.cuni.cz/services/SynSemClass40/SynSemClass40.html?veclass=vec01287#vec01287-ces-cm00003", "vec01287")</f>
        <v>vec01287</v>
      </c>
      <c r="F35638" s="0" t="s">
        <v>11031</v>
      </c>
    </row>
    <row r="35639" customFormat="false" ht="12.8" hidden="false" customHeight="false" outlineLevel="0" collapsed="false">
      <c r="B35639" s="0" t="s">
        <v>1</v>
      </c>
      <c r="E35639" s="0" t="s">
        <v>334</v>
      </c>
      <c r="F35639" s="0" t="s">
        <v>11032</v>
      </c>
    </row>
    <row r="35640" customFormat="false" ht="12.8" hidden="false" customHeight="false" outlineLevel="0" collapsed="false">
      <c r="B35640" s="0" t="s">
        <v>8</v>
      </c>
      <c r="E35640" s="0" t="s">
        <v>13403</v>
      </c>
      <c r="F35640" s="0" t="s">
        <v>13404</v>
      </c>
    </row>
    <row r="35642" customFormat="false" ht="12.8" hidden="false" customHeight="false" outlineLevel="0" collapsed="false">
      <c r="A35642" s="0" t="s">
        <v>13523</v>
      </c>
      <c r="B35642" s="0" t="str">
        <f aca="false">HYPERLINK("https://lindat.mff.cuni.cz/services/teitok/pdtc10/index.php?action=vallex&amp;frame=v-w4867f3_ZU", "přelézt (v-w4867f3_ZU)")</f>
        <v>přelézt (v-w4867f3_ZU)</v>
      </c>
    </row>
    <row r="35643" customFormat="false" ht="12.8" hidden="false" customHeight="false" outlineLevel="0" collapsed="false">
      <c r="B35643" s="0" t="s">
        <v>1</v>
      </c>
    </row>
    <row r="35644" customFormat="false" ht="12.8" hidden="false" customHeight="false" outlineLevel="0" collapsed="false">
      <c r="B35644" s="0" t="s">
        <v>4966</v>
      </c>
    </row>
    <row r="35646" customFormat="false" ht="12.8" hidden="false" customHeight="false" outlineLevel="0" collapsed="false">
      <c r="A35646" s="0" t="s">
        <v>13523</v>
      </c>
      <c r="B35646" s="0" t="str">
        <f aca="false">HYPERLINK("https://lindat.mff.cuni.cz/services/teitok/pdtc10/index.php?action=vallex&amp;frame=v-w4867f2_ZU", "přelézt (v-w4867f2_ZU) - substituted with v-w4867f3_ZU")</f>
        <v>přelézt (v-w4867f2_ZU) - substituted with v-w4867f3_ZU</v>
      </c>
    </row>
    <row r="35647" customFormat="false" ht="12.8" hidden="false" customHeight="false" outlineLevel="0" collapsed="false">
      <c r="B35647" s="0" t="s">
        <v>1</v>
      </c>
    </row>
    <row r="35648" customFormat="false" ht="12.8" hidden="false" customHeight="false" outlineLevel="0" collapsed="false">
      <c r="B35648" s="0" t="s">
        <v>4966</v>
      </c>
    </row>
    <row r="35650" customFormat="false" ht="12.8" hidden="false" customHeight="false" outlineLevel="0" collapsed="false">
      <c r="A35650" s="0" t="s">
        <v>13524</v>
      </c>
      <c r="B35650" s="0" t="str">
        <f aca="false">HYPERLINK("https://lindat.mff.cuni.cz/services/teitok/pdtc10/index.php?action=vallex&amp;frame=v-w4871f1", "přelít (v-w4871f1)")</f>
        <v>přelít (v-w4871f1)</v>
      </c>
      <c r="E35650" s="0" t="str">
        <f aca="false">HYPERLINK("https://lindat.mff.cuni.cz/services/SynSemClass40/SynSemClass40.html?veclass=vec00283#vec00283-ces-cm00011", "vec00283")</f>
        <v>vec00283</v>
      </c>
      <c r="F35650" s="0" t="s">
        <v>8946</v>
      </c>
    </row>
    <row r="35651" customFormat="false" ht="12.8" hidden="false" customHeight="false" outlineLevel="0" collapsed="false">
      <c r="B35651" s="0" t="s">
        <v>1</v>
      </c>
      <c r="C35651" s="0" t="s">
        <v>7911</v>
      </c>
      <c r="E35651" s="0" t="s">
        <v>2196</v>
      </c>
      <c r="F35651" s="0" t="s">
        <v>8947</v>
      </c>
    </row>
    <row r="35652" customFormat="false" ht="12.8" hidden="false" customHeight="false" outlineLevel="0" collapsed="false">
      <c r="B35652" s="0" t="s">
        <v>8</v>
      </c>
      <c r="C35652" s="0" t="s">
        <v>8948</v>
      </c>
      <c r="E35652" s="0" t="s">
        <v>2200</v>
      </c>
      <c r="F35652" s="0" t="s">
        <v>8949</v>
      </c>
    </row>
    <row r="35653" customFormat="false" ht="12.8" hidden="false" customHeight="false" outlineLevel="0" collapsed="false">
      <c r="B35653" s="0" t="s">
        <v>631</v>
      </c>
      <c r="E35653" s="0" t="s">
        <v>4096</v>
      </c>
      <c r="F35653" s="0" t="s">
        <v>4097</v>
      </c>
    </row>
    <row r="35654" customFormat="false" ht="12.8" hidden="false" customHeight="false" outlineLevel="0" collapsed="false">
      <c r="B35654" s="0" t="s">
        <v>164</v>
      </c>
      <c r="C35654" s="0" t="s">
        <v>11520</v>
      </c>
      <c r="E35654" s="0" t="s">
        <v>388</v>
      </c>
      <c r="F35654" s="0" t="s">
        <v>11521</v>
      </c>
    </row>
    <row r="35656" customFormat="false" ht="12.8" hidden="false" customHeight="false" outlineLevel="0" collapsed="false">
      <c r="A35656" s="0" t="s">
        <v>13525</v>
      </c>
      <c r="B35656" s="0" t="str">
        <f aca="false">HYPERLINK("https://lindat.mff.cuni.cz/services/teitok/pdtc10/index.php?action=vallex&amp;frame=v-whsa_1287f1_ZU", "přelítnout (v-whsa_1287f1_ZU)")</f>
        <v>přelítnout (v-whsa_1287f1_ZU)</v>
      </c>
    </row>
    <row r="35657" customFormat="false" ht="12.8" hidden="false" customHeight="false" outlineLevel="0" collapsed="false">
      <c r="B35657" s="0" t="s">
        <v>1</v>
      </c>
    </row>
    <row r="35658" customFormat="false" ht="12.8" hidden="false" customHeight="false" outlineLevel="0" collapsed="false">
      <c r="B35658" s="0" t="s">
        <v>631</v>
      </c>
    </row>
    <row r="35659" customFormat="false" ht="12.8" hidden="false" customHeight="false" outlineLevel="0" collapsed="false">
      <c r="B35659" s="0" t="s">
        <v>164</v>
      </c>
    </row>
    <row r="35661" customFormat="false" ht="12.8" hidden="false" customHeight="false" outlineLevel="0" collapsed="false">
      <c r="A35661" s="0" t="s">
        <v>13525</v>
      </c>
      <c r="B35661" s="0" t="str">
        <f aca="false">HYPERLINK("https://lindat.mff.cuni.cz/services/teitok/pdtc10/index.php?action=vallex&amp;frame=v-whsa_1287hsa_1288", "přelítnout (v-whsa_1287hsa_1288) - substituted with v-whsa_1287f1_ZU")</f>
        <v>přelítnout (v-whsa_1287hsa_1288) - substituted with v-whsa_1287f1_ZU</v>
      </c>
    </row>
    <row r="35662" customFormat="false" ht="12.8" hidden="false" customHeight="false" outlineLevel="0" collapsed="false">
      <c r="B35662" s="0" t="s">
        <v>1</v>
      </c>
    </row>
    <row r="35663" customFormat="false" ht="12.8" hidden="false" customHeight="false" outlineLevel="0" collapsed="false">
      <c r="B35663" s="0" t="s">
        <v>631</v>
      </c>
    </row>
    <row r="35664" customFormat="false" ht="12.8" hidden="false" customHeight="false" outlineLevel="0" collapsed="false">
      <c r="B35664" s="0" t="s">
        <v>164</v>
      </c>
    </row>
    <row r="35666" customFormat="false" ht="12.8" hidden="false" customHeight="false" outlineLevel="0" collapsed="false">
      <c r="A35666" s="0" t="s">
        <v>13526</v>
      </c>
      <c r="B35666" s="0" t="str">
        <f aca="false">HYPERLINK("https://lindat.mff.cuni.cz/services/teitok/pdtc10/index.php?action=vallex&amp;frame=v-w10560f2", "přemalovat (v-w10560f2)")</f>
        <v>přemalovat (v-w10560f2)</v>
      </c>
      <c r="E35666" s="0" t="str">
        <f aca="false">HYPERLINK("https://lindat.mff.cuni.cz/services/SynSemClass40/SynSemClass40.html?veclass=vec00095#vec00095-ces-cm00086", "vec00095")</f>
        <v>vec00095</v>
      </c>
      <c r="F35666" s="0" t="s">
        <v>29</v>
      </c>
    </row>
    <row r="35667" customFormat="false" ht="12.8" hidden="false" customHeight="false" outlineLevel="0" collapsed="false">
      <c r="B35667" s="0" t="s">
        <v>1</v>
      </c>
      <c r="C35667" s="0" t="s">
        <v>30</v>
      </c>
      <c r="E35667" s="0" t="s">
        <v>31</v>
      </c>
      <c r="F35667" s="0" t="s">
        <v>32</v>
      </c>
    </row>
    <row r="35668" customFormat="false" ht="12.8" hidden="false" customHeight="false" outlineLevel="0" collapsed="false">
      <c r="B35668" s="0" t="s">
        <v>8</v>
      </c>
      <c r="C35668" s="0" t="s">
        <v>33</v>
      </c>
      <c r="E35668" s="0" t="s">
        <v>34</v>
      </c>
      <c r="F35668" s="0" t="s">
        <v>35</v>
      </c>
    </row>
    <row r="35669" customFormat="false" ht="12.8" hidden="false" customHeight="false" outlineLevel="0" collapsed="false">
      <c r="B35669" s="0" t="s">
        <v>36</v>
      </c>
      <c r="C35669" s="0" t="s">
        <v>37</v>
      </c>
      <c r="E35669" s="0" t="s">
        <v>38</v>
      </c>
      <c r="F35669" s="0" t="s">
        <v>39</v>
      </c>
    </row>
    <row r="35670" customFormat="false" ht="12.8" hidden="false" customHeight="false" outlineLevel="0" collapsed="false">
      <c r="B35670" s="0" t="s">
        <v>101</v>
      </c>
      <c r="C35670" s="0" t="s">
        <v>41</v>
      </c>
      <c r="E35670" s="0" t="s">
        <v>42</v>
      </c>
      <c r="F35670" s="0" t="s">
        <v>43</v>
      </c>
    </row>
    <row r="35672" customFormat="false" ht="12.8" hidden="false" customHeight="false" outlineLevel="0" collapsed="false">
      <c r="A35672" s="0" t="s">
        <v>13527</v>
      </c>
      <c r="B35672" s="0" t="str">
        <f aca="false">HYPERLINK("https://lindat.mff.cuni.cz/services/teitok/pdtc10/index.php?action=vallex&amp;frame=v-w4884f1", "přemisťovat (v-w4884f1)")</f>
        <v>přemisťovat (v-w4884f1)</v>
      </c>
      <c r="E35672" s="0" t="str">
        <f aca="false">HYPERLINK("https://lindat.mff.cuni.cz/services/SynSemClass40/SynSemClass40.html?veclass=vec00894#vec00894-ces-cm00006", "vec00894")</f>
        <v>vec00894</v>
      </c>
      <c r="F35672" s="0" t="s">
        <v>13498</v>
      </c>
    </row>
    <row r="35673" customFormat="false" ht="12.8" hidden="false" customHeight="false" outlineLevel="0" collapsed="false">
      <c r="B35673" s="0" t="s">
        <v>1</v>
      </c>
      <c r="C35673" s="0" t="s">
        <v>13499</v>
      </c>
      <c r="E35673" s="0" t="s">
        <v>334</v>
      </c>
      <c r="F35673" s="0" t="s">
        <v>13500</v>
      </c>
    </row>
    <row r="35674" customFormat="false" ht="12.8" hidden="false" customHeight="false" outlineLevel="0" collapsed="false">
      <c r="B35674" s="0" t="s">
        <v>8</v>
      </c>
      <c r="C35674" s="0" t="s">
        <v>13501</v>
      </c>
      <c r="E35674" s="0" t="s">
        <v>2648</v>
      </c>
      <c r="F35674" s="0" t="s">
        <v>13502</v>
      </c>
    </row>
    <row r="35675" customFormat="false" ht="12.8" hidden="false" customHeight="false" outlineLevel="0" collapsed="false">
      <c r="B35675" s="0" t="s">
        <v>631</v>
      </c>
      <c r="E35675" s="0" t="s">
        <v>1949</v>
      </c>
      <c r="F35675" s="0" t="s">
        <v>2896</v>
      </c>
    </row>
    <row r="35676" customFormat="false" ht="12.8" hidden="false" customHeight="false" outlineLevel="0" collapsed="false">
      <c r="B35676" s="0" t="s">
        <v>164</v>
      </c>
      <c r="C35676" s="0" t="s">
        <v>13503</v>
      </c>
      <c r="E35676" s="0" t="s">
        <v>1315</v>
      </c>
      <c r="F35676" s="0" t="s">
        <v>13504</v>
      </c>
    </row>
    <row r="35678" customFormat="false" ht="12.8" hidden="false" customHeight="false" outlineLevel="0" collapsed="false">
      <c r="A35678" s="0" t="s">
        <v>13528</v>
      </c>
      <c r="B35678" s="0" t="str">
        <f aca="false">HYPERLINK("https://lindat.mff.cuni.cz/services/teitok/pdtc10/index.php?action=vallex&amp;frame=v-w4887f1", "přemlouvat (v-w4887f1)")</f>
        <v>přemlouvat (v-w4887f1)</v>
      </c>
    </row>
    <row r="35679" customFormat="false" ht="12.8" hidden="false" customHeight="false" outlineLevel="0" collapsed="false">
      <c r="B35679" s="0" t="s">
        <v>1</v>
      </c>
    </row>
    <row r="35680" customFormat="false" ht="12.8" hidden="false" customHeight="false" outlineLevel="0" collapsed="false">
      <c r="B35680" s="0" t="s">
        <v>98</v>
      </c>
    </row>
    <row r="35681" customFormat="false" ht="12.8" hidden="false" customHeight="false" outlineLevel="0" collapsed="false">
      <c r="B35681" s="0" t="s">
        <v>13529</v>
      </c>
    </row>
    <row r="35683" customFormat="false" ht="12.8" hidden="false" customHeight="false" outlineLevel="0" collapsed="false">
      <c r="A35683" s="0" t="s">
        <v>13530</v>
      </c>
      <c r="B35683" s="0" t="str">
        <f aca="false">HYPERLINK("https://lindat.mff.cuni.cz/services/teitok/pdtc10/index.php?action=vallex&amp;frame=v-w4888f1", "přemluvit (v-w4888f1)")</f>
        <v>přemluvit (v-w4888f1)</v>
      </c>
      <c r="E35683" s="0" t="str">
        <f aca="false">HYPERLINK("https://lindat.mff.cuni.cz/services/SynSemClass40/SynSemClass40.html?veclass=vec00098#vec00098-ces-cm00146", "vec00098")</f>
        <v>vec00098</v>
      </c>
      <c r="F35683" s="0" t="s">
        <v>2500</v>
      </c>
    </row>
    <row r="35684" customFormat="false" ht="12.8" hidden="false" customHeight="false" outlineLevel="0" collapsed="false">
      <c r="B35684" s="0" t="s">
        <v>1</v>
      </c>
      <c r="C35684" s="0" t="s">
        <v>2501</v>
      </c>
      <c r="E35684" s="0" t="s">
        <v>1665</v>
      </c>
      <c r="F35684" s="0" t="s">
        <v>2502</v>
      </c>
    </row>
    <row r="35685" customFormat="false" ht="12.8" hidden="false" customHeight="false" outlineLevel="0" collapsed="false">
      <c r="B35685" s="0" t="s">
        <v>98</v>
      </c>
      <c r="C35685" s="0" t="s">
        <v>2505</v>
      </c>
      <c r="E35685" s="0" t="s">
        <v>2287</v>
      </c>
      <c r="F35685" s="0" t="s">
        <v>2506</v>
      </c>
    </row>
    <row r="35686" customFormat="false" ht="12.8" hidden="false" customHeight="false" outlineLevel="0" collapsed="false">
      <c r="B35686" s="0" t="s">
        <v>13529</v>
      </c>
      <c r="C35686" s="0" t="s">
        <v>2503</v>
      </c>
      <c r="E35686" s="0" t="s">
        <v>79</v>
      </c>
      <c r="F35686" s="0" t="s">
        <v>2504</v>
      </c>
    </row>
    <row r="35688" customFormat="false" ht="12.8" hidden="false" customHeight="false" outlineLevel="0" collapsed="false">
      <c r="A35688" s="0" t="s">
        <v>13531</v>
      </c>
      <c r="B35688" s="0" t="str">
        <f aca="false">HYPERLINK("https://lindat.mff.cuni.cz/services/teitok/pdtc10/index.php?action=vallex&amp;frame=v-w11831_ZUf1_ZU", "přemnožit se (v-w11831_ZUf1_ZU)")</f>
        <v>přemnožit se (v-w11831_ZUf1_ZU)</v>
      </c>
    </row>
    <row r="35689" customFormat="false" ht="12.8" hidden="false" customHeight="false" outlineLevel="0" collapsed="false">
      <c r="B35689" s="0" t="s">
        <v>1</v>
      </c>
    </row>
    <row r="35691" customFormat="false" ht="12.8" hidden="false" customHeight="false" outlineLevel="0" collapsed="false">
      <c r="A35691" s="0" t="s">
        <v>13532</v>
      </c>
      <c r="B35691" s="0" t="str">
        <f aca="false">HYPERLINK("https://lindat.mff.cuni.cz/services/teitok/pdtc10/index.php?action=vallex&amp;frame=v-w4889f1", "přemoci (v-w4889f1)")</f>
        <v>přemoci (v-w4889f1)</v>
      </c>
    </row>
    <row r="35692" customFormat="false" ht="12.8" hidden="false" customHeight="false" outlineLevel="0" collapsed="false">
      <c r="B35692" s="0" t="s">
        <v>1</v>
      </c>
    </row>
    <row r="35693" customFormat="false" ht="12.8" hidden="false" customHeight="false" outlineLevel="0" collapsed="false">
      <c r="B35693" s="0" t="s">
        <v>8</v>
      </c>
    </row>
    <row r="35695" customFormat="false" ht="12.8" hidden="false" customHeight="false" outlineLevel="0" collapsed="false">
      <c r="A35695" s="0" t="s">
        <v>13533</v>
      </c>
      <c r="B35695" s="0" t="str">
        <f aca="false">HYPERLINK("https://lindat.mff.cuni.cz/services/teitok/pdtc10/index.php?action=vallex&amp;frame=v-w4891f1", "přemostit (v-w4891f1)")</f>
        <v>přemostit (v-w4891f1)</v>
      </c>
    </row>
    <row r="35696" customFormat="false" ht="12.8" hidden="false" customHeight="false" outlineLevel="0" collapsed="false">
      <c r="B35696" s="0" t="s">
        <v>1</v>
      </c>
    </row>
    <row r="35697" customFormat="false" ht="12.8" hidden="false" customHeight="false" outlineLevel="0" collapsed="false">
      <c r="B35697" s="0" t="s">
        <v>8</v>
      </c>
    </row>
    <row r="35699" customFormat="false" ht="12.8" hidden="false" customHeight="false" outlineLevel="0" collapsed="false">
      <c r="A35699" s="0" t="s">
        <v>13534</v>
      </c>
      <c r="B35699" s="0" t="str">
        <f aca="false">HYPERLINK("https://lindat.mff.cuni.cz/services/teitok/pdtc10/index.php?action=vallex&amp;frame=v-whsa_1050hsa_1051", "přemáhat se (v-whsa_1050hsa_1051)")</f>
        <v>přemáhat se (v-whsa_1050hsa_1051)</v>
      </c>
    </row>
    <row r="35700" customFormat="false" ht="12.8" hidden="false" customHeight="false" outlineLevel="0" collapsed="false">
      <c r="B35700" s="0" t="s">
        <v>1</v>
      </c>
    </row>
    <row r="35702" customFormat="false" ht="12.8" hidden="false" customHeight="false" outlineLevel="0" collapsed="false">
      <c r="A35702" s="0" t="s">
        <v>13535</v>
      </c>
      <c r="B35702" s="0" t="str">
        <f aca="false">HYPERLINK("https://lindat.mff.cuni.cz/services/teitok/pdtc10/index.php?action=vallex&amp;frame=v-w4881f1", "přemístit (v-w4881f1)")</f>
        <v>přemístit (v-w4881f1)</v>
      </c>
      <c r="E35702" s="0" t="str">
        <f aca="false">HYPERLINK("https://lindat.mff.cuni.cz/services/SynSemClass40/SynSemClass40.html?veclass=vec00894#vec00894-ces-cm00005", "vec00894")</f>
        <v>vec00894</v>
      </c>
      <c r="F35702" s="0" t="s">
        <v>13498</v>
      </c>
    </row>
    <row r="35703" customFormat="false" ht="12.8" hidden="false" customHeight="false" outlineLevel="0" collapsed="false">
      <c r="B35703" s="0" t="s">
        <v>1</v>
      </c>
      <c r="C35703" s="0" t="s">
        <v>13499</v>
      </c>
      <c r="E35703" s="0" t="s">
        <v>334</v>
      </c>
      <c r="F35703" s="0" t="s">
        <v>13500</v>
      </c>
    </row>
    <row r="35704" customFormat="false" ht="12.8" hidden="false" customHeight="false" outlineLevel="0" collapsed="false">
      <c r="B35704" s="0" t="s">
        <v>8</v>
      </c>
      <c r="C35704" s="0" t="s">
        <v>13501</v>
      </c>
      <c r="E35704" s="0" t="s">
        <v>2648</v>
      </c>
      <c r="F35704" s="0" t="s">
        <v>13502</v>
      </c>
    </row>
    <row r="35705" customFormat="false" ht="12.8" hidden="false" customHeight="false" outlineLevel="0" collapsed="false">
      <c r="B35705" s="0" t="s">
        <v>631</v>
      </c>
      <c r="E35705" s="0" t="s">
        <v>1949</v>
      </c>
      <c r="F35705" s="0" t="s">
        <v>2896</v>
      </c>
    </row>
    <row r="35706" customFormat="false" ht="12.8" hidden="false" customHeight="false" outlineLevel="0" collapsed="false">
      <c r="B35706" s="0" t="s">
        <v>164</v>
      </c>
      <c r="C35706" s="0" t="s">
        <v>13503</v>
      </c>
      <c r="E35706" s="0" t="s">
        <v>1315</v>
      </c>
      <c r="F35706" s="0" t="s">
        <v>13504</v>
      </c>
    </row>
    <row r="35708" customFormat="false" ht="12.8" hidden="false" customHeight="false" outlineLevel="0" collapsed="false">
      <c r="A35708" s="0" t="s">
        <v>13536</v>
      </c>
      <c r="B35708" s="0" t="str">
        <f aca="false">HYPERLINK("https://lindat.mff.cuni.cz/services/teitok/pdtc10/index.php?action=vallex&amp;frame=v-w4881f2", "přemístit (v-w4881f2)")</f>
        <v>přemístit (v-w4881f2)</v>
      </c>
      <c r="E35708" s="0" t="str">
        <f aca="false">HYPERLINK("https://lindat.mff.cuni.cz/services/SynSemClass40/SynSemClass40.html?veclass=vec00894#vec00894-ces-cm00004", "vec00894")</f>
        <v>vec00894</v>
      </c>
      <c r="F35708" s="0" t="s">
        <v>13498</v>
      </c>
    </row>
    <row r="35709" customFormat="false" ht="12.8" hidden="false" customHeight="false" outlineLevel="0" collapsed="false">
      <c r="B35709" s="0" t="s">
        <v>1</v>
      </c>
      <c r="C35709" s="0" t="s">
        <v>13499</v>
      </c>
      <c r="E35709" s="0" t="s">
        <v>334</v>
      </c>
      <c r="F35709" s="0" t="s">
        <v>13500</v>
      </c>
    </row>
    <row r="35710" customFormat="false" ht="12.8" hidden="false" customHeight="false" outlineLevel="0" collapsed="false">
      <c r="B35710" s="0" t="s">
        <v>8</v>
      </c>
      <c r="C35710" s="0" t="s">
        <v>13501</v>
      </c>
      <c r="E35710" s="0" t="s">
        <v>2648</v>
      </c>
      <c r="F35710" s="0" t="s">
        <v>13502</v>
      </c>
    </row>
    <row r="35711" customFormat="false" ht="12.8" hidden="false" customHeight="false" outlineLevel="0" collapsed="false">
      <c r="B35711" s="0" t="s">
        <v>631</v>
      </c>
      <c r="E35711" s="0" t="s">
        <v>1949</v>
      </c>
      <c r="F35711" s="0" t="s">
        <v>2896</v>
      </c>
    </row>
    <row r="35712" customFormat="false" ht="12.8" hidden="false" customHeight="false" outlineLevel="0" collapsed="false">
      <c r="B35712" s="0" t="s">
        <v>164</v>
      </c>
      <c r="C35712" s="0" t="s">
        <v>13503</v>
      </c>
      <c r="E35712" s="0" t="s">
        <v>1315</v>
      </c>
      <c r="F35712" s="0" t="s">
        <v>13504</v>
      </c>
    </row>
    <row r="35714" customFormat="false" ht="12.8" hidden="false" customHeight="false" outlineLevel="0" collapsed="false">
      <c r="A35714" s="0" t="s">
        <v>13537</v>
      </c>
      <c r="B35714" s="0" t="str">
        <f aca="false">HYPERLINK("https://lindat.mff.cuni.cz/services/teitok/pdtc10/index.php?action=vallex&amp;frame=v-w4882f1", "přemístit se (v-w4882f1)")</f>
        <v>přemístit se (v-w4882f1)</v>
      </c>
      <c r="E35714" s="0" t="str">
        <f aca="false">HYPERLINK("https://lindat.mff.cuni.cz/services/SynSemClass40/SynSemClass40.html?veclass=vec00022#vec00022-ces-cm00056", "vec00022")</f>
        <v>vec00022</v>
      </c>
      <c r="F35714" s="0" t="s">
        <v>4377</v>
      </c>
    </row>
    <row r="35715" customFormat="false" ht="12.8" hidden="false" customHeight="false" outlineLevel="0" collapsed="false">
      <c r="B35715" s="0" t="s">
        <v>1</v>
      </c>
      <c r="C35715" s="0" t="s">
        <v>4378</v>
      </c>
      <c r="E35715" s="0" t="s">
        <v>334</v>
      </c>
      <c r="F35715" s="0" t="s">
        <v>4379</v>
      </c>
    </row>
    <row r="35716" customFormat="false" ht="12.8" hidden="false" customHeight="false" outlineLevel="0" collapsed="false">
      <c r="B35716" s="0" t="s">
        <v>631</v>
      </c>
      <c r="E35716" s="0" t="s">
        <v>1949</v>
      </c>
      <c r="F35716" s="0" t="s">
        <v>2896</v>
      </c>
    </row>
    <row r="35717" customFormat="false" ht="12.8" hidden="false" customHeight="false" outlineLevel="0" collapsed="false">
      <c r="B35717" s="0" t="s">
        <v>164</v>
      </c>
      <c r="E35717" s="0" t="s">
        <v>1315</v>
      </c>
      <c r="F35717" s="0" t="s">
        <v>1316</v>
      </c>
    </row>
    <row r="35719" customFormat="false" ht="12.8" hidden="false" customHeight="false" outlineLevel="0" collapsed="false">
      <c r="A35719" s="0" t="s">
        <v>13538</v>
      </c>
      <c r="B35719" s="0" t="str">
        <f aca="false">HYPERLINK("https://lindat.mff.cuni.cz/services/teitok/pdtc10/index.php?action=vallex&amp;frame=v-w4886f1", "přemítat (v-w4886f1)")</f>
        <v>přemítat (v-w4886f1)</v>
      </c>
      <c r="E35719" s="0" t="str">
        <f aca="false">HYPERLINK("https://lindat.mff.cuni.cz/services/SynSemClass40/SynSemClass40.html?veclass=vec00149#vec00149-ces-cm00072", "vec00149")</f>
        <v>vec00149</v>
      </c>
      <c r="F35719" s="0" t="s">
        <v>686</v>
      </c>
    </row>
    <row r="35720" customFormat="false" ht="12.8" hidden="false" customHeight="false" outlineLevel="0" collapsed="false">
      <c r="B35720" s="0" t="s">
        <v>1</v>
      </c>
      <c r="C35720" s="0" t="s">
        <v>687</v>
      </c>
      <c r="E35720" s="0" t="s">
        <v>621</v>
      </c>
      <c r="F35720" s="0" t="s">
        <v>688</v>
      </c>
    </row>
    <row r="35721" customFormat="false" ht="12.8" hidden="false" customHeight="false" outlineLevel="0" collapsed="false">
      <c r="B35721" s="0" t="s">
        <v>6232</v>
      </c>
      <c r="C35721" s="0" t="s">
        <v>690</v>
      </c>
      <c r="E35721" s="0" t="s">
        <v>209</v>
      </c>
      <c r="F35721" s="0" t="s">
        <v>691</v>
      </c>
    </row>
    <row r="35723" customFormat="false" ht="12.8" hidden="false" customHeight="false" outlineLevel="0" collapsed="false">
      <c r="A35723" s="0" t="s">
        <v>13539</v>
      </c>
      <c r="B35723" s="0" t="str">
        <f aca="false">HYPERLINK("https://lindat.mff.cuni.cz/services/teitok/pdtc10/index.php?action=vallex&amp;frame=v-w4895f1", "přemýšlet (v-w4895f1)")</f>
        <v>přemýšlet (v-w4895f1)</v>
      </c>
      <c r="E35723" s="0" t="str">
        <f aca="false">HYPERLINK("https://lindat.mff.cuni.cz/services/SynSemClass40/SynSemClass40.html?veclass=vec00149#vec00149-ces-cm00009", "vec00149")</f>
        <v>vec00149</v>
      </c>
      <c r="F35723" s="0" t="s">
        <v>686</v>
      </c>
      <c r="H35723" s="0" t="str">
        <f aca="false">HYPERLINK("https://lindat.mff.cuni.cz/services/SynSemClass40/SynSemClass40.html?veclass=vec01333#vec01333-ces-cm00009", "vec01333")</f>
        <v>vec01333</v>
      </c>
      <c r="I35723" s="0" t="s">
        <v>4133</v>
      </c>
    </row>
    <row r="35724" customFormat="false" ht="12.8" hidden="false" customHeight="false" outlineLevel="0" collapsed="false">
      <c r="B35724" s="0" t="s">
        <v>1</v>
      </c>
      <c r="C35724" s="0" t="s">
        <v>13540</v>
      </c>
      <c r="E35724" s="0" t="s">
        <v>621</v>
      </c>
      <c r="F35724" s="0" t="s">
        <v>688</v>
      </c>
      <c r="H35724" s="0" t="s">
        <v>621</v>
      </c>
      <c r="I35724" s="0" t="s">
        <v>4135</v>
      </c>
    </row>
    <row r="35725" customFormat="false" ht="12.8" hidden="false" customHeight="false" outlineLevel="0" collapsed="false">
      <c r="B35725" s="0" t="s">
        <v>3363</v>
      </c>
      <c r="C35725" s="0" t="s">
        <v>13541</v>
      </c>
      <c r="E35725" s="0" t="s">
        <v>209</v>
      </c>
      <c r="F35725" s="0" t="s">
        <v>691</v>
      </c>
      <c r="H35725" s="0" t="s">
        <v>180</v>
      </c>
      <c r="I35725" s="0" t="s">
        <v>1755</v>
      </c>
    </row>
    <row r="35727" customFormat="false" ht="12.8" hidden="false" customHeight="false" outlineLevel="0" collapsed="false">
      <c r="A35727" s="0" t="s">
        <v>13542</v>
      </c>
      <c r="B35727" s="0" t="str">
        <f aca="false">HYPERLINK("https://lindat.mff.cuni.cz/services/teitok/pdtc10/index.php?action=vallex&amp;frame=v-w4877f1", "přeměnit (v-w4877f1)")</f>
        <v>přeměnit (v-w4877f1)</v>
      </c>
      <c r="E35727" s="0" t="str">
        <f aca="false">HYPERLINK("https://lindat.mff.cuni.cz/services/SynSemClass40/SynSemClass40.html?veclass=vec00095#vec00095-ces-cm00001", "vec00095")</f>
        <v>vec00095</v>
      </c>
      <c r="F35727" s="0" t="s">
        <v>29</v>
      </c>
    </row>
    <row r="35728" customFormat="false" ht="12.8" hidden="false" customHeight="false" outlineLevel="0" collapsed="false">
      <c r="B35728" s="0" t="s">
        <v>1</v>
      </c>
      <c r="C35728" s="0" t="s">
        <v>30</v>
      </c>
      <c r="E35728" s="0" t="s">
        <v>31</v>
      </c>
      <c r="F35728" s="0" t="s">
        <v>32</v>
      </c>
    </row>
    <row r="35729" customFormat="false" ht="12.8" hidden="false" customHeight="false" outlineLevel="0" collapsed="false">
      <c r="B35729" s="0" t="s">
        <v>8</v>
      </c>
      <c r="C35729" s="0" t="s">
        <v>33</v>
      </c>
      <c r="E35729" s="0" t="s">
        <v>34</v>
      </c>
      <c r="F35729" s="0" t="s">
        <v>35</v>
      </c>
    </row>
    <row r="35730" customFormat="false" ht="12.8" hidden="false" customHeight="false" outlineLevel="0" collapsed="false">
      <c r="B35730" s="0" t="s">
        <v>36</v>
      </c>
      <c r="C35730" s="0" t="s">
        <v>37</v>
      </c>
      <c r="E35730" s="0" t="s">
        <v>38</v>
      </c>
      <c r="F35730" s="0" t="s">
        <v>39</v>
      </c>
    </row>
    <row r="35731" customFormat="false" ht="12.8" hidden="false" customHeight="false" outlineLevel="0" collapsed="false">
      <c r="B35731" s="0" t="s">
        <v>10314</v>
      </c>
      <c r="C35731" s="0" t="s">
        <v>41</v>
      </c>
      <c r="E35731" s="0" t="s">
        <v>42</v>
      </c>
      <c r="F35731" s="0" t="s">
        <v>43</v>
      </c>
    </row>
    <row r="35733" customFormat="false" ht="12.8" hidden="false" customHeight="false" outlineLevel="0" collapsed="false">
      <c r="A35733" s="0" t="s">
        <v>13543</v>
      </c>
      <c r="B35733" s="0" t="str">
        <f aca="false">HYPERLINK("https://lindat.mff.cuni.cz/services/teitok/pdtc10/index.php?action=vallex&amp;frame=v-w11554_ZUf1_ZU", "přeměnit se (v-w11554_ZUf1_ZU)")</f>
        <v>přeměnit se (v-w11554_ZUf1_ZU)</v>
      </c>
      <c r="E35733" s="0" t="str">
        <f aca="false">HYPERLINK("https://lindat.mff.cuni.cz/services/SynSemClass40/SynSemClass40.html?veclass=vec01132#vec01132-ces-cm00005", "vec01132")</f>
        <v>vec01132</v>
      </c>
      <c r="F35733" s="0" t="s">
        <v>6967</v>
      </c>
    </row>
    <row r="35734" customFormat="false" ht="12.8" hidden="false" customHeight="false" outlineLevel="0" collapsed="false">
      <c r="B35734" s="0" t="s">
        <v>1</v>
      </c>
      <c r="C35734" s="0" t="s">
        <v>6968</v>
      </c>
      <c r="E35734" s="0" t="s">
        <v>84</v>
      </c>
      <c r="F35734" s="0" t="s">
        <v>6969</v>
      </c>
    </row>
    <row r="35735" customFormat="false" ht="12.8" hidden="false" customHeight="false" outlineLevel="0" collapsed="false">
      <c r="B35735" s="0" t="s">
        <v>13544</v>
      </c>
      <c r="C35735" s="0" t="s">
        <v>6971</v>
      </c>
      <c r="E35735" s="0" t="s">
        <v>1592</v>
      </c>
      <c r="F35735" s="0" t="s">
        <v>6972</v>
      </c>
    </row>
    <row r="35736" customFormat="false" ht="12.8" hidden="false" customHeight="false" outlineLevel="0" collapsed="false">
      <c r="B35736" s="0" t="s">
        <v>36</v>
      </c>
      <c r="C35736" s="0" t="s">
        <v>6973</v>
      </c>
      <c r="E35736" s="0" t="s">
        <v>38</v>
      </c>
      <c r="F35736" s="0" t="s">
        <v>6974</v>
      </c>
    </row>
    <row r="35738" customFormat="false" ht="12.8" hidden="false" customHeight="false" outlineLevel="0" collapsed="false">
      <c r="A35738" s="0" t="s">
        <v>13545</v>
      </c>
      <c r="B35738" s="0" t="str">
        <f aca="false">HYPERLINK("https://lindat.mff.cuni.cz/services/teitok/pdtc10/index.php?action=vallex&amp;frame=v-w4878f1", "přeměňovat (v-w4878f1)")</f>
        <v>přeměňovat (v-w4878f1)</v>
      </c>
      <c r="E35738" s="0" t="str">
        <f aca="false">HYPERLINK("https://lindat.mff.cuni.cz/services/SynSemClass40/SynSemClass40.html?veclass=vec00095#vec00095-ces-cm00079", "vec00095")</f>
        <v>vec00095</v>
      </c>
      <c r="F35738" s="0" t="s">
        <v>29</v>
      </c>
    </row>
    <row r="35739" customFormat="false" ht="12.8" hidden="false" customHeight="false" outlineLevel="0" collapsed="false">
      <c r="B35739" s="0" t="s">
        <v>1</v>
      </c>
      <c r="C35739" s="0" t="s">
        <v>30</v>
      </c>
      <c r="E35739" s="0" t="s">
        <v>31</v>
      </c>
      <c r="F35739" s="0" t="s">
        <v>32</v>
      </c>
    </row>
    <row r="35740" customFormat="false" ht="12.8" hidden="false" customHeight="false" outlineLevel="0" collapsed="false">
      <c r="B35740" s="0" t="s">
        <v>8</v>
      </c>
      <c r="C35740" s="0" t="s">
        <v>33</v>
      </c>
      <c r="E35740" s="0" t="s">
        <v>34</v>
      </c>
      <c r="F35740" s="0" t="s">
        <v>35</v>
      </c>
    </row>
    <row r="35741" customFormat="false" ht="12.8" hidden="false" customHeight="false" outlineLevel="0" collapsed="false">
      <c r="B35741" s="0" t="s">
        <v>36</v>
      </c>
      <c r="C35741" s="0" t="s">
        <v>37</v>
      </c>
      <c r="E35741" s="0" t="s">
        <v>38</v>
      </c>
      <c r="F35741" s="0" t="s">
        <v>39</v>
      </c>
    </row>
    <row r="35742" customFormat="false" ht="12.8" hidden="false" customHeight="false" outlineLevel="0" collapsed="false">
      <c r="B35742" s="0" t="s">
        <v>10314</v>
      </c>
      <c r="C35742" s="0" t="s">
        <v>41</v>
      </c>
      <c r="E35742" s="0" t="s">
        <v>42</v>
      </c>
      <c r="F35742" s="0" t="s">
        <v>43</v>
      </c>
    </row>
    <row r="35744" customFormat="false" ht="12.8" hidden="false" customHeight="false" outlineLevel="0" collapsed="false">
      <c r="A35744" s="0" t="s">
        <v>13546</v>
      </c>
      <c r="B35744" s="0" t="str">
        <f aca="false">HYPERLINK("https://lindat.mff.cuni.cz/services/teitok/pdtc10/index.php?action=vallex&amp;frame=v-w4879f1", "přeměřit (v-w4879f1)")</f>
        <v>přeměřit (v-w4879f1)</v>
      </c>
    </row>
    <row r="35745" customFormat="false" ht="12.8" hidden="false" customHeight="false" outlineLevel="0" collapsed="false">
      <c r="B35745" s="0" t="s">
        <v>1</v>
      </c>
    </row>
    <row r="35746" customFormat="false" ht="12.8" hidden="false" customHeight="false" outlineLevel="0" collapsed="false">
      <c r="B35746" s="0" t="s">
        <v>8</v>
      </c>
    </row>
    <row r="35748" customFormat="false" ht="12.8" hidden="false" customHeight="false" outlineLevel="0" collapsed="false">
      <c r="A35748" s="0" t="s">
        <v>13547</v>
      </c>
      <c r="B35748" s="0" t="str">
        <f aca="false">HYPERLINK("https://lindat.mff.cuni.cz/services/teitok/pdtc10/index.php?action=vallex&amp;frame=v-w11555_ZUf1_ZU", "přeměřovat (v-w11555_ZUf1_ZU)")</f>
        <v>přeměřovat (v-w11555_ZUf1_ZU)</v>
      </c>
      <c r="E35748" s="0" t="str">
        <f aca="false">HYPERLINK("https://lindat.mff.cuni.cz/services/SynSemClass40/SynSemClass40.html?veclass=vec01515#vec01515-ces-cm00014", "vec01515")</f>
        <v>vec01515</v>
      </c>
      <c r="F35748" s="0" t="s">
        <v>12322</v>
      </c>
    </row>
    <row r="35749" customFormat="false" ht="12.8" hidden="false" customHeight="false" outlineLevel="0" collapsed="false">
      <c r="B35749" s="0" t="s">
        <v>1</v>
      </c>
      <c r="C35749" s="0" t="s">
        <v>3727</v>
      </c>
      <c r="E35749" s="0" t="s">
        <v>3856</v>
      </c>
      <c r="F35749" s="0" t="s">
        <v>3857</v>
      </c>
    </row>
    <row r="35750" customFormat="false" ht="12.8" hidden="false" customHeight="false" outlineLevel="0" collapsed="false">
      <c r="B35750" s="0" t="s">
        <v>8</v>
      </c>
      <c r="C35750" s="0" t="s">
        <v>12332</v>
      </c>
      <c r="E35750" s="0" t="s">
        <v>119</v>
      </c>
      <c r="F35750" s="0" t="s">
        <v>12326</v>
      </c>
    </row>
    <row r="35752" customFormat="false" ht="12.8" hidden="false" customHeight="false" outlineLevel="0" collapsed="false">
      <c r="A35752" s="0" t="s">
        <v>13548</v>
      </c>
      <c r="B35752" s="0" t="str">
        <f aca="false">HYPERLINK("https://lindat.mff.cuni.cz/services/teitok/pdtc10/index.php?action=vallex&amp;frame=v-whsa_1434f1_ZU", "přendat (v-whsa_1434f1_ZU)")</f>
        <v>přendat (v-whsa_1434f1_ZU)</v>
      </c>
    </row>
    <row r="35753" customFormat="false" ht="12.8" hidden="false" customHeight="false" outlineLevel="0" collapsed="false">
      <c r="B35753" s="0" t="s">
        <v>1</v>
      </c>
    </row>
    <row r="35754" customFormat="false" ht="12.8" hidden="false" customHeight="false" outlineLevel="0" collapsed="false">
      <c r="B35754" s="0" t="s">
        <v>8</v>
      </c>
    </row>
    <row r="35755" customFormat="false" ht="12.8" hidden="false" customHeight="false" outlineLevel="0" collapsed="false">
      <c r="B35755" s="0" t="s">
        <v>631</v>
      </c>
    </row>
    <row r="35756" customFormat="false" ht="12.8" hidden="false" customHeight="false" outlineLevel="0" collapsed="false">
      <c r="B35756" s="0" t="s">
        <v>164</v>
      </c>
    </row>
    <row r="35758" customFormat="false" ht="12.8" hidden="false" customHeight="false" outlineLevel="0" collapsed="false">
      <c r="A35758" s="0" t="s">
        <v>13548</v>
      </c>
      <c r="B35758" s="0" t="str">
        <f aca="false">HYPERLINK("https://lindat.mff.cuni.cz/services/teitok/pdtc10/index.php?action=vallex&amp;frame=v-whsa_1434hsa_1435", "přendat (v-whsa_1434hsa_1435) - substituted with v-whsa_1434f1_ZU")</f>
        <v>přendat (v-whsa_1434hsa_1435) - substituted with v-whsa_1434f1_ZU</v>
      </c>
    </row>
    <row r="35759" customFormat="false" ht="12.8" hidden="false" customHeight="false" outlineLevel="0" collapsed="false">
      <c r="B35759" s="0" t="s">
        <v>1</v>
      </c>
    </row>
    <row r="35760" customFormat="false" ht="12.8" hidden="false" customHeight="false" outlineLevel="0" collapsed="false">
      <c r="B35760" s="0" t="s">
        <v>8</v>
      </c>
    </row>
    <row r="35761" customFormat="false" ht="12.8" hidden="false" customHeight="false" outlineLevel="0" collapsed="false">
      <c r="B35761" s="0" t="s">
        <v>631</v>
      </c>
    </row>
    <row r="35762" customFormat="false" ht="12.8" hidden="false" customHeight="false" outlineLevel="0" collapsed="false">
      <c r="B35762" s="0" t="s">
        <v>164</v>
      </c>
    </row>
    <row r="35764" customFormat="false" ht="12.8" hidden="false" customHeight="false" outlineLevel="0" collapsed="false">
      <c r="A35764" s="0" t="s">
        <v>13549</v>
      </c>
      <c r="B35764" s="0" t="str">
        <f aca="false">HYPERLINK("https://lindat.mff.cuni.cz/services/teitok/pdtc10/index.php?action=vallex&amp;frame=v-whsb_867hsa_868", "přendávat (v-whsb_867hsa_868)")</f>
        <v>přendávat (v-whsb_867hsa_868)</v>
      </c>
    </row>
    <row r="35765" customFormat="false" ht="12.8" hidden="false" customHeight="false" outlineLevel="0" collapsed="false">
      <c r="B35765" s="0" t="s">
        <v>1</v>
      </c>
    </row>
    <row r="35766" customFormat="false" ht="12.8" hidden="false" customHeight="false" outlineLevel="0" collapsed="false">
      <c r="B35766" s="0" t="s">
        <v>8</v>
      </c>
    </row>
    <row r="35767" customFormat="false" ht="12.8" hidden="false" customHeight="false" outlineLevel="0" collapsed="false">
      <c r="B35767" s="0" t="s">
        <v>631</v>
      </c>
    </row>
    <row r="35768" customFormat="false" ht="12.8" hidden="false" customHeight="false" outlineLevel="0" collapsed="false">
      <c r="B35768" s="0" t="s">
        <v>164</v>
      </c>
    </row>
    <row r="35770" customFormat="false" ht="12.8" hidden="false" customHeight="false" outlineLevel="0" collapsed="false">
      <c r="A35770" s="0" t="s">
        <v>13550</v>
      </c>
      <c r="B35770" s="0" t="str">
        <f aca="false">HYPERLINK("https://lindat.mff.cuni.cz/services/teitok/pdtc10/index.php?action=vallex&amp;frame=v-w4901f1", "přenechat (v-w4901f1)")</f>
        <v>přenechat (v-w4901f1)</v>
      </c>
      <c r="E35770" s="0" t="str">
        <f aca="false">HYPERLINK("https://lindat.mff.cuni.cz/services/SynSemClass40/SynSemClass40.html?veclass=vec00497#vec00497-ces-cm00001", "vec00497")</f>
        <v>vec00497</v>
      </c>
      <c r="F35770" s="0" t="s">
        <v>8865</v>
      </c>
    </row>
    <row r="35771" customFormat="false" ht="12.8" hidden="false" customHeight="false" outlineLevel="0" collapsed="false">
      <c r="B35771" s="0" t="s">
        <v>1</v>
      </c>
      <c r="C35771" s="0" t="s">
        <v>239</v>
      </c>
      <c r="E35771" s="0" t="s">
        <v>4416</v>
      </c>
      <c r="F35771" s="0" t="s">
        <v>8866</v>
      </c>
    </row>
    <row r="35772" customFormat="false" ht="12.8" hidden="false" customHeight="false" outlineLevel="0" collapsed="false">
      <c r="B35772" s="0" t="s">
        <v>8</v>
      </c>
      <c r="C35772" s="0" t="s">
        <v>3200</v>
      </c>
      <c r="E35772" s="0" t="s">
        <v>2111</v>
      </c>
      <c r="F35772" s="0" t="s">
        <v>8868</v>
      </c>
    </row>
    <row r="35773" customFormat="false" ht="12.8" hidden="false" customHeight="false" outlineLevel="0" collapsed="false">
      <c r="B35773" s="0" t="s">
        <v>52</v>
      </c>
      <c r="C35773" s="0" t="s">
        <v>8987</v>
      </c>
      <c r="E35773" s="0" t="s">
        <v>53</v>
      </c>
      <c r="F35773" s="0" t="s">
        <v>8870</v>
      </c>
    </row>
    <row r="35775" customFormat="false" ht="12.8" hidden="false" customHeight="false" outlineLevel="0" collapsed="false">
      <c r="A35775" s="0" t="s">
        <v>13551</v>
      </c>
      <c r="B35775" s="0" t="str">
        <f aca="false">HYPERLINK("https://lindat.mff.cuni.cz/services/teitok/pdtc10/index.php?action=vallex&amp;frame=v-w4901hsa_1015", "přenechat (v-w4901hsa_1015)")</f>
        <v>přenechat (v-w4901hsa_1015)</v>
      </c>
      <c r="E35775" s="0" t="str">
        <f aca="false">HYPERLINK("https://lindat.mff.cuni.cz/services/SynSemClass40/SynSemClass40.html?veclass=vec00497#vec00497-ces-cm00056", "vec00497")</f>
        <v>vec00497</v>
      </c>
      <c r="F35775" s="0" t="s">
        <v>8865</v>
      </c>
    </row>
    <row r="35776" customFormat="false" ht="12.8" hidden="false" customHeight="false" outlineLevel="0" collapsed="false">
      <c r="B35776" s="0" t="s">
        <v>1</v>
      </c>
      <c r="C35776" s="0" t="s">
        <v>239</v>
      </c>
      <c r="E35776" s="0" t="s">
        <v>4416</v>
      </c>
      <c r="F35776" s="0" t="s">
        <v>8866</v>
      </c>
    </row>
    <row r="35777" customFormat="false" ht="12.8" hidden="false" customHeight="false" outlineLevel="0" collapsed="false">
      <c r="B35777" s="0" t="s">
        <v>8</v>
      </c>
      <c r="C35777" s="0" t="s">
        <v>3200</v>
      </c>
      <c r="E35777" s="0" t="s">
        <v>2111</v>
      </c>
      <c r="F35777" s="0" t="s">
        <v>8868</v>
      </c>
    </row>
    <row r="35778" customFormat="false" ht="12.8" hidden="false" customHeight="false" outlineLevel="0" collapsed="false">
      <c r="B35778" s="0" t="s">
        <v>8106</v>
      </c>
      <c r="C35778" s="0" t="s">
        <v>8987</v>
      </c>
      <c r="E35778" s="0" t="s">
        <v>53</v>
      </c>
      <c r="F35778" s="0" t="s">
        <v>8870</v>
      </c>
    </row>
    <row r="35780" customFormat="false" ht="12.8" hidden="false" customHeight="false" outlineLevel="0" collapsed="false">
      <c r="A35780" s="0" t="s">
        <v>13552</v>
      </c>
      <c r="B35780" s="0" t="str">
        <f aca="false">HYPERLINK("https://lindat.mff.cuni.cz/services/teitok/pdtc10/index.php?action=vallex&amp;frame=v-w4902f1", "přenechávat (v-w4902f1)")</f>
        <v>přenechávat (v-w4902f1)</v>
      </c>
      <c r="E35780" s="0" t="str">
        <f aca="false">HYPERLINK("https://lindat.mff.cuni.cz/services/SynSemClass40/SynSemClass40.html?veclass=vec00497#vec00497-ces-cm00057", "vec00497")</f>
        <v>vec00497</v>
      </c>
      <c r="F35780" s="0" t="s">
        <v>8865</v>
      </c>
    </row>
    <row r="35781" customFormat="false" ht="12.8" hidden="false" customHeight="false" outlineLevel="0" collapsed="false">
      <c r="B35781" s="0" t="s">
        <v>1</v>
      </c>
      <c r="C35781" s="0" t="s">
        <v>239</v>
      </c>
      <c r="E35781" s="0" t="s">
        <v>4416</v>
      </c>
      <c r="F35781" s="0" t="s">
        <v>8866</v>
      </c>
    </row>
    <row r="35782" customFormat="false" ht="12.8" hidden="false" customHeight="false" outlineLevel="0" collapsed="false">
      <c r="B35782" s="0" t="s">
        <v>8</v>
      </c>
      <c r="C35782" s="0" t="s">
        <v>3200</v>
      </c>
      <c r="E35782" s="0" t="s">
        <v>2111</v>
      </c>
      <c r="F35782" s="0" t="s">
        <v>8868</v>
      </c>
    </row>
    <row r="35783" customFormat="false" ht="12.8" hidden="false" customHeight="false" outlineLevel="0" collapsed="false">
      <c r="B35783" s="0" t="s">
        <v>52</v>
      </c>
      <c r="C35783" s="0" t="s">
        <v>8987</v>
      </c>
      <c r="E35783" s="0" t="s">
        <v>53</v>
      </c>
      <c r="F35783" s="0" t="s">
        <v>8870</v>
      </c>
    </row>
    <row r="35785" customFormat="false" ht="12.8" hidden="false" customHeight="false" outlineLevel="0" collapsed="false">
      <c r="A35785" s="0" t="s">
        <v>13553</v>
      </c>
      <c r="B35785" s="0" t="str">
        <f aca="false">HYPERLINK("https://lindat.mff.cuni.cz/services/teitok/pdtc10/index.php?action=vallex&amp;frame=v-w12076_ZUf1_ZU", "přenocovat (v-w12076_ZUf1_ZU)")</f>
        <v>přenocovat (v-w12076_ZUf1_ZU)</v>
      </c>
    </row>
    <row r="35786" customFormat="false" ht="12.8" hidden="false" customHeight="false" outlineLevel="0" collapsed="false">
      <c r="B35786" s="0" t="s">
        <v>1</v>
      </c>
    </row>
    <row r="35788" customFormat="false" ht="12.8" hidden="false" customHeight="false" outlineLevel="0" collapsed="false">
      <c r="A35788" s="0" t="s">
        <v>13554</v>
      </c>
      <c r="B35788" s="0" t="str">
        <f aca="false">HYPERLINK("https://lindat.mff.cuni.cz/services/teitok/pdtc10/index.php?action=vallex&amp;frame=v-w4899f3", "přenášet (v-w4899f3)")</f>
        <v>přenášet (v-w4899f3)</v>
      </c>
      <c r="E35788" s="0" t="str">
        <f aca="false">HYPERLINK("https://lindat.mff.cuni.cz/services/SynSemClass40/SynSemClass40.html?veclass=vec00283#vec00283-ces-cm00101", "vec00283")</f>
        <v>vec00283</v>
      </c>
      <c r="F35788" s="0" t="s">
        <v>8946</v>
      </c>
    </row>
    <row r="35789" customFormat="false" ht="12.8" hidden="false" customHeight="false" outlineLevel="0" collapsed="false">
      <c r="B35789" s="0" t="s">
        <v>1</v>
      </c>
      <c r="C35789" s="0" t="s">
        <v>7911</v>
      </c>
      <c r="E35789" s="0" t="s">
        <v>2196</v>
      </c>
      <c r="F35789" s="0" t="s">
        <v>8947</v>
      </c>
    </row>
    <row r="35790" customFormat="false" ht="12.8" hidden="false" customHeight="false" outlineLevel="0" collapsed="false">
      <c r="B35790" s="0" t="s">
        <v>8</v>
      </c>
      <c r="C35790" s="0" t="s">
        <v>8948</v>
      </c>
      <c r="E35790" s="0" t="s">
        <v>2200</v>
      </c>
      <c r="F35790" s="0" t="s">
        <v>8949</v>
      </c>
    </row>
    <row r="35791" customFormat="false" ht="12.8" hidden="false" customHeight="false" outlineLevel="0" collapsed="false">
      <c r="B35791" s="0" t="s">
        <v>4688</v>
      </c>
      <c r="C35791" s="0" t="s">
        <v>13555</v>
      </c>
      <c r="E35791" s="0" t="s">
        <v>13556</v>
      </c>
      <c r="F35791" s="0" t="s">
        <v>13557</v>
      </c>
    </row>
    <row r="35792" customFormat="false" ht="12.8" hidden="false" customHeight="false" outlineLevel="0" collapsed="false">
      <c r="B35792" s="0" t="s">
        <v>36</v>
      </c>
      <c r="E35792" s="0" t="s">
        <v>2176</v>
      </c>
      <c r="F35792" s="0" t="s">
        <v>2807</v>
      </c>
    </row>
    <row r="35794" customFormat="false" ht="12.8" hidden="false" customHeight="false" outlineLevel="0" collapsed="false">
      <c r="A35794" s="0" t="s">
        <v>13558</v>
      </c>
      <c r="B35794" s="0" t="str">
        <f aca="false">HYPERLINK("https://lindat.mff.cuni.cz/services/teitok/pdtc10/index.php?action=vallex&amp;frame=v-w4899f1", "přenášet (v-w4899f1)")</f>
        <v>přenášet (v-w4899f1)</v>
      </c>
      <c r="E35794" s="0" t="str">
        <f aca="false">HYPERLINK("https://lindat.mff.cuni.cz/services/SynSemClass40/SynSemClass40.html?veclass=vec00283#vec00283-ces-cm00071", "vec00283")</f>
        <v>vec00283</v>
      </c>
      <c r="F35794" s="0" t="s">
        <v>8946</v>
      </c>
    </row>
    <row r="35795" customFormat="false" ht="12.8" hidden="false" customHeight="false" outlineLevel="0" collapsed="false">
      <c r="B35795" s="0" t="s">
        <v>1</v>
      </c>
      <c r="C35795" s="0" t="s">
        <v>7911</v>
      </c>
      <c r="E35795" s="0" t="s">
        <v>2196</v>
      </c>
      <c r="F35795" s="0" t="s">
        <v>8947</v>
      </c>
    </row>
    <row r="35796" customFormat="false" ht="12.8" hidden="false" customHeight="false" outlineLevel="0" collapsed="false">
      <c r="B35796" s="0" t="s">
        <v>8</v>
      </c>
      <c r="C35796" s="0" t="s">
        <v>8948</v>
      </c>
      <c r="E35796" s="0" t="s">
        <v>2200</v>
      </c>
      <c r="F35796" s="0" t="s">
        <v>8949</v>
      </c>
    </row>
    <row r="35797" customFormat="false" ht="12.8" hidden="false" customHeight="false" outlineLevel="0" collapsed="false">
      <c r="B35797" s="0" t="s">
        <v>631</v>
      </c>
      <c r="E35797" s="0" t="s">
        <v>4096</v>
      </c>
      <c r="F35797" s="0" t="s">
        <v>4097</v>
      </c>
    </row>
    <row r="35798" customFormat="false" ht="12.8" hidden="false" customHeight="false" outlineLevel="0" collapsed="false">
      <c r="B35798" s="0" t="s">
        <v>164</v>
      </c>
      <c r="C35798" s="0" t="s">
        <v>11520</v>
      </c>
      <c r="E35798" s="0" t="s">
        <v>388</v>
      </c>
      <c r="F35798" s="0" t="s">
        <v>11521</v>
      </c>
    </row>
    <row r="35800" customFormat="false" ht="12.8" hidden="false" customHeight="false" outlineLevel="0" collapsed="false">
      <c r="A35800" s="0" t="s">
        <v>13559</v>
      </c>
      <c r="B35800" s="0" t="str">
        <f aca="false">HYPERLINK("https://lindat.mff.cuni.cz/services/teitok/pdtc10/index.php?action=vallex&amp;frame=v-w4899f2", "přenášet (v-w4899f2)")</f>
        <v>přenášet (v-w4899f2)</v>
      </c>
      <c r="E35800" s="0" t="str">
        <f aca="false">HYPERLINK("https://lindat.mff.cuni.cz/services/SynSemClass40/SynSemClass40.html?veclass=vec01143#vec01143-ces-cm00006", "vec01143")</f>
        <v>vec01143</v>
      </c>
      <c r="F35800" s="0" t="s">
        <v>13560</v>
      </c>
    </row>
    <row r="35801" customFormat="false" ht="12.8" hidden="false" customHeight="false" outlineLevel="0" collapsed="false">
      <c r="B35801" s="0" t="s">
        <v>1</v>
      </c>
      <c r="C35801" s="0" t="s">
        <v>767</v>
      </c>
      <c r="E35801" s="0" t="s">
        <v>13561</v>
      </c>
      <c r="F35801" s="0" t="s">
        <v>13562</v>
      </c>
    </row>
    <row r="35802" customFormat="false" ht="12.8" hidden="false" customHeight="false" outlineLevel="0" collapsed="false">
      <c r="B35802" s="0" t="s">
        <v>8</v>
      </c>
      <c r="C35802" s="0" t="s">
        <v>7131</v>
      </c>
      <c r="E35802" s="0" t="s">
        <v>13563</v>
      </c>
      <c r="F35802" s="0" t="s">
        <v>13564</v>
      </c>
    </row>
    <row r="35804" customFormat="false" ht="12.8" hidden="false" customHeight="false" outlineLevel="0" collapsed="false">
      <c r="A35804" s="0" t="s">
        <v>13565</v>
      </c>
      <c r="B35804" s="0" t="str">
        <f aca="false">HYPERLINK("https://lindat.mff.cuni.cz/services/teitok/pdtc10/index.php?action=vallex&amp;frame=v-w4899hsa_368", "přenášet (v-w4899hsa_368)")</f>
        <v>přenášet (v-w4899hsa_368)</v>
      </c>
    </row>
    <row r="35805" customFormat="false" ht="12.8" hidden="false" customHeight="false" outlineLevel="0" collapsed="false">
      <c r="B35805" s="0" t="s">
        <v>1</v>
      </c>
    </row>
    <row r="35806" customFormat="false" ht="12.8" hidden="false" customHeight="false" outlineLevel="0" collapsed="false">
      <c r="B35806" s="0" t="s">
        <v>8</v>
      </c>
    </row>
    <row r="35807" customFormat="false" ht="12.8" hidden="false" customHeight="false" outlineLevel="0" collapsed="false">
      <c r="B35807" s="0" t="s">
        <v>4688</v>
      </c>
    </row>
    <row r="35808" customFormat="false" ht="12.8" hidden="false" customHeight="false" outlineLevel="0" collapsed="false">
      <c r="B35808" s="0" t="s">
        <v>36</v>
      </c>
    </row>
    <row r="35810" customFormat="false" ht="12.8" hidden="false" customHeight="false" outlineLevel="0" collapsed="false">
      <c r="A35810" s="0" t="s">
        <v>13566</v>
      </c>
      <c r="B35810" s="0" t="str">
        <f aca="false">HYPERLINK("https://lindat.mff.cuni.cz/services/teitok/pdtc10/index.php?action=vallex&amp;frame=v-w4899f4_ZU", "přenášet (v-w4899f4_ZU)")</f>
        <v>přenášet (v-w4899f4_ZU)</v>
      </c>
    </row>
    <row r="35811" customFormat="false" ht="12.8" hidden="false" customHeight="false" outlineLevel="0" collapsed="false">
      <c r="B35811" s="0" t="s">
        <v>1</v>
      </c>
    </row>
    <row r="35812" customFormat="false" ht="12.8" hidden="false" customHeight="false" outlineLevel="0" collapsed="false">
      <c r="B35812" s="0" t="s">
        <v>8</v>
      </c>
    </row>
    <row r="35814" customFormat="false" ht="12.8" hidden="false" customHeight="false" outlineLevel="0" collapsed="false">
      <c r="A35814" s="0" t="s">
        <v>13567</v>
      </c>
      <c r="B35814" s="0" t="str">
        <f aca="false">HYPERLINK("https://lindat.mff.cuni.cz/services/teitok/pdtc10/index.php?action=vallex&amp;frame=v-w4900f1", "přenášet se (v-w4900f1)")</f>
        <v>přenášet se (v-w4900f1)</v>
      </c>
    </row>
    <row r="35815" customFormat="false" ht="12.8" hidden="false" customHeight="false" outlineLevel="0" collapsed="false">
      <c r="B35815" s="0" t="s">
        <v>1</v>
      </c>
    </row>
    <row r="35816" customFormat="false" ht="12.8" hidden="false" customHeight="false" outlineLevel="0" collapsed="false">
      <c r="B35816" s="0" t="s">
        <v>631</v>
      </c>
    </row>
    <row r="35817" customFormat="false" ht="12.8" hidden="false" customHeight="false" outlineLevel="0" collapsed="false">
      <c r="B35817" s="0" t="s">
        <v>164</v>
      </c>
    </row>
    <row r="35819" customFormat="false" ht="12.8" hidden="false" customHeight="false" outlineLevel="0" collapsed="false">
      <c r="A35819" s="0" t="s">
        <v>13568</v>
      </c>
      <c r="B35819" s="0" t="str">
        <f aca="false">HYPERLINK("https://lindat.mff.cuni.cz/services/teitok/pdtc10/index.php?action=vallex&amp;frame=v-w4904f2", "přenést (v-w4904f2)")</f>
        <v>přenést (v-w4904f2)</v>
      </c>
      <c r="E35819" s="0" t="str">
        <f aca="false">HYPERLINK("https://lindat.mff.cuni.cz/services/SynSemClass40/SynSemClass40.html?veclass=vec00283#vec00283-ces-cm00040", "vec00283")</f>
        <v>vec00283</v>
      </c>
      <c r="F35819" s="0" t="s">
        <v>8946</v>
      </c>
    </row>
    <row r="35820" customFormat="false" ht="12.8" hidden="false" customHeight="false" outlineLevel="0" collapsed="false">
      <c r="B35820" s="0" t="s">
        <v>1</v>
      </c>
      <c r="C35820" s="0" t="s">
        <v>7911</v>
      </c>
      <c r="E35820" s="0" t="s">
        <v>2196</v>
      </c>
      <c r="F35820" s="0" t="s">
        <v>8947</v>
      </c>
    </row>
    <row r="35821" customFormat="false" ht="12.8" hidden="false" customHeight="false" outlineLevel="0" collapsed="false">
      <c r="B35821" s="0" t="s">
        <v>8</v>
      </c>
      <c r="C35821" s="0" t="s">
        <v>8948</v>
      </c>
      <c r="E35821" s="0" t="s">
        <v>2200</v>
      </c>
      <c r="F35821" s="0" t="s">
        <v>8949</v>
      </c>
    </row>
    <row r="35822" customFormat="false" ht="12.8" hidden="false" customHeight="false" outlineLevel="0" collapsed="false">
      <c r="B35822" s="0" t="s">
        <v>4688</v>
      </c>
      <c r="C35822" s="0" t="s">
        <v>13555</v>
      </c>
      <c r="E35822" s="0" t="s">
        <v>13556</v>
      </c>
      <c r="F35822" s="0" t="s">
        <v>13557</v>
      </c>
    </row>
    <row r="35823" customFormat="false" ht="12.8" hidden="false" customHeight="false" outlineLevel="0" collapsed="false">
      <c r="B35823" s="0" t="s">
        <v>36</v>
      </c>
      <c r="E35823" s="0" t="s">
        <v>2176</v>
      </c>
      <c r="F35823" s="0" t="s">
        <v>2807</v>
      </c>
    </row>
    <row r="35825" customFormat="false" ht="12.8" hidden="false" customHeight="false" outlineLevel="0" collapsed="false">
      <c r="A35825" s="0" t="s">
        <v>13569</v>
      </c>
      <c r="B35825" s="0" t="str">
        <f aca="false">HYPERLINK("https://lindat.mff.cuni.cz/services/teitok/pdtc10/index.php?action=vallex&amp;frame=v-w4904f3", "přenést (v-w4904f3)")</f>
        <v>přenést (v-w4904f3)</v>
      </c>
    </row>
    <row r="35826" customFormat="false" ht="12.8" hidden="false" customHeight="false" outlineLevel="0" collapsed="false">
      <c r="B35826" s="0" t="s">
        <v>1</v>
      </c>
    </row>
    <row r="35827" customFormat="false" ht="12.8" hidden="false" customHeight="false" outlineLevel="0" collapsed="false">
      <c r="B35827" s="0" t="s">
        <v>8</v>
      </c>
    </row>
    <row r="35828" customFormat="false" ht="12.8" hidden="false" customHeight="false" outlineLevel="0" collapsed="false">
      <c r="B35828" s="0" t="s">
        <v>4688</v>
      </c>
    </row>
    <row r="35829" customFormat="false" ht="12.8" hidden="false" customHeight="false" outlineLevel="0" collapsed="false">
      <c r="B35829" s="0" t="s">
        <v>36</v>
      </c>
    </row>
    <row r="35831" customFormat="false" ht="12.8" hidden="false" customHeight="false" outlineLevel="0" collapsed="false">
      <c r="A35831" s="0" t="s">
        <v>13570</v>
      </c>
      <c r="B35831" s="0" t="str">
        <f aca="false">HYPERLINK("https://lindat.mff.cuni.cz/services/teitok/pdtc10/index.php?action=vallex&amp;frame=v-w4904f1", "přenést (v-w4904f1)")</f>
        <v>přenést (v-w4904f1)</v>
      </c>
      <c r="E35831" s="0" t="str">
        <f aca="false">HYPERLINK("https://lindat.mff.cuni.cz/services/SynSemClass40/SynSemClass40.html?veclass=vec00283#vec00283-ces-cm00016", "vec00283")</f>
        <v>vec00283</v>
      </c>
      <c r="F35831" s="0" t="s">
        <v>8946</v>
      </c>
    </row>
    <row r="35832" customFormat="false" ht="12.8" hidden="false" customHeight="false" outlineLevel="0" collapsed="false">
      <c r="B35832" s="0" t="s">
        <v>1</v>
      </c>
      <c r="C35832" s="0" t="s">
        <v>7911</v>
      </c>
      <c r="E35832" s="0" t="s">
        <v>2196</v>
      </c>
      <c r="F35832" s="0" t="s">
        <v>8947</v>
      </c>
    </row>
    <row r="35833" customFormat="false" ht="12.8" hidden="false" customHeight="false" outlineLevel="0" collapsed="false">
      <c r="B35833" s="0" t="s">
        <v>8</v>
      </c>
      <c r="C35833" s="0" t="s">
        <v>8948</v>
      </c>
      <c r="E35833" s="0" t="s">
        <v>2200</v>
      </c>
      <c r="F35833" s="0" t="s">
        <v>8949</v>
      </c>
    </row>
    <row r="35834" customFormat="false" ht="12.8" hidden="false" customHeight="false" outlineLevel="0" collapsed="false">
      <c r="B35834" s="0" t="s">
        <v>631</v>
      </c>
      <c r="E35834" s="0" t="s">
        <v>4096</v>
      </c>
      <c r="F35834" s="0" t="s">
        <v>4097</v>
      </c>
    </row>
    <row r="35835" customFormat="false" ht="12.8" hidden="false" customHeight="false" outlineLevel="0" collapsed="false">
      <c r="B35835" s="0" t="s">
        <v>164</v>
      </c>
      <c r="C35835" s="0" t="s">
        <v>11520</v>
      </c>
      <c r="E35835" s="0" t="s">
        <v>388</v>
      </c>
      <c r="F35835" s="0" t="s">
        <v>11521</v>
      </c>
    </row>
    <row r="35837" customFormat="false" ht="12.8" hidden="false" customHeight="false" outlineLevel="0" collapsed="false">
      <c r="A35837" s="0" t="s">
        <v>13571</v>
      </c>
      <c r="B35837" s="0" t="str">
        <f aca="false">HYPERLINK("https://lindat.mff.cuni.cz/services/teitok/pdtc10/index.php?action=vallex&amp;frame=v-w4904f4", "přenést (v-w4904f4)")</f>
        <v>přenést (v-w4904f4)</v>
      </c>
    </row>
    <row r="35838" customFormat="false" ht="12.8" hidden="false" customHeight="false" outlineLevel="0" collapsed="false">
      <c r="B35838" s="0" t="s">
        <v>1</v>
      </c>
    </row>
    <row r="35839" customFormat="false" ht="12.8" hidden="false" customHeight="false" outlineLevel="0" collapsed="false">
      <c r="B35839" s="0" t="s">
        <v>8</v>
      </c>
    </row>
    <row r="35840" customFormat="false" ht="12.8" hidden="false" customHeight="false" outlineLevel="0" collapsed="false">
      <c r="B35840" s="0" t="s">
        <v>10661</v>
      </c>
    </row>
    <row r="35841" customFormat="false" ht="12.8" hidden="false" customHeight="false" outlineLevel="0" collapsed="false">
      <c r="B35841" s="0" t="s">
        <v>1799</v>
      </c>
    </row>
    <row r="35843" customFormat="false" ht="12.8" hidden="false" customHeight="false" outlineLevel="0" collapsed="false">
      <c r="A35843" s="0" t="s">
        <v>13572</v>
      </c>
      <c r="B35843" s="0" t="str">
        <f aca="false">HYPERLINK("https://lindat.mff.cuni.cz/services/teitok/pdtc10/index.php?action=vallex&amp;frame=v-w4904hsa_22", "přenést (v-w4904hsa_22)")</f>
        <v>přenést (v-w4904hsa_22)</v>
      </c>
      <c r="E35843" s="0" t="str">
        <f aca="false">HYPERLINK("https://lindat.mff.cuni.cz/services/SynSemClass40/SynSemClass40.html?veclass=vec00283#vec00283-ces-cm00086", "vec00283")</f>
        <v>vec00283</v>
      </c>
      <c r="F35843" s="0" t="s">
        <v>8946</v>
      </c>
    </row>
    <row r="35844" customFormat="false" ht="12.8" hidden="false" customHeight="false" outlineLevel="0" collapsed="false">
      <c r="B35844" s="0" t="s">
        <v>1</v>
      </c>
      <c r="C35844" s="0" t="s">
        <v>7911</v>
      </c>
      <c r="E35844" s="0" t="s">
        <v>2196</v>
      </c>
      <c r="F35844" s="0" t="s">
        <v>8947</v>
      </c>
    </row>
    <row r="35845" customFormat="false" ht="12.8" hidden="false" customHeight="false" outlineLevel="0" collapsed="false">
      <c r="B35845" s="0" t="s">
        <v>8</v>
      </c>
      <c r="C35845" s="0" t="s">
        <v>8948</v>
      </c>
      <c r="E35845" s="0" t="s">
        <v>2200</v>
      </c>
      <c r="F35845" s="0" t="s">
        <v>8949</v>
      </c>
    </row>
    <row r="35846" customFormat="false" ht="12.8" hidden="false" customHeight="false" outlineLevel="0" collapsed="false">
      <c r="B35846" s="0" t="s">
        <v>631</v>
      </c>
      <c r="E35846" s="0" t="s">
        <v>4096</v>
      </c>
      <c r="F35846" s="0" t="s">
        <v>4097</v>
      </c>
    </row>
    <row r="35847" customFormat="false" ht="12.8" hidden="false" customHeight="false" outlineLevel="0" collapsed="false">
      <c r="B35847" s="0" t="s">
        <v>164</v>
      </c>
      <c r="C35847" s="0" t="s">
        <v>11520</v>
      </c>
      <c r="E35847" s="0" t="s">
        <v>388</v>
      </c>
      <c r="F35847" s="0" t="s">
        <v>11521</v>
      </c>
    </row>
    <row r="35849" customFormat="false" ht="12.8" hidden="false" customHeight="false" outlineLevel="0" collapsed="false">
      <c r="A35849" s="0" t="s">
        <v>13573</v>
      </c>
      <c r="B35849" s="0" t="str">
        <f aca="false">HYPERLINK("https://lindat.mff.cuni.cz/services/teitok/pdtc10/index.php?action=vallex&amp;frame=v-w4905f2", "přenést se (v-w4905f2)")</f>
        <v>přenést se (v-w4905f2)</v>
      </c>
      <c r="E35849" s="0" t="str">
        <f aca="false">HYPERLINK("https://lindat.mff.cuni.cz/services/SynSemClass40/SynSemClass40.html?veclass=vec00970#vec00970-ces-cm00039", "vec00970")</f>
        <v>vec00970</v>
      </c>
      <c r="F35849" s="0" t="s">
        <v>11407</v>
      </c>
    </row>
    <row r="35850" customFormat="false" ht="12.8" hidden="false" customHeight="false" outlineLevel="0" collapsed="false">
      <c r="B35850" s="0" t="s">
        <v>1</v>
      </c>
      <c r="C35850" s="0" t="s">
        <v>3000</v>
      </c>
      <c r="E35850" s="0" t="s">
        <v>266</v>
      </c>
      <c r="F35850" s="0" t="s">
        <v>11408</v>
      </c>
    </row>
    <row r="35851" customFormat="false" ht="12.8" hidden="false" customHeight="false" outlineLevel="0" collapsed="false">
      <c r="B35851" s="0" t="s">
        <v>1137</v>
      </c>
      <c r="C35851" s="0" t="s">
        <v>531</v>
      </c>
      <c r="E35851" s="0" t="s">
        <v>532</v>
      </c>
      <c r="F35851" s="0" t="s">
        <v>11409</v>
      </c>
    </row>
    <row r="35853" customFormat="false" ht="12.8" hidden="false" customHeight="false" outlineLevel="0" collapsed="false">
      <c r="A35853" s="0" t="s">
        <v>13574</v>
      </c>
      <c r="B35853" s="0" t="str">
        <f aca="false">HYPERLINK("https://lindat.mff.cuni.cz/services/teitok/pdtc10/index.php?action=vallex&amp;frame=v-w4905f1", "přenést se (v-w4905f1)")</f>
        <v>přenést se (v-w4905f1)</v>
      </c>
    </row>
    <row r="35854" customFormat="false" ht="12.8" hidden="false" customHeight="false" outlineLevel="0" collapsed="false">
      <c r="B35854" s="0" t="s">
        <v>1</v>
      </c>
    </row>
    <row r="35855" customFormat="false" ht="12.8" hidden="false" customHeight="false" outlineLevel="0" collapsed="false">
      <c r="B35855" s="0" t="s">
        <v>631</v>
      </c>
    </row>
    <row r="35856" customFormat="false" ht="12.8" hidden="false" customHeight="false" outlineLevel="0" collapsed="false">
      <c r="B35856" s="0" t="s">
        <v>164</v>
      </c>
    </row>
    <row r="35858" customFormat="false" ht="12.8" hidden="false" customHeight="false" outlineLevel="0" collapsed="false">
      <c r="A35858" s="0" t="s">
        <v>13575</v>
      </c>
      <c r="B35858" s="0" t="str">
        <f aca="false">HYPERLINK("https://lindat.mff.cuni.cz/services/teitok/pdtc10/index.php?action=vallex&amp;frame=v-w4905f3", "přenést se (v-w4905f3)")</f>
        <v>přenést se (v-w4905f3)</v>
      </c>
    </row>
    <row r="35859" customFormat="false" ht="12.8" hidden="false" customHeight="false" outlineLevel="0" collapsed="false">
      <c r="B35859" s="0" t="s">
        <v>1</v>
      </c>
    </row>
    <row r="35861" customFormat="false" ht="12.8" hidden="false" customHeight="false" outlineLevel="0" collapsed="false">
      <c r="A35861" s="0" t="s">
        <v>13576</v>
      </c>
      <c r="B35861" s="0" t="str">
        <f aca="false">HYPERLINK("https://lindat.mff.cuni.cz/services/teitok/pdtc10/index.php?action=vallex&amp;frame=v-whsa_393hsa_394", "přeorganizovat (v-whsa_393hsa_394)")</f>
        <v>přeorganizovat (v-whsa_393hsa_394)</v>
      </c>
      <c r="E35861" s="0" t="str">
        <f aca="false">HYPERLINK("https://lindat.mff.cuni.cz/services/SynSemClass40/SynSemClass40.html?veclass=vec00896#vec00896-ces-cm00002", "vec00896")</f>
        <v>vec00896</v>
      </c>
      <c r="F35861" s="0" t="s">
        <v>13577</v>
      </c>
    </row>
    <row r="35862" customFormat="false" ht="12.8" hidden="false" customHeight="false" outlineLevel="0" collapsed="false">
      <c r="B35862" s="0" t="s">
        <v>1</v>
      </c>
      <c r="C35862" s="0" t="s">
        <v>459</v>
      </c>
      <c r="E35862" s="0" t="s">
        <v>76</v>
      </c>
      <c r="F35862" s="0" t="s">
        <v>743</v>
      </c>
    </row>
    <row r="35863" customFormat="false" ht="12.8" hidden="false" customHeight="false" outlineLevel="0" collapsed="false">
      <c r="B35863" s="0" t="s">
        <v>8</v>
      </c>
      <c r="C35863" s="0" t="s">
        <v>800</v>
      </c>
      <c r="E35863" s="0" t="s">
        <v>87</v>
      </c>
      <c r="F35863" s="0" t="s">
        <v>13578</v>
      </c>
    </row>
    <row r="35864" customFormat="false" ht="12.8" hidden="false" customHeight="false" outlineLevel="0" collapsed="false">
      <c r="B35864" s="0" t="s">
        <v>36</v>
      </c>
      <c r="E35864" s="0" t="s">
        <v>38</v>
      </c>
      <c r="F35864" s="0" t="s">
        <v>8255</v>
      </c>
    </row>
    <row r="35865" customFormat="false" ht="12.8" hidden="false" customHeight="false" outlineLevel="0" collapsed="false">
      <c r="B35865" s="0" t="s">
        <v>101</v>
      </c>
      <c r="E35865" s="0" t="s">
        <v>42</v>
      </c>
      <c r="F35865" s="0" t="s">
        <v>13432</v>
      </c>
    </row>
    <row r="35867" customFormat="false" ht="12.8" hidden="false" customHeight="false" outlineLevel="0" collapsed="false">
      <c r="A35867" s="0" t="s">
        <v>13579</v>
      </c>
      <c r="B35867" s="0" t="str">
        <f aca="false">HYPERLINK("https://lindat.mff.cuni.cz/services/teitok/pdtc10/index.php?action=vallex&amp;frame=v-w11266f1", "přeorientovat (v-w11266f1)")</f>
        <v>přeorientovat (v-w11266f1)</v>
      </c>
      <c r="E35867" s="0" t="str">
        <f aca="false">HYPERLINK("https://lindat.mff.cuni.cz/services/SynSemClass40/SynSemClass40.html?veclass=vec00895#vec00895-ces-cm00001", "vec00895")</f>
        <v>vec00895</v>
      </c>
      <c r="F35867" s="0" t="s">
        <v>13580</v>
      </c>
    </row>
    <row r="35868" customFormat="false" ht="12.8" hidden="false" customHeight="false" outlineLevel="0" collapsed="false">
      <c r="B35868" s="0" t="s">
        <v>1</v>
      </c>
      <c r="C35868" s="0" t="s">
        <v>4695</v>
      </c>
      <c r="E35868" s="0" t="s">
        <v>13581</v>
      </c>
      <c r="F35868" s="0" t="s">
        <v>13582</v>
      </c>
    </row>
    <row r="35869" customFormat="false" ht="12.8" hidden="false" customHeight="false" outlineLevel="0" collapsed="false">
      <c r="B35869" s="0" t="s">
        <v>8</v>
      </c>
      <c r="C35869" s="0" t="s">
        <v>798</v>
      </c>
      <c r="E35869" s="0" t="s">
        <v>13583</v>
      </c>
      <c r="F35869" s="0" t="s">
        <v>13584</v>
      </c>
    </row>
    <row r="35870" customFormat="false" ht="12.8" hidden="false" customHeight="false" outlineLevel="0" collapsed="false">
      <c r="B35870" s="0" t="s">
        <v>164</v>
      </c>
      <c r="E35870" s="0" t="s">
        <v>3229</v>
      </c>
      <c r="F35870" s="0" t="s">
        <v>8716</v>
      </c>
    </row>
    <row r="35872" customFormat="false" ht="12.8" hidden="false" customHeight="false" outlineLevel="0" collapsed="false">
      <c r="A35872" s="0" t="s">
        <v>13585</v>
      </c>
      <c r="B35872" s="0" t="str">
        <f aca="false">HYPERLINK("https://lindat.mff.cuni.cz/services/teitok/pdtc10/index.php?action=vallex&amp;frame=v-w4907f1", "přeorientovat se (v-w4907f1)")</f>
        <v>přeorientovat se (v-w4907f1)</v>
      </c>
      <c r="E35872" s="0" t="str">
        <f aca="false">HYPERLINK("https://lindat.mff.cuni.cz/services/SynSemClass40/SynSemClass40.html?veclass=vec00496#vec00496-ces-cm00011", "vec00496")</f>
        <v>vec00496</v>
      </c>
      <c r="F35872" s="0" t="s">
        <v>13129</v>
      </c>
    </row>
    <row r="35873" customFormat="false" ht="12.8" hidden="false" customHeight="false" outlineLevel="0" collapsed="false">
      <c r="B35873" s="0" t="s">
        <v>1</v>
      </c>
      <c r="C35873" s="0" t="s">
        <v>13130</v>
      </c>
      <c r="E35873" s="0" t="s">
        <v>11</v>
      </c>
      <c r="F35873" s="0" t="s">
        <v>13131</v>
      </c>
    </row>
    <row r="35874" customFormat="false" ht="12.8" hidden="false" customHeight="false" outlineLevel="0" collapsed="false">
      <c r="B35874" s="0" t="s">
        <v>45</v>
      </c>
      <c r="C35874" s="0" t="s">
        <v>13133</v>
      </c>
      <c r="E35874" s="0" t="s">
        <v>1592</v>
      </c>
      <c r="F35874" s="0" t="s">
        <v>13134</v>
      </c>
    </row>
    <row r="35876" customFormat="false" ht="12.8" hidden="false" customHeight="false" outlineLevel="0" collapsed="false">
      <c r="A35876" s="0" t="s">
        <v>13586</v>
      </c>
      <c r="B35876" s="0" t="str">
        <f aca="false">HYPERLINK("https://lindat.mff.cuni.cz/services/teitok/pdtc10/index.php?action=vallex&amp;frame=v-w4907f2", "přeorientovat se (v-w4907f2)")</f>
        <v>přeorientovat se (v-w4907f2)</v>
      </c>
    </row>
    <row r="35877" customFormat="false" ht="12.8" hidden="false" customHeight="false" outlineLevel="0" collapsed="false">
      <c r="B35877" s="0" t="s">
        <v>1</v>
      </c>
    </row>
    <row r="35879" customFormat="false" ht="12.8" hidden="false" customHeight="false" outlineLevel="0" collapsed="false">
      <c r="A35879" s="0" t="s">
        <v>13587</v>
      </c>
      <c r="B35879" s="0" t="str">
        <f aca="false">HYPERLINK("https://lindat.mff.cuni.cz/services/teitok/pdtc10/index.php?action=vallex&amp;frame=v-w4910f1", "přepadat (v-w4910f1)")</f>
        <v>přepadat (v-w4910f1)</v>
      </c>
      <c r="E35879" s="0" t="str">
        <f aca="false">HYPERLINK("https://lindat.mff.cuni.cz/services/SynSemClass40/SynSemClass40.html?veclass=vec00441#vec00441-ces-cm00017", "vec00441")</f>
        <v>vec00441</v>
      </c>
      <c r="F35879" s="0" t="s">
        <v>194</v>
      </c>
    </row>
    <row r="35880" customFormat="false" ht="12.8" hidden="false" customHeight="false" outlineLevel="0" collapsed="false">
      <c r="B35880" s="0" t="s">
        <v>1</v>
      </c>
      <c r="C35880" s="0" t="s">
        <v>195</v>
      </c>
      <c r="E35880" s="0" t="s">
        <v>196</v>
      </c>
      <c r="F35880" s="0" t="s">
        <v>197</v>
      </c>
    </row>
    <row r="35881" customFormat="false" ht="12.8" hidden="false" customHeight="false" outlineLevel="0" collapsed="false">
      <c r="B35881" s="0" t="s">
        <v>8</v>
      </c>
      <c r="C35881" s="0" t="s">
        <v>198</v>
      </c>
      <c r="E35881" s="0" t="s">
        <v>199</v>
      </c>
      <c r="F35881" s="0" t="s">
        <v>200</v>
      </c>
    </row>
    <row r="35883" customFormat="false" ht="12.8" hidden="false" customHeight="false" outlineLevel="0" collapsed="false">
      <c r="A35883" s="0" t="s">
        <v>13588</v>
      </c>
      <c r="B35883" s="0" t="str">
        <f aca="false">HYPERLINK("https://lindat.mff.cuni.cz/services/teitok/pdtc10/index.php?action=vallex&amp;frame=v-w4912f1", "přepadnout (v-w4912f1)")</f>
        <v>přepadnout (v-w4912f1)</v>
      </c>
      <c r="E35883" s="0" t="str">
        <f aca="false">HYPERLINK("https://lindat.mff.cuni.cz/services/SynSemClass40/SynSemClass40.html?veclass=vec00441#vec00441-ces-cm00015", "vec00441")</f>
        <v>vec00441</v>
      </c>
      <c r="F35883" s="0" t="s">
        <v>194</v>
      </c>
    </row>
    <row r="35884" customFormat="false" ht="12.8" hidden="false" customHeight="false" outlineLevel="0" collapsed="false">
      <c r="B35884" s="0" t="s">
        <v>1</v>
      </c>
      <c r="C35884" s="0" t="s">
        <v>195</v>
      </c>
      <c r="E35884" s="0" t="s">
        <v>196</v>
      </c>
      <c r="F35884" s="0" t="s">
        <v>197</v>
      </c>
    </row>
    <row r="35885" customFormat="false" ht="12.8" hidden="false" customHeight="false" outlineLevel="0" collapsed="false">
      <c r="B35885" s="0" t="s">
        <v>8</v>
      </c>
      <c r="C35885" s="0" t="s">
        <v>198</v>
      </c>
      <c r="E35885" s="0" t="s">
        <v>199</v>
      </c>
      <c r="F35885" s="0" t="s">
        <v>200</v>
      </c>
    </row>
    <row r="35887" customFormat="false" ht="12.8" hidden="false" customHeight="false" outlineLevel="0" collapsed="false">
      <c r="A35887" s="0" t="s">
        <v>13589</v>
      </c>
      <c r="B35887" s="0" t="str">
        <f aca="false">HYPERLINK("https://lindat.mff.cuni.cz/services/teitok/pdtc10/index.php?action=vallex&amp;frame=v-w4912hsa_1892", "přepadnout (v-w4912hsa_1892)")</f>
        <v>přepadnout (v-w4912hsa_1892)</v>
      </c>
    </row>
    <row r="35888" customFormat="false" ht="12.8" hidden="false" customHeight="false" outlineLevel="0" collapsed="false">
      <c r="B35888" s="0" t="s">
        <v>1</v>
      </c>
    </row>
    <row r="35889" customFormat="false" ht="12.8" hidden="false" customHeight="false" outlineLevel="0" collapsed="false">
      <c r="B35889" s="0" t="s">
        <v>8</v>
      </c>
    </row>
    <row r="35891" customFormat="false" ht="12.8" hidden="false" customHeight="false" outlineLevel="0" collapsed="false">
      <c r="A35891" s="0" t="s">
        <v>13590</v>
      </c>
      <c r="B35891" s="0" t="str">
        <f aca="false">HYPERLINK("https://lindat.mff.cuni.cz/services/teitok/pdtc10/index.php?action=vallex&amp;frame=v-w11894_ZUf1_ZU", "přepadávat (v-w11894_ZUf1_ZU)")</f>
        <v>přepadávat (v-w11894_ZUf1_ZU)</v>
      </c>
    </row>
    <row r="35892" customFormat="false" ht="12.8" hidden="false" customHeight="false" outlineLevel="0" collapsed="false">
      <c r="B35892" s="0" t="s">
        <v>1</v>
      </c>
    </row>
    <row r="35893" customFormat="false" ht="12.8" hidden="false" customHeight="false" outlineLevel="0" collapsed="false">
      <c r="B35893" s="0" t="s">
        <v>8</v>
      </c>
    </row>
    <row r="35895" customFormat="false" ht="12.8" hidden="false" customHeight="false" outlineLevel="0" collapsed="false">
      <c r="A35895" s="0" t="s">
        <v>13591</v>
      </c>
      <c r="B35895" s="0" t="str">
        <f aca="false">HYPERLINK("https://lindat.mff.cuni.cz/services/teitok/pdtc10/index.php?action=vallex&amp;frame=v-whsa_235f1_ZU", "přepalovat se (v-whsa_235f1_ZU)")</f>
        <v>přepalovat se (v-whsa_235f1_ZU)</v>
      </c>
    </row>
    <row r="35896" customFormat="false" ht="12.8" hidden="false" customHeight="false" outlineLevel="0" collapsed="false">
      <c r="B35896" s="0" t="s">
        <v>1</v>
      </c>
    </row>
    <row r="35898" customFormat="false" ht="12.8" hidden="false" customHeight="false" outlineLevel="0" collapsed="false">
      <c r="A35898" s="0" t="s">
        <v>13592</v>
      </c>
      <c r="B35898" s="0" t="str">
        <f aca="false">HYPERLINK("https://lindat.mff.cuni.cz/services/teitok/pdtc10/index.php?action=vallex&amp;frame=v-whsb_235hsa_236", "přepalovat se (v-whsb_235hsa_236)")</f>
        <v>přepalovat se (v-whsb_235hsa_236)</v>
      </c>
    </row>
    <row r="35899" customFormat="false" ht="12.8" hidden="false" customHeight="false" outlineLevel="0" collapsed="false">
      <c r="B35899" s="0" t="s">
        <v>1</v>
      </c>
    </row>
    <row r="35901" customFormat="false" ht="12.8" hidden="false" customHeight="false" outlineLevel="0" collapsed="false">
      <c r="A35901" s="0" t="s">
        <v>13593</v>
      </c>
      <c r="B35901" s="0" t="str">
        <f aca="false">HYPERLINK("https://lindat.mff.cuni.cz/services/teitok/pdtc10/index.php?action=vallex&amp;frame=v-w4916f1", "přepisovat (v-w4916f1)")</f>
        <v>přepisovat (v-w4916f1)</v>
      </c>
      <c r="E35901" s="0" t="str">
        <f aca="false">HYPERLINK("https://lindat.mff.cuni.cz/services/SynSemClass40/SynSemClass40.html?veclass=vec01304#vec01304-ces-cm00019", "vec01304")</f>
        <v>vec01304</v>
      </c>
      <c r="F35901" s="0" t="s">
        <v>302</v>
      </c>
    </row>
    <row r="35902" customFormat="false" ht="12.8" hidden="false" customHeight="false" outlineLevel="0" collapsed="false">
      <c r="B35902" s="0" t="s">
        <v>1</v>
      </c>
      <c r="C35902" s="0" t="s">
        <v>303</v>
      </c>
      <c r="E35902" s="0" t="s">
        <v>115</v>
      </c>
      <c r="F35902" s="0" t="s">
        <v>304</v>
      </c>
    </row>
    <row r="35903" customFormat="false" ht="12.8" hidden="false" customHeight="false" outlineLevel="0" collapsed="false">
      <c r="B35903" s="0" t="s">
        <v>8</v>
      </c>
      <c r="C35903" s="0" t="s">
        <v>306</v>
      </c>
      <c r="E35903" s="0" t="s">
        <v>119</v>
      </c>
      <c r="F35903" s="0" t="s">
        <v>307</v>
      </c>
    </row>
    <row r="35905" customFormat="false" ht="12.8" hidden="false" customHeight="false" outlineLevel="0" collapsed="false">
      <c r="A35905" s="0" t="s">
        <v>13594</v>
      </c>
      <c r="B35905" s="0" t="str">
        <f aca="false">HYPERLINK("https://lindat.mff.cuni.cz/services/teitok/pdtc10/index.php?action=vallex&amp;frame=v-w10675f2", "přeplatit (v-w10675f2)")</f>
        <v>přeplatit (v-w10675f2)</v>
      </c>
      <c r="E35905" s="0" t="str">
        <f aca="false">HYPERLINK("https://lindat.mff.cuni.cz/services/SynSemClass40/SynSemClass40.html?veclass=vec01285#vec01285-ces-cm00004", "vec01285")</f>
        <v>vec01285</v>
      </c>
      <c r="F35905" s="0" t="s">
        <v>13109</v>
      </c>
    </row>
    <row r="35906" customFormat="false" ht="12.8" hidden="false" customHeight="false" outlineLevel="0" collapsed="false">
      <c r="B35906" s="0" t="s">
        <v>1</v>
      </c>
      <c r="C35906" s="0" t="s">
        <v>1752</v>
      </c>
      <c r="E35906" s="0" t="s">
        <v>2554</v>
      </c>
      <c r="F35906" s="0" t="s">
        <v>13110</v>
      </c>
    </row>
    <row r="35907" customFormat="false" ht="12.8" hidden="false" customHeight="false" outlineLevel="0" collapsed="false">
      <c r="B35907" s="0" t="s">
        <v>8</v>
      </c>
      <c r="C35907" s="0" t="s">
        <v>7578</v>
      </c>
      <c r="E35907" s="0" t="s">
        <v>4143</v>
      </c>
      <c r="F35907" s="0" t="s">
        <v>13112</v>
      </c>
    </row>
    <row r="35909" customFormat="false" ht="12.8" hidden="false" customHeight="false" outlineLevel="0" collapsed="false">
      <c r="A35909" s="0" t="s">
        <v>13595</v>
      </c>
      <c r="B35909" s="0" t="str">
        <f aca="false">HYPERLINK("https://lindat.mff.cuni.cz/services/teitok/pdtc10/index.php?action=vallex&amp;frame=v-whsa_1162f1_ZU", "přeplavat (v-whsa_1162f1_ZU)")</f>
        <v>přeplavat (v-whsa_1162f1_ZU)</v>
      </c>
    </row>
    <row r="35910" customFormat="false" ht="12.8" hidden="false" customHeight="false" outlineLevel="0" collapsed="false">
      <c r="B35910" s="0" t="s">
        <v>1</v>
      </c>
    </row>
    <row r="35911" customFormat="false" ht="12.8" hidden="false" customHeight="false" outlineLevel="0" collapsed="false">
      <c r="B35911" s="0" t="s">
        <v>631</v>
      </c>
    </row>
    <row r="35912" customFormat="false" ht="12.8" hidden="false" customHeight="false" outlineLevel="0" collapsed="false">
      <c r="B35912" s="0" t="s">
        <v>164</v>
      </c>
    </row>
    <row r="35914" customFormat="false" ht="12.8" hidden="false" customHeight="false" outlineLevel="0" collapsed="false">
      <c r="A35914" s="0" t="s">
        <v>13595</v>
      </c>
      <c r="B35914" s="0" t="str">
        <f aca="false">HYPERLINK("https://lindat.mff.cuni.cz/services/teitok/pdtc10/index.php?action=vallex&amp;frame=v-whsb_1162hsa_1163", "přeplavat (v-whsb_1162hsa_1163) - substituted with v-whsa_1162f1_ZU")</f>
        <v>přeplavat (v-whsb_1162hsa_1163) - substituted with v-whsa_1162f1_ZU</v>
      </c>
    </row>
    <row r="35915" customFormat="false" ht="12.8" hidden="false" customHeight="false" outlineLevel="0" collapsed="false">
      <c r="B35915" s="0" t="s">
        <v>1</v>
      </c>
    </row>
    <row r="35916" customFormat="false" ht="12.8" hidden="false" customHeight="false" outlineLevel="0" collapsed="false">
      <c r="B35916" s="0" t="s">
        <v>631</v>
      </c>
    </row>
    <row r="35917" customFormat="false" ht="12.8" hidden="false" customHeight="false" outlineLevel="0" collapsed="false">
      <c r="B35917" s="0" t="s">
        <v>164</v>
      </c>
    </row>
    <row r="35919" customFormat="false" ht="12.8" hidden="false" customHeight="false" outlineLevel="0" collapsed="false">
      <c r="A35919" s="0" t="s">
        <v>13596</v>
      </c>
      <c r="B35919" s="0" t="str">
        <f aca="false">HYPERLINK("https://lindat.mff.cuni.cz/services/teitok/pdtc10/index.php?action=vallex&amp;frame=v-whsa_1162f2_ZU", "přeplavat (v-whsa_1162f2_ZU)")</f>
        <v>přeplavat (v-whsa_1162f2_ZU)</v>
      </c>
    </row>
    <row r="35920" customFormat="false" ht="12.8" hidden="false" customHeight="false" outlineLevel="0" collapsed="false">
      <c r="B35920" s="0" t="s">
        <v>1</v>
      </c>
    </row>
    <row r="35921" customFormat="false" ht="12.8" hidden="false" customHeight="false" outlineLevel="0" collapsed="false">
      <c r="B35921" s="0" t="s">
        <v>8</v>
      </c>
    </row>
    <row r="35923" customFormat="false" ht="12.8" hidden="false" customHeight="false" outlineLevel="0" collapsed="false">
      <c r="A35923" s="0" t="s">
        <v>13596</v>
      </c>
      <c r="B35923" s="0" t="str">
        <f aca="false">HYPERLINK("https://lindat.mff.cuni.cz/services/teitok/pdtc10/index.php?action=vallex&amp;frame=v-whsa_1162hsa_1164", "přeplavat (v-whsa_1162hsa_1164) - substituted with v-whsa_1162f2_ZU")</f>
        <v>přeplavat (v-whsa_1162hsa_1164) - substituted with v-whsa_1162f2_ZU</v>
      </c>
    </row>
    <row r="35924" customFormat="false" ht="12.8" hidden="false" customHeight="false" outlineLevel="0" collapsed="false">
      <c r="B35924" s="0" t="s">
        <v>1</v>
      </c>
    </row>
    <row r="35925" customFormat="false" ht="12.8" hidden="false" customHeight="false" outlineLevel="0" collapsed="false">
      <c r="B35925" s="0" t="s">
        <v>8</v>
      </c>
    </row>
    <row r="35927" customFormat="false" ht="12.8" hidden="false" customHeight="false" outlineLevel="0" collapsed="false">
      <c r="A35927" s="0" t="s">
        <v>13597</v>
      </c>
      <c r="B35927" s="0" t="str">
        <f aca="false">HYPERLINK("https://lindat.mff.cuni.cz/services/teitok/pdtc10/index.php?action=vallex&amp;frame=v-whsa_1314f1_ZU", "přeplavit (v-whsa_1314f1_ZU)")</f>
        <v>přeplavit (v-whsa_1314f1_ZU)</v>
      </c>
    </row>
    <row r="35928" customFormat="false" ht="12.8" hidden="false" customHeight="false" outlineLevel="0" collapsed="false">
      <c r="B35928" s="0" t="s">
        <v>1</v>
      </c>
    </row>
    <row r="35929" customFormat="false" ht="12.8" hidden="false" customHeight="false" outlineLevel="0" collapsed="false">
      <c r="B35929" s="0" t="s">
        <v>8</v>
      </c>
    </row>
    <row r="35930" customFormat="false" ht="12.8" hidden="false" customHeight="false" outlineLevel="0" collapsed="false">
      <c r="B35930" s="0" t="s">
        <v>631</v>
      </c>
    </row>
    <row r="35931" customFormat="false" ht="12.8" hidden="false" customHeight="false" outlineLevel="0" collapsed="false">
      <c r="B35931" s="0" t="s">
        <v>164</v>
      </c>
    </row>
    <row r="35933" customFormat="false" ht="12.8" hidden="false" customHeight="false" outlineLevel="0" collapsed="false">
      <c r="A35933" s="0" t="s">
        <v>13597</v>
      </c>
      <c r="B35933" s="0" t="str">
        <f aca="false">HYPERLINK("https://lindat.mff.cuni.cz/services/teitok/pdtc10/index.php?action=vallex&amp;frame=v-whsa_1314hsa_1315", "přeplavit (v-whsa_1314hsa_1315) - substituted with v-whsa_1314f1_ZU")</f>
        <v>přeplavit (v-whsa_1314hsa_1315) - substituted with v-whsa_1314f1_ZU</v>
      </c>
    </row>
    <row r="35934" customFormat="false" ht="12.8" hidden="false" customHeight="false" outlineLevel="0" collapsed="false">
      <c r="B35934" s="0" t="s">
        <v>1</v>
      </c>
    </row>
    <row r="35935" customFormat="false" ht="12.8" hidden="false" customHeight="false" outlineLevel="0" collapsed="false">
      <c r="B35935" s="0" t="s">
        <v>8</v>
      </c>
    </row>
    <row r="35936" customFormat="false" ht="12.8" hidden="false" customHeight="false" outlineLevel="0" collapsed="false">
      <c r="B35936" s="0" t="s">
        <v>631</v>
      </c>
    </row>
    <row r="35937" customFormat="false" ht="12.8" hidden="false" customHeight="false" outlineLevel="0" collapsed="false">
      <c r="B35937" s="0" t="s">
        <v>164</v>
      </c>
    </row>
    <row r="35939" customFormat="false" ht="12.8" hidden="false" customHeight="false" outlineLevel="0" collapsed="false">
      <c r="A35939" s="0" t="s">
        <v>13598</v>
      </c>
      <c r="B35939" s="0" t="str">
        <f aca="false">HYPERLINK("https://lindat.mff.cuni.cz/services/teitok/pdtc10/index.php?action=vallex&amp;frame=v-w4922f2", "přeplnit (v-w4922f2)")</f>
        <v>přeplnit (v-w4922f2)</v>
      </c>
    </row>
    <row r="35940" customFormat="false" ht="12.8" hidden="false" customHeight="false" outlineLevel="0" collapsed="false">
      <c r="B35940" s="0" t="s">
        <v>1</v>
      </c>
    </row>
    <row r="35941" customFormat="false" ht="12.8" hidden="false" customHeight="false" outlineLevel="0" collapsed="false">
      <c r="B35941" s="0" t="s">
        <v>8</v>
      </c>
    </row>
    <row r="35942" customFormat="false" ht="12.8" hidden="false" customHeight="false" outlineLevel="0" collapsed="false">
      <c r="B35942" s="0" t="s">
        <v>7045</v>
      </c>
    </row>
    <row r="35944" customFormat="false" ht="12.8" hidden="false" customHeight="false" outlineLevel="0" collapsed="false">
      <c r="A35944" s="0" t="s">
        <v>13599</v>
      </c>
      <c r="B35944" s="0" t="str">
        <f aca="false">HYPERLINK("https://lindat.mff.cuni.cz/services/teitok/pdtc10/index.php?action=vallex&amp;frame=v-w4922f1", "přeplnit (v-w4922f1)")</f>
        <v>přeplnit (v-w4922f1)</v>
      </c>
    </row>
    <row r="35945" customFormat="false" ht="12.8" hidden="false" customHeight="false" outlineLevel="0" collapsed="false">
      <c r="B35945" s="0" t="s">
        <v>1</v>
      </c>
    </row>
    <row r="35946" customFormat="false" ht="12.8" hidden="false" customHeight="false" outlineLevel="0" collapsed="false">
      <c r="B35946" s="0" t="s">
        <v>8</v>
      </c>
    </row>
    <row r="35948" customFormat="false" ht="12.8" hidden="false" customHeight="false" outlineLevel="0" collapsed="false">
      <c r="A35948" s="0" t="s">
        <v>13600</v>
      </c>
      <c r="B35948" s="0" t="str">
        <f aca="false">HYPERLINK("https://lindat.mff.cuni.cz/services/teitok/pdtc10/index.php?action=vallex&amp;frame=v-w4918f1", "přeplácet (v-w4918f1)")</f>
        <v>přeplácet (v-w4918f1)</v>
      </c>
      <c r="E35948" s="0" t="str">
        <f aca="false">HYPERLINK("https://lindat.mff.cuni.cz/services/SynSemClass40/SynSemClass40.html?veclass=vec01285#vec01285-ces-cm00003", "vec01285")</f>
        <v>vec01285</v>
      </c>
      <c r="F35948" s="0" t="s">
        <v>13109</v>
      </c>
    </row>
    <row r="35949" customFormat="false" ht="12.8" hidden="false" customHeight="false" outlineLevel="0" collapsed="false">
      <c r="B35949" s="0" t="s">
        <v>1</v>
      </c>
      <c r="C35949" s="0" t="s">
        <v>1752</v>
      </c>
      <c r="E35949" s="0" t="s">
        <v>2554</v>
      </c>
      <c r="F35949" s="0" t="s">
        <v>13110</v>
      </c>
    </row>
    <row r="35950" customFormat="false" ht="12.8" hidden="false" customHeight="false" outlineLevel="0" collapsed="false">
      <c r="B35950" s="0" t="s">
        <v>8</v>
      </c>
      <c r="C35950" s="0" t="s">
        <v>7578</v>
      </c>
      <c r="E35950" s="0" t="s">
        <v>4143</v>
      </c>
      <c r="F35950" s="0" t="s">
        <v>13112</v>
      </c>
    </row>
    <row r="35952" customFormat="false" ht="12.8" hidden="false" customHeight="false" outlineLevel="0" collapsed="false">
      <c r="A35952" s="0" t="s">
        <v>13601</v>
      </c>
      <c r="B35952" s="0" t="str">
        <f aca="false">HYPERLINK("https://lindat.mff.cuni.cz/services/teitok/pdtc10/index.php?action=vallex&amp;frame=v-w10662f2", "přeplánovat (v-w10662f2)")</f>
        <v>přeplánovat (v-w10662f2)</v>
      </c>
    </row>
    <row r="35953" customFormat="false" ht="12.8" hidden="false" customHeight="false" outlineLevel="0" collapsed="false">
      <c r="B35953" s="0" t="s">
        <v>1</v>
      </c>
    </row>
    <row r="35954" customFormat="false" ht="12.8" hidden="false" customHeight="false" outlineLevel="0" collapsed="false">
      <c r="B35954" s="0" t="s">
        <v>8</v>
      </c>
    </row>
    <row r="35956" customFormat="false" ht="12.8" hidden="false" customHeight="false" outlineLevel="0" collapsed="false">
      <c r="A35956" s="0" t="s">
        <v>13602</v>
      </c>
      <c r="B35956" s="0" t="str">
        <f aca="false">HYPERLINK("https://lindat.mff.cuni.cz/services/teitok/pdtc10/index.php?action=vallex&amp;frame=v-w10738f3", "přepnout (v-w10738f3)")</f>
        <v>přepnout (v-w10738f3)</v>
      </c>
    </row>
    <row r="35957" customFormat="false" ht="12.8" hidden="false" customHeight="false" outlineLevel="0" collapsed="false">
      <c r="B35957" s="0" t="s">
        <v>1</v>
      </c>
    </row>
    <row r="35958" customFormat="false" ht="12.8" hidden="false" customHeight="false" outlineLevel="0" collapsed="false">
      <c r="B35958" s="0" t="s">
        <v>5848</v>
      </c>
    </row>
    <row r="35959" customFormat="false" ht="12.8" hidden="false" customHeight="false" outlineLevel="0" collapsed="false">
      <c r="B35959" s="0" t="s">
        <v>36</v>
      </c>
    </row>
    <row r="35961" customFormat="false" ht="12.8" hidden="false" customHeight="false" outlineLevel="0" collapsed="false">
      <c r="A35961" s="0" t="s">
        <v>13603</v>
      </c>
      <c r="B35961" s="0" t="str">
        <f aca="false">HYPERLINK("https://lindat.mff.cuni.cz/services/teitok/pdtc10/index.php?action=vallex&amp;frame=v-w10738f2", "přepnout (v-w10738f2)")</f>
        <v>přepnout (v-w10738f2)</v>
      </c>
    </row>
    <row r="35962" customFormat="false" ht="12.8" hidden="false" customHeight="false" outlineLevel="0" collapsed="false">
      <c r="B35962" s="0" t="s">
        <v>1</v>
      </c>
    </row>
    <row r="35963" customFormat="false" ht="12.8" hidden="false" customHeight="false" outlineLevel="0" collapsed="false">
      <c r="B35963" s="0" t="s">
        <v>8</v>
      </c>
    </row>
    <row r="35964" customFormat="false" ht="12.8" hidden="false" customHeight="false" outlineLevel="0" collapsed="false">
      <c r="B35964" s="0" t="s">
        <v>631</v>
      </c>
    </row>
    <row r="35965" customFormat="false" ht="12.8" hidden="false" customHeight="false" outlineLevel="0" collapsed="false">
      <c r="B35965" s="0" t="s">
        <v>164</v>
      </c>
    </row>
    <row r="35967" customFormat="false" ht="12.8" hidden="false" customHeight="false" outlineLevel="0" collapsed="false">
      <c r="A35967" s="0" t="s">
        <v>13604</v>
      </c>
      <c r="B35967" s="0" t="str">
        <f aca="false">HYPERLINK("https://lindat.mff.cuni.cz/services/teitok/pdtc10/index.php?action=vallex&amp;frame=v-whsa_1023hsa_1024", "přepnout se (v-whsa_1023hsa_1024)")</f>
        <v>přepnout se (v-whsa_1023hsa_1024)</v>
      </c>
      <c r="E35967" s="0" t="str">
        <f aca="false">HYPERLINK("https://lindat.mff.cuni.cz/services/SynSemClass40/SynSemClass40.html?veclass=vec00496#vec00496-ces-cm00012", "vec00496")</f>
        <v>vec00496</v>
      </c>
      <c r="F35967" s="0" t="s">
        <v>13129</v>
      </c>
    </row>
    <row r="35968" customFormat="false" ht="12.8" hidden="false" customHeight="false" outlineLevel="0" collapsed="false">
      <c r="B35968" s="0" t="s">
        <v>1</v>
      </c>
      <c r="C35968" s="0" t="s">
        <v>13130</v>
      </c>
      <c r="E35968" s="0" t="s">
        <v>11</v>
      </c>
      <c r="F35968" s="0" t="s">
        <v>13131</v>
      </c>
    </row>
    <row r="35969" customFormat="false" ht="12.8" hidden="false" customHeight="false" outlineLevel="0" collapsed="false">
      <c r="B35969" s="0" t="s">
        <v>45</v>
      </c>
      <c r="C35969" s="0" t="s">
        <v>13133</v>
      </c>
      <c r="E35969" s="0" t="s">
        <v>1592</v>
      </c>
      <c r="F35969" s="0" t="s">
        <v>13134</v>
      </c>
    </row>
    <row r="35970" customFormat="false" ht="12.8" hidden="false" customHeight="false" outlineLevel="0" collapsed="false">
      <c r="B35970" s="0" t="s">
        <v>36</v>
      </c>
      <c r="C35970" s="0" t="s">
        <v>13135</v>
      </c>
      <c r="E35970" s="0" t="s">
        <v>2176</v>
      </c>
      <c r="F35970" s="0" t="s">
        <v>13136</v>
      </c>
    </row>
    <row r="35972" customFormat="false" ht="12.8" hidden="false" customHeight="false" outlineLevel="0" collapsed="false">
      <c r="A35972" s="0" t="s">
        <v>13605</v>
      </c>
      <c r="B35972" s="0" t="str">
        <f aca="false">HYPERLINK("https://lindat.mff.cuni.cz/services/teitok/pdtc10/index.php?action=vallex&amp;frame=v-w4925f1", "přepojit (v-w4925f1)")</f>
        <v>přepojit (v-w4925f1)</v>
      </c>
    </row>
    <row r="35973" customFormat="false" ht="12.8" hidden="false" customHeight="false" outlineLevel="0" collapsed="false">
      <c r="B35973" s="0" t="s">
        <v>1</v>
      </c>
    </row>
    <row r="35974" customFormat="false" ht="12.8" hidden="false" customHeight="false" outlineLevel="0" collapsed="false">
      <c r="B35974" s="0" t="s">
        <v>8</v>
      </c>
    </row>
    <row r="35975" customFormat="false" ht="12.8" hidden="false" customHeight="false" outlineLevel="0" collapsed="false">
      <c r="B35975" s="0" t="s">
        <v>631</v>
      </c>
    </row>
    <row r="35976" customFormat="false" ht="12.8" hidden="false" customHeight="false" outlineLevel="0" collapsed="false">
      <c r="B35976" s="0" t="s">
        <v>164</v>
      </c>
    </row>
    <row r="35978" customFormat="false" ht="12.8" hidden="false" customHeight="false" outlineLevel="0" collapsed="false">
      <c r="A35978" s="0" t="s">
        <v>13606</v>
      </c>
      <c r="B35978" s="0" t="str">
        <f aca="false">HYPERLINK("https://lindat.mff.cuni.cz/services/teitok/pdtc10/index.php?action=vallex&amp;frame=v-w11334f1", "přeposílat (v-w11334f1)")</f>
        <v>přeposílat (v-w11334f1)</v>
      </c>
      <c r="E35978" s="0" t="str">
        <f aca="false">HYPERLINK("https://lindat.mff.cuni.cz/services/SynSemClass40/SynSemClass40.html?veclass=vec00209#vec00209-ces-cm00329", "vec00209")</f>
        <v>vec00209</v>
      </c>
      <c r="F35978" s="0" t="s">
        <v>2040</v>
      </c>
      <c r="H35978" s="0" t="str">
        <f aca="false">HYPERLINK("https://lindat.mff.cuni.cz/services/SynSemClass40/SynSemClass40.html?veclass=vec00283#vec00283-ces-cm00110", "vec00283")</f>
        <v>vec00283</v>
      </c>
      <c r="I35978" s="0" t="s">
        <v>8946</v>
      </c>
      <c r="K35978" s="0" t="str">
        <f aca="false">HYPERLINK("https://lindat.mff.cuni.cz/services/SynSemClass40/SynSemClass40.html?veclass=vec01087#vec01087-ces-cm00146", "vec01087")</f>
        <v>vec01087</v>
      </c>
      <c r="L35978" s="0" t="s">
        <v>1863</v>
      </c>
    </row>
    <row r="35979" customFormat="false" ht="12.8" hidden="false" customHeight="false" outlineLevel="0" collapsed="false">
      <c r="B35979" s="0" t="s">
        <v>1</v>
      </c>
      <c r="C35979" s="0" t="s">
        <v>13607</v>
      </c>
      <c r="E35979" s="0" t="s">
        <v>1784</v>
      </c>
      <c r="F35979" s="0" t="s">
        <v>2042</v>
      </c>
      <c r="H35979" s="0" t="s">
        <v>2196</v>
      </c>
      <c r="I35979" s="0" t="s">
        <v>8947</v>
      </c>
      <c r="K35979" s="0" t="s">
        <v>1868</v>
      </c>
      <c r="L35979" s="0" t="s">
        <v>1869</v>
      </c>
    </row>
    <row r="35980" customFormat="false" ht="12.8" hidden="false" customHeight="false" outlineLevel="0" collapsed="false">
      <c r="B35980" s="0" t="s">
        <v>8</v>
      </c>
      <c r="C35980" s="0" t="s">
        <v>13608</v>
      </c>
      <c r="E35980" s="0" t="s">
        <v>1787</v>
      </c>
      <c r="F35980" s="0" t="s">
        <v>2044</v>
      </c>
      <c r="H35980" s="0" t="s">
        <v>2200</v>
      </c>
      <c r="I35980" s="0" t="s">
        <v>8949</v>
      </c>
      <c r="K35980" s="0" t="s">
        <v>1875</v>
      </c>
      <c r="L35980" s="0" t="s">
        <v>1876</v>
      </c>
    </row>
    <row r="35981" customFormat="false" ht="12.8" hidden="false" customHeight="false" outlineLevel="0" collapsed="false">
      <c r="B35981" s="0" t="s">
        <v>52</v>
      </c>
      <c r="C35981" s="0" t="s">
        <v>13609</v>
      </c>
      <c r="E35981" s="0" t="s">
        <v>53</v>
      </c>
      <c r="F35981" s="0" t="s">
        <v>2047</v>
      </c>
      <c r="H35981" s="0" t="s">
        <v>13556</v>
      </c>
      <c r="I35981" s="0" t="s">
        <v>13557</v>
      </c>
      <c r="K35981" s="0" t="s">
        <v>53</v>
      </c>
      <c r="L35981" s="0" t="s">
        <v>1880</v>
      </c>
    </row>
    <row r="35983" customFormat="false" ht="12.8" hidden="false" customHeight="false" outlineLevel="0" collapsed="false">
      <c r="A35983" s="0" t="s">
        <v>13610</v>
      </c>
      <c r="B35983" s="0" t="str">
        <f aca="false">HYPERLINK("https://lindat.mff.cuni.cz/services/teitok/pdtc10/index.php?action=vallex&amp;frame=v-w10696f3_ZU", "přepočíst (v-w10696f3_ZU)")</f>
        <v>přepočíst (v-w10696f3_ZU)</v>
      </c>
    </row>
    <row r="35984" customFormat="false" ht="12.8" hidden="false" customHeight="false" outlineLevel="0" collapsed="false">
      <c r="B35984" s="0" t="s">
        <v>1</v>
      </c>
    </row>
    <row r="35985" customFormat="false" ht="12.8" hidden="false" customHeight="false" outlineLevel="0" collapsed="false">
      <c r="B35985" s="0" t="s">
        <v>59</v>
      </c>
    </row>
    <row r="35986" customFormat="false" ht="12.8" hidden="false" customHeight="false" outlineLevel="0" collapsed="false">
      <c r="B35986" s="0" t="s">
        <v>101</v>
      </c>
    </row>
    <row r="35988" customFormat="false" ht="12.8" hidden="false" customHeight="false" outlineLevel="0" collapsed="false">
      <c r="A35988" s="0" t="s">
        <v>13610</v>
      </c>
      <c r="B35988" s="0" t="str">
        <f aca="false">HYPERLINK("https://lindat.mff.cuni.cz/services/teitok/pdtc10/index.php?action=vallex&amp;frame=v-w10696f2", "přepočíst (v-w10696f2) - substituted with v-w10696f3_ZU")</f>
        <v>přepočíst (v-w10696f2) - substituted with v-w10696f3_ZU</v>
      </c>
      <c r="E35988" s="0" t="str">
        <f aca="false">HYPERLINK("https://lindat.mff.cuni.cz/services/SynSemClass40/SynSemClass40.html?veclass=vec01093#vec01093-ces-cm00005", "vec01093")</f>
        <v>vec01093</v>
      </c>
      <c r="F35988" s="0" t="s">
        <v>13338</v>
      </c>
      <c r="H35988" s="0" t="str">
        <f aca="false">HYPERLINK("https://lindat.mff.cuni.cz/services/SynSemClass40/SynSemClass40.html?veclass=vec01304#vec01304-ces-cm00020", "vec01304")</f>
        <v>vec01304</v>
      </c>
      <c r="I35988" s="0" t="s">
        <v>302</v>
      </c>
    </row>
    <row r="35989" customFormat="false" ht="12.8" hidden="false" customHeight="false" outlineLevel="0" collapsed="false">
      <c r="B35989" s="0" t="s">
        <v>1</v>
      </c>
      <c r="C35989" s="0" t="s">
        <v>2707</v>
      </c>
      <c r="E35989" s="0" t="s">
        <v>9113</v>
      </c>
      <c r="F35989" s="0" t="s">
        <v>13339</v>
      </c>
      <c r="H35989" s="0" t="s">
        <v>115</v>
      </c>
      <c r="I35989" s="0" t="s">
        <v>304</v>
      </c>
    </row>
    <row r="35990" customFormat="false" ht="12.8" hidden="false" customHeight="false" outlineLevel="0" collapsed="false">
      <c r="B35990" s="0" t="s">
        <v>59</v>
      </c>
      <c r="C35990" s="0" t="s">
        <v>13340</v>
      </c>
      <c r="E35990" s="0" t="s">
        <v>1347</v>
      </c>
      <c r="F35990" s="0" t="s">
        <v>13341</v>
      </c>
      <c r="H35990" s="0" t="s">
        <v>119</v>
      </c>
      <c r="I35990" s="0" t="s">
        <v>307</v>
      </c>
    </row>
    <row r="35991" customFormat="false" ht="12.8" hidden="false" customHeight="false" outlineLevel="0" collapsed="false">
      <c r="B35991" s="0" t="s">
        <v>101</v>
      </c>
    </row>
    <row r="35993" customFormat="false" ht="12.8" hidden="false" customHeight="false" outlineLevel="0" collapsed="false">
      <c r="A35993" s="0" t="s">
        <v>13611</v>
      </c>
      <c r="B35993" s="0" t="str">
        <f aca="false">HYPERLINK("https://lindat.mff.cuni.cz/services/teitok/pdtc10/index.php?action=vallex&amp;frame=v-w11556_ZUf2_ZU", "přepočítat (v-w11556_ZUf2_ZU)")</f>
        <v>přepočítat (v-w11556_ZUf2_ZU)</v>
      </c>
    </row>
    <row r="35994" customFormat="false" ht="12.8" hidden="false" customHeight="false" outlineLevel="0" collapsed="false">
      <c r="B35994" s="0" t="s">
        <v>1</v>
      </c>
    </row>
    <row r="35995" customFormat="false" ht="12.8" hidden="false" customHeight="false" outlineLevel="0" collapsed="false">
      <c r="B35995" s="0" t="s">
        <v>8</v>
      </c>
    </row>
    <row r="35996" customFormat="false" ht="12.8" hidden="false" customHeight="false" outlineLevel="0" collapsed="false">
      <c r="B35996" s="0" t="s">
        <v>36</v>
      </c>
    </row>
    <row r="35997" customFormat="false" ht="12.8" hidden="false" customHeight="false" outlineLevel="0" collapsed="false">
      <c r="B35997" s="0" t="s">
        <v>101</v>
      </c>
    </row>
    <row r="35999" customFormat="false" ht="12.8" hidden="false" customHeight="false" outlineLevel="0" collapsed="false">
      <c r="A35999" s="0" t="s">
        <v>13611</v>
      </c>
      <c r="B35999" s="0" t="str">
        <f aca="false">HYPERLINK("https://lindat.mff.cuni.cz/services/teitok/pdtc10/index.php?action=vallex&amp;frame=v-w11556_ZUf1_ZU", "přepočítat (v-w11556_ZUf1_ZU) - substituted with v-w11556_ZUf2_ZU")</f>
        <v>přepočítat (v-w11556_ZUf1_ZU) - substituted with v-w11556_ZUf2_ZU</v>
      </c>
    </row>
    <row r="36000" customFormat="false" ht="12.8" hidden="false" customHeight="false" outlineLevel="0" collapsed="false">
      <c r="B36000" s="0" t="s">
        <v>1</v>
      </c>
    </row>
    <row r="36001" customFormat="false" ht="12.8" hidden="false" customHeight="false" outlineLevel="0" collapsed="false">
      <c r="B36001" s="0" t="s">
        <v>8</v>
      </c>
    </row>
    <row r="36002" customFormat="false" ht="12.8" hidden="false" customHeight="false" outlineLevel="0" collapsed="false">
      <c r="B36002" s="0" t="s">
        <v>36</v>
      </c>
    </row>
    <row r="36003" customFormat="false" ht="12.8" hidden="false" customHeight="false" outlineLevel="0" collapsed="false">
      <c r="B36003" s="0" t="s">
        <v>101</v>
      </c>
    </row>
    <row r="36005" customFormat="false" ht="12.8" hidden="false" customHeight="false" outlineLevel="0" collapsed="false">
      <c r="A36005" s="0" t="s">
        <v>13612</v>
      </c>
      <c r="B36005" s="0" t="str">
        <f aca="false">HYPERLINK("https://lindat.mff.cuni.cz/services/teitok/pdtc10/index.php?action=vallex&amp;frame=v-w11556_ZUhsa_574", "přepočítat (v-w11556_ZUhsa_574)")</f>
        <v>přepočítat (v-w11556_ZUhsa_574)</v>
      </c>
      <c r="E36005" s="0" t="str">
        <f aca="false">HYPERLINK("https://lindat.mff.cuni.cz/services/SynSemClass40/SynSemClass40.html?veclass=vec01093#vec01093-ces-cm00001", "vec01093")</f>
        <v>vec01093</v>
      </c>
      <c r="F36005" s="0" t="s">
        <v>13338</v>
      </c>
      <c r="H36005" s="0" t="str">
        <f aca="false">HYPERLINK("https://lindat.mff.cuni.cz/services/SynSemClass40/SynSemClass40.html?veclass=vec01304#vec01304-ces-cm00021", "vec01304")</f>
        <v>vec01304</v>
      </c>
      <c r="I36005" s="0" t="s">
        <v>302</v>
      </c>
    </row>
    <row r="36006" customFormat="false" ht="12.8" hidden="false" customHeight="false" outlineLevel="0" collapsed="false">
      <c r="B36006" s="0" t="s">
        <v>1</v>
      </c>
      <c r="C36006" s="0" t="s">
        <v>2707</v>
      </c>
      <c r="E36006" s="0" t="s">
        <v>9113</v>
      </c>
      <c r="F36006" s="0" t="s">
        <v>13339</v>
      </c>
      <c r="H36006" s="0" t="s">
        <v>115</v>
      </c>
      <c r="I36006" s="0" t="s">
        <v>304</v>
      </c>
    </row>
    <row r="36007" customFormat="false" ht="12.8" hidden="false" customHeight="false" outlineLevel="0" collapsed="false">
      <c r="B36007" s="0" t="s">
        <v>8</v>
      </c>
      <c r="C36007" s="0" t="s">
        <v>13340</v>
      </c>
      <c r="E36007" s="0" t="s">
        <v>1347</v>
      </c>
      <c r="F36007" s="0" t="s">
        <v>13341</v>
      </c>
      <c r="H36007" s="0" t="s">
        <v>119</v>
      </c>
      <c r="I36007" s="0" t="s">
        <v>307</v>
      </c>
    </row>
    <row r="36009" customFormat="false" ht="12.8" hidden="false" customHeight="false" outlineLevel="0" collapsed="false">
      <c r="A36009" s="0" t="s">
        <v>13613</v>
      </c>
      <c r="B36009" s="0" t="str">
        <f aca="false">HYPERLINK("https://lindat.mff.cuni.cz/services/teitok/pdtc10/index.php?action=vallex&amp;frame=v-w4924f1", "přepočítat se (v-w4924f1)")</f>
        <v>přepočítat se (v-w4924f1)</v>
      </c>
    </row>
    <row r="36010" customFormat="false" ht="12.8" hidden="false" customHeight="false" outlineLevel="0" collapsed="false">
      <c r="B36010" s="0" t="s">
        <v>1</v>
      </c>
    </row>
    <row r="36012" customFormat="false" ht="12.8" hidden="false" customHeight="false" outlineLevel="0" collapsed="false">
      <c r="A36012" s="0" t="s">
        <v>13614</v>
      </c>
      <c r="B36012" s="0" t="str">
        <f aca="false">HYPERLINK("https://lindat.mff.cuni.cz/services/teitok/pdtc10/index.php?action=vallex&amp;frame=v-w10171f2", "přepočítávat (v-w10171f2)")</f>
        <v>přepočítávat (v-w10171f2)</v>
      </c>
      <c r="E36012" s="0" t="str">
        <f aca="false">HYPERLINK("https://lindat.mff.cuni.cz/services/SynSemClass40/SynSemClass40.html?veclass=vec01093#vec01093-ces-cm00006", "vec01093")</f>
        <v>vec01093</v>
      </c>
      <c r="F36012" s="0" t="s">
        <v>13338</v>
      </c>
    </row>
    <row r="36013" customFormat="false" ht="12.8" hidden="false" customHeight="false" outlineLevel="0" collapsed="false">
      <c r="B36013" s="0" t="s">
        <v>1</v>
      </c>
      <c r="C36013" s="0" t="s">
        <v>9765</v>
      </c>
      <c r="E36013" s="0" t="s">
        <v>9113</v>
      </c>
      <c r="F36013" s="0" t="s">
        <v>13339</v>
      </c>
    </row>
    <row r="36014" customFormat="false" ht="12.8" hidden="false" customHeight="false" outlineLevel="0" collapsed="false">
      <c r="B36014" s="0" t="s">
        <v>59</v>
      </c>
      <c r="C36014" s="0" t="s">
        <v>1437</v>
      </c>
      <c r="E36014" s="0" t="s">
        <v>1347</v>
      </c>
      <c r="F36014" s="0" t="s">
        <v>13341</v>
      </c>
    </row>
    <row r="36016" customFormat="false" ht="12.8" hidden="false" customHeight="false" outlineLevel="0" collapsed="false">
      <c r="A36016" s="0" t="s">
        <v>13615</v>
      </c>
      <c r="B36016" s="0" t="str">
        <f aca="false">HYPERLINK("https://lindat.mff.cuni.cz/services/teitok/pdtc10/index.php?action=vallex&amp;frame=v-w4927f3", "přepracovat (v-w4927f3)")</f>
        <v>přepracovat (v-w4927f3)</v>
      </c>
      <c r="E36016" s="0" t="str">
        <f aca="false">HYPERLINK("https://lindat.mff.cuni.cz/services/SynSemClass40/SynSemClass40.html?veclass=vec00095#vec00095-ces-cm00050", "vec00095")</f>
        <v>vec00095</v>
      </c>
      <c r="F36016" s="0" t="s">
        <v>29</v>
      </c>
      <c r="H36016" s="0" t="str">
        <f aca="false">HYPERLINK("https://lindat.mff.cuni.cz/services/SynSemClass40/SynSemClass40.html?veclass=vec01304#vec01304-ces-cm00022", "vec01304")</f>
        <v>vec01304</v>
      </c>
      <c r="I36016" s="0" t="s">
        <v>302</v>
      </c>
    </row>
    <row r="36017" customFormat="false" ht="12.8" hidden="false" customHeight="false" outlineLevel="0" collapsed="false">
      <c r="B36017" s="0" t="s">
        <v>1</v>
      </c>
      <c r="C36017" s="0" t="s">
        <v>13616</v>
      </c>
      <c r="E36017" s="0" t="s">
        <v>31</v>
      </c>
      <c r="F36017" s="0" t="s">
        <v>32</v>
      </c>
      <c r="H36017" s="0" t="s">
        <v>115</v>
      </c>
      <c r="I36017" s="0" t="s">
        <v>304</v>
      </c>
    </row>
    <row r="36018" customFormat="false" ht="12.8" hidden="false" customHeight="false" outlineLevel="0" collapsed="false">
      <c r="B36018" s="0" t="s">
        <v>8</v>
      </c>
      <c r="C36018" s="0" t="s">
        <v>13617</v>
      </c>
      <c r="E36018" s="0" t="s">
        <v>34</v>
      </c>
      <c r="F36018" s="0" t="s">
        <v>35</v>
      </c>
      <c r="H36018" s="0" t="s">
        <v>119</v>
      </c>
      <c r="I36018" s="0" t="s">
        <v>307</v>
      </c>
    </row>
    <row r="36019" customFormat="false" ht="12.8" hidden="false" customHeight="false" outlineLevel="0" collapsed="false">
      <c r="B36019" s="0" t="s">
        <v>36</v>
      </c>
      <c r="C36019" s="0" t="s">
        <v>37</v>
      </c>
      <c r="E36019" s="0" t="s">
        <v>38</v>
      </c>
      <c r="F36019" s="0" t="s">
        <v>39</v>
      </c>
    </row>
    <row r="36020" customFormat="false" ht="12.8" hidden="false" customHeight="false" outlineLevel="0" collapsed="false">
      <c r="B36020" s="0" t="s">
        <v>101</v>
      </c>
      <c r="C36020" s="0" t="s">
        <v>41</v>
      </c>
      <c r="E36020" s="0" t="s">
        <v>42</v>
      </c>
      <c r="F36020" s="0" t="s">
        <v>43</v>
      </c>
    </row>
    <row r="36022" customFormat="false" ht="12.8" hidden="false" customHeight="false" outlineLevel="0" collapsed="false">
      <c r="A36022" s="0" t="s">
        <v>13615</v>
      </c>
      <c r="B36022" s="0" t="str">
        <f aca="false">HYPERLINK("https://lindat.mff.cuni.cz/services/teitok/pdtc10/index.php?action=vallex&amp;frame=v-w4927f1", "přepracovat (v-w4927f1) - substituted with v-w4927f3")</f>
        <v>přepracovat (v-w4927f1) - substituted with v-w4927f3</v>
      </c>
    </row>
    <row r="36023" customFormat="false" ht="12.8" hidden="false" customHeight="false" outlineLevel="0" collapsed="false">
      <c r="B36023" s="0" t="s">
        <v>1</v>
      </c>
    </row>
    <row r="36024" customFormat="false" ht="12.8" hidden="false" customHeight="false" outlineLevel="0" collapsed="false">
      <c r="B36024" s="0" t="s">
        <v>8</v>
      </c>
    </row>
    <row r="36025" customFormat="false" ht="12.8" hidden="false" customHeight="false" outlineLevel="0" collapsed="false">
      <c r="B36025" s="0" t="s">
        <v>36</v>
      </c>
    </row>
    <row r="36026" customFormat="false" ht="12.8" hidden="false" customHeight="false" outlineLevel="0" collapsed="false">
      <c r="B36026" s="0" t="s">
        <v>101</v>
      </c>
    </row>
    <row r="36028" customFormat="false" ht="12.8" hidden="false" customHeight="false" outlineLevel="0" collapsed="false">
      <c r="A36028" s="0" t="s">
        <v>13618</v>
      </c>
      <c r="B36028" s="0" t="str">
        <f aca="false">HYPERLINK("https://lindat.mff.cuni.cz/services/teitok/pdtc10/index.php?action=vallex&amp;frame=v-w10881f3", "přepracovávat (v-w10881f3)")</f>
        <v>přepracovávat (v-w10881f3)</v>
      </c>
      <c r="E36028" s="0" t="str">
        <f aca="false">HYPERLINK("https://lindat.mff.cuni.cz/services/SynSemClass40/SynSemClass40.html?veclass=vec00095#vec00095-ces-cm00065", "vec00095")</f>
        <v>vec00095</v>
      </c>
      <c r="F36028" s="0" t="s">
        <v>29</v>
      </c>
    </row>
    <row r="36029" customFormat="false" ht="12.8" hidden="false" customHeight="false" outlineLevel="0" collapsed="false">
      <c r="B36029" s="0" t="s">
        <v>1</v>
      </c>
      <c r="C36029" s="0" t="s">
        <v>30</v>
      </c>
      <c r="E36029" s="0" t="s">
        <v>31</v>
      </c>
      <c r="F36029" s="0" t="s">
        <v>32</v>
      </c>
    </row>
    <row r="36030" customFormat="false" ht="12.8" hidden="false" customHeight="false" outlineLevel="0" collapsed="false">
      <c r="B36030" s="0" t="s">
        <v>8</v>
      </c>
      <c r="C36030" s="0" t="s">
        <v>33</v>
      </c>
      <c r="E36030" s="0" t="s">
        <v>34</v>
      </c>
      <c r="F36030" s="0" t="s">
        <v>35</v>
      </c>
    </row>
    <row r="36031" customFormat="false" ht="12.8" hidden="false" customHeight="false" outlineLevel="0" collapsed="false">
      <c r="B36031" s="0" t="s">
        <v>36</v>
      </c>
      <c r="C36031" s="0" t="s">
        <v>37</v>
      </c>
      <c r="E36031" s="0" t="s">
        <v>38</v>
      </c>
      <c r="F36031" s="0" t="s">
        <v>39</v>
      </c>
    </row>
    <row r="36032" customFormat="false" ht="12.8" hidden="false" customHeight="false" outlineLevel="0" collapsed="false">
      <c r="B36032" s="0" t="s">
        <v>101</v>
      </c>
      <c r="C36032" s="0" t="s">
        <v>41</v>
      </c>
      <c r="E36032" s="0" t="s">
        <v>42</v>
      </c>
      <c r="F36032" s="0" t="s">
        <v>43</v>
      </c>
    </row>
    <row r="36034" customFormat="false" ht="12.8" hidden="false" customHeight="false" outlineLevel="0" collapsed="false">
      <c r="A36034" s="0" t="s">
        <v>13619</v>
      </c>
      <c r="B36034" s="0" t="str">
        <f aca="false">HYPERLINK("https://lindat.mff.cuni.cz/services/teitok/pdtc10/index.php?action=vallex&amp;frame=v-w12262_ZUf1_ZU", "přeprat (v-w12262_ZUf1_ZU)")</f>
        <v>přeprat (v-w12262_ZUf1_ZU)</v>
      </c>
    </row>
    <row r="36035" customFormat="false" ht="12.8" hidden="false" customHeight="false" outlineLevel="0" collapsed="false">
      <c r="B36035" s="0" t="s">
        <v>1</v>
      </c>
    </row>
    <row r="36036" customFormat="false" ht="12.8" hidden="false" customHeight="false" outlineLevel="0" collapsed="false">
      <c r="B36036" s="0" t="s">
        <v>8</v>
      </c>
    </row>
    <row r="36038" customFormat="false" ht="12.8" hidden="false" customHeight="false" outlineLevel="0" collapsed="false">
      <c r="A36038" s="0" t="s">
        <v>13620</v>
      </c>
      <c r="B36038" s="0" t="str">
        <f aca="false">HYPERLINK("https://lindat.mff.cuni.cz/services/teitok/pdtc10/index.php?action=vallex&amp;frame=v-w4930f1", "přepravit (v-w4930f1)")</f>
        <v>přepravit (v-w4930f1)</v>
      </c>
      <c r="E36038" s="0" t="str">
        <f aca="false">HYPERLINK("https://lindat.mff.cuni.cz/services/SynSemClass40/SynSemClass40.html?veclass=vec00283#vec00283-ces-cm00087", "vec00283")</f>
        <v>vec00283</v>
      </c>
      <c r="F36038" s="0" t="s">
        <v>8946</v>
      </c>
    </row>
    <row r="36039" customFormat="false" ht="12.8" hidden="false" customHeight="false" outlineLevel="0" collapsed="false">
      <c r="B36039" s="0" t="s">
        <v>1</v>
      </c>
      <c r="C36039" s="0" t="s">
        <v>7911</v>
      </c>
      <c r="E36039" s="0" t="s">
        <v>2196</v>
      </c>
      <c r="F36039" s="0" t="s">
        <v>8947</v>
      </c>
    </row>
    <row r="36040" customFormat="false" ht="12.8" hidden="false" customHeight="false" outlineLevel="0" collapsed="false">
      <c r="B36040" s="0" t="s">
        <v>8</v>
      </c>
      <c r="C36040" s="0" t="s">
        <v>8948</v>
      </c>
      <c r="E36040" s="0" t="s">
        <v>2200</v>
      </c>
      <c r="F36040" s="0" t="s">
        <v>8949</v>
      </c>
    </row>
    <row r="36041" customFormat="false" ht="12.8" hidden="false" customHeight="false" outlineLevel="0" collapsed="false">
      <c r="B36041" s="0" t="s">
        <v>631</v>
      </c>
      <c r="E36041" s="0" t="s">
        <v>4096</v>
      </c>
      <c r="F36041" s="0" t="s">
        <v>4097</v>
      </c>
    </row>
    <row r="36042" customFormat="false" ht="12.8" hidden="false" customHeight="false" outlineLevel="0" collapsed="false">
      <c r="B36042" s="0" t="s">
        <v>164</v>
      </c>
      <c r="C36042" s="0" t="s">
        <v>11520</v>
      </c>
      <c r="E36042" s="0" t="s">
        <v>388</v>
      </c>
      <c r="F36042" s="0" t="s">
        <v>11521</v>
      </c>
    </row>
    <row r="36044" customFormat="false" ht="12.8" hidden="false" customHeight="false" outlineLevel="0" collapsed="false">
      <c r="A36044" s="0" t="s">
        <v>13621</v>
      </c>
      <c r="B36044" s="0" t="str">
        <f aca="false">HYPERLINK("https://lindat.mff.cuni.cz/services/teitok/pdtc10/index.php?action=vallex&amp;frame=v-w4931f1", "přepravovat (v-w4931f1)")</f>
        <v>přepravovat (v-w4931f1)</v>
      </c>
      <c r="E36044" s="0" t="str">
        <f aca="false">HYPERLINK("https://lindat.mff.cuni.cz/services/SynSemClass40/SynSemClass40.html?veclass=vec00283#vec00283-ces-cm00017", "vec00283")</f>
        <v>vec00283</v>
      </c>
      <c r="F36044" s="0" t="s">
        <v>8946</v>
      </c>
    </row>
    <row r="36045" customFormat="false" ht="12.8" hidden="false" customHeight="false" outlineLevel="0" collapsed="false">
      <c r="B36045" s="0" t="s">
        <v>1</v>
      </c>
      <c r="C36045" s="0" t="s">
        <v>7911</v>
      </c>
      <c r="E36045" s="0" t="s">
        <v>2196</v>
      </c>
      <c r="F36045" s="0" t="s">
        <v>8947</v>
      </c>
    </row>
    <row r="36046" customFormat="false" ht="12.8" hidden="false" customHeight="false" outlineLevel="0" collapsed="false">
      <c r="B36046" s="0" t="s">
        <v>8</v>
      </c>
      <c r="C36046" s="0" t="s">
        <v>8948</v>
      </c>
      <c r="E36046" s="0" t="s">
        <v>2200</v>
      </c>
      <c r="F36046" s="0" t="s">
        <v>8949</v>
      </c>
    </row>
    <row r="36047" customFormat="false" ht="12.8" hidden="false" customHeight="false" outlineLevel="0" collapsed="false">
      <c r="B36047" s="0" t="s">
        <v>631</v>
      </c>
      <c r="E36047" s="0" t="s">
        <v>4096</v>
      </c>
      <c r="F36047" s="0" t="s">
        <v>4097</v>
      </c>
    </row>
    <row r="36048" customFormat="false" ht="12.8" hidden="false" customHeight="false" outlineLevel="0" collapsed="false">
      <c r="B36048" s="0" t="s">
        <v>164</v>
      </c>
      <c r="C36048" s="0" t="s">
        <v>11520</v>
      </c>
      <c r="E36048" s="0" t="s">
        <v>388</v>
      </c>
      <c r="F36048" s="0" t="s">
        <v>11521</v>
      </c>
    </row>
    <row r="36050" customFormat="false" ht="12.8" hidden="false" customHeight="false" outlineLevel="0" collapsed="false">
      <c r="A36050" s="0" t="s">
        <v>13622</v>
      </c>
      <c r="B36050" s="0" t="str">
        <f aca="false">HYPERLINK("https://lindat.mff.cuni.cz/services/teitok/pdtc10/index.php?action=vallex&amp;frame=v-w4933f1", "přepsat (v-w4933f1)")</f>
        <v>přepsat (v-w4933f1)</v>
      </c>
    </row>
    <row r="36051" customFormat="false" ht="12.8" hidden="false" customHeight="false" outlineLevel="0" collapsed="false">
      <c r="B36051" s="0" t="s">
        <v>1</v>
      </c>
    </row>
    <row r="36052" customFormat="false" ht="12.8" hidden="false" customHeight="false" outlineLevel="0" collapsed="false">
      <c r="B36052" s="0" t="s">
        <v>8</v>
      </c>
    </row>
    <row r="36053" customFormat="false" ht="12.8" hidden="false" customHeight="false" outlineLevel="0" collapsed="false">
      <c r="B36053" s="0" t="s">
        <v>7600</v>
      </c>
    </row>
    <row r="36054" customFormat="false" ht="12.8" hidden="false" customHeight="false" outlineLevel="0" collapsed="false">
      <c r="B36054" s="0" t="s">
        <v>3889</v>
      </c>
    </row>
    <row r="36056" customFormat="false" ht="12.8" hidden="false" customHeight="false" outlineLevel="0" collapsed="false">
      <c r="A36056" s="0" t="s">
        <v>13623</v>
      </c>
      <c r="B36056" s="0" t="str">
        <f aca="false">HYPERLINK("https://lindat.mff.cuni.cz/services/teitok/pdtc10/index.php?action=vallex&amp;frame=v-w4933f2_ZU", "přepsat (v-w4933f2_ZU)")</f>
        <v>přepsat (v-w4933f2_ZU)</v>
      </c>
      <c r="E36056" s="0" t="str">
        <f aca="false">HYPERLINK("https://lindat.mff.cuni.cz/services/SynSemClass40/SynSemClass40.html?veclass=vec00095#vec00095-ces-cm00087", "vec00095")</f>
        <v>vec00095</v>
      </c>
      <c r="F36056" s="0" t="s">
        <v>29</v>
      </c>
    </row>
    <row r="36057" customFormat="false" ht="12.8" hidden="false" customHeight="false" outlineLevel="0" collapsed="false">
      <c r="B36057" s="0" t="s">
        <v>1</v>
      </c>
      <c r="C36057" s="0" t="s">
        <v>30</v>
      </c>
      <c r="E36057" s="0" t="s">
        <v>31</v>
      </c>
      <c r="F36057" s="0" t="s">
        <v>32</v>
      </c>
    </row>
    <row r="36058" customFormat="false" ht="12.8" hidden="false" customHeight="false" outlineLevel="0" collapsed="false">
      <c r="B36058" s="0" t="s">
        <v>8</v>
      </c>
      <c r="C36058" s="0" t="s">
        <v>33</v>
      </c>
      <c r="E36058" s="0" t="s">
        <v>34</v>
      </c>
      <c r="F36058" s="0" t="s">
        <v>35</v>
      </c>
    </row>
    <row r="36059" customFormat="false" ht="12.8" hidden="false" customHeight="false" outlineLevel="0" collapsed="false">
      <c r="B36059" s="0" t="s">
        <v>36</v>
      </c>
      <c r="C36059" s="0" t="s">
        <v>37</v>
      </c>
      <c r="E36059" s="0" t="s">
        <v>38</v>
      </c>
      <c r="F36059" s="0" t="s">
        <v>39</v>
      </c>
    </row>
    <row r="36060" customFormat="false" ht="12.8" hidden="false" customHeight="false" outlineLevel="0" collapsed="false">
      <c r="B36060" s="0" t="s">
        <v>101</v>
      </c>
      <c r="C36060" s="0" t="s">
        <v>41</v>
      </c>
      <c r="E36060" s="0" t="s">
        <v>42</v>
      </c>
      <c r="F36060" s="0" t="s">
        <v>43</v>
      </c>
    </row>
    <row r="36062" customFormat="false" ht="12.8" hidden="false" customHeight="false" outlineLevel="0" collapsed="false">
      <c r="A36062" s="0" t="s">
        <v>13624</v>
      </c>
      <c r="B36062" s="0" t="str">
        <f aca="false">HYPERLINK("https://lindat.mff.cuni.cz/services/teitok/pdtc10/index.php?action=vallex&amp;frame=v-w4934f1", "přepustit (v-w4934f1)")</f>
        <v>přepustit (v-w4934f1)</v>
      </c>
    </row>
    <row r="36063" customFormat="false" ht="12.8" hidden="false" customHeight="false" outlineLevel="0" collapsed="false">
      <c r="B36063" s="0" t="s">
        <v>1</v>
      </c>
    </row>
    <row r="36064" customFormat="false" ht="12.8" hidden="false" customHeight="false" outlineLevel="0" collapsed="false">
      <c r="B36064" s="0" t="s">
        <v>8</v>
      </c>
    </row>
    <row r="36065" customFormat="false" ht="12.8" hidden="false" customHeight="false" outlineLevel="0" collapsed="false">
      <c r="B36065" s="0" t="s">
        <v>52</v>
      </c>
    </row>
    <row r="36067" customFormat="false" ht="12.8" hidden="false" customHeight="false" outlineLevel="0" collapsed="false">
      <c r="A36067" s="0" t="s">
        <v>13625</v>
      </c>
      <c r="B36067" s="0" t="str">
        <f aca="false">HYPERLINK("https://lindat.mff.cuni.cz/services/teitok/pdtc10/index.php?action=vallex&amp;frame=v-w4914f1", "přepínat (v-w4914f1)")</f>
        <v>přepínat (v-w4914f1)</v>
      </c>
    </row>
    <row r="36068" customFormat="false" ht="12.8" hidden="false" customHeight="false" outlineLevel="0" collapsed="false">
      <c r="B36068" s="0" t="s">
        <v>1</v>
      </c>
    </row>
    <row r="36069" customFormat="false" ht="12.8" hidden="false" customHeight="false" outlineLevel="0" collapsed="false">
      <c r="B36069" s="0" t="s">
        <v>8</v>
      </c>
    </row>
    <row r="36070" customFormat="false" ht="12.8" hidden="false" customHeight="false" outlineLevel="0" collapsed="false">
      <c r="B36070" s="0" t="s">
        <v>631</v>
      </c>
    </row>
    <row r="36071" customFormat="false" ht="12.8" hidden="false" customHeight="false" outlineLevel="0" collapsed="false">
      <c r="B36071" s="0" t="s">
        <v>164</v>
      </c>
    </row>
    <row r="36073" customFormat="false" ht="12.8" hidden="false" customHeight="false" outlineLevel="0" collapsed="false">
      <c r="A36073" s="0" t="s">
        <v>13626</v>
      </c>
      <c r="B36073" s="0" t="str">
        <f aca="false">HYPERLINK("https://lindat.mff.cuni.cz/services/teitok/pdtc10/index.php?action=vallex&amp;frame=v-w4935f1", "přerazit (v-w4935f1)")</f>
        <v>přerazit (v-w4935f1)</v>
      </c>
      <c r="E36073" s="0" t="str">
        <f aca="false">HYPERLINK("https://lindat.mff.cuni.cz/services/SynSemClass40/SynSemClass40.html?veclass=vec00903#vec00903-ces-cm00020", "vec00903")</f>
        <v>vec00903</v>
      </c>
      <c r="F36073" s="0" t="s">
        <v>8059</v>
      </c>
    </row>
    <row r="36074" customFormat="false" ht="12.8" hidden="false" customHeight="false" outlineLevel="0" collapsed="false">
      <c r="B36074" s="0" t="s">
        <v>1</v>
      </c>
      <c r="C36074" s="0" t="s">
        <v>3241</v>
      </c>
      <c r="E36074" s="0" t="s">
        <v>1890</v>
      </c>
      <c r="F36074" s="0" t="s">
        <v>8061</v>
      </c>
    </row>
    <row r="36075" customFormat="false" ht="12.8" hidden="false" customHeight="false" outlineLevel="0" collapsed="false">
      <c r="B36075" s="0" t="s">
        <v>8</v>
      </c>
      <c r="C36075" s="0" t="s">
        <v>4776</v>
      </c>
      <c r="E36075" s="0" t="s">
        <v>1893</v>
      </c>
      <c r="F36075" s="0" t="s">
        <v>8063</v>
      </c>
    </row>
    <row r="36076" customFormat="false" ht="12.8" hidden="false" customHeight="false" outlineLevel="0" collapsed="false">
      <c r="B36076" s="0" t="s">
        <v>3211</v>
      </c>
      <c r="C36076" s="0" t="s">
        <v>13627</v>
      </c>
      <c r="E36076" s="0" t="s">
        <v>2584</v>
      </c>
      <c r="F36076" s="0" t="s">
        <v>8065</v>
      </c>
    </row>
    <row r="36078" customFormat="false" ht="12.8" hidden="false" customHeight="false" outlineLevel="0" collapsed="false">
      <c r="A36078" s="0" t="s">
        <v>13628</v>
      </c>
      <c r="B36078" s="0" t="str">
        <f aca="false">HYPERLINK("https://lindat.mff.cuni.cz/services/teitok/pdtc10/index.php?action=vallex&amp;frame=v-w10228f2", "přerazítkovat (v-w10228f2)")</f>
        <v>přerazítkovat (v-w10228f2)</v>
      </c>
    </row>
    <row r="36079" customFormat="false" ht="12.8" hidden="false" customHeight="false" outlineLevel="0" collapsed="false">
      <c r="B36079" s="0" t="s">
        <v>1</v>
      </c>
    </row>
    <row r="36080" customFormat="false" ht="12.8" hidden="false" customHeight="false" outlineLevel="0" collapsed="false">
      <c r="B36080" s="0" t="s">
        <v>8</v>
      </c>
    </row>
    <row r="36081" customFormat="false" ht="12.8" hidden="false" customHeight="false" outlineLevel="0" collapsed="false">
      <c r="B36081" s="0" t="s">
        <v>36</v>
      </c>
    </row>
    <row r="36082" customFormat="false" ht="12.8" hidden="false" customHeight="false" outlineLevel="0" collapsed="false">
      <c r="B36082" s="0" t="s">
        <v>101</v>
      </c>
    </row>
    <row r="36084" customFormat="false" ht="12.8" hidden="false" customHeight="false" outlineLevel="0" collapsed="false">
      <c r="A36084" s="0" t="s">
        <v>13629</v>
      </c>
      <c r="B36084" s="0" t="str">
        <f aca="false">HYPERLINK("https://lindat.mff.cuni.cz/services/teitok/pdtc10/index.php?action=vallex&amp;frame=v-w4937f2", "přeregistrovat (v-w4937f2)")</f>
        <v>přeregistrovat (v-w4937f2)</v>
      </c>
    </row>
    <row r="36085" customFormat="false" ht="12.8" hidden="false" customHeight="false" outlineLevel="0" collapsed="false">
      <c r="B36085" s="0" t="s">
        <v>1</v>
      </c>
    </row>
    <row r="36086" customFormat="false" ht="12.8" hidden="false" customHeight="false" outlineLevel="0" collapsed="false">
      <c r="B36086" s="0" t="s">
        <v>8</v>
      </c>
    </row>
    <row r="36087" customFormat="false" ht="12.8" hidden="false" customHeight="false" outlineLevel="0" collapsed="false">
      <c r="B36087" s="0" t="s">
        <v>4688</v>
      </c>
    </row>
    <row r="36088" customFormat="false" ht="12.8" hidden="false" customHeight="false" outlineLevel="0" collapsed="false">
      <c r="B36088" s="0" t="s">
        <v>36</v>
      </c>
    </row>
    <row r="36090" customFormat="false" ht="12.8" hidden="false" customHeight="false" outlineLevel="0" collapsed="false">
      <c r="A36090" s="0" t="s">
        <v>13630</v>
      </c>
      <c r="B36090" s="0" t="str">
        <f aca="false">HYPERLINK("https://lindat.mff.cuni.cz/services/teitok/pdtc10/index.php?action=vallex&amp;frame=v-w4937f1", "přeregistrovat (v-w4937f1)")</f>
        <v>přeregistrovat (v-w4937f1)</v>
      </c>
    </row>
    <row r="36091" customFormat="false" ht="12.8" hidden="false" customHeight="false" outlineLevel="0" collapsed="false">
      <c r="B36091" s="0" t="s">
        <v>1</v>
      </c>
    </row>
    <row r="36092" customFormat="false" ht="12.8" hidden="false" customHeight="false" outlineLevel="0" collapsed="false">
      <c r="B36092" s="0" t="s">
        <v>8</v>
      </c>
    </row>
    <row r="36094" customFormat="false" ht="12.8" hidden="false" customHeight="false" outlineLevel="0" collapsed="false">
      <c r="A36094" s="0" t="s">
        <v>13631</v>
      </c>
      <c r="B36094" s="0" t="str">
        <f aca="false">HYPERLINK("https://lindat.mff.cuni.cz/services/teitok/pdtc10/index.php?action=vallex&amp;frame=v-w4938f1", "přeregistrovávat (v-w4938f1)")</f>
        <v>přeregistrovávat (v-w4938f1)</v>
      </c>
    </row>
    <row r="36095" customFormat="false" ht="12.8" hidden="false" customHeight="false" outlineLevel="0" collapsed="false">
      <c r="B36095" s="0" t="s">
        <v>1</v>
      </c>
    </row>
    <row r="36096" customFormat="false" ht="12.8" hidden="false" customHeight="false" outlineLevel="0" collapsed="false">
      <c r="B36096" s="0" t="s">
        <v>8</v>
      </c>
    </row>
    <row r="36098" customFormat="false" ht="12.8" hidden="false" customHeight="false" outlineLevel="0" collapsed="false">
      <c r="A36098" s="0" t="s">
        <v>13632</v>
      </c>
      <c r="B36098" s="0" t="str">
        <f aca="false">HYPERLINK("https://lindat.mff.cuni.cz/services/teitok/pdtc10/index.php?action=vallex&amp;frame=v-w4941f1", "přerozdělit (v-w4941f1)")</f>
        <v>přerozdělit (v-w4941f1)</v>
      </c>
      <c r="E36098" s="0" t="str">
        <f aca="false">HYPERLINK("https://lindat.mff.cuni.cz/services/SynSemClass40/SynSemClass40.html?veclass=vec00694#vec00694-ces-cm00001", "vec00694")</f>
        <v>vec00694</v>
      </c>
      <c r="F36098" s="0" t="s">
        <v>1862</v>
      </c>
    </row>
    <row r="36099" customFormat="false" ht="12.8" hidden="false" customHeight="false" outlineLevel="0" collapsed="false">
      <c r="B36099" s="0" t="s">
        <v>1</v>
      </c>
      <c r="C36099" s="0" t="s">
        <v>13633</v>
      </c>
      <c r="E36099" s="0" t="s">
        <v>1866</v>
      </c>
      <c r="F36099" s="0" t="s">
        <v>1867</v>
      </c>
    </row>
    <row r="36100" customFormat="false" ht="12.8" hidden="false" customHeight="false" outlineLevel="0" collapsed="false">
      <c r="B36100" s="0" t="s">
        <v>8</v>
      </c>
      <c r="C36100" s="0" t="s">
        <v>22</v>
      </c>
      <c r="E36100" s="0" t="s">
        <v>1873</v>
      </c>
      <c r="F36100" s="0" t="s">
        <v>1874</v>
      </c>
    </row>
    <row r="36101" customFormat="false" ht="12.8" hidden="false" customHeight="false" outlineLevel="0" collapsed="false">
      <c r="B36101" s="0" t="s">
        <v>2045</v>
      </c>
      <c r="C36101" s="0" t="s">
        <v>1902</v>
      </c>
      <c r="E36101" s="0" t="s">
        <v>53</v>
      </c>
      <c r="F36101" s="0" t="s">
        <v>1879</v>
      </c>
    </row>
    <row r="36103" customFormat="false" ht="12.8" hidden="false" customHeight="false" outlineLevel="0" collapsed="false">
      <c r="A36103" s="0" t="s">
        <v>13634</v>
      </c>
      <c r="B36103" s="0" t="str">
        <f aca="false">HYPERLINK("https://lindat.mff.cuni.cz/services/teitok/pdtc10/index.php?action=vallex&amp;frame=v-w4943f1", "přerozdělovat (v-w4943f1)")</f>
        <v>přerozdělovat (v-w4943f1)</v>
      </c>
      <c r="E36103" s="0" t="str">
        <f aca="false">HYPERLINK("https://lindat.mff.cuni.cz/services/SynSemClass40/SynSemClass40.html?veclass=vec00694#vec00694-ces-cm00038", "vec00694")</f>
        <v>vec00694</v>
      </c>
      <c r="F36103" s="0" t="s">
        <v>1862</v>
      </c>
    </row>
    <row r="36104" customFormat="false" ht="12.8" hidden="false" customHeight="false" outlineLevel="0" collapsed="false">
      <c r="B36104" s="0" t="s">
        <v>1</v>
      </c>
      <c r="C36104" s="0" t="s">
        <v>13633</v>
      </c>
      <c r="E36104" s="0" t="s">
        <v>1866</v>
      </c>
      <c r="F36104" s="0" t="s">
        <v>1867</v>
      </c>
    </row>
    <row r="36105" customFormat="false" ht="12.8" hidden="false" customHeight="false" outlineLevel="0" collapsed="false">
      <c r="B36105" s="0" t="s">
        <v>8</v>
      </c>
      <c r="C36105" s="0" t="s">
        <v>22</v>
      </c>
      <c r="E36105" s="0" t="s">
        <v>1873</v>
      </c>
      <c r="F36105" s="0" t="s">
        <v>1874</v>
      </c>
    </row>
    <row r="36106" customFormat="false" ht="12.8" hidden="false" customHeight="false" outlineLevel="0" collapsed="false">
      <c r="B36106" s="0" t="s">
        <v>2045</v>
      </c>
      <c r="C36106" s="0" t="s">
        <v>1902</v>
      </c>
      <c r="E36106" s="0" t="s">
        <v>53</v>
      </c>
      <c r="F36106" s="0" t="s">
        <v>1879</v>
      </c>
    </row>
    <row r="36108" customFormat="false" ht="12.8" hidden="false" customHeight="false" outlineLevel="0" collapsed="false">
      <c r="A36108" s="0" t="s">
        <v>13635</v>
      </c>
      <c r="B36108" s="0" t="str">
        <f aca="false">HYPERLINK("https://lindat.mff.cuni.cz/services/teitok/pdtc10/index.php?action=vallex&amp;frame=v-w4948f1", "přerušit (v-w4948f1)")</f>
        <v>přerušit (v-w4948f1)</v>
      </c>
      <c r="E36108" s="0" t="str">
        <f aca="false">HYPERLINK("https://lindat.mff.cuni.cz/services/SynSemClass40/SynSemClass40.html?veclass=vec01375#vec01375-ces-cm00007", "vec01375")</f>
        <v>vec01375</v>
      </c>
      <c r="F36108" s="0" t="s">
        <v>11914</v>
      </c>
    </row>
    <row r="36109" customFormat="false" ht="12.8" hidden="false" customHeight="false" outlineLevel="0" collapsed="false">
      <c r="B36109" s="0" t="s">
        <v>1</v>
      </c>
      <c r="C36109" s="0" t="s">
        <v>13636</v>
      </c>
      <c r="E36109" s="0" t="s">
        <v>206</v>
      </c>
      <c r="F36109" s="0" t="s">
        <v>11916</v>
      </c>
    </row>
    <row r="36110" customFormat="false" ht="12.8" hidden="false" customHeight="false" outlineLevel="0" collapsed="false">
      <c r="B36110" s="0" t="s">
        <v>8</v>
      </c>
      <c r="C36110" s="0" t="s">
        <v>13637</v>
      </c>
      <c r="E36110" s="0" t="s">
        <v>7315</v>
      </c>
      <c r="F36110" s="0" t="s">
        <v>11918</v>
      </c>
    </row>
    <row r="36112" customFormat="false" ht="12.8" hidden="false" customHeight="false" outlineLevel="0" collapsed="false">
      <c r="A36112" s="0" t="s">
        <v>13638</v>
      </c>
      <c r="B36112" s="0" t="str">
        <f aca="false">HYPERLINK("https://lindat.mff.cuni.cz/services/teitok/pdtc10/index.php?action=vallex&amp;frame=v-w4948f3_ZU", "přerušit (v-w4948f3_ZU)")</f>
        <v>přerušit (v-w4948f3_ZU)</v>
      </c>
    </row>
    <row r="36113" customFormat="false" ht="12.8" hidden="false" customHeight="false" outlineLevel="0" collapsed="false">
      <c r="B36113" s="0" t="s">
        <v>1</v>
      </c>
    </row>
    <row r="36114" customFormat="false" ht="12.8" hidden="false" customHeight="false" outlineLevel="0" collapsed="false">
      <c r="B36114" s="0" t="s">
        <v>8</v>
      </c>
    </row>
    <row r="36116" customFormat="false" ht="12.8" hidden="false" customHeight="false" outlineLevel="0" collapsed="false">
      <c r="A36116" s="0" t="s">
        <v>13638</v>
      </c>
      <c r="B36116" s="0" t="str">
        <f aca="false">HYPERLINK("https://lindat.mff.cuni.cz/services/teitok/pdtc10/index.php?action=vallex&amp;frame=v-w4948f2_ZU", "přerušit (v-w4948f2_ZU) - substituted with v-w4948f3_ZU")</f>
        <v>přerušit (v-w4948f2_ZU) - substituted with v-w4948f3_ZU</v>
      </c>
      <c r="E36116" s="0" t="str">
        <f aca="false">HYPERLINK("https://lindat.mff.cuni.cz/services/SynSemClass40/SynSemClass40.html?veclass=vec00198#vec00198-ces-cm00186", "vec00198")</f>
        <v>vec00198</v>
      </c>
      <c r="F36116" s="0" t="s">
        <v>134</v>
      </c>
    </row>
    <row r="36117" customFormat="false" ht="12.8" hidden="false" customHeight="false" outlineLevel="0" collapsed="false">
      <c r="B36117" s="0" t="s">
        <v>1</v>
      </c>
      <c r="C36117" s="0" t="s">
        <v>8126</v>
      </c>
      <c r="E36117" s="0" t="s">
        <v>31</v>
      </c>
      <c r="F36117" s="0" t="s">
        <v>137</v>
      </c>
    </row>
    <row r="36118" customFormat="false" ht="12.8" hidden="false" customHeight="false" outlineLevel="0" collapsed="false">
      <c r="B36118" s="0" t="s">
        <v>8</v>
      </c>
      <c r="C36118" s="0" t="s">
        <v>8127</v>
      </c>
      <c r="E36118" s="0" t="s">
        <v>140</v>
      </c>
      <c r="F36118" s="0" t="s">
        <v>141</v>
      </c>
    </row>
    <row r="36120" customFormat="false" ht="12.8" hidden="false" customHeight="false" outlineLevel="0" collapsed="false">
      <c r="A36120" s="0" t="s">
        <v>13639</v>
      </c>
      <c r="B36120" s="0" t="str">
        <f aca="false">HYPERLINK("https://lindat.mff.cuni.cz/services/teitok/pdtc10/index.php?action=vallex&amp;frame=v-w4948hsa_119", "přerušit (v-w4948hsa_119)")</f>
        <v>přerušit (v-w4948hsa_119)</v>
      </c>
      <c r="E36120" s="0" t="str">
        <f aca="false">HYPERLINK("https://lindat.mff.cuni.cz/services/SynSemClass40/SynSemClass40.html?veclass=vec01286#vec01286-ces-cm00002", "vec01286")</f>
        <v>vec01286</v>
      </c>
      <c r="F36120" s="0" t="s">
        <v>13640</v>
      </c>
    </row>
    <row r="36121" customFormat="false" ht="12.8" hidden="false" customHeight="false" outlineLevel="0" collapsed="false">
      <c r="B36121" s="0" t="s">
        <v>1</v>
      </c>
      <c r="C36121" s="0" t="s">
        <v>459</v>
      </c>
      <c r="E36121" s="0" t="s">
        <v>1890</v>
      </c>
      <c r="F36121" s="0" t="s">
        <v>13641</v>
      </c>
    </row>
    <row r="36122" customFormat="false" ht="12.8" hidden="false" customHeight="false" outlineLevel="0" collapsed="false">
      <c r="B36122" s="0" t="s">
        <v>8</v>
      </c>
      <c r="C36122" s="0" t="s">
        <v>1940</v>
      </c>
      <c r="E36122" s="0" t="s">
        <v>5279</v>
      </c>
      <c r="F36122" s="0" t="s">
        <v>13642</v>
      </c>
    </row>
    <row r="36124" customFormat="false" ht="12.8" hidden="false" customHeight="false" outlineLevel="0" collapsed="false">
      <c r="A36124" s="0" t="s">
        <v>13643</v>
      </c>
      <c r="B36124" s="0" t="str">
        <f aca="false">HYPERLINK("https://lindat.mff.cuni.cz/services/teitok/pdtc10/index.php?action=vallex&amp;frame=v-w4948hsa_1192", "přerušit (v-w4948hsa_1192)")</f>
        <v>přerušit (v-w4948hsa_1192)</v>
      </c>
    </row>
    <row r="36125" customFormat="false" ht="12.8" hidden="false" customHeight="false" outlineLevel="0" collapsed="false">
      <c r="B36125" s="0" t="s">
        <v>1</v>
      </c>
    </row>
    <row r="36126" customFormat="false" ht="12.8" hidden="false" customHeight="false" outlineLevel="0" collapsed="false">
      <c r="B36126" s="0" t="s">
        <v>8</v>
      </c>
    </row>
    <row r="36128" customFormat="false" ht="12.8" hidden="false" customHeight="false" outlineLevel="0" collapsed="false">
      <c r="A36128" s="0" t="s">
        <v>13644</v>
      </c>
      <c r="B36128" s="0" t="str">
        <f aca="false">HYPERLINK("https://lindat.mff.cuni.cz/services/teitok/pdtc10/index.php?action=vallex&amp;frame=v-w10819f2", "přerušovat (v-w10819f2)")</f>
        <v>přerušovat (v-w10819f2)</v>
      </c>
      <c r="E36128" s="0" t="str">
        <f aca="false">HYPERLINK("https://lindat.mff.cuni.cz/services/SynSemClass40/SynSemClass40.html?veclass=vec00198#vec00198-ces-cm00188", "vec00198")</f>
        <v>vec00198</v>
      </c>
      <c r="F36128" s="0" t="s">
        <v>134</v>
      </c>
    </row>
    <row r="36129" customFormat="false" ht="12.8" hidden="false" customHeight="false" outlineLevel="0" collapsed="false">
      <c r="B36129" s="0" t="s">
        <v>1</v>
      </c>
      <c r="C36129" s="0" t="s">
        <v>8126</v>
      </c>
      <c r="E36129" s="0" t="s">
        <v>31</v>
      </c>
      <c r="F36129" s="0" t="s">
        <v>137</v>
      </c>
    </row>
    <row r="36130" customFormat="false" ht="12.8" hidden="false" customHeight="false" outlineLevel="0" collapsed="false">
      <c r="B36130" s="0" t="s">
        <v>8</v>
      </c>
      <c r="C36130" s="0" t="s">
        <v>8127</v>
      </c>
      <c r="E36130" s="0" t="s">
        <v>140</v>
      </c>
      <c r="F36130" s="0" t="s">
        <v>141</v>
      </c>
    </row>
    <row r="36132" customFormat="false" ht="12.8" hidden="false" customHeight="false" outlineLevel="0" collapsed="false">
      <c r="A36132" s="0" t="s">
        <v>13645</v>
      </c>
      <c r="B36132" s="0" t="str">
        <f aca="false">HYPERLINK("https://lindat.mff.cuni.cz/services/teitok/pdtc10/index.php?action=vallex&amp;frame=v-w10819f3_ZU", "přerušovat (v-w10819f3_ZU)")</f>
        <v>přerušovat (v-w10819f3_ZU)</v>
      </c>
    </row>
    <row r="36133" customFormat="false" ht="12.8" hidden="false" customHeight="false" outlineLevel="0" collapsed="false">
      <c r="B36133" s="0" t="s">
        <v>1</v>
      </c>
    </row>
    <row r="36134" customFormat="false" ht="12.8" hidden="false" customHeight="false" outlineLevel="0" collapsed="false">
      <c r="B36134" s="0" t="s">
        <v>8</v>
      </c>
    </row>
    <row r="36136" customFormat="false" ht="12.8" hidden="false" customHeight="false" outlineLevel="0" collapsed="false">
      <c r="A36136" s="0" t="s">
        <v>13645</v>
      </c>
      <c r="B36136" s="0" t="str">
        <f aca="false">HYPERLINK("https://lindat.mff.cuni.cz/services/teitok/pdtc10/index.php?action=vallex&amp;frame=v-w10819hsa_101", "přerušovat (v-w10819hsa_101) - substituted with v-w10819f3_ZU")</f>
        <v>přerušovat (v-w10819hsa_101) - substituted with v-w10819f3_ZU</v>
      </c>
    </row>
    <row r="36137" customFormat="false" ht="12.8" hidden="false" customHeight="false" outlineLevel="0" collapsed="false">
      <c r="B36137" s="0" t="s">
        <v>1</v>
      </c>
    </row>
    <row r="36138" customFormat="false" ht="12.8" hidden="false" customHeight="false" outlineLevel="0" collapsed="false">
      <c r="B36138" s="0" t="s">
        <v>8</v>
      </c>
    </row>
    <row r="36140" customFormat="false" ht="12.8" hidden="false" customHeight="false" outlineLevel="0" collapsed="false">
      <c r="A36140" s="0" t="s">
        <v>13646</v>
      </c>
      <c r="B36140" s="0" t="str">
        <f aca="false">HYPERLINK("https://lindat.mff.cuni.cz/services/teitok/pdtc10/index.php?action=vallex&amp;frame=v-w4950f1", "přervat (v-w4950f1)")</f>
        <v>přervat (v-w4950f1)</v>
      </c>
    </row>
    <row r="36141" customFormat="false" ht="12.8" hidden="false" customHeight="false" outlineLevel="0" collapsed="false">
      <c r="B36141" s="0" t="s">
        <v>1</v>
      </c>
    </row>
    <row r="36142" customFormat="false" ht="12.8" hidden="false" customHeight="false" outlineLevel="0" collapsed="false">
      <c r="B36142" s="0" t="s">
        <v>8</v>
      </c>
    </row>
    <row r="36144" customFormat="false" ht="12.8" hidden="false" customHeight="false" outlineLevel="0" collapsed="false">
      <c r="A36144" s="0" t="s">
        <v>13647</v>
      </c>
      <c r="B36144" s="0" t="str">
        <f aca="false">HYPERLINK("https://lindat.mff.cuni.cz/services/teitok/pdtc10/index.php?action=vallex&amp;frame=v-w4944f2", "přerůst (v-w4944f2)")</f>
        <v>přerůst (v-w4944f2)</v>
      </c>
    </row>
    <row r="36145" customFormat="false" ht="12.8" hidden="false" customHeight="false" outlineLevel="0" collapsed="false">
      <c r="B36145" s="0" t="s">
        <v>1</v>
      </c>
    </row>
    <row r="36146" customFormat="false" ht="12.8" hidden="false" customHeight="false" outlineLevel="0" collapsed="false">
      <c r="B36146" s="0" t="s">
        <v>13648</v>
      </c>
    </row>
    <row r="36148" customFormat="false" ht="12.8" hidden="false" customHeight="false" outlineLevel="0" collapsed="false">
      <c r="A36148" s="0" t="s">
        <v>13649</v>
      </c>
      <c r="B36148" s="0" t="str">
        <f aca="false">HYPERLINK("https://lindat.mff.cuni.cz/services/teitok/pdtc10/index.php?action=vallex&amp;frame=v-w4944f1", "přerůst (v-w4944f1)")</f>
        <v>přerůst (v-w4944f1)</v>
      </c>
    </row>
    <row r="36149" customFormat="false" ht="12.8" hidden="false" customHeight="false" outlineLevel="0" collapsed="false">
      <c r="B36149" s="0" t="s">
        <v>1</v>
      </c>
    </row>
    <row r="36150" customFormat="false" ht="12.8" hidden="false" customHeight="false" outlineLevel="0" collapsed="false">
      <c r="B36150" s="0" t="s">
        <v>2769</v>
      </c>
    </row>
    <row r="36152" customFormat="false" ht="12.8" hidden="false" customHeight="false" outlineLevel="0" collapsed="false">
      <c r="A36152" s="0" t="s">
        <v>13650</v>
      </c>
      <c r="B36152" s="0" t="str">
        <f aca="false">HYPERLINK("https://lindat.mff.cuni.cz/services/teitok/pdtc10/index.php?action=vallex&amp;frame=v-w4944f3", "přerůst (v-w4944f3)")</f>
        <v>přerůst (v-w4944f3)</v>
      </c>
    </row>
    <row r="36153" customFormat="false" ht="12.8" hidden="false" customHeight="false" outlineLevel="0" collapsed="false">
      <c r="B36153" s="0" t="s">
        <v>1</v>
      </c>
    </row>
    <row r="36154" customFormat="false" ht="12.8" hidden="false" customHeight="false" outlineLevel="0" collapsed="false">
      <c r="B36154" s="0" t="s">
        <v>13651</v>
      </c>
    </row>
    <row r="36155" customFormat="false" ht="12.8" hidden="false" customHeight="false" outlineLevel="0" collapsed="false">
      <c r="B36155" s="0" t="s">
        <v>186</v>
      </c>
    </row>
    <row r="36157" customFormat="false" ht="12.8" hidden="false" customHeight="false" outlineLevel="0" collapsed="false">
      <c r="A36157" s="0" t="s">
        <v>13652</v>
      </c>
      <c r="B36157" s="0" t="str">
        <f aca="false">HYPERLINK("https://lindat.mff.cuni.cz/services/teitok/pdtc10/index.php?action=vallex&amp;frame=v-w4945f1", "přerůstat (v-w4945f1)")</f>
        <v>přerůstat (v-w4945f1)</v>
      </c>
    </row>
    <row r="36158" customFormat="false" ht="12.8" hidden="false" customHeight="false" outlineLevel="0" collapsed="false">
      <c r="B36158" s="0" t="s">
        <v>1</v>
      </c>
    </row>
    <row r="36159" customFormat="false" ht="12.8" hidden="false" customHeight="false" outlineLevel="0" collapsed="false">
      <c r="B36159" s="0" t="s">
        <v>2769</v>
      </c>
    </row>
    <row r="36161" customFormat="false" ht="12.8" hidden="false" customHeight="false" outlineLevel="0" collapsed="false">
      <c r="A36161" s="0" t="s">
        <v>13653</v>
      </c>
      <c r="B36161" s="0" t="str">
        <f aca="false">HYPERLINK("https://lindat.mff.cuni.cz/services/teitok/pdtc10/index.php?action=vallex&amp;frame=v-w4945f2_ZU", "přerůstat (v-w4945f2_ZU)")</f>
        <v>přerůstat (v-w4945f2_ZU)</v>
      </c>
    </row>
    <row r="36162" customFormat="false" ht="12.8" hidden="false" customHeight="false" outlineLevel="0" collapsed="false">
      <c r="B36162" s="0" t="s">
        <v>1</v>
      </c>
    </row>
    <row r="36163" customFormat="false" ht="12.8" hidden="false" customHeight="false" outlineLevel="0" collapsed="false">
      <c r="B36163" s="0" t="s">
        <v>8</v>
      </c>
    </row>
    <row r="36165" customFormat="false" ht="12.8" hidden="false" customHeight="false" outlineLevel="0" collapsed="false">
      <c r="A36165" s="0" t="s">
        <v>13654</v>
      </c>
      <c r="B36165" s="0" t="str">
        <f aca="false">HYPERLINK("https://lindat.mff.cuni.cz/services/teitok/pdtc10/index.php?action=vallex&amp;frame=v-w4954f1", "přesadit (v-w4954f1)")</f>
        <v>přesadit (v-w4954f1)</v>
      </c>
    </row>
    <row r="36166" customFormat="false" ht="12.8" hidden="false" customHeight="false" outlineLevel="0" collapsed="false">
      <c r="B36166" s="0" t="s">
        <v>1</v>
      </c>
    </row>
    <row r="36167" customFormat="false" ht="12.8" hidden="false" customHeight="false" outlineLevel="0" collapsed="false">
      <c r="B36167" s="0" t="s">
        <v>8</v>
      </c>
    </row>
    <row r="36168" customFormat="false" ht="12.8" hidden="false" customHeight="false" outlineLevel="0" collapsed="false">
      <c r="B36168" s="0" t="s">
        <v>631</v>
      </c>
    </row>
    <row r="36169" customFormat="false" ht="12.8" hidden="false" customHeight="false" outlineLevel="0" collapsed="false">
      <c r="B36169" s="0" t="s">
        <v>164</v>
      </c>
    </row>
    <row r="36171" customFormat="false" ht="12.8" hidden="false" customHeight="false" outlineLevel="0" collapsed="false">
      <c r="A36171" s="0" t="s">
        <v>13655</v>
      </c>
      <c r="B36171" s="0" t="str">
        <f aca="false">HYPERLINK("https://lindat.mff.cuni.cz/services/teitok/pdtc10/index.php?action=vallex&amp;frame=v-w4957f1", "přesahovat (v-w4957f1)")</f>
        <v>přesahovat (v-w4957f1)</v>
      </c>
      <c r="E36171" s="0" t="str">
        <f aca="false">HYPERLINK("https://lindat.mff.cuni.cz/services/SynSemClass40/SynSemClass40.html?veclass=vec00280#vec00280-ces-cm00028", "vec00280")</f>
        <v>vec00280</v>
      </c>
      <c r="F36171" s="0" t="s">
        <v>13320</v>
      </c>
    </row>
    <row r="36172" customFormat="false" ht="12.8" hidden="false" customHeight="false" outlineLevel="0" collapsed="false">
      <c r="B36172" s="0" t="s">
        <v>1</v>
      </c>
      <c r="C36172" s="0" t="s">
        <v>13437</v>
      </c>
      <c r="E36172" s="0" t="s">
        <v>957</v>
      </c>
      <c r="F36172" s="0" t="s">
        <v>13322</v>
      </c>
    </row>
    <row r="36173" customFormat="false" ht="12.8" hidden="false" customHeight="false" outlineLevel="0" collapsed="false">
      <c r="B36173" s="0" t="s">
        <v>8</v>
      </c>
      <c r="C36173" s="0" t="s">
        <v>13438</v>
      </c>
      <c r="E36173" s="0" t="s">
        <v>2732</v>
      </c>
      <c r="F36173" s="0" t="s">
        <v>13324</v>
      </c>
    </row>
    <row r="36175" customFormat="false" ht="12.8" hidden="false" customHeight="false" outlineLevel="0" collapsed="false">
      <c r="A36175" s="0" t="s">
        <v>13656</v>
      </c>
      <c r="B36175" s="0" t="str">
        <f aca="false">HYPERLINK("https://lindat.mff.cuni.cz/services/teitok/pdtc10/index.php?action=vallex&amp;frame=v-w4957f2", "přesahovat (v-w4957f2)")</f>
        <v>přesahovat (v-w4957f2)</v>
      </c>
      <c r="E36175" s="0" t="str">
        <f aca="false">HYPERLINK("https://lindat.mff.cuni.cz/services/SynSemClass40/SynSemClass40.html?veclass=vec00280#vec00280-ces-cm00056", "vec00280")</f>
        <v>vec00280</v>
      </c>
      <c r="F36175" s="0" t="s">
        <v>13320</v>
      </c>
    </row>
    <row r="36176" customFormat="false" ht="12.8" hidden="false" customHeight="false" outlineLevel="0" collapsed="false">
      <c r="B36176" s="0" t="s">
        <v>1</v>
      </c>
      <c r="C36176" s="0" t="s">
        <v>13437</v>
      </c>
      <c r="E36176" s="0" t="s">
        <v>957</v>
      </c>
      <c r="F36176" s="0" t="s">
        <v>13322</v>
      </c>
    </row>
    <row r="36177" customFormat="false" ht="12.8" hidden="false" customHeight="false" outlineLevel="0" collapsed="false">
      <c r="B36177" s="0" t="s">
        <v>8</v>
      </c>
      <c r="C36177" s="0" t="s">
        <v>13438</v>
      </c>
      <c r="E36177" s="0" t="s">
        <v>2732</v>
      </c>
      <c r="F36177" s="0" t="s">
        <v>13324</v>
      </c>
    </row>
    <row r="36179" customFormat="false" ht="12.8" hidden="false" customHeight="false" outlineLevel="0" collapsed="false">
      <c r="A36179" s="0" t="s">
        <v>13657</v>
      </c>
      <c r="B36179" s="0" t="str">
        <f aca="false">HYPERLINK("https://lindat.mff.cuni.cz/services/teitok/pdtc10/index.php?action=vallex&amp;frame=v-w4957f3", "přesahovat (v-w4957f3)")</f>
        <v>přesahovat (v-w4957f3)</v>
      </c>
    </row>
    <row r="36180" customFormat="false" ht="12.8" hidden="false" customHeight="false" outlineLevel="0" collapsed="false">
      <c r="B36180" s="0" t="s">
        <v>1</v>
      </c>
    </row>
    <row r="36181" customFormat="false" ht="12.8" hidden="false" customHeight="false" outlineLevel="0" collapsed="false">
      <c r="B36181" s="0" t="s">
        <v>164</v>
      </c>
    </row>
    <row r="36183" customFormat="false" ht="12.8" hidden="false" customHeight="false" outlineLevel="0" collapsed="false">
      <c r="A36183" s="0" t="s">
        <v>13658</v>
      </c>
      <c r="B36183" s="0" t="str">
        <f aca="false">HYPERLINK("https://lindat.mff.cuni.cz/services/teitok/pdtc10/index.php?action=vallex&amp;frame=v-w4959f3", "přesedlat (v-w4959f3)")</f>
        <v>přesedlat (v-w4959f3)</v>
      </c>
      <c r="E36183" s="0" t="str">
        <f aca="false">HYPERLINK("https://lindat.mff.cuni.cz/services/SynSemClass40/SynSemClass40.html?veclass=vec00496#vec00496-ces-cm00021", "vec00496")</f>
        <v>vec00496</v>
      </c>
      <c r="F36183" s="0" t="s">
        <v>13129</v>
      </c>
    </row>
    <row r="36184" customFormat="false" ht="12.8" hidden="false" customHeight="false" outlineLevel="0" collapsed="false">
      <c r="B36184" s="0" t="s">
        <v>1</v>
      </c>
      <c r="C36184" s="0" t="s">
        <v>13130</v>
      </c>
      <c r="E36184" s="0" t="s">
        <v>11</v>
      </c>
      <c r="F36184" s="0" t="s">
        <v>13131</v>
      </c>
    </row>
    <row r="36185" customFormat="false" ht="12.8" hidden="false" customHeight="false" outlineLevel="0" collapsed="false">
      <c r="B36185" s="0" t="s">
        <v>45</v>
      </c>
      <c r="C36185" s="0" t="s">
        <v>13133</v>
      </c>
      <c r="E36185" s="0" t="s">
        <v>1592</v>
      </c>
      <c r="F36185" s="0" t="s">
        <v>13134</v>
      </c>
    </row>
    <row r="36186" customFormat="false" ht="12.8" hidden="false" customHeight="false" outlineLevel="0" collapsed="false">
      <c r="B36186" s="0" t="s">
        <v>2840</v>
      </c>
      <c r="C36186" s="0" t="s">
        <v>13135</v>
      </c>
      <c r="E36186" s="0" t="s">
        <v>2176</v>
      </c>
      <c r="F36186" s="0" t="s">
        <v>13136</v>
      </c>
    </row>
    <row r="36188" customFormat="false" ht="12.8" hidden="false" customHeight="false" outlineLevel="0" collapsed="false">
      <c r="A36188" s="0" t="s">
        <v>13658</v>
      </c>
      <c r="B36188" s="0" t="str">
        <f aca="false">HYPERLINK("https://lindat.mff.cuni.cz/services/teitok/pdtc10/index.php?action=vallex&amp;frame=v-w4959f1", "přesedlat (v-w4959f1) - substituted with v-w4959f3")</f>
        <v>přesedlat (v-w4959f1) - substituted with v-w4959f3</v>
      </c>
    </row>
    <row r="36189" customFormat="false" ht="12.8" hidden="false" customHeight="false" outlineLevel="0" collapsed="false">
      <c r="B36189" s="0" t="s">
        <v>1</v>
      </c>
    </row>
    <row r="36190" customFormat="false" ht="12.8" hidden="false" customHeight="false" outlineLevel="0" collapsed="false">
      <c r="B36190" s="0" t="s">
        <v>45</v>
      </c>
    </row>
    <row r="36191" customFormat="false" ht="12.8" hidden="false" customHeight="false" outlineLevel="0" collapsed="false">
      <c r="B36191" s="0" t="s">
        <v>2840</v>
      </c>
    </row>
    <row r="36193" customFormat="false" ht="12.8" hidden="false" customHeight="false" outlineLevel="0" collapsed="false">
      <c r="A36193" s="0" t="s">
        <v>13659</v>
      </c>
      <c r="B36193" s="0" t="str">
        <f aca="false">HYPERLINK("https://lindat.mff.cuni.cz/services/teitok/pdtc10/index.php?action=vallex&amp;frame=v-w4959f2", "přesedlat (v-w4959f2)")</f>
        <v>přesedlat (v-w4959f2)</v>
      </c>
    </row>
    <row r="36194" customFormat="false" ht="12.8" hidden="false" customHeight="false" outlineLevel="0" collapsed="false">
      <c r="B36194" s="0" t="s">
        <v>1</v>
      </c>
    </row>
    <row r="36195" customFormat="false" ht="12.8" hidden="false" customHeight="false" outlineLevel="0" collapsed="false">
      <c r="B36195" s="0" t="s">
        <v>8</v>
      </c>
    </row>
    <row r="36197" customFormat="false" ht="12.8" hidden="false" customHeight="false" outlineLevel="0" collapsed="false">
      <c r="A36197" s="0" t="s">
        <v>13660</v>
      </c>
      <c r="B36197" s="0" t="str">
        <f aca="false">HYPERLINK("https://lindat.mff.cuni.cz/services/teitok/pdtc10/index.php?action=vallex&amp;frame=v-w4960f1", "přesedlávat (v-w4960f1)")</f>
        <v>přesedlávat (v-w4960f1)</v>
      </c>
    </row>
    <row r="36198" customFormat="false" ht="12.8" hidden="false" customHeight="false" outlineLevel="0" collapsed="false">
      <c r="B36198" s="0" t="s">
        <v>1</v>
      </c>
    </row>
    <row r="36199" customFormat="false" ht="12.8" hidden="false" customHeight="false" outlineLevel="0" collapsed="false">
      <c r="B36199" s="0" t="s">
        <v>631</v>
      </c>
    </row>
    <row r="36200" customFormat="false" ht="12.8" hidden="false" customHeight="false" outlineLevel="0" collapsed="false">
      <c r="B36200" s="0" t="s">
        <v>164</v>
      </c>
    </row>
    <row r="36202" customFormat="false" ht="12.8" hidden="false" customHeight="false" outlineLevel="0" collapsed="false">
      <c r="A36202" s="0" t="s">
        <v>13661</v>
      </c>
      <c r="B36202" s="0" t="str">
        <f aca="false">HYPERLINK("https://lindat.mff.cuni.cz/services/teitok/pdtc10/index.php?action=vallex&amp;frame=v-w12331_MMf1_MM", "přesednout (v-w12331_MMf1_MM)")</f>
        <v>přesednout (v-w12331_MMf1_MM)</v>
      </c>
    </row>
    <row r="36203" customFormat="false" ht="12.8" hidden="false" customHeight="false" outlineLevel="0" collapsed="false">
      <c r="B36203" s="0" t="s">
        <v>1</v>
      </c>
    </row>
    <row r="36204" customFormat="false" ht="12.8" hidden="false" customHeight="false" outlineLevel="0" collapsed="false">
      <c r="B36204" s="0" t="s">
        <v>631</v>
      </c>
    </row>
    <row r="36205" customFormat="false" ht="12.8" hidden="false" customHeight="false" outlineLevel="0" collapsed="false">
      <c r="B36205" s="0" t="s">
        <v>164</v>
      </c>
    </row>
    <row r="36207" customFormat="false" ht="12.8" hidden="false" customHeight="false" outlineLevel="0" collapsed="false">
      <c r="A36207" s="0" t="s">
        <v>13662</v>
      </c>
      <c r="B36207" s="0" t="str">
        <f aca="false">HYPERLINK("https://lindat.mff.cuni.cz/services/teitok/pdtc10/index.php?action=vallex&amp;frame=v-whsa_599f1_ZU", "přesednout si (v-whsa_599f1_ZU)")</f>
        <v>přesednout si (v-whsa_599f1_ZU)</v>
      </c>
    </row>
    <row r="36208" customFormat="false" ht="12.8" hidden="false" customHeight="false" outlineLevel="0" collapsed="false">
      <c r="B36208" s="0" t="s">
        <v>1</v>
      </c>
    </row>
    <row r="36209" customFormat="false" ht="12.8" hidden="false" customHeight="false" outlineLevel="0" collapsed="false">
      <c r="B36209" s="0" t="s">
        <v>631</v>
      </c>
    </row>
    <row r="36210" customFormat="false" ht="12.8" hidden="false" customHeight="false" outlineLevel="0" collapsed="false">
      <c r="B36210" s="0" t="s">
        <v>164</v>
      </c>
    </row>
    <row r="36212" customFormat="false" ht="12.8" hidden="false" customHeight="false" outlineLevel="0" collapsed="false">
      <c r="A36212" s="0" t="s">
        <v>13662</v>
      </c>
      <c r="B36212" s="0" t="str">
        <f aca="false">HYPERLINK("https://lindat.mff.cuni.cz/services/teitok/pdtc10/index.php?action=vallex&amp;frame=v-whsb_599hsa_600", "přesednout si (v-whsb_599hsa_600) - substituted with v-whsa_599f1_ZU")</f>
        <v>přesednout si (v-whsb_599hsa_600) - substituted with v-whsa_599f1_ZU</v>
      </c>
    </row>
    <row r="36213" customFormat="false" ht="12.8" hidden="false" customHeight="false" outlineLevel="0" collapsed="false">
      <c r="B36213" s="0" t="s">
        <v>1</v>
      </c>
    </row>
    <row r="36214" customFormat="false" ht="12.8" hidden="false" customHeight="false" outlineLevel="0" collapsed="false">
      <c r="B36214" s="0" t="s">
        <v>631</v>
      </c>
    </row>
    <row r="36215" customFormat="false" ht="12.8" hidden="false" customHeight="false" outlineLevel="0" collapsed="false">
      <c r="B36215" s="0" t="s">
        <v>164</v>
      </c>
    </row>
    <row r="36217" customFormat="false" ht="12.8" hidden="false" customHeight="false" outlineLevel="0" collapsed="false">
      <c r="A36217" s="0" t="s">
        <v>13663</v>
      </c>
      <c r="B36217" s="0" t="str">
        <f aca="false">HYPERLINK("https://lindat.mff.cuni.cz/services/teitok/pdtc10/index.php?action=vallex&amp;frame=v-w12109_ZUf1_ZU", "přeseknout (v-w12109_ZUf1_ZU)")</f>
        <v>přeseknout (v-w12109_ZUf1_ZU)</v>
      </c>
    </row>
    <row r="36218" customFormat="false" ht="12.8" hidden="false" customHeight="false" outlineLevel="0" collapsed="false">
      <c r="B36218" s="0" t="s">
        <v>1</v>
      </c>
    </row>
    <row r="36219" customFormat="false" ht="12.8" hidden="false" customHeight="false" outlineLevel="0" collapsed="false">
      <c r="B36219" s="0" t="s">
        <v>8</v>
      </c>
    </row>
    <row r="36220" customFormat="false" ht="12.8" hidden="false" customHeight="false" outlineLevel="0" collapsed="false">
      <c r="B36220" s="0" t="s">
        <v>3211</v>
      </c>
    </row>
    <row r="36222" customFormat="false" ht="12.8" hidden="false" customHeight="false" outlineLevel="0" collapsed="false">
      <c r="A36222" s="0" t="s">
        <v>13664</v>
      </c>
      <c r="B36222" s="0" t="str">
        <f aca="false">HYPERLINK("https://lindat.mff.cuni.cz/services/teitok/pdtc10/index.php?action=vallex&amp;frame=v-w10531f2", "přeskakovat (v-w10531f2)")</f>
        <v>přeskakovat (v-w10531f2)</v>
      </c>
      <c r="E36222" s="0" t="str">
        <f aca="false">HYPERLINK("https://lindat.mff.cuni.cz/services/SynSemClass40/SynSemClass40.html?veclass=vec01287#vec01287-ces-cm00004", "vec01287")</f>
        <v>vec01287</v>
      </c>
      <c r="F36222" s="0" t="s">
        <v>11031</v>
      </c>
    </row>
    <row r="36223" customFormat="false" ht="12.8" hidden="false" customHeight="false" outlineLevel="0" collapsed="false">
      <c r="B36223" s="0" t="s">
        <v>1</v>
      </c>
      <c r="E36223" s="0" t="s">
        <v>334</v>
      </c>
      <c r="F36223" s="0" t="s">
        <v>11032</v>
      </c>
    </row>
    <row r="36224" customFormat="false" ht="12.8" hidden="false" customHeight="false" outlineLevel="0" collapsed="false">
      <c r="B36224" s="0" t="s">
        <v>8</v>
      </c>
      <c r="E36224" s="0" t="s">
        <v>13403</v>
      </c>
      <c r="F36224" s="0" t="s">
        <v>13404</v>
      </c>
    </row>
    <row r="36226" customFormat="false" ht="12.8" hidden="false" customHeight="false" outlineLevel="0" collapsed="false">
      <c r="A36226" s="0" t="s">
        <v>13665</v>
      </c>
      <c r="B36226" s="0" t="str">
        <f aca="false">HYPERLINK("https://lindat.mff.cuni.cz/services/teitok/pdtc10/index.php?action=vallex&amp;frame=v-w10531f3", "přeskakovat (v-w10531f3)")</f>
        <v>přeskakovat (v-w10531f3)</v>
      </c>
      <c r="E36226" s="0" t="str">
        <f aca="false">HYPERLINK("https://lindat.mff.cuni.cz/services/SynSemClass40/SynSemClass40.html?veclass=vec01086#vec01086-ces-cm00005", "vec01086")</f>
        <v>vec01086</v>
      </c>
      <c r="F36226" s="0" t="s">
        <v>13099</v>
      </c>
    </row>
    <row r="36227" customFormat="false" ht="12.8" hidden="false" customHeight="false" outlineLevel="0" collapsed="false">
      <c r="B36227" s="0" t="s">
        <v>1</v>
      </c>
      <c r="E36227" s="0" t="s">
        <v>334</v>
      </c>
      <c r="F36227" s="0" t="s">
        <v>11032</v>
      </c>
    </row>
    <row r="36228" customFormat="false" ht="12.8" hidden="false" customHeight="false" outlineLevel="0" collapsed="false">
      <c r="B36228" s="0" t="s">
        <v>631</v>
      </c>
      <c r="E36228" s="0" t="s">
        <v>1949</v>
      </c>
      <c r="F36228" s="0" t="s">
        <v>2896</v>
      </c>
    </row>
    <row r="36229" customFormat="false" ht="12.8" hidden="false" customHeight="false" outlineLevel="0" collapsed="false">
      <c r="B36229" s="0" t="s">
        <v>164</v>
      </c>
      <c r="E36229" s="0" t="s">
        <v>1315</v>
      </c>
      <c r="F36229" s="0" t="s">
        <v>1316</v>
      </c>
    </row>
    <row r="36231" customFormat="false" ht="12.8" hidden="false" customHeight="false" outlineLevel="0" collapsed="false">
      <c r="A36231" s="0" t="s">
        <v>13666</v>
      </c>
      <c r="B36231" s="0" t="str">
        <f aca="false">HYPERLINK("https://lindat.mff.cuni.cz/services/teitok/pdtc10/index.php?action=vallex&amp;frame=v-w4963f2", "přeskočit (v-w4963f2)")</f>
        <v>přeskočit (v-w4963f2)</v>
      </c>
      <c r="E36231" s="0" t="str">
        <f aca="false">HYPERLINK("https://lindat.mff.cuni.cz/services/SynSemClass40/SynSemClass40.html?veclass=vec00280#vec00280-ces-cm00057", "vec00280")</f>
        <v>vec00280</v>
      </c>
      <c r="F36231" s="0" t="s">
        <v>13320</v>
      </c>
    </row>
    <row r="36232" customFormat="false" ht="12.8" hidden="false" customHeight="false" outlineLevel="0" collapsed="false">
      <c r="B36232" s="0" t="s">
        <v>1</v>
      </c>
      <c r="C36232" s="0" t="s">
        <v>13437</v>
      </c>
      <c r="E36232" s="0" t="s">
        <v>957</v>
      </c>
      <c r="F36232" s="0" t="s">
        <v>13322</v>
      </c>
    </row>
    <row r="36233" customFormat="false" ht="12.8" hidden="false" customHeight="false" outlineLevel="0" collapsed="false">
      <c r="B36233" s="0" t="s">
        <v>8</v>
      </c>
      <c r="C36233" s="0" t="s">
        <v>13438</v>
      </c>
      <c r="E36233" s="0" t="s">
        <v>2732</v>
      </c>
      <c r="F36233" s="0" t="s">
        <v>13324</v>
      </c>
    </row>
    <row r="36235" customFormat="false" ht="12.8" hidden="false" customHeight="false" outlineLevel="0" collapsed="false">
      <c r="A36235" s="0" t="s">
        <v>13667</v>
      </c>
      <c r="B36235" s="0" t="str">
        <f aca="false">HYPERLINK("https://lindat.mff.cuni.cz/services/teitok/pdtc10/index.php?action=vallex&amp;frame=v-w4963f5_ZU", "přeskočit (v-w4963f5_ZU)")</f>
        <v>přeskočit (v-w4963f5_ZU)</v>
      </c>
      <c r="E36235" s="0" t="str">
        <f aca="false">HYPERLINK("https://lindat.mff.cuni.cz/services/SynSemClass40/SynSemClass40.html?veclass=vec00560#vec00560-ces-cm00010", "vec00560")</f>
        <v>vec00560</v>
      </c>
      <c r="F36235" s="0" t="s">
        <v>13668</v>
      </c>
    </row>
    <row r="36236" customFormat="false" ht="12.8" hidden="false" customHeight="false" outlineLevel="0" collapsed="false">
      <c r="B36236" s="0" t="s">
        <v>1</v>
      </c>
      <c r="C36236" s="0" t="s">
        <v>6199</v>
      </c>
      <c r="E36236" s="0" t="s">
        <v>206</v>
      </c>
      <c r="F36236" s="0" t="s">
        <v>13669</v>
      </c>
    </row>
    <row r="36237" customFormat="false" ht="12.8" hidden="false" customHeight="false" outlineLevel="0" collapsed="false">
      <c r="B36237" s="0" t="s">
        <v>8</v>
      </c>
      <c r="C36237" s="0" t="s">
        <v>1437</v>
      </c>
      <c r="E36237" s="0" t="s">
        <v>13670</v>
      </c>
      <c r="F36237" s="0" t="s">
        <v>13671</v>
      </c>
    </row>
    <row r="36239" customFormat="false" ht="12.8" hidden="false" customHeight="false" outlineLevel="0" collapsed="false">
      <c r="A36239" s="0" t="s">
        <v>13667</v>
      </c>
      <c r="B36239" s="0" t="str">
        <f aca="false">HYPERLINK("https://lindat.mff.cuni.cz/services/teitok/pdtc10/index.php?action=vallex&amp;frame=v-w4963f4_ZU", "přeskočit (v-w4963f4_ZU) - substituted with v-w4963f5_ZU")</f>
        <v>přeskočit (v-w4963f4_ZU) - substituted with v-w4963f5_ZU</v>
      </c>
    </row>
    <row r="36240" customFormat="false" ht="12.8" hidden="false" customHeight="false" outlineLevel="0" collapsed="false">
      <c r="B36240" s="0" t="s">
        <v>1</v>
      </c>
    </row>
    <row r="36241" customFormat="false" ht="12.8" hidden="false" customHeight="false" outlineLevel="0" collapsed="false">
      <c r="B36241" s="0" t="s">
        <v>8</v>
      </c>
    </row>
    <row r="36243" customFormat="false" ht="12.8" hidden="false" customHeight="false" outlineLevel="0" collapsed="false">
      <c r="A36243" s="0" t="s">
        <v>13672</v>
      </c>
      <c r="B36243" s="0" t="str">
        <f aca="false">HYPERLINK("https://lindat.mff.cuni.cz/services/teitok/pdtc10/index.php?action=vallex&amp;frame=v-w4963f1", "přeskočit (v-w4963f1)")</f>
        <v>přeskočit (v-w4963f1)</v>
      </c>
      <c r="E36243" s="0" t="str">
        <f aca="false">HYPERLINK("https://lindat.mff.cuni.cz/services/SynSemClass40/SynSemClass40.html?veclass=vec01086#vec01086-ces-cm00010", "vec01086")</f>
        <v>vec01086</v>
      </c>
      <c r="F36243" s="0" t="s">
        <v>13099</v>
      </c>
    </row>
    <row r="36244" customFormat="false" ht="12.8" hidden="false" customHeight="false" outlineLevel="0" collapsed="false">
      <c r="B36244" s="0" t="s">
        <v>1</v>
      </c>
      <c r="E36244" s="0" t="s">
        <v>334</v>
      </c>
      <c r="F36244" s="0" t="s">
        <v>11032</v>
      </c>
    </row>
    <row r="36245" customFormat="false" ht="12.8" hidden="false" customHeight="false" outlineLevel="0" collapsed="false">
      <c r="B36245" s="0" t="s">
        <v>631</v>
      </c>
      <c r="E36245" s="0" t="s">
        <v>1949</v>
      </c>
      <c r="F36245" s="0" t="s">
        <v>2896</v>
      </c>
    </row>
    <row r="36246" customFormat="false" ht="12.8" hidden="false" customHeight="false" outlineLevel="0" collapsed="false">
      <c r="B36246" s="0" t="s">
        <v>164</v>
      </c>
      <c r="E36246" s="0" t="s">
        <v>1315</v>
      </c>
      <c r="F36246" s="0" t="s">
        <v>1316</v>
      </c>
    </row>
    <row r="36248" customFormat="false" ht="12.8" hidden="false" customHeight="false" outlineLevel="0" collapsed="false">
      <c r="A36248" s="0" t="s">
        <v>13673</v>
      </c>
      <c r="B36248" s="0" t="str">
        <f aca="false">HYPERLINK("https://lindat.mff.cuni.cz/services/teitok/pdtc10/index.php?action=vallex&amp;frame=v-w4963f3", "přeskočit (v-w4963f3)")</f>
        <v>přeskočit (v-w4963f3)</v>
      </c>
    </row>
    <row r="36249" customFormat="false" ht="12.8" hidden="false" customHeight="false" outlineLevel="0" collapsed="false">
      <c r="B36249" s="0" t="s">
        <v>804</v>
      </c>
    </row>
    <row r="36251" customFormat="false" ht="12.8" hidden="false" customHeight="false" outlineLevel="0" collapsed="false">
      <c r="A36251" s="0" t="s">
        <v>13674</v>
      </c>
      <c r="B36251" s="0" t="str">
        <f aca="false">HYPERLINK("https://lindat.mff.cuni.cz/services/teitok/pdtc10/index.php?action=vallex&amp;frame=v-w4963f6_ZU", "přeskočit (v-w4963f6_ZU)")</f>
        <v>přeskočit (v-w4963f6_ZU)</v>
      </c>
    </row>
    <row r="36252" customFormat="false" ht="12.8" hidden="false" customHeight="false" outlineLevel="0" collapsed="false">
      <c r="B36252" s="0" t="s">
        <v>1</v>
      </c>
    </row>
    <row r="36253" customFormat="false" ht="12.8" hidden="false" customHeight="false" outlineLevel="0" collapsed="false">
      <c r="B36253" s="0" t="s">
        <v>631</v>
      </c>
    </row>
    <row r="36254" customFormat="false" ht="12.8" hidden="false" customHeight="false" outlineLevel="0" collapsed="false">
      <c r="B36254" s="0" t="s">
        <v>164</v>
      </c>
    </row>
    <row r="36256" customFormat="false" ht="12.8" hidden="false" customHeight="false" outlineLevel="0" collapsed="false">
      <c r="A36256" s="0" t="s">
        <v>13674</v>
      </c>
      <c r="B36256" s="0" t="str">
        <f aca="false">HYPERLINK("https://lindat.mff.cuni.cz/services/teitok/pdtc10/index.php?action=vallex&amp;frame=v-w4963hsa_1677", "přeskočit (v-w4963hsa_1677) - substituted with v-w4963f6_ZU")</f>
        <v>přeskočit (v-w4963hsa_1677) - substituted with v-w4963f6_ZU</v>
      </c>
    </row>
    <row r="36257" customFormat="false" ht="12.8" hidden="false" customHeight="false" outlineLevel="0" collapsed="false">
      <c r="B36257" s="0" t="s">
        <v>1</v>
      </c>
    </row>
    <row r="36258" customFormat="false" ht="12.8" hidden="false" customHeight="false" outlineLevel="0" collapsed="false">
      <c r="B36258" s="0" t="s">
        <v>631</v>
      </c>
    </row>
    <row r="36259" customFormat="false" ht="12.8" hidden="false" customHeight="false" outlineLevel="0" collapsed="false">
      <c r="B36259" s="0" t="s">
        <v>164</v>
      </c>
    </row>
    <row r="36261" customFormat="false" ht="12.8" hidden="false" customHeight="false" outlineLevel="0" collapsed="false">
      <c r="A36261" s="0" t="s">
        <v>13675</v>
      </c>
      <c r="B36261" s="0" t="str">
        <f aca="false">HYPERLINK("https://lindat.mff.cuni.cz/services/teitok/pdtc10/index.php?action=vallex&amp;frame=v-w4963f7_ZU", "přeskočit (v-w4963f7_ZU)")</f>
        <v>přeskočit (v-w4963f7_ZU)</v>
      </c>
    </row>
    <row r="36262" customFormat="false" ht="12.8" hidden="false" customHeight="false" outlineLevel="0" collapsed="false">
      <c r="B36262" s="0" t="s">
        <v>1</v>
      </c>
    </row>
    <row r="36263" customFormat="false" ht="12.8" hidden="false" customHeight="false" outlineLevel="0" collapsed="false">
      <c r="B36263" s="0" t="s">
        <v>8</v>
      </c>
    </row>
    <row r="36265" customFormat="false" ht="12.8" hidden="false" customHeight="false" outlineLevel="0" collapsed="false">
      <c r="A36265" s="0" t="s">
        <v>13676</v>
      </c>
      <c r="B36265" s="0" t="str">
        <f aca="false">HYPERLINK("https://lindat.mff.cuni.cz/services/teitok/pdtc10/index.php?action=vallex&amp;frame=v-w4965f1", "přeskupit (v-w4965f1)")</f>
        <v>přeskupit (v-w4965f1)</v>
      </c>
    </row>
    <row r="36266" customFormat="false" ht="12.8" hidden="false" customHeight="false" outlineLevel="0" collapsed="false">
      <c r="B36266" s="0" t="s">
        <v>1</v>
      </c>
    </row>
    <row r="36267" customFormat="false" ht="12.8" hidden="false" customHeight="false" outlineLevel="0" collapsed="false">
      <c r="B36267" s="0" t="s">
        <v>8</v>
      </c>
    </row>
    <row r="36269" customFormat="false" ht="12.8" hidden="false" customHeight="false" outlineLevel="0" collapsed="false">
      <c r="A36269" s="0" t="s">
        <v>13677</v>
      </c>
      <c r="B36269" s="0" t="str">
        <f aca="false">HYPERLINK("https://lindat.mff.cuni.cz/services/teitok/pdtc10/index.php?action=vallex&amp;frame=v-w11012f2", "přeskupovat (v-w11012f2)")</f>
        <v>přeskupovat (v-w11012f2)</v>
      </c>
      <c r="E36269" s="0" t="str">
        <f aca="false">HYPERLINK("https://lindat.mff.cuni.cz/services/SynSemClass40/SynSemClass40.html?veclass=vec00894#vec00894-ces-cm00003", "vec00894")</f>
        <v>vec00894</v>
      </c>
      <c r="F36269" s="0" t="s">
        <v>13498</v>
      </c>
    </row>
    <row r="36270" customFormat="false" ht="12.8" hidden="false" customHeight="false" outlineLevel="0" collapsed="false">
      <c r="B36270" s="0" t="s">
        <v>1</v>
      </c>
      <c r="C36270" s="0" t="s">
        <v>13499</v>
      </c>
      <c r="E36270" s="0" t="s">
        <v>334</v>
      </c>
      <c r="F36270" s="0" t="s">
        <v>13500</v>
      </c>
    </row>
    <row r="36271" customFormat="false" ht="12.8" hidden="false" customHeight="false" outlineLevel="0" collapsed="false">
      <c r="B36271" s="0" t="s">
        <v>8</v>
      </c>
      <c r="C36271" s="0" t="s">
        <v>13501</v>
      </c>
      <c r="E36271" s="0" t="s">
        <v>2648</v>
      </c>
      <c r="F36271" s="0" t="s">
        <v>13502</v>
      </c>
    </row>
    <row r="36273" customFormat="false" ht="12.8" hidden="false" customHeight="false" outlineLevel="0" collapsed="false">
      <c r="A36273" s="0" t="s">
        <v>13678</v>
      </c>
      <c r="B36273" s="0" t="str">
        <f aca="false">HYPERLINK("https://lindat.mff.cuni.cz/services/teitok/pdtc10/index.php?action=vallex&amp;frame=v-whsa_945hsa_946", "přeskupovat se (v-whsa_945hsa_946)")</f>
        <v>přeskupovat se (v-whsa_945hsa_946)</v>
      </c>
    </row>
    <row r="36274" customFormat="false" ht="12.8" hidden="false" customHeight="false" outlineLevel="0" collapsed="false">
      <c r="B36274" s="0" t="s">
        <v>1</v>
      </c>
    </row>
    <row r="36276" customFormat="false" ht="12.8" hidden="false" customHeight="false" outlineLevel="0" collapsed="false">
      <c r="A36276" s="0" t="s">
        <v>13679</v>
      </c>
      <c r="B36276" s="0" t="str">
        <f aca="false">HYPERLINK("https://lindat.mff.cuni.cz/services/teitok/pdtc10/index.php?action=vallex&amp;frame=v-w11952_ZUf1_ZU", "přeslechnout (v-w11952_ZUf1_ZU)")</f>
        <v>přeslechnout (v-w11952_ZUf1_ZU)</v>
      </c>
    </row>
    <row r="36277" customFormat="false" ht="12.8" hidden="false" customHeight="false" outlineLevel="0" collapsed="false">
      <c r="B36277" s="0" t="s">
        <v>1</v>
      </c>
    </row>
    <row r="36278" customFormat="false" ht="12.8" hidden="false" customHeight="false" outlineLevel="0" collapsed="false">
      <c r="B36278" s="0" t="s">
        <v>8</v>
      </c>
    </row>
    <row r="36280" customFormat="false" ht="12.8" hidden="false" customHeight="false" outlineLevel="0" collapsed="false">
      <c r="A36280" s="0" t="s">
        <v>13680</v>
      </c>
      <c r="B36280" s="0" t="str">
        <f aca="false">HYPERLINK("https://lindat.mff.cuni.cz/services/teitok/pdtc10/index.php?action=vallex&amp;frame=v-whsa_355hsa_356", "přesluhovat (v-whsa_355hsa_356)")</f>
        <v>přesluhovat (v-whsa_355hsa_356)</v>
      </c>
    </row>
    <row r="36281" customFormat="false" ht="12.8" hidden="false" customHeight="false" outlineLevel="0" collapsed="false">
      <c r="B36281" s="0" t="s">
        <v>1</v>
      </c>
    </row>
    <row r="36283" customFormat="false" ht="12.8" hidden="false" customHeight="false" outlineLevel="0" collapsed="false">
      <c r="A36283" s="0" t="s">
        <v>13681</v>
      </c>
      <c r="B36283" s="0" t="str">
        <f aca="false">HYPERLINK("https://lindat.mff.cuni.cz/services/teitok/pdtc10/index.php?action=vallex&amp;frame=v-w10808f2", "přesměrovat (v-w10808f2)")</f>
        <v>přesměrovat (v-w10808f2)</v>
      </c>
      <c r="E36283" s="0" t="str">
        <f aca="false">HYPERLINK("https://lindat.mff.cuni.cz/services/SynSemClass40/SynSemClass40.html?veclass=vec01094#vec01094-ces-cm00002", "vec01094")</f>
        <v>vec01094</v>
      </c>
      <c r="F36283" s="0" t="s">
        <v>13682</v>
      </c>
    </row>
    <row r="36284" customFormat="false" ht="12.8" hidden="false" customHeight="false" outlineLevel="0" collapsed="false">
      <c r="B36284" s="0" t="s">
        <v>1</v>
      </c>
      <c r="C36284" s="0" t="s">
        <v>4471</v>
      </c>
      <c r="E36284" s="0" t="s">
        <v>13683</v>
      </c>
      <c r="F36284" s="0" t="s">
        <v>13684</v>
      </c>
    </row>
    <row r="36285" customFormat="false" ht="12.8" hidden="false" customHeight="false" outlineLevel="0" collapsed="false">
      <c r="B36285" s="0" t="s">
        <v>8</v>
      </c>
      <c r="C36285" s="0" t="s">
        <v>8691</v>
      </c>
      <c r="E36285" s="0" t="s">
        <v>13685</v>
      </c>
      <c r="F36285" s="0" t="s">
        <v>13686</v>
      </c>
    </row>
    <row r="36286" customFormat="false" ht="12.8" hidden="false" customHeight="false" outlineLevel="0" collapsed="false">
      <c r="B36286" s="0" t="s">
        <v>631</v>
      </c>
      <c r="E36286" s="0" t="s">
        <v>1949</v>
      </c>
      <c r="F36286" s="0" t="s">
        <v>2896</v>
      </c>
    </row>
    <row r="36287" customFormat="false" ht="12.8" hidden="false" customHeight="false" outlineLevel="0" collapsed="false">
      <c r="B36287" s="0" t="s">
        <v>164</v>
      </c>
      <c r="E36287" s="0" t="s">
        <v>1315</v>
      </c>
      <c r="F36287" s="0" t="s">
        <v>1316</v>
      </c>
    </row>
    <row r="36289" customFormat="false" ht="12.8" hidden="false" customHeight="false" outlineLevel="0" collapsed="false">
      <c r="A36289" s="0" t="s">
        <v>13687</v>
      </c>
      <c r="B36289" s="0" t="str">
        <f aca="false">HYPERLINK("https://lindat.mff.cuni.cz/services/teitok/pdtc10/index.php?action=vallex&amp;frame=v-w10663f2", "přesměrovávat (v-w10663f2)")</f>
        <v>přesměrovávat (v-w10663f2)</v>
      </c>
      <c r="E36289" s="0" t="str">
        <f aca="false">HYPERLINK("https://lindat.mff.cuni.cz/services/SynSemClass40/SynSemClass40.html?veclass=vec01094#vec01094-ces-cm00001", "vec01094")</f>
        <v>vec01094</v>
      </c>
      <c r="F36289" s="0" t="s">
        <v>13682</v>
      </c>
    </row>
    <row r="36290" customFormat="false" ht="12.8" hidden="false" customHeight="false" outlineLevel="0" collapsed="false">
      <c r="B36290" s="0" t="s">
        <v>1</v>
      </c>
      <c r="C36290" s="0" t="s">
        <v>4471</v>
      </c>
      <c r="E36290" s="0" t="s">
        <v>13683</v>
      </c>
      <c r="F36290" s="0" t="s">
        <v>13684</v>
      </c>
    </row>
    <row r="36291" customFormat="false" ht="12.8" hidden="false" customHeight="false" outlineLevel="0" collapsed="false">
      <c r="B36291" s="0" t="s">
        <v>8</v>
      </c>
      <c r="C36291" s="0" t="s">
        <v>8691</v>
      </c>
      <c r="E36291" s="0" t="s">
        <v>13685</v>
      </c>
      <c r="F36291" s="0" t="s">
        <v>13686</v>
      </c>
    </row>
    <row r="36292" customFormat="false" ht="12.8" hidden="false" customHeight="false" outlineLevel="0" collapsed="false">
      <c r="B36292" s="0" t="s">
        <v>631</v>
      </c>
      <c r="E36292" s="0" t="s">
        <v>1949</v>
      </c>
      <c r="F36292" s="0" t="s">
        <v>2896</v>
      </c>
    </row>
    <row r="36293" customFormat="false" ht="12.8" hidden="false" customHeight="false" outlineLevel="0" collapsed="false">
      <c r="B36293" s="0" t="s">
        <v>164</v>
      </c>
      <c r="E36293" s="0" t="s">
        <v>1315</v>
      </c>
      <c r="F36293" s="0" t="s">
        <v>1316</v>
      </c>
    </row>
    <row r="36295" customFormat="false" ht="12.8" hidden="false" customHeight="false" outlineLevel="0" collapsed="false">
      <c r="A36295" s="0" t="s">
        <v>13688</v>
      </c>
      <c r="B36295" s="0" t="str">
        <f aca="false">HYPERLINK("https://lindat.mff.cuni.cz/services/teitok/pdtc10/index.php?action=vallex&amp;frame=v-w4966f1", "přesouvat (v-w4966f1)")</f>
        <v>přesouvat (v-w4966f1)</v>
      </c>
      <c r="E36295" s="0" t="str">
        <f aca="false">HYPERLINK("https://lindat.mff.cuni.cz/services/SynSemClass40/SynSemClass40.html?veclass=vec00283#vec00283-ces-cm00020", "vec00283")</f>
        <v>vec00283</v>
      </c>
      <c r="F36295" s="0" t="s">
        <v>8946</v>
      </c>
    </row>
    <row r="36296" customFormat="false" ht="12.8" hidden="false" customHeight="false" outlineLevel="0" collapsed="false">
      <c r="B36296" s="0" t="s">
        <v>1</v>
      </c>
      <c r="C36296" s="0" t="s">
        <v>7911</v>
      </c>
      <c r="E36296" s="0" t="s">
        <v>2196</v>
      </c>
      <c r="F36296" s="0" t="s">
        <v>8947</v>
      </c>
    </row>
    <row r="36297" customFormat="false" ht="12.8" hidden="false" customHeight="false" outlineLevel="0" collapsed="false">
      <c r="B36297" s="0" t="s">
        <v>8</v>
      </c>
      <c r="C36297" s="0" t="s">
        <v>8948</v>
      </c>
      <c r="E36297" s="0" t="s">
        <v>2200</v>
      </c>
      <c r="F36297" s="0" t="s">
        <v>8949</v>
      </c>
    </row>
    <row r="36298" customFormat="false" ht="12.8" hidden="false" customHeight="false" outlineLevel="0" collapsed="false">
      <c r="B36298" s="0" t="s">
        <v>631</v>
      </c>
      <c r="E36298" s="0" t="s">
        <v>4096</v>
      </c>
      <c r="F36298" s="0" t="s">
        <v>4097</v>
      </c>
    </row>
    <row r="36299" customFormat="false" ht="12.8" hidden="false" customHeight="false" outlineLevel="0" collapsed="false">
      <c r="B36299" s="0" t="s">
        <v>164</v>
      </c>
      <c r="C36299" s="0" t="s">
        <v>11520</v>
      </c>
      <c r="E36299" s="0" t="s">
        <v>388</v>
      </c>
      <c r="F36299" s="0" t="s">
        <v>11521</v>
      </c>
    </row>
    <row r="36301" customFormat="false" ht="12.8" hidden="false" customHeight="false" outlineLevel="0" collapsed="false">
      <c r="A36301" s="0" t="s">
        <v>13689</v>
      </c>
      <c r="B36301" s="0" t="str">
        <f aca="false">HYPERLINK("https://lindat.mff.cuni.cz/services/teitok/pdtc10/index.php?action=vallex&amp;frame=v-w4966f2", "přesouvat (v-w4966f2)")</f>
        <v>přesouvat (v-w4966f2)</v>
      </c>
      <c r="E36301" s="0" t="str">
        <f aca="false">HYPERLINK("https://lindat.mff.cuni.cz/services/SynSemClass40/SynSemClass40.html?veclass=vec01284#vec01284-ces-cm00002", "vec01284")</f>
        <v>vec01284</v>
      </c>
      <c r="F36301" s="0" t="s">
        <v>8765</v>
      </c>
    </row>
    <row r="36302" customFormat="false" ht="12.8" hidden="false" customHeight="false" outlineLevel="0" collapsed="false">
      <c r="B36302" s="0" t="s">
        <v>1</v>
      </c>
      <c r="C36302" s="0" t="s">
        <v>5370</v>
      </c>
      <c r="E36302" s="0" t="s">
        <v>84</v>
      </c>
      <c r="F36302" s="0" t="s">
        <v>8767</v>
      </c>
    </row>
    <row r="36303" customFormat="false" ht="12.8" hidden="false" customHeight="false" outlineLevel="0" collapsed="false">
      <c r="B36303" s="0" t="s">
        <v>8</v>
      </c>
      <c r="C36303" s="0" t="s">
        <v>13506</v>
      </c>
      <c r="E36303" s="0" t="s">
        <v>87</v>
      </c>
      <c r="F36303" s="0" t="s">
        <v>8769</v>
      </c>
    </row>
    <row r="36304" customFormat="false" ht="12.8" hidden="false" customHeight="false" outlineLevel="0" collapsed="false">
      <c r="B36304" s="0" t="s">
        <v>10661</v>
      </c>
      <c r="C36304" s="0" t="s">
        <v>13507</v>
      </c>
      <c r="E36304" s="0" t="s">
        <v>13508</v>
      </c>
      <c r="F36304" s="0" t="s">
        <v>13509</v>
      </c>
    </row>
    <row r="36305" customFormat="false" ht="12.8" hidden="false" customHeight="false" outlineLevel="0" collapsed="false">
      <c r="B36305" s="0" t="s">
        <v>1799</v>
      </c>
      <c r="C36305" s="0" t="s">
        <v>13510</v>
      </c>
      <c r="E36305" s="0" t="s">
        <v>13511</v>
      </c>
      <c r="F36305" s="0" t="s">
        <v>13512</v>
      </c>
    </row>
    <row r="36307" customFormat="false" ht="12.8" hidden="false" customHeight="false" outlineLevel="0" collapsed="false">
      <c r="A36307" s="0" t="s">
        <v>13690</v>
      </c>
      <c r="B36307" s="0" t="str">
        <f aca="false">HYPERLINK("https://lindat.mff.cuni.cz/services/teitok/pdtc10/index.php?action=vallex&amp;frame=v-w4966hsa_290", "přesouvat (v-w4966hsa_290)")</f>
        <v>přesouvat (v-w4966hsa_290)</v>
      </c>
    </row>
    <row r="36308" customFormat="false" ht="12.8" hidden="false" customHeight="false" outlineLevel="0" collapsed="false">
      <c r="B36308" s="0" t="s">
        <v>1</v>
      </c>
    </row>
    <row r="36309" customFormat="false" ht="12.8" hidden="false" customHeight="false" outlineLevel="0" collapsed="false">
      <c r="B36309" s="0" t="s">
        <v>8</v>
      </c>
    </row>
    <row r="36310" customFormat="false" ht="12.8" hidden="false" customHeight="false" outlineLevel="0" collapsed="false">
      <c r="B36310" s="0" t="s">
        <v>52</v>
      </c>
    </row>
    <row r="36312" customFormat="false" ht="12.8" hidden="false" customHeight="false" outlineLevel="0" collapsed="false">
      <c r="A36312" s="0" t="s">
        <v>13691</v>
      </c>
      <c r="B36312" s="0" t="str">
        <f aca="false">HYPERLINK("https://lindat.mff.cuni.cz/services/teitok/pdtc10/index.php?action=vallex&amp;frame=v-w4967f1", "přesouvat se (v-w4967f1)")</f>
        <v>přesouvat se (v-w4967f1)</v>
      </c>
      <c r="E36312" s="0" t="str">
        <f aca="false">HYPERLINK("https://lindat.mff.cuni.cz/services/SynSemClass40/SynSemClass40.html?veclass=vec00048#vec00048-ces-cm00187", "vec00048")</f>
        <v>vec00048</v>
      </c>
      <c r="F36312" s="0" t="s">
        <v>1945</v>
      </c>
    </row>
    <row r="36313" customFormat="false" ht="12.8" hidden="false" customHeight="false" outlineLevel="0" collapsed="false">
      <c r="B36313" s="0" t="s">
        <v>1</v>
      </c>
      <c r="C36313" s="0" t="s">
        <v>1946</v>
      </c>
      <c r="E36313" s="0" t="s">
        <v>334</v>
      </c>
      <c r="F36313" s="0" t="s">
        <v>1947</v>
      </c>
    </row>
    <row r="36314" customFormat="false" ht="12.8" hidden="false" customHeight="false" outlineLevel="0" collapsed="false">
      <c r="B36314" s="0" t="s">
        <v>631</v>
      </c>
      <c r="C36314" s="0" t="s">
        <v>1948</v>
      </c>
      <c r="E36314" s="0" t="s">
        <v>1949</v>
      </c>
      <c r="F36314" s="0" t="s">
        <v>1950</v>
      </c>
    </row>
    <row r="36315" customFormat="false" ht="12.8" hidden="false" customHeight="false" outlineLevel="0" collapsed="false">
      <c r="B36315" s="0" t="s">
        <v>164</v>
      </c>
      <c r="E36315" s="0" t="s">
        <v>1315</v>
      </c>
      <c r="F36315" s="0" t="s">
        <v>1316</v>
      </c>
    </row>
    <row r="36317" customFormat="false" ht="12.8" hidden="false" customHeight="false" outlineLevel="0" collapsed="false">
      <c r="A36317" s="0" t="s">
        <v>13692</v>
      </c>
      <c r="B36317" s="0" t="str">
        <f aca="false">HYPERLINK("https://lindat.mff.cuni.cz/services/teitok/pdtc10/index.php?action=vallex&amp;frame=v-w4968f1", "přespat (v-w4968f1)")</f>
        <v>přespat (v-w4968f1)</v>
      </c>
    </row>
    <row r="36318" customFormat="false" ht="12.8" hidden="false" customHeight="false" outlineLevel="0" collapsed="false">
      <c r="B36318" s="0" t="s">
        <v>1</v>
      </c>
    </row>
    <row r="36319" customFormat="false" ht="12.8" hidden="false" customHeight="false" outlineLevel="0" collapsed="false">
      <c r="B36319" s="0" t="s">
        <v>5</v>
      </c>
    </row>
    <row r="36321" customFormat="false" ht="12.8" hidden="false" customHeight="false" outlineLevel="0" collapsed="false">
      <c r="A36321" s="0" t="s">
        <v>13693</v>
      </c>
      <c r="B36321" s="0" t="str">
        <f aca="false">HYPERLINK("https://lindat.mff.cuni.cz/services/teitok/pdtc10/index.php?action=vallex&amp;frame=v-w4970f1", "přesprintovat (v-w4970f1)")</f>
        <v>přesprintovat (v-w4970f1)</v>
      </c>
    </row>
    <row r="36322" customFormat="false" ht="12.8" hidden="false" customHeight="false" outlineLevel="0" collapsed="false">
      <c r="B36322" s="0" t="s">
        <v>1</v>
      </c>
    </row>
    <row r="36323" customFormat="false" ht="12.8" hidden="false" customHeight="false" outlineLevel="0" collapsed="false">
      <c r="B36323" s="0" t="s">
        <v>8</v>
      </c>
    </row>
    <row r="36325" customFormat="false" ht="12.8" hidden="false" customHeight="false" outlineLevel="0" collapsed="false">
      <c r="A36325" s="0" t="s">
        <v>13694</v>
      </c>
      <c r="B36325" s="0" t="str">
        <f aca="false">HYPERLINK("https://lindat.mff.cuni.cz/services/teitok/pdtc10/index.php?action=vallex&amp;frame=v-w4969f1", "přespávat (v-w4969f1)")</f>
        <v>přespávat (v-w4969f1)</v>
      </c>
    </row>
    <row r="36326" customFormat="false" ht="12.8" hidden="false" customHeight="false" outlineLevel="0" collapsed="false">
      <c r="B36326" s="0" t="s">
        <v>1</v>
      </c>
    </row>
    <row r="36327" customFormat="false" ht="12.8" hidden="false" customHeight="false" outlineLevel="0" collapsed="false">
      <c r="B36327" s="0" t="s">
        <v>5</v>
      </c>
    </row>
    <row r="36329" customFormat="false" ht="12.8" hidden="false" customHeight="false" outlineLevel="0" collapsed="false">
      <c r="A36329" s="0" t="s">
        <v>13695</v>
      </c>
      <c r="B36329" s="0" t="str">
        <f aca="false">HYPERLINK("https://lindat.mff.cuni.cz/services/teitok/pdtc10/index.php?action=vallex&amp;frame=v-w4971f1", "přestat (v-w4971f1)")</f>
        <v>přestat (v-w4971f1)</v>
      </c>
    </row>
    <row r="36330" customFormat="false" ht="12.8" hidden="false" customHeight="false" outlineLevel="0" collapsed="false">
      <c r="B36330" s="0" t="s">
        <v>1</v>
      </c>
    </row>
    <row r="36331" customFormat="false" ht="12.8" hidden="false" customHeight="false" outlineLevel="0" collapsed="false">
      <c r="B36331" s="0" t="s">
        <v>11551</v>
      </c>
    </row>
    <row r="36333" customFormat="false" ht="12.8" hidden="false" customHeight="false" outlineLevel="0" collapsed="false">
      <c r="A36333" s="0" t="s">
        <v>13696</v>
      </c>
      <c r="B36333" s="0" t="str">
        <f aca="false">HYPERLINK("https://lindat.mff.cuni.cz/services/teitok/pdtc10/index.php?action=vallex&amp;frame=v-w4971f2", "přestat (v-w4971f2)")</f>
        <v>přestat (v-w4971f2)</v>
      </c>
      <c r="E36333" s="0" t="str">
        <f aca="false">HYPERLINK("https://lindat.mff.cuni.cz/services/SynSemClass40/SynSemClass40.html?veclass=vec00113#vec00113-ces-cm00141", "vec00113")</f>
        <v>vec00113</v>
      </c>
      <c r="F36333" s="0" t="s">
        <v>2122</v>
      </c>
    </row>
    <row r="36334" customFormat="false" ht="12.8" hidden="false" customHeight="false" outlineLevel="0" collapsed="false">
      <c r="B36334" s="0" t="s">
        <v>345</v>
      </c>
      <c r="C36334" s="0" t="s">
        <v>4146</v>
      </c>
      <c r="E36334" s="0" t="s">
        <v>1084</v>
      </c>
      <c r="F36334" s="0" t="s">
        <v>2124</v>
      </c>
    </row>
    <row r="36336" customFormat="false" ht="12.8" hidden="false" customHeight="false" outlineLevel="0" collapsed="false">
      <c r="A36336" s="0" t="s">
        <v>13697</v>
      </c>
      <c r="B36336" s="0" t="str">
        <f aca="false">HYPERLINK("https://lindat.mff.cuni.cz/services/teitok/pdtc10/index.php?action=vallex&amp;frame=v-whsa_540f1_ZU", "přestavit (v-whsa_540f1_ZU)")</f>
        <v>přestavit (v-whsa_540f1_ZU)</v>
      </c>
    </row>
    <row r="36337" customFormat="false" ht="12.8" hidden="false" customHeight="false" outlineLevel="0" collapsed="false">
      <c r="B36337" s="0" t="s">
        <v>1</v>
      </c>
    </row>
    <row r="36338" customFormat="false" ht="12.8" hidden="false" customHeight="false" outlineLevel="0" collapsed="false">
      <c r="B36338" s="0" t="s">
        <v>8</v>
      </c>
    </row>
    <row r="36339" customFormat="false" ht="12.8" hidden="false" customHeight="false" outlineLevel="0" collapsed="false">
      <c r="B36339" s="0" t="s">
        <v>36</v>
      </c>
    </row>
    <row r="36340" customFormat="false" ht="12.8" hidden="false" customHeight="false" outlineLevel="0" collapsed="false">
      <c r="B36340" s="0" t="s">
        <v>101</v>
      </c>
    </row>
    <row r="36342" customFormat="false" ht="12.8" hidden="false" customHeight="false" outlineLevel="0" collapsed="false">
      <c r="A36342" s="0" t="s">
        <v>13697</v>
      </c>
      <c r="B36342" s="0" t="str">
        <f aca="false">HYPERLINK("https://lindat.mff.cuni.cz/services/teitok/pdtc10/index.php?action=vallex&amp;frame=v-whsa_540hsa_541", "přestavit (v-whsa_540hsa_541) - substituted with v-whsa_540f1_ZU")</f>
        <v>přestavit (v-whsa_540hsa_541) - substituted with v-whsa_540f1_ZU</v>
      </c>
    </row>
    <row r="36343" customFormat="false" ht="12.8" hidden="false" customHeight="false" outlineLevel="0" collapsed="false">
      <c r="B36343" s="0" t="s">
        <v>1</v>
      </c>
    </row>
    <row r="36344" customFormat="false" ht="12.8" hidden="false" customHeight="false" outlineLevel="0" collapsed="false">
      <c r="B36344" s="0" t="s">
        <v>8</v>
      </c>
    </row>
    <row r="36345" customFormat="false" ht="12.8" hidden="false" customHeight="false" outlineLevel="0" collapsed="false">
      <c r="B36345" s="0" t="s">
        <v>36</v>
      </c>
    </row>
    <row r="36346" customFormat="false" ht="12.8" hidden="false" customHeight="false" outlineLevel="0" collapsed="false">
      <c r="B36346" s="0" t="s">
        <v>101</v>
      </c>
    </row>
    <row r="36348" customFormat="false" ht="12.8" hidden="false" customHeight="false" outlineLevel="0" collapsed="false">
      <c r="A36348" s="0" t="s">
        <v>13698</v>
      </c>
      <c r="B36348" s="0" t="str">
        <f aca="false">HYPERLINK("https://lindat.mff.cuni.cz/services/teitok/pdtc10/index.php?action=vallex&amp;frame=v-w4977f1", "přestavovat (v-w4977f1)")</f>
        <v>přestavovat (v-w4977f1)</v>
      </c>
      <c r="E36348" s="0" t="str">
        <f aca="false">HYPERLINK("https://lindat.mff.cuni.cz/services/SynSemClass40/SynSemClass40.html?veclass=vec00095#vec00095-ces-cm00080", "vec00095")</f>
        <v>vec00095</v>
      </c>
      <c r="F36348" s="0" t="s">
        <v>29</v>
      </c>
    </row>
    <row r="36349" customFormat="false" ht="12.8" hidden="false" customHeight="false" outlineLevel="0" collapsed="false">
      <c r="B36349" s="0" t="s">
        <v>1</v>
      </c>
      <c r="C36349" s="0" t="s">
        <v>30</v>
      </c>
      <c r="E36349" s="0" t="s">
        <v>31</v>
      </c>
      <c r="F36349" s="0" t="s">
        <v>32</v>
      </c>
    </row>
    <row r="36350" customFormat="false" ht="12.8" hidden="false" customHeight="false" outlineLevel="0" collapsed="false">
      <c r="B36350" s="0" t="s">
        <v>8</v>
      </c>
      <c r="C36350" s="0" t="s">
        <v>33</v>
      </c>
      <c r="E36350" s="0" t="s">
        <v>34</v>
      </c>
      <c r="F36350" s="0" t="s">
        <v>35</v>
      </c>
    </row>
    <row r="36351" customFormat="false" ht="12.8" hidden="false" customHeight="false" outlineLevel="0" collapsed="false">
      <c r="B36351" s="0" t="s">
        <v>36</v>
      </c>
      <c r="C36351" s="0" t="s">
        <v>37</v>
      </c>
      <c r="E36351" s="0" t="s">
        <v>38</v>
      </c>
      <c r="F36351" s="0" t="s">
        <v>39</v>
      </c>
    </row>
    <row r="36352" customFormat="false" ht="12.8" hidden="false" customHeight="false" outlineLevel="0" collapsed="false">
      <c r="B36352" s="0" t="s">
        <v>40</v>
      </c>
      <c r="C36352" s="0" t="s">
        <v>41</v>
      </c>
      <c r="E36352" s="0" t="s">
        <v>42</v>
      </c>
      <c r="F36352" s="0" t="s">
        <v>43</v>
      </c>
    </row>
    <row r="36354" customFormat="false" ht="12.8" hidden="false" customHeight="false" outlineLevel="0" collapsed="false">
      <c r="A36354" s="0" t="s">
        <v>13699</v>
      </c>
      <c r="B36354" s="0" t="str">
        <f aca="false">HYPERLINK("https://lindat.mff.cuni.cz/services/teitok/pdtc10/index.php?action=vallex&amp;frame=v-w4975f2_MM", "přestavět (v-w4975f2_MM)")</f>
        <v>přestavět (v-w4975f2_MM)</v>
      </c>
    </row>
    <row r="36355" customFormat="false" ht="12.8" hidden="false" customHeight="false" outlineLevel="0" collapsed="false">
      <c r="B36355" s="0" t="s">
        <v>1</v>
      </c>
    </row>
    <row r="36356" customFormat="false" ht="12.8" hidden="false" customHeight="false" outlineLevel="0" collapsed="false">
      <c r="B36356" s="0" t="s">
        <v>8</v>
      </c>
    </row>
    <row r="36357" customFormat="false" ht="12.8" hidden="false" customHeight="false" outlineLevel="0" collapsed="false">
      <c r="B36357" s="0" t="s">
        <v>13700</v>
      </c>
    </row>
    <row r="36358" customFormat="false" ht="12.8" hidden="false" customHeight="false" outlineLevel="0" collapsed="false">
      <c r="B36358" s="0" t="s">
        <v>36</v>
      </c>
    </row>
    <row r="36360" customFormat="false" ht="12.8" hidden="false" customHeight="false" outlineLevel="0" collapsed="false">
      <c r="A36360" s="0" t="s">
        <v>13699</v>
      </c>
      <c r="B36360" s="0" t="str">
        <f aca="false">HYPERLINK("https://lindat.mff.cuni.cz/services/teitok/pdtc10/index.php?action=vallex&amp;frame=v-w4975f1", "přestavět (v-w4975f1) - substituted with v-w4975f2_MM")</f>
        <v>přestavět (v-w4975f1) - substituted with v-w4975f2_MM</v>
      </c>
      <c r="E36360" s="0" t="str">
        <f aca="false">HYPERLINK("https://lindat.mff.cuni.cz/services/SynSemClass40/SynSemClass40.html?veclass=vec00095#vec00095-ces-cm00021", "vec00095")</f>
        <v>vec00095</v>
      </c>
      <c r="F36360" s="0" t="s">
        <v>29</v>
      </c>
    </row>
    <row r="36361" customFormat="false" ht="12.8" hidden="false" customHeight="false" outlineLevel="0" collapsed="false">
      <c r="B36361" s="0" t="s">
        <v>1</v>
      </c>
      <c r="C36361" s="0" t="s">
        <v>30</v>
      </c>
      <c r="E36361" s="0" t="s">
        <v>31</v>
      </c>
      <c r="F36361" s="0" t="s">
        <v>32</v>
      </c>
    </row>
    <row r="36362" customFormat="false" ht="12.8" hidden="false" customHeight="false" outlineLevel="0" collapsed="false">
      <c r="B36362" s="0" t="s">
        <v>8</v>
      </c>
      <c r="C36362" s="0" t="s">
        <v>33</v>
      </c>
      <c r="E36362" s="0" t="s">
        <v>34</v>
      </c>
      <c r="F36362" s="0" t="s">
        <v>35</v>
      </c>
    </row>
    <row r="36363" customFormat="false" ht="12.8" hidden="false" customHeight="false" outlineLevel="0" collapsed="false">
      <c r="B36363" s="0" t="s">
        <v>13700</v>
      </c>
      <c r="C36363" s="0" t="s">
        <v>41</v>
      </c>
      <c r="E36363" s="0" t="s">
        <v>42</v>
      </c>
      <c r="F36363" s="0" t="s">
        <v>43</v>
      </c>
    </row>
    <row r="36364" customFormat="false" ht="12.8" hidden="false" customHeight="false" outlineLevel="0" collapsed="false">
      <c r="B36364" s="0" t="s">
        <v>36</v>
      </c>
      <c r="C36364" s="0" t="s">
        <v>37</v>
      </c>
      <c r="E36364" s="0" t="s">
        <v>38</v>
      </c>
      <c r="F36364" s="0" t="s">
        <v>39</v>
      </c>
    </row>
    <row r="36366" customFormat="false" ht="12.8" hidden="false" customHeight="false" outlineLevel="0" collapsed="false">
      <c r="A36366" s="0" t="s">
        <v>13701</v>
      </c>
      <c r="B36366" s="0" t="str">
        <f aca="false">HYPERLINK("https://lindat.mff.cuni.cz/services/teitok/pdtc10/index.php?action=vallex&amp;frame=v-w4981f1", "přestoupit (v-w4981f1)")</f>
        <v>přestoupit (v-w4981f1)</v>
      </c>
      <c r="E36366" s="0" t="str">
        <f aca="false">HYPERLINK("https://lindat.mff.cuni.cz/services/SynSemClass40/SynSemClass40.html?veclass=vec00022#vec00022-ces-cm00062", "vec00022")</f>
        <v>vec00022</v>
      </c>
      <c r="F36366" s="0" t="s">
        <v>4377</v>
      </c>
    </row>
    <row r="36367" customFormat="false" ht="12.8" hidden="false" customHeight="false" outlineLevel="0" collapsed="false">
      <c r="B36367" s="0" t="s">
        <v>1</v>
      </c>
      <c r="C36367" s="0" t="s">
        <v>4378</v>
      </c>
      <c r="E36367" s="0" t="s">
        <v>334</v>
      </c>
      <c r="F36367" s="0" t="s">
        <v>4379</v>
      </c>
    </row>
    <row r="36368" customFormat="false" ht="12.8" hidden="false" customHeight="false" outlineLevel="0" collapsed="false">
      <c r="B36368" s="0" t="s">
        <v>631</v>
      </c>
      <c r="E36368" s="0" t="s">
        <v>1949</v>
      </c>
      <c r="F36368" s="0" t="s">
        <v>2896</v>
      </c>
    </row>
    <row r="36369" customFormat="false" ht="12.8" hidden="false" customHeight="false" outlineLevel="0" collapsed="false">
      <c r="B36369" s="0" t="s">
        <v>164</v>
      </c>
      <c r="E36369" s="0" t="s">
        <v>1315</v>
      </c>
      <c r="F36369" s="0" t="s">
        <v>1316</v>
      </c>
    </row>
    <row r="36371" customFormat="false" ht="12.8" hidden="false" customHeight="false" outlineLevel="0" collapsed="false">
      <c r="A36371" s="0" t="s">
        <v>13702</v>
      </c>
      <c r="B36371" s="0" t="str">
        <f aca="false">HYPERLINK("https://lindat.mff.cuni.cz/services/teitok/pdtc10/index.php?action=vallex&amp;frame=v-w4981hsa_2003", "přestoupit (v-w4981hsa_2003)")</f>
        <v>přestoupit (v-w4981hsa_2003)</v>
      </c>
    </row>
    <row r="36372" customFormat="false" ht="12.8" hidden="false" customHeight="false" outlineLevel="0" collapsed="false">
      <c r="B36372" s="0" t="s">
        <v>1</v>
      </c>
    </row>
    <row r="36373" customFormat="false" ht="12.8" hidden="false" customHeight="false" outlineLevel="0" collapsed="false">
      <c r="B36373" s="0" t="s">
        <v>8</v>
      </c>
    </row>
    <row r="36375" customFormat="false" ht="12.8" hidden="false" customHeight="false" outlineLevel="0" collapsed="false">
      <c r="A36375" s="0" t="s">
        <v>13703</v>
      </c>
      <c r="B36375" s="0" t="str">
        <f aca="false">HYPERLINK("https://lindat.mff.cuni.cz/services/teitok/pdtc10/index.php?action=vallex&amp;frame=v-w4981hsa_2004", "přestoupit (v-w4981hsa_2004)")</f>
        <v>přestoupit (v-w4981hsa_2004)</v>
      </c>
    </row>
    <row r="36376" customFormat="false" ht="12.8" hidden="false" customHeight="false" outlineLevel="0" collapsed="false">
      <c r="B36376" s="0" t="s">
        <v>1</v>
      </c>
    </row>
    <row r="36377" customFormat="false" ht="12.8" hidden="false" customHeight="false" outlineLevel="0" collapsed="false">
      <c r="B36377" s="0" t="s">
        <v>164</v>
      </c>
    </row>
    <row r="36379" customFormat="false" ht="12.8" hidden="false" customHeight="false" outlineLevel="0" collapsed="false">
      <c r="A36379" s="0" t="s">
        <v>13704</v>
      </c>
      <c r="B36379" s="0" t="str">
        <f aca="false">HYPERLINK("https://lindat.mff.cuni.cz/services/teitok/pdtc10/index.php?action=vallex&amp;frame=v-w10792f2", "přestrukturovat (v-w10792f2)")</f>
        <v>přestrukturovat (v-w10792f2)</v>
      </c>
    </row>
    <row r="36380" customFormat="false" ht="12.8" hidden="false" customHeight="false" outlineLevel="0" collapsed="false">
      <c r="B36380" s="0" t="s">
        <v>1</v>
      </c>
    </row>
    <row r="36381" customFormat="false" ht="12.8" hidden="false" customHeight="false" outlineLevel="0" collapsed="false">
      <c r="B36381" s="0" t="s">
        <v>8</v>
      </c>
    </row>
    <row r="36383" customFormat="false" ht="12.8" hidden="false" customHeight="false" outlineLevel="0" collapsed="false">
      <c r="A36383" s="0" t="s">
        <v>13705</v>
      </c>
      <c r="B36383" s="0" t="str">
        <f aca="false">HYPERLINK("https://lindat.mff.cuni.cz/services/teitok/pdtc10/index.php?action=vallex&amp;frame=v-w4985f1", "přestupovat (v-w4985f1)")</f>
        <v>přestupovat (v-w4985f1)</v>
      </c>
      <c r="E36383" s="0" t="str">
        <f aca="false">HYPERLINK("https://lindat.mff.cuni.cz/services/SynSemClass40/SynSemClass40.html?veclass=vec00022#vec00022-ces-cm00063", "vec00022")</f>
        <v>vec00022</v>
      </c>
      <c r="F36383" s="0" t="s">
        <v>4377</v>
      </c>
    </row>
    <row r="36384" customFormat="false" ht="12.8" hidden="false" customHeight="false" outlineLevel="0" collapsed="false">
      <c r="B36384" s="0" t="s">
        <v>1</v>
      </c>
      <c r="C36384" s="0" t="s">
        <v>4378</v>
      </c>
      <c r="E36384" s="0" t="s">
        <v>334</v>
      </c>
      <c r="F36384" s="0" t="s">
        <v>4379</v>
      </c>
    </row>
    <row r="36385" customFormat="false" ht="12.8" hidden="false" customHeight="false" outlineLevel="0" collapsed="false">
      <c r="B36385" s="0" t="s">
        <v>631</v>
      </c>
      <c r="E36385" s="0" t="s">
        <v>1949</v>
      </c>
      <c r="F36385" s="0" t="s">
        <v>2896</v>
      </c>
    </row>
    <row r="36386" customFormat="false" ht="12.8" hidden="false" customHeight="false" outlineLevel="0" collapsed="false">
      <c r="B36386" s="0" t="s">
        <v>164</v>
      </c>
      <c r="E36386" s="0" t="s">
        <v>1315</v>
      </c>
      <c r="F36386" s="0" t="s">
        <v>1316</v>
      </c>
    </row>
    <row r="36388" customFormat="false" ht="12.8" hidden="false" customHeight="false" outlineLevel="0" collapsed="false">
      <c r="A36388" s="0" t="s">
        <v>13706</v>
      </c>
      <c r="B36388" s="0" t="str">
        <f aca="false">HYPERLINK("https://lindat.mff.cuni.cz/services/teitok/pdtc10/index.php?action=vallex&amp;frame=v-w4972f1", "přestát (v-w4972f1)")</f>
        <v>přestát (v-w4972f1)</v>
      </c>
      <c r="E36388" s="0" t="str">
        <f aca="false">HYPERLINK("https://lindat.mff.cuni.cz/services/SynSemClass40/SynSemClass40.html?veclass=vec00970#vec00970-ces-cm00014", "vec00970")</f>
        <v>vec00970</v>
      </c>
      <c r="F36388" s="0" t="s">
        <v>11407</v>
      </c>
    </row>
    <row r="36389" customFormat="false" ht="12.8" hidden="false" customHeight="false" outlineLevel="0" collapsed="false">
      <c r="B36389" s="0" t="s">
        <v>1</v>
      </c>
      <c r="C36389" s="0" t="s">
        <v>3000</v>
      </c>
      <c r="E36389" s="0" t="s">
        <v>266</v>
      </c>
      <c r="F36389" s="0" t="s">
        <v>11408</v>
      </c>
    </row>
    <row r="36390" customFormat="false" ht="12.8" hidden="false" customHeight="false" outlineLevel="0" collapsed="false">
      <c r="B36390" s="0" t="s">
        <v>8</v>
      </c>
      <c r="C36390" s="0" t="s">
        <v>531</v>
      </c>
      <c r="E36390" s="0" t="s">
        <v>532</v>
      </c>
      <c r="F36390" s="0" t="s">
        <v>11409</v>
      </c>
    </row>
    <row r="36392" customFormat="false" ht="12.8" hidden="false" customHeight="false" outlineLevel="0" collapsed="false">
      <c r="A36392" s="0" t="s">
        <v>13707</v>
      </c>
      <c r="B36392" s="0" t="str">
        <f aca="false">HYPERLINK("https://lindat.mff.cuni.cz/services/teitok/pdtc10/index.php?action=vallex&amp;frame=v-w4973f1", "přestávat (v-w4973f1)")</f>
        <v>přestávat (v-w4973f1)</v>
      </c>
      <c r="E36392" s="0" t="str">
        <f aca="false">HYPERLINK("https://lindat.mff.cuni.cz/services/SynSemClass40/SynSemClass40.html?veclass=vec00942#vec00942-ces-cm00029", "vec00942")</f>
        <v>vec00942</v>
      </c>
      <c r="F36392" s="0" t="s">
        <v>1686</v>
      </c>
    </row>
    <row r="36393" customFormat="false" ht="12.8" hidden="false" customHeight="false" outlineLevel="0" collapsed="false">
      <c r="B36393" s="0" t="s">
        <v>1</v>
      </c>
      <c r="C36393" s="0" t="s">
        <v>1687</v>
      </c>
      <c r="E36393" s="0" t="s">
        <v>11</v>
      </c>
      <c r="F36393" s="0" t="s">
        <v>1688</v>
      </c>
    </row>
    <row r="36394" customFormat="false" ht="12.8" hidden="false" customHeight="false" outlineLevel="0" collapsed="false">
      <c r="B36394" s="0" t="s">
        <v>11551</v>
      </c>
      <c r="C36394" s="0" t="s">
        <v>1690</v>
      </c>
      <c r="E36394" s="0" t="s">
        <v>140</v>
      </c>
      <c r="F36394" s="0" t="s">
        <v>1691</v>
      </c>
    </row>
    <row r="36396" customFormat="false" ht="12.8" hidden="false" customHeight="false" outlineLevel="0" collapsed="false">
      <c r="A36396" s="0" t="s">
        <v>13708</v>
      </c>
      <c r="B36396" s="0" t="str">
        <f aca="false">HYPERLINK("https://lindat.mff.cuni.cz/services/teitok/pdtc10/index.php?action=vallex&amp;frame=v-w4973f2", "přestávat (v-w4973f2)")</f>
        <v>přestávat (v-w4973f2)</v>
      </c>
      <c r="E36396" s="0" t="str">
        <f aca="false">HYPERLINK("https://lindat.mff.cuni.cz/services/SynSemClass40/SynSemClass40.html?veclass=vec00113#vec00113-ces-cm00319", "vec00113")</f>
        <v>vec00113</v>
      </c>
      <c r="F36396" s="0" t="s">
        <v>2122</v>
      </c>
    </row>
    <row r="36397" customFormat="false" ht="12.8" hidden="false" customHeight="false" outlineLevel="0" collapsed="false">
      <c r="B36397" s="0" t="s">
        <v>345</v>
      </c>
      <c r="C36397" s="0" t="s">
        <v>4146</v>
      </c>
      <c r="E36397" s="0" t="s">
        <v>1084</v>
      </c>
      <c r="F36397" s="0" t="s">
        <v>2124</v>
      </c>
    </row>
    <row r="36399" customFormat="false" ht="12.8" hidden="false" customHeight="false" outlineLevel="0" collapsed="false">
      <c r="A36399" s="0" t="s">
        <v>13709</v>
      </c>
      <c r="B36399" s="0" t="str">
        <f aca="false">HYPERLINK("https://lindat.mff.cuni.cz/services/teitok/pdtc10/index.php?action=vallex&amp;frame=v-w4979f1", "přestěhovat (v-w4979f1)")</f>
        <v>přestěhovat (v-w4979f1)</v>
      </c>
      <c r="E36399" s="0" t="str">
        <f aca="false">HYPERLINK("https://lindat.mff.cuni.cz/services/SynSemClass40/SynSemClass40.html?veclass=vec00283#vec00283-ces-cm00021", "vec00283")</f>
        <v>vec00283</v>
      </c>
      <c r="F36399" s="0" t="s">
        <v>8946</v>
      </c>
    </row>
    <row r="36400" customFormat="false" ht="12.8" hidden="false" customHeight="false" outlineLevel="0" collapsed="false">
      <c r="B36400" s="0" t="s">
        <v>1</v>
      </c>
      <c r="C36400" s="0" t="s">
        <v>7911</v>
      </c>
      <c r="E36400" s="0" t="s">
        <v>2196</v>
      </c>
      <c r="F36400" s="0" t="s">
        <v>8947</v>
      </c>
    </row>
    <row r="36401" customFormat="false" ht="12.8" hidden="false" customHeight="false" outlineLevel="0" collapsed="false">
      <c r="B36401" s="0" t="s">
        <v>8</v>
      </c>
      <c r="C36401" s="0" t="s">
        <v>8948</v>
      </c>
      <c r="E36401" s="0" t="s">
        <v>2200</v>
      </c>
      <c r="F36401" s="0" t="s">
        <v>8949</v>
      </c>
    </row>
    <row r="36402" customFormat="false" ht="12.8" hidden="false" customHeight="false" outlineLevel="0" collapsed="false">
      <c r="B36402" s="0" t="s">
        <v>631</v>
      </c>
      <c r="E36402" s="0" t="s">
        <v>4096</v>
      </c>
      <c r="F36402" s="0" t="s">
        <v>4097</v>
      </c>
    </row>
    <row r="36403" customFormat="false" ht="12.8" hidden="false" customHeight="false" outlineLevel="0" collapsed="false">
      <c r="B36403" s="0" t="s">
        <v>164</v>
      </c>
      <c r="C36403" s="0" t="s">
        <v>11520</v>
      </c>
      <c r="E36403" s="0" t="s">
        <v>388</v>
      </c>
      <c r="F36403" s="0" t="s">
        <v>11521</v>
      </c>
    </row>
    <row r="36405" customFormat="false" ht="12.8" hidden="false" customHeight="false" outlineLevel="0" collapsed="false">
      <c r="A36405" s="0" t="s">
        <v>13710</v>
      </c>
      <c r="B36405" s="0" t="str">
        <f aca="false">HYPERLINK("https://lindat.mff.cuni.cz/services/teitok/pdtc10/index.php?action=vallex&amp;frame=v-w4980f1", "přestěhovat se (v-w4980f1)")</f>
        <v>přestěhovat se (v-w4980f1)</v>
      </c>
      <c r="E36405" s="0" t="str">
        <f aca="false">HYPERLINK("https://lindat.mff.cuni.cz/services/SynSemClass40/SynSemClass40.html?veclass=vec00048#vec00048-ces-cm00188", "vec00048")</f>
        <v>vec00048</v>
      </c>
      <c r="F36405" s="0" t="s">
        <v>1945</v>
      </c>
    </row>
    <row r="36406" customFormat="false" ht="12.8" hidden="false" customHeight="false" outlineLevel="0" collapsed="false">
      <c r="B36406" s="0" t="s">
        <v>1</v>
      </c>
      <c r="C36406" s="0" t="s">
        <v>1946</v>
      </c>
      <c r="E36406" s="0" t="s">
        <v>334</v>
      </c>
      <c r="F36406" s="0" t="s">
        <v>1947</v>
      </c>
    </row>
    <row r="36407" customFormat="false" ht="12.8" hidden="false" customHeight="false" outlineLevel="0" collapsed="false">
      <c r="B36407" s="0" t="s">
        <v>631</v>
      </c>
      <c r="C36407" s="0" t="s">
        <v>1948</v>
      </c>
      <c r="E36407" s="0" t="s">
        <v>1949</v>
      </c>
      <c r="F36407" s="0" t="s">
        <v>1950</v>
      </c>
    </row>
    <row r="36408" customFormat="false" ht="12.8" hidden="false" customHeight="false" outlineLevel="0" collapsed="false">
      <c r="B36408" s="0" t="s">
        <v>164</v>
      </c>
      <c r="E36408" s="0" t="s">
        <v>1315</v>
      </c>
      <c r="F36408" s="0" t="s">
        <v>1316</v>
      </c>
    </row>
    <row r="36410" customFormat="false" ht="12.8" hidden="false" customHeight="false" outlineLevel="0" collapsed="false">
      <c r="A36410" s="0" t="s">
        <v>13711</v>
      </c>
      <c r="B36410" s="0" t="str">
        <f aca="false">HYPERLINK("https://lindat.mff.cuni.cz/services/teitok/pdtc10/index.php?action=vallex&amp;frame=v-w4982f1", "přestřelit (v-w4982f1)")</f>
        <v>přestřelit (v-w4982f1)</v>
      </c>
    </row>
    <row r="36411" customFormat="false" ht="12.8" hidden="false" customHeight="false" outlineLevel="0" collapsed="false">
      <c r="B36411" s="0" t="s">
        <v>1</v>
      </c>
    </row>
    <row r="36412" customFormat="false" ht="12.8" hidden="false" customHeight="false" outlineLevel="0" collapsed="false">
      <c r="B36412" s="0" t="s">
        <v>8</v>
      </c>
    </row>
    <row r="36414" customFormat="false" ht="12.8" hidden="false" customHeight="false" outlineLevel="0" collapsed="false">
      <c r="A36414" s="0" t="s">
        <v>13712</v>
      </c>
      <c r="B36414" s="0" t="str">
        <f aca="false">HYPERLINK("https://lindat.mff.cuni.cz/services/teitok/pdtc10/index.php?action=vallex&amp;frame=v-w10850f3", "přestřihnout (v-w10850f3)")</f>
        <v>přestřihnout (v-w10850f3)</v>
      </c>
    </row>
    <row r="36415" customFormat="false" ht="12.8" hidden="false" customHeight="false" outlineLevel="0" collapsed="false">
      <c r="B36415" s="0" t="s">
        <v>1</v>
      </c>
    </row>
    <row r="36416" customFormat="false" ht="12.8" hidden="false" customHeight="false" outlineLevel="0" collapsed="false">
      <c r="B36416" s="0" t="s">
        <v>8</v>
      </c>
    </row>
    <row r="36418" customFormat="false" ht="12.8" hidden="false" customHeight="false" outlineLevel="0" collapsed="false">
      <c r="A36418" s="0" t="s">
        <v>13713</v>
      </c>
      <c r="B36418" s="0" t="str">
        <f aca="false">HYPERLINK("https://lindat.mff.cuni.cz/services/teitok/pdtc10/index.php?action=vallex&amp;frame=v-w10850f2", "přestřihnout (v-w10850f2)")</f>
        <v>přestřihnout (v-w10850f2)</v>
      </c>
    </row>
    <row r="36419" customFormat="false" ht="12.8" hidden="false" customHeight="false" outlineLevel="0" collapsed="false">
      <c r="B36419" s="0" t="s">
        <v>1</v>
      </c>
    </row>
    <row r="36420" customFormat="false" ht="12.8" hidden="false" customHeight="false" outlineLevel="0" collapsed="false">
      <c r="B36420" s="0" t="s">
        <v>8</v>
      </c>
    </row>
    <row r="36422" customFormat="false" ht="12.8" hidden="false" customHeight="false" outlineLevel="0" collapsed="false">
      <c r="A36422" s="0" t="s">
        <v>13714</v>
      </c>
      <c r="B36422" s="0" t="str">
        <f aca="false">HYPERLINK("https://lindat.mff.cuni.cz/services/teitok/pdtc10/index.php?action=vallex&amp;frame=v-w4987f2", "přesunout (v-w4987f2)")</f>
        <v>přesunout (v-w4987f2)</v>
      </c>
      <c r="E36422" s="0" t="str">
        <f aca="false">HYPERLINK("https://lindat.mff.cuni.cz/services/SynSemClass40/SynSemClass40.html?veclass=vec00283#vec00283-ces-cm00023", "vec00283")</f>
        <v>vec00283</v>
      </c>
      <c r="F36422" s="0" t="s">
        <v>8946</v>
      </c>
    </row>
    <row r="36423" customFormat="false" ht="12.8" hidden="false" customHeight="false" outlineLevel="0" collapsed="false">
      <c r="B36423" s="0" t="s">
        <v>1</v>
      </c>
      <c r="C36423" s="0" t="s">
        <v>7911</v>
      </c>
      <c r="E36423" s="0" t="s">
        <v>2196</v>
      </c>
      <c r="F36423" s="0" t="s">
        <v>8947</v>
      </c>
    </row>
    <row r="36424" customFormat="false" ht="12.8" hidden="false" customHeight="false" outlineLevel="0" collapsed="false">
      <c r="B36424" s="0" t="s">
        <v>8</v>
      </c>
      <c r="C36424" s="0" t="s">
        <v>8948</v>
      </c>
      <c r="E36424" s="0" t="s">
        <v>2200</v>
      </c>
      <c r="F36424" s="0" t="s">
        <v>8949</v>
      </c>
    </row>
    <row r="36425" customFormat="false" ht="12.8" hidden="false" customHeight="false" outlineLevel="0" collapsed="false">
      <c r="B36425" s="0" t="s">
        <v>4688</v>
      </c>
      <c r="C36425" s="0" t="s">
        <v>13555</v>
      </c>
      <c r="E36425" s="0" t="s">
        <v>13556</v>
      </c>
      <c r="F36425" s="0" t="s">
        <v>13557</v>
      </c>
    </row>
    <row r="36426" customFormat="false" ht="12.8" hidden="false" customHeight="false" outlineLevel="0" collapsed="false">
      <c r="B36426" s="0" t="s">
        <v>36</v>
      </c>
      <c r="E36426" s="0" t="s">
        <v>2176</v>
      </c>
      <c r="F36426" s="0" t="s">
        <v>2807</v>
      </c>
    </row>
    <row r="36428" customFormat="false" ht="12.8" hidden="false" customHeight="false" outlineLevel="0" collapsed="false">
      <c r="A36428" s="0" t="s">
        <v>13715</v>
      </c>
      <c r="B36428" s="0" t="str">
        <f aca="false">HYPERLINK("https://lindat.mff.cuni.cz/services/teitok/pdtc10/index.php?action=vallex&amp;frame=v-w4987f4_ZU", "přesunout (v-w4987f4_ZU)")</f>
        <v>přesunout (v-w4987f4_ZU)</v>
      </c>
      <c r="E36428" s="0" t="str">
        <f aca="false">HYPERLINK("https://lindat.mff.cuni.cz/services/SynSemClass40/SynSemClass40.html?veclass=vec00283#vec00283-ces-cm00042", "vec00283")</f>
        <v>vec00283</v>
      </c>
      <c r="F36428" s="0" t="s">
        <v>8946</v>
      </c>
    </row>
    <row r="36429" customFormat="false" ht="12.8" hidden="false" customHeight="false" outlineLevel="0" collapsed="false">
      <c r="B36429" s="0" t="s">
        <v>1</v>
      </c>
      <c r="C36429" s="0" t="s">
        <v>7911</v>
      </c>
      <c r="E36429" s="0" t="s">
        <v>2196</v>
      </c>
      <c r="F36429" s="0" t="s">
        <v>8947</v>
      </c>
    </row>
    <row r="36430" customFormat="false" ht="12.8" hidden="false" customHeight="false" outlineLevel="0" collapsed="false">
      <c r="B36430" s="0" t="s">
        <v>8</v>
      </c>
      <c r="C36430" s="0" t="s">
        <v>8948</v>
      </c>
      <c r="E36430" s="0" t="s">
        <v>2200</v>
      </c>
      <c r="F36430" s="0" t="s">
        <v>8949</v>
      </c>
    </row>
    <row r="36431" customFormat="false" ht="12.8" hidden="false" customHeight="false" outlineLevel="0" collapsed="false">
      <c r="B36431" s="0" t="s">
        <v>36</v>
      </c>
      <c r="E36431" s="0" t="s">
        <v>2176</v>
      </c>
      <c r="F36431" s="0" t="s">
        <v>2807</v>
      </c>
    </row>
    <row r="36432" customFormat="false" ht="12.8" hidden="false" customHeight="false" outlineLevel="0" collapsed="false">
      <c r="B36432" s="0" t="s">
        <v>13716</v>
      </c>
      <c r="C36432" s="0" t="s">
        <v>9190</v>
      </c>
      <c r="E36432" s="0" t="s">
        <v>4630</v>
      </c>
      <c r="F36432" s="0" t="s">
        <v>9191</v>
      </c>
    </row>
    <row r="36434" customFormat="false" ht="12.8" hidden="false" customHeight="false" outlineLevel="0" collapsed="false">
      <c r="A36434" s="0" t="s">
        <v>13717</v>
      </c>
      <c r="B36434" s="0" t="str">
        <f aca="false">HYPERLINK("https://lindat.mff.cuni.cz/services/teitok/pdtc10/index.php?action=vallex&amp;frame=v-w4987f1", "přesunout (v-w4987f1)")</f>
        <v>přesunout (v-w4987f1)</v>
      </c>
      <c r="E36434" s="0" t="str">
        <f aca="false">HYPERLINK("https://lindat.mff.cuni.cz/services/SynSemClass40/SynSemClass40.html?veclass=vec00283#vec00283-ces-cm00022", "vec00283")</f>
        <v>vec00283</v>
      </c>
      <c r="F36434" s="0" t="s">
        <v>8946</v>
      </c>
      <c r="H36434" s="0" t="str">
        <f aca="false">HYPERLINK("https://lindat.mff.cuni.cz/services/SynSemClass40/SynSemClass40.html?veclass=vec00894#vec00894-ces-cm00008", "vec00894")</f>
        <v>vec00894</v>
      </c>
      <c r="I36434" s="0" t="s">
        <v>13498</v>
      </c>
    </row>
    <row r="36435" customFormat="false" ht="12.8" hidden="false" customHeight="false" outlineLevel="0" collapsed="false">
      <c r="B36435" s="0" t="s">
        <v>1</v>
      </c>
      <c r="C36435" s="0" t="s">
        <v>2720</v>
      </c>
      <c r="E36435" s="0" t="s">
        <v>2196</v>
      </c>
      <c r="F36435" s="0" t="s">
        <v>8947</v>
      </c>
      <c r="H36435" s="0" t="s">
        <v>334</v>
      </c>
      <c r="I36435" s="0" t="s">
        <v>13500</v>
      </c>
    </row>
    <row r="36436" customFormat="false" ht="12.8" hidden="false" customHeight="false" outlineLevel="0" collapsed="false">
      <c r="B36436" s="0" t="s">
        <v>8</v>
      </c>
      <c r="C36436" s="0" t="s">
        <v>13718</v>
      </c>
      <c r="E36436" s="0" t="s">
        <v>2200</v>
      </c>
      <c r="F36436" s="0" t="s">
        <v>8949</v>
      </c>
      <c r="H36436" s="0" t="s">
        <v>2648</v>
      </c>
      <c r="I36436" s="0" t="s">
        <v>13502</v>
      </c>
    </row>
    <row r="36437" customFormat="false" ht="12.8" hidden="false" customHeight="false" outlineLevel="0" collapsed="false">
      <c r="B36437" s="0" t="s">
        <v>631</v>
      </c>
      <c r="E36437" s="0" t="s">
        <v>4096</v>
      </c>
      <c r="F36437" s="0" t="s">
        <v>4097</v>
      </c>
      <c r="H36437" s="0" t="s">
        <v>1949</v>
      </c>
      <c r="I36437" s="0" t="s">
        <v>2896</v>
      </c>
    </row>
    <row r="36438" customFormat="false" ht="12.8" hidden="false" customHeight="false" outlineLevel="0" collapsed="false">
      <c r="B36438" s="0" t="s">
        <v>164</v>
      </c>
      <c r="C36438" s="0" t="s">
        <v>13719</v>
      </c>
      <c r="E36438" s="0" t="s">
        <v>388</v>
      </c>
      <c r="F36438" s="0" t="s">
        <v>11521</v>
      </c>
      <c r="H36438" s="0" t="s">
        <v>1315</v>
      </c>
      <c r="I36438" s="0" t="s">
        <v>13504</v>
      </c>
    </row>
    <row r="36440" customFormat="false" ht="12.8" hidden="false" customHeight="false" outlineLevel="0" collapsed="false">
      <c r="A36440" s="0" t="s">
        <v>13720</v>
      </c>
      <c r="B36440" s="0" t="str">
        <f aca="false">HYPERLINK("https://lindat.mff.cuni.cz/services/teitok/pdtc10/index.php?action=vallex&amp;frame=v-w4987f3", "přesunout (v-w4987f3)")</f>
        <v>přesunout (v-w4987f3)</v>
      </c>
      <c r="E36440" s="0" t="str">
        <f aca="false">HYPERLINK("https://lindat.mff.cuni.cz/services/SynSemClass40/SynSemClass40.html?veclass=vec01284#vec01284-ces-cm00003", "vec01284")</f>
        <v>vec01284</v>
      </c>
      <c r="F36440" s="0" t="s">
        <v>8765</v>
      </c>
    </row>
    <row r="36441" customFormat="false" ht="12.8" hidden="false" customHeight="false" outlineLevel="0" collapsed="false">
      <c r="B36441" s="0" t="s">
        <v>1</v>
      </c>
      <c r="C36441" s="0" t="s">
        <v>5370</v>
      </c>
      <c r="E36441" s="0" t="s">
        <v>84</v>
      </c>
      <c r="F36441" s="0" t="s">
        <v>8767</v>
      </c>
    </row>
    <row r="36442" customFormat="false" ht="12.8" hidden="false" customHeight="false" outlineLevel="0" collapsed="false">
      <c r="B36442" s="0" t="s">
        <v>8</v>
      </c>
      <c r="C36442" s="0" t="s">
        <v>13506</v>
      </c>
      <c r="E36442" s="0" t="s">
        <v>87</v>
      </c>
      <c r="F36442" s="0" t="s">
        <v>8769</v>
      </c>
    </row>
    <row r="36443" customFormat="false" ht="12.8" hidden="false" customHeight="false" outlineLevel="0" collapsed="false">
      <c r="B36443" s="0" t="s">
        <v>10661</v>
      </c>
      <c r="C36443" s="0" t="s">
        <v>13507</v>
      </c>
      <c r="E36443" s="0" t="s">
        <v>13508</v>
      </c>
      <c r="F36443" s="0" t="s">
        <v>13509</v>
      </c>
    </row>
    <row r="36444" customFormat="false" ht="12.8" hidden="false" customHeight="false" outlineLevel="0" collapsed="false">
      <c r="B36444" s="0" t="s">
        <v>1799</v>
      </c>
      <c r="C36444" s="0" t="s">
        <v>13510</v>
      </c>
      <c r="E36444" s="0" t="s">
        <v>13511</v>
      </c>
      <c r="F36444" s="0" t="s">
        <v>13512</v>
      </c>
    </row>
    <row r="36446" customFormat="false" ht="12.8" hidden="false" customHeight="false" outlineLevel="0" collapsed="false">
      <c r="A36446" s="0" t="s">
        <v>13721</v>
      </c>
      <c r="B36446" s="0" t="str">
        <f aca="false">HYPERLINK("https://lindat.mff.cuni.cz/services/teitok/pdtc10/index.php?action=vallex&amp;frame=v-w4988f1", "přesunout se (v-w4988f1)")</f>
        <v>přesunout se (v-w4988f1)</v>
      </c>
      <c r="E36446" s="0" t="str">
        <f aca="false">HYPERLINK("https://lindat.mff.cuni.cz/services/SynSemClass40/SynSemClass40.html?veclass=vec00048#vec00048-ces-cm00096", "vec00048")</f>
        <v>vec00048</v>
      </c>
      <c r="F36446" s="0" t="s">
        <v>1945</v>
      </c>
    </row>
    <row r="36447" customFormat="false" ht="12.8" hidden="false" customHeight="false" outlineLevel="0" collapsed="false">
      <c r="B36447" s="0" t="s">
        <v>1</v>
      </c>
      <c r="C36447" s="0" t="s">
        <v>1946</v>
      </c>
      <c r="E36447" s="0" t="s">
        <v>334</v>
      </c>
      <c r="F36447" s="0" t="s">
        <v>1947</v>
      </c>
    </row>
    <row r="36448" customFormat="false" ht="12.8" hidden="false" customHeight="false" outlineLevel="0" collapsed="false">
      <c r="B36448" s="0" t="s">
        <v>631</v>
      </c>
      <c r="C36448" s="0" t="s">
        <v>1948</v>
      </c>
      <c r="E36448" s="0" t="s">
        <v>1949</v>
      </c>
      <c r="F36448" s="0" t="s">
        <v>1950</v>
      </c>
    </row>
    <row r="36449" customFormat="false" ht="12.8" hidden="false" customHeight="false" outlineLevel="0" collapsed="false">
      <c r="B36449" s="0" t="s">
        <v>164</v>
      </c>
      <c r="E36449" s="0" t="s">
        <v>1315</v>
      </c>
      <c r="F36449" s="0" t="s">
        <v>1316</v>
      </c>
    </row>
    <row r="36451" customFormat="false" ht="12.8" hidden="false" customHeight="false" outlineLevel="0" collapsed="false">
      <c r="A36451" s="0" t="s">
        <v>13722</v>
      </c>
      <c r="B36451" s="0" t="str">
        <f aca="false">HYPERLINK("https://lindat.mff.cuni.cz/services/teitok/pdtc10/index.php?action=vallex&amp;frame=v-w4988f2_ZU", "přesunout se (v-w4988f2_ZU)")</f>
        <v>přesunout se (v-w4988f2_ZU)</v>
      </c>
    </row>
    <row r="36452" customFormat="false" ht="12.8" hidden="false" customHeight="false" outlineLevel="0" collapsed="false">
      <c r="B36452" s="0" t="s">
        <v>1</v>
      </c>
    </row>
    <row r="36453" customFormat="false" ht="12.8" hidden="false" customHeight="false" outlineLevel="0" collapsed="false">
      <c r="B36453" s="0" t="s">
        <v>4446</v>
      </c>
    </row>
    <row r="36454" customFormat="false" ht="12.8" hidden="false" customHeight="false" outlineLevel="0" collapsed="false">
      <c r="B36454" s="0" t="s">
        <v>2840</v>
      </c>
    </row>
    <row r="36456" customFormat="false" ht="12.8" hidden="false" customHeight="false" outlineLevel="0" collapsed="false">
      <c r="A36456" s="0" t="s">
        <v>13723</v>
      </c>
      <c r="B36456" s="0" t="str">
        <f aca="false">HYPERLINK("https://lindat.mff.cuni.cz/services/teitok/pdtc10/index.php?action=vallex&amp;frame=v-w4989f2", "přesunovat (v-w4989f2)")</f>
        <v>přesunovat (v-w4989f2)</v>
      </c>
    </row>
    <row r="36457" customFormat="false" ht="12.8" hidden="false" customHeight="false" outlineLevel="0" collapsed="false">
      <c r="B36457" s="0" t="s">
        <v>1</v>
      </c>
    </row>
    <row r="36458" customFormat="false" ht="12.8" hidden="false" customHeight="false" outlineLevel="0" collapsed="false">
      <c r="B36458" s="0" t="s">
        <v>8</v>
      </c>
    </row>
    <row r="36459" customFormat="false" ht="12.8" hidden="false" customHeight="false" outlineLevel="0" collapsed="false">
      <c r="B36459" s="0" t="s">
        <v>162</v>
      </c>
    </row>
    <row r="36461" customFormat="false" ht="12.8" hidden="false" customHeight="false" outlineLevel="0" collapsed="false">
      <c r="A36461" s="0" t="s">
        <v>13724</v>
      </c>
      <c r="B36461" s="0" t="str">
        <f aca="false">HYPERLINK("https://lindat.mff.cuni.cz/services/teitok/pdtc10/index.php?action=vallex&amp;frame=v-w4989f1", "přesunovat (v-w4989f1)")</f>
        <v>přesunovat (v-w4989f1)</v>
      </c>
      <c r="E36461" s="0" t="str">
        <f aca="false">HYPERLINK("https://lindat.mff.cuni.cz/services/SynSemClass40/SynSemClass40.html?veclass=vec00283#vec00283-ces-cm00089", "vec00283")</f>
        <v>vec00283</v>
      </c>
      <c r="F36461" s="0" t="s">
        <v>8946</v>
      </c>
    </row>
    <row r="36462" customFormat="false" ht="12.8" hidden="false" customHeight="false" outlineLevel="0" collapsed="false">
      <c r="B36462" s="0" t="s">
        <v>1</v>
      </c>
      <c r="C36462" s="0" t="s">
        <v>7911</v>
      </c>
      <c r="E36462" s="0" t="s">
        <v>2196</v>
      </c>
      <c r="F36462" s="0" t="s">
        <v>8947</v>
      </c>
    </row>
    <row r="36463" customFormat="false" ht="12.8" hidden="false" customHeight="false" outlineLevel="0" collapsed="false">
      <c r="B36463" s="0" t="s">
        <v>8</v>
      </c>
      <c r="C36463" s="0" t="s">
        <v>8948</v>
      </c>
      <c r="E36463" s="0" t="s">
        <v>2200</v>
      </c>
      <c r="F36463" s="0" t="s">
        <v>8949</v>
      </c>
    </row>
    <row r="36464" customFormat="false" ht="12.8" hidden="false" customHeight="false" outlineLevel="0" collapsed="false">
      <c r="B36464" s="0" t="s">
        <v>631</v>
      </c>
      <c r="E36464" s="0" t="s">
        <v>4096</v>
      </c>
      <c r="F36464" s="0" t="s">
        <v>4097</v>
      </c>
    </row>
    <row r="36465" customFormat="false" ht="12.8" hidden="false" customHeight="false" outlineLevel="0" collapsed="false">
      <c r="B36465" s="0" t="s">
        <v>164</v>
      </c>
      <c r="C36465" s="0" t="s">
        <v>11520</v>
      </c>
      <c r="E36465" s="0" t="s">
        <v>388</v>
      </c>
      <c r="F36465" s="0" t="s">
        <v>11521</v>
      </c>
    </row>
    <row r="36467" customFormat="false" ht="12.8" hidden="false" customHeight="false" outlineLevel="0" collapsed="false">
      <c r="A36467" s="0" t="s">
        <v>13725</v>
      </c>
      <c r="B36467" s="0" t="str">
        <f aca="false">HYPERLINK("https://lindat.mff.cuni.cz/services/teitok/pdtc10/index.php?action=vallex&amp;frame=v-w4990f1", "přesunovat se (v-w4990f1)")</f>
        <v>přesunovat se (v-w4990f1)</v>
      </c>
      <c r="E36467" s="0" t="str">
        <f aca="false">HYPERLINK("https://lindat.mff.cuni.cz/services/SynSemClass40/SynSemClass40.html?veclass=vec00048#vec00048-ces-cm00189", "vec00048")</f>
        <v>vec00048</v>
      </c>
      <c r="F36467" s="0" t="s">
        <v>1945</v>
      </c>
    </row>
    <row r="36468" customFormat="false" ht="12.8" hidden="false" customHeight="false" outlineLevel="0" collapsed="false">
      <c r="B36468" s="0" t="s">
        <v>1</v>
      </c>
      <c r="C36468" s="0" t="s">
        <v>1946</v>
      </c>
      <c r="E36468" s="0" t="s">
        <v>334</v>
      </c>
      <c r="F36468" s="0" t="s">
        <v>1947</v>
      </c>
    </row>
    <row r="36469" customFormat="false" ht="12.8" hidden="false" customHeight="false" outlineLevel="0" collapsed="false">
      <c r="B36469" s="0" t="s">
        <v>631</v>
      </c>
      <c r="C36469" s="0" t="s">
        <v>1948</v>
      </c>
      <c r="E36469" s="0" t="s">
        <v>1949</v>
      </c>
      <c r="F36469" s="0" t="s">
        <v>1950</v>
      </c>
    </row>
    <row r="36470" customFormat="false" ht="12.8" hidden="false" customHeight="false" outlineLevel="0" collapsed="false">
      <c r="B36470" s="0" t="s">
        <v>164</v>
      </c>
      <c r="E36470" s="0" t="s">
        <v>1315</v>
      </c>
      <c r="F36470" s="0" t="s">
        <v>1316</v>
      </c>
    </row>
    <row r="36472" customFormat="false" ht="12.8" hidden="false" customHeight="false" outlineLevel="0" collapsed="false">
      <c r="A36472" s="0" t="s">
        <v>13726</v>
      </c>
      <c r="B36472" s="0" t="str">
        <f aca="false">HYPERLINK("https://lindat.mff.cuni.cz/services/teitok/pdtc10/index.php?action=vallex&amp;frame=v-w4994f1", "přesvědčit (v-w4994f1)")</f>
        <v>přesvědčit (v-w4994f1)</v>
      </c>
      <c r="E36472" s="0" t="str">
        <f aca="false">HYPERLINK("https://lindat.mff.cuni.cz/services/SynSemClass40/SynSemClass40.html?veclass=vec00098#vec00098-ces-cm00048", "vec00098")</f>
        <v>vec00098</v>
      </c>
      <c r="F36472" s="0" t="s">
        <v>2500</v>
      </c>
    </row>
    <row r="36473" customFormat="false" ht="12.8" hidden="false" customHeight="false" outlineLevel="0" collapsed="false">
      <c r="B36473" s="0" t="s">
        <v>1</v>
      </c>
      <c r="C36473" s="0" t="s">
        <v>2501</v>
      </c>
      <c r="E36473" s="0" t="s">
        <v>1665</v>
      </c>
      <c r="F36473" s="0" t="s">
        <v>2502</v>
      </c>
    </row>
    <row r="36474" customFormat="false" ht="12.8" hidden="false" customHeight="false" outlineLevel="0" collapsed="false">
      <c r="B36474" s="0" t="s">
        <v>13727</v>
      </c>
      <c r="C36474" s="0" t="s">
        <v>2503</v>
      </c>
      <c r="E36474" s="0" t="s">
        <v>79</v>
      </c>
      <c r="F36474" s="0" t="s">
        <v>2504</v>
      </c>
    </row>
    <row r="36475" customFormat="false" ht="12.8" hidden="false" customHeight="false" outlineLevel="0" collapsed="false">
      <c r="B36475" s="0" t="s">
        <v>98</v>
      </c>
      <c r="C36475" s="0" t="s">
        <v>2505</v>
      </c>
      <c r="E36475" s="0" t="s">
        <v>2287</v>
      </c>
      <c r="F36475" s="0" t="s">
        <v>2506</v>
      </c>
    </row>
    <row r="36477" customFormat="false" ht="12.8" hidden="false" customHeight="false" outlineLevel="0" collapsed="false">
      <c r="A36477" s="0" t="s">
        <v>13728</v>
      </c>
      <c r="B36477" s="0" t="str">
        <f aca="false">HYPERLINK("https://lindat.mff.cuni.cz/services/teitok/pdtc10/index.php?action=vallex&amp;frame=v-w4995f1", "přesvědčit se (v-w4995f1)")</f>
        <v>přesvědčit se (v-w4995f1)</v>
      </c>
      <c r="E36477" s="0" t="str">
        <f aca="false">HYPERLINK("https://lindat.mff.cuni.cz/services/SynSemClass40/SynSemClass40.html?veclass=vec01436#vec01436-ces-cm00002", "vec01436")</f>
        <v>vec01436</v>
      </c>
      <c r="F36477" s="0" t="s">
        <v>10211</v>
      </c>
    </row>
    <row r="36478" customFormat="false" ht="12.8" hidden="false" customHeight="false" outlineLevel="0" collapsed="false">
      <c r="B36478" s="0" t="s">
        <v>1</v>
      </c>
      <c r="C36478" s="0" t="s">
        <v>12335</v>
      </c>
      <c r="E36478" s="0" t="s">
        <v>621</v>
      </c>
      <c r="F36478" s="0" t="s">
        <v>10213</v>
      </c>
    </row>
    <row r="36479" customFormat="false" ht="12.8" hidden="false" customHeight="false" outlineLevel="0" collapsed="false">
      <c r="B36479" s="0" t="s">
        <v>11774</v>
      </c>
      <c r="C36479" s="0" t="s">
        <v>13729</v>
      </c>
      <c r="E36479" s="0" t="s">
        <v>218</v>
      </c>
      <c r="F36479" s="0" t="s">
        <v>10216</v>
      </c>
    </row>
    <row r="36481" customFormat="false" ht="12.8" hidden="false" customHeight="false" outlineLevel="0" collapsed="false">
      <c r="A36481" s="0" t="s">
        <v>13730</v>
      </c>
      <c r="B36481" s="0" t="str">
        <f aca="false">HYPERLINK("https://lindat.mff.cuni.cz/services/teitok/pdtc10/index.php?action=vallex&amp;frame=v-w4995f2", "přesvědčit se (v-w4995f2)")</f>
        <v>přesvědčit se (v-w4995f2)</v>
      </c>
      <c r="E36481" s="0" t="str">
        <f aca="false">HYPERLINK("https://lindat.mff.cuni.cz/services/SynSemClass40/SynSemClass40.html?veclass=vec01436#vec01436-ces-cm00003", "vec01436")</f>
        <v>vec01436</v>
      </c>
      <c r="F36481" s="0" t="s">
        <v>10211</v>
      </c>
    </row>
    <row r="36482" customFormat="false" ht="12.8" hidden="false" customHeight="false" outlineLevel="0" collapsed="false">
      <c r="B36482" s="0" t="s">
        <v>1</v>
      </c>
      <c r="C36482" s="0" t="s">
        <v>12335</v>
      </c>
      <c r="E36482" s="0" t="s">
        <v>621</v>
      </c>
      <c r="F36482" s="0" t="s">
        <v>10213</v>
      </c>
    </row>
    <row r="36483" customFormat="false" ht="12.8" hidden="false" customHeight="false" outlineLevel="0" collapsed="false">
      <c r="B36483" s="0" t="s">
        <v>13731</v>
      </c>
      <c r="C36483" s="0" t="s">
        <v>13732</v>
      </c>
      <c r="E36483" s="0" t="s">
        <v>2217</v>
      </c>
      <c r="F36483" s="0" t="s">
        <v>13733</v>
      </c>
    </row>
    <row r="36484" customFormat="false" ht="12.8" hidden="false" customHeight="false" outlineLevel="0" collapsed="false">
      <c r="B36484" s="0" t="s">
        <v>496</v>
      </c>
    </row>
    <row r="36486" customFormat="false" ht="12.8" hidden="false" customHeight="false" outlineLevel="0" collapsed="false">
      <c r="A36486" s="0" t="s">
        <v>13734</v>
      </c>
      <c r="B36486" s="0" t="str">
        <f aca="false">HYPERLINK("https://lindat.mff.cuni.cz/services/teitok/pdtc10/index.php?action=vallex&amp;frame=v-w4996hsa_900", "přesvědčovat (v-w4996hsa_900)")</f>
        <v>přesvědčovat (v-w4996hsa_900)</v>
      </c>
    </row>
    <row r="36487" customFormat="false" ht="12.8" hidden="false" customHeight="false" outlineLevel="0" collapsed="false">
      <c r="B36487" s="0" t="s">
        <v>843</v>
      </c>
    </row>
    <row r="36488" customFormat="false" ht="12.8" hidden="false" customHeight="false" outlineLevel="0" collapsed="false">
      <c r="B36488" s="0" t="s">
        <v>13735</v>
      </c>
    </row>
    <row r="36489" customFormat="false" ht="12.8" hidden="false" customHeight="false" outlineLevel="0" collapsed="false">
      <c r="B36489" s="0" t="s">
        <v>98</v>
      </c>
    </row>
    <row r="36491" customFormat="false" ht="12.8" hidden="false" customHeight="false" outlineLevel="0" collapsed="false">
      <c r="A36491" s="0" t="s">
        <v>13734</v>
      </c>
      <c r="B36491" s="0" t="str">
        <f aca="false">HYPERLINK("https://lindat.mff.cuni.cz/services/teitok/pdtc10/index.php?action=vallex&amp;frame=v-w4996f1", "přesvědčovat (v-w4996f1) - substituted with v-w4996hsa_900")</f>
        <v>přesvědčovat (v-w4996f1) - substituted with v-w4996hsa_900</v>
      </c>
    </row>
    <row r="36492" customFormat="false" ht="12.8" hidden="false" customHeight="false" outlineLevel="0" collapsed="false">
      <c r="B36492" s="0" t="s">
        <v>843</v>
      </c>
    </row>
    <row r="36493" customFormat="false" ht="12.8" hidden="false" customHeight="false" outlineLevel="0" collapsed="false">
      <c r="B36493" s="0" t="s">
        <v>13735</v>
      </c>
    </row>
    <row r="36494" customFormat="false" ht="12.8" hidden="false" customHeight="false" outlineLevel="0" collapsed="false">
      <c r="B36494" s="0" t="s">
        <v>98</v>
      </c>
    </row>
    <row r="36496" customFormat="false" ht="12.8" hidden="false" customHeight="false" outlineLevel="0" collapsed="false">
      <c r="A36496" s="0" t="s">
        <v>13736</v>
      </c>
      <c r="B36496" s="0" t="str">
        <f aca="false">HYPERLINK("https://lindat.mff.cuni.cz/services/teitok/pdtc10/index.php?action=vallex&amp;frame=v-w4997f2", "přesvědčovat se (v-w4997f2)")</f>
        <v>přesvědčovat se (v-w4997f2)</v>
      </c>
      <c r="E36496" s="0" t="str">
        <f aca="false">HYPERLINK("https://lindat.mff.cuni.cz/services/SynSemClass40/SynSemClass40.html?veclass=vec01436#vec01436-ces-cm00005", "vec01436")</f>
        <v>vec01436</v>
      </c>
      <c r="F36496" s="0" t="s">
        <v>10211</v>
      </c>
    </row>
    <row r="36497" customFormat="false" ht="12.8" hidden="false" customHeight="false" outlineLevel="0" collapsed="false">
      <c r="B36497" s="0" t="s">
        <v>1</v>
      </c>
      <c r="C36497" s="0" t="s">
        <v>12335</v>
      </c>
      <c r="E36497" s="0" t="s">
        <v>621</v>
      </c>
      <c r="F36497" s="0" t="s">
        <v>10213</v>
      </c>
    </row>
    <row r="36498" customFormat="false" ht="12.8" hidden="false" customHeight="false" outlineLevel="0" collapsed="false">
      <c r="B36498" s="0" t="s">
        <v>318</v>
      </c>
      <c r="C36498" s="0" t="s">
        <v>13729</v>
      </c>
      <c r="E36498" s="0" t="s">
        <v>218</v>
      </c>
      <c r="F36498" s="0" t="s">
        <v>10216</v>
      </c>
    </row>
    <row r="36500" customFormat="false" ht="12.8" hidden="false" customHeight="false" outlineLevel="0" collapsed="false">
      <c r="A36500" s="0" t="s">
        <v>13737</v>
      </c>
      <c r="B36500" s="0" t="str">
        <f aca="false">HYPERLINK("https://lindat.mff.cuni.cz/services/teitok/pdtc10/index.php?action=vallex&amp;frame=v-w4997f1", "přesvědčovat se (v-w4997f1)")</f>
        <v>přesvědčovat se (v-w4997f1)</v>
      </c>
      <c r="E36500" s="0" t="str">
        <f aca="false">HYPERLINK("https://lindat.mff.cuni.cz/services/SynSemClass40/SynSemClass40.html?veclass=vec01436#vec01436-ces-cm00004", "vec01436")</f>
        <v>vec01436</v>
      </c>
      <c r="F36500" s="0" t="s">
        <v>10211</v>
      </c>
    </row>
    <row r="36501" customFormat="false" ht="12.8" hidden="false" customHeight="false" outlineLevel="0" collapsed="false">
      <c r="B36501" s="0" t="s">
        <v>1</v>
      </c>
      <c r="C36501" s="0" t="s">
        <v>12335</v>
      </c>
      <c r="E36501" s="0" t="s">
        <v>621</v>
      </c>
      <c r="F36501" s="0" t="s">
        <v>10213</v>
      </c>
    </row>
    <row r="36502" customFormat="false" ht="12.8" hidden="false" customHeight="false" outlineLevel="0" collapsed="false">
      <c r="B36502" s="0" t="s">
        <v>13731</v>
      </c>
      <c r="C36502" s="0" t="s">
        <v>13732</v>
      </c>
      <c r="E36502" s="0" t="s">
        <v>2217</v>
      </c>
      <c r="F36502" s="0" t="s">
        <v>13733</v>
      </c>
    </row>
    <row r="36503" customFormat="false" ht="12.8" hidden="false" customHeight="false" outlineLevel="0" collapsed="false">
      <c r="B36503" s="0" t="s">
        <v>496</v>
      </c>
    </row>
    <row r="36505" customFormat="false" ht="12.8" hidden="false" customHeight="false" outlineLevel="0" collapsed="false">
      <c r="A36505" s="0" t="s">
        <v>13738</v>
      </c>
      <c r="B36505" s="0" t="str">
        <f aca="false">HYPERLINK("https://lindat.mff.cuni.cz/services/teitok/pdtc10/index.php?action=vallex&amp;frame=v-w4998f1", "přesytit (v-w4998f1)")</f>
        <v>přesytit (v-w4998f1)</v>
      </c>
      <c r="E36505" s="0" t="str">
        <f aca="false">HYPERLINK("https://lindat.mff.cuni.cz/services/SynSemClass40/SynSemClass40.html?veclass=vec00576#vec00576-ces-cm00006", "vec00576")</f>
        <v>vec00576</v>
      </c>
      <c r="F36505" s="0" t="s">
        <v>8601</v>
      </c>
      <c r="H36505" s="0" t="str">
        <f aca="false">HYPERLINK("https://lindat.mff.cuni.cz/services/SynSemClass40/SynSemClass40.html?veclass=vec01514#vec01514-ces-cm00006", "vec01514")</f>
        <v>vec01514</v>
      </c>
      <c r="I36505" s="0" t="s">
        <v>10139</v>
      </c>
    </row>
    <row r="36506" customFormat="false" ht="12.8" hidden="false" customHeight="false" outlineLevel="0" collapsed="false">
      <c r="B36506" s="0" t="s">
        <v>1</v>
      </c>
      <c r="C36506" s="0" t="s">
        <v>13739</v>
      </c>
      <c r="E36506" s="0" t="s">
        <v>957</v>
      </c>
      <c r="F36506" s="0" t="s">
        <v>8603</v>
      </c>
      <c r="H36506" s="0" t="s">
        <v>206</v>
      </c>
      <c r="I36506" s="0" t="s">
        <v>10141</v>
      </c>
    </row>
    <row r="36507" customFormat="false" ht="12.8" hidden="false" customHeight="false" outlineLevel="0" collapsed="false">
      <c r="B36507" s="0" t="s">
        <v>8</v>
      </c>
      <c r="C36507" s="0" t="s">
        <v>13740</v>
      </c>
      <c r="E36507" s="0" t="s">
        <v>142</v>
      </c>
      <c r="F36507" s="0" t="s">
        <v>8605</v>
      </c>
      <c r="H36507" s="0" t="s">
        <v>10142</v>
      </c>
      <c r="I36507" s="0" t="s">
        <v>10143</v>
      </c>
    </row>
    <row r="36509" customFormat="false" ht="12.8" hidden="false" customHeight="false" outlineLevel="0" collapsed="false">
      <c r="A36509" s="0" t="s">
        <v>13741</v>
      </c>
      <c r="B36509" s="0" t="str">
        <f aca="false">HYPERLINK("https://lindat.mff.cuni.cz/services/teitok/pdtc10/index.php?action=vallex&amp;frame=v-whsa_689hsa_690", "přesytit se (v-whsa_689hsa_690)")</f>
        <v>přesytit se (v-whsa_689hsa_690)</v>
      </c>
      <c r="E36509" s="0" t="str">
        <f aca="false">HYPERLINK("https://lindat.mff.cuni.cz/services/SynSemClass40/SynSemClass40.html?veclass=vec01183#vec01183-ces-cm00009", "vec01183")</f>
        <v>vec01183</v>
      </c>
      <c r="F36509" s="0" t="s">
        <v>4189</v>
      </c>
      <c r="H36509" s="0" t="str">
        <f aca="false">HYPERLINK("https://lindat.mff.cuni.cz/services/SynSemClass40/SynSemClass40.html?veclass=vec01514#vec01514-ces-cm00007", "vec01514")</f>
        <v>vec01514</v>
      </c>
      <c r="I36509" s="0" t="s">
        <v>10139</v>
      </c>
    </row>
    <row r="36510" customFormat="false" ht="12.8" hidden="false" customHeight="false" outlineLevel="0" collapsed="false">
      <c r="B36510" s="0" t="s">
        <v>1</v>
      </c>
      <c r="C36510" s="0" t="s">
        <v>13742</v>
      </c>
      <c r="E36510" s="0" t="s">
        <v>266</v>
      </c>
      <c r="F36510" s="0" t="s">
        <v>13743</v>
      </c>
      <c r="H36510" s="0" t="s">
        <v>10146</v>
      </c>
      <c r="I36510" s="0" t="s">
        <v>10147</v>
      </c>
    </row>
    <row r="36512" customFormat="false" ht="12.8" hidden="false" customHeight="false" outlineLevel="0" collapsed="false">
      <c r="A36512" s="0" t="s">
        <v>13744</v>
      </c>
      <c r="B36512" s="0" t="str">
        <f aca="false">HYPERLINK("https://lindat.mff.cuni.cz/services/teitok/pdtc10/index.php?action=vallex&amp;frame=v-w4956f1", "přesáhnout (v-w4956f1)")</f>
        <v>přesáhnout (v-w4956f1)</v>
      </c>
      <c r="E36512" s="0" t="str">
        <f aca="false">HYPERLINK("https://lindat.mff.cuni.cz/services/SynSemClass40/SynSemClass40.html?veclass=vec00280#vec00280-ces-cm00027", "vec00280")</f>
        <v>vec00280</v>
      </c>
      <c r="F36512" s="0" t="s">
        <v>13320</v>
      </c>
    </row>
    <row r="36513" customFormat="false" ht="12.8" hidden="false" customHeight="false" outlineLevel="0" collapsed="false">
      <c r="B36513" s="0" t="s">
        <v>345</v>
      </c>
      <c r="C36513" s="0" t="s">
        <v>13437</v>
      </c>
      <c r="E36513" s="0" t="s">
        <v>957</v>
      </c>
      <c r="F36513" s="0" t="s">
        <v>13322</v>
      </c>
    </row>
    <row r="36514" customFormat="false" ht="12.8" hidden="false" customHeight="false" outlineLevel="0" collapsed="false">
      <c r="B36514" s="0" t="s">
        <v>8</v>
      </c>
      <c r="C36514" s="0" t="s">
        <v>13438</v>
      </c>
      <c r="E36514" s="0" t="s">
        <v>2732</v>
      </c>
      <c r="F36514" s="0" t="s">
        <v>13324</v>
      </c>
    </row>
    <row r="36516" customFormat="false" ht="12.8" hidden="false" customHeight="false" outlineLevel="0" collapsed="false">
      <c r="A36516" s="0" t="s">
        <v>13745</v>
      </c>
      <c r="B36516" s="0" t="str">
        <f aca="false">HYPERLINK("https://lindat.mff.cuni.cz/services/teitok/pdtc10/index.php?action=vallex&amp;frame=v-w4962f1", "přesídlit (v-w4962f1)")</f>
        <v>přesídlit (v-w4962f1)</v>
      </c>
      <c r="E36516" s="0" t="str">
        <f aca="false">HYPERLINK("https://lindat.mff.cuni.cz/services/SynSemClass40/SynSemClass40.html?veclass=vec00048#vec00048-ces-cm00190", "vec00048")</f>
        <v>vec00048</v>
      </c>
      <c r="F36516" s="0" t="s">
        <v>1945</v>
      </c>
    </row>
    <row r="36517" customFormat="false" ht="12.8" hidden="false" customHeight="false" outlineLevel="0" collapsed="false">
      <c r="B36517" s="0" t="s">
        <v>1</v>
      </c>
      <c r="C36517" s="0" t="s">
        <v>1946</v>
      </c>
      <c r="E36517" s="0" t="s">
        <v>334</v>
      </c>
      <c r="F36517" s="0" t="s">
        <v>1947</v>
      </c>
    </row>
    <row r="36518" customFormat="false" ht="12.8" hidden="false" customHeight="false" outlineLevel="0" collapsed="false">
      <c r="B36518" s="0" t="s">
        <v>631</v>
      </c>
      <c r="C36518" s="0" t="s">
        <v>1948</v>
      </c>
      <c r="E36518" s="0" t="s">
        <v>1949</v>
      </c>
      <c r="F36518" s="0" t="s">
        <v>1950</v>
      </c>
    </row>
    <row r="36519" customFormat="false" ht="12.8" hidden="false" customHeight="false" outlineLevel="0" collapsed="false">
      <c r="B36519" s="0" t="s">
        <v>164</v>
      </c>
      <c r="E36519" s="0" t="s">
        <v>1315</v>
      </c>
      <c r="F36519" s="0" t="s">
        <v>1316</v>
      </c>
    </row>
    <row r="36521" customFormat="false" ht="12.8" hidden="false" customHeight="false" outlineLevel="0" collapsed="false">
      <c r="A36521" s="0" t="s">
        <v>13746</v>
      </c>
      <c r="B36521" s="0" t="str">
        <f aca="false">HYPERLINK("https://lindat.mff.cuni.cz/services/teitok/pdtc10/index.php?action=vallex&amp;frame=v-w10262f2", "přesílat (v-w10262f2)")</f>
        <v>přesílat (v-w10262f2)</v>
      </c>
    </row>
    <row r="36522" customFormat="false" ht="12.8" hidden="false" customHeight="false" outlineLevel="0" collapsed="false">
      <c r="B36522" s="0" t="s">
        <v>1</v>
      </c>
    </row>
    <row r="36523" customFormat="false" ht="12.8" hidden="false" customHeight="false" outlineLevel="0" collapsed="false">
      <c r="B36523" s="0" t="s">
        <v>8</v>
      </c>
    </row>
    <row r="36524" customFormat="false" ht="12.8" hidden="false" customHeight="false" outlineLevel="0" collapsed="false">
      <c r="B36524" s="0" t="s">
        <v>631</v>
      </c>
    </row>
    <row r="36525" customFormat="false" ht="12.8" hidden="false" customHeight="false" outlineLevel="0" collapsed="false">
      <c r="B36525" s="0" t="s">
        <v>164</v>
      </c>
    </row>
    <row r="36527" customFormat="false" ht="12.8" hidden="false" customHeight="false" outlineLevel="0" collapsed="false">
      <c r="A36527" s="0" t="s">
        <v>13747</v>
      </c>
      <c r="B36527" s="0" t="str">
        <f aca="false">HYPERLINK("https://lindat.mff.cuni.cz/services/teitok/pdtc10/index.php?action=vallex&amp;frame=v-w11709_ZUf1_ZU", "přesýpat (v-w11709_ZUf1_ZU)")</f>
        <v>přesýpat (v-w11709_ZUf1_ZU)</v>
      </c>
    </row>
    <row r="36528" customFormat="false" ht="12.8" hidden="false" customHeight="false" outlineLevel="0" collapsed="false">
      <c r="B36528" s="0" t="s">
        <v>1</v>
      </c>
    </row>
    <row r="36529" customFormat="false" ht="12.8" hidden="false" customHeight="false" outlineLevel="0" collapsed="false">
      <c r="B36529" s="0" t="s">
        <v>8</v>
      </c>
    </row>
    <row r="36530" customFormat="false" ht="12.8" hidden="false" customHeight="false" outlineLevel="0" collapsed="false">
      <c r="B36530" s="0" t="s">
        <v>631</v>
      </c>
    </row>
    <row r="36531" customFormat="false" ht="12.8" hidden="false" customHeight="false" outlineLevel="0" collapsed="false">
      <c r="B36531" s="0" t="s">
        <v>164</v>
      </c>
    </row>
    <row r="36533" customFormat="false" ht="12.8" hidden="false" customHeight="false" outlineLevel="0" collapsed="false">
      <c r="A36533" s="0" t="s">
        <v>13748</v>
      </c>
      <c r="B36533" s="0" t="str">
        <f aca="false">HYPERLINK("https://lindat.mff.cuni.cz/services/teitok/pdtc10/index.php?action=vallex&amp;frame=v-w12212_ZUf1_ZU", "přetahovat (v-w12212_ZUf1_ZU)")</f>
        <v>přetahovat (v-w12212_ZUf1_ZU)</v>
      </c>
    </row>
    <row r="36534" customFormat="false" ht="12.8" hidden="false" customHeight="false" outlineLevel="0" collapsed="false">
      <c r="B36534" s="0" t="s">
        <v>1</v>
      </c>
    </row>
    <row r="36535" customFormat="false" ht="12.8" hidden="false" customHeight="false" outlineLevel="0" collapsed="false">
      <c r="B36535" s="0" t="s">
        <v>8</v>
      </c>
    </row>
    <row r="36536" customFormat="false" ht="12.8" hidden="false" customHeight="false" outlineLevel="0" collapsed="false">
      <c r="B36536" s="0" t="s">
        <v>164</v>
      </c>
    </row>
    <row r="36538" customFormat="false" ht="12.8" hidden="false" customHeight="false" outlineLevel="0" collapsed="false">
      <c r="A36538" s="0" t="s">
        <v>13749</v>
      </c>
      <c r="B36538" s="0" t="str">
        <f aca="false">HYPERLINK("https://lindat.mff.cuni.cz/services/teitok/pdtc10/index.php?action=vallex&amp;frame=v-w5004f1", "přetahovat se (v-w5004f1)")</f>
        <v>přetahovat se (v-w5004f1)</v>
      </c>
      <c r="E36538" s="0" t="str">
        <f aca="false">HYPERLINK("https://lindat.mff.cuni.cz/services/SynSemClass40/SynSemClass40.html?veclass=vec00121#vec00121-ces-cm00023", "vec00121")</f>
        <v>vec00121</v>
      </c>
      <c r="F36538" s="0" t="s">
        <v>414</v>
      </c>
    </row>
    <row r="36539" customFormat="false" ht="12.8" hidden="false" customHeight="false" outlineLevel="0" collapsed="false">
      <c r="B36539" s="0" t="s">
        <v>1</v>
      </c>
      <c r="C36539" s="0" t="s">
        <v>415</v>
      </c>
      <c r="E36539" s="0" t="s">
        <v>416</v>
      </c>
      <c r="F36539" s="0" t="s">
        <v>417</v>
      </c>
    </row>
    <row r="36540" customFormat="false" ht="12.8" hidden="false" customHeight="false" outlineLevel="0" collapsed="false">
      <c r="B36540" s="0" t="s">
        <v>276</v>
      </c>
      <c r="C36540" s="0" t="s">
        <v>419</v>
      </c>
      <c r="E36540" s="0" t="s">
        <v>420</v>
      </c>
      <c r="F36540" s="0" t="s">
        <v>421</v>
      </c>
    </row>
    <row r="36541" customFormat="false" ht="12.8" hidden="false" customHeight="false" outlineLevel="0" collapsed="false">
      <c r="B36541" s="0" t="s">
        <v>3152</v>
      </c>
      <c r="C36541" s="0" t="s">
        <v>423</v>
      </c>
      <c r="E36541" s="0" t="s">
        <v>424</v>
      </c>
      <c r="F36541" s="0" t="s">
        <v>425</v>
      </c>
    </row>
    <row r="36543" customFormat="false" ht="12.8" hidden="false" customHeight="false" outlineLevel="0" collapsed="false">
      <c r="A36543" s="0" t="s">
        <v>13750</v>
      </c>
      <c r="B36543" s="0" t="str">
        <f aca="false">HYPERLINK("https://lindat.mff.cuni.cz/services/teitok/pdtc10/index.php?action=vallex&amp;frame=v-w5004f2", "přetahovat se (v-w5004f2)")</f>
        <v>přetahovat se (v-w5004f2)</v>
      </c>
    </row>
    <row r="36544" customFormat="false" ht="12.8" hidden="false" customHeight="false" outlineLevel="0" collapsed="false">
      <c r="B36544" s="0" t="s">
        <v>1</v>
      </c>
    </row>
    <row r="36546" customFormat="false" ht="12.8" hidden="false" customHeight="false" outlineLevel="0" collapsed="false">
      <c r="A36546" s="0" t="s">
        <v>13751</v>
      </c>
      <c r="B36546" s="0" t="str">
        <f aca="false">HYPERLINK("https://lindat.mff.cuni.cz/services/teitok/pdtc10/index.php?action=vallex&amp;frame=v-w5007f1", "přetavit se (v-w5007f1)")</f>
        <v>přetavit se (v-w5007f1)</v>
      </c>
      <c r="E36546" s="0" t="str">
        <f aca="false">HYPERLINK("https://lindat.mff.cuni.cz/services/SynSemClass40/SynSemClass40.html?veclass=vec01132#vec01132-ces-cm00177", "vec01132")</f>
        <v>vec01132</v>
      </c>
      <c r="F36546" s="0" t="s">
        <v>6967</v>
      </c>
    </row>
    <row r="36547" customFormat="false" ht="12.8" hidden="false" customHeight="false" outlineLevel="0" collapsed="false">
      <c r="B36547" s="0" t="s">
        <v>1</v>
      </c>
      <c r="C36547" s="0" t="s">
        <v>6968</v>
      </c>
      <c r="E36547" s="0" t="s">
        <v>84</v>
      </c>
      <c r="F36547" s="0" t="s">
        <v>6969</v>
      </c>
    </row>
    <row r="36548" customFormat="false" ht="12.8" hidden="false" customHeight="false" outlineLevel="0" collapsed="false">
      <c r="B36548" s="0" t="s">
        <v>13752</v>
      </c>
      <c r="C36548" s="0" t="s">
        <v>6971</v>
      </c>
      <c r="E36548" s="0" t="s">
        <v>1592</v>
      </c>
      <c r="F36548" s="0" t="s">
        <v>6972</v>
      </c>
    </row>
    <row r="36550" customFormat="false" ht="12.8" hidden="false" customHeight="false" outlineLevel="0" collapsed="false">
      <c r="A36550" s="0" t="s">
        <v>13753</v>
      </c>
      <c r="B36550" s="0" t="str">
        <f aca="false">HYPERLINK("https://lindat.mff.cuni.cz/services/teitok/pdtc10/index.php?action=vallex&amp;frame=v-w5008f1", "přetavovat (v-w5008f1)")</f>
        <v>přetavovat (v-w5008f1)</v>
      </c>
    </row>
    <row r="36551" customFormat="false" ht="12.8" hidden="false" customHeight="false" outlineLevel="0" collapsed="false">
      <c r="B36551" s="0" t="s">
        <v>1</v>
      </c>
    </row>
    <row r="36552" customFormat="false" ht="12.8" hidden="false" customHeight="false" outlineLevel="0" collapsed="false">
      <c r="B36552" s="0" t="s">
        <v>8</v>
      </c>
    </row>
    <row r="36553" customFormat="false" ht="12.8" hidden="false" customHeight="false" outlineLevel="0" collapsed="false">
      <c r="B36553" s="0" t="s">
        <v>5653</v>
      </c>
    </row>
    <row r="36555" customFormat="false" ht="12.8" hidden="false" customHeight="false" outlineLevel="0" collapsed="false">
      <c r="A36555" s="0" t="s">
        <v>13754</v>
      </c>
      <c r="B36555" s="0" t="str">
        <f aca="false">HYPERLINK("https://lindat.mff.cuni.cz/services/teitok/pdtc10/index.php?action=vallex&amp;frame=v-w5011f1", "přetisknout (v-w5011f1)")</f>
        <v>přetisknout (v-w5011f1)</v>
      </c>
    </row>
    <row r="36556" customFormat="false" ht="12.8" hidden="false" customHeight="false" outlineLevel="0" collapsed="false">
      <c r="B36556" s="0" t="s">
        <v>1</v>
      </c>
    </row>
    <row r="36557" customFormat="false" ht="12.8" hidden="false" customHeight="false" outlineLevel="0" collapsed="false">
      <c r="B36557" s="0" t="s">
        <v>1838</v>
      </c>
    </row>
    <row r="36559" customFormat="false" ht="12.8" hidden="false" customHeight="false" outlineLevel="0" collapsed="false">
      <c r="A36559" s="0" t="s">
        <v>13755</v>
      </c>
      <c r="B36559" s="0" t="str">
        <f aca="false">HYPERLINK("https://lindat.mff.cuni.cz/services/teitok/pdtc10/index.php?action=vallex&amp;frame=v-w5013f1", "přetlumočit (v-w5013f1)")</f>
        <v>přetlumočit (v-w5013f1)</v>
      </c>
      <c r="E36559" s="0" t="str">
        <f aca="false">HYPERLINK("https://lindat.mff.cuni.cz/services/SynSemClass40/SynSemClass40.html?veclass=vec01516#vec01516-ces-cm00011", "vec01516")</f>
        <v>vec01516</v>
      </c>
      <c r="F36559" s="0" t="s">
        <v>13430</v>
      </c>
    </row>
    <row r="36560" customFormat="false" ht="12.8" hidden="false" customHeight="false" outlineLevel="0" collapsed="false">
      <c r="B36560" s="0" t="s">
        <v>1</v>
      </c>
      <c r="E36560" s="0" t="s">
        <v>147</v>
      </c>
      <c r="F36560" s="0" t="s">
        <v>5874</v>
      </c>
    </row>
    <row r="36561" customFormat="false" ht="12.8" hidden="false" customHeight="false" outlineLevel="0" collapsed="false">
      <c r="B36561" s="0" t="s">
        <v>8</v>
      </c>
      <c r="E36561" s="0" t="s">
        <v>1569</v>
      </c>
      <c r="F36561" s="0" t="s">
        <v>13431</v>
      </c>
    </row>
    <row r="36562" customFormat="false" ht="12.8" hidden="false" customHeight="false" outlineLevel="0" collapsed="false">
      <c r="B36562" s="0" t="s">
        <v>36</v>
      </c>
      <c r="E36562" s="0" t="s">
        <v>38</v>
      </c>
      <c r="F36562" s="0" t="s">
        <v>8255</v>
      </c>
    </row>
    <row r="36563" customFormat="false" ht="12.8" hidden="false" customHeight="false" outlineLevel="0" collapsed="false">
      <c r="B36563" s="0" t="s">
        <v>245</v>
      </c>
      <c r="E36563" s="0" t="s">
        <v>42</v>
      </c>
      <c r="F36563" s="0" t="s">
        <v>13432</v>
      </c>
    </row>
    <row r="36565" customFormat="false" ht="12.8" hidden="false" customHeight="false" outlineLevel="0" collapsed="false">
      <c r="A36565" s="0" t="s">
        <v>13756</v>
      </c>
      <c r="B36565" s="0" t="str">
        <f aca="false">HYPERLINK("https://lindat.mff.cuni.cz/services/teitok/pdtc10/index.php?action=vallex&amp;frame=v-w5014f1", "přetočit (v-w5014f1)")</f>
        <v>přetočit (v-w5014f1)</v>
      </c>
    </row>
    <row r="36566" customFormat="false" ht="12.8" hidden="false" customHeight="false" outlineLevel="0" collapsed="false">
      <c r="B36566" s="0" t="s">
        <v>1</v>
      </c>
    </row>
    <row r="36567" customFormat="false" ht="12.8" hidden="false" customHeight="false" outlineLevel="0" collapsed="false">
      <c r="B36567" s="0" t="s">
        <v>8</v>
      </c>
    </row>
    <row r="36569" customFormat="false" ht="12.8" hidden="false" customHeight="false" outlineLevel="0" collapsed="false">
      <c r="A36569" s="0" t="s">
        <v>13757</v>
      </c>
      <c r="B36569" s="0" t="str">
        <f aca="false">HYPERLINK("https://lindat.mff.cuni.cz/services/teitok/pdtc10/index.php?action=vallex&amp;frame=v-w5016f1", "přetransformovat (v-w5016f1)")</f>
        <v>přetransformovat (v-w5016f1)</v>
      </c>
      <c r="E36569" s="0" t="str">
        <f aca="false">HYPERLINK("https://lindat.mff.cuni.cz/services/SynSemClass40/SynSemClass40.html?veclass=vec00095#vec00095-ces-cm00023", "vec00095")</f>
        <v>vec00095</v>
      </c>
      <c r="F36569" s="0" t="s">
        <v>29</v>
      </c>
    </row>
    <row r="36570" customFormat="false" ht="12.8" hidden="false" customHeight="false" outlineLevel="0" collapsed="false">
      <c r="B36570" s="0" t="s">
        <v>1</v>
      </c>
      <c r="C36570" s="0" t="s">
        <v>30</v>
      </c>
      <c r="E36570" s="0" t="s">
        <v>31</v>
      </c>
      <c r="F36570" s="0" t="s">
        <v>32</v>
      </c>
    </row>
    <row r="36571" customFormat="false" ht="12.8" hidden="false" customHeight="false" outlineLevel="0" collapsed="false">
      <c r="B36571" s="0" t="s">
        <v>8</v>
      </c>
      <c r="C36571" s="0" t="s">
        <v>33</v>
      </c>
      <c r="E36571" s="0" t="s">
        <v>34</v>
      </c>
      <c r="F36571" s="0" t="s">
        <v>35</v>
      </c>
    </row>
    <row r="36572" customFormat="false" ht="12.8" hidden="false" customHeight="false" outlineLevel="0" collapsed="false">
      <c r="B36572" s="0" t="s">
        <v>36</v>
      </c>
      <c r="C36572" s="0" t="s">
        <v>37</v>
      </c>
      <c r="E36572" s="0" t="s">
        <v>38</v>
      </c>
      <c r="F36572" s="0" t="s">
        <v>39</v>
      </c>
    </row>
    <row r="36573" customFormat="false" ht="12.8" hidden="false" customHeight="false" outlineLevel="0" collapsed="false">
      <c r="B36573" s="0" t="s">
        <v>40</v>
      </c>
      <c r="C36573" s="0" t="s">
        <v>41</v>
      </c>
      <c r="E36573" s="0" t="s">
        <v>42</v>
      </c>
      <c r="F36573" s="0" t="s">
        <v>43</v>
      </c>
    </row>
    <row r="36575" customFormat="false" ht="12.8" hidden="false" customHeight="false" outlineLevel="0" collapsed="false">
      <c r="A36575" s="0" t="s">
        <v>13758</v>
      </c>
      <c r="B36575" s="0" t="str">
        <f aca="false">HYPERLINK("https://lindat.mff.cuni.cz/services/teitok/pdtc10/index.php?action=vallex&amp;frame=v-w10392f2", "přetrhnout (v-w10392f2)")</f>
        <v>přetrhnout (v-w10392f2)</v>
      </c>
    </row>
    <row r="36576" customFormat="false" ht="12.8" hidden="false" customHeight="false" outlineLevel="0" collapsed="false">
      <c r="B36576" s="0" t="s">
        <v>1</v>
      </c>
    </row>
    <row r="36577" customFormat="false" ht="12.8" hidden="false" customHeight="false" outlineLevel="0" collapsed="false">
      <c r="B36577" s="0" t="s">
        <v>8</v>
      </c>
    </row>
    <row r="36578" customFormat="false" ht="12.8" hidden="false" customHeight="false" outlineLevel="0" collapsed="false">
      <c r="B36578" s="0" t="s">
        <v>101</v>
      </c>
    </row>
    <row r="36580" customFormat="false" ht="12.8" hidden="false" customHeight="false" outlineLevel="0" collapsed="false">
      <c r="A36580" s="0" t="s">
        <v>13759</v>
      </c>
      <c r="B36580" s="0" t="str">
        <f aca="false">HYPERLINK("https://lindat.mff.cuni.cz/services/teitok/pdtc10/index.php?action=vallex&amp;frame=v-w10392f3", "přetrhnout (v-w10392f3)")</f>
        <v>přetrhnout (v-w10392f3)</v>
      </c>
    </row>
    <row r="36581" customFormat="false" ht="12.8" hidden="false" customHeight="false" outlineLevel="0" collapsed="false">
      <c r="B36581" s="0" t="s">
        <v>1</v>
      </c>
    </row>
    <row r="36582" customFormat="false" ht="12.8" hidden="false" customHeight="false" outlineLevel="0" collapsed="false">
      <c r="B36582" s="0" t="s">
        <v>8</v>
      </c>
    </row>
    <row r="36584" customFormat="false" ht="12.8" hidden="false" customHeight="false" outlineLevel="0" collapsed="false">
      <c r="A36584" s="0" t="s">
        <v>13760</v>
      </c>
      <c r="B36584" s="0" t="str">
        <f aca="false">HYPERLINK("https://lindat.mff.cuni.cz/services/teitok/pdtc10/index.php?action=vallex&amp;frame=v-w11301f1", "přetrhnout se (v-w11301f1)")</f>
        <v>přetrhnout se (v-w11301f1)</v>
      </c>
    </row>
    <row r="36585" customFormat="false" ht="12.8" hidden="false" customHeight="false" outlineLevel="0" collapsed="false">
      <c r="B36585" s="0" t="s">
        <v>1</v>
      </c>
    </row>
    <row r="36587" customFormat="false" ht="12.8" hidden="false" customHeight="false" outlineLevel="0" collapsed="false">
      <c r="A36587" s="0" t="s">
        <v>13761</v>
      </c>
      <c r="B36587" s="0" t="str">
        <f aca="false">HYPERLINK("https://lindat.mff.cuni.cz/services/teitok/pdtc10/index.php?action=vallex&amp;frame=v-w11301f2_ZU", "přetrhnout se (v-w11301f2_ZU)")</f>
        <v>přetrhnout se (v-w11301f2_ZU)</v>
      </c>
    </row>
    <row r="36588" customFormat="false" ht="12.8" hidden="false" customHeight="false" outlineLevel="0" collapsed="false">
      <c r="B36588" s="0" t="s">
        <v>1</v>
      </c>
    </row>
    <row r="36590" customFormat="false" ht="12.8" hidden="false" customHeight="false" outlineLevel="0" collapsed="false">
      <c r="A36590" s="0" t="s">
        <v>13762</v>
      </c>
      <c r="B36590" s="0" t="str">
        <f aca="false">HYPERLINK("https://lindat.mff.cuni.cz/services/teitok/pdtc10/index.php?action=vallex&amp;frame=v-whsa_323hsa_324", "přetrhávat (v-whsa_323hsa_324)")</f>
        <v>přetrhávat (v-whsa_323hsa_324)</v>
      </c>
    </row>
    <row r="36591" customFormat="false" ht="12.8" hidden="false" customHeight="false" outlineLevel="0" collapsed="false">
      <c r="B36591" s="0" t="s">
        <v>1</v>
      </c>
    </row>
    <row r="36592" customFormat="false" ht="12.8" hidden="false" customHeight="false" outlineLevel="0" collapsed="false">
      <c r="B36592" s="0" t="s">
        <v>8</v>
      </c>
    </row>
    <row r="36594" customFormat="false" ht="12.8" hidden="false" customHeight="false" outlineLevel="0" collapsed="false">
      <c r="A36594" s="0" t="s">
        <v>13763</v>
      </c>
      <c r="B36594" s="0" t="str">
        <f aca="false">HYPERLINK("https://lindat.mff.cuni.cz/services/teitok/pdtc10/index.php?action=vallex&amp;frame=v-w11738_ZUf1_ZU", "přetrpět (v-w11738_ZUf1_ZU)")</f>
        <v>přetrpět (v-w11738_ZUf1_ZU)</v>
      </c>
    </row>
    <row r="36595" customFormat="false" ht="12.8" hidden="false" customHeight="false" outlineLevel="0" collapsed="false">
      <c r="B36595" s="0" t="s">
        <v>1</v>
      </c>
    </row>
    <row r="36596" customFormat="false" ht="12.8" hidden="false" customHeight="false" outlineLevel="0" collapsed="false">
      <c r="B36596" s="0" t="s">
        <v>8</v>
      </c>
    </row>
    <row r="36598" customFormat="false" ht="12.8" hidden="false" customHeight="false" outlineLevel="0" collapsed="false">
      <c r="A36598" s="0" t="s">
        <v>13764</v>
      </c>
      <c r="B36598" s="0" t="str">
        <f aca="false">HYPERLINK("https://lindat.mff.cuni.cz/services/teitok/pdtc10/index.php?action=vallex&amp;frame=v-w5018f2", "přetrvat (v-w5018f2)")</f>
        <v>přetrvat (v-w5018f2)</v>
      </c>
    </row>
    <row r="36599" customFormat="false" ht="12.8" hidden="false" customHeight="false" outlineLevel="0" collapsed="false">
      <c r="B36599" s="0" t="s">
        <v>1</v>
      </c>
    </row>
    <row r="36600" customFormat="false" ht="12.8" hidden="false" customHeight="false" outlineLevel="0" collapsed="false">
      <c r="B36600" s="0" t="s">
        <v>8</v>
      </c>
    </row>
    <row r="36602" customFormat="false" ht="12.8" hidden="false" customHeight="false" outlineLevel="0" collapsed="false">
      <c r="A36602" s="0" t="s">
        <v>13765</v>
      </c>
      <c r="B36602" s="0" t="str">
        <f aca="false">HYPERLINK("https://lindat.mff.cuni.cz/services/teitok/pdtc10/index.php?action=vallex&amp;frame=v-w5018f1", "přetrvat (v-w5018f1)")</f>
        <v>přetrvat (v-w5018f1)</v>
      </c>
      <c r="E36602" s="0" t="str">
        <f aca="false">HYPERLINK("https://lindat.mff.cuni.cz/services/SynSemClass40/SynSemClass40.html?veclass=vec00261#vec00261-ces-cm00009", "vec00261")</f>
        <v>vec00261</v>
      </c>
      <c r="F36602" s="0" t="s">
        <v>1318</v>
      </c>
      <c r="H36602" s="0" t="str">
        <f aca="false">HYPERLINK("https://lindat.mff.cuni.cz/services/SynSemClass40/SynSemClass40.html?veclass=vec00491#vec00491-ces-cm00030", "vec00491")</f>
        <v>vec00491</v>
      </c>
      <c r="I36602" s="0" t="s">
        <v>12803</v>
      </c>
      <c r="K36602" s="0" t="str">
        <f aca="false">HYPERLINK("https://lindat.mff.cuni.cz/services/SynSemClass40/SynSemClass40.html?veclass=vec00975#vec00975-ces-cm00008", "vec00975")</f>
        <v>vec00975</v>
      </c>
      <c r="L36602" s="0" t="s">
        <v>13766</v>
      </c>
    </row>
    <row r="36603" customFormat="false" ht="12.8" hidden="false" customHeight="false" outlineLevel="0" collapsed="false">
      <c r="B36603" s="0" t="s">
        <v>1</v>
      </c>
      <c r="C36603" s="0" t="s">
        <v>13767</v>
      </c>
      <c r="E36603" s="0" t="s">
        <v>375</v>
      </c>
      <c r="F36603" s="0" t="s">
        <v>1320</v>
      </c>
      <c r="H36603" s="0" t="s">
        <v>12805</v>
      </c>
      <c r="I36603" s="0" t="s">
        <v>12806</v>
      </c>
      <c r="K36603" s="0" t="s">
        <v>957</v>
      </c>
      <c r="L36603" s="0" t="s">
        <v>13768</v>
      </c>
    </row>
    <row r="36605" customFormat="false" ht="12.8" hidden="false" customHeight="false" outlineLevel="0" collapsed="false">
      <c r="A36605" s="0" t="s">
        <v>13769</v>
      </c>
      <c r="B36605" s="0" t="str">
        <f aca="false">HYPERLINK("https://lindat.mff.cuni.cz/services/teitok/pdtc10/index.php?action=vallex&amp;frame=v-w5020f1", "přetrvávat (v-w5020f1)")</f>
        <v>přetrvávat (v-w5020f1)</v>
      </c>
      <c r="E36605" s="0" t="str">
        <f aca="false">HYPERLINK("https://lindat.mff.cuni.cz/services/SynSemClass40/SynSemClass40.html?veclass=vec00199#vec00199-ces-cm00154", "vec00199")</f>
        <v>vec00199</v>
      </c>
      <c r="F36605" s="0" t="s">
        <v>1248</v>
      </c>
      <c r="H36605" s="0" t="str">
        <f aca="false">HYPERLINK("https://lindat.mff.cuni.cz/services/SynSemClass40/SynSemClass40.html?veclass=vec00261#vec00261-ces-cm00010", "vec00261")</f>
        <v>vec00261</v>
      </c>
      <c r="I36605" s="0" t="s">
        <v>1318</v>
      </c>
    </row>
    <row r="36606" customFormat="false" ht="12.8" hidden="false" customHeight="false" outlineLevel="0" collapsed="false">
      <c r="B36606" s="0" t="s">
        <v>1</v>
      </c>
      <c r="C36606" s="0" t="s">
        <v>13770</v>
      </c>
      <c r="E36606" s="0" t="s">
        <v>957</v>
      </c>
      <c r="F36606" s="0" t="s">
        <v>1251</v>
      </c>
      <c r="H36606" s="0" t="s">
        <v>375</v>
      </c>
      <c r="I36606" s="0" t="s">
        <v>1320</v>
      </c>
    </row>
    <row r="36608" customFormat="false" ht="12.8" hidden="false" customHeight="false" outlineLevel="0" collapsed="false">
      <c r="A36608" s="0" t="s">
        <v>13771</v>
      </c>
      <c r="B36608" s="0" t="str">
        <f aca="false">HYPERLINK("https://lindat.mff.cuni.cz/services/teitok/pdtc10/index.php?action=vallex&amp;frame=v-w11719_ZUf1_ZU", "přetvařovat se (v-w11719_ZUf1_ZU)")</f>
        <v>přetvařovat se (v-w11719_ZUf1_ZU)</v>
      </c>
    </row>
    <row r="36609" customFormat="false" ht="12.8" hidden="false" customHeight="false" outlineLevel="0" collapsed="false">
      <c r="B36609" s="0" t="s">
        <v>1</v>
      </c>
    </row>
    <row r="36611" customFormat="false" ht="12.8" hidden="false" customHeight="false" outlineLevel="0" collapsed="false">
      <c r="A36611" s="0" t="s">
        <v>13772</v>
      </c>
      <c r="B36611" s="0" t="str">
        <f aca="false">HYPERLINK("https://lindat.mff.cuni.cz/services/teitok/pdtc10/index.php?action=vallex&amp;frame=v-w5026f2_ZU", "přetvořit (v-w5026f2_ZU)")</f>
        <v>přetvořit (v-w5026f2_ZU)</v>
      </c>
      <c r="E36611" s="0" t="str">
        <f aca="false">HYPERLINK("https://lindat.mff.cuni.cz/services/SynSemClass40/SynSemClass40.html?veclass=vec00095#vec00095-ces-cm00081", "vec00095")</f>
        <v>vec00095</v>
      </c>
      <c r="F36611" s="0" t="s">
        <v>29</v>
      </c>
    </row>
    <row r="36612" customFormat="false" ht="12.8" hidden="false" customHeight="false" outlineLevel="0" collapsed="false">
      <c r="B36612" s="0" t="s">
        <v>1</v>
      </c>
      <c r="C36612" s="0" t="s">
        <v>30</v>
      </c>
      <c r="E36612" s="0" t="s">
        <v>31</v>
      </c>
      <c r="F36612" s="0" t="s">
        <v>32</v>
      </c>
    </row>
    <row r="36613" customFormat="false" ht="12.8" hidden="false" customHeight="false" outlineLevel="0" collapsed="false">
      <c r="B36613" s="0" t="s">
        <v>8</v>
      </c>
      <c r="C36613" s="0" t="s">
        <v>33</v>
      </c>
      <c r="E36613" s="0" t="s">
        <v>34</v>
      </c>
      <c r="F36613" s="0" t="s">
        <v>35</v>
      </c>
    </row>
    <row r="36614" customFormat="false" ht="12.8" hidden="false" customHeight="false" outlineLevel="0" collapsed="false">
      <c r="B36614" s="0" t="s">
        <v>36</v>
      </c>
      <c r="C36614" s="0" t="s">
        <v>37</v>
      </c>
      <c r="E36614" s="0" t="s">
        <v>38</v>
      </c>
      <c r="F36614" s="0" t="s">
        <v>39</v>
      </c>
    </row>
    <row r="36615" customFormat="false" ht="12.8" hidden="false" customHeight="false" outlineLevel="0" collapsed="false">
      <c r="B36615" s="0" t="s">
        <v>13773</v>
      </c>
      <c r="C36615" s="0" t="s">
        <v>41</v>
      </c>
      <c r="E36615" s="0" t="s">
        <v>42</v>
      </c>
      <c r="F36615" s="0" t="s">
        <v>43</v>
      </c>
    </row>
    <row r="36617" customFormat="false" ht="12.8" hidden="false" customHeight="false" outlineLevel="0" collapsed="false">
      <c r="A36617" s="0" t="s">
        <v>13772</v>
      </c>
      <c r="B36617" s="0" t="str">
        <f aca="false">HYPERLINK("https://lindat.mff.cuni.cz/services/teitok/pdtc10/index.php?action=vallex&amp;frame=v-w5026f1", "přetvořit (v-w5026f1) - substituted with v-w5026f2_ZU")</f>
        <v>přetvořit (v-w5026f1) - substituted with v-w5026f2_ZU</v>
      </c>
    </row>
    <row r="36618" customFormat="false" ht="12.8" hidden="false" customHeight="false" outlineLevel="0" collapsed="false">
      <c r="B36618" s="0" t="s">
        <v>1</v>
      </c>
    </row>
    <row r="36619" customFormat="false" ht="12.8" hidden="false" customHeight="false" outlineLevel="0" collapsed="false">
      <c r="B36619" s="0" t="s">
        <v>8</v>
      </c>
    </row>
    <row r="36620" customFormat="false" ht="12.8" hidden="false" customHeight="false" outlineLevel="0" collapsed="false">
      <c r="B36620" s="0" t="s">
        <v>36</v>
      </c>
    </row>
    <row r="36621" customFormat="false" ht="12.8" hidden="false" customHeight="false" outlineLevel="0" collapsed="false">
      <c r="B36621" s="0" t="s">
        <v>13773</v>
      </c>
    </row>
    <row r="36623" customFormat="false" ht="12.8" hidden="false" customHeight="false" outlineLevel="0" collapsed="false">
      <c r="A36623" s="0" t="s">
        <v>13774</v>
      </c>
      <c r="B36623" s="0" t="str">
        <f aca="false">HYPERLINK("https://lindat.mff.cuni.cz/services/teitok/pdtc10/index.php?action=vallex&amp;frame=v-w5024f1", "přetvářet (v-w5024f1)")</f>
        <v>přetvářet (v-w5024f1)</v>
      </c>
      <c r="E36623" s="0" t="str">
        <f aca="false">HYPERLINK("https://lindat.mff.cuni.cz/services/SynSemClass40/SynSemClass40.html?veclass=vec00095#vec00095-ces-cm00024", "vec00095")</f>
        <v>vec00095</v>
      </c>
      <c r="F36623" s="0" t="s">
        <v>29</v>
      </c>
    </row>
    <row r="36624" customFormat="false" ht="12.8" hidden="false" customHeight="false" outlineLevel="0" collapsed="false">
      <c r="B36624" s="0" t="s">
        <v>1</v>
      </c>
      <c r="C36624" s="0" t="s">
        <v>30</v>
      </c>
      <c r="E36624" s="0" t="s">
        <v>31</v>
      </c>
      <c r="F36624" s="0" t="s">
        <v>32</v>
      </c>
    </row>
    <row r="36625" customFormat="false" ht="12.8" hidden="false" customHeight="false" outlineLevel="0" collapsed="false">
      <c r="B36625" s="0" t="s">
        <v>8</v>
      </c>
      <c r="C36625" s="0" t="s">
        <v>33</v>
      </c>
      <c r="E36625" s="0" t="s">
        <v>34</v>
      </c>
      <c r="F36625" s="0" t="s">
        <v>35</v>
      </c>
    </row>
    <row r="36626" customFormat="false" ht="12.8" hidden="false" customHeight="false" outlineLevel="0" collapsed="false">
      <c r="B36626" s="0" t="s">
        <v>36</v>
      </c>
      <c r="C36626" s="0" t="s">
        <v>37</v>
      </c>
      <c r="E36626" s="0" t="s">
        <v>38</v>
      </c>
      <c r="F36626" s="0" t="s">
        <v>39</v>
      </c>
    </row>
    <row r="36627" customFormat="false" ht="12.8" hidden="false" customHeight="false" outlineLevel="0" collapsed="false">
      <c r="B36627" s="0" t="s">
        <v>6954</v>
      </c>
      <c r="C36627" s="0" t="s">
        <v>41</v>
      </c>
      <c r="E36627" s="0" t="s">
        <v>42</v>
      </c>
      <c r="F36627" s="0" t="s">
        <v>43</v>
      </c>
    </row>
    <row r="36629" customFormat="false" ht="12.8" hidden="false" customHeight="false" outlineLevel="0" collapsed="false">
      <c r="A36629" s="0" t="s">
        <v>13775</v>
      </c>
      <c r="B36629" s="0" t="str">
        <f aca="false">HYPERLINK("https://lindat.mff.cuni.cz/services/teitok/pdtc10/index.php?action=vallex&amp;frame=v-w5002f1", "přetáhnout (v-w5002f1)")</f>
        <v>přetáhnout (v-w5002f1)</v>
      </c>
      <c r="E36629" s="0" t="str">
        <f aca="false">HYPERLINK("https://lindat.mff.cuni.cz/services/SynSemClass40/SynSemClass40.html?veclass=vec00283#vec00283-ces-cm00111", "vec00283")</f>
        <v>vec00283</v>
      </c>
      <c r="F36629" s="0" t="s">
        <v>8946</v>
      </c>
    </row>
    <row r="36630" customFormat="false" ht="12.8" hidden="false" customHeight="false" outlineLevel="0" collapsed="false">
      <c r="B36630" s="0" t="s">
        <v>1</v>
      </c>
      <c r="C36630" s="0" t="s">
        <v>7911</v>
      </c>
      <c r="E36630" s="0" t="s">
        <v>2196</v>
      </c>
      <c r="F36630" s="0" t="s">
        <v>8947</v>
      </c>
    </row>
    <row r="36631" customFormat="false" ht="12.8" hidden="false" customHeight="false" outlineLevel="0" collapsed="false">
      <c r="B36631" s="0" t="s">
        <v>8</v>
      </c>
      <c r="C36631" s="0" t="s">
        <v>8948</v>
      </c>
      <c r="E36631" s="0" t="s">
        <v>2200</v>
      </c>
      <c r="F36631" s="0" t="s">
        <v>8949</v>
      </c>
    </row>
    <row r="36632" customFormat="false" ht="12.8" hidden="false" customHeight="false" outlineLevel="0" collapsed="false">
      <c r="B36632" s="0" t="s">
        <v>164</v>
      </c>
      <c r="C36632" s="0" t="s">
        <v>11520</v>
      </c>
      <c r="E36632" s="0" t="s">
        <v>388</v>
      </c>
      <c r="F36632" s="0" t="s">
        <v>11521</v>
      </c>
    </row>
    <row r="36634" customFormat="false" ht="12.8" hidden="false" customHeight="false" outlineLevel="0" collapsed="false">
      <c r="A36634" s="0" t="s">
        <v>13776</v>
      </c>
      <c r="B36634" s="0" t="str">
        <f aca="false">HYPERLINK("https://lindat.mff.cuni.cz/services/teitok/pdtc10/index.php?action=vallex&amp;frame=v-w5002hsa_1780", "přetáhnout (v-w5002hsa_1780)")</f>
        <v>přetáhnout (v-w5002hsa_1780)</v>
      </c>
    </row>
    <row r="36635" customFormat="false" ht="12.8" hidden="false" customHeight="false" outlineLevel="0" collapsed="false">
      <c r="B36635" s="0" t="s">
        <v>1</v>
      </c>
    </row>
    <row r="36636" customFormat="false" ht="12.8" hidden="false" customHeight="false" outlineLevel="0" collapsed="false">
      <c r="B36636" s="0" t="s">
        <v>8</v>
      </c>
    </row>
    <row r="36638" customFormat="false" ht="12.8" hidden="false" customHeight="false" outlineLevel="0" collapsed="false">
      <c r="A36638" s="0" t="s">
        <v>13777</v>
      </c>
      <c r="B36638" s="0" t="str">
        <f aca="false">HYPERLINK("https://lindat.mff.cuni.cz/services/teitok/pdtc10/index.php?action=vallex&amp;frame=v-w5005f1", "přetápět (v-w5005f1)")</f>
        <v>přetápět (v-w5005f1)</v>
      </c>
    </row>
    <row r="36639" customFormat="false" ht="12.8" hidden="false" customHeight="false" outlineLevel="0" collapsed="false">
      <c r="B36639" s="0" t="s">
        <v>1</v>
      </c>
    </row>
    <row r="36640" customFormat="false" ht="12.8" hidden="false" customHeight="false" outlineLevel="0" collapsed="false">
      <c r="B36640" s="0" t="s">
        <v>8</v>
      </c>
    </row>
    <row r="36642" customFormat="false" ht="12.8" hidden="false" customHeight="false" outlineLevel="0" collapsed="false">
      <c r="A36642" s="0" t="s">
        <v>13778</v>
      </c>
      <c r="B36642" s="0" t="str">
        <f aca="false">HYPERLINK("https://lindat.mff.cuni.cz/services/teitok/pdtc10/index.php?action=vallex&amp;frame=v-w10241f2", "přetéci (v-w10241f2)")</f>
        <v>přetéci (v-w10241f2)</v>
      </c>
      <c r="E36642" s="0" t="str">
        <f aca="false">HYPERLINK("https://lindat.mff.cuni.cz/services/SynSemClass40/SynSemClass40.html?veclass=vec01521#vec01521-ces-cm00001", "vec01521")</f>
        <v>vec01521</v>
      </c>
      <c r="F36642" s="0" t="s">
        <v>13779</v>
      </c>
    </row>
    <row r="36643" customFormat="false" ht="12.8" hidden="false" customHeight="false" outlineLevel="0" collapsed="false">
      <c r="B36643" s="0" t="s">
        <v>1</v>
      </c>
      <c r="E36643" s="0" t="s">
        <v>957</v>
      </c>
      <c r="F36643" s="0" t="s">
        <v>13780</v>
      </c>
    </row>
    <row r="36645" customFormat="false" ht="12.8" hidden="false" customHeight="false" outlineLevel="0" collapsed="false">
      <c r="A36645" s="0" t="s">
        <v>13781</v>
      </c>
      <c r="B36645" s="0" t="str">
        <f aca="false">HYPERLINK("https://lindat.mff.cuni.cz/services/teitok/pdtc10/index.php?action=vallex&amp;frame=v-w5009f1", "přetékat (v-w5009f1)")</f>
        <v>přetékat (v-w5009f1)</v>
      </c>
      <c r="E36645" s="0" t="str">
        <f aca="false">HYPERLINK("https://lindat.mff.cuni.cz/services/SynSemClass40/SynSemClass40.html?veclass=vec00893#vec00893-ces-cm00002", "vec00893")</f>
        <v>vec00893</v>
      </c>
      <c r="F36645" s="0" t="s">
        <v>13475</v>
      </c>
    </row>
    <row r="36646" customFormat="false" ht="12.8" hidden="false" customHeight="false" outlineLevel="0" collapsed="false">
      <c r="B36646" s="0" t="s">
        <v>1</v>
      </c>
      <c r="C36646" s="0" t="s">
        <v>322</v>
      </c>
      <c r="E36646" s="0" t="s">
        <v>11</v>
      </c>
      <c r="F36646" s="0" t="s">
        <v>323</v>
      </c>
    </row>
    <row r="36647" customFormat="false" ht="12.8" hidden="false" customHeight="false" outlineLevel="0" collapsed="false">
      <c r="B36647" s="0" t="s">
        <v>286</v>
      </c>
      <c r="C36647" s="0" t="s">
        <v>2082</v>
      </c>
      <c r="E36647" s="0" t="s">
        <v>1768</v>
      </c>
      <c r="F36647" s="0" t="s">
        <v>13476</v>
      </c>
    </row>
    <row r="36649" customFormat="false" ht="12.8" hidden="false" customHeight="false" outlineLevel="0" collapsed="false">
      <c r="A36649" s="0" t="s">
        <v>13782</v>
      </c>
      <c r="B36649" s="0" t="str">
        <f aca="false">HYPERLINK("https://lindat.mff.cuni.cz/services/teitok/pdtc10/index.php?action=vallex&amp;frame=v-w5009f2", "přetékat (v-w5009f2)")</f>
        <v>přetékat (v-w5009f2)</v>
      </c>
    </row>
    <row r="36650" customFormat="false" ht="12.8" hidden="false" customHeight="false" outlineLevel="0" collapsed="false">
      <c r="B36650" s="0" t="s">
        <v>1</v>
      </c>
    </row>
    <row r="36651" customFormat="false" ht="12.8" hidden="false" customHeight="false" outlineLevel="0" collapsed="false">
      <c r="B36651" s="0" t="s">
        <v>631</v>
      </c>
    </row>
    <row r="36652" customFormat="false" ht="12.8" hidden="false" customHeight="false" outlineLevel="0" collapsed="false">
      <c r="B36652" s="0" t="s">
        <v>164</v>
      </c>
    </row>
    <row r="36654" customFormat="false" ht="12.8" hidden="false" customHeight="false" outlineLevel="0" collapsed="false">
      <c r="A36654" s="0" t="s">
        <v>13783</v>
      </c>
      <c r="B36654" s="0" t="str">
        <f aca="false">HYPERLINK("https://lindat.mff.cuni.cz/services/teitok/pdtc10/index.php?action=vallex&amp;frame=v-w5009f3", "přetékat (v-w5009f3)")</f>
        <v>přetékat (v-w5009f3)</v>
      </c>
      <c r="E36654" s="0" t="str">
        <f aca="false">HYPERLINK("https://lindat.mff.cuni.cz/services/SynSemClass40/SynSemClass40.html?veclass=vec01521#vec01521-ces-cm00004", "vec01521")</f>
        <v>vec01521</v>
      </c>
      <c r="F36654" s="0" t="s">
        <v>13779</v>
      </c>
    </row>
    <row r="36655" customFormat="false" ht="12.8" hidden="false" customHeight="false" outlineLevel="0" collapsed="false">
      <c r="B36655" s="0" t="s">
        <v>1</v>
      </c>
      <c r="E36655" s="0" t="s">
        <v>957</v>
      </c>
      <c r="F36655" s="0" t="s">
        <v>13780</v>
      </c>
    </row>
    <row r="36657" customFormat="false" ht="12.8" hidden="false" customHeight="false" outlineLevel="0" collapsed="false">
      <c r="A36657" s="0" t="s">
        <v>13784</v>
      </c>
      <c r="B36657" s="0" t="str">
        <f aca="false">HYPERLINK("https://lindat.mff.cuni.cz/services/teitok/pdtc10/index.php?action=vallex&amp;frame=v-w5012f1", "přetížit (v-w5012f1)")</f>
        <v>přetížit (v-w5012f1)</v>
      </c>
    </row>
    <row r="36658" customFormat="false" ht="12.8" hidden="false" customHeight="false" outlineLevel="0" collapsed="false">
      <c r="B36658" s="0" t="s">
        <v>1</v>
      </c>
    </row>
    <row r="36659" customFormat="false" ht="12.8" hidden="false" customHeight="false" outlineLevel="0" collapsed="false">
      <c r="B36659" s="0" t="s">
        <v>8</v>
      </c>
    </row>
    <row r="36661" customFormat="false" ht="12.8" hidden="false" customHeight="false" outlineLevel="0" collapsed="false">
      <c r="A36661" s="0" t="s">
        <v>13785</v>
      </c>
      <c r="B36661" s="0" t="str">
        <f aca="false">HYPERLINK("https://lindat.mff.cuni.cz/services/teitok/pdtc10/index.php?action=vallex&amp;frame=v-w5010f1", "přetěžovat (v-w5010f1)")</f>
        <v>přetěžovat (v-w5010f1)</v>
      </c>
    </row>
    <row r="36662" customFormat="false" ht="12.8" hidden="false" customHeight="false" outlineLevel="0" collapsed="false">
      <c r="B36662" s="0" t="s">
        <v>1</v>
      </c>
    </row>
    <row r="36663" customFormat="false" ht="12.8" hidden="false" customHeight="false" outlineLevel="0" collapsed="false">
      <c r="B36663" s="0" t="s">
        <v>8</v>
      </c>
    </row>
    <row r="36665" customFormat="false" ht="12.8" hidden="false" customHeight="false" outlineLevel="0" collapsed="false">
      <c r="A36665" s="0" t="s">
        <v>13786</v>
      </c>
      <c r="B36665" s="0" t="str">
        <f aca="false">HYPERLINK("https://lindat.mff.cuni.cz/services/teitok/pdtc10/index.php?action=vallex&amp;frame=v-w5021f1", "přetřásat (v-w5021f1)")</f>
        <v>přetřásat (v-w5021f1)</v>
      </c>
    </row>
    <row r="36666" customFormat="false" ht="12.8" hidden="false" customHeight="false" outlineLevel="0" collapsed="false">
      <c r="B36666" s="0" t="s">
        <v>1</v>
      </c>
    </row>
    <row r="36667" customFormat="false" ht="12.8" hidden="false" customHeight="false" outlineLevel="0" collapsed="false">
      <c r="B36667" s="0" t="s">
        <v>228</v>
      </c>
    </row>
    <row r="36669" customFormat="false" ht="12.8" hidden="false" customHeight="false" outlineLevel="0" collapsed="false">
      <c r="A36669" s="0" t="s">
        <v>13787</v>
      </c>
      <c r="B36669" s="0" t="str">
        <f aca="false">HYPERLINK("https://lindat.mff.cuni.cz/services/teitok/pdtc10/index.php?action=vallex&amp;frame=v-w5022f1", "přetřít (v-w5022f1)")</f>
        <v>přetřít (v-w5022f1)</v>
      </c>
    </row>
    <row r="36670" customFormat="false" ht="12.8" hidden="false" customHeight="false" outlineLevel="0" collapsed="false">
      <c r="B36670" s="0" t="s">
        <v>1</v>
      </c>
    </row>
    <row r="36671" customFormat="false" ht="12.8" hidden="false" customHeight="false" outlineLevel="0" collapsed="false">
      <c r="B36671" s="0" t="s">
        <v>8</v>
      </c>
    </row>
    <row r="36673" customFormat="false" ht="12.8" hidden="false" customHeight="false" outlineLevel="0" collapsed="false">
      <c r="A36673" s="0" t="s">
        <v>13788</v>
      </c>
      <c r="B36673" s="0" t="str">
        <f aca="false">HYPERLINK("https://lindat.mff.cuni.cz/services/teitok/pdtc10/index.php?action=vallex&amp;frame=v-w11328f3", "převalit se (v-w11328f3)")</f>
        <v>převalit se (v-w11328f3)</v>
      </c>
    </row>
    <row r="36674" customFormat="false" ht="12.8" hidden="false" customHeight="false" outlineLevel="0" collapsed="false">
      <c r="B36674" s="0" t="s">
        <v>1</v>
      </c>
    </row>
    <row r="36675" customFormat="false" ht="12.8" hidden="false" customHeight="false" outlineLevel="0" collapsed="false">
      <c r="B36675" s="0" t="s">
        <v>631</v>
      </c>
    </row>
    <row r="36676" customFormat="false" ht="12.8" hidden="false" customHeight="false" outlineLevel="0" collapsed="false">
      <c r="B36676" s="0" t="s">
        <v>164</v>
      </c>
    </row>
    <row r="36678" customFormat="false" ht="12.8" hidden="false" customHeight="false" outlineLevel="0" collapsed="false">
      <c r="A36678" s="0" t="s">
        <v>13789</v>
      </c>
      <c r="B36678" s="0" t="str">
        <f aca="false">HYPERLINK("https://lindat.mff.cuni.cz/services/teitok/pdtc10/index.php?action=vallex&amp;frame=v-w11328f2", "převalit se (v-w11328f2)")</f>
        <v>převalit se (v-w11328f2)</v>
      </c>
    </row>
    <row r="36679" customFormat="false" ht="12.8" hidden="false" customHeight="false" outlineLevel="0" collapsed="false">
      <c r="B36679" s="0" t="s">
        <v>1</v>
      </c>
    </row>
    <row r="36680" customFormat="false" ht="12.8" hidden="false" customHeight="false" outlineLevel="0" collapsed="false">
      <c r="B36680" s="0" t="s">
        <v>336</v>
      </c>
    </row>
    <row r="36682" customFormat="false" ht="12.8" hidden="false" customHeight="false" outlineLevel="0" collapsed="false">
      <c r="A36682" s="0" t="s">
        <v>13790</v>
      </c>
      <c r="B36682" s="0" t="str">
        <f aca="false">HYPERLINK("https://lindat.mff.cuni.cz/services/teitok/pdtc10/index.php?action=vallex&amp;frame=v-w5031f1", "převalovat se (v-w5031f1)")</f>
        <v>převalovat se (v-w5031f1)</v>
      </c>
    </row>
    <row r="36683" customFormat="false" ht="12.8" hidden="false" customHeight="false" outlineLevel="0" collapsed="false">
      <c r="B36683" s="0" t="s">
        <v>1</v>
      </c>
    </row>
    <row r="36685" customFormat="false" ht="12.8" hidden="false" customHeight="false" outlineLevel="0" collapsed="false">
      <c r="A36685" s="0" t="s">
        <v>13791</v>
      </c>
      <c r="B36685" s="0" t="str">
        <f aca="false">HYPERLINK("https://lindat.mff.cuni.cz/services/teitok/pdtc10/index.php?action=vallex&amp;frame=v-w5035f2", "převažovat (v-w5035f2)")</f>
        <v>převažovat (v-w5035f2)</v>
      </c>
    </row>
    <row r="36686" customFormat="false" ht="12.8" hidden="false" customHeight="false" outlineLevel="0" collapsed="false">
      <c r="B36686" s="0" t="s">
        <v>1</v>
      </c>
    </row>
    <row r="36687" customFormat="false" ht="12.8" hidden="false" customHeight="false" outlineLevel="0" collapsed="false">
      <c r="B36687" s="0" t="s">
        <v>8</v>
      </c>
    </row>
    <row r="36689" customFormat="false" ht="12.8" hidden="false" customHeight="false" outlineLevel="0" collapsed="false">
      <c r="A36689" s="0" t="s">
        <v>13792</v>
      </c>
      <c r="B36689" s="0" t="str">
        <f aca="false">HYPERLINK("https://lindat.mff.cuni.cz/services/teitok/pdtc10/index.php?action=vallex&amp;frame=v-w5035f1", "převažovat (v-w5035f1)")</f>
        <v>převažovat (v-w5035f1)</v>
      </c>
    </row>
    <row r="36690" customFormat="false" ht="12.8" hidden="false" customHeight="false" outlineLevel="0" collapsed="false">
      <c r="B36690" s="0" t="s">
        <v>1</v>
      </c>
    </row>
    <row r="36691" customFormat="false" ht="12.8" hidden="false" customHeight="false" outlineLevel="0" collapsed="false">
      <c r="B36691" s="0" t="s">
        <v>13793</v>
      </c>
    </row>
    <row r="36693" customFormat="false" ht="12.8" hidden="false" customHeight="false" outlineLevel="0" collapsed="false">
      <c r="A36693" s="0" t="s">
        <v>13794</v>
      </c>
      <c r="B36693" s="0" t="str">
        <f aca="false">HYPERLINK("https://lindat.mff.cuni.cz/services/teitok/pdtc10/index.php?action=vallex&amp;frame=v-w5038f1", "převelet (v-w5038f1)")</f>
        <v>převelet (v-w5038f1)</v>
      </c>
      <c r="E36693" s="0" t="str">
        <f aca="false">HYPERLINK("https://lindat.mff.cuni.cz/services/SynSemClass40/SynSemClass40.html?veclass=vec00283#vec00283-ces-cm00112", "vec00283")</f>
        <v>vec00283</v>
      </c>
      <c r="F36693" s="0" t="s">
        <v>8946</v>
      </c>
      <c r="H36693" s="0" t="str">
        <f aca="false">HYPERLINK("https://lindat.mff.cuni.cz/services/SynSemClass40/SynSemClass40.html?veclass=vec00894#vec00894-ces-cm00010", "vec00894")</f>
        <v>vec00894</v>
      </c>
      <c r="I36693" s="0" t="s">
        <v>13498</v>
      </c>
    </row>
    <row r="36694" customFormat="false" ht="12.8" hidden="false" customHeight="false" outlineLevel="0" collapsed="false">
      <c r="B36694" s="0" t="s">
        <v>1</v>
      </c>
      <c r="C36694" s="0" t="s">
        <v>2720</v>
      </c>
      <c r="E36694" s="0" t="s">
        <v>2196</v>
      </c>
      <c r="F36694" s="0" t="s">
        <v>8947</v>
      </c>
      <c r="H36694" s="0" t="s">
        <v>334</v>
      </c>
      <c r="I36694" s="0" t="s">
        <v>13500</v>
      </c>
    </row>
    <row r="36695" customFormat="false" ht="12.8" hidden="false" customHeight="false" outlineLevel="0" collapsed="false">
      <c r="B36695" s="0" t="s">
        <v>8</v>
      </c>
      <c r="C36695" s="0" t="s">
        <v>13718</v>
      </c>
      <c r="E36695" s="0" t="s">
        <v>2200</v>
      </c>
      <c r="F36695" s="0" t="s">
        <v>8949</v>
      </c>
      <c r="H36695" s="0" t="s">
        <v>2648</v>
      </c>
      <c r="I36695" s="0" t="s">
        <v>13502</v>
      </c>
    </row>
    <row r="36696" customFormat="false" ht="12.8" hidden="false" customHeight="false" outlineLevel="0" collapsed="false">
      <c r="B36696" s="0" t="s">
        <v>631</v>
      </c>
      <c r="E36696" s="0" t="s">
        <v>4096</v>
      </c>
      <c r="F36696" s="0" t="s">
        <v>4097</v>
      </c>
      <c r="H36696" s="0" t="s">
        <v>1949</v>
      </c>
      <c r="I36696" s="0" t="s">
        <v>2896</v>
      </c>
    </row>
    <row r="36697" customFormat="false" ht="12.8" hidden="false" customHeight="false" outlineLevel="0" collapsed="false">
      <c r="B36697" s="0" t="s">
        <v>164</v>
      </c>
      <c r="C36697" s="0" t="s">
        <v>13719</v>
      </c>
      <c r="E36697" s="0" t="s">
        <v>388</v>
      </c>
      <c r="F36697" s="0" t="s">
        <v>11521</v>
      </c>
      <c r="H36697" s="0" t="s">
        <v>1315</v>
      </c>
      <c r="I36697" s="0" t="s">
        <v>13504</v>
      </c>
    </row>
    <row r="36699" customFormat="false" ht="12.8" hidden="false" customHeight="false" outlineLevel="0" collapsed="false">
      <c r="A36699" s="0" t="s">
        <v>13795</v>
      </c>
      <c r="B36699" s="0" t="str">
        <f aca="false">HYPERLINK("https://lindat.mff.cuni.cz/services/teitok/pdtc10/index.php?action=vallex&amp;frame=v-w11960_ZUf1_ZU", "převelit (v-w11960_ZUf1_ZU)")</f>
        <v>převelit (v-w11960_ZUf1_ZU)</v>
      </c>
    </row>
    <row r="36700" customFormat="false" ht="12.8" hidden="false" customHeight="false" outlineLevel="0" collapsed="false">
      <c r="B36700" s="0" t="s">
        <v>1</v>
      </c>
    </row>
    <row r="36701" customFormat="false" ht="12.8" hidden="false" customHeight="false" outlineLevel="0" collapsed="false">
      <c r="B36701" s="0" t="s">
        <v>8</v>
      </c>
    </row>
    <row r="36702" customFormat="false" ht="12.8" hidden="false" customHeight="false" outlineLevel="0" collapsed="false">
      <c r="B36702" s="0" t="s">
        <v>631</v>
      </c>
    </row>
    <row r="36703" customFormat="false" ht="12.8" hidden="false" customHeight="false" outlineLevel="0" collapsed="false">
      <c r="B36703" s="0" t="s">
        <v>164</v>
      </c>
    </row>
    <row r="36705" customFormat="false" ht="12.8" hidden="false" customHeight="false" outlineLevel="0" collapsed="false">
      <c r="A36705" s="0" t="s">
        <v>13796</v>
      </c>
      <c r="B36705" s="0" t="str">
        <f aca="false">HYPERLINK("https://lindat.mff.cuni.cz/services/teitok/pdtc10/index.php?action=vallex&amp;frame=v-w5042f1", "převládat (v-w5042f1)")</f>
        <v>převládat (v-w5042f1)</v>
      </c>
    </row>
    <row r="36706" customFormat="false" ht="12.8" hidden="false" customHeight="false" outlineLevel="0" collapsed="false">
      <c r="B36706" s="0" t="s">
        <v>1</v>
      </c>
    </row>
    <row r="36707" customFormat="false" ht="12.8" hidden="false" customHeight="false" outlineLevel="0" collapsed="false">
      <c r="B36707" s="0" t="s">
        <v>4070</v>
      </c>
    </row>
    <row r="36709" customFormat="false" ht="12.8" hidden="false" customHeight="false" outlineLevel="0" collapsed="false">
      <c r="A36709" s="0" t="s">
        <v>13797</v>
      </c>
      <c r="B36709" s="0" t="str">
        <f aca="false">HYPERLINK("https://lindat.mff.cuni.cz/services/teitok/pdtc10/index.php?action=vallex&amp;frame=v-w5043hsa_1041", "převládnout (v-w5043hsa_1041)")</f>
        <v>převládnout (v-w5043hsa_1041)</v>
      </c>
    </row>
    <row r="36710" customFormat="false" ht="12.8" hidden="false" customHeight="false" outlineLevel="0" collapsed="false">
      <c r="B36710" s="0" t="s">
        <v>1</v>
      </c>
    </row>
    <row r="36711" customFormat="false" ht="12.8" hidden="false" customHeight="false" outlineLevel="0" collapsed="false">
      <c r="B36711" s="0" t="s">
        <v>4070</v>
      </c>
    </row>
    <row r="36713" customFormat="false" ht="12.8" hidden="false" customHeight="false" outlineLevel="0" collapsed="false">
      <c r="A36713" s="0" t="s">
        <v>13797</v>
      </c>
      <c r="B36713" s="0" t="str">
        <f aca="false">HYPERLINK("https://lindat.mff.cuni.cz/services/teitok/pdtc10/index.php?action=vallex&amp;frame=v-w5043f1", "převládnout (v-w5043f1) - substituted with v-w5043hsa_1041")</f>
        <v>převládnout (v-w5043f1) - substituted with v-w5043hsa_1041</v>
      </c>
    </row>
    <row r="36714" customFormat="false" ht="12.8" hidden="false" customHeight="false" outlineLevel="0" collapsed="false">
      <c r="B36714" s="0" t="s">
        <v>1</v>
      </c>
    </row>
    <row r="36715" customFormat="false" ht="12.8" hidden="false" customHeight="false" outlineLevel="0" collapsed="false">
      <c r="B36715" s="0" t="s">
        <v>4070</v>
      </c>
    </row>
    <row r="36717" customFormat="false" ht="12.8" hidden="false" customHeight="false" outlineLevel="0" collapsed="false">
      <c r="A36717" s="0" t="s">
        <v>13798</v>
      </c>
      <c r="B36717" s="0" t="str">
        <f aca="false">HYPERLINK("https://lindat.mff.cuni.cz/services/teitok/pdtc10/index.php?action=vallex&amp;frame=v-w10470f2", "převléci (v-w10470f2)")</f>
        <v>převléci (v-w10470f2)</v>
      </c>
    </row>
    <row r="36718" customFormat="false" ht="12.8" hidden="false" customHeight="false" outlineLevel="0" collapsed="false">
      <c r="B36718" s="0" t="s">
        <v>1</v>
      </c>
    </row>
    <row r="36719" customFormat="false" ht="12.8" hidden="false" customHeight="false" outlineLevel="0" collapsed="false">
      <c r="B36719" s="0" t="s">
        <v>8</v>
      </c>
    </row>
    <row r="36720" customFormat="false" ht="12.8" hidden="false" customHeight="false" outlineLevel="0" collapsed="false">
      <c r="B36720" s="0" t="s">
        <v>132</v>
      </c>
    </row>
    <row r="36722" customFormat="false" ht="12.8" hidden="false" customHeight="false" outlineLevel="0" collapsed="false">
      <c r="A36722" s="0" t="s">
        <v>13799</v>
      </c>
      <c r="B36722" s="0" t="str">
        <f aca="false">HYPERLINK("https://lindat.mff.cuni.cz/services/teitok/pdtc10/index.php?action=vallex&amp;frame=v-w10470f4", "převléci (v-w10470f4)")</f>
        <v>převléci (v-w10470f4)</v>
      </c>
      <c r="E36722" s="0" t="str">
        <f aca="false">HYPERLINK("https://lindat.mff.cuni.cz/services/SynSemClass40/SynSemClass40.html?veclass=vec01289#vec01289-ces-cm00005", "vec01289")</f>
        <v>vec01289</v>
      </c>
      <c r="F36722" s="0" t="s">
        <v>13800</v>
      </c>
    </row>
    <row r="36723" customFormat="false" ht="12.8" hidden="false" customHeight="false" outlineLevel="0" collapsed="false">
      <c r="B36723" s="0" t="s">
        <v>1</v>
      </c>
      <c r="E36723" s="0" t="s">
        <v>31</v>
      </c>
      <c r="F36723" s="0" t="s">
        <v>49</v>
      </c>
    </row>
    <row r="36724" customFormat="false" ht="12.8" hidden="false" customHeight="false" outlineLevel="0" collapsed="false">
      <c r="B36724" s="0" t="s">
        <v>8</v>
      </c>
      <c r="E36724" s="0" t="s">
        <v>13801</v>
      </c>
      <c r="F36724" s="0" t="s">
        <v>13802</v>
      </c>
    </row>
    <row r="36725" customFormat="false" ht="12.8" hidden="false" customHeight="false" outlineLevel="0" collapsed="false">
      <c r="B36725" s="0" t="s">
        <v>723</v>
      </c>
      <c r="C36725" s="0" t="s">
        <v>1851</v>
      </c>
      <c r="E36725" s="0" t="s">
        <v>13803</v>
      </c>
      <c r="F36725" s="0" t="s">
        <v>13804</v>
      </c>
    </row>
    <row r="36727" customFormat="false" ht="12.8" hidden="false" customHeight="false" outlineLevel="0" collapsed="false">
      <c r="A36727" s="0" t="s">
        <v>13805</v>
      </c>
      <c r="B36727" s="0" t="str">
        <f aca="false">HYPERLINK("https://lindat.mff.cuni.cz/services/teitok/pdtc10/index.php?action=vallex&amp;frame=v-w10081f2", "převlékat (v-w10081f2)")</f>
        <v>převlékat (v-w10081f2)</v>
      </c>
    </row>
    <row r="36728" customFormat="false" ht="12.8" hidden="false" customHeight="false" outlineLevel="0" collapsed="false">
      <c r="B36728" s="0" t="s">
        <v>1</v>
      </c>
    </row>
    <row r="36729" customFormat="false" ht="12.8" hidden="false" customHeight="false" outlineLevel="0" collapsed="false">
      <c r="B36729" s="0" t="s">
        <v>8</v>
      </c>
    </row>
    <row r="36730" customFormat="false" ht="12.8" hidden="false" customHeight="false" outlineLevel="0" collapsed="false">
      <c r="B36730" s="0" t="s">
        <v>132</v>
      </c>
    </row>
    <row r="36732" customFormat="false" ht="12.8" hidden="false" customHeight="false" outlineLevel="0" collapsed="false">
      <c r="A36732" s="0" t="s">
        <v>13806</v>
      </c>
      <c r="B36732" s="0" t="str">
        <f aca="false">HYPERLINK("https://lindat.mff.cuni.cz/services/teitok/pdtc10/index.php?action=vallex&amp;frame=v-w10487f2", "převléknout (v-w10487f2)")</f>
        <v>převléknout (v-w10487f2)</v>
      </c>
    </row>
    <row r="36733" customFormat="false" ht="12.8" hidden="false" customHeight="false" outlineLevel="0" collapsed="false">
      <c r="B36733" s="0" t="s">
        <v>1</v>
      </c>
    </row>
    <row r="36734" customFormat="false" ht="12.8" hidden="false" customHeight="false" outlineLevel="0" collapsed="false">
      <c r="B36734" s="0" t="s">
        <v>13807</v>
      </c>
    </row>
    <row r="36736" customFormat="false" ht="12.8" hidden="false" customHeight="false" outlineLevel="0" collapsed="false">
      <c r="A36736" s="0" t="s">
        <v>13808</v>
      </c>
      <c r="B36736" s="0" t="str">
        <f aca="false">HYPERLINK("https://lindat.mff.cuni.cz/services/teitok/pdtc10/index.php?action=vallex&amp;frame=v-w10487f3_ZU", "převléknout (v-w10487f3_ZU)")</f>
        <v>převléknout (v-w10487f3_ZU)</v>
      </c>
    </row>
    <row r="36737" customFormat="false" ht="12.8" hidden="false" customHeight="false" outlineLevel="0" collapsed="false">
      <c r="B36737" s="0" t="s">
        <v>1</v>
      </c>
    </row>
    <row r="36738" customFormat="false" ht="12.8" hidden="false" customHeight="false" outlineLevel="0" collapsed="false">
      <c r="B36738" s="0" t="s">
        <v>8</v>
      </c>
    </row>
    <row r="36739" customFormat="false" ht="12.8" hidden="false" customHeight="false" outlineLevel="0" collapsed="false">
      <c r="B36739" s="0" t="s">
        <v>36</v>
      </c>
    </row>
    <row r="36740" customFormat="false" ht="12.8" hidden="false" customHeight="false" outlineLevel="0" collapsed="false">
      <c r="B36740" s="0" t="s">
        <v>245</v>
      </c>
    </row>
    <row r="36742" customFormat="false" ht="12.8" hidden="false" customHeight="false" outlineLevel="0" collapsed="false">
      <c r="A36742" s="0" t="s">
        <v>13808</v>
      </c>
      <c r="B36742" s="0" t="str">
        <f aca="false">HYPERLINK("https://lindat.mff.cuni.cz/services/teitok/pdtc10/index.php?action=vallex&amp;frame=v-w10487hsa_1522", "převléknout (v-w10487hsa_1522) - substituted with v-w10487f3_ZU")</f>
        <v>převléknout (v-w10487hsa_1522) - substituted with v-w10487f3_ZU</v>
      </c>
    </row>
    <row r="36743" customFormat="false" ht="12.8" hidden="false" customHeight="false" outlineLevel="0" collapsed="false">
      <c r="B36743" s="0" t="s">
        <v>1</v>
      </c>
    </row>
    <row r="36744" customFormat="false" ht="12.8" hidden="false" customHeight="false" outlineLevel="0" collapsed="false">
      <c r="B36744" s="0" t="s">
        <v>8</v>
      </c>
    </row>
    <row r="36745" customFormat="false" ht="12.8" hidden="false" customHeight="false" outlineLevel="0" collapsed="false">
      <c r="B36745" s="0" t="s">
        <v>36</v>
      </c>
    </row>
    <row r="36746" customFormat="false" ht="12.8" hidden="false" customHeight="false" outlineLevel="0" collapsed="false">
      <c r="B36746" s="0" t="s">
        <v>245</v>
      </c>
    </row>
    <row r="36748" customFormat="false" ht="12.8" hidden="false" customHeight="false" outlineLevel="0" collapsed="false">
      <c r="A36748" s="0" t="s">
        <v>13809</v>
      </c>
      <c r="B36748" s="0" t="str">
        <f aca="false">HYPERLINK("https://lindat.mff.cuni.cz/services/teitok/pdtc10/index.php?action=vallex&amp;frame=v-w11677_ZUf1_ZU", "převlíct (v-w11677_ZUf1_ZU)")</f>
        <v>převlíct (v-w11677_ZUf1_ZU)</v>
      </c>
    </row>
    <row r="36749" customFormat="false" ht="12.8" hidden="false" customHeight="false" outlineLevel="0" collapsed="false">
      <c r="B36749" s="0" t="s">
        <v>1</v>
      </c>
    </row>
    <row r="36750" customFormat="false" ht="12.8" hidden="false" customHeight="false" outlineLevel="0" collapsed="false">
      <c r="B36750" s="0" t="s">
        <v>8</v>
      </c>
    </row>
    <row r="36751" customFormat="false" ht="12.8" hidden="false" customHeight="false" outlineLevel="0" collapsed="false">
      <c r="B36751" s="0" t="s">
        <v>36</v>
      </c>
    </row>
    <row r="36752" customFormat="false" ht="12.8" hidden="false" customHeight="false" outlineLevel="0" collapsed="false">
      <c r="B36752" s="0" t="s">
        <v>245</v>
      </c>
    </row>
    <row r="36754" customFormat="false" ht="12.8" hidden="false" customHeight="false" outlineLevel="0" collapsed="false">
      <c r="A36754" s="0" t="s">
        <v>13810</v>
      </c>
      <c r="B36754" s="0" t="str">
        <f aca="false">HYPERLINK("https://lindat.mff.cuni.cz/services/teitok/pdtc10/index.php?action=vallex&amp;frame=v-w12184_ZUf1_ZU", "převlíkat (v-w12184_ZUf1_ZU)")</f>
        <v>převlíkat (v-w12184_ZUf1_ZU)</v>
      </c>
    </row>
    <row r="36755" customFormat="false" ht="12.8" hidden="false" customHeight="false" outlineLevel="0" collapsed="false">
      <c r="B36755" s="0" t="s">
        <v>1</v>
      </c>
    </row>
    <row r="36756" customFormat="false" ht="12.8" hidden="false" customHeight="false" outlineLevel="0" collapsed="false">
      <c r="B36756" s="0" t="s">
        <v>8</v>
      </c>
    </row>
    <row r="36757" customFormat="false" ht="12.8" hidden="false" customHeight="false" outlineLevel="0" collapsed="false">
      <c r="B36757" s="0" t="s">
        <v>723</v>
      </c>
    </row>
    <row r="36759" customFormat="false" ht="12.8" hidden="false" customHeight="false" outlineLevel="0" collapsed="false">
      <c r="A36759" s="0" t="s">
        <v>13811</v>
      </c>
      <c r="B36759" s="0" t="str">
        <f aca="false">HYPERLINK("https://lindat.mff.cuni.cz/services/teitok/pdtc10/index.php?action=vallex&amp;frame=v-whsa_692f1_ZU", "převlíknout (v-whsa_692f1_ZU)")</f>
        <v>převlíknout (v-whsa_692f1_ZU)</v>
      </c>
    </row>
    <row r="36760" customFormat="false" ht="12.8" hidden="false" customHeight="false" outlineLevel="0" collapsed="false">
      <c r="B36760" s="0" t="s">
        <v>1</v>
      </c>
    </row>
    <row r="36761" customFormat="false" ht="12.8" hidden="false" customHeight="false" outlineLevel="0" collapsed="false">
      <c r="B36761" s="0" t="s">
        <v>8</v>
      </c>
    </row>
    <row r="36762" customFormat="false" ht="12.8" hidden="false" customHeight="false" outlineLevel="0" collapsed="false">
      <c r="B36762" s="0" t="s">
        <v>36</v>
      </c>
    </row>
    <row r="36763" customFormat="false" ht="12.8" hidden="false" customHeight="false" outlineLevel="0" collapsed="false">
      <c r="B36763" s="0" t="s">
        <v>245</v>
      </c>
    </row>
    <row r="36765" customFormat="false" ht="12.8" hidden="false" customHeight="false" outlineLevel="0" collapsed="false">
      <c r="A36765" s="0" t="s">
        <v>13811</v>
      </c>
      <c r="B36765" s="0" t="str">
        <f aca="false">HYPERLINK("https://lindat.mff.cuni.cz/services/teitok/pdtc10/index.php?action=vallex&amp;frame=v-whsa_692hsa_693", "převlíknout (v-whsa_692hsa_693) - substituted with v-whsa_692f1_ZU")</f>
        <v>převlíknout (v-whsa_692hsa_693) - substituted with v-whsa_692f1_ZU</v>
      </c>
    </row>
    <row r="36766" customFormat="false" ht="12.8" hidden="false" customHeight="false" outlineLevel="0" collapsed="false">
      <c r="B36766" s="0" t="s">
        <v>1</v>
      </c>
    </row>
    <row r="36767" customFormat="false" ht="12.8" hidden="false" customHeight="false" outlineLevel="0" collapsed="false">
      <c r="B36767" s="0" t="s">
        <v>8</v>
      </c>
    </row>
    <row r="36768" customFormat="false" ht="12.8" hidden="false" customHeight="false" outlineLevel="0" collapsed="false">
      <c r="B36768" s="0" t="s">
        <v>36</v>
      </c>
    </row>
    <row r="36769" customFormat="false" ht="12.8" hidden="false" customHeight="false" outlineLevel="0" collapsed="false">
      <c r="B36769" s="0" t="s">
        <v>245</v>
      </c>
    </row>
    <row r="36771" customFormat="false" ht="12.8" hidden="false" customHeight="false" outlineLevel="0" collapsed="false">
      <c r="A36771" s="0" t="s">
        <v>13812</v>
      </c>
      <c r="B36771" s="0" t="str">
        <f aca="false">HYPERLINK("https://lindat.mff.cuni.cz/services/teitok/pdtc10/index.php?action=vallex&amp;frame=v-whsb_306hsa_307", "převracet se (v-whsb_306hsa_307)")</f>
        <v>převracet se (v-whsb_306hsa_307)</v>
      </c>
    </row>
    <row r="36772" customFormat="false" ht="12.8" hidden="false" customHeight="false" outlineLevel="0" collapsed="false">
      <c r="B36772" s="0" t="s">
        <v>1</v>
      </c>
    </row>
    <row r="36774" customFormat="false" ht="12.8" hidden="false" customHeight="false" outlineLevel="0" collapsed="false">
      <c r="A36774" s="0" t="s">
        <v>13813</v>
      </c>
      <c r="B36774" s="0" t="str">
        <f aca="false">HYPERLINK("https://lindat.mff.cuni.cz/services/teitok/pdtc10/index.php?action=vallex&amp;frame=v-w5048f1", "převrhnout (v-w5048f1)")</f>
        <v>převrhnout (v-w5048f1)</v>
      </c>
      <c r="E36774" s="0" t="str">
        <f aca="false">HYPERLINK("https://lindat.mff.cuni.cz/services/SynSemClass40/SynSemClass40.html?veclass=vec01106#vec01106-ces-cm00005", "vec01106")</f>
        <v>vec01106</v>
      </c>
      <c r="F36774" s="0" t="s">
        <v>13814</v>
      </c>
    </row>
    <row r="36775" customFormat="false" ht="12.8" hidden="false" customHeight="false" outlineLevel="0" collapsed="false">
      <c r="B36775" s="0" t="s">
        <v>1</v>
      </c>
      <c r="C36775" s="0" t="s">
        <v>459</v>
      </c>
      <c r="E36775" s="0" t="s">
        <v>2196</v>
      </c>
      <c r="F36775" s="0" t="s">
        <v>13815</v>
      </c>
    </row>
    <row r="36776" customFormat="false" ht="12.8" hidden="false" customHeight="false" outlineLevel="0" collapsed="false">
      <c r="B36776" s="0" t="s">
        <v>8</v>
      </c>
      <c r="C36776" s="0" t="s">
        <v>744</v>
      </c>
      <c r="E36776" s="0" t="s">
        <v>2200</v>
      </c>
      <c r="F36776" s="0" t="s">
        <v>13816</v>
      </c>
    </row>
    <row r="36778" customFormat="false" ht="12.8" hidden="false" customHeight="false" outlineLevel="0" collapsed="false">
      <c r="A36778" s="0" t="s">
        <v>13817</v>
      </c>
      <c r="B36778" s="0" t="str">
        <f aca="false">HYPERLINK("https://lindat.mff.cuni.cz/services/teitok/pdtc10/index.php?action=vallex&amp;frame=v-w5049f1", "převrhnout se (v-w5049f1)")</f>
        <v>převrhnout se (v-w5049f1)</v>
      </c>
    </row>
    <row r="36779" customFormat="false" ht="12.8" hidden="false" customHeight="false" outlineLevel="0" collapsed="false">
      <c r="B36779" s="0" t="s">
        <v>1</v>
      </c>
    </row>
    <row r="36781" customFormat="false" ht="12.8" hidden="false" customHeight="false" outlineLevel="0" collapsed="false">
      <c r="A36781" s="0" t="s">
        <v>13818</v>
      </c>
      <c r="B36781" s="0" t="str">
        <f aca="false">HYPERLINK("https://lindat.mff.cuni.cz/services/teitok/pdtc10/index.php?action=vallex&amp;frame=v-w11557_ZUf1_ZU", "převrátit (v-w11557_ZUf1_ZU)")</f>
        <v>převrátit (v-w11557_ZUf1_ZU)</v>
      </c>
      <c r="E36781" s="0" t="str">
        <f aca="false">HYPERLINK("https://lindat.mff.cuni.cz/services/SynSemClass40/SynSemClass40.html?veclass=vec00896#vec00896-ces-cm00001", "vec00896")</f>
        <v>vec00896</v>
      </c>
      <c r="F36781" s="0" t="s">
        <v>13577</v>
      </c>
    </row>
    <row r="36782" customFormat="false" ht="12.8" hidden="false" customHeight="false" outlineLevel="0" collapsed="false">
      <c r="B36782" s="0" t="s">
        <v>1</v>
      </c>
      <c r="C36782" s="0" t="s">
        <v>459</v>
      </c>
      <c r="E36782" s="0" t="s">
        <v>76</v>
      </c>
      <c r="F36782" s="0" t="s">
        <v>743</v>
      </c>
    </row>
    <row r="36783" customFormat="false" ht="12.8" hidden="false" customHeight="false" outlineLevel="0" collapsed="false">
      <c r="B36783" s="0" t="s">
        <v>8</v>
      </c>
      <c r="C36783" s="0" t="s">
        <v>800</v>
      </c>
      <c r="E36783" s="0" t="s">
        <v>87</v>
      </c>
      <c r="F36783" s="0" t="s">
        <v>13578</v>
      </c>
    </row>
    <row r="36785" customFormat="false" ht="12.8" hidden="false" customHeight="false" outlineLevel="0" collapsed="false">
      <c r="A36785" s="0" t="s">
        <v>13819</v>
      </c>
      <c r="B36785" s="0" t="str">
        <f aca="false">HYPERLINK("https://lindat.mff.cuni.cz/services/teitok/pdtc10/index.php?action=vallex&amp;frame=v-w5047f1", "převrátit se (v-w5047f1)")</f>
        <v>převrátit se (v-w5047f1)</v>
      </c>
    </row>
    <row r="36786" customFormat="false" ht="12.8" hidden="false" customHeight="false" outlineLevel="0" collapsed="false">
      <c r="B36786" s="0" t="s">
        <v>1</v>
      </c>
    </row>
    <row r="36788" customFormat="false" ht="12.8" hidden="false" customHeight="false" outlineLevel="0" collapsed="false">
      <c r="A36788" s="0" t="s">
        <v>13820</v>
      </c>
      <c r="B36788" s="0" t="str">
        <f aca="false">HYPERLINK("https://lindat.mff.cuni.cz/services/teitok/pdtc10/index.php?action=vallex&amp;frame=v-w5047f2", "převrátit se (v-w5047f2)")</f>
        <v>převrátit se (v-w5047f2)</v>
      </c>
    </row>
    <row r="36789" customFormat="false" ht="12.8" hidden="false" customHeight="false" outlineLevel="0" collapsed="false">
      <c r="B36789" s="0" t="s">
        <v>1</v>
      </c>
    </row>
    <row r="36791" customFormat="false" ht="12.8" hidden="false" customHeight="false" outlineLevel="0" collapsed="false">
      <c r="A36791" s="0" t="s">
        <v>13821</v>
      </c>
      <c r="B36791" s="0" t="str">
        <f aca="false">HYPERLINK("https://lindat.mff.cuni.cz/services/teitok/pdtc10/index.php?action=vallex&amp;frame=v-w5052f1", "převychovat (v-w5052f1)")</f>
        <v>převychovat (v-w5052f1)</v>
      </c>
    </row>
    <row r="36792" customFormat="false" ht="12.8" hidden="false" customHeight="false" outlineLevel="0" collapsed="false">
      <c r="B36792" s="0" t="s">
        <v>1</v>
      </c>
    </row>
    <row r="36793" customFormat="false" ht="12.8" hidden="false" customHeight="false" outlineLevel="0" collapsed="false">
      <c r="B36793" s="0" t="s">
        <v>8</v>
      </c>
    </row>
    <row r="36795" customFormat="false" ht="12.8" hidden="false" customHeight="false" outlineLevel="0" collapsed="false">
      <c r="A36795" s="0" t="s">
        <v>13822</v>
      </c>
      <c r="B36795" s="0" t="str">
        <f aca="false">HYPERLINK("https://lindat.mff.cuni.cz/services/teitok/pdtc10/index.php?action=vallex&amp;frame=v-w5053f1", "převychovávat (v-w5053f1)")</f>
        <v>převychovávat (v-w5053f1)</v>
      </c>
    </row>
    <row r="36796" customFormat="false" ht="12.8" hidden="false" customHeight="false" outlineLevel="0" collapsed="false">
      <c r="B36796" s="0" t="s">
        <v>1</v>
      </c>
    </row>
    <row r="36797" customFormat="false" ht="12.8" hidden="false" customHeight="false" outlineLevel="0" collapsed="false">
      <c r="B36797" s="0" t="s">
        <v>8</v>
      </c>
    </row>
    <row r="36799" customFormat="false" ht="12.8" hidden="false" customHeight="false" outlineLevel="0" collapsed="false">
      <c r="A36799" s="0" t="s">
        <v>13823</v>
      </c>
      <c r="B36799" s="0" t="str">
        <f aca="false">HYPERLINK("https://lindat.mff.cuni.cz/services/teitok/pdtc10/index.php?action=vallex&amp;frame=v-w11558_ZUf1_ZU", "převyprávět (v-w11558_ZUf1_ZU)")</f>
        <v>převyprávět (v-w11558_ZUf1_ZU)</v>
      </c>
      <c r="E36799" s="0" t="str">
        <f aca="false">HYPERLINK("https://lindat.mff.cuni.cz/services/SynSemClass40/SynSemClass40.html?veclass=vec01353#vec01353-ces-cm00002", "vec01353")</f>
        <v>vec01353</v>
      </c>
      <c r="F36799" s="0" t="s">
        <v>6182</v>
      </c>
    </row>
    <row r="36800" customFormat="false" ht="12.8" hidden="false" customHeight="false" outlineLevel="0" collapsed="false">
      <c r="B36800" s="0" t="s">
        <v>1</v>
      </c>
      <c r="C36800" s="0" t="s">
        <v>11858</v>
      </c>
      <c r="E36800" s="0" t="s">
        <v>147</v>
      </c>
      <c r="F36800" s="0" t="s">
        <v>6184</v>
      </c>
    </row>
    <row r="36801" customFormat="false" ht="12.8" hidden="false" customHeight="false" outlineLevel="0" collapsed="false">
      <c r="B36801" s="0" t="s">
        <v>52</v>
      </c>
      <c r="C36801" s="0" t="s">
        <v>6187</v>
      </c>
      <c r="E36801" s="0" t="s">
        <v>221</v>
      </c>
      <c r="F36801" s="0" t="s">
        <v>6188</v>
      </c>
    </row>
    <row r="36802" customFormat="false" ht="12.8" hidden="false" customHeight="false" outlineLevel="0" collapsed="false">
      <c r="B36802" s="0" t="s">
        <v>319</v>
      </c>
      <c r="C36802" s="0" t="s">
        <v>13824</v>
      </c>
      <c r="E36802" s="0" t="s">
        <v>2217</v>
      </c>
      <c r="F36802" s="0" t="s">
        <v>11885</v>
      </c>
    </row>
    <row r="36803" customFormat="false" ht="12.8" hidden="false" customHeight="false" outlineLevel="0" collapsed="false">
      <c r="B36803" s="0" t="s">
        <v>496</v>
      </c>
      <c r="C36803" s="0" t="s">
        <v>11859</v>
      </c>
      <c r="E36803" s="0" t="s">
        <v>218</v>
      </c>
      <c r="F36803" s="0" t="s">
        <v>6186</v>
      </c>
    </row>
    <row r="36805" customFormat="false" ht="12.8" hidden="false" customHeight="false" outlineLevel="0" collapsed="false">
      <c r="A36805" s="0" t="s">
        <v>13825</v>
      </c>
      <c r="B36805" s="0" t="str">
        <f aca="false">HYPERLINK("https://lindat.mff.cuni.cz/services/teitok/pdtc10/index.php?action=vallex&amp;frame=v-w5056f1", "převyšovat (v-w5056f1)")</f>
        <v>převyšovat (v-w5056f1)</v>
      </c>
      <c r="E36805" s="0" t="str">
        <f aca="false">HYPERLINK("https://lindat.mff.cuni.cz/services/SynSemClass40/SynSemClass40.html?veclass=vec00280#vec00280-ces-cm00030", "vec00280")</f>
        <v>vec00280</v>
      </c>
      <c r="F36805" s="0" t="s">
        <v>13320</v>
      </c>
      <c r="H36805" s="0" t="str">
        <f aca="false">HYPERLINK("https://lindat.mff.cuni.cz/services/SynSemClass40/SynSemClass40.html?veclass=vec01514#vec01514-ces-cm00009", "vec01514")</f>
        <v>vec01514</v>
      </c>
      <c r="I36805" s="0" t="s">
        <v>10139</v>
      </c>
    </row>
    <row r="36806" customFormat="false" ht="12.8" hidden="false" customHeight="false" outlineLevel="0" collapsed="false">
      <c r="B36806" s="0" t="s">
        <v>1</v>
      </c>
      <c r="C36806" s="0" t="s">
        <v>13826</v>
      </c>
      <c r="E36806" s="0" t="s">
        <v>957</v>
      </c>
      <c r="F36806" s="0" t="s">
        <v>13322</v>
      </c>
      <c r="H36806" s="0" t="s">
        <v>206</v>
      </c>
      <c r="I36806" s="0" t="s">
        <v>10141</v>
      </c>
    </row>
    <row r="36807" customFormat="false" ht="12.8" hidden="false" customHeight="false" outlineLevel="0" collapsed="false">
      <c r="B36807" s="0" t="s">
        <v>8</v>
      </c>
      <c r="C36807" s="0" t="s">
        <v>13827</v>
      </c>
      <c r="E36807" s="0" t="s">
        <v>2732</v>
      </c>
      <c r="F36807" s="0" t="s">
        <v>13324</v>
      </c>
      <c r="H36807" s="0" t="s">
        <v>10142</v>
      </c>
      <c r="I36807" s="0" t="s">
        <v>10143</v>
      </c>
    </row>
    <row r="36809" customFormat="false" ht="12.8" hidden="false" customHeight="false" outlineLevel="0" collapsed="false">
      <c r="A36809" s="0" t="s">
        <v>13828</v>
      </c>
      <c r="B36809" s="0" t="str">
        <f aca="false">HYPERLINK("https://lindat.mff.cuni.cz/services/teitok/pdtc10/index.php?action=vallex&amp;frame=v-w5060f1", "převzít (v-w5060f1)")</f>
        <v>převzít (v-w5060f1)</v>
      </c>
      <c r="E36809" s="0" t="str">
        <f aca="false">HYPERLINK("https://lindat.mff.cuni.cz/services/SynSemClass40/SynSemClass40.html?veclass=vec00096#vec00096-ces-cm00001", "vec00096")</f>
        <v>vec00096</v>
      </c>
      <c r="F36809" s="0" t="s">
        <v>13829</v>
      </c>
      <c r="H36809" s="0" t="str">
        <f aca="false">HYPERLINK("https://lindat.mff.cuni.cz/services/SynSemClass40/SynSemClass40.html?veclass=vec00683#vec00683-ces-cm00003", "vec00683")</f>
        <v>vec00683</v>
      </c>
      <c r="I36809" s="0" t="s">
        <v>12136</v>
      </c>
    </row>
    <row r="36810" customFormat="false" ht="12.8" hidden="false" customHeight="false" outlineLevel="0" collapsed="false">
      <c r="B36810" s="0" t="s">
        <v>1</v>
      </c>
      <c r="C36810" s="0" t="s">
        <v>13830</v>
      </c>
      <c r="E36810" s="0" t="s">
        <v>31</v>
      </c>
      <c r="F36810" s="0" t="s">
        <v>13831</v>
      </c>
      <c r="H36810" s="0" t="s">
        <v>206</v>
      </c>
      <c r="I36810" s="0" t="s">
        <v>3251</v>
      </c>
    </row>
    <row r="36811" customFormat="false" ht="12.8" hidden="false" customHeight="false" outlineLevel="0" collapsed="false">
      <c r="B36811" s="0" t="s">
        <v>8</v>
      </c>
      <c r="C36811" s="0" t="s">
        <v>4776</v>
      </c>
      <c r="E36811" s="0" t="s">
        <v>34</v>
      </c>
      <c r="F36811" s="0" t="s">
        <v>13832</v>
      </c>
      <c r="H36811" s="0" t="s">
        <v>5521</v>
      </c>
      <c r="I36811" s="0" t="s">
        <v>12137</v>
      </c>
    </row>
    <row r="36812" customFormat="false" ht="12.8" hidden="false" customHeight="false" outlineLevel="0" collapsed="false">
      <c r="B36812" s="0" t="s">
        <v>13833</v>
      </c>
      <c r="C36812" s="0" t="s">
        <v>13834</v>
      </c>
      <c r="E36812" s="0" t="s">
        <v>2176</v>
      </c>
      <c r="F36812" s="0" t="s">
        <v>13835</v>
      </c>
    </row>
    <row r="36814" customFormat="false" ht="12.8" hidden="false" customHeight="false" outlineLevel="0" collapsed="false">
      <c r="A36814" s="0" t="s">
        <v>13836</v>
      </c>
      <c r="B36814" s="0" t="str">
        <f aca="false">HYPERLINK("https://lindat.mff.cuni.cz/services/teitok/pdtc10/index.php?action=vallex&amp;frame=v-w5060f2", "převzít (v-w5060f2)")</f>
        <v>převzít (v-w5060f2)</v>
      </c>
    </row>
    <row r="36815" customFormat="false" ht="12.8" hidden="false" customHeight="false" outlineLevel="0" collapsed="false">
      <c r="B36815" s="0" t="s">
        <v>1</v>
      </c>
    </row>
    <row r="36816" customFormat="false" ht="12.8" hidden="false" customHeight="false" outlineLevel="0" collapsed="false">
      <c r="B36816" s="0" t="s">
        <v>8</v>
      </c>
    </row>
    <row r="36817" customFormat="false" ht="12.8" hidden="false" customHeight="false" outlineLevel="0" collapsed="false">
      <c r="B36817" s="0" t="s">
        <v>602</v>
      </c>
    </row>
    <row r="36819" customFormat="false" ht="12.8" hidden="false" customHeight="false" outlineLevel="0" collapsed="false">
      <c r="A36819" s="0" t="s">
        <v>13837</v>
      </c>
      <c r="B36819" s="0" t="str">
        <f aca="false">HYPERLINK("https://lindat.mff.cuni.cz/services/teitok/pdtc10/index.php?action=vallex&amp;frame=v-w5060f3", "převzít (v-w5060f3)")</f>
        <v>převzít (v-w5060f3)</v>
      </c>
      <c r="E36819" s="0" t="str">
        <f aca="false">HYPERLINK("https://lindat.mff.cuni.cz/services/SynSemClass40/SynSemClass40.html?veclass=vec00096#vec00096-ces-cm00150", "vec00096")</f>
        <v>vec00096</v>
      </c>
      <c r="F36819" s="0" t="s">
        <v>13829</v>
      </c>
    </row>
    <row r="36820" customFormat="false" ht="12.8" hidden="false" customHeight="false" outlineLevel="0" collapsed="false">
      <c r="B36820" s="0" t="s">
        <v>1</v>
      </c>
      <c r="C36820" s="0" t="s">
        <v>13838</v>
      </c>
      <c r="E36820" s="0" t="s">
        <v>31</v>
      </c>
      <c r="F36820" s="0" t="s">
        <v>13831</v>
      </c>
    </row>
    <row r="36821" customFormat="false" ht="12.8" hidden="false" customHeight="false" outlineLevel="0" collapsed="false">
      <c r="B36821" s="0" t="s">
        <v>8</v>
      </c>
      <c r="C36821" s="0" t="s">
        <v>5403</v>
      </c>
      <c r="E36821" s="0" t="s">
        <v>34</v>
      </c>
      <c r="F36821" s="0" t="s">
        <v>13832</v>
      </c>
    </row>
    <row r="36822" customFormat="false" ht="12.8" hidden="false" customHeight="false" outlineLevel="0" collapsed="false">
      <c r="B36822" s="0" t="s">
        <v>631</v>
      </c>
      <c r="C36822" s="0" t="s">
        <v>13839</v>
      </c>
      <c r="E36822" s="0" t="s">
        <v>4096</v>
      </c>
      <c r="F36822" s="0" t="s">
        <v>13840</v>
      </c>
    </row>
    <row r="36824" customFormat="false" ht="12.8" hidden="false" customHeight="false" outlineLevel="0" collapsed="false">
      <c r="A36824" s="0" t="s">
        <v>13841</v>
      </c>
      <c r="B36824" s="0" t="str">
        <f aca="false">HYPERLINK("https://lindat.mff.cuni.cz/services/teitok/pdtc10/index.php?action=vallex&amp;frame=v-w5060f4", "převzít (v-w5060f4)")</f>
        <v>převzít (v-w5060f4)</v>
      </c>
    </row>
    <row r="36825" customFormat="false" ht="12.8" hidden="false" customHeight="false" outlineLevel="0" collapsed="false">
      <c r="B36825" s="0" t="s">
        <v>1</v>
      </c>
    </row>
    <row r="36826" customFormat="false" ht="12.8" hidden="false" customHeight="false" outlineLevel="0" collapsed="false">
      <c r="B36826" s="0" t="s">
        <v>8</v>
      </c>
    </row>
    <row r="36827" customFormat="false" ht="12.8" hidden="false" customHeight="false" outlineLevel="0" collapsed="false">
      <c r="B36827" s="0" t="s">
        <v>10661</v>
      </c>
    </row>
    <row r="36829" customFormat="false" ht="12.8" hidden="false" customHeight="false" outlineLevel="0" collapsed="false">
      <c r="A36829" s="0" t="s">
        <v>13842</v>
      </c>
      <c r="B36829" s="0" t="str">
        <f aca="false">HYPERLINK("https://lindat.mff.cuni.cz/services/teitok/pdtc10/index.php?action=vallex&amp;frame=v-w5060f6_ZU", "převzít (v-w5060f6_ZU)")</f>
        <v>převzít (v-w5060f6_ZU)</v>
      </c>
    </row>
    <row r="36830" customFormat="false" ht="12.8" hidden="false" customHeight="false" outlineLevel="0" collapsed="false">
      <c r="B36830" s="0" t="s">
        <v>1</v>
      </c>
    </row>
    <row r="36831" customFormat="false" ht="12.8" hidden="false" customHeight="false" outlineLevel="0" collapsed="false">
      <c r="B36831" s="0" t="s">
        <v>13092</v>
      </c>
    </row>
    <row r="36832" customFormat="false" ht="12.8" hidden="false" customHeight="false" outlineLevel="0" collapsed="false">
      <c r="B36832" s="0" t="s">
        <v>8</v>
      </c>
    </row>
    <row r="36833" customFormat="false" ht="12.8" hidden="false" customHeight="false" outlineLevel="0" collapsed="false">
      <c r="B36833" s="0" t="s">
        <v>602</v>
      </c>
    </row>
    <row r="36835" customFormat="false" ht="12.8" hidden="false" customHeight="false" outlineLevel="0" collapsed="false">
      <c r="A36835" s="0" t="s">
        <v>13842</v>
      </c>
      <c r="B36835" s="0" t="str">
        <f aca="false">HYPERLINK("https://lindat.mff.cuni.cz/services/teitok/pdtc10/index.php?action=vallex&amp;frame=v-w5060hsa_465", "převzít (v-w5060hsa_465) - substituted with v-w5060f6_ZU")</f>
        <v>převzít (v-w5060hsa_465) - substituted with v-w5060f6_ZU</v>
      </c>
    </row>
    <row r="36836" customFormat="false" ht="12.8" hidden="false" customHeight="false" outlineLevel="0" collapsed="false">
      <c r="B36836" s="0" t="s">
        <v>1</v>
      </c>
    </row>
    <row r="36837" customFormat="false" ht="12.8" hidden="false" customHeight="false" outlineLevel="0" collapsed="false">
      <c r="B36837" s="0" t="s">
        <v>13092</v>
      </c>
    </row>
    <row r="36838" customFormat="false" ht="12.8" hidden="false" customHeight="false" outlineLevel="0" collapsed="false">
      <c r="B36838" s="0" t="s">
        <v>8</v>
      </c>
    </row>
    <row r="36839" customFormat="false" ht="12.8" hidden="false" customHeight="false" outlineLevel="0" collapsed="false">
      <c r="B36839" s="0" t="s">
        <v>602</v>
      </c>
    </row>
    <row r="36841" customFormat="false" ht="12.8" hidden="false" customHeight="false" outlineLevel="0" collapsed="false">
      <c r="A36841" s="0" t="s">
        <v>13843</v>
      </c>
      <c r="B36841" s="0" t="str">
        <f aca="false">HYPERLINK("https://lindat.mff.cuni.cz/services/teitok/pdtc10/index.php?action=vallex&amp;frame=v-w5060f5_ZU", "převzít (v-w5060f5_ZU)")</f>
        <v>převzít (v-w5060f5_ZU)</v>
      </c>
      <c r="E36841" s="0" t="str">
        <f aca="false">HYPERLINK("https://lindat.mff.cuni.cz/services/SynSemClass40/SynSemClass40.html?veclass=vec00613#vec00613-ces-cm00145", "vec00613")</f>
        <v>vec00613</v>
      </c>
      <c r="F36841" s="0" t="s">
        <v>604</v>
      </c>
    </row>
    <row r="36842" customFormat="false" ht="12.8" hidden="false" customHeight="false" outlineLevel="0" collapsed="false">
      <c r="B36842" s="0" t="s">
        <v>1</v>
      </c>
      <c r="C36842" s="0" t="s">
        <v>1436</v>
      </c>
      <c r="E36842" s="0" t="s">
        <v>31</v>
      </c>
      <c r="F36842" s="0" t="s">
        <v>608</v>
      </c>
    </row>
    <row r="36843" customFormat="false" ht="12.8" hidden="false" customHeight="false" outlineLevel="0" collapsed="false">
      <c r="B36843" s="0" t="s">
        <v>13844</v>
      </c>
      <c r="C36843" s="0" t="s">
        <v>13845</v>
      </c>
      <c r="E36843" s="0" t="s">
        <v>13846</v>
      </c>
      <c r="F36843" s="0" t="s">
        <v>13847</v>
      </c>
    </row>
    <row r="36844" customFormat="false" ht="12.8" hidden="false" customHeight="false" outlineLevel="0" collapsed="false">
      <c r="B36844" s="0" t="s">
        <v>602</v>
      </c>
    </row>
    <row r="36846" customFormat="false" ht="12.8" hidden="false" customHeight="false" outlineLevel="0" collapsed="false">
      <c r="A36846" s="0" t="s">
        <v>13848</v>
      </c>
      <c r="B36846" s="0" t="str">
        <f aca="false">HYPERLINK("https://lindat.mff.cuni.cz/services/teitok/pdtc10/index.php?action=vallex&amp;frame=v-w5061f1", "převzít si (v-w5061f1)")</f>
        <v>převzít si (v-w5061f1)</v>
      </c>
    </row>
    <row r="36847" customFormat="false" ht="12.8" hidden="false" customHeight="false" outlineLevel="0" collapsed="false">
      <c r="B36847" s="0" t="s">
        <v>1</v>
      </c>
    </row>
    <row r="36848" customFormat="false" ht="12.8" hidden="false" customHeight="false" outlineLevel="0" collapsed="false">
      <c r="B36848" s="0" t="s">
        <v>8</v>
      </c>
    </row>
    <row r="36849" customFormat="false" ht="12.8" hidden="false" customHeight="false" outlineLevel="0" collapsed="false">
      <c r="B36849" s="0" t="s">
        <v>602</v>
      </c>
    </row>
    <row r="36851" customFormat="false" ht="12.8" hidden="false" customHeight="false" outlineLevel="0" collapsed="false">
      <c r="A36851" s="0" t="s">
        <v>13849</v>
      </c>
      <c r="B36851" s="0" t="str">
        <f aca="false">HYPERLINK("https://lindat.mff.cuni.cz/services/teitok/pdtc10/index.php?action=vallex&amp;frame=v-w5029f1", "převádět (v-w5029f1)")</f>
        <v>převádět (v-w5029f1)</v>
      </c>
      <c r="E36851" s="0" t="str">
        <f aca="false">HYPERLINK("https://lindat.mff.cuni.cz/services/SynSemClass40/SynSemClass40.html?veclass=vec00283#vec00283-ces-cm00024", "vec00283")</f>
        <v>vec00283</v>
      </c>
      <c r="F36851" s="0" t="s">
        <v>8946</v>
      </c>
    </row>
    <row r="36852" customFormat="false" ht="12.8" hidden="false" customHeight="false" outlineLevel="0" collapsed="false">
      <c r="B36852" s="0" t="s">
        <v>1</v>
      </c>
      <c r="C36852" s="0" t="s">
        <v>7911</v>
      </c>
      <c r="E36852" s="0" t="s">
        <v>2196</v>
      </c>
      <c r="F36852" s="0" t="s">
        <v>8947</v>
      </c>
    </row>
    <row r="36853" customFormat="false" ht="12.8" hidden="false" customHeight="false" outlineLevel="0" collapsed="false">
      <c r="B36853" s="0" t="s">
        <v>8</v>
      </c>
      <c r="C36853" s="0" t="s">
        <v>8948</v>
      </c>
      <c r="E36853" s="0" t="s">
        <v>2200</v>
      </c>
      <c r="F36853" s="0" t="s">
        <v>8949</v>
      </c>
    </row>
    <row r="36854" customFormat="false" ht="12.8" hidden="false" customHeight="false" outlineLevel="0" collapsed="false">
      <c r="B36854" s="0" t="s">
        <v>4688</v>
      </c>
      <c r="C36854" s="0" t="s">
        <v>13555</v>
      </c>
      <c r="E36854" s="0" t="s">
        <v>13556</v>
      </c>
      <c r="F36854" s="0" t="s">
        <v>13557</v>
      </c>
    </row>
    <row r="36855" customFormat="false" ht="12.8" hidden="false" customHeight="false" outlineLevel="0" collapsed="false">
      <c r="B36855" s="0" t="s">
        <v>36</v>
      </c>
      <c r="E36855" s="0" t="s">
        <v>2176</v>
      </c>
      <c r="F36855" s="0" t="s">
        <v>2807</v>
      </c>
    </row>
    <row r="36857" customFormat="false" ht="12.8" hidden="false" customHeight="false" outlineLevel="0" collapsed="false">
      <c r="A36857" s="0" t="s">
        <v>13850</v>
      </c>
      <c r="B36857" s="0" t="str">
        <f aca="false">HYPERLINK("https://lindat.mff.cuni.cz/services/teitok/pdtc10/index.php?action=vallex&amp;frame=v-w5029f3_ZU", "převádět (v-w5029f3_ZU)")</f>
        <v>převádět (v-w5029f3_ZU)</v>
      </c>
      <c r="E36857" s="0" t="str">
        <f aca="false">HYPERLINK("https://lindat.mff.cuni.cz/services/SynSemClass40/SynSemClass40.html?veclass=vec00095#vec00095-ces-cm00027", "vec00095")</f>
        <v>vec00095</v>
      </c>
      <c r="F36857" s="0" t="s">
        <v>29</v>
      </c>
    </row>
    <row r="36858" customFormat="false" ht="12.8" hidden="false" customHeight="false" outlineLevel="0" collapsed="false">
      <c r="B36858" s="0" t="s">
        <v>1</v>
      </c>
      <c r="C36858" s="0" t="s">
        <v>30</v>
      </c>
      <c r="E36858" s="0" t="s">
        <v>31</v>
      </c>
      <c r="F36858" s="0" t="s">
        <v>32</v>
      </c>
    </row>
    <row r="36859" customFormat="false" ht="12.8" hidden="false" customHeight="false" outlineLevel="0" collapsed="false">
      <c r="B36859" s="0" t="s">
        <v>8</v>
      </c>
      <c r="C36859" s="0" t="s">
        <v>33</v>
      </c>
      <c r="E36859" s="0" t="s">
        <v>34</v>
      </c>
      <c r="F36859" s="0" t="s">
        <v>35</v>
      </c>
    </row>
    <row r="36860" customFormat="false" ht="12.8" hidden="false" customHeight="false" outlineLevel="0" collapsed="false">
      <c r="B36860" s="0" t="s">
        <v>36</v>
      </c>
      <c r="C36860" s="0" t="s">
        <v>37</v>
      </c>
      <c r="E36860" s="0" t="s">
        <v>38</v>
      </c>
      <c r="F36860" s="0" t="s">
        <v>39</v>
      </c>
    </row>
    <row r="36861" customFormat="false" ht="12.8" hidden="false" customHeight="false" outlineLevel="0" collapsed="false">
      <c r="B36861" s="0" t="s">
        <v>6954</v>
      </c>
      <c r="C36861" s="0" t="s">
        <v>41</v>
      </c>
      <c r="E36861" s="0" t="s">
        <v>42</v>
      </c>
      <c r="F36861" s="0" t="s">
        <v>43</v>
      </c>
    </row>
    <row r="36863" customFormat="false" ht="12.8" hidden="false" customHeight="false" outlineLevel="0" collapsed="false">
      <c r="A36863" s="0" t="s">
        <v>13851</v>
      </c>
      <c r="B36863" s="0" t="str">
        <f aca="false">HYPERLINK("https://lindat.mff.cuni.cz/services/teitok/pdtc10/index.php?action=vallex&amp;frame=v-w5029f2", "převádět (v-w5029f2)")</f>
        <v>převádět (v-w5029f2)</v>
      </c>
      <c r="E36863" s="0" t="str">
        <f aca="false">HYPERLINK("https://lindat.mff.cuni.cz/services/SynSemClass40/SynSemClass40.html?veclass=vec00283#vec00283-ces-cm00025", "vec00283")</f>
        <v>vec00283</v>
      </c>
      <c r="F36863" s="0" t="s">
        <v>8946</v>
      </c>
    </row>
    <row r="36864" customFormat="false" ht="12.8" hidden="false" customHeight="false" outlineLevel="0" collapsed="false">
      <c r="B36864" s="0" t="s">
        <v>1</v>
      </c>
      <c r="C36864" s="0" t="s">
        <v>7911</v>
      </c>
      <c r="E36864" s="0" t="s">
        <v>2196</v>
      </c>
      <c r="F36864" s="0" t="s">
        <v>8947</v>
      </c>
    </row>
    <row r="36865" customFormat="false" ht="12.8" hidden="false" customHeight="false" outlineLevel="0" collapsed="false">
      <c r="B36865" s="0" t="s">
        <v>8</v>
      </c>
      <c r="C36865" s="0" t="s">
        <v>8948</v>
      </c>
      <c r="E36865" s="0" t="s">
        <v>2200</v>
      </c>
      <c r="F36865" s="0" t="s">
        <v>8949</v>
      </c>
    </row>
    <row r="36866" customFormat="false" ht="12.8" hidden="false" customHeight="false" outlineLevel="0" collapsed="false">
      <c r="B36866" s="0" t="s">
        <v>631</v>
      </c>
      <c r="E36866" s="0" t="s">
        <v>4096</v>
      </c>
      <c r="F36866" s="0" t="s">
        <v>4097</v>
      </c>
    </row>
    <row r="36867" customFormat="false" ht="12.8" hidden="false" customHeight="false" outlineLevel="0" collapsed="false">
      <c r="B36867" s="0" t="s">
        <v>164</v>
      </c>
      <c r="C36867" s="0" t="s">
        <v>11520</v>
      </c>
      <c r="E36867" s="0" t="s">
        <v>388</v>
      </c>
      <c r="F36867" s="0" t="s">
        <v>11521</v>
      </c>
    </row>
    <row r="36869" customFormat="false" ht="12.8" hidden="false" customHeight="false" outlineLevel="0" collapsed="false">
      <c r="A36869" s="0" t="s">
        <v>13852</v>
      </c>
      <c r="B36869" s="0" t="str">
        <f aca="false">HYPERLINK("https://lindat.mff.cuni.cz/services/teitok/pdtc10/index.php?action=vallex&amp;frame=v-w10255f2", "převálcovat (v-w10255f2)")</f>
        <v>převálcovat (v-w10255f2)</v>
      </c>
      <c r="E36869" s="0" t="str">
        <f aca="false">HYPERLINK("https://lindat.mff.cuni.cz/services/SynSemClass40/SynSemClass40.html?veclass=vec00279#vec00279-ces-cm00061", "vec00279")</f>
        <v>vec00279</v>
      </c>
      <c r="F36869" s="0" t="s">
        <v>9067</v>
      </c>
    </row>
    <row r="36870" customFormat="false" ht="12.8" hidden="false" customHeight="false" outlineLevel="0" collapsed="false">
      <c r="B36870" s="0" t="s">
        <v>1</v>
      </c>
      <c r="C36870" s="0" t="s">
        <v>9068</v>
      </c>
      <c r="E36870" s="0" t="s">
        <v>11</v>
      </c>
      <c r="F36870" s="0" t="s">
        <v>9069</v>
      </c>
    </row>
    <row r="36871" customFormat="false" ht="12.8" hidden="false" customHeight="false" outlineLevel="0" collapsed="false">
      <c r="B36871" s="0" t="s">
        <v>8</v>
      </c>
      <c r="C36871" s="0" t="s">
        <v>9070</v>
      </c>
      <c r="E36871" s="0" t="s">
        <v>7635</v>
      </c>
      <c r="F36871" s="0" t="s">
        <v>9071</v>
      </c>
    </row>
    <row r="36873" customFormat="false" ht="12.8" hidden="false" customHeight="false" outlineLevel="0" collapsed="false">
      <c r="A36873" s="0" t="s">
        <v>13853</v>
      </c>
      <c r="B36873" s="0" t="str">
        <f aca="false">HYPERLINK("https://lindat.mff.cuni.cz/services/teitok/pdtc10/index.php?action=vallex&amp;frame=v-w11977_ZUf1_ZU", "převázat (v-w11977_ZUf1_ZU)")</f>
        <v>převázat (v-w11977_ZUf1_ZU)</v>
      </c>
    </row>
    <row r="36874" customFormat="false" ht="12.8" hidden="false" customHeight="false" outlineLevel="0" collapsed="false">
      <c r="B36874" s="0" t="s">
        <v>1</v>
      </c>
    </row>
    <row r="36875" customFormat="false" ht="12.8" hidden="false" customHeight="false" outlineLevel="0" collapsed="false">
      <c r="B36875" s="0" t="s">
        <v>8</v>
      </c>
    </row>
    <row r="36877" customFormat="false" ht="12.8" hidden="false" customHeight="false" outlineLevel="0" collapsed="false">
      <c r="A36877" s="0" t="s">
        <v>13854</v>
      </c>
      <c r="B36877" s="0" t="str">
        <f aca="false">HYPERLINK("https://lindat.mff.cuni.cz/services/teitok/pdtc10/index.php?action=vallex&amp;frame=v-w5033f1", "převážet (v-w5033f1)")</f>
        <v>převážet (v-w5033f1)</v>
      </c>
      <c r="E36877" s="0" t="str">
        <f aca="false">HYPERLINK("https://lindat.mff.cuni.cz/services/SynSemClass40/SynSemClass40.html?veclass=vec00172#vec00172-ces-cm00023", "vec00172")</f>
        <v>vec00172</v>
      </c>
      <c r="F36877" s="0" t="s">
        <v>2513</v>
      </c>
    </row>
    <row r="36878" customFormat="false" ht="12.8" hidden="false" customHeight="false" outlineLevel="0" collapsed="false">
      <c r="B36878" s="0" t="s">
        <v>1</v>
      </c>
      <c r="C36878" s="0" t="s">
        <v>9473</v>
      </c>
      <c r="E36878" s="0" t="s">
        <v>2196</v>
      </c>
      <c r="F36878" s="0" t="s">
        <v>2515</v>
      </c>
    </row>
    <row r="36879" customFormat="false" ht="12.8" hidden="false" customHeight="false" outlineLevel="0" collapsed="false">
      <c r="B36879" s="0" t="s">
        <v>8</v>
      </c>
      <c r="C36879" s="0" t="s">
        <v>9474</v>
      </c>
      <c r="E36879" s="0" t="s">
        <v>2200</v>
      </c>
      <c r="F36879" s="0" t="s">
        <v>2517</v>
      </c>
    </row>
    <row r="36880" customFormat="false" ht="12.8" hidden="false" customHeight="false" outlineLevel="0" collapsed="false">
      <c r="B36880" s="0" t="s">
        <v>631</v>
      </c>
      <c r="E36880" s="0" t="s">
        <v>1949</v>
      </c>
      <c r="F36880" s="0" t="s">
        <v>2896</v>
      </c>
    </row>
    <row r="36881" customFormat="false" ht="12.8" hidden="false" customHeight="false" outlineLevel="0" collapsed="false">
      <c r="B36881" s="0" t="s">
        <v>164</v>
      </c>
      <c r="E36881" s="0" t="s">
        <v>1315</v>
      </c>
      <c r="F36881" s="0" t="s">
        <v>1316</v>
      </c>
    </row>
    <row r="36883" customFormat="false" ht="12.8" hidden="false" customHeight="false" outlineLevel="0" collapsed="false">
      <c r="A36883" s="0" t="s">
        <v>13855</v>
      </c>
      <c r="B36883" s="0" t="str">
        <f aca="false">HYPERLINK("https://lindat.mff.cuni.cz/services/teitok/pdtc10/index.php?action=vallex&amp;frame=v-w5034f2", "převážit (v-w5034f2)")</f>
        <v>převážit (v-w5034f2)</v>
      </c>
    </row>
    <row r="36884" customFormat="false" ht="12.8" hidden="false" customHeight="false" outlineLevel="0" collapsed="false">
      <c r="B36884" s="0" t="s">
        <v>1</v>
      </c>
    </row>
    <row r="36885" customFormat="false" ht="12.8" hidden="false" customHeight="false" outlineLevel="0" collapsed="false">
      <c r="B36885" s="0" t="s">
        <v>8</v>
      </c>
    </row>
    <row r="36887" customFormat="false" ht="12.8" hidden="false" customHeight="false" outlineLevel="0" collapsed="false">
      <c r="A36887" s="0" t="s">
        <v>13856</v>
      </c>
      <c r="B36887" s="0" t="str">
        <f aca="false">HYPERLINK("https://lindat.mff.cuni.cz/services/teitok/pdtc10/index.php?action=vallex&amp;frame=v-w5034f1", "převážit (v-w5034f1)")</f>
        <v>převážit (v-w5034f1)</v>
      </c>
    </row>
    <row r="36888" customFormat="false" ht="12.8" hidden="false" customHeight="false" outlineLevel="0" collapsed="false">
      <c r="B36888" s="0" t="s">
        <v>1</v>
      </c>
    </row>
    <row r="36889" customFormat="false" ht="12.8" hidden="false" customHeight="false" outlineLevel="0" collapsed="false">
      <c r="B36889" s="0" t="s">
        <v>4070</v>
      </c>
    </row>
    <row r="36891" customFormat="false" ht="12.8" hidden="false" customHeight="false" outlineLevel="0" collapsed="false">
      <c r="A36891" s="0" t="s">
        <v>13857</v>
      </c>
      <c r="B36891" s="0" t="str">
        <f aca="false">HYPERLINK("https://lindat.mff.cuni.cz/services/teitok/pdtc10/index.php?action=vallex&amp;frame=v-w5039f1", "převést (v-w5039f1)")</f>
        <v>převést (v-w5039f1)</v>
      </c>
      <c r="E36891" s="0" t="str">
        <f aca="false">HYPERLINK("https://lindat.mff.cuni.cz/services/SynSemClass40/SynSemClass40.html?veclass=vec00283#vec00283-ces-cm00027", "vec00283")</f>
        <v>vec00283</v>
      </c>
      <c r="F36891" s="0" t="s">
        <v>8946</v>
      </c>
    </row>
    <row r="36892" customFormat="false" ht="12.8" hidden="false" customHeight="false" outlineLevel="0" collapsed="false">
      <c r="B36892" s="0" t="s">
        <v>1</v>
      </c>
      <c r="C36892" s="0" t="s">
        <v>7911</v>
      </c>
      <c r="E36892" s="0" t="s">
        <v>2196</v>
      </c>
      <c r="F36892" s="0" t="s">
        <v>8947</v>
      </c>
    </row>
    <row r="36893" customFormat="false" ht="12.8" hidden="false" customHeight="false" outlineLevel="0" collapsed="false">
      <c r="B36893" s="0" t="s">
        <v>8</v>
      </c>
      <c r="C36893" s="0" t="s">
        <v>8948</v>
      </c>
      <c r="E36893" s="0" t="s">
        <v>2200</v>
      </c>
      <c r="F36893" s="0" t="s">
        <v>8949</v>
      </c>
    </row>
    <row r="36894" customFormat="false" ht="12.8" hidden="false" customHeight="false" outlineLevel="0" collapsed="false">
      <c r="B36894" s="0" t="s">
        <v>4688</v>
      </c>
      <c r="C36894" s="0" t="s">
        <v>13555</v>
      </c>
      <c r="E36894" s="0" t="s">
        <v>13556</v>
      </c>
      <c r="F36894" s="0" t="s">
        <v>13557</v>
      </c>
    </row>
    <row r="36895" customFormat="false" ht="12.8" hidden="false" customHeight="false" outlineLevel="0" collapsed="false">
      <c r="B36895" s="0" t="s">
        <v>36</v>
      </c>
      <c r="E36895" s="0" t="s">
        <v>2176</v>
      </c>
      <c r="F36895" s="0" t="s">
        <v>2807</v>
      </c>
    </row>
    <row r="36897" customFormat="false" ht="12.8" hidden="false" customHeight="false" outlineLevel="0" collapsed="false">
      <c r="A36897" s="0" t="s">
        <v>13858</v>
      </c>
      <c r="B36897" s="0" t="str">
        <f aca="false">HYPERLINK("https://lindat.mff.cuni.cz/services/teitok/pdtc10/index.php?action=vallex&amp;frame=v-w5039f5", "převést (v-w5039f5)")</f>
        <v>převést (v-w5039f5)</v>
      </c>
    </row>
    <row r="36898" customFormat="false" ht="12.8" hidden="false" customHeight="false" outlineLevel="0" collapsed="false">
      <c r="B36898" s="0" t="s">
        <v>1</v>
      </c>
    </row>
    <row r="36899" customFormat="false" ht="12.8" hidden="false" customHeight="false" outlineLevel="0" collapsed="false">
      <c r="B36899" s="0" t="s">
        <v>8</v>
      </c>
    </row>
    <row r="36900" customFormat="false" ht="12.8" hidden="false" customHeight="false" outlineLevel="0" collapsed="false">
      <c r="B36900" s="0" t="s">
        <v>52</v>
      </c>
    </row>
    <row r="36902" customFormat="false" ht="12.8" hidden="false" customHeight="false" outlineLevel="0" collapsed="false">
      <c r="A36902" s="0" t="s">
        <v>13859</v>
      </c>
      <c r="B36902" s="0" t="str">
        <f aca="false">HYPERLINK("https://lindat.mff.cuni.cz/services/teitok/pdtc10/index.php?action=vallex&amp;frame=v-w5039f4", "převést (v-w5039f4)")</f>
        <v>převést (v-w5039f4)</v>
      </c>
      <c r="E36902" s="0" t="str">
        <f aca="false">HYPERLINK("https://lindat.mff.cuni.cz/services/SynSemClass40/SynSemClass40.html?veclass=vec00095#vec00095-ces-cm00029", "vec00095")</f>
        <v>vec00095</v>
      </c>
      <c r="F36902" s="0" t="s">
        <v>29</v>
      </c>
    </row>
    <row r="36903" customFormat="false" ht="12.8" hidden="false" customHeight="false" outlineLevel="0" collapsed="false">
      <c r="B36903" s="0" t="s">
        <v>1</v>
      </c>
      <c r="C36903" s="0" t="s">
        <v>30</v>
      </c>
      <c r="E36903" s="0" t="s">
        <v>31</v>
      </c>
      <c r="F36903" s="0" t="s">
        <v>32</v>
      </c>
    </row>
    <row r="36904" customFormat="false" ht="12.8" hidden="false" customHeight="false" outlineLevel="0" collapsed="false">
      <c r="B36904" s="0" t="s">
        <v>8</v>
      </c>
      <c r="C36904" s="0" t="s">
        <v>33</v>
      </c>
      <c r="E36904" s="0" t="s">
        <v>34</v>
      </c>
      <c r="F36904" s="0" t="s">
        <v>35</v>
      </c>
    </row>
    <row r="36905" customFormat="false" ht="12.8" hidden="false" customHeight="false" outlineLevel="0" collapsed="false">
      <c r="B36905" s="0" t="s">
        <v>36</v>
      </c>
      <c r="C36905" s="0" t="s">
        <v>37</v>
      </c>
      <c r="E36905" s="0" t="s">
        <v>38</v>
      </c>
      <c r="F36905" s="0" t="s">
        <v>39</v>
      </c>
    </row>
    <row r="36906" customFormat="false" ht="12.8" hidden="false" customHeight="false" outlineLevel="0" collapsed="false">
      <c r="B36906" s="0" t="s">
        <v>6954</v>
      </c>
      <c r="C36906" s="0" t="s">
        <v>41</v>
      </c>
      <c r="E36906" s="0" t="s">
        <v>42</v>
      </c>
      <c r="F36906" s="0" t="s">
        <v>43</v>
      </c>
    </row>
    <row r="36908" customFormat="false" ht="12.8" hidden="false" customHeight="false" outlineLevel="0" collapsed="false">
      <c r="A36908" s="0" t="s">
        <v>13860</v>
      </c>
      <c r="B36908" s="0" t="str">
        <f aca="false">HYPERLINK("https://lindat.mff.cuni.cz/services/teitok/pdtc10/index.php?action=vallex&amp;frame=v-w5039f2", "převést (v-w5039f2)")</f>
        <v>převést (v-w5039f2)</v>
      </c>
      <c r="E36908" s="0" t="str">
        <f aca="false">HYPERLINK("https://lindat.mff.cuni.cz/services/SynSemClass40/SynSemClass40.html?veclass=vec00283#vec00283-ces-cm00001", "vec00283")</f>
        <v>vec00283</v>
      </c>
      <c r="F36908" s="0" t="s">
        <v>8946</v>
      </c>
    </row>
    <row r="36909" customFormat="false" ht="12.8" hidden="false" customHeight="false" outlineLevel="0" collapsed="false">
      <c r="B36909" s="0" t="s">
        <v>1</v>
      </c>
      <c r="C36909" s="0" t="s">
        <v>7911</v>
      </c>
      <c r="E36909" s="0" t="s">
        <v>2196</v>
      </c>
      <c r="F36909" s="0" t="s">
        <v>8947</v>
      </c>
    </row>
    <row r="36910" customFormat="false" ht="12.8" hidden="false" customHeight="false" outlineLevel="0" collapsed="false">
      <c r="B36910" s="0" t="s">
        <v>8</v>
      </c>
      <c r="C36910" s="0" t="s">
        <v>8948</v>
      </c>
      <c r="E36910" s="0" t="s">
        <v>2200</v>
      </c>
      <c r="F36910" s="0" t="s">
        <v>8949</v>
      </c>
    </row>
    <row r="36911" customFormat="false" ht="12.8" hidden="false" customHeight="false" outlineLevel="0" collapsed="false">
      <c r="B36911" s="0" t="s">
        <v>631</v>
      </c>
      <c r="E36911" s="0" t="s">
        <v>4096</v>
      </c>
      <c r="F36911" s="0" t="s">
        <v>4097</v>
      </c>
    </row>
    <row r="36912" customFormat="false" ht="12.8" hidden="false" customHeight="false" outlineLevel="0" collapsed="false">
      <c r="B36912" s="0" t="s">
        <v>164</v>
      </c>
      <c r="C36912" s="0" t="s">
        <v>11520</v>
      </c>
      <c r="E36912" s="0" t="s">
        <v>388</v>
      </c>
      <c r="F36912" s="0" t="s">
        <v>11521</v>
      </c>
    </row>
    <row r="36914" customFormat="false" ht="12.8" hidden="false" customHeight="false" outlineLevel="0" collapsed="false">
      <c r="A36914" s="0" t="s">
        <v>13861</v>
      </c>
      <c r="B36914" s="0" t="str">
        <f aca="false">HYPERLINK("https://lindat.mff.cuni.cz/services/teitok/pdtc10/index.php?action=vallex&amp;frame=v-w5039f3", "převést (v-w5039f3)")</f>
        <v>převést (v-w5039f3)</v>
      </c>
    </row>
    <row r="36915" customFormat="false" ht="12.8" hidden="false" customHeight="false" outlineLevel="0" collapsed="false">
      <c r="B36915" s="0" t="s">
        <v>1</v>
      </c>
    </row>
    <row r="36916" customFormat="false" ht="12.8" hidden="false" customHeight="false" outlineLevel="0" collapsed="false">
      <c r="B36916" s="0" t="s">
        <v>8</v>
      </c>
    </row>
    <row r="36917" customFormat="false" ht="12.8" hidden="false" customHeight="false" outlineLevel="0" collapsed="false">
      <c r="B36917" s="0" t="s">
        <v>336</v>
      </c>
    </row>
    <row r="36919" customFormat="false" ht="12.8" hidden="false" customHeight="false" outlineLevel="0" collapsed="false">
      <c r="A36919" s="0" t="s">
        <v>13862</v>
      </c>
      <c r="B36919" s="0" t="str">
        <f aca="false">HYPERLINK("https://lindat.mff.cuni.cz/services/teitok/pdtc10/index.php?action=vallex&amp;frame=v-w5040f1", "převézt (v-w5040f1)")</f>
        <v>převézt (v-w5040f1)</v>
      </c>
      <c r="E36919" s="0" t="str">
        <f aca="false">HYPERLINK("https://lindat.mff.cuni.cz/services/SynSemClass40/SynSemClass40.html?veclass=vec00172#vec00172-ces-cm00014", "vec00172")</f>
        <v>vec00172</v>
      </c>
      <c r="F36919" s="0" t="s">
        <v>2513</v>
      </c>
    </row>
    <row r="36920" customFormat="false" ht="12.8" hidden="false" customHeight="false" outlineLevel="0" collapsed="false">
      <c r="B36920" s="0" t="s">
        <v>1</v>
      </c>
      <c r="C36920" s="0" t="s">
        <v>9473</v>
      </c>
      <c r="E36920" s="0" t="s">
        <v>2196</v>
      </c>
      <c r="F36920" s="0" t="s">
        <v>2515</v>
      </c>
    </row>
    <row r="36921" customFormat="false" ht="12.8" hidden="false" customHeight="false" outlineLevel="0" collapsed="false">
      <c r="B36921" s="0" t="s">
        <v>8</v>
      </c>
      <c r="C36921" s="0" t="s">
        <v>9474</v>
      </c>
      <c r="E36921" s="0" t="s">
        <v>2200</v>
      </c>
      <c r="F36921" s="0" t="s">
        <v>2517</v>
      </c>
    </row>
    <row r="36922" customFormat="false" ht="12.8" hidden="false" customHeight="false" outlineLevel="0" collapsed="false">
      <c r="B36922" s="0" t="s">
        <v>631</v>
      </c>
      <c r="E36922" s="0" t="s">
        <v>1949</v>
      </c>
      <c r="F36922" s="0" t="s">
        <v>2896</v>
      </c>
    </row>
    <row r="36923" customFormat="false" ht="12.8" hidden="false" customHeight="false" outlineLevel="0" collapsed="false">
      <c r="B36923" s="0" t="s">
        <v>164</v>
      </c>
      <c r="E36923" s="0" t="s">
        <v>1315</v>
      </c>
      <c r="F36923" s="0" t="s">
        <v>1316</v>
      </c>
    </row>
    <row r="36925" customFormat="false" ht="12.8" hidden="false" customHeight="false" outlineLevel="0" collapsed="false">
      <c r="A36925" s="0" t="s">
        <v>13863</v>
      </c>
      <c r="B36925" s="0" t="str">
        <f aca="false">HYPERLINK("https://lindat.mff.cuni.cz/services/teitok/pdtc10/index.php?action=vallex&amp;frame=v-w5040f2", "převézt (v-w5040f2)")</f>
        <v>převézt (v-w5040f2)</v>
      </c>
    </row>
    <row r="36926" customFormat="false" ht="12.8" hidden="false" customHeight="false" outlineLevel="0" collapsed="false">
      <c r="B36926" s="0" t="s">
        <v>1</v>
      </c>
    </row>
    <row r="36927" customFormat="false" ht="12.8" hidden="false" customHeight="false" outlineLevel="0" collapsed="false">
      <c r="B36927" s="0" t="s">
        <v>8</v>
      </c>
    </row>
    <row r="36929" customFormat="false" ht="12.8" hidden="false" customHeight="false" outlineLevel="0" collapsed="false">
      <c r="A36929" s="0" t="s">
        <v>13864</v>
      </c>
      <c r="B36929" s="0" t="str">
        <f aca="false">HYPERLINK("https://lindat.mff.cuni.cz/services/teitok/pdtc10/index.php?action=vallex&amp;frame=v-w5055f1", "převýšit (v-w5055f1)")</f>
        <v>převýšit (v-w5055f1)</v>
      </c>
      <c r="E36929" s="0" t="str">
        <f aca="false">HYPERLINK("https://lindat.mff.cuni.cz/services/SynSemClass40/SynSemClass40.html?veclass=vec00280#vec00280-ces-cm00029", "vec00280")</f>
        <v>vec00280</v>
      </c>
      <c r="F36929" s="0" t="s">
        <v>13320</v>
      </c>
      <c r="H36929" s="0" t="str">
        <f aca="false">HYPERLINK("https://lindat.mff.cuni.cz/services/SynSemClass40/SynSemClass40.html?veclass=vec01514#vec01514-ces-cm00008", "vec01514")</f>
        <v>vec01514</v>
      </c>
      <c r="I36929" s="0" t="s">
        <v>10139</v>
      </c>
    </row>
    <row r="36930" customFormat="false" ht="12.8" hidden="false" customHeight="false" outlineLevel="0" collapsed="false">
      <c r="B36930" s="0" t="s">
        <v>1</v>
      </c>
      <c r="C36930" s="0" t="s">
        <v>13826</v>
      </c>
      <c r="E36930" s="0" t="s">
        <v>957</v>
      </c>
      <c r="F36930" s="0" t="s">
        <v>13322</v>
      </c>
      <c r="H36930" s="0" t="s">
        <v>206</v>
      </c>
      <c r="I36930" s="0" t="s">
        <v>10141</v>
      </c>
    </row>
    <row r="36931" customFormat="false" ht="12.8" hidden="false" customHeight="false" outlineLevel="0" collapsed="false">
      <c r="B36931" s="0" t="s">
        <v>8</v>
      </c>
      <c r="C36931" s="0" t="s">
        <v>13827</v>
      </c>
      <c r="E36931" s="0" t="s">
        <v>2732</v>
      </c>
      <c r="F36931" s="0" t="s">
        <v>13324</v>
      </c>
      <c r="H36931" s="0" t="s">
        <v>10142</v>
      </c>
      <c r="I36931" s="0" t="s">
        <v>10143</v>
      </c>
    </row>
    <row r="36933" customFormat="false" ht="12.8" hidden="false" customHeight="false" outlineLevel="0" collapsed="false">
      <c r="A36933" s="0" t="s">
        <v>13865</v>
      </c>
      <c r="B36933" s="0" t="str">
        <f aca="false">HYPERLINK("https://lindat.mff.cuni.cz/services/teitok/pdtc10/index.php?action=vallex&amp;frame=v-w5063f1", "přezbrojit (v-w5063f1)")</f>
        <v>přezbrojit (v-w5063f1)</v>
      </c>
    </row>
    <row r="36934" customFormat="false" ht="12.8" hidden="false" customHeight="false" outlineLevel="0" collapsed="false">
      <c r="B36934" s="0" t="s">
        <v>1</v>
      </c>
    </row>
    <row r="36935" customFormat="false" ht="12.8" hidden="false" customHeight="false" outlineLevel="0" collapsed="false">
      <c r="B36935" s="0" t="s">
        <v>8</v>
      </c>
    </row>
    <row r="36937" customFormat="false" ht="12.8" hidden="false" customHeight="false" outlineLevel="0" collapsed="false">
      <c r="A36937" s="0" t="s">
        <v>13866</v>
      </c>
      <c r="B36937" s="0" t="str">
        <f aca="false">HYPERLINK("https://lindat.mff.cuni.cz/services/teitok/pdtc10/index.php?action=vallex&amp;frame=v-w5066f1", "přezdívat (v-w5066f1)")</f>
        <v>přezdívat (v-w5066f1)</v>
      </c>
      <c r="E36937" s="0" t="str">
        <f aca="false">HYPERLINK("https://lindat.mff.cuni.cz/services/SynSemClass40/SynSemClass40.html?veclass=vec00043#vec00043-ces-cm00021", "vec00043")</f>
        <v>vec00043</v>
      </c>
      <c r="F36937" s="0" t="s">
        <v>5012</v>
      </c>
    </row>
    <row r="36938" customFormat="false" ht="12.8" hidden="false" customHeight="false" outlineLevel="0" collapsed="false">
      <c r="B36938" s="0" t="s">
        <v>1</v>
      </c>
      <c r="C36938" s="0" t="s">
        <v>2758</v>
      </c>
      <c r="E36938" s="0" t="s">
        <v>8022</v>
      </c>
      <c r="F36938" s="0" t="s">
        <v>8023</v>
      </c>
    </row>
    <row r="36939" customFormat="false" ht="12.8" hidden="false" customHeight="false" outlineLevel="0" collapsed="false">
      <c r="B36939" s="0" t="s">
        <v>7186</v>
      </c>
      <c r="C36939" s="0" t="s">
        <v>8024</v>
      </c>
      <c r="E36939" s="0" t="s">
        <v>8025</v>
      </c>
      <c r="F36939" s="0" t="s">
        <v>8026</v>
      </c>
    </row>
    <row r="36940" customFormat="false" ht="12.8" hidden="false" customHeight="false" outlineLevel="0" collapsed="false">
      <c r="B36940" s="0" t="s">
        <v>8027</v>
      </c>
      <c r="C36940" s="0" t="s">
        <v>8028</v>
      </c>
      <c r="E36940" s="0" t="s">
        <v>8029</v>
      </c>
      <c r="F36940" s="0" t="s">
        <v>8030</v>
      </c>
    </row>
    <row r="36942" customFormat="false" ht="12.8" hidden="false" customHeight="false" outlineLevel="0" collapsed="false">
      <c r="A36942" s="0" t="s">
        <v>13867</v>
      </c>
      <c r="B36942" s="0" t="str">
        <f aca="false">HYPERLINK("https://lindat.mff.cuni.cz/services/teitok/pdtc10/index.php?action=vallex&amp;frame=v-w5068f1", "přezkoumat (v-w5068f1)")</f>
        <v>přezkoumat (v-w5068f1)</v>
      </c>
      <c r="E36942" s="0" t="str">
        <f aca="false">HYPERLINK("https://lindat.mff.cuni.cz/services/SynSemClass40/SynSemClass40.html?veclass=vec00090#vec00090-ces-cm00022", "vec00090")</f>
        <v>vec00090</v>
      </c>
      <c r="F36942" s="0" t="s">
        <v>113</v>
      </c>
      <c r="H36942" s="0" t="str">
        <f aca="false">HYPERLINK("https://lindat.mff.cuni.cz/services/SynSemClass40/SynSemClass40.html?veclass=vec01304#vec01304-ces-cm00023", "vec01304")</f>
        <v>vec01304</v>
      </c>
      <c r="I36942" s="0" t="s">
        <v>302</v>
      </c>
    </row>
    <row r="36943" customFormat="false" ht="12.8" hidden="false" customHeight="false" outlineLevel="0" collapsed="false">
      <c r="B36943" s="0" t="s">
        <v>1</v>
      </c>
      <c r="C36943" s="0" t="s">
        <v>12908</v>
      </c>
      <c r="E36943" s="0" t="s">
        <v>115</v>
      </c>
      <c r="F36943" s="0" t="s">
        <v>116</v>
      </c>
      <c r="H36943" s="0" t="s">
        <v>115</v>
      </c>
      <c r="I36943" s="0" t="s">
        <v>304</v>
      </c>
    </row>
    <row r="36944" customFormat="false" ht="12.8" hidden="false" customHeight="false" outlineLevel="0" collapsed="false">
      <c r="B36944" s="0" t="s">
        <v>2493</v>
      </c>
      <c r="C36944" s="0" t="s">
        <v>12909</v>
      </c>
      <c r="E36944" s="0" t="s">
        <v>119</v>
      </c>
      <c r="F36944" s="0" t="s">
        <v>120</v>
      </c>
      <c r="H36944" s="0" t="s">
        <v>119</v>
      </c>
      <c r="I36944" s="0" t="s">
        <v>307</v>
      </c>
    </row>
    <row r="36946" customFormat="false" ht="12.8" hidden="false" customHeight="false" outlineLevel="0" collapsed="false">
      <c r="A36946" s="0" t="s">
        <v>13868</v>
      </c>
      <c r="B36946" s="0" t="str">
        <f aca="false">HYPERLINK("https://lindat.mff.cuni.cz/services/teitok/pdtc10/index.php?action=vallex&amp;frame=v-w10100f2", "přezkoumávat (v-w10100f2)")</f>
        <v>přezkoumávat (v-w10100f2)</v>
      </c>
      <c r="E36946" s="0" t="str">
        <f aca="false">HYPERLINK("https://lindat.mff.cuni.cz/services/SynSemClass40/SynSemClass40.html?veclass=vec00090#vec00090-ces-cm00023", "vec00090")</f>
        <v>vec00090</v>
      </c>
      <c r="F36946" s="0" t="s">
        <v>113</v>
      </c>
      <c r="H36946" s="0" t="str">
        <f aca="false">HYPERLINK("https://lindat.mff.cuni.cz/services/SynSemClass40/SynSemClass40.html?veclass=vec01304#vec01304-ces-cm00024", "vec01304")</f>
        <v>vec01304</v>
      </c>
      <c r="I36946" s="0" t="s">
        <v>302</v>
      </c>
    </row>
    <row r="36947" customFormat="false" ht="12.8" hidden="false" customHeight="false" outlineLevel="0" collapsed="false">
      <c r="B36947" s="0" t="s">
        <v>1</v>
      </c>
      <c r="C36947" s="0" t="s">
        <v>12908</v>
      </c>
      <c r="E36947" s="0" t="s">
        <v>115</v>
      </c>
      <c r="F36947" s="0" t="s">
        <v>116</v>
      </c>
      <c r="H36947" s="0" t="s">
        <v>115</v>
      </c>
      <c r="I36947" s="0" t="s">
        <v>304</v>
      </c>
    </row>
    <row r="36948" customFormat="false" ht="12.8" hidden="false" customHeight="false" outlineLevel="0" collapsed="false">
      <c r="B36948" s="0" t="s">
        <v>2493</v>
      </c>
      <c r="C36948" s="0" t="s">
        <v>12909</v>
      </c>
      <c r="E36948" s="0" t="s">
        <v>119</v>
      </c>
      <c r="F36948" s="0" t="s">
        <v>120</v>
      </c>
      <c r="H36948" s="0" t="s">
        <v>119</v>
      </c>
      <c r="I36948" s="0" t="s">
        <v>307</v>
      </c>
    </row>
    <row r="36950" customFormat="false" ht="12.8" hidden="false" customHeight="false" outlineLevel="0" collapsed="false">
      <c r="A36950" s="0" t="s">
        <v>13869</v>
      </c>
      <c r="B36950" s="0" t="str">
        <f aca="false">HYPERLINK("https://lindat.mff.cuni.cz/services/teitok/pdtc10/index.php?action=vallex&amp;frame=v-w5069f1", "přezkušovat (v-w5069f1)")</f>
        <v>přezkušovat (v-w5069f1)</v>
      </c>
    </row>
    <row r="36951" customFormat="false" ht="12.8" hidden="false" customHeight="false" outlineLevel="0" collapsed="false">
      <c r="B36951" s="0" t="s">
        <v>1</v>
      </c>
    </row>
    <row r="36952" customFormat="false" ht="12.8" hidden="false" customHeight="false" outlineLevel="0" collapsed="false">
      <c r="B36952" s="0" t="s">
        <v>2265</v>
      </c>
    </row>
    <row r="36954" customFormat="false" ht="12.8" hidden="false" customHeight="false" outlineLevel="0" collapsed="false">
      <c r="A36954" s="0" t="s">
        <v>13870</v>
      </c>
      <c r="B36954" s="0" t="str">
        <f aca="false">HYPERLINK("https://lindat.mff.cuni.cz/services/teitok/pdtc10/index.php?action=vallex&amp;frame=v-w5070f1", "přezouvat (v-w5070f1)")</f>
        <v>přezouvat (v-w5070f1)</v>
      </c>
      <c r="E36954" s="0" t="str">
        <f aca="false">HYPERLINK("https://lindat.mff.cuni.cz/services/SynSemClass40/SynSemClass40.html?veclass=vec01500#vec01500-ces-cm00026", "vec01500")</f>
        <v>vec01500</v>
      </c>
      <c r="F36954" s="0" t="s">
        <v>7689</v>
      </c>
    </row>
    <row r="36955" customFormat="false" ht="12.8" hidden="false" customHeight="false" outlineLevel="0" collapsed="false">
      <c r="B36955" s="0" t="s">
        <v>1</v>
      </c>
      <c r="E36955" s="0" t="s">
        <v>7690</v>
      </c>
      <c r="F36955" s="0" t="s">
        <v>7691</v>
      </c>
    </row>
    <row r="36956" customFormat="false" ht="12.8" hidden="false" customHeight="false" outlineLevel="0" collapsed="false">
      <c r="B36956" s="0" t="s">
        <v>8</v>
      </c>
      <c r="E36956" s="0" t="s">
        <v>7692</v>
      </c>
      <c r="F36956" s="0" t="s">
        <v>7693</v>
      </c>
    </row>
    <row r="36958" customFormat="false" ht="12.8" hidden="false" customHeight="false" outlineLevel="0" collapsed="false">
      <c r="A36958" s="0" t="s">
        <v>13871</v>
      </c>
      <c r="B36958" s="0" t="str">
        <f aca="false">HYPERLINK("https://lindat.mff.cuni.cz/services/teitok/pdtc10/index.php?action=vallex&amp;frame=v-w4684f1", "přečerpat (v-w4684f1)")</f>
        <v>přečerpat (v-w4684f1)</v>
      </c>
    </row>
    <row r="36959" customFormat="false" ht="12.8" hidden="false" customHeight="false" outlineLevel="0" collapsed="false">
      <c r="B36959" s="0" t="s">
        <v>1</v>
      </c>
    </row>
    <row r="36960" customFormat="false" ht="12.8" hidden="false" customHeight="false" outlineLevel="0" collapsed="false">
      <c r="B36960" s="0" t="s">
        <v>8</v>
      </c>
    </row>
    <row r="36962" customFormat="false" ht="12.8" hidden="false" customHeight="false" outlineLevel="0" collapsed="false">
      <c r="A36962" s="0" t="s">
        <v>13872</v>
      </c>
      <c r="B36962" s="0" t="str">
        <f aca="false">HYPERLINK("https://lindat.mff.cuni.cz/services/teitok/pdtc10/index.php?action=vallex&amp;frame=v-w4684hsa_161", "přečerpat (v-w4684hsa_161)")</f>
        <v>přečerpat (v-w4684hsa_161)</v>
      </c>
    </row>
    <row r="36963" customFormat="false" ht="12.8" hidden="false" customHeight="false" outlineLevel="0" collapsed="false">
      <c r="B36963" s="0" t="s">
        <v>1</v>
      </c>
    </row>
    <row r="36964" customFormat="false" ht="12.8" hidden="false" customHeight="false" outlineLevel="0" collapsed="false">
      <c r="B36964" s="0" t="s">
        <v>8</v>
      </c>
    </row>
    <row r="36965" customFormat="false" ht="12.8" hidden="false" customHeight="false" outlineLevel="0" collapsed="false">
      <c r="B36965" s="0" t="s">
        <v>631</v>
      </c>
    </row>
    <row r="36966" customFormat="false" ht="12.8" hidden="false" customHeight="false" outlineLevel="0" collapsed="false">
      <c r="B36966" s="0" t="s">
        <v>164</v>
      </c>
    </row>
    <row r="36968" customFormat="false" ht="12.8" hidden="false" customHeight="false" outlineLevel="0" collapsed="false">
      <c r="A36968" s="0" t="s">
        <v>13873</v>
      </c>
      <c r="B36968" s="0" t="str">
        <f aca="false">HYPERLINK("https://lindat.mff.cuni.cz/services/teitok/pdtc10/index.php?action=vallex&amp;frame=v-w4687f1", "přečistit (v-w4687f1)")</f>
        <v>přečistit (v-w4687f1)</v>
      </c>
      <c r="E36968" s="0" t="str">
        <f aca="false">HYPERLINK("https://lindat.mff.cuni.cz/services/SynSemClass40/SynSemClass40.html?veclass=vec00552#vec00552-ces-cm00018", "vec00552")</f>
        <v>vec00552</v>
      </c>
      <c r="F36968" s="0" t="s">
        <v>5992</v>
      </c>
    </row>
    <row r="36969" customFormat="false" ht="12.8" hidden="false" customHeight="false" outlineLevel="0" collapsed="false">
      <c r="B36969" s="0" t="s">
        <v>1</v>
      </c>
      <c r="C36969" s="0" t="s">
        <v>239</v>
      </c>
      <c r="E36969" s="0" t="s">
        <v>31</v>
      </c>
      <c r="F36969" s="0" t="s">
        <v>5993</v>
      </c>
    </row>
    <row r="36970" customFormat="false" ht="12.8" hidden="false" customHeight="false" outlineLevel="0" collapsed="false">
      <c r="B36970" s="0" t="s">
        <v>8</v>
      </c>
      <c r="C36970" s="0" t="s">
        <v>5994</v>
      </c>
      <c r="E36970" s="0" t="s">
        <v>34</v>
      </c>
      <c r="F36970" s="0" t="s">
        <v>5995</v>
      </c>
    </row>
    <row r="36972" customFormat="false" ht="12.8" hidden="false" customHeight="false" outlineLevel="0" collapsed="false">
      <c r="A36972" s="0" t="s">
        <v>13874</v>
      </c>
      <c r="B36972" s="0" t="str">
        <f aca="false">HYPERLINK("https://lindat.mff.cuni.cz/services/teitok/pdtc10/index.php?action=vallex&amp;frame=v-w4689f1", "přečkat (v-w4689f1)")</f>
        <v>přečkat (v-w4689f1)</v>
      </c>
      <c r="E36972" s="0" t="str">
        <f aca="false">HYPERLINK("https://lindat.mff.cuni.cz/services/SynSemClass40/SynSemClass40.html?veclass=vec00491#vec00491-ces-cm00001", "vec00491")</f>
        <v>vec00491</v>
      </c>
      <c r="F36972" s="0" t="s">
        <v>12803</v>
      </c>
    </row>
    <row r="36973" customFormat="false" ht="12.8" hidden="false" customHeight="false" outlineLevel="0" collapsed="false">
      <c r="B36973" s="0" t="s">
        <v>1</v>
      </c>
      <c r="C36973" s="0" t="s">
        <v>12804</v>
      </c>
      <c r="E36973" s="0" t="s">
        <v>12805</v>
      </c>
      <c r="F36973" s="0" t="s">
        <v>12806</v>
      </c>
    </row>
    <row r="36974" customFormat="false" ht="12.8" hidden="false" customHeight="false" outlineLevel="0" collapsed="false">
      <c r="B36974" s="0" t="s">
        <v>8</v>
      </c>
      <c r="C36974" s="0" t="s">
        <v>12807</v>
      </c>
      <c r="E36974" s="0" t="s">
        <v>2885</v>
      </c>
      <c r="F36974" s="0" t="s">
        <v>12808</v>
      </c>
    </row>
    <row r="36976" customFormat="false" ht="12.8" hidden="false" customHeight="false" outlineLevel="0" collapsed="false">
      <c r="A36976" s="0" t="s">
        <v>13875</v>
      </c>
      <c r="B36976" s="0" t="str">
        <f aca="false">HYPERLINK("https://lindat.mff.cuni.cz/services/teitok/pdtc10/index.php?action=vallex&amp;frame=v-whsa_337hsa_338", "přečkávat (v-whsa_337hsa_338)")</f>
        <v>přečkávat (v-whsa_337hsa_338)</v>
      </c>
      <c r="E36976" s="0" t="str">
        <f aca="false">HYPERLINK("https://lindat.mff.cuni.cz/services/SynSemClass40/SynSemClass40.html?veclass=vec00491#vec00491-ces-cm00004", "vec00491")</f>
        <v>vec00491</v>
      </c>
      <c r="F36976" s="0" t="s">
        <v>12803</v>
      </c>
    </row>
    <row r="36977" customFormat="false" ht="12.8" hidden="false" customHeight="false" outlineLevel="0" collapsed="false">
      <c r="B36977" s="0" t="s">
        <v>1</v>
      </c>
      <c r="C36977" s="0" t="s">
        <v>12804</v>
      </c>
      <c r="E36977" s="0" t="s">
        <v>12805</v>
      </c>
      <c r="F36977" s="0" t="s">
        <v>12806</v>
      </c>
    </row>
    <row r="36978" customFormat="false" ht="12.8" hidden="false" customHeight="false" outlineLevel="0" collapsed="false">
      <c r="B36978" s="0" t="s">
        <v>8</v>
      </c>
      <c r="C36978" s="0" t="s">
        <v>12807</v>
      </c>
      <c r="E36978" s="0" t="s">
        <v>2885</v>
      </c>
      <c r="F36978" s="0" t="s">
        <v>12808</v>
      </c>
    </row>
    <row r="36980" customFormat="false" ht="12.8" hidden="false" customHeight="false" outlineLevel="0" collapsed="false">
      <c r="A36980" s="0" t="s">
        <v>13876</v>
      </c>
      <c r="B36980" s="0" t="str">
        <f aca="false">HYPERLINK("https://lindat.mff.cuni.cz/services/teitok/pdtc10/index.php?action=vallex&amp;frame=v-w11096f2", "přečíslit (v-w11096f2)")</f>
        <v>přečíslit (v-w11096f2)</v>
      </c>
    </row>
    <row r="36981" customFormat="false" ht="12.8" hidden="false" customHeight="false" outlineLevel="0" collapsed="false">
      <c r="B36981" s="0" t="s">
        <v>1</v>
      </c>
    </row>
    <row r="36982" customFormat="false" ht="12.8" hidden="false" customHeight="false" outlineLevel="0" collapsed="false">
      <c r="B36982" s="0" t="s">
        <v>8</v>
      </c>
    </row>
    <row r="36984" customFormat="false" ht="12.8" hidden="false" customHeight="false" outlineLevel="0" collapsed="false">
      <c r="A36984" s="0" t="s">
        <v>13877</v>
      </c>
      <c r="B36984" s="0" t="str">
        <f aca="false">HYPERLINK("https://lindat.mff.cuni.cz/services/teitok/pdtc10/index.php?action=vallex&amp;frame=v-w4685f1", "přečíslovat (v-w4685f1)")</f>
        <v>přečíslovat (v-w4685f1)</v>
      </c>
    </row>
    <row r="36985" customFormat="false" ht="12.8" hidden="false" customHeight="false" outlineLevel="0" collapsed="false">
      <c r="B36985" s="0" t="s">
        <v>1</v>
      </c>
    </row>
    <row r="36986" customFormat="false" ht="12.8" hidden="false" customHeight="false" outlineLevel="0" collapsed="false">
      <c r="B36986" s="0" t="s">
        <v>8</v>
      </c>
    </row>
    <row r="36988" customFormat="false" ht="12.8" hidden="false" customHeight="false" outlineLevel="0" collapsed="false">
      <c r="A36988" s="0" t="s">
        <v>13878</v>
      </c>
      <c r="B36988" s="0" t="str">
        <f aca="false">HYPERLINK("https://lindat.mff.cuni.cz/services/teitok/pdtc10/index.php?action=vallex&amp;frame=v-w4686f2", "přečíst (v-w4686f2)")</f>
        <v>přečíst (v-w4686f2)</v>
      </c>
      <c r="E36988" s="0" t="str">
        <f aca="false">HYPERLINK("https://lindat.mff.cuni.cz/services/SynSemClass40/SynSemClass40.html?veclass=vec00207#vec00207-ces-cm00003", "vec00207")</f>
        <v>vec00207</v>
      </c>
      <c r="F36988" s="0" t="s">
        <v>13879</v>
      </c>
    </row>
    <row r="36989" customFormat="false" ht="12.8" hidden="false" customHeight="false" outlineLevel="0" collapsed="false">
      <c r="B36989" s="0" t="s">
        <v>1</v>
      </c>
      <c r="C36989" s="0" t="s">
        <v>13880</v>
      </c>
      <c r="E36989" s="0" t="s">
        <v>637</v>
      </c>
      <c r="F36989" s="0" t="s">
        <v>13881</v>
      </c>
    </row>
    <row r="36990" customFormat="false" ht="12.8" hidden="false" customHeight="false" outlineLevel="0" collapsed="false">
      <c r="B36990" s="0" t="s">
        <v>8</v>
      </c>
      <c r="C36990" s="0" t="s">
        <v>13882</v>
      </c>
      <c r="E36990" s="0" t="s">
        <v>640</v>
      </c>
      <c r="F36990" s="0" t="s">
        <v>13883</v>
      </c>
    </row>
    <row r="36991" customFormat="false" ht="12.8" hidden="false" customHeight="false" outlineLevel="0" collapsed="false">
      <c r="B36991" s="0" t="s">
        <v>132</v>
      </c>
    </row>
    <row r="36993" customFormat="false" ht="12.8" hidden="false" customHeight="false" outlineLevel="0" collapsed="false">
      <c r="A36993" s="0" t="s">
        <v>13884</v>
      </c>
      <c r="B36993" s="0" t="str">
        <f aca="false">HYPERLINK("https://lindat.mff.cuni.cz/services/teitok/pdtc10/index.php?action=vallex&amp;frame=v-w4686f3", "přečíst (v-w4686f3)")</f>
        <v>přečíst (v-w4686f3)</v>
      </c>
    </row>
    <row r="36994" customFormat="false" ht="12.8" hidden="false" customHeight="false" outlineLevel="0" collapsed="false">
      <c r="B36994" s="0" t="s">
        <v>1</v>
      </c>
    </row>
    <row r="36995" customFormat="false" ht="12.8" hidden="false" customHeight="false" outlineLevel="0" collapsed="false">
      <c r="B36995" s="0" t="s">
        <v>318</v>
      </c>
    </row>
    <row r="36996" customFormat="false" ht="12.8" hidden="false" customHeight="false" outlineLevel="0" collapsed="false">
      <c r="B36996" s="0" t="s">
        <v>132</v>
      </c>
    </row>
    <row r="36998" customFormat="false" ht="12.8" hidden="false" customHeight="false" outlineLevel="0" collapsed="false">
      <c r="A36998" s="0" t="s">
        <v>13885</v>
      </c>
      <c r="B36998" s="0" t="str">
        <f aca="false">HYPERLINK("https://lindat.mff.cuni.cz/services/teitok/pdtc10/index.php?action=vallex&amp;frame=v-w4686f4", "přečíst (v-w4686f4)")</f>
        <v>přečíst (v-w4686f4)</v>
      </c>
    </row>
    <row r="36999" customFormat="false" ht="12.8" hidden="false" customHeight="false" outlineLevel="0" collapsed="false">
      <c r="B36999" s="0" t="s">
        <v>1</v>
      </c>
    </row>
    <row r="37000" customFormat="false" ht="12.8" hidden="false" customHeight="false" outlineLevel="0" collapsed="false">
      <c r="B37000" s="0" t="s">
        <v>8</v>
      </c>
    </row>
    <row r="37002" customFormat="false" ht="12.8" hidden="false" customHeight="false" outlineLevel="0" collapsed="false">
      <c r="A37002" s="0" t="s">
        <v>13886</v>
      </c>
      <c r="B37002" s="0" t="str">
        <f aca="false">HYPERLINK("https://lindat.mff.cuni.cz/services/teitok/pdtc10/index.php?action=vallex&amp;frame=v-w4686f1", "přečíst (v-w4686f1)")</f>
        <v>přečíst (v-w4686f1)</v>
      </c>
      <c r="E37002" s="0" t="str">
        <f aca="false">HYPERLINK("https://lindat.mff.cuni.cz/services/SynSemClass40/SynSemClass40.html?veclass=vec00690#vec00690-ces-cm00011", "vec00690")</f>
        <v>vec00690</v>
      </c>
      <c r="F37002" s="0" t="s">
        <v>9532</v>
      </c>
    </row>
    <row r="37003" customFormat="false" ht="12.8" hidden="false" customHeight="false" outlineLevel="0" collapsed="false">
      <c r="B37003" s="0" t="s">
        <v>1</v>
      </c>
      <c r="C37003" s="0" t="s">
        <v>4774</v>
      </c>
      <c r="E37003" s="0" t="s">
        <v>147</v>
      </c>
      <c r="F37003" s="0" t="s">
        <v>9534</v>
      </c>
    </row>
    <row r="37004" customFormat="false" ht="12.8" hidden="false" customHeight="false" outlineLevel="0" collapsed="false">
      <c r="B37004" s="0" t="s">
        <v>13326</v>
      </c>
      <c r="C37004" s="0" t="s">
        <v>13327</v>
      </c>
      <c r="E37004" s="0" t="s">
        <v>2217</v>
      </c>
      <c r="F37004" s="0" t="s">
        <v>13328</v>
      </c>
    </row>
    <row r="37005" customFormat="false" ht="12.8" hidden="false" customHeight="false" outlineLevel="0" collapsed="false">
      <c r="B37005" s="0" t="s">
        <v>496</v>
      </c>
      <c r="C37005" s="0" t="s">
        <v>13329</v>
      </c>
      <c r="E37005" s="0" t="s">
        <v>218</v>
      </c>
      <c r="F37005" s="0" t="s">
        <v>9536</v>
      </c>
    </row>
    <row r="37006" customFormat="false" ht="12.8" hidden="false" customHeight="false" outlineLevel="0" collapsed="false">
      <c r="B37006" s="0" t="s">
        <v>132</v>
      </c>
      <c r="C37006" s="0" t="s">
        <v>1391</v>
      </c>
      <c r="E37006" s="0" t="s">
        <v>221</v>
      </c>
      <c r="F37006" s="0" t="s">
        <v>5579</v>
      </c>
    </row>
    <row r="37008" customFormat="false" ht="12.8" hidden="false" customHeight="false" outlineLevel="0" collapsed="false">
      <c r="A37008" s="0" t="s">
        <v>13887</v>
      </c>
      <c r="B37008" s="0" t="str">
        <f aca="false">HYPERLINK("https://lindat.mff.cuni.cz/services/teitok/pdtc10/index.php?action=vallex&amp;frame=v-w4951f2_ZU", "přeřadit (v-w4951f2_ZU)")</f>
        <v>přeřadit (v-w4951f2_ZU)</v>
      </c>
    </row>
    <row r="37009" customFormat="false" ht="12.8" hidden="false" customHeight="false" outlineLevel="0" collapsed="false">
      <c r="B37009" s="0" t="s">
        <v>1</v>
      </c>
    </row>
    <row r="37010" customFormat="false" ht="12.8" hidden="false" customHeight="false" outlineLevel="0" collapsed="false">
      <c r="B37010" s="0" t="s">
        <v>390</v>
      </c>
    </row>
    <row r="37011" customFormat="false" ht="12.8" hidden="false" customHeight="false" outlineLevel="0" collapsed="false">
      <c r="B37011" s="0" t="s">
        <v>36</v>
      </c>
    </row>
    <row r="37012" customFormat="false" ht="12.8" hidden="false" customHeight="false" outlineLevel="0" collapsed="false">
      <c r="B37012" s="0" t="s">
        <v>101</v>
      </c>
    </row>
    <row r="37014" customFormat="false" ht="12.8" hidden="false" customHeight="false" outlineLevel="0" collapsed="false">
      <c r="A37014" s="0" t="s">
        <v>13888</v>
      </c>
      <c r="B37014" s="0" t="str">
        <f aca="false">HYPERLINK("https://lindat.mff.cuni.cz/services/teitok/pdtc10/index.php?action=vallex&amp;frame=v-w4951f1", "přeřadit (v-w4951f1)")</f>
        <v>přeřadit (v-w4951f1)</v>
      </c>
      <c r="E37014" s="0" t="str">
        <f aca="false">HYPERLINK("https://lindat.mff.cuni.cz/services/SynSemClass40/SynSemClass40.html?veclass=vec00283#vec00283-ces-cm00018", "vec00283")</f>
        <v>vec00283</v>
      </c>
      <c r="F37014" s="0" t="s">
        <v>8946</v>
      </c>
    </row>
    <row r="37015" customFormat="false" ht="12.8" hidden="false" customHeight="false" outlineLevel="0" collapsed="false">
      <c r="B37015" s="0" t="s">
        <v>1</v>
      </c>
      <c r="C37015" s="0" t="s">
        <v>7911</v>
      </c>
      <c r="E37015" s="0" t="s">
        <v>2196</v>
      </c>
      <c r="F37015" s="0" t="s">
        <v>8947</v>
      </c>
    </row>
    <row r="37016" customFormat="false" ht="12.8" hidden="false" customHeight="false" outlineLevel="0" collapsed="false">
      <c r="B37016" s="0" t="s">
        <v>8</v>
      </c>
      <c r="C37016" s="0" t="s">
        <v>8948</v>
      </c>
      <c r="E37016" s="0" t="s">
        <v>2200</v>
      </c>
      <c r="F37016" s="0" t="s">
        <v>8949</v>
      </c>
    </row>
    <row r="37017" customFormat="false" ht="12.8" hidden="false" customHeight="false" outlineLevel="0" collapsed="false">
      <c r="B37017" s="0" t="s">
        <v>631</v>
      </c>
      <c r="E37017" s="0" t="s">
        <v>4096</v>
      </c>
      <c r="F37017" s="0" t="s">
        <v>4097</v>
      </c>
    </row>
    <row r="37018" customFormat="false" ht="12.8" hidden="false" customHeight="false" outlineLevel="0" collapsed="false">
      <c r="B37018" s="0" t="s">
        <v>164</v>
      </c>
      <c r="C37018" s="0" t="s">
        <v>11520</v>
      </c>
      <c r="E37018" s="0" t="s">
        <v>388</v>
      </c>
      <c r="F37018" s="0" t="s">
        <v>11521</v>
      </c>
    </row>
    <row r="37020" customFormat="false" ht="12.8" hidden="false" customHeight="false" outlineLevel="0" collapsed="false">
      <c r="A37020" s="0" t="s">
        <v>13889</v>
      </c>
      <c r="B37020" s="0" t="str">
        <f aca="false">HYPERLINK("https://lindat.mff.cuni.cz/services/teitok/pdtc10/index.php?action=vallex&amp;frame=v-w10710f2", "přeřazovat (v-w10710f2)")</f>
        <v>přeřazovat (v-w10710f2)</v>
      </c>
    </row>
    <row r="37021" customFormat="false" ht="12.8" hidden="false" customHeight="false" outlineLevel="0" collapsed="false">
      <c r="B37021" s="0" t="s">
        <v>1</v>
      </c>
    </row>
    <row r="37022" customFormat="false" ht="12.8" hidden="false" customHeight="false" outlineLevel="0" collapsed="false">
      <c r="B37022" s="0" t="s">
        <v>45</v>
      </c>
    </row>
    <row r="37024" customFormat="false" ht="12.8" hidden="false" customHeight="false" outlineLevel="0" collapsed="false">
      <c r="A37024" s="0" t="s">
        <v>13890</v>
      </c>
      <c r="B37024" s="0" t="str">
        <f aca="false">HYPERLINK("https://lindat.mff.cuni.cz/services/teitok/pdtc10/index.php?action=vallex&amp;frame=v-w10710f3_ZU", "přeřazovat (v-w10710f3_ZU)")</f>
        <v>přeřazovat (v-w10710f3_ZU)</v>
      </c>
    </row>
    <row r="37025" customFormat="false" ht="12.8" hidden="false" customHeight="false" outlineLevel="0" collapsed="false">
      <c r="B37025" s="0" t="s">
        <v>1</v>
      </c>
    </row>
    <row r="37026" customFormat="false" ht="12.8" hidden="false" customHeight="false" outlineLevel="0" collapsed="false">
      <c r="B37026" s="0" t="s">
        <v>8</v>
      </c>
    </row>
    <row r="37027" customFormat="false" ht="12.8" hidden="false" customHeight="false" outlineLevel="0" collapsed="false">
      <c r="B37027" s="0" t="s">
        <v>6273</v>
      </c>
    </row>
    <row r="37028" customFormat="false" ht="12.8" hidden="false" customHeight="false" outlineLevel="0" collapsed="false">
      <c r="B37028" s="0" t="s">
        <v>454</v>
      </c>
    </row>
    <row r="37030" customFormat="false" ht="12.8" hidden="false" customHeight="false" outlineLevel="0" collapsed="false">
      <c r="A37030" s="0" t="s">
        <v>13891</v>
      </c>
      <c r="B37030" s="0" t="str">
        <f aca="false">HYPERLINK("https://lindat.mff.cuni.cz/services/teitok/pdtc10/index.php?action=vallex&amp;frame=v-whsa_554hsa_555", "přeřeknout se (v-whsa_554hsa_555)")</f>
        <v>přeřeknout se (v-whsa_554hsa_555)</v>
      </c>
    </row>
    <row r="37031" customFormat="false" ht="12.8" hidden="false" customHeight="false" outlineLevel="0" collapsed="false">
      <c r="B37031" s="0" t="s">
        <v>1</v>
      </c>
    </row>
    <row r="37033" customFormat="false" ht="12.8" hidden="false" customHeight="false" outlineLevel="0" collapsed="false">
      <c r="A37033" s="0" t="s">
        <v>13892</v>
      </c>
      <c r="B37033" s="0" t="str">
        <f aca="false">HYPERLINK("https://lindat.mff.cuni.cz/services/teitok/pdtc10/index.php?action=vallex&amp;frame=v-w10748f3", "přeříznout (v-w10748f3)")</f>
        <v>přeříznout (v-w10748f3)</v>
      </c>
    </row>
    <row r="37034" customFormat="false" ht="12.8" hidden="false" customHeight="false" outlineLevel="0" collapsed="false">
      <c r="B37034" s="0" t="s">
        <v>1</v>
      </c>
    </row>
    <row r="37035" customFormat="false" ht="12.8" hidden="false" customHeight="false" outlineLevel="0" collapsed="false">
      <c r="B37035" s="0" t="s">
        <v>8</v>
      </c>
    </row>
    <row r="37036" customFormat="false" ht="12.8" hidden="false" customHeight="false" outlineLevel="0" collapsed="false">
      <c r="B37036" s="0" t="s">
        <v>3211</v>
      </c>
    </row>
    <row r="37038" customFormat="false" ht="12.8" hidden="false" customHeight="false" outlineLevel="0" collapsed="false">
      <c r="A37038" s="0" t="s">
        <v>13893</v>
      </c>
      <c r="B37038" s="0" t="str">
        <f aca="false">HYPERLINK("https://lindat.mff.cuni.cz/services/teitok/pdtc10/index.php?action=vallex&amp;frame=v-whsa_894hsa_895", "přešetřovat (v-whsa_894hsa_895)")</f>
        <v>přešetřovat (v-whsa_894hsa_895)</v>
      </c>
    </row>
    <row r="37039" customFormat="false" ht="12.8" hidden="false" customHeight="false" outlineLevel="0" collapsed="false">
      <c r="B37039" s="0" t="s">
        <v>1</v>
      </c>
    </row>
    <row r="37040" customFormat="false" ht="12.8" hidden="false" customHeight="false" outlineLevel="0" collapsed="false">
      <c r="B37040" s="0" t="s">
        <v>8</v>
      </c>
    </row>
    <row r="37042" customFormat="false" ht="12.8" hidden="false" customHeight="false" outlineLevel="0" collapsed="false">
      <c r="A37042" s="0" t="s">
        <v>13894</v>
      </c>
      <c r="B37042" s="0" t="str">
        <f aca="false">HYPERLINK("https://lindat.mff.cuni.cz/services/teitok/pdtc10/index.php?action=vallex&amp;frame=v-w5000f1", "přeškolit (v-w5000f1)")</f>
        <v>přeškolit (v-w5000f1)</v>
      </c>
    </row>
    <row r="37043" customFormat="false" ht="12.8" hidden="false" customHeight="false" outlineLevel="0" collapsed="false">
      <c r="B37043" s="0" t="s">
        <v>1</v>
      </c>
    </row>
    <row r="37044" customFormat="false" ht="12.8" hidden="false" customHeight="false" outlineLevel="0" collapsed="false">
      <c r="B37044" s="0" t="s">
        <v>8</v>
      </c>
    </row>
    <row r="37045" customFormat="false" ht="12.8" hidden="false" customHeight="false" outlineLevel="0" collapsed="false">
      <c r="B37045" s="0" t="s">
        <v>101</v>
      </c>
    </row>
    <row r="37047" customFormat="false" ht="12.8" hidden="false" customHeight="false" outlineLevel="0" collapsed="false">
      <c r="A37047" s="0" t="s">
        <v>13895</v>
      </c>
      <c r="B37047" s="0" t="str">
        <f aca="false">HYPERLINK("https://lindat.mff.cuni.cz/services/teitok/pdtc10/index.php?action=vallex&amp;frame=v-w12065_ZUf1_ZU", "přeškolovat (v-w12065_ZUf1_ZU)")</f>
        <v>přeškolovat (v-w12065_ZUf1_ZU)</v>
      </c>
    </row>
    <row r="37048" customFormat="false" ht="12.8" hidden="false" customHeight="false" outlineLevel="0" collapsed="false">
      <c r="B37048" s="0" t="s">
        <v>1</v>
      </c>
    </row>
    <row r="37049" customFormat="false" ht="12.8" hidden="false" customHeight="false" outlineLevel="0" collapsed="false">
      <c r="B37049" s="0" t="s">
        <v>8</v>
      </c>
    </row>
    <row r="37050" customFormat="false" ht="12.8" hidden="false" customHeight="false" outlineLevel="0" collapsed="false">
      <c r="B37050" s="0" t="s">
        <v>36</v>
      </c>
    </row>
    <row r="37051" customFormat="false" ht="12.8" hidden="false" customHeight="false" outlineLevel="0" collapsed="false">
      <c r="B37051" s="0" t="s">
        <v>101</v>
      </c>
    </row>
    <row r="37053" customFormat="false" ht="12.8" hidden="false" customHeight="false" outlineLevel="0" collapsed="false">
      <c r="A37053" s="0" t="s">
        <v>13896</v>
      </c>
      <c r="B37053" s="0" t="str">
        <f aca="false">HYPERLINK("https://lindat.mff.cuni.cz/services/teitok/pdtc10/index.php?action=vallex&amp;frame=v-whsa_306hsa_307", "přeškrtnout (v-whsa_306hsa_307)")</f>
        <v>přeškrtnout (v-whsa_306hsa_307)</v>
      </c>
      <c r="E37053" s="0" t="str">
        <f aca="false">HYPERLINK("https://lindat.mff.cuni.cz/services/SynSemClass40/SynSemClass40.html?veclass=vec00962#vec00962-ces-cm00051", "vec00962")</f>
        <v>vec00962</v>
      </c>
      <c r="F37053" s="0" t="s">
        <v>9319</v>
      </c>
    </row>
    <row r="37054" customFormat="false" ht="12.8" hidden="false" customHeight="false" outlineLevel="0" collapsed="false">
      <c r="B37054" s="0" t="s">
        <v>1</v>
      </c>
      <c r="C37054" s="0" t="s">
        <v>106</v>
      </c>
      <c r="E37054" s="0" t="s">
        <v>11</v>
      </c>
      <c r="F37054" s="0" t="s">
        <v>9320</v>
      </c>
    </row>
    <row r="37055" customFormat="false" ht="12.8" hidden="false" customHeight="false" outlineLevel="0" collapsed="false">
      <c r="B37055" s="0" t="s">
        <v>8</v>
      </c>
      <c r="C37055" s="0" t="s">
        <v>4392</v>
      </c>
      <c r="E37055" s="0" t="s">
        <v>4094</v>
      </c>
      <c r="F37055" s="0" t="s">
        <v>9321</v>
      </c>
    </row>
    <row r="37057" customFormat="false" ht="12.8" hidden="false" customHeight="false" outlineLevel="0" collapsed="false">
      <c r="A37057" s="0" t="s">
        <v>13897</v>
      </c>
      <c r="B37057" s="0" t="str">
        <f aca="false">HYPERLINK("https://lindat.mff.cuni.cz/services/teitok/pdtc10/index.php?action=vallex&amp;frame=v-w5001f1", "přešlapovat (v-w5001f1)")</f>
        <v>přešlapovat (v-w5001f1)</v>
      </c>
    </row>
    <row r="37058" customFormat="false" ht="12.8" hidden="false" customHeight="false" outlineLevel="0" collapsed="false">
      <c r="B37058" s="0" t="s">
        <v>1</v>
      </c>
    </row>
    <row r="37059" customFormat="false" ht="12.8" hidden="false" customHeight="false" outlineLevel="0" collapsed="false">
      <c r="B37059" s="0" t="s">
        <v>8</v>
      </c>
    </row>
    <row r="37061" customFormat="false" ht="12.8" hidden="false" customHeight="false" outlineLevel="0" collapsed="false">
      <c r="A37061" s="0" t="s">
        <v>13898</v>
      </c>
      <c r="B37061" s="0" t="str">
        <f aca="false">HYPERLINK("https://lindat.mff.cuni.cz/services/teitok/pdtc10/index.php?action=vallex&amp;frame=v-w5001f2", "přešlapovat (v-w5001f2)")</f>
        <v>přešlapovat (v-w5001f2)</v>
      </c>
    </row>
    <row r="37062" customFormat="false" ht="12.8" hidden="false" customHeight="false" outlineLevel="0" collapsed="false">
      <c r="B37062" s="0" t="s">
        <v>1</v>
      </c>
    </row>
    <row r="37064" customFormat="false" ht="12.8" hidden="false" customHeight="false" outlineLevel="0" collapsed="false">
      <c r="A37064" s="0" t="s">
        <v>13899</v>
      </c>
      <c r="B37064" s="0" t="str">
        <f aca="false">HYPERLINK("https://lindat.mff.cuni.cz/services/teitok/pdtc10/index.php?action=vallex&amp;frame=v-w12350_MMf1_MM", "přešoupnout (v-w12350_MMf1_MM)")</f>
        <v>přešoupnout (v-w12350_MMf1_MM)</v>
      </c>
    </row>
    <row r="37065" customFormat="false" ht="12.8" hidden="false" customHeight="false" outlineLevel="0" collapsed="false">
      <c r="B37065" s="0" t="s">
        <v>1</v>
      </c>
    </row>
    <row r="37066" customFormat="false" ht="12.8" hidden="false" customHeight="false" outlineLevel="0" collapsed="false">
      <c r="B37066" s="0" t="s">
        <v>8</v>
      </c>
    </row>
    <row r="37067" customFormat="false" ht="12.8" hidden="false" customHeight="false" outlineLevel="0" collapsed="false">
      <c r="B37067" s="0" t="s">
        <v>631</v>
      </c>
    </row>
    <row r="37068" customFormat="false" ht="12.8" hidden="false" customHeight="false" outlineLevel="0" collapsed="false">
      <c r="B37068" s="0" t="s">
        <v>164</v>
      </c>
    </row>
    <row r="37070" customFormat="false" ht="12.8" hidden="false" customHeight="false" outlineLevel="0" collapsed="false">
      <c r="A37070" s="0" t="s">
        <v>13900</v>
      </c>
      <c r="B37070" s="0" t="str">
        <f aca="false">HYPERLINK("https://lindat.mff.cuni.cz/services/teitok/pdtc10/index.php?action=vallex&amp;frame=v-w12242_ZUf1_ZU", "přeštípat (v-w12242_ZUf1_ZU)")</f>
        <v>přeštípat (v-w12242_ZUf1_ZU)</v>
      </c>
    </row>
    <row r="37071" customFormat="false" ht="12.8" hidden="false" customHeight="false" outlineLevel="0" collapsed="false">
      <c r="B37071" s="0" t="s">
        <v>1</v>
      </c>
    </row>
    <row r="37072" customFormat="false" ht="12.8" hidden="false" customHeight="false" outlineLevel="0" collapsed="false">
      <c r="B37072" s="0" t="s">
        <v>8</v>
      </c>
    </row>
    <row r="37074" customFormat="false" ht="12.8" hidden="false" customHeight="false" outlineLevel="0" collapsed="false">
      <c r="A37074" s="0" t="s">
        <v>13901</v>
      </c>
      <c r="B37074" s="0" t="str">
        <f aca="false">HYPERLINK("https://lindat.mff.cuni.cz/services/teitok/pdtc10/index.php?action=vallex&amp;frame=v-whsa_1401f1_ZU", "přešít (v-whsa_1401f1_ZU)")</f>
        <v>přešít (v-whsa_1401f1_ZU)</v>
      </c>
    </row>
    <row r="37075" customFormat="false" ht="12.8" hidden="false" customHeight="false" outlineLevel="0" collapsed="false">
      <c r="B37075" s="0" t="s">
        <v>1</v>
      </c>
    </row>
    <row r="37076" customFormat="false" ht="12.8" hidden="false" customHeight="false" outlineLevel="0" collapsed="false">
      <c r="B37076" s="0" t="s">
        <v>8</v>
      </c>
    </row>
    <row r="37077" customFormat="false" ht="12.8" hidden="false" customHeight="false" outlineLevel="0" collapsed="false">
      <c r="B37077" s="0" t="s">
        <v>36</v>
      </c>
    </row>
    <row r="37078" customFormat="false" ht="12.8" hidden="false" customHeight="false" outlineLevel="0" collapsed="false">
      <c r="B37078" s="0" t="s">
        <v>101</v>
      </c>
    </row>
    <row r="37080" customFormat="false" ht="12.8" hidden="false" customHeight="false" outlineLevel="0" collapsed="false">
      <c r="A37080" s="0" t="s">
        <v>13901</v>
      </c>
      <c r="B37080" s="0" t="str">
        <f aca="false">HYPERLINK("https://lindat.mff.cuni.cz/services/teitok/pdtc10/index.php?action=vallex&amp;frame=v-whsa_1401hsa_1402", "přešít (v-whsa_1401hsa_1402) - substituted with v-whsa_1401f1_ZU")</f>
        <v>přešít (v-whsa_1401hsa_1402) - substituted with v-whsa_1401f1_ZU</v>
      </c>
    </row>
    <row r="37081" customFormat="false" ht="12.8" hidden="false" customHeight="false" outlineLevel="0" collapsed="false">
      <c r="B37081" s="0" t="s">
        <v>1</v>
      </c>
    </row>
    <row r="37082" customFormat="false" ht="12.8" hidden="false" customHeight="false" outlineLevel="0" collapsed="false">
      <c r="B37082" s="0" t="s">
        <v>8</v>
      </c>
    </row>
    <row r="37083" customFormat="false" ht="12.8" hidden="false" customHeight="false" outlineLevel="0" collapsed="false">
      <c r="B37083" s="0" t="s">
        <v>36</v>
      </c>
    </row>
    <row r="37084" customFormat="false" ht="12.8" hidden="false" customHeight="false" outlineLevel="0" collapsed="false">
      <c r="B37084" s="0" t="s">
        <v>101</v>
      </c>
    </row>
    <row r="37086" customFormat="false" ht="12.8" hidden="false" customHeight="false" outlineLevel="0" collapsed="false">
      <c r="A37086" s="0" t="s">
        <v>13902</v>
      </c>
      <c r="B37086" s="0" t="str">
        <f aca="false">HYPERLINK("https://lindat.mff.cuni.cz/services/teitok/pdtc10/index.php?action=vallex&amp;frame=v-w11559_ZUf1_ZU", "přežvykovat (v-w11559_ZUf1_ZU)")</f>
        <v>přežvykovat (v-w11559_ZUf1_ZU)</v>
      </c>
    </row>
    <row r="37087" customFormat="false" ht="12.8" hidden="false" customHeight="false" outlineLevel="0" collapsed="false">
      <c r="B37087" s="0" t="s">
        <v>1</v>
      </c>
    </row>
    <row r="37088" customFormat="false" ht="12.8" hidden="false" customHeight="false" outlineLevel="0" collapsed="false">
      <c r="B37088" s="0" t="s">
        <v>8</v>
      </c>
    </row>
    <row r="37090" customFormat="false" ht="12.8" hidden="false" customHeight="false" outlineLevel="0" collapsed="false">
      <c r="A37090" s="0" t="s">
        <v>13903</v>
      </c>
      <c r="B37090" s="0" t="str">
        <f aca="false">HYPERLINK("https://lindat.mff.cuni.cz/services/teitok/pdtc10/index.php?action=vallex&amp;frame=v-w5071f1", "přežít (v-w5071f1)")</f>
        <v>přežít (v-w5071f1)</v>
      </c>
      <c r="E37090" s="0" t="str">
        <f aca="false">HYPERLINK("https://lindat.mff.cuni.cz/services/SynSemClass40/SynSemClass40.html?veclass=vec00491#vec00491-ces-cm00007", "vec00491")</f>
        <v>vec00491</v>
      </c>
      <c r="F37090" s="0" t="s">
        <v>12803</v>
      </c>
    </row>
    <row r="37091" customFormat="false" ht="12.8" hidden="false" customHeight="false" outlineLevel="0" collapsed="false">
      <c r="B37091" s="0" t="s">
        <v>1</v>
      </c>
      <c r="C37091" s="0" t="s">
        <v>12804</v>
      </c>
      <c r="E37091" s="0" t="s">
        <v>12805</v>
      </c>
      <c r="F37091" s="0" t="s">
        <v>12806</v>
      </c>
    </row>
    <row r="37092" customFormat="false" ht="12.8" hidden="false" customHeight="false" outlineLevel="0" collapsed="false">
      <c r="B37092" s="0" t="s">
        <v>8</v>
      </c>
      <c r="C37092" s="0" t="s">
        <v>12807</v>
      </c>
      <c r="E37092" s="0" t="s">
        <v>2885</v>
      </c>
      <c r="F37092" s="0" t="s">
        <v>12808</v>
      </c>
    </row>
    <row r="37094" customFormat="false" ht="12.8" hidden="false" customHeight="false" outlineLevel="0" collapsed="false">
      <c r="A37094" s="0" t="s">
        <v>13904</v>
      </c>
      <c r="B37094" s="0" t="str">
        <f aca="false">HYPERLINK("https://lindat.mff.cuni.cz/services/teitok/pdtc10/index.php?action=vallex&amp;frame=v-w5071f4_ZU", "přežít (v-w5071f4_ZU)")</f>
        <v>přežít (v-w5071f4_ZU)</v>
      </c>
    </row>
    <row r="37095" customFormat="false" ht="12.8" hidden="false" customHeight="false" outlineLevel="0" collapsed="false">
      <c r="B37095" s="0" t="s">
        <v>1</v>
      </c>
    </row>
    <row r="37096" customFormat="false" ht="12.8" hidden="false" customHeight="false" outlineLevel="0" collapsed="false">
      <c r="B37096" s="0" t="s">
        <v>305</v>
      </c>
    </row>
    <row r="37098" customFormat="false" ht="12.8" hidden="false" customHeight="false" outlineLevel="0" collapsed="false">
      <c r="A37098" s="0" t="s">
        <v>13904</v>
      </c>
      <c r="B37098" s="0" t="str">
        <f aca="false">HYPERLINK("https://lindat.mff.cuni.cz/services/teitok/pdtc10/index.php?action=vallex&amp;frame=v-w5071f3", "přežít (v-w5071f3) - substituted with v-w5071f4_ZU")</f>
        <v>přežít (v-w5071f3) - substituted with v-w5071f4_ZU</v>
      </c>
      <c r="E37098" s="0" t="str">
        <f aca="false">HYPERLINK("https://lindat.mff.cuni.cz/services/SynSemClass40/SynSemClass40.html?veclass=vec00491#vec00491-ces-cm00009", "vec00491")</f>
        <v>vec00491</v>
      </c>
      <c r="F37098" s="0" t="s">
        <v>12803</v>
      </c>
    </row>
    <row r="37099" customFormat="false" ht="12.8" hidden="false" customHeight="false" outlineLevel="0" collapsed="false">
      <c r="B37099" s="0" t="s">
        <v>1</v>
      </c>
      <c r="C37099" s="0" t="s">
        <v>12804</v>
      </c>
      <c r="E37099" s="0" t="s">
        <v>12805</v>
      </c>
      <c r="F37099" s="0" t="s">
        <v>12806</v>
      </c>
    </row>
    <row r="37100" customFormat="false" ht="12.8" hidden="false" customHeight="false" outlineLevel="0" collapsed="false">
      <c r="B37100" s="0" t="s">
        <v>305</v>
      </c>
      <c r="C37100" s="0" t="s">
        <v>12807</v>
      </c>
      <c r="E37100" s="0" t="s">
        <v>2885</v>
      </c>
      <c r="F37100" s="0" t="s">
        <v>12808</v>
      </c>
    </row>
    <row r="37102" customFormat="false" ht="12.8" hidden="false" customHeight="false" outlineLevel="0" collapsed="false">
      <c r="A37102" s="0" t="s">
        <v>13905</v>
      </c>
      <c r="B37102" s="0" t="str">
        <f aca="false">HYPERLINK("https://lindat.mff.cuni.cz/services/teitok/pdtc10/index.php?action=vallex&amp;frame=v-w5071f2", "přežít (v-w5071f2)")</f>
        <v>přežít (v-w5071f2)</v>
      </c>
      <c r="E37102" s="0" t="str">
        <f aca="false">HYPERLINK("https://lindat.mff.cuni.cz/services/SynSemClass40/SynSemClass40.html?veclass=vec00491#vec00491-ces-cm00008", "vec00491")</f>
        <v>vec00491</v>
      </c>
      <c r="F37102" s="0" t="s">
        <v>12803</v>
      </c>
    </row>
    <row r="37103" customFormat="false" ht="12.8" hidden="false" customHeight="false" outlineLevel="0" collapsed="false">
      <c r="B37103" s="0" t="s">
        <v>1</v>
      </c>
      <c r="C37103" s="0" t="s">
        <v>12804</v>
      </c>
      <c r="E37103" s="0" t="s">
        <v>12805</v>
      </c>
      <c r="F37103" s="0" t="s">
        <v>12806</v>
      </c>
    </row>
    <row r="37105" customFormat="false" ht="12.8" hidden="false" customHeight="false" outlineLevel="0" collapsed="false">
      <c r="A37105" s="0" t="s">
        <v>13906</v>
      </c>
      <c r="B37105" s="0" t="str">
        <f aca="false">HYPERLINK("https://lindat.mff.cuni.cz/services/teitok/pdtc10/index.php?action=vallex&amp;frame=v-w5074f1", "přežít se (v-w5074f1)")</f>
        <v>přežít se (v-w5074f1)</v>
      </c>
    </row>
    <row r="37106" customFormat="false" ht="12.8" hidden="false" customHeight="false" outlineLevel="0" collapsed="false">
      <c r="B37106" s="0" t="s">
        <v>1</v>
      </c>
    </row>
    <row r="37108" customFormat="false" ht="12.8" hidden="false" customHeight="false" outlineLevel="0" collapsed="false">
      <c r="A37108" s="0" t="s">
        <v>13907</v>
      </c>
      <c r="B37108" s="0" t="str">
        <f aca="false">HYPERLINK("https://lindat.mff.cuni.cz/services/teitok/pdtc10/index.php?action=vallex&amp;frame=v-w5075f2", "přežívat (v-w5075f2)")</f>
        <v>přežívat (v-w5075f2)</v>
      </c>
      <c r="E37108" s="0" t="str">
        <f aca="false">HYPERLINK("https://lindat.mff.cuni.cz/services/SynSemClass40/SynSemClass40.html?veclass=vec00491#vec00491-ces-cm00022", "vec00491")</f>
        <v>vec00491</v>
      </c>
      <c r="F37108" s="0" t="s">
        <v>12803</v>
      </c>
    </row>
    <row r="37109" customFormat="false" ht="12.8" hidden="false" customHeight="false" outlineLevel="0" collapsed="false">
      <c r="B37109" s="0" t="s">
        <v>1</v>
      </c>
      <c r="C37109" s="0" t="s">
        <v>12804</v>
      </c>
      <c r="E37109" s="0" t="s">
        <v>12805</v>
      </c>
      <c r="F37109" s="0" t="s">
        <v>12806</v>
      </c>
    </row>
    <row r="37110" customFormat="false" ht="12.8" hidden="false" customHeight="false" outlineLevel="0" collapsed="false">
      <c r="B37110" s="0" t="s">
        <v>8</v>
      </c>
      <c r="C37110" s="0" t="s">
        <v>12807</v>
      </c>
      <c r="E37110" s="0" t="s">
        <v>2885</v>
      </c>
      <c r="F37110" s="0" t="s">
        <v>12808</v>
      </c>
    </row>
    <row r="37112" customFormat="false" ht="12.8" hidden="false" customHeight="false" outlineLevel="0" collapsed="false">
      <c r="A37112" s="0" t="s">
        <v>13908</v>
      </c>
      <c r="B37112" s="0" t="str">
        <f aca="false">HYPERLINK("https://lindat.mff.cuni.cz/services/teitok/pdtc10/index.php?action=vallex&amp;frame=v-w5075f3", "přežívat (v-w5075f3)")</f>
        <v>přežívat (v-w5075f3)</v>
      </c>
      <c r="E37112" s="0" t="str">
        <f aca="false">HYPERLINK("https://lindat.mff.cuni.cz/services/SynSemClass40/SynSemClass40.html?veclass=vec00491#vec00491-ces-cm00023", "vec00491")</f>
        <v>vec00491</v>
      </c>
      <c r="F37112" s="0" t="s">
        <v>12803</v>
      </c>
    </row>
    <row r="37113" customFormat="false" ht="12.8" hidden="false" customHeight="false" outlineLevel="0" collapsed="false">
      <c r="B37113" s="0" t="s">
        <v>1</v>
      </c>
      <c r="C37113" s="0" t="s">
        <v>12804</v>
      </c>
      <c r="E37113" s="0" t="s">
        <v>12805</v>
      </c>
      <c r="F37113" s="0" t="s">
        <v>12806</v>
      </c>
    </row>
    <row r="37114" customFormat="false" ht="12.8" hidden="false" customHeight="false" outlineLevel="0" collapsed="false">
      <c r="B37114" s="0" t="s">
        <v>8</v>
      </c>
      <c r="C37114" s="0" t="s">
        <v>12807</v>
      </c>
      <c r="E37114" s="0" t="s">
        <v>2885</v>
      </c>
      <c r="F37114" s="0" t="s">
        <v>12808</v>
      </c>
    </row>
    <row r="37116" customFormat="false" ht="12.8" hidden="false" customHeight="false" outlineLevel="0" collapsed="false">
      <c r="A37116" s="0" t="s">
        <v>13909</v>
      </c>
      <c r="B37116" s="0" t="str">
        <f aca="false">HYPERLINK("https://lindat.mff.cuni.cz/services/teitok/pdtc10/index.php?action=vallex&amp;frame=v-w5075f1", "přežívat (v-w5075f1)")</f>
        <v>přežívat (v-w5075f1)</v>
      </c>
      <c r="E37116" s="0" t="str">
        <f aca="false">HYPERLINK("https://lindat.mff.cuni.cz/services/SynSemClass40/SynSemClass40.html?veclass=vec00491#vec00491-ces-cm00035", "vec00491")</f>
        <v>vec00491</v>
      </c>
      <c r="F37116" s="0" t="s">
        <v>12803</v>
      </c>
    </row>
    <row r="37117" customFormat="false" ht="12.8" hidden="false" customHeight="false" outlineLevel="0" collapsed="false">
      <c r="B37117" s="0" t="s">
        <v>1</v>
      </c>
      <c r="C37117" s="0" t="s">
        <v>12804</v>
      </c>
      <c r="E37117" s="0" t="s">
        <v>12805</v>
      </c>
      <c r="F37117" s="0" t="s">
        <v>12806</v>
      </c>
    </row>
    <row r="37119" customFormat="false" ht="12.8" hidden="false" customHeight="false" outlineLevel="0" collapsed="false">
      <c r="A37119" s="0" t="s">
        <v>13910</v>
      </c>
      <c r="B37119" s="0" t="str">
        <f aca="false">HYPERLINK("https://lindat.mff.cuni.cz/services/teitok/pdtc10/index.php?action=vallex&amp;frame=v-whsa_1983hsa_1984", "přibalit (v-whsa_1983hsa_1984)")</f>
        <v>přibalit (v-whsa_1983hsa_1984)</v>
      </c>
    </row>
    <row r="37120" customFormat="false" ht="12.8" hidden="false" customHeight="false" outlineLevel="0" collapsed="false">
      <c r="B37120" s="0" t="s">
        <v>1</v>
      </c>
    </row>
    <row r="37121" customFormat="false" ht="12.8" hidden="false" customHeight="false" outlineLevel="0" collapsed="false">
      <c r="B37121" s="0" t="s">
        <v>8</v>
      </c>
    </row>
    <row r="37122" customFormat="false" ht="12.8" hidden="false" customHeight="false" outlineLevel="0" collapsed="false">
      <c r="B37122" s="0" t="s">
        <v>164</v>
      </c>
    </row>
    <row r="37124" customFormat="false" ht="12.8" hidden="false" customHeight="false" outlineLevel="0" collapsed="false">
      <c r="A37124" s="0" t="s">
        <v>13911</v>
      </c>
      <c r="B37124" s="0" t="str">
        <f aca="false">HYPERLINK("https://lindat.mff.cuni.cz/services/teitok/pdtc10/index.php?action=vallex&amp;frame=v-w10749f2", "přibarvovat (v-w10749f2)")</f>
        <v>přibarvovat (v-w10749f2)</v>
      </c>
    </row>
    <row r="37125" customFormat="false" ht="12.8" hidden="false" customHeight="false" outlineLevel="0" collapsed="false">
      <c r="B37125" s="0" t="s">
        <v>1</v>
      </c>
    </row>
    <row r="37126" customFormat="false" ht="12.8" hidden="false" customHeight="false" outlineLevel="0" collapsed="false">
      <c r="B37126" s="0" t="s">
        <v>8</v>
      </c>
    </row>
    <row r="37128" customFormat="false" ht="12.8" hidden="false" customHeight="false" outlineLevel="0" collapsed="false">
      <c r="A37128" s="0" t="s">
        <v>13912</v>
      </c>
      <c r="B37128" s="0" t="str">
        <f aca="false">HYPERLINK("https://lindat.mff.cuni.cz/services/teitok/pdtc10/index.php?action=vallex&amp;frame=v-w5084f1", "přibližovat (v-w5084f1)")</f>
        <v>přibližovat (v-w5084f1)</v>
      </c>
    </row>
    <row r="37129" customFormat="false" ht="12.8" hidden="false" customHeight="false" outlineLevel="0" collapsed="false">
      <c r="B37129" s="0" t="s">
        <v>1</v>
      </c>
    </row>
    <row r="37130" customFormat="false" ht="12.8" hidden="false" customHeight="false" outlineLevel="0" collapsed="false">
      <c r="B37130" s="0" t="s">
        <v>8</v>
      </c>
    </row>
    <row r="37131" customFormat="false" ht="12.8" hidden="false" customHeight="false" outlineLevel="0" collapsed="false">
      <c r="B37131" s="0" t="s">
        <v>52</v>
      </c>
    </row>
    <row r="37133" customFormat="false" ht="12.8" hidden="false" customHeight="false" outlineLevel="0" collapsed="false">
      <c r="A37133" s="0" t="s">
        <v>13913</v>
      </c>
      <c r="B37133" s="0" t="str">
        <f aca="false">HYPERLINK("https://lindat.mff.cuni.cz/services/teitok/pdtc10/index.php?action=vallex&amp;frame=v-w5084f3", "přibližovat (v-w5084f3)")</f>
        <v>přibližovat (v-w5084f3)</v>
      </c>
    </row>
    <row r="37134" customFormat="false" ht="12.8" hidden="false" customHeight="false" outlineLevel="0" collapsed="false">
      <c r="B37134" s="0" t="s">
        <v>1</v>
      </c>
    </row>
    <row r="37135" customFormat="false" ht="12.8" hidden="false" customHeight="false" outlineLevel="0" collapsed="false">
      <c r="B37135" s="0" t="s">
        <v>8</v>
      </c>
    </row>
    <row r="37136" customFormat="false" ht="12.8" hidden="false" customHeight="false" outlineLevel="0" collapsed="false">
      <c r="B37136" s="0" t="s">
        <v>13914</v>
      </c>
    </row>
    <row r="37138" customFormat="false" ht="12.8" hidden="false" customHeight="false" outlineLevel="0" collapsed="false">
      <c r="A37138" s="0" t="s">
        <v>13915</v>
      </c>
      <c r="B37138" s="0" t="str">
        <f aca="false">HYPERLINK("https://lindat.mff.cuni.cz/services/teitok/pdtc10/index.php?action=vallex&amp;frame=v-w5084f2", "přibližovat (v-w5084f2)")</f>
        <v>přibližovat (v-w5084f2)</v>
      </c>
    </row>
    <row r="37139" customFormat="false" ht="12.8" hidden="false" customHeight="false" outlineLevel="0" collapsed="false">
      <c r="B37139" s="0" t="s">
        <v>1</v>
      </c>
    </row>
    <row r="37140" customFormat="false" ht="12.8" hidden="false" customHeight="false" outlineLevel="0" collapsed="false">
      <c r="B37140" s="0" t="s">
        <v>8</v>
      </c>
    </row>
    <row r="37141" customFormat="false" ht="12.8" hidden="false" customHeight="false" outlineLevel="0" collapsed="false">
      <c r="B37141" s="0" t="s">
        <v>164</v>
      </c>
    </row>
    <row r="37143" customFormat="false" ht="12.8" hidden="false" customHeight="false" outlineLevel="0" collapsed="false">
      <c r="A37143" s="0" t="s">
        <v>13916</v>
      </c>
      <c r="B37143" s="0" t="str">
        <f aca="false">HYPERLINK("https://lindat.mff.cuni.cz/services/teitok/pdtc10/index.php?action=vallex&amp;frame=v-w5085f3", "přibližovat se (v-w5085f3)")</f>
        <v>přibližovat se (v-w5085f3)</v>
      </c>
      <c r="E37143" s="0" t="str">
        <f aca="false">HYPERLINK("https://lindat.mff.cuni.cz/services/SynSemClass40/SynSemClass40.html?veclass=vec01001#vec01001-ces-cm00004", "vec01001")</f>
        <v>vec01001</v>
      </c>
      <c r="F37143" s="0" t="s">
        <v>343</v>
      </c>
    </row>
    <row r="37144" customFormat="false" ht="12.8" hidden="false" customHeight="false" outlineLevel="0" collapsed="false">
      <c r="B37144" s="0" t="s">
        <v>1</v>
      </c>
      <c r="C37144" s="0" t="s">
        <v>357</v>
      </c>
      <c r="E37144" s="0" t="s">
        <v>347</v>
      </c>
      <c r="F37144" s="0" t="s">
        <v>348</v>
      </c>
    </row>
    <row r="37145" customFormat="false" ht="12.8" hidden="false" customHeight="false" outlineLevel="0" collapsed="false">
      <c r="B37145" s="0" t="s">
        <v>350</v>
      </c>
      <c r="C37145" s="0" t="s">
        <v>358</v>
      </c>
      <c r="E37145" s="0" t="s">
        <v>352</v>
      </c>
      <c r="F37145" s="0" t="s">
        <v>353</v>
      </c>
    </row>
    <row r="37147" customFormat="false" ht="12.8" hidden="false" customHeight="false" outlineLevel="0" collapsed="false">
      <c r="A37147" s="0" t="s">
        <v>13917</v>
      </c>
      <c r="B37147" s="0" t="str">
        <f aca="false">HYPERLINK("https://lindat.mff.cuni.cz/services/teitok/pdtc10/index.php?action=vallex&amp;frame=v-w5085f1", "přibližovat se (v-w5085f1)")</f>
        <v>přibližovat se (v-w5085f1)</v>
      </c>
      <c r="E37147" s="0" t="str">
        <f aca="false">HYPERLINK("https://lindat.mff.cuni.cz/services/SynSemClass40/SynSemClass40.html?veclass=vec01001#vec01001-ces-cm00044", "vec01001")</f>
        <v>vec01001</v>
      </c>
      <c r="F37147" s="0" t="s">
        <v>343</v>
      </c>
    </row>
    <row r="37148" customFormat="false" ht="12.8" hidden="false" customHeight="false" outlineLevel="0" collapsed="false">
      <c r="B37148" s="0" t="s">
        <v>1</v>
      </c>
      <c r="C37148" s="0" t="s">
        <v>357</v>
      </c>
      <c r="E37148" s="0" t="s">
        <v>347</v>
      </c>
      <c r="F37148" s="0" t="s">
        <v>348</v>
      </c>
    </row>
    <row r="37149" customFormat="false" ht="12.8" hidden="false" customHeight="false" outlineLevel="0" collapsed="false">
      <c r="B37149" s="0" t="s">
        <v>186</v>
      </c>
      <c r="C37149" s="0" t="s">
        <v>358</v>
      </c>
      <c r="E37149" s="0" t="s">
        <v>352</v>
      </c>
      <c r="F37149" s="0" t="s">
        <v>353</v>
      </c>
    </row>
    <row r="37151" customFormat="false" ht="12.8" hidden="false" customHeight="false" outlineLevel="0" collapsed="false">
      <c r="A37151" s="0" t="s">
        <v>13918</v>
      </c>
      <c r="B37151" s="0" t="str">
        <f aca="false">HYPERLINK("https://lindat.mff.cuni.cz/services/teitok/pdtc10/index.php?action=vallex&amp;frame=v-w5085f2", "přibližovat se (v-w5085f2)")</f>
        <v>přibližovat se (v-w5085f2)</v>
      </c>
      <c r="E37151" s="0" t="str">
        <f aca="false">HYPERLINK("https://lindat.mff.cuni.cz/services/SynSemClass40/SynSemClass40.html?veclass=vec01390#vec01390-ces-cm00005", "vec01390")</f>
        <v>vec01390</v>
      </c>
      <c r="F37151" s="0" t="s">
        <v>366</v>
      </c>
    </row>
    <row r="37152" customFormat="false" ht="12.8" hidden="false" customHeight="false" outlineLevel="0" collapsed="false">
      <c r="B37152" s="0" t="s">
        <v>1</v>
      </c>
      <c r="C37152" s="0" t="s">
        <v>367</v>
      </c>
      <c r="E37152" s="0" t="s">
        <v>334</v>
      </c>
      <c r="F37152" s="0" t="s">
        <v>368</v>
      </c>
    </row>
    <row r="37153" customFormat="false" ht="12.8" hidden="false" customHeight="false" outlineLevel="0" collapsed="false">
      <c r="B37153" s="0" t="s">
        <v>164</v>
      </c>
      <c r="C37153" s="0" t="s">
        <v>369</v>
      </c>
      <c r="E37153" s="0" t="s">
        <v>370</v>
      </c>
      <c r="F37153" s="0" t="s">
        <v>371</v>
      </c>
    </row>
    <row r="37155" customFormat="false" ht="12.8" hidden="false" customHeight="false" outlineLevel="0" collapsed="false">
      <c r="A37155" s="0" t="s">
        <v>13919</v>
      </c>
      <c r="B37155" s="0" t="str">
        <f aca="false">HYPERLINK("https://lindat.mff.cuni.cz/services/teitok/pdtc10/index.php?action=vallex&amp;frame=v-w5085f4", "přibližovat se (v-w5085f4)")</f>
        <v>přibližovat se (v-w5085f4)</v>
      </c>
    </row>
    <row r="37156" customFormat="false" ht="12.8" hidden="false" customHeight="false" outlineLevel="0" collapsed="false">
      <c r="B37156" s="0" t="s">
        <v>1</v>
      </c>
    </row>
    <row r="37158" customFormat="false" ht="12.8" hidden="false" customHeight="false" outlineLevel="0" collapsed="false">
      <c r="A37158" s="0" t="s">
        <v>13920</v>
      </c>
      <c r="B37158" s="0" t="str">
        <f aca="false">HYPERLINK("https://lindat.mff.cuni.cz/services/teitok/pdtc10/index.php?action=vallex&amp;frame=v-w5080f1", "přiblížit (v-w5080f1)")</f>
        <v>přiblížit (v-w5080f1)</v>
      </c>
      <c r="E37158" s="0" t="str">
        <f aca="false">HYPERLINK("https://lindat.mff.cuni.cz/services/SynSemClass40/SynSemClass40.html?veclass=vec00557#vec00557-ces-cm00051", "vec00557")</f>
        <v>vec00557</v>
      </c>
      <c r="F37158" s="0" t="s">
        <v>10681</v>
      </c>
    </row>
    <row r="37159" customFormat="false" ht="12.8" hidden="false" customHeight="false" outlineLevel="0" collapsed="false">
      <c r="B37159" s="0" t="s">
        <v>1</v>
      </c>
      <c r="C37159" s="0" t="s">
        <v>6310</v>
      </c>
      <c r="E37159" s="0" t="s">
        <v>147</v>
      </c>
      <c r="F37159" s="0" t="s">
        <v>10682</v>
      </c>
    </row>
    <row r="37160" customFormat="false" ht="12.8" hidden="false" customHeight="false" outlineLevel="0" collapsed="false">
      <c r="B37160" s="0" t="s">
        <v>8</v>
      </c>
      <c r="C37160" s="0" t="s">
        <v>4627</v>
      </c>
      <c r="E37160" s="0" t="s">
        <v>218</v>
      </c>
      <c r="F37160" s="0" t="s">
        <v>4978</v>
      </c>
    </row>
    <row r="37161" customFormat="false" ht="12.8" hidden="false" customHeight="false" outlineLevel="0" collapsed="false">
      <c r="B37161" s="0" t="s">
        <v>52</v>
      </c>
      <c r="C37161" s="0" t="s">
        <v>10683</v>
      </c>
      <c r="E37161" s="0" t="s">
        <v>221</v>
      </c>
      <c r="F37161" s="0" t="s">
        <v>10684</v>
      </c>
    </row>
    <row r="37163" customFormat="false" ht="12.8" hidden="false" customHeight="false" outlineLevel="0" collapsed="false">
      <c r="A37163" s="0" t="s">
        <v>13921</v>
      </c>
      <c r="B37163" s="0" t="str">
        <f aca="false">HYPERLINK("https://lindat.mff.cuni.cz/services/teitok/pdtc10/index.php?action=vallex&amp;frame=v-w5080f2", "přiblížit (v-w5080f2)")</f>
        <v>přiblížit (v-w5080f2)</v>
      </c>
    </row>
    <row r="37164" customFormat="false" ht="12.8" hidden="false" customHeight="false" outlineLevel="0" collapsed="false">
      <c r="B37164" s="0" t="s">
        <v>1</v>
      </c>
    </row>
    <row r="37165" customFormat="false" ht="12.8" hidden="false" customHeight="false" outlineLevel="0" collapsed="false">
      <c r="B37165" s="0" t="s">
        <v>8</v>
      </c>
    </row>
    <row r="37166" customFormat="false" ht="12.8" hidden="false" customHeight="false" outlineLevel="0" collapsed="false">
      <c r="B37166" s="0" t="s">
        <v>13914</v>
      </c>
    </row>
    <row r="37168" customFormat="false" ht="12.8" hidden="false" customHeight="false" outlineLevel="0" collapsed="false">
      <c r="A37168" s="0" t="s">
        <v>13922</v>
      </c>
      <c r="B37168" s="0" t="str">
        <f aca="false">HYPERLINK("https://lindat.mff.cuni.cz/services/teitok/pdtc10/index.php?action=vallex&amp;frame=v-w5080f3", "přiblížit (v-w5080f3)")</f>
        <v>přiblížit (v-w5080f3)</v>
      </c>
    </row>
    <row r="37169" customFormat="false" ht="12.8" hidden="false" customHeight="false" outlineLevel="0" collapsed="false">
      <c r="B37169" s="0" t="s">
        <v>1</v>
      </c>
    </row>
    <row r="37170" customFormat="false" ht="12.8" hidden="false" customHeight="false" outlineLevel="0" collapsed="false">
      <c r="B37170" s="0" t="s">
        <v>8</v>
      </c>
    </row>
    <row r="37171" customFormat="false" ht="12.8" hidden="false" customHeight="false" outlineLevel="0" collapsed="false">
      <c r="B37171" s="0" t="s">
        <v>164</v>
      </c>
    </row>
    <row r="37173" customFormat="false" ht="12.8" hidden="false" customHeight="false" outlineLevel="0" collapsed="false">
      <c r="A37173" s="0" t="s">
        <v>13923</v>
      </c>
      <c r="B37173" s="0" t="str">
        <f aca="false">HYPERLINK("https://lindat.mff.cuni.cz/services/teitok/pdtc10/index.php?action=vallex&amp;frame=v-w5081f4", "přiblížit se (v-w5081f4)")</f>
        <v>přiblížit se (v-w5081f4)</v>
      </c>
      <c r="E37173" s="0" t="str">
        <f aca="false">HYPERLINK("https://lindat.mff.cuni.cz/services/SynSemClass40/SynSemClass40.html?veclass=vec01001#vec01001-ces-cm00043", "vec01001")</f>
        <v>vec01001</v>
      </c>
      <c r="F37173" s="0" t="s">
        <v>343</v>
      </c>
    </row>
    <row r="37174" customFormat="false" ht="12.8" hidden="false" customHeight="false" outlineLevel="0" collapsed="false">
      <c r="B37174" s="0" t="s">
        <v>1</v>
      </c>
      <c r="C37174" s="0" t="s">
        <v>357</v>
      </c>
      <c r="E37174" s="0" t="s">
        <v>347</v>
      </c>
      <c r="F37174" s="0" t="s">
        <v>348</v>
      </c>
    </row>
    <row r="37175" customFormat="false" ht="12.8" hidden="false" customHeight="false" outlineLevel="0" collapsed="false">
      <c r="B37175" s="0" t="s">
        <v>350</v>
      </c>
      <c r="C37175" s="0" t="s">
        <v>358</v>
      </c>
      <c r="E37175" s="0" t="s">
        <v>352</v>
      </c>
      <c r="F37175" s="0" t="s">
        <v>353</v>
      </c>
    </row>
    <row r="37177" customFormat="false" ht="12.8" hidden="false" customHeight="false" outlineLevel="0" collapsed="false">
      <c r="A37177" s="0" t="s">
        <v>13924</v>
      </c>
      <c r="B37177" s="0" t="str">
        <f aca="false">HYPERLINK("https://lindat.mff.cuni.cz/services/teitok/pdtc10/index.php?action=vallex&amp;frame=v-w5081f1", "přiblížit se (v-w5081f1)")</f>
        <v>přiblížit se (v-w5081f1)</v>
      </c>
      <c r="E37177" s="0" t="str">
        <f aca="false">HYPERLINK("https://lindat.mff.cuni.cz/services/SynSemClass40/SynSemClass40.html?veclass=vec01001#vec01001-ces-cm00042", "vec01001")</f>
        <v>vec01001</v>
      </c>
      <c r="F37177" s="0" t="s">
        <v>343</v>
      </c>
    </row>
    <row r="37178" customFormat="false" ht="12.8" hidden="false" customHeight="false" outlineLevel="0" collapsed="false">
      <c r="B37178" s="0" t="s">
        <v>1</v>
      </c>
      <c r="C37178" s="0" t="s">
        <v>357</v>
      </c>
      <c r="E37178" s="0" t="s">
        <v>347</v>
      </c>
      <c r="F37178" s="0" t="s">
        <v>348</v>
      </c>
    </row>
    <row r="37179" customFormat="false" ht="12.8" hidden="false" customHeight="false" outlineLevel="0" collapsed="false">
      <c r="B37179" s="0" t="s">
        <v>186</v>
      </c>
      <c r="C37179" s="0" t="s">
        <v>358</v>
      </c>
      <c r="E37179" s="0" t="s">
        <v>352</v>
      </c>
      <c r="F37179" s="0" t="s">
        <v>353</v>
      </c>
    </row>
    <row r="37181" customFormat="false" ht="12.8" hidden="false" customHeight="false" outlineLevel="0" collapsed="false">
      <c r="A37181" s="0" t="s">
        <v>13925</v>
      </c>
      <c r="B37181" s="0" t="str">
        <f aca="false">HYPERLINK("https://lindat.mff.cuni.cz/services/teitok/pdtc10/index.php?action=vallex&amp;frame=v-w5081f2", "přiblížit se (v-w5081f2)")</f>
        <v>přiblížit se (v-w5081f2)</v>
      </c>
      <c r="E37181" s="0" t="str">
        <f aca="false">HYPERLINK("https://lindat.mff.cuni.cz/services/SynSemClass40/SynSemClass40.html?veclass=vec01390#vec01390-ces-cm00004", "vec01390")</f>
        <v>vec01390</v>
      </c>
      <c r="F37181" s="0" t="s">
        <v>366</v>
      </c>
    </row>
    <row r="37182" customFormat="false" ht="12.8" hidden="false" customHeight="false" outlineLevel="0" collapsed="false">
      <c r="B37182" s="0" t="s">
        <v>1</v>
      </c>
      <c r="C37182" s="0" t="s">
        <v>367</v>
      </c>
      <c r="E37182" s="0" t="s">
        <v>334</v>
      </c>
      <c r="F37182" s="0" t="s">
        <v>368</v>
      </c>
    </row>
    <row r="37183" customFormat="false" ht="12.8" hidden="false" customHeight="false" outlineLevel="0" collapsed="false">
      <c r="B37183" s="0" t="s">
        <v>164</v>
      </c>
      <c r="C37183" s="0" t="s">
        <v>369</v>
      </c>
      <c r="E37183" s="0" t="s">
        <v>370</v>
      </c>
      <c r="F37183" s="0" t="s">
        <v>371</v>
      </c>
    </row>
    <row r="37185" customFormat="false" ht="12.8" hidden="false" customHeight="false" outlineLevel="0" collapsed="false">
      <c r="A37185" s="0" t="s">
        <v>13926</v>
      </c>
      <c r="B37185" s="0" t="str">
        <f aca="false">HYPERLINK("https://lindat.mff.cuni.cz/services/teitok/pdtc10/index.php?action=vallex&amp;frame=v-w5081f3", "přiblížit se (v-w5081f3)")</f>
        <v>přiblížit se (v-w5081f3)</v>
      </c>
    </row>
    <row r="37186" customFormat="false" ht="12.8" hidden="false" customHeight="false" outlineLevel="0" collapsed="false">
      <c r="B37186" s="0" t="s">
        <v>1</v>
      </c>
    </row>
    <row r="37188" customFormat="false" ht="12.8" hidden="false" customHeight="false" outlineLevel="0" collapsed="false">
      <c r="A37188" s="0" t="s">
        <v>13927</v>
      </c>
      <c r="B37188" s="0" t="str">
        <f aca="false">HYPERLINK("https://lindat.mff.cuni.cz/services/teitok/pdtc10/index.php?action=vallex&amp;frame=v-w5088f1", "přibrat (v-w5088f1)")</f>
        <v>přibrat (v-w5088f1)</v>
      </c>
      <c r="E37188" s="0" t="str">
        <f aca="false">HYPERLINK("https://lindat.mff.cuni.cz/services/SynSemClass40/SynSemClass40.html?veclass=vec00175#vec00175-ces-cm00021", "vec00175")</f>
        <v>vec00175</v>
      </c>
      <c r="F37188" s="0" t="s">
        <v>4861</v>
      </c>
    </row>
    <row r="37189" customFormat="false" ht="12.8" hidden="false" customHeight="false" outlineLevel="0" collapsed="false">
      <c r="B37189" s="0" t="s">
        <v>1</v>
      </c>
      <c r="C37189" s="0" t="s">
        <v>13928</v>
      </c>
      <c r="E37189" s="0" t="s">
        <v>31</v>
      </c>
      <c r="F37189" s="0" t="s">
        <v>13929</v>
      </c>
    </row>
    <row r="37190" customFormat="false" ht="12.8" hidden="false" customHeight="false" outlineLevel="0" collapsed="false">
      <c r="B37190" s="0" t="s">
        <v>8</v>
      </c>
      <c r="C37190" s="0" t="s">
        <v>13930</v>
      </c>
      <c r="E37190" s="0" t="s">
        <v>13931</v>
      </c>
      <c r="F37190" s="0" t="s">
        <v>13932</v>
      </c>
    </row>
    <row r="37192" customFormat="false" ht="12.8" hidden="false" customHeight="false" outlineLevel="0" collapsed="false">
      <c r="A37192" s="0" t="s">
        <v>13933</v>
      </c>
      <c r="B37192" s="0" t="str">
        <f aca="false">HYPERLINK("https://lindat.mff.cuni.cz/services/teitok/pdtc10/index.php?action=vallex&amp;frame=v-w5088f2_ZU", "přibrat (v-w5088f2_ZU)")</f>
        <v>přibrat (v-w5088f2_ZU)</v>
      </c>
    </row>
    <row r="37193" customFormat="false" ht="12.8" hidden="false" customHeight="false" outlineLevel="0" collapsed="false">
      <c r="B37193" s="0" t="s">
        <v>1</v>
      </c>
    </row>
    <row r="37194" customFormat="false" ht="12.8" hidden="false" customHeight="false" outlineLevel="0" collapsed="false">
      <c r="B37194" s="0" t="s">
        <v>13934</v>
      </c>
    </row>
    <row r="37196" customFormat="false" ht="12.8" hidden="false" customHeight="false" outlineLevel="0" collapsed="false">
      <c r="A37196" s="0" t="s">
        <v>13935</v>
      </c>
      <c r="B37196" s="0" t="str">
        <f aca="false">HYPERLINK("https://lindat.mff.cuni.cz/services/teitok/pdtc10/index.php?action=vallex&amp;frame=v-w5090f1", "přibrzdit (v-w5090f1)")</f>
        <v>přibrzdit (v-w5090f1)</v>
      </c>
    </row>
    <row r="37197" customFormat="false" ht="12.8" hidden="false" customHeight="false" outlineLevel="0" collapsed="false">
      <c r="B37197" s="0" t="s">
        <v>1</v>
      </c>
    </row>
    <row r="37198" customFormat="false" ht="12.8" hidden="false" customHeight="false" outlineLevel="0" collapsed="false">
      <c r="B37198" s="0" t="s">
        <v>8</v>
      </c>
    </row>
    <row r="37200" customFormat="false" ht="12.8" hidden="false" customHeight="false" outlineLevel="0" collapsed="false">
      <c r="A37200" s="0" t="s">
        <v>13936</v>
      </c>
      <c r="B37200" s="0" t="str">
        <f aca="false">HYPERLINK("https://lindat.mff.cuni.cz/services/teitok/pdtc10/index.php?action=vallex&amp;frame=v-w5090f2", "přibrzdit (v-w5090f2)")</f>
        <v>přibrzdit (v-w5090f2)</v>
      </c>
    </row>
    <row r="37201" customFormat="false" ht="12.8" hidden="false" customHeight="false" outlineLevel="0" collapsed="false">
      <c r="B37201" s="0" t="s">
        <v>1</v>
      </c>
    </row>
    <row r="37202" customFormat="false" ht="12.8" hidden="false" customHeight="false" outlineLevel="0" collapsed="false">
      <c r="B37202" s="0" t="s">
        <v>8</v>
      </c>
    </row>
    <row r="37204" customFormat="false" ht="12.8" hidden="false" customHeight="false" outlineLevel="0" collapsed="false">
      <c r="A37204" s="0" t="s">
        <v>13937</v>
      </c>
      <c r="B37204" s="0" t="str">
        <f aca="false">HYPERLINK("https://lindat.mff.cuni.cz/services/teitok/pdtc10/index.php?action=vallex&amp;frame=v-w5090f3_ZU", "přibrzdit (v-w5090f3_ZU)")</f>
        <v>přibrzdit (v-w5090f3_ZU)</v>
      </c>
      <c r="E37204" s="0" t="str">
        <f aca="false">HYPERLINK("https://lindat.mff.cuni.cz/services/SynSemClass40/SynSemClass40.html?veclass=vec00392#vec00392-ces-cm00007", "vec00392")</f>
        <v>vec00392</v>
      </c>
      <c r="F37204" s="0" t="s">
        <v>548</v>
      </c>
    </row>
    <row r="37205" customFormat="false" ht="12.8" hidden="false" customHeight="false" outlineLevel="0" collapsed="false">
      <c r="B37205" s="0" t="s">
        <v>1</v>
      </c>
      <c r="C37205" s="0" t="s">
        <v>549</v>
      </c>
      <c r="E37205" s="0" t="s">
        <v>31</v>
      </c>
      <c r="F37205" s="0" t="s">
        <v>550</v>
      </c>
    </row>
    <row r="37206" customFormat="false" ht="12.8" hidden="false" customHeight="false" outlineLevel="0" collapsed="false">
      <c r="B37206" s="0" t="s">
        <v>390</v>
      </c>
      <c r="C37206" s="0" t="s">
        <v>8691</v>
      </c>
      <c r="E37206" s="0" t="s">
        <v>4202</v>
      </c>
      <c r="F37206" s="0" t="s">
        <v>13938</v>
      </c>
    </row>
    <row r="37208" customFormat="false" ht="12.8" hidden="false" customHeight="false" outlineLevel="0" collapsed="false">
      <c r="A37208" s="0" t="s">
        <v>13939</v>
      </c>
      <c r="B37208" s="0" t="str">
        <f aca="false">HYPERLINK("https://lindat.mff.cuni.cz/services/teitok/pdtc10/index.php?action=vallex&amp;frame=v-w5090f4_ZU", "přibrzdit (v-w5090f4_ZU)")</f>
        <v>přibrzdit (v-w5090f4_ZU)</v>
      </c>
    </row>
    <row r="37209" customFormat="false" ht="12.8" hidden="false" customHeight="false" outlineLevel="0" collapsed="false">
      <c r="B37209" s="0" t="s">
        <v>1</v>
      </c>
    </row>
    <row r="37210" customFormat="false" ht="12.8" hidden="false" customHeight="false" outlineLevel="0" collapsed="false">
      <c r="B37210" s="0" t="s">
        <v>763</v>
      </c>
    </row>
    <row r="37211" customFormat="false" ht="12.8" hidden="false" customHeight="false" outlineLevel="0" collapsed="false">
      <c r="B37211" s="0" t="s">
        <v>101</v>
      </c>
    </row>
    <row r="37213" customFormat="false" ht="12.8" hidden="false" customHeight="false" outlineLevel="0" collapsed="false">
      <c r="A37213" s="0" t="s">
        <v>13940</v>
      </c>
      <c r="B37213" s="0" t="str">
        <f aca="false">HYPERLINK("https://lindat.mff.cuni.cz/services/teitok/pdtc10/index.php?action=vallex&amp;frame=v-w10505f2", "přibíjet (v-w10505f2)")</f>
        <v>přibíjet (v-w10505f2)</v>
      </c>
    </row>
    <row r="37214" customFormat="false" ht="12.8" hidden="false" customHeight="false" outlineLevel="0" collapsed="false">
      <c r="B37214" s="0" t="s">
        <v>1</v>
      </c>
    </row>
    <row r="37215" customFormat="false" ht="12.8" hidden="false" customHeight="false" outlineLevel="0" collapsed="false">
      <c r="B37215" s="0" t="s">
        <v>8</v>
      </c>
    </row>
    <row r="37217" customFormat="false" ht="12.8" hidden="false" customHeight="false" outlineLevel="0" collapsed="false">
      <c r="A37217" s="0" t="s">
        <v>13941</v>
      </c>
      <c r="B37217" s="0" t="str">
        <f aca="false">HYPERLINK("https://lindat.mff.cuni.cz/services/teitok/pdtc10/index.php?action=vallex&amp;frame=v-whsa_1052hsa_1053", "přibírat (v-whsa_1052hsa_1053)")</f>
        <v>přibírat (v-whsa_1052hsa_1053)</v>
      </c>
    </row>
    <row r="37218" customFormat="false" ht="12.8" hidden="false" customHeight="false" outlineLevel="0" collapsed="false">
      <c r="B37218" s="0" t="s">
        <v>1</v>
      </c>
    </row>
    <row r="37219" customFormat="false" ht="12.8" hidden="false" customHeight="false" outlineLevel="0" collapsed="false">
      <c r="B37219" s="0" t="s">
        <v>8</v>
      </c>
    </row>
    <row r="37221" customFormat="false" ht="12.8" hidden="false" customHeight="false" outlineLevel="0" collapsed="false">
      <c r="A37221" s="0" t="s">
        <v>13942</v>
      </c>
      <c r="B37221" s="0" t="str">
        <f aca="false">HYPERLINK("https://lindat.mff.cuni.cz/services/teitok/pdtc10/index.php?action=vallex&amp;frame=v-w5077f1", "přibít (v-w5077f1)")</f>
        <v>přibít (v-w5077f1)</v>
      </c>
    </row>
    <row r="37222" customFormat="false" ht="12.8" hidden="false" customHeight="false" outlineLevel="0" collapsed="false">
      <c r="B37222" s="0" t="s">
        <v>1</v>
      </c>
    </row>
    <row r="37223" customFormat="false" ht="12.8" hidden="false" customHeight="false" outlineLevel="0" collapsed="false">
      <c r="B37223" s="0" t="s">
        <v>8</v>
      </c>
    </row>
    <row r="37225" customFormat="false" ht="12.8" hidden="false" customHeight="false" outlineLevel="0" collapsed="false">
      <c r="A37225" s="0" t="s">
        <v>13943</v>
      </c>
      <c r="B37225" s="0" t="str">
        <f aca="false">HYPERLINK("https://lindat.mff.cuni.cz/services/teitok/pdtc10/index.php?action=vallex&amp;frame=v-w5092f3_MM", "přibýt (v-w5092f3_MM)")</f>
        <v>přibýt (v-w5092f3_MM)</v>
      </c>
    </row>
    <row r="37226" customFormat="false" ht="12.8" hidden="false" customHeight="false" outlineLevel="0" collapsed="false">
      <c r="B37226" s="0" t="s">
        <v>13944</v>
      </c>
    </row>
    <row r="37227" customFormat="false" ht="12.8" hidden="false" customHeight="false" outlineLevel="0" collapsed="false">
      <c r="B37227" s="0" t="s">
        <v>164</v>
      </c>
    </row>
    <row r="37229" customFormat="false" ht="12.8" hidden="false" customHeight="false" outlineLevel="0" collapsed="false">
      <c r="A37229" s="0" t="s">
        <v>13943</v>
      </c>
      <c r="B37229" s="0" t="str">
        <f aca="false">HYPERLINK("https://lindat.mff.cuni.cz/services/teitok/pdtc10/index.php?action=vallex&amp;frame=v-w5092f2", "přibýt (v-w5092f2) - substituted with v-w5092f3_MM")</f>
        <v>přibýt (v-w5092f2) - substituted with v-w5092f3_MM</v>
      </c>
    </row>
    <row r="37230" customFormat="false" ht="12.8" hidden="false" customHeight="false" outlineLevel="0" collapsed="false">
      <c r="B37230" s="0" t="s">
        <v>13944</v>
      </c>
    </row>
    <row r="37231" customFormat="false" ht="12.8" hidden="false" customHeight="false" outlineLevel="0" collapsed="false">
      <c r="B37231" s="0" t="s">
        <v>164</v>
      </c>
    </row>
    <row r="37233" customFormat="false" ht="12.8" hidden="false" customHeight="false" outlineLevel="0" collapsed="false">
      <c r="A37233" s="0" t="s">
        <v>13945</v>
      </c>
      <c r="B37233" s="0" t="str">
        <f aca="false">HYPERLINK("https://lindat.mff.cuni.cz/services/teitok/pdtc10/index.php?action=vallex&amp;frame=v-w5092f1", "přibýt (v-w5092f1)")</f>
        <v>přibýt (v-w5092f1)</v>
      </c>
    </row>
    <row r="37234" customFormat="false" ht="12.8" hidden="false" customHeight="false" outlineLevel="0" collapsed="false">
      <c r="B37234" s="0" t="s">
        <v>2882</v>
      </c>
    </row>
    <row r="37236" customFormat="false" ht="12.8" hidden="false" customHeight="false" outlineLevel="0" collapsed="false">
      <c r="A37236" s="0" t="s">
        <v>13946</v>
      </c>
      <c r="B37236" s="0" t="str">
        <f aca="false">HYPERLINK("https://lindat.mff.cuni.cz/services/teitok/pdtc10/index.php?action=vallex&amp;frame=v-w5094f2", "přibývat (v-w5094f2)")</f>
        <v>přibývat (v-w5094f2)</v>
      </c>
    </row>
    <row r="37237" customFormat="false" ht="12.8" hidden="false" customHeight="false" outlineLevel="0" collapsed="false">
      <c r="B37237" s="0" t="s">
        <v>13947</v>
      </c>
    </row>
    <row r="37238" customFormat="false" ht="12.8" hidden="false" customHeight="false" outlineLevel="0" collapsed="false">
      <c r="B37238" s="0" t="s">
        <v>186</v>
      </c>
    </row>
    <row r="37240" customFormat="false" ht="12.8" hidden="false" customHeight="false" outlineLevel="0" collapsed="false">
      <c r="A37240" s="0" t="s">
        <v>13948</v>
      </c>
      <c r="B37240" s="0" t="str">
        <f aca="false">HYPERLINK("https://lindat.mff.cuni.cz/services/teitok/pdtc10/index.php?action=vallex&amp;frame=v-w5094f1", "přibývat (v-w5094f1)")</f>
        <v>přibývat (v-w5094f1)</v>
      </c>
    </row>
    <row r="37241" customFormat="false" ht="12.8" hidden="false" customHeight="false" outlineLevel="0" collapsed="false">
      <c r="B37241" s="0" t="s">
        <v>2882</v>
      </c>
    </row>
    <row r="37243" customFormat="false" ht="12.8" hidden="false" customHeight="false" outlineLevel="0" collapsed="false">
      <c r="A37243" s="0" t="s">
        <v>13949</v>
      </c>
      <c r="B37243" s="0" t="str">
        <f aca="false">HYPERLINK("https://lindat.mff.cuni.cz/services/teitok/pdtc10/index.php?action=vallex&amp;frame=v-w5094f3_ZU", "přibývat (v-w5094f3_ZU)")</f>
        <v>přibývat (v-w5094f3_ZU)</v>
      </c>
    </row>
    <row r="37244" customFormat="false" ht="12.8" hidden="false" customHeight="false" outlineLevel="0" collapsed="false">
      <c r="B37244" s="0" t="s">
        <v>1</v>
      </c>
    </row>
    <row r="37245" customFormat="false" ht="12.8" hidden="false" customHeight="false" outlineLevel="0" collapsed="false">
      <c r="B37245" s="0" t="s">
        <v>291</v>
      </c>
    </row>
    <row r="37247" customFormat="false" ht="12.8" hidden="false" customHeight="false" outlineLevel="0" collapsed="false">
      <c r="A37247" s="0" t="s">
        <v>13950</v>
      </c>
      <c r="B37247" s="0" t="str">
        <f aca="false">HYPERLINK("https://lindat.mff.cuni.cz/services/teitok/pdtc10/index.php?action=vallex&amp;frame=v-w11080f2", "přiběhnout (v-w11080f2)")</f>
        <v>přiběhnout (v-w11080f2)</v>
      </c>
    </row>
    <row r="37248" customFormat="false" ht="12.8" hidden="false" customHeight="false" outlineLevel="0" collapsed="false">
      <c r="B37248" s="0" t="s">
        <v>1</v>
      </c>
    </row>
    <row r="37249" customFormat="false" ht="12.8" hidden="false" customHeight="false" outlineLevel="0" collapsed="false">
      <c r="B37249" s="0" t="s">
        <v>164</v>
      </c>
    </row>
    <row r="37251" customFormat="false" ht="12.8" hidden="false" customHeight="false" outlineLevel="0" collapsed="false">
      <c r="A37251" s="0" t="s">
        <v>13951</v>
      </c>
      <c r="B37251" s="0" t="str">
        <f aca="false">HYPERLINK("https://lindat.mff.cuni.cz/services/teitok/pdtc10/index.php?action=vallex&amp;frame=v-w5095f1", "přicestovat (v-w5095f1)")</f>
        <v>přicestovat (v-w5095f1)</v>
      </c>
    </row>
    <row r="37252" customFormat="false" ht="12.8" hidden="false" customHeight="false" outlineLevel="0" collapsed="false">
      <c r="B37252" s="0" t="s">
        <v>1</v>
      </c>
    </row>
    <row r="37253" customFormat="false" ht="12.8" hidden="false" customHeight="false" outlineLevel="0" collapsed="false">
      <c r="B37253" s="0" t="s">
        <v>164</v>
      </c>
    </row>
    <row r="37255" customFormat="false" ht="12.8" hidden="false" customHeight="false" outlineLevel="0" collapsed="false">
      <c r="A37255" s="0" t="s">
        <v>13952</v>
      </c>
      <c r="B37255" s="0" t="str">
        <f aca="false">HYPERLINK("https://lindat.mff.cuni.cz/services/teitok/pdtc10/index.php?action=vallex&amp;frame=v-w5146f2", "přichystat (v-w5146f2)")</f>
        <v>přichystat (v-w5146f2)</v>
      </c>
    </row>
    <row r="37256" customFormat="false" ht="12.8" hidden="false" customHeight="false" outlineLevel="0" collapsed="false">
      <c r="B37256" s="0" t="s">
        <v>1</v>
      </c>
    </row>
    <row r="37257" customFormat="false" ht="12.8" hidden="false" customHeight="false" outlineLevel="0" collapsed="false">
      <c r="B37257" s="0" t="s">
        <v>8</v>
      </c>
    </row>
    <row r="37258" customFormat="false" ht="12.8" hidden="false" customHeight="false" outlineLevel="0" collapsed="false">
      <c r="B37258" s="0" t="s">
        <v>36</v>
      </c>
    </row>
    <row r="37260" customFormat="false" ht="12.8" hidden="false" customHeight="false" outlineLevel="0" collapsed="false">
      <c r="A37260" s="0" t="s">
        <v>13953</v>
      </c>
      <c r="B37260" s="0" t="str">
        <f aca="false">HYPERLINK("https://lindat.mff.cuni.cz/services/teitok/pdtc10/index.php?action=vallex&amp;frame=v-w5146f3_ZU", "přichystat (v-w5146f3_ZU)")</f>
        <v>přichystat (v-w5146f3_ZU)</v>
      </c>
    </row>
    <row r="37261" customFormat="false" ht="12.8" hidden="false" customHeight="false" outlineLevel="0" collapsed="false">
      <c r="B37261" s="0" t="s">
        <v>1</v>
      </c>
    </row>
    <row r="37262" customFormat="false" ht="12.8" hidden="false" customHeight="false" outlineLevel="0" collapsed="false">
      <c r="B37262" s="0" t="s">
        <v>8</v>
      </c>
    </row>
    <row r="37264" customFormat="false" ht="12.8" hidden="false" customHeight="false" outlineLevel="0" collapsed="false">
      <c r="A37264" s="0" t="s">
        <v>13953</v>
      </c>
      <c r="B37264" s="0" t="str">
        <f aca="false">HYPERLINK("https://lindat.mff.cuni.cz/services/teitok/pdtc10/index.php?action=vallex&amp;frame=v-w5146f1", "přichystat (v-w5146f1) - substituted with v-w5146f3_ZU")</f>
        <v>přichystat (v-w5146f1) - substituted with v-w5146f3_ZU</v>
      </c>
    </row>
    <row r="37265" customFormat="false" ht="12.8" hidden="false" customHeight="false" outlineLevel="0" collapsed="false">
      <c r="B37265" s="0" t="s">
        <v>1</v>
      </c>
    </row>
    <row r="37266" customFormat="false" ht="12.8" hidden="false" customHeight="false" outlineLevel="0" collapsed="false">
      <c r="B37266" s="0" t="s">
        <v>8</v>
      </c>
    </row>
    <row r="37268" customFormat="false" ht="12.8" hidden="false" customHeight="false" outlineLevel="0" collapsed="false">
      <c r="A37268" s="0" t="s">
        <v>13954</v>
      </c>
      <c r="B37268" s="0" t="str">
        <f aca="false">HYPERLINK("https://lindat.mff.cuni.cz/services/teitok/pdtc10/index.php?action=vallex&amp;frame=v-w5147f1", "přichystat se (v-w5147f1)")</f>
        <v>přichystat se (v-w5147f1)</v>
      </c>
    </row>
    <row r="37269" customFormat="false" ht="12.8" hidden="false" customHeight="false" outlineLevel="0" collapsed="false">
      <c r="B37269" s="0" t="s">
        <v>1</v>
      </c>
    </row>
    <row r="37270" customFormat="false" ht="12.8" hidden="false" customHeight="false" outlineLevel="0" collapsed="false">
      <c r="B37270" s="0" t="s">
        <v>13955</v>
      </c>
    </row>
    <row r="37272" customFormat="false" ht="12.8" hidden="false" customHeight="false" outlineLevel="0" collapsed="false">
      <c r="A37272" s="0" t="s">
        <v>13956</v>
      </c>
      <c r="B37272" s="0" t="str">
        <f aca="false">HYPERLINK("https://lindat.mff.cuni.cz/services/teitok/pdtc10/index.php?action=vallex&amp;frame=v-whsa_858hsa_859", "přichytávat se (v-whsa_858hsa_859)")</f>
        <v>přichytávat se (v-whsa_858hsa_859)</v>
      </c>
    </row>
    <row r="37273" customFormat="false" ht="12.8" hidden="false" customHeight="false" outlineLevel="0" collapsed="false">
      <c r="B37273" s="0" t="s">
        <v>1</v>
      </c>
    </row>
    <row r="37274" customFormat="false" ht="12.8" hidden="false" customHeight="false" outlineLevel="0" collapsed="false">
      <c r="B37274" s="0" t="s">
        <v>311</v>
      </c>
    </row>
    <row r="37276" customFormat="false" ht="12.8" hidden="false" customHeight="false" outlineLevel="0" collapsed="false">
      <c r="A37276" s="0" t="s">
        <v>13957</v>
      </c>
      <c r="B37276" s="0" t="str">
        <f aca="false">HYPERLINK("https://lindat.mff.cuni.cz/services/teitok/pdtc10/index.php?action=vallex&amp;frame=v-w5143f17", "přicházet (v-w5143f17)")</f>
        <v>přicházet (v-w5143f17)</v>
      </c>
      <c r="E37276" s="0" t="str">
        <f aca="false">HYPERLINK("https://lindat.mff.cuni.cz/services/SynSemClass40/SynSemClass40.html?veclass=vec00128#vec00128-ces-cm00243", "vec00128")</f>
        <v>vec00128</v>
      </c>
      <c r="F37276" s="0" t="s">
        <v>13958</v>
      </c>
    </row>
    <row r="37277" customFormat="false" ht="12.8" hidden="false" customHeight="false" outlineLevel="0" collapsed="false">
      <c r="B37277" s="0" t="s">
        <v>1</v>
      </c>
      <c r="C37277" s="0" t="s">
        <v>13959</v>
      </c>
      <c r="E37277" s="0" t="s">
        <v>235</v>
      </c>
      <c r="F37277" s="0" t="s">
        <v>13960</v>
      </c>
    </row>
    <row r="37278" customFormat="false" ht="12.8" hidden="false" customHeight="false" outlineLevel="0" collapsed="false">
      <c r="B37278" s="0" t="s">
        <v>45</v>
      </c>
      <c r="C37278" s="0" t="s">
        <v>13961</v>
      </c>
      <c r="E37278" s="0" t="s">
        <v>13962</v>
      </c>
      <c r="F37278" s="0" t="s">
        <v>13963</v>
      </c>
    </row>
    <row r="37279" customFormat="false" ht="12.8" hidden="false" customHeight="false" outlineLevel="0" collapsed="false">
      <c r="B37279" s="0" t="s">
        <v>98</v>
      </c>
      <c r="C37279" s="0" t="s">
        <v>13964</v>
      </c>
      <c r="E37279" s="0" t="s">
        <v>2287</v>
      </c>
      <c r="F37279" s="0" t="s">
        <v>13965</v>
      </c>
    </row>
    <row r="37281" customFormat="false" ht="12.8" hidden="false" customHeight="false" outlineLevel="0" collapsed="false">
      <c r="A37281" s="0" t="s">
        <v>13966</v>
      </c>
      <c r="B37281" s="0" t="str">
        <f aca="false">HYPERLINK("https://lindat.mff.cuni.cz/services/teitok/pdtc10/index.php?action=vallex&amp;frame=v-w5143f9", "přicházet (v-w5143f9)")</f>
        <v>přicházet (v-w5143f9)</v>
      </c>
    </row>
    <row r="37282" customFormat="false" ht="12.8" hidden="false" customHeight="false" outlineLevel="0" collapsed="false">
      <c r="B37282" s="0" t="s">
        <v>1</v>
      </c>
    </row>
    <row r="37283" customFormat="false" ht="12.8" hidden="false" customHeight="false" outlineLevel="0" collapsed="false">
      <c r="B37283" s="0" t="s">
        <v>311</v>
      </c>
    </row>
    <row r="37285" customFormat="false" ht="12.8" hidden="false" customHeight="false" outlineLevel="0" collapsed="false">
      <c r="A37285" s="0" t="s">
        <v>13967</v>
      </c>
      <c r="B37285" s="0" t="str">
        <f aca="false">HYPERLINK("https://lindat.mff.cuni.cz/services/teitok/pdtc10/index.php?action=vallex&amp;frame=v-w5143f8", "přicházet (v-w5143f8)")</f>
        <v>přicházet (v-w5143f8)</v>
      </c>
      <c r="E37285" s="0" t="str">
        <f aca="false">HYPERLINK("https://lindat.mff.cuni.cz/services/SynSemClass40/SynSemClass40.html?veclass=vec00233#vec00233-ces-cm00074", "vec00233")</f>
        <v>vec00233</v>
      </c>
      <c r="F37285" s="0" t="s">
        <v>1065</v>
      </c>
    </row>
    <row r="37286" customFormat="false" ht="12.8" hidden="false" customHeight="false" outlineLevel="0" collapsed="false">
      <c r="B37286" s="0" t="s">
        <v>1</v>
      </c>
      <c r="C37286" s="0" t="s">
        <v>7077</v>
      </c>
      <c r="E37286" s="0" t="s">
        <v>2263</v>
      </c>
      <c r="F37286" s="0" t="s">
        <v>7078</v>
      </c>
    </row>
    <row r="37287" customFormat="false" ht="12.8" hidden="false" customHeight="false" outlineLevel="0" collapsed="false">
      <c r="B37287" s="0" t="s">
        <v>45</v>
      </c>
      <c r="C37287" s="0" t="s">
        <v>7079</v>
      </c>
      <c r="E37287" s="0" t="s">
        <v>7080</v>
      </c>
      <c r="F37287" s="0" t="s">
        <v>7081</v>
      </c>
    </row>
    <row r="37289" customFormat="false" ht="12.8" hidden="false" customHeight="false" outlineLevel="0" collapsed="false">
      <c r="A37289" s="0" t="s">
        <v>13968</v>
      </c>
      <c r="B37289" s="0" t="str">
        <f aca="false">HYPERLINK("https://lindat.mff.cuni.cz/services/teitok/pdtc10/index.php?action=vallex&amp;frame=v-w5143f3", "přicházet (v-w5143f3)")</f>
        <v>přicházet (v-w5143f3)</v>
      </c>
      <c r="E37289" s="0" t="str">
        <f aca="false">HYPERLINK("https://lindat.mff.cuni.cz/services/SynSemClass40/SynSemClass40.html?veclass=vec00393#vec00393-ces-cm00005", "vec00393")</f>
        <v>vec00393</v>
      </c>
      <c r="F37289" s="0" t="s">
        <v>13969</v>
      </c>
    </row>
    <row r="37290" customFormat="false" ht="12.8" hidden="false" customHeight="false" outlineLevel="0" collapsed="false">
      <c r="B37290" s="0" t="s">
        <v>1</v>
      </c>
      <c r="C37290" s="0" t="s">
        <v>13970</v>
      </c>
      <c r="E37290" s="0" t="s">
        <v>10404</v>
      </c>
      <c r="F37290" s="0" t="s">
        <v>13971</v>
      </c>
    </row>
    <row r="37291" customFormat="false" ht="12.8" hidden="false" customHeight="false" outlineLevel="0" collapsed="false">
      <c r="B37291" s="0" t="s">
        <v>814</v>
      </c>
      <c r="C37291" s="0" t="s">
        <v>13972</v>
      </c>
      <c r="E37291" s="0" t="s">
        <v>13973</v>
      </c>
      <c r="F37291" s="0" t="s">
        <v>13974</v>
      </c>
    </row>
    <row r="37293" customFormat="false" ht="12.8" hidden="false" customHeight="false" outlineLevel="0" collapsed="false">
      <c r="A37293" s="0" t="s">
        <v>13975</v>
      </c>
      <c r="B37293" s="0" t="str">
        <f aca="false">HYPERLINK("https://lindat.mff.cuni.cz/services/teitok/pdtc10/index.php?action=vallex&amp;frame=v-w5143f11", "přicházet (v-w5143f11)")</f>
        <v>přicházet (v-w5143f11)</v>
      </c>
      <c r="E37293" s="0" t="str">
        <f aca="false">HYPERLINK("https://lindat.mff.cuni.cz/services/SynSemClass40/SynSemClass40.html?veclass=vec00393#vec00393-ces-cm00006", "vec00393")</f>
        <v>vec00393</v>
      </c>
      <c r="F37293" s="0" t="s">
        <v>13969</v>
      </c>
      <c r="H37293" s="0" t="str">
        <f aca="false">HYPERLINK("https://lindat.mff.cuni.cz/services/SynSemClass40/SynSemClass40.html?veclass=vec01193#vec01193-ces-cm00014", "vec01193")</f>
        <v>vec01193</v>
      </c>
      <c r="I37293" s="0" t="s">
        <v>12265</v>
      </c>
    </row>
    <row r="37294" customFormat="false" ht="12.8" hidden="false" customHeight="false" outlineLevel="0" collapsed="false">
      <c r="B37294" s="0" t="s">
        <v>1</v>
      </c>
      <c r="C37294" s="0" t="s">
        <v>13976</v>
      </c>
      <c r="E37294" s="0" t="s">
        <v>10404</v>
      </c>
      <c r="F37294" s="0" t="s">
        <v>13971</v>
      </c>
      <c r="H37294" s="0" t="s">
        <v>10404</v>
      </c>
      <c r="I37294" s="0" t="s">
        <v>12266</v>
      </c>
    </row>
    <row r="37295" customFormat="false" ht="12.8" hidden="false" customHeight="false" outlineLevel="0" collapsed="false">
      <c r="B37295" s="0" t="s">
        <v>318</v>
      </c>
      <c r="C37295" s="0" t="s">
        <v>13977</v>
      </c>
      <c r="E37295" s="0" t="s">
        <v>13973</v>
      </c>
      <c r="F37295" s="0" t="s">
        <v>13974</v>
      </c>
      <c r="H37295" s="0" t="s">
        <v>2732</v>
      </c>
      <c r="I37295" s="0" t="s">
        <v>12267</v>
      </c>
    </row>
    <row r="37297" customFormat="false" ht="12.8" hidden="false" customHeight="false" outlineLevel="0" collapsed="false">
      <c r="A37297" s="0" t="s">
        <v>13978</v>
      </c>
      <c r="B37297" s="0" t="str">
        <f aca="false">HYPERLINK("https://lindat.mff.cuni.cz/services/teitok/pdtc10/index.php?action=vallex&amp;frame=v-w5143f12", "přicházet (v-w5143f12)")</f>
        <v>přicházet (v-w5143f12)</v>
      </c>
      <c r="E37297" s="0" t="str">
        <f aca="false">HYPERLINK("https://lindat.mff.cuni.cz/services/SynSemClass40/SynSemClass40.html?veclass=vec00127#vec00127-ces-cm00141", "vec00127")</f>
        <v>vec00127</v>
      </c>
      <c r="F37297" s="0" t="s">
        <v>1835</v>
      </c>
      <c r="H37297" s="0" t="str">
        <f aca="false">HYPERLINK("https://lindat.mff.cuni.cz/services/SynSemClass40/SynSemClass40.html?veclass=vec01292#vec01292-ces-cm00002", "vec01292")</f>
        <v>vec01292</v>
      </c>
      <c r="I37297" s="0" t="s">
        <v>13979</v>
      </c>
    </row>
    <row r="37298" customFormat="false" ht="12.8" hidden="false" customHeight="false" outlineLevel="0" collapsed="false">
      <c r="B37298" s="0" t="s">
        <v>1</v>
      </c>
      <c r="C37298" s="0" t="s">
        <v>13980</v>
      </c>
      <c r="E37298" s="0" t="s">
        <v>11</v>
      </c>
      <c r="F37298" s="0" t="s">
        <v>1837</v>
      </c>
      <c r="H37298" s="0" t="s">
        <v>2619</v>
      </c>
      <c r="I37298" s="0" t="s">
        <v>13981</v>
      </c>
    </row>
    <row r="37299" customFormat="false" ht="12.8" hidden="false" customHeight="false" outlineLevel="0" collapsed="false">
      <c r="B37299" s="0" t="s">
        <v>721</v>
      </c>
      <c r="C37299" s="0" t="s">
        <v>13982</v>
      </c>
      <c r="E37299" s="0" t="s">
        <v>1840</v>
      </c>
      <c r="F37299" s="0" t="s">
        <v>1841</v>
      </c>
      <c r="H37299" s="0" t="s">
        <v>66</v>
      </c>
      <c r="I37299" s="0" t="s">
        <v>13983</v>
      </c>
    </row>
    <row r="37301" customFormat="false" ht="12.8" hidden="false" customHeight="false" outlineLevel="0" collapsed="false">
      <c r="A37301" s="0" t="s">
        <v>13984</v>
      </c>
      <c r="B37301" s="0" t="str">
        <f aca="false">HYPERLINK("https://lindat.mff.cuni.cz/services/teitok/pdtc10/index.php?action=vallex&amp;frame=v-w5143f19_ZU", "přicházet (v-w5143f19_ZU)")</f>
        <v>přicházet (v-w5143f19_ZU)</v>
      </c>
      <c r="E37301" s="0" t="str">
        <f aca="false">HYPERLINK("https://lindat.mff.cuni.cz/services/SynSemClass40/SynSemClass40.html?veclass=vec00258#vec00258-ces-cm00003", "vec00258")</f>
        <v>vec00258</v>
      </c>
      <c r="F37301" s="0" t="s">
        <v>10649</v>
      </c>
    </row>
    <row r="37302" customFormat="false" ht="12.8" hidden="false" customHeight="false" outlineLevel="0" collapsed="false">
      <c r="B37302" s="0" t="s">
        <v>1</v>
      </c>
      <c r="C37302" s="0" t="s">
        <v>10650</v>
      </c>
      <c r="E37302" s="0" t="s">
        <v>957</v>
      </c>
      <c r="F37302" s="0" t="s">
        <v>10651</v>
      </c>
    </row>
    <row r="37303" customFormat="false" ht="12.8" hidden="false" customHeight="false" outlineLevel="0" collapsed="false">
      <c r="B37303" s="0" t="s">
        <v>1795</v>
      </c>
      <c r="C37303" s="0" t="s">
        <v>10652</v>
      </c>
      <c r="E37303" s="0" t="s">
        <v>6001</v>
      </c>
      <c r="F37303" s="0" t="s">
        <v>10653</v>
      </c>
    </row>
    <row r="37305" customFormat="false" ht="12.8" hidden="false" customHeight="false" outlineLevel="0" collapsed="false">
      <c r="A37305" s="0" t="s">
        <v>13985</v>
      </c>
      <c r="B37305" s="0" t="str">
        <f aca="false">HYPERLINK("https://lindat.mff.cuni.cz/services/teitok/pdtc10/index.php?action=vallex&amp;frame=v-w5143f2", "přicházet (v-w5143f2)")</f>
        <v>přicházet (v-w5143f2)</v>
      </c>
      <c r="E37305" s="0" t="str">
        <f aca="false">HYPERLINK("https://lindat.mff.cuni.cz/services/SynSemClass40/SynSemClass40.html?veclass=vec00218#vec00218-ces-cm00113", "vec00218")</f>
        <v>vec00218</v>
      </c>
      <c r="F37305" s="0" t="s">
        <v>2143</v>
      </c>
      <c r="H37305" s="0" t="str">
        <f aca="false">HYPERLINK("https://lindat.mff.cuni.cz/services/SynSemClass40/SynSemClass40.html?veclass=vec01390#vec01390-ces-cm00013", "vec01390")</f>
        <v>vec01390</v>
      </c>
      <c r="I37305" s="0" t="s">
        <v>366</v>
      </c>
    </row>
    <row r="37306" customFormat="false" ht="12.8" hidden="false" customHeight="false" outlineLevel="0" collapsed="false">
      <c r="B37306" s="0" t="s">
        <v>1</v>
      </c>
      <c r="C37306" s="0" t="s">
        <v>13986</v>
      </c>
      <c r="E37306" s="0" t="s">
        <v>11</v>
      </c>
      <c r="F37306" s="0" t="s">
        <v>2145</v>
      </c>
      <c r="H37306" s="0" t="s">
        <v>334</v>
      </c>
      <c r="I37306" s="0" t="s">
        <v>368</v>
      </c>
    </row>
    <row r="37307" customFormat="false" ht="12.8" hidden="false" customHeight="false" outlineLevel="0" collapsed="false">
      <c r="B37307" s="0" t="s">
        <v>164</v>
      </c>
      <c r="C37307" s="0" t="s">
        <v>13987</v>
      </c>
      <c r="E37307" s="0" t="s">
        <v>370</v>
      </c>
      <c r="F37307" s="0" t="s">
        <v>2147</v>
      </c>
      <c r="H37307" s="0" t="s">
        <v>370</v>
      </c>
      <c r="I37307" s="0" t="s">
        <v>371</v>
      </c>
    </row>
    <row r="37309" customFormat="false" ht="12.8" hidden="false" customHeight="false" outlineLevel="0" collapsed="false">
      <c r="A37309" s="0" t="s">
        <v>13988</v>
      </c>
      <c r="B37309" s="0" t="str">
        <f aca="false">HYPERLINK("https://lindat.mff.cuni.cz/services/teitok/pdtc10/index.php?action=vallex&amp;frame=v-w5143f18_ZU", "přicházet (v-w5143f18_ZU)")</f>
        <v>přicházet (v-w5143f18_ZU)</v>
      </c>
      <c r="E37309" s="0" t="str">
        <f aca="false">HYPERLINK("https://lindat.mff.cuni.cz/services/SynSemClass40/SynSemClass40.html?veclass=vec00218#vec00218-ces-cm00221", "vec00218")</f>
        <v>vec00218</v>
      </c>
      <c r="F37309" s="0" t="s">
        <v>2143</v>
      </c>
    </row>
    <row r="37310" customFormat="false" ht="12.8" hidden="false" customHeight="false" outlineLevel="0" collapsed="false">
      <c r="B37310" s="0" t="s">
        <v>1</v>
      </c>
      <c r="C37310" s="0" t="s">
        <v>2144</v>
      </c>
      <c r="E37310" s="0" t="s">
        <v>11</v>
      </c>
      <c r="F37310" s="0" t="s">
        <v>2145</v>
      </c>
    </row>
    <row r="37311" customFormat="false" ht="12.8" hidden="false" customHeight="false" outlineLevel="0" collapsed="false">
      <c r="B37311" s="0" t="s">
        <v>361</v>
      </c>
      <c r="C37311" s="0" t="s">
        <v>2146</v>
      </c>
      <c r="E37311" s="0" t="s">
        <v>370</v>
      </c>
      <c r="F37311" s="0" t="s">
        <v>2147</v>
      </c>
    </row>
    <row r="37313" customFormat="false" ht="12.8" hidden="false" customHeight="false" outlineLevel="0" collapsed="false">
      <c r="A37313" s="0" t="s">
        <v>13989</v>
      </c>
      <c r="B37313" s="0" t="str">
        <f aca="false">HYPERLINK("https://lindat.mff.cuni.cz/services/teitok/pdtc10/index.php?action=vallex&amp;frame=v-w5143f1", "přicházet (v-w5143f1)")</f>
        <v>přicházet (v-w5143f1)</v>
      </c>
      <c r="E37313" s="0" t="str">
        <f aca="false">HYPERLINK("https://lindat.mff.cuni.cz/services/SynSemClass40/SynSemClass40.html?veclass=vec00097#vec00097-ces-cm00001", "vec00097")</f>
        <v>vec00097</v>
      </c>
      <c r="F37313" s="0" t="s">
        <v>373</v>
      </c>
      <c r="H37313" s="0" t="str">
        <f aca="false">HYPERLINK("https://lindat.mff.cuni.cz/services/SynSemClass40/SynSemClass40.html?veclass=vec01518#vec01518-ces-cm00015", "vec01518")</f>
        <v>vec01518</v>
      </c>
      <c r="I37313" s="0" t="s">
        <v>2921</v>
      </c>
    </row>
    <row r="37314" customFormat="false" ht="12.8" hidden="false" customHeight="false" outlineLevel="0" collapsed="false">
      <c r="B37314" s="0" t="s">
        <v>1</v>
      </c>
      <c r="C37314" s="0" t="s">
        <v>2922</v>
      </c>
      <c r="E37314" s="0" t="s">
        <v>375</v>
      </c>
      <c r="F37314" s="0" t="s">
        <v>376</v>
      </c>
      <c r="H37314" s="0" t="s">
        <v>2923</v>
      </c>
      <c r="I37314" s="0" t="s">
        <v>2924</v>
      </c>
    </row>
    <row r="37316" customFormat="false" ht="12.8" hidden="false" customHeight="false" outlineLevel="0" collapsed="false">
      <c r="A37316" s="0" t="s">
        <v>13990</v>
      </c>
      <c r="B37316" s="0" t="str">
        <f aca="false">HYPERLINK("https://lindat.mff.cuni.cz/services/teitok/pdtc10/index.php?action=vallex&amp;frame=v-w5143f5", "přicházet (v-w5143f5)")</f>
        <v>přicházet (v-w5143f5)</v>
      </c>
    </row>
    <row r="37317" customFormat="false" ht="12.8" hidden="false" customHeight="false" outlineLevel="0" collapsed="false">
      <c r="B37317" s="0" t="s">
        <v>1</v>
      </c>
    </row>
    <row r="37318" customFormat="false" ht="12.8" hidden="false" customHeight="false" outlineLevel="0" collapsed="false">
      <c r="B37318" s="0" t="s">
        <v>13991</v>
      </c>
    </row>
    <row r="37320" customFormat="false" ht="12.8" hidden="false" customHeight="false" outlineLevel="0" collapsed="false">
      <c r="A37320" s="0" t="s">
        <v>13992</v>
      </c>
      <c r="B37320" s="0" t="str">
        <f aca="false">HYPERLINK("https://lindat.mff.cuni.cz/services/teitok/pdtc10/index.php?action=vallex&amp;frame=v-w5143f14", "přicházet (v-w5143f14)")</f>
        <v>přicházet (v-w5143f14)</v>
      </c>
    </row>
    <row r="37321" customFormat="false" ht="12.8" hidden="false" customHeight="false" outlineLevel="0" collapsed="false">
      <c r="B37321" s="0" t="s">
        <v>1</v>
      </c>
    </row>
    <row r="37322" customFormat="false" ht="12.8" hidden="false" customHeight="false" outlineLevel="0" collapsed="false">
      <c r="B37322" s="0" t="s">
        <v>13993</v>
      </c>
    </row>
    <row r="37324" customFormat="false" ht="12.8" hidden="false" customHeight="false" outlineLevel="0" collapsed="false">
      <c r="A37324" s="0" t="s">
        <v>13994</v>
      </c>
      <c r="B37324" s="0" t="str">
        <f aca="false">HYPERLINK("https://lindat.mff.cuni.cz/services/teitok/pdtc10/index.php?action=vallex&amp;frame=v-w5143f13", "přicházet (v-w5143f13)")</f>
        <v>přicházet (v-w5143f13)</v>
      </c>
    </row>
    <row r="37325" customFormat="false" ht="12.8" hidden="false" customHeight="false" outlineLevel="0" collapsed="false">
      <c r="B37325" s="0" t="s">
        <v>1</v>
      </c>
    </row>
    <row r="37326" customFormat="false" ht="12.8" hidden="false" customHeight="false" outlineLevel="0" collapsed="false">
      <c r="B37326" s="0" t="s">
        <v>13995</v>
      </c>
    </row>
    <row r="37328" customFormat="false" ht="12.8" hidden="false" customHeight="false" outlineLevel="0" collapsed="false">
      <c r="A37328" s="0" t="s">
        <v>13996</v>
      </c>
      <c r="B37328" s="0" t="str">
        <f aca="false">HYPERLINK("https://lindat.mff.cuni.cz/services/teitok/pdtc10/index.php?action=vallex&amp;frame=v-w5143f6", "přicházet (v-w5143f6)")</f>
        <v>přicházet (v-w5143f6)</v>
      </c>
      <c r="E37328" s="0" t="str">
        <f aca="false">HYPERLINK("https://lindat.mff.cuni.cz/services/SynSemClass40/SynSemClass40.html?veclass=vec01292#vec01292-ces-cm00001", "vec01292")</f>
        <v>vec01292</v>
      </c>
      <c r="F37328" s="0" t="s">
        <v>13979</v>
      </c>
    </row>
    <row r="37329" customFormat="false" ht="12.8" hidden="false" customHeight="false" outlineLevel="0" collapsed="false">
      <c r="B37329" s="0" t="s">
        <v>1</v>
      </c>
      <c r="C37329" s="0" t="s">
        <v>13997</v>
      </c>
      <c r="E37329" s="0" t="s">
        <v>2619</v>
      </c>
      <c r="F37329" s="0" t="s">
        <v>13981</v>
      </c>
    </row>
    <row r="37330" customFormat="false" ht="12.8" hidden="false" customHeight="false" outlineLevel="0" collapsed="false">
      <c r="B37330" s="0" t="s">
        <v>13998</v>
      </c>
      <c r="C37330" s="0" t="s">
        <v>13999</v>
      </c>
      <c r="E37330" s="0" t="s">
        <v>10922</v>
      </c>
      <c r="F37330" s="0" t="s">
        <v>14000</v>
      </c>
    </row>
    <row r="37332" customFormat="false" ht="12.8" hidden="false" customHeight="false" outlineLevel="0" collapsed="false">
      <c r="A37332" s="0" t="s">
        <v>14001</v>
      </c>
      <c r="B37332" s="0" t="str">
        <f aca="false">HYPERLINK("https://lindat.mff.cuni.cz/services/teitok/pdtc10/index.php?action=vallex&amp;frame=v-w5143f24_ZU", "přicházet (v-w5143f24_ZU)")</f>
        <v>přicházet (v-w5143f24_ZU)</v>
      </c>
    </row>
    <row r="37333" customFormat="false" ht="12.8" hidden="false" customHeight="false" outlineLevel="0" collapsed="false">
      <c r="B37333" s="0" t="s">
        <v>4072</v>
      </c>
    </row>
    <row r="37334" customFormat="false" ht="12.8" hidden="false" customHeight="false" outlineLevel="0" collapsed="false">
      <c r="B37334" s="0" t="s">
        <v>14002</v>
      </c>
    </row>
    <row r="37336" customFormat="false" ht="12.8" hidden="false" customHeight="false" outlineLevel="0" collapsed="false">
      <c r="A37336" s="0" t="s">
        <v>14001</v>
      </c>
      <c r="B37336" s="0" t="str">
        <f aca="false">HYPERLINK("https://lindat.mff.cuni.cz/services/teitok/pdtc10/index.php?action=vallex&amp;frame=v-w5143f4", "přicházet (v-w5143f4) - substituted with v-w5143f24_ZU")</f>
        <v>přicházet (v-w5143f4) - substituted with v-w5143f24_ZU</v>
      </c>
      <c r="E37336" s="0" t="str">
        <f aca="false">HYPERLINK("https://lindat.mff.cuni.cz/services/SynSemClass40/SynSemClass40.html?veclass=vec01291#vec01291-ces-cm00005", "vec01291")</f>
        <v>vec01291</v>
      </c>
      <c r="F37336" s="0" t="s">
        <v>13779</v>
      </c>
    </row>
    <row r="37337" customFormat="false" ht="12.8" hidden="false" customHeight="false" outlineLevel="0" collapsed="false">
      <c r="B37337" s="0" t="s">
        <v>4072</v>
      </c>
      <c r="E37337" s="0" t="s">
        <v>957</v>
      </c>
      <c r="F37337" s="0" t="s">
        <v>13780</v>
      </c>
    </row>
    <row r="37338" customFormat="false" ht="12.8" hidden="false" customHeight="false" outlineLevel="0" collapsed="false">
      <c r="B37338" s="0" t="s">
        <v>14002</v>
      </c>
    </row>
    <row r="37340" customFormat="false" ht="12.8" hidden="false" customHeight="false" outlineLevel="0" collapsed="false">
      <c r="A37340" s="0" t="s">
        <v>14003</v>
      </c>
      <c r="B37340" s="0" t="str">
        <f aca="false">HYPERLINK("https://lindat.mff.cuni.cz/services/teitok/pdtc10/index.php?action=vallex&amp;frame=v-w5143f10", "přicházet (v-w5143f10)")</f>
        <v>přicházet (v-w5143f10)</v>
      </c>
    </row>
    <row r="37341" customFormat="false" ht="12.8" hidden="false" customHeight="false" outlineLevel="0" collapsed="false">
      <c r="B37341" s="0" t="s">
        <v>1</v>
      </c>
    </row>
    <row r="37342" customFormat="false" ht="12.8" hidden="false" customHeight="false" outlineLevel="0" collapsed="false">
      <c r="B37342" s="0" t="s">
        <v>14004</v>
      </c>
    </row>
    <row r="37344" customFormat="false" ht="12.8" hidden="false" customHeight="false" outlineLevel="0" collapsed="false">
      <c r="A37344" s="0" t="s">
        <v>14005</v>
      </c>
      <c r="B37344" s="0" t="str">
        <f aca="false">HYPERLINK("https://lindat.mff.cuni.cz/services/teitok/pdtc10/index.php?action=vallex&amp;frame=v-w5143f7", "přicházet (v-w5143f7)")</f>
        <v>přicházet (v-w5143f7)</v>
      </c>
      <c r="E37344" s="0" t="str">
        <f aca="false">HYPERLINK("https://lindat.mff.cuni.cz/services/SynSemClass40/SynSemClass40.html?veclass=vec01203#vec01203-ces-cm00003", "vec01203")</f>
        <v>vec01203</v>
      </c>
      <c r="F37344" s="0" t="s">
        <v>1007</v>
      </c>
    </row>
    <row r="37345" customFormat="false" ht="12.8" hidden="false" customHeight="false" outlineLevel="0" collapsed="false">
      <c r="B37345" s="0" t="s">
        <v>1</v>
      </c>
      <c r="E37345" s="0" t="s">
        <v>1009</v>
      </c>
      <c r="F37345" s="0" t="s">
        <v>1010</v>
      </c>
    </row>
    <row r="37346" customFormat="false" ht="12.8" hidden="false" customHeight="false" outlineLevel="0" collapsed="false">
      <c r="B37346" s="0" t="s">
        <v>14006</v>
      </c>
    </row>
    <row r="37348" customFormat="false" ht="12.8" hidden="false" customHeight="false" outlineLevel="0" collapsed="false">
      <c r="A37348" s="0" t="s">
        <v>14007</v>
      </c>
      <c r="B37348" s="0" t="str">
        <f aca="false">HYPERLINK("https://lindat.mff.cuni.cz/services/teitok/pdtc10/index.php?action=vallex&amp;frame=v-w5143f15", "přicházet (v-w5143f15)")</f>
        <v>přicházet (v-w5143f15)</v>
      </c>
    </row>
    <row r="37349" customFormat="false" ht="12.8" hidden="false" customHeight="false" outlineLevel="0" collapsed="false">
      <c r="B37349" s="0" t="s">
        <v>1</v>
      </c>
    </row>
    <row r="37350" customFormat="false" ht="12.8" hidden="false" customHeight="false" outlineLevel="0" collapsed="false">
      <c r="B37350" s="0" t="s">
        <v>14008</v>
      </c>
    </row>
    <row r="37352" customFormat="false" ht="12.8" hidden="false" customHeight="false" outlineLevel="0" collapsed="false">
      <c r="A37352" s="0" t="s">
        <v>14009</v>
      </c>
      <c r="B37352" s="0" t="str">
        <f aca="false">HYPERLINK("https://lindat.mff.cuni.cz/services/teitok/pdtc10/index.php?action=vallex&amp;frame=v-w5143f16", "přicházet (v-w5143f16)")</f>
        <v>přicházet (v-w5143f16)</v>
      </c>
    </row>
    <row r="37353" customFormat="false" ht="12.8" hidden="false" customHeight="false" outlineLevel="0" collapsed="false">
      <c r="B37353" s="0" t="s">
        <v>1131</v>
      </c>
    </row>
    <row r="37354" customFormat="false" ht="12.8" hidden="false" customHeight="false" outlineLevel="0" collapsed="false">
      <c r="B37354" s="0" t="s">
        <v>14010</v>
      </c>
    </row>
    <row r="37356" customFormat="false" ht="12.8" hidden="false" customHeight="false" outlineLevel="0" collapsed="false">
      <c r="A37356" s="0" t="s">
        <v>14011</v>
      </c>
      <c r="B37356" s="0" t="str">
        <f aca="false">HYPERLINK("https://lindat.mff.cuni.cz/services/teitok/pdtc10/index.php?action=vallex&amp;frame=v-w5143f21_ZU", "přicházet (v-w5143f21_ZU)")</f>
        <v>přicházet (v-w5143f21_ZU)</v>
      </c>
      <c r="E37356" s="0" t="str">
        <f aca="false">HYPERLINK("https://lindat.mff.cuni.cz/services/SynSemClass40/SynSemClass40.html?veclass=vec01203#vec01203-ces-cm00004", "vec01203")</f>
        <v>vec01203</v>
      </c>
      <c r="F37356" s="0" t="s">
        <v>1007</v>
      </c>
    </row>
    <row r="37357" customFormat="false" ht="12.8" hidden="false" customHeight="false" outlineLevel="0" collapsed="false">
      <c r="B37357" s="0" t="s">
        <v>1</v>
      </c>
      <c r="E37357" s="0" t="s">
        <v>1009</v>
      </c>
      <c r="F37357" s="0" t="s">
        <v>1010</v>
      </c>
    </row>
    <row r="37358" customFormat="false" ht="12.8" hidden="false" customHeight="false" outlineLevel="0" collapsed="false">
      <c r="B37358" s="0" t="s">
        <v>13014</v>
      </c>
    </row>
    <row r="37360" customFormat="false" ht="12.8" hidden="false" customHeight="false" outlineLevel="0" collapsed="false">
      <c r="A37360" s="0" t="s">
        <v>14011</v>
      </c>
      <c r="B37360" s="0" t="str">
        <f aca="false">HYPERLINK("https://lindat.mff.cuni.cz/services/teitok/pdtc10/index.php?action=vallex&amp;frame=v-w5143hsa_773", "přicházet (v-w5143hsa_773) - substituted with v-w5143f21_ZU")</f>
        <v>přicházet (v-w5143hsa_773) - substituted with v-w5143f21_ZU</v>
      </c>
    </row>
    <row r="37361" customFormat="false" ht="12.8" hidden="false" customHeight="false" outlineLevel="0" collapsed="false">
      <c r="B37361" s="0" t="s">
        <v>1</v>
      </c>
    </row>
    <row r="37362" customFormat="false" ht="12.8" hidden="false" customHeight="false" outlineLevel="0" collapsed="false">
      <c r="B37362" s="0" t="s">
        <v>13014</v>
      </c>
    </row>
    <row r="37364" customFormat="false" ht="12.8" hidden="false" customHeight="false" outlineLevel="0" collapsed="false">
      <c r="A37364" s="0" t="s">
        <v>14012</v>
      </c>
      <c r="B37364" s="0" t="str">
        <f aca="false">HYPERLINK("https://lindat.mff.cuni.cz/services/teitok/pdtc10/index.php?action=vallex&amp;frame=v-w5143f22_ZU", "přicházet (v-w5143f22_ZU)")</f>
        <v>přicházet (v-w5143f22_ZU)</v>
      </c>
    </row>
    <row r="37365" customFormat="false" ht="12.8" hidden="false" customHeight="false" outlineLevel="0" collapsed="false">
      <c r="B37365" s="0" t="s">
        <v>1</v>
      </c>
    </row>
    <row r="37366" customFormat="false" ht="12.8" hidden="false" customHeight="false" outlineLevel="0" collapsed="false">
      <c r="B37366" s="0" t="s">
        <v>14013</v>
      </c>
    </row>
    <row r="37368" customFormat="false" ht="12.8" hidden="false" customHeight="false" outlineLevel="0" collapsed="false">
      <c r="A37368" s="0" t="s">
        <v>14012</v>
      </c>
      <c r="B37368" s="0" t="str">
        <f aca="false">HYPERLINK("https://lindat.mff.cuni.cz/services/teitok/pdtc10/index.php?action=vallex&amp;frame=v-w5143hsa_774", "přicházet (v-w5143hsa_774) - substituted with v-w5143f22_ZU")</f>
        <v>přicházet (v-w5143hsa_774) - substituted with v-w5143f22_ZU</v>
      </c>
    </row>
    <row r="37369" customFormat="false" ht="12.8" hidden="false" customHeight="false" outlineLevel="0" collapsed="false">
      <c r="B37369" s="0" t="s">
        <v>1</v>
      </c>
    </row>
    <row r="37370" customFormat="false" ht="12.8" hidden="false" customHeight="false" outlineLevel="0" collapsed="false">
      <c r="B37370" s="0" t="s">
        <v>14013</v>
      </c>
    </row>
    <row r="37372" customFormat="false" ht="12.8" hidden="false" customHeight="false" outlineLevel="0" collapsed="false">
      <c r="A37372" s="0" t="s">
        <v>14014</v>
      </c>
      <c r="B37372" s="0" t="str">
        <f aca="false">HYPERLINK("https://lindat.mff.cuni.cz/services/teitok/pdtc10/index.php?action=vallex&amp;frame=v-w5143f20_ZU", "přicházet (v-w5143f20_ZU)")</f>
        <v>přicházet (v-w5143f20_ZU)</v>
      </c>
      <c r="E37372" s="0" t="str">
        <f aca="false">HYPERLINK("https://lindat.mff.cuni.cz/services/SynSemClass40/SynSemClass40.html?veclass=vec00258#vec00258-ces-cm00039", "vec00258")</f>
        <v>vec00258</v>
      </c>
      <c r="F37372" s="0" t="s">
        <v>10649</v>
      </c>
    </row>
    <row r="37373" customFormat="false" ht="12.8" hidden="false" customHeight="false" outlineLevel="0" collapsed="false">
      <c r="B37373" s="0" t="s">
        <v>1</v>
      </c>
      <c r="C37373" s="0" t="s">
        <v>10650</v>
      </c>
      <c r="E37373" s="0" t="s">
        <v>957</v>
      </c>
      <c r="F37373" s="0" t="s">
        <v>10651</v>
      </c>
    </row>
    <row r="37374" customFormat="false" ht="12.8" hidden="false" customHeight="false" outlineLevel="0" collapsed="false">
      <c r="B37374" s="0" t="s">
        <v>8755</v>
      </c>
      <c r="C37374" s="0" t="s">
        <v>10652</v>
      </c>
      <c r="E37374" s="0" t="s">
        <v>6001</v>
      </c>
      <c r="F37374" s="0" t="s">
        <v>10653</v>
      </c>
    </row>
    <row r="37376" customFormat="false" ht="12.8" hidden="false" customHeight="false" outlineLevel="0" collapsed="false">
      <c r="A37376" s="0" t="s">
        <v>14015</v>
      </c>
      <c r="B37376" s="0" t="str">
        <f aca="false">HYPERLINK("https://lindat.mff.cuni.cz/services/teitok/pdtc10/index.php?action=vallex&amp;frame=v-w5143f25_MM", "přicházet (v-w5143f25_MM)")</f>
        <v>přicházet (v-w5143f25_MM)</v>
      </c>
    </row>
    <row r="37377" customFormat="false" ht="12.8" hidden="false" customHeight="false" outlineLevel="0" collapsed="false">
      <c r="B37377" s="0" t="s">
        <v>843</v>
      </c>
    </row>
    <row r="37378" customFormat="false" ht="12.8" hidden="false" customHeight="false" outlineLevel="0" collapsed="false">
      <c r="B37378" s="0" t="s">
        <v>14016</v>
      </c>
    </row>
    <row r="37379" customFormat="false" ht="12.8" hidden="false" customHeight="false" outlineLevel="0" collapsed="false">
      <c r="B37379" s="0" t="s">
        <v>186</v>
      </c>
    </row>
    <row r="37381" customFormat="false" ht="12.8" hidden="false" customHeight="false" outlineLevel="0" collapsed="false">
      <c r="A37381" s="0" t="s">
        <v>14015</v>
      </c>
      <c r="B37381" s="0" t="str">
        <f aca="false">HYPERLINK("https://lindat.mff.cuni.cz/services/teitok/pdtc10/index.php?action=vallex&amp;frame=v-w5143f23_ZU", "přicházet (v-w5143f23_ZU) - substituted with v-w5143f25_MM")</f>
        <v>přicházet (v-w5143f23_ZU) - substituted with v-w5143f25_MM</v>
      </c>
    </row>
    <row r="37382" customFormat="false" ht="12.8" hidden="false" customHeight="false" outlineLevel="0" collapsed="false">
      <c r="B37382" s="0" t="s">
        <v>843</v>
      </c>
    </row>
    <row r="37383" customFormat="false" ht="12.8" hidden="false" customHeight="false" outlineLevel="0" collapsed="false">
      <c r="B37383" s="0" t="s">
        <v>14016</v>
      </c>
    </row>
    <row r="37384" customFormat="false" ht="12.8" hidden="false" customHeight="false" outlineLevel="0" collapsed="false">
      <c r="B37384" s="0" t="s">
        <v>186</v>
      </c>
    </row>
    <row r="37386" customFormat="false" ht="12.8" hidden="false" customHeight="false" outlineLevel="0" collapsed="false">
      <c r="A37386" s="0" t="s">
        <v>14017</v>
      </c>
      <c r="B37386" s="0" t="str">
        <f aca="false">HYPERLINK("https://lindat.mff.cuni.cz/services/teitok/pdtc10/index.php?action=vallex&amp;frame=v-w5143hsa_1724", "přicházet (v-w5143hsa_1724)")</f>
        <v>přicházet (v-w5143hsa_1724)</v>
      </c>
    </row>
    <row r="37387" customFormat="false" ht="12.8" hidden="false" customHeight="false" outlineLevel="0" collapsed="false">
      <c r="B37387" s="0" t="s">
        <v>1</v>
      </c>
    </row>
    <row r="37388" customFormat="false" ht="12.8" hidden="false" customHeight="false" outlineLevel="0" collapsed="false">
      <c r="B37388" s="0" t="s">
        <v>8755</v>
      </c>
    </row>
    <row r="37390" customFormat="false" ht="12.8" hidden="false" customHeight="false" outlineLevel="0" collapsed="false">
      <c r="A37390" s="0" t="s">
        <v>14018</v>
      </c>
      <c r="B37390" s="0" t="str">
        <f aca="false">HYPERLINK("https://lindat.mff.cuni.cz/services/teitok/pdtc10/index.php?action=vallex&amp;frame=v-w5144f1", "přicházet si (v-w5144f1)")</f>
        <v>přicházet si (v-w5144f1)</v>
      </c>
    </row>
    <row r="37391" customFormat="false" ht="12.8" hidden="false" customHeight="false" outlineLevel="0" collapsed="false">
      <c r="B37391" s="0" t="s">
        <v>1</v>
      </c>
    </row>
    <row r="37392" customFormat="false" ht="12.8" hidden="false" customHeight="false" outlineLevel="0" collapsed="false">
      <c r="B37392" s="0" t="s">
        <v>14019</v>
      </c>
    </row>
    <row r="37394" customFormat="false" ht="12.8" hidden="false" customHeight="false" outlineLevel="0" collapsed="false">
      <c r="A37394" s="0" t="s">
        <v>14020</v>
      </c>
      <c r="B37394" s="0" t="str">
        <f aca="false">HYPERLINK("https://lindat.mff.cuni.cz/services/teitok/pdtc10/index.php?action=vallex&amp;frame=v-w12304_MMf1_MM", "přicmrdovat (v-w12304_MMf1_MM)")</f>
        <v>přicmrdovat (v-w12304_MMf1_MM)</v>
      </c>
    </row>
    <row r="37395" customFormat="false" ht="12.8" hidden="false" customHeight="false" outlineLevel="0" collapsed="false">
      <c r="B37395" s="0" t="s">
        <v>1</v>
      </c>
    </row>
    <row r="37396" customFormat="false" ht="12.8" hidden="false" customHeight="false" outlineLevel="0" collapsed="false">
      <c r="B37396" s="0" t="s">
        <v>52</v>
      </c>
    </row>
    <row r="37397" customFormat="false" ht="12.8" hidden="false" customHeight="false" outlineLevel="0" collapsed="false">
      <c r="B37397" s="0" t="s">
        <v>14021</v>
      </c>
    </row>
    <row r="37399" customFormat="false" ht="12.8" hidden="false" customHeight="false" outlineLevel="0" collapsed="false">
      <c r="A37399" s="0" t="s">
        <v>14022</v>
      </c>
      <c r="B37399" s="0" t="str">
        <f aca="false">HYPERLINK("https://lindat.mff.cuni.cz/services/teitok/pdtc10/index.php?action=vallex&amp;frame=v-w5103f2", "přidat (v-w5103f2)")</f>
        <v>přidat (v-w5103f2)</v>
      </c>
      <c r="E37399" s="0" t="str">
        <f aca="false">HYPERLINK("https://lindat.mff.cuni.cz/services/SynSemClass40/SynSemClass40.html?veclass=vec00499#vec00499-ces-cm00001", "vec00499")</f>
        <v>vec00499</v>
      </c>
      <c r="F37399" s="0" t="s">
        <v>2186</v>
      </c>
    </row>
    <row r="37400" customFormat="false" ht="12.8" hidden="false" customHeight="false" outlineLevel="0" collapsed="false">
      <c r="B37400" s="0" t="s">
        <v>1</v>
      </c>
      <c r="C37400" s="0" t="s">
        <v>2187</v>
      </c>
      <c r="E37400" s="0" t="s">
        <v>1784</v>
      </c>
      <c r="F37400" s="0" t="s">
        <v>2188</v>
      </c>
    </row>
    <row r="37401" customFormat="false" ht="12.8" hidden="false" customHeight="false" outlineLevel="0" collapsed="false">
      <c r="B37401" s="0" t="s">
        <v>7041</v>
      </c>
      <c r="C37401" s="0" t="s">
        <v>2190</v>
      </c>
      <c r="E37401" s="0" t="s">
        <v>1787</v>
      </c>
      <c r="F37401" s="0" t="s">
        <v>2191</v>
      </c>
    </row>
    <row r="37402" customFormat="false" ht="12.8" hidden="false" customHeight="false" outlineLevel="0" collapsed="false">
      <c r="B37402" s="0" t="s">
        <v>52</v>
      </c>
      <c r="E37402" s="0" t="s">
        <v>53</v>
      </c>
      <c r="F37402" s="0" t="s">
        <v>54</v>
      </c>
    </row>
    <row r="37404" customFormat="false" ht="12.8" hidden="false" customHeight="false" outlineLevel="0" collapsed="false">
      <c r="A37404" s="0" t="s">
        <v>14023</v>
      </c>
      <c r="B37404" s="0" t="str">
        <f aca="false">HYPERLINK("https://lindat.mff.cuni.cz/services/teitok/pdtc10/index.php?action=vallex&amp;frame=v-w5103f4_ZU", "přidat (v-w5103f4_ZU)")</f>
        <v>přidat (v-w5103f4_ZU)</v>
      </c>
    </row>
    <row r="37405" customFormat="false" ht="12.8" hidden="false" customHeight="false" outlineLevel="0" collapsed="false">
      <c r="B37405" s="0" t="s">
        <v>1</v>
      </c>
    </row>
    <row r="37406" customFormat="false" ht="12.8" hidden="false" customHeight="false" outlineLevel="0" collapsed="false">
      <c r="B37406" s="0" t="s">
        <v>8</v>
      </c>
    </row>
    <row r="37407" customFormat="false" ht="12.8" hidden="false" customHeight="false" outlineLevel="0" collapsed="false">
      <c r="B37407" s="0" t="s">
        <v>2207</v>
      </c>
    </row>
    <row r="37409" customFormat="false" ht="12.8" hidden="false" customHeight="false" outlineLevel="0" collapsed="false">
      <c r="A37409" s="0" t="s">
        <v>14024</v>
      </c>
      <c r="B37409" s="0" t="str">
        <f aca="false">HYPERLINK("https://lindat.mff.cuni.cz/services/teitok/pdtc10/index.php?action=vallex&amp;frame=v-w5103f1", "přidat (v-w5103f1)")</f>
        <v>přidat (v-w5103f1)</v>
      </c>
      <c r="E37409" s="0" t="str">
        <f aca="false">HYPERLINK("https://lindat.mff.cuni.cz/services/SynSemClass40/SynSemClass40.html?veclass=vec00175#vec00175-ces-cm00024", "vec00175")</f>
        <v>vec00175</v>
      </c>
      <c r="F37409" s="0" t="s">
        <v>4861</v>
      </c>
      <c r="H37409" s="0" t="str">
        <f aca="false">HYPERLINK("https://lindat.mff.cuni.cz/services/SynSemClass40/SynSemClass40.html?veclass=vec01536#vec01536-ces-cm00001", "vec01536")</f>
        <v>vec01536</v>
      </c>
      <c r="I37409" s="0" t="s">
        <v>14025</v>
      </c>
    </row>
    <row r="37410" customFormat="false" ht="12.8" hidden="false" customHeight="false" outlineLevel="0" collapsed="false">
      <c r="B37410" s="0" t="s">
        <v>1</v>
      </c>
      <c r="C37410" s="0" t="s">
        <v>14026</v>
      </c>
      <c r="E37410" s="0" t="s">
        <v>31</v>
      </c>
      <c r="F37410" s="0" t="s">
        <v>13929</v>
      </c>
      <c r="H37410" s="0" t="s">
        <v>31</v>
      </c>
      <c r="I37410" s="0" t="s">
        <v>14027</v>
      </c>
    </row>
    <row r="37411" customFormat="false" ht="12.8" hidden="false" customHeight="false" outlineLevel="0" collapsed="false">
      <c r="B37411" s="0" t="s">
        <v>8</v>
      </c>
      <c r="C37411" s="0" t="s">
        <v>14028</v>
      </c>
      <c r="E37411" s="0" t="s">
        <v>13931</v>
      </c>
      <c r="F37411" s="0" t="s">
        <v>13932</v>
      </c>
      <c r="H37411" s="0" t="s">
        <v>110</v>
      </c>
      <c r="I37411" s="0" t="s">
        <v>14029</v>
      </c>
    </row>
    <row r="37412" customFormat="false" ht="12.8" hidden="false" customHeight="false" outlineLevel="0" collapsed="false">
      <c r="B37412" s="0" t="s">
        <v>164</v>
      </c>
      <c r="C37412" s="0" t="s">
        <v>14030</v>
      </c>
      <c r="E37412" s="0" t="s">
        <v>4866</v>
      </c>
      <c r="F37412" s="0" t="s">
        <v>4867</v>
      </c>
      <c r="H37412" s="0" t="s">
        <v>14031</v>
      </c>
      <c r="I37412" s="0" t="s">
        <v>14032</v>
      </c>
    </row>
    <row r="37414" customFormat="false" ht="12.8" hidden="false" customHeight="false" outlineLevel="0" collapsed="false">
      <c r="A37414" s="0" t="s">
        <v>14033</v>
      </c>
      <c r="B37414" s="0" t="str">
        <f aca="false">HYPERLINK("https://lindat.mff.cuni.cz/services/teitok/pdtc10/index.php?action=vallex&amp;frame=v-w5103f5_ZU", "přidat (v-w5103f5_ZU)")</f>
        <v>přidat (v-w5103f5_ZU)</v>
      </c>
    </row>
    <row r="37415" customFormat="false" ht="12.8" hidden="false" customHeight="false" outlineLevel="0" collapsed="false">
      <c r="B37415" s="0" t="s">
        <v>1</v>
      </c>
    </row>
    <row r="37416" customFormat="false" ht="12.8" hidden="false" customHeight="false" outlineLevel="0" collapsed="false">
      <c r="B37416" s="0" t="s">
        <v>7041</v>
      </c>
    </row>
    <row r="37418" customFormat="false" ht="12.8" hidden="false" customHeight="false" outlineLevel="0" collapsed="false">
      <c r="A37418" s="0" t="s">
        <v>14033</v>
      </c>
      <c r="B37418" s="0" t="str">
        <f aca="false">HYPERLINK("https://lindat.mff.cuni.cz/services/teitok/pdtc10/index.php?action=vallex&amp;frame=v-w5103f3", "přidat (v-w5103f3) - substituted with v-w5103f5_ZU")</f>
        <v>přidat (v-w5103f3) - substituted with v-w5103f5_ZU</v>
      </c>
    </row>
    <row r="37419" customFormat="false" ht="12.8" hidden="false" customHeight="false" outlineLevel="0" collapsed="false">
      <c r="B37419" s="0" t="s">
        <v>1</v>
      </c>
    </row>
    <row r="37420" customFormat="false" ht="12.8" hidden="false" customHeight="false" outlineLevel="0" collapsed="false">
      <c r="B37420" s="0" t="s">
        <v>7041</v>
      </c>
    </row>
    <row r="37422" customFormat="false" ht="12.8" hidden="false" customHeight="false" outlineLevel="0" collapsed="false">
      <c r="A37422" s="0" t="s">
        <v>14034</v>
      </c>
      <c r="B37422" s="0" t="str">
        <f aca="false">HYPERLINK("https://lindat.mff.cuni.cz/services/teitok/pdtc10/index.php?action=vallex&amp;frame=v-w5104f2", "přidat se (v-w5104f2)")</f>
        <v>přidat se (v-w5104f2)</v>
      </c>
      <c r="E37422" s="0" t="str">
        <f aca="false">HYPERLINK("https://lindat.mff.cuni.cz/services/SynSemClass40/SynSemClass40.html?veclass=vec00067#vec00067-ces-cm00339", "vec00067")</f>
        <v>vec00067</v>
      </c>
      <c r="F37422" s="0" t="s">
        <v>126</v>
      </c>
    </row>
    <row r="37423" customFormat="false" ht="12.8" hidden="false" customHeight="false" outlineLevel="0" collapsed="false">
      <c r="B37423" s="0" t="s">
        <v>1</v>
      </c>
      <c r="C37423" s="0" t="s">
        <v>185</v>
      </c>
      <c r="E37423" s="0" t="s">
        <v>11</v>
      </c>
      <c r="F37423" s="0" t="s">
        <v>129</v>
      </c>
    </row>
    <row r="37424" customFormat="false" ht="12.8" hidden="false" customHeight="false" outlineLevel="0" collapsed="false">
      <c r="B37424" s="0" t="s">
        <v>311</v>
      </c>
      <c r="C37424" s="0" t="s">
        <v>187</v>
      </c>
      <c r="E37424" s="0" t="s">
        <v>188</v>
      </c>
      <c r="F37424" s="0" t="s">
        <v>189</v>
      </c>
    </row>
    <row r="37426" customFormat="false" ht="12.8" hidden="false" customHeight="false" outlineLevel="0" collapsed="false">
      <c r="A37426" s="0" t="s">
        <v>14035</v>
      </c>
      <c r="B37426" s="0" t="str">
        <f aca="false">HYPERLINK("https://lindat.mff.cuni.cz/services/teitok/pdtc10/index.php?action=vallex&amp;frame=v-w5104f1", "přidat se (v-w5104f1)")</f>
        <v>přidat se (v-w5104f1)</v>
      </c>
      <c r="E37426" s="0" t="str">
        <f aca="false">HYPERLINK("https://lindat.mff.cuni.cz/services/SynSemClass40/SynSemClass40.html?veclass=vec00239#vec00239-ces-cm00027", "vec00239")</f>
        <v>vec00239</v>
      </c>
      <c r="F37426" s="0" t="s">
        <v>4352</v>
      </c>
    </row>
    <row r="37427" customFormat="false" ht="12.8" hidden="false" customHeight="false" outlineLevel="0" collapsed="false">
      <c r="B37427" s="0" t="s">
        <v>1</v>
      </c>
      <c r="C37427" s="0" t="s">
        <v>4353</v>
      </c>
      <c r="E37427" s="0" t="s">
        <v>4354</v>
      </c>
      <c r="F37427" s="0" t="s">
        <v>4355</v>
      </c>
    </row>
    <row r="37428" customFormat="false" ht="12.8" hidden="false" customHeight="false" outlineLevel="0" collapsed="false">
      <c r="B37428" s="0" t="s">
        <v>164</v>
      </c>
      <c r="C37428" s="0" t="s">
        <v>7792</v>
      </c>
      <c r="E37428" s="0" t="s">
        <v>7793</v>
      </c>
      <c r="F37428" s="0" t="s">
        <v>7794</v>
      </c>
    </row>
    <row r="37430" customFormat="false" ht="12.8" hidden="false" customHeight="false" outlineLevel="0" collapsed="false">
      <c r="A37430" s="0" t="s">
        <v>14036</v>
      </c>
      <c r="B37430" s="0" t="str">
        <f aca="false">HYPERLINK("https://lindat.mff.cuni.cz/services/teitok/pdtc10/index.php?action=vallex&amp;frame=v-w11490f1", "přidružit se (v-w11490f1)")</f>
        <v>přidružit se (v-w11490f1)</v>
      </c>
      <c r="E37430" s="0" t="str">
        <f aca="false">HYPERLINK("https://lindat.mff.cuni.cz/services/SynSemClass40/SynSemClass40.html?veclass=vec00239#vec00239-ces-cm00096", "vec00239")</f>
        <v>vec00239</v>
      </c>
      <c r="F37430" s="0" t="s">
        <v>4352</v>
      </c>
    </row>
    <row r="37431" customFormat="false" ht="12.8" hidden="false" customHeight="false" outlineLevel="0" collapsed="false">
      <c r="B37431" s="0" t="s">
        <v>1</v>
      </c>
      <c r="C37431" s="0" t="s">
        <v>4353</v>
      </c>
      <c r="E37431" s="0" t="s">
        <v>4354</v>
      </c>
      <c r="F37431" s="0" t="s">
        <v>4355</v>
      </c>
    </row>
    <row r="37432" customFormat="false" ht="12.8" hidden="false" customHeight="false" outlineLevel="0" collapsed="false">
      <c r="B37432" s="0" t="s">
        <v>311</v>
      </c>
      <c r="C37432" s="0" t="s">
        <v>2372</v>
      </c>
      <c r="E37432" s="0" t="s">
        <v>7787</v>
      </c>
      <c r="F37432" s="0" t="s">
        <v>7788</v>
      </c>
    </row>
    <row r="37434" customFormat="false" ht="12.8" hidden="false" customHeight="false" outlineLevel="0" collapsed="false">
      <c r="A37434" s="0" t="s">
        <v>14037</v>
      </c>
      <c r="B37434" s="0" t="str">
        <f aca="false">HYPERLINK("https://lindat.mff.cuni.cz/services/teitok/pdtc10/index.php?action=vallex&amp;frame=v-w5118f1", "přidržet se (v-w5118f1)")</f>
        <v>přidržet se (v-w5118f1)</v>
      </c>
    </row>
    <row r="37435" customFormat="false" ht="12.8" hidden="false" customHeight="false" outlineLevel="0" collapsed="false">
      <c r="B37435" s="0" t="s">
        <v>1</v>
      </c>
    </row>
    <row r="37436" customFormat="false" ht="12.8" hidden="false" customHeight="false" outlineLevel="0" collapsed="false">
      <c r="B37436" s="0" t="s">
        <v>1289</v>
      </c>
    </row>
    <row r="37438" customFormat="false" ht="12.8" hidden="false" customHeight="false" outlineLevel="0" collapsed="false">
      <c r="A37438" s="0" t="s">
        <v>14038</v>
      </c>
      <c r="B37438" s="0" t="str">
        <f aca="false">HYPERLINK("https://lindat.mff.cuni.cz/services/teitok/pdtc10/index.php?action=vallex&amp;frame=v-w5118f2", "přidržet se (v-w5118f2)")</f>
        <v>přidržet se (v-w5118f2)</v>
      </c>
    </row>
    <row r="37439" customFormat="false" ht="12.8" hidden="false" customHeight="false" outlineLevel="0" collapsed="false">
      <c r="B37439" s="0" t="s">
        <v>1</v>
      </c>
    </row>
    <row r="37440" customFormat="false" ht="12.8" hidden="false" customHeight="false" outlineLevel="0" collapsed="false">
      <c r="B37440" s="0" t="s">
        <v>1289</v>
      </c>
    </row>
    <row r="37442" customFormat="false" ht="12.8" hidden="false" customHeight="false" outlineLevel="0" collapsed="false">
      <c r="A37442" s="0" t="s">
        <v>14039</v>
      </c>
      <c r="B37442" s="0" t="str">
        <f aca="false">HYPERLINK("https://lindat.mff.cuni.cz/services/teitok/pdtc10/index.php?action=vallex&amp;frame=v-w12011_ZUf1_ZU", "přidržovat (v-w12011_ZUf1_ZU)")</f>
        <v>přidržovat (v-w12011_ZUf1_ZU)</v>
      </c>
    </row>
    <row r="37443" customFormat="false" ht="12.8" hidden="false" customHeight="false" outlineLevel="0" collapsed="false">
      <c r="B37443" s="0" t="s">
        <v>1</v>
      </c>
    </row>
    <row r="37444" customFormat="false" ht="12.8" hidden="false" customHeight="false" outlineLevel="0" collapsed="false">
      <c r="B37444" s="0" t="s">
        <v>8</v>
      </c>
    </row>
    <row r="37446" customFormat="false" ht="12.8" hidden="false" customHeight="false" outlineLevel="0" collapsed="false">
      <c r="A37446" s="0" t="s">
        <v>14040</v>
      </c>
      <c r="B37446" s="0" t="str">
        <f aca="false">HYPERLINK("https://lindat.mff.cuni.cz/services/teitok/pdtc10/index.php?action=vallex&amp;frame=v-w5106f2", "přidávat (v-w5106f2)")</f>
        <v>přidávat (v-w5106f2)</v>
      </c>
      <c r="E37446" s="0" t="str">
        <f aca="false">HYPERLINK("https://lindat.mff.cuni.cz/services/SynSemClass40/SynSemClass40.html?veclass=vec00499#vec00499-ces-cm00027", "vec00499")</f>
        <v>vec00499</v>
      </c>
      <c r="F37446" s="0" t="s">
        <v>2186</v>
      </c>
    </row>
    <row r="37447" customFormat="false" ht="12.8" hidden="false" customHeight="false" outlineLevel="0" collapsed="false">
      <c r="B37447" s="0" t="s">
        <v>1</v>
      </c>
      <c r="C37447" s="0" t="s">
        <v>2187</v>
      </c>
      <c r="E37447" s="0" t="s">
        <v>1784</v>
      </c>
      <c r="F37447" s="0" t="s">
        <v>2188</v>
      </c>
    </row>
    <row r="37448" customFormat="false" ht="12.8" hidden="false" customHeight="false" outlineLevel="0" collapsed="false">
      <c r="B37448" s="0" t="s">
        <v>7041</v>
      </c>
      <c r="C37448" s="0" t="s">
        <v>2190</v>
      </c>
      <c r="E37448" s="0" t="s">
        <v>1787</v>
      </c>
      <c r="F37448" s="0" t="s">
        <v>2191</v>
      </c>
    </row>
    <row r="37449" customFormat="false" ht="12.8" hidden="false" customHeight="false" outlineLevel="0" collapsed="false">
      <c r="B37449" s="0" t="s">
        <v>52</v>
      </c>
      <c r="E37449" s="0" t="s">
        <v>53</v>
      </c>
      <c r="F37449" s="0" t="s">
        <v>54</v>
      </c>
    </row>
    <row r="37451" customFormat="false" ht="12.8" hidden="false" customHeight="false" outlineLevel="0" collapsed="false">
      <c r="A37451" s="0" t="s">
        <v>14041</v>
      </c>
      <c r="B37451" s="0" t="str">
        <f aca="false">HYPERLINK("https://lindat.mff.cuni.cz/services/teitok/pdtc10/index.php?action=vallex&amp;frame=v-w5106f1", "přidávat (v-w5106f1)")</f>
        <v>přidávat (v-w5106f1)</v>
      </c>
      <c r="E37451" s="0" t="str">
        <f aca="false">HYPERLINK("https://lindat.mff.cuni.cz/services/SynSemClass40/SynSemClass40.html?veclass=vec00175#vec00175-ces-cm00028", "vec00175")</f>
        <v>vec00175</v>
      </c>
      <c r="F37451" s="0" t="s">
        <v>4861</v>
      </c>
      <c r="H37451" s="0" t="str">
        <f aca="false">HYPERLINK("https://lindat.mff.cuni.cz/services/SynSemClass40/SynSemClass40.html?veclass=vec01536#vec01536-ces-cm00007", "vec01536")</f>
        <v>vec01536</v>
      </c>
      <c r="I37451" s="0" t="s">
        <v>14025</v>
      </c>
    </row>
    <row r="37452" customFormat="false" ht="12.8" hidden="false" customHeight="false" outlineLevel="0" collapsed="false">
      <c r="B37452" s="0" t="s">
        <v>1</v>
      </c>
      <c r="C37452" s="0" t="s">
        <v>14026</v>
      </c>
      <c r="E37452" s="0" t="s">
        <v>31</v>
      </c>
      <c r="F37452" s="0" t="s">
        <v>13929</v>
      </c>
      <c r="H37452" s="0" t="s">
        <v>31</v>
      </c>
      <c r="I37452" s="0" t="s">
        <v>14027</v>
      </c>
    </row>
    <row r="37453" customFormat="false" ht="12.8" hidden="false" customHeight="false" outlineLevel="0" collapsed="false">
      <c r="B37453" s="0" t="s">
        <v>8</v>
      </c>
      <c r="C37453" s="0" t="s">
        <v>14028</v>
      </c>
      <c r="E37453" s="0" t="s">
        <v>13931</v>
      </c>
      <c r="F37453" s="0" t="s">
        <v>13932</v>
      </c>
      <c r="H37453" s="0" t="s">
        <v>110</v>
      </c>
      <c r="I37453" s="0" t="s">
        <v>14029</v>
      </c>
    </row>
    <row r="37454" customFormat="false" ht="12.8" hidden="false" customHeight="false" outlineLevel="0" collapsed="false">
      <c r="B37454" s="0" t="s">
        <v>164</v>
      </c>
      <c r="C37454" s="0" t="s">
        <v>14030</v>
      </c>
      <c r="E37454" s="0" t="s">
        <v>4866</v>
      </c>
      <c r="F37454" s="0" t="s">
        <v>4867</v>
      </c>
      <c r="H37454" s="0" t="s">
        <v>14031</v>
      </c>
      <c r="I37454" s="0" t="s">
        <v>14032</v>
      </c>
    </row>
    <row r="37456" customFormat="false" ht="12.8" hidden="false" customHeight="false" outlineLevel="0" collapsed="false">
      <c r="A37456" s="0" t="s">
        <v>14042</v>
      </c>
      <c r="B37456" s="0" t="str">
        <f aca="false">HYPERLINK("https://lindat.mff.cuni.cz/services/teitok/pdtc10/index.php?action=vallex&amp;frame=v-w5106f3", "přidávat (v-w5106f3)")</f>
        <v>přidávat (v-w5106f3)</v>
      </c>
      <c r="E37456" s="0" t="str">
        <f aca="false">HYPERLINK("https://lindat.mff.cuni.cz/services/SynSemClass40/SynSemClass40.html?veclass=vec00499#vec00499-ces-cm00028", "vec00499")</f>
        <v>vec00499</v>
      </c>
      <c r="F37456" s="0" t="s">
        <v>2186</v>
      </c>
    </row>
    <row r="37457" customFormat="false" ht="12.8" hidden="false" customHeight="false" outlineLevel="0" collapsed="false">
      <c r="B37457" s="0" t="s">
        <v>1</v>
      </c>
      <c r="C37457" s="0" t="s">
        <v>2187</v>
      </c>
      <c r="E37457" s="0" t="s">
        <v>1784</v>
      </c>
      <c r="F37457" s="0" t="s">
        <v>2188</v>
      </c>
    </row>
    <row r="37458" customFormat="false" ht="12.8" hidden="false" customHeight="false" outlineLevel="0" collapsed="false">
      <c r="B37458" s="0" t="s">
        <v>8</v>
      </c>
      <c r="C37458" s="0" t="s">
        <v>2190</v>
      </c>
      <c r="E37458" s="0" t="s">
        <v>1787</v>
      </c>
      <c r="F37458" s="0" t="s">
        <v>2191</v>
      </c>
    </row>
    <row r="37460" customFormat="false" ht="12.8" hidden="false" customHeight="false" outlineLevel="0" collapsed="false">
      <c r="A37460" s="0" t="s">
        <v>14043</v>
      </c>
      <c r="B37460" s="0" t="str">
        <f aca="false">HYPERLINK("https://lindat.mff.cuni.cz/services/teitok/pdtc10/index.php?action=vallex&amp;frame=v-w5107f1", "přidávat se (v-w5107f1)")</f>
        <v>přidávat se (v-w5107f1)</v>
      </c>
      <c r="E37460" s="0" t="str">
        <f aca="false">HYPERLINK("https://lindat.mff.cuni.cz/services/SynSemClass40/SynSemClass40.html?veclass=vec00067#vec00067-ces-cm00340", "vec00067")</f>
        <v>vec00067</v>
      </c>
      <c r="F37460" s="0" t="s">
        <v>126</v>
      </c>
    </row>
    <row r="37461" customFormat="false" ht="12.8" hidden="false" customHeight="false" outlineLevel="0" collapsed="false">
      <c r="B37461" s="0" t="s">
        <v>1</v>
      </c>
      <c r="C37461" s="0" t="s">
        <v>185</v>
      </c>
      <c r="E37461" s="0" t="s">
        <v>11</v>
      </c>
      <c r="F37461" s="0" t="s">
        <v>129</v>
      </c>
    </row>
    <row r="37462" customFormat="false" ht="12.8" hidden="false" customHeight="false" outlineLevel="0" collapsed="false">
      <c r="B37462" s="0" t="s">
        <v>311</v>
      </c>
      <c r="C37462" s="0" t="s">
        <v>187</v>
      </c>
      <c r="E37462" s="0" t="s">
        <v>188</v>
      </c>
      <c r="F37462" s="0" t="s">
        <v>189</v>
      </c>
    </row>
    <row r="37464" customFormat="false" ht="12.8" hidden="false" customHeight="false" outlineLevel="0" collapsed="false">
      <c r="A37464" s="0" t="s">
        <v>14044</v>
      </c>
      <c r="B37464" s="0" t="str">
        <f aca="false">HYPERLINK("https://lindat.mff.cuni.cz/services/teitok/pdtc10/index.php?action=vallex&amp;frame=v-w5107f2", "přidávat se (v-w5107f2)")</f>
        <v>přidávat se (v-w5107f2)</v>
      </c>
      <c r="E37464" s="0" t="str">
        <f aca="false">HYPERLINK("https://lindat.mff.cuni.cz/services/SynSemClass40/SynSemClass40.html?veclass=vec00239#vec00239-ces-cm00079", "vec00239")</f>
        <v>vec00239</v>
      </c>
      <c r="F37464" s="0" t="s">
        <v>4352</v>
      </c>
    </row>
    <row r="37465" customFormat="false" ht="12.8" hidden="false" customHeight="false" outlineLevel="0" collapsed="false">
      <c r="B37465" s="0" t="s">
        <v>1</v>
      </c>
      <c r="C37465" s="0" t="s">
        <v>4353</v>
      </c>
      <c r="E37465" s="0" t="s">
        <v>4354</v>
      </c>
      <c r="F37465" s="0" t="s">
        <v>4355</v>
      </c>
    </row>
    <row r="37466" customFormat="false" ht="12.8" hidden="false" customHeight="false" outlineLevel="0" collapsed="false">
      <c r="B37466" s="0" t="s">
        <v>164</v>
      </c>
      <c r="C37466" s="0" t="s">
        <v>7792</v>
      </c>
      <c r="E37466" s="0" t="s">
        <v>7793</v>
      </c>
      <c r="F37466" s="0" t="s">
        <v>7794</v>
      </c>
    </row>
    <row r="37468" customFormat="false" ht="12.8" hidden="false" customHeight="false" outlineLevel="0" collapsed="false">
      <c r="A37468" s="0" t="s">
        <v>14045</v>
      </c>
      <c r="B37468" s="0" t="str">
        <f aca="false">HYPERLINK("https://lindat.mff.cuni.cz/services/teitok/pdtc10/index.php?action=vallex&amp;frame=v-w5110f1", "přidělat (v-w5110f1)")</f>
        <v>přidělat (v-w5110f1)</v>
      </c>
    </row>
    <row r="37469" customFormat="false" ht="12.8" hidden="false" customHeight="false" outlineLevel="0" collapsed="false">
      <c r="B37469" s="0" t="s">
        <v>1</v>
      </c>
    </row>
    <row r="37470" customFormat="false" ht="12.8" hidden="false" customHeight="false" outlineLevel="0" collapsed="false">
      <c r="B37470" s="0" t="s">
        <v>8</v>
      </c>
    </row>
    <row r="37471" customFormat="false" ht="12.8" hidden="false" customHeight="false" outlineLevel="0" collapsed="false">
      <c r="B37471" s="0" t="s">
        <v>52</v>
      </c>
    </row>
    <row r="37473" customFormat="false" ht="12.8" hidden="false" customHeight="false" outlineLevel="0" collapsed="false">
      <c r="A37473" s="0" t="s">
        <v>14046</v>
      </c>
      <c r="B37473" s="0" t="str">
        <f aca="false">HYPERLINK("https://lindat.mff.cuni.cz/services/teitok/pdtc10/index.php?action=vallex&amp;frame=v-w5110f2_ZU", "přidělat (v-w5110f2_ZU)")</f>
        <v>přidělat (v-w5110f2_ZU)</v>
      </c>
    </row>
    <row r="37474" customFormat="false" ht="12.8" hidden="false" customHeight="false" outlineLevel="0" collapsed="false">
      <c r="B37474" s="0" t="s">
        <v>1</v>
      </c>
    </row>
    <row r="37475" customFormat="false" ht="12.8" hidden="false" customHeight="false" outlineLevel="0" collapsed="false">
      <c r="B37475" s="0" t="s">
        <v>5032</v>
      </c>
    </row>
    <row r="37476" customFormat="false" ht="12.8" hidden="false" customHeight="false" outlineLevel="0" collapsed="false">
      <c r="B37476" s="0" t="s">
        <v>36</v>
      </c>
    </row>
    <row r="37478" customFormat="false" ht="12.8" hidden="false" customHeight="false" outlineLevel="0" collapsed="false">
      <c r="A37478" s="0" t="s">
        <v>14046</v>
      </c>
      <c r="B37478" s="0" t="str">
        <f aca="false">HYPERLINK("https://lindat.mff.cuni.cz/services/teitok/pdtc10/index.php?action=vallex&amp;frame=v-w5110hsa_1641", "přidělat (v-w5110hsa_1641) - substituted with v-w5110f2_ZU")</f>
        <v>přidělat (v-w5110hsa_1641) - substituted with v-w5110f2_ZU</v>
      </c>
    </row>
    <row r="37479" customFormat="false" ht="12.8" hidden="false" customHeight="false" outlineLevel="0" collapsed="false">
      <c r="B37479" s="0" t="s">
        <v>1</v>
      </c>
    </row>
    <row r="37480" customFormat="false" ht="12.8" hidden="false" customHeight="false" outlineLevel="0" collapsed="false">
      <c r="B37480" s="0" t="s">
        <v>5032</v>
      </c>
    </row>
    <row r="37481" customFormat="false" ht="12.8" hidden="false" customHeight="false" outlineLevel="0" collapsed="false">
      <c r="B37481" s="0" t="s">
        <v>36</v>
      </c>
    </row>
    <row r="37483" customFormat="false" ht="12.8" hidden="false" customHeight="false" outlineLevel="0" collapsed="false">
      <c r="A37483" s="0" t="s">
        <v>14047</v>
      </c>
      <c r="B37483" s="0" t="str">
        <f aca="false">HYPERLINK("https://lindat.mff.cuni.cz/services/teitok/pdtc10/index.php?action=vallex&amp;frame=v-w5114f1", "přidělit (v-w5114f1)")</f>
        <v>přidělit (v-w5114f1)</v>
      </c>
      <c r="E37483" s="0" t="str">
        <f aca="false">HYPERLINK("https://lindat.mff.cuni.cz/services/SynSemClass40/SynSemClass40.html?veclass=vec00074#vec00074-ces-cm00138", "vec00074")</f>
        <v>vec00074</v>
      </c>
      <c r="F37483" s="0" t="s">
        <v>1782</v>
      </c>
      <c r="H37483" s="0" t="str">
        <f aca="false">HYPERLINK("https://lindat.mff.cuni.cz/services/SynSemClass40/SynSemClass40.html?veclass=vec00571#vec00571-ces-cm00018", "vec00571")</f>
        <v>vec00571</v>
      </c>
      <c r="I37483" s="0" t="s">
        <v>1861</v>
      </c>
    </row>
    <row r="37484" customFormat="false" ht="12.8" hidden="false" customHeight="false" outlineLevel="0" collapsed="false">
      <c r="B37484" s="0" t="s">
        <v>1</v>
      </c>
      <c r="C37484" s="0" t="s">
        <v>14048</v>
      </c>
      <c r="E37484" s="0" t="s">
        <v>1784</v>
      </c>
      <c r="F37484" s="0" t="s">
        <v>1785</v>
      </c>
      <c r="H37484" s="0" t="s">
        <v>31</v>
      </c>
      <c r="I37484" s="0" t="s">
        <v>1865</v>
      </c>
    </row>
    <row r="37485" customFormat="false" ht="12.8" hidden="false" customHeight="false" outlineLevel="0" collapsed="false">
      <c r="B37485" s="0" t="s">
        <v>8</v>
      </c>
      <c r="C37485" s="0" t="s">
        <v>14049</v>
      </c>
      <c r="E37485" s="0" t="s">
        <v>1787</v>
      </c>
      <c r="F37485" s="0" t="s">
        <v>1788</v>
      </c>
      <c r="H37485" s="0" t="s">
        <v>1871</v>
      </c>
      <c r="I37485" s="0" t="s">
        <v>1872</v>
      </c>
    </row>
    <row r="37486" customFormat="false" ht="12.8" hidden="false" customHeight="false" outlineLevel="0" collapsed="false">
      <c r="B37486" s="0" t="s">
        <v>52</v>
      </c>
      <c r="C37486" s="0" t="s">
        <v>14050</v>
      </c>
      <c r="E37486" s="0" t="s">
        <v>53</v>
      </c>
      <c r="F37486" s="0" t="s">
        <v>1790</v>
      </c>
      <c r="H37486" s="0" t="s">
        <v>564</v>
      </c>
      <c r="I37486" s="0" t="s">
        <v>1878</v>
      </c>
    </row>
    <row r="37488" customFormat="false" ht="12.8" hidden="false" customHeight="false" outlineLevel="0" collapsed="false">
      <c r="A37488" s="0" t="s">
        <v>14051</v>
      </c>
      <c r="B37488" s="0" t="str">
        <f aca="false">HYPERLINK("https://lindat.mff.cuni.cz/services/teitok/pdtc10/index.php?action=vallex&amp;frame=v-w5114hsa_76", "přidělit (v-w5114hsa_76)")</f>
        <v>přidělit (v-w5114hsa_76)</v>
      </c>
    </row>
    <row r="37489" customFormat="false" ht="12.8" hidden="false" customHeight="false" outlineLevel="0" collapsed="false">
      <c r="B37489" s="0" t="s">
        <v>1</v>
      </c>
    </row>
    <row r="37490" customFormat="false" ht="12.8" hidden="false" customHeight="false" outlineLevel="0" collapsed="false">
      <c r="B37490" s="0" t="s">
        <v>8</v>
      </c>
    </row>
    <row r="37491" customFormat="false" ht="12.8" hidden="false" customHeight="false" outlineLevel="0" collapsed="false">
      <c r="B37491" s="0" t="s">
        <v>164</v>
      </c>
    </row>
    <row r="37493" customFormat="false" ht="12.8" hidden="false" customHeight="false" outlineLevel="0" collapsed="false">
      <c r="A37493" s="0" t="s">
        <v>14052</v>
      </c>
      <c r="B37493" s="0" t="str">
        <f aca="false">HYPERLINK("https://lindat.mff.cuni.cz/services/teitok/pdtc10/index.php?action=vallex&amp;frame=v-w5116f1", "přidělovat (v-w5116f1)")</f>
        <v>přidělovat (v-w5116f1)</v>
      </c>
      <c r="E37493" s="0" t="str">
        <f aca="false">HYPERLINK("https://lindat.mff.cuni.cz/services/SynSemClass40/SynSemClass40.html?veclass=vec00571#vec00571-ces-cm00057", "vec00571")</f>
        <v>vec00571</v>
      </c>
      <c r="F37493" s="0" t="s">
        <v>1861</v>
      </c>
    </row>
    <row r="37494" customFormat="false" ht="12.8" hidden="false" customHeight="false" outlineLevel="0" collapsed="false">
      <c r="B37494" s="0" t="s">
        <v>1</v>
      </c>
      <c r="C37494" s="0" t="s">
        <v>11897</v>
      </c>
      <c r="E37494" s="0" t="s">
        <v>31</v>
      </c>
      <c r="F37494" s="0" t="s">
        <v>1865</v>
      </c>
    </row>
    <row r="37495" customFormat="false" ht="12.8" hidden="false" customHeight="false" outlineLevel="0" collapsed="false">
      <c r="B37495" s="0" t="s">
        <v>8</v>
      </c>
      <c r="C37495" s="0" t="s">
        <v>5753</v>
      </c>
      <c r="E37495" s="0" t="s">
        <v>1871</v>
      </c>
      <c r="F37495" s="0" t="s">
        <v>1872</v>
      </c>
    </row>
    <row r="37496" customFormat="false" ht="12.8" hidden="false" customHeight="false" outlineLevel="0" collapsed="false">
      <c r="B37496" s="0" t="s">
        <v>52</v>
      </c>
      <c r="C37496" s="0" t="s">
        <v>11899</v>
      </c>
      <c r="E37496" s="0" t="s">
        <v>564</v>
      </c>
      <c r="F37496" s="0" t="s">
        <v>1878</v>
      </c>
    </row>
    <row r="37498" customFormat="false" ht="12.8" hidden="false" customHeight="false" outlineLevel="0" collapsed="false">
      <c r="A37498" s="0" t="s">
        <v>14053</v>
      </c>
      <c r="B37498" s="0" t="str">
        <f aca="false">HYPERLINK("https://lindat.mff.cuni.cz/services/teitok/pdtc10/index.php?action=vallex&amp;frame=v-w5116hsa_319", "přidělovat (v-w5116hsa_319)")</f>
        <v>přidělovat (v-w5116hsa_319)</v>
      </c>
    </row>
    <row r="37499" customFormat="false" ht="12.8" hidden="false" customHeight="false" outlineLevel="0" collapsed="false">
      <c r="B37499" s="0" t="s">
        <v>1</v>
      </c>
    </row>
    <row r="37500" customFormat="false" ht="12.8" hidden="false" customHeight="false" outlineLevel="0" collapsed="false">
      <c r="B37500" s="0" t="s">
        <v>8</v>
      </c>
    </row>
    <row r="37501" customFormat="false" ht="12.8" hidden="false" customHeight="false" outlineLevel="0" collapsed="false">
      <c r="B37501" s="0" t="s">
        <v>164</v>
      </c>
    </row>
    <row r="37503" customFormat="false" ht="12.8" hidden="false" customHeight="false" outlineLevel="0" collapsed="false">
      <c r="A37503" s="0" t="s">
        <v>14054</v>
      </c>
      <c r="B37503" s="0" t="str">
        <f aca="false">HYPERLINK("https://lindat.mff.cuni.cz/services/teitok/pdtc10/index.php?action=vallex&amp;frame=v-w5111f1", "přidělávat (v-w5111f1)")</f>
        <v>přidělávat (v-w5111f1)</v>
      </c>
    </row>
    <row r="37504" customFormat="false" ht="12.8" hidden="false" customHeight="false" outlineLevel="0" collapsed="false">
      <c r="B37504" s="0" t="s">
        <v>1</v>
      </c>
    </row>
    <row r="37505" customFormat="false" ht="12.8" hidden="false" customHeight="false" outlineLevel="0" collapsed="false">
      <c r="B37505" s="0" t="s">
        <v>8</v>
      </c>
    </row>
    <row r="37506" customFormat="false" ht="12.8" hidden="false" customHeight="false" outlineLevel="0" collapsed="false">
      <c r="B37506" s="0" t="s">
        <v>52</v>
      </c>
    </row>
    <row r="37508" customFormat="false" ht="12.8" hidden="false" customHeight="false" outlineLevel="0" collapsed="false">
      <c r="A37508" s="0" t="s">
        <v>14055</v>
      </c>
      <c r="B37508" s="0" t="str">
        <f aca="false">HYPERLINK("https://lindat.mff.cuni.cz/services/teitok/pdtc10/index.php?action=vallex&amp;frame=v-w5111f2_ZU", "přidělávat (v-w5111f2_ZU)")</f>
        <v>přidělávat (v-w5111f2_ZU)</v>
      </c>
    </row>
    <row r="37509" customFormat="false" ht="12.8" hidden="false" customHeight="false" outlineLevel="0" collapsed="false">
      <c r="B37509" s="0" t="s">
        <v>1</v>
      </c>
    </row>
    <row r="37510" customFormat="false" ht="12.8" hidden="false" customHeight="false" outlineLevel="0" collapsed="false">
      <c r="B37510" s="0" t="s">
        <v>8</v>
      </c>
    </row>
    <row r="37511" customFormat="false" ht="12.8" hidden="false" customHeight="false" outlineLevel="0" collapsed="false">
      <c r="B37511" s="0" t="s">
        <v>36</v>
      </c>
    </row>
    <row r="37513" customFormat="false" ht="12.8" hidden="false" customHeight="false" outlineLevel="0" collapsed="false">
      <c r="A37513" s="0" t="s">
        <v>14055</v>
      </c>
      <c r="B37513" s="0" t="str">
        <f aca="false">HYPERLINK("https://lindat.mff.cuni.cz/services/teitok/pdtc10/index.php?action=vallex&amp;frame=v-w5111hsa_1585", "přidělávat (v-w5111hsa_1585) - substituted with v-w5111f2_ZU")</f>
        <v>přidělávat (v-w5111hsa_1585) - substituted with v-w5111f2_ZU</v>
      </c>
    </row>
    <row r="37514" customFormat="false" ht="12.8" hidden="false" customHeight="false" outlineLevel="0" collapsed="false">
      <c r="B37514" s="0" t="s">
        <v>1</v>
      </c>
    </row>
    <row r="37515" customFormat="false" ht="12.8" hidden="false" customHeight="false" outlineLevel="0" collapsed="false">
      <c r="B37515" s="0" t="s">
        <v>8</v>
      </c>
    </row>
    <row r="37516" customFormat="false" ht="12.8" hidden="false" customHeight="false" outlineLevel="0" collapsed="false">
      <c r="B37516" s="0" t="s">
        <v>36</v>
      </c>
    </row>
    <row r="37518" customFormat="false" ht="12.8" hidden="false" customHeight="false" outlineLevel="0" collapsed="false">
      <c r="A37518" s="0" t="s">
        <v>14056</v>
      </c>
      <c r="B37518" s="0" t="str">
        <f aca="false">HYPERLINK("https://lindat.mff.cuni.cz/services/teitok/pdtc10/index.php?action=vallex&amp;frame=v-w12102_ZUf1_ZU", "přifařit se (v-w12102_ZUf1_ZU)")</f>
        <v>přifařit se (v-w12102_ZUf1_ZU)</v>
      </c>
    </row>
    <row r="37519" customFormat="false" ht="12.8" hidden="false" customHeight="false" outlineLevel="0" collapsed="false">
      <c r="B37519" s="0" t="s">
        <v>1</v>
      </c>
    </row>
    <row r="37520" customFormat="false" ht="12.8" hidden="false" customHeight="false" outlineLevel="0" collapsed="false">
      <c r="B37520" s="0" t="s">
        <v>454</v>
      </c>
    </row>
    <row r="37522" customFormat="false" ht="12.8" hidden="false" customHeight="false" outlineLevel="0" collapsed="false">
      <c r="A37522" s="0" t="s">
        <v>14057</v>
      </c>
      <c r="B37522" s="0" t="str">
        <f aca="false">HYPERLINK("https://lindat.mff.cuni.cz/services/teitok/pdtc10/index.php?action=vallex&amp;frame=v-w10911f2", "přihazovat (v-w10911f2)")</f>
        <v>přihazovat (v-w10911f2)</v>
      </c>
    </row>
    <row r="37523" customFormat="false" ht="12.8" hidden="false" customHeight="false" outlineLevel="0" collapsed="false">
      <c r="B37523" s="0" t="s">
        <v>1</v>
      </c>
    </row>
    <row r="37524" customFormat="false" ht="12.8" hidden="false" customHeight="false" outlineLevel="0" collapsed="false">
      <c r="B37524" s="0" t="s">
        <v>390</v>
      </c>
    </row>
    <row r="37526" customFormat="false" ht="12.8" hidden="false" customHeight="false" outlineLevel="0" collapsed="false">
      <c r="A37526" s="0" t="s">
        <v>14058</v>
      </c>
      <c r="B37526" s="0" t="str">
        <f aca="false">HYPERLINK("https://lindat.mff.cuni.cz/services/teitok/pdtc10/index.php?action=vallex&amp;frame=v-w5126f1", "přihlašovat (v-w5126f1)")</f>
        <v>přihlašovat (v-w5126f1)</v>
      </c>
    </row>
    <row r="37527" customFormat="false" ht="12.8" hidden="false" customHeight="false" outlineLevel="0" collapsed="false">
      <c r="B37527" s="0" t="s">
        <v>1</v>
      </c>
    </row>
    <row r="37528" customFormat="false" ht="12.8" hidden="false" customHeight="false" outlineLevel="0" collapsed="false">
      <c r="B37528" s="0" t="s">
        <v>8</v>
      </c>
    </row>
    <row r="37529" customFormat="false" ht="12.8" hidden="false" customHeight="false" outlineLevel="0" collapsed="false">
      <c r="B37529" s="0" t="s">
        <v>164</v>
      </c>
    </row>
    <row r="37531" customFormat="false" ht="12.8" hidden="false" customHeight="false" outlineLevel="0" collapsed="false">
      <c r="A37531" s="0" t="s">
        <v>14059</v>
      </c>
      <c r="B37531" s="0" t="str">
        <f aca="false">HYPERLINK("https://lindat.mff.cuni.cz/services/teitok/pdtc10/index.php?action=vallex&amp;frame=v-w5119f5_ZU", "přihlásit (v-w5119f5_ZU)")</f>
        <v>přihlásit (v-w5119f5_ZU)</v>
      </c>
    </row>
    <row r="37532" customFormat="false" ht="12.8" hidden="false" customHeight="false" outlineLevel="0" collapsed="false">
      <c r="B37532" s="0" t="s">
        <v>1</v>
      </c>
    </row>
    <row r="37533" customFormat="false" ht="12.8" hidden="false" customHeight="false" outlineLevel="0" collapsed="false">
      <c r="B37533" s="0" t="s">
        <v>8</v>
      </c>
    </row>
    <row r="37534" customFormat="false" ht="12.8" hidden="false" customHeight="false" outlineLevel="0" collapsed="false">
      <c r="B37534" s="0" t="s">
        <v>52</v>
      </c>
    </row>
    <row r="37535" customFormat="false" ht="12.8" hidden="false" customHeight="false" outlineLevel="0" collapsed="false">
      <c r="B37535" s="0" t="s">
        <v>14060</v>
      </c>
    </row>
    <row r="37537" customFormat="false" ht="12.8" hidden="false" customHeight="false" outlineLevel="0" collapsed="false">
      <c r="A37537" s="0" t="s">
        <v>14059</v>
      </c>
      <c r="B37537" s="0" t="str">
        <f aca="false">HYPERLINK("https://lindat.mff.cuni.cz/services/teitok/pdtc10/index.php?action=vallex&amp;frame=v-w5119f3", "přihlásit (v-w5119f3) - substituted with v-w5119f5_ZU")</f>
        <v>přihlásit (v-w5119f3) - substituted with v-w5119f5_ZU</v>
      </c>
    </row>
    <row r="37538" customFormat="false" ht="12.8" hidden="false" customHeight="false" outlineLevel="0" collapsed="false">
      <c r="B37538" s="0" t="s">
        <v>1</v>
      </c>
    </row>
    <row r="37539" customFormat="false" ht="12.8" hidden="false" customHeight="false" outlineLevel="0" collapsed="false">
      <c r="B37539" s="0" t="s">
        <v>8</v>
      </c>
    </row>
    <row r="37540" customFormat="false" ht="12.8" hidden="false" customHeight="false" outlineLevel="0" collapsed="false">
      <c r="B37540" s="0" t="s">
        <v>52</v>
      </c>
    </row>
    <row r="37541" customFormat="false" ht="12.8" hidden="false" customHeight="false" outlineLevel="0" collapsed="false">
      <c r="B37541" s="0" t="s">
        <v>14060</v>
      </c>
    </row>
    <row r="37543" customFormat="false" ht="12.8" hidden="false" customHeight="false" outlineLevel="0" collapsed="false">
      <c r="A37543" s="0" t="s">
        <v>14059</v>
      </c>
      <c r="B37543" s="0" t="str">
        <f aca="false">HYPERLINK("https://lindat.mff.cuni.cz/services/teitok/pdtc10/index.php?action=vallex&amp;frame=v-w5119f4_ZU", "přihlásit (v-w5119f4_ZU) - substituted with v-w5119f5_ZU")</f>
        <v>přihlásit (v-w5119f4_ZU) - substituted with v-w5119f5_ZU</v>
      </c>
    </row>
    <row r="37544" customFormat="false" ht="12.8" hidden="false" customHeight="false" outlineLevel="0" collapsed="false">
      <c r="B37544" s="0" t="s">
        <v>1</v>
      </c>
    </row>
    <row r="37545" customFormat="false" ht="12.8" hidden="false" customHeight="false" outlineLevel="0" collapsed="false">
      <c r="B37545" s="0" t="s">
        <v>8</v>
      </c>
    </row>
    <row r="37546" customFormat="false" ht="12.8" hidden="false" customHeight="false" outlineLevel="0" collapsed="false">
      <c r="B37546" s="0" t="s">
        <v>52</v>
      </c>
    </row>
    <row r="37547" customFormat="false" ht="12.8" hidden="false" customHeight="false" outlineLevel="0" collapsed="false">
      <c r="B37547" s="0" t="s">
        <v>14060</v>
      </c>
    </row>
    <row r="37549" customFormat="false" ht="12.8" hidden="false" customHeight="false" outlineLevel="0" collapsed="false">
      <c r="A37549" s="0" t="s">
        <v>14061</v>
      </c>
      <c r="B37549" s="0" t="str">
        <f aca="false">HYPERLINK("https://lindat.mff.cuni.cz/services/teitok/pdtc10/index.php?action=vallex&amp;frame=v-w5119f2", "přihlásit (v-w5119f2)")</f>
        <v>přihlásit (v-w5119f2)</v>
      </c>
    </row>
    <row r="37550" customFormat="false" ht="12.8" hidden="false" customHeight="false" outlineLevel="0" collapsed="false">
      <c r="B37550" s="0" t="s">
        <v>1</v>
      </c>
    </row>
    <row r="37551" customFormat="false" ht="12.8" hidden="false" customHeight="false" outlineLevel="0" collapsed="false">
      <c r="B37551" s="0" t="s">
        <v>8</v>
      </c>
    </row>
    <row r="37552" customFormat="false" ht="12.8" hidden="false" customHeight="false" outlineLevel="0" collapsed="false">
      <c r="B37552" s="0" t="s">
        <v>5</v>
      </c>
    </row>
    <row r="37554" customFormat="false" ht="12.8" hidden="false" customHeight="false" outlineLevel="0" collapsed="false">
      <c r="A37554" s="0" t="s">
        <v>14062</v>
      </c>
      <c r="B37554" s="0" t="str">
        <f aca="false">HYPERLINK("https://lindat.mff.cuni.cz/services/teitok/pdtc10/index.php?action=vallex&amp;frame=v-w5119f1", "přihlásit (v-w5119f1)")</f>
        <v>přihlásit (v-w5119f1)</v>
      </c>
    </row>
    <row r="37555" customFormat="false" ht="12.8" hidden="false" customHeight="false" outlineLevel="0" collapsed="false">
      <c r="B37555" s="0" t="s">
        <v>1</v>
      </c>
    </row>
    <row r="37556" customFormat="false" ht="12.8" hidden="false" customHeight="false" outlineLevel="0" collapsed="false">
      <c r="B37556" s="0" t="s">
        <v>8</v>
      </c>
    </row>
    <row r="37557" customFormat="false" ht="12.8" hidden="false" customHeight="false" outlineLevel="0" collapsed="false">
      <c r="B37557" s="0" t="s">
        <v>164</v>
      </c>
    </row>
    <row r="37559" customFormat="false" ht="12.8" hidden="false" customHeight="false" outlineLevel="0" collapsed="false">
      <c r="A37559" s="0" t="s">
        <v>14063</v>
      </c>
      <c r="B37559" s="0" t="str">
        <f aca="false">HYPERLINK("https://lindat.mff.cuni.cz/services/teitok/pdtc10/index.php?action=vallex&amp;frame=v-w5120f5", "přihlásit se (v-w5120f5)")</f>
        <v>přihlásit se (v-w5120f5)</v>
      </c>
      <c r="E37559" s="0" t="str">
        <f aca="false">HYPERLINK("https://lindat.mff.cuni.cz/services/SynSemClass40/SynSemClass40.html?veclass=vec00239#vec00239-ces-cm00070", "vec00239")</f>
        <v>vec00239</v>
      </c>
      <c r="F37559" s="0" t="s">
        <v>4352</v>
      </c>
    </row>
    <row r="37560" customFormat="false" ht="12.8" hidden="false" customHeight="false" outlineLevel="0" collapsed="false">
      <c r="B37560" s="0" t="s">
        <v>1</v>
      </c>
      <c r="C37560" s="0" t="s">
        <v>14064</v>
      </c>
      <c r="E37560" s="0" t="s">
        <v>14065</v>
      </c>
      <c r="F37560" s="0" t="s">
        <v>14066</v>
      </c>
    </row>
    <row r="37561" customFormat="false" ht="12.8" hidden="false" customHeight="false" outlineLevel="0" collapsed="false">
      <c r="B37561" s="0" t="s">
        <v>186</v>
      </c>
      <c r="C37561" s="0" t="s">
        <v>14067</v>
      </c>
      <c r="E37561" s="0" t="s">
        <v>13931</v>
      </c>
      <c r="F37561" s="0" t="s">
        <v>14068</v>
      </c>
    </row>
    <row r="37563" customFormat="false" ht="12.8" hidden="false" customHeight="false" outlineLevel="0" collapsed="false">
      <c r="A37563" s="0" t="s">
        <v>14069</v>
      </c>
      <c r="B37563" s="0" t="str">
        <f aca="false">HYPERLINK("https://lindat.mff.cuni.cz/services/teitok/pdtc10/index.php?action=vallex&amp;frame=v-w5120f1", "přihlásit se (v-w5120f1)")</f>
        <v>přihlásit se (v-w5120f1)</v>
      </c>
    </row>
    <row r="37564" customFormat="false" ht="12.8" hidden="false" customHeight="false" outlineLevel="0" collapsed="false">
      <c r="B37564" s="0" t="s">
        <v>1</v>
      </c>
    </row>
    <row r="37565" customFormat="false" ht="12.8" hidden="false" customHeight="false" outlineLevel="0" collapsed="false">
      <c r="B37565" s="0" t="s">
        <v>311</v>
      </c>
    </row>
    <row r="37567" customFormat="false" ht="12.8" hidden="false" customHeight="false" outlineLevel="0" collapsed="false">
      <c r="A37567" s="0" t="s">
        <v>14070</v>
      </c>
      <c r="B37567" s="0" t="str">
        <f aca="false">HYPERLINK("https://lindat.mff.cuni.cz/services/teitok/pdtc10/index.php?action=vallex&amp;frame=v-w5120f4", "přihlásit se (v-w5120f4)")</f>
        <v>přihlásit se (v-w5120f4)</v>
      </c>
      <c r="E37567" s="0" t="str">
        <f aca="false">HYPERLINK("https://lindat.mff.cuni.cz/services/SynSemClass40/SynSemClass40.html?veclass=vec01290#vec01290-ces-cm00005", "vec01290")</f>
        <v>vec01290</v>
      </c>
      <c r="F37567" s="0" t="s">
        <v>12066</v>
      </c>
    </row>
    <row r="37568" customFormat="false" ht="12.8" hidden="false" customHeight="false" outlineLevel="0" collapsed="false">
      <c r="B37568" s="0" t="s">
        <v>1</v>
      </c>
      <c r="C37568" s="0" t="s">
        <v>14071</v>
      </c>
      <c r="E37568" s="0" t="s">
        <v>1492</v>
      </c>
      <c r="F37568" s="0" t="s">
        <v>12068</v>
      </c>
    </row>
    <row r="37569" customFormat="false" ht="12.8" hidden="false" customHeight="false" outlineLevel="0" collapsed="false">
      <c r="B37569" s="0" t="s">
        <v>814</v>
      </c>
      <c r="C37569" s="0" t="s">
        <v>14072</v>
      </c>
      <c r="E37569" s="0" t="s">
        <v>1495</v>
      </c>
      <c r="F37569" s="0" t="s">
        <v>12071</v>
      </c>
    </row>
    <row r="37571" customFormat="false" ht="12.8" hidden="false" customHeight="false" outlineLevel="0" collapsed="false">
      <c r="A37571" s="0" t="s">
        <v>14073</v>
      </c>
      <c r="B37571" s="0" t="str">
        <f aca="false">HYPERLINK("https://lindat.mff.cuni.cz/services/teitok/pdtc10/index.php?action=vallex&amp;frame=v-w5120f3", "přihlásit se (v-w5120f3)")</f>
        <v>přihlásit se (v-w5120f3)</v>
      </c>
    </row>
    <row r="37572" customFormat="false" ht="12.8" hidden="false" customHeight="false" outlineLevel="0" collapsed="false">
      <c r="B37572" s="0" t="s">
        <v>1</v>
      </c>
    </row>
    <row r="37573" customFormat="false" ht="12.8" hidden="false" customHeight="false" outlineLevel="0" collapsed="false">
      <c r="B37573" s="0" t="s">
        <v>5</v>
      </c>
    </row>
    <row r="37575" customFormat="false" ht="12.8" hidden="false" customHeight="false" outlineLevel="0" collapsed="false">
      <c r="A37575" s="0" t="s">
        <v>14074</v>
      </c>
      <c r="B37575" s="0" t="str">
        <f aca="false">HYPERLINK("https://lindat.mff.cuni.cz/services/teitok/pdtc10/index.php?action=vallex&amp;frame=v-w5120f2", "přihlásit se (v-w5120f2)")</f>
        <v>přihlásit se (v-w5120f2)</v>
      </c>
      <c r="E37575" s="0" t="str">
        <f aca="false">HYPERLINK("https://lindat.mff.cuni.cz/services/SynSemClass40/SynSemClass40.html?veclass=vec00239#vec00239-ces-cm00069", "vec00239")</f>
        <v>vec00239</v>
      </c>
      <c r="F37575" s="0" t="s">
        <v>4352</v>
      </c>
    </row>
    <row r="37576" customFormat="false" ht="12.8" hidden="false" customHeight="false" outlineLevel="0" collapsed="false">
      <c r="B37576" s="0" t="s">
        <v>1</v>
      </c>
      <c r="C37576" s="0" t="s">
        <v>4353</v>
      </c>
      <c r="E37576" s="0" t="s">
        <v>4354</v>
      </c>
      <c r="F37576" s="0" t="s">
        <v>4355</v>
      </c>
    </row>
    <row r="37577" customFormat="false" ht="12.8" hidden="false" customHeight="false" outlineLevel="0" collapsed="false">
      <c r="B37577" s="0" t="s">
        <v>164</v>
      </c>
      <c r="C37577" s="0" t="s">
        <v>7792</v>
      </c>
      <c r="E37577" s="0" t="s">
        <v>7793</v>
      </c>
      <c r="F37577" s="0" t="s">
        <v>7794</v>
      </c>
    </row>
    <row r="37579" customFormat="false" ht="12.8" hidden="false" customHeight="false" outlineLevel="0" collapsed="false">
      <c r="A37579" s="0" t="s">
        <v>14075</v>
      </c>
      <c r="B37579" s="0" t="str">
        <f aca="false">HYPERLINK("https://lindat.mff.cuni.cz/services/teitok/pdtc10/index.php?action=vallex&amp;frame=v-w5120f7_ZU", "přihlásit se (v-w5120f7_ZU)")</f>
        <v>přihlásit se (v-w5120f7_ZU)</v>
      </c>
    </row>
    <row r="37580" customFormat="false" ht="12.8" hidden="false" customHeight="false" outlineLevel="0" collapsed="false">
      <c r="B37580" s="0" t="s">
        <v>1</v>
      </c>
    </row>
    <row r="37581" customFormat="false" ht="12.8" hidden="false" customHeight="false" outlineLevel="0" collapsed="false">
      <c r="B37581" s="0" t="s">
        <v>4446</v>
      </c>
    </row>
    <row r="37583" customFormat="false" ht="12.8" hidden="false" customHeight="false" outlineLevel="0" collapsed="false">
      <c r="A37583" s="0" t="s">
        <v>14075</v>
      </c>
      <c r="B37583" s="0" t="str">
        <f aca="false">HYPERLINK("https://lindat.mff.cuni.cz/services/teitok/pdtc10/index.php?action=vallex&amp;frame=v-w5120f6_ZU", "přihlásit se (v-w5120f6_ZU) - substituted with v-w5120f7_ZU")</f>
        <v>přihlásit se (v-w5120f6_ZU) - substituted with v-w5120f7_ZU</v>
      </c>
    </row>
    <row r="37584" customFormat="false" ht="12.8" hidden="false" customHeight="false" outlineLevel="0" collapsed="false">
      <c r="B37584" s="0" t="s">
        <v>1</v>
      </c>
    </row>
    <row r="37585" customFormat="false" ht="12.8" hidden="false" customHeight="false" outlineLevel="0" collapsed="false">
      <c r="B37585" s="0" t="s">
        <v>4446</v>
      </c>
    </row>
    <row r="37587" customFormat="false" ht="12.8" hidden="false" customHeight="false" outlineLevel="0" collapsed="false">
      <c r="A37587" s="0" t="s">
        <v>14076</v>
      </c>
      <c r="B37587" s="0" t="str">
        <f aca="false">HYPERLINK("https://lindat.mff.cuni.cz/services/teitok/pdtc10/index.php?action=vallex&amp;frame=v-w5120hsa_87", "přihlásit se (v-w5120hsa_87)")</f>
        <v>přihlásit se (v-w5120hsa_87)</v>
      </c>
    </row>
    <row r="37588" customFormat="false" ht="12.8" hidden="false" customHeight="false" outlineLevel="0" collapsed="false">
      <c r="B37588" s="0" t="s">
        <v>1</v>
      </c>
    </row>
    <row r="37590" customFormat="false" ht="12.8" hidden="false" customHeight="false" outlineLevel="0" collapsed="false">
      <c r="A37590" s="0" t="s">
        <v>14077</v>
      </c>
      <c r="B37590" s="0" t="str">
        <f aca="false">HYPERLINK("https://lindat.mff.cuni.cz/services/teitok/pdtc10/index.php?action=vallex&amp;frame=v-w5127f1", "přihlédnout (v-w5127f1)")</f>
        <v>přihlédnout (v-w5127f1)</v>
      </c>
    </row>
    <row r="37591" customFormat="false" ht="12.8" hidden="false" customHeight="false" outlineLevel="0" collapsed="false">
      <c r="B37591" s="0" t="s">
        <v>1</v>
      </c>
    </row>
    <row r="37592" customFormat="false" ht="12.8" hidden="false" customHeight="false" outlineLevel="0" collapsed="false">
      <c r="B37592" s="0" t="s">
        <v>311</v>
      </c>
    </row>
    <row r="37594" customFormat="false" ht="12.8" hidden="false" customHeight="false" outlineLevel="0" collapsed="false">
      <c r="A37594" s="0" t="s">
        <v>14078</v>
      </c>
      <c r="B37594" s="0" t="str">
        <f aca="false">HYPERLINK("https://lindat.mff.cuni.cz/services/teitok/pdtc10/index.php?action=vallex&amp;frame=v-w5130f1", "přihlížet (v-w5130f1)")</f>
        <v>přihlížet (v-w5130f1)</v>
      </c>
    </row>
    <row r="37595" customFormat="false" ht="12.8" hidden="false" customHeight="false" outlineLevel="0" collapsed="false">
      <c r="B37595" s="0" t="s">
        <v>1</v>
      </c>
    </row>
    <row r="37596" customFormat="false" ht="12.8" hidden="false" customHeight="false" outlineLevel="0" collapsed="false">
      <c r="B37596" s="0" t="s">
        <v>14079</v>
      </c>
    </row>
    <row r="37598" customFormat="false" ht="12.8" hidden="false" customHeight="false" outlineLevel="0" collapsed="false">
      <c r="A37598" s="0" t="s">
        <v>14080</v>
      </c>
      <c r="B37598" s="0" t="str">
        <f aca="false">HYPERLINK("https://lindat.mff.cuni.cz/services/teitok/pdtc10/index.php?action=vallex&amp;frame=v-w5130f2", "přihlížet (v-w5130f2)")</f>
        <v>přihlížet (v-w5130f2)</v>
      </c>
    </row>
    <row r="37599" customFormat="false" ht="12.8" hidden="false" customHeight="false" outlineLevel="0" collapsed="false">
      <c r="B37599" s="0" t="s">
        <v>1</v>
      </c>
    </row>
    <row r="37600" customFormat="false" ht="12.8" hidden="false" customHeight="false" outlineLevel="0" collapsed="false">
      <c r="B37600" s="0" t="s">
        <v>311</v>
      </c>
    </row>
    <row r="37602" customFormat="false" ht="12.8" hidden="false" customHeight="false" outlineLevel="0" collapsed="false">
      <c r="A37602" s="0" t="s">
        <v>14081</v>
      </c>
      <c r="B37602" s="0" t="str">
        <f aca="false">HYPERLINK("https://lindat.mff.cuni.cz/services/teitok/pdtc10/index.php?action=vallex&amp;frame=v-w5131f1", "přihnat (v-w5131f1)")</f>
        <v>přihnat (v-w5131f1)</v>
      </c>
    </row>
    <row r="37603" customFormat="false" ht="12.8" hidden="false" customHeight="false" outlineLevel="0" collapsed="false">
      <c r="B37603" s="0" t="s">
        <v>1</v>
      </c>
    </row>
    <row r="37604" customFormat="false" ht="12.8" hidden="false" customHeight="false" outlineLevel="0" collapsed="false">
      <c r="B37604" s="0" t="s">
        <v>8</v>
      </c>
    </row>
    <row r="37605" customFormat="false" ht="12.8" hidden="false" customHeight="false" outlineLevel="0" collapsed="false">
      <c r="B37605" s="0" t="s">
        <v>164</v>
      </c>
    </row>
    <row r="37607" customFormat="false" ht="12.8" hidden="false" customHeight="false" outlineLevel="0" collapsed="false">
      <c r="A37607" s="0" t="s">
        <v>14082</v>
      </c>
      <c r="B37607" s="0" t="str">
        <f aca="false">HYPERLINK("https://lindat.mff.cuni.cz/services/teitok/pdtc10/index.php?action=vallex&amp;frame=v-w5131f2_ZU", "přihnat (v-w5131f2_ZU)")</f>
        <v>přihnat (v-w5131f2_ZU)</v>
      </c>
    </row>
    <row r="37608" customFormat="false" ht="12.8" hidden="false" customHeight="false" outlineLevel="0" collapsed="false">
      <c r="B37608" s="0" t="s">
        <v>1</v>
      </c>
    </row>
    <row r="37609" customFormat="false" ht="12.8" hidden="false" customHeight="false" outlineLevel="0" collapsed="false">
      <c r="B37609" s="0" t="s">
        <v>98</v>
      </c>
    </row>
    <row r="37610" customFormat="false" ht="12.8" hidden="false" customHeight="false" outlineLevel="0" collapsed="false">
      <c r="B37610" s="0" t="s">
        <v>311</v>
      </c>
    </row>
    <row r="37612" customFormat="false" ht="12.8" hidden="false" customHeight="false" outlineLevel="0" collapsed="false">
      <c r="A37612" s="0" t="s">
        <v>14083</v>
      </c>
      <c r="B37612" s="0" t="str">
        <f aca="false">HYPERLINK("https://lindat.mff.cuni.cz/services/teitok/pdtc10/index.php?action=vallex&amp;frame=v-whsa_658hsa_659", "přihnat se (v-whsa_658hsa_659)")</f>
        <v>přihnat se (v-whsa_658hsa_659)</v>
      </c>
    </row>
    <row r="37613" customFormat="false" ht="12.8" hidden="false" customHeight="false" outlineLevel="0" collapsed="false">
      <c r="B37613" s="0" t="s">
        <v>1</v>
      </c>
    </row>
    <row r="37614" customFormat="false" ht="12.8" hidden="false" customHeight="false" outlineLevel="0" collapsed="false">
      <c r="B37614" s="0" t="s">
        <v>164</v>
      </c>
    </row>
    <row r="37616" customFormat="false" ht="12.8" hidden="false" customHeight="false" outlineLevel="0" collapsed="false">
      <c r="A37616" s="0" t="s">
        <v>14084</v>
      </c>
      <c r="B37616" s="0" t="str">
        <f aca="false">HYPERLINK("https://lindat.mff.cuni.cz/services/teitok/pdtc10/index.php?action=vallex&amp;frame=v-w5132f1", "přihodit (v-w5132f1)")</f>
        <v>přihodit (v-w5132f1)</v>
      </c>
    </row>
    <row r="37617" customFormat="false" ht="12.8" hidden="false" customHeight="false" outlineLevel="0" collapsed="false">
      <c r="B37617" s="0" t="s">
        <v>1</v>
      </c>
    </row>
    <row r="37618" customFormat="false" ht="12.8" hidden="false" customHeight="false" outlineLevel="0" collapsed="false">
      <c r="B37618" s="0" t="s">
        <v>8</v>
      </c>
    </row>
    <row r="37619" customFormat="false" ht="12.8" hidden="false" customHeight="false" outlineLevel="0" collapsed="false">
      <c r="B37619" s="0" t="s">
        <v>164</v>
      </c>
    </row>
    <row r="37621" customFormat="false" ht="12.8" hidden="false" customHeight="false" outlineLevel="0" collapsed="false">
      <c r="A37621" s="0" t="s">
        <v>14085</v>
      </c>
      <c r="B37621" s="0" t="str">
        <f aca="false">HYPERLINK("https://lindat.mff.cuni.cz/services/teitok/pdtc10/index.php?action=vallex&amp;frame=v-w5133f1", "přihodit se (v-w5133f1)")</f>
        <v>přihodit se (v-w5133f1)</v>
      </c>
      <c r="E37621" s="0" t="str">
        <f aca="false">HYPERLINK("https://lindat.mff.cuni.cz/services/SynSemClass40/SynSemClass40.html?veclass=vec00006#vec00006-ces-cm00051", "vec00006")</f>
        <v>vec00006</v>
      </c>
      <c r="F37621" s="0" t="s">
        <v>3828</v>
      </c>
    </row>
    <row r="37622" customFormat="false" ht="12.8" hidden="false" customHeight="false" outlineLevel="0" collapsed="false">
      <c r="B37622" s="0" t="s">
        <v>843</v>
      </c>
      <c r="C37622" s="0" t="s">
        <v>3829</v>
      </c>
      <c r="E37622" s="0" t="s">
        <v>375</v>
      </c>
      <c r="F37622" s="0" t="s">
        <v>3830</v>
      </c>
    </row>
    <row r="37623" customFormat="false" ht="12.8" hidden="false" customHeight="false" outlineLevel="0" collapsed="false">
      <c r="B37623" s="0" t="s">
        <v>157</v>
      </c>
      <c r="C37623" s="0" t="s">
        <v>3831</v>
      </c>
      <c r="E37623" s="0" t="s">
        <v>3832</v>
      </c>
      <c r="F37623" s="0" t="s">
        <v>3833</v>
      </c>
    </row>
    <row r="37625" customFormat="false" ht="12.8" hidden="false" customHeight="false" outlineLevel="0" collapsed="false">
      <c r="A37625" s="0" t="s">
        <v>14086</v>
      </c>
      <c r="B37625" s="0" t="str">
        <f aca="false">HYPERLINK("https://lindat.mff.cuni.cz/services/teitok/pdtc10/index.php?action=vallex&amp;frame=v-w5133f2", "přihodit se (v-w5133f2)")</f>
        <v>přihodit se (v-w5133f2)</v>
      </c>
      <c r="E37625" s="0" t="str">
        <f aca="false">HYPERLINK("https://lindat.mff.cuni.cz/services/SynSemClass40/SynSemClass40.html?veclass=vec00097#vec00097-ces-cm00173", "vec00097")</f>
        <v>vec00097</v>
      </c>
      <c r="F37625" s="0" t="s">
        <v>373</v>
      </c>
    </row>
    <row r="37626" customFormat="false" ht="12.8" hidden="false" customHeight="false" outlineLevel="0" collapsed="false">
      <c r="B37626" s="0" t="s">
        <v>1</v>
      </c>
      <c r="C37626" s="0" t="s">
        <v>374</v>
      </c>
      <c r="E37626" s="0" t="s">
        <v>375</v>
      </c>
      <c r="F37626" s="0" t="s">
        <v>376</v>
      </c>
    </row>
    <row r="37628" customFormat="false" ht="12.8" hidden="false" customHeight="false" outlineLevel="0" collapsed="false">
      <c r="A37628" s="0" t="s">
        <v>14087</v>
      </c>
      <c r="B37628" s="0" t="str">
        <f aca="false">HYPERLINK("https://lindat.mff.cuni.cz/services/teitok/pdtc10/index.php?action=vallex&amp;frame=v-w5134f1", "přihoršit (v-w5134f1)")</f>
        <v>přihoršit (v-w5134f1)</v>
      </c>
    </row>
    <row r="37629" customFormat="false" ht="12.8" hidden="false" customHeight="false" outlineLevel="0" collapsed="false">
      <c r="B37629" s="0" t="s">
        <v>1</v>
      </c>
    </row>
    <row r="37630" customFormat="false" ht="12.8" hidden="false" customHeight="false" outlineLevel="0" collapsed="false">
      <c r="B37630" s="0" t="s">
        <v>186</v>
      </c>
    </row>
    <row r="37632" customFormat="false" ht="12.8" hidden="false" customHeight="false" outlineLevel="0" collapsed="false">
      <c r="A37632" s="0" t="s">
        <v>14088</v>
      </c>
      <c r="B37632" s="0" t="str">
        <f aca="false">HYPERLINK("https://lindat.mff.cuni.cz/services/teitok/pdtc10/index.php?action=vallex&amp;frame=v-w12144_ZUf1_ZU", "přihořívat (v-w12144_ZUf1_ZU)")</f>
        <v>přihořívat (v-w12144_ZUf1_ZU)</v>
      </c>
    </row>
    <row r="37633" customFormat="false" ht="12.8" hidden="false" customHeight="false" outlineLevel="0" collapsed="false">
      <c r="B37633" s="0" t="s">
        <v>1</v>
      </c>
    </row>
    <row r="37635" customFormat="false" ht="12.8" hidden="false" customHeight="false" outlineLevel="0" collapsed="false">
      <c r="A37635" s="0" t="s">
        <v>14089</v>
      </c>
      <c r="B37635" s="0" t="str">
        <f aca="false">HYPERLINK("https://lindat.mff.cuni.cz/services/teitok/pdtc10/index.php?action=vallex&amp;frame=v-w12144_ZUf3_MM", "přihořívat (v-w12144_ZUf3_MM)")</f>
        <v>přihořívat (v-w12144_ZUf3_MM)</v>
      </c>
    </row>
    <row r="37636" customFormat="false" ht="12.8" hidden="false" customHeight="false" outlineLevel="0" collapsed="false">
      <c r="B37636" s="0" t="s">
        <v>1</v>
      </c>
    </row>
    <row r="37637" customFormat="false" ht="12.8" hidden="false" customHeight="false" outlineLevel="0" collapsed="false">
      <c r="B37637" s="0" t="s">
        <v>157</v>
      </c>
    </row>
    <row r="37639" customFormat="false" ht="12.8" hidden="false" customHeight="false" outlineLevel="0" collapsed="false">
      <c r="A37639" s="0" t="s">
        <v>14089</v>
      </c>
      <c r="B37639" s="0" t="str">
        <f aca="false">HYPERLINK("https://lindat.mff.cuni.cz/services/teitok/pdtc10/index.php?action=vallex&amp;frame=v-w12144_ZUf2_ZU", "přihořívat (v-w12144_ZUf2_ZU) - substituted with v-w12144_ZUf3_MM")</f>
        <v>přihořívat (v-w12144_ZUf2_ZU) - substituted with v-w12144_ZUf3_MM</v>
      </c>
    </row>
    <row r="37640" customFormat="false" ht="12.8" hidden="false" customHeight="false" outlineLevel="0" collapsed="false">
      <c r="B37640" s="0" t="s">
        <v>1</v>
      </c>
    </row>
    <row r="37641" customFormat="false" ht="12.8" hidden="false" customHeight="false" outlineLevel="0" collapsed="false">
      <c r="B37641" s="0" t="s">
        <v>157</v>
      </c>
    </row>
    <row r="37643" customFormat="false" ht="12.8" hidden="false" customHeight="false" outlineLevel="0" collapsed="false">
      <c r="A37643" s="0" t="s">
        <v>14090</v>
      </c>
      <c r="B37643" s="0" t="str">
        <f aca="false">HYPERLINK("https://lindat.mff.cuni.cz/services/teitok/pdtc10/index.php?action=vallex&amp;frame=v-w11128f2", "přihrnout (v-w11128f2)")</f>
        <v>přihrnout (v-w11128f2)</v>
      </c>
    </row>
    <row r="37644" customFormat="false" ht="12.8" hidden="false" customHeight="false" outlineLevel="0" collapsed="false">
      <c r="B37644" s="0" t="s">
        <v>1</v>
      </c>
    </row>
    <row r="37645" customFormat="false" ht="12.8" hidden="false" customHeight="false" outlineLevel="0" collapsed="false">
      <c r="B37645" s="0" t="s">
        <v>8</v>
      </c>
    </row>
    <row r="37646" customFormat="false" ht="12.8" hidden="false" customHeight="false" outlineLevel="0" collapsed="false">
      <c r="B37646" s="0" t="s">
        <v>164</v>
      </c>
    </row>
    <row r="37648" customFormat="false" ht="12.8" hidden="false" customHeight="false" outlineLevel="0" collapsed="false">
      <c r="A37648" s="0" t="s">
        <v>14091</v>
      </c>
      <c r="B37648" s="0" t="str">
        <f aca="false">HYPERLINK("https://lindat.mff.cuni.cz/services/teitok/pdtc10/index.php?action=vallex&amp;frame=v-w5135f1", "přihrát (v-w5135f1)")</f>
        <v>přihrát (v-w5135f1)</v>
      </c>
      <c r="E37648" s="0" t="str">
        <f aca="false">HYPERLINK("https://lindat.mff.cuni.cz/services/SynSemClass40/SynSemClass40.html?veclass=vec01087#vec01087-ces-cm00150", "vec01087")</f>
        <v>vec01087</v>
      </c>
      <c r="F37648" s="0" t="s">
        <v>1863</v>
      </c>
    </row>
    <row r="37649" customFormat="false" ht="12.8" hidden="false" customHeight="false" outlineLevel="0" collapsed="false">
      <c r="B37649" s="0" t="s">
        <v>1</v>
      </c>
      <c r="C37649" s="0" t="s">
        <v>5752</v>
      </c>
      <c r="E37649" s="0" t="s">
        <v>1868</v>
      </c>
      <c r="F37649" s="0" t="s">
        <v>1869</v>
      </c>
    </row>
    <row r="37650" customFormat="false" ht="12.8" hidden="false" customHeight="false" outlineLevel="0" collapsed="false">
      <c r="B37650" s="0" t="s">
        <v>8</v>
      </c>
      <c r="C37650" s="0" t="s">
        <v>8873</v>
      </c>
      <c r="E37650" s="0" t="s">
        <v>1875</v>
      </c>
      <c r="F37650" s="0" t="s">
        <v>1876</v>
      </c>
    </row>
    <row r="37651" customFormat="false" ht="12.8" hidden="false" customHeight="false" outlineLevel="0" collapsed="false">
      <c r="B37651" s="0" t="s">
        <v>52</v>
      </c>
      <c r="C37651" s="0" t="s">
        <v>11615</v>
      </c>
      <c r="E37651" s="0" t="s">
        <v>53</v>
      </c>
      <c r="F37651" s="0" t="s">
        <v>1880</v>
      </c>
    </row>
    <row r="37653" customFormat="false" ht="12.8" hidden="false" customHeight="false" outlineLevel="0" collapsed="false">
      <c r="A37653" s="0" t="s">
        <v>14092</v>
      </c>
      <c r="B37653" s="0" t="str">
        <f aca="false">HYPERLINK("https://lindat.mff.cuni.cz/services/teitok/pdtc10/index.php?action=vallex&amp;frame=v-w5136f1", "přihrávat (v-w5136f1)")</f>
        <v>přihrávat (v-w5136f1)</v>
      </c>
    </row>
    <row r="37654" customFormat="false" ht="12.8" hidden="false" customHeight="false" outlineLevel="0" collapsed="false">
      <c r="B37654" s="0" t="s">
        <v>1</v>
      </c>
    </row>
    <row r="37655" customFormat="false" ht="12.8" hidden="false" customHeight="false" outlineLevel="0" collapsed="false">
      <c r="B37655" s="0" t="s">
        <v>8</v>
      </c>
    </row>
    <row r="37656" customFormat="false" ht="12.8" hidden="false" customHeight="false" outlineLevel="0" collapsed="false">
      <c r="B37656" s="0" t="s">
        <v>52</v>
      </c>
    </row>
    <row r="37658" customFormat="false" ht="12.8" hidden="false" customHeight="false" outlineLevel="0" collapsed="false">
      <c r="A37658" s="0" t="s">
        <v>14093</v>
      </c>
      <c r="B37658" s="0" t="str">
        <f aca="false">HYPERLINK("https://lindat.mff.cuni.cz/services/teitok/pdtc10/index.php?action=vallex&amp;frame=v-w5141f1", "přihustit (v-w5141f1)")</f>
        <v>přihustit (v-w5141f1)</v>
      </c>
      <c r="E37658" s="0" t="str">
        <f aca="false">HYPERLINK("https://lindat.mff.cuni.cz/services/SynSemClass40/SynSemClass40.html?veclass=vec01406#vec01406-ces-cm00002", "vec01406")</f>
        <v>vec01406</v>
      </c>
      <c r="F37658" s="0" t="s">
        <v>7205</v>
      </c>
    </row>
    <row r="37659" customFormat="false" ht="12.8" hidden="false" customHeight="false" outlineLevel="0" collapsed="false">
      <c r="B37659" s="0" t="s">
        <v>1</v>
      </c>
      <c r="E37659" s="0" t="s">
        <v>7206</v>
      </c>
      <c r="F37659" s="0" t="s">
        <v>7207</v>
      </c>
    </row>
    <row r="37660" customFormat="false" ht="12.8" hidden="false" customHeight="false" outlineLevel="0" collapsed="false">
      <c r="B37660" s="0" t="s">
        <v>8</v>
      </c>
      <c r="E37660" s="0" t="s">
        <v>7208</v>
      </c>
      <c r="F37660" s="0" t="s">
        <v>7209</v>
      </c>
    </row>
    <row r="37662" customFormat="false" ht="12.8" hidden="false" customHeight="false" outlineLevel="0" collapsed="false">
      <c r="A37662" s="0" t="s">
        <v>14094</v>
      </c>
      <c r="B37662" s="0" t="str">
        <f aca="false">HYPERLINK("https://lindat.mff.cuni.cz/services/teitok/pdtc10/index.php?action=vallex&amp;frame=v-w5138f1", "přihřát (v-w5138f1)")</f>
        <v>přihřát (v-w5138f1)</v>
      </c>
    </row>
    <row r="37663" customFormat="false" ht="12.8" hidden="false" customHeight="false" outlineLevel="0" collapsed="false">
      <c r="B37663" s="0" t="s">
        <v>1</v>
      </c>
    </row>
    <row r="37664" customFormat="false" ht="12.8" hidden="false" customHeight="false" outlineLevel="0" collapsed="false">
      <c r="B37664" s="0" t="s">
        <v>8</v>
      </c>
    </row>
    <row r="37666" customFormat="false" ht="12.8" hidden="false" customHeight="false" outlineLevel="0" collapsed="false">
      <c r="A37666" s="0" t="s">
        <v>14095</v>
      </c>
      <c r="B37666" s="0" t="str">
        <f aca="false">HYPERLINK("https://lindat.mff.cuni.cz/services/teitok/pdtc10/index.php?action=vallex&amp;frame=v-w5139f1", "přihřát se (v-w5139f1)")</f>
        <v>přihřát se (v-w5139f1)</v>
      </c>
    </row>
    <row r="37667" customFormat="false" ht="12.8" hidden="false" customHeight="false" outlineLevel="0" collapsed="false">
      <c r="B37667" s="0" t="s">
        <v>1</v>
      </c>
    </row>
    <row r="37669" customFormat="false" ht="12.8" hidden="false" customHeight="false" outlineLevel="0" collapsed="false">
      <c r="A37669" s="0" t="s">
        <v>14096</v>
      </c>
      <c r="B37669" s="0" t="str">
        <f aca="false">HYPERLINK("https://lindat.mff.cuni.cz/services/teitok/pdtc10/index.php?action=vallex&amp;frame=v-w5140f1", "přihřát si (v-w5140f1)")</f>
        <v>přihřát si (v-w5140f1)</v>
      </c>
    </row>
    <row r="37670" customFormat="false" ht="12.8" hidden="false" customHeight="false" outlineLevel="0" collapsed="false">
      <c r="B37670" s="0" t="s">
        <v>1</v>
      </c>
    </row>
    <row r="37671" customFormat="false" ht="12.8" hidden="false" customHeight="false" outlineLevel="0" collapsed="false">
      <c r="B37671" s="0" t="s">
        <v>14097</v>
      </c>
    </row>
    <row r="37673" customFormat="false" ht="12.8" hidden="false" customHeight="false" outlineLevel="0" collapsed="false">
      <c r="A37673" s="0" t="s">
        <v>14098</v>
      </c>
      <c r="B37673" s="0" t="str">
        <f aca="false">HYPERLINK("https://lindat.mff.cuni.cz/services/teitok/pdtc10/index.php?action=vallex&amp;frame=v-whsa_996hsa_997", "přihřívat (v-whsa_996hsa_997)")</f>
        <v>přihřívat (v-whsa_996hsa_997)</v>
      </c>
    </row>
    <row r="37674" customFormat="false" ht="12.8" hidden="false" customHeight="false" outlineLevel="0" collapsed="false">
      <c r="B37674" s="0" t="s">
        <v>1</v>
      </c>
    </row>
    <row r="37675" customFormat="false" ht="12.8" hidden="false" customHeight="false" outlineLevel="0" collapsed="false">
      <c r="B37675" s="0" t="s">
        <v>8</v>
      </c>
    </row>
    <row r="37677" customFormat="false" ht="12.8" hidden="false" customHeight="false" outlineLevel="0" collapsed="false">
      <c r="A37677" s="0" t="s">
        <v>14099</v>
      </c>
      <c r="B37677" s="0" t="str">
        <f aca="false">HYPERLINK("https://lindat.mff.cuni.cz/services/teitok/pdtc10/index.php?action=vallex&amp;frame=v-w5152f1", "přijet (v-w5152f1)")</f>
        <v>přijet (v-w5152f1)</v>
      </c>
      <c r="E37677" s="0" t="str">
        <f aca="false">HYPERLINK("https://lindat.mff.cuni.cz/services/SynSemClass40/SynSemClass40.html?veclass=vec00218#vec00218-ces-cm00115", "vec00218")</f>
        <v>vec00218</v>
      </c>
      <c r="F37677" s="0" t="s">
        <v>2143</v>
      </c>
    </row>
    <row r="37678" customFormat="false" ht="12.8" hidden="false" customHeight="false" outlineLevel="0" collapsed="false">
      <c r="B37678" s="0" t="s">
        <v>1</v>
      </c>
      <c r="C37678" s="0" t="s">
        <v>2144</v>
      </c>
      <c r="E37678" s="0" t="s">
        <v>11</v>
      </c>
      <c r="F37678" s="0" t="s">
        <v>2145</v>
      </c>
    </row>
    <row r="37679" customFormat="false" ht="12.8" hidden="false" customHeight="false" outlineLevel="0" collapsed="false">
      <c r="B37679" s="0" t="s">
        <v>164</v>
      </c>
      <c r="C37679" s="0" t="s">
        <v>2146</v>
      </c>
      <c r="E37679" s="0" t="s">
        <v>370</v>
      </c>
      <c r="F37679" s="0" t="s">
        <v>2147</v>
      </c>
    </row>
    <row r="37681" customFormat="false" ht="12.8" hidden="false" customHeight="false" outlineLevel="0" collapsed="false">
      <c r="A37681" s="0" t="s">
        <v>14100</v>
      </c>
      <c r="B37681" s="0" t="str">
        <f aca="false">HYPERLINK("https://lindat.mff.cuni.cz/services/teitok/pdtc10/index.php?action=vallex&amp;frame=v-w5152f2_ZU", "přijet (v-w5152f2_ZU)")</f>
        <v>přijet (v-w5152f2_ZU)</v>
      </c>
    </row>
    <row r="37682" customFormat="false" ht="12.8" hidden="false" customHeight="false" outlineLevel="0" collapsed="false">
      <c r="B37682" s="0" t="s">
        <v>1</v>
      </c>
    </row>
    <row r="37683" customFormat="false" ht="12.8" hidden="false" customHeight="false" outlineLevel="0" collapsed="false">
      <c r="B37683" s="0" t="s">
        <v>8</v>
      </c>
    </row>
    <row r="37685" customFormat="false" ht="12.8" hidden="false" customHeight="false" outlineLevel="0" collapsed="false">
      <c r="A37685" s="0" t="s">
        <v>14101</v>
      </c>
      <c r="B37685" s="0" t="str">
        <f aca="false">HYPERLINK("https://lindat.mff.cuni.cz/services/teitok/pdtc10/index.php?action=vallex&amp;frame=v-w5161f3", "přijmout (v-w5161f3)")</f>
        <v>přijmout (v-w5161f3)</v>
      </c>
      <c r="E37685" s="0" t="str">
        <f aca="false">HYPERLINK("https://lindat.mff.cuni.cz/services/SynSemClass40/SynSemClass40.html?veclass=vec00189#vec00189-ces-cm00023", "vec00189")</f>
        <v>vec00189</v>
      </c>
      <c r="F37685" s="0" t="s">
        <v>2169</v>
      </c>
    </row>
    <row r="37686" customFormat="false" ht="12.8" hidden="false" customHeight="false" outlineLevel="0" collapsed="false">
      <c r="B37686" s="0" t="s">
        <v>1</v>
      </c>
      <c r="C37686" s="0" t="s">
        <v>2170</v>
      </c>
      <c r="E37686" s="0" t="s">
        <v>1567</v>
      </c>
      <c r="F37686" s="0" t="s">
        <v>2171</v>
      </c>
    </row>
    <row r="37687" customFormat="false" ht="12.8" hidden="false" customHeight="false" outlineLevel="0" collapsed="false">
      <c r="B37687" s="0" t="s">
        <v>2128</v>
      </c>
      <c r="C37687" s="0" t="s">
        <v>2173</v>
      </c>
      <c r="E37687" s="0" t="s">
        <v>2111</v>
      </c>
      <c r="F37687" s="0" t="s">
        <v>2174</v>
      </c>
    </row>
    <row r="37688" customFormat="false" ht="12.8" hidden="false" customHeight="false" outlineLevel="0" collapsed="false">
      <c r="B37688" s="0" t="s">
        <v>602</v>
      </c>
      <c r="C37688" s="0" t="s">
        <v>2175</v>
      </c>
      <c r="E37688" s="0" t="s">
        <v>2176</v>
      </c>
      <c r="F37688" s="0" t="s">
        <v>2177</v>
      </c>
    </row>
    <row r="37690" customFormat="false" ht="12.8" hidden="false" customHeight="false" outlineLevel="0" collapsed="false">
      <c r="A37690" s="0" t="s">
        <v>14102</v>
      </c>
      <c r="B37690" s="0" t="str">
        <f aca="false">HYPERLINK("https://lindat.mff.cuni.cz/services/teitok/pdtc10/index.php?action=vallex&amp;frame=v-w5161f5", "přijmout (v-w5161f5)")</f>
        <v>přijmout (v-w5161f5)</v>
      </c>
    </row>
    <row r="37691" customFormat="false" ht="12.8" hidden="false" customHeight="false" outlineLevel="0" collapsed="false">
      <c r="B37691" s="0" t="s">
        <v>1</v>
      </c>
    </row>
    <row r="37692" customFormat="false" ht="12.8" hidden="false" customHeight="false" outlineLevel="0" collapsed="false">
      <c r="B37692" s="0" t="s">
        <v>8</v>
      </c>
    </row>
    <row r="37693" customFormat="false" ht="12.8" hidden="false" customHeight="false" outlineLevel="0" collapsed="false">
      <c r="B37693" s="0" t="s">
        <v>123</v>
      </c>
    </row>
    <row r="37695" customFormat="false" ht="12.8" hidden="false" customHeight="false" outlineLevel="0" collapsed="false">
      <c r="A37695" s="0" t="s">
        <v>14103</v>
      </c>
      <c r="B37695" s="0" t="str">
        <f aca="false">HYPERLINK("https://lindat.mff.cuni.cz/services/teitok/pdtc10/index.php?action=vallex&amp;frame=v-w5161f1", "přijmout (v-w5161f1)")</f>
        <v>přijmout (v-w5161f1)</v>
      </c>
      <c r="E37695" s="0" t="str">
        <f aca="false">HYPERLINK("https://lindat.mff.cuni.cz/services/SynSemClass40/SynSemClass40.html?veclass=vec00078#vec00078-ces-cm00048", "vec00078")</f>
        <v>vec00078</v>
      </c>
      <c r="F37695" s="0" t="s">
        <v>204</v>
      </c>
    </row>
    <row r="37696" customFormat="false" ht="12.8" hidden="false" customHeight="false" outlineLevel="0" collapsed="false">
      <c r="B37696" s="0" t="s">
        <v>1</v>
      </c>
      <c r="C37696" s="0" t="s">
        <v>205</v>
      </c>
      <c r="E37696" s="0" t="s">
        <v>206</v>
      </c>
      <c r="F37696" s="0" t="s">
        <v>207</v>
      </c>
    </row>
    <row r="37697" customFormat="false" ht="12.8" hidden="false" customHeight="false" outlineLevel="0" collapsed="false">
      <c r="B37697" s="0" t="s">
        <v>8</v>
      </c>
      <c r="C37697" s="0" t="s">
        <v>208</v>
      </c>
      <c r="E37697" s="0" t="s">
        <v>209</v>
      </c>
      <c r="F37697" s="0" t="s">
        <v>210</v>
      </c>
    </row>
    <row r="37699" customFormat="false" ht="12.8" hidden="false" customHeight="false" outlineLevel="0" collapsed="false">
      <c r="A37699" s="0" t="s">
        <v>14104</v>
      </c>
      <c r="B37699" s="0" t="str">
        <f aca="false">HYPERLINK("https://lindat.mff.cuni.cz/services/teitok/pdtc10/index.php?action=vallex&amp;frame=v-w5161f2", "přijmout (v-w5161f2)")</f>
        <v>přijmout (v-w5161f2)</v>
      </c>
      <c r="E37699" s="0" t="str">
        <f aca="false">HYPERLINK("https://lindat.mff.cuni.cz/services/SynSemClass40/SynSemClass40.html?veclass=vec00369#vec00369-ces-cm00013", "vec00369")</f>
        <v>vec00369</v>
      </c>
      <c r="F37699" s="0" t="s">
        <v>7284</v>
      </c>
    </row>
    <row r="37700" customFormat="false" ht="12.8" hidden="false" customHeight="false" outlineLevel="0" collapsed="false">
      <c r="B37700" s="0" t="s">
        <v>1</v>
      </c>
      <c r="C37700" s="0" t="s">
        <v>7285</v>
      </c>
      <c r="E37700" s="0" t="s">
        <v>7286</v>
      </c>
      <c r="F37700" s="0" t="s">
        <v>7287</v>
      </c>
    </row>
    <row r="37701" customFormat="false" ht="12.8" hidden="false" customHeight="false" outlineLevel="0" collapsed="false">
      <c r="B37701" s="0" t="s">
        <v>8</v>
      </c>
      <c r="C37701" s="0" t="s">
        <v>7288</v>
      </c>
      <c r="E37701" s="0" t="s">
        <v>7289</v>
      </c>
      <c r="F37701" s="0" t="s">
        <v>7290</v>
      </c>
    </row>
    <row r="37703" customFormat="false" ht="12.8" hidden="false" customHeight="false" outlineLevel="0" collapsed="false">
      <c r="A37703" s="0" t="s">
        <v>14105</v>
      </c>
      <c r="B37703" s="0" t="str">
        <f aca="false">HYPERLINK("https://lindat.mff.cuni.cz/services/teitok/pdtc10/index.php?action=vallex&amp;frame=v-w5161f9_ZU", "přijmout (v-w5161f9_ZU)")</f>
        <v>přijmout (v-w5161f9_ZU)</v>
      </c>
      <c r="E37703" s="0" t="str">
        <f aca="false">HYPERLINK("https://lindat.mff.cuni.cz/services/SynSemClass40/SynSemClass40.html?veclass=vec00078#vec00078-ces-cm00051", "vec00078")</f>
        <v>vec00078</v>
      </c>
      <c r="F37703" s="0" t="s">
        <v>204</v>
      </c>
    </row>
    <row r="37704" customFormat="false" ht="12.8" hidden="false" customHeight="false" outlineLevel="0" collapsed="false">
      <c r="B37704" s="0" t="s">
        <v>1</v>
      </c>
      <c r="C37704" s="0" t="s">
        <v>205</v>
      </c>
      <c r="E37704" s="0" t="s">
        <v>206</v>
      </c>
      <c r="F37704" s="0" t="s">
        <v>207</v>
      </c>
    </row>
    <row r="37705" customFormat="false" ht="12.8" hidden="false" customHeight="false" outlineLevel="0" collapsed="false">
      <c r="B37705" s="0" t="s">
        <v>14106</v>
      </c>
      <c r="C37705" s="0" t="s">
        <v>14107</v>
      </c>
      <c r="E37705" s="0" t="s">
        <v>14108</v>
      </c>
      <c r="F37705" s="0" t="s">
        <v>14109</v>
      </c>
    </row>
    <row r="37707" customFormat="false" ht="12.8" hidden="false" customHeight="false" outlineLevel="0" collapsed="false">
      <c r="A37707" s="0" t="s">
        <v>14105</v>
      </c>
      <c r="B37707" s="0" t="str">
        <f aca="false">HYPERLINK("https://lindat.mff.cuni.cz/services/teitok/pdtc10/index.php?action=vallex&amp;frame=v-w5161f4", "přijmout (v-w5161f4) - substituted with v-w5161f9_ZU")</f>
        <v>přijmout (v-w5161f4) - substituted with v-w5161f9_ZU</v>
      </c>
    </row>
    <row r="37708" customFormat="false" ht="12.8" hidden="false" customHeight="false" outlineLevel="0" collapsed="false">
      <c r="B37708" s="0" t="s">
        <v>1</v>
      </c>
    </row>
    <row r="37709" customFormat="false" ht="12.8" hidden="false" customHeight="false" outlineLevel="0" collapsed="false">
      <c r="B37709" s="0" t="s">
        <v>14106</v>
      </c>
    </row>
    <row r="37711" customFormat="false" ht="12.8" hidden="false" customHeight="false" outlineLevel="0" collapsed="false">
      <c r="A37711" s="0" t="s">
        <v>14105</v>
      </c>
      <c r="B37711" s="0" t="str">
        <f aca="false">HYPERLINK("https://lindat.mff.cuni.cz/services/teitok/pdtc10/index.php?action=vallex&amp;frame=v-w5161f8_ZU", "přijmout (v-w5161f8_ZU) - substituted with v-w5161f9_ZU")</f>
        <v>přijmout (v-w5161f8_ZU) - substituted with v-w5161f9_ZU</v>
      </c>
    </row>
    <row r="37712" customFormat="false" ht="12.8" hidden="false" customHeight="false" outlineLevel="0" collapsed="false">
      <c r="B37712" s="0" t="s">
        <v>1</v>
      </c>
    </row>
    <row r="37713" customFormat="false" ht="12.8" hidden="false" customHeight="false" outlineLevel="0" collapsed="false">
      <c r="B37713" s="0" t="s">
        <v>14106</v>
      </c>
    </row>
    <row r="37715" customFormat="false" ht="12.8" hidden="false" customHeight="false" outlineLevel="0" collapsed="false">
      <c r="A37715" s="0" t="s">
        <v>14105</v>
      </c>
      <c r="B37715" s="0" t="str">
        <f aca="false">HYPERLINK("https://lindat.mff.cuni.cz/services/teitok/pdtc10/index.php?action=vallex&amp;frame=v-w5161hsa_124", "přijmout (v-w5161hsa_124) - substituted with v-w5161f9_ZU")</f>
        <v>přijmout (v-w5161hsa_124) - substituted with v-w5161f9_ZU</v>
      </c>
    </row>
    <row r="37716" customFormat="false" ht="12.8" hidden="false" customHeight="false" outlineLevel="0" collapsed="false">
      <c r="B37716" s="0" t="s">
        <v>1</v>
      </c>
    </row>
    <row r="37717" customFormat="false" ht="12.8" hidden="false" customHeight="false" outlineLevel="0" collapsed="false">
      <c r="B37717" s="0" t="s">
        <v>14106</v>
      </c>
    </row>
    <row r="37719" customFormat="false" ht="12.8" hidden="false" customHeight="false" outlineLevel="0" collapsed="false">
      <c r="A37719" s="0" t="s">
        <v>14110</v>
      </c>
      <c r="B37719" s="0" t="str">
        <f aca="false">HYPERLINK("https://lindat.mff.cuni.cz/services/teitok/pdtc10/index.php?action=vallex&amp;frame=v-w5161f7", "přijmout (v-w5161f7)")</f>
        <v>přijmout (v-w5161f7)</v>
      </c>
    </row>
    <row r="37720" customFormat="false" ht="12.8" hidden="false" customHeight="false" outlineLevel="0" collapsed="false">
      <c r="B37720" s="0" t="s">
        <v>1</v>
      </c>
    </row>
    <row r="37721" customFormat="false" ht="12.8" hidden="false" customHeight="false" outlineLevel="0" collapsed="false">
      <c r="B37721" s="0" t="s">
        <v>13092</v>
      </c>
    </row>
    <row r="37722" customFormat="false" ht="12.8" hidden="false" customHeight="false" outlineLevel="0" collapsed="false">
      <c r="B37722" s="0" t="s">
        <v>8</v>
      </c>
    </row>
    <row r="37724" customFormat="false" ht="12.8" hidden="false" customHeight="false" outlineLevel="0" collapsed="false">
      <c r="A37724" s="0" t="s">
        <v>14111</v>
      </c>
      <c r="B37724" s="0" t="str">
        <f aca="false">HYPERLINK("https://lindat.mff.cuni.cz/services/teitok/pdtc10/index.php?action=vallex&amp;frame=v-w5161f6", "přijmout (v-w5161f6)")</f>
        <v>přijmout (v-w5161f6)</v>
      </c>
    </row>
    <row r="37725" customFormat="false" ht="12.8" hidden="false" customHeight="false" outlineLevel="0" collapsed="false">
      <c r="B37725" s="0" t="s">
        <v>1</v>
      </c>
    </row>
    <row r="37726" customFormat="false" ht="12.8" hidden="false" customHeight="false" outlineLevel="0" collapsed="false">
      <c r="B37726" s="0" t="s">
        <v>14112</v>
      </c>
    </row>
    <row r="37727" customFormat="false" ht="12.8" hidden="false" customHeight="false" outlineLevel="0" collapsed="false">
      <c r="B37727" s="0" t="s">
        <v>228</v>
      </c>
    </row>
    <row r="37729" customFormat="false" ht="12.8" hidden="false" customHeight="false" outlineLevel="0" collapsed="false">
      <c r="A37729" s="0" t="s">
        <v>14113</v>
      </c>
      <c r="B37729" s="0" t="str">
        <f aca="false">HYPERLINK("https://lindat.mff.cuni.cz/services/teitok/pdtc10/index.php?action=vallex&amp;frame=v-w5161hsa_123", "přijmout (v-w5161hsa_123)")</f>
        <v>přijmout (v-w5161hsa_123)</v>
      </c>
    </row>
    <row r="37730" customFormat="false" ht="12.8" hidden="false" customHeight="false" outlineLevel="0" collapsed="false">
      <c r="B37730" s="0" t="s">
        <v>1</v>
      </c>
    </row>
    <row r="37731" customFormat="false" ht="12.8" hidden="false" customHeight="false" outlineLevel="0" collapsed="false">
      <c r="B37731" s="0" t="s">
        <v>8</v>
      </c>
    </row>
    <row r="37733" customFormat="false" ht="12.8" hidden="false" customHeight="false" outlineLevel="0" collapsed="false">
      <c r="A37733" s="0" t="s">
        <v>14114</v>
      </c>
      <c r="B37733" s="0" t="str">
        <f aca="false">HYPERLINK("https://lindat.mff.cuni.cz/services/teitok/pdtc10/index.php?action=vallex&amp;frame=v-w5161f12_ZU", "přijmout (v-w5161f12_ZU)")</f>
        <v>přijmout (v-w5161f12_ZU)</v>
      </c>
    </row>
    <row r="37734" customFormat="false" ht="12.8" hidden="false" customHeight="false" outlineLevel="0" collapsed="false">
      <c r="B37734" s="0" t="s">
        <v>1</v>
      </c>
    </row>
    <row r="37735" customFormat="false" ht="12.8" hidden="false" customHeight="false" outlineLevel="0" collapsed="false">
      <c r="B37735" s="0" t="s">
        <v>8</v>
      </c>
    </row>
    <row r="37737" customFormat="false" ht="12.8" hidden="false" customHeight="false" outlineLevel="0" collapsed="false">
      <c r="A37737" s="0" t="s">
        <v>14114</v>
      </c>
      <c r="B37737" s="0" t="str">
        <f aca="false">HYPERLINK("https://lindat.mff.cuni.cz/services/teitok/pdtc10/index.php?action=vallex&amp;frame=v-w5161f10_ZU", "přijmout (v-w5161f10_ZU) - substituted with v-w5161f12_ZU")</f>
        <v>přijmout (v-w5161f10_ZU) - substituted with v-w5161f12_ZU</v>
      </c>
    </row>
    <row r="37738" customFormat="false" ht="12.8" hidden="false" customHeight="false" outlineLevel="0" collapsed="false">
      <c r="B37738" s="0" t="s">
        <v>1</v>
      </c>
    </row>
    <row r="37739" customFormat="false" ht="12.8" hidden="false" customHeight="false" outlineLevel="0" collapsed="false">
      <c r="B37739" s="0" t="s">
        <v>8</v>
      </c>
    </row>
    <row r="37741" customFormat="false" ht="12.8" hidden="false" customHeight="false" outlineLevel="0" collapsed="false">
      <c r="A37741" s="0" t="s">
        <v>14114</v>
      </c>
      <c r="B37741" s="0" t="str">
        <f aca="false">HYPERLINK("https://lindat.mff.cuni.cz/services/teitok/pdtc10/index.php?action=vallex&amp;frame=v-w5161f11_ZU", "přijmout (v-w5161f11_ZU) - substituted with v-w5161f12_ZU")</f>
        <v>přijmout (v-w5161f11_ZU) - substituted with v-w5161f12_ZU</v>
      </c>
    </row>
    <row r="37742" customFormat="false" ht="12.8" hidden="false" customHeight="false" outlineLevel="0" collapsed="false">
      <c r="B37742" s="0" t="s">
        <v>1</v>
      </c>
    </row>
    <row r="37743" customFormat="false" ht="12.8" hidden="false" customHeight="false" outlineLevel="0" collapsed="false">
      <c r="B37743" s="0" t="s">
        <v>8</v>
      </c>
    </row>
    <row r="37745" customFormat="false" ht="12.8" hidden="false" customHeight="false" outlineLevel="0" collapsed="false">
      <c r="A37745" s="0" t="s">
        <v>14115</v>
      </c>
      <c r="B37745" s="0" t="str">
        <f aca="false">HYPERLINK("https://lindat.mff.cuni.cz/services/teitok/pdtc10/index.php?action=vallex&amp;frame=v-w5157f2", "přijímat (v-w5157f2)")</f>
        <v>přijímat (v-w5157f2)</v>
      </c>
      <c r="E37745" s="0" t="str">
        <f aca="false">HYPERLINK("https://lindat.mff.cuni.cz/services/SynSemClass40/SynSemClass40.html?veclass=vec00189#vec00189-ces-cm00017", "vec00189")</f>
        <v>vec00189</v>
      </c>
      <c r="F37745" s="0" t="s">
        <v>2169</v>
      </c>
    </row>
    <row r="37746" customFormat="false" ht="12.8" hidden="false" customHeight="false" outlineLevel="0" collapsed="false">
      <c r="B37746" s="0" t="s">
        <v>1</v>
      </c>
      <c r="C37746" s="0" t="s">
        <v>2170</v>
      </c>
      <c r="E37746" s="0" t="s">
        <v>1567</v>
      </c>
      <c r="F37746" s="0" t="s">
        <v>2171</v>
      </c>
    </row>
    <row r="37747" customFormat="false" ht="12.8" hidden="false" customHeight="false" outlineLevel="0" collapsed="false">
      <c r="B37747" s="0" t="s">
        <v>2128</v>
      </c>
      <c r="C37747" s="0" t="s">
        <v>2173</v>
      </c>
      <c r="E37747" s="0" t="s">
        <v>2111</v>
      </c>
      <c r="F37747" s="0" t="s">
        <v>2174</v>
      </c>
    </row>
    <row r="37748" customFormat="false" ht="12.8" hidden="false" customHeight="false" outlineLevel="0" collapsed="false">
      <c r="B37748" s="0" t="s">
        <v>602</v>
      </c>
      <c r="C37748" s="0" t="s">
        <v>2175</v>
      </c>
      <c r="E37748" s="0" t="s">
        <v>2176</v>
      </c>
      <c r="F37748" s="0" t="s">
        <v>2177</v>
      </c>
    </row>
    <row r="37750" customFormat="false" ht="12.8" hidden="false" customHeight="false" outlineLevel="0" collapsed="false">
      <c r="A37750" s="0" t="s">
        <v>14116</v>
      </c>
      <c r="B37750" s="0" t="str">
        <f aca="false">HYPERLINK("https://lindat.mff.cuni.cz/services/teitok/pdtc10/index.php?action=vallex&amp;frame=v-w5157f8", "přijímat (v-w5157f8)")</f>
        <v>přijímat (v-w5157f8)</v>
      </c>
    </row>
    <row r="37751" customFormat="false" ht="12.8" hidden="false" customHeight="false" outlineLevel="0" collapsed="false">
      <c r="B37751" s="0" t="s">
        <v>1</v>
      </c>
    </row>
    <row r="37752" customFormat="false" ht="12.8" hidden="false" customHeight="false" outlineLevel="0" collapsed="false">
      <c r="B37752" s="0" t="s">
        <v>8</v>
      </c>
    </row>
    <row r="37753" customFormat="false" ht="12.8" hidden="false" customHeight="false" outlineLevel="0" collapsed="false">
      <c r="B37753" s="0" t="s">
        <v>123</v>
      </c>
    </row>
    <row r="37755" customFormat="false" ht="12.8" hidden="false" customHeight="false" outlineLevel="0" collapsed="false">
      <c r="A37755" s="0" t="s">
        <v>14117</v>
      </c>
      <c r="B37755" s="0" t="str">
        <f aca="false">HYPERLINK("https://lindat.mff.cuni.cz/services/teitok/pdtc10/index.php?action=vallex&amp;frame=v-w5157f4", "přijímat (v-w5157f4)")</f>
        <v>přijímat (v-w5157f4)</v>
      </c>
      <c r="E37755" s="0" t="str">
        <f aca="false">HYPERLINK("https://lindat.mff.cuni.cz/services/SynSemClass40/SynSemClass40.html?veclass=vec00078#vec00078-ces-cm00054", "vec00078")</f>
        <v>vec00078</v>
      </c>
      <c r="F37755" s="0" t="s">
        <v>204</v>
      </c>
    </row>
    <row r="37756" customFormat="false" ht="12.8" hidden="false" customHeight="false" outlineLevel="0" collapsed="false">
      <c r="B37756" s="0" t="s">
        <v>1</v>
      </c>
      <c r="C37756" s="0" t="s">
        <v>205</v>
      </c>
      <c r="E37756" s="0" t="s">
        <v>206</v>
      </c>
      <c r="F37756" s="0" t="s">
        <v>207</v>
      </c>
    </row>
    <row r="37757" customFormat="false" ht="12.8" hidden="false" customHeight="false" outlineLevel="0" collapsed="false">
      <c r="B37757" s="0" t="s">
        <v>59</v>
      </c>
      <c r="C37757" s="0" t="s">
        <v>208</v>
      </c>
      <c r="E37757" s="0" t="s">
        <v>209</v>
      </c>
      <c r="F37757" s="0" t="s">
        <v>210</v>
      </c>
    </row>
    <row r="37759" customFormat="false" ht="12.8" hidden="false" customHeight="false" outlineLevel="0" collapsed="false">
      <c r="A37759" s="0" t="s">
        <v>14118</v>
      </c>
      <c r="B37759" s="0" t="str">
        <f aca="false">HYPERLINK("https://lindat.mff.cuni.cz/services/teitok/pdtc10/index.php?action=vallex&amp;frame=v-w5157f1", "přijímat (v-w5157f1)")</f>
        <v>přijímat (v-w5157f1)</v>
      </c>
    </row>
    <row r="37760" customFormat="false" ht="12.8" hidden="false" customHeight="false" outlineLevel="0" collapsed="false">
      <c r="B37760" s="0" t="s">
        <v>1</v>
      </c>
    </row>
    <row r="37761" customFormat="false" ht="12.8" hidden="false" customHeight="false" outlineLevel="0" collapsed="false">
      <c r="B37761" s="0" t="s">
        <v>8</v>
      </c>
    </row>
    <row r="37763" customFormat="false" ht="12.8" hidden="false" customHeight="false" outlineLevel="0" collapsed="false">
      <c r="A37763" s="0" t="s">
        <v>14119</v>
      </c>
      <c r="B37763" s="0" t="str">
        <f aca="false">HYPERLINK("https://lindat.mff.cuni.cz/services/teitok/pdtc10/index.php?action=vallex&amp;frame=v-w5157f6", "přijímat (v-w5157f6)")</f>
        <v>přijímat (v-w5157f6)</v>
      </c>
      <c r="E37763" s="0" t="str">
        <f aca="false">HYPERLINK("https://lindat.mff.cuni.cz/services/SynSemClass40/SynSemClass40.html?veclass=vec00369#vec00369-ces-cm00022", "vec00369")</f>
        <v>vec00369</v>
      </c>
      <c r="F37763" s="0" t="s">
        <v>7284</v>
      </c>
    </row>
    <row r="37764" customFormat="false" ht="12.8" hidden="false" customHeight="false" outlineLevel="0" collapsed="false">
      <c r="B37764" s="0" t="s">
        <v>1</v>
      </c>
      <c r="C37764" s="0" t="s">
        <v>7285</v>
      </c>
      <c r="E37764" s="0" t="s">
        <v>7286</v>
      </c>
      <c r="F37764" s="0" t="s">
        <v>7287</v>
      </c>
    </row>
    <row r="37765" customFormat="false" ht="12.8" hidden="false" customHeight="false" outlineLevel="0" collapsed="false">
      <c r="B37765" s="0" t="s">
        <v>8</v>
      </c>
      <c r="C37765" s="0" t="s">
        <v>7288</v>
      </c>
      <c r="E37765" s="0" t="s">
        <v>7289</v>
      </c>
      <c r="F37765" s="0" t="s">
        <v>7290</v>
      </c>
    </row>
    <row r="37767" customFormat="false" ht="12.8" hidden="false" customHeight="false" outlineLevel="0" collapsed="false">
      <c r="A37767" s="0" t="s">
        <v>14120</v>
      </c>
      <c r="B37767" s="0" t="str">
        <f aca="false">HYPERLINK("https://lindat.mff.cuni.cz/services/teitok/pdtc10/index.php?action=vallex&amp;frame=v-w5157f5", "přijímat (v-w5157f5)")</f>
        <v>přijímat (v-w5157f5)</v>
      </c>
    </row>
    <row r="37768" customFormat="false" ht="12.8" hidden="false" customHeight="false" outlineLevel="0" collapsed="false">
      <c r="B37768" s="0" t="s">
        <v>1</v>
      </c>
    </row>
    <row r="37769" customFormat="false" ht="12.8" hidden="false" customHeight="false" outlineLevel="0" collapsed="false">
      <c r="B37769" s="0" t="s">
        <v>8</v>
      </c>
    </row>
    <row r="37771" customFormat="false" ht="12.8" hidden="false" customHeight="false" outlineLevel="0" collapsed="false">
      <c r="A37771" s="0" t="s">
        <v>14121</v>
      </c>
      <c r="B37771" s="0" t="str">
        <f aca="false">HYPERLINK("https://lindat.mff.cuni.cz/services/teitok/pdtc10/index.php?action=vallex&amp;frame=v-w5157f7", "přijímat (v-w5157f7)")</f>
        <v>přijímat (v-w5157f7)</v>
      </c>
    </row>
    <row r="37772" customFormat="false" ht="12.8" hidden="false" customHeight="false" outlineLevel="0" collapsed="false">
      <c r="B37772" s="0" t="s">
        <v>1</v>
      </c>
    </row>
    <row r="37773" customFormat="false" ht="12.8" hidden="false" customHeight="false" outlineLevel="0" collapsed="false">
      <c r="B37773" s="0" t="s">
        <v>8</v>
      </c>
    </row>
    <row r="37775" customFormat="false" ht="12.8" hidden="false" customHeight="false" outlineLevel="0" collapsed="false">
      <c r="A37775" s="0" t="s">
        <v>14122</v>
      </c>
      <c r="B37775" s="0" t="str">
        <f aca="false">HYPERLINK("https://lindat.mff.cuni.cz/services/teitok/pdtc10/index.php?action=vallex&amp;frame=v-w5157hsa_613", "přijímat (v-w5157hsa_613)")</f>
        <v>přijímat (v-w5157hsa_613)</v>
      </c>
      <c r="E37775" s="0" t="str">
        <f aca="false">HYPERLINK("https://lindat.mff.cuni.cz/services/SynSemClass40/SynSemClass40.html?veclass=vec00546#vec00546-ces-cm00027", "vec00546")</f>
        <v>vec00546</v>
      </c>
      <c r="F37775" s="0" t="s">
        <v>5397</v>
      </c>
    </row>
    <row r="37776" customFormat="false" ht="12.8" hidden="false" customHeight="false" outlineLevel="0" collapsed="false">
      <c r="B37776" s="0" t="s">
        <v>1</v>
      </c>
      <c r="C37776" s="0" t="s">
        <v>3000</v>
      </c>
      <c r="E37776" s="0" t="s">
        <v>206</v>
      </c>
      <c r="F37776" s="0" t="s">
        <v>5400</v>
      </c>
    </row>
    <row r="37777" customFormat="false" ht="12.8" hidden="false" customHeight="false" outlineLevel="0" collapsed="false">
      <c r="B37777" s="0" t="s">
        <v>14123</v>
      </c>
      <c r="C37777" s="0" t="s">
        <v>14124</v>
      </c>
      <c r="E37777" s="0" t="s">
        <v>14125</v>
      </c>
      <c r="F37777" s="0" t="s">
        <v>14126</v>
      </c>
    </row>
    <row r="37779" customFormat="false" ht="12.8" hidden="false" customHeight="false" outlineLevel="0" collapsed="false">
      <c r="A37779" s="0" t="s">
        <v>14122</v>
      </c>
      <c r="B37779" s="0" t="str">
        <f aca="false">HYPERLINK("https://lindat.mff.cuni.cz/services/teitok/pdtc10/index.php?action=vallex&amp;frame=v-w5157f3", "přijímat (v-w5157f3) - substituted with v-w5157hsa_613")</f>
        <v>přijímat (v-w5157f3) - substituted with v-w5157hsa_613</v>
      </c>
    </row>
    <row r="37780" customFormat="false" ht="12.8" hidden="false" customHeight="false" outlineLevel="0" collapsed="false">
      <c r="B37780" s="0" t="s">
        <v>1</v>
      </c>
    </row>
    <row r="37781" customFormat="false" ht="12.8" hidden="false" customHeight="false" outlineLevel="0" collapsed="false">
      <c r="B37781" s="0" t="s">
        <v>14123</v>
      </c>
    </row>
    <row r="37783" customFormat="false" ht="12.8" hidden="false" customHeight="false" outlineLevel="0" collapsed="false">
      <c r="A37783" s="0" t="s">
        <v>14127</v>
      </c>
      <c r="B37783" s="0" t="str">
        <f aca="false">HYPERLINK("https://lindat.mff.cuni.cz/services/teitok/pdtc10/index.php?action=vallex&amp;frame=v-w5158f50_ZU", "přijít (v-w5158f50_ZU)")</f>
        <v>přijít (v-w5158f50_ZU)</v>
      </c>
    </row>
    <row r="37784" customFormat="false" ht="12.8" hidden="false" customHeight="false" outlineLevel="0" collapsed="false">
      <c r="B37784" s="0" t="s">
        <v>345</v>
      </c>
    </row>
    <row r="37785" customFormat="false" ht="12.8" hidden="false" customHeight="false" outlineLevel="0" collapsed="false">
      <c r="B37785" s="0" t="s">
        <v>45</v>
      </c>
    </row>
    <row r="37786" customFormat="false" ht="12.8" hidden="false" customHeight="false" outlineLevel="0" collapsed="false">
      <c r="B37786" s="0" t="s">
        <v>98</v>
      </c>
    </row>
    <row r="37788" customFormat="false" ht="12.8" hidden="false" customHeight="false" outlineLevel="0" collapsed="false">
      <c r="A37788" s="0" t="s">
        <v>14127</v>
      </c>
      <c r="B37788" s="0" t="str">
        <f aca="false">HYPERLINK("https://lindat.mff.cuni.cz/services/teitok/pdtc10/index.php?action=vallex&amp;frame=v-w5158f4", "přijít (v-w5158f4) - substituted with v-w5158f50_ZU")</f>
        <v>přijít (v-w5158f4) - substituted with v-w5158f50_ZU</v>
      </c>
      <c r="E37788" s="0" t="str">
        <f aca="false">HYPERLINK("https://lindat.mff.cuni.cz/services/SynSemClass40/SynSemClass40.html?veclass=vec00128#vec00128-ces-cm00131", "vec00128")</f>
        <v>vec00128</v>
      </c>
      <c r="F37788" s="0" t="s">
        <v>13958</v>
      </c>
    </row>
    <row r="37789" customFormat="false" ht="12.8" hidden="false" customHeight="false" outlineLevel="0" collapsed="false">
      <c r="B37789" s="0" t="s">
        <v>345</v>
      </c>
      <c r="C37789" s="0" t="s">
        <v>13959</v>
      </c>
      <c r="E37789" s="0" t="s">
        <v>235</v>
      </c>
      <c r="F37789" s="0" t="s">
        <v>13960</v>
      </c>
    </row>
    <row r="37790" customFormat="false" ht="12.8" hidden="false" customHeight="false" outlineLevel="0" collapsed="false">
      <c r="B37790" s="0" t="s">
        <v>45</v>
      </c>
      <c r="C37790" s="0" t="s">
        <v>13961</v>
      </c>
      <c r="E37790" s="0" t="s">
        <v>13962</v>
      </c>
      <c r="F37790" s="0" t="s">
        <v>13963</v>
      </c>
    </row>
    <row r="37791" customFormat="false" ht="12.8" hidden="false" customHeight="false" outlineLevel="0" collapsed="false">
      <c r="B37791" s="0" t="s">
        <v>98</v>
      </c>
      <c r="C37791" s="0" t="s">
        <v>13964</v>
      </c>
      <c r="E37791" s="0" t="s">
        <v>2287</v>
      </c>
      <c r="F37791" s="0" t="s">
        <v>13965</v>
      </c>
    </row>
    <row r="37793" customFormat="false" ht="12.8" hidden="false" customHeight="false" outlineLevel="0" collapsed="false">
      <c r="A37793" s="0" t="s">
        <v>14128</v>
      </c>
      <c r="B37793" s="0" t="str">
        <f aca="false">HYPERLINK("https://lindat.mff.cuni.cz/services/teitok/pdtc10/index.php?action=vallex&amp;frame=v-w5158f59_ZU", "přijít (v-w5158f59_ZU)")</f>
        <v>přijít (v-w5158f59_ZU)</v>
      </c>
    </row>
    <row r="37794" customFormat="false" ht="12.8" hidden="false" customHeight="false" outlineLevel="0" collapsed="false">
      <c r="B37794" s="0" t="s">
        <v>804</v>
      </c>
    </row>
    <row r="37795" customFormat="false" ht="12.8" hidden="false" customHeight="false" outlineLevel="0" collapsed="false">
      <c r="B37795" s="0" t="s">
        <v>4945</v>
      </c>
    </row>
    <row r="37796" customFormat="false" ht="12.8" hidden="false" customHeight="false" outlineLevel="0" collapsed="false">
      <c r="B37796" s="0" t="s">
        <v>14129</v>
      </c>
    </row>
    <row r="37798" customFormat="false" ht="12.8" hidden="false" customHeight="false" outlineLevel="0" collapsed="false">
      <c r="A37798" s="0" t="s">
        <v>14128</v>
      </c>
      <c r="B37798" s="0" t="str">
        <f aca="false">HYPERLINK("https://lindat.mff.cuni.cz/services/teitok/pdtc10/index.php?action=vallex&amp;frame=v-w5158f16", "přijít (v-w5158f16) - substituted with v-w5158f59_ZU")</f>
        <v>přijít (v-w5158f16) - substituted with v-w5158f59_ZU</v>
      </c>
    </row>
    <row r="37799" customFormat="false" ht="12.8" hidden="false" customHeight="false" outlineLevel="0" collapsed="false">
      <c r="B37799" s="0" t="s">
        <v>804</v>
      </c>
    </row>
    <row r="37800" customFormat="false" ht="12.8" hidden="false" customHeight="false" outlineLevel="0" collapsed="false">
      <c r="B37800" s="0" t="s">
        <v>4945</v>
      </c>
    </row>
    <row r="37801" customFormat="false" ht="12.8" hidden="false" customHeight="false" outlineLevel="0" collapsed="false">
      <c r="B37801" s="0" t="s">
        <v>14129</v>
      </c>
    </row>
    <row r="37803" customFormat="false" ht="12.8" hidden="false" customHeight="false" outlineLevel="0" collapsed="false">
      <c r="A37803" s="0" t="s">
        <v>14128</v>
      </c>
      <c r="B37803" s="0" t="str">
        <f aca="false">HYPERLINK("https://lindat.mff.cuni.cz/services/teitok/pdtc10/index.php?action=vallex&amp;frame=v-w5158f46_ZU", "přijít (v-w5158f46_ZU) - substituted with v-w5158f59_ZU")</f>
        <v>přijít (v-w5158f46_ZU) - substituted with v-w5158f59_ZU</v>
      </c>
    </row>
    <row r="37804" customFormat="false" ht="12.8" hidden="false" customHeight="false" outlineLevel="0" collapsed="false">
      <c r="B37804" s="0" t="s">
        <v>804</v>
      </c>
    </row>
    <row r="37805" customFormat="false" ht="12.8" hidden="false" customHeight="false" outlineLevel="0" collapsed="false">
      <c r="B37805" s="0" t="s">
        <v>4945</v>
      </c>
    </row>
    <row r="37806" customFormat="false" ht="12.8" hidden="false" customHeight="false" outlineLevel="0" collapsed="false">
      <c r="B37806" s="0" t="s">
        <v>14129</v>
      </c>
    </row>
    <row r="37808" customFormat="false" ht="12.8" hidden="false" customHeight="false" outlineLevel="0" collapsed="false">
      <c r="A37808" s="0" t="s">
        <v>14128</v>
      </c>
      <c r="B37808" s="0" t="str">
        <f aca="false">HYPERLINK("https://lindat.mff.cuni.cz/services/teitok/pdtc10/index.php?action=vallex&amp;frame=v-w5158f49_ZU", "přijít (v-w5158f49_ZU) - substituted with v-w5158f59_ZU")</f>
        <v>přijít (v-w5158f49_ZU) - substituted with v-w5158f59_ZU</v>
      </c>
    </row>
    <row r="37809" customFormat="false" ht="12.8" hidden="false" customHeight="false" outlineLevel="0" collapsed="false">
      <c r="B37809" s="0" t="s">
        <v>804</v>
      </c>
    </row>
    <row r="37810" customFormat="false" ht="12.8" hidden="false" customHeight="false" outlineLevel="0" collapsed="false">
      <c r="B37810" s="0" t="s">
        <v>4945</v>
      </c>
    </row>
    <row r="37811" customFormat="false" ht="12.8" hidden="false" customHeight="false" outlineLevel="0" collapsed="false">
      <c r="B37811" s="0" t="s">
        <v>14129</v>
      </c>
    </row>
    <row r="37813" customFormat="false" ht="12.8" hidden="false" customHeight="false" outlineLevel="0" collapsed="false">
      <c r="A37813" s="0" t="s">
        <v>14128</v>
      </c>
      <c r="B37813" s="0" t="str">
        <f aca="false">HYPERLINK("https://lindat.mff.cuni.cz/services/teitok/pdtc10/index.php?action=vallex&amp;frame=v-w5158f54_ZU", "přijít (v-w5158f54_ZU) - substituted with v-w5158f59_ZU")</f>
        <v>přijít (v-w5158f54_ZU) - substituted with v-w5158f59_ZU</v>
      </c>
    </row>
    <row r="37814" customFormat="false" ht="12.8" hidden="false" customHeight="false" outlineLevel="0" collapsed="false">
      <c r="B37814" s="0" t="s">
        <v>804</v>
      </c>
    </row>
    <row r="37815" customFormat="false" ht="12.8" hidden="false" customHeight="false" outlineLevel="0" collapsed="false">
      <c r="B37815" s="0" t="s">
        <v>4945</v>
      </c>
    </row>
    <row r="37816" customFormat="false" ht="12.8" hidden="false" customHeight="false" outlineLevel="0" collapsed="false">
      <c r="B37816" s="0" t="s">
        <v>14129</v>
      </c>
    </row>
    <row r="37818" customFormat="false" ht="12.8" hidden="false" customHeight="false" outlineLevel="0" collapsed="false">
      <c r="A37818" s="0" t="s">
        <v>14128</v>
      </c>
      <c r="B37818" s="0" t="str">
        <f aca="false">HYPERLINK("https://lindat.mff.cuni.cz/services/teitok/pdtc10/index.php?action=vallex&amp;frame=v-w5158f58_ZU", "přijít (v-w5158f58_ZU) - substituted with v-w5158f59_ZU")</f>
        <v>přijít (v-w5158f58_ZU) - substituted with v-w5158f59_ZU</v>
      </c>
    </row>
    <row r="37819" customFormat="false" ht="12.8" hidden="false" customHeight="false" outlineLevel="0" collapsed="false">
      <c r="B37819" s="0" t="s">
        <v>804</v>
      </c>
    </row>
    <row r="37820" customFormat="false" ht="12.8" hidden="false" customHeight="false" outlineLevel="0" collapsed="false">
      <c r="B37820" s="0" t="s">
        <v>4945</v>
      </c>
    </row>
    <row r="37821" customFormat="false" ht="12.8" hidden="false" customHeight="false" outlineLevel="0" collapsed="false">
      <c r="B37821" s="0" t="s">
        <v>14129</v>
      </c>
    </row>
    <row r="37823" customFormat="false" ht="12.8" hidden="false" customHeight="false" outlineLevel="0" collapsed="false">
      <c r="A37823" s="0" t="s">
        <v>14128</v>
      </c>
      <c r="B37823" s="0" t="str">
        <f aca="false">HYPERLINK("https://lindat.mff.cuni.cz/services/teitok/pdtc10/index.php?action=vallex&amp;frame=v-w5158hsa_938", "přijít (v-w5158hsa_938) - substituted with v-w5158f59_ZU")</f>
        <v>přijít (v-w5158hsa_938) - substituted with v-w5158f59_ZU</v>
      </c>
    </row>
    <row r="37824" customFormat="false" ht="12.8" hidden="false" customHeight="false" outlineLevel="0" collapsed="false">
      <c r="B37824" s="0" t="s">
        <v>804</v>
      </c>
    </row>
    <row r="37825" customFormat="false" ht="12.8" hidden="false" customHeight="false" outlineLevel="0" collapsed="false">
      <c r="B37825" s="0" t="s">
        <v>4945</v>
      </c>
    </row>
    <row r="37826" customFormat="false" ht="12.8" hidden="false" customHeight="false" outlineLevel="0" collapsed="false">
      <c r="B37826" s="0" t="s">
        <v>14129</v>
      </c>
    </row>
    <row r="37828" customFormat="false" ht="12.8" hidden="false" customHeight="false" outlineLevel="0" collapsed="false">
      <c r="A37828" s="0" t="s">
        <v>14130</v>
      </c>
      <c r="B37828" s="0" t="str">
        <f aca="false">HYPERLINK("https://lindat.mff.cuni.cz/services/teitok/pdtc10/index.php?action=vallex&amp;frame=v-w5158f55_ZU", "přijít (v-w5158f55_ZU)")</f>
        <v>přijít (v-w5158f55_ZU)</v>
      </c>
    </row>
    <row r="37829" customFormat="false" ht="12.8" hidden="false" customHeight="false" outlineLevel="0" collapsed="false">
      <c r="B37829" s="0" t="s">
        <v>1</v>
      </c>
    </row>
    <row r="37830" customFormat="false" ht="12.8" hidden="false" customHeight="false" outlineLevel="0" collapsed="false">
      <c r="B37830" s="0" t="s">
        <v>311</v>
      </c>
    </row>
    <row r="37832" customFormat="false" ht="12.8" hidden="false" customHeight="false" outlineLevel="0" collapsed="false">
      <c r="A37832" s="0" t="s">
        <v>14130</v>
      </c>
      <c r="B37832" s="0" t="str">
        <f aca="false">HYPERLINK("https://lindat.mff.cuni.cz/services/teitok/pdtc10/index.php?action=vallex&amp;frame=v-w5158f7", "přijít (v-w5158f7) - substituted with v-w5158f55_ZU")</f>
        <v>přijít (v-w5158f7) - substituted with v-w5158f55_ZU</v>
      </c>
      <c r="E37832" s="0" t="str">
        <f aca="false">HYPERLINK("https://lindat.mff.cuni.cz/services/SynSemClass40/SynSemClass40.html?veclass=vec00586#vec00586-ces-cm00251", "vec00586")</f>
        <v>vec00586</v>
      </c>
      <c r="F37832" s="0" t="s">
        <v>2831</v>
      </c>
    </row>
    <row r="37833" customFormat="false" ht="12.8" hidden="false" customHeight="false" outlineLevel="0" collapsed="false">
      <c r="B37833" s="0" t="s">
        <v>1</v>
      </c>
      <c r="C37833" s="0" t="s">
        <v>2832</v>
      </c>
      <c r="E37833" s="0" t="s">
        <v>1567</v>
      </c>
      <c r="F37833" s="0" t="s">
        <v>2833</v>
      </c>
    </row>
    <row r="37834" customFormat="false" ht="12.8" hidden="false" customHeight="false" outlineLevel="0" collapsed="false">
      <c r="B37834" s="0" t="s">
        <v>311</v>
      </c>
      <c r="C37834" s="0" t="s">
        <v>2834</v>
      </c>
      <c r="E37834" s="0" t="s">
        <v>2111</v>
      </c>
      <c r="F37834" s="0" t="s">
        <v>2835</v>
      </c>
    </row>
    <row r="37836" customFormat="false" ht="12.8" hidden="false" customHeight="false" outlineLevel="0" collapsed="false">
      <c r="A37836" s="0" t="s">
        <v>14131</v>
      </c>
      <c r="B37836" s="0" t="str">
        <f aca="false">HYPERLINK("https://lindat.mff.cuni.cz/services/teitok/pdtc10/index.php?action=vallex&amp;frame=v-w5158f11", "přijít (v-w5158f11)")</f>
        <v>přijít (v-w5158f11)</v>
      </c>
      <c r="E37836" s="0" t="str">
        <f aca="false">HYPERLINK("https://lindat.mff.cuni.cz/services/SynSemClass40/SynSemClass40.html?veclass=vec00233#vec00233-ces-cm00055", "vec00233")</f>
        <v>vec00233</v>
      </c>
      <c r="F37836" s="0" t="s">
        <v>1065</v>
      </c>
    </row>
    <row r="37837" customFormat="false" ht="12.8" hidden="false" customHeight="false" outlineLevel="0" collapsed="false">
      <c r="B37837" s="0" t="s">
        <v>1</v>
      </c>
      <c r="C37837" s="0" t="s">
        <v>7077</v>
      </c>
      <c r="E37837" s="0" t="s">
        <v>2263</v>
      </c>
      <c r="F37837" s="0" t="s">
        <v>7078</v>
      </c>
    </row>
    <row r="37838" customFormat="false" ht="12.8" hidden="false" customHeight="false" outlineLevel="0" collapsed="false">
      <c r="B37838" s="0" t="s">
        <v>45</v>
      </c>
      <c r="C37838" s="0" t="s">
        <v>7079</v>
      </c>
      <c r="E37838" s="0" t="s">
        <v>7080</v>
      </c>
      <c r="F37838" s="0" t="s">
        <v>7081</v>
      </c>
    </row>
    <row r="37840" customFormat="false" ht="12.8" hidden="false" customHeight="false" outlineLevel="0" collapsed="false">
      <c r="A37840" s="0" t="s">
        <v>14132</v>
      </c>
      <c r="B37840" s="0" t="str">
        <f aca="false">HYPERLINK("https://lindat.mff.cuni.cz/services/teitok/pdtc10/index.php?action=vallex&amp;frame=v-w5158f28", "přijít (v-w5158f28)")</f>
        <v>přijít (v-w5158f28)</v>
      </c>
      <c r="E37840" s="0" t="str">
        <f aca="false">HYPERLINK("https://lindat.mff.cuni.cz/services/SynSemClass40/SynSemClass40.html?veclass=vec00233#vec00233-ces-cm00056", "vec00233")</f>
        <v>vec00233</v>
      </c>
      <c r="F37840" s="0" t="s">
        <v>1065</v>
      </c>
    </row>
    <row r="37841" customFormat="false" ht="12.8" hidden="false" customHeight="false" outlineLevel="0" collapsed="false">
      <c r="B37841" s="0" t="s">
        <v>1</v>
      </c>
      <c r="C37841" s="0" t="s">
        <v>7077</v>
      </c>
      <c r="E37841" s="0" t="s">
        <v>2263</v>
      </c>
      <c r="F37841" s="0" t="s">
        <v>7078</v>
      </c>
    </row>
    <row r="37842" customFormat="false" ht="12.8" hidden="false" customHeight="false" outlineLevel="0" collapsed="false">
      <c r="B37842" s="0" t="s">
        <v>45</v>
      </c>
      <c r="C37842" s="0" t="s">
        <v>7079</v>
      </c>
      <c r="E37842" s="0" t="s">
        <v>7080</v>
      </c>
      <c r="F37842" s="0" t="s">
        <v>7081</v>
      </c>
    </row>
    <row r="37844" customFormat="false" ht="12.8" hidden="false" customHeight="false" outlineLevel="0" collapsed="false">
      <c r="A37844" s="0" t="s">
        <v>14133</v>
      </c>
      <c r="B37844" s="0" t="str">
        <f aca="false">HYPERLINK("https://lindat.mff.cuni.cz/services/teitok/pdtc10/index.php?action=vallex&amp;frame=v-w5158f62_ZU", "přijít (v-w5158f62_ZU)")</f>
        <v>přijít (v-w5158f62_ZU)</v>
      </c>
    </row>
    <row r="37845" customFormat="false" ht="12.8" hidden="false" customHeight="false" outlineLevel="0" collapsed="false">
      <c r="B37845" s="0" t="s">
        <v>1</v>
      </c>
    </row>
    <row r="37846" customFormat="false" ht="12.8" hidden="false" customHeight="false" outlineLevel="0" collapsed="false">
      <c r="B37846" s="0" t="s">
        <v>814</v>
      </c>
    </row>
    <row r="37848" customFormat="false" ht="12.8" hidden="false" customHeight="false" outlineLevel="0" collapsed="false">
      <c r="A37848" s="0" t="s">
        <v>14133</v>
      </c>
      <c r="B37848" s="0" t="str">
        <f aca="false">HYPERLINK("https://lindat.mff.cuni.cz/services/teitok/pdtc10/index.php?action=vallex&amp;frame=v-w5158f2", "přijít (v-w5158f2) - substituted with v-w5158f62_ZU")</f>
        <v>přijít (v-w5158f2) - substituted with v-w5158f62_ZU</v>
      </c>
      <c r="E37848" s="0" t="str">
        <f aca="false">HYPERLINK("https://lindat.mff.cuni.cz/services/SynSemClass40/SynSemClass40.html?veclass=vec00393#vec00393-ces-cm00007", "vec00393")</f>
        <v>vec00393</v>
      </c>
      <c r="F37848" s="0" t="s">
        <v>13969</v>
      </c>
      <c r="H37848" s="0" t="str">
        <f aca="false">HYPERLINK("https://lindat.mff.cuni.cz/services/SynSemClass40/SynSemClass40.html?veclass=vec01193#vec01193-ces-cm00015", "vec01193")</f>
        <v>vec01193</v>
      </c>
      <c r="I37848" s="0" t="s">
        <v>12265</v>
      </c>
    </row>
    <row r="37849" customFormat="false" ht="12.8" hidden="false" customHeight="false" outlineLevel="0" collapsed="false">
      <c r="B37849" s="0" t="s">
        <v>1</v>
      </c>
      <c r="C37849" s="0" t="s">
        <v>13976</v>
      </c>
      <c r="E37849" s="0" t="s">
        <v>10404</v>
      </c>
      <c r="F37849" s="0" t="s">
        <v>13971</v>
      </c>
      <c r="H37849" s="0" t="s">
        <v>10404</v>
      </c>
      <c r="I37849" s="0" t="s">
        <v>12266</v>
      </c>
    </row>
    <row r="37850" customFormat="false" ht="12.8" hidden="false" customHeight="false" outlineLevel="0" collapsed="false">
      <c r="B37850" s="0" t="s">
        <v>814</v>
      </c>
      <c r="C37850" s="0" t="s">
        <v>13977</v>
      </c>
      <c r="E37850" s="0" t="s">
        <v>13973</v>
      </c>
      <c r="F37850" s="0" t="s">
        <v>13974</v>
      </c>
      <c r="H37850" s="0" t="s">
        <v>2732</v>
      </c>
      <c r="I37850" s="0" t="s">
        <v>12267</v>
      </c>
    </row>
    <row r="37852" customFormat="false" ht="12.8" hidden="false" customHeight="false" outlineLevel="0" collapsed="false">
      <c r="A37852" s="0" t="s">
        <v>14134</v>
      </c>
      <c r="B37852" s="0" t="str">
        <f aca="false">HYPERLINK("https://lindat.mff.cuni.cz/services/teitok/pdtc10/index.php?action=vallex&amp;frame=v-w5158f5", "přijít (v-w5158f5)")</f>
        <v>přijít (v-w5158f5)</v>
      </c>
      <c r="E37852" s="0" t="str">
        <f aca="false">HYPERLINK("https://lindat.mff.cuni.cz/services/SynSemClass40/SynSemClass40.html?veclass=vec00127#vec00127-ces-cm00143", "vec00127")</f>
        <v>vec00127</v>
      </c>
      <c r="F37852" s="0" t="s">
        <v>1835</v>
      </c>
      <c r="H37852" s="0" t="str">
        <f aca="false">HYPERLINK("https://lindat.mff.cuni.cz/services/SynSemClass40/SynSemClass40.html?veclass=vec01292#vec01292-ces-cm00003", "vec01292")</f>
        <v>vec01292</v>
      </c>
      <c r="I37852" s="0" t="s">
        <v>13979</v>
      </c>
    </row>
    <row r="37853" customFormat="false" ht="12.8" hidden="false" customHeight="false" outlineLevel="0" collapsed="false">
      <c r="B37853" s="0" t="s">
        <v>1</v>
      </c>
      <c r="C37853" s="0" t="s">
        <v>13980</v>
      </c>
      <c r="E37853" s="0" t="s">
        <v>11</v>
      </c>
      <c r="F37853" s="0" t="s">
        <v>1837</v>
      </c>
      <c r="H37853" s="0" t="s">
        <v>2619</v>
      </c>
      <c r="I37853" s="0" t="s">
        <v>13981</v>
      </c>
    </row>
    <row r="37854" customFormat="false" ht="12.8" hidden="false" customHeight="false" outlineLevel="0" collapsed="false">
      <c r="B37854" s="0" t="s">
        <v>721</v>
      </c>
      <c r="C37854" s="0" t="s">
        <v>13982</v>
      </c>
      <c r="E37854" s="0" t="s">
        <v>1840</v>
      </c>
      <c r="F37854" s="0" t="s">
        <v>1841</v>
      </c>
      <c r="H37854" s="0" t="s">
        <v>66</v>
      </c>
      <c r="I37854" s="0" t="s">
        <v>13983</v>
      </c>
    </row>
    <row r="37856" customFormat="false" ht="12.8" hidden="false" customHeight="false" outlineLevel="0" collapsed="false">
      <c r="A37856" s="0" t="s">
        <v>14135</v>
      </c>
      <c r="B37856" s="0" t="str">
        <f aca="false">HYPERLINK("https://lindat.mff.cuni.cz/services/teitok/pdtc10/index.php?action=vallex&amp;frame=v-w5158f34", "přijít (v-w5158f34)")</f>
        <v>přijít (v-w5158f34)</v>
      </c>
    </row>
    <row r="37857" customFormat="false" ht="12.8" hidden="false" customHeight="false" outlineLevel="0" collapsed="false">
      <c r="B37857" s="0" t="s">
        <v>804</v>
      </c>
    </row>
    <row r="37858" customFormat="false" ht="12.8" hidden="false" customHeight="false" outlineLevel="0" collapsed="false">
      <c r="B37858" s="0" t="s">
        <v>3382</v>
      </c>
    </row>
    <row r="37860" customFormat="false" ht="12.8" hidden="false" customHeight="false" outlineLevel="0" collapsed="false">
      <c r="A37860" s="0" t="s">
        <v>14136</v>
      </c>
      <c r="B37860" s="0" t="str">
        <f aca="false">HYPERLINK("https://lindat.mff.cuni.cz/services/teitok/pdtc10/index.php?action=vallex&amp;frame=v-w5158f64_ZU", "přijít (v-w5158f64_ZU)")</f>
        <v>přijít (v-w5158f64_ZU)</v>
      </c>
    </row>
    <row r="37861" customFormat="false" ht="12.8" hidden="false" customHeight="false" outlineLevel="0" collapsed="false">
      <c r="B37861" s="0" t="s">
        <v>1</v>
      </c>
    </row>
    <row r="37862" customFormat="false" ht="12.8" hidden="false" customHeight="false" outlineLevel="0" collapsed="false">
      <c r="B37862" s="0" t="s">
        <v>8755</v>
      </c>
    </row>
    <row r="37864" customFormat="false" ht="12.8" hidden="false" customHeight="false" outlineLevel="0" collapsed="false">
      <c r="A37864" s="0" t="s">
        <v>14136</v>
      </c>
      <c r="B37864" s="0" t="str">
        <f aca="false">HYPERLINK("https://lindat.mff.cuni.cz/services/teitok/pdtc10/index.php?action=vallex&amp;frame=v-w5158f39_ZU", "přijít (v-w5158f39_ZU) - substituted with v-w5158f64_ZU")</f>
        <v>přijít (v-w5158f39_ZU) - substituted with v-w5158f64_ZU</v>
      </c>
    </row>
    <row r="37865" customFormat="false" ht="12.8" hidden="false" customHeight="false" outlineLevel="0" collapsed="false">
      <c r="B37865" s="0" t="s">
        <v>1</v>
      </c>
    </row>
    <row r="37866" customFormat="false" ht="12.8" hidden="false" customHeight="false" outlineLevel="0" collapsed="false">
      <c r="B37866" s="0" t="s">
        <v>8755</v>
      </c>
    </row>
    <row r="37868" customFormat="false" ht="12.8" hidden="false" customHeight="false" outlineLevel="0" collapsed="false">
      <c r="A37868" s="0" t="s">
        <v>14136</v>
      </c>
      <c r="B37868" s="0" t="str">
        <f aca="false">HYPERLINK("https://lindat.mff.cuni.cz/services/teitok/pdtc10/index.php?action=vallex&amp;frame=v-w5158f41_ZU", "přijít (v-w5158f41_ZU) - substituted with v-w5158f64_ZU")</f>
        <v>přijít (v-w5158f41_ZU) - substituted with v-w5158f64_ZU</v>
      </c>
      <c r="E37868" s="0" t="str">
        <f aca="false">HYPERLINK("https://lindat.mff.cuni.cz/services/SynSemClass40/SynSemClass40.html?veclass=vec00258#vec00258-ces-cm00005", "vec00258")</f>
        <v>vec00258</v>
      </c>
      <c r="F37868" s="0" t="s">
        <v>10649</v>
      </c>
    </row>
    <row r="37869" customFormat="false" ht="12.8" hidden="false" customHeight="false" outlineLevel="0" collapsed="false">
      <c r="B37869" s="0" t="s">
        <v>1</v>
      </c>
      <c r="C37869" s="0" t="s">
        <v>10650</v>
      </c>
      <c r="E37869" s="0" t="s">
        <v>957</v>
      </c>
      <c r="F37869" s="0" t="s">
        <v>10651</v>
      </c>
    </row>
    <row r="37870" customFormat="false" ht="12.8" hidden="false" customHeight="false" outlineLevel="0" collapsed="false">
      <c r="B37870" s="0" t="s">
        <v>8755</v>
      </c>
      <c r="C37870" s="0" t="s">
        <v>10652</v>
      </c>
      <c r="E37870" s="0" t="s">
        <v>6001</v>
      </c>
      <c r="F37870" s="0" t="s">
        <v>10653</v>
      </c>
    </row>
    <row r="37872" customFormat="false" ht="12.8" hidden="false" customHeight="false" outlineLevel="0" collapsed="false">
      <c r="A37872" s="0" t="s">
        <v>14137</v>
      </c>
      <c r="B37872" s="0" t="str">
        <f aca="false">HYPERLINK("https://lindat.mff.cuni.cz/services/teitok/pdtc10/index.php?action=vallex&amp;frame=v-w5158f68_ZU", "přijít (v-w5158f68_ZU)")</f>
        <v>přijít (v-w5158f68_ZU)</v>
      </c>
    </row>
    <row r="37873" customFormat="false" ht="12.8" hidden="false" customHeight="false" outlineLevel="0" collapsed="false">
      <c r="B37873" s="0" t="s">
        <v>1</v>
      </c>
    </row>
    <row r="37874" customFormat="false" ht="12.8" hidden="false" customHeight="false" outlineLevel="0" collapsed="false">
      <c r="B37874" s="0" t="s">
        <v>164</v>
      </c>
    </row>
    <row r="37876" customFormat="false" ht="12.8" hidden="false" customHeight="false" outlineLevel="0" collapsed="false">
      <c r="A37876" s="0" t="s">
        <v>14137</v>
      </c>
      <c r="B37876" s="0" t="str">
        <f aca="false">HYPERLINK("https://lindat.mff.cuni.cz/services/teitok/pdtc10/index.php?action=vallex&amp;frame=v-w5158f1", "přijít (v-w5158f1) - substituted with v-w5158f68_ZU")</f>
        <v>přijít (v-w5158f1) - substituted with v-w5158f68_ZU</v>
      </c>
      <c r="E37876" s="0" t="str">
        <f aca="false">HYPERLINK("https://lindat.mff.cuni.cz/services/SynSemClass40/SynSemClass40.html?veclass=vec00218#vec00218-ces-cm00116", "vec00218")</f>
        <v>vec00218</v>
      </c>
      <c r="F37876" s="0" t="s">
        <v>2143</v>
      </c>
    </row>
    <row r="37877" customFormat="false" ht="12.8" hidden="false" customHeight="false" outlineLevel="0" collapsed="false">
      <c r="B37877" s="0" t="s">
        <v>1</v>
      </c>
      <c r="C37877" s="0" t="s">
        <v>2144</v>
      </c>
      <c r="E37877" s="0" t="s">
        <v>11</v>
      </c>
      <c r="F37877" s="0" t="s">
        <v>2145</v>
      </c>
    </row>
    <row r="37878" customFormat="false" ht="12.8" hidden="false" customHeight="false" outlineLevel="0" collapsed="false">
      <c r="B37878" s="0" t="s">
        <v>164</v>
      </c>
      <c r="C37878" s="0" t="s">
        <v>2146</v>
      </c>
      <c r="E37878" s="0" t="s">
        <v>370</v>
      </c>
      <c r="F37878" s="0" t="s">
        <v>2147</v>
      </c>
    </row>
    <row r="37880" customFormat="false" ht="12.8" hidden="false" customHeight="false" outlineLevel="0" collapsed="false">
      <c r="A37880" s="0" t="s">
        <v>14137</v>
      </c>
      <c r="B37880" s="0" t="str">
        <f aca="false">HYPERLINK("https://lindat.mff.cuni.cz/services/teitok/pdtc10/index.php?action=vallex&amp;frame=v-w5158f66_ZU", "přijít (v-w5158f66_ZU) - substituted with v-w5158f68_ZU")</f>
        <v>přijít (v-w5158f66_ZU) - substituted with v-w5158f68_ZU</v>
      </c>
    </row>
    <row r="37881" customFormat="false" ht="12.8" hidden="false" customHeight="false" outlineLevel="0" collapsed="false">
      <c r="B37881" s="0" t="s">
        <v>1</v>
      </c>
    </row>
    <row r="37882" customFormat="false" ht="12.8" hidden="false" customHeight="false" outlineLevel="0" collapsed="false">
      <c r="B37882" s="0" t="s">
        <v>164</v>
      </c>
    </row>
    <row r="37884" customFormat="false" ht="12.8" hidden="false" customHeight="false" outlineLevel="0" collapsed="false">
      <c r="A37884" s="0" t="s">
        <v>14138</v>
      </c>
      <c r="B37884" s="0" t="str">
        <f aca="false">HYPERLINK("https://lindat.mff.cuni.cz/services/teitok/pdtc10/index.php?action=vallex&amp;frame=v-w5158f40_ZU", "přijít (v-w5158f40_ZU)")</f>
        <v>přijít (v-w5158f40_ZU)</v>
      </c>
    </row>
    <row r="37885" customFormat="false" ht="12.8" hidden="false" customHeight="false" outlineLevel="0" collapsed="false">
      <c r="B37885" s="0" t="s">
        <v>1</v>
      </c>
    </row>
    <row r="37886" customFormat="false" ht="12.8" hidden="false" customHeight="false" outlineLevel="0" collapsed="false">
      <c r="B37886" s="0" t="s">
        <v>361</v>
      </c>
    </row>
    <row r="37888" customFormat="false" ht="12.8" hidden="false" customHeight="false" outlineLevel="0" collapsed="false">
      <c r="A37888" s="0" t="s">
        <v>14138</v>
      </c>
      <c r="B37888" s="0" t="str">
        <f aca="false">HYPERLINK("https://lindat.mff.cuni.cz/services/teitok/pdtc10/index.php?action=vallex&amp;frame=v-w5158f30", "přijít (v-w5158f30) - substituted with v-w5158f40_ZU")</f>
        <v>přijít (v-w5158f30) - substituted with v-w5158f40_ZU</v>
      </c>
    </row>
    <row r="37889" customFormat="false" ht="12.8" hidden="false" customHeight="false" outlineLevel="0" collapsed="false">
      <c r="B37889" s="0" t="s">
        <v>1</v>
      </c>
    </row>
    <row r="37890" customFormat="false" ht="12.8" hidden="false" customHeight="false" outlineLevel="0" collapsed="false">
      <c r="B37890" s="0" t="s">
        <v>361</v>
      </c>
    </row>
    <row r="37892" customFormat="false" ht="12.8" hidden="false" customHeight="false" outlineLevel="0" collapsed="false">
      <c r="A37892" s="0" t="s">
        <v>14139</v>
      </c>
      <c r="B37892" s="0" t="str">
        <f aca="false">HYPERLINK("https://lindat.mff.cuni.cz/services/teitok/pdtc10/index.php?action=vallex&amp;frame=v-w5158f12", "přijít (v-w5158f12)")</f>
        <v>přijít (v-w5158f12)</v>
      </c>
    </row>
    <row r="37893" customFormat="false" ht="12.8" hidden="false" customHeight="false" outlineLevel="0" collapsed="false">
      <c r="B37893" s="0" t="s">
        <v>1</v>
      </c>
    </row>
    <row r="37894" customFormat="false" ht="12.8" hidden="false" customHeight="false" outlineLevel="0" collapsed="false">
      <c r="B37894" s="0" t="s">
        <v>852</v>
      </c>
    </row>
    <row r="37895" customFormat="false" ht="12.8" hidden="false" customHeight="false" outlineLevel="0" collapsed="false">
      <c r="B37895" s="0" t="s">
        <v>390</v>
      </c>
    </row>
    <row r="37897" customFormat="false" ht="12.8" hidden="false" customHeight="false" outlineLevel="0" collapsed="false">
      <c r="A37897" s="0" t="s">
        <v>14140</v>
      </c>
      <c r="B37897" s="0" t="str">
        <f aca="false">HYPERLINK("https://lindat.mff.cuni.cz/services/teitok/pdtc10/index.php?action=vallex&amp;frame=v-w5158f65_ZU", "přijít (v-w5158f65_ZU)")</f>
        <v>přijít (v-w5158f65_ZU)</v>
      </c>
    </row>
    <row r="37898" customFormat="false" ht="12.8" hidden="false" customHeight="false" outlineLevel="0" collapsed="false">
      <c r="B37898" s="0" t="s">
        <v>1</v>
      </c>
    </row>
    <row r="37900" customFormat="false" ht="12.8" hidden="false" customHeight="false" outlineLevel="0" collapsed="false">
      <c r="A37900" s="0" t="s">
        <v>14140</v>
      </c>
      <c r="B37900" s="0" t="str">
        <f aca="false">HYPERLINK("https://lindat.mff.cuni.cz/services/teitok/pdtc10/index.php?action=vallex&amp;frame=v-w5158f3", "přijít (v-w5158f3) - substituted with v-w5158f65_ZU")</f>
        <v>přijít (v-w5158f3) - substituted with v-w5158f65_ZU</v>
      </c>
      <c r="E37900" s="0" t="str">
        <f aca="false">HYPERLINK("https://lindat.mff.cuni.cz/services/SynSemClass40/SynSemClass40.html?veclass=vec00097#vec00097-ces-cm00032", "vec00097")</f>
        <v>vec00097</v>
      </c>
      <c r="F37900" s="0" t="s">
        <v>373</v>
      </c>
      <c r="H37900" s="0" t="str">
        <f aca="false">HYPERLINK("https://lindat.mff.cuni.cz/services/SynSemClass40/SynSemClass40.html?veclass=vec01518#vec01518-ces-cm00040", "vec01518")</f>
        <v>vec01518</v>
      </c>
      <c r="I37900" s="0" t="s">
        <v>2921</v>
      </c>
    </row>
    <row r="37901" customFormat="false" ht="12.8" hidden="false" customHeight="false" outlineLevel="0" collapsed="false">
      <c r="B37901" s="0" t="s">
        <v>1</v>
      </c>
      <c r="C37901" s="0" t="s">
        <v>2922</v>
      </c>
      <c r="E37901" s="0" t="s">
        <v>375</v>
      </c>
      <c r="F37901" s="0" t="s">
        <v>376</v>
      </c>
      <c r="H37901" s="0" t="s">
        <v>2923</v>
      </c>
      <c r="I37901" s="0" t="s">
        <v>2924</v>
      </c>
    </row>
    <row r="37903" customFormat="false" ht="12.8" hidden="false" customHeight="false" outlineLevel="0" collapsed="false">
      <c r="A37903" s="0" t="s">
        <v>14141</v>
      </c>
      <c r="B37903" s="0" t="str">
        <f aca="false">HYPERLINK("https://lindat.mff.cuni.cz/services/teitok/pdtc10/index.php?action=vallex&amp;frame=v-w5158f35_ZU", "přijít (v-w5158f35_ZU)")</f>
        <v>přijít (v-w5158f35_ZU)</v>
      </c>
    </row>
    <row r="37904" customFormat="false" ht="12.8" hidden="false" customHeight="false" outlineLevel="0" collapsed="false">
      <c r="B37904" s="0" t="s">
        <v>1131</v>
      </c>
    </row>
    <row r="37906" customFormat="false" ht="12.8" hidden="false" customHeight="false" outlineLevel="0" collapsed="false">
      <c r="A37906" s="0" t="s">
        <v>14142</v>
      </c>
      <c r="B37906" s="0" t="str">
        <f aca="false">HYPERLINK("https://lindat.mff.cuni.cz/services/teitok/pdtc10/index.php?action=vallex&amp;frame=v-w5158f9", "přijít (v-w5158f9)")</f>
        <v>přijít (v-w5158f9)</v>
      </c>
    </row>
    <row r="37907" customFormat="false" ht="12.8" hidden="false" customHeight="false" outlineLevel="0" collapsed="false">
      <c r="B37907" s="0" t="s">
        <v>1</v>
      </c>
    </row>
    <row r="37908" customFormat="false" ht="12.8" hidden="false" customHeight="false" outlineLevel="0" collapsed="false">
      <c r="B37908" s="0" t="s">
        <v>13991</v>
      </c>
    </row>
    <row r="37910" customFormat="false" ht="12.8" hidden="false" customHeight="false" outlineLevel="0" collapsed="false">
      <c r="A37910" s="0" t="s">
        <v>14143</v>
      </c>
      <c r="B37910" s="0" t="str">
        <f aca="false">HYPERLINK("https://lindat.mff.cuni.cz/services/teitok/pdtc10/index.php?action=vallex&amp;frame=v-w5158f19", "přijít (v-w5158f19)")</f>
        <v>přijít (v-w5158f19)</v>
      </c>
    </row>
    <row r="37911" customFormat="false" ht="12.8" hidden="false" customHeight="false" outlineLevel="0" collapsed="false">
      <c r="B37911" s="0" t="s">
        <v>1</v>
      </c>
    </row>
    <row r="37912" customFormat="false" ht="12.8" hidden="false" customHeight="false" outlineLevel="0" collapsed="false">
      <c r="B37912" s="0" t="s">
        <v>13993</v>
      </c>
    </row>
    <row r="37914" customFormat="false" ht="12.8" hidden="false" customHeight="false" outlineLevel="0" collapsed="false">
      <c r="A37914" s="0" t="s">
        <v>14144</v>
      </c>
      <c r="B37914" s="0" t="str">
        <f aca="false">HYPERLINK("https://lindat.mff.cuni.cz/services/teitok/pdtc10/index.php?action=vallex&amp;frame=v-w5158f10", "přijít (v-w5158f10)")</f>
        <v>přijít (v-w5158f10)</v>
      </c>
    </row>
    <row r="37915" customFormat="false" ht="12.8" hidden="false" customHeight="false" outlineLevel="0" collapsed="false">
      <c r="B37915" s="0" t="s">
        <v>1</v>
      </c>
    </row>
    <row r="37916" customFormat="false" ht="12.8" hidden="false" customHeight="false" outlineLevel="0" collapsed="false">
      <c r="B37916" s="0" t="s">
        <v>14145</v>
      </c>
    </row>
    <row r="37918" customFormat="false" ht="12.8" hidden="false" customHeight="false" outlineLevel="0" collapsed="false">
      <c r="A37918" s="0" t="s">
        <v>14146</v>
      </c>
      <c r="B37918" s="0" t="str">
        <f aca="false">HYPERLINK("https://lindat.mff.cuni.cz/services/teitok/pdtc10/index.php?action=vallex&amp;frame=v-w5158f45_ZU", "přijít (v-w5158f45_ZU)")</f>
        <v>přijít (v-w5158f45_ZU)</v>
      </c>
      <c r="E37918" s="0" t="str">
        <f aca="false">HYPERLINK("https://lindat.mff.cuni.cz/services/SynSemClass40/SynSemClass40.html?veclass=vec01292#vec01292-ces-cm00005", "vec01292")</f>
        <v>vec01292</v>
      </c>
      <c r="F37918" s="0" t="s">
        <v>13979</v>
      </c>
    </row>
    <row r="37919" customFormat="false" ht="12.8" hidden="false" customHeight="false" outlineLevel="0" collapsed="false">
      <c r="B37919" s="0" t="s">
        <v>1</v>
      </c>
      <c r="C37919" s="0" t="s">
        <v>13997</v>
      </c>
      <c r="E37919" s="0" t="s">
        <v>2619</v>
      </c>
      <c r="F37919" s="0" t="s">
        <v>13981</v>
      </c>
    </row>
    <row r="37920" customFormat="false" ht="12.8" hidden="false" customHeight="false" outlineLevel="0" collapsed="false">
      <c r="B37920" s="0" t="s">
        <v>14147</v>
      </c>
      <c r="C37920" s="0" t="s">
        <v>13999</v>
      </c>
      <c r="E37920" s="0" t="s">
        <v>10922</v>
      </c>
      <c r="F37920" s="0" t="s">
        <v>14000</v>
      </c>
    </row>
    <row r="37922" customFormat="false" ht="12.8" hidden="false" customHeight="false" outlineLevel="0" collapsed="false">
      <c r="A37922" s="0" t="s">
        <v>14146</v>
      </c>
      <c r="B37922" s="0" t="str">
        <f aca="false">HYPERLINK("https://lindat.mff.cuni.cz/services/teitok/pdtc10/index.php?action=vallex&amp;frame=v-w5158f6", "přijít (v-w5158f6) - substituted with v-w5158f45_ZU")</f>
        <v>přijít (v-w5158f6) - substituted with v-w5158f45_ZU</v>
      </c>
    </row>
    <row r="37923" customFormat="false" ht="12.8" hidden="false" customHeight="false" outlineLevel="0" collapsed="false">
      <c r="B37923" s="0" t="s">
        <v>1</v>
      </c>
    </row>
    <row r="37924" customFormat="false" ht="12.8" hidden="false" customHeight="false" outlineLevel="0" collapsed="false">
      <c r="B37924" s="0" t="s">
        <v>14147</v>
      </c>
    </row>
    <row r="37926" customFormat="false" ht="12.8" hidden="false" customHeight="false" outlineLevel="0" collapsed="false">
      <c r="A37926" s="0" t="s">
        <v>14148</v>
      </c>
      <c r="B37926" s="0" t="str">
        <f aca="false">HYPERLINK("https://lindat.mff.cuni.cz/services/teitok/pdtc10/index.php?action=vallex&amp;frame=v-w5158f36_ZU", "přijít (v-w5158f36_ZU)")</f>
        <v>přijít (v-w5158f36_ZU)</v>
      </c>
      <c r="E37926" s="0" t="str">
        <f aca="false">HYPERLINK("https://lindat.mff.cuni.cz/services/SynSemClass40/SynSemClass40.html?veclass=vec01292#vec01292-ces-cm00004", "vec01292")</f>
        <v>vec01292</v>
      </c>
      <c r="F37926" s="0" t="s">
        <v>13979</v>
      </c>
    </row>
    <row r="37927" customFormat="false" ht="12.8" hidden="false" customHeight="false" outlineLevel="0" collapsed="false">
      <c r="B37927" s="0" t="s">
        <v>1</v>
      </c>
      <c r="C37927" s="0" t="s">
        <v>13997</v>
      </c>
      <c r="E37927" s="0" t="s">
        <v>2619</v>
      </c>
      <c r="F37927" s="0" t="s">
        <v>13981</v>
      </c>
    </row>
    <row r="37928" customFormat="false" ht="12.8" hidden="false" customHeight="false" outlineLevel="0" collapsed="false">
      <c r="B37928" s="0" t="s">
        <v>14149</v>
      </c>
      <c r="C37928" s="0" t="s">
        <v>13999</v>
      </c>
      <c r="E37928" s="0" t="s">
        <v>10922</v>
      </c>
      <c r="F37928" s="0" t="s">
        <v>14000</v>
      </c>
    </row>
    <row r="37930" customFormat="false" ht="12.8" hidden="false" customHeight="false" outlineLevel="0" collapsed="false">
      <c r="A37930" s="0" t="s">
        <v>14150</v>
      </c>
      <c r="B37930" s="0" t="str">
        <f aca="false">HYPERLINK("https://lindat.mff.cuni.cz/services/teitok/pdtc10/index.php?action=vallex&amp;frame=v-w5158f20", "přijít (v-w5158f20)")</f>
        <v>přijít (v-w5158f20)</v>
      </c>
      <c r="E37930" s="0" t="str">
        <f aca="false">HYPERLINK("https://lindat.mff.cuni.cz/services/SynSemClass40/SynSemClass40.html?veclass=vec00898#vec00898-ces-cm00001", "vec00898")</f>
        <v>vec00898</v>
      </c>
      <c r="F37930" s="0" t="s">
        <v>14151</v>
      </c>
    </row>
    <row r="37931" customFormat="false" ht="12.8" hidden="false" customHeight="false" outlineLevel="0" collapsed="false">
      <c r="B37931" s="0" t="s">
        <v>629</v>
      </c>
      <c r="E37931" s="0" t="s">
        <v>3021</v>
      </c>
      <c r="F37931" s="0" t="s">
        <v>14152</v>
      </c>
    </row>
    <row r="37932" customFormat="false" ht="12.8" hidden="false" customHeight="false" outlineLevel="0" collapsed="false">
      <c r="B37932" s="0" t="s">
        <v>14153</v>
      </c>
    </row>
    <row r="37933" customFormat="false" ht="12.8" hidden="false" customHeight="false" outlineLevel="0" collapsed="false">
      <c r="B37933" s="0" t="s">
        <v>186</v>
      </c>
      <c r="E37933" s="0" t="s">
        <v>4438</v>
      </c>
      <c r="F37933" s="0" t="s">
        <v>10035</v>
      </c>
    </row>
    <row r="37935" customFormat="false" ht="12.8" hidden="false" customHeight="false" outlineLevel="0" collapsed="false">
      <c r="A37935" s="0" t="s">
        <v>14154</v>
      </c>
      <c r="B37935" s="0" t="str">
        <f aca="false">HYPERLINK("https://lindat.mff.cuni.cz/services/teitok/pdtc10/index.php?action=vallex&amp;frame=v-w5158f15", "přijít (v-w5158f15)")</f>
        <v>přijít (v-w5158f15)</v>
      </c>
    </row>
    <row r="37936" customFormat="false" ht="12.8" hidden="false" customHeight="false" outlineLevel="0" collapsed="false">
      <c r="B37936" s="0" t="s">
        <v>1</v>
      </c>
    </row>
    <row r="37937" customFormat="false" ht="12.8" hidden="false" customHeight="false" outlineLevel="0" collapsed="false">
      <c r="B37937" s="0" t="s">
        <v>14155</v>
      </c>
    </row>
    <row r="37938" customFormat="false" ht="12.8" hidden="false" customHeight="false" outlineLevel="0" collapsed="false">
      <c r="B37938" s="0" t="s">
        <v>186</v>
      </c>
    </row>
    <row r="37940" customFormat="false" ht="12.8" hidden="false" customHeight="false" outlineLevel="0" collapsed="false">
      <c r="A37940" s="0" t="s">
        <v>14156</v>
      </c>
      <c r="B37940" s="0" t="str">
        <f aca="false">HYPERLINK("https://lindat.mff.cuni.cz/services/teitok/pdtc10/index.php?action=vallex&amp;frame=v-w5158f23", "přijít (v-w5158f23)")</f>
        <v>přijít (v-w5158f23)</v>
      </c>
    </row>
    <row r="37941" customFormat="false" ht="12.8" hidden="false" customHeight="false" outlineLevel="0" collapsed="false">
      <c r="B37941" s="0" t="s">
        <v>1</v>
      </c>
    </row>
    <row r="37942" customFormat="false" ht="12.8" hidden="false" customHeight="false" outlineLevel="0" collapsed="false">
      <c r="B37942" s="0" t="s">
        <v>14157</v>
      </c>
    </row>
    <row r="37943" customFormat="false" ht="12.8" hidden="false" customHeight="false" outlineLevel="0" collapsed="false">
      <c r="B37943" s="0" t="s">
        <v>186</v>
      </c>
    </row>
    <row r="37945" customFormat="false" ht="12.8" hidden="false" customHeight="false" outlineLevel="0" collapsed="false">
      <c r="A37945" s="0" t="s">
        <v>14158</v>
      </c>
      <c r="B37945" s="0" t="str">
        <f aca="false">HYPERLINK("https://lindat.mff.cuni.cz/services/teitok/pdtc10/index.php?action=vallex&amp;frame=v-w5158f27", "přijít (v-w5158f27)")</f>
        <v>přijít (v-w5158f27)</v>
      </c>
    </row>
    <row r="37946" customFormat="false" ht="12.8" hidden="false" customHeight="false" outlineLevel="0" collapsed="false">
      <c r="B37946" s="0" t="s">
        <v>804</v>
      </c>
    </row>
    <row r="37947" customFormat="false" ht="12.8" hidden="false" customHeight="false" outlineLevel="0" collapsed="false">
      <c r="B37947" s="0" t="s">
        <v>14159</v>
      </c>
    </row>
    <row r="37948" customFormat="false" ht="12.8" hidden="false" customHeight="false" outlineLevel="0" collapsed="false">
      <c r="B37948" s="0" t="s">
        <v>14160</v>
      </c>
    </row>
    <row r="37950" customFormat="false" ht="12.8" hidden="false" customHeight="false" outlineLevel="0" collapsed="false">
      <c r="A37950" s="0" t="s">
        <v>14161</v>
      </c>
      <c r="B37950" s="0" t="str">
        <f aca="false">HYPERLINK("https://lindat.mff.cuni.cz/services/teitok/pdtc10/index.php?action=vallex&amp;frame=v-w5158f29", "přijít (v-w5158f29)")</f>
        <v>přijít (v-w5158f29)</v>
      </c>
    </row>
    <row r="37951" customFormat="false" ht="12.8" hidden="false" customHeight="false" outlineLevel="0" collapsed="false">
      <c r="B37951" s="0" t="s">
        <v>843</v>
      </c>
    </row>
    <row r="37952" customFormat="false" ht="12.8" hidden="false" customHeight="false" outlineLevel="0" collapsed="false">
      <c r="B37952" s="0" t="s">
        <v>14162</v>
      </c>
    </row>
    <row r="37954" customFormat="false" ht="12.8" hidden="false" customHeight="false" outlineLevel="0" collapsed="false">
      <c r="A37954" s="0" t="s">
        <v>14163</v>
      </c>
      <c r="B37954" s="0" t="str">
        <f aca="false">HYPERLINK("https://lindat.mff.cuni.cz/services/teitok/pdtc10/index.php?action=vallex&amp;frame=v-w5158f26", "přijít (v-w5158f26)")</f>
        <v>přijít (v-w5158f26)</v>
      </c>
    </row>
    <row r="37955" customFormat="false" ht="12.8" hidden="false" customHeight="false" outlineLevel="0" collapsed="false">
      <c r="B37955" s="0" t="s">
        <v>1</v>
      </c>
    </row>
    <row r="37956" customFormat="false" ht="12.8" hidden="false" customHeight="false" outlineLevel="0" collapsed="false">
      <c r="B37956" s="0" t="s">
        <v>14164</v>
      </c>
    </row>
    <row r="37958" customFormat="false" ht="12.8" hidden="false" customHeight="false" outlineLevel="0" collapsed="false">
      <c r="A37958" s="0" t="s">
        <v>14165</v>
      </c>
      <c r="B37958" s="0" t="str">
        <f aca="false">HYPERLINK("https://lindat.mff.cuni.cz/services/teitok/pdtc10/index.php?action=vallex&amp;frame=v-w5158f33", "přijít (v-w5158f33)")</f>
        <v>přijít (v-w5158f33)</v>
      </c>
    </row>
    <row r="37959" customFormat="false" ht="12.8" hidden="false" customHeight="false" outlineLevel="0" collapsed="false">
      <c r="B37959" s="0" t="s">
        <v>1</v>
      </c>
    </row>
    <row r="37960" customFormat="false" ht="12.8" hidden="false" customHeight="false" outlineLevel="0" collapsed="false">
      <c r="B37960" s="0" t="s">
        <v>14166</v>
      </c>
    </row>
    <row r="37962" customFormat="false" ht="12.8" hidden="false" customHeight="false" outlineLevel="0" collapsed="false">
      <c r="A37962" s="0" t="s">
        <v>14167</v>
      </c>
      <c r="B37962" s="0" t="str">
        <f aca="false">HYPERLINK("https://lindat.mff.cuni.cz/services/teitok/pdtc10/index.php?action=vallex&amp;frame=v-w5158f32", "přijít (v-w5158f32)")</f>
        <v>přijít (v-w5158f32)</v>
      </c>
    </row>
    <row r="37963" customFormat="false" ht="12.8" hidden="false" customHeight="false" outlineLevel="0" collapsed="false">
      <c r="B37963" s="0" t="s">
        <v>1</v>
      </c>
    </row>
    <row r="37964" customFormat="false" ht="12.8" hidden="false" customHeight="false" outlineLevel="0" collapsed="false">
      <c r="B37964" s="0" t="s">
        <v>14168</v>
      </c>
    </row>
    <row r="37966" customFormat="false" ht="12.8" hidden="false" customHeight="false" outlineLevel="0" collapsed="false">
      <c r="A37966" s="0" t="s">
        <v>14169</v>
      </c>
      <c r="B37966" s="0" t="str">
        <f aca="false">HYPERLINK("https://lindat.mff.cuni.cz/services/teitok/pdtc10/index.php?action=vallex&amp;frame=v-w5158f8", "přijít (v-w5158f8)")</f>
        <v>přijít (v-w5158f8)</v>
      </c>
    </row>
    <row r="37967" customFormat="false" ht="12.8" hidden="false" customHeight="false" outlineLevel="0" collapsed="false">
      <c r="B37967" s="0" t="s">
        <v>1</v>
      </c>
    </row>
    <row r="37968" customFormat="false" ht="12.8" hidden="false" customHeight="false" outlineLevel="0" collapsed="false">
      <c r="B37968" s="0" t="s">
        <v>13014</v>
      </c>
    </row>
    <row r="37970" customFormat="false" ht="12.8" hidden="false" customHeight="false" outlineLevel="0" collapsed="false">
      <c r="A37970" s="0" t="s">
        <v>14170</v>
      </c>
      <c r="B37970" s="0" t="str">
        <f aca="false">HYPERLINK("https://lindat.mff.cuni.cz/services/teitok/pdtc10/index.php?action=vallex&amp;frame=v-w5158f24", "přijít (v-w5158f24)")</f>
        <v>přijít (v-w5158f24)</v>
      </c>
    </row>
    <row r="37971" customFormat="false" ht="12.8" hidden="false" customHeight="false" outlineLevel="0" collapsed="false">
      <c r="B37971" s="0" t="s">
        <v>1</v>
      </c>
    </row>
    <row r="37972" customFormat="false" ht="12.8" hidden="false" customHeight="false" outlineLevel="0" collapsed="false">
      <c r="B37972" s="0" t="s">
        <v>14171</v>
      </c>
    </row>
    <row r="37974" customFormat="false" ht="12.8" hidden="false" customHeight="false" outlineLevel="0" collapsed="false">
      <c r="A37974" s="0" t="s">
        <v>14172</v>
      </c>
      <c r="B37974" s="0" t="str">
        <f aca="false">HYPERLINK("https://lindat.mff.cuni.cz/services/teitok/pdtc10/index.php?action=vallex&amp;frame=v-w5158f31", "přijít (v-w5158f31)")</f>
        <v>přijít (v-w5158f31)</v>
      </c>
    </row>
    <row r="37975" customFormat="false" ht="12.8" hidden="false" customHeight="false" outlineLevel="0" collapsed="false">
      <c r="B37975" s="0" t="s">
        <v>1</v>
      </c>
    </row>
    <row r="37976" customFormat="false" ht="12.8" hidden="false" customHeight="false" outlineLevel="0" collapsed="false">
      <c r="B37976" s="0" t="s">
        <v>14004</v>
      </c>
    </row>
    <row r="37978" customFormat="false" ht="12.8" hidden="false" customHeight="false" outlineLevel="0" collapsed="false">
      <c r="A37978" s="0" t="s">
        <v>14173</v>
      </c>
      <c r="B37978" s="0" t="str">
        <f aca="false">HYPERLINK("https://lindat.mff.cuni.cz/services/teitok/pdtc10/index.php?action=vallex&amp;frame=v-w5158f14", "přijít (v-w5158f14)")</f>
        <v>přijít (v-w5158f14)</v>
      </c>
    </row>
    <row r="37979" customFormat="false" ht="12.8" hidden="false" customHeight="false" outlineLevel="0" collapsed="false">
      <c r="B37979" s="0" t="s">
        <v>1</v>
      </c>
    </row>
    <row r="37980" customFormat="false" ht="12.8" hidden="false" customHeight="false" outlineLevel="0" collapsed="false">
      <c r="B37980" s="0" t="s">
        <v>14006</v>
      </c>
    </row>
    <row r="37982" customFormat="false" ht="12.8" hidden="false" customHeight="false" outlineLevel="0" collapsed="false">
      <c r="A37982" s="0" t="s">
        <v>14174</v>
      </c>
      <c r="B37982" s="0" t="str">
        <f aca="false">HYPERLINK("https://lindat.mff.cuni.cz/services/teitok/pdtc10/index.php?action=vallex&amp;frame=v-w5158f18", "přijít (v-w5158f18)")</f>
        <v>přijít (v-w5158f18)</v>
      </c>
    </row>
    <row r="37983" customFormat="false" ht="12.8" hidden="false" customHeight="false" outlineLevel="0" collapsed="false">
      <c r="B37983" s="0" t="s">
        <v>1</v>
      </c>
    </row>
    <row r="37984" customFormat="false" ht="12.8" hidden="false" customHeight="false" outlineLevel="0" collapsed="false">
      <c r="B37984" s="0" t="s">
        <v>14013</v>
      </c>
    </row>
    <row r="37986" customFormat="false" ht="12.8" hidden="false" customHeight="false" outlineLevel="0" collapsed="false">
      <c r="A37986" s="0" t="s">
        <v>14175</v>
      </c>
      <c r="B37986" s="0" t="str">
        <f aca="false">HYPERLINK("https://lindat.mff.cuni.cz/services/teitok/pdtc10/index.php?action=vallex&amp;frame=v-w5158f25", "přijít (v-w5158f25)")</f>
        <v>přijít (v-w5158f25)</v>
      </c>
    </row>
    <row r="37987" customFormat="false" ht="12.8" hidden="false" customHeight="false" outlineLevel="0" collapsed="false">
      <c r="B37987" s="0" t="s">
        <v>1</v>
      </c>
    </row>
    <row r="37988" customFormat="false" ht="12.8" hidden="false" customHeight="false" outlineLevel="0" collapsed="false">
      <c r="B37988" s="0" t="s">
        <v>14176</v>
      </c>
    </row>
    <row r="37990" customFormat="false" ht="12.8" hidden="false" customHeight="false" outlineLevel="0" collapsed="false">
      <c r="A37990" s="0" t="s">
        <v>14177</v>
      </c>
      <c r="B37990" s="0" t="str">
        <f aca="false">HYPERLINK("https://lindat.mff.cuni.cz/services/teitok/pdtc10/index.php?action=vallex&amp;frame=v-w5158f17", "přijít (v-w5158f17)")</f>
        <v>přijít (v-w5158f17)</v>
      </c>
      <c r="E37990" s="0" t="str">
        <f aca="false">HYPERLINK("https://lindat.mff.cuni.cz/services/SynSemClass40/SynSemClass40.html?veclass=vec01096#vec01096-ces-cm00001", "vec01096")</f>
        <v>vec01096</v>
      </c>
      <c r="F37990" s="0" t="s">
        <v>14178</v>
      </c>
    </row>
    <row r="37991" customFormat="false" ht="12.8" hidden="false" customHeight="false" outlineLevel="0" collapsed="false">
      <c r="B37991" s="0" t="s">
        <v>1</v>
      </c>
      <c r="C37991" s="0" t="s">
        <v>1507</v>
      </c>
      <c r="E37991" s="0" t="s">
        <v>14179</v>
      </c>
      <c r="F37991" s="0" t="s">
        <v>14180</v>
      </c>
    </row>
    <row r="37992" customFormat="false" ht="12.8" hidden="false" customHeight="false" outlineLevel="0" collapsed="false">
      <c r="B37992" s="0" t="s">
        <v>14162</v>
      </c>
    </row>
    <row r="37994" customFormat="false" ht="12.8" hidden="false" customHeight="false" outlineLevel="0" collapsed="false">
      <c r="A37994" s="0" t="s">
        <v>14181</v>
      </c>
      <c r="B37994" s="0" t="str">
        <f aca="false">HYPERLINK("https://lindat.mff.cuni.cz/services/teitok/pdtc10/index.php?action=vallex&amp;frame=v-w5158f22", "přijít (v-w5158f22)")</f>
        <v>přijít (v-w5158f22)</v>
      </c>
    </row>
    <row r="37995" customFormat="false" ht="12.8" hidden="false" customHeight="false" outlineLevel="0" collapsed="false">
      <c r="B37995" s="0" t="s">
        <v>1</v>
      </c>
    </row>
    <row r="37996" customFormat="false" ht="12.8" hidden="false" customHeight="false" outlineLevel="0" collapsed="false">
      <c r="B37996" s="0" t="s">
        <v>5174</v>
      </c>
    </row>
    <row r="37998" customFormat="false" ht="12.8" hidden="false" customHeight="false" outlineLevel="0" collapsed="false">
      <c r="A37998" s="0" t="s">
        <v>14182</v>
      </c>
      <c r="B37998" s="0" t="str">
        <f aca="false">HYPERLINK("https://lindat.mff.cuni.cz/services/teitok/pdtc10/index.php?action=vallex&amp;frame=v-w5158f13", "přijít (v-w5158f13)")</f>
        <v>přijít (v-w5158f13)</v>
      </c>
    </row>
    <row r="37999" customFormat="false" ht="12.8" hidden="false" customHeight="false" outlineLevel="0" collapsed="false">
      <c r="B37999" s="0" t="s">
        <v>1</v>
      </c>
    </row>
    <row r="38000" customFormat="false" ht="12.8" hidden="false" customHeight="false" outlineLevel="0" collapsed="false">
      <c r="B38000" s="0" t="s">
        <v>14008</v>
      </c>
    </row>
    <row r="38002" customFormat="false" ht="12.8" hidden="false" customHeight="false" outlineLevel="0" collapsed="false">
      <c r="A38002" s="0" t="s">
        <v>14183</v>
      </c>
      <c r="B38002" s="0" t="str">
        <f aca="false">HYPERLINK("https://lindat.mff.cuni.cz/services/teitok/pdtc10/index.php?action=vallex&amp;frame=v-w5158f21", "přijít (v-w5158f21)")</f>
        <v>přijít (v-w5158f21)</v>
      </c>
    </row>
    <row r="38003" customFormat="false" ht="12.8" hidden="false" customHeight="false" outlineLevel="0" collapsed="false">
      <c r="B38003" s="0" t="s">
        <v>1131</v>
      </c>
    </row>
    <row r="38004" customFormat="false" ht="12.8" hidden="false" customHeight="false" outlineLevel="0" collapsed="false">
      <c r="B38004" s="0" t="s">
        <v>14010</v>
      </c>
    </row>
    <row r="38006" customFormat="false" ht="12.8" hidden="false" customHeight="false" outlineLevel="0" collapsed="false">
      <c r="A38006" s="0" t="s">
        <v>14184</v>
      </c>
      <c r="B38006" s="0" t="str">
        <f aca="false">HYPERLINK("https://lindat.mff.cuni.cz/services/teitok/pdtc10/index.php?action=vallex&amp;frame=v-w5158f37_ZU", "přijít (v-w5158f37_ZU)")</f>
        <v>přijít (v-w5158f37_ZU)</v>
      </c>
    </row>
    <row r="38007" customFormat="false" ht="12.8" hidden="false" customHeight="false" outlineLevel="0" collapsed="false">
      <c r="B38007" s="0" t="s">
        <v>1</v>
      </c>
    </row>
    <row r="38008" customFormat="false" ht="12.8" hidden="false" customHeight="false" outlineLevel="0" collapsed="false">
      <c r="B38008" s="0" t="s">
        <v>14185</v>
      </c>
    </row>
    <row r="38010" customFormat="false" ht="12.8" hidden="false" customHeight="false" outlineLevel="0" collapsed="false">
      <c r="A38010" s="0" t="s">
        <v>14186</v>
      </c>
      <c r="B38010" s="0" t="str">
        <f aca="false">HYPERLINK("https://lindat.mff.cuni.cz/services/teitok/pdtc10/index.php?action=vallex&amp;frame=v-w5158f42_ZU", "přijít (v-w5158f42_ZU)")</f>
        <v>přijít (v-w5158f42_ZU)</v>
      </c>
    </row>
    <row r="38011" customFormat="false" ht="12.8" hidden="false" customHeight="false" outlineLevel="0" collapsed="false">
      <c r="B38011" s="0" t="s">
        <v>1</v>
      </c>
    </row>
    <row r="38012" customFormat="false" ht="12.8" hidden="false" customHeight="false" outlineLevel="0" collapsed="false">
      <c r="B38012" s="0" t="s">
        <v>45</v>
      </c>
    </row>
    <row r="38014" customFormat="false" ht="12.8" hidden="false" customHeight="false" outlineLevel="0" collapsed="false">
      <c r="A38014" s="0" t="s">
        <v>14186</v>
      </c>
      <c r="B38014" s="0" t="str">
        <f aca="false">HYPERLINK("https://lindat.mff.cuni.cz/services/teitok/pdtc10/index.php?action=vallex&amp;frame=v-w5158hsa_1092", "přijít (v-w5158hsa_1092) - substituted with v-w5158f42_ZU")</f>
        <v>přijít (v-w5158hsa_1092) - substituted with v-w5158f42_ZU</v>
      </c>
    </row>
    <row r="38015" customFormat="false" ht="12.8" hidden="false" customHeight="false" outlineLevel="0" collapsed="false">
      <c r="B38015" s="0" t="s">
        <v>1</v>
      </c>
    </row>
    <row r="38016" customFormat="false" ht="12.8" hidden="false" customHeight="false" outlineLevel="0" collapsed="false">
      <c r="B38016" s="0" t="s">
        <v>45</v>
      </c>
    </row>
    <row r="38018" customFormat="false" ht="12.8" hidden="false" customHeight="false" outlineLevel="0" collapsed="false">
      <c r="A38018" s="0" t="s">
        <v>14187</v>
      </c>
      <c r="B38018" s="0" t="str">
        <f aca="false">HYPERLINK("https://lindat.mff.cuni.cz/services/teitok/pdtc10/index.php?action=vallex&amp;frame=v-w5158f43_ZU", "přijít (v-w5158f43_ZU)")</f>
        <v>přijít (v-w5158f43_ZU)</v>
      </c>
    </row>
    <row r="38019" customFormat="false" ht="12.8" hidden="false" customHeight="false" outlineLevel="0" collapsed="false">
      <c r="B38019" s="0" t="s">
        <v>1</v>
      </c>
    </row>
    <row r="38020" customFormat="false" ht="12.8" hidden="false" customHeight="false" outlineLevel="0" collapsed="false">
      <c r="B38020" s="0" t="s">
        <v>14188</v>
      </c>
    </row>
    <row r="38022" customFormat="false" ht="12.8" hidden="false" customHeight="false" outlineLevel="0" collapsed="false">
      <c r="A38022" s="0" t="s">
        <v>14187</v>
      </c>
      <c r="B38022" s="0" t="str">
        <f aca="false">HYPERLINK("https://lindat.mff.cuni.cz/services/teitok/pdtc10/index.php?action=vallex&amp;frame=v-w5158hsa_1093", "přijít (v-w5158hsa_1093) - substituted with v-w5158f43_ZU")</f>
        <v>přijít (v-w5158hsa_1093) - substituted with v-w5158f43_ZU</v>
      </c>
    </row>
    <row r="38023" customFormat="false" ht="12.8" hidden="false" customHeight="false" outlineLevel="0" collapsed="false">
      <c r="B38023" s="0" t="s">
        <v>1</v>
      </c>
    </row>
    <row r="38024" customFormat="false" ht="12.8" hidden="false" customHeight="false" outlineLevel="0" collapsed="false">
      <c r="B38024" s="0" t="s">
        <v>14188</v>
      </c>
    </row>
    <row r="38026" customFormat="false" ht="12.8" hidden="false" customHeight="false" outlineLevel="0" collapsed="false">
      <c r="A38026" s="0" t="s">
        <v>14189</v>
      </c>
      <c r="B38026" s="0" t="str">
        <f aca="false">HYPERLINK("https://lindat.mff.cuni.cz/services/teitok/pdtc10/index.php?action=vallex&amp;frame=v-w5158f44_ZU", "přijít (v-w5158f44_ZU)")</f>
        <v>přijít (v-w5158f44_ZU)</v>
      </c>
    </row>
    <row r="38027" customFormat="false" ht="12.8" hidden="false" customHeight="false" outlineLevel="0" collapsed="false">
      <c r="B38027" s="0" t="s">
        <v>1</v>
      </c>
    </row>
    <row r="38028" customFormat="false" ht="12.8" hidden="false" customHeight="false" outlineLevel="0" collapsed="false">
      <c r="B38028" s="0" t="s">
        <v>14190</v>
      </c>
    </row>
    <row r="38030" customFormat="false" ht="12.8" hidden="false" customHeight="false" outlineLevel="0" collapsed="false">
      <c r="A38030" s="0" t="s">
        <v>14189</v>
      </c>
      <c r="B38030" s="0" t="str">
        <f aca="false">HYPERLINK("https://lindat.mff.cuni.cz/services/teitok/pdtc10/index.php?action=vallex&amp;frame=v-w5158hsa_1094", "přijít (v-w5158hsa_1094) - substituted with v-w5158f44_ZU")</f>
        <v>přijít (v-w5158hsa_1094) - substituted with v-w5158f44_ZU</v>
      </c>
    </row>
    <row r="38031" customFormat="false" ht="12.8" hidden="false" customHeight="false" outlineLevel="0" collapsed="false">
      <c r="B38031" s="0" t="s">
        <v>1</v>
      </c>
    </row>
    <row r="38032" customFormat="false" ht="12.8" hidden="false" customHeight="false" outlineLevel="0" collapsed="false">
      <c r="B38032" s="0" t="s">
        <v>14190</v>
      </c>
    </row>
    <row r="38034" customFormat="false" ht="12.8" hidden="false" customHeight="false" outlineLevel="0" collapsed="false">
      <c r="A38034" s="0" t="s">
        <v>14191</v>
      </c>
      <c r="B38034" s="0" t="str">
        <f aca="false">HYPERLINK("https://lindat.mff.cuni.cz/services/teitok/pdtc10/index.php?action=vallex&amp;frame=v-w5158f38_ZU", "přijít (v-w5158f38_ZU)")</f>
        <v>přijít (v-w5158f38_ZU)</v>
      </c>
    </row>
    <row r="38035" customFormat="false" ht="12.8" hidden="false" customHeight="false" outlineLevel="0" collapsed="false">
      <c r="B38035" s="0" t="s">
        <v>1</v>
      </c>
    </row>
    <row r="38036" customFormat="false" ht="12.8" hidden="false" customHeight="false" outlineLevel="0" collapsed="false">
      <c r="B38036" s="0" t="s">
        <v>361</v>
      </c>
    </row>
    <row r="38038" customFormat="false" ht="12.8" hidden="false" customHeight="false" outlineLevel="0" collapsed="false">
      <c r="A38038" s="0" t="s">
        <v>14192</v>
      </c>
      <c r="B38038" s="0" t="str">
        <f aca="false">HYPERLINK("https://lindat.mff.cuni.cz/services/teitok/pdtc10/index.php?action=vallex&amp;frame=v-w5158f47_ZU", "přijít (v-w5158f47_ZU)")</f>
        <v>přijít (v-w5158f47_ZU)</v>
      </c>
    </row>
    <row r="38039" customFormat="false" ht="12.8" hidden="false" customHeight="false" outlineLevel="0" collapsed="false">
      <c r="B38039" s="0" t="s">
        <v>843</v>
      </c>
    </row>
    <row r="38040" customFormat="false" ht="12.8" hidden="false" customHeight="false" outlineLevel="0" collapsed="false">
      <c r="B38040" s="0" t="s">
        <v>186</v>
      </c>
    </row>
    <row r="38041" customFormat="false" ht="12.8" hidden="false" customHeight="false" outlineLevel="0" collapsed="false">
      <c r="B38041" s="0" t="s">
        <v>1633</v>
      </c>
    </row>
    <row r="38043" customFormat="false" ht="12.8" hidden="false" customHeight="false" outlineLevel="0" collapsed="false">
      <c r="A38043" s="0" t="s">
        <v>14192</v>
      </c>
      <c r="B38043" s="0" t="str">
        <f aca="false">HYPERLINK("https://lindat.mff.cuni.cz/services/teitok/pdtc10/index.php?action=vallex&amp;frame=v-w5158hsa_941", "přijít (v-w5158hsa_941) - substituted with v-w5158f47_ZU")</f>
        <v>přijít (v-w5158hsa_941) - substituted with v-w5158f47_ZU</v>
      </c>
    </row>
    <row r="38044" customFormat="false" ht="12.8" hidden="false" customHeight="false" outlineLevel="0" collapsed="false">
      <c r="B38044" s="0" t="s">
        <v>843</v>
      </c>
    </row>
    <row r="38045" customFormat="false" ht="12.8" hidden="false" customHeight="false" outlineLevel="0" collapsed="false">
      <c r="B38045" s="0" t="s">
        <v>186</v>
      </c>
    </row>
    <row r="38046" customFormat="false" ht="12.8" hidden="false" customHeight="false" outlineLevel="0" collapsed="false">
      <c r="B38046" s="0" t="s">
        <v>1633</v>
      </c>
    </row>
    <row r="38048" customFormat="false" ht="12.8" hidden="false" customHeight="false" outlineLevel="0" collapsed="false">
      <c r="A38048" s="0" t="s">
        <v>14193</v>
      </c>
      <c r="B38048" s="0" t="str">
        <f aca="false">HYPERLINK("https://lindat.mff.cuni.cz/services/teitok/pdtc10/index.php?action=vallex&amp;frame=v-w5158f51_ZU", "přijít (v-w5158f51_ZU)")</f>
        <v>přijít (v-w5158f51_ZU)</v>
      </c>
    </row>
    <row r="38049" customFormat="false" ht="12.8" hidden="false" customHeight="false" outlineLevel="0" collapsed="false">
      <c r="B38049" s="0" t="s">
        <v>804</v>
      </c>
    </row>
    <row r="38050" customFormat="false" ht="12.8" hidden="false" customHeight="false" outlineLevel="0" collapsed="false">
      <c r="B38050" s="0" t="s">
        <v>439</v>
      </c>
    </row>
    <row r="38051" customFormat="false" ht="12.8" hidden="false" customHeight="false" outlineLevel="0" collapsed="false">
      <c r="B38051" s="0" t="s">
        <v>874</v>
      </c>
    </row>
    <row r="38053" customFormat="false" ht="12.8" hidden="false" customHeight="false" outlineLevel="0" collapsed="false">
      <c r="A38053" s="0" t="s">
        <v>14194</v>
      </c>
      <c r="B38053" s="0" t="str">
        <f aca="false">HYPERLINK("https://lindat.mff.cuni.cz/services/teitok/pdtc10/index.php?action=vallex&amp;frame=v-w5158f52_ZU", "přijít (v-w5158f52_ZU)")</f>
        <v>přijít (v-w5158f52_ZU)</v>
      </c>
    </row>
    <row r="38054" customFormat="false" ht="12.8" hidden="false" customHeight="false" outlineLevel="0" collapsed="false">
      <c r="B38054" s="0" t="s">
        <v>1</v>
      </c>
    </row>
    <row r="38055" customFormat="false" ht="12.8" hidden="false" customHeight="false" outlineLevel="0" collapsed="false">
      <c r="B38055" s="0" t="s">
        <v>14195</v>
      </c>
    </row>
    <row r="38056" customFormat="false" ht="12.8" hidden="false" customHeight="false" outlineLevel="0" collapsed="false">
      <c r="B38056" s="0" t="s">
        <v>186</v>
      </c>
    </row>
    <row r="38058" customFormat="false" ht="12.8" hidden="false" customHeight="false" outlineLevel="0" collapsed="false">
      <c r="A38058" s="0" t="s">
        <v>14196</v>
      </c>
      <c r="B38058" s="0" t="str">
        <f aca="false">HYPERLINK("https://lindat.mff.cuni.cz/services/teitok/pdtc10/index.php?action=vallex&amp;frame=v-w5158f53_ZU", "přijít (v-w5158f53_ZU)")</f>
        <v>přijít (v-w5158f53_ZU)</v>
      </c>
    </row>
    <row r="38059" customFormat="false" ht="12.8" hidden="false" customHeight="false" outlineLevel="0" collapsed="false">
      <c r="B38059" s="0" t="s">
        <v>5138</v>
      </c>
    </row>
    <row r="38061" customFormat="false" ht="12.8" hidden="false" customHeight="false" outlineLevel="0" collapsed="false">
      <c r="A38061" s="0" t="s">
        <v>14197</v>
      </c>
      <c r="B38061" s="0" t="str">
        <f aca="false">HYPERLINK("https://lindat.mff.cuni.cz/services/teitok/pdtc10/index.php?action=vallex&amp;frame=v-w5158f56_ZU", "přijít (v-w5158f56_ZU)")</f>
        <v>přijít (v-w5158f56_ZU)</v>
      </c>
    </row>
    <row r="38062" customFormat="false" ht="12.8" hidden="false" customHeight="false" outlineLevel="0" collapsed="false">
      <c r="B38062" s="0" t="s">
        <v>1</v>
      </c>
    </row>
    <row r="38063" customFormat="false" ht="12.8" hidden="false" customHeight="false" outlineLevel="0" collapsed="false">
      <c r="B38063" s="0" t="s">
        <v>14002</v>
      </c>
    </row>
    <row r="38065" customFormat="false" ht="12.8" hidden="false" customHeight="false" outlineLevel="0" collapsed="false">
      <c r="A38065" s="0" t="s">
        <v>14198</v>
      </c>
      <c r="B38065" s="0" t="str">
        <f aca="false">HYPERLINK("https://lindat.mff.cuni.cz/services/teitok/pdtc10/index.php?action=vallex&amp;frame=v-w5158f57_ZU", "přijít (v-w5158f57_ZU)")</f>
        <v>přijít (v-w5158f57_ZU)</v>
      </c>
    </row>
    <row r="38066" customFormat="false" ht="12.8" hidden="false" customHeight="false" outlineLevel="0" collapsed="false">
      <c r="B38066" s="0" t="s">
        <v>1</v>
      </c>
    </row>
    <row r="38067" customFormat="false" ht="12.8" hidden="false" customHeight="false" outlineLevel="0" collapsed="false">
      <c r="B38067" s="0" t="s">
        <v>14199</v>
      </c>
    </row>
    <row r="38069" customFormat="false" ht="12.8" hidden="false" customHeight="false" outlineLevel="0" collapsed="false">
      <c r="A38069" s="0" t="s">
        <v>14200</v>
      </c>
      <c r="B38069" s="0" t="str">
        <f aca="false">HYPERLINK("https://lindat.mff.cuni.cz/services/teitok/pdtc10/index.php?action=vallex&amp;frame=v-w5158f61_ZU", "přijít (v-w5158f61_ZU)")</f>
        <v>přijít (v-w5158f61_ZU)</v>
      </c>
    </row>
    <row r="38070" customFormat="false" ht="12.8" hidden="false" customHeight="false" outlineLevel="0" collapsed="false">
      <c r="B38070" s="0" t="s">
        <v>1</v>
      </c>
    </row>
    <row r="38071" customFormat="false" ht="12.8" hidden="false" customHeight="false" outlineLevel="0" collapsed="false">
      <c r="B38071" s="0" t="s">
        <v>311</v>
      </c>
    </row>
    <row r="38073" customFormat="false" ht="12.8" hidden="false" customHeight="false" outlineLevel="0" collapsed="false">
      <c r="A38073" s="0" t="s">
        <v>14201</v>
      </c>
      <c r="B38073" s="0" t="str">
        <f aca="false">HYPERLINK("https://lindat.mff.cuni.cz/services/teitok/pdtc10/index.php?action=vallex&amp;frame=v-w5158f63_ZU", "přijít (v-w5158f63_ZU)")</f>
        <v>přijít (v-w5158f63_ZU)</v>
      </c>
    </row>
    <row r="38074" customFormat="false" ht="12.8" hidden="false" customHeight="false" outlineLevel="0" collapsed="false">
      <c r="B38074" s="0" t="s">
        <v>1</v>
      </c>
    </row>
    <row r="38076" customFormat="false" ht="12.8" hidden="false" customHeight="false" outlineLevel="0" collapsed="false">
      <c r="A38076" s="0" t="s">
        <v>14202</v>
      </c>
      <c r="B38076" s="0" t="str">
        <f aca="false">HYPERLINK("https://lindat.mff.cuni.cz/services/teitok/pdtc10/index.php?action=vallex&amp;frame=v-w5158f67_ZU", "přijít (v-w5158f67_ZU)")</f>
        <v>přijít (v-w5158f67_ZU)</v>
      </c>
    </row>
    <row r="38077" customFormat="false" ht="12.8" hidden="false" customHeight="false" outlineLevel="0" collapsed="false">
      <c r="B38077" s="0" t="s">
        <v>1</v>
      </c>
    </row>
    <row r="38078" customFormat="false" ht="12.8" hidden="false" customHeight="false" outlineLevel="0" collapsed="false">
      <c r="B38078" s="0" t="s">
        <v>454</v>
      </c>
    </row>
    <row r="38080" customFormat="false" ht="12.8" hidden="false" customHeight="false" outlineLevel="0" collapsed="false">
      <c r="A38080" s="0" t="s">
        <v>14202</v>
      </c>
      <c r="B38080" s="0" t="str">
        <f aca="false">HYPERLINK("https://lindat.mff.cuni.cz/services/teitok/pdtc10/index.php?action=vallex&amp;frame=v-w5158f48_ZU", "přijít (v-w5158f48_ZU) - substituted with v-w5158f67_ZU")</f>
        <v>přijít (v-w5158f48_ZU) - substituted with v-w5158f67_ZU</v>
      </c>
    </row>
    <row r="38081" customFormat="false" ht="12.8" hidden="false" customHeight="false" outlineLevel="0" collapsed="false">
      <c r="B38081" s="0" t="s">
        <v>1</v>
      </c>
    </row>
    <row r="38082" customFormat="false" ht="12.8" hidden="false" customHeight="false" outlineLevel="0" collapsed="false">
      <c r="B38082" s="0" t="s">
        <v>454</v>
      </c>
    </row>
    <row r="38084" customFormat="false" ht="12.8" hidden="false" customHeight="false" outlineLevel="0" collapsed="false">
      <c r="A38084" s="0" t="s">
        <v>14202</v>
      </c>
      <c r="B38084" s="0" t="str">
        <f aca="false">HYPERLINK("https://lindat.mff.cuni.cz/services/teitok/pdtc10/index.php?action=vallex&amp;frame=v-w5158f60_ZU", "přijít (v-w5158f60_ZU) - substituted with v-w5158f67_ZU")</f>
        <v>přijít (v-w5158f60_ZU) - substituted with v-w5158f67_ZU</v>
      </c>
    </row>
    <row r="38085" customFormat="false" ht="12.8" hidden="false" customHeight="false" outlineLevel="0" collapsed="false">
      <c r="B38085" s="0" t="s">
        <v>1</v>
      </c>
    </row>
    <row r="38086" customFormat="false" ht="12.8" hidden="false" customHeight="false" outlineLevel="0" collapsed="false">
      <c r="B38086" s="0" t="s">
        <v>454</v>
      </c>
    </row>
    <row r="38088" customFormat="false" ht="12.8" hidden="false" customHeight="false" outlineLevel="0" collapsed="false">
      <c r="A38088" s="0" t="s">
        <v>14203</v>
      </c>
      <c r="B38088" s="0" t="str">
        <f aca="false">HYPERLINK("https://lindat.mff.cuni.cz/services/teitok/pdtc10/index.php?action=vallex&amp;frame=v-w5158hsa_939", "přijít (v-w5158hsa_939)")</f>
        <v>přijít (v-w5158hsa_939)</v>
      </c>
    </row>
    <row r="38089" customFormat="false" ht="12.8" hidden="false" customHeight="false" outlineLevel="0" collapsed="false">
      <c r="B38089" s="0" t="s">
        <v>1</v>
      </c>
    </row>
    <row r="38090" customFormat="false" ht="12.8" hidden="false" customHeight="false" outlineLevel="0" collapsed="false">
      <c r="B38090" s="0" t="s">
        <v>45</v>
      </c>
    </row>
    <row r="38092" customFormat="false" ht="12.8" hidden="false" customHeight="false" outlineLevel="0" collapsed="false">
      <c r="A38092" s="0" t="s">
        <v>14204</v>
      </c>
      <c r="B38092" s="0" t="str">
        <f aca="false">HYPERLINK("https://lindat.mff.cuni.cz/services/teitok/pdtc10/index.php?action=vallex&amp;frame=v-w5158hsa_940", "přijít (v-w5158hsa_940)")</f>
        <v>přijít (v-w5158hsa_940)</v>
      </c>
    </row>
    <row r="38093" customFormat="false" ht="12.8" hidden="false" customHeight="false" outlineLevel="0" collapsed="false">
      <c r="B38093" s="0" t="s">
        <v>1</v>
      </c>
    </row>
    <row r="38094" customFormat="false" ht="12.8" hidden="false" customHeight="false" outlineLevel="0" collapsed="false">
      <c r="B38094" s="0" t="s">
        <v>164</v>
      </c>
    </row>
    <row r="38096" customFormat="false" ht="12.8" hidden="false" customHeight="false" outlineLevel="0" collapsed="false">
      <c r="A38096" s="0" t="s">
        <v>14205</v>
      </c>
      <c r="B38096" s="0" t="str">
        <f aca="false">HYPERLINK("https://lindat.mff.cuni.cz/services/teitok/pdtc10/index.php?action=vallex&amp;frame=v-w5159f1", "přijít si (v-w5159f1)")</f>
        <v>přijít si (v-w5159f1)</v>
      </c>
    </row>
    <row r="38097" customFormat="false" ht="12.8" hidden="false" customHeight="false" outlineLevel="0" collapsed="false">
      <c r="B38097" s="0" t="s">
        <v>1</v>
      </c>
    </row>
    <row r="38098" customFormat="false" ht="12.8" hidden="false" customHeight="false" outlineLevel="0" collapsed="false">
      <c r="B38098" s="0" t="s">
        <v>45</v>
      </c>
    </row>
    <row r="38100" customFormat="false" ht="12.8" hidden="false" customHeight="false" outlineLevel="0" collapsed="false">
      <c r="A38100" s="0" t="s">
        <v>14206</v>
      </c>
      <c r="B38100" s="0" t="str">
        <f aca="false">HYPERLINK("https://lindat.mff.cuni.cz/services/teitok/pdtc10/index.php?action=vallex&amp;frame=v-w5159f2", "přijít si (v-w5159f2)")</f>
        <v>přijít si (v-w5159f2)</v>
      </c>
    </row>
    <row r="38101" customFormat="false" ht="12.8" hidden="false" customHeight="false" outlineLevel="0" collapsed="false">
      <c r="B38101" s="0" t="s">
        <v>1</v>
      </c>
    </row>
    <row r="38102" customFormat="false" ht="12.8" hidden="false" customHeight="false" outlineLevel="0" collapsed="false">
      <c r="B38102" s="0" t="s">
        <v>14019</v>
      </c>
    </row>
    <row r="38104" customFormat="false" ht="12.8" hidden="false" customHeight="false" outlineLevel="0" collapsed="false">
      <c r="A38104" s="0" t="s">
        <v>14207</v>
      </c>
      <c r="B38104" s="0" t="str">
        <f aca="false">HYPERLINK("https://lindat.mff.cuni.cz/services/teitok/pdtc10/index.php?action=vallex&amp;frame=v-w5159f3_ZU", "přijít si (v-w5159f3_ZU)")</f>
        <v>přijít si (v-w5159f3_ZU)</v>
      </c>
    </row>
    <row r="38105" customFormat="false" ht="12.8" hidden="false" customHeight="false" outlineLevel="0" collapsed="false">
      <c r="B38105" s="0" t="s">
        <v>1</v>
      </c>
    </row>
    <row r="38106" customFormat="false" ht="12.8" hidden="false" customHeight="false" outlineLevel="0" collapsed="false">
      <c r="B38106" s="0" t="s">
        <v>45</v>
      </c>
    </row>
    <row r="38108" customFormat="false" ht="12.8" hidden="false" customHeight="false" outlineLevel="0" collapsed="false">
      <c r="A38108" s="0" t="s">
        <v>14208</v>
      </c>
      <c r="B38108" s="0" t="str">
        <f aca="false">HYPERLINK("https://lindat.mff.cuni.cz/services/teitok/pdtc10/index.php?action=vallex&amp;frame=v-w5160f1", "přijíždět (v-w5160f1)")</f>
        <v>přijíždět (v-w5160f1)</v>
      </c>
      <c r="E38108" s="0" t="str">
        <f aca="false">HYPERLINK("https://lindat.mff.cuni.cz/services/SynSemClass40/SynSemClass40.html?veclass=vec00218#vec00218-ces-cm00222", "vec00218")</f>
        <v>vec00218</v>
      </c>
      <c r="F38108" s="0" t="s">
        <v>2143</v>
      </c>
    </row>
    <row r="38109" customFormat="false" ht="12.8" hidden="false" customHeight="false" outlineLevel="0" collapsed="false">
      <c r="B38109" s="0" t="s">
        <v>1</v>
      </c>
      <c r="C38109" s="0" t="s">
        <v>2144</v>
      </c>
      <c r="E38109" s="0" t="s">
        <v>11</v>
      </c>
      <c r="F38109" s="0" t="s">
        <v>2145</v>
      </c>
    </row>
    <row r="38110" customFormat="false" ht="12.8" hidden="false" customHeight="false" outlineLevel="0" collapsed="false">
      <c r="B38110" s="0" t="s">
        <v>164</v>
      </c>
      <c r="C38110" s="0" t="s">
        <v>2146</v>
      </c>
      <c r="E38110" s="0" t="s">
        <v>370</v>
      </c>
      <c r="F38110" s="0" t="s">
        <v>2147</v>
      </c>
    </row>
    <row r="38112" customFormat="false" ht="12.8" hidden="false" customHeight="false" outlineLevel="0" collapsed="false">
      <c r="A38112" s="0" t="s">
        <v>14209</v>
      </c>
      <c r="B38112" s="0" t="str">
        <f aca="false">HYPERLINK("https://lindat.mff.cuni.cz/services/teitok/pdtc10/index.php?action=vallex&amp;frame=v-w5164f1", "přikazovat (v-w5164f1)")</f>
        <v>přikazovat (v-w5164f1)</v>
      </c>
      <c r="E38112" s="0" t="str">
        <f aca="false">HYPERLINK("https://lindat.mff.cuni.cz/services/SynSemClass40/SynSemClass40.html?veclass=vec01013#vec01013-ces-cm00011", "vec01013")</f>
        <v>vec01013</v>
      </c>
      <c r="F38112" s="0" t="s">
        <v>1981</v>
      </c>
    </row>
    <row r="38113" customFormat="false" ht="12.8" hidden="false" customHeight="false" outlineLevel="0" collapsed="false">
      <c r="B38113" s="0" t="s">
        <v>1</v>
      </c>
      <c r="C38113" s="0" t="s">
        <v>415</v>
      </c>
      <c r="E38113" s="0" t="s">
        <v>206</v>
      </c>
      <c r="F38113" s="0" t="s">
        <v>1982</v>
      </c>
    </row>
    <row r="38114" customFormat="false" ht="12.8" hidden="false" customHeight="false" outlineLevel="0" collapsed="false">
      <c r="B38114" s="0" t="s">
        <v>1983</v>
      </c>
      <c r="C38114" s="0" t="s">
        <v>1984</v>
      </c>
      <c r="E38114" s="0" t="s">
        <v>1985</v>
      </c>
      <c r="F38114" s="0" t="s">
        <v>1986</v>
      </c>
    </row>
    <row r="38115" customFormat="false" ht="12.8" hidden="false" customHeight="false" outlineLevel="0" collapsed="false">
      <c r="B38115" s="0" t="s">
        <v>52</v>
      </c>
      <c r="C38115" s="0" t="s">
        <v>1987</v>
      </c>
      <c r="E38115" s="0" t="s">
        <v>564</v>
      </c>
      <c r="F38115" s="0" t="s">
        <v>1988</v>
      </c>
    </row>
    <row r="38117" customFormat="false" ht="12.8" hidden="false" customHeight="false" outlineLevel="0" collapsed="false">
      <c r="A38117" s="0" t="s">
        <v>14210</v>
      </c>
      <c r="B38117" s="0" t="str">
        <f aca="false">HYPERLINK("https://lindat.mff.cuni.cz/services/teitok/pdtc10/index.php?action=vallex&amp;frame=v-w5169f1", "přiklonit se (v-w5169f1)")</f>
        <v>přiklonit se (v-w5169f1)</v>
      </c>
      <c r="E38117" s="0" t="str">
        <f aca="false">HYPERLINK("https://lindat.mff.cuni.cz/services/SynSemClass40/SynSemClass40.html?veclass=vec00334#vec00334-ces-cm00031", "vec00334")</f>
        <v>vec00334</v>
      </c>
      <c r="F38117" s="0" t="s">
        <v>3508</v>
      </c>
    </row>
    <row r="38118" customFormat="false" ht="12.8" hidden="false" customHeight="false" outlineLevel="0" collapsed="false">
      <c r="B38118" s="0" t="s">
        <v>1</v>
      </c>
      <c r="C38118" s="0" t="s">
        <v>3509</v>
      </c>
      <c r="E38118" s="0" t="s">
        <v>155</v>
      </c>
      <c r="F38118" s="0" t="s">
        <v>3510</v>
      </c>
    </row>
    <row r="38119" customFormat="false" ht="12.8" hidden="false" customHeight="false" outlineLevel="0" collapsed="false">
      <c r="B38119" s="0" t="s">
        <v>311</v>
      </c>
      <c r="C38119" s="0" t="s">
        <v>5327</v>
      </c>
      <c r="E38119" s="0" t="s">
        <v>4852</v>
      </c>
      <c r="F38119" s="0" t="s">
        <v>5328</v>
      </c>
    </row>
    <row r="38121" customFormat="false" ht="12.8" hidden="false" customHeight="false" outlineLevel="0" collapsed="false">
      <c r="A38121" s="0" t="s">
        <v>14211</v>
      </c>
      <c r="B38121" s="0" t="str">
        <f aca="false">HYPERLINK("https://lindat.mff.cuni.cz/services/teitok/pdtc10/index.php?action=vallex&amp;frame=v-w5169f2", "přiklonit se (v-w5169f2)")</f>
        <v>přiklonit se (v-w5169f2)</v>
      </c>
      <c r="E38121" s="0" t="str">
        <f aca="false">HYPERLINK("https://lindat.mff.cuni.cz/services/SynSemClass40/SynSemClass40.html?veclass=vec00069#vec00069-ces-cm00270", "vec00069")</f>
        <v>vec00069</v>
      </c>
      <c r="F38121" s="0" t="s">
        <v>4300</v>
      </c>
    </row>
    <row r="38122" customFormat="false" ht="12.8" hidden="false" customHeight="false" outlineLevel="0" collapsed="false">
      <c r="B38122" s="0" t="s">
        <v>1</v>
      </c>
      <c r="C38122" s="0" t="s">
        <v>7530</v>
      </c>
      <c r="E38122" s="0" t="s">
        <v>3021</v>
      </c>
      <c r="F38122" s="0" t="s">
        <v>4302</v>
      </c>
    </row>
    <row r="38123" customFormat="false" ht="12.8" hidden="false" customHeight="false" outlineLevel="0" collapsed="false">
      <c r="B38123" s="0" t="s">
        <v>164</v>
      </c>
      <c r="C38123" s="0" t="s">
        <v>14212</v>
      </c>
      <c r="E38123" s="0" t="s">
        <v>14213</v>
      </c>
      <c r="F38123" s="0" t="s">
        <v>14214</v>
      </c>
    </row>
    <row r="38125" customFormat="false" ht="12.8" hidden="false" customHeight="false" outlineLevel="0" collapsed="false">
      <c r="A38125" s="0" t="s">
        <v>14215</v>
      </c>
      <c r="B38125" s="0" t="str">
        <f aca="false">HYPERLINK("https://lindat.mff.cuni.cz/services/teitok/pdtc10/index.php?action=vallex&amp;frame=v-w5169f3", "přiklonit se (v-w5169f3)")</f>
        <v>přiklonit se (v-w5169f3)</v>
      </c>
    </row>
    <row r="38126" customFormat="false" ht="12.8" hidden="false" customHeight="false" outlineLevel="0" collapsed="false">
      <c r="B38126" s="0" t="s">
        <v>1</v>
      </c>
    </row>
    <row r="38127" customFormat="false" ht="12.8" hidden="false" customHeight="false" outlineLevel="0" collapsed="false">
      <c r="B38127" s="0" t="s">
        <v>164</v>
      </c>
    </row>
    <row r="38129" customFormat="false" ht="12.8" hidden="false" customHeight="false" outlineLevel="0" collapsed="false">
      <c r="A38129" s="0" t="s">
        <v>14216</v>
      </c>
      <c r="B38129" s="0" t="str">
        <f aca="false">HYPERLINK("https://lindat.mff.cuni.cz/services/teitok/pdtc10/index.php?action=vallex&amp;frame=v-w5166f1", "přikládat (v-w5166f1)")</f>
        <v>přikládat (v-w5166f1)</v>
      </c>
    </row>
    <row r="38130" customFormat="false" ht="12.8" hidden="false" customHeight="false" outlineLevel="0" collapsed="false">
      <c r="B38130" s="0" t="s">
        <v>1</v>
      </c>
    </row>
    <row r="38131" customFormat="false" ht="12.8" hidden="false" customHeight="false" outlineLevel="0" collapsed="false">
      <c r="B38131" s="0" t="s">
        <v>8</v>
      </c>
    </row>
    <row r="38132" customFormat="false" ht="12.8" hidden="false" customHeight="false" outlineLevel="0" collapsed="false">
      <c r="B38132" s="0" t="s">
        <v>52</v>
      </c>
    </row>
    <row r="38134" customFormat="false" ht="12.8" hidden="false" customHeight="false" outlineLevel="0" collapsed="false">
      <c r="A38134" s="0" t="s">
        <v>14217</v>
      </c>
      <c r="B38134" s="0" t="str">
        <f aca="false">HYPERLINK("https://lindat.mff.cuni.cz/services/teitok/pdtc10/index.php?action=vallex&amp;frame=v-w5166f2", "přikládat (v-w5166f2)")</f>
        <v>přikládat (v-w5166f2)</v>
      </c>
      <c r="E38134" s="0" t="str">
        <f aca="false">HYPERLINK("https://lindat.mff.cuni.cz/services/SynSemClass40/SynSemClass40.html?veclass=vec00735#vec00735-ces-cm00098", "vec00735")</f>
        <v>vec00735</v>
      </c>
      <c r="F38134" s="0" t="s">
        <v>2719</v>
      </c>
    </row>
    <row r="38135" customFormat="false" ht="12.8" hidden="false" customHeight="false" outlineLevel="0" collapsed="false">
      <c r="B38135" s="0" t="s">
        <v>1</v>
      </c>
      <c r="C38135" s="0" t="s">
        <v>2720</v>
      </c>
      <c r="E38135" s="0" t="s">
        <v>334</v>
      </c>
      <c r="F38135" s="0" t="s">
        <v>2721</v>
      </c>
    </row>
    <row r="38136" customFormat="false" ht="12.8" hidden="false" customHeight="false" outlineLevel="0" collapsed="false">
      <c r="B38136" s="0" t="s">
        <v>8</v>
      </c>
      <c r="C38136" s="0" t="s">
        <v>2722</v>
      </c>
      <c r="E38136" s="0" t="s">
        <v>2648</v>
      </c>
      <c r="F38136" s="0" t="s">
        <v>2723</v>
      </c>
    </row>
    <row r="38137" customFormat="false" ht="12.8" hidden="false" customHeight="false" outlineLevel="0" collapsed="false">
      <c r="B38137" s="0" t="s">
        <v>164</v>
      </c>
      <c r="C38137" s="0" t="s">
        <v>2724</v>
      </c>
      <c r="E38137" s="0" t="s">
        <v>370</v>
      </c>
      <c r="F38137" s="0" t="s">
        <v>2725</v>
      </c>
    </row>
    <row r="38139" customFormat="false" ht="12.8" hidden="false" customHeight="false" outlineLevel="0" collapsed="false">
      <c r="A38139" s="0" t="s">
        <v>14218</v>
      </c>
      <c r="B38139" s="0" t="str">
        <f aca="false">HYPERLINK("https://lindat.mff.cuni.cz/services/teitok/pdtc10/index.php?action=vallex&amp;frame=v-w5167f1", "přiklánět se (v-w5167f1)")</f>
        <v>přiklánět se (v-w5167f1)</v>
      </c>
      <c r="E38139" s="0" t="str">
        <f aca="false">HYPERLINK("https://lindat.mff.cuni.cz/services/SynSemClass40/SynSemClass40.html?veclass=vec00334#vec00334-ces-cm00033", "vec00334")</f>
        <v>vec00334</v>
      </c>
      <c r="F38139" s="0" t="s">
        <v>3508</v>
      </c>
    </row>
    <row r="38140" customFormat="false" ht="12.8" hidden="false" customHeight="false" outlineLevel="0" collapsed="false">
      <c r="B38140" s="0" t="s">
        <v>1</v>
      </c>
      <c r="C38140" s="0" t="s">
        <v>3509</v>
      </c>
      <c r="E38140" s="0" t="s">
        <v>155</v>
      </c>
      <c r="F38140" s="0" t="s">
        <v>3510</v>
      </c>
    </row>
    <row r="38141" customFormat="false" ht="12.8" hidden="false" customHeight="false" outlineLevel="0" collapsed="false">
      <c r="B38141" s="0" t="s">
        <v>311</v>
      </c>
      <c r="C38141" s="0" t="s">
        <v>5327</v>
      </c>
      <c r="E38141" s="0" t="s">
        <v>4852</v>
      </c>
      <c r="F38141" s="0" t="s">
        <v>5328</v>
      </c>
    </row>
    <row r="38143" customFormat="false" ht="12.8" hidden="false" customHeight="false" outlineLevel="0" collapsed="false">
      <c r="A38143" s="0" t="s">
        <v>14219</v>
      </c>
      <c r="B38143" s="0" t="str">
        <f aca="false">HYPERLINK("https://lindat.mff.cuni.cz/services/teitok/pdtc10/index.php?action=vallex&amp;frame=v-w5167f2", "přiklánět se (v-w5167f2)")</f>
        <v>přiklánět se (v-w5167f2)</v>
      </c>
      <c r="E38143" s="0" t="str">
        <f aca="false">HYPERLINK("https://lindat.mff.cuni.cz/services/SynSemClass40/SynSemClass40.html?veclass=vec00334#vec00334-ces-cm00034", "vec00334")</f>
        <v>vec00334</v>
      </c>
      <c r="F38143" s="0" t="s">
        <v>3508</v>
      </c>
    </row>
    <row r="38144" customFormat="false" ht="12.8" hidden="false" customHeight="false" outlineLevel="0" collapsed="false">
      <c r="B38144" s="0" t="s">
        <v>1</v>
      </c>
      <c r="C38144" s="0" t="s">
        <v>3509</v>
      </c>
      <c r="E38144" s="0" t="s">
        <v>155</v>
      </c>
      <c r="F38144" s="0" t="s">
        <v>3510</v>
      </c>
    </row>
    <row r="38145" customFormat="false" ht="12.8" hidden="false" customHeight="false" outlineLevel="0" collapsed="false">
      <c r="B38145" s="0" t="s">
        <v>164</v>
      </c>
      <c r="C38145" s="0" t="s">
        <v>14220</v>
      </c>
      <c r="E38145" s="0" t="s">
        <v>14221</v>
      </c>
      <c r="F38145" s="0" t="s">
        <v>14222</v>
      </c>
    </row>
    <row r="38147" customFormat="false" ht="12.8" hidden="false" customHeight="false" outlineLevel="0" collapsed="false">
      <c r="A38147" s="0" t="s">
        <v>14223</v>
      </c>
      <c r="B38147" s="0" t="str">
        <f aca="false">HYPERLINK("https://lindat.mff.cuni.cz/services/teitok/pdtc10/index.php?action=vallex&amp;frame=v-w5167f3", "přiklánět se (v-w5167f3)")</f>
        <v>přiklánět se (v-w5167f3)</v>
      </c>
      <c r="E38147" s="0" t="str">
        <f aca="false">HYPERLINK("https://lindat.mff.cuni.cz/services/SynSemClass40/SynSemClass40.html?veclass=vec00637#vec00637-ces-cm00019", "vec00637")</f>
        <v>vec00637</v>
      </c>
      <c r="F38147" s="0" t="s">
        <v>7311</v>
      </c>
      <c r="H38147" s="0" t="str">
        <f aca="false">HYPERLINK("https://lindat.mff.cuni.cz/services/SynSemClass40/SynSemClass40.html?veclass=vec00931#vec00931-ces-cm00008", "vec00931")</f>
        <v>vec00931</v>
      </c>
      <c r="I38147" s="0" t="s">
        <v>8713</v>
      </c>
    </row>
    <row r="38148" customFormat="false" ht="12.8" hidden="false" customHeight="false" outlineLevel="0" collapsed="false">
      <c r="B38148" s="0" t="s">
        <v>1</v>
      </c>
      <c r="C38148" s="0" t="s">
        <v>14224</v>
      </c>
      <c r="E38148" s="0" t="s">
        <v>334</v>
      </c>
      <c r="F38148" s="0" t="s">
        <v>7313</v>
      </c>
      <c r="H38148" s="0" t="s">
        <v>334</v>
      </c>
      <c r="I38148" s="0" t="s">
        <v>8715</v>
      </c>
    </row>
    <row r="38149" customFormat="false" ht="12.8" hidden="false" customHeight="false" outlineLevel="0" collapsed="false">
      <c r="B38149" s="0" t="s">
        <v>164</v>
      </c>
      <c r="E38149" s="0" t="s">
        <v>370</v>
      </c>
      <c r="F38149" s="0" t="s">
        <v>3041</v>
      </c>
      <c r="H38149" s="0" t="s">
        <v>3229</v>
      </c>
      <c r="I38149" s="0" t="s">
        <v>8716</v>
      </c>
    </row>
    <row r="38151" customFormat="false" ht="12.8" hidden="false" customHeight="false" outlineLevel="0" collapsed="false">
      <c r="A38151" s="0" t="s">
        <v>14225</v>
      </c>
      <c r="B38151" s="0" t="str">
        <f aca="false">HYPERLINK("https://lindat.mff.cuni.cz/services/teitok/pdtc10/index.php?action=vallex&amp;frame=v-w10376f2", "přikoupit (v-w10376f2)")</f>
        <v>přikoupit (v-w10376f2)</v>
      </c>
      <c r="E38151" s="0" t="str">
        <f aca="false">HYPERLINK("https://lindat.mff.cuni.cz/services/SynSemClass40/SynSemClass40.html?veclass=vec00035#vec00035-ces-cm00010", "vec00035")</f>
        <v>vec00035</v>
      </c>
      <c r="F38151" s="0" t="s">
        <v>5701</v>
      </c>
    </row>
    <row r="38152" customFormat="false" ht="12.8" hidden="false" customHeight="false" outlineLevel="0" collapsed="false">
      <c r="B38152" s="0" t="s">
        <v>1</v>
      </c>
      <c r="C38152" s="0" t="s">
        <v>5702</v>
      </c>
      <c r="E38152" s="0" t="s">
        <v>5703</v>
      </c>
      <c r="F38152" s="0" t="s">
        <v>5704</v>
      </c>
    </row>
    <row r="38153" customFormat="false" ht="12.8" hidden="false" customHeight="false" outlineLevel="0" collapsed="false">
      <c r="B38153" s="0" t="s">
        <v>8</v>
      </c>
      <c r="C38153" s="0" t="s">
        <v>5705</v>
      </c>
      <c r="E38153" s="0" t="s">
        <v>3201</v>
      </c>
      <c r="F38153" s="0" t="s">
        <v>5706</v>
      </c>
    </row>
    <row r="38154" customFormat="false" ht="12.8" hidden="false" customHeight="false" outlineLevel="0" collapsed="false">
      <c r="B38154" s="0" t="s">
        <v>2410</v>
      </c>
      <c r="C38154" s="0" t="s">
        <v>5707</v>
      </c>
      <c r="E38154" s="0" t="s">
        <v>4235</v>
      </c>
      <c r="F38154" s="0" t="s">
        <v>5708</v>
      </c>
    </row>
    <row r="38155" customFormat="false" ht="12.8" hidden="false" customHeight="false" outlineLevel="0" collapsed="false">
      <c r="B38155" s="0" t="s">
        <v>602</v>
      </c>
      <c r="C38155" s="0" t="s">
        <v>5709</v>
      </c>
      <c r="E38155" s="0" t="s">
        <v>5710</v>
      </c>
      <c r="F38155" s="0" t="s">
        <v>5711</v>
      </c>
    </row>
    <row r="38157" customFormat="false" ht="12.8" hidden="false" customHeight="false" outlineLevel="0" collapsed="false">
      <c r="A38157" s="0" t="s">
        <v>14226</v>
      </c>
      <c r="B38157" s="0" t="str">
        <f aca="false">HYPERLINK("https://lindat.mff.cuni.cz/services/teitok/pdtc10/index.php?action=vallex&amp;frame=v-w5170f1", "přikovat (v-w5170f1)")</f>
        <v>přikovat (v-w5170f1)</v>
      </c>
    </row>
    <row r="38158" customFormat="false" ht="12.8" hidden="false" customHeight="false" outlineLevel="0" collapsed="false">
      <c r="B38158" s="0" t="s">
        <v>1</v>
      </c>
    </row>
    <row r="38159" customFormat="false" ht="12.8" hidden="false" customHeight="false" outlineLevel="0" collapsed="false">
      <c r="B38159" s="0" t="s">
        <v>8</v>
      </c>
    </row>
    <row r="38160" customFormat="false" ht="12.8" hidden="false" customHeight="false" outlineLevel="0" collapsed="false">
      <c r="B38160" s="0" t="s">
        <v>164</v>
      </c>
    </row>
    <row r="38162" customFormat="false" ht="12.8" hidden="false" customHeight="false" outlineLevel="0" collapsed="false">
      <c r="A38162" s="0" t="s">
        <v>14227</v>
      </c>
      <c r="B38162" s="0" t="str">
        <f aca="false">HYPERLINK("https://lindat.mff.cuni.cz/services/teitok/pdtc10/index.php?action=vallex&amp;frame=v-w10597f2", "přikračovat (v-w10597f2)")</f>
        <v>přikračovat (v-w10597f2)</v>
      </c>
      <c r="E38162" s="0" t="str">
        <f aca="false">HYPERLINK("https://lindat.mff.cuni.cz/services/SynSemClass40/SynSemClass40.html?veclass=vec00500#vec00500-ces-cm00019", "vec00500")</f>
        <v>vec00500</v>
      </c>
      <c r="F38162" s="0" t="s">
        <v>14228</v>
      </c>
    </row>
    <row r="38163" customFormat="false" ht="12.8" hidden="false" customHeight="false" outlineLevel="0" collapsed="false">
      <c r="B38163" s="0" t="s">
        <v>1</v>
      </c>
      <c r="C38163" s="0" t="s">
        <v>4471</v>
      </c>
      <c r="E38163" s="0" t="s">
        <v>31</v>
      </c>
      <c r="F38163" s="0" t="s">
        <v>8798</v>
      </c>
    </row>
    <row r="38164" customFormat="false" ht="12.8" hidden="false" customHeight="false" outlineLevel="0" collapsed="false">
      <c r="B38164" s="0" t="s">
        <v>311</v>
      </c>
      <c r="C38164" s="0" t="s">
        <v>8841</v>
      </c>
      <c r="E38164" s="0" t="s">
        <v>79</v>
      </c>
      <c r="F38164" s="0" t="s">
        <v>14229</v>
      </c>
    </row>
    <row r="38166" customFormat="false" ht="12.8" hidden="false" customHeight="false" outlineLevel="0" collapsed="false">
      <c r="A38166" s="0" t="s">
        <v>14230</v>
      </c>
      <c r="B38166" s="0" t="str">
        <f aca="false">HYPERLINK("https://lindat.mff.cuni.cz/services/teitok/pdtc10/index.php?action=vallex&amp;frame=v-whsa_533hsa_534", "přikreslit (v-whsa_533hsa_534)")</f>
        <v>přikreslit (v-whsa_533hsa_534)</v>
      </c>
    </row>
    <row r="38167" customFormat="false" ht="12.8" hidden="false" customHeight="false" outlineLevel="0" collapsed="false">
      <c r="B38167" s="0" t="s">
        <v>1</v>
      </c>
    </row>
    <row r="38168" customFormat="false" ht="12.8" hidden="false" customHeight="false" outlineLevel="0" collapsed="false">
      <c r="B38168" s="0" t="s">
        <v>8</v>
      </c>
    </row>
    <row r="38169" customFormat="false" ht="12.8" hidden="false" customHeight="false" outlineLevel="0" collapsed="false">
      <c r="B38169" s="0" t="s">
        <v>164</v>
      </c>
    </row>
    <row r="38171" customFormat="false" ht="12.8" hidden="false" customHeight="false" outlineLevel="0" collapsed="false">
      <c r="A38171" s="0" t="s">
        <v>14231</v>
      </c>
      <c r="B38171" s="0" t="str">
        <f aca="false">HYPERLINK("https://lindat.mff.cuni.cz/services/teitok/pdtc10/index.php?action=vallex&amp;frame=v-w10106f2", "přikrmit (v-w10106f2)")</f>
        <v>přikrmit (v-w10106f2)</v>
      </c>
    </row>
    <row r="38172" customFormat="false" ht="12.8" hidden="false" customHeight="false" outlineLevel="0" collapsed="false">
      <c r="B38172" s="0" t="s">
        <v>1</v>
      </c>
    </row>
    <row r="38173" customFormat="false" ht="12.8" hidden="false" customHeight="false" outlineLevel="0" collapsed="false">
      <c r="B38173" s="0" t="s">
        <v>8</v>
      </c>
    </row>
    <row r="38175" customFormat="false" ht="12.8" hidden="false" customHeight="false" outlineLevel="0" collapsed="false">
      <c r="A38175" s="0" t="s">
        <v>14232</v>
      </c>
      <c r="B38175" s="0" t="str">
        <f aca="false">HYPERLINK("https://lindat.mff.cuni.cz/services/teitok/pdtc10/index.php?action=vallex&amp;frame=v-w11887_ZUf2_ZU", "přikrmovat (v-w11887_ZUf2_ZU)")</f>
        <v>přikrmovat (v-w11887_ZUf2_ZU)</v>
      </c>
    </row>
    <row r="38176" customFormat="false" ht="12.8" hidden="false" customHeight="false" outlineLevel="0" collapsed="false">
      <c r="B38176" s="0" t="s">
        <v>1</v>
      </c>
    </row>
    <row r="38177" customFormat="false" ht="12.8" hidden="false" customHeight="false" outlineLevel="0" collapsed="false">
      <c r="B38177" s="0" t="s">
        <v>8</v>
      </c>
    </row>
    <row r="38179" customFormat="false" ht="12.8" hidden="false" customHeight="false" outlineLevel="0" collapsed="false">
      <c r="A38179" s="0" t="s">
        <v>14232</v>
      </c>
      <c r="B38179" s="0" t="str">
        <f aca="false">HYPERLINK("https://lindat.mff.cuni.cz/services/teitok/pdtc10/index.php?action=vallex&amp;frame=v-w11887_ZUf1_ZU", "přikrmovat (v-w11887_ZUf1_ZU) - substituted with v-w11887_ZUf2_ZU")</f>
        <v>přikrmovat (v-w11887_ZUf1_ZU) - substituted with v-w11887_ZUf2_ZU</v>
      </c>
    </row>
    <row r="38180" customFormat="false" ht="12.8" hidden="false" customHeight="false" outlineLevel="0" collapsed="false">
      <c r="B38180" s="0" t="s">
        <v>1</v>
      </c>
    </row>
    <row r="38181" customFormat="false" ht="12.8" hidden="false" customHeight="false" outlineLevel="0" collapsed="false">
      <c r="B38181" s="0" t="s">
        <v>8</v>
      </c>
    </row>
    <row r="38183" customFormat="false" ht="12.8" hidden="false" customHeight="false" outlineLevel="0" collapsed="false">
      <c r="A38183" s="0" t="s">
        <v>14233</v>
      </c>
      <c r="B38183" s="0" t="str">
        <f aca="false">HYPERLINK("https://lindat.mff.cuni.cz/services/teitok/pdtc10/index.php?action=vallex&amp;frame=v-w5173f1", "přikročit (v-w5173f1)")</f>
        <v>přikročit (v-w5173f1)</v>
      </c>
      <c r="E38183" s="0" t="str">
        <f aca="false">HYPERLINK("https://lindat.mff.cuni.cz/services/SynSemClass40/SynSemClass40.html?veclass=vec00500#vec00500-ces-cm00001", "vec00500")</f>
        <v>vec00500</v>
      </c>
      <c r="F38183" s="0" t="s">
        <v>14228</v>
      </c>
    </row>
    <row r="38184" customFormat="false" ht="12.8" hidden="false" customHeight="false" outlineLevel="0" collapsed="false">
      <c r="B38184" s="0" t="s">
        <v>1</v>
      </c>
      <c r="C38184" s="0" t="s">
        <v>4471</v>
      </c>
      <c r="E38184" s="0" t="s">
        <v>31</v>
      </c>
      <c r="F38184" s="0" t="s">
        <v>8798</v>
      </c>
    </row>
    <row r="38185" customFormat="false" ht="12.8" hidden="false" customHeight="false" outlineLevel="0" collapsed="false">
      <c r="B38185" s="0" t="s">
        <v>311</v>
      </c>
      <c r="C38185" s="0" t="s">
        <v>8841</v>
      </c>
      <c r="E38185" s="0" t="s">
        <v>79</v>
      </c>
      <c r="F38185" s="0" t="s">
        <v>14229</v>
      </c>
    </row>
    <row r="38187" customFormat="false" ht="12.8" hidden="false" customHeight="false" outlineLevel="0" collapsed="false">
      <c r="A38187" s="0" t="s">
        <v>14234</v>
      </c>
      <c r="B38187" s="0" t="str">
        <f aca="false">HYPERLINK("https://lindat.mff.cuni.cz/services/teitok/pdtc10/index.php?action=vallex&amp;frame=v-w5173f2", "přikročit (v-w5173f2)")</f>
        <v>přikročit (v-w5173f2)</v>
      </c>
      <c r="E38187" s="0" t="str">
        <f aca="false">HYPERLINK("https://lindat.mff.cuni.cz/services/SynSemClass40/SynSemClass40.html?veclass=vec01390#vec01390-ces-cm00007", "vec01390")</f>
        <v>vec01390</v>
      </c>
      <c r="F38187" s="0" t="s">
        <v>366</v>
      </c>
    </row>
    <row r="38188" customFormat="false" ht="12.8" hidden="false" customHeight="false" outlineLevel="0" collapsed="false">
      <c r="B38188" s="0" t="s">
        <v>1</v>
      </c>
      <c r="C38188" s="0" t="s">
        <v>367</v>
      </c>
      <c r="E38188" s="0" t="s">
        <v>334</v>
      </c>
      <c r="F38188" s="0" t="s">
        <v>368</v>
      </c>
    </row>
    <row r="38189" customFormat="false" ht="12.8" hidden="false" customHeight="false" outlineLevel="0" collapsed="false">
      <c r="B38189" s="0" t="s">
        <v>164</v>
      </c>
      <c r="C38189" s="0" t="s">
        <v>369</v>
      </c>
      <c r="E38189" s="0" t="s">
        <v>370</v>
      </c>
      <c r="F38189" s="0" t="s">
        <v>371</v>
      </c>
    </row>
    <row r="38191" customFormat="false" ht="12.8" hidden="false" customHeight="false" outlineLevel="0" collapsed="false">
      <c r="A38191" s="0" t="s">
        <v>14235</v>
      </c>
      <c r="B38191" s="0" t="str">
        <f aca="false">HYPERLINK("https://lindat.mff.cuni.cz/services/teitok/pdtc10/index.php?action=vallex&amp;frame=v-w5171f1", "přikráčet (v-w5171f1)")</f>
        <v>přikráčet (v-w5171f1)</v>
      </c>
      <c r="E38191" s="0" t="str">
        <f aca="false">HYPERLINK("https://lindat.mff.cuni.cz/services/SynSemClass40/SynSemClass40.html?veclass=vec01390#vec01390-ces-cm00006", "vec01390")</f>
        <v>vec01390</v>
      </c>
      <c r="F38191" s="0" t="s">
        <v>366</v>
      </c>
    </row>
    <row r="38192" customFormat="false" ht="12.8" hidden="false" customHeight="false" outlineLevel="0" collapsed="false">
      <c r="B38192" s="0" t="s">
        <v>1</v>
      </c>
      <c r="C38192" s="0" t="s">
        <v>367</v>
      </c>
      <c r="E38192" s="0" t="s">
        <v>334</v>
      </c>
      <c r="F38192" s="0" t="s">
        <v>368</v>
      </c>
    </row>
    <row r="38193" customFormat="false" ht="12.8" hidden="false" customHeight="false" outlineLevel="0" collapsed="false">
      <c r="B38193" s="0" t="s">
        <v>164</v>
      </c>
      <c r="C38193" s="0" t="s">
        <v>369</v>
      </c>
      <c r="E38193" s="0" t="s">
        <v>370</v>
      </c>
      <c r="F38193" s="0" t="s">
        <v>371</v>
      </c>
    </row>
    <row r="38195" customFormat="false" ht="12.8" hidden="false" customHeight="false" outlineLevel="0" collapsed="false">
      <c r="A38195" s="0" t="s">
        <v>14236</v>
      </c>
      <c r="B38195" s="0" t="str">
        <f aca="false">HYPERLINK("https://lindat.mff.cuni.cz/services/teitok/pdtc10/index.php?action=vallex&amp;frame=v-w12211_ZUf1_ZU", "přikrášlit (v-w12211_ZUf1_ZU)")</f>
        <v>přikrášlit (v-w12211_ZUf1_ZU)</v>
      </c>
    </row>
    <row r="38196" customFormat="false" ht="12.8" hidden="false" customHeight="false" outlineLevel="0" collapsed="false">
      <c r="B38196" s="0" t="s">
        <v>1</v>
      </c>
    </row>
    <row r="38197" customFormat="false" ht="12.8" hidden="false" customHeight="false" outlineLevel="0" collapsed="false">
      <c r="B38197" s="0" t="s">
        <v>8</v>
      </c>
    </row>
    <row r="38199" customFormat="false" ht="12.8" hidden="false" customHeight="false" outlineLevel="0" collapsed="false">
      <c r="A38199" s="0" t="s">
        <v>14237</v>
      </c>
      <c r="B38199" s="0" t="str">
        <f aca="false">HYPERLINK("https://lindat.mff.cuni.cz/services/teitok/pdtc10/index.php?action=vallex&amp;frame=v-whsa_831f1_ZU", "přikrýt (v-whsa_831f1_ZU)")</f>
        <v>přikrýt (v-whsa_831f1_ZU)</v>
      </c>
    </row>
    <row r="38200" customFormat="false" ht="12.8" hidden="false" customHeight="false" outlineLevel="0" collapsed="false">
      <c r="B38200" s="0" t="s">
        <v>1</v>
      </c>
    </row>
    <row r="38201" customFormat="false" ht="12.8" hidden="false" customHeight="false" outlineLevel="0" collapsed="false">
      <c r="B38201" s="0" t="s">
        <v>8</v>
      </c>
    </row>
    <row r="38203" customFormat="false" ht="12.8" hidden="false" customHeight="false" outlineLevel="0" collapsed="false">
      <c r="A38203" s="0" t="s">
        <v>14237</v>
      </c>
      <c r="B38203" s="0" t="str">
        <f aca="false">HYPERLINK("https://lindat.mff.cuni.cz/services/teitok/pdtc10/index.php?action=vallex&amp;frame=v-whsa_831hsa_833", "přikrýt (v-whsa_831hsa_833) - substituted with v-whsa_831f1_ZU")</f>
        <v>přikrýt (v-whsa_831hsa_833) - substituted with v-whsa_831f1_ZU</v>
      </c>
    </row>
    <row r="38204" customFormat="false" ht="12.8" hidden="false" customHeight="false" outlineLevel="0" collapsed="false">
      <c r="B38204" s="0" t="s">
        <v>1</v>
      </c>
    </row>
    <row r="38205" customFormat="false" ht="12.8" hidden="false" customHeight="false" outlineLevel="0" collapsed="false">
      <c r="B38205" s="0" t="s">
        <v>8</v>
      </c>
    </row>
    <row r="38207" customFormat="false" ht="12.8" hidden="false" customHeight="false" outlineLevel="0" collapsed="false">
      <c r="A38207" s="0" t="s">
        <v>14238</v>
      </c>
      <c r="B38207" s="0" t="str">
        <f aca="false">HYPERLINK("https://lindat.mff.cuni.cz/services/teitok/pdtc10/index.php?action=vallex&amp;frame=v-whsa_831hsa_832", "přikrýt (v-whsa_831hsa_832)")</f>
        <v>přikrýt (v-whsa_831hsa_832)</v>
      </c>
    </row>
    <row r="38208" customFormat="false" ht="12.8" hidden="false" customHeight="false" outlineLevel="0" collapsed="false">
      <c r="B38208" s="0" t="s">
        <v>1</v>
      </c>
    </row>
    <row r="38209" customFormat="false" ht="12.8" hidden="false" customHeight="false" outlineLevel="0" collapsed="false">
      <c r="B38209" s="0" t="s">
        <v>8</v>
      </c>
    </row>
    <row r="38211" customFormat="false" ht="12.8" hidden="false" customHeight="false" outlineLevel="0" collapsed="false">
      <c r="A38211" s="0" t="s">
        <v>14239</v>
      </c>
      <c r="B38211" s="0" t="str">
        <f aca="false">HYPERLINK("https://lindat.mff.cuni.cz/services/teitok/pdtc10/index.php?action=vallex&amp;frame=v-w11417f1", "přikrčit se (v-w11417f1)")</f>
        <v>přikrčit se (v-w11417f1)</v>
      </c>
      <c r="E38211" s="0" t="str">
        <f aca="false">HYPERLINK("https://lindat.mff.cuni.cz/services/SynSemClass40/SynSemClass40.html?veclass=vec01293#vec01293-ces-cm00001", "vec01293")</f>
        <v>vec01293</v>
      </c>
      <c r="F38211" s="0" t="s">
        <v>14240</v>
      </c>
    </row>
    <row r="38212" customFormat="false" ht="12.8" hidden="false" customHeight="false" outlineLevel="0" collapsed="false">
      <c r="B38212" s="0" t="s">
        <v>1</v>
      </c>
      <c r="C38212" s="0" t="s">
        <v>5344</v>
      </c>
      <c r="E38212" s="0" t="s">
        <v>11</v>
      </c>
      <c r="F38212" s="0" t="s">
        <v>14241</v>
      </c>
    </row>
    <row r="38214" customFormat="false" ht="12.8" hidden="false" customHeight="false" outlineLevel="0" collapsed="false">
      <c r="A38214" s="0" t="s">
        <v>14242</v>
      </c>
      <c r="B38214" s="0" t="str">
        <f aca="false">HYPERLINK("https://lindat.mff.cuni.cz/services/teitok/pdtc10/index.php?action=vallex&amp;frame=v-w5174f1", "přikusovat (v-w5174f1)")</f>
        <v>přikusovat (v-w5174f1)</v>
      </c>
    </row>
    <row r="38215" customFormat="false" ht="12.8" hidden="false" customHeight="false" outlineLevel="0" collapsed="false">
      <c r="B38215" s="0" t="s">
        <v>1</v>
      </c>
    </row>
    <row r="38216" customFormat="false" ht="12.8" hidden="false" customHeight="false" outlineLevel="0" collapsed="false">
      <c r="B38216" s="0" t="s">
        <v>8</v>
      </c>
    </row>
    <row r="38217" customFormat="false" ht="12.8" hidden="false" customHeight="false" outlineLevel="0" collapsed="false">
      <c r="B38217" s="0" t="s">
        <v>14243</v>
      </c>
    </row>
    <row r="38219" customFormat="false" ht="12.8" hidden="false" customHeight="false" outlineLevel="0" collapsed="false">
      <c r="A38219" s="0" t="s">
        <v>14244</v>
      </c>
      <c r="B38219" s="0" t="str">
        <f aca="false">HYPERLINK("https://lindat.mff.cuni.cz/services/teitok/pdtc10/index.php?action=vallex&amp;frame=v-w10299f2", "přikyvovat (v-w10299f2)")</f>
        <v>přikyvovat (v-w10299f2)</v>
      </c>
      <c r="E38219" s="0" t="str">
        <f aca="false">HYPERLINK("https://lindat.mff.cuni.cz/services/SynSemClass40/SynSemClass40.html?veclass=vec01320#vec01320-ces-cm00009", "vec01320")</f>
        <v>vec01320</v>
      </c>
      <c r="F38219" s="0" t="s">
        <v>912</v>
      </c>
    </row>
    <row r="38220" customFormat="false" ht="12.8" hidden="false" customHeight="false" outlineLevel="0" collapsed="false">
      <c r="B38220" s="0" t="s">
        <v>1</v>
      </c>
      <c r="C38220" s="0" t="s">
        <v>3769</v>
      </c>
      <c r="E38220" s="0" t="s">
        <v>155</v>
      </c>
      <c r="F38220" s="0" t="s">
        <v>916</v>
      </c>
    </row>
    <row r="38221" customFormat="false" ht="12.8" hidden="false" customHeight="false" outlineLevel="0" collapsed="false">
      <c r="B38221" s="0" t="s">
        <v>14245</v>
      </c>
      <c r="C38221" s="0" t="s">
        <v>14246</v>
      </c>
      <c r="E38221" s="0" t="s">
        <v>14247</v>
      </c>
      <c r="F38221" s="0" t="s">
        <v>14248</v>
      </c>
    </row>
    <row r="38222" customFormat="false" ht="12.8" hidden="false" customHeight="false" outlineLevel="0" collapsed="false">
      <c r="B38222" s="0" t="s">
        <v>186</v>
      </c>
      <c r="C38222" s="0" t="s">
        <v>14249</v>
      </c>
      <c r="E38222" s="0" t="s">
        <v>150</v>
      </c>
      <c r="F38222" s="0" t="s">
        <v>14250</v>
      </c>
    </row>
    <row r="38224" customFormat="false" ht="12.8" hidden="false" customHeight="false" outlineLevel="0" collapsed="false">
      <c r="A38224" s="0" t="s">
        <v>14251</v>
      </c>
      <c r="B38224" s="0" t="str">
        <f aca="false">HYPERLINK("https://lindat.mff.cuni.cz/services/teitok/pdtc10/index.php?action=vallex&amp;frame=v-w10299hsa_744", "přikyvovat (v-w10299hsa_744)")</f>
        <v>přikyvovat (v-w10299hsa_744)</v>
      </c>
    </row>
    <row r="38225" customFormat="false" ht="12.8" hidden="false" customHeight="false" outlineLevel="0" collapsed="false">
      <c r="B38225" s="0" t="s">
        <v>1</v>
      </c>
    </row>
    <row r="38226" customFormat="false" ht="12.8" hidden="false" customHeight="false" outlineLevel="0" collapsed="false">
      <c r="B38226" s="0" t="s">
        <v>2683</v>
      </c>
    </row>
    <row r="38227" customFormat="false" ht="12.8" hidden="false" customHeight="false" outlineLevel="0" collapsed="false">
      <c r="B38227" s="0" t="s">
        <v>132</v>
      </c>
    </row>
    <row r="38229" customFormat="false" ht="12.8" hidden="false" customHeight="false" outlineLevel="0" collapsed="false">
      <c r="A38229" s="0" t="s">
        <v>14252</v>
      </c>
      <c r="B38229" s="0" t="str">
        <f aca="false">HYPERLINK("https://lindat.mff.cuni.cz/services/teitok/pdtc10/index.php?action=vallex&amp;frame=v-w5163f1", "přikázat (v-w5163f1)")</f>
        <v>přikázat (v-w5163f1)</v>
      </c>
      <c r="E38229" s="0" t="str">
        <f aca="false">HYPERLINK("https://lindat.mff.cuni.cz/services/SynSemClass40/SynSemClass40.html?veclass=vec01013#vec01013-ces-cm00022", "vec01013")</f>
        <v>vec01013</v>
      </c>
      <c r="F38229" s="0" t="s">
        <v>1981</v>
      </c>
    </row>
    <row r="38230" customFormat="false" ht="12.8" hidden="false" customHeight="false" outlineLevel="0" collapsed="false">
      <c r="B38230" s="0" t="s">
        <v>1</v>
      </c>
      <c r="C38230" s="0" t="s">
        <v>415</v>
      </c>
      <c r="E38230" s="0" t="s">
        <v>206</v>
      </c>
      <c r="F38230" s="0" t="s">
        <v>1982</v>
      </c>
    </row>
    <row r="38231" customFormat="false" ht="12.8" hidden="false" customHeight="false" outlineLevel="0" collapsed="false">
      <c r="B38231" s="0" t="s">
        <v>1983</v>
      </c>
      <c r="C38231" s="0" t="s">
        <v>1984</v>
      </c>
      <c r="E38231" s="0" t="s">
        <v>1985</v>
      </c>
      <c r="F38231" s="0" t="s">
        <v>1986</v>
      </c>
    </row>
    <row r="38232" customFormat="false" ht="12.8" hidden="false" customHeight="false" outlineLevel="0" collapsed="false">
      <c r="B38232" s="0" t="s">
        <v>52</v>
      </c>
      <c r="C38232" s="0" t="s">
        <v>1987</v>
      </c>
      <c r="E38232" s="0" t="s">
        <v>564</v>
      </c>
      <c r="F38232" s="0" t="s">
        <v>1988</v>
      </c>
    </row>
    <row r="38234" customFormat="false" ht="12.8" hidden="false" customHeight="false" outlineLevel="0" collapsed="false">
      <c r="A38234" s="0" t="s">
        <v>14253</v>
      </c>
      <c r="B38234" s="0" t="str">
        <f aca="false">HYPERLINK("https://lindat.mff.cuni.cz/services/teitok/pdtc10/index.php?action=vallex&amp;frame=v-w5175f1", "přikývnout (v-w5175f1)")</f>
        <v>přikývnout (v-w5175f1)</v>
      </c>
    </row>
    <row r="38235" customFormat="false" ht="12.8" hidden="false" customHeight="false" outlineLevel="0" collapsed="false">
      <c r="B38235" s="0" t="s">
        <v>1</v>
      </c>
    </row>
    <row r="38236" customFormat="false" ht="12.8" hidden="false" customHeight="false" outlineLevel="0" collapsed="false">
      <c r="B38236" s="0" t="s">
        <v>2683</v>
      </c>
    </row>
    <row r="38237" customFormat="false" ht="12.8" hidden="false" customHeight="false" outlineLevel="0" collapsed="false">
      <c r="B38237" s="0" t="s">
        <v>132</v>
      </c>
    </row>
    <row r="38239" customFormat="false" ht="12.8" hidden="false" customHeight="false" outlineLevel="0" collapsed="false">
      <c r="A38239" s="0" t="s">
        <v>14254</v>
      </c>
      <c r="B38239" s="0" t="str">
        <f aca="false">HYPERLINK("https://lindat.mff.cuni.cz/services/teitok/pdtc10/index.php?action=vallex&amp;frame=v-w10489f3", "přilepit (v-w10489f3)")</f>
        <v>přilepit (v-w10489f3)</v>
      </c>
      <c r="E38239" s="0" t="str">
        <f aca="false">HYPERLINK("https://lindat.mff.cuni.cz/services/SynSemClass40/SynSemClass40.html?veclass=vec00899#vec00899-ces-cm00005", "vec00899")</f>
        <v>vec00899</v>
      </c>
      <c r="F38239" s="0" t="s">
        <v>7652</v>
      </c>
    </row>
    <row r="38240" customFormat="false" ht="12.8" hidden="false" customHeight="false" outlineLevel="0" collapsed="false">
      <c r="B38240" s="0" t="s">
        <v>1</v>
      </c>
      <c r="C38240" s="0" t="s">
        <v>447</v>
      </c>
      <c r="E38240" s="0" t="s">
        <v>31</v>
      </c>
      <c r="F38240" s="0" t="s">
        <v>7653</v>
      </c>
    </row>
    <row r="38241" customFormat="false" ht="12.8" hidden="false" customHeight="false" outlineLevel="0" collapsed="false">
      <c r="B38241" s="0" t="s">
        <v>8</v>
      </c>
      <c r="C38241" s="0" t="s">
        <v>7654</v>
      </c>
      <c r="E38241" s="0" t="s">
        <v>1569</v>
      </c>
      <c r="F38241" s="0" t="s">
        <v>7655</v>
      </c>
    </row>
    <row r="38243" customFormat="false" ht="12.8" hidden="false" customHeight="false" outlineLevel="0" collapsed="false">
      <c r="A38243" s="0" t="s">
        <v>14255</v>
      </c>
      <c r="B38243" s="0" t="str">
        <f aca="false">HYPERLINK("https://lindat.mff.cuni.cz/services/teitok/pdtc10/index.php?action=vallex&amp;frame=v-whsa_1188hsa_1189", "přilepit se (v-whsa_1188hsa_1189)")</f>
        <v>přilepit se (v-whsa_1188hsa_1189)</v>
      </c>
    </row>
    <row r="38244" customFormat="false" ht="12.8" hidden="false" customHeight="false" outlineLevel="0" collapsed="false">
      <c r="B38244" s="0" t="s">
        <v>1</v>
      </c>
    </row>
    <row r="38245" customFormat="false" ht="12.8" hidden="false" customHeight="false" outlineLevel="0" collapsed="false">
      <c r="B38245" s="0" t="s">
        <v>164</v>
      </c>
    </row>
    <row r="38247" customFormat="false" ht="12.8" hidden="false" customHeight="false" outlineLevel="0" collapsed="false">
      <c r="A38247" s="0" t="s">
        <v>14256</v>
      </c>
      <c r="B38247" s="0" t="str">
        <f aca="false">HYPERLINK("https://lindat.mff.cuni.cz/services/teitok/pdtc10/index.php?action=vallex&amp;frame=v-w5179f1", "přilepšit (v-w5179f1)")</f>
        <v>přilepšit (v-w5179f1)</v>
      </c>
    </row>
    <row r="38248" customFormat="false" ht="12.8" hidden="false" customHeight="false" outlineLevel="0" collapsed="false">
      <c r="B38248" s="0" t="s">
        <v>1</v>
      </c>
    </row>
    <row r="38249" customFormat="false" ht="12.8" hidden="false" customHeight="false" outlineLevel="0" collapsed="false">
      <c r="B38249" s="0" t="s">
        <v>186</v>
      </c>
    </row>
    <row r="38251" customFormat="false" ht="12.8" hidden="false" customHeight="false" outlineLevel="0" collapsed="false">
      <c r="A38251" s="0" t="s">
        <v>14257</v>
      </c>
      <c r="B38251" s="0" t="str">
        <f aca="false">HYPERLINK("https://lindat.mff.cuni.cz/services/teitok/pdtc10/index.php?action=vallex&amp;frame=v-w5180f1", "přiletět (v-w5180f1)")</f>
        <v>přiletět (v-w5180f1)</v>
      </c>
    </row>
    <row r="38252" customFormat="false" ht="12.8" hidden="false" customHeight="false" outlineLevel="0" collapsed="false">
      <c r="B38252" s="0" t="s">
        <v>1</v>
      </c>
    </row>
    <row r="38253" customFormat="false" ht="12.8" hidden="false" customHeight="false" outlineLevel="0" collapsed="false">
      <c r="B38253" s="0" t="s">
        <v>164</v>
      </c>
    </row>
    <row r="38255" customFormat="false" ht="12.8" hidden="false" customHeight="false" outlineLevel="0" collapsed="false">
      <c r="A38255" s="0" t="s">
        <v>14258</v>
      </c>
      <c r="B38255" s="0" t="str">
        <f aca="false">HYPERLINK("https://lindat.mff.cuni.cz/services/teitok/pdtc10/index.php?action=vallex&amp;frame=v-w5180hsa_866", "přiletět (v-w5180hsa_866)")</f>
        <v>přiletět (v-w5180hsa_866)</v>
      </c>
    </row>
    <row r="38256" customFormat="false" ht="12.8" hidden="false" customHeight="false" outlineLevel="0" collapsed="false">
      <c r="B38256" s="0" t="s">
        <v>1</v>
      </c>
    </row>
    <row r="38257" customFormat="false" ht="12.8" hidden="false" customHeight="false" outlineLevel="0" collapsed="false">
      <c r="B38257" s="0" t="s">
        <v>164</v>
      </c>
    </row>
    <row r="38259" customFormat="false" ht="12.8" hidden="false" customHeight="false" outlineLevel="0" collapsed="false">
      <c r="A38259" s="0" t="s">
        <v>14259</v>
      </c>
      <c r="B38259" s="0" t="str">
        <f aca="false">HYPERLINK("https://lindat.mff.cuni.cz/services/teitok/pdtc10/index.php?action=vallex&amp;frame=v-w11560_ZUf1_ZU", "přilnout (v-w11560_ZUf1_ZU)")</f>
        <v>přilnout (v-w11560_ZUf1_ZU)</v>
      </c>
    </row>
    <row r="38260" customFormat="false" ht="12.8" hidden="false" customHeight="false" outlineLevel="0" collapsed="false">
      <c r="B38260" s="0" t="s">
        <v>1</v>
      </c>
    </row>
    <row r="38261" customFormat="false" ht="12.8" hidden="false" customHeight="false" outlineLevel="0" collapsed="false">
      <c r="B38261" s="0" t="s">
        <v>454</v>
      </c>
    </row>
    <row r="38263" customFormat="false" ht="12.8" hidden="false" customHeight="false" outlineLevel="0" collapsed="false">
      <c r="A38263" s="0" t="s">
        <v>14260</v>
      </c>
      <c r="B38263" s="0" t="str">
        <f aca="false">HYPERLINK("https://lindat.mff.cuni.cz/services/teitok/pdtc10/index.php?action=vallex&amp;frame=v-w11560_ZUf2_ZU", "přilnout (v-w11560_ZUf2_ZU)")</f>
        <v>přilnout (v-w11560_ZUf2_ZU)</v>
      </c>
    </row>
    <row r="38264" customFormat="false" ht="12.8" hidden="false" customHeight="false" outlineLevel="0" collapsed="false">
      <c r="B38264" s="0" t="s">
        <v>1</v>
      </c>
    </row>
    <row r="38265" customFormat="false" ht="12.8" hidden="false" customHeight="false" outlineLevel="0" collapsed="false">
      <c r="B38265" s="0" t="s">
        <v>14261</v>
      </c>
    </row>
    <row r="38266" customFormat="false" ht="12.8" hidden="false" customHeight="false" outlineLevel="0" collapsed="false">
      <c r="B38266" s="0" t="s">
        <v>186</v>
      </c>
    </row>
    <row r="38268" customFormat="false" ht="12.8" hidden="false" customHeight="false" outlineLevel="0" collapsed="false">
      <c r="A38268" s="0" t="s">
        <v>14260</v>
      </c>
      <c r="B38268" s="0" t="str">
        <f aca="false">HYPERLINK("https://lindat.mff.cuni.cz/services/teitok/pdtc10/index.php?action=vallex&amp;frame=v-w11560_ZUhsa_241", "přilnout (v-w11560_ZUhsa_241) - substituted with v-w11560_ZUf2_ZU")</f>
        <v>přilnout (v-w11560_ZUhsa_241) - substituted with v-w11560_ZUf2_ZU</v>
      </c>
    </row>
    <row r="38269" customFormat="false" ht="12.8" hidden="false" customHeight="false" outlineLevel="0" collapsed="false">
      <c r="B38269" s="0" t="s">
        <v>1</v>
      </c>
    </row>
    <row r="38270" customFormat="false" ht="12.8" hidden="false" customHeight="false" outlineLevel="0" collapsed="false">
      <c r="B38270" s="0" t="s">
        <v>14261</v>
      </c>
    </row>
    <row r="38271" customFormat="false" ht="12.8" hidden="false" customHeight="false" outlineLevel="0" collapsed="false">
      <c r="B38271" s="0" t="s">
        <v>186</v>
      </c>
    </row>
    <row r="38273" customFormat="false" ht="12.8" hidden="false" customHeight="false" outlineLevel="0" collapsed="false">
      <c r="A38273" s="0" t="s">
        <v>14262</v>
      </c>
      <c r="B38273" s="0" t="str">
        <f aca="false">HYPERLINK("https://lindat.mff.cuni.cz/services/teitok/pdtc10/index.php?action=vallex&amp;frame=v-w11560_ZUf4_ZU", "přilnout (v-w11560_ZUf4_ZU)")</f>
        <v>přilnout (v-w11560_ZUf4_ZU)</v>
      </c>
    </row>
    <row r="38274" customFormat="false" ht="12.8" hidden="false" customHeight="false" outlineLevel="0" collapsed="false">
      <c r="B38274" s="0" t="s">
        <v>1</v>
      </c>
    </row>
    <row r="38275" customFormat="false" ht="12.8" hidden="false" customHeight="false" outlineLevel="0" collapsed="false">
      <c r="B38275" s="0" t="s">
        <v>311</v>
      </c>
    </row>
    <row r="38277" customFormat="false" ht="12.8" hidden="false" customHeight="false" outlineLevel="0" collapsed="false">
      <c r="A38277" s="0" t="s">
        <v>14262</v>
      </c>
      <c r="B38277" s="0" t="str">
        <f aca="false">HYPERLINK("https://lindat.mff.cuni.cz/services/teitok/pdtc10/index.php?action=vallex&amp;frame=v-w11560_ZUf3_ZU", "přilnout (v-w11560_ZUf3_ZU) - substituted with v-w11560_ZUf4_ZU")</f>
        <v>přilnout (v-w11560_ZUf3_ZU) - substituted with v-w11560_ZUf4_ZU</v>
      </c>
    </row>
    <row r="38278" customFormat="false" ht="12.8" hidden="false" customHeight="false" outlineLevel="0" collapsed="false">
      <c r="B38278" s="0" t="s">
        <v>1</v>
      </c>
    </row>
    <row r="38279" customFormat="false" ht="12.8" hidden="false" customHeight="false" outlineLevel="0" collapsed="false">
      <c r="B38279" s="0" t="s">
        <v>311</v>
      </c>
    </row>
    <row r="38281" customFormat="false" ht="12.8" hidden="false" customHeight="false" outlineLevel="0" collapsed="false">
      <c r="A38281" s="0" t="s">
        <v>14263</v>
      </c>
      <c r="B38281" s="0" t="str">
        <f aca="false">HYPERLINK("https://lindat.mff.cuni.cz/services/teitok/pdtc10/index.php?action=vallex&amp;frame=v-w5184f2", "přiložit (v-w5184f2)")</f>
        <v>přiložit (v-w5184f2)</v>
      </c>
    </row>
    <row r="38282" customFormat="false" ht="12.8" hidden="false" customHeight="false" outlineLevel="0" collapsed="false">
      <c r="B38282" s="0" t="s">
        <v>629</v>
      </c>
    </row>
    <row r="38283" customFormat="false" ht="12.8" hidden="false" customHeight="false" outlineLevel="0" collapsed="false">
      <c r="B38283" s="0" t="s">
        <v>8</v>
      </c>
    </row>
    <row r="38284" customFormat="false" ht="12.8" hidden="false" customHeight="false" outlineLevel="0" collapsed="false">
      <c r="B38284" s="0" t="s">
        <v>5</v>
      </c>
    </row>
    <row r="38286" customFormat="false" ht="12.8" hidden="false" customHeight="false" outlineLevel="0" collapsed="false">
      <c r="A38286" s="0" t="s">
        <v>14264</v>
      </c>
      <c r="B38286" s="0" t="str">
        <f aca="false">HYPERLINK("https://lindat.mff.cuni.cz/services/teitok/pdtc10/index.php?action=vallex&amp;frame=v-w5184f1", "přiložit (v-w5184f1)")</f>
        <v>přiložit (v-w5184f1)</v>
      </c>
      <c r="E38286" s="0" t="str">
        <f aca="false">HYPERLINK("https://lindat.mff.cuni.cz/services/SynSemClass40/SynSemClass40.html?veclass=vec00407#vec00407-ces-cm00060", "vec00407")</f>
        <v>vec00407</v>
      </c>
      <c r="F38286" s="0" t="s">
        <v>2577</v>
      </c>
      <c r="H38286" s="0" t="str">
        <f aca="false">HYPERLINK("https://lindat.mff.cuni.cz/services/SynSemClass40/SynSemClass40.html?veclass=vec01536#vec01536-ces-cm00014", "vec01536")</f>
        <v>vec01536</v>
      </c>
      <c r="I38286" s="0" t="s">
        <v>14025</v>
      </c>
    </row>
    <row r="38287" customFormat="false" ht="12.8" hidden="false" customHeight="false" outlineLevel="0" collapsed="false">
      <c r="B38287" s="0" t="s">
        <v>1</v>
      </c>
      <c r="C38287" s="0" t="s">
        <v>14265</v>
      </c>
      <c r="E38287" s="0" t="s">
        <v>31</v>
      </c>
      <c r="F38287" s="0" t="s">
        <v>2579</v>
      </c>
      <c r="H38287" s="0" t="s">
        <v>31</v>
      </c>
      <c r="I38287" s="0" t="s">
        <v>14027</v>
      </c>
    </row>
    <row r="38288" customFormat="false" ht="12.8" hidden="false" customHeight="false" outlineLevel="0" collapsed="false">
      <c r="B38288" s="0" t="s">
        <v>8</v>
      </c>
      <c r="C38288" s="0" t="s">
        <v>14266</v>
      </c>
      <c r="E38288" s="0" t="s">
        <v>110</v>
      </c>
      <c r="F38288" s="0" t="s">
        <v>14267</v>
      </c>
      <c r="H38288" s="0" t="s">
        <v>110</v>
      </c>
      <c r="I38288" s="0" t="s">
        <v>14029</v>
      </c>
    </row>
    <row r="38289" customFormat="false" ht="12.8" hidden="false" customHeight="false" outlineLevel="0" collapsed="false">
      <c r="B38289" s="0" t="s">
        <v>164</v>
      </c>
      <c r="C38289" s="0" t="s">
        <v>14268</v>
      </c>
      <c r="E38289" s="0" t="s">
        <v>14269</v>
      </c>
      <c r="F38289" s="0" t="s">
        <v>14270</v>
      </c>
      <c r="H38289" s="0" t="s">
        <v>14031</v>
      </c>
      <c r="I38289" s="0" t="s">
        <v>14032</v>
      </c>
    </row>
    <row r="38291" customFormat="false" ht="12.8" hidden="false" customHeight="false" outlineLevel="0" collapsed="false">
      <c r="A38291" s="0" t="s">
        <v>14271</v>
      </c>
      <c r="B38291" s="0" t="str">
        <f aca="false">HYPERLINK("https://lindat.mff.cuni.cz/services/teitok/pdtc10/index.php?action=vallex&amp;frame=v-w5184hsa_1322", "přiložit (v-w5184hsa_1322)")</f>
        <v>přiložit (v-w5184hsa_1322)</v>
      </c>
    </row>
    <row r="38292" customFormat="false" ht="12.8" hidden="false" customHeight="false" outlineLevel="0" collapsed="false">
      <c r="B38292" s="0" t="s">
        <v>1</v>
      </c>
    </row>
    <row r="38293" customFormat="false" ht="12.8" hidden="false" customHeight="false" outlineLevel="0" collapsed="false">
      <c r="B38293" s="0" t="s">
        <v>8</v>
      </c>
    </row>
    <row r="38294" customFormat="false" ht="12.8" hidden="false" customHeight="false" outlineLevel="0" collapsed="false">
      <c r="B38294" s="0" t="s">
        <v>164</v>
      </c>
    </row>
    <row r="38296" customFormat="false" ht="12.8" hidden="false" customHeight="false" outlineLevel="0" collapsed="false">
      <c r="A38296" s="0" t="s">
        <v>14272</v>
      </c>
      <c r="B38296" s="0" t="str">
        <f aca="false">HYPERLINK("https://lindat.mff.cuni.cz/services/teitok/pdtc10/index.php?action=vallex&amp;frame=v-w5177f1", "přilákat (v-w5177f1)")</f>
        <v>přilákat (v-w5177f1)</v>
      </c>
      <c r="E38296" s="0" t="str">
        <f aca="false">HYPERLINK("https://lindat.mff.cuni.cz/services/SynSemClass40/SynSemClass40.html?veclass=vec00188#vec00188-ces-cm00035", "vec00188")</f>
        <v>vec00188</v>
      </c>
      <c r="F38296" s="0" t="s">
        <v>7128</v>
      </c>
    </row>
    <row r="38297" customFormat="false" ht="12.8" hidden="false" customHeight="false" outlineLevel="0" collapsed="false">
      <c r="B38297" s="0" t="s">
        <v>1</v>
      </c>
      <c r="C38297" s="0" t="s">
        <v>9998</v>
      </c>
      <c r="E38297" s="0" t="s">
        <v>1567</v>
      </c>
      <c r="F38297" s="0" t="s">
        <v>7130</v>
      </c>
    </row>
    <row r="38298" customFormat="false" ht="12.8" hidden="false" customHeight="false" outlineLevel="0" collapsed="false">
      <c r="B38298" s="0" t="s">
        <v>8</v>
      </c>
      <c r="C38298" s="0" t="s">
        <v>1575</v>
      </c>
      <c r="E38298" s="0" t="s">
        <v>3388</v>
      </c>
      <c r="F38298" s="0" t="s">
        <v>7132</v>
      </c>
    </row>
    <row r="38299" customFormat="false" ht="12.8" hidden="false" customHeight="false" outlineLevel="0" collapsed="false">
      <c r="B38299" s="0" t="s">
        <v>164</v>
      </c>
    </row>
    <row r="38301" customFormat="false" ht="12.8" hidden="false" customHeight="false" outlineLevel="0" collapsed="false">
      <c r="A38301" s="0" t="s">
        <v>14273</v>
      </c>
      <c r="B38301" s="0" t="str">
        <f aca="false">HYPERLINK("https://lindat.mff.cuni.cz/services/teitok/pdtc10/index.php?action=vallex&amp;frame=v-w5177f2", "přilákat (v-w5177f2)")</f>
        <v>přilákat (v-w5177f2)</v>
      </c>
      <c r="E38301" s="0" t="str">
        <f aca="false">HYPERLINK("https://lindat.mff.cuni.cz/services/SynSemClass40/SynSemClass40.html?veclass=vec00286#vec00286-ces-cm00001", "vec00286")</f>
        <v>vec00286</v>
      </c>
      <c r="F38301" s="0" t="s">
        <v>6106</v>
      </c>
    </row>
    <row r="38302" customFormat="false" ht="12.8" hidden="false" customHeight="false" outlineLevel="0" collapsed="false">
      <c r="B38302" s="0" t="s">
        <v>1</v>
      </c>
      <c r="C38302" s="0" t="s">
        <v>6107</v>
      </c>
      <c r="E38302" s="0" t="s">
        <v>6108</v>
      </c>
      <c r="F38302" s="0" t="s">
        <v>6109</v>
      </c>
    </row>
    <row r="38303" customFormat="false" ht="12.8" hidden="false" customHeight="false" outlineLevel="0" collapsed="false">
      <c r="B38303" s="0" t="s">
        <v>98</v>
      </c>
      <c r="C38303" s="0" t="s">
        <v>6110</v>
      </c>
      <c r="E38303" s="0" t="s">
        <v>6111</v>
      </c>
      <c r="F38303" s="0" t="s">
        <v>6112</v>
      </c>
    </row>
    <row r="38304" customFormat="false" ht="12.8" hidden="false" customHeight="false" outlineLevel="0" collapsed="false">
      <c r="B38304" s="0" t="s">
        <v>7072</v>
      </c>
      <c r="C38304" s="0" t="s">
        <v>6113</v>
      </c>
      <c r="E38304" s="0" t="s">
        <v>523</v>
      </c>
      <c r="F38304" s="0" t="s">
        <v>6114</v>
      </c>
    </row>
    <row r="38306" customFormat="false" ht="12.8" hidden="false" customHeight="false" outlineLevel="0" collapsed="false">
      <c r="A38306" s="0" t="s">
        <v>14274</v>
      </c>
      <c r="B38306" s="0" t="str">
        <f aca="false">HYPERLINK("https://lindat.mff.cuni.cz/services/teitok/pdtc10/index.php?action=vallex&amp;frame=v-w5178f1", "přiléhat (v-w5178f1)")</f>
        <v>přiléhat (v-w5178f1)</v>
      </c>
    </row>
    <row r="38307" customFormat="false" ht="12.8" hidden="false" customHeight="false" outlineLevel="0" collapsed="false">
      <c r="B38307" s="0" t="s">
        <v>1</v>
      </c>
    </row>
    <row r="38308" customFormat="false" ht="12.8" hidden="false" customHeight="false" outlineLevel="0" collapsed="false">
      <c r="B38308" s="0" t="s">
        <v>164</v>
      </c>
    </row>
    <row r="38310" customFormat="false" ht="12.8" hidden="false" customHeight="false" outlineLevel="0" collapsed="false">
      <c r="A38310" s="0" t="s">
        <v>14275</v>
      </c>
      <c r="B38310" s="0" t="str">
        <f aca="false">HYPERLINK("https://lindat.mff.cuni.cz/services/teitok/pdtc10/index.php?action=vallex&amp;frame=v-w5178f3_ZU", "přiléhat (v-w5178f3_ZU)")</f>
        <v>přiléhat (v-w5178f3_ZU)</v>
      </c>
    </row>
    <row r="38311" customFormat="false" ht="12.8" hidden="false" customHeight="false" outlineLevel="0" collapsed="false">
      <c r="B38311" s="0" t="s">
        <v>1</v>
      </c>
    </row>
    <row r="38312" customFormat="false" ht="12.8" hidden="false" customHeight="false" outlineLevel="0" collapsed="false">
      <c r="B38312" s="0" t="s">
        <v>454</v>
      </c>
    </row>
    <row r="38314" customFormat="false" ht="12.8" hidden="false" customHeight="false" outlineLevel="0" collapsed="false">
      <c r="A38314" s="0" t="s">
        <v>14275</v>
      </c>
      <c r="B38314" s="0" t="str">
        <f aca="false">HYPERLINK("https://lindat.mff.cuni.cz/services/teitok/pdtc10/index.php?action=vallex&amp;frame=v-w5178f2_ZU", "přiléhat (v-w5178f2_ZU) - substituted with v-w5178f3_ZU")</f>
        <v>přiléhat (v-w5178f2_ZU) - substituted with v-w5178f3_ZU</v>
      </c>
    </row>
    <row r="38315" customFormat="false" ht="12.8" hidden="false" customHeight="false" outlineLevel="0" collapsed="false">
      <c r="B38315" s="0" t="s">
        <v>1</v>
      </c>
    </row>
    <row r="38316" customFormat="false" ht="12.8" hidden="false" customHeight="false" outlineLevel="0" collapsed="false">
      <c r="B38316" s="0" t="s">
        <v>454</v>
      </c>
    </row>
    <row r="38318" customFormat="false" ht="12.8" hidden="false" customHeight="false" outlineLevel="0" collapsed="false">
      <c r="A38318" s="0" t="s">
        <v>14276</v>
      </c>
      <c r="B38318" s="0" t="str">
        <f aca="false">HYPERLINK("https://lindat.mff.cuni.cz/services/teitok/pdtc10/index.php?action=vallex&amp;frame=v-whsa_1489hsa_1490", "přilétnout (v-whsa_1489hsa_1490)")</f>
        <v>přilétnout (v-whsa_1489hsa_1490)</v>
      </c>
    </row>
    <row r="38319" customFormat="false" ht="12.8" hidden="false" customHeight="false" outlineLevel="0" collapsed="false">
      <c r="B38319" s="0" t="s">
        <v>1</v>
      </c>
    </row>
    <row r="38320" customFormat="false" ht="12.8" hidden="false" customHeight="false" outlineLevel="0" collapsed="false">
      <c r="B38320" s="0" t="s">
        <v>164</v>
      </c>
    </row>
    <row r="38322" customFormat="false" ht="12.8" hidden="false" customHeight="false" outlineLevel="0" collapsed="false">
      <c r="A38322" s="0" t="s">
        <v>14277</v>
      </c>
      <c r="B38322" s="0" t="str">
        <f aca="false">HYPERLINK("https://lindat.mff.cuni.cz/services/teitok/pdtc10/index.php?action=vallex&amp;frame=v-w5181f1", "přilévat (v-w5181f1)")</f>
        <v>přilévat (v-w5181f1)</v>
      </c>
    </row>
    <row r="38323" customFormat="false" ht="12.8" hidden="false" customHeight="false" outlineLevel="0" collapsed="false">
      <c r="B38323" s="0" t="s">
        <v>1</v>
      </c>
    </row>
    <row r="38324" customFormat="false" ht="12.8" hidden="false" customHeight="false" outlineLevel="0" collapsed="false">
      <c r="B38324" s="0" t="s">
        <v>8</v>
      </c>
    </row>
    <row r="38325" customFormat="false" ht="12.8" hidden="false" customHeight="false" outlineLevel="0" collapsed="false">
      <c r="B38325" s="0" t="s">
        <v>164</v>
      </c>
    </row>
    <row r="38327" customFormat="false" ht="12.8" hidden="false" customHeight="false" outlineLevel="0" collapsed="false">
      <c r="A38327" s="0" t="s">
        <v>14278</v>
      </c>
      <c r="B38327" s="0" t="str">
        <f aca="false">HYPERLINK("https://lindat.mff.cuni.cz/services/teitok/pdtc10/index.php?action=vallex&amp;frame=v-w5181f2_ZU", "přilévat (v-w5181f2_ZU)")</f>
        <v>přilévat (v-w5181f2_ZU)</v>
      </c>
    </row>
    <row r="38328" customFormat="false" ht="12.8" hidden="false" customHeight="false" outlineLevel="0" collapsed="false">
      <c r="B38328" s="0" t="s">
        <v>1</v>
      </c>
    </row>
    <row r="38329" customFormat="false" ht="12.8" hidden="false" customHeight="false" outlineLevel="0" collapsed="false">
      <c r="B38329" s="0" t="s">
        <v>14279</v>
      </c>
    </row>
    <row r="38331" customFormat="false" ht="12.8" hidden="false" customHeight="false" outlineLevel="0" collapsed="false">
      <c r="A38331" s="0" t="s">
        <v>14278</v>
      </c>
      <c r="B38331" s="0" t="str">
        <f aca="false">HYPERLINK("https://lindat.mff.cuni.cz/services/teitok/pdtc10/index.php?action=vallex&amp;frame=v-w5181hsa_1064", "přilévat (v-w5181hsa_1064) - substituted with v-w5181f2_ZU")</f>
        <v>přilévat (v-w5181hsa_1064) - substituted with v-w5181f2_ZU</v>
      </c>
    </row>
    <row r="38332" customFormat="false" ht="12.8" hidden="false" customHeight="false" outlineLevel="0" collapsed="false">
      <c r="B38332" s="0" t="s">
        <v>1</v>
      </c>
    </row>
    <row r="38333" customFormat="false" ht="12.8" hidden="false" customHeight="false" outlineLevel="0" collapsed="false">
      <c r="B38333" s="0" t="s">
        <v>14279</v>
      </c>
    </row>
    <row r="38335" customFormat="false" ht="12.8" hidden="false" customHeight="false" outlineLevel="0" collapsed="false">
      <c r="A38335" s="0" t="s">
        <v>14280</v>
      </c>
      <c r="B38335" s="0" t="str">
        <f aca="false">HYPERLINK("https://lindat.mff.cuni.cz/services/teitok/pdtc10/index.php?action=vallex&amp;frame=v-w10243f2", "přilít (v-w10243f2)")</f>
        <v>přilít (v-w10243f2)</v>
      </c>
    </row>
    <row r="38336" customFormat="false" ht="12.8" hidden="false" customHeight="false" outlineLevel="0" collapsed="false">
      <c r="B38336" s="0" t="s">
        <v>1</v>
      </c>
    </row>
    <row r="38337" customFormat="false" ht="12.8" hidden="false" customHeight="false" outlineLevel="0" collapsed="false">
      <c r="B38337" s="0" t="s">
        <v>8</v>
      </c>
    </row>
    <row r="38338" customFormat="false" ht="12.8" hidden="false" customHeight="false" outlineLevel="0" collapsed="false">
      <c r="B38338" s="0" t="s">
        <v>164</v>
      </c>
    </row>
    <row r="38340" customFormat="false" ht="12.8" hidden="false" customHeight="false" outlineLevel="0" collapsed="false">
      <c r="A38340" s="0" t="s">
        <v>14281</v>
      </c>
      <c r="B38340" s="0" t="str">
        <f aca="false">HYPERLINK("https://lindat.mff.cuni.cz/services/teitok/pdtc10/index.php?action=vallex&amp;frame=v-w10243f4_ZU", "přilít (v-w10243f4_ZU)")</f>
        <v>přilít (v-w10243f4_ZU)</v>
      </c>
      <c r="E38340" s="0" t="str">
        <f aca="false">HYPERLINK("https://lindat.mff.cuni.cz/services/SynSemClass40/SynSemClass40.html?veclass=vec01300#vec01300-ces-cm00004", "vec01300")</f>
        <v>vec01300</v>
      </c>
      <c r="F38340" s="0" t="s">
        <v>5428</v>
      </c>
    </row>
    <row r="38341" customFormat="false" ht="12.8" hidden="false" customHeight="false" outlineLevel="0" collapsed="false">
      <c r="B38341" s="0" t="s">
        <v>1</v>
      </c>
      <c r="E38341" s="0" t="s">
        <v>84</v>
      </c>
      <c r="F38341" s="0" t="s">
        <v>5431</v>
      </c>
    </row>
    <row r="38342" customFormat="false" ht="12.8" hidden="false" customHeight="false" outlineLevel="0" collapsed="false">
      <c r="B38342" s="0" t="s">
        <v>14282</v>
      </c>
    </row>
    <row r="38344" customFormat="false" ht="12.8" hidden="false" customHeight="false" outlineLevel="0" collapsed="false">
      <c r="A38344" s="0" t="s">
        <v>14281</v>
      </c>
      <c r="B38344" s="0" t="str">
        <f aca="false">HYPERLINK("https://lindat.mff.cuni.cz/services/teitok/pdtc10/index.php?action=vallex&amp;frame=v-w10243f3_ZU", "přilít (v-w10243f3_ZU) - substituted with v-w10243f4_ZU")</f>
        <v>přilít (v-w10243f3_ZU) - substituted with v-w10243f4_ZU</v>
      </c>
    </row>
    <row r="38345" customFormat="false" ht="12.8" hidden="false" customHeight="false" outlineLevel="0" collapsed="false">
      <c r="B38345" s="0" t="s">
        <v>1</v>
      </c>
    </row>
    <row r="38346" customFormat="false" ht="12.8" hidden="false" customHeight="false" outlineLevel="0" collapsed="false">
      <c r="B38346" s="0" t="s">
        <v>14282</v>
      </c>
    </row>
    <row r="38348" customFormat="false" ht="12.8" hidden="false" customHeight="false" outlineLevel="0" collapsed="false">
      <c r="A38348" s="0" t="s">
        <v>14283</v>
      </c>
      <c r="B38348" s="0" t="str">
        <f aca="false">HYPERLINK("https://lindat.mff.cuni.cz/services/teitok/pdtc10/index.php?action=vallex&amp;frame=v-whsb_506hsa_507", "přilítnout (v-whsb_506hsa_507)")</f>
        <v>přilítnout (v-whsb_506hsa_507)</v>
      </c>
    </row>
    <row r="38349" customFormat="false" ht="12.8" hidden="false" customHeight="false" outlineLevel="0" collapsed="false">
      <c r="B38349" s="0" t="s">
        <v>1</v>
      </c>
    </row>
    <row r="38350" customFormat="false" ht="12.8" hidden="false" customHeight="false" outlineLevel="0" collapsed="false">
      <c r="B38350" s="0" t="s">
        <v>164</v>
      </c>
    </row>
    <row r="38352" customFormat="false" ht="12.8" hidden="false" customHeight="false" outlineLevel="0" collapsed="false">
      <c r="A38352" s="0" t="s">
        <v>14284</v>
      </c>
      <c r="B38352" s="0" t="str">
        <f aca="false">HYPERLINK("https://lindat.mff.cuni.cz/services/teitok/pdtc10/index.php?action=vallex&amp;frame=v-whsa_506hsa_508", "přilítnout (v-whsa_506hsa_508)")</f>
        <v>přilítnout (v-whsa_506hsa_508)</v>
      </c>
    </row>
    <row r="38353" customFormat="false" ht="12.8" hidden="false" customHeight="false" outlineLevel="0" collapsed="false">
      <c r="B38353" s="0" t="s">
        <v>1</v>
      </c>
    </row>
    <row r="38354" customFormat="false" ht="12.8" hidden="false" customHeight="false" outlineLevel="0" collapsed="false">
      <c r="B38354" s="0" t="s">
        <v>45</v>
      </c>
    </row>
    <row r="38356" customFormat="false" ht="12.8" hidden="false" customHeight="false" outlineLevel="0" collapsed="false">
      <c r="A38356" s="0" t="s">
        <v>14285</v>
      </c>
      <c r="B38356" s="0" t="str">
        <f aca="false">HYPERLINK("https://lindat.mff.cuni.cz/services/teitok/pdtc10/index.php?action=vallex&amp;frame=v-w10488f2", "přilívat (v-w10488f2)")</f>
        <v>přilívat (v-w10488f2)</v>
      </c>
    </row>
    <row r="38357" customFormat="false" ht="12.8" hidden="false" customHeight="false" outlineLevel="0" collapsed="false">
      <c r="B38357" s="0" t="s">
        <v>1</v>
      </c>
    </row>
    <row r="38358" customFormat="false" ht="12.8" hidden="false" customHeight="false" outlineLevel="0" collapsed="false">
      <c r="B38358" s="0" t="s">
        <v>14279</v>
      </c>
    </row>
    <row r="38360" customFormat="false" ht="12.8" hidden="false" customHeight="false" outlineLevel="0" collapsed="false">
      <c r="A38360" s="0" t="s">
        <v>14286</v>
      </c>
      <c r="B38360" s="0" t="str">
        <f aca="false">HYPERLINK("https://lindat.mff.cuni.cz/services/teitok/pdtc10/index.php?action=vallex&amp;frame=v-whsa_769f3_ZU", "přimhouřit (v-whsa_769f3_ZU)")</f>
        <v>přimhouřit (v-whsa_769f3_ZU)</v>
      </c>
    </row>
    <row r="38361" customFormat="false" ht="12.8" hidden="false" customHeight="false" outlineLevel="0" collapsed="false">
      <c r="B38361" s="0" t="s">
        <v>1</v>
      </c>
    </row>
    <row r="38362" customFormat="false" ht="12.8" hidden="false" customHeight="false" outlineLevel="0" collapsed="false">
      <c r="B38362" s="0" t="s">
        <v>14287</v>
      </c>
    </row>
    <row r="38363" customFormat="false" ht="12.8" hidden="false" customHeight="false" outlineLevel="0" collapsed="false">
      <c r="B38363" s="0" t="s">
        <v>4070</v>
      </c>
    </row>
    <row r="38365" customFormat="false" ht="12.8" hidden="false" customHeight="false" outlineLevel="0" collapsed="false">
      <c r="A38365" s="0" t="s">
        <v>14286</v>
      </c>
      <c r="B38365" s="0" t="str">
        <f aca="false">HYPERLINK("https://lindat.mff.cuni.cz/services/teitok/pdtc10/index.php?action=vallex&amp;frame=v-whsa_769f1_ZU", "přimhouřit (v-whsa_769f1_ZU) - substituted with v-whsa_769f3_ZU")</f>
        <v>přimhouřit (v-whsa_769f1_ZU) - substituted with v-whsa_769f3_ZU</v>
      </c>
    </row>
    <row r="38366" customFormat="false" ht="12.8" hidden="false" customHeight="false" outlineLevel="0" collapsed="false">
      <c r="B38366" s="0" t="s">
        <v>1</v>
      </c>
    </row>
    <row r="38367" customFormat="false" ht="12.8" hidden="false" customHeight="false" outlineLevel="0" collapsed="false">
      <c r="B38367" s="0" t="s">
        <v>14287</v>
      </c>
    </row>
    <row r="38368" customFormat="false" ht="12.8" hidden="false" customHeight="false" outlineLevel="0" collapsed="false">
      <c r="B38368" s="0" t="s">
        <v>4070</v>
      </c>
    </row>
    <row r="38370" customFormat="false" ht="12.8" hidden="false" customHeight="false" outlineLevel="0" collapsed="false">
      <c r="A38370" s="0" t="s">
        <v>14286</v>
      </c>
      <c r="B38370" s="0" t="str">
        <f aca="false">HYPERLINK("https://lindat.mff.cuni.cz/services/teitok/pdtc10/index.php?action=vallex&amp;frame=v-whsa_769f2_ZU", "přimhouřit (v-whsa_769f2_ZU) - substituted with v-whsa_769f3_ZU")</f>
        <v>přimhouřit (v-whsa_769f2_ZU) - substituted with v-whsa_769f3_ZU</v>
      </c>
    </row>
    <row r="38371" customFormat="false" ht="12.8" hidden="false" customHeight="false" outlineLevel="0" collapsed="false">
      <c r="B38371" s="0" t="s">
        <v>1</v>
      </c>
    </row>
    <row r="38372" customFormat="false" ht="12.8" hidden="false" customHeight="false" outlineLevel="0" collapsed="false">
      <c r="B38372" s="0" t="s">
        <v>14287</v>
      </c>
    </row>
    <row r="38373" customFormat="false" ht="12.8" hidden="false" customHeight="false" outlineLevel="0" collapsed="false">
      <c r="B38373" s="0" t="s">
        <v>4070</v>
      </c>
    </row>
    <row r="38375" customFormat="false" ht="12.8" hidden="false" customHeight="false" outlineLevel="0" collapsed="false">
      <c r="A38375" s="0" t="s">
        <v>14286</v>
      </c>
      <c r="B38375" s="0" t="str">
        <f aca="false">HYPERLINK("https://lindat.mff.cuni.cz/services/teitok/pdtc10/index.php?action=vallex&amp;frame=v-whsa_769hsa_770", "přimhouřit (v-whsa_769hsa_770) - substituted with v-whsa_769f3_ZU")</f>
        <v>přimhouřit (v-whsa_769hsa_770) - substituted with v-whsa_769f3_ZU</v>
      </c>
    </row>
    <row r="38376" customFormat="false" ht="12.8" hidden="false" customHeight="false" outlineLevel="0" collapsed="false">
      <c r="B38376" s="0" t="s">
        <v>1</v>
      </c>
    </row>
    <row r="38377" customFormat="false" ht="12.8" hidden="false" customHeight="false" outlineLevel="0" collapsed="false">
      <c r="B38377" s="0" t="s">
        <v>14287</v>
      </c>
    </row>
    <row r="38378" customFormat="false" ht="12.8" hidden="false" customHeight="false" outlineLevel="0" collapsed="false">
      <c r="B38378" s="0" t="s">
        <v>4070</v>
      </c>
    </row>
    <row r="38380" customFormat="false" ht="12.8" hidden="false" customHeight="false" outlineLevel="0" collapsed="false">
      <c r="A38380" s="0" t="s">
        <v>14288</v>
      </c>
      <c r="B38380" s="0" t="str">
        <f aca="false">HYPERLINK("https://lindat.mff.cuni.cz/services/teitok/pdtc10/index.php?action=vallex&amp;frame=v-whsa_767hsa_768", "přimhouřit (v-whsa_767hsa_768)")</f>
        <v>přimhouřit (v-whsa_767hsa_768)</v>
      </c>
    </row>
    <row r="38381" customFormat="false" ht="12.8" hidden="false" customHeight="false" outlineLevel="0" collapsed="false">
      <c r="B38381" s="0" t="s">
        <v>1</v>
      </c>
    </row>
    <row r="38382" customFormat="false" ht="12.8" hidden="false" customHeight="false" outlineLevel="0" collapsed="false">
      <c r="B38382" s="0" t="s">
        <v>8</v>
      </c>
    </row>
    <row r="38384" customFormat="false" ht="12.8" hidden="false" customHeight="false" outlineLevel="0" collapsed="false">
      <c r="A38384" s="0" t="s">
        <v>14289</v>
      </c>
      <c r="B38384" s="0" t="str">
        <f aca="false">HYPERLINK("https://lindat.mff.cuni.cz/services/teitok/pdtc10/index.php?action=vallex&amp;frame=v-w5191f1", "přimknout se (v-w5191f1)")</f>
        <v>přimknout se (v-w5191f1)</v>
      </c>
    </row>
    <row r="38385" customFormat="false" ht="12.8" hidden="false" customHeight="false" outlineLevel="0" collapsed="false">
      <c r="B38385" s="0" t="s">
        <v>1</v>
      </c>
    </row>
    <row r="38386" customFormat="false" ht="12.8" hidden="false" customHeight="false" outlineLevel="0" collapsed="false">
      <c r="B38386" s="0" t="s">
        <v>311</v>
      </c>
    </row>
    <row r="38388" customFormat="false" ht="12.8" hidden="false" customHeight="false" outlineLevel="0" collapsed="false">
      <c r="A38388" s="0" t="s">
        <v>14290</v>
      </c>
      <c r="B38388" s="0" t="str">
        <f aca="false">HYPERLINK("https://lindat.mff.cuni.cz/services/teitok/pdtc10/index.php?action=vallex&amp;frame=v-w5191f2", "přimknout se (v-w5191f2)")</f>
        <v>přimknout se (v-w5191f2)</v>
      </c>
    </row>
    <row r="38389" customFormat="false" ht="12.8" hidden="false" customHeight="false" outlineLevel="0" collapsed="false">
      <c r="B38389" s="0" t="s">
        <v>1</v>
      </c>
    </row>
    <row r="38390" customFormat="false" ht="12.8" hidden="false" customHeight="false" outlineLevel="0" collapsed="false">
      <c r="B38390" s="0" t="s">
        <v>164</v>
      </c>
    </row>
    <row r="38392" customFormat="false" ht="12.8" hidden="false" customHeight="false" outlineLevel="0" collapsed="false">
      <c r="A38392" s="0" t="s">
        <v>14291</v>
      </c>
      <c r="B38392" s="0" t="str">
        <f aca="false">HYPERLINK("https://lindat.mff.cuni.cz/services/teitok/pdtc10/index.php?action=vallex&amp;frame=v-w11472f1", "přimlouvat se (v-w11472f1)")</f>
        <v>přimlouvat se (v-w11472f1)</v>
      </c>
      <c r="E38392" s="0" t="str">
        <f aca="false">HYPERLINK("https://lindat.mff.cuni.cz/services/SynSemClass40/SynSemClass40.html?veclass=vec00069#vec00069-ces-cm00170", "vec00069")</f>
        <v>vec00069</v>
      </c>
      <c r="F38392" s="0" t="s">
        <v>4300</v>
      </c>
    </row>
    <row r="38393" customFormat="false" ht="12.8" hidden="false" customHeight="false" outlineLevel="0" collapsed="false">
      <c r="B38393" s="0" t="s">
        <v>1</v>
      </c>
      <c r="C38393" s="0" t="s">
        <v>7530</v>
      </c>
      <c r="E38393" s="0" t="s">
        <v>3021</v>
      </c>
      <c r="F38393" s="0" t="s">
        <v>4302</v>
      </c>
    </row>
    <row r="38394" customFormat="false" ht="12.8" hidden="false" customHeight="false" outlineLevel="0" collapsed="false">
      <c r="B38394" s="0" t="s">
        <v>2069</v>
      </c>
      <c r="C38394" s="0" t="s">
        <v>7531</v>
      </c>
      <c r="E38394" s="0" t="s">
        <v>3023</v>
      </c>
      <c r="F38394" s="0" t="s">
        <v>4305</v>
      </c>
    </row>
    <row r="38396" customFormat="false" ht="12.8" hidden="false" customHeight="false" outlineLevel="0" collapsed="false">
      <c r="A38396" s="0" t="s">
        <v>14292</v>
      </c>
      <c r="B38396" s="0" t="str">
        <f aca="false">HYPERLINK("https://lindat.mff.cuni.cz/services/teitok/pdtc10/index.php?action=vallex&amp;frame=v-w11482f1", "přimluvit se (v-w11482f1)")</f>
        <v>přimluvit se (v-w11482f1)</v>
      </c>
      <c r="E38396" s="0" t="str">
        <f aca="false">HYPERLINK("https://lindat.mff.cuni.cz/services/SynSemClass40/SynSemClass40.html?veclass=vec00069#vec00069-ces-cm00258", "vec00069")</f>
        <v>vec00069</v>
      </c>
      <c r="F38396" s="0" t="s">
        <v>4300</v>
      </c>
    </row>
    <row r="38397" customFormat="false" ht="12.8" hidden="false" customHeight="false" outlineLevel="0" collapsed="false">
      <c r="B38397" s="0" t="s">
        <v>1</v>
      </c>
      <c r="C38397" s="0" t="s">
        <v>7530</v>
      </c>
      <c r="E38397" s="0" t="s">
        <v>3021</v>
      </c>
      <c r="F38397" s="0" t="s">
        <v>4302</v>
      </c>
    </row>
    <row r="38398" customFormat="false" ht="12.8" hidden="false" customHeight="false" outlineLevel="0" collapsed="false">
      <c r="B38398" s="0" t="s">
        <v>2069</v>
      </c>
      <c r="C38398" s="0" t="s">
        <v>7531</v>
      </c>
      <c r="E38398" s="0" t="s">
        <v>3023</v>
      </c>
      <c r="F38398" s="0" t="s">
        <v>4305</v>
      </c>
    </row>
    <row r="38400" customFormat="false" ht="12.8" hidden="false" customHeight="false" outlineLevel="0" collapsed="false">
      <c r="A38400" s="0" t="s">
        <v>14293</v>
      </c>
      <c r="B38400" s="0" t="str">
        <f aca="false">HYPERLINK("https://lindat.mff.cuni.cz/services/teitok/pdtc10/index.php?action=vallex&amp;frame=v-w10132f2", "přimontovat (v-w10132f2)")</f>
        <v>přimontovat (v-w10132f2)</v>
      </c>
    </row>
    <row r="38401" customFormat="false" ht="12.8" hidden="false" customHeight="false" outlineLevel="0" collapsed="false">
      <c r="B38401" s="0" t="s">
        <v>1</v>
      </c>
    </row>
    <row r="38402" customFormat="false" ht="12.8" hidden="false" customHeight="false" outlineLevel="0" collapsed="false">
      <c r="B38402" s="0" t="s">
        <v>8</v>
      </c>
    </row>
    <row r="38403" customFormat="false" ht="12.8" hidden="false" customHeight="false" outlineLevel="0" collapsed="false">
      <c r="B38403" s="0" t="s">
        <v>164</v>
      </c>
    </row>
    <row r="38405" customFormat="false" ht="12.8" hidden="false" customHeight="false" outlineLevel="0" collapsed="false">
      <c r="A38405" s="0" t="s">
        <v>14294</v>
      </c>
      <c r="B38405" s="0" t="str">
        <f aca="false">HYPERLINK("https://lindat.mff.cuni.cz/services/teitok/pdtc10/index.php?action=vallex&amp;frame=v-w5185f1", "přimáčknout (v-w5185f1)")</f>
        <v>přimáčknout (v-w5185f1)</v>
      </c>
    </row>
    <row r="38406" customFormat="false" ht="12.8" hidden="false" customHeight="false" outlineLevel="0" collapsed="false">
      <c r="B38406" s="0" t="s">
        <v>1</v>
      </c>
    </row>
    <row r="38407" customFormat="false" ht="12.8" hidden="false" customHeight="false" outlineLevel="0" collapsed="false">
      <c r="B38407" s="0" t="s">
        <v>8</v>
      </c>
    </row>
    <row r="38408" customFormat="false" ht="12.8" hidden="false" customHeight="false" outlineLevel="0" collapsed="false">
      <c r="B38408" s="0" t="s">
        <v>164</v>
      </c>
    </row>
    <row r="38410" customFormat="false" ht="12.8" hidden="false" customHeight="false" outlineLevel="0" collapsed="false">
      <c r="A38410" s="0" t="s">
        <v>14295</v>
      </c>
      <c r="B38410" s="0" t="str">
        <f aca="false">HYPERLINK("https://lindat.mff.cuni.cz/services/teitok/pdtc10/index.php?action=vallex&amp;frame=v-w5190f1", "přimíchat se (v-w5190f1)")</f>
        <v>přimíchat se (v-w5190f1)</v>
      </c>
    </row>
    <row r="38411" customFormat="false" ht="12.8" hidden="false" customHeight="false" outlineLevel="0" collapsed="false">
      <c r="B38411" s="0" t="s">
        <v>1</v>
      </c>
    </row>
    <row r="38412" customFormat="false" ht="12.8" hidden="false" customHeight="false" outlineLevel="0" collapsed="false">
      <c r="B38412" s="0" t="s">
        <v>164</v>
      </c>
    </row>
    <row r="38414" customFormat="false" ht="12.8" hidden="false" customHeight="false" outlineLevel="0" collapsed="false">
      <c r="A38414" s="0" t="s">
        <v>14296</v>
      </c>
      <c r="B38414" s="0" t="str">
        <f aca="false">HYPERLINK("https://lindat.mff.cuni.cz/services/teitok/pdtc10/index.php?action=vallex&amp;frame=v-w5189f2_ZU", "přimět (v-w5189f2_ZU)")</f>
        <v>přimět (v-w5189f2_ZU)</v>
      </c>
      <c r="E38414" s="0" t="str">
        <f aca="false">HYPERLINK("https://lindat.mff.cuni.cz/services/SynSemClass40/SynSemClass40.html?veclass=vec00098#vec00098-ces-cm00001", "vec00098")</f>
        <v>vec00098</v>
      </c>
      <c r="F38414" s="0" t="s">
        <v>2500</v>
      </c>
    </row>
    <row r="38415" customFormat="false" ht="12.8" hidden="false" customHeight="false" outlineLevel="0" collapsed="false">
      <c r="B38415" s="0" t="s">
        <v>1</v>
      </c>
      <c r="C38415" s="0" t="s">
        <v>2501</v>
      </c>
      <c r="E38415" s="0" t="s">
        <v>1665</v>
      </c>
      <c r="F38415" s="0" t="s">
        <v>2502</v>
      </c>
    </row>
    <row r="38416" customFormat="false" ht="12.8" hidden="false" customHeight="false" outlineLevel="0" collapsed="false">
      <c r="B38416" s="0" t="s">
        <v>9857</v>
      </c>
      <c r="C38416" s="0" t="s">
        <v>2503</v>
      </c>
      <c r="E38416" s="0" t="s">
        <v>79</v>
      </c>
      <c r="F38416" s="0" t="s">
        <v>2504</v>
      </c>
    </row>
    <row r="38417" customFormat="false" ht="12.8" hidden="false" customHeight="false" outlineLevel="0" collapsed="false">
      <c r="B38417" s="0" t="s">
        <v>98</v>
      </c>
      <c r="C38417" s="0" t="s">
        <v>2505</v>
      </c>
      <c r="E38417" s="0" t="s">
        <v>2287</v>
      </c>
      <c r="F38417" s="0" t="s">
        <v>2506</v>
      </c>
    </row>
    <row r="38419" customFormat="false" ht="12.8" hidden="false" customHeight="false" outlineLevel="0" collapsed="false">
      <c r="A38419" s="0" t="s">
        <v>14296</v>
      </c>
      <c r="B38419" s="0" t="str">
        <f aca="false">HYPERLINK("https://lindat.mff.cuni.cz/services/teitok/pdtc10/index.php?action=vallex&amp;frame=v-w5189f1", "přimět (v-w5189f1) - substituted with v-w5189f2_ZU")</f>
        <v>přimět (v-w5189f1) - substituted with v-w5189f2_ZU</v>
      </c>
    </row>
    <row r="38420" customFormat="false" ht="12.8" hidden="false" customHeight="false" outlineLevel="0" collapsed="false">
      <c r="B38420" s="0" t="s">
        <v>1</v>
      </c>
    </row>
    <row r="38421" customFormat="false" ht="12.8" hidden="false" customHeight="false" outlineLevel="0" collapsed="false">
      <c r="B38421" s="0" t="s">
        <v>9857</v>
      </c>
    </row>
    <row r="38422" customFormat="false" ht="12.8" hidden="false" customHeight="false" outlineLevel="0" collapsed="false">
      <c r="B38422" s="0" t="s">
        <v>98</v>
      </c>
    </row>
    <row r="38424" customFormat="false" ht="12.8" hidden="false" customHeight="false" outlineLevel="0" collapsed="false">
      <c r="A38424" s="0" t="s">
        <v>14297</v>
      </c>
      <c r="B38424" s="0" t="str">
        <f aca="false">HYPERLINK("https://lindat.mff.cuni.cz/services/teitok/pdtc10/index.php?action=vallex&amp;frame=v-w5200f2_ZU", "přinutit (v-w5200f2_ZU)")</f>
        <v>přinutit (v-w5200f2_ZU)</v>
      </c>
      <c r="E38424" s="0" t="str">
        <f aca="false">HYPERLINK("https://lindat.mff.cuni.cz/services/SynSemClass40/SynSemClass40.html?veclass=vec00098#vec00098-ces-cm00051", "vec00098")</f>
        <v>vec00098</v>
      </c>
      <c r="F38424" s="0" t="s">
        <v>2500</v>
      </c>
    </row>
    <row r="38425" customFormat="false" ht="12.8" hidden="false" customHeight="false" outlineLevel="0" collapsed="false">
      <c r="B38425" s="0" t="s">
        <v>1</v>
      </c>
      <c r="C38425" s="0" t="s">
        <v>2501</v>
      </c>
      <c r="E38425" s="0" t="s">
        <v>1665</v>
      </c>
      <c r="F38425" s="0" t="s">
        <v>2502</v>
      </c>
    </row>
    <row r="38426" customFormat="false" ht="12.8" hidden="false" customHeight="false" outlineLevel="0" collapsed="false">
      <c r="B38426" s="0" t="s">
        <v>3017</v>
      </c>
      <c r="C38426" s="0" t="s">
        <v>2503</v>
      </c>
      <c r="E38426" s="0" t="s">
        <v>79</v>
      </c>
      <c r="F38426" s="0" t="s">
        <v>2504</v>
      </c>
    </row>
    <row r="38427" customFormat="false" ht="12.8" hidden="false" customHeight="false" outlineLevel="0" collapsed="false">
      <c r="B38427" s="0" t="s">
        <v>98</v>
      </c>
      <c r="C38427" s="0" t="s">
        <v>2505</v>
      </c>
      <c r="E38427" s="0" t="s">
        <v>2287</v>
      </c>
      <c r="F38427" s="0" t="s">
        <v>2506</v>
      </c>
    </row>
    <row r="38429" customFormat="false" ht="12.8" hidden="false" customHeight="false" outlineLevel="0" collapsed="false">
      <c r="A38429" s="0" t="s">
        <v>14297</v>
      </c>
      <c r="B38429" s="0" t="str">
        <f aca="false">HYPERLINK("https://lindat.mff.cuni.cz/services/teitok/pdtc10/index.php?action=vallex&amp;frame=v-w5200f1", "přinutit (v-w5200f1) - substituted with v-w5200f2_ZU")</f>
        <v>přinutit (v-w5200f1) - substituted with v-w5200f2_ZU</v>
      </c>
    </row>
    <row r="38430" customFormat="false" ht="12.8" hidden="false" customHeight="false" outlineLevel="0" collapsed="false">
      <c r="B38430" s="0" t="s">
        <v>1</v>
      </c>
    </row>
    <row r="38431" customFormat="false" ht="12.8" hidden="false" customHeight="false" outlineLevel="0" collapsed="false">
      <c r="B38431" s="0" t="s">
        <v>3017</v>
      </c>
    </row>
    <row r="38432" customFormat="false" ht="12.8" hidden="false" customHeight="false" outlineLevel="0" collapsed="false">
      <c r="B38432" s="0" t="s">
        <v>98</v>
      </c>
    </row>
    <row r="38434" customFormat="false" ht="12.8" hidden="false" customHeight="false" outlineLevel="0" collapsed="false">
      <c r="A38434" s="0" t="s">
        <v>14298</v>
      </c>
      <c r="B38434" s="0" t="str">
        <f aca="false">HYPERLINK("https://lindat.mff.cuni.cz/services/teitok/pdtc10/index.php?action=vallex&amp;frame=v-w5194f1", "přináležet (v-w5194f1)")</f>
        <v>přináležet (v-w5194f1)</v>
      </c>
    </row>
    <row r="38435" customFormat="false" ht="12.8" hidden="false" customHeight="false" outlineLevel="0" collapsed="false">
      <c r="B38435" s="0" t="s">
        <v>1</v>
      </c>
    </row>
    <row r="38436" customFormat="false" ht="12.8" hidden="false" customHeight="false" outlineLevel="0" collapsed="false">
      <c r="B38436" s="0" t="s">
        <v>186</v>
      </c>
    </row>
    <row r="38438" customFormat="false" ht="12.8" hidden="false" customHeight="false" outlineLevel="0" collapsed="false">
      <c r="A38438" s="0" t="s">
        <v>14299</v>
      </c>
      <c r="B38438" s="0" t="str">
        <f aca="false">HYPERLINK("https://lindat.mff.cuni.cz/services/teitok/pdtc10/index.php?action=vallex&amp;frame=v-w5194f2", "přináležet (v-w5194f2)")</f>
        <v>přináležet (v-w5194f2)</v>
      </c>
    </row>
    <row r="38439" customFormat="false" ht="12.8" hidden="false" customHeight="false" outlineLevel="0" collapsed="false">
      <c r="B38439" s="0" t="s">
        <v>1</v>
      </c>
    </row>
    <row r="38440" customFormat="false" ht="12.8" hidden="false" customHeight="false" outlineLevel="0" collapsed="false">
      <c r="B38440" s="0" t="s">
        <v>164</v>
      </c>
    </row>
    <row r="38442" customFormat="false" ht="12.8" hidden="false" customHeight="false" outlineLevel="0" collapsed="false">
      <c r="A38442" s="0" t="s">
        <v>14300</v>
      </c>
      <c r="B38442" s="0" t="str">
        <f aca="false">HYPERLINK("https://lindat.mff.cuni.cz/services/teitok/pdtc10/index.php?action=vallex&amp;frame=v-w5195f2", "přinášet (v-w5195f2)")</f>
        <v>přinášet (v-w5195f2)</v>
      </c>
      <c r="E38442" s="0" t="str">
        <f aca="false">HYPERLINK("https://lindat.mff.cuni.cz/services/SynSemClass40/SynSemClass40.html?veclass=vec00011#vec00011-ces-cm00006", "vec00011")</f>
        <v>vec00011</v>
      </c>
      <c r="F38442" s="0" t="s">
        <v>2193</v>
      </c>
    </row>
    <row r="38443" customFormat="false" ht="12.8" hidden="false" customHeight="false" outlineLevel="0" collapsed="false">
      <c r="B38443" s="0" t="s">
        <v>1</v>
      </c>
      <c r="C38443" s="0" t="s">
        <v>2209</v>
      </c>
      <c r="E38443" s="0" t="s">
        <v>2196</v>
      </c>
      <c r="F38443" s="0" t="s">
        <v>2197</v>
      </c>
    </row>
    <row r="38444" customFormat="false" ht="12.8" hidden="false" customHeight="false" outlineLevel="0" collapsed="false">
      <c r="B38444" s="0" t="s">
        <v>8</v>
      </c>
      <c r="C38444" s="0" t="s">
        <v>2210</v>
      </c>
      <c r="E38444" s="0" t="s">
        <v>2200</v>
      </c>
      <c r="F38444" s="0" t="s">
        <v>2201</v>
      </c>
    </row>
    <row r="38445" customFormat="false" ht="12.8" hidden="false" customHeight="false" outlineLevel="0" collapsed="false">
      <c r="B38445" s="0" t="s">
        <v>3473</v>
      </c>
      <c r="C38445" s="0" t="s">
        <v>2511</v>
      </c>
      <c r="E38445" s="0" t="s">
        <v>53</v>
      </c>
      <c r="F38445" s="0" t="s">
        <v>2204</v>
      </c>
    </row>
    <row r="38447" customFormat="false" ht="12.8" hidden="false" customHeight="false" outlineLevel="0" collapsed="false">
      <c r="A38447" s="0" t="s">
        <v>14301</v>
      </c>
      <c r="B38447" s="0" t="str">
        <f aca="false">HYPERLINK("https://lindat.mff.cuni.cz/services/teitok/pdtc10/index.php?action=vallex&amp;frame=v-w5195f3", "přinášet (v-w5195f3)")</f>
        <v>přinášet (v-w5195f3)</v>
      </c>
      <c r="E38447" s="0" t="str">
        <f aca="false">HYPERLINK("https://lindat.mff.cuni.cz/services/SynSemClass40/SynSemClass40.html?veclass=vec00011#vec00011-ces-cm00015", "vec00011")</f>
        <v>vec00011</v>
      </c>
      <c r="F38447" s="0" t="s">
        <v>2193</v>
      </c>
    </row>
    <row r="38448" customFormat="false" ht="12.8" hidden="false" customHeight="false" outlineLevel="0" collapsed="false">
      <c r="B38448" s="0" t="s">
        <v>1</v>
      </c>
      <c r="C38448" s="0" t="s">
        <v>2209</v>
      </c>
      <c r="E38448" s="0" t="s">
        <v>2196</v>
      </c>
      <c r="F38448" s="0" t="s">
        <v>2197</v>
      </c>
    </row>
    <row r="38449" customFormat="false" ht="12.8" hidden="false" customHeight="false" outlineLevel="0" collapsed="false">
      <c r="B38449" s="0" t="s">
        <v>8</v>
      </c>
      <c r="C38449" s="0" t="s">
        <v>2210</v>
      </c>
      <c r="E38449" s="0" t="s">
        <v>2200</v>
      </c>
      <c r="F38449" s="0" t="s">
        <v>2201</v>
      </c>
    </row>
    <row r="38450" customFormat="false" ht="12.8" hidden="false" customHeight="false" outlineLevel="0" collapsed="false">
      <c r="B38450" s="0" t="s">
        <v>164</v>
      </c>
      <c r="C38450" s="0" t="s">
        <v>2211</v>
      </c>
      <c r="E38450" s="0" t="s">
        <v>2212</v>
      </c>
      <c r="F38450" s="0" t="s">
        <v>2213</v>
      </c>
    </row>
    <row r="38452" customFormat="false" ht="12.8" hidden="false" customHeight="false" outlineLevel="0" collapsed="false">
      <c r="A38452" s="0" t="s">
        <v>14302</v>
      </c>
      <c r="B38452" s="0" t="str">
        <f aca="false">HYPERLINK("https://lindat.mff.cuni.cz/services/teitok/pdtc10/index.php?action=vallex&amp;frame=v-w5195f1", "přinášet (v-w5195f1)")</f>
        <v>přinášet (v-w5195f1)</v>
      </c>
      <c r="E38452" s="0" t="str">
        <f aca="false">HYPERLINK("https://lindat.mff.cuni.cz/services/SynSemClass40/SynSemClass40.html?veclass=vec00355#vec00355-ces-cm00013", "vec00355")</f>
        <v>vec00355</v>
      </c>
      <c r="F38452" s="0" t="s">
        <v>4217</v>
      </c>
    </row>
    <row r="38453" customFormat="false" ht="12.8" hidden="false" customHeight="false" outlineLevel="0" collapsed="false">
      <c r="B38453" s="0" t="s">
        <v>1</v>
      </c>
      <c r="C38453" s="0" t="s">
        <v>4218</v>
      </c>
      <c r="E38453" s="0" t="s">
        <v>1086</v>
      </c>
      <c r="F38453" s="0" t="s">
        <v>4219</v>
      </c>
    </row>
    <row r="38454" customFormat="false" ht="12.8" hidden="false" customHeight="false" outlineLevel="0" collapsed="false">
      <c r="B38454" s="0" t="s">
        <v>8</v>
      </c>
      <c r="C38454" s="0" t="s">
        <v>4220</v>
      </c>
      <c r="E38454" s="0" t="s">
        <v>2111</v>
      </c>
      <c r="F38454" s="0" t="s">
        <v>4221</v>
      </c>
    </row>
    <row r="38456" customFormat="false" ht="12.8" hidden="false" customHeight="false" outlineLevel="0" collapsed="false">
      <c r="A38456" s="0" t="s">
        <v>14303</v>
      </c>
      <c r="B38456" s="0" t="str">
        <f aca="false">HYPERLINK("https://lindat.mff.cuni.cz/services/teitok/pdtc10/index.php?action=vallex&amp;frame=v-w5195f4_ZU", "přinášet (v-w5195f4_ZU)")</f>
        <v>přinášet (v-w5195f4_ZU)</v>
      </c>
      <c r="E38456" s="0" t="str">
        <f aca="false">HYPERLINK("https://lindat.mff.cuni.cz/services/SynSemClass40/SynSemClass40.html?veclass=vec00060#vec00060-ces-cm00092", "vec00060")</f>
        <v>vec00060</v>
      </c>
      <c r="F38456" s="0" t="s">
        <v>213</v>
      </c>
    </row>
    <row r="38457" customFormat="false" ht="12.8" hidden="false" customHeight="false" outlineLevel="0" collapsed="false">
      <c r="B38457" s="0" t="s">
        <v>1</v>
      </c>
      <c r="C38457" s="0" t="s">
        <v>214</v>
      </c>
      <c r="E38457" s="0" t="s">
        <v>147</v>
      </c>
      <c r="F38457" s="0" t="s">
        <v>215</v>
      </c>
    </row>
    <row r="38458" customFormat="false" ht="12.8" hidden="false" customHeight="false" outlineLevel="0" collapsed="false">
      <c r="B38458" s="0" t="s">
        <v>8</v>
      </c>
      <c r="C38458" s="0" t="s">
        <v>217</v>
      </c>
      <c r="E38458" s="0" t="s">
        <v>218</v>
      </c>
      <c r="F38458" s="0" t="s">
        <v>219</v>
      </c>
    </row>
    <row r="38459" customFormat="false" ht="12.8" hidden="false" customHeight="false" outlineLevel="0" collapsed="false">
      <c r="B38459" s="0" t="s">
        <v>132</v>
      </c>
      <c r="C38459" s="0" t="s">
        <v>220</v>
      </c>
      <c r="E38459" s="0" t="s">
        <v>221</v>
      </c>
      <c r="F38459" s="0" t="s">
        <v>222</v>
      </c>
    </row>
    <row r="38461" customFormat="false" ht="12.8" hidden="false" customHeight="false" outlineLevel="0" collapsed="false">
      <c r="A38461" s="0" t="s">
        <v>14303</v>
      </c>
      <c r="B38461" s="0" t="str">
        <f aca="false">HYPERLINK("https://lindat.mff.cuni.cz/services/teitok/pdtc10/index.php?action=vallex&amp;frame=v-w5195hsa_34", "přinášet (v-w5195hsa_34) - substituted with v-w5195f4_ZU")</f>
        <v>přinášet (v-w5195hsa_34) - substituted with v-w5195f4_ZU</v>
      </c>
    </row>
    <row r="38462" customFormat="false" ht="12.8" hidden="false" customHeight="false" outlineLevel="0" collapsed="false">
      <c r="B38462" s="0" t="s">
        <v>1</v>
      </c>
    </row>
    <row r="38463" customFormat="false" ht="12.8" hidden="false" customHeight="false" outlineLevel="0" collapsed="false">
      <c r="B38463" s="0" t="s">
        <v>8</v>
      </c>
    </row>
    <row r="38464" customFormat="false" ht="12.8" hidden="false" customHeight="false" outlineLevel="0" collapsed="false">
      <c r="B38464" s="0" t="s">
        <v>132</v>
      </c>
    </row>
    <row r="38466" customFormat="false" ht="12.8" hidden="false" customHeight="false" outlineLevel="0" collapsed="false">
      <c r="A38466" s="0" t="s">
        <v>14304</v>
      </c>
      <c r="B38466" s="0" t="str">
        <f aca="false">HYPERLINK("https://lindat.mff.cuni.cz/services/teitok/pdtc10/index.php?action=vallex&amp;frame=v-w5195f5_MM", "přinášet (v-w5195f5_MM)")</f>
        <v>přinášet (v-w5195f5_MM)</v>
      </c>
    </row>
    <row r="38467" customFormat="false" ht="12.8" hidden="false" customHeight="false" outlineLevel="0" collapsed="false">
      <c r="B38467" s="0" t="s">
        <v>1</v>
      </c>
    </row>
    <row r="38468" customFormat="false" ht="12.8" hidden="false" customHeight="false" outlineLevel="0" collapsed="false">
      <c r="B38468" s="0" t="s">
        <v>8269</v>
      </c>
    </row>
    <row r="38469" customFormat="false" ht="12.8" hidden="false" customHeight="false" outlineLevel="0" collapsed="false">
      <c r="B38469" s="0" t="s">
        <v>59</v>
      </c>
    </row>
    <row r="38471" customFormat="false" ht="12.8" hidden="false" customHeight="false" outlineLevel="0" collapsed="false">
      <c r="A38471" s="0" t="s">
        <v>14305</v>
      </c>
      <c r="B38471" s="0" t="str">
        <f aca="false">HYPERLINK("https://lindat.mff.cuni.cz/services/teitok/pdtc10/index.php?action=vallex&amp;frame=v-w5195hsa_37", "přinášet (v-w5195hsa_37)")</f>
        <v>přinášet (v-w5195hsa_37)</v>
      </c>
    </row>
    <row r="38472" customFormat="false" ht="12.8" hidden="false" customHeight="false" outlineLevel="0" collapsed="false">
      <c r="B38472" s="0" t="s">
        <v>1</v>
      </c>
    </row>
    <row r="38473" customFormat="false" ht="12.8" hidden="false" customHeight="false" outlineLevel="0" collapsed="false">
      <c r="B38473" s="0" t="s">
        <v>14306</v>
      </c>
    </row>
    <row r="38474" customFormat="false" ht="12.8" hidden="false" customHeight="false" outlineLevel="0" collapsed="false">
      <c r="B38474" s="0" t="s">
        <v>52</v>
      </c>
    </row>
    <row r="38476" customFormat="false" ht="12.8" hidden="false" customHeight="false" outlineLevel="0" collapsed="false">
      <c r="A38476" s="0" t="s">
        <v>14307</v>
      </c>
      <c r="B38476" s="0" t="str">
        <f aca="false">HYPERLINK("https://lindat.mff.cuni.cz/services/teitok/pdtc10/index.php?action=vallex&amp;frame=v-w5197f1", "přinést (v-w5197f1)")</f>
        <v>přinést (v-w5197f1)</v>
      </c>
      <c r="E38476" s="0" t="str">
        <f aca="false">HYPERLINK("https://lindat.mff.cuni.cz/services/SynSemClass40/SynSemClass40.html?veclass=vec00011#vec00011-ces-cm00007", "vec00011")</f>
        <v>vec00011</v>
      </c>
      <c r="F38476" s="0" t="s">
        <v>2193</v>
      </c>
      <c r="H38476" s="0" t="str">
        <f aca="false">HYPERLINK("https://lindat.mff.cuni.cz/services/SynSemClass40/SynSemClass40.html?veclass=vec01256#vec01256-ces-cm00061", "vec01256")</f>
        <v>vec01256</v>
      </c>
      <c r="I38476" s="0" t="s">
        <v>2194</v>
      </c>
    </row>
    <row r="38477" customFormat="false" ht="12.8" hidden="false" customHeight="false" outlineLevel="0" collapsed="false">
      <c r="B38477" s="0" t="s">
        <v>1</v>
      </c>
      <c r="C38477" s="0" t="s">
        <v>2195</v>
      </c>
      <c r="E38477" s="0" t="s">
        <v>2196</v>
      </c>
      <c r="F38477" s="0" t="s">
        <v>2197</v>
      </c>
      <c r="H38477" s="0" t="s">
        <v>31</v>
      </c>
      <c r="I38477" s="0" t="s">
        <v>2198</v>
      </c>
    </row>
    <row r="38478" customFormat="false" ht="12.8" hidden="false" customHeight="false" outlineLevel="0" collapsed="false">
      <c r="B38478" s="0" t="s">
        <v>8</v>
      </c>
      <c r="C38478" s="0" t="s">
        <v>2199</v>
      </c>
      <c r="E38478" s="0" t="s">
        <v>2200</v>
      </c>
      <c r="F38478" s="0" t="s">
        <v>2201</v>
      </c>
      <c r="H38478" s="0" t="s">
        <v>1875</v>
      </c>
      <c r="I38478" s="0" t="s">
        <v>2202</v>
      </c>
    </row>
    <row r="38479" customFormat="false" ht="12.8" hidden="false" customHeight="false" outlineLevel="0" collapsed="false">
      <c r="B38479" s="0" t="s">
        <v>3473</v>
      </c>
      <c r="C38479" s="0" t="s">
        <v>2203</v>
      </c>
      <c r="E38479" s="0" t="s">
        <v>53</v>
      </c>
      <c r="F38479" s="0" t="s">
        <v>2204</v>
      </c>
      <c r="H38479" s="0" t="s">
        <v>53</v>
      </c>
      <c r="I38479" s="0" t="s">
        <v>2205</v>
      </c>
    </row>
    <row r="38481" customFormat="false" ht="12.8" hidden="false" customHeight="false" outlineLevel="0" collapsed="false">
      <c r="A38481" s="0" t="s">
        <v>14308</v>
      </c>
      <c r="B38481" s="0" t="str">
        <f aca="false">HYPERLINK("https://lindat.mff.cuni.cz/services/teitok/pdtc10/index.php?action=vallex&amp;frame=v-w5197f8_ZU", "přinést (v-w5197f8_ZU)")</f>
        <v>přinést (v-w5197f8_ZU)</v>
      </c>
      <c r="E38481" s="0" t="str">
        <f aca="false">HYPERLINK("https://lindat.mff.cuni.cz/services/SynSemClass40/SynSemClass40.html?veclass=vec00355#vec00355-ces-cm00016", "vec00355")</f>
        <v>vec00355</v>
      </c>
      <c r="F38481" s="0" t="s">
        <v>4217</v>
      </c>
    </row>
    <row r="38482" customFormat="false" ht="12.8" hidden="false" customHeight="false" outlineLevel="0" collapsed="false">
      <c r="B38482" s="0" t="s">
        <v>1</v>
      </c>
      <c r="C38482" s="0" t="s">
        <v>4218</v>
      </c>
      <c r="E38482" s="0" t="s">
        <v>1086</v>
      </c>
      <c r="F38482" s="0" t="s">
        <v>4219</v>
      </c>
    </row>
    <row r="38483" customFormat="false" ht="12.8" hidden="false" customHeight="false" outlineLevel="0" collapsed="false">
      <c r="B38483" s="0" t="s">
        <v>8</v>
      </c>
      <c r="C38483" s="0" t="s">
        <v>4220</v>
      </c>
      <c r="E38483" s="0" t="s">
        <v>2111</v>
      </c>
      <c r="F38483" s="0" t="s">
        <v>4221</v>
      </c>
    </row>
    <row r="38484" customFormat="false" ht="12.8" hidden="false" customHeight="false" outlineLevel="0" collapsed="false">
      <c r="B38484" s="0" t="s">
        <v>132</v>
      </c>
      <c r="C38484" s="0" t="s">
        <v>14309</v>
      </c>
      <c r="E38484" s="0" t="s">
        <v>53</v>
      </c>
      <c r="F38484" s="0" t="s">
        <v>14310</v>
      </c>
    </row>
    <row r="38486" customFormat="false" ht="12.8" hidden="false" customHeight="false" outlineLevel="0" collapsed="false">
      <c r="A38486" s="0" t="s">
        <v>14308</v>
      </c>
      <c r="B38486" s="0" t="str">
        <f aca="false">HYPERLINK("https://lindat.mff.cuni.cz/services/teitok/pdtc10/index.php?action=vallex&amp;frame=v-w5197f2", "přinést (v-w5197f2) - substituted with v-w5197f8_ZU")</f>
        <v>přinést (v-w5197f2) - substituted with v-w5197f8_ZU</v>
      </c>
    </row>
    <row r="38487" customFormat="false" ht="12.8" hidden="false" customHeight="false" outlineLevel="0" collapsed="false">
      <c r="B38487" s="0" t="s">
        <v>1</v>
      </c>
    </row>
    <row r="38488" customFormat="false" ht="12.8" hidden="false" customHeight="false" outlineLevel="0" collapsed="false">
      <c r="B38488" s="0" t="s">
        <v>8</v>
      </c>
    </row>
    <row r="38489" customFormat="false" ht="12.8" hidden="false" customHeight="false" outlineLevel="0" collapsed="false">
      <c r="B38489" s="0" t="s">
        <v>132</v>
      </c>
    </row>
    <row r="38491" customFormat="false" ht="12.8" hidden="false" customHeight="false" outlineLevel="0" collapsed="false">
      <c r="A38491" s="0" t="s">
        <v>14308</v>
      </c>
      <c r="B38491" s="0" t="str">
        <f aca="false">HYPERLINK("https://lindat.mff.cuni.cz/services/teitok/pdtc10/index.php?action=vallex&amp;frame=v-w5197f6_ZU", "přinést (v-w5197f6_ZU) - substituted with v-w5197f8_ZU")</f>
        <v>přinést (v-w5197f6_ZU) - substituted with v-w5197f8_ZU</v>
      </c>
    </row>
    <row r="38492" customFormat="false" ht="12.8" hidden="false" customHeight="false" outlineLevel="0" collapsed="false">
      <c r="B38492" s="0" t="s">
        <v>1</v>
      </c>
    </row>
    <row r="38493" customFormat="false" ht="12.8" hidden="false" customHeight="false" outlineLevel="0" collapsed="false">
      <c r="B38493" s="0" t="s">
        <v>8</v>
      </c>
    </row>
    <row r="38494" customFormat="false" ht="12.8" hidden="false" customHeight="false" outlineLevel="0" collapsed="false">
      <c r="B38494" s="0" t="s">
        <v>132</v>
      </c>
    </row>
    <row r="38496" customFormat="false" ht="12.8" hidden="false" customHeight="false" outlineLevel="0" collapsed="false">
      <c r="A38496" s="0" t="s">
        <v>14308</v>
      </c>
      <c r="B38496" s="0" t="str">
        <f aca="false">HYPERLINK("https://lindat.mff.cuni.cz/services/teitok/pdtc10/index.php?action=vallex&amp;frame=v-w5197f7_ZU", "přinést (v-w5197f7_ZU) - substituted with v-w5197f8_ZU")</f>
        <v>přinést (v-w5197f7_ZU) - substituted with v-w5197f8_ZU</v>
      </c>
    </row>
    <row r="38497" customFormat="false" ht="12.8" hidden="false" customHeight="false" outlineLevel="0" collapsed="false">
      <c r="B38497" s="0" t="s">
        <v>1</v>
      </c>
    </row>
    <row r="38498" customFormat="false" ht="12.8" hidden="false" customHeight="false" outlineLevel="0" collapsed="false">
      <c r="B38498" s="0" t="s">
        <v>8</v>
      </c>
    </row>
    <row r="38499" customFormat="false" ht="12.8" hidden="false" customHeight="false" outlineLevel="0" collapsed="false">
      <c r="B38499" s="0" t="s">
        <v>132</v>
      </c>
    </row>
    <row r="38501" customFormat="false" ht="12.8" hidden="false" customHeight="false" outlineLevel="0" collapsed="false">
      <c r="A38501" s="0" t="s">
        <v>14308</v>
      </c>
      <c r="B38501" s="0" t="str">
        <f aca="false">HYPERLINK("https://lindat.mff.cuni.cz/services/teitok/pdtc10/index.php?action=vallex&amp;frame=v-w5197hsa_434", "přinést (v-w5197hsa_434) - substituted with v-w5197f8_ZU")</f>
        <v>přinést (v-w5197hsa_434) - substituted with v-w5197f8_ZU</v>
      </c>
    </row>
    <row r="38502" customFormat="false" ht="12.8" hidden="false" customHeight="false" outlineLevel="0" collapsed="false">
      <c r="B38502" s="0" t="s">
        <v>1</v>
      </c>
    </row>
    <row r="38503" customFormat="false" ht="12.8" hidden="false" customHeight="false" outlineLevel="0" collapsed="false">
      <c r="B38503" s="0" t="s">
        <v>8</v>
      </c>
    </row>
    <row r="38504" customFormat="false" ht="12.8" hidden="false" customHeight="false" outlineLevel="0" collapsed="false">
      <c r="B38504" s="0" t="s">
        <v>132</v>
      </c>
    </row>
    <row r="38506" customFormat="false" ht="12.8" hidden="false" customHeight="false" outlineLevel="0" collapsed="false">
      <c r="A38506" s="0" t="s">
        <v>14311</v>
      </c>
      <c r="B38506" s="0" t="str">
        <f aca="false">HYPERLINK("https://lindat.mff.cuni.cz/services/teitok/pdtc10/index.php?action=vallex&amp;frame=v-w5197f3", "přinést (v-w5197f3)")</f>
        <v>přinést (v-w5197f3)</v>
      </c>
      <c r="E38506" s="0" t="str">
        <f aca="false">HYPERLINK("https://lindat.mff.cuni.cz/services/SynSemClass40/SynSemClass40.html?veclass=vec00011#vec00011-ces-cm00008", "vec00011")</f>
        <v>vec00011</v>
      </c>
      <c r="F38506" s="0" t="s">
        <v>2193</v>
      </c>
      <c r="H38506" s="0" t="str">
        <f aca="false">HYPERLINK("https://lindat.mff.cuni.cz/services/SynSemClass40/SynSemClass40.html?veclass=vec01377#vec01377-ces-cm00044", "vec01377")</f>
        <v>vec01377</v>
      </c>
      <c r="I38506" s="0" t="s">
        <v>2643</v>
      </c>
    </row>
    <row r="38507" customFormat="false" ht="12.8" hidden="false" customHeight="false" outlineLevel="0" collapsed="false">
      <c r="B38507" s="0" t="s">
        <v>1</v>
      </c>
      <c r="C38507" s="0" t="s">
        <v>2707</v>
      </c>
      <c r="E38507" s="0" t="s">
        <v>2196</v>
      </c>
      <c r="F38507" s="0" t="s">
        <v>2197</v>
      </c>
      <c r="H38507" s="0" t="s">
        <v>2645</v>
      </c>
      <c r="I38507" s="0" t="s">
        <v>2646</v>
      </c>
    </row>
    <row r="38508" customFormat="false" ht="12.8" hidden="false" customHeight="false" outlineLevel="0" collapsed="false">
      <c r="B38508" s="0" t="s">
        <v>8</v>
      </c>
      <c r="C38508" s="0" t="s">
        <v>2708</v>
      </c>
      <c r="E38508" s="0" t="s">
        <v>2200</v>
      </c>
      <c r="F38508" s="0" t="s">
        <v>2201</v>
      </c>
      <c r="H38508" s="0" t="s">
        <v>2648</v>
      </c>
      <c r="I38508" s="0" t="s">
        <v>2649</v>
      </c>
    </row>
    <row r="38509" customFormat="false" ht="12.8" hidden="false" customHeight="false" outlineLevel="0" collapsed="false">
      <c r="B38509" s="0" t="s">
        <v>164</v>
      </c>
      <c r="C38509" s="0" t="s">
        <v>2709</v>
      </c>
      <c r="E38509" s="0" t="s">
        <v>2212</v>
      </c>
      <c r="F38509" s="0" t="s">
        <v>2213</v>
      </c>
      <c r="H38509" s="0" t="s">
        <v>370</v>
      </c>
      <c r="I38509" s="0" t="s">
        <v>2652</v>
      </c>
    </row>
    <row r="38511" customFormat="false" ht="12.8" hidden="false" customHeight="false" outlineLevel="0" collapsed="false">
      <c r="A38511" s="0" t="s">
        <v>14312</v>
      </c>
      <c r="B38511" s="0" t="str">
        <f aca="false">HYPERLINK("https://lindat.mff.cuni.cz/services/teitok/pdtc10/index.php?action=vallex&amp;frame=v-w5197f4", "přinést (v-w5197f4)")</f>
        <v>přinést (v-w5197f4)</v>
      </c>
    </row>
    <row r="38512" customFormat="false" ht="12.8" hidden="false" customHeight="false" outlineLevel="0" collapsed="false">
      <c r="B38512" s="0" t="s">
        <v>1</v>
      </c>
    </row>
    <row r="38513" customFormat="false" ht="12.8" hidden="false" customHeight="false" outlineLevel="0" collapsed="false">
      <c r="B38513" s="0" t="s">
        <v>6722</v>
      </c>
    </row>
    <row r="38515" customFormat="false" ht="12.8" hidden="false" customHeight="false" outlineLevel="0" collapsed="false">
      <c r="A38515" s="0" t="s">
        <v>14313</v>
      </c>
      <c r="B38515" s="0" t="str">
        <f aca="false">HYPERLINK("https://lindat.mff.cuni.cz/services/teitok/pdtc10/index.php?action=vallex&amp;frame=v-w5197f5", "přinést (v-w5197f5)")</f>
        <v>přinést (v-w5197f5)</v>
      </c>
    </row>
    <row r="38516" customFormat="false" ht="12.8" hidden="false" customHeight="false" outlineLevel="0" collapsed="false">
      <c r="B38516" s="0" t="s">
        <v>1</v>
      </c>
    </row>
    <row r="38517" customFormat="false" ht="12.8" hidden="false" customHeight="false" outlineLevel="0" collapsed="false">
      <c r="B38517" s="0" t="s">
        <v>14314</v>
      </c>
    </row>
    <row r="38519" customFormat="false" ht="12.8" hidden="false" customHeight="false" outlineLevel="0" collapsed="false">
      <c r="A38519" s="0" t="s">
        <v>14315</v>
      </c>
      <c r="B38519" s="0" t="str">
        <f aca="false">HYPERLINK("https://lindat.mff.cuni.cz/services/teitok/pdtc10/index.php?action=vallex&amp;frame=v-w5197hsa_328", "přinést (v-w5197hsa_328)")</f>
        <v>přinést (v-w5197hsa_328)</v>
      </c>
    </row>
    <row r="38520" customFormat="false" ht="12.8" hidden="false" customHeight="false" outlineLevel="0" collapsed="false">
      <c r="B38520" s="0" t="s">
        <v>1</v>
      </c>
    </row>
    <row r="38521" customFormat="false" ht="12.8" hidden="false" customHeight="false" outlineLevel="0" collapsed="false">
      <c r="B38521" s="0" t="s">
        <v>8</v>
      </c>
    </row>
    <row r="38522" customFormat="false" ht="12.8" hidden="false" customHeight="false" outlineLevel="0" collapsed="false">
      <c r="B38522" s="0" t="s">
        <v>631</v>
      </c>
    </row>
    <row r="38524" customFormat="false" ht="12.8" hidden="false" customHeight="false" outlineLevel="0" collapsed="false">
      <c r="A38524" s="0" t="s">
        <v>14316</v>
      </c>
      <c r="B38524" s="0" t="str">
        <f aca="false">HYPERLINK("https://lindat.mff.cuni.cz/services/teitok/pdtc10/index.php?action=vallex&amp;frame=v-w5197hsa_432", "přinést (v-w5197hsa_432)")</f>
        <v>přinést (v-w5197hsa_432)</v>
      </c>
    </row>
    <row r="38525" customFormat="false" ht="12.8" hidden="false" customHeight="false" outlineLevel="0" collapsed="false">
      <c r="B38525" s="0" t="s">
        <v>1</v>
      </c>
    </row>
    <row r="38526" customFormat="false" ht="12.8" hidden="false" customHeight="false" outlineLevel="0" collapsed="false">
      <c r="B38526" s="0" t="s">
        <v>14317</v>
      </c>
    </row>
    <row r="38527" customFormat="false" ht="12.8" hidden="false" customHeight="false" outlineLevel="0" collapsed="false">
      <c r="B38527" s="0" t="s">
        <v>52</v>
      </c>
    </row>
    <row r="38529" customFormat="false" ht="12.8" hidden="false" customHeight="false" outlineLevel="0" collapsed="false">
      <c r="A38529" s="0" t="s">
        <v>14318</v>
      </c>
      <c r="B38529" s="0" t="str">
        <f aca="false">HYPERLINK("https://lindat.mff.cuni.cz/services/teitok/pdtc10/index.php?action=vallex&amp;frame=v-w5197hsa_433", "přinést (v-w5197hsa_433)")</f>
        <v>přinést (v-w5197hsa_433)</v>
      </c>
    </row>
    <row r="38530" customFormat="false" ht="12.8" hidden="false" customHeight="false" outlineLevel="0" collapsed="false">
      <c r="B38530" s="0" t="s">
        <v>1</v>
      </c>
    </row>
    <row r="38531" customFormat="false" ht="12.8" hidden="false" customHeight="false" outlineLevel="0" collapsed="false">
      <c r="B38531" s="0" t="s">
        <v>8</v>
      </c>
    </row>
    <row r="38533" customFormat="false" ht="12.8" hidden="false" customHeight="false" outlineLevel="0" collapsed="false">
      <c r="A38533" s="0" t="s">
        <v>14319</v>
      </c>
      <c r="B38533" s="0" t="str">
        <f aca="false">HYPERLINK("https://lindat.mff.cuni.cz/services/teitok/pdtc10/index.php?action=vallex&amp;frame=v-whsa_522hsa_523", "přiobjednat (v-whsa_522hsa_523)")</f>
        <v>přiobjednat (v-whsa_522hsa_523)</v>
      </c>
    </row>
    <row r="38534" customFormat="false" ht="12.8" hidden="false" customHeight="false" outlineLevel="0" collapsed="false">
      <c r="B38534" s="0" t="s">
        <v>1</v>
      </c>
    </row>
    <row r="38535" customFormat="false" ht="12.8" hidden="false" customHeight="false" outlineLevel="0" collapsed="false">
      <c r="B38535" s="0" t="s">
        <v>8</v>
      </c>
    </row>
    <row r="38537" customFormat="false" ht="12.8" hidden="false" customHeight="false" outlineLevel="0" collapsed="false">
      <c r="A38537" s="0" t="s">
        <v>14320</v>
      </c>
      <c r="B38537" s="0" t="str">
        <f aca="false">HYPERLINK("https://lindat.mff.cuni.cz/services/teitok/pdtc10/index.php?action=vallex&amp;frame=v-w12173_ZUf1_ZU", "přiopravit (v-w12173_ZUf1_ZU)")</f>
        <v>přiopravit (v-w12173_ZUf1_ZU)</v>
      </c>
    </row>
    <row r="38538" customFormat="false" ht="12.8" hidden="false" customHeight="false" outlineLevel="0" collapsed="false">
      <c r="B38538" s="0" t="s">
        <v>1</v>
      </c>
    </row>
    <row r="38539" customFormat="false" ht="12.8" hidden="false" customHeight="false" outlineLevel="0" collapsed="false">
      <c r="B38539" s="0" t="s">
        <v>8</v>
      </c>
    </row>
    <row r="38541" customFormat="false" ht="12.8" hidden="false" customHeight="false" outlineLevel="0" collapsed="false">
      <c r="A38541" s="0" t="s">
        <v>14321</v>
      </c>
      <c r="B38541" s="0" t="str">
        <f aca="false">HYPERLINK("https://lindat.mff.cuni.cz/services/teitok/pdtc10/index.php?action=vallex&amp;frame=v-w10138f3", "přiostřit (v-w10138f3)")</f>
        <v>přiostřit (v-w10138f3)</v>
      </c>
    </row>
    <row r="38542" customFormat="false" ht="12.8" hidden="false" customHeight="false" outlineLevel="0" collapsed="false">
      <c r="B38542" s="0" t="s">
        <v>1</v>
      </c>
    </row>
    <row r="38543" customFormat="false" ht="12.8" hidden="false" customHeight="false" outlineLevel="0" collapsed="false">
      <c r="B38543" s="0" t="s">
        <v>8</v>
      </c>
    </row>
    <row r="38545" customFormat="false" ht="12.8" hidden="false" customHeight="false" outlineLevel="0" collapsed="false">
      <c r="A38545" s="0" t="s">
        <v>14322</v>
      </c>
      <c r="B38545" s="0" t="str">
        <f aca="false">HYPERLINK("https://lindat.mff.cuni.cz/services/teitok/pdtc10/index.php?action=vallex&amp;frame=v-w10138f2", "přiostřit (v-w10138f2)")</f>
        <v>přiostřit (v-w10138f2)</v>
      </c>
      <c r="E38545" s="0" t="str">
        <f aca="false">HYPERLINK("https://lindat.mff.cuni.cz/services/SynSemClass40/SynSemClass40.html?veclass=vec00785#vec00785-ces-cm00077", "vec00785")</f>
        <v>vec00785</v>
      </c>
      <c r="F38545" s="0" t="s">
        <v>5463</v>
      </c>
    </row>
    <row r="38546" customFormat="false" ht="12.8" hidden="false" customHeight="false" outlineLevel="0" collapsed="false">
      <c r="B38546" s="0" t="s">
        <v>1</v>
      </c>
      <c r="C38546" s="0" t="s">
        <v>12308</v>
      </c>
      <c r="E38546" s="0" t="s">
        <v>76</v>
      </c>
      <c r="F38546" s="0" t="s">
        <v>5466</v>
      </c>
    </row>
    <row r="38547" customFormat="false" ht="12.8" hidden="false" customHeight="false" outlineLevel="0" collapsed="false">
      <c r="B38547" s="0" t="s">
        <v>8</v>
      </c>
      <c r="C38547" s="0" t="s">
        <v>12309</v>
      </c>
      <c r="E38547" s="0" t="s">
        <v>142</v>
      </c>
      <c r="F38547" s="0" t="s">
        <v>5469</v>
      </c>
    </row>
    <row r="38549" customFormat="false" ht="12.8" hidden="false" customHeight="false" outlineLevel="0" collapsed="false">
      <c r="A38549" s="0" t="s">
        <v>14323</v>
      </c>
      <c r="B38549" s="0" t="str">
        <f aca="false">HYPERLINK("https://lindat.mff.cuni.cz/services/teitok/pdtc10/index.php?action=vallex&amp;frame=v-whsa_846f2_ZU", "přiostřit se (v-whsa_846f2_ZU)")</f>
        <v>přiostřit se (v-whsa_846f2_ZU)</v>
      </c>
      <c r="E38549" s="0" t="str">
        <f aca="false">HYPERLINK("https://lindat.mff.cuni.cz/services/SynSemClass40/SynSemClass40.html?veclass=vec00730#vec00730-ces-cm00003", "vec00730")</f>
        <v>vec00730</v>
      </c>
      <c r="F38549" s="0" t="s">
        <v>5144</v>
      </c>
    </row>
    <row r="38550" customFormat="false" ht="12.8" hidden="false" customHeight="false" outlineLevel="0" collapsed="false">
      <c r="B38550" s="0" t="s">
        <v>1</v>
      </c>
      <c r="C38550" s="0" t="s">
        <v>14324</v>
      </c>
      <c r="E38550" s="0" t="s">
        <v>4943</v>
      </c>
      <c r="F38550" s="0" t="s">
        <v>5147</v>
      </c>
    </row>
    <row r="38552" customFormat="false" ht="12.8" hidden="false" customHeight="false" outlineLevel="0" collapsed="false">
      <c r="A38552" s="0" t="s">
        <v>14323</v>
      </c>
      <c r="B38552" s="0" t="str">
        <f aca="false">HYPERLINK("https://lindat.mff.cuni.cz/services/teitok/pdtc10/index.php?action=vallex&amp;frame=v-whsa_846f1_ZU", "přiostřit se (v-whsa_846f1_ZU) - substituted with v-whsa_846f2_ZU")</f>
        <v>přiostřit se (v-whsa_846f1_ZU) - substituted with v-whsa_846f2_ZU</v>
      </c>
    </row>
    <row r="38553" customFormat="false" ht="12.8" hidden="false" customHeight="false" outlineLevel="0" collapsed="false">
      <c r="B38553" s="0" t="s">
        <v>1</v>
      </c>
    </row>
    <row r="38555" customFormat="false" ht="12.8" hidden="false" customHeight="false" outlineLevel="0" collapsed="false">
      <c r="A38555" s="0" t="s">
        <v>14323</v>
      </c>
      <c r="B38555" s="0" t="str">
        <f aca="false">HYPERLINK("https://lindat.mff.cuni.cz/services/teitok/pdtc10/index.php?action=vallex&amp;frame=v-whsa_846hsa_847", "přiostřit se (v-whsa_846hsa_847) - substituted with v-whsa_846f2_ZU")</f>
        <v>přiostřit se (v-whsa_846hsa_847) - substituted with v-whsa_846f2_ZU</v>
      </c>
    </row>
    <row r="38556" customFormat="false" ht="12.8" hidden="false" customHeight="false" outlineLevel="0" collapsed="false">
      <c r="B38556" s="0" t="s">
        <v>1</v>
      </c>
    </row>
    <row r="38558" customFormat="false" ht="12.8" hidden="false" customHeight="false" outlineLevel="0" collapsed="false">
      <c r="A38558" s="0" t="s">
        <v>14325</v>
      </c>
      <c r="B38558" s="0" t="str">
        <f aca="false">HYPERLINK("https://lindat.mff.cuni.cz/services/teitok/pdtc10/index.php?action=vallex&amp;frame=v-whsa_419hsa_420", "přiostřovat (v-whsa_419hsa_420)")</f>
        <v>přiostřovat (v-whsa_419hsa_420)</v>
      </c>
      <c r="E38558" s="0" t="str">
        <f aca="false">HYPERLINK("https://lindat.mff.cuni.cz/services/SynSemClass40/SynSemClass40.html?veclass=vec00785#vec00785-ces-cm00108", "vec00785")</f>
        <v>vec00785</v>
      </c>
      <c r="F38558" s="0" t="s">
        <v>5463</v>
      </c>
    </row>
    <row r="38559" customFormat="false" ht="12.8" hidden="false" customHeight="false" outlineLevel="0" collapsed="false">
      <c r="B38559" s="0" t="s">
        <v>1</v>
      </c>
      <c r="C38559" s="0" t="s">
        <v>12308</v>
      </c>
      <c r="E38559" s="0" t="s">
        <v>76</v>
      </c>
      <c r="F38559" s="0" t="s">
        <v>5466</v>
      </c>
    </row>
    <row r="38560" customFormat="false" ht="12.8" hidden="false" customHeight="false" outlineLevel="0" collapsed="false">
      <c r="B38560" s="0" t="s">
        <v>8</v>
      </c>
      <c r="C38560" s="0" t="s">
        <v>12309</v>
      </c>
      <c r="E38560" s="0" t="s">
        <v>142</v>
      </c>
      <c r="F38560" s="0" t="s">
        <v>5469</v>
      </c>
    </row>
    <row r="38562" customFormat="false" ht="12.8" hidden="false" customHeight="false" outlineLevel="0" collapsed="false">
      <c r="A38562" s="0" t="s">
        <v>14326</v>
      </c>
      <c r="B38562" s="0" t="str">
        <f aca="false">HYPERLINK("https://lindat.mff.cuni.cz/services/teitok/pdtc10/index.php?action=vallex&amp;frame=v-whsa_1118f1_ZU", "přiotrávit (v-whsa_1118f1_ZU)")</f>
        <v>přiotrávit (v-whsa_1118f1_ZU)</v>
      </c>
    </row>
    <row r="38563" customFormat="false" ht="12.8" hidden="false" customHeight="false" outlineLevel="0" collapsed="false">
      <c r="B38563" s="0" t="s">
        <v>1</v>
      </c>
    </row>
    <row r="38564" customFormat="false" ht="12.8" hidden="false" customHeight="false" outlineLevel="0" collapsed="false">
      <c r="B38564" s="0" t="s">
        <v>8</v>
      </c>
    </row>
    <row r="38566" customFormat="false" ht="12.8" hidden="false" customHeight="false" outlineLevel="0" collapsed="false">
      <c r="A38566" s="0" t="s">
        <v>14326</v>
      </c>
      <c r="B38566" s="0" t="str">
        <f aca="false">HYPERLINK("https://lindat.mff.cuni.cz/services/teitok/pdtc10/index.php?action=vallex&amp;frame=v-whsa_1118hsa_1119", "přiotrávit (v-whsa_1118hsa_1119) - substituted with v-whsa_1118f1_ZU")</f>
        <v>přiotrávit (v-whsa_1118hsa_1119) - substituted with v-whsa_1118f1_ZU</v>
      </c>
    </row>
    <row r="38567" customFormat="false" ht="12.8" hidden="false" customHeight="false" outlineLevel="0" collapsed="false">
      <c r="B38567" s="0" t="s">
        <v>1</v>
      </c>
    </row>
    <row r="38568" customFormat="false" ht="12.8" hidden="false" customHeight="false" outlineLevel="0" collapsed="false">
      <c r="B38568" s="0" t="s">
        <v>8</v>
      </c>
    </row>
    <row r="38570" customFormat="false" ht="12.8" hidden="false" customHeight="false" outlineLevel="0" collapsed="false">
      <c r="A38570" s="0" t="s">
        <v>14327</v>
      </c>
      <c r="B38570" s="0" t="str">
        <f aca="false">HYPERLINK("https://lindat.mff.cuni.cz/services/teitok/pdtc10/index.php?action=vallex&amp;frame=v-whsa_915hsa_916", "připachtovat si (v-whsa_915hsa_916)")</f>
        <v>připachtovat si (v-whsa_915hsa_916)</v>
      </c>
    </row>
    <row r="38571" customFormat="false" ht="12.8" hidden="false" customHeight="false" outlineLevel="0" collapsed="false">
      <c r="B38571" s="0" t="s">
        <v>1</v>
      </c>
    </row>
    <row r="38572" customFormat="false" ht="12.8" hidden="false" customHeight="false" outlineLevel="0" collapsed="false">
      <c r="B38572" s="0" t="s">
        <v>8</v>
      </c>
    </row>
    <row r="38574" customFormat="false" ht="12.8" hidden="false" customHeight="false" outlineLevel="0" collapsed="false">
      <c r="A38574" s="0" t="s">
        <v>14328</v>
      </c>
      <c r="B38574" s="0" t="str">
        <f aca="false">HYPERLINK("https://lindat.mff.cuni.cz/services/teitok/pdtc10/index.php?action=vallex&amp;frame=v-w5202f9_ZU", "připadat (v-w5202f9_ZU)")</f>
        <v>připadat (v-w5202f9_ZU)</v>
      </c>
    </row>
    <row r="38575" customFormat="false" ht="12.8" hidden="false" customHeight="false" outlineLevel="0" collapsed="false">
      <c r="B38575" s="0" t="s">
        <v>804</v>
      </c>
    </row>
    <row r="38576" customFormat="false" ht="12.8" hidden="false" customHeight="false" outlineLevel="0" collapsed="false">
      <c r="B38576" s="0" t="s">
        <v>14329</v>
      </c>
    </row>
    <row r="38577" customFormat="false" ht="12.8" hidden="false" customHeight="false" outlineLevel="0" collapsed="false">
      <c r="B38577" s="0" t="s">
        <v>14330</v>
      </c>
    </row>
    <row r="38579" customFormat="false" ht="12.8" hidden="false" customHeight="false" outlineLevel="0" collapsed="false">
      <c r="A38579" s="0" t="s">
        <v>14328</v>
      </c>
      <c r="B38579" s="0" t="str">
        <f aca="false">HYPERLINK("https://lindat.mff.cuni.cz/services/teitok/pdtc10/index.php?action=vallex&amp;frame=v-w5202f2", "připadat (v-w5202f2) - substituted with v-w5202f9_ZU")</f>
        <v>připadat (v-w5202f2) - substituted with v-w5202f9_ZU</v>
      </c>
      <c r="E38579" s="0" t="str">
        <f aca="false">HYPERLINK("https://lindat.mff.cuni.cz/services/SynSemClass40/SynSemClass40.html?veclass=vec00032#vec00032-ces-cm00170", "vec00032")</f>
        <v>vec00032</v>
      </c>
      <c r="F38579" s="0" t="s">
        <v>911</v>
      </c>
    </row>
    <row r="38580" customFormat="false" ht="12.8" hidden="false" customHeight="false" outlineLevel="0" collapsed="false">
      <c r="B38580" s="0" t="s">
        <v>804</v>
      </c>
      <c r="C38580" s="0" t="s">
        <v>2485</v>
      </c>
      <c r="E38580" s="0" t="s">
        <v>914</v>
      </c>
      <c r="F38580" s="0" t="s">
        <v>915</v>
      </c>
    </row>
    <row r="38581" customFormat="false" ht="12.8" hidden="false" customHeight="false" outlineLevel="0" collapsed="false">
      <c r="B38581" s="0" t="s">
        <v>14329</v>
      </c>
      <c r="C38581" s="0" t="s">
        <v>2489</v>
      </c>
      <c r="E38581" s="0" t="s">
        <v>180</v>
      </c>
      <c r="F38581" s="0" t="s">
        <v>2490</v>
      </c>
    </row>
    <row r="38582" customFormat="false" ht="12.8" hidden="false" customHeight="false" outlineLevel="0" collapsed="false">
      <c r="B38582" s="0" t="s">
        <v>14330</v>
      </c>
      <c r="C38582" s="0" t="s">
        <v>2487</v>
      </c>
      <c r="E38582" s="0" t="s">
        <v>626</v>
      </c>
      <c r="F38582" s="0" t="s">
        <v>2488</v>
      </c>
    </row>
    <row r="38584" customFormat="false" ht="12.8" hidden="false" customHeight="false" outlineLevel="0" collapsed="false">
      <c r="A38584" s="0" t="s">
        <v>14328</v>
      </c>
      <c r="B38584" s="0" t="str">
        <f aca="false">HYPERLINK("https://lindat.mff.cuni.cz/services/teitok/pdtc10/index.php?action=vallex&amp;frame=v-w5202f8_ZU", "připadat (v-w5202f8_ZU) - substituted with v-w5202f9_ZU")</f>
        <v>připadat (v-w5202f8_ZU) - substituted with v-w5202f9_ZU</v>
      </c>
    </row>
    <row r="38585" customFormat="false" ht="12.8" hidden="false" customHeight="false" outlineLevel="0" collapsed="false">
      <c r="B38585" s="0" t="s">
        <v>804</v>
      </c>
    </row>
    <row r="38586" customFormat="false" ht="12.8" hidden="false" customHeight="false" outlineLevel="0" collapsed="false">
      <c r="B38586" s="0" t="s">
        <v>14329</v>
      </c>
    </row>
    <row r="38587" customFormat="false" ht="12.8" hidden="false" customHeight="false" outlineLevel="0" collapsed="false">
      <c r="B38587" s="0" t="s">
        <v>14330</v>
      </c>
    </row>
    <row r="38589" customFormat="false" ht="12.8" hidden="false" customHeight="false" outlineLevel="0" collapsed="false">
      <c r="A38589" s="0" t="s">
        <v>14328</v>
      </c>
      <c r="B38589" s="0" t="str">
        <f aca="false">HYPERLINK("https://lindat.mff.cuni.cz/services/teitok/pdtc10/index.php?action=vallex&amp;frame=v-w5202hsa_1896", "připadat (v-w5202hsa_1896) - substituted with v-w5202f9_ZU")</f>
        <v>připadat (v-w5202hsa_1896) - substituted with v-w5202f9_ZU</v>
      </c>
    </row>
    <row r="38590" customFormat="false" ht="12.8" hidden="false" customHeight="false" outlineLevel="0" collapsed="false">
      <c r="B38590" s="0" t="s">
        <v>804</v>
      </c>
    </row>
    <row r="38591" customFormat="false" ht="12.8" hidden="false" customHeight="false" outlineLevel="0" collapsed="false">
      <c r="B38591" s="0" t="s">
        <v>14329</v>
      </c>
    </row>
    <row r="38592" customFormat="false" ht="12.8" hidden="false" customHeight="false" outlineLevel="0" collapsed="false">
      <c r="B38592" s="0" t="s">
        <v>14330</v>
      </c>
    </row>
    <row r="38594" customFormat="false" ht="12.8" hidden="false" customHeight="false" outlineLevel="0" collapsed="false">
      <c r="A38594" s="0" t="s">
        <v>14331</v>
      </c>
      <c r="B38594" s="0" t="str">
        <f aca="false">HYPERLINK("https://lindat.mff.cuni.cz/services/teitok/pdtc10/index.php?action=vallex&amp;frame=v-w5202f7", "připadat (v-w5202f7)")</f>
        <v>připadat (v-w5202f7)</v>
      </c>
    </row>
    <row r="38595" customFormat="false" ht="12.8" hidden="false" customHeight="false" outlineLevel="0" collapsed="false">
      <c r="B38595" s="0" t="s">
        <v>1</v>
      </c>
    </row>
    <row r="38596" customFormat="false" ht="12.8" hidden="false" customHeight="false" outlineLevel="0" collapsed="false">
      <c r="B38596" s="0" t="s">
        <v>186</v>
      </c>
    </row>
    <row r="38598" customFormat="false" ht="12.8" hidden="false" customHeight="false" outlineLevel="0" collapsed="false">
      <c r="A38598" s="0" t="s">
        <v>14332</v>
      </c>
      <c r="B38598" s="0" t="str">
        <f aca="false">HYPERLINK("https://lindat.mff.cuni.cz/services/teitok/pdtc10/index.php?action=vallex&amp;frame=v-w5202f1", "připadat (v-w5202f1)")</f>
        <v>připadat (v-w5202f1)</v>
      </c>
    </row>
    <row r="38599" customFormat="false" ht="12.8" hidden="false" customHeight="false" outlineLevel="0" collapsed="false">
      <c r="B38599" s="0" t="s">
        <v>1</v>
      </c>
    </row>
    <row r="38600" customFormat="false" ht="12.8" hidden="false" customHeight="false" outlineLevel="0" collapsed="false">
      <c r="B38600" s="0" t="s">
        <v>45</v>
      </c>
    </row>
    <row r="38602" customFormat="false" ht="12.8" hidden="false" customHeight="false" outlineLevel="0" collapsed="false">
      <c r="A38602" s="0" t="s">
        <v>14333</v>
      </c>
      <c r="B38602" s="0" t="str">
        <f aca="false">HYPERLINK("https://lindat.mff.cuni.cz/services/teitok/pdtc10/index.php?action=vallex&amp;frame=v-w5202f4", "připadat (v-w5202f4)")</f>
        <v>připadat (v-w5202f4)</v>
      </c>
      <c r="E38602" s="0" t="str">
        <f aca="false">HYPERLINK("https://lindat.mff.cuni.cz/services/SynSemClass40/SynSemClass40.html?veclass=vec00381#vec00381-ces-cm00009", "vec00381")</f>
        <v>vec00381</v>
      </c>
      <c r="F38602" s="0" t="s">
        <v>6692</v>
      </c>
    </row>
    <row r="38603" customFormat="false" ht="12.8" hidden="false" customHeight="false" outlineLevel="0" collapsed="false">
      <c r="B38603" s="0" t="s">
        <v>804</v>
      </c>
      <c r="C38603" s="0" t="s">
        <v>14334</v>
      </c>
      <c r="E38603" s="0" t="s">
        <v>621</v>
      </c>
      <c r="F38603" s="0" t="s">
        <v>6694</v>
      </c>
    </row>
    <row r="38604" customFormat="false" ht="12.8" hidden="false" customHeight="false" outlineLevel="0" collapsed="false">
      <c r="B38604" s="0" t="s">
        <v>3382</v>
      </c>
      <c r="C38604" s="0" t="s">
        <v>14335</v>
      </c>
      <c r="E38604" s="0" t="s">
        <v>180</v>
      </c>
      <c r="F38604" s="0" t="s">
        <v>6697</v>
      </c>
    </row>
    <row r="38606" customFormat="false" ht="12.8" hidden="false" customHeight="false" outlineLevel="0" collapsed="false">
      <c r="A38606" s="0" t="s">
        <v>14336</v>
      </c>
      <c r="B38606" s="0" t="str">
        <f aca="false">HYPERLINK("https://lindat.mff.cuni.cz/services/teitok/pdtc10/index.php?action=vallex&amp;frame=v-w5202f5", "připadat (v-w5202f5)")</f>
        <v>připadat (v-w5202f5)</v>
      </c>
      <c r="E38606" s="0" t="str">
        <f aca="false">HYPERLINK("https://lindat.mff.cuni.cz/services/SynSemClass40/SynSemClass40.html?veclass=vec00005#vec00005-ces-cm00004", "vec00005")</f>
        <v>vec00005</v>
      </c>
      <c r="F38606" s="0" t="s">
        <v>1797</v>
      </c>
    </row>
    <row r="38607" customFormat="false" ht="12.8" hidden="false" customHeight="false" outlineLevel="0" collapsed="false">
      <c r="B38607" s="0" t="s">
        <v>1</v>
      </c>
      <c r="C38607" s="0" t="s">
        <v>10</v>
      </c>
      <c r="E38607" s="0" t="s">
        <v>957</v>
      </c>
      <c r="F38607" s="0" t="s">
        <v>1798</v>
      </c>
    </row>
    <row r="38608" customFormat="false" ht="12.8" hidden="false" customHeight="false" outlineLevel="0" collapsed="false">
      <c r="B38608" s="0" t="s">
        <v>14337</v>
      </c>
      <c r="C38608" s="0" t="s">
        <v>1800</v>
      </c>
      <c r="E38608" s="0" t="s">
        <v>1801</v>
      </c>
      <c r="F38608" s="0" t="s">
        <v>1802</v>
      </c>
    </row>
    <row r="38610" customFormat="false" ht="12.8" hidden="false" customHeight="false" outlineLevel="0" collapsed="false">
      <c r="A38610" s="0" t="s">
        <v>14338</v>
      </c>
      <c r="B38610" s="0" t="str">
        <f aca="false">HYPERLINK("https://lindat.mff.cuni.cz/services/teitok/pdtc10/index.php?action=vallex&amp;frame=v-w5202f6", "připadat (v-w5202f6)")</f>
        <v>připadat (v-w5202f6)</v>
      </c>
    </row>
    <row r="38611" customFormat="false" ht="12.8" hidden="false" customHeight="false" outlineLevel="0" collapsed="false">
      <c r="B38611" s="0" t="s">
        <v>2882</v>
      </c>
    </row>
    <row r="38613" customFormat="false" ht="12.8" hidden="false" customHeight="false" outlineLevel="0" collapsed="false">
      <c r="A38613" s="0" t="s">
        <v>14339</v>
      </c>
      <c r="B38613" s="0" t="str">
        <f aca="false">HYPERLINK("https://lindat.mff.cuni.cz/services/teitok/pdtc10/index.php?action=vallex&amp;frame=v-w5202f3", "připadat (v-w5202f3)")</f>
        <v>připadat (v-w5202f3)</v>
      </c>
      <c r="E38613" s="0" t="str">
        <f aca="false">HYPERLINK("https://lindat.mff.cuni.cz/services/SynSemClass40/SynSemClass40.html?veclass=vec01291#vec01291-ces-cm00006", "vec01291")</f>
        <v>vec01291</v>
      </c>
      <c r="F38613" s="0" t="s">
        <v>13779</v>
      </c>
    </row>
    <row r="38614" customFormat="false" ht="12.8" hidden="false" customHeight="false" outlineLevel="0" collapsed="false">
      <c r="B38614" s="0" t="s">
        <v>345</v>
      </c>
      <c r="E38614" s="0" t="s">
        <v>957</v>
      </c>
      <c r="F38614" s="0" t="s">
        <v>13780</v>
      </c>
    </row>
    <row r="38615" customFormat="false" ht="12.8" hidden="false" customHeight="false" outlineLevel="0" collapsed="false">
      <c r="B38615" s="0" t="s">
        <v>14002</v>
      </c>
    </row>
    <row r="38617" customFormat="false" ht="12.8" hidden="false" customHeight="false" outlineLevel="0" collapsed="false">
      <c r="A38617" s="0" t="s">
        <v>14340</v>
      </c>
      <c r="B38617" s="0" t="str">
        <f aca="false">HYPERLINK("https://lindat.mff.cuni.cz/services/teitok/pdtc10/index.php?action=vallex&amp;frame=v-w5203f2", "připadat si (v-w5203f2)")</f>
        <v>připadat si (v-w5203f2)</v>
      </c>
    </row>
    <row r="38618" customFormat="false" ht="12.8" hidden="false" customHeight="false" outlineLevel="0" collapsed="false">
      <c r="B38618" s="0" t="s">
        <v>1</v>
      </c>
    </row>
    <row r="38619" customFormat="false" ht="12.8" hidden="false" customHeight="false" outlineLevel="0" collapsed="false">
      <c r="B38619" s="0" t="s">
        <v>14341</v>
      </c>
    </row>
    <row r="38621" customFormat="false" ht="12.8" hidden="false" customHeight="false" outlineLevel="0" collapsed="false">
      <c r="A38621" s="0" t="s">
        <v>14342</v>
      </c>
      <c r="B38621" s="0" t="str">
        <f aca="false">HYPERLINK("https://lindat.mff.cuni.cz/services/teitok/pdtc10/index.php?action=vallex&amp;frame=v-w5203f1", "připadat si (v-w5203f1)")</f>
        <v>připadat si (v-w5203f1)</v>
      </c>
      <c r="E38621" s="0" t="str">
        <f aca="false">HYPERLINK("https://lindat.mff.cuni.cz/services/SynSemClass40/SynSemClass40.html?veclass=vec00204#vec00204-ces-cm00009", "vec00204")</f>
        <v>vec00204</v>
      </c>
      <c r="F38621" s="0" t="s">
        <v>1763</v>
      </c>
    </row>
    <row r="38622" customFormat="false" ht="12.8" hidden="false" customHeight="false" outlineLevel="0" collapsed="false">
      <c r="B38622" s="0" t="s">
        <v>1</v>
      </c>
      <c r="C38622" s="0" t="s">
        <v>1764</v>
      </c>
      <c r="E38622" s="0" t="s">
        <v>266</v>
      </c>
      <c r="F38622" s="0" t="s">
        <v>1765</v>
      </c>
    </row>
    <row r="38623" customFormat="false" ht="12.8" hidden="false" customHeight="false" outlineLevel="0" collapsed="false">
      <c r="B38623" s="0" t="s">
        <v>642</v>
      </c>
      <c r="C38623" s="0" t="s">
        <v>1777</v>
      </c>
      <c r="E38623" s="0" t="s">
        <v>14343</v>
      </c>
      <c r="F38623" s="0" t="s">
        <v>14344</v>
      </c>
    </row>
    <row r="38624" customFormat="false" ht="12.8" hidden="false" customHeight="false" outlineLevel="0" collapsed="false">
      <c r="B38624" s="0" t="s">
        <v>652</v>
      </c>
      <c r="C38624" s="0" t="s">
        <v>1778</v>
      </c>
      <c r="E38624" s="0" t="s">
        <v>14343</v>
      </c>
      <c r="F38624" s="0" t="s">
        <v>14344</v>
      </c>
    </row>
    <row r="38626" customFormat="false" ht="12.8" hidden="false" customHeight="false" outlineLevel="0" collapsed="false">
      <c r="A38626" s="0" t="s">
        <v>14345</v>
      </c>
      <c r="B38626" s="0" t="str">
        <f aca="false">HYPERLINK("https://lindat.mff.cuni.cz/services/teitok/pdtc10/index.php?action=vallex&amp;frame=v-w5204f5", "připadnout (v-w5204f5)")</f>
        <v>připadnout (v-w5204f5)</v>
      </c>
      <c r="E38626" s="0" t="str">
        <f aca="false">HYPERLINK("https://lindat.mff.cuni.cz/services/SynSemClass40/SynSemClass40.html?veclass=vec00032#vec00032-ces-cm00187", "vec00032")</f>
        <v>vec00032</v>
      </c>
      <c r="F38626" s="0" t="s">
        <v>911</v>
      </c>
    </row>
    <row r="38627" customFormat="false" ht="12.8" hidden="false" customHeight="false" outlineLevel="0" collapsed="false">
      <c r="B38627" s="0" t="s">
        <v>804</v>
      </c>
      <c r="C38627" s="0" t="s">
        <v>2485</v>
      </c>
      <c r="E38627" s="0" t="s">
        <v>914</v>
      </c>
      <c r="F38627" s="0" t="s">
        <v>915</v>
      </c>
    </row>
    <row r="38628" customFormat="false" ht="12.8" hidden="false" customHeight="false" outlineLevel="0" collapsed="false">
      <c r="B38628" s="0" t="s">
        <v>14346</v>
      </c>
      <c r="C38628" s="0" t="s">
        <v>2489</v>
      </c>
      <c r="E38628" s="0" t="s">
        <v>180</v>
      </c>
      <c r="F38628" s="0" t="s">
        <v>2490</v>
      </c>
    </row>
    <row r="38629" customFormat="false" ht="12.8" hidden="false" customHeight="false" outlineLevel="0" collapsed="false">
      <c r="B38629" s="0" t="s">
        <v>14347</v>
      </c>
      <c r="C38629" s="0" t="s">
        <v>2487</v>
      </c>
      <c r="E38629" s="0" t="s">
        <v>626</v>
      </c>
      <c r="F38629" s="0" t="s">
        <v>2488</v>
      </c>
    </row>
    <row r="38631" customFormat="false" ht="12.8" hidden="false" customHeight="false" outlineLevel="0" collapsed="false">
      <c r="A38631" s="0" t="s">
        <v>14348</v>
      </c>
      <c r="B38631" s="0" t="str">
        <f aca="false">HYPERLINK("https://lindat.mff.cuni.cz/services/teitok/pdtc10/index.php?action=vallex&amp;frame=v-w5204f1", "připadnout (v-w5204f1)")</f>
        <v>připadnout (v-w5204f1)</v>
      </c>
      <c r="E38631" s="0" t="str">
        <f aca="false">HYPERLINK("https://lindat.mff.cuni.cz/services/SynSemClass40/SynSemClass40.html?veclass=vec00027#vec00027-ces-cm00014", "vec00027")</f>
        <v>vec00027</v>
      </c>
      <c r="F38631" s="0" t="s">
        <v>5051</v>
      </c>
    </row>
    <row r="38632" customFormat="false" ht="12.8" hidden="false" customHeight="false" outlineLevel="0" collapsed="false">
      <c r="B38632" s="0" t="s">
        <v>1</v>
      </c>
      <c r="C38632" s="0" t="s">
        <v>5052</v>
      </c>
      <c r="E38632" s="0" t="s">
        <v>957</v>
      </c>
      <c r="F38632" s="0" t="s">
        <v>5053</v>
      </c>
    </row>
    <row r="38633" customFormat="false" ht="12.8" hidden="false" customHeight="false" outlineLevel="0" collapsed="false">
      <c r="B38633" s="0" t="s">
        <v>186</v>
      </c>
      <c r="C38633" s="0" t="s">
        <v>5054</v>
      </c>
      <c r="E38633" s="0" t="s">
        <v>5055</v>
      </c>
      <c r="F38633" s="0" t="s">
        <v>5056</v>
      </c>
    </row>
    <row r="38635" customFormat="false" ht="12.8" hidden="false" customHeight="false" outlineLevel="0" collapsed="false">
      <c r="A38635" s="0" t="s">
        <v>14349</v>
      </c>
      <c r="B38635" s="0" t="str">
        <f aca="false">HYPERLINK("https://lindat.mff.cuni.cz/services/teitok/pdtc10/index.php?action=vallex&amp;frame=v-w5204f8_ZU", "připadnout (v-w5204f8_ZU)")</f>
        <v>připadnout (v-w5204f8_ZU)</v>
      </c>
    </row>
    <row r="38636" customFormat="false" ht="12.8" hidden="false" customHeight="false" outlineLevel="0" collapsed="false">
      <c r="B38636" s="0" t="s">
        <v>1</v>
      </c>
    </row>
    <row r="38637" customFormat="false" ht="12.8" hidden="false" customHeight="false" outlineLevel="0" collapsed="false">
      <c r="B38637" s="0" t="s">
        <v>45</v>
      </c>
    </row>
    <row r="38639" customFormat="false" ht="12.8" hidden="false" customHeight="false" outlineLevel="0" collapsed="false">
      <c r="A38639" s="0" t="s">
        <v>14349</v>
      </c>
      <c r="B38639" s="0" t="str">
        <f aca="false">HYPERLINK("https://lindat.mff.cuni.cz/services/teitok/pdtc10/index.php?action=vallex&amp;frame=v-w5204f2", "připadnout (v-w5204f2) - substituted with v-w5204f8_ZU")</f>
        <v>připadnout (v-w5204f2) - substituted with v-w5204f8_ZU</v>
      </c>
    </row>
    <row r="38640" customFormat="false" ht="12.8" hidden="false" customHeight="false" outlineLevel="0" collapsed="false">
      <c r="B38640" s="0" t="s">
        <v>1</v>
      </c>
    </row>
    <row r="38641" customFormat="false" ht="12.8" hidden="false" customHeight="false" outlineLevel="0" collapsed="false">
      <c r="B38641" s="0" t="s">
        <v>45</v>
      </c>
    </row>
    <row r="38643" customFormat="false" ht="12.8" hidden="false" customHeight="false" outlineLevel="0" collapsed="false">
      <c r="A38643" s="0" t="s">
        <v>14349</v>
      </c>
      <c r="B38643" s="0" t="str">
        <f aca="false">HYPERLINK("https://lindat.mff.cuni.cz/services/teitok/pdtc10/index.php?action=vallex&amp;frame=v-w5204f7_ZU", "připadnout (v-w5204f7_ZU) - substituted with v-w5204f8_ZU")</f>
        <v>připadnout (v-w5204f7_ZU) - substituted with v-w5204f8_ZU</v>
      </c>
    </row>
    <row r="38644" customFormat="false" ht="12.8" hidden="false" customHeight="false" outlineLevel="0" collapsed="false">
      <c r="B38644" s="0" t="s">
        <v>1</v>
      </c>
    </row>
    <row r="38645" customFormat="false" ht="12.8" hidden="false" customHeight="false" outlineLevel="0" collapsed="false">
      <c r="B38645" s="0" t="s">
        <v>45</v>
      </c>
    </row>
    <row r="38647" customFormat="false" ht="12.8" hidden="false" customHeight="false" outlineLevel="0" collapsed="false">
      <c r="A38647" s="0" t="s">
        <v>14350</v>
      </c>
      <c r="B38647" s="0" t="str">
        <f aca="false">HYPERLINK("https://lindat.mff.cuni.cz/services/teitok/pdtc10/index.php?action=vallex&amp;frame=v-w5204f6", "připadnout (v-w5204f6)")</f>
        <v>připadnout (v-w5204f6)</v>
      </c>
      <c r="E38647" s="0" t="str">
        <f aca="false">HYPERLINK("https://lindat.mff.cuni.cz/services/SynSemClass40/SynSemClass40.html?veclass=vec00381#vec00381-ces-cm00021", "vec00381")</f>
        <v>vec00381</v>
      </c>
      <c r="F38647" s="0" t="s">
        <v>6692</v>
      </c>
    </row>
    <row r="38648" customFormat="false" ht="12.8" hidden="false" customHeight="false" outlineLevel="0" collapsed="false">
      <c r="B38648" s="0" t="s">
        <v>804</v>
      </c>
      <c r="C38648" s="0" t="s">
        <v>14334</v>
      </c>
      <c r="E38648" s="0" t="s">
        <v>621</v>
      </c>
      <c r="F38648" s="0" t="s">
        <v>6694</v>
      </c>
    </row>
    <row r="38649" customFormat="false" ht="12.8" hidden="false" customHeight="false" outlineLevel="0" collapsed="false">
      <c r="B38649" s="0" t="s">
        <v>3382</v>
      </c>
      <c r="C38649" s="0" t="s">
        <v>14335</v>
      </c>
      <c r="E38649" s="0" t="s">
        <v>180</v>
      </c>
      <c r="F38649" s="0" t="s">
        <v>6697</v>
      </c>
    </row>
    <row r="38651" customFormat="false" ht="12.8" hidden="false" customHeight="false" outlineLevel="0" collapsed="false">
      <c r="A38651" s="0" t="s">
        <v>14351</v>
      </c>
      <c r="B38651" s="0" t="str">
        <f aca="false">HYPERLINK("https://lindat.mff.cuni.cz/services/teitok/pdtc10/index.php?action=vallex&amp;frame=v-w5204f4", "připadnout (v-w5204f4)")</f>
        <v>připadnout (v-w5204f4)</v>
      </c>
    </row>
    <row r="38652" customFormat="false" ht="12.8" hidden="false" customHeight="false" outlineLevel="0" collapsed="false">
      <c r="B38652" s="0" t="s">
        <v>1</v>
      </c>
    </row>
    <row r="38653" customFormat="false" ht="12.8" hidden="false" customHeight="false" outlineLevel="0" collapsed="false">
      <c r="B38653" s="0" t="s">
        <v>164</v>
      </c>
    </row>
    <row r="38655" customFormat="false" ht="12.8" hidden="false" customHeight="false" outlineLevel="0" collapsed="false">
      <c r="A38655" s="0" t="s">
        <v>14352</v>
      </c>
      <c r="B38655" s="0" t="str">
        <f aca="false">HYPERLINK("https://lindat.mff.cuni.cz/services/teitok/pdtc10/index.php?action=vallex&amp;frame=v-w5204f3", "připadnout (v-w5204f3)")</f>
        <v>připadnout (v-w5204f3)</v>
      </c>
      <c r="E38655" s="0" t="str">
        <f aca="false">HYPERLINK("https://lindat.mff.cuni.cz/services/SynSemClass40/SynSemClass40.html?veclass=vec00005#vec00005-ces-cm00005", "vec00005")</f>
        <v>vec00005</v>
      </c>
      <c r="F38655" s="0" t="s">
        <v>1797</v>
      </c>
    </row>
    <row r="38656" customFormat="false" ht="12.8" hidden="false" customHeight="false" outlineLevel="0" collapsed="false">
      <c r="B38656" s="0" t="s">
        <v>1</v>
      </c>
      <c r="C38656" s="0" t="s">
        <v>10</v>
      </c>
      <c r="E38656" s="0" t="s">
        <v>957</v>
      </c>
      <c r="F38656" s="0" t="s">
        <v>1798</v>
      </c>
    </row>
    <row r="38657" customFormat="false" ht="12.8" hidden="false" customHeight="false" outlineLevel="0" collapsed="false">
      <c r="B38657" s="0" t="s">
        <v>14337</v>
      </c>
      <c r="C38657" s="0" t="s">
        <v>1800</v>
      </c>
      <c r="E38657" s="0" t="s">
        <v>1801</v>
      </c>
      <c r="F38657" s="0" t="s">
        <v>1802</v>
      </c>
    </row>
    <row r="38659" customFormat="false" ht="12.8" hidden="false" customHeight="false" outlineLevel="0" collapsed="false">
      <c r="A38659" s="0" t="s">
        <v>14353</v>
      </c>
      <c r="B38659" s="0" t="str">
        <f aca="false">HYPERLINK("https://lindat.mff.cuni.cz/services/teitok/pdtc10/index.php?action=vallex&amp;frame=v-w5204f9_ZU", "připadnout (v-w5204f9_ZU)")</f>
        <v>připadnout (v-w5204f9_ZU)</v>
      </c>
    </row>
    <row r="38660" customFormat="false" ht="12.8" hidden="false" customHeight="false" outlineLevel="0" collapsed="false">
      <c r="B38660" s="0" t="s">
        <v>1</v>
      </c>
    </row>
    <row r="38661" customFormat="false" ht="12.8" hidden="false" customHeight="false" outlineLevel="0" collapsed="false">
      <c r="B38661" s="0" t="s">
        <v>45</v>
      </c>
    </row>
    <row r="38663" customFormat="false" ht="12.8" hidden="false" customHeight="false" outlineLevel="0" collapsed="false">
      <c r="A38663" s="0" t="s">
        <v>14354</v>
      </c>
      <c r="B38663" s="0" t="str">
        <f aca="false">HYPERLINK("https://lindat.mff.cuni.cz/services/teitok/pdtc10/index.php?action=vallex&amp;frame=v-w5205f1", "připevnit (v-w5205f1)")</f>
        <v>připevnit (v-w5205f1)</v>
      </c>
      <c r="E38663" s="0" t="str">
        <f aca="false">HYPERLINK("https://lindat.mff.cuni.cz/services/SynSemClass40/SynSemClass40.html?veclass=vec00899#vec00899-ces-cm00001", "vec00899")</f>
        <v>vec00899</v>
      </c>
      <c r="F38663" s="0" t="s">
        <v>7652</v>
      </c>
    </row>
    <row r="38664" customFormat="false" ht="12.8" hidden="false" customHeight="false" outlineLevel="0" collapsed="false">
      <c r="B38664" s="0" t="s">
        <v>1</v>
      </c>
      <c r="C38664" s="0" t="s">
        <v>447</v>
      </c>
      <c r="E38664" s="0" t="s">
        <v>31</v>
      </c>
      <c r="F38664" s="0" t="s">
        <v>7653</v>
      </c>
    </row>
    <row r="38665" customFormat="false" ht="12.8" hidden="false" customHeight="false" outlineLevel="0" collapsed="false">
      <c r="B38665" s="0" t="s">
        <v>8</v>
      </c>
      <c r="C38665" s="0" t="s">
        <v>7654</v>
      </c>
      <c r="E38665" s="0" t="s">
        <v>1569</v>
      </c>
      <c r="F38665" s="0" t="s">
        <v>7655</v>
      </c>
    </row>
    <row r="38667" customFormat="false" ht="12.8" hidden="false" customHeight="false" outlineLevel="0" collapsed="false">
      <c r="A38667" s="0" t="s">
        <v>14355</v>
      </c>
      <c r="B38667" s="0" t="str">
        <f aca="false">HYPERLINK("https://lindat.mff.cuni.cz/services/teitok/pdtc10/index.php?action=vallex&amp;frame=v-whsa_724hsa_725", "připevňovat (v-whsa_724hsa_725)")</f>
        <v>připevňovat (v-whsa_724hsa_725)</v>
      </c>
      <c r="E38667" s="0" t="str">
        <f aca="false">HYPERLINK("https://lindat.mff.cuni.cz/services/SynSemClass40/SynSemClass40.html?veclass=vec00899#vec00899-ces-cm00002", "vec00899")</f>
        <v>vec00899</v>
      </c>
      <c r="F38667" s="0" t="s">
        <v>7652</v>
      </c>
    </row>
    <row r="38668" customFormat="false" ht="12.8" hidden="false" customHeight="false" outlineLevel="0" collapsed="false">
      <c r="B38668" s="0" t="s">
        <v>1</v>
      </c>
      <c r="C38668" s="0" t="s">
        <v>447</v>
      </c>
      <c r="E38668" s="0" t="s">
        <v>31</v>
      </c>
      <c r="F38668" s="0" t="s">
        <v>7653</v>
      </c>
    </row>
    <row r="38669" customFormat="false" ht="12.8" hidden="false" customHeight="false" outlineLevel="0" collapsed="false">
      <c r="B38669" s="0" t="s">
        <v>8</v>
      </c>
      <c r="C38669" s="0" t="s">
        <v>7654</v>
      </c>
      <c r="E38669" s="0" t="s">
        <v>1569</v>
      </c>
      <c r="F38669" s="0" t="s">
        <v>7655</v>
      </c>
    </row>
    <row r="38671" customFormat="false" ht="12.8" hidden="false" customHeight="false" outlineLevel="0" collapsed="false">
      <c r="A38671" s="0" t="s">
        <v>14356</v>
      </c>
      <c r="B38671" s="0" t="str">
        <f aca="false">HYPERLINK("https://lindat.mff.cuni.cz/services/teitok/pdtc10/index.php?action=vallex&amp;frame=v-w5207f1", "připisovat (v-w5207f1)")</f>
        <v>připisovat (v-w5207f1)</v>
      </c>
      <c r="E38671" s="0" t="str">
        <f aca="false">HYPERLINK("https://lindat.mff.cuni.cz/services/SynSemClass40/SynSemClass40.html?veclass=vec00291#vec00291-ces-cm00010", "vec00291")</f>
        <v>vec00291</v>
      </c>
      <c r="F38671" s="0" t="s">
        <v>10760</v>
      </c>
    </row>
    <row r="38672" customFormat="false" ht="12.8" hidden="false" customHeight="false" outlineLevel="0" collapsed="false">
      <c r="B38672" s="0" t="s">
        <v>1</v>
      </c>
      <c r="C38672" s="0" t="s">
        <v>2240</v>
      </c>
      <c r="E38672" s="0" t="s">
        <v>10761</v>
      </c>
      <c r="F38672" s="0" t="s">
        <v>10762</v>
      </c>
    </row>
    <row r="38673" customFormat="false" ht="12.8" hidden="false" customHeight="false" outlineLevel="0" collapsed="false">
      <c r="B38673" s="0" t="s">
        <v>59</v>
      </c>
      <c r="C38673" s="0" t="s">
        <v>10763</v>
      </c>
      <c r="E38673" s="0" t="s">
        <v>1544</v>
      </c>
      <c r="F38673" s="0" t="s">
        <v>10764</v>
      </c>
    </row>
    <row r="38674" customFormat="false" ht="12.8" hidden="false" customHeight="false" outlineLevel="0" collapsed="false">
      <c r="B38674" s="0" t="s">
        <v>52</v>
      </c>
      <c r="C38674" s="0" t="s">
        <v>10765</v>
      </c>
      <c r="E38674" s="0" t="s">
        <v>53</v>
      </c>
      <c r="F38674" s="0" t="s">
        <v>10766</v>
      </c>
    </row>
    <row r="38676" customFormat="false" ht="12.8" hidden="false" customHeight="false" outlineLevel="0" collapsed="false">
      <c r="A38676" s="0" t="s">
        <v>14357</v>
      </c>
      <c r="B38676" s="0" t="str">
        <f aca="false">HYPERLINK("https://lindat.mff.cuni.cz/services/teitok/pdtc10/index.php?action=vallex&amp;frame=v-w5207f2", "připisovat (v-w5207f2)")</f>
        <v>připisovat (v-w5207f2)</v>
      </c>
      <c r="E38676" s="0" t="str">
        <f aca="false">HYPERLINK("https://lindat.mff.cuni.cz/services/SynSemClass40/SynSemClass40.html?veclass=vec00175#vec00175-ces-cm00082", "vec00175")</f>
        <v>vec00175</v>
      </c>
      <c r="F38676" s="0" t="s">
        <v>4861</v>
      </c>
    </row>
    <row r="38677" customFormat="false" ht="12.8" hidden="false" customHeight="false" outlineLevel="0" collapsed="false">
      <c r="B38677" s="0" t="s">
        <v>1</v>
      </c>
      <c r="C38677" s="0" t="s">
        <v>13928</v>
      </c>
      <c r="E38677" s="0" t="s">
        <v>31</v>
      </c>
      <c r="F38677" s="0" t="s">
        <v>13929</v>
      </c>
    </row>
    <row r="38678" customFormat="false" ht="12.8" hidden="false" customHeight="false" outlineLevel="0" collapsed="false">
      <c r="B38678" s="0" t="s">
        <v>8</v>
      </c>
      <c r="C38678" s="0" t="s">
        <v>13930</v>
      </c>
      <c r="E38678" s="0" t="s">
        <v>13931</v>
      </c>
      <c r="F38678" s="0" t="s">
        <v>13932</v>
      </c>
    </row>
    <row r="38679" customFormat="false" ht="12.8" hidden="false" customHeight="false" outlineLevel="0" collapsed="false">
      <c r="B38679" s="0" t="s">
        <v>164</v>
      </c>
      <c r="C38679" s="0" t="s">
        <v>4865</v>
      </c>
      <c r="E38679" s="0" t="s">
        <v>4866</v>
      </c>
      <c r="F38679" s="0" t="s">
        <v>4867</v>
      </c>
    </row>
    <row r="38681" customFormat="false" ht="12.8" hidden="false" customHeight="false" outlineLevel="0" collapsed="false">
      <c r="A38681" s="0" t="s">
        <v>14358</v>
      </c>
      <c r="B38681" s="0" t="str">
        <f aca="false">HYPERLINK("https://lindat.mff.cuni.cz/services/teitok/pdtc10/index.php?action=vallex&amp;frame=v-w5211f1", "připlatit (v-w5211f1)")</f>
        <v>připlatit (v-w5211f1)</v>
      </c>
    </row>
    <row r="38682" customFormat="false" ht="12.8" hidden="false" customHeight="false" outlineLevel="0" collapsed="false">
      <c r="B38682" s="0" t="s">
        <v>1</v>
      </c>
    </row>
    <row r="38683" customFormat="false" ht="12.8" hidden="false" customHeight="false" outlineLevel="0" collapsed="false">
      <c r="B38683" s="0" t="s">
        <v>865</v>
      </c>
    </row>
    <row r="38684" customFormat="false" ht="12.8" hidden="false" customHeight="false" outlineLevel="0" collapsed="false">
      <c r="B38684" s="0" t="s">
        <v>2069</v>
      </c>
    </row>
    <row r="38685" customFormat="false" ht="12.8" hidden="false" customHeight="false" outlineLevel="0" collapsed="false">
      <c r="B38685" s="0" t="s">
        <v>132</v>
      </c>
    </row>
    <row r="38687" customFormat="false" ht="12.8" hidden="false" customHeight="false" outlineLevel="0" collapsed="false">
      <c r="A38687" s="0" t="s">
        <v>14359</v>
      </c>
      <c r="B38687" s="0" t="str">
        <f aca="false">HYPERLINK("https://lindat.mff.cuni.cz/services/teitok/pdtc10/index.php?action=vallex&amp;frame=v-whsa_864hsa_865", "připlavat (v-whsa_864hsa_865)")</f>
        <v>připlavat (v-whsa_864hsa_865)</v>
      </c>
    </row>
    <row r="38688" customFormat="false" ht="12.8" hidden="false" customHeight="false" outlineLevel="0" collapsed="false">
      <c r="B38688" s="0" t="s">
        <v>1</v>
      </c>
    </row>
    <row r="38689" customFormat="false" ht="12.8" hidden="false" customHeight="false" outlineLevel="0" collapsed="false">
      <c r="B38689" s="0" t="s">
        <v>164</v>
      </c>
    </row>
    <row r="38691" customFormat="false" ht="12.8" hidden="false" customHeight="false" outlineLevel="0" collapsed="false">
      <c r="A38691" s="0" t="s">
        <v>14360</v>
      </c>
      <c r="B38691" s="0" t="str">
        <f aca="false">HYPERLINK("https://lindat.mff.cuni.cz/services/teitok/pdtc10/index.php?action=vallex&amp;frame=v-w5212f1", "připlout (v-w5212f1)")</f>
        <v>připlout (v-w5212f1)</v>
      </c>
    </row>
    <row r="38692" customFormat="false" ht="12.8" hidden="false" customHeight="false" outlineLevel="0" collapsed="false">
      <c r="B38692" s="0" t="s">
        <v>1</v>
      </c>
    </row>
    <row r="38693" customFormat="false" ht="12.8" hidden="false" customHeight="false" outlineLevel="0" collapsed="false">
      <c r="B38693" s="0" t="s">
        <v>164</v>
      </c>
    </row>
    <row r="38695" customFormat="false" ht="12.8" hidden="false" customHeight="false" outlineLevel="0" collapsed="false">
      <c r="A38695" s="0" t="s">
        <v>14361</v>
      </c>
      <c r="B38695" s="0" t="str">
        <f aca="false">HYPERLINK("https://lindat.mff.cuni.cz/services/teitok/pdtc10/index.php?action=vallex&amp;frame=v-w11562_ZUf1_ZU", "připlouvat (v-w11562_ZUf1_ZU)")</f>
        <v>připlouvat (v-w11562_ZUf1_ZU)</v>
      </c>
      <c r="E38695" s="0" t="str">
        <f aca="false">HYPERLINK("https://lindat.mff.cuni.cz/services/SynSemClass40/SynSemClass40.html?veclass=vec01390#vec01390-ces-cm00008", "vec01390")</f>
        <v>vec01390</v>
      </c>
      <c r="F38695" s="0" t="s">
        <v>366</v>
      </c>
    </row>
    <row r="38696" customFormat="false" ht="12.8" hidden="false" customHeight="false" outlineLevel="0" collapsed="false">
      <c r="B38696" s="0" t="s">
        <v>1</v>
      </c>
      <c r="C38696" s="0" t="s">
        <v>367</v>
      </c>
      <c r="E38696" s="0" t="s">
        <v>334</v>
      </c>
      <c r="F38696" s="0" t="s">
        <v>368</v>
      </c>
    </row>
    <row r="38697" customFormat="false" ht="12.8" hidden="false" customHeight="false" outlineLevel="0" collapsed="false">
      <c r="B38697" s="0" t="s">
        <v>454</v>
      </c>
      <c r="C38697" s="0" t="s">
        <v>369</v>
      </c>
      <c r="E38697" s="0" t="s">
        <v>370</v>
      </c>
      <c r="F38697" s="0" t="s">
        <v>371</v>
      </c>
    </row>
    <row r="38699" customFormat="false" ht="12.8" hidden="false" customHeight="false" outlineLevel="0" collapsed="false">
      <c r="A38699" s="0" t="s">
        <v>14362</v>
      </c>
      <c r="B38699" s="0" t="str">
        <f aca="false">HYPERLINK("https://lindat.mff.cuni.cz/services/teitok/pdtc10/index.php?action=vallex&amp;frame=v-w5213f1", "připlynout (v-w5213f1)")</f>
        <v>připlynout (v-w5213f1)</v>
      </c>
    </row>
    <row r="38700" customFormat="false" ht="12.8" hidden="false" customHeight="false" outlineLevel="0" collapsed="false">
      <c r="B38700" s="0" t="s">
        <v>1</v>
      </c>
    </row>
    <row r="38701" customFormat="false" ht="12.8" hidden="false" customHeight="false" outlineLevel="0" collapsed="false">
      <c r="B38701" s="0" t="s">
        <v>164</v>
      </c>
    </row>
    <row r="38703" customFormat="false" ht="12.8" hidden="false" customHeight="false" outlineLevel="0" collapsed="false">
      <c r="A38703" s="0" t="s">
        <v>14363</v>
      </c>
      <c r="B38703" s="0" t="str">
        <f aca="false">HYPERLINK("https://lindat.mff.cuni.cz/services/teitok/pdtc10/index.php?action=vallex&amp;frame=v-w5209f1", "připlácet (v-w5209f1)")</f>
        <v>připlácet (v-w5209f1)</v>
      </c>
      <c r="E38703" s="0" t="str">
        <f aca="false">HYPERLINK("https://lindat.mff.cuni.cz/services/SynSemClass40/SynSemClass40.html?veclass=vec00125#vec00125-ces-cm00198", "vec00125")</f>
        <v>vec00125</v>
      </c>
      <c r="F38703" s="0" t="s">
        <v>2552</v>
      </c>
    </row>
    <row r="38704" customFormat="false" ht="12.8" hidden="false" customHeight="false" outlineLevel="0" collapsed="false">
      <c r="B38704" s="0" t="s">
        <v>1</v>
      </c>
      <c r="C38704" s="0" t="s">
        <v>2553</v>
      </c>
      <c r="E38704" s="0" t="s">
        <v>2554</v>
      </c>
      <c r="F38704" s="0" t="s">
        <v>2555</v>
      </c>
    </row>
    <row r="38705" customFormat="false" ht="12.8" hidden="false" customHeight="false" outlineLevel="0" collapsed="false">
      <c r="B38705" s="0" t="s">
        <v>865</v>
      </c>
      <c r="C38705" s="0" t="s">
        <v>2571</v>
      </c>
      <c r="E38705" s="0" t="s">
        <v>2572</v>
      </c>
      <c r="F38705" s="0" t="s">
        <v>2573</v>
      </c>
    </row>
    <row r="38706" customFormat="false" ht="12.8" hidden="false" customHeight="false" outlineLevel="0" collapsed="false">
      <c r="B38706" s="0" t="s">
        <v>2069</v>
      </c>
    </row>
    <row r="38707" customFormat="false" ht="12.8" hidden="false" customHeight="false" outlineLevel="0" collapsed="false">
      <c r="B38707" s="0" t="s">
        <v>132</v>
      </c>
      <c r="C38707" s="0" t="s">
        <v>2559</v>
      </c>
      <c r="E38707" s="0" t="s">
        <v>2560</v>
      </c>
      <c r="F38707" s="0" t="s">
        <v>2561</v>
      </c>
    </row>
    <row r="38709" customFormat="false" ht="12.8" hidden="false" customHeight="false" outlineLevel="0" collapsed="false">
      <c r="A38709" s="0" t="s">
        <v>14364</v>
      </c>
      <c r="B38709" s="0" t="str">
        <f aca="false">HYPERLINK("https://lindat.mff.cuni.cz/services/teitok/pdtc10/index.php?action=vallex&amp;frame=v-w11372f1", "připlést se (v-w11372f1)")</f>
        <v>připlést se (v-w11372f1)</v>
      </c>
      <c r="E38709" s="0" t="str">
        <f aca="false">HYPERLINK("https://lindat.mff.cuni.cz/services/SynSemClass40/SynSemClass40.html?veclass=vec00775#vec00775-ces-cm00057", "vec00775")</f>
        <v>vec00775</v>
      </c>
      <c r="F38709" s="0" t="s">
        <v>6457</v>
      </c>
    </row>
    <row r="38710" customFormat="false" ht="12.8" hidden="false" customHeight="false" outlineLevel="0" collapsed="false">
      <c r="B38710" s="0" t="s">
        <v>1</v>
      </c>
      <c r="C38710" s="0" t="s">
        <v>6619</v>
      </c>
      <c r="E38710" s="0" t="s">
        <v>3010</v>
      </c>
      <c r="F38710" s="0" t="s">
        <v>6459</v>
      </c>
    </row>
    <row r="38711" customFormat="false" ht="12.8" hidden="false" customHeight="false" outlineLevel="0" collapsed="false">
      <c r="B38711" s="0" t="s">
        <v>361</v>
      </c>
      <c r="C38711" s="0" t="s">
        <v>14365</v>
      </c>
      <c r="E38711" s="0" t="s">
        <v>14366</v>
      </c>
      <c r="F38711" s="0" t="s">
        <v>14367</v>
      </c>
    </row>
    <row r="38713" customFormat="false" ht="12.8" hidden="false" customHeight="false" outlineLevel="0" collapsed="false">
      <c r="A38713" s="0" t="s">
        <v>14368</v>
      </c>
      <c r="B38713" s="0" t="str">
        <f aca="false">HYPERLINK("https://lindat.mff.cuni.cz/services/teitok/pdtc10/index.php?action=vallex&amp;frame=v-w11699_ZUf1_ZU", "připlížit se (v-w11699_ZUf1_ZU)")</f>
        <v>připlížit se (v-w11699_ZUf1_ZU)</v>
      </c>
    </row>
    <row r="38714" customFormat="false" ht="12.8" hidden="false" customHeight="false" outlineLevel="0" collapsed="false">
      <c r="B38714" s="0" t="s">
        <v>1</v>
      </c>
    </row>
    <row r="38715" customFormat="false" ht="12.8" hidden="false" customHeight="false" outlineLevel="0" collapsed="false">
      <c r="B38715" s="0" t="s">
        <v>454</v>
      </c>
    </row>
    <row r="38717" customFormat="false" ht="12.8" hidden="false" customHeight="false" outlineLevel="0" collapsed="false">
      <c r="A38717" s="0" t="s">
        <v>14369</v>
      </c>
      <c r="B38717" s="0" t="str">
        <f aca="false">HYPERLINK("https://lindat.mff.cuni.cz/services/teitok/pdtc10/index.php?action=vallex&amp;frame=v-w12305_MMf1_MM", "připnout (v-w12305_MMf1_MM)")</f>
        <v>připnout (v-w12305_MMf1_MM)</v>
      </c>
    </row>
    <row r="38718" customFormat="false" ht="12.8" hidden="false" customHeight="false" outlineLevel="0" collapsed="false">
      <c r="B38718" s="0" t="s">
        <v>1</v>
      </c>
    </row>
    <row r="38719" customFormat="false" ht="12.8" hidden="false" customHeight="false" outlineLevel="0" collapsed="false">
      <c r="B38719" s="0" t="s">
        <v>8</v>
      </c>
    </row>
    <row r="38721" customFormat="false" ht="12.8" hidden="false" customHeight="false" outlineLevel="0" collapsed="false">
      <c r="A38721" s="0" t="s">
        <v>14370</v>
      </c>
      <c r="B38721" s="0" t="str">
        <f aca="false">HYPERLINK("https://lindat.mff.cuni.cz/services/teitok/pdtc10/index.php?action=vallex&amp;frame=v-whsa_348hsa_349", "připodobňovat (v-whsa_348hsa_349)")</f>
        <v>připodobňovat (v-whsa_348hsa_349)</v>
      </c>
      <c r="E38721" s="0" t="str">
        <f aca="false">HYPERLINK("https://lindat.mff.cuni.cz/services/SynSemClass40/SynSemClass40.html?veclass=vec00101#vec00101-ces-cm00010", "vec00101")</f>
        <v>vec00101</v>
      </c>
      <c r="F38721" s="0" t="s">
        <v>14371</v>
      </c>
    </row>
    <row r="38722" customFormat="false" ht="12.8" hidden="false" customHeight="false" outlineLevel="0" collapsed="false">
      <c r="B38722" s="0" t="s">
        <v>1</v>
      </c>
      <c r="C38722" s="0" t="s">
        <v>14372</v>
      </c>
      <c r="E38722" s="0" t="s">
        <v>5529</v>
      </c>
      <c r="F38722" s="0" t="s">
        <v>14373</v>
      </c>
    </row>
    <row r="38723" customFormat="false" ht="12.8" hidden="false" customHeight="false" outlineLevel="0" collapsed="false">
      <c r="B38723" s="0" t="s">
        <v>311</v>
      </c>
      <c r="C38723" s="0" t="s">
        <v>14374</v>
      </c>
      <c r="E38723" s="0" t="s">
        <v>2225</v>
      </c>
      <c r="F38723" s="0" t="s">
        <v>14375</v>
      </c>
    </row>
    <row r="38724" customFormat="false" ht="12.8" hidden="false" customHeight="false" outlineLevel="0" collapsed="false">
      <c r="B38724" s="0" t="s">
        <v>98</v>
      </c>
      <c r="C38724" s="0" t="s">
        <v>14376</v>
      </c>
      <c r="E38724" s="0" t="s">
        <v>14377</v>
      </c>
      <c r="F38724" s="0" t="s">
        <v>14378</v>
      </c>
    </row>
    <row r="38726" customFormat="false" ht="12.8" hidden="false" customHeight="false" outlineLevel="0" collapsed="false">
      <c r="A38726" s="0" t="s">
        <v>14379</v>
      </c>
      <c r="B38726" s="0" t="str">
        <f aca="false">HYPERLINK("https://lindat.mff.cuni.cz/services/teitok/pdtc10/index.php?action=vallex&amp;frame=v-w5219f1", "připojistit (v-w5219f1)")</f>
        <v>připojistit (v-w5219f1)</v>
      </c>
    </row>
    <row r="38727" customFormat="false" ht="12.8" hidden="false" customHeight="false" outlineLevel="0" collapsed="false">
      <c r="B38727" s="0" t="s">
        <v>1</v>
      </c>
    </row>
    <row r="38728" customFormat="false" ht="12.8" hidden="false" customHeight="false" outlineLevel="0" collapsed="false">
      <c r="B38728" s="0" t="s">
        <v>8</v>
      </c>
    </row>
    <row r="38730" customFormat="false" ht="12.8" hidden="false" customHeight="false" outlineLevel="0" collapsed="false">
      <c r="A38730" s="0" t="s">
        <v>14380</v>
      </c>
      <c r="B38730" s="0" t="str">
        <f aca="false">HYPERLINK("https://lindat.mff.cuni.cz/services/teitok/pdtc10/index.php?action=vallex&amp;frame=v-w5221f3", "připojit (v-w5221f3)")</f>
        <v>připojit (v-w5221f3)</v>
      </c>
      <c r="E38730" s="0" t="str">
        <f aca="false">HYPERLINK("https://lindat.mff.cuni.cz/services/SynSemClass40/SynSemClass40.html?veclass=vec00519#vec00519-ces-cm00006", "vec00519")</f>
        <v>vec00519</v>
      </c>
      <c r="F38730" s="0" t="s">
        <v>12231</v>
      </c>
      <c r="H38730" s="0" t="str">
        <f aca="false">HYPERLINK("https://lindat.mff.cuni.cz/services/SynSemClass40/SynSemClass40.html?veclass=vec01536#vec01536-ces-cm00018", "vec01536")</f>
        <v>vec01536</v>
      </c>
      <c r="I38730" s="0" t="s">
        <v>14025</v>
      </c>
    </row>
    <row r="38731" customFormat="false" ht="12.8" hidden="false" customHeight="false" outlineLevel="0" collapsed="false">
      <c r="B38731" s="0" t="s">
        <v>1</v>
      </c>
      <c r="C38731" s="0" t="s">
        <v>14381</v>
      </c>
      <c r="E38731" s="0" t="s">
        <v>4850</v>
      </c>
      <c r="F38731" s="0" t="s">
        <v>12232</v>
      </c>
      <c r="H38731" s="0" t="s">
        <v>31</v>
      </c>
      <c r="I38731" s="0" t="s">
        <v>14027</v>
      </c>
    </row>
    <row r="38732" customFormat="false" ht="12.8" hidden="false" customHeight="false" outlineLevel="0" collapsed="false">
      <c r="B38732" s="0" t="s">
        <v>8</v>
      </c>
      <c r="C38732" s="0" t="s">
        <v>14382</v>
      </c>
      <c r="E38732" s="0" t="s">
        <v>4852</v>
      </c>
      <c r="F38732" s="0" t="s">
        <v>12234</v>
      </c>
      <c r="H38732" s="0" t="s">
        <v>110</v>
      </c>
      <c r="I38732" s="0" t="s">
        <v>14029</v>
      </c>
    </row>
    <row r="38733" customFormat="false" ht="12.8" hidden="false" customHeight="false" outlineLevel="0" collapsed="false">
      <c r="B38733" s="0" t="s">
        <v>164</v>
      </c>
      <c r="C38733" s="0" t="s">
        <v>14383</v>
      </c>
      <c r="E38733" s="0" t="s">
        <v>14384</v>
      </c>
      <c r="F38733" s="0" t="s">
        <v>14385</v>
      </c>
      <c r="H38733" s="0" t="s">
        <v>14031</v>
      </c>
      <c r="I38733" s="0" t="s">
        <v>14032</v>
      </c>
    </row>
    <row r="38735" customFormat="false" ht="12.8" hidden="false" customHeight="false" outlineLevel="0" collapsed="false">
      <c r="A38735" s="0" t="s">
        <v>14380</v>
      </c>
      <c r="B38735" s="0" t="str">
        <f aca="false">HYPERLINK("https://lindat.mff.cuni.cz/services/teitok/pdtc10/index.php?action=vallex&amp;frame=v-w5221f1", "připojit (v-w5221f1) - substituted with v-w5221f3")</f>
        <v>připojit (v-w5221f1) - substituted with v-w5221f3</v>
      </c>
    </row>
    <row r="38736" customFormat="false" ht="12.8" hidden="false" customHeight="false" outlineLevel="0" collapsed="false">
      <c r="B38736" s="0" t="s">
        <v>1</v>
      </c>
    </row>
    <row r="38737" customFormat="false" ht="12.8" hidden="false" customHeight="false" outlineLevel="0" collapsed="false">
      <c r="B38737" s="0" t="s">
        <v>8</v>
      </c>
    </row>
    <row r="38738" customFormat="false" ht="12.8" hidden="false" customHeight="false" outlineLevel="0" collapsed="false">
      <c r="B38738" s="0" t="s">
        <v>164</v>
      </c>
    </row>
    <row r="38740" customFormat="false" ht="12.8" hidden="false" customHeight="false" outlineLevel="0" collapsed="false">
      <c r="A38740" s="0" t="s">
        <v>14386</v>
      </c>
      <c r="B38740" s="0" t="str">
        <f aca="false">HYPERLINK("https://lindat.mff.cuni.cz/services/teitok/pdtc10/index.php?action=vallex&amp;frame=v-w5221f2", "připojit (v-w5221f2)")</f>
        <v>připojit (v-w5221f2)</v>
      </c>
    </row>
    <row r="38741" customFormat="false" ht="12.8" hidden="false" customHeight="false" outlineLevel="0" collapsed="false">
      <c r="B38741" s="0" t="s">
        <v>1</v>
      </c>
    </row>
    <row r="38742" customFormat="false" ht="12.8" hidden="false" customHeight="false" outlineLevel="0" collapsed="false">
      <c r="B38742" s="0" t="s">
        <v>6412</v>
      </c>
    </row>
    <row r="38743" customFormat="false" ht="12.8" hidden="false" customHeight="false" outlineLevel="0" collapsed="false">
      <c r="B38743" s="0" t="s">
        <v>10831</v>
      </c>
    </row>
    <row r="38745" customFormat="false" ht="12.8" hidden="false" customHeight="false" outlineLevel="0" collapsed="false">
      <c r="A38745" s="0" t="s">
        <v>14387</v>
      </c>
      <c r="B38745" s="0" t="str">
        <f aca="false">HYPERLINK("https://lindat.mff.cuni.cz/services/teitok/pdtc10/index.php?action=vallex&amp;frame=v-w5221f4_ZU", "připojit (v-w5221f4_ZU)")</f>
        <v>připojit (v-w5221f4_ZU)</v>
      </c>
      <c r="E38745" s="0" t="str">
        <f aca="false">HYPERLINK("https://lindat.mff.cuni.cz/services/SynSemClass40/SynSemClass40.html?veclass=vec00519#vec00519-ces-cm00007", "vec00519")</f>
        <v>vec00519</v>
      </c>
      <c r="F38745" s="0" t="s">
        <v>12231</v>
      </c>
      <c r="H38745" s="0" t="str">
        <f aca="false">HYPERLINK("https://lindat.mff.cuni.cz/services/SynSemClass40/SynSemClass40.html?veclass=vec01480#vec01480-ces-cm00005", "vec01480")</f>
        <v>vec01480</v>
      </c>
      <c r="I38745" s="0" t="s">
        <v>7517</v>
      </c>
    </row>
    <row r="38746" customFormat="false" ht="12.8" hidden="false" customHeight="false" outlineLevel="0" collapsed="false">
      <c r="B38746" s="0" t="s">
        <v>1</v>
      </c>
      <c r="C38746" s="0" t="s">
        <v>14388</v>
      </c>
      <c r="E38746" s="0" t="s">
        <v>4850</v>
      </c>
      <c r="F38746" s="0" t="s">
        <v>12232</v>
      </c>
      <c r="H38746" s="0" t="s">
        <v>31</v>
      </c>
      <c r="I38746" s="0" t="s">
        <v>7519</v>
      </c>
    </row>
    <row r="38747" customFormat="false" ht="12.8" hidden="false" customHeight="false" outlineLevel="0" collapsed="false">
      <c r="B38747" s="0" t="s">
        <v>8</v>
      </c>
      <c r="C38747" s="0" t="s">
        <v>14389</v>
      </c>
      <c r="E38747" s="0" t="s">
        <v>4852</v>
      </c>
      <c r="F38747" s="0" t="s">
        <v>12234</v>
      </c>
      <c r="H38747" s="0" t="s">
        <v>7520</v>
      </c>
      <c r="I38747" s="0" t="s">
        <v>7521</v>
      </c>
    </row>
    <row r="38748" customFormat="false" ht="12.8" hidden="false" customHeight="false" outlineLevel="0" collapsed="false">
      <c r="B38748" s="0" t="s">
        <v>164</v>
      </c>
      <c r="C38748" s="0" t="s">
        <v>14390</v>
      </c>
      <c r="E38748" s="0" t="s">
        <v>14384</v>
      </c>
      <c r="F38748" s="0" t="s">
        <v>14385</v>
      </c>
      <c r="H38748" s="0" t="s">
        <v>7523</v>
      </c>
      <c r="I38748" s="0" t="s">
        <v>7524</v>
      </c>
    </row>
    <row r="38750" customFormat="false" ht="12.8" hidden="false" customHeight="false" outlineLevel="0" collapsed="false">
      <c r="A38750" s="0" t="s">
        <v>14387</v>
      </c>
      <c r="B38750" s="0" t="str">
        <f aca="false">HYPERLINK("https://lindat.mff.cuni.cz/services/teitok/pdtc10/index.php?action=vallex&amp;frame=v-w5221hsa_256", "připojit (v-w5221hsa_256) - substituted with v-w5221f4_ZU")</f>
        <v>připojit (v-w5221hsa_256) - substituted with v-w5221f4_ZU</v>
      </c>
    </row>
    <row r="38751" customFormat="false" ht="12.8" hidden="false" customHeight="false" outlineLevel="0" collapsed="false">
      <c r="B38751" s="0" t="s">
        <v>1</v>
      </c>
    </row>
    <row r="38752" customFormat="false" ht="12.8" hidden="false" customHeight="false" outlineLevel="0" collapsed="false">
      <c r="B38752" s="0" t="s">
        <v>8</v>
      </c>
    </row>
    <row r="38753" customFormat="false" ht="12.8" hidden="false" customHeight="false" outlineLevel="0" collapsed="false">
      <c r="B38753" s="0" t="s">
        <v>164</v>
      </c>
    </row>
    <row r="38755" customFormat="false" ht="12.8" hidden="false" customHeight="false" outlineLevel="0" collapsed="false">
      <c r="A38755" s="0" t="s">
        <v>14391</v>
      </c>
      <c r="B38755" s="0" t="str">
        <f aca="false">HYPERLINK("https://lindat.mff.cuni.cz/services/teitok/pdtc10/index.php?action=vallex&amp;frame=v-w5222f2", "připojit se (v-w5222f2)")</f>
        <v>připojit se (v-w5222f2)</v>
      </c>
      <c r="E38755" s="0" t="str">
        <f aca="false">HYPERLINK("https://lindat.mff.cuni.cz/services/SynSemClass40/SynSemClass40.html?veclass=vec01296#vec01296-ces-cm00004", "vec01296")</f>
        <v>vec01296</v>
      </c>
      <c r="F38755" s="0" t="s">
        <v>3625</v>
      </c>
    </row>
    <row r="38756" customFormat="false" ht="12.8" hidden="false" customHeight="false" outlineLevel="0" collapsed="false">
      <c r="B38756" s="0" t="s">
        <v>1</v>
      </c>
      <c r="C38756" s="0" t="s">
        <v>14392</v>
      </c>
      <c r="E38756" s="0" t="s">
        <v>2241</v>
      </c>
      <c r="F38756" s="0" t="s">
        <v>3627</v>
      </c>
    </row>
    <row r="38757" customFormat="false" ht="12.8" hidden="false" customHeight="false" outlineLevel="0" collapsed="false">
      <c r="B38757" s="0" t="s">
        <v>311</v>
      </c>
      <c r="C38757" s="0" t="s">
        <v>14393</v>
      </c>
      <c r="E38757" s="0" t="s">
        <v>2665</v>
      </c>
      <c r="F38757" s="0" t="s">
        <v>3629</v>
      </c>
    </row>
    <row r="38759" customFormat="false" ht="12.8" hidden="false" customHeight="false" outlineLevel="0" collapsed="false">
      <c r="A38759" s="0" t="s">
        <v>14394</v>
      </c>
      <c r="B38759" s="0" t="str">
        <f aca="false">HYPERLINK("https://lindat.mff.cuni.cz/services/teitok/pdtc10/index.php?action=vallex&amp;frame=v-w5222f1", "připojit se (v-w5222f1)")</f>
        <v>připojit se (v-w5222f1)</v>
      </c>
      <c r="E38759" s="0" t="str">
        <f aca="false">HYPERLINK("https://lindat.mff.cuni.cz/services/SynSemClass40/SynSemClass40.html?veclass=vec00239#vec00239-ces-cm00037", "vec00239")</f>
        <v>vec00239</v>
      </c>
      <c r="F38759" s="0" t="s">
        <v>4352</v>
      </c>
    </row>
    <row r="38760" customFormat="false" ht="12.8" hidden="false" customHeight="false" outlineLevel="0" collapsed="false">
      <c r="B38760" s="0" t="s">
        <v>1</v>
      </c>
      <c r="C38760" s="0" t="s">
        <v>4353</v>
      </c>
      <c r="E38760" s="0" t="s">
        <v>4354</v>
      </c>
      <c r="F38760" s="0" t="s">
        <v>4355</v>
      </c>
    </row>
    <row r="38761" customFormat="false" ht="12.8" hidden="false" customHeight="false" outlineLevel="0" collapsed="false">
      <c r="B38761" s="0" t="s">
        <v>164</v>
      </c>
      <c r="C38761" s="0" t="s">
        <v>7792</v>
      </c>
      <c r="E38761" s="0" t="s">
        <v>7793</v>
      </c>
      <c r="F38761" s="0" t="s">
        <v>7794</v>
      </c>
    </row>
    <row r="38763" customFormat="false" ht="12.8" hidden="false" customHeight="false" outlineLevel="0" collapsed="false">
      <c r="A38763" s="0" t="s">
        <v>14395</v>
      </c>
      <c r="B38763" s="0" t="str">
        <f aca="false">HYPERLINK("https://lindat.mff.cuni.cz/services/teitok/pdtc10/index.php?action=vallex&amp;frame=v-w5222hsa_708", "připojit se (v-w5222hsa_708)")</f>
        <v>připojit se (v-w5222hsa_708)</v>
      </c>
    </row>
    <row r="38764" customFormat="false" ht="12.8" hidden="false" customHeight="false" outlineLevel="0" collapsed="false">
      <c r="B38764" s="0" t="s">
        <v>1</v>
      </c>
    </row>
    <row r="38765" customFormat="false" ht="12.8" hidden="false" customHeight="false" outlineLevel="0" collapsed="false">
      <c r="B38765" s="0" t="s">
        <v>164</v>
      </c>
    </row>
    <row r="38767" customFormat="false" ht="12.8" hidden="false" customHeight="false" outlineLevel="0" collapsed="false">
      <c r="A38767" s="0" t="s">
        <v>14396</v>
      </c>
      <c r="B38767" s="0" t="str">
        <f aca="false">HYPERLINK("https://lindat.mff.cuni.cz/services/teitok/pdtc10/index.php?action=vallex&amp;frame=v-w5223f2", "připojovat (v-w5223f2)")</f>
        <v>připojovat (v-w5223f2)</v>
      </c>
      <c r="E38767" s="0" t="str">
        <f aca="false">HYPERLINK("https://lindat.mff.cuni.cz/services/SynSemClass40/SynSemClass40.html?veclass=vec00175#vec00175-ces-cm00035", "vec00175")</f>
        <v>vec00175</v>
      </c>
      <c r="F38767" s="0" t="s">
        <v>4861</v>
      </c>
      <c r="H38767" s="0" t="str">
        <f aca="false">HYPERLINK("https://lindat.mff.cuni.cz/services/SynSemClass40/SynSemClass40.html?veclass=vec01536#vec01536-ces-cm00023", "vec01536")</f>
        <v>vec01536</v>
      </c>
      <c r="I38767" s="0" t="s">
        <v>14025</v>
      </c>
    </row>
    <row r="38768" customFormat="false" ht="12.8" hidden="false" customHeight="false" outlineLevel="0" collapsed="false">
      <c r="B38768" s="0" t="s">
        <v>1</v>
      </c>
      <c r="C38768" s="0" t="s">
        <v>14026</v>
      </c>
      <c r="E38768" s="0" t="s">
        <v>31</v>
      </c>
      <c r="F38768" s="0" t="s">
        <v>13929</v>
      </c>
      <c r="H38768" s="0" t="s">
        <v>31</v>
      </c>
      <c r="I38768" s="0" t="s">
        <v>14027</v>
      </c>
    </row>
    <row r="38769" customFormat="false" ht="12.8" hidden="false" customHeight="false" outlineLevel="0" collapsed="false">
      <c r="B38769" s="0" t="s">
        <v>8</v>
      </c>
      <c r="C38769" s="0" t="s">
        <v>14028</v>
      </c>
      <c r="E38769" s="0" t="s">
        <v>13931</v>
      </c>
      <c r="F38769" s="0" t="s">
        <v>13932</v>
      </c>
      <c r="H38769" s="0" t="s">
        <v>110</v>
      </c>
      <c r="I38769" s="0" t="s">
        <v>14029</v>
      </c>
    </row>
    <row r="38770" customFormat="false" ht="12.8" hidden="false" customHeight="false" outlineLevel="0" collapsed="false">
      <c r="B38770" s="0" t="s">
        <v>164</v>
      </c>
      <c r="C38770" s="0" t="s">
        <v>14030</v>
      </c>
      <c r="E38770" s="0" t="s">
        <v>4866</v>
      </c>
      <c r="F38770" s="0" t="s">
        <v>4867</v>
      </c>
      <c r="H38770" s="0" t="s">
        <v>14031</v>
      </c>
      <c r="I38770" s="0" t="s">
        <v>14032</v>
      </c>
    </row>
    <row r="38772" customFormat="false" ht="12.8" hidden="false" customHeight="false" outlineLevel="0" collapsed="false">
      <c r="A38772" s="0" t="s">
        <v>14397</v>
      </c>
      <c r="B38772" s="0" t="str">
        <f aca="false">HYPERLINK("https://lindat.mff.cuni.cz/services/teitok/pdtc10/index.php?action=vallex&amp;frame=v-w5223f1", "připojovat (v-w5223f1)")</f>
        <v>připojovat (v-w5223f1)</v>
      </c>
      <c r="E38772" s="0" t="str">
        <f aca="false">HYPERLINK("https://lindat.mff.cuni.cz/services/SynSemClass40/SynSemClass40.html?veclass=vec00519#vec00519-ces-cm00032", "vec00519")</f>
        <v>vec00519</v>
      </c>
      <c r="F38772" s="0" t="s">
        <v>12231</v>
      </c>
      <c r="H38772" s="0" t="str">
        <f aca="false">HYPERLINK("https://lindat.mff.cuni.cz/services/SynSemClass40/SynSemClass40.html?veclass=vec01480#vec01480-ces-cm00006", "vec01480")</f>
        <v>vec01480</v>
      </c>
      <c r="I38772" s="0" t="s">
        <v>7517</v>
      </c>
    </row>
    <row r="38773" customFormat="false" ht="12.8" hidden="false" customHeight="false" outlineLevel="0" collapsed="false">
      <c r="B38773" s="0" t="s">
        <v>1</v>
      </c>
      <c r="C38773" s="0" t="s">
        <v>14388</v>
      </c>
      <c r="E38773" s="0" t="s">
        <v>4850</v>
      </c>
      <c r="F38773" s="0" t="s">
        <v>12232</v>
      </c>
      <c r="H38773" s="0" t="s">
        <v>31</v>
      </c>
      <c r="I38773" s="0" t="s">
        <v>7519</v>
      </c>
    </row>
    <row r="38774" customFormat="false" ht="12.8" hidden="false" customHeight="false" outlineLevel="0" collapsed="false">
      <c r="B38774" s="0" t="s">
        <v>8</v>
      </c>
      <c r="C38774" s="0" t="s">
        <v>14389</v>
      </c>
      <c r="E38774" s="0" t="s">
        <v>4852</v>
      </c>
      <c r="F38774" s="0" t="s">
        <v>12234</v>
      </c>
      <c r="H38774" s="0" t="s">
        <v>7520</v>
      </c>
      <c r="I38774" s="0" t="s">
        <v>7521</v>
      </c>
    </row>
    <row r="38775" customFormat="false" ht="12.8" hidden="false" customHeight="false" outlineLevel="0" collapsed="false">
      <c r="B38775" s="0" t="s">
        <v>164</v>
      </c>
      <c r="C38775" s="0" t="s">
        <v>14390</v>
      </c>
      <c r="E38775" s="0" t="s">
        <v>14384</v>
      </c>
      <c r="F38775" s="0" t="s">
        <v>14385</v>
      </c>
      <c r="H38775" s="0" t="s">
        <v>7523</v>
      </c>
      <c r="I38775" s="0" t="s">
        <v>7524</v>
      </c>
    </row>
    <row r="38777" customFormat="false" ht="12.8" hidden="false" customHeight="false" outlineLevel="0" collapsed="false">
      <c r="A38777" s="0" t="s">
        <v>14398</v>
      </c>
      <c r="B38777" s="0" t="str">
        <f aca="false">HYPERLINK("https://lindat.mff.cuni.cz/services/teitok/pdtc10/index.php?action=vallex&amp;frame=v-w5223f3", "připojovat (v-w5223f3)")</f>
        <v>připojovat (v-w5223f3)</v>
      </c>
    </row>
    <row r="38778" customFormat="false" ht="12.8" hidden="false" customHeight="false" outlineLevel="0" collapsed="false">
      <c r="B38778" s="0" t="s">
        <v>1</v>
      </c>
    </row>
    <row r="38779" customFormat="false" ht="12.8" hidden="false" customHeight="false" outlineLevel="0" collapsed="false">
      <c r="B38779" s="0" t="s">
        <v>6412</v>
      </c>
    </row>
    <row r="38780" customFormat="false" ht="12.8" hidden="false" customHeight="false" outlineLevel="0" collapsed="false">
      <c r="B38780" s="0" t="s">
        <v>10831</v>
      </c>
    </row>
    <row r="38782" customFormat="false" ht="12.8" hidden="false" customHeight="false" outlineLevel="0" collapsed="false">
      <c r="A38782" s="0" t="s">
        <v>14399</v>
      </c>
      <c r="B38782" s="0" t="str">
        <f aca="false">HYPERLINK("https://lindat.mff.cuni.cz/services/teitok/pdtc10/index.php?action=vallex&amp;frame=v-w5224f1", "připojovat se (v-w5224f1)")</f>
        <v>připojovat se (v-w5224f1)</v>
      </c>
      <c r="E38782" s="0" t="str">
        <f aca="false">HYPERLINK("https://lindat.mff.cuni.cz/services/SynSemClass40/SynSemClass40.html?veclass=vec00239#vec00239-ces-cm00039", "vec00239")</f>
        <v>vec00239</v>
      </c>
      <c r="F38782" s="0" t="s">
        <v>4352</v>
      </c>
    </row>
    <row r="38783" customFormat="false" ht="12.8" hidden="false" customHeight="false" outlineLevel="0" collapsed="false">
      <c r="B38783" s="0" t="s">
        <v>1</v>
      </c>
      <c r="C38783" s="0" t="s">
        <v>4353</v>
      </c>
      <c r="E38783" s="0" t="s">
        <v>4354</v>
      </c>
      <c r="F38783" s="0" t="s">
        <v>4355</v>
      </c>
    </row>
    <row r="38784" customFormat="false" ht="12.8" hidden="false" customHeight="false" outlineLevel="0" collapsed="false">
      <c r="B38784" s="0" t="s">
        <v>311</v>
      </c>
      <c r="C38784" s="0" t="s">
        <v>2372</v>
      </c>
      <c r="E38784" s="0" t="s">
        <v>7787</v>
      </c>
      <c r="F38784" s="0" t="s">
        <v>7788</v>
      </c>
    </row>
    <row r="38786" customFormat="false" ht="12.8" hidden="false" customHeight="false" outlineLevel="0" collapsed="false">
      <c r="A38786" s="0" t="s">
        <v>14400</v>
      </c>
      <c r="B38786" s="0" t="str">
        <f aca="false">HYPERLINK("https://lindat.mff.cuni.cz/services/teitok/pdtc10/index.php?action=vallex&amp;frame=v-w5225f2", "připomenout (v-w5225f2)")</f>
        <v>připomenout (v-w5225f2)</v>
      </c>
      <c r="E38786" s="0" t="str">
        <f aca="false">HYPERLINK("https://lindat.mff.cuni.cz/services/SynSemClass40/SynSemClass40.html?veclass=vec01297#vec01297-ces-cm00002", "vec01297")</f>
        <v>vec01297</v>
      </c>
      <c r="F38786" s="0" t="s">
        <v>14401</v>
      </c>
    </row>
    <row r="38787" customFormat="false" ht="12.8" hidden="false" customHeight="false" outlineLevel="0" collapsed="false">
      <c r="B38787" s="0" t="s">
        <v>1</v>
      </c>
      <c r="C38787" s="0" t="s">
        <v>4471</v>
      </c>
      <c r="E38787" s="0" t="s">
        <v>147</v>
      </c>
      <c r="F38787" s="0" t="s">
        <v>4531</v>
      </c>
    </row>
    <row r="38788" customFormat="false" ht="12.8" hidden="false" customHeight="false" outlineLevel="0" collapsed="false">
      <c r="B38788" s="0" t="s">
        <v>14402</v>
      </c>
      <c r="C38788" s="0" t="s">
        <v>109</v>
      </c>
      <c r="E38788" s="0" t="s">
        <v>218</v>
      </c>
      <c r="F38788" s="0" t="s">
        <v>14403</v>
      </c>
    </row>
    <row r="38789" customFormat="false" ht="12.8" hidden="false" customHeight="false" outlineLevel="0" collapsed="false">
      <c r="B38789" s="0" t="s">
        <v>52</v>
      </c>
      <c r="C38789" s="0" t="s">
        <v>14404</v>
      </c>
      <c r="E38789" s="0" t="s">
        <v>221</v>
      </c>
      <c r="F38789" s="0" t="s">
        <v>14405</v>
      </c>
    </row>
    <row r="38791" customFormat="false" ht="12.8" hidden="false" customHeight="false" outlineLevel="0" collapsed="false">
      <c r="A38791" s="0" t="s">
        <v>14406</v>
      </c>
      <c r="B38791" s="0" t="str">
        <f aca="false">HYPERLINK("https://lindat.mff.cuni.cz/services/teitok/pdtc10/index.php?action=vallex&amp;frame=v-w5225f1", "připomenout (v-w5225f1)")</f>
        <v>připomenout (v-w5225f1)</v>
      </c>
      <c r="E38791" s="0" t="str">
        <f aca="false">HYPERLINK("https://lindat.mff.cuni.cz/services/SynSemClass40/SynSemClass40.html?veclass=vec00099#vec00099-ces-cm00020", "vec00099")</f>
        <v>vec00099</v>
      </c>
      <c r="F38791" s="0" t="s">
        <v>14407</v>
      </c>
    </row>
    <row r="38792" customFormat="false" ht="12.8" hidden="false" customHeight="false" outlineLevel="0" collapsed="false">
      <c r="B38792" s="0" t="s">
        <v>1</v>
      </c>
      <c r="C38792" s="0" t="s">
        <v>14408</v>
      </c>
      <c r="E38792" s="0" t="s">
        <v>1103</v>
      </c>
      <c r="F38792" s="0" t="s">
        <v>14409</v>
      </c>
    </row>
    <row r="38793" customFormat="false" ht="12.8" hidden="false" customHeight="false" outlineLevel="0" collapsed="false">
      <c r="B38793" s="0" t="s">
        <v>1838</v>
      </c>
      <c r="C38793" s="0" t="s">
        <v>14410</v>
      </c>
      <c r="E38793" s="0" t="s">
        <v>180</v>
      </c>
      <c r="F38793" s="0" t="s">
        <v>14411</v>
      </c>
    </row>
    <row r="38794" customFormat="false" ht="12.8" hidden="false" customHeight="false" outlineLevel="0" collapsed="false">
      <c r="B38794" s="0" t="s">
        <v>132</v>
      </c>
      <c r="C38794" s="0" t="s">
        <v>14412</v>
      </c>
      <c r="E38794" s="0" t="s">
        <v>2376</v>
      </c>
      <c r="F38794" s="0" t="s">
        <v>14413</v>
      </c>
    </row>
    <row r="38796" customFormat="false" ht="12.8" hidden="false" customHeight="false" outlineLevel="0" collapsed="false">
      <c r="A38796" s="0" t="s">
        <v>14414</v>
      </c>
      <c r="B38796" s="0" t="str">
        <f aca="false">HYPERLINK("https://lindat.mff.cuni.cz/services/teitok/pdtc10/index.php?action=vallex&amp;frame=v-w5228f2", "připomínat (v-w5228f2)")</f>
        <v>připomínat (v-w5228f2)</v>
      </c>
      <c r="E38796" s="0" t="str">
        <f aca="false">HYPERLINK("https://lindat.mff.cuni.cz/services/SynSemClass40/SynSemClass40.html?veclass=vec01297#vec01297-ces-cm00003", "vec01297")</f>
        <v>vec01297</v>
      </c>
      <c r="F38796" s="0" t="s">
        <v>14401</v>
      </c>
    </row>
    <row r="38797" customFormat="false" ht="12.8" hidden="false" customHeight="false" outlineLevel="0" collapsed="false">
      <c r="B38797" s="0" t="s">
        <v>1</v>
      </c>
      <c r="C38797" s="0" t="s">
        <v>4471</v>
      </c>
      <c r="E38797" s="0" t="s">
        <v>147</v>
      </c>
      <c r="F38797" s="0" t="s">
        <v>4531</v>
      </c>
    </row>
    <row r="38798" customFormat="false" ht="12.8" hidden="false" customHeight="false" outlineLevel="0" collapsed="false">
      <c r="B38798" s="0" t="s">
        <v>14402</v>
      </c>
      <c r="C38798" s="0" t="s">
        <v>109</v>
      </c>
      <c r="E38798" s="0" t="s">
        <v>218</v>
      </c>
      <c r="F38798" s="0" t="s">
        <v>14403</v>
      </c>
    </row>
    <row r="38799" customFormat="false" ht="12.8" hidden="false" customHeight="false" outlineLevel="0" collapsed="false">
      <c r="B38799" s="0" t="s">
        <v>52</v>
      </c>
      <c r="C38799" s="0" t="s">
        <v>14404</v>
      </c>
      <c r="E38799" s="0" t="s">
        <v>221</v>
      </c>
      <c r="F38799" s="0" t="s">
        <v>14405</v>
      </c>
    </row>
    <row r="38801" customFormat="false" ht="12.8" hidden="false" customHeight="false" outlineLevel="0" collapsed="false">
      <c r="A38801" s="0" t="s">
        <v>14415</v>
      </c>
      <c r="B38801" s="0" t="str">
        <f aca="false">HYPERLINK("https://lindat.mff.cuni.cz/services/teitok/pdtc10/index.php?action=vallex&amp;frame=v-w5228f1", "připomínat (v-w5228f1)")</f>
        <v>připomínat (v-w5228f1)</v>
      </c>
      <c r="E38801" s="0" t="str">
        <f aca="false">HYPERLINK("https://lindat.mff.cuni.cz/services/SynSemClass40/SynSemClass40.html?veclass=vec00099#vec00099-ces-cm00001", "vec00099")</f>
        <v>vec00099</v>
      </c>
      <c r="F38801" s="0" t="s">
        <v>14407</v>
      </c>
    </row>
    <row r="38802" customFormat="false" ht="12.8" hidden="false" customHeight="false" outlineLevel="0" collapsed="false">
      <c r="B38802" s="0" t="s">
        <v>1</v>
      </c>
      <c r="C38802" s="0" t="s">
        <v>14408</v>
      </c>
      <c r="E38802" s="0" t="s">
        <v>1103</v>
      </c>
      <c r="F38802" s="0" t="s">
        <v>14409</v>
      </c>
    </row>
    <row r="38803" customFormat="false" ht="12.8" hidden="false" customHeight="false" outlineLevel="0" collapsed="false">
      <c r="B38803" s="0" t="s">
        <v>3028</v>
      </c>
      <c r="C38803" s="0" t="s">
        <v>14410</v>
      </c>
      <c r="E38803" s="0" t="s">
        <v>180</v>
      </c>
      <c r="F38803" s="0" t="s">
        <v>14411</v>
      </c>
    </row>
    <row r="38804" customFormat="false" ht="12.8" hidden="false" customHeight="false" outlineLevel="0" collapsed="false">
      <c r="B38804" s="0" t="s">
        <v>132</v>
      </c>
      <c r="C38804" s="0" t="s">
        <v>14412</v>
      </c>
      <c r="E38804" s="0" t="s">
        <v>2376</v>
      </c>
      <c r="F38804" s="0" t="s">
        <v>14413</v>
      </c>
    </row>
    <row r="38806" customFormat="false" ht="12.8" hidden="false" customHeight="false" outlineLevel="0" collapsed="false">
      <c r="A38806" s="0" t="s">
        <v>14416</v>
      </c>
      <c r="B38806" s="0" t="str">
        <f aca="false">HYPERLINK("https://lindat.mff.cuni.cz/services/teitok/pdtc10/index.php?action=vallex&amp;frame=v-w5233f1", "připoutat (v-w5233f1)")</f>
        <v>připoutat (v-w5233f1)</v>
      </c>
      <c r="E38806" s="0" t="str">
        <f aca="false">HYPERLINK("https://lindat.mff.cuni.cz/services/SynSemClass40/SynSemClass40.html?veclass=vec00899#vec00899-ces-cm00006", "vec00899")</f>
        <v>vec00899</v>
      </c>
      <c r="F38806" s="0" t="s">
        <v>7652</v>
      </c>
    </row>
    <row r="38807" customFormat="false" ht="12.8" hidden="false" customHeight="false" outlineLevel="0" collapsed="false">
      <c r="B38807" s="0" t="s">
        <v>1</v>
      </c>
      <c r="C38807" s="0" t="s">
        <v>447</v>
      </c>
      <c r="E38807" s="0" t="s">
        <v>31</v>
      </c>
      <c r="F38807" s="0" t="s">
        <v>7653</v>
      </c>
    </row>
    <row r="38808" customFormat="false" ht="12.8" hidden="false" customHeight="false" outlineLevel="0" collapsed="false">
      <c r="B38808" s="0" t="s">
        <v>8</v>
      </c>
      <c r="C38808" s="0" t="s">
        <v>7654</v>
      </c>
      <c r="E38808" s="0" t="s">
        <v>1569</v>
      </c>
      <c r="F38808" s="0" t="s">
        <v>7655</v>
      </c>
    </row>
    <row r="38810" customFormat="false" ht="12.8" hidden="false" customHeight="false" outlineLevel="0" collapsed="false">
      <c r="A38810" s="0" t="s">
        <v>14417</v>
      </c>
      <c r="B38810" s="0" t="str">
        <f aca="false">HYPERLINK("https://lindat.mff.cuni.cz/services/teitok/pdtc10/index.php?action=vallex&amp;frame=v-w5234f1", "připoutávat (v-w5234f1)")</f>
        <v>připoutávat (v-w5234f1)</v>
      </c>
    </row>
    <row r="38811" customFormat="false" ht="12.8" hidden="false" customHeight="false" outlineLevel="0" collapsed="false">
      <c r="B38811" s="0" t="s">
        <v>1</v>
      </c>
    </row>
    <row r="38812" customFormat="false" ht="12.8" hidden="false" customHeight="false" outlineLevel="0" collapsed="false">
      <c r="B38812" s="0" t="s">
        <v>8</v>
      </c>
    </row>
    <row r="38813" customFormat="false" ht="12.8" hidden="false" customHeight="false" outlineLevel="0" collapsed="false">
      <c r="B38813" s="0" t="s">
        <v>164</v>
      </c>
    </row>
    <row r="38815" customFormat="false" ht="12.8" hidden="false" customHeight="false" outlineLevel="0" collapsed="false">
      <c r="A38815" s="0" t="s">
        <v>14418</v>
      </c>
      <c r="B38815" s="0" t="str">
        <f aca="false">HYPERLINK("https://lindat.mff.cuni.cz/services/teitok/pdtc10/index.php?action=vallex&amp;frame=v-w5234f2", "připoutávat (v-w5234f2)")</f>
        <v>připoutávat (v-w5234f2)</v>
      </c>
    </row>
    <row r="38816" customFormat="false" ht="12.8" hidden="false" customHeight="false" outlineLevel="0" collapsed="false">
      <c r="B38816" s="0" t="s">
        <v>1</v>
      </c>
    </row>
    <row r="38817" customFormat="false" ht="12.8" hidden="false" customHeight="false" outlineLevel="0" collapsed="false">
      <c r="B38817" s="0" t="s">
        <v>8</v>
      </c>
    </row>
    <row r="38819" customFormat="false" ht="12.8" hidden="false" customHeight="false" outlineLevel="0" collapsed="false">
      <c r="A38819" s="0" t="s">
        <v>14419</v>
      </c>
      <c r="B38819" s="0" t="str">
        <f aca="false">HYPERLINK("https://lindat.mff.cuni.cz/services/teitok/pdtc10/index.php?action=vallex&amp;frame=v-w5230f3", "připouštět (v-w5230f3)")</f>
        <v>připouštět (v-w5230f3)</v>
      </c>
    </row>
    <row r="38820" customFormat="false" ht="12.8" hidden="false" customHeight="false" outlineLevel="0" collapsed="false">
      <c r="B38820" s="0" t="s">
        <v>1</v>
      </c>
    </row>
    <row r="38821" customFormat="false" ht="12.8" hidden="false" customHeight="false" outlineLevel="0" collapsed="false">
      <c r="B38821" s="0" t="s">
        <v>8</v>
      </c>
    </row>
    <row r="38822" customFormat="false" ht="12.8" hidden="false" customHeight="false" outlineLevel="0" collapsed="false">
      <c r="B38822" s="0" t="s">
        <v>164</v>
      </c>
    </row>
    <row r="38824" customFormat="false" ht="12.8" hidden="false" customHeight="false" outlineLevel="0" collapsed="false">
      <c r="A38824" s="0" t="s">
        <v>14420</v>
      </c>
      <c r="B38824" s="0" t="str">
        <f aca="false">HYPERLINK("https://lindat.mff.cuni.cz/services/teitok/pdtc10/index.php?action=vallex&amp;frame=v-w5230f2", "připouštět (v-w5230f2)")</f>
        <v>připouštět (v-w5230f2)</v>
      </c>
    </row>
    <row r="38825" customFormat="false" ht="12.8" hidden="false" customHeight="false" outlineLevel="0" collapsed="false">
      <c r="B38825" s="0" t="s">
        <v>1</v>
      </c>
    </row>
    <row r="38826" customFormat="false" ht="12.8" hidden="false" customHeight="false" outlineLevel="0" collapsed="false">
      <c r="B38826" s="0" t="s">
        <v>1682</v>
      </c>
    </row>
    <row r="38828" customFormat="false" ht="12.8" hidden="false" customHeight="false" outlineLevel="0" collapsed="false">
      <c r="A38828" s="0" t="s">
        <v>14421</v>
      </c>
      <c r="B38828" s="0" t="str">
        <f aca="false">HYPERLINK("https://lindat.mff.cuni.cz/services/teitok/pdtc10/index.php?action=vallex&amp;frame=v-w5230f1", "připouštět (v-w5230f1)")</f>
        <v>připouštět (v-w5230f1)</v>
      </c>
      <c r="E38828" s="0" t="str">
        <f aca="false">HYPERLINK("https://lindat.mff.cuni.cz/services/SynSemClass40/SynSemClass40.html?veclass=vec00503#vec00503-ces-cm00006", "vec00503")</f>
        <v>vec00503</v>
      </c>
      <c r="F38828" s="0" t="s">
        <v>3130</v>
      </c>
    </row>
    <row r="38829" customFormat="false" ht="12.8" hidden="false" customHeight="false" outlineLevel="0" collapsed="false">
      <c r="B38829" s="0" t="s">
        <v>1</v>
      </c>
      <c r="C38829" s="0" t="s">
        <v>2986</v>
      </c>
      <c r="E38829" s="0" t="s">
        <v>11</v>
      </c>
      <c r="F38829" s="0" t="s">
        <v>3131</v>
      </c>
    </row>
    <row r="38830" customFormat="false" ht="12.8" hidden="false" customHeight="false" outlineLevel="0" collapsed="false">
      <c r="B38830" s="0" t="s">
        <v>14422</v>
      </c>
      <c r="C38830" s="0" t="s">
        <v>3133</v>
      </c>
      <c r="E38830" s="0" t="s">
        <v>3134</v>
      </c>
      <c r="F38830" s="0" t="s">
        <v>3135</v>
      </c>
    </row>
    <row r="38832" customFormat="false" ht="12.8" hidden="false" customHeight="false" outlineLevel="0" collapsed="false">
      <c r="A38832" s="0" t="s">
        <v>14423</v>
      </c>
      <c r="B38832" s="0" t="str">
        <f aca="false">HYPERLINK("https://lindat.mff.cuni.cz/services/teitok/pdtc10/index.php?action=vallex&amp;frame=v-w5230f4", "připouštět (v-w5230f4)")</f>
        <v>připouštět (v-w5230f4)</v>
      </c>
    </row>
    <row r="38833" customFormat="false" ht="12.8" hidden="false" customHeight="false" outlineLevel="0" collapsed="false">
      <c r="B38833" s="0" t="s">
        <v>1</v>
      </c>
    </row>
    <row r="38834" customFormat="false" ht="12.8" hidden="false" customHeight="false" outlineLevel="0" collapsed="false">
      <c r="B38834" s="0" t="s">
        <v>8</v>
      </c>
    </row>
    <row r="38836" customFormat="false" ht="12.8" hidden="false" customHeight="false" outlineLevel="0" collapsed="false">
      <c r="A38836" s="0" t="s">
        <v>14424</v>
      </c>
      <c r="B38836" s="0" t="str">
        <f aca="false">HYPERLINK("https://lindat.mff.cuni.cz/services/teitok/pdtc10/index.php?action=vallex&amp;frame=v-w5231f1", "připouštět si (v-w5231f1)")</f>
        <v>připouštět si (v-w5231f1)</v>
      </c>
    </row>
    <row r="38837" customFormat="false" ht="12.8" hidden="false" customHeight="false" outlineLevel="0" collapsed="false">
      <c r="B38837" s="0" t="s">
        <v>1</v>
      </c>
    </row>
    <row r="38838" customFormat="false" ht="12.8" hidden="false" customHeight="false" outlineLevel="0" collapsed="false">
      <c r="B38838" s="0" t="s">
        <v>8</v>
      </c>
    </row>
    <row r="38840" customFormat="false" ht="12.8" hidden="false" customHeight="false" outlineLevel="0" collapsed="false">
      <c r="A38840" s="0" t="s">
        <v>14425</v>
      </c>
      <c r="B38840" s="0" t="str">
        <f aca="false">HYPERLINK("https://lindat.mff.cuni.cz/services/teitok/pdtc10/index.php?action=vallex&amp;frame=v-w11776_ZUf1_ZU", "připozastavit (v-w11776_ZUf1_ZU)")</f>
        <v>připozastavit (v-w11776_ZUf1_ZU)</v>
      </c>
    </row>
    <row r="38841" customFormat="false" ht="12.8" hidden="false" customHeight="false" outlineLevel="0" collapsed="false">
      <c r="B38841" s="0" t="s">
        <v>1</v>
      </c>
    </row>
    <row r="38842" customFormat="false" ht="12.8" hidden="false" customHeight="false" outlineLevel="0" collapsed="false">
      <c r="B38842" s="0" t="s">
        <v>8</v>
      </c>
    </row>
    <row r="38844" customFormat="false" ht="12.8" hidden="false" customHeight="false" outlineLevel="0" collapsed="false">
      <c r="A38844" s="0" t="s">
        <v>14426</v>
      </c>
      <c r="B38844" s="0" t="str">
        <f aca="false">HYPERLINK("https://lindat.mff.cuni.cz/services/teitok/pdtc10/index.php?action=vallex&amp;frame=v-w5214f2", "připočíst (v-w5214f2)")</f>
        <v>připočíst (v-w5214f2)</v>
      </c>
    </row>
    <row r="38845" customFormat="false" ht="12.8" hidden="false" customHeight="false" outlineLevel="0" collapsed="false">
      <c r="B38845" s="0" t="s">
        <v>1</v>
      </c>
    </row>
    <row r="38846" customFormat="false" ht="12.8" hidden="false" customHeight="false" outlineLevel="0" collapsed="false">
      <c r="B38846" s="0" t="s">
        <v>8</v>
      </c>
    </row>
    <row r="38847" customFormat="false" ht="12.8" hidden="false" customHeight="false" outlineLevel="0" collapsed="false">
      <c r="B38847" s="0" t="s">
        <v>52</v>
      </c>
    </row>
    <row r="38849" customFormat="false" ht="12.8" hidden="false" customHeight="false" outlineLevel="0" collapsed="false">
      <c r="A38849" s="0" t="s">
        <v>14427</v>
      </c>
      <c r="B38849" s="0" t="str">
        <f aca="false">HYPERLINK("https://lindat.mff.cuni.cz/services/teitok/pdtc10/index.php?action=vallex&amp;frame=v-w5214f1", "připočíst (v-w5214f1)")</f>
        <v>připočíst (v-w5214f1)</v>
      </c>
    </row>
    <row r="38850" customFormat="false" ht="12.8" hidden="false" customHeight="false" outlineLevel="0" collapsed="false">
      <c r="B38850" s="0" t="s">
        <v>1</v>
      </c>
    </row>
    <row r="38851" customFormat="false" ht="12.8" hidden="false" customHeight="false" outlineLevel="0" collapsed="false">
      <c r="B38851" s="0" t="s">
        <v>8</v>
      </c>
    </row>
    <row r="38852" customFormat="false" ht="12.8" hidden="false" customHeight="false" outlineLevel="0" collapsed="false">
      <c r="B38852" s="0" t="s">
        <v>164</v>
      </c>
    </row>
    <row r="38854" customFormat="false" ht="12.8" hidden="false" customHeight="false" outlineLevel="0" collapsed="false">
      <c r="A38854" s="0" t="s">
        <v>14428</v>
      </c>
      <c r="B38854" s="0" t="str">
        <f aca="false">HYPERLINK("https://lindat.mff.cuni.cz/services/teitok/pdtc10/index.php?action=vallex&amp;frame=v-w5215f1", "připočítávat (v-w5215f1)")</f>
        <v>připočítávat (v-w5215f1)</v>
      </c>
    </row>
    <row r="38855" customFormat="false" ht="12.8" hidden="false" customHeight="false" outlineLevel="0" collapsed="false">
      <c r="B38855" s="0" t="s">
        <v>1</v>
      </c>
    </row>
    <row r="38856" customFormat="false" ht="12.8" hidden="false" customHeight="false" outlineLevel="0" collapsed="false">
      <c r="B38856" s="0" t="s">
        <v>8</v>
      </c>
    </row>
    <row r="38857" customFormat="false" ht="12.8" hidden="false" customHeight="false" outlineLevel="0" collapsed="false">
      <c r="B38857" s="0" t="s">
        <v>164</v>
      </c>
    </row>
    <row r="38859" customFormat="false" ht="12.8" hidden="false" customHeight="false" outlineLevel="0" collapsed="false">
      <c r="A38859" s="0" t="s">
        <v>14429</v>
      </c>
      <c r="B38859" s="0" t="str">
        <f aca="false">HYPERLINK("https://lindat.mff.cuni.cz/services/teitok/pdtc10/index.php?action=vallex&amp;frame=v-w5238f3", "připravit (v-w5238f3)")</f>
        <v>připravit (v-w5238f3)</v>
      </c>
      <c r="E38859" s="0" t="str">
        <f aca="false">HYPERLINK("https://lindat.mff.cuni.cz/services/SynSemClass40/SynSemClass40.html?veclass=vec01187#vec01187-ces-cm00009", "vec01187")</f>
        <v>vec01187</v>
      </c>
      <c r="F38859" s="0" t="s">
        <v>8682</v>
      </c>
    </row>
    <row r="38860" customFormat="false" ht="12.8" hidden="false" customHeight="false" outlineLevel="0" collapsed="false">
      <c r="B38860" s="0" t="s">
        <v>1</v>
      </c>
      <c r="C38860" s="0" t="s">
        <v>459</v>
      </c>
      <c r="E38860" s="0" t="s">
        <v>1573</v>
      </c>
      <c r="F38860" s="0" t="s">
        <v>1574</v>
      </c>
    </row>
    <row r="38861" customFormat="false" ht="12.8" hidden="false" customHeight="false" outlineLevel="0" collapsed="false">
      <c r="B38861" s="0" t="s">
        <v>814</v>
      </c>
      <c r="C38861" s="0" t="s">
        <v>8683</v>
      </c>
      <c r="E38861" s="0" t="s">
        <v>594</v>
      </c>
      <c r="F38861" s="0" t="s">
        <v>8684</v>
      </c>
    </row>
    <row r="38862" customFormat="false" ht="12.8" hidden="false" customHeight="false" outlineLevel="0" collapsed="false">
      <c r="B38862" s="0" t="s">
        <v>98</v>
      </c>
      <c r="C38862" s="0" t="s">
        <v>8685</v>
      </c>
      <c r="E38862" s="0" t="s">
        <v>8630</v>
      </c>
      <c r="F38862" s="0" t="s">
        <v>8686</v>
      </c>
    </row>
    <row r="38864" customFormat="false" ht="12.8" hidden="false" customHeight="false" outlineLevel="0" collapsed="false">
      <c r="A38864" s="0" t="s">
        <v>14430</v>
      </c>
      <c r="B38864" s="0" t="str">
        <f aca="false">HYPERLINK("https://lindat.mff.cuni.cz/services/teitok/pdtc10/index.php?action=vallex&amp;frame=v-w5238f1", "připravit (v-w5238f1)")</f>
        <v>připravit (v-w5238f1)</v>
      </c>
      <c r="E38864" s="0" t="str">
        <f aca="false">HYPERLINK("https://lindat.mff.cuni.cz/services/SynSemClass40/SynSemClass40.html?veclass=vec00900#vec00900-ces-cm00001", "vec00900")</f>
        <v>vec00900</v>
      </c>
      <c r="F38864" s="0" t="s">
        <v>14431</v>
      </c>
      <c r="H38864" s="0" t="str">
        <f aca="false">HYPERLINK("https://lindat.mff.cuni.cz/services/SynSemClass40/SynSemClass40.html?veclass=vec01464#vec01464-ces-cm00005", "vec01464")</f>
        <v>vec01464</v>
      </c>
      <c r="I38864" s="0" t="s">
        <v>2074</v>
      </c>
      <c r="K38864" s="0" t="str">
        <f aca="false">HYPERLINK("https://lindat.mff.cuni.cz/services/SynSemClass40/SynSemClass40.html?veclass=vec01519#vec01519-ces-cm00011", "vec01519")</f>
        <v>vec01519</v>
      </c>
      <c r="L38864" s="0" t="s">
        <v>6441</v>
      </c>
    </row>
    <row r="38865" customFormat="false" ht="12.8" hidden="false" customHeight="false" outlineLevel="0" collapsed="false">
      <c r="B38865" s="0" t="s">
        <v>1</v>
      </c>
      <c r="C38865" s="0" t="s">
        <v>14432</v>
      </c>
      <c r="E38865" s="0" t="s">
        <v>768</v>
      </c>
      <c r="F38865" s="0" t="s">
        <v>7658</v>
      </c>
      <c r="H38865" s="0" t="s">
        <v>31</v>
      </c>
      <c r="I38865" s="0" t="s">
        <v>513</v>
      </c>
      <c r="K38865" s="0" t="s">
        <v>768</v>
      </c>
      <c r="L38865" s="0" t="s">
        <v>6443</v>
      </c>
    </row>
    <row r="38866" customFormat="false" ht="12.8" hidden="false" customHeight="false" outlineLevel="0" collapsed="false">
      <c r="B38866" s="0" t="s">
        <v>8</v>
      </c>
      <c r="C38866" s="0" t="s">
        <v>14433</v>
      </c>
      <c r="E38866" s="0" t="s">
        <v>771</v>
      </c>
      <c r="F38866" s="0" t="s">
        <v>1467</v>
      </c>
      <c r="H38866" s="0" t="s">
        <v>523</v>
      </c>
      <c r="I38866" s="0" t="s">
        <v>14434</v>
      </c>
      <c r="K38866" s="0" t="s">
        <v>771</v>
      </c>
      <c r="L38866" s="0" t="s">
        <v>6445</v>
      </c>
    </row>
    <row r="38867" customFormat="false" ht="12.8" hidden="false" customHeight="false" outlineLevel="0" collapsed="false">
      <c r="B38867" s="0" t="s">
        <v>36</v>
      </c>
      <c r="C38867" s="0" t="s">
        <v>6446</v>
      </c>
      <c r="E38867" s="0" t="s">
        <v>787</v>
      </c>
      <c r="F38867" s="0" t="s">
        <v>14435</v>
      </c>
      <c r="K38867" s="0" t="s">
        <v>6329</v>
      </c>
      <c r="L38867" s="0" t="s">
        <v>6447</v>
      </c>
    </row>
    <row r="38869" customFormat="false" ht="12.8" hidden="false" customHeight="false" outlineLevel="0" collapsed="false">
      <c r="A38869" s="0" t="s">
        <v>14436</v>
      </c>
      <c r="B38869" s="0" t="str">
        <f aca="false">HYPERLINK("https://lindat.mff.cuni.cz/services/teitok/pdtc10/index.php?action=vallex&amp;frame=v-w5238f2", "připravit (v-w5238f2)")</f>
        <v>připravit (v-w5238f2)</v>
      </c>
      <c r="E38869" s="0" t="str">
        <f aca="false">HYPERLINK("https://lindat.mff.cuni.cz/services/SynSemClass40/SynSemClass40.html?veclass=vec00502#vec00502-ces-cm00036", "vec00502")</f>
        <v>vec00502</v>
      </c>
      <c r="F38869" s="0" t="s">
        <v>1552</v>
      </c>
    </row>
    <row r="38870" customFormat="false" ht="12.8" hidden="false" customHeight="false" outlineLevel="0" collapsed="false">
      <c r="B38870" s="0" t="s">
        <v>1</v>
      </c>
      <c r="C38870" s="0" t="s">
        <v>1553</v>
      </c>
      <c r="E38870" s="0" t="s">
        <v>31</v>
      </c>
      <c r="F38870" s="0" t="s">
        <v>1554</v>
      </c>
    </row>
    <row r="38871" customFormat="false" ht="12.8" hidden="false" customHeight="false" outlineLevel="0" collapsed="false">
      <c r="B38871" s="0" t="s">
        <v>8</v>
      </c>
      <c r="C38871" s="0" t="s">
        <v>1555</v>
      </c>
      <c r="E38871" s="0" t="s">
        <v>1556</v>
      </c>
      <c r="F38871" s="0" t="s">
        <v>1557</v>
      </c>
    </row>
    <row r="38873" customFormat="false" ht="12.8" hidden="false" customHeight="false" outlineLevel="0" collapsed="false">
      <c r="A38873" s="0" t="s">
        <v>14437</v>
      </c>
      <c r="B38873" s="0" t="str">
        <f aca="false">HYPERLINK("https://lindat.mff.cuni.cz/services/teitok/pdtc10/index.php?action=vallex&amp;frame=v-w5238f5_ZU", "připravit (v-w5238f5_ZU)")</f>
        <v>připravit (v-w5238f5_ZU)</v>
      </c>
      <c r="E38873" s="0" t="str">
        <f aca="false">HYPERLINK("https://lindat.mff.cuni.cz/services/SynSemClass40/SynSemClass40.html?veclass=vec00502#vec00502-ces-cm00010", "vec00502")</f>
        <v>vec00502</v>
      </c>
      <c r="F38873" s="0" t="s">
        <v>1552</v>
      </c>
      <c r="H38873" s="0" t="str">
        <f aca="false">HYPERLINK("https://lindat.mff.cuni.cz/services/SynSemClass40/SynSemClass40.html?veclass=vec01464#vec01464-ces-cm00006", "vec01464")</f>
        <v>vec01464</v>
      </c>
      <c r="I38873" s="0" t="s">
        <v>2074</v>
      </c>
    </row>
    <row r="38874" customFormat="false" ht="12.8" hidden="false" customHeight="false" outlineLevel="0" collapsed="false">
      <c r="B38874" s="0" t="s">
        <v>1</v>
      </c>
      <c r="C38874" s="0" t="s">
        <v>2720</v>
      </c>
      <c r="E38874" s="0" t="s">
        <v>31</v>
      </c>
      <c r="F38874" s="0" t="s">
        <v>1554</v>
      </c>
      <c r="H38874" s="0" t="s">
        <v>31</v>
      </c>
      <c r="I38874" s="0" t="s">
        <v>513</v>
      </c>
    </row>
    <row r="38875" customFormat="false" ht="12.8" hidden="false" customHeight="false" outlineLevel="0" collapsed="false">
      <c r="B38875" s="0" t="s">
        <v>8</v>
      </c>
      <c r="C38875" s="0" t="s">
        <v>13972</v>
      </c>
      <c r="E38875" s="0" t="s">
        <v>1556</v>
      </c>
      <c r="F38875" s="0" t="s">
        <v>1557</v>
      </c>
      <c r="H38875" s="0" t="s">
        <v>523</v>
      </c>
      <c r="I38875" s="0" t="s">
        <v>14434</v>
      </c>
    </row>
    <row r="38877" customFormat="false" ht="12.8" hidden="false" customHeight="false" outlineLevel="0" collapsed="false">
      <c r="A38877" s="0" t="s">
        <v>14437</v>
      </c>
      <c r="B38877" s="0" t="str">
        <f aca="false">HYPERLINK("https://lindat.mff.cuni.cz/services/teitok/pdtc10/index.php?action=vallex&amp;frame=v-w5238f4", "připravit (v-w5238f4) - substituted with v-w5238f5_ZU")</f>
        <v>připravit (v-w5238f4) - substituted with v-w5238f5_ZU</v>
      </c>
    </row>
    <row r="38878" customFormat="false" ht="12.8" hidden="false" customHeight="false" outlineLevel="0" collapsed="false">
      <c r="B38878" s="0" t="s">
        <v>1</v>
      </c>
    </row>
    <row r="38879" customFormat="false" ht="12.8" hidden="false" customHeight="false" outlineLevel="0" collapsed="false">
      <c r="B38879" s="0" t="s">
        <v>8</v>
      </c>
    </row>
    <row r="38881" customFormat="false" ht="12.8" hidden="false" customHeight="false" outlineLevel="0" collapsed="false">
      <c r="A38881" s="0" t="s">
        <v>14438</v>
      </c>
      <c r="B38881" s="0" t="str">
        <f aca="false">HYPERLINK("https://lindat.mff.cuni.cz/services/teitok/pdtc10/index.php?action=vallex&amp;frame=v-w5239f1", "připravit se (v-w5239f1)")</f>
        <v>připravit se (v-w5239f1)</v>
      </c>
      <c r="E38881" s="0" t="str">
        <f aca="false">HYPERLINK("https://lindat.mff.cuni.cz/services/SynSemClass40/SynSemClass40.html?veclass=vec00290#vec00290-ces-cm00005", "vec00290")</f>
        <v>vec00290</v>
      </c>
      <c r="F38881" s="0" t="s">
        <v>1560</v>
      </c>
    </row>
    <row r="38882" customFormat="false" ht="12.8" hidden="false" customHeight="false" outlineLevel="0" collapsed="false">
      <c r="B38882" s="0" t="s">
        <v>1</v>
      </c>
      <c r="C38882" s="0" t="s">
        <v>1561</v>
      </c>
      <c r="E38882" s="0" t="s">
        <v>11</v>
      </c>
      <c r="F38882" s="0" t="s">
        <v>1562</v>
      </c>
    </row>
    <row r="38883" customFormat="false" ht="12.8" hidden="false" customHeight="false" outlineLevel="0" collapsed="false">
      <c r="B38883" s="0" t="s">
        <v>13955</v>
      </c>
      <c r="C38883" s="0" t="s">
        <v>1563</v>
      </c>
      <c r="E38883" s="0" t="s">
        <v>79</v>
      </c>
      <c r="F38883" s="0" t="s">
        <v>1564</v>
      </c>
    </row>
    <row r="38885" customFormat="false" ht="12.8" hidden="false" customHeight="false" outlineLevel="0" collapsed="false">
      <c r="A38885" s="0" t="s">
        <v>14439</v>
      </c>
      <c r="B38885" s="0" t="str">
        <f aca="false">HYPERLINK("https://lindat.mff.cuni.cz/services/teitok/pdtc10/index.php?action=vallex&amp;frame=v-w5241f4", "připravovat (v-w5241f4)")</f>
        <v>připravovat (v-w5241f4)</v>
      </c>
    </row>
    <row r="38886" customFormat="false" ht="12.8" hidden="false" customHeight="false" outlineLevel="0" collapsed="false">
      <c r="B38886" s="0" t="s">
        <v>1</v>
      </c>
    </row>
    <row r="38887" customFormat="false" ht="12.8" hidden="false" customHeight="false" outlineLevel="0" collapsed="false">
      <c r="B38887" s="0" t="s">
        <v>814</v>
      </c>
    </row>
    <row r="38888" customFormat="false" ht="12.8" hidden="false" customHeight="false" outlineLevel="0" collapsed="false">
      <c r="B38888" s="0" t="s">
        <v>98</v>
      </c>
    </row>
    <row r="38890" customFormat="false" ht="12.8" hidden="false" customHeight="false" outlineLevel="0" collapsed="false">
      <c r="A38890" s="0" t="s">
        <v>14440</v>
      </c>
      <c r="B38890" s="0" t="str">
        <f aca="false">HYPERLINK("https://lindat.mff.cuni.cz/services/teitok/pdtc10/index.php?action=vallex&amp;frame=v-w5241f2", "připravovat (v-w5241f2)")</f>
        <v>připravovat (v-w5241f2)</v>
      </c>
      <c r="E38890" s="0" t="str">
        <f aca="false">HYPERLINK("https://lindat.mff.cuni.cz/services/SynSemClass40/SynSemClass40.html?veclass=vec00900#vec00900-ces-cm00035", "vec00900")</f>
        <v>vec00900</v>
      </c>
      <c r="F38890" s="0" t="s">
        <v>14431</v>
      </c>
      <c r="H38890" s="0" t="str">
        <f aca="false">HYPERLINK("https://lindat.mff.cuni.cz/services/SynSemClass40/SynSemClass40.html?veclass=vec01519#vec01519-ces-cm00017", "vec01519")</f>
        <v>vec01519</v>
      </c>
      <c r="I38890" s="0" t="s">
        <v>6441</v>
      </c>
    </row>
    <row r="38891" customFormat="false" ht="12.8" hidden="false" customHeight="false" outlineLevel="0" collapsed="false">
      <c r="B38891" s="0" t="s">
        <v>1</v>
      </c>
      <c r="C38891" s="0" t="s">
        <v>14441</v>
      </c>
      <c r="E38891" s="0" t="s">
        <v>768</v>
      </c>
      <c r="F38891" s="0" t="s">
        <v>7658</v>
      </c>
      <c r="H38891" s="0" t="s">
        <v>768</v>
      </c>
      <c r="I38891" s="0" t="s">
        <v>6443</v>
      </c>
    </row>
    <row r="38892" customFormat="false" ht="12.8" hidden="false" customHeight="false" outlineLevel="0" collapsed="false">
      <c r="B38892" s="0" t="s">
        <v>8</v>
      </c>
      <c r="C38892" s="0" t="s">
        <v>14442</v>
      </c>
      <c r="E38892" s="0" t="s">
        <v>771</v>
      </c>
      <c r="F38892" s="0" t="s">
        <v>1467</v>
      </c>
      <c r="H38892" s="0" t="s">
        <v>771</v>
      </c>
      <c r="I38892" s="0" t="s">
        <v>6445</v>
      </c>
    </row>
    <row r="38893" customFormat="false" ht="12.8" hidden="false" customHeight="false" outlineLevel="0" collapsed="false">
      <c r="B38893" s="0" t="s">
        <v>36</v>
      </c>
      <c r="C38893" s="0" t="s">
        <v>6446</v>
      </c>
      <c r="E38893" s="0" t="s">
        <v>787</v>
      </c>
      <c r="F38893" s="0" t="s">
        <v>14435</v>
      </c>
      <c r="H38893" s="0" t="s">
        <v>6329</v>
      </c>
      <c r="I38893" s="0" t="s">
        <v>6447</v>
      </c>
    </row>
    <row r="38895" customFormat="false" ht="12.8" hidden="false" customHeight="false" outlineLevel="0" collapsed="false">
      <c r="A38895" s="0" t="s">
        <v>14443</v>
      </c>
      <c r="B38895" s="0" t="str">
        <f aca="false">HYPERLINK("https://lindat.mff.cuni.cz/services/teitok/pdtc10/index.php?action=vallex&amp;frame=v-w5241f6_ZU", "připravovat (v-w5241f6_ZU)")</f>
        <v>připravovat (v-w5241f6_ZU)</v>
      </c>
    </row>
    <row r="38896" customFormat="false" ht="12.8" hidden="false" customHeight="false" outlineLevel="0" collapsed="false">
      <c r="B38896" s="0" t="s">
        <v>1</v>
      </c>
    </row>
    <row r="38897" customFormat="false" ht="12.8" hidden="false" customHeight="false" outlineLevel="0" collapsed="false">
      <c r="B38897" s="0" t="s">
        <v>8</v>
      </c>
    </row>
    <row r="38899" customFormat="false" ht="12.8" hidden="false" customHeight="false" outlineLevel="0" collapsed="false">
      <c r="A38899" s="0" t="s">
        <v>14443</v>
      </c>
      <c r="B38899" s="0" t="str">
        <f aca="false">HYPERLINK("https://lindat.mff.cuni.cz/services/teitok/pdtc10/index.php?action=vallex&amp;frame=v-w5241f1", "připravovat (v-w5241f1) - substituted with v-w5241f6_ZU")</f>
        <v>připravovat (v-w5241f1) - substituted with v-w5241f6_ZU</v>
      </c>
      <c r="E38899" s="0" t="str">
        <f aca="false">HYPERLINK("https://lindat.mff.cuni.cz/services/SynSemClass40/SynSemClass40.html?veclass=vec00502#vec00502-ces-cm00011", "vec00502")</f>
        <v>vec00502</v>
      </c>
      <c r="F38899" s="0" t="s">
        <v>1552</v>
      </c>
    </row>
    <row r="38900" customFormat="false" ht="12.8" hidden="false" customHeight="false" outlineLevel="0" collapsed="false">
      <c r="B38900" s="0" t="s">
        <v>1</v>
      </c>
      <c r="C38900" s="0" t="s">
        <v>1553</v>
      </c>
      <c r="E38900" s="0" t="s">
        <v>31</v>
      </c>
      <c r="F38900" s="0" t="s">
        <v>1554</v>
      </c>
    </row>
    <row r="38901" customFormat="false" ht="12.8" hidden="false" customHeight="false" outlineLevel="0" collapsed="false">
      <c r="B38901" s="0" t="s">
        <v>8</v>
      </c>
      <c r="C38901" s="0" t="s">
        <v>1555</v>
      </c>
      <c r="E38901" s="0" t="s">
        <v>1556</v>
      </c>
      <c r="F38901" s="0" t="s">
        <v>1557</v>
      </c>
    </row>
    <row r="38903" customFormat="false" ht="12.8" hidden="false" customHeight="false" outlineLevel="0" collapsed="false">
      <c r="A38903" s="0" t="s">
        <v>14444</v>
      </c>
      <c r="B38903" s="0" t="str">
        <f aca="false">HYPERLINK("https://lindat.mff.cuni.cz/services/teitok/pdtc10/index.php?action=vallex&amp;frame=v-w5241f5_ZU", "připravovat (v-w5241f5_ZU)")</f>
        <v>připravovat (v-w5241f5_ZU)</v>
      </c>
    </row>
    <row r="38904" customFormat="false" ht="12.8" hidden="false" customHeight="false" outlineLevel="0" collapsed="false">
      <c r="B38904" s="0" t="s">
        <v>1</v>
      </c>
    </row>
    <row r="38905" customFormat="false" ht="12.8" hidden="false" customHeight="false" outlineLevel="0" collapsed="false">
      <c r="B38905" s="0" t="s">
        <v>59</v>
      </c>
    </row>
    <row r="38907" customFormat="false" ht="12.8" hidden="false" customHeight="false" outlineLevel="0" collapsed="false">
      <c r="A38907" s="0" t="s">
        <v>14444</v>
      </c>
      <c r="B38907" s="0" t="str">
        <f aca="false">HYPERLINK("https://lindat.mff.cuni.cz/services/teitok/pdtc10/index.php?action=vallex&amp;frame=v-w5241f3", "připravovat (v-w5241f3) - substituted with v-w5241f5_ZU")</f>
        <v>připravovat (v-w5241f3) - substituted with v-w5241f5_ZU</v>
      </c>
      <c r="E38907" s="0" t="str">
        <f aca="false">HYPERLINK("https://lindat.mff.cuni.cz/services/SynSemClass40/SynSemClass40.html?veclass=vec00502#vec00502-ces-cm00001", "vec00502")</f>
        <v>vec00502</v>
      </c>
      <c r="F38907" s="0" t="s">
        <v>1552</v>
      </c>
    </row>
    <row r="38908" customFormat="false" ht="12.8" hidden="false" customHeight="false" outlineLevel="0" collapsed="false">
      <c r="B38908" s="0" t="s">
        <v>1</v>
      </c>
      <c r="C38908" s="0" t="s">
        <v>1553</v>
      </c>
      <c r="E38908" s="0" t="s">
        <v>31</v>
      </c>
      <c r="F38908" s="0" t="s">
        <v>1554</v>
      </c>
    </row>
    <row r="38909" customFormat="false" ht="12.8" hidden="false" customHeight="false" outlineLevel="0" collapsed="false">
      <c r="B38909" s="0" t="s">
        <v>59</v>
      </c>
      <c r="C38909" s="0" t="s">
        <v>1555</v>
      </c>
      <c r="E38909" s="0" t="s">
        <v>1556</v>
      </c>
      <c r="F38909" s="0" t="s">
        <v>1557</v>
      </c>
    </row>
    <row r="38911" customFormat="false" ht="12.8" hidden="false" customHeight="false" outlineLevel="0" collapsed="false">
      <c r="A38911" s="0" t="s">
        <v>14445</v>
      </c>
      <c r="B38911" s="0" t="str">
        <f aca="false">HYPERLINK("https://lindat.mff.cuni.cz/services/teitok/pdtc10/index.php?action=vallex&amp;frame=v-w5242f3_ZU", "připravovat se (v-w5242f3_ZU)")</f>
        <v>připravovat se (v-w5242f3_ZU)</v>
      </c>
    </row>
    <row r="38912" customFormat="false" ht="12.8" hidden="false" customHeight="false" outlineLevel="0" collapsed="false">
      <c r="B38912" s="0" t="s">
        <v>1</v>
      </c>
    </row>
    <row r="38913" customFormat="false" ht="12.8" hidden="false" customHeight="false" outlineLevel="0" collapsed="false">
      <c r="B38913" s="0" t="s">
        <v>14446</v>
      </c>
    </row>
    <row r="38915" customFormat="false" ht="12.8" hidden="false" customHeight="false" outlineLevel="0" collapsed="false">
      <c r="A38915" s="0" t="s">
        <v>14445</v>
      </c>
      <c r="B38915" s="0" t="str">
        <f aca="false">HYPERLINK("https://lindat.mff.cuni.cz/services/teitok/pdtc10/index.php?action=vallex&amp;frame=v-w5242f1", "připravovat se (v-w5242f1) - substituted with v-w5242f3_ZU")</f>
        <v>připravovat se (v-w5242f1) - substituted with v-w5242f3_ZU</v>
      </c>
      <c r="E38915" s="0" t="str">
        <f aca="false">HYPERLINK("https://lindat.mff.cuni.cz/services/SynSemClass40/SynSemClass40.html?veclass=vec00290#vec00290-ces-cm00001", "vec00290")</f>
        <v>vec00290</v>
      </c>
      <c r="F38915" s="0" t="s">
        <v>1560</v>
      </c>
    </row>
    <row r="38916" customFormat="false" ht="12.8" hidden="false" customHeight="false" outlineLevel="0" collapsed="false">
      <c r="B38916" s="0" t="s">
        <v>1</v>
      </c>
      <c r="C38916" s="0" t="s">
        <v>1561</v>
      </c>
      <c r="E38916" s="0" t="s">
        <v>11</v>
      </c>
      <c r="F38916" s="0" t="s">
        <v>1562</v>
      </c>
    </row>
    <row r="38917" customFormat="false" ht="12.8" hidden="false" customHeight="false" outlineLevel="0" collapsed="false">
      <c r="B38917" s="0" t="s">
        <v>14446</v>
      </c>
      <c r="C38917" s="0" t="s">
        <v>1563</v>
      </c>
      <c r="E38917" s="0" t="s">
        <v>79</v>
      </c>
      <c r="F38917" s="0" t="s">
        <v>1564</v>
      </c>
    </row>
    <row r="38919" customFormat="false" ht="12.8" hidden="false" customHeight="false" outlineLevel="0" collapsed="false">
      <c r="A38919" s="0" t="s">
        <v>14447</v>
      </c>
      <c r="B38919" s="0" t="str">
        <f aca="false">HYPERLINK("https://lindat.mff.cuni.cz/services/teitok/pdtc10/index.php?action=vallex&amp;frame=v-w5242f2", "připravovat se (v-w5242f2)")</f>
        <v>připravovat se (v-w5242f2)</v>
      </c>
    </row>
    <row r="38920" customFormat="false" ht="12.8" hidden="false" customHeight="false" outlineLevel="0" collapsed="false">
      <c r="B38920" s="0" t="s">
        <v>1</v>
      </c>
    </row>
    <row r="38921" customFormat="false" ht="12.8" hidden="false" customHeight="false" outlineLevel="0" collapsed="false">
      <c r="B38921" s="0" t="s">
        <v>814</v>
      </c>
    </row>
    <row r="38923" customFormat="false" ht="12.8" hidden="false" customHeight="false" outlineLevel="0" collapsed="false">
      <c r="A38923" s="0" t="s">
        <v>14448</v>
      </c>
      <c r="B38923" s="0" t="str">
        <f aca="false">HYPERLINK("https://lindat.mff.cuni.cz/services/teitok/pdtc10/index.php?action=vallex&amp;frame=v-w5245f1", "připsat (v-w5245f1)")</f>
        <v>připsat (v-w5245f1)</v>
      </c>
      <c r="E38923" s="0" t="str">
        <f aca="false">HYPERLINK("https://lindat.mff.cuni.cz/services/SynSemClass40/SynSemClass40.html?veclass=vec00291#vec00291-ces-cm00001", "vec00291")</f>
        <v>vec00291</v>
      </c>
      <c r="F38923" s="0" t="s">
        <v>10760</v>
      </c>
    </row>
    <row r="38924" customFormat="false" ht="12.8" hidden="false" customHeight="false" outlineLevel="0" collapsed="false">
      <c r="B38924" s="0" t="s">
        <v>1</v>
      </c>
      <c r="C38924" s="0" t="s">
        <v>2240</v>
      </c>
      <c r="E38924" s="0" t="s">
        <v>10761</v>
      </c>
      <c r="F38924" s="0" t="s">
        <v>10762</v>
      </c>
    </row>
    <row r="38925" customFormat="false" ht="12.8" hidden="false" customHeight="false" outlineLevel="0" collapsed="false">
      <c r="B38925" s="0" t="s">
        <v>59</v>
      </c>
      <c r="C38925" s="0" t="s">
        <v>10763</v>
      </c>
      <c r="E38925" s="0" t="s">
        <v>1544</v>
      </c>
      <c r="F38925" s="0" t="s">
        <v>10764</v>
      </c>
    </row>
    <row r="38926" customFormat="false" ht="12.8" hidden="false" customHeight="false" outlineLevel="0" collapsed="false">
      <c r="B38926" s="0" t="s">
        <v>11614</v>
      </c>
      <c r="C38926" s="0" t="s">
        <v>10765</v>
      </c>
      <c r="E38926" s="0" t="s">
        <v>53</v>
      </c>
      <c r="F38926" s="0" t="s">
        <v>10766</v>
      </c>
    </row>
    <row r="38928" customFormat="false" ht="12.8" hidden="false" customHeight="false" outlineLevel="0" collapsed="false">
      <c r="A38928" s="0" t="s">
        <v>14449</v>
      </c>
      <c r="B38928" s="0" t="str">
        <f aca="false">HYPERLINK("https://lindat.mff.cuni.cz/services/teitok/pdtc10/index.php?action=vallex&amp;frame=v-w5245f2", "připsat (v-w5245f2)")</f>
        <v>připsat (v-w5245f2)</v>
      </c>
      <c r="E38928" s="0" t="str">
        <f aca="false">HYPERLINK("https://lindat.mff.cuni.cz/services/SynSemClass40/SynSemClass40.html?veclass=vec00499#vec00499-ces-cm00116", "vec00499")</f>
        <v>vec00499</v>
      </c>
      <c r="F38928" s="0" t="s">
        <v>2186</v>
      </c>
    </row>
    <row r="38929" customFormat="false" ht="12.8" hidden="false" customHeight="false" outlineLevel="0" collapsed="false">
      <c r="B38929" s="0" t="s">
        <v>1</v>
      </c>
      <c r="C38929" s="0" t="s">
        <v>2187</v>
      </c>
      <c r="E38929" s="0" t="s">
        <v>1784</v>
      </c>
      <c r="F38929" s="0" t="s">
        <v>2188</v>
      </c>
    </row>
    <row r="38930" customFormat="false" ht="12.8" hidden="false" customHeight="false" outlineLevel="0" collapsed="false">
      <c r="B38930" s="0" t="s">
        <v>8</v>
      </c>
      <c r="C38930" s="0" t="s">
        <v>2190</v>
      </c>
      <c r="E38930" s="0" t="s">
        <v>1787</v>
      </c>
      <c r="F38930" s="0" t="s">
        <v>2191</v>
      </c>
    </row>
    <row r="38931" customFormat="false" ht="12.8" hidden="false" customHeight="false" outlineLevel="0" collapsed="false">
      <c r="B38931" s="0" t="s">
        <v>52</v>
      </c>
      <c r="E38931" s="0" t="s">
        <v>53</v>
      </c>
      <c r="F38931" s="0" t="s">
        <v>54</v>
      </c>
    </row>
    <row r="38933" customFormat="false" ht="12.8" hidden="false" customHeight="false" outlineLevel="0" collapsed="false">
      <c r="A38933" s="0" t="s">
        <v>14450</v>
      </c>
      <c r="B38933" s="0" t="str">
        <f aca="false">HYPERLINK("https://lindat.mff.cuni.cz/services/teitok/pdtc10/index.php?action=vallex&amp;frame=v-w5245f4", "připsat (v-w5245f4)")</f>
        <v>připsat (v-w5245f4)</v>
      </c>
    </row>
    <row r="38934" customFormat="false" ht="12.8" hidden="false" customHeight="false" outlineLevel="0" collapsed="false">
      <c r="B38934" s="0" t="s">
        <v>1</v>
      </c>
    </row>
    <row r="38935" customFormat="false" ht="12.8" hidden="false" customHeight="false" outlineLevel="0" collapsed="false">
      <c r="B38935" s="0" t="s">
        <v>8</v>
      </c>
    </row>
    <row r="38936" customFormat="false" ht="12.8" hidden="false" customHeight="false" outlineLevel="0" collapsed="false">
      <c r="B38936" s="0" t="s">
        <v>164</v>
      </c>
    </row>
    <row r="38938" customFormat="false" ht="12.8" hidden="false" customHeight="false" outlineLevel="0" collapsed="false">
      <c r="A38938" s="0" t="s">
        <v>14451</v>
      </c>
      <c r="B38938" s="0" t="str">
        <f aca="false">HYPERLINK("https://lindat.mff.cuni.cz/services/teitok/pdtc10/index.php?action=vallex&amp;frame=v-w5245f3", "připsat (v-w5245f3)")</f>
        <v>připsat (v-w5245f3)</v>
      </c>
    </row>
    <row r="38939" customFormat="false" ht="12.8" hidden="false" customHeight="false" outlineLevel="0" collapsed="false">
      <c r="B38939" s="0" t="s">
        <v>1</v>
      </c>
    </row>
    <row r="38940" customFormat="false" ht="12.8" hidden="false" customHeight="false" outlineLevel="0" collapsed="false">
      <c r="B38940" s="0" t="s">
        <v>14452</v>
      </c>
    </row>
    <row r="38941" customFormat="false" ht="12.8" hidden="false" customHeight="false" outlineLevel="0" collapsed="false">
      <c r="B38941" s="0" t="s">
        <v>59</v>
      </c>
    </row>
    <row r="38942" customFormat="false" ht="12.8" hidden="false" customHeight="false" outlineLevel="0" collapsed="false">
      <c r="B38942" s="0" t="s">
        <v>52</v>
      </c>
    </row>
    <row r="38944" customFormat="false" ht="12.8" hidden="false" customHeight="false" outlineLevel="0" collapsed="false">
      <c r="A38944" s="0" t="s">
        <v>14453</v>
      </c>
      <c r="B38944" s="0" t="str">
        <f aca="false">HYPERLINK("https://lindat.mff.cuni.cz/services/teitok/pdtc10/index.php?action=vallex&amp;frame=v-w5246f3", "připustit (v-w5246f3)")</f>
        <v>připustit (v-w5246f3)</v>
      </c>
    </row>
    <row r="38945" customFormat="false" ht="12.8" hidden="false" customHeight="false" outlineLevel="0" collapsed="false">
      <c r="B38945" s="0" t="s">
        <v>1</v>
      </c>
    </row>
    <row r="38946" customFormat="false" ht="12.8" hidden="false" customHeight="false" outlineLevel="0" collapsed="false">
      <c r="B38946" s="0" t="s">
        <v>8</v>
      </c>
    </row>
    <row r="38947" customFormat="false" ht="12.8" hidden="false" customHeight="false" outlineLevel="0" collapsed="false">
      <c r="B38947" s="0" t="s">
        <v>164</v>
      </c>
    </row>
    <row r="38949" customFormat="false" ht="12.8" hidden="false" customHeight="false" outlineLevel="0" collapsed="false">
      <c r="A38949" s="0" t="s">
        <v>14454</v>
      </c>
      <c r="B38949" s="0" t="str">
        <f aca="false">HYPERLINK("https://lindat.mff.cuni.cz/services/teitok/pdtc10/index.php?action=vallex&amp;frame=v-w5246f5", "připustit (v-w5246f5)")</f>
        <v>připustit (v-w5246f5)</v>
      </c>
    </row>
    <row r="38950" customFormat="false" ht="12.8" hidden="false" customHeight="false" outlineLevel="0" collapsed="false">
      <c r="B38950" s="0" t="s">
        <v>1</v>
      </c>
    </row>
    <row r="38951" customFormat="false" ht="12.8" hidden="false" customHeight="false" outlineLevel="0" collapsed="false">
      <c r="B38951" s="0" t="s">
        <v>8</v>
      </c>
    </row>
    <row r="38952" customFormat="false" ht="12.8" hidden="false" customHeight="false" outlineLevel="0" collapsed="false">
      <c r="B38952" s="0" t="s">
        <v>14455</v>
      </c>
    </row>
    <row r="38954" customFormat="false" ht="12.8" hidden="false" customHeight="false" outlineLevel="0" collapsed="false">
      <c r="A38954" s="0" t="s">
        <v>14456</v>
      </c>
      <c r="B38954" s="0" t="str">
        <f aca="false">HYPERLINK("https://lindat.mff.cuni.cz/services/teitok/pdtc10/index.php?action=vallex&amp;frame=v-w5246f2", "připustit (v-w5246f2)")</f>
        <v>připustit (v-w5246f2)</v>
      </c>
    </row>
    <row r="38955" customFormat="false" ht="12.8" hidden="false" customHeight="false" outlineLevel="0" collapsed="false">
      <c r="B38955" s="0" t="s">
        <v>1</v>
      </c>
    </row>
    <row r="38956" customFormat="false" ht="12.8" hidden="false" customHeight="false" outlineLevel="0" collapsed="false">
      <c r="B38956" s="0" t="s">
        <v>1682</v>
      </c>
    </row>
    <row r="38958" customFormat="false" ht="12.8" hidden="false" customHeight="false" outlineLevel="0" collapsed="false">
      <c r="A38958" s="0" t="s">
        <v>14457</v>
      </c>
      <c r="B38958" s="0" t="str">
        <f aca="false">HYPERLINK("https://lindat.mff.cuni.cz/services/teitok/pdtc10/index.php?action=vallex&amp;frame=v-w5246f1", "připustit (v-w5246f1)")</f>
        <v>připustit (v-w5246f1)</v>
      </c>
      <c r="E38958" s="0" t="str">
        <f aca="false">HYPERLINK("https://lindat.mff.cuni.cz/services/SynSemClass40/SynSemClass40.html?veclass=vec00503#vec00503-ces-cm00007", "vec00503")</f>
        <v>vec00503</v>
      </c>
      <c r="F38958" s="0" t="s">
        <v>3130</v>
      </c>
    </row>
    <row r="38959" customFormat="false" ht="12.8" hidden="false" customHeight="false" outlineLevel="0" collapsed="false">
      <c r="B38959" s="0" t="s">
        <v>1</v>
      </c>
      <c r="C38959" s="0" t="s">
        <v>2986</v>
      </c>
      <c r="E38959" s="0" t="s">
        <v>11</v>
      </c>
      <c r="F38959" s="0" t="s">
        <v>3131</v>
      </c>
    </row>
    <row r="38960" customFormat="false" ht="12.8" hidden="false" customHeight="false" outlineLevel="0" collapsed="false">
      <c r="B38960" s="0" t="s">
        <v>14422</v>
      </c>
      <c r="C38960" s="0" t="s">
        <v>3133</v>
      </c>
      <c r="E38960" s="0" t="s">
        <v>3134</v>
      </c>
      <c r="F38960" s="0" t="s">
        <v>3135</v>
      </c>
    </row>
    <row r="38962" customFormat="false" ht="12.8" hidden="false" customHeight="false" outlineLevel="0" collapsed="false">
      <c r="A38962" s="0" t="s">
        <v>14458</v>
      </c>
      <c r="B38962" s="0" t="str">
        <f aca="false">HYPERLINK("https://lindat.mff.cuni.cz/services/teitok/pdtc10/index.php?action=vallex&amp;frame=v-w5246f4", "připustit (v-w5246f4)")</f>
        <v>připustit (v-w5246f4)</v>
      </c>
    </row>
    <row r="38963" customFormat="false" ht="12.8" hidden="false" customHeight="false" outlineLevel="0" collapsed="false">
      <c r="B38963" s="0" t="s">
        <v>1</v>
      </c>
    </row>
    <row r="38964" customFormat="false" ht="12.8" hidden="false" customHeight="false" outlineLevel="0" collapsed="false">
      <c r="B38964" s="0" t="s">
        <v>8</v>
      </c>
    </row>
    <row r="38966" customFormat="false" ht="12.8" hidden="false" customHeight="false" outlineLevel="0" collapsed="false">
      <c r="A38966" s="0" t="s">
        <v>14459</v>
      </c>
      <c r="B38966" s="0" t="str">
        <f aca="false">HYPERLINK("https://lindat.mff.cuni.cz/services/teitok/pdtc10/index.php?action=vallex&amp;frame=v-w5247f1", "připustit si (v-w5247f1)")</f>
        <v>připustit si (v-w5247f1)</v>
      </c>
    </row>
    <row r="38967" customFormat="false" ht="12.8" hidden="false" customHeight="false" outlineLevel="0" collapsed="false">
      <c r="B38967" s="0" t="s">
        <v>1</v>
      </c>
    </row>
    <row r="38968" customFormat="false" ht="12.8" hidden="false" customHeight="false" outlineLevel="0" collapsed="false">
      <c r="B38968" s="0" t="s">
        <v>59</v>
      </c>
    </row>
    <row r="38970" customFormat="false" ht="12.8" hidden="false" customHeight="false" outlineLevel="0" collapsed="false">
      <c r="A38970" s="0" t="s">
        <v>14460</v>
      </c>
      <c r="B38970" s="0" t="str">
        <f aca="false">HYPERLINK("https://lindat.mff.cuni.cz/services/teitok/pdtc10/index.php?action=vallex&amp;frame=v-w5247f2", "připustit si (v-w5247f2)")</f>
        <v>připustit si (v-w5247f2)</v>
      </c>
    </row>
    <row r="38971" customFormat="false" ht="12.8" hidden="false" customHeight="false" outlineLevel="0" collapsed="false">
      <c r="B38971" s="0" t="s">
        <v>1</v>
      </c>
    </row>
    <row r="38972" customFormat="false" ht="12.8" hidden="false" customHeight="false" outlineLevel="0" collapsed="false">
      <c r="B38972" s="0" t="s">
        <v>14461</v>
      </c>
    </row>
    <row r="38973" customFormat="false" ht="12.8" hidden="false" customHeight="false" outlineLevel="0" collapsed="false">
      <c r="B38973" s="0" t="s">
        <v>8</v>
      </c>
    </row>
    <row r="38975" customFormat="false" ht="12.8" hidden="false" customHeight="false" outlineLevel="0" collapsed="false">
      <c r="A38975" s="0" t="s">
        <v>14462</v>
      </c>
      <c r="B38975" s="0" t="str">
        <f aca="false">HYPERLINK("https://lindat.mff.cuni.cz/services/teitok/pdtc10/index.php?action=vallex&amp;frame=v-w12343_MMf1_MM", "připálit (v-w12343_MMf1_MM)")</f>
        <v>připálit (v-w12343_MMf1_MM)</v>
      </c>
    </row>
    <row r="38976" customFormat="false" ht="12.8" hidden="false" customHeight="false" outlineLevel="0" collapsed="false">
      <c r="B38976" s="0" t="s">
        <v>1</v>
      </c>
    </row>
    <row r="38977" customFormat="false" ht="12.8" hidden="false" customHeight="false" outlineLevel="0" collapsed="false">
      <c r="B38977" s="0" t="s">
        <v>8</v>
      </c>
    </row>
    <row r="38979" customFormat="false" ht="12.8" hidden="false" customHeight="false" outlineLevel="0" collapsed="false">
      <c r="A38979" s="0" t="s">
        <v>14463</v>
      </c>
      <c r="B38979" s="0" t="str">
        <f aca="false">HYPERLINK("https://lindat.mff.cuni.cz/services/teitok/pdtc10/index.php?action=vallex&amp;frame=v-w5206f1", "připíchnout (v-w5206f1)")</f>
        <v>připíchnout (v-w5206f1)</v>
      </c>
    </row>
    <row r="38980" customFormat="false" ht="12.8" hidden="false" customHeight="false" outlineLevel="0" collapsed="false">
      <c r="B38980" s="0" t="s">
        <v>1</v>
      </c>
    </row>
    <row r="38981" customFormat="false" ht="12.8" hidden="false" customHeight="false" outlineLevel="0" collapsed="false">
      <c r="B38981" s="0" t="s">
        <v>8</v>
      </c>
    </row>
    <row r="38982" customFormat="false" ht="12.8" hidden="false" customHeight="false" outlineLevel="0" collapsed="false">
      <c r="B38982" s="0" t="s">
        <v>164</v>
      </c>
    </row>
    <row r="38984" customFormat="false" ht="12.8" hidden="false" customHeight="false" outlineLevel="0" collapsed="false">
      <c r="A38984" s="0" t="s">
        <v>14464</v>
      </c>
      <c r="B38984" s="0" t="str">
        <f aca="false">HYPERLINK("https://lindat.mff.cuni.cz/services/teitok/pdtc10/index.php?action=vallex&amp;frame=v-w10726f2", "připíchávat (v-w10726f2)")</f>
        <v>připíchávat (v-w10726f2)</v>
      </c>
    </row>
    <row r="38985" customFormat="false" ht="12.8" hidden="false" customHeight="false" outlineLevel="0" collapsed="false">
      <c r="B38985" s="0" t="s">
        <v>1</v>
      </c>
    </row>
    <row r="38986" customFormat="false" ht="12.8" hidden="false" customHeight="false" outlineLevel="0" collapsed="false">
      <c r="B38986" s="0" t="s">
        <v>8</v>
      </c>
    </row>
    <row r="38987" customFormat="false" ht="12.8" hidden="false" customHeight="false" outlineLevel="0" collapsed="false">
      <c r="B38987" s="0" t="s">
        <v>164</v>
      </c>
    </row>
    <row r="38989" customFormat="false" ht="12.8" hidden="false" customHeight="false" outlineLevel="0" collapsed="false">
      <c r="A38989" s="0" t="s">
        <v>14465</v>
      </c>
      <c r="B38989" s="0" t="str">
        <f aca="false">HYPERLINK("https://lindat.mff.cuni.cz/services/teitok/pdtc10/index.php?action=vallex&amp;frame=v-w10478f2", "připíjet (v-w10478f2)")</f>
        <v>připíjet (v-w10478f2)</v>
      </c>
      <c r="E38989" s="0" t="str">
        <f aca="false">HYPERLINK("https://lindat.mff.cuni.cz/services/SynSemClass40/SynSemClass40.html?veclass=vec01294#vec01294-ces-cm00003", "vec01294")</f>
        <v>vec01294</v>
      </c>
      <c r="F38989" s="0" t="s">
        <v>14466</v>
      </c>
    </row>
    <row r="38990" customFormat="false" ht="12.8" hidden="false" customHeight="false" outlineLevel="0" collapsed="false">
      <c r="B38990" s="0" t="s">
        <v>1</v>
      </c>
      <c r="C38990" s="0" t="s">
        <v>459</v>
      </c>
      <c r="E38990" s="0" t="s">
        <v>31</v>
      </c>
      <c r="F38990" s="0" t="s">
        <v>2437</v>
      </c>
    </row>
    <row r="38991" customFormat="false" ht="12.8" hidden="false" customHeight="false" outlineLevel="0" collapsed="false">
      <c r="B38991" s="0" t="s">
        <v>52</v>
      </c>
      <c r="E38991" s="0" t="s">
        <v>4235</v>
      </c>
      <c r="F38991" s="0" t="s">
        <v>14467</v>
      </c>
    </row>
    <row r="38992" customFormat="false" ht="12.8" hidden="false" customHeight="false" outlineLevel="0" collapsed="false">
      <c r="B38992" s="0" t="s">
        <v>69</v>
      </c>
      <c r="C38992" s="0" t="s">
        <v>798</v>
      </c>
      <c r="E38992" s="0" t="s">
        <v>6091</v>
      </c>
      <c r="F38992" s="0" t="s">
        <v>6092</v>
      </c>
    </row>
    <row r="38994" customFormat="false" ht="12.8" hidden="false" customHeight="false" outlineLevel="0" collapsed="false">
      <c r="A38994" s="0" t="s">
        <v>14468</v>
      </c>
      <c r="B38994" s="0" t="str">
        <f aca="false">HYPERLINK("https://lindat.mff.cuni.cz/services/teitok/pdtc10/index.php?action=vallex&amp;frame=v-whsb_614hsa_615", "připíjet si (v-whsb_614hsa_615)")</f>
        <v>připíjet si (v-whsb_614hsa_615)</v>
      </c>
    </row>
    <row r="38995" customFormat="false" ht="12.8" hidden="false" customHeight="false" outlineLevel="0" collapsed="false">
      <c r="B38995" s="0" t="s">
        <v>1</v>
      </c>
    </row>
    <row r="38996" customFormat="false" ht="12.8" hidden="false" customHeight="false" outlineLevel="0" collapsed="false">
      <c r="B38996" s="0" t="s">
        <v>276</v>
      </c>
    </row>
    <row r="38997" customFormat="false" ht="12.8" hidden="false" customHeight="false" outlineLevel="0" collapsed="false">
      <c r="B38997" s="0" t="s">
        <v>69</v>
      </c>
    </row>
    <row r="38999" customFormat="false" ht="12.8" hidden="false" customHeight="false" outlineLevel="0" collapsed="false">
      <c r="A38999" s="0" t="s">
        <v>14469</v>
      </c>
      <c r="B38999" s="0" t="str">
        <f aca="false">HYPERLINK("https://lindat.mff.cuni.cz/services/teitok/pdtc10/index.php?action=vallex&amp;frame=v-w12136_ZUf1_ZU", "připínat (v-w12136_ZUf1_ZU)")</f>
        <v>připínat (v-w12136_ZUf1_ZU)</v>
      </c>
    </row>
    <row r="39000" customFormat="false" ht="12.8" hidden="false" customHeight="false" outlineLevel="0" collapsed="false">
      <c r="B39000" s="0" t="s">
        <v>1</v>
      </c>
    </row>
    <row r="39001" customFormat="false" ht="12.8" hidden="false" customHeight="false" outlineLevel="0" collapsed="false">
      <c r="B39001" s="0" t="s">
        <v>8</v>
      </c>
    </row>
    <row r="39002" customFormat="false" ht="12.8" hidden="false" customHeight="false" outlineLevel="0" collapsed="false">
      <c r="B39002" s="0" t="s">
        <v>454</v>
      </c>
    </row>
    <row r="39004" customFormat="false" ht="12.8" hidden="false" customHeight="false" outlineLevel="0" collapsed="false">
      <c r="A39004" s="0" t="s">
        <v>14470</v>
      </c>
      <c r="B39004" s="0" t="str">
        <f aca="false">HYPERLINK("https://lindat.mff.cuni.cz/services/teitok/pdtc10/index.php?action=vallex&amp;frame=v-w12283_ZUf1_ZU", "připít (v-w12283_ZUf1_ZU)")</f>
        <v>připít (v-w12283_ZUf1_ZU)</v>
      </c>
    </row>
    <row r="39005" customFormat="false" ht="12.8" hidden="false" customHeight="false" outlineLevel="0" collapsed="false">
      <c r="B39005" s="0" t="s">
        <v>1</v>
      </c>
    </row>
    <row r="39006" customFormat="false" ht="12.8" hidden="false" customHeight="false" outlineLevel="0" collapsed="false">
      <c r="B39006" s="0" t="s">
        <v>52</v>
      </c>
    </row>
    <row r="39007" customFormat="false" ht="12.8" hidden="false" customHeight="false" outlineLevel="0" collapsed="false">
      <c r="B39007" s="0" t="s">
        <v>69</v>
      </c>
    </row>
    <row r="39009" customFormat="false" ht="12.8" hidden="false" customHeight="false" outlineLevel="0" collapsed="false">
      <c r="A39009" s="0" t="s">
        <v>14471</v>
      </c>
      <c r="B39009" s="0" t="str">
        <f aca="false">HYPERLINK("https://lindat.mff.cuni.cz/services/teitok/pdtc10/index.php?action=vallex&amp;frame=v-whsa_517hsa_518", "připít si (v-whsa_517hsa_518)")</f>
        <v>připít si (v-whsa_517hsa_518)</v>
      </c>
    </row>
    <row r="39010" customFormat="false" ht="12.8" hidden="false" customHeight="false" outlineLevel="0" collapsed="false">
      <c r="B39010" s="0" t="s">
        <v>1</v>
      </c>
    </row>
    <row r="39011" customFormat="false" ht="12.8" hidden="false" customHeight="false" outlineLevel="0" collapsed="false">
      <c r="B39011" s="0" t="s">
        <v>276</v>
      </c>
    </row>
    <row r="39012" customFormat="false" ht="12.8" hidden="false" customHeight="false" outlineLevel="0" collapsed="false">
      <c r="B39012" s="0" t="s">
        <v>69</v>
      </c>
    </row>
    <row r="39014" customFormat="false" ht="12.8" hidden="false" customHeight="false" outlineLevel="0" collapsed="false">
      <c r="A39014" s="0" t="s">
        <v>14472</v>
      </c>
      <c r="B39014" s="0" t="str">
        <f aca="false">HYPERLINK("https://lindat.mff.cuni.cz/services/teitok/pdtc10/index.php?action=vallex&amp;frame=v-w5250f1", "přirovnat (v-w5250f1)")</f>
        <v>přirovnat (v-w5250f1)</v>
      </c>
      <c r="E39014" s="0" t="str">
        <f aca="false">HYPERLINK("https://lindat.mff.cuni.cz/services/SynSemClass40/SynSemClass40.html?veclass=vec00101#vec00101-ces-cm00001", "vec00101")</f>
        <v>vec00101</v>
      </c>
      <c r="F39014" s="0" t="s">
        <v>14371</v>
      </c>
    </row>
    <row r="39015" customFormat="false" ht="12.8" hidden="false" customHeight="false" outlineLevel="0" collapsed="false">
      <c r="B39015" s="0" t="s">
        <v>1</v>
      </c>
      <c r="C39015" s="0" t="s">
        <v>14372</v>
      </c>
      <c r="E39015" s="0" t="s">
        <v>5529</v>
      </c>
      <c r="F39015" s="0" t="s">
        <v>14373</v>
      </c>
    </row>
    <row r="39016" customFormat="false" ht="12.8" hidden="false" customHeight="false" outlineLevel="0" collapsed="false">
      <c r="B39016" s="0" t="s">
        <v>311</v>
      </c>
      <c r="C39016" s="0" t="s">
        <v>14374</v>
      </c>
      <c r="E39016" s="0" t="s">
        <v>2225</v>
      </c>
      <c r="F39016" s="0" t="s">
        <v>14375</v>
      </c>
    </row>
    <row r="39017" customFormat="false" ht="12.8" hidden="false" customHeight="false" outlineLevel="0" collapsed="false">
      <c r="B39017" s="0" t="s">
        <v>98</v>
      </c>
      <c r="C39017" s="0" t="s">
        <v>14376</v>
      </c>
      <c r="E39017" s="0" t="s">
        <v>14377</v>
      </c>
      <c r="F39017" s="0" t="s">
        <v>14378</v>
      </c>
    </row>
    <row r="39019" customFormat="false" ht="12.8" hidden="false" customHeight="false" outlineLevel="0" collapsed="false">
      <c r="A39019" s="0" t="s">
        <v>14473</v>
      </c>
      <c r="B39019" s="0" t="str">
        <f aca="false">HYPERLINK("https://lindat.mff.cuni.cz/services/teitok/pdtc10/index.php?action=vallex&amp;frame=v-w5251f1", "přirovnávat (v-w5251f1)")</f>
        <v>přirovnávat (v-w5251f1)</v>
      </c>
      <c r="E39019" s="0" t="str">
        <f aca="false">HYPERLINK("https://lindat.mff.cuni.cz/services/SynSemClass40/SynSemClass40.html?veclass=vec00101#vec00101-ces-cm00004", "vec00101")</f>
        <v>vec00101</v>
      </c>
      <c r="F39019" s="0" t="s">
        <v>14371</v>
      </c>
    </row>
    <row r="39020" customFormat="false" ht="12.8" hidden="false" customHeight="false" outlineLevel="0" collapsed="false">
      <c r="B39020" s="0" t="s">
        <v>1</v>
      </c>
      <c r="C39020" s="0" t="s">
        <v>14372</v>
      </c>
      <c r="E39020" s="0" t="s">
        <v>5529</v>
      </c>
      <c r="F39020" s="0" t="s">
        <v>14373</v>
      </c>
    </row>
    <row r="39021" customFormat="false" ht="12.8" hidden="false" customHeight="false" outlineLevel="0" collapsed="false">
      <c r="B39021" s="0" t="s">
        <v>311</v>
      </c>
      <c r="C39021" s="0" t="s">
        <v>14374</v>
      </c>
      <c r="E39021" s="0" t="s">
        <v>2225</v>
      </c>
      <c r="F39021" s="0" t="s">
        <v>14375</v>
      </c>
    </row>
    <row r="39022" customFormat="false" ht="12.8" hidden="false" customHeight="false" outlineLevel="0" collapsed="false">
      <c r="B39022" s="0" t="s">
        <v>98</v>
      </c>
      <c r="C39022" s="0" t="s">
        <v>14376</v>
      </c>
      <c r="E39022" s="0" t="s">
        <v>14377</v>
      </c>
      <c r="F39022" s="0" t="s">
        <v>14378</v>
      </c>
    </row>
    <row r="39024" customFormat="false" ht="12.8" hidden="false" customHeight="false" outlineLevel="0" collapsed="false">
      <c r="A39024" s="0" t="s">
        <v>14474</v>
      </c>
      <c r="B39024" s="0" t="str">
        <f aca="false">HYPERLINK("https://lindat.mff.cuni.cz/services/teitok/pdtc10/index.php?action=vallex&amp;frame=v-whsa_2005hsa_2006", "přirážet (v-whsa_2005hsa_2006)")</f>
        <v>přirážet (v-whsa_2005hsa_2006)</v>
      </c>
    </row>
    <row r="39025" customFormat="false" ht="12.8" hidden="false" customHeight="false" outlineLevel="0" collapsed="false">
      <c r="B39025" s="0" t="s">
        <v>1</v>
      </c>
    </row>
    <row r="39026" customFormat="false" ht="12.8" hidden="false" customHeight="false" outlineLevel="0" collapsed="false">
      <c r="B39026" s="0" t="s">
        <v>8</v>
      </c>
    </row>
    <row r="39027" customFormat="false" ht="12.8" hidden="false" customHeight="false" outlineLevel="0" collapsed="false">
      <c r="B39027" s="0" t="s">
        <v>164</v>
      </c>
    </row>
    <row r="39029" customFormat="false" ht="12.8" hidden="false" customHeight="false" outlineLevel="0" collapsed="false">
      <c r="A39029" s="0" t="s">
        <v>14475</v>
      </c>
      <c r="B39029" s="0" t="str">
        <f aca="false">HYPERLINK("https://lindat.mff.cuni.cz/services/teitok/pdtc10/index.php?action=vallex&amp;frame=v-whsa_587f1_ZU", "přirůst (v-whsa_587f1_ZU)")</f>
        <v>přirůst (v-whsa_587f1_ZU)</v>
      </c>
    </row>
    <row r="39030" customFormat="false" ht="12.8" hidden="false" customHeight="false" outlineLevel="0" collapsed="false">
      <c r="B39030" s="0" t="s">
        <v>1</v>
      </c>
    </row>
    <row r="39031" customFormat="false" ht="12.8" hidden="false" customHeight="false" outlineLevel="0" collapsed="false">
      <c r="B39031" s="0" t="s">
        <v>14261</v>
      </c>
    </row>
    <row r="39032" customFormat="false" ht="12.8" hidden="false" customHeight="false" outlineLevel="0" collapsed="false">
      <c r="B39032" s="0" t="s">
        <v>186</v>
      </c>
    </row>
    <row r="39034" customFormat="false" ht="12.8" hidden="false" customHeight="false" outlineLevel="0" collapsed="false">
      <c r="A39034" s="0" t="s">
        <v>14475</v>
      </c>
      <c r="B39034" s="0" t="str">
        <f aca="false">HYPERLINK("https://lindat.mff.cuni.cz/services/teitok/pdtc10/index.php?action=vallex&amp;frame=v-whsa_587hsa_588", "přirůst (v-whsa_587hsa_588) - substituted with v-whsa_587f1_ZU")</f>
        <v>přirůst (v-whsa_587hsa_588) - substituted with v-whsa_587f1_ZU</v>
      </c>
    </row>
    <row r="39035" customFormat="false" ht="12.8" hidden="false" customHeight="false" outlineLevel="0" collapsed="false">
      <c r="B39035" s="0" t="s">
        <v>1</v>
      </c>
    </row>
    <row r="39036" customFormat="false" ht="12.8" hidden="false" customHeight="false" outlineLevel="0" collapsed="false">
      <c r="B39036" s="0" t="s">
        <v>14261</v>
      </c>
    </row>
    <row r="39037" customFormat="false" ht="12.8" hidden="false" customHeight="false" outlineLevel="0" collapsed="false">
      <c r="B39037" s="0" t="s">
        <v>186</v>
      </c>
    </row>
    <row r="39039" customFormat="false" ht="12.8" hidden="false" customHeight="false" outlineLevel="0" collapsed="false">
      <c r="A39039" s="0" t="s">
        <v>14476</v>
      </c>
      <c r="B39039" s="0" t="str">
        <f aca="false">HYPERLINK("https://lindat.mff.cuni.cz/services/teitok/pdtc10/index.php?action=vallex&amp;frame=v-w5252f1", "přirůstat (v-w5252f1)")</f>
        <v>přirůstat (v-w5252f1)</v>
      </c>
    </row>
    <row r="39040" customFormat="false" ht="12.8" hidden="false" customHeight="false" outlineLevel="0" collapsed="false">
      <c r="B39040" s="0" t="s">
        <v>2882</v>
      </c>
    </row>
    <row r="39042" customFormat="false" ht="12.8" hidden="false" customHeight="false" outlineLevel="0" collapsed="false">
      <c r="A39042" s="0" t="s">
        <v>14477</v>
      </c>
      <c r="B39042" s="0" t="str">
        <f aca="false">HYPERLINK("https://lindat.mff.cuni.cz/services/teitok/pdtc10/index.php?action=vallex&amp;frame=v-w11259f1", "přisadit si (v-w11259f1)")</f>
        <v>přisadit si (v-w11259f1)</v>
      </c>
    </row>
    <row r="39043" customFormat="false" ht="12.8" hidden="false" customHeight="false" outlineLevel="0" collapsed="false">
      <c r="B39043" s="0" t="s">
        <v>1</v>
      </c>
    </row>
    <row r="39044" customFormat="false" ht="12.8" hidden="false" customHeight="false" outlineLevel="0" collapsed="false">
      <c r="B39044" s="0" t="s">
        <v>8</v>
      </c>
    </row>
    <row r="39045" customFormat="false" ht="12.8" hidden="false" customHeight="false" outlineLevel="0" collapsed="false">
      <c r="B39045" s="0" t="s">
        <v>101</v>
      </c>
    </row>
    <row r="39047" customFormat="false" ht="12.8" hidden="false" customHeight="false" outlineLevel="0" collapsed="false">
      <c r="A39047" s="0" t="s">
        <v>14478</v>
      </c>
      <c r="B39047" s="0" t="str">
        <f aca="false">HYPERLINK("https://lindat.mff.cuni.cz/services/teitok/pdtc10/index.php?action=vallex&amp;frame=v-w11994_ZUf1_ZU", "přisedat si (v-w11994_ZUf1_ZU)")</f>
        <v>přisedat si (v-w11994_ZUf1_ZU)</v>
      </c>
    </row>
    <row r="39048" customFormat="false" ht="12.8" hidden="false" customHeight="false" outlineLevel="0" collapsed="false">
      <c r="B39048" s="0" t="s">
        <v>1</v>
      </c>
    </row>
    <row r="39049" customFormat="false" ht="12.8" hidden="false" customHeight="false" outlineLevel="0" collapsed="false">
      <c r="B39049" s="0" t="s">
        <v>454</v>
      </c>
    </row>
    <row r="39051" customFormat="false" ht="12.8" hidden="false" customHeight="false" outlineLevel="0" collapsed="false">
      <c r="A39051" s="0" t="s">
        <v>14479</v>
      </c>
      <c r="B39051" s="0" t="str">
        <f aca="false">HYPERLINK("https://lindat.mff.cuni.cz/services/teitok/pdtc10/index.php?action=vallex&amp;frame=v-whsa_659hsa_660", "přisednout si (v-whsa_659hsa_660)")</f>
        <v>přisednout si (v-whsa_659hsa_660)</v>
      </c>
    </row>
    <row r="39052" customFormat="false" ht="12.8" hidden="false" customHeight="false" outlineLevel="0" collapsed="false">
      <c r="B39052" s="0" t="s">
        <v>1</v>
      </c>
    </row>
    <row r="39053" customFormat="false" ht="12.8" hidden="false" customHeight="false" outlineLevel="0" collapsed="false">
      <c r="B39053" s="0" t="s">
        <v>164</v>
      </c>
    </row>
    <row r="39055" customFormat="false" ht="12.8" hidden="false" customHeight="false" outlineLevel="0" collapsed="false">
      <c r="A39055" s="0" t="s">
        <v>14480</v>
      </c>
      <c r="B39055" s="0" t="str">
        <f aca="false">HYPERLINK("https://lindat.mff.cuni.cz/services/teitok/pdtc10/index.php?action=vallex&amp;frame=v-w10589f2", "přiskakovat (v-w10589f2)")</f>
        <v>přiskakovat (v-w10589f2)</v>
      </c>
    </row>
    <row r="39056" customFormat="false" ht="12.8" hidden="false" customHeight="false" outlineLevel="0" collapsed="false">
      <c r="B39056" s="0" t="s">
        <v>1</v>
      </c>
    </row>
    <row r="39057" customFormat="false" ht="12.8" hidden="false" customHeight="false" outlineLevel="0" collapsed="false">
      <c r="B39057" s="0" t="s">
        <v>164</v>
      </c>
    </row>
    <row r="39059" customFormat="false" ht="12.8" hidden="false" customHeight="false" outlineLevel="0" collapsed="false">
      <c r="A39059" s="0" t="s">
        <v>14481</v>
      </c>
      <c r="B39059" s="0" t="str">
        <f aca="false">HYPERLINK("https://lindat.mff.cuni.cz/services/teitok/pdtc10/index.php?action=vallex&amp;frame=v-whsa_1741hsa_1742", "přiskočit (v-whsa_1741hsa_1742)")</f>
        <v>přiskočit (v-whsa_1741hsa_1742)</v>
      </c>
    </row>
    <row r="39060" customFormat="false" ht="12.8" hidden="false" customHeight="false" outlineLevel="0" collapsed="false">
      <c r="B39060" s="0" t="s">
        <v>1</v>
      </c>
    </row>
    <row r="39061" customFormat="false" ht="12.8" hidden="false" customHeight="false" outlineLevel="0" collapsed="false">
      <c r="B39061" s="0" t="s">
        <v>164</v>
      </c>
    </row>
    <row r="39063" customFormat="false" ht="12.8" hidden="false" customHeight="false" outlineLevel="0" collapsed="false">
      <c r="A39063" s="0" t="s">
        <v>14482</v>
      </c>
      <c r="B39063" s="0" t="str">
        <f aca="false">HYPERLINK("https://lindat.mff.cuni.cz/services/teitok/pdtc10/index.php?action=vallex&amp;frame=v-w11563_ZUf1_ZU", "přiskřípnout (v-w11563_ZUf1_ZU)")</f>
        <v>přiskřípnout (v-w11563_ZUf1_ZU)</v>
      </c>
    </row>
    <row r="39064" customFormat="false" ht="12.8" hidden="false" customHeight="false" outlineLevel="0" collapsed="false">
      <c r="B39064" s="0" t="s">
        <v>1</v>
      </c>
    </row>
    <row r="39065" customFormat="false" ht="12.8" hidden="false" customHeight="false" outlineLevel="0" collapsed="false">
      <c r="B39065" s="0" t="s">
        <v>8</v>
      </c>
    </row>
    <row r="39067" customFormat="false" ht="12.8" hidden="false" customHeight="false" outlineLevel="0" collapsed="false">
      <c r="A39067" s="0" t="s">
        <v>14483</v>
      </c>
      <c r="B39067" s="0" t="str">
        <f aca="false">HYPERLINK("https://lindat.mff.cuni.cz/services/teitok/pdtc10/index.php?action=vallex&amp;frame=v-w10872f2", "přisladit (v-w10872f2)")</f>
        <v>přisladit (v-w10872f2)</v>
      </c>
    </row>
    <row r="39068" customFormat="false" ht="12.8" hidden="false" customHeight="false" outlineLevel="0" collapsed="false">
      <c r="B39068" s="0" t="s">
        <v>1</v>
      </c>
    </row>
    <row r="39069" customFormat="false" ht="12.8" hidden="false" customHeight="false" outlineLevel="0" collapsed="false">
      <c r="B39069" s="0" t="s">
        <v>8</v>
      </c>
    </row>
    <row r="39071" customFormat="false" ht="12.8" hidden="false" customHeight="false" outlineLevel="0" collapsed="false">
      <c r="A39071" s="0" t="s">
        <v>14484</v>
      </c>
      <c r="B39071" s="0" t="str">
        <f aca="false">HYPERLINK("https://lindat.mff.cuni.cz/services/teitok/pdtc10/index.php?action=vallex&amp;frame=v-w5264f1", "přislíbit (v-w5264f1)")</f>
        <v>přislíbit (v-w5264f1)</v>
      </c>
      <c r="E39071" s="0" t="str">
        <f aca="false">HYPERLINK("https://lindat.mff.cuni.cz/services/SynSemClass40/SynSemClass40.html?veclass=vec00311#vec00311-ces-cm00003", "vec00311")</f>
        <v>vec00311</v>
      </c>
      <c r="F39071" s="0" t="s">
        <v>14485</v>
      </c>
    </row>
    <row r="39072" customFormat="false" ht="12.8" hidden="false" customHeight="false" outlineLevel="0" collapsed="false">
      <c r="B39072" s="0" t="s">
        <v>1</v>
      </c>
      <c r="C39072" s="0" t="s">
        <v>14486</v>
      </c>
      <c r="E39072" s="0" t="s">
        <v>63</v>
      </c>
      <c r="F39072" s="0" t="s">
        <v>14487</v>
      </c>
    </row>
    <row r="39073" customFormat="false" ht="12.8" hidden="false" customHeight="false" outlineLevel="0" collapsed="false">
      <c r="B39073" s="0" t="s">
        <v>14488</v>
      </c>
      <c r="C39073" s="0" t="s">
        <v>14489</v>
      </c>
      <c r="E39073" s="0" t="s">
        <v>4209</v>
      </c>
      <c r="F39073" s="0" t="s">
        <v>14490</v>
      </c>
    </row>
    <row r="39074" customFormat="false" ht="12.8" hidden="false" customHeight="false" outlineLevel="0" collapsed="false">
      <c r="B39074" s="0" t="s">
        <v>52</v>
      </c>
      <c r="C39074" s="0" t="s">
        <v>14491</v>
      </c>
      <c r="E39074" s="0" t="s">
        <v>53</v>
      </c>
      <c r="F39074" s="0" t="s">
        <v>14492</v>
      </c>
    </row>
    <row r="39076" customFormat="false" ht="12.8" hidden="false" customHeight="false" outlineLevel="0" collapsed="false">
      <c r="A39076" s="0" t="s">
        <v>14493</v>
      </c>
      <c r="B39076" s="0" t="str">
        <f aca="false">HYPERLINK("https://lindat.mff.cuni.cz/services/teitok/pdtc10/index.php?action=vallex&amp;frame=v-w5275f1", "přisoudit (v-w5275f1)")</f>
        <v>přisoudit (v-w5275f1)</v>
      </c>
      <c r="E39076" s="0" t="str">
        <f aca="false">HYPERLINK("https://lindat.mff.cuni.cz/services/SynSemClass40/SynSemClass40.html?veclass=vec00291#vec00291-ces-cm00012", "vec00291")</f>
        <v>vec00291</v>
      </c>
      <c r="F39076" s="0" t="s">
        <v>10760</v>
      </c>
    </row>
    <row r="39077" customFormat="false" ht="12.8" hidden="false" customHeight="false" outlineLevel="0" collapsed="false">
      <c r="B39077" s="0" t="s">
        <v>1</v>
      </c>
      <c r="C39077" s="0" t="s">
        <v>2240</v>
      </c>
      <c r="E39077" s="0" t="s">
        <v>10761</v>
      </c>
      <c r="F39077" s="0" t="s">
        <v>10762</v>
      </c>
    </row>
    <row r="39078" customFormat="false" ht="12.8" hidden="false" customHeight="false" outlineLevel="0" collapsed="false">
      <c r="B39078" s="0" t="s">
        <v>59</v>
      </c>
      <c r="C39078" s="0" t="s">
        <v>10763</v>
      </c>
      <c r="E39078" s="0" t="s">
        <v>1544</v>
      </c>
      <c r="F39078" s="0" t="s">
        <v>10764</v>
      </c>
    </row>
    <row r="39079" customFormat="false" ht="12.8" hidden="false" customHeight="false" outlineLevel="0" collapsed="false">
      <c r="B39079" s="0" t="s">
        <v>52</v>
      </c>
      <c r="C39079" s="0" t="s">
        <v>10765</v>
      </c>
      <c r="E39079" s="0" t="s">
        <v>53</v>
      </c>
      <c r="F39079" s="0" t="s">
        <v>10766</v>
      </c>
    </row>
    <row r="39081" customFormat="false" ht="12.8" hidden="false" customHeight="false" outlineLevel="0" collapsed="false">
      <c r="A39081" s="0" t="s">
        <v>14494</v>
      </c>
      <c r="B39081" s="0" t="str">
        <f aca="false">HYPERLINK("https://lindat.mff.cuni.cz/services/teitok/pdtc10/index.php?action=vallex&amp;frame=v-w5281f2", "přispívat (v-w5281f2)")</f>
        <v>přispívat (v-w5281f2)</v>
      </c>
      <c r="E39081" s="0" t="str">
        <f aca="false">HYPERLINK("https://lindat.mff.cuni.cz/services/SynSemClass40/SynSemClass40.html?veclass=vec00695#vec00695-ces-cm00104", "vec00695")</f>
        <v>vec00695</v>
      </c>
      <c r="F39081" s="0" t="s">
        <v>3657</v>
      </c>
    </row>
    <row r="39082" customFormat="false" ht="12.8" hidden="false" customHeight="false" outlineLevel="0" collapsed="false">
      <c r="B39082" s="0" t="s">
        <v>1</v>
      </c>
      <c r="C39082" s="0" t="s">
        <v>8315</v>
      </c>
      <c r="E39082" s="0" t="s">
        <v>3659</v>
      </c>
      <c r="F39082" s="0" t="s">
        <v>3660</v>
      </c>
    </row>
    <row r="39083" customFormat="false" ht="12.8" hidden="false" customHeight="false" outlineLevel="0" collapsed="false">
      <c r="B39083" s="0" t="s">
        <v>2299</v>
      </c>
      <c r="C39083" s="0" t="s">
        <v>14495</v>
      </c>
      <c r="E39083" s="0" t="s">
        <v>3662</v>
      </c>
      <c r="F39083" s="0" t="s">
        <v>3663</v>
      </c>
    </row>
    <row r="39084" customFormat="false" ht="12.8" hidden="false" customHeight="false" outlineLevel="0" collapsed="false">
      <c r="B39084" s="0" t="s">
        <v>52</v>
      </c>
      <c r="C39084" s="0" t="s">
        <v>14496</v>
      </c>
      <c r="E39084" s="0" t="s">
        <v>53</v>
      </c>
      <c r="F39084" s="0" t="s">
        <v>3665</v>
      </c>
    </row>
    <row r="39086" customFormat="false" ht="12.8" hidden="false" customHeight="false" outlineLevel="0" collapsed="false">
      <c r="A39086" s="0" t="s">
        <v>14497</v>
      </c>
      <c r="B39086" s="0" t="str">
        <f aca="false">HYPERLINK("https://lindat.mff.cuni.cz/services/teitok/pdtc10/index.php?action=vallex&amp;frame=v-w5281f4_ZU", "přispívat (v-w5281f4_ZU)")</f>
        <v>přispívat (v-w5281f4_ZU)</v>
      </c>
      <c r="E39086" s="0" t="str">
        <f aca="false">HYPERLINK("https://lindat.mff.cuni.cz/services/SynSemClass40/SynSemClass40.html?veclass=vec00067#vec00067-ces-cm00172", "vec00067")</f>
        <v>vec00067</v>
      </c>
      <c r="F39086" s="0" t="s">
        <v>126</v>
      </c>
    </row>
    <row r="39087" customFormat="false" ht="12.8" hidden="false" customHeight="false" outlineLevel="0" collapsed="false">
      <c r="B39087" s="0" t="s">
        <v>345</v>
      </c>
      <c r="C39087" s="0" t="s">
        <v>185</v>
      </c>
      <c r="E39087" s="0" t="s">
        <v>11</v>
      </c>
      <c r="F39087" s="0" t="s">
        <v>129</v>
      </c>
    </row>
    <row r="39088" customFormat="false" ht="12.8" hidden="false" customHeight="false" outlineLevel="0" collapsed="false">
      <c r="B39088" s="0" t="s">
        <v>14498</v>
      </c>
      <c r="C39088" s="0" t="s">
        <v>187</v>
      </c>
      <c r="E39088" s="0" t="s">
        <v>188</v>
      </c>
      <c r="F39088" s="0" t="s">
        <v>189</v>
      </c>
    </row>
    <row r="39090" customFormat="false" ht="12.8" hidden="false" customHeight="false" outlineLevel="0" collapsed="false">
      <c r="A39090" s="0" t="s">
        <v>14497</v>
      </c>
      <c r="B39090" s="0" t="str">
        <f aca="false">HYPERLINK("https://lindat.mff.cuni.cz/services/teitok/pdtc10/index.php?action=vallex&amp;frame=v-w5281f1", "přispívat (v-w5281f1) - substituted with v-w5281f4_ZU")</f>
        <v>přispívat (v-w5281f1) - substituted with v-w5281f4_ZU</v>
      </c>
    </row>
    <row r="39091" customFormat="false" ht="12.8" hidden="false" customHeight="false" outlineLevel="0" collapsed="false">
      <c r="B39091" s="0" t="s">
        <v>345</v>
      </c>
    </row>
    <row r="39092" customFormat="false" ht="12.8" hidden="false" customHeight="false" outlineLevel="0" collapsed="false">
      <c r="B39092" s="0" t="s">
        <v>14498</v>
      </c>
    </row>
    <row r="39094" customFormat="false" ht="12.8" hidden="false" customHeight="false" outlineLevel="0" collapsed="false">
      <c r="A39094" s="0" t="s">
        <v>14499</v>
      </c>
      <c r="B39094" s="0" t="str">
        <f aca="false">HYPERLINK("https://lindat.mff.cuni.cz/services/teitok/pdtc10/index.php?action=vallex&amp;frame=v-w5281f3", "přispívat (v-w5281f3)")</f>
        <v>přispívat (v-w5281f3)</v>
      </c>
    </row>
    <row r="39095" customFormat="false" ht="12.8" hidden="false" customHeight="false" outlineLevel="0" collapsed="false">
      <c r="B39095" s="0" t="s">
        <v>1</v>
      </c>
    </row>
    <row r="39096" customFormat="false" ht="12.8" hidden="false" customHeight="false" outlineLevel="0" collapsed="false">
      <c r="B39096" s="0" t="s">
        <v>164</v>
      </c>
    </row>
    <row r="39098" customFormat="false" ht="12.8" hidden="false" customHeight="false" outlineLevel="0" collapsed="false">
      <c r="A39098" s="0" t="s">
        <v>14500</v>
      </c>
      <c r="B39098" s="0" t="str">
        <f aca="false">HYPERLINK("https://lindat.mff.cuni.cz/services/teitok/pdtc10/index.php?action=vallex&amp;frame=v-w5276f1", "přispěchat (v-w5276f1)")</f>
        <v>přispěchat (v-w5276f1)</v>
      </c>
      <c r="E39098" s="0" t="str">
        <f aca="false">HYPERLINK("https://lindat.mff.cuni.cz/services/SynSemClass40/SynSemClass40.html?veclass=vec00722#vec00722-ces-cm00006", "vec00722")</f>
        <v>vec00722</v>
      </c>
      <c r="F39098" s="0" t="s">
        <v>11557</v>
      </c>
    </row>
    <row r="39099" customFormat="false" ht="12.8" hidden="false" customHeight="false" outlineLevel="0" collapsed="false">
      <c r="B39099" s="0" t="s">
        <v>1</v>
      </c>
      <c r="C39099" s="0" t="s">
        <v>1507</v>
      </c>
      <c r="E39099" s="0" t="s">
        <v>334</v>
      </c>
      <c r="F39099" s="0" t="s">
        <v>11558</v>
      </c>
    </row>
    <row r="39100" customFormat="false" ht="12.8" hidden="false" customHeight="false" outlineLevel="0" collapsed="false">
      <c r="B39100" s="0" t="s">
        <v>164</v>
      </c>
      <c r="E39100" s="0" t="s">
        <v>370</v>
      </c>
      <c r="F39100" s="0" t="s">
        <v>3041</v>
      </c>
    </row>
    <row r="39102" customFormat="false" ht="12.8" hidden="false" customHeight="false" outlineLevel="0" collapsed="false">
      <c r="A39102" s="0" t="s">
        <v>14501</v>
      </c>
      <c r="B39102" s="0" t="str">
        <f aca="false">HYPERLINK("https://lindat.mff.cuni.cz/services/teitok/pdtc10/index.php?action=vallex&amp;frame=v-w5278hsa_592", "přispět (v-w5278hsa_592)")</f>
        <v>přispět (v-w5278hsa_592)</v>
      </c>
      <c r="E39102" s="0" t="str">
        <f aca="false">HYPERLINK("https://lindat.mff.cuni.cz/services/SynSemClass40/SynSemClass40.html?veclass=vec00695#vec00695-ces-cm00001", "vec00695")</f>
        <v>vec00695</v>
      </c>
      <c r="F39102" s="0" t="s">
        <v>3657</v>
      </c>
    </row>
    <row r="39103" customFormat="false" ht="12.8" hidden="false" customHeight="false" outlineLevel="0" collapsed="false">
      <c r="B39103" s="0" t="s">
        <v>1</v>
      </c>
      <c r="C39103" s="0" t="s">
        <v>8315</v>
      </c>
      <c r="E39103" s="0" t="s">
        <v>3659</v>
      </c>
      <c r="F39103" s="0" t="s">
        <v>3660</v>
      </c>
    </row>
    <row r="39104" customFormat="false" ht="12.8" hidden="false" customHeight="false" outlineLevel="0" collapsed="false">
      <c r="B39104" s="0" t="s">
        <v>2299</v>
      </c>
      <c r="C39104" s="0" t="s">
        <v>14495</v>
      </c>
      <c r="E39104" s="0" t="s">
        <v>3662</v>
      </c>
      <c r="F39104" s="0" t="s">
        <v>3663</v>
      </c>
    </row>
    <row r="39105" customFormat="false" ht="12.8" hidden="false" customHeight="false" outlineLevel="0" collapsed="false">
      <c r="B39105" s="0" t="s">
        <v>52</v>
      </c>
      <c r="C39105" s="0" t="s">
        <v>14496</v>
      </c>
      <c r="E39105" s="0" t="s">
        <v>53</v>
      </c>
      <c r="F39105" s="0" t="s">
        <v>3665</v>
      </c>
    </row>
    <row r="39107" customFormat="false" ht="12.8" hidden="false" customHeight="false" outlineLevel="0" collapsed="false">
      <c r="A39107" s="0" t="s">
        <v>14501</v>
      </c>
      <c r="B39107" s="0" t="str">
        <f aca="false">HYPERLINK("https://lindat.mff.cuni.cz/services/teitok/pdtc10/index.php?action=vallex&amp;frame=v-w5278f2", "přispět (v-w5278f2) - substituted with v-w5278hsa_592")</f>
        <v>přispět (v-w5278f2) - substituted with v-w5278hsa_592</v>
      </c>
    </row>
    <row r="39108" customFormat="false" ht="12.8" hidden="false" customHeight="false" outlineLevel="0" collapsed="false">
      <c r="B39108" s="0" t="s">
        <v>1</v>
      </c>
    </row>
    <row r="39109" customFormat="false" ht="12.8" hidden="false" customHeight="false" outlineLevel="0" collapsed="false">
      <c r="B39109" s="0" t="s">
        <v>2299</v>
      </c>
    </row>
    <row r="39110" customFormat="false" ht="12.8" hidden="false" customHeight="false" outlineLevel="0" collapsed="false">
      <c r="B39110" s="0" t="s">
        <v>52</v>
      </c>
    </row>
    <row r="39112" customFormat="false" ht="12.8" hidden="false" customHeight="false" outlineLevel="0" collapsed="false">
      <c r="A39112" s="0" t="s">
        <v>14502</v>
      </c>
      <c r="B39112" s="0" t="str">
        <f aca="false">HYPERLINK("https://lindat.mff.cuni.cz/services/teitok/pdtc10/index.php?action=vallex&amp;frame=v-w5278f4_ZU", "přispět (v-w5278f4_ZU)")</f>
        <v>přispět (v-w5278f4_ZU)</v>
      </c>
    </row>
    <row r="39113" customFormat="false" ht="12.8" hidden="false" customHeight="false" outlineLevel="0" collapsed="false">
      <c r="B39113" s="0" t="s">
        <v>1</v>
      </c>
    </row>
    <row r="39114" customFormat="false" ht="12.8" hidden="false" customHeight="false" outlineLevel="0" collapsed="false">
      <c r="B39114" s="0" t="s">
        <v>14498</v>
      </c>
    </row>
    <row r="39116" customFormat="false" ht="12.8" hidden="false" customHeight="false" outlineLevel="0" collapsed="false">
      <c r="A39116" s="0" t="s">
        <v>14502</v>
      </c>
      <c r="B39116" s="0" t="str">
        <f aca="false">HYPERLINK("https://lindat.mff.cuni.cz/services/teitok/pdtc10/index.php?action=vallex&amp;frame=v-w5278f1", "přispět (v-w5278f1) - substituted with v-w5278f4_ZU")</f>
        <v>přispět (v-w5278f1) - substituted with v-w5278f4_ZU</v>
      </c>
      <c r="E39116" s="0" t="str">
        <f aca="false">HYPERLINK("https://lindat.mff.cuni.cz/services/SynSemClass40/SynSemClass40.html?veclass=vec00067#vec00067-ces-cm00167", "vec00067")</f>
        <v>vec00067</v>
      </c>
      <c r="F39116" s="0" t="s">
        <v>126</v>
      </c>
    </row>
    <row r="39117" customFormat="false" ht="12.8" hidden="false" customHeight="false" outlineLevel="0" collapsed="false">
      <c r="B39117" s="0" t="s">
        <v>1</v>
      </c>
      <c r="C39117" s="0" t="s">
        <v>185</v>
      </c>
      <c r="E39117" s="0" t="s">
        <v>11</v>
      </c>
      <c r="F39117" s="0" t="s">
        <v>129</v>
      </c>
    </row>
    <row r="39118" customFormat="false" ht="12.8" hidden="false" customHeight="false" outlineLevel="0" collapsed="false">
      <c r="B39118" s="0" t="s">
        <v>14498</v>
      </c>
      <c r="C39118" s="0" t="s">
        <v>187</v>
      </c>
      <c r="E39118" s="0" t="s">
        <v>188</v>
      </c>
      <c r="F39118" s="0" t="s">
        <v>189</v>
      </c>
    </row>
    <row r="39120" customFormat="false" ht="12.8" hidden="false" customHeight="false" outlineLevel="0" collapsed="false">
      <c r="A39120" s="0" t="s">
        <v>14503</v>
      </c>
      <c r="B39120" s="0" t="str">
        <f aca="false">HYPERLINK("https://lindat.mff.cuni.cz/services/teitok/pdtc10/index.php?action=vallex&amp;frame=v-w5278f3", "přispět (v-w5278f3)")</f>
        <v>přispět (v-w5278f3)</v>
      </c>
    </row>
    <row r="39121" customFormat="false" ht="12.8" hidden="false" customHeight="false" outlineLevel="0" collapsed="false">
      <c r="B39121" s="0" t="s">
        <v>1</v>
      </c>
    </row>
    <row r="39122" customFormat="false" ht="12.8" hidden="false" customHeight="false" outlineLevel="0" collapsed="false">
      <c r="B39122" s="0" t="s">
        <v>164</v>
      </c>
    </row>
    <row r="39124" customFormat="false" ht="12.8" hidden="false" customHeight="false" outlineLevel="0" collapsed="false">
      <c r="A39124" s="0" t="s">
        <v>14504</v>
      </c>
      <c r="B39124" s="0" t="str">
        <f aca="false">HYPERLINK("https://lindat.mff.cuni.cz/services/teitok/pdtc10/index.php?action=vallex&amp;frame=v-whsa_1921f1_ZU", "přistavit (v-whsa_1921f1_ZU)")</f>
        <v>přistavit (v-whsa_1921f1_ZU)</v>
      </c>
    </row>
    <row r="39125" customFormat="false" ht="12.8" hidden="false" customHeight="false" outlineLevel="0" collapsed="false">
      <c r="B39125" s="0" t="s">
        <v>1</v>
      </c>
    </row>
    <row r="39126" customFormat="false" ht="12.8" hidden="false" customHeight="false" outlineLevel="0" collapsed="false">
      <c r="B39126" s="0" t="s">
        <v>8</v>
      </c>
    </row>
    <row r="39127" customFormat="false" ht="12.8" hidden="false" customHeight="false" outlineLevel="0" collapsed="false">
      <c r="B39127" s="0" t="s">
        <v>36</v>
      </c>
    </row>
    <row r="39129" customFormat="false" ht="12.8" hidden="false" customHeight="false" outlineLevel="0" collapsed="false">
      <c r="A39129" s="0" t="s">
        <v>14504</v>
      </c>
      <c r="B39129" s="0" t="str">
        <f aca="false">HYPERLINK("https://lindat.mff.cuni.cz/services/teitok/pdtc10/index.php?action=vallex&amp;frame=v-whsa_1921hsa_1922", "přistavit (v-whsa_1921hsa_1922) - substituted with v-whsa_1921f1_ZU")</f>
        <v>přistavit (v-whsa_1921hsa_1922) - substituted with v-whsa_1921f1_ZU</v>
      </c>
    </row>
    <row r="39130" customFormat="false" ht="12.8" hidden="false" customHeight="false" outlineLevel="0" collapsed="false">
      <c r="B39130" s="0" t="s">
        <v>1</v>
      </c>
    </row>
    <row r="39131" customFormat="false" ht="12.8" hidden="false" customHeight="false" outlineLevel="0" collapsed="false">
      <c r="B39131" s="0" t="s">
        <v>8</v>
      </c>
    </row>
    <row r="39132" customFormat="false" ht="12.8" hidden="false" customHeight="false" outlineLevel="0" collapsed="false">
      <c r="B39132" s="0" t="s">
        <v>36</v>
      </c>
    </row>
    <row r="39134" customFormat="false" ht="12.8" hidden="false" customHeight="false" outlineLevel="0" collapsed="false">
      <c r="A39134" s="0" t="s">
        <v>14505</v>
      </c>
      <c r="B39134" s="0" t="str">
        <f aca="false">HYPERLINK("https://lindat.mff.cuni.cz/services/teitok/pdtc10/index.php?action=vallex&amp;frame=v-whsa_1921f2_ZU", "přistavit (v-whsa_1921f2_ZU)")</f>
        <v>přistavit (v-whsa_1921f2_ZU)</v>
      </c>
    </row>
    <row r="39135" customFormat="false" ht="12.8" hidden="false" customHeight="false" outlineLevel="0" collapsed="false">
      <c r="B39135" s="0" t="s">
        <v>1</v>
      </c>
    </row>
    <row r="39136" customFormat="false" ht="12.8" hidden="false" customHeight="false" outlineLevel="0" collapsed="false">
      <c r="B39136" s="0" t="s">
        <v>8</v>
      </c>
    </row>
    <row r="39137" customFormat="false" ht="12.8" hidden="false" customHeight="false" outlineLevel="0" collapsed="false">
      <c r="B39137" s="0" t="s">
        <v>164</v>
      </c>
    </row>
    <row r="39139" customFormat="false" ht="12.8" hidden="false" customHeight="false" outlineLevel="0" collapsed="false">
      <c r="A39139" s="0" t="s">
        <v>14505</v>
      </c>
      <c r="B39139" s="0" t="str">
        <f aca="false">HYPERLINK("https://lindat.mff.cuni.cz/services/teitok/pdtc10/index.php?action=vallex&amp;frame=v-whsa_1921hsa_1923", "přistavit (v-whsa_1921hsa_1923) - substituted with v-whsa_1921f2_ZU")</f>
        <v>přistavit (v-whsa_1921hsa_1923) - substituted with v-whsa_1921f2_ZU</v>
      </c>
    </row>
    <row r="39140" customFormat="false" ht="12.8" hidden="false" customHeight="false" outlineLevel="0" collapsed="false">
      <c r="B39140" s="0" t="s">
        <v>1</v>
      </c>
    </row>
    <row r="39141" customFormat="false" ht="12.8" hidden="false" customHeight="false" outlineLevel="0" collapsed="false">
      <c r="B39141" s="0" t="s">
        <v>8</v>
      </c>
    </row>
    <row r="39142" customFormat="false" ht="12.8" hidden="false" customHeight="false" outlineLevel="0" collapsed="false">
      <c r="B39142" s="0" t="s">
        <v>164</v>
      </c>
    </row>
    <row r="39144" customFormat="false" ht="12.8" hidden="false" customHeight="false" outlineLevel="0" collapsed="false">
      <c r="A39144" s="0" t="s">
        <v>14506</v>
      </c>
      <c r="B39144" s="0" t="str">
        <f aca="false">HYPERLINK("https://lindat.mff.cuni.cz/services/teitok/pdtc10/index.php?action=vallex&amp;frame=v-w5286f1", "přistavovat (v-w5286f1)")</f>
        <v>přistavovat (v-w5286f1)</v>
      </c>
    </row>
    <row r="39145" customFormat="false" ht="12.8" hidden="false" customHeight="false" outlineLevel="0" collapsed="false">
      <c r="B39145" s="0" t="s">
        <v>1</v>
      </c>
    </row>
    <row r="39146" customFormat="false" ht="12.8" hidden="false" customHeight="false" outlineLevel="0" collapsed="false">
      <c r="B39146" s="0" t="s">
        <v>8</v>
      </c>
    </row>
    <row r="39147" customFormat="false" ht="12.8" hidden="false" customHeight="false" outlineLevel="0" collapsed="false">
      <c r="B39147" s="0" t="s">
        <v>36</v>
      </c>
    </row>
    <row r="39149" customFormat="false" ht="12.8" hidden="false" customHeight="false" outlineLevel="0" collapsed="false">
      <c r="A39149" s="0" t="s">
        <v>14507</v>
      </c>
      <c r="B39149" s="0" t="str">
        <f aca="false">HYPERLINK("https://lindat.mff.cuni.cz/services/teitok/pdtc10/index.php?action=vallex&amp;frame=v-w5285f1", "přistavět (v-w5285f1)")</f>
        <v>přistavět (v-w5285f1)</v>
      </c>
    </row>
    <row r="39150" customFormat="false" ht="12.8" hidden="false" customHeight="false" outlineLevel="0" collapsed="false">
      <c r="B39150" s="0" t="s">
        <v>1</v>
      </c>
    </row>
    <row r="39151" customFormat="false" ht="12.8" hidden="false" customHeight="false" outlineLevel="0" collapsed="false">
      <c r="B39151" s="0" t="s">
        <v>8</v>
      </c>
    </row>
    <row r="39152" customFormat="false" ht="12.8" hidden="false" customHeight="false" outlineLevel="0" collapsed="false">
      <c r="B39152" s="0" t="s">
        <v>36</v>
      </c>
    </row>
    <row r="39154" customFormat="false" ht="12.8" hidden="false" customHeight="false" outlineLevel="0" collapsed="false">
      <c r="A39154" s="0" t="s">
        <v>14508</v>
      </c>
      <c r="B39154" s="0" t="str">
        <f aca="false">HYPERLINK("https://lindat.mff.cuni.cz/services/teitok/pdtc10/index.php?action=vallex&amp;frame=v-w5289f1", "přistihnout (v-w5289f1)")</f>
        <v>přistihnout (v-w5289f1)</v>
      </c>
    </row>
    <row r="39155" customFormat="false" ht="12.8" hidden="false" customHeight="false" outlineLevel="0" collapsed="false">
      <c r="B39155" s="0" t="s">
        <v>1</v>
      </c>
    </row>
    <row r="39156" customFormat="false" ht="12.8" hidden="false" customHeight="false" outlineLevel="0" collapsed="false">
      <c r="B39156" s="0" t="s">
        <v>8</v>
      </c>
    </row>
    <row r="39158" customFormat="false" ht="12.8" hidden="false" customHeight="false" outlineLevel="0" collapsed="false">
      <c r="A39158" s="0" t="s">
        <v>14509</v>
      </c>
      <c r="B39158" s="0" t="str">
        <f aca="false">HYPERLINK("https://lindat.mff.cuni.cz/services/teitok/pdtc10/index.php?action=vallex&amp;frame=v-w5291f4", "přistoupit (v-w5291f4)")</f>
        <v>přistoupit (v-w5291f4)</v>
      </c>
      <c r="E39158" s="0" t="str">
        <f aca="false">HYPERLINK("https://lindat.mff.cuni.cz/services/SynSemClass40/SynSemClass40.html?veclass=vec00038#vec00038-ces-cm00152", "vec00038")</f>
        <v>vec00038</v>
      </c>
      <c r="F39158" s="0" t="s">
        <v>74</v>
      </c>
    </row>
    <row r="39159" customFormat="false" ht="12.8" hidden="false" customHeight="false" outlineLevel="0" collapsed="false">
      <c r="B39159" s="0" t="s">
        <v>1</v>
      </c>
      <c r="C39159" s="0" t="s">
        <v>75</v>
      </c>
      <c r="E39159" s="0" t="s">
        <v>76</v>
      </c>
      <c r="F39159" s="0" t="s">
        <v>77</v>
      </c>
    </row>
    <row r="39160" customFormat="false" ht="12.8" hidden="false" customHeight="false" outlineLevel="0" collapsed="false">
      <c r="B39160" s="0" t="s">
        <v>311</v>
      </c>
      <c r="C39160" s="0" t="s">
        <v>78</v>
      </c>
      <c r="E39160" s="0" t="s">
        <v>79</v>
      </c>
      <c r="F39160" s="0" t="s">
        <v>80</v>
      </c>
    </row>
    <row r="39162" customFormat="false" ht="12.8" hidden="false" customHeight="false" outlineLevel="0" collapsed="false">
      <c r="A39162" s="0" t="s">
        <v>14510</v>
      </c>
      <c r="B39162" s="0" t="str">
        <f aca="false">HYPERLINK("https://lindat.mff.cuni.cz/services/teitok/pdtc10/index.php?action=vallex&amp;frame=v-w5291f1", "přistoupit (v-w5291f1)")</f>
        <v>přistoupit (v-w5291f1)</v>
      </c>
      <c r="E39162" s="0" t="str">
        <f aca="false">HYPERLINK("https://lindat.mff.cuni.cz/services/SynSemClass40/SynSemClass40.html?veclass=vec00120#vec00120-ces-cm00038", "vec00120")</f>
        <v>vec00120</v>
      </c>
      <c r="F39162" s="0" t="s">
        <v>61</v>
      </c>
    </row>
    <row r="39163" customFormat="false" ht="12.8" hidden="false" customHeight="false" outlineLevel="0" collapsed="false">
      <c r="B39163" s="0" t="s">
        <v>1</v>
      </c>
      <c r="C39163" s="0" t="s">
        <v>62</v>
      </c>
      <c r="E39163" s="0" t="s">
        <v>63</v>
      </c>
      <c r="F39163" s="0" t="s">
        <v>64</v>
      </c>
    </row>
    <row r="39164" customFormat="false" ht="12.8" hidden="false" customHeight="false" outlineLevel="0" collapsed="false">
      <c r="B39164" s="0" t="s">
        <v>45</v>
      </c>
      <c r="C39164" s="0" t="s">
        <v>65</v>
      </c>
      <c r="E39164" s="0" t="s">
        <v>14511</v>
      </c>
      <c r="F39164" s="0" t="s">
        <v>14512</v>
      </c>
    </row>
    <row r="39166" customFormat="false" ht="12.8" hidden="false" customHeight="false" outlineLevel="0" collapsed="false">
      <c r="A39166" s="0" t="s">
        <v>14513</v>
      </c>
      <c r="B39166" s="0" t="str">
        <f aca="false">HYPERLINK("https://lindat.mff.cuni.cz/services/teitok/pdtc10/index.php?action=vallex&amp;frame=v-w5291f3", "přistoupit (v-w5291f3)")</f>
        <v>přistoupit (v-w5291f3)</v>
      </c>
      <c r="E39166" s="0" t="str">
        <f aca="false">HYPERLINK("https://lindat.mff.cuni.cz/services/SynSemClass40/SynSemClass40.html?veclass=vec00218#vec00218-ces-cm00223", "vec00218")</f>
        <v>vec00218</v>
      </c>
      <c r="F39166" s="0" t="s">
        <v>2143</v>
      </c>
    </row>
    <row r="39167" customFormat="false" ht="12.8" hidden="false" customHeight="false" outlineLevel="0" collapsed="false">
      <c r="B39167" s="0" t="s">
        <v>1</v>
      </c>
      <c r="C39167" s="0" t="s">
        <v>2144</v>
      </c>
      <c r="E39167" s="0" t="s">
        <v>11</v>
      </c>
      <c r="F39167" s="0" t="s">
        <v>2145</v>
      </c>
    </row>
    <row r="39168" customFormat="false" ht="12.8" hidden="false" customHeight="false" outlineLevel="0" collapsed="false">
      <c r="B39168" s="0" t="s">
        <v>164</v>
      </c>
      <c r="C39168" s="0" t="s">
        <v>2146</v>
      </c>
      <c r="E39168" s="0" t="s">
        <v>370</v>
      </c>
      <c r="F39168" s="0" t="s">
        <v>2147</v>
      </c>
    </row>
    <row r="39170" customFormat="false" ht="12.8" hidden="false" customHeight="false" outlineLevel="0" collapsed="false">
      <c r="A39170" s="0" t="s">
        <v>14514</v>
      </c>
      <c r="B39170" s="0" t="str">
        <f aca="false">HYPERLINK("https://lindat.mff.cuni.cz/services/teitok/pdtc10/index.php?action=vallex&amp;frame=v-w5291f5", "přistoupit (v-w5291f5)")</f>
        <v>přistoupit (v-w5291f5)</v>
      </c>
      <c r="E39170" s="0" t="str">
        <f aca="false">HYPERLINK("https://lindat.mff.cuni.cz/services/SynSemClass40/SynSemClass40.html?veclass=vec00218#vec00218-ces-cm00205", "vec00218")</f>
        <v>vec00218</v>
      </c>
      <c r="F39170" s="0" t="s">
        <v>2143</v>
      </c>
    </row>
    <row r="39171" customFormat="false" ht="12.8" hidden="false" customHeight="false" outlineLevel="0" collapsed="false">
      <c r="B39171" s="0" t="s">
        <v>1</v>
      </c>
      <c r="C39171" s="0" t="s">
        <v>2144</v>
      </c>
      <c r="E39171" s="0" t="s">
        <v>11</v>
      </c>
      <c r="F39171" s="0" t="s">
        <v>2145</v>
      </c>
    </row>
    <row r="39172" customFormat="false" ht="12.8" hidden="false" customHeight="false" outlineLevel="0" collapsed="false">
      <c r="B39172" s="0" t="s">
        <v>164</v>
      </c>
      <c r="C39172" s="0" t="s">
        <v>2146</v>
      </c>
      <c r="E39172" s="0" t="s">
        <v>370</v>
      </c>
      <c r="F39172" s="0" t="s">
        <v>2147</v>
      </c>
    </row>
    <row r="39174" customFormat="false" ht="12.8" hidden="false" customHeight="false" outlineLevel="0" collapsed="false">
      <c r="A39174" s="0" t="s">
        <v>14515</v>
      </c>
      <c r="B39174" s="0" t="str">
        <f aca="false">HYPERLINK("https://lindat.mff.cuni.cz/services/teitok/pdtc10/index.php?action=vallex&amp;frame=v-w5291f9_ZU", "přistoupit (v-w5291f9_ZU)")</f>
        <v>přistoupit (v-w5291f9_ZU)</v>
      </c>
      <c r="E39174" s="0" t="str">
        <f aca="false">HYPERLINK("https://lindat.mff.cuni.cz/services/SynSemClass40/SynSemClass40.html?veclass=vec00500#vec00500-ces-cm00013", "vec00500")</f>
        <v>vec00500</v>
      </c>
      <c r="F39174" s="0" t="s">
        <v>14228</v>
      </c>
    </row>
    <row r="39175" customFormat="false" ht="12.8" hidden="false" customHeight="false" outlineLevel="0" collapsed="false">
      <c r="B39175" s="0" t="s">
        <v>1</v>
      </c>
      <c r="C39175" s="0" t="s">
        <v>4471</v>
      </c>
      <c r="E39175" s="0" t="s">
        <v>31</v>
      </c>
      <c r="F39175" s="0" t="s">
        <v>8798</v>
      </c>
    </row>
    <row r="39176" customFormat="false" ht="12.8" hidden="false" customHeight="false" outlineLevel="0" collapsed="false">
      <c r="B39176" s="0" t="s">
        <v>14516</v>
      </c>
      <c r="C39176" s="0" t="s">
        <v>14517</v>
      </c>
      <c r="E39176" s="0" t="s">
        <v>13024</v>
      </c>
      <c r="F39176" s="0" t="s">
        <v>14518</v>
      </c>
    </row>
    <row r="39178" customFormat="false" ht="12.8" hidden="false" customHeight="false" outlineLevel="0" collapsed="false">
      <c r="A39178" s="0" t="s">
        <v>14515</v>
      </c>
      <c r="B39178" s="0" t="str">
        <f aca="false">HYPERLINK("https://lindat.mff.cuni.cz/services/teitok/pdtc10/index.php?action=vallex&amp;frame=v-w5291f2", "přistoupit (v-w5291f2) - substituted with v-w5291f9_ZU")</f>
        <v>přistoupit (v-w5291f2) - substituted with v-w5291f9_ZU</v>
      </c>
    </row>
    <row r="39179" customFormat="false" ht="12.8" hidden="false" customHeight="false" outlineLevel="0" collapsed="false">
      <c r="B39179" s="0" t="s">
        <v>1</v>
      </c>
    </row>
    <row r="39180" customFormat="false" ht="12.8" hidden="false" customHeight="false" outlineLevel="0" collapsed="false">
      <c r="B39180" s="0" t="s">
        <v>14516</v>
      </c>
    </row>
    <row r="39182" customFormat="false" ht="12.8" hidden="false" customHeight="false" outlineLevel="0" collapsed="false">
      <c r="A39182" s="0" t="s">
        <v>14515</v>
      </c>
      <c r="B39182" s="0" t="str">
        <f aca="false">HYPERLINK("https://lindat.mff.cuni.cz/services/teitok/pdtc10/index.php?action=vallex&amp;frame=v-w5291f6_ZU", "přistoupit (v-w5291f6_ZU) - substituted with v-w5291f9_ZU")</f>
        <v>přistoupit (v-w5291f6_ZU) - substituted with v-w5291f9_ZU</v>
      </c>
    </row>
    <row r="39183" customFormat="false" ht="12.8" hidden="false" customHeight="false" outlineLevel="0" collapsed="false">
      <c r="B39183" s="0" t="s">
        <v>1</v>
      </c>
    </row>
    <row r="39184" customFormat="false" ht="12.8" hidden="false" customHeight="false" outlineLevel="0" collapsed="false">
      <c r="B39184" s="0" t="s">
        <v>14516</v>
      </c>
    </row>
    <row r="39186" customFormat="false" ht="12.8" hidden="false" customHeight="false" outlineLevel="0" collapsed="false">
      <c r="A39186" s="0" t="s">
        <v>14515</v>
      </c>
      <c r="B39186" s="0" t="str">
        <f aca="false">HYPERLINK("https://lindat.mff.cuni.cz/services/teitok/pdtc10/index.php?action=vallex&amp;frame=v-w5291f7_ZU", "přistoupit (v-w5291f7_ZU) - substituted with v-w5291f9_ZU")</f>
        <v>přistoupit (v-w5291f7_ZU) - substituted with v-w5291f9_ZU</v>
      </c>
    </row>
    <row r="39187" customFormat="false" ht="12.8" hidden="false" customHeight="false" outlineLevel="0" collapsed="false">
      <c r="B39187" s="0" t="s">
        <v>1</v>
      </c>
    </row>
    <row r="39188" customFormat="false" ht="12.8" hidden="false" customHeight="false" outlineLevel="0" collapsed="false">
      <c r="B39188" s="0" t="s">
        <v>14516</v>
      </c>
    </row>
    <row r="39190" customFormat="false" ht="12.8" hidden="false" customHeight="false" outlineLevel="0" collapsed="false">
      <c r="A39190" s="0" t="s">
        <v>14515</v>
      </c>
      <c r="B39190" s="0" t="str">
        <f aca="false">HYPERLINK("https://lindat.mff.cuni.cz/services/teitok/pdtc10/index.php?action=vallex&amp;frame=v-w5291hsa_1040", "přistoupit (v-w5291hsa_1040) - substituted with v-w5291f9_ZU")</f>
        <v>přistoupit (v-w5291hsa_1040) - substituted with v-w5291f9_ZU</v>
      </c>
    </row>
    <row r="39191" customFormat="false" ht="12.8" hidden="false" customHeight="false" outlineLevel="0" collapsed="false">
      <c r="B39191" s="0" t="s">
        <v>1</v>
      </c>
    </row>
    <row r="39192" customFormat="false" ht="12.8" hidden="false" customHeight="false" outlineLevel="0" collapsed="false">
      <c r="B39192" s="0" t="s">
        <v>14516</v>
      </c>
    </row>
    <row r="39194" customFormat="false" ht="12.8" hidden="false" customHeight="false" outlineLevel="0" collapsed="false">
      <c r="A39194" s="0" t="s">
        <v>14519</v>
      </c>
      <c r="B39194" s="0" t="str">
        <f aca="false">HYPERLINK("https://lindat.mff.cuni.cz/services/teitok/pdtc10/index.php?action=vallex&amp;frame=v-w5291f8_ZU", "přistoupit (v-w5291f8_ZU)")</f>
        <v>přistoupit (v-w5291f8_ZU)</v>
      </c>
      <c r="E39194" s="0" t="str">
        <f aca="false">HYPERLINK("https://lindat.mff.cuni.cz/services/SynSemClass40/SynSemClass40.html?veclass=vec01299#vec01299-ces-cm00002", "vec01299")</f>
        <v>vec01299</v>
      </c>
      <c r="F39194" s="0" t="s">
        <v>1454</v>
      </c>
    </row>
    <row r="39195" customFormat="false" ht="12.8" hidden="false" customHeight="false" outlineLevel="0" collapsed="false">
      <c r="B39195" s="0" t="s">
        <v>1</v>
      </c>
      <c r="C39195" s="0" t="s">
        <v>3091</v>
      </c>
      <c r="E39195" s="0" t="s">
        <v>11</v>
      </c>
      <c r="F39195" s="0" t="s">
        <v>1457</v>
      </c>
    </row>
    <row r="39196" customFormat="false" ht="12.8" hidden="false" customHeight="false" outlineLevel="0" collapsed="false">
      <c r="B39196" s="0" t="s">
        <v>14520</v>
      </c>
      <c r="C39196" s="0" t="s">
        <v>7322</v>
      </c>
      <c r="E39196" s="0" t="s">
        <v>142</v>
      </c>
      <c r="F39196" s="0" t="s">
        <v>7323</v>
      </c>
    </row>
    <row r="39197" customFormat="false" ht="12.8" hidden="false" customHeight="false" outlineLevel="0" collapsed="false">
      <c r="B39197" s="0" t="s">
        <v>642</v>
      </c>
      <c r="C39197" s="0" t="s">
        <v>1460</v>
      </c>
      <c r="E39197" s="0" t="s">
        <v>14521</v>
      </c>
      <c r="F39197" s="0" t="s">
        <v>14522</v>
      </c>
    </row>
    <row r="39198" customFormat="false" ht="12.8" hidden="false" customHeight="false" outlineLevel="0" collapsed="false">
      <c r="B39198" s="0" t="s">
        <v>648</v>
      </c>
      <c r="C39198" s="0" t="s">
        <v>14523</v>
      </c>
      <c r="E39198" s="0" t="s">
        <v>14521</v>
      </c>
      <c r="F39198" s="0" t="s">
        <v>14522</v>
      </c>
    </row>
    <row r="39199" customFormat="false" ht="12.8" hidden="false" customHeight="false" outlineLevel="0" collapsed="false">
      <c r="B39199" s="0" t="s">
        <v>650</v>
      </c>
      <c r="C39199" s="0" t="s">
        <v>14524</v>
      </c>
      <c r="E39199" s="0" t="s">
        <v>14521</v>
      </c>
      <c r="F39199" s="0" t="s">
        <v>14522</v>
      </c>
    </row>
    <row r="39200" customFormat="false" ht="12.8" hidden="false" customHeight="false" outlineLevel="0" collapsed="false">
      <c r="B39200" s="0" t="s">
        <v>652</v>
      </c>
      <c r="C39200" s="0" t="s">
        <v>14525</v>
      </c>
      <c r="E39200" s="0" t="s">
        <v>14521</v>
      </c>
      <c r="F39200" s="0" t="s">
        <v>14522</v>
      </c>
    </row>
    <row r="39201" customFormat="false" ht="12.8" hidden="false" customHeight="false" outlineLevel="0" collapsed="false">
      <c r="B39201" s="0" t="s">
        <v>2887</v>
      </c>
      <c r="C39201" s="0" t="s">
        <v>14526</v>
      </c>
      <c r="E39201" s="0" t="s">
        <v>14521</v>
      </c>
      <c r="F39201" s="0" t="s">
        <v>14522</v>
      </c>
    </row>
    <row r="39203" customFormat="false" ht="12.8" hidden="false" customHeight="false" outlineLevel="0" collapsed="false">
      <c r="A39203" s="0" t="s">
        <v>14519</v>
      </c>
      <c r="B39203" s="0" t="str">
        <f aca="false">HYPERLINK("https://lindat.mff.cuni.cz/services/teitok/pdtc10/index.php?action=vallex&amp;frame=v-w5291hsa_1039", "přistoupit (v-w5291hsa_1039) - substituted with v-w5291f8_ZU")</f>
        <v>přistoupit (v-w5291hsa_1039) - substituted with v-w5291f8_ZU</v>
      </c>
    </row>
    <row r="39204" customFormat="false" ht="12.8" hidden="false" customHeight="false" outlineLevel="0" collapsed="false">
      <c r="B39204" s="0" t="s">
        <v>1</v>
      </c>
    </row>
    <row r="39205" customFormat="false" ht="12.8" hidden="false" customHeight="false" outlineLevel="0" collapsed="false">
      <c r="B39205" s="0" t="s">
        <v>14520</v>
      </c>
    </row>
    <row r="39206" customFormat="false" ht="12.8" hidden="false" customHeight="false" outlineLevel="0" collapsed="false">
      <c r="B39206" s="0" t="s">
        <v>642</v>
      </c>
    </row>
    <row r="39207" customFormat="false" ht="12.8" hidden="false" customHeight="false" outlineLevel="0" collapsed="false">
      <c r="B39207" s="0" t="s">
        <v>648</v>
      </c>
    </row>
    <row r="39208" customFormat="false" ht="12.8" hidden="false" customHeight="false" outlineLevel="0" collapsed="false">
      <c r="B39208" s="0" t="s">
        <v>650</v>
      </c>
    </row>
    <row r="39209" customFormat="false" ht="12.8" hidden="false" customHeight="false" outlineLevel="0" collapsed="false">
      <c r="B39209" s="0" t="s">
        <v>652</v>
      </c>
    </row>
    <row r="39210" customFormat="false" ht="12.8" hidden="false" customHeight="false" outlineLevel="0" collapsed="false">
      <c r="B39210" s="0" t="s">
        <v>2887</v>
      </c>
    </row>
    <row r="39212" customFormat="false" ht="12.8" hidden="false" customHeight="false" outlineLevel="0" collapsed="false">
      <c r="A39212" s="0" t="s">
        <v>14527</v>
      </c>
      <c r="B39212" s="0" t="str">
        <f aca="false">HYPERLINK("https://lindat.mff.cuni.cz/services/teitok/pdtc10/index.php?action=vallex&amp;frame=v-w11966_ZUf1_ZU", "přistrojit (v-w11966_ZUf1_ZU)")</f>
        <v>přistrojit (v-w11966_ZUf1_ZU)</v>
      </c>
    </row>
    <row r="39213" customFormat="false" ht="12.8" hidden="false" customHeight="false" outlineLevel="0" collapsed="false">
      <c r="B39213" s="0" t="s">
        <v>1</v>
      </c>
    </row>
    <row r="39214" customFormat="false" ht="12.8" hidden="false" customHeight="false" outlineLevel="0" collapsed="false">
      <c r="B39214" s="0" t="s">
        <v>8</v>
      </c>
    </row>
    <row r="39216" customFormat="false" ht="12.8" hidden="false" customHeight="false" outlineLevel="0" collapsed="false">
      <c r="A39216" s="0" t="s">
        <v>14528</v>
      </c>
      <c r="B39216" s="0" t="str">
        <f aca="false">HYPERLINK("https://lindat.mff.cuni.cz/services/teitok/pdtc10/index.php?action=vallex&amp;frame=v-w5296f1", "přistupovat (v-w5296f1)")</f>
        <v>přistupovat (v-w5296f1)</v>
      </c>
      <c r="E39216" s="0" t="str">
        <f aca="false">HYPERLINK("https://lindat.mff.cuni.cz/services/SynSemClass40/SynSemClass40.html?veclass=vec01299#vec01299-ces-cm00003", "vec01299")</f>
        <v>vec01299</v>
      </c>
      <c r="F39216" s="0" t="s">
        <v>1454</v>
      </c>
    </row>
    <row r="39217" customFormat="false" ht="12.8" hidden="false" customHeight="false" outlineLevel="0" collapsed="false">
      <c r="B39217" s="0" t="s">
        <v>1</v>
      </c>
      <c r="C39217" s="0" t="s">
        <v>3091</v>
      </c>
      <c r="E39217" s="0" t="s">
        <v>11</v>
      </c>
      <c r="F39217" s="0" t="s">
        <v>1457</v>
      </c>
    </row>
    <row r="39218" customFormat="false" ht="12.8" hidden="false" customHeight="false" outlineLevel="0" collapsed="false">
      <c r="B39218" s="0" t="s">
        <v>14529</v>
      </c>
      <c r="C39218" s="0" t="s">
        <v>7322</v>
      </c>
      <c r="E39218" s="0" t="s">
        <v>142</v>
      </c>
      <c r="F39218" s="0" t="s">
        <v>7323</v>
      </c>
    </row>
    <row r="39219" customFormat="false" ht="12.8" hidden="false" customHeight="false" outlineLevel="0" collapsed="false">
      <c r="B39219" s="0" t="s">
        <v>642</v>
      </c>
      <c r="C39219" s="0" t="s">
        <v>1460</v>
      </c>
      <c r="E39219" s="0" t="s">
        <v>14521</v>
      </c>
      <c r="F39219" s="0" t="s">
        <v>14522</v>
      </c>
    </row>
    <row r="39220" customFormat="false" ht="12.8" hidden="false" customHeight="false" outlineLevel="0" collapsed="false">
      <c r="B39220" s="0" t="s">
        <v>648</v>
      </c>
      <c r="C39220" s="0" t="s">
        <v>14523</v>
      </c>
      <c r="E39220" s="0" t="s">
        <v>14521</v>
      </c>
      <c r="F39220" s="0" t="s">
        <v>14522</v>
      </c>
    </row>
    <row r="39221" customFormat="false" ht="12.8" hidden="false" customHeight="false" outlineLevel="0" collapsed="false">
      <c r="B39221" s="0" t="s">
        <v>650</v>
      </c>
      <c r="C39221" s="0" t="s">
        <v>14524</v>
      </c>
      <c r="E39221" s="0" t="s">
        <v>14521</v>
      </c>
      <c r="F39221" s="0" t="s">
        <v>14522</v>
      </c>
    </row>
    <row r="39222" customFormat="false" ht="12.8" hidden="false" customHeight="false" outlineLevel="0" collapsed="false">
      <c r="B39222" s="0" t="s">
        <v>652</v>
      </c>
      <c r="C39222" s="0" t="s">
        <v>14525</v>
      </c>
      <c r="E39222" s="0" t="s">
        <v>14521</v>
      </c>
      <c r="F39222" s="0" t="s">
        <v>14522</v>
      </c>
    </row>
    <row r="39223" customFormat="false" ht="12.8" hidden="false" customHeight="false" outlineLevel="0" collapsed="false">
      <c r="B39223" s="0" t="s">
        <v>2887</v>
      </c>
      <c r="C39223" s="0" t="s">
        <v>14526</v>
      </c>
      <c r="E39223" s="0" t="s">
        <v>14521</v>
      </c>
      <c r="F39223" s="0" t="s">
        <v>14522</v>
      </c>
    </row>
    <row r="39225" customFormat="false" ht="12.8" hidden="false" customHeight="false" outlineLevel="0" collapsed="false">
      <c r="A39225" s="0" t="s">
        <v>14530</v>
      </c>
      <c r="B39225" s="0" t="str">
        <f aca="false">HYPERLINK("https://lindat.mff.cuni.cz/services/teitok/pdtc10/index.php?action=vallex&amp;frame=v-w5296f3", "přistupovat (v-w5296f3)")</f>
        <v>přistupovat (v-w5296f3)</v>
      </c>
      <c r="E39225" s="0" t="str">
        <f aca="false">HYPERLINK("https://lindat.mff.cuni.cz/services/SynSemClass40/SynSemClass40.html?veclass=vec00120#vec00120-ces-cm00072", "vec00120")</f>
        <v>vec00120</v>
      </c>
      <c r="F39225" s="0" t="s">
        <v>61</v>
      </c>
    </row>
    <row r="39226" customFormat="false" ht="12.8" hidden="false" customHeight="false" outlineLevel="0" collapsed="false">
      <c r="B39226" s="0" t="s">
        <v>1</v>
      </c>
      <c r="C39226" s="0" t="s">
        <v>62</v>
      </c>
      <c r="E39226" s="0" t="s">
        <v>63</v>
      </c>
      <c r="F39226" s="0" t="s">
        <v>64</v>
      </c>
    </row>
    <row r="39227" customFormat="false" ht="12.8" hidden="false" customHeight="false" outlineLevel="0" collapsed="false">
      <c r="B39227" s="0" t="s">
        <v>45</v>
      </c>
      <c r="C39227" s="0" t="s">
        <v>65</v>
      </c>
      <c r="E39227" s="0" t="s">
        <v>66</v>
      </c>
      <c r="F39227" s="0" t="s">
        <v>67</v>
      </c>
    </row>
    <row r="39229" customFormat="false" ht="12.8" hidden="false" customHeight="false" outlineLevel="0" collapsed="false">
      <c r="A39229" s="0" t="s">
        <v>14531</v>
      </c>
      <c r="B39229" s="0" t="str">
        <f aca="false">HYPERLINK("https://lindat.mff.cuni.cz/services/teitok/pdtc10/index.php?action=vallex&amp;frame=v-w5296f2", "přistupovat (v-w5296f2)")</f>
        <v>přistupovat (v-w5296f2)</v>
      </c>
    </row>
    <row r="39230" customFormat="false" ht="12.8" hidden="false" customHeight="false" outlineLevel="0" collapsed="false">
      <c r="B39230" s="0" t="s">
        <v>1</v>
      </c>
    </row>
    <row r="39231" customFormat="false" ht="12.8" hidden="false" customHeight="false" outlineLevel="0" collapsed="false">
      <c r="B39231" s="0" t="s">
        <v>164</v>
      </c>
    </row>
    <row r="39233" customFormat="false" ht="12.8" hidden="false" customHeight="false" outlineLevel="0" collapsed="false">
      <c r="A39233" s="0" t="s">
        <v>14532</v>
      </c>
      <c r="B39233" s="0" t="str">
        <f aca="false">HYPERLINK("https://lindat.mff.cuni.cz/services/teitok/pdtc10/index.php?action=vallex&amp;frame=v-w5296f6", "přistupovat (v-w5296f6)")</f>
        <v>přistupovat (v-w5296f6)</v>
      </c>
      <c r="E39233" s="0" t="str">
        <f aca="false">HYPERLINK("https://lindat.mff.cuni.cz/services/SynSemClass40/SynSemClass40.html?veclass=vec00218#vec00218-ces-cm00226", "vec00218")</f>
        <v>vec00218</v>
      </c>
      <c r="F39233" s="0" t="s">
        <v>2143</v>
      </c>
    </row>
    <row r="39234" customFormat="false" ht="12.8" hidden="false" customHeight="false" outlineLevel="0" collapsed="false">
      <c r="B39234" s="0" t="s">
        <v>1</v>
      </c>
      <c r="C39234" s="0" t="s">
        <v>2144</v>
      </c>
      <c r="E39234" s="0" t="s">
        <v>11</v>
      </c>
      <c r="F39234" s="0" t="s">
        <v>2145</v>
      </c>
    </row>
    <row r="39235" customFormat="false" ht="12.8" hidden="false" customHeight="false" outlineLevel="0" collapsed="false">
      <c r="B39235" s="0" t="s">
        <v>164</v>
      </c>
      <c r="C39235" s="0" t="s">
        <v>2146</v>
      </c>
      <c r="E39235" s="0" t="s">
        <v>370</v>
      </c>
      <c r="F39235" s="0" t="s">
        <v>2147</v>
      </c>
    </row>
    <row r="39237" customFormat="false" ht="12.8" hidden="false" customHeight="false" outlineLevel="0" collapsed="false">
      <c r="A39237" s="0" t="s">
        <v>14533</v>
      </c>
      <c r="B39237" s="0" t="str">
        <f aca="false">HYPERLINK("https://lindat.mff.cuni.cz/services/teitok/pdtc10/index.php?action=vallex&amp;frame=v-w5296f5", "přistupovat (v-w5296f5)")</f>
        <v>přistupovat (v-w5296f5)</v>
      </c>
      <c r="E39237" s="0" t="str">
        <f aca="false">HYPERLINK("https://lindat.mff.cuni.cz/services/SynSemClass40/SynSemClass40.html?veclass=vec00218#vec00218-ces-cm00225", "vec00218")</f>
        <v>vec00218</v>
      </c>
      <c r="F39237" s="0" t="s">
        <v>2143</v>
      </c>
    </row>
    <row r="39238" customFormat="false" ht="12.8" hidden="false" customHeight="false" outlineLevel="0" collapsed="false">
      <c r="B39238" s="0" t="s">
        <v>1</v>
      </c>
      <c r="C39238" s="0" t="s">
        <v>2144</v>
      </c>
      <c r="E39238" s="0" t="s">
        <v>11</v>
      </c>
      <c r="F39238" s="0" t="s">
        <v>2145</v>
      </c>
    </row>
    <row r="39239" customFormat="false" ht="12.8" hidden="false" customHeight="false" outlineLevel="0" collapsed="false">
      <c r="B39239" s="0" t="s">
        <v>164</v>
      </c>
      <c r="C39239" s="0" t="s">
        <v>2146</v>
      </c>
      <c r="E39239" s="0" t="s">
        <v>370</v>
      </c>
      <c r="F39239" s="0" t="s">
        <v>2147</v>
      </c>
    </row>
    <row r="39241" customFormat="false" ht="12.8" hidden="false" customHeight="false" outlineLevel="0" collapsed="false">
      <c r="A39241" s="0" t="s">
        <v>14534</v>
      </c>
      <c r="B39241" s="0" t="str">
        <f aca="false">HYPERLINK("https://lindat.mff.cuni.cz/services/teitok/pdtc10/index.php?action=vallex&amp;frame=v-w5296f4", "přistupovat (v-w5296f4)")</f>
        <v>přistupovat (v-w5296f4)</v>
      </c>
      <c r="E39241" s="0" t="str">
        <f aca="false">HYPERLINK("https://lindat.mff.cuni.cz/services/SynSemClass40/SynSemClass40.html?veclass=vec00500#vec00500-ces-cm00020", "vec00500")</f>
        <v>vec00500</v>
      </c>
      <c r="F39241" s="0" t="s">
        <v>14228</v>
      </c>
    </row>
    <row r="39242" customFormat="false" ht="12.8" hidden="false" customHeight="false" outlineLevel="0" collapsed="false">
      <c r="B39242" s="0" t="s">
        <v>1</v>
      </c>
      <c r="C39242" s="0" t="s">
        <v>4471</v>
      </c>
      <c r="E39242" s="0" t="s">
        <v>31</v>
      </c>
      <c r="F39242" s="0" t="s">
        <v>8798</v>
      </c>
    </row>
    <row r="39243" customFormat="false" ht="12.8" hidden="false" customHeight="false" outlineLevel="0" collapsed="false">
      <c r="B39243" s="0" t="s">
        <v>14535</v>
      </c>
      <c r="C39243" s="0" t="s">
        <v>14517</v>
      </c>
      <c r="E39243" s="0" t="s">
        <v>13024</v>
      </c>
      <c r="F39243" s="0" t="s">
        <v>14518</v>
      </c>
    </row>
    <row r="39245" customFormat="false" ht="12.8" hidden="false" customHeight="false" outlineLevel="0" collapsed="false">
      <c r="A39245" s="0" t="s">
        <v>14536</v>
      </c>
      <c r="B39245" s="0" t="str">
        <f aca="false">HYPERLINK("https://lindat.mff.cuni.cz/services/teitok/pdtc10/index.php?action=vallex&amp;frame=v-w5284f1", "přistát (v-w5284f1)")</f>
        <v>přistát (v-w5284f1)</v>
      </c>
      <c r="E39245" s="0" t="str">
        <f aca="false">HYPERLINK("https://lindat.mff.cuni.cz/services/SynSemClass40/SynSemClass40.html?veclass=vec00901#vec00901-ces-cm00001", "vec00901")</f>
        <v>vec00901</v>
      </c>
      <c r="F39245" s="0" t="s">
        <v>2445</v>
      </c>
    </row>
    <row r="39246" customFormat="false" ht="12.8" hidden="false" customHeight="false" outlineLevel="0" collapsed="false">
      <c r="B39246" s="0" t="s">
        <v>1</v>
      </c>
      <c r="C39246" s="0" t="s">
        <v>13880</v>
      </c>
      <c r="E39246" s="0" t="s">
        <v>2448</v>
      </c>
      <c r="F39246" s="0" t="s">
        <v>2449</v>
      </c>
    </row>
    <row r="39247" customFormat="false" ht="12.8" hidden="false" customHeight="false" outlineLevel="0" collapsed="false">
      <c r="B39247" s="0" t="s">
        <v>5</v>
      </c>
      <c r="C39247" s="0" t="s">
        <v>14537</v>
      </c>
      <c r="E39247" s="0" t="s">
        <v>3254</v>
      </c>
      <c r="F39247" s="0" t="s">
        <v>14538</v>
      </c>
    </row>
    <row r="39249" customFormat="false" ht="12.8" hidden="false" customHeight="false" outlineLevel="0" collapsed="false">
      <c r="A39249" s="0" t="s">
        <v>14539</v>
      </c>
      <c r="B39249" s="0" t="str">
        <f aca="false">HYPERLINK("https://lindat.mff.cuni.cz/services/teitok/pdtc10/index.php?action=vallex&amp;frame=v-w5284f2", "přistát (v-w5284f2)")</f>
        <v>přistát (v-w5284f2)</v>
      </c>
    </row>
    <row r="39250" customFormat="false" ht="12.8" hidden="false" customHeight="false" outlineLevel="0" collapsed="false">
      <c r="B39250" s="0" t="s">
        <v>1</v>
      </c>
    </row>
    <row r="39251" customFormat="false" ht="12.8" hidden="false" customHeight="false" outlineLevel="0" collapsed="false">
      <c r="B39251" s="0" t="s">
        <v>164</v>
      </c>
    </row>
    <row r="39253" customFormat="false" ht="12.8" hidden="false" customHeight="false" outlineLevel="0" collapsed="false">
      <c r="A39253" s="0" t="s">
        <v>14540</v>
      </c>
      <c r="B39253" s="0" t="str">
        <f aca="false">HYPERLINK("https://lindat.mff.cuni.cz/services/teitok/pdtc10/index.php?action=vallex&amp;frame=v-w10235f3", "přistávat (v-w10235f3)")</f>
        <v>přistávat (v-w10235f3)</v>
      </c>
      <c r="E39253" s="0" t="str">
        <f aca="false">HYPERLINK("https://lindat.mff.cuni.cz/services/SynSemClass40/SynSemClass40.html?veclass=vec00901#vec00901-ces-cm00013", "vec00901")</f>
        <v>vec00901</v>
      </c>
      <c r="F39253" s="0" t="s">
        <v>2445</v>
      </c>
    </row>
    <row r="39254" customFormat="false" ht="12.8" hidden="false" customHeight="false" outlineLevel="0" collapsed="false">
      <c r="B39254" s="0" t="s">
        <v>1</v>
      </c>
      <c r="C39254" s="0" t="s">
        <v>13880</v>
      </c>
      <c r="E39254" s="0" t="s">
        <v>2448</v>
      </c>
      <c r="F39254" s="0" t="s">
        <v>2449</v>
      </c>
    </row>
    <row r="39255" customFormat="false" ht="12.8" hidden="false" customHeight="false" outlineLevel="0" collapsed="false">
      <c r="B39255" s="0" t="s">
        <v>5</v>
      </c>
      <c r="C39255" s="0" t="s">
        <v>14537</v>
      </c>
      <c r="E39255" s="0" t="s">
        <v>3254</v>
      </c>
      <c r="F39255" s="0" t="s">
        <v>14538</v>
      </c>
    </row>
    <row r="39257" customFormat="false" ht="12.8" hidden="false" customHeight="false" outlineLevel="0" collapsed="false">
      <c r="A39257" s="0" t="s">
        <v>14541</v>
      </c>
      <c r="B39257" s="0" t="str">
        <f aca="false">HYPERLINK("https://lindat.mff.cuni.cz/services/teitok/pdtc10/index.php?action=vallex&amp;frame=v-w10235f4", "přistávat (v-w10235f4)")</f>
        <v>přistávat (v-w10235f4)</v>
      </c>
    </row>
    <row r="39258" customFormat="false" ht="12.8" hidden="false" customHeight="false" outlineLevel="0" collapsed="false">
      <c r="B39258" s="0" t="s">
        <v>1</v>
      </c>
    </row>
    <row r="39259" customFormat="false" ht="12.8" hidden="false" customHeight="false" outlineLevel="0" collapsed="false">
      <c r="B39259" s="0" t="s">
        <v>164</v>
      </c>
    </row>
    <row r="39261" customFormat="false" ht="12.8" hidden="false" customHeight="false" outlineLevel="0" collapsed="false">
      <c r="A39261" s="0" t="s">
        <v>14542</v>
      </c>
      <c r="B39261" s="0" t="str">
        <f aca="false">HYPERLINK("https://lindat.mff.cuni.cz/services/teitok/pdtc10/index.php?action=vallex&amp;frame=v-w11694_ZUf1_ZU", "přistínit (v-w11694_ZUf1_ZU)")</f>
        <v>přistínit (v-w11694_ZUf1_ZU)</v>
      </c>
    </row>
    <row r="39262" customFormat="false" ht="12.8" hidden="false" customHeight="false" outlineLevel="0" collapsed="false">
      <c r="B39262" s="0" t="s">
        <v>1</v>
      </c>
    </row>
    <row r="39263" customFormat="false" ht="12.8" hidden="false" customHeight="false" outlineLevel="0" collapsed="false">
      <c r="B39263" s="0" t="s">
        <v>8</v>
      </c>
    </row>
    <row r="39265" customFormat="false" ht="12.8" hidden="false" customHeight="false" outlineLevel="0" collapsed="false">
      <c r="A39265" s="0" t="s">
        <v>14543</v>
      </c>
      <c r="B39265" s="0" t="str">
        <f aca="false">HYPERLINK("https://lindat.mff.cuni.cz/services/teitok/pdtc10/index.php?action=vallex&amp;frame=v-w5288f1", "přistěhovat se (v-w5288f1)")</f>
        <v>přistěhovat se (v-w5288f1)</v>
      </c>
      <c r="E39265" s="0" t="str">
        <f aca="false">HYPERLINK("https://lindat.mff.cuni.cz/services/SynSemClass40/SynSemClass40.html?veclass=vec00218#vec00218-ces-cm00263", "vec00218")</f>
        <v>vec00218</v>
      </c>
      <c r="F39265" s="0" t="s">
        <v>2143</v>
      </c>
    </row>
    <row r="39266" customFormat="false" ht="12.8" hidden="false" customHeight="false" outlineLevel="0" collapsed="false">
      <c r="B39266" s="0" t="s">
        <v>1</v>
      </c>
      <c r="C39266" s="0" t="s">
        <v>2144</v>
      </c>
      <c r="E39266" s="0" t="s">
        <v>11</v>
      </c>
      <c r="F39266" s="0" t="s">
        <v>2145</v>
      </c>
    </row>
    <row r="39267" customFormat="false" ht="12.8" hidden="false" customHeight="false" outlineLevel="0" collapsed="false">
      <c r="B39267" s="0" t="s">
        <v>164</v>
      </c>
      <c r="C39267" s="0" t="s">
        <v>2146</v>
      </c>
      <c r="E39267" s="0" t="s">
        <v>370</v>
      </c>
      <c r="F39267" s="0" t="s">
        <v>2147</v>
      </c>
    </row>
    <row r="39269" customFormat="false" ht="12.8" hidden="false" customHeight="false" outlineLevel="0" collapsed="false">
      <c r="A39269" s="0" t="s">
        <v>14544</v>
      </c>
      <c r="B39269" s="0" t="str">
        <f aca="false">HYPERLINK("https://lindat.mff.cuni.cz/services/teitok/pdtc10/index.php?action=vallex&amp;frame=v-w5293f1", "přistřihnout (v-w5293f1)")</f>
        <v>přistřihnout (v-w5293f1)</v>
      </c>
    </row>
    <row r="39270" customFormat="false" ht="12.8" hidden="false" customHeight="false" outlineLevel="0" collapsed="false">
      <c r="B39270" s="0" t="s">
        <v>1</v>
      </c>
    </row>
    <row r="39271" customFormat="false" ht="12.8" hidden="false" customHeight="false" outlineLevel="0" collapsed="false">
      <c r="B39271" s="0" t="s">
        <v>8</v>
      </c>
    </row>
    <row r="39272" customFormat="false" ht="12.8" hidden="false" customHeight="false" outlineLevel="0" collapsed="false">
      <c r="B39272" s="0" t="s">
        <v>36</v>
      </c>
    </row>
    <row r="39273" customFormat="false" ht="12.8" hidden="false" customHeight="false" outlineLevel="0" collapsed="false">
      <c r="B39273" s="0" t="s">
        <v>101</v>
      </c>
    </row>
    <row r="39275" customFormat="false" ht="12.8" hidden="false" customHeight="false" outlineLevel="0" collapsed="false">
      <c r="A39275" s="0" t="s">
        <v>14545</v>
      </c>
      <c r="B39275" s="0" t="str">
        <f aca="false">HYPERLINK("https://lindat.mff.cuni.cz/services/teitok/pdtc10/index.php?action=vallex&amp;frame=v-w5298f1", "přisunout (v-w5298f1)")</f>
        <v>přisunout (v-w5298f1)</v>
      </c>
    </row>
    <row r="39276" customFormat="false" ht="12.8" hidden="false" customHeight="false" outlineLevel="0" collapsed="false">
      <c r="B39276" s="0" t="s">
        <v>1</v>
      </c>
    </row>
    <row r="39277" customFormat="false" ht="12.8" hidden="false" customHeight="false" outlineLevel="0" collapsed="false">
      <c r="B39277" s="0" t="s">
        <v>8</v>
      </c>
    </row>
    <row r="39278" customFormat="false" ht="12.8" hidden="false" customHeight="false" outlineLevel="0" collapsed="false">
      <c r="B39278" s="0" t="s">
        <v>164</v>
      </c>
    </row>
    <row r="39280" customFormat="false" ht="12.8" hidden="false" customHeight="false" outlineLevel="0" collapsed="false">
      <c r="A39280" s="0" t="s">
        <v>14546</v>
      </c>
      <c r="B39280" s="0" t="str">
        <f aca="false">HYPERLINK("https://lindat.mff.cuni.cz/services/teitok/pdtc10/index.php?action=vallex&amp;frame=v-w5299f1", "přisuzovat (v-w5299f1)")</f>
        <v>přisuzovat (v-w5299f1)</v>
      </c>
      <c r="E39280" s="0" t="str">
        <f aca="false">HYPERLINK("https://lindat.mff.cuni.cz/services/SynSemClass40/SynSemClass40.html?veclass=vec00291#vec00291-ces-cm00013", "vec00291")</f>
        <v>vec00291</v>
      </c>
      <c r="F39280" s="0" t="s">
        <v>10760</v>
      </c>
    </row>
    <row r="39281" customFormat="false" ht="12.8" hidden="false" customHeight="false" outlineLevel="0" collapsed="false">
      <c r="B39281" s="0" t="s">
        <v>1</v>
      </c>
      <c r="C39281" s="0" t="s">
        <v>2240</v>
      </c>
      <c r="E39281" s="0" t="s">
        <v>10761</v>
      </c>
      <c r="F39281" s="0" t="s">
        <v>10762</v>
      </c>
    </row>
    <row r="39282" customFormat="false" ht="12.8" hidden="false" customHeight="false" outlineLevel="0" collapsed="false">
      <c r="B39282" s="0" t="s">
        <v>59</v>
      </c>
      <c r="C39282" s="0" t="s">
        <v>10763</v>
      </c>
      <c r="E39282" s="0" t="s">
        <v>1544</v>
      </c>
      <c r="F39282" s="0" t="s">
        <v>10764</v>
      </c>
    </row>
    <row r="39283" customFormat="false" ht="12.8" hidden="false" customHeight="false" outlineLevel="0" collapsed="false">
      <c r="B39283" s="0" t="s">
        <v>52</v>
      </c>
      <c r="C39283" s="0" t="s">
        <v>10765</v>
      </c>
      <c r="E39283" s="0" t="s">
        <v>53</v>
      </c>
      <c r="F39283" s="0" t="s">
        <v>10766</v>
      </c>
    </row>
    <row r="39285" customFormat="false" ht="12.8" hidden="false" customHeight="false" outlineLevel="0" collapsed="false">
      <c r="A39285" s="0" t="s">
        <v>14547</v>
      </c>
      <c r="B39285" s="0" t="str">
        <f aca="false">HYPERLINK("https://lindat.mff.cuni.cz/services/teitok/pdtc10/index.php?action=vallex&amp;frame=v-w5300f1", "přisvojit si (v-w5300f1)")</f>
        <v>přisvojit si (v-w5300f1)</v>
      </c>
    </row>
    <row r="39286" customFormat="false" ht="12.8" hidden="false" customHeight="false" outlineLevel="0" collapsed="false">
      <c r="B39286" s="0" t="s">
        <v>1</v>
      </c>
    </row>
    <row r="39287" customFormat="false" ht="12.8" hidden="false" customHeight="false" outlineLevel="0" collapsed="false">
      <c r="B39287" s="0" t="s">
        <v>8</v>
      </c>
    </row>
    <row r="39289" customFormat="false" ht="12.8" hidden="false" customHeight="false" outlineLevel="0" collapsed="false">
      <c r="A39289" s="0" t="s">
        <v>14548</v>
      </c>
      <c r="B39289" s="0" t="str">
        <f aca="false">HYPERLINK("https://lindat.mff.cuni.cz/services/teitok/pdtc10/index.php?action=vallex&amp;frame=v-w10492f3", "přisypávat (v-w10492f3)")</f>
        <v>přisypávat (v-w10492f3)</v>
      </c>
      <c r="E39289" s="0" t="str">
        <f aca="false">HYPERLINK("https://lindat.mff.cuni.cz/services/SynSemClass40/SynSemClass40.html?veclass=vec00407#vec00407-ces-cm00063", "vec00407")</f>
        <v>vec00407</v>
      </c>
      <c r="F39289" s="0" t="s">
        <v>2577</v>
      </c>
    </row>
    <row r="39290" customFormat="false" ht="12.8" hidden="false" customHeight="false" outlineLevel="0" collapsed="false">
      <c r="B39290" s="0" t="s">
        <v>1</v>
      </c>
      <c r="C39290" s="0" t="s">
        <v>2578</v>
      </c>
      <c r="E39290" s="0" t="s">
        <v>31</v>
      </c>
      <c r="F39290" s="0" t="s">
        <v>2579</v>
      </c>
    </row>
    <row r="39291" customFormat="false" ht="12.8" hidden="false" customHeight="false" outlineLevel="0" collapsed="false">
      <c r="B39291" s="0" t="s">
        <v>8</v>
      </c>
      <c r="C39291" s="0" t="s">
        <v>14549</v>
      </c>
      <c r="E39291" s="0" t="s">
        <v>110</v>
      </c>
      <c r="F39291" s="0" t="s">
        <v>14267</v>
      </c>
    </row>
    <row r="39292" customFormat="false" ht="12.8" hidden="false" customHeight="false" outlineLevel="0" collapsed="false">
      <c r="B39292" s="0" t="s">
        <v>164</v>
      </c>
      <c r="C39292" s="0" t="s">
        <v>14550</v>
      </c>
      <c r="E39292" s="0" t="s">
        <v>14269</v>
      </c>
      <c r="F39292" s="0" t="s">
        <v>14270</v>
      </c>
    </row>
    <row r="39294" customFormat="false" ht="12.8" hidden="false" customHeight="false" outlineLevel="0" collapsed="false">
      <c r="A39294" s="0" t="s">
        <v>14551</v>
      </c>
      <c r="B39294" s="0" t="str">
        <f aca="false">HYPERLINK("https://lindat.mff.cuni.cz/services/teitok/pdtc10/index.php?action=vallex&amp;frame=v-w5303f2_MM", "přitahovat (v-w5303f2_MM)")</f>
        <v>přitahovat (v-w5303f2_MM)</v>
      </c>
    </row>
    <row r="39295" customFormat="false" ht="12.8" hidden="false" customHeight="false" outlineLevel="0" collapsed="false">
      <c r="B39295" s="0" t="s">
        <v>843</v>
      </c>
    </row>
    <row r="39296" customFormat="false" ht="12.8" hidden="false" customHeight="false" outlineLevel="0" collapsed="false">
      <c r="B39296" s="0" t="s">
        <v>8</v>
      </c>
    </row>
    <row r="39298" customFormat="false" ht="12.8" hidden="false" customHeight="false" outlineLevel="0" collapsed="false">
      <c r="A39298" s="0" t="s">
        <v>14551</v>
      </c>
      <c r="B39298" s="0" t="str">
        <f aca="false">HYPERLINK("https://lindat.mff.cuni.cz/services/teitok/pdtc10/index.php?action=vallex&amp;frame=v-w5303f1", "přitahovat (v-w5303f1) - substituted with v-w5303f2_MM")</f>
        <v>přitahovat (v-w5303f1) - substituted with v-w5303f2_MM</v>
      </c>
      <c r="E39298" s="0" t="str">
        <f aca="false">HYPERLINK("https://lindat.mff.cuni.cz/services/SynSemClass40/SynSemClass40.html?veclass=vec00188#vec00188-ces-cm00038", "vec00188")</f>
        <v>vec00188</v>
      </c>
      <c r="F39298" s="0" t="s">
        <v>7128</v>
      </c>
    </row>
    <row r="39299" customFormat="false" ht="12.8" hidden="false" customHeight="false" outlineLevel="0" collapsed="false">
      <c r="B39299" s="0" t="s">
        <v>843</v>
      </c>
      <c r="C39299" s="0" t="s">
        <v>9998</v>
      </c>
      <c r="E39299" s="0" t="s">
        <v>1567</v>
      </c>
      <c r="F39299" s="0" t="s">
        <v>7130</v>
      </c>
    </row>
    <row r="39300" customFormat="false" ht="12.8" hidden="false" customHeight="false" outlineLevel="0" collapsed="false">
      <c r="B39300" s="0" t="s">
        <v>8</v>
      </c>
      <c r="C39300" s="0" t="s">
        <v>1575</v>
      </c>
      <c r="E39300" s="0" t="s">
        <v>3388</v>
      </c>
      <c r="F39300" s="0" t="s">
        <v>7132</v>
      </c>
    </row>
    <row r="39302" customFormat="false" ht="12.8" hidden="false" customHeight="false" outlineLevel="0" collapsed="false">
      <c r="A39302" s="0" t="s">
        <v>14552</v>
      </c>
      <c r="B39302" s="0" t="str">
        <f aca="false">HYPERLINK("https://lindat.mff.cuni.cz/services/teitok/pdtc10/index.php?action=vallex&amp;frame=v-w5314f1", "přitlačit (v-w5314f1)")</f>
        <v>přitlačit (v-w5314f1)</v>
      </c>
    </row>
    <row r="39303" customFormat="false" ht="12.8" hidden="false" customHeight="false" outlineLevel="0" collapsed="false">
      <c r="B39303" s="0" t="s">
        <v>1</v>
      </c>
    </row>
    <row r="39304" customFormat="false" ht="12.8" hidden="false" customHeight="false" outlineLevel="0" collapsed="false">
      <c r="B39304" s="0" t="s">
        <v>8</v>
      </c>
    </row>
    <row r="39305" customFormat="false" ht="12.8" hidden="false" customHeight="false" outlineLevel="0" collapsed="false">
      <c r="B39305" s="0" t="s">
        <v>164</v>
      </c>
    </row>
    <row r="39307" customFormat="false" ht="12.8" hidden="false" customHeight="false" outlineLevel="0" collapsed="false">
      <c r="A39307" s="0" t="s">
        <v>14553</v>
      </c>
      <c r="B39307" s="0" t="str">
        <f aca="false">HYPERLINK("https://lindat.mff.cuni.cz/services/teitok/pdtc10/index.php?action=vallex&amp;frame=v-whsa_1793hsa_1794", "přitlouci (v-whsa_1793hsa_1794)")</f>
        <v>přitlouci (v-whsa_1793hsa_1794)</v>
      </c>
    </row>
    <row r="39308" customFormat="false" ht="12.8" hidden="false" customHeight="false" outlineLevel="0" collapsed="false">
      <c r="B39308" s="0" t="s">
        <v>1</v>
      </c>
    </row>
    <row r="39309" customFormat="false" ht="12.8" hidden="false" customHeight="false" outlineLevel="0" collapsed="false">
      <c r="B39309" s="0" t="s">
        <v>8</v>
      </c>
    </row>
    <row r="39311" customFormat="false" ht="12.8" hidden="false" customHeight="false" outlineLevel="0" collapsed="false">
      <c r="A39311" s="0" t="s">
        <v>14554</v>
      </c>
      <c r="B39311" s="0" t="str">
        <f aca="false">HYPERLINK("https://lindat.mff.cuni.cz/services/teitok/pdtc10/index.php?action=vallex&amp;frame=v-whsa_48f1_ZU", "přitopit (v-whsa_48f1_ZU)")</f>
        <v>přitopit (v-whsa_48f1_ZU)</v>
      </c>
      <c r="E39311" s="0" t="str">
        <f aca="false">HYPERLINK("https://lindat.mff.cuni.cz/services/SynSemClass40/SynSemClass40.html?veclass=vec01300#vec01300-ces-cm00001", "vec01300")</f>
        <v>vec01300</v>
      </c>
      <c r="F39311" s="0" t="s">
        <v>5428</v>
      </c>
    </row>
    <row r="39312" customFormat="false" ht="12.8" hidden="false" customHeight="false" outlineLevel="0" collapsed="false">
      <c r="B39312" s="0" t="s">
        <v>1</v>
      </c>
      <c r="E39312" s="0" t="s">
        <v>84</v>
      </c>
      <c r="F39312" s="0" t="s">
        <v>5431</v>
      </c>
    </row>
    <row r="39314" customFormat="false" ht="12.8" hidden="false" customHeight="false" outlineLevel="0" collapsed="false">
      <c r="A39314" s="0" t="s">
        <v>14554</v>
      </c>
      <c r="B39314" s="0" t="str">
        <f aca="false">HYPERLINK("https://lindat.mff.cuni.cz/services/teitok/pdtc10/index.php?action=vallex&amp;frame=v-whsa_48hsa_49", "přitopit (v-whsa_48hsa_49) - substituted with v-whsa_48f1_ZU")</f>
        <v>přitopit (v-whsa_48hsa_49) - substituted with v-whsa_48f1_ZU</v>
      </c>
    </row>
    <row r="39315" customFormat="false" ht="12.8" hidden="false" customHeight="false" outlineLevel="0" collapsed="false">
      <c r="B39315" s="0" t="s">
        <v>1</v>
      </c>
    </row>
    <row r="39317" customFormat="false" ht="12.8" hidden="false" customHeight="false" outlineLevel="0" collapsed="false">
      <c r="A39317" s="0" t="s">
        <v>14555</v>
      </c>
      <c r="B39317" s="0" t="str">
        <f aca="false">HYPERLINK("https://lindat.mff.cuni.cz/services/teitok/pdtc10/index.php?action=vallex&amp;frame=v-whsa_48f2_ZU", "přitopit (v-whsa_48f2_ZU)")</f>
        <v>přitopit (v-whsa_48f2_ZU)</v>
      </c>
    </row>
    <row r="39318" customFormat="false" ht="12.8" hidden="false" customHeight="false" outlineLevel="0" collapsed="false">
      <c r="B39318" s="0" t="s">
        <v>1</v>
      </c>
    </row>
    <row r="39320" customFormat="false" ht="12.8" hidden="false" customHeight="false" outlineLevel="0" collapsed="false">
      <c r="A39320" s="0" t="s">
        <v>14556</v>
      </c>
      <c r="B39320" s="0" t="str">
        <f aca="false">HYPERLINK("https://lindat.mff.cuni.cz/services/teitok/pdtc10/index.php?action=vallex&amp;frame=v-w5319f1", "přituhnout (v-w5319f1)")</f>
        <v>přituhnout (v-w5319f1)</v>
      </c>
    </row>
    <row r="39322" customFormat="false" ht="12.8" hidden="false" customHeight="false" outlineLevel="0" collapsed="false">
      <c r="A39322" s="0" t="s">
        <v>14557</v>
      </c>
      <c r="B39322" s="0" t="str">
        <f aca="false">HYPERLINK("https://lindat.mff.cuni.cz/services/teitok/pdtc10/index.php?action=vallex&amp;frame=v-w10326f2", "přituhovat (v-w10326f2)")</f>
        <v>přituhovat (v-w10326f2)</v>
      </c>
    </row>
    <row r="39324" customFormat="false" ht="12.8" hidden="false" customHeight="false" outlineLevel="0" collapsed="false">
      <c r="A39324" s="0" t="s">
        <v>14558</v>
      </c>
      <c r="B39324" s="0" t="str">
        <f aca="false">HYPERLINK("https://lindat.mff.cuni.cz/services/teitok/pdtc10/index.php?action=vallex&amp;frame=v-w5322f2_ZU", "přitvrdit (v-w5322f2_ZU)")</f>
        <v>přitvrdit (v-w5322f2_ZU)</v>
      </c>
      <c r="E39324" s="0" t="str">
        <f aca="false">HYPERLINK("https://lindat.mff.cuni.cz/services/SynSemClass40/SynSemClass40.html?veclass=vec01301#vec01301-ces-cm00004", "vec01301")</f>
        <v>vec01301</v>
      </c>
      <c r="F39324" s="0" t="s">
        <v>6491</v>
      </c>
    </row>
    <row r="39325" customFormat="false" ht="12.8" hidden="false" customHeight="false" outlineLevel="0" collapsed="false">
      <c r="B39325" s="0" t="s">
        <v>1</v>
      </c>
      <c r="C39325" s="0" t="s">
        <v>14559</v>
      </c>
      <c r="E39325" s="0" t="s">
        <v>31</v>
      </c>
      <c r="F39325" s="0" t="s">
        <v>6492</v>
      </c>
    </row>
    <row r="39326" customFormat="false" ht="12.8" hidden="false" customHeight="false" outlineLevel="0" collapsed="false">
      <c r="B39326" s="0" t="s">
        <v>12351</v>
      </c>
      <c r="C39326" s="0" t="s">
        <v>623</v>
      </c>
      <c r="E39326" s="0" t="s">
        <v>6494</v>
      </c>
      <c r="F39326" s="0" t="s">
        <v>6495</v>
      </c>
    </row>
    <row r="39328" customFormat="false" ht="12.8" hidden="false" customHeight="false" outlineLevel="0" collapsed="false">
      <c r="A39328" s="0" t="s">
        <v>14558</v>
      </c>
      <c r="B39328" s="0" t="str">
        <f aca="false">HYPERLINK("https://lindat.mff.cuni.cz/services/teitok/pdtc10/index.php?action=vallex&amp;frame=v-w5322f1", "přitvrdit (v-w5322f1) - substituted with v-w5322f2_ZU")</f>
        <v>přitvrdit (v-w5322f1) - substituted with v-w5322f2_ZU</v>
      </c>
    </row>
    <row r="39329" customFormat="false" ht="12.8" hidden="false" customHeight="false" outlineLevel="0" collapsed="false">
      <c r="B39329" s="0" t="s">
        <v>1</v>
      </c>
    </row>
    <row r="39330" customFormat="false" ht="12.8" hidden="false" customHeight="false" outlineLevel="0" collapsed="false">
      <c r="B39330" s="0" t="s">
        <v>12351</v>
      </c>
    </row>
    <row r="39332" customFormat="false" ht="12.8" hidden="false" customHeight="false" outlineLevel="0" collapsed="false">
      <c r="A39332" s="0" t="s">
        <v>14560</v>
      </c>
      <c r="B39332" s="0" t="str">
        <f aca="false">HYPERLINK("https://lindat.mff.cuni.cz/services/teitok/pdtc10/index.php?action=vallex&amp;frame=v-w5322hsa_6", "přitvrdit (v-w5322hsa_6)")</f>
        <v>přitvrdit (v-w5322hsa_6)</v>
      </c>
    </row>
    <row r="39333" customFormat="false" ht="12.8" hidden="false" customHeight="false" outlineLevel="0" collapsed="false">
      <c r="B39333" s="0" t="s">
        <v>1</v>
      </c>
    </row>
    <row r="39335" customFormat="false" ht="12.8" hidden="false" customHeight="false" outlineLevel="0" collapsed="false">
      <c r="A39335" s="0" t="s">
        <v>14561</v>
      </c>
      <c r="B39335" s="0" t="str">
        <f aca="false">HYPERLINK("https://lindat.mff.cuni.cz/services/teitok/pdtc10/index.php?action=vallex&amp;frame=v-w10480f3_ZU", "přitvrzovat (v-w10480f3_ZU)")</f>
        <v>přitvrzovat (v-w10480f3_ZU)</v>
      </c>
      <c r="E39335" s="0" t="str">
        <f aca="false">HYPERLINK("https://lindat.mff.cuni.cz/services/SynSemClass40/SynSemClass40.html?veclass=vec01301#vec01301-ces-cm00005", "vec01301")</f>
        <v>vec01301</v>
      </c>
      <c r="F39335" s="0" t="s">
        <v>6491</v>
      </c>
    </row>
    <row r="39336" customFormat="false" ht="12.8" hidden="false" customHeight="false" outlineLevel="0" collapsed="false">
      <c r="B39336" s="0" t="s">
        <v>1</v>
      </c>
      <c r="C39336" s="0" t="s">
        <v>14559</v>
      </c>
      <c r="E39336" s="0" t="s">
        <v>31</v>
      </c>
      <c r="F39336" s="0" t="s">
        <v>6492</v>
      </c>
    </row>
    <row r="39337" customFormat="false" ht="12.8" hidden="false" customHeight="false" outlineLevel="0" collapsed="false">
      <c r="B39337" s="0" t="s">
        <v>12351</v>
      </c>
      <c r="C39337" s="0" t="s">
        <v>623</v>
      </c>
      <c r="E39337" s="0" t="s">
        <v>6494</v>
      </c>
      <c r="F39337" s="0" t="s">
        <v>6495</v>
      </c>
    </row>
    <row r="39339" customFormat="false" ht="12.8" hidden="false" customHeight="false" outlineLevel="0" collapsed="false">
      <c r="A39339" s="0" t="s">
        <v>14561</v>
      </c>
      <c r="B39339" s="0" t="str">
        <f aca="false">HYPERLINK("https://lindat.mff.cuni.cz/services/teitok/pdtc10/index.php?action=vallex&amp;frame=v-w10480f2", "přitvrzovat (v-w10480f2) - substituted with v-w10480f3_ZU")</f>
        <v>přitvrzovat (v-w10480f2) - substituted with v-w10480f3_ZU</v>
      </c>
    </row>
    <row r="39340" customFormat="false" ht="12.8" hidden="false" customHeight="false" outlineLevel="0" collapsed="false">
      <c r="B39340" s="0" t="s">
        <v>1</v>
      </c>
    </row>
    <row r="39341" customFormat="false" ht="12.8" hidden="false" customHeight="false" outlineLevel="0" collapsed="false">
      <c r="B39341" s="0" t="s">
        <v>12351</v>
      </c>
    </row>
    <row r="39343" customFormat="false" ht="12.8" hidden="false" customHeight="false" outlineLevel="0" collapsed="false">
      <c r="A39343" s="0" t="s">
        <v>14562</v>
      </c>
      <c r="B39343" s="0" t="str">
        <f aca="false">HYPERLINK("https://lindat.mff.cuni.cz/services/teitok/pdtc10/index.php?action=vallex&amp;frame=v-w10480hsa_842", "přitvrzovat (v-w10480hsa_842)")</f>
        <v>přitvrzovat (v-w10480hsa_842)</v>
      </c>
    </row>
    <row r="39344" customFormat="false" ht="12.8" hidden="false" customHeight="false" outlineLevel="0" collapsed="false">
      <c r="B39344" s="0" t="s">
        <v>1</v>
      </c>
    </row>
    <row r="39346" customFormat="false" ht="12.8" hidden="false" customHeight="false" outlineLevel="0" collapsed="false">
      <c r="A39346" s="0" t="s">
        <v>14563</v>
      </c>
      <c r="B39346" s="0" t="str">
        <f aca="false">HYPERLINK("https://lindat.mff.cuni.cz/services/teitok/pdtc10/index.php?action=vallex&amp;frame=v-w5302f3", "přitáhnout (v-w5302f3)")</f>
        <v>přitáhnout (v-w5302f3)</v>
      </c>
    </row>
    <row r="39347" customFormat="false" ht="12.8" hidden="false" customHeight="false" outlineLevel="0" collapsed="false">
      <c r="B39347" s="0" t="s">
        <v>1</v>
      </c>
    </row>
    <row r="39348" customFormat="false" ht="12.8" hidden="false" customHeight="false" outlineLevel="0" collapsed="false">
      <c r="B39348" s="0" t="s">
        <v>8</v>
      </c>
    </row>
    <row r="39349" customFormat="false" ht="12.8" hidden="false" customHeight="false" outlineLevel="0" collapsed="false">
      <c r="B39349" s="0" t="s">
        <v>164</v>
      </c>
    </row>
    <row r="39351" customFormat="false" ht="12.8" hidden="false" customHeight="false" outlineLevel="0" collapsed="false">
      <c r="A39351" s="0" t="s">
        <v>14564</v>
      </c>
      <c r="B39351" s="0" t="str">
        <f aca="false">HYPERLINK("https://lindat.mff.cuni.cz/services/teitok/pdtc10/index.php?action=vallex&amp;frame=v-w5302f1", "přitáhnout (v-w5302f1)")</f>
        <v>přitáhnout (v-w5302f1)</v>
      </c>
      <c r="E39351" s="0" t="str">
        <f aca="false">HYPERLINK("https://lindat.mff.cuni.cz/services/SynSemClass40/SynSemClass40.html?veclass=vec00188#vec00188-ces-cm00037", "vec00188")</f>
        <v>vec00188</v>
      </c>
      <c r="F39351" s="0" t="s">
        <v>7128</v>
      </c>
    </row>
    <row r="39352" customFormat="false" ht="12.8" hidden="false" customHeight="false" outlineLevel="0" collapsed="false">
      <c r="B39352" s="0" t="s">
        <v>1</v>
      </c>
      <c r="C39352" s="0" t="s">
        <v>9998</v>
      </c>
      <c r="E39352" s="0" t="s">
        <v>1567</v>
      </c>
      <c r="F39352" s="0" t="s">
        <v>7130</v>
      </c>
    </row>
    <row r="39353" customFormat="false" ht="12.8" hidden="false" customHeight="false" outlineLevel="0" collapsed="false">
      <c r="B39353" s="0" t="s">
        <v>8</v>
      </c>
      <c r="C39353" s="0" t="s">
        <v>1575</v>
      </c>
      <c r="E39353" s="0" t="s">
        <v>3388</v>
      </c>
      <c r="F39353" s="0" t="s">
        <v>7132</v>
      </c>
    </row>
    <row r="39355" customFormat="false" ht="12.8" hidden="false" customHeight="false" outlineLevel="0" collapsed="false">
      <c r="A39355" s="0" t="s">
        <v>14565</v>
      </c>
      <c r="B39355" s="0" t="str">
        <f aca="false">HYPERLINK("https://lindat.mff.cuni.cz/services/teitok/pdtc10/index.php?action=vallex&amp;frame=v-w5302f2", "přitáhnout (v-w5302f2)")</f>
        <v>přitáhnout (v-w5302f2)</v>
      </c>
    </row>
    <row r="39356" customFormat="false" ht="12.8" hidden="false" customHeight="false" outlineLevel="0" collapsed="false">
      <c r="B39356" s="0" t="s">
        <v>1</v>
      </c>
    </row>
    <row r="39357" customFormat="false" ht="12.8" hidden="false" customHeight="false" outlineLevel="0" collapsed="false">
      <c r="B39357" s="0" t="s">
        <v>8</v>
      </c>
    </row>
    <row r="39359" customFormat="false" ht="12.8" hidden="false" customHeight="false" outlineLevel="0" collapsed="false">
      <c r="A39359" s="0" t="s">
        <v>14566</v>
      </c>
      <c r="B39359" s="0" t="str">
        <f aca="false">HYPERLINK("https://lindat.mff.cuni.cz/services/teitok/pdtc10/index.php?action=vallex&amp;frame=v-w5302hsa_448", "přitáhnout (v-w5302hsa_448)")</f>
        <v>přitáhnout (v-w5302hsa_448)</v>
      </c>
      <c r="E39359" s="0" t="str">
        <f aca="false">HYPERLINK("https://lindat.mff.cuni.cz/services/SynSemClass40/SynSemClass40.html?veclass=vec00286#vec00286-ces-cm00044", "vec00286")</f>
        <v>vec00286</v>
      </c>
      <c r="F39359" s="0" t="s">
        <v>6106</v>
      </c>
    </row>
    <row r="39360" customFormat="false" ht="12.8" hidden="false" customHeight="false" outlineLevel="0" collapsed="false">
      <c r="B39360" s="0" t="s">
        <v>1</v>
      </c>
      <c r="C39360" s="0" t="s">
        <v>14567</v>
      </c>
      <c r="E39360" s="0" t="s">
        <v>14568</v>
      </c>
      <c r="F39360" s="0" t="s">
        <v>14569</v>
      </c>
    </row>
    <row r="39361" customFormat="false" ht="12.8" hidden="false" customHeight="false" outlineLevel="0" collapsed="false">
      <c r="B39361" s="0" t="s">
        <v>14570</v>
      </c>
      <c r="C39361" s="0" t="s">
        <v>14571</v>
      </c>
      <c r="E39361" s="0" t="s">
        <v>14572</v>
      </c>
      <c r="F39361" s="0" t="s">
        <v>14573</v>
      </c>
    </row>
    <row r="39363" customFormat="false" ht="12.8" hidden="false" customHeight="false" outlineLevel="0" collapsed="false">
      <c r="A39363" s="0" t="s">
        <v>14574</v>
      </c>
      <c r="B39363" s="0" t="str">
        <f aca="false">HYPERLINK("https://lindat.mff.cuni.cz/services/teitok/pdtc10/index.php?action=vallex&amp;frame=v-w5302f4_ZU", "přitáhnout (v-w5302f4_ZU)")</f>
        <v>přitáhnout (v-w5302f4_ZU)</v>
      </c>
    </row>
    <row r="39364" customFormat="false" ht="12.8" hidden="false" customHeight="false" outlineLevel="0" collapsed="false">
      <c r="B39364" s="0" t="s">
        <v>1</v>
      </c>
    </row>
    <row r="39365" customFormat="false" ht="12.8" hidden="false" customHeight="false" outlineLevel="0" collapsed="false">
      <c r="B39365" s="0" t="s">
        <v>14575</v>
      </c>
    </row>
    <row r="39366" customFormat="false" ht="12.8" hidden="false" customHeight="false" outlineLevel="0" collapsed="false">
      <c r="B39366" s="0" t="s">
        <v>186</v>
      </c>
    </row>
    <row r="39368" customFormat="false" ht="12.8" hidden="false" customHeight="false" outlineLevel="0" collapsed="false">
      <c r="A39368" s="0" t="s">
        <v>14574</v>
      </c>
      <c r="B39368" s="0" t="str">
        <f aca="false">HYPERLINK("https://lindat.mff.cuni.cz/services/teitok/pdtc10/index.php?action=vallex&amp;frame=v-w5302hsa_449", "přitáhnout (v-w5302hsa_449) - substituted with v-w5302f4_ZU")</f>
        <v>přitáhnout (v-w5302hsa_449) - substituted with v-w5302f4_ZU</v>
      </c>
    </row>
    <row r="39369" customFormat="false" ht="12.8" hidden="false" customHeight="false" outlineLevel="0" collapsed="false">
      <c r="B39369" s="0" t="s">
        <v>1</v>
      </c>
    </row>
    <row r="39370" customFormat="false" ht="12.8" hidden="false" customHeight="false" outlineLevel="0" collapsed="false">
      <c r="B39370" s="0" t="s">
        <v>14575</v>
      </c>
    </row>
    <row r="39371" customFormat="false" ht="12.8" hidden="false" customHeight="false" outlineLevel="0" collapsed="false">
      <c r="B39371" s="0" t="s">
        <v>186</v>
      </c>
    </row>
    <row r="39373" customFormat="false" ht="12.8" hidden="false" customHeight="false" outlineLevel="0" collapsed="false">
      <c r="A39373" s="0" t="s">
        <v>14576</v>
      </c>
      <c r="B39373" s="0" t="str">
        <f aca="false">HYPERLINK("https://lindat.mff.cuni.cz/services/teitok/pdtc10/index.php?action=vallex&amp;frame=v-w5308f1", "přitéci (v-w5308f1)")</f>
        <v>přitéci (v-w5308f1)</v>
      </c>
      <c r="E39373" s="0" t="str">
        <f aca="false">HYPERLINK("https://lindat.mff.cuni.cz/services/SynSemClass40/SynSemClass40.html?veclass=vec00218#vec00218-ces-cm00279", "vec00218")</f>
        <v>vec00218</v>
      </c>
      <c r="F39373" s="0" t="s">
        <v>2143</v>
      </c>
      <c r="H39373" s="0" t="str">
        <f aca="false">HYPERLINK("https://lindat.mff.cuni.cz/services/SynSemClass40/SynSemClass40.html?veclass=vec00952#vec00952-ces-cm00090", "vec00952")</f>
        <v>vec00952</v>
      </c>
      <c r="I39373" s="0" t="s">
        <v>3038</v>
      </c>
    </row>
    <row r="39374" customFormat="false" ht="12.8" hidden="false" customHeight="false" outlineLevel="0" collapsed="false">
      <c r="B39374" s="0" t="s">
        <v>1</v>
      </c>
      <c r="C39374" s="0" t="s">
        <v>3039</v>
      </c>
      <c r="E39374" s="0" t="s">
        <v>11</v>
      </c>
      <c r="F39374" s="0" t="s">
        <v>2145</v>
      </c>
      <c r="H39374" s="0" t="s">
        <v>334</v>
      </c>
      <c r="I39374" s="0" t="s">
        <v>3040</v>
      </c>
    </row>
    <row r="39375" customFormat="false" ht="12.8" hidden="false" customHeight="false" outlineLevel="0" collapsed="false">
      <c r="B39375" s="0" t="s">
        <v>164</v>
      </c>
      <c r="C39375" s="0" t="s">
        <v>2146</v>
      </c>
      <c r="E39375" s="0" t="s">
        <v>370</v>
      </c>
      <c r="F39375" s="0" t="s">
        <v>2147</v>
      </c>
      <c r="H39375" s="0" t="s">
        <v>370</v>
      </c>
      <c r="I39375" s="0" t="s">
        <v>3041</v>
      </c>
    </row>
    <row r="39377" customFormat="false" ht="12.8" hidden="false" customHeight="false" outlineLevel="0" collapsed="false">
      <c r="A39377" s="0" t="s">
        <v>14577</v>
      </c>
      <c r="B39377" s="0" t="str">
        <f aca="false">HYPERLINK("https://lindat.mff.cuni.cz/services/teitok/pdtc10/index.php?action=vallex&amp;frame=v-w5309f1", "přitékat (v-w5309f1)")</f>
        <v>přitékat (v-w5309f1)</v>
      </c>
    </row>
    <row r="39378" customFormat="false" ht="12.8" hidden="false" customHeight="false" outlineLevel="0" collapsed="false">
      <c r="B39378" s="0" t="s">
        <v>1</v>
      </c>
    </row>
    <row r="39379" customFormat="false" ht="12.8" hidden="false" customHeight="false" outlineLevel="0" collapsed="false">
      <c r="B39379" s="0" t="s">
        <v>164</v>
      </c>
    </row>
    <row r="39381" customFormat="false" ht="12.8" hidden="false" customHeight="false" outlineLevel="0" collapsed="false">
      <c r="A39381" s="0" t="s">
        <v>14578</v>
      </c>
      <c r="B39381" s="0" t="str">
        <f aca="false">HYPERLINK("https://lindat.mff.cuni.cz/services/teitok/pdtc10/index.php?action=vallex&amp;frame=v-w5312f1", "přitížit (v-w5312f1)")</f>
        <v>přitížit (v-w5312f1)</v>
      </c>
    </row>
    <row r="39382" customFormat="false" ht="12.8" hidden="false" customHeight="false" outlineLevel="0" collapsed="false">
      <c r="B39382" s="0" t="s">
        <v>1</v>
      </c>
    </row>
    <row r="39383" customFormat="false" ht="12.8" hidden="false" customHeight="false" outlineLevel="0" collapsed="false">
      <c r="B39383" s="0" t="s">
        <v>186</v>
      </c>
    </row>
    <row r="39385" customFormat="false" ht="12.8" hidden="false" customHeight="false" outlineLevel="0" collapsed="false">
      <c r="A39385" s="0" t="s">
        <v>14579</v>
      </c>
      <c r="B39385" s="0" t="str">
        <f aca="false">HYPERLINK("https://lindat.mff.cuni.cz/services/teitok/pdtc10/index.php?action=vallex&amp;frame=v-w5313f1", "přitížit se (v-w5313f1)")</f>
        <v>přitížit se (v-w5313f1)</v>
      </c>
    </row>
    <row r="39386" customFormat="false" ht="12.8" hidden="false" customHeight="false" outlineLevel="0" collapsed="false">
      <c r="B39386" s="0" t="s">
        <v>804</v>
      </c>
    </row>
    <row r="39388" customFormat="false" ht="12.8" hidden="false" customHeight="false" outlineLevel="0" collapsed="false">
      <c r="A39388" s="0" t="s">
        <v>14580</v>
      </c>
      <c r="B39388" s="0" t="str">
        <f aca="false">HYPERLINK("https://lindat.mff.cuni.cz/services/teitok/pdtc10/index.php?action=vallex&amp;frame=v-w5311f1", "přitěžovat (v-w5311f1)")</f>
        <v>přitěžovat (v-w5311f1)</v>
      </c>
    </row>
    <row r="39389" customFormat="false" ht="12.8" hidden="false" customHeight="false" outlineLevel="0" collapsed="false">
      <c r="B39389" s="0" t="s">
        <v>1</v>
      </c>
    </row>
    <row r="39390" customFormat="false" ht="12.8" hidden="false" customHeight="false" outlineLevel="0" collapsed="false">
      <c r="B39390" s="0" t="s">
        <v>186</v>
      </c>
    </row>
    <row r="39392" customFormat="false" ht="12.8" hidden="false" customHeight="false" outlineLevel="0" collapsed="false">
      <c r="A39392" s="0" t="s">
        <v>14581</v>
      </c>
      <c r="B39392" s="0" t="str">
        <f aca="false">HYPERLINK("https://lindat.mff.cuni.cz/services/teitok/pdtc10/index.php?action=vallex&amp;frame=v-w12174_ZUf1_ZU", "přiupravit (v-w12174_ZUf1_ZU)")</f>
        <v>přiupravit (v-w12174_ZUf1_ZU)</v>
      </c>
    </row>
    <row r="39393" customFormat="false" ht="12.8" hidden="false" customHeight="false" outlineLevel="0" collapsed="false">
      <c r="B39393" s="0" t="s">
        <v>1</v>
      </c>
    </row>
    <row r="39394" customFormat="false" ht="12.8" hidden="false" customHeight="false" outlineLevel="0" collapsed="false">
      <c r="B39394" s="0" t="s">
        <v>8</v>
      </c>
    </row>
    <row r="39396" customFormat="false" ht="12.8" hidden="false" customHeight="false" outlineLevel="0" collapsed="false">
      <c r="A39396" s="0" t="s">
        <v>14582</v>
      </c>
      <c r="B39396" s="0" t="str">
        <f aca="false">HYPERLINK("https://lindat.mff.cuni.cz/services/teitok/pdtc10/index.php?action=vallex&amp;frame=v-w5325f1", "přiučit se (v-w5325f1)")</f>
        <v>přiučit se (v-w5325f1)</v>
      </c>
      <c r="E39396" s="0" t="str">
        <f aca="false">HYPERLINK("https://lindat.mff.cuni.cz/services/SynSemClass40/SynSemClass40.html?veclass=vec00013#vec00013-ces-cm00069", "vec00013")</f>
        <v>vec00013</v>
      </c>
      <c r="F39396" s="0" t="s">
        <v>2742</v>
      </c>
    </row>
    <row r="39397" customFormat="false" ht="12.8" hidden="false" customHeight="false" outlineLevel="0" collapsed="false">
      <c r="B39397" s="0" t="s">
        <v>1</v>
      </c>
      <c r="C39397" s="0" t="s">
        <v>2743</v>
      </c>
      <c r="E39397" s="0" t="s">
        <v>621</v>
      </c>
      <c r="F39397" s="0" t="s">
        <v>2744</v>
      </c>
    </row>
    <row r="39398" customFormat="false" ht="12.8" hidden="false" customHeight="false" outlineLevel="0" collapsed="false">
      <c r="B39398" s="0" t="s">
        <v>3069</v>
      </c>
      <c r="C39398" s="0" t="s">
        <v>2748</v>
      </c>
      <c r="E39398" s="0" t="s">
        <v>218</v>
      </c>
      <c r="F39398" s="0" t="s">
        <v>2749</v>
      </c>
    </row>
    <row r="39399" customFormat="false" ht="12.8" hidden="false" customHeight="false" outlineLevel="0" collapsed="false">
      <c r="B39399" s="0" t="s">
        <v>602</v>
      </c>
      <c r="C39399" s="0" t="s">
        <v>2750</v>
      </c>
      <c r="E39399" s="0" t="s">
        <v>2176</v>
      </c>
      <c r="F39399" s="0" t="s">
        <v>2751</v>
      </c>
    </row>
    <row r="39401" customFormat="false" ht="12.8" hidden="false" customHeight="false" outlineLevel="0" collapsed="false">
      <c r="A39401" s="0" t="s">
        <v>14583</v>
      </c>
      <c r="B39401" s="0" t="str">
        <f aca="false">HYPERLINK("https://lindat.mff.cuni.cz/services/teitok/pdtc10/index.php?action=vallex&amp;frame=v-whsa_1493hsa_1494", "přivařit (v-whsa_1493hsa_1494)")</f>
        <v>přivařit (v-whsa_1493hsa_1494)</v>
      </c>
    </row>
    <row r="39402" customFormat="false" ht="12.8" hidden="false" customHeight="false" outlineLevel="0" collapsed="false">
      <c r="B39402" s="0" t="s">
        <v>1</v>
      </c>
    </row>
    <row r="39403" customFormat="false" ht="12.8" hidden="false" customHeight="false" outlineLevel="0" collapsed="false">
      <c r="B39403" s="0" t="s">
        <v>8</v>
      </c>
    </row>
    <row r="39404" customFormat="false" ht="12.8" hidden="false" customHeight="false" outlineLevel="0" collapsed="false">
      <c r="B39404" s="0" t="s">
        <v>164</v>
      </c>
    </row>
    <row r="39406" customFormat="false" ht="12.8" hidden="false" customHeight="false" outlineLevel="0" collapsed="false">
      <c r="A39406" s="0" t="s">
        <v>14584</v>
      </c>
      <c r="B39406" s="0" t="str">
        <f aca="false">HYPERLINK("https://lindat.mff.cuni.cz/services/teitok/pdtc10/index.php?action=vallex&amp;frame=v-whsa_1658f1_ZU", "přivdat se (v-whsa_1658f1_ZU)")</f>
        <v>přivdat se (v-whsa_1658f1_ZU)</v>
      </c>
    </row>
    <row r="39407" customFormat="false" ht="12.8" hidden="false" customHeight="false" outlineLevel="0" collapsed="false">
      <c r="B39407" s="0" t="s">
        <v>1</v>
      </c>
    </row>
    <row r="39408" customFormat="false" ht="12.8" hidden="false" customHeight="false" outlineLevel="0" collapsed="false">
      <c r="B39408" s="0" t="s">
        <v>2069</v>
      </c>
    </row>
    <row r="39409" customFormat="false" ht="12.8" hidden="false" customHeight="false" outlineLevel="0" collapsed="false">
      <c r="B39409" s="0" t="s">
        <v>164</v>
      </c>
    </row>
    <row r="39411" customFormat="false" ht="12.8" hidden="false" customHeight="false" outlineLevel="0" collapsed="false">
      <c r="A39411" s="0" t="s">
        <v>14584</v>
      </c>
      <c r="B39411" s="0" t="str">
        <f aca="false">HYPERLINK("https://lindat.mff.cuni.cz/services/teitok/pdtc10/index.php?action=vallex&amp;frame=v-whsa_1658hsa_1659", "přivdat se (v-whsa_1658hsa_1659) - substituted with v-whsa_1658f1_ZU")</f>
        <v>přivdat se (v-whsa_1658hsa_1659) - substituted with v-whsa_1658f1_ZU</v>
      </c>
    </row>
    <row r="39412" customFormat="false" ht="12.8" hidden="false" customHeight="false" outlineLevel="0" collapsed="false">
      <c r="B39412" s="0" t="s">
        <v>1</v>
      </c>
    </row>
    <row r="39413" customFormat="false" ht="12.8" hidden="false" customHeight="false" outlineLevel="0" collapsed="false">
      <c r="B39413" s="0" t="s">
        <v>2069</v>
      </c>
    </row>
    <row r="39414" customFormat="false" ht="12.8" hidden="false" customHeight="false" outlineLevel="0" collapsed="false">
      <c r="B39414" s="0" t="s">
        <v>164</v>
      </c>
    </row>
    <row r="39416" customFormat="false" ht="12.8" hidden="false" customHeight="false" outlineLevel="0" collapsed="false">
      <c r="A39416" s="0" t="s">
        <v>14585</v>
      </c>
      <c r="B39416" s="0" t="str">
        <f aca="false">HYPERLINK("https://lindat.mff.cuni.cz/services/teitok/pdtc10/index.php?action=vallex&amp;frame=v-w5332f1", "přivlastnit si (v-w5332f1)")</f>
        <v>přivlastnit si (v-w5332f1)</v>
      </c>
      <c r="E39416" s="0" t="str">
        <f aca="false">HYPERLINK("https://lindat.mff.cuni.cz/services/SynSemClass40/SynSemClass40.html?veclass=vec00613#vec00613-ces-cm00149", "vec00613")</f>
        <v>vec00613</v>
      </c>
      <c r="F39416" s="0" t="s">
        <v>604</v>
      </c>
    </row>
    <row r="39417" customFormat="false" ht="12.8" hidden="false" customHeight="false" outlineLevel="0" collapsed="false">
      <c r="B39417" s="0" t="s">
        <v>1</v>
      </c>
      <c r="C39417" s="0" t="s">
        <v>1436</v>
      </c>
      <c r="E39417" s="0" t="s">
        <v>31</v>
      </c>
      <c r="F39417" s="0" t="s">
        <v>608</v>
      </c>
    </row>
    <row r="39418" customFormat="false" ht="12.8" hidden="false" customHeight="false" outlineLevel="0" collapsed="false">
      <c r="B39418" s="0" t="s">
        <v>8</v>
      </c>
      <c r="C39418" s="0" t="s">
        <v>1437</v>
      </c>
      <c r="E39418" s="0" t="s">
        <v>384</v>
      </c>
      <c r="F39418" s="0" t="s">
        <v>612</v>
      </c>
    </row>
    <row r="39420" customFormat="false" ht="12.8" hidden="false" customHeight="false" outlineLevel="0" collapsed="false">
      <c r="A39420" s="0" t="s">
        <v>14586</v>
      </c>
      <c r="B39420" s="0" t="str">
        <f aca="false">HYPERLINK("https://lindat.mff.cuni.cz/services/teitok/pdtc10/index.php?action=vallex&amp;frame=v-w5333f2_ZU", "přivlastňovat si (v-w5333f2_ZU)")</f>
        <v>přivlastňovat si (v-w5333f2_ZU)</v>
      </c>
    </row>
    <row r="39421" customFormat="false" ht="12.8" hidden="false" customHeight="false" outlineLevel="0" collapsed="false">
      <c r="B39421" s="0" t="s">
        <v>1</v>
      </c>
    </row>
    <row r="39422" customFormat="false" ht="12.8" hidden="false" customHeight="false" outlineLevel="0" collapsed="false">
      <c r="B39422" s="0" t="s">
        <v>8</v>
      </c>
    </row>
    <row r="39424" customFormat="false" ht="12.8" hidden="false" customHeight="false" outlineLevel="0" collapsed="false">
      <c r="A39424" s="0" t="s">
        <v>14586</v>
      </c>
      <c r="B39424" s="0" t="str">
        <f aca="false">HYPERLINK("https://lindat.mff.cuni.cz/services/teitok/pdtc10/index.php?action=vallex&amp;frame=v-w5333f1", "přivlastňovat si (v-w5333f1) - substituted with v-w5333f2_ZU")</f>
        <v>přivlastňovat si (v-w5333f1) - substituted with v-w5333f2_ZU</v>
      </c>
    </row>
    <row r="39425" customFormat="false" ht="12.8" hidden="false" customHeight="false" outlineLevel="0" collapsed="false">
      <c r="B39425" s="0" t="s">
        <v>1</v>
      </c>
    </row>
    <row r="39426" customFormat="false" ht="12.8" hidden="false" customHeight="false" outlineLevel="0" collapsed="false">
      <c r="B39426" s="0" t="s">
        <v>8</v>
      </c>
    </row>
    <row r="39428" customFormat="false" ht="12.8" hidden="false" customHeight="false" outlineLevel="0" collapsed="false">
      <c r="A39428" s="0" t="s">
        <v>14587</v>
      </c>
      <c r="B39428" s="0" t="str">
        <f aca="false">HYPERLINK("https://lindat.mff.cuni.cz/services/teitok/pdtc10/index.php?action=vallex&amp;frame=v-w5335f1", "přivodit (v-w5335f1)")</f>
        <v>přivodit (v-w5335f1)</v>
      </c>
      <c r="E39428" s="0" t="str">
        <f aca="false">HYPERLINK("https://lindat.mff.cuni.cz/services/SynSemClass40/SynSemClass40.html?veclass=vec00196#vec00196-ces-cm00123", "vec00196")</f>
        <v>vec00196</v>
      </c>
      <c r="F39428" s="0" t="s">
        <v>749</v>
      </c>
    </row>
    <row r="39429" customFormat="false" ht="12.8" hidden="false" customHeight="false" outlineLevel="0" collapsed="false">
      <c r="B39429" s="0" t="s">
        <v>1</v>
      </c>
      <c r="C39429" s="0" t="s">
        <v>750</v>
      </c>
      <c r="E39429" s="0" t="s">
        <v>76</v>
      </c>
      <c r="F39429" s="0" t="s">
        <v>751</v>
      </c>
    </row>
    <row r="39430" customFormat="false" ht="12.8" hidden="false" customHeight="false" outlineLevel="0" collapsed="false">
      <c r="B39430" s="0" t="s">
        <v>8</v>
      </c>
      <c r="C39430" s="0" t="s">
        <v>6686</v>
      </c>
      <c r="E39430" s="0" t="s">
        <v>6358</v>
      </c>
      <c r="F39430" s="0" t="s">
        <v>6645</v>
      </c>
    </row>
    <row r="39431" customFormat="false" ht="12.8" hidden="false" customHeight="false" outlineLevel="0" collapsed="false">
      <c r="B39431" s="0" t="s">
        <v>52</v>
      </c>
      <c r="C39431" s="0" t="s">
        <v>7175</v>
      </c>
      <c r="E39431" s="0" t="s">
        <v>2287</v>
      </c>
      <c r="F39431" s="0" t="s">
        <v>7176</v>
      </c>
    </row>
    <row r="39433" customFormat="false" ht="12.8" hidden="false" customHeight="false" outlineLevel="0" collapsed="false">
      <c r="A39433" s="0" t="s">
        <v>14588</v>
      </c>
      <c r="B39433" s="0" t="str">
        <f aca="false">HYPERLINK("https://lindat.mff.cuni.cz/services/teitok/pdtc10/index.php?action=vallex&amp;frame=v-w5336f1", "přivolat (v-w5336f1)")</f>
        <v>přivolat (v-w5336f1)</v>
      </c>
    </row>
    <row r="39434" customFormat="false" ht="12.8" hidden="false" customHeight="false" outlineLevel="0" collapsed="false">
      <c r="B39434" s="0" t="s">
        <v>1</v>
      </c>
    </row>
    <row r="39435" customFormat="false" ht="12.8" hidden="false" customHeight="false" outlineLevel="0" collapsed="false">
      <c r="B39435" s="0" t="s">
        <v>8</v>
      </c>
    </row>
    <row r="39437" customFormat="false" ht="12.8" hidden="false" customHeight="false" outlineLevel="0" collapsed="false">
      <c r="A39437" s="0" t="s">
        <v>14589</v>
      </c>
      <c r="B39437" s="0" t="str">
        <f aca="false">HYPERLINK("https://lindat.mff.cuni.cz/services/teitok/pdtc10/index.php?action=vallex&amp;frame=v-w5338f1", "přivolit (v-w5338f1)")</f>
        <v>přivolit (v-w5338f1)</v>
      </c>
    </row>
    <row r="39438" customFormat="false" ht="12.8" hidden="false" customHeight="false" outlineLevel="0" collapsed="false">
      <c r="B39438" s="0" t="s">
        <v>1</v>
      </c>
    </row>
    <row r="39439" customFormat="false" ht="12.8" hidden="false" customHeight="false" outlineLevel="0" collapsed="false">
      <c r="B39439" s="0" t="s">
        <v>350</v>
      </c>
    </row>
    <row r="39441" customFormat="false" ht="12.8" hidden="false" customHeight="false" outlineLevel="0" collapsed="false">
      <c r="A39441" s="0" t="s">
        <v>14590</v>
      </c>
      <c r="B39441" s="0" t="str">
        <f aca="false">HYPERLINK("https://lindat.mff.cuni.cz/services/teitok/pdtc10/index.php?action=vallex&amp;frame=v-w11947_ZUf2_ZU", "přivonět (v-w11947_ZUf2_ZU)")</f>
        <v>přivonět (v-w11947_ZUf2_ZU)</v>
      </c>
    </row>
    <row r="39442" customFormat="false" ht="12.8" hidden="false" customHeight="false" outlineLevel="0" collapsed="false">
      <c r="B39442" s="0" t="s">
        <v>1</v>
      </c>
    </row>
    <row r="39443" customFormat="false" ht="12.8" hidden="false" customHeight="false" outlineLevel="0" collapsed="false">
      <c r="B39443" s="0" t="s">
        <v>311</v>
      </c>
    </row>
    <row r="39445" customFormat="false" ht="12.8" hidden="false" customHeight="false" outlineLevel="0" collapsed="false">
      <c r="A39445" s="0" t="s">
        <v>14590</v>
      </c>
      <c r="B39445" s="0" t="str">
        <f aca="false">HYPERLINK("https://lindat.mff.cuni.cz/services/teitok/pdtc10/index.php?action=vallex&amp;frame=v-w11947_ZUf1_ZU", "přivonět (v-w11947_ZUf1_ZU) - substituted with v-w11947_ZUf2_ZU")</f>
        <v>přivonět (v-w11947_ZUf1_ZU) - substituted with v-w11947_ZUf2_ZU</v>
      </c>
    </row>
    <row r="39446" customFormat="false" ht="12.8" hidden="false" customHeight="false" outlineLevel="0" collapsed="false">
      <c r="B39446" s="0" t="s">
        <v>1</v>
      </c>
    </row>
    <row r="39447" customFormat="false" ht="12.8" hidden="false" customHeight="false" outlineLevel="0" collapsed="false">
      <c r="B39447" s="0" t="s">
        <v>311</v>
      </c>
    </row>
    <row r="39449" customFormat="false" ht="12.8" hidden="false" customHeight="false" outlineLevel="0" collapsed="false">
      <c r="A39449" s="0" t="s">
        <v>14591</v>
      </c>
      <c r="B39449" s="0" t="str">
        <f aca="false">HYPERLINK("https://lindat.mff.cuni.cz/services/teitok/pdtc10/index.php?action=vallex&amp;frame=v-w5340f1", "přivrhnout (v-w5340f1)")</f>
        <v>přivrhnout (v-w5340f1)</v>
      </c>
    </row>
    <row r="39450" customFormat="false" ht="12.8" hidden="false" customHeight="false" outlineLevel="0" collapsed="false">
      <c r="B39450" s="0" t="s">
        <v>1</v>
      </c>
    </row>
    <row r="39451" customFormat="false" ht="12.8" hidden="false" customHeight="false" outlineLevel="0" collapsed="false">
      <c r="B39451" s="0" t="s">
        <v>8</v>
      </c>
    </row>
    <row r="39452" customFormat="false" ht="12.8" hidden="false" customHeight="false" outlineLevel="0" collapsed="false">
      <c r="B39452" s="0" t="s">
        <v>52</v>
      </c>
    </row>
    <row r="39454" customFormat="false" ht="12.8" hidden="false" customHeight="false" outlineLevel="0" collapsed="false">
      <c r="A39454" s="0" t="s">
        <v>14592</v>
      </c>
      <c r="B39454" s="0" t="str">
        <f aca="false">HYPERLINK("https://lindat.mff.cuni.cz/services/teitok/pdtc10/index.php?action=vallex&amp;frame=v-w11715_ZUf1_ZU", "přivydělat (v-w11715_ZUf1_ZU)")</f>
        <v>přivydělat (v-w11715_ZUf1_ZU)</v>
      </c>
    </row>
    <row r="39455" customFormat="false" ht="12.8" hidden="false" customHeight="false" outlineLevel="0" collapsed="false">
      <c r="B39455" s="0" t="s">
        <v>1</v>
      </c>
    </row>
    <row r="39456" customFormat="false" ht="12.8" hidden="false" customHeight="false" outlineLevel="0" collapsed="false">
      <c r="B39456" s="0" t="s">
        <v>8</v>
      </c>
    </row>
    <row r="39457" customFormat="false" ht="12.8" hidden="false" customHeight="false" outlineLevel="0" collapsed="false">
      <c r="B39457" s="0" t="s">
        <v>773</v>
      </c>
    </row>
    <row r="39459" customFormat="false" ht="12.8" hidden="false" customHeight="false" outlineLevel="0" collapsed="false">
      <c r="A39459" s="0" t="s">
        <v>14593</v>
      </c>
      <c r="B39459" s="0" t="str">
        <f aca="false">HYPERLINK("https://lindat.mff.cuni.cz/services/teitok/pdtc10/index.php?action=vallex&amp;frame=v-w5343f1", "přivydělat si (v-w5343f1)")</f>
        <v>přivydělat si (v-w5343f1)</v>
      </c>
    </row>
    <row r="39460" customFormat="false" ht="12.8" hidden="false" customHeight="false" outlineLevel="0" collapsed="false">
      <c r="B39460" s="0" t="s">
        <v>1</v>
      </c>
    </row>
    <row r="39461" customFormat="false" ht="12.8" hidden="false" customHeight="false" outlineLevel="0" collapsed="false">
      <c r="B39461" s="0" t="s">
        <v>8</v>
      </c>
    </row>
    <row r="39462" customFormat="false" ht="12.8" hidden="false" customHeight="false" outlineLevel="0" collapsed="false">
      <c r="B39462" s="0" t="s">
        <v>773</v>
      </c>
    </row>
    <row r="39464" customFormat="false" ht="12.8" hidden="false" customHeight="false" outlineLevel="0" collapsed="false">
      <c r="A39464" s="0" t="s">
        <v>14594</v>
      </c>
      <c r="B39464" s="0" t="str">
        <f aca="false">HYPERLINK("https://lindat.mff.cuni.cz/services/teitok/pdtc10/index.php?action=vallex&amp;frame=v-w12255_ZUf1_ZU", "přivydělávat (v-w12255_ZUf1_ZU)")</f>
        <v>přivydělávat (v-w12255_ZUf1_ZU)</v>
      </c>
    </row>
    <row r="39465" customFormat="false" ht="12.8" hidden="false" customHeight="false" outlineLevel="0" collapsed="false">
      <c r="B39465" s="0" t="s">
        <v>1</v>
      </c>
    </row>
    <row r="39466" customFormat="false" ht="12.8" hidden="false" customHeight="false" outlineLevel="0" collapsed="false">
      <c r="B39466" s="0" t="s">
        <v>8</v>
      </c>
    </row>
    <row r="39468" customFormat="false" ht="12.8" hidden="false" customHeight="false" outlineLevel="0" collapsed="false">
      <c r="A39468" s="0" t="s">
        <v>14595</v>
      </c>
      <c r="B39468" s="0" t="str">
        <f aca="false">HYPERLINK("https://lindat.mff.cuni.cz/services/teitok/pdtc10/index.php?action=vallex&amp;frame=v-w5344f1", "přivydělávat si (v-w5344f1)")</f>
        <v>přivydělávat si (v-w5344f1)</v>
      </c>
    </row>
    <row r="39469" customFormat="false" ht="12.8" hidden="false" customHeight="false" outlineLevel="0" collapsed="false">
      <c r="B39469" s="0" t="s">
        <v>1</v>
      </c>
    </row>
    <row r="39470" customFormat="false" ht="12.8" hidden="false" customHeight="false" outlineLevel="0" collapsed="false">
      <c r="B39470" s="0" t="s">
        <v>8</v>
      </c>
    </row>
    <row r="39471" customFormat="false" ht="12.8" hidden="false" customHeight="false" outlineLevel="0" collapsed="false">
      <c r="B39471" s="0" t="s">
        <v>773</v>
      </c>
    </row>
    <row r="39473" customFormat="false" ht="12.8" hidden="false" customHeight="false" outlineLevel="0" collapsed="false">
      <c r="A39473" s="0" t="s">
        <v>14596</v>
      </c>
      <c r="B39473" s="0" t="str">
        <f aca="false">HYPERLINK("https://lindat.mff.cuni.cz/services/teitok/pdtc10/index.php?action=vallex&amp;frame=v-w5345f1", "přivyknout (v-w5345f1)")</f>
        <v>přivyknout (v-w5345f1)</v>
      </c>
      <c r="E39473" s="0" t="str">
        <f aca="false">HYPERLINK("https://lindat.mff.cuni.cz/services/SynSemClass40/SynSemClass40.html?veclass=vec00696#vec00696-ces-cm00013", "vec00696")</f>
        <v>vec00696</v>
      </c>
      <c r="F39473" s="0" t="s">
        <v>14597</v>
      </c>
    </row>
    <row r="39474" customFormat="false" ht="12.8" hidden="false" customHeight="false" outlineLevel="0" collapsed="false">
      <c r="B39474" s="0" t="s">
        <v>1</v>
      </c>
      <c r="C39474" s="0" t="s">
        <v>14598</v>
      </c>
      <c r="E39474" s="0" t="s">
        <v>5401</v>
      </c>
      <c r="F39474" s="0" t="s">
        <v>14599</v>
      </c>
    </row>
    <row r="39475" customFormat="false" ht="12.8" hidden="false" customHeight="false" outlineLevel="0" collapsed="false">
      <c r="B39475" s="0" t="s">
        <v>14600</v>
      </c>
      <c r="C39475" s="0" t="s">
        <v>14601</v>
      </c>
      <c r="E39475" s="0" t="s">
        <v>1823</v>
      </c>
      <c r="F39475" s="0" t="s">
        <v>14602</v>
      </c>
    </row>
    <row r="39477" customFormat="false" ht="12.8" hidden="false" customHeight="false" outlineLevel="0" collapsed="false">
      <c r="A39477" s="0" t="s">
        <v>14603</v>
      </c>
      <c r="B39477" s="0" t="str">
        <f aca="false">HYPERLINK("https://lindat.mff.cuni.cz/services/teitok/pdtc10/index.php?action=vallex&amp;frame=v-w10096f2", "přivábit (v-w10096f2)")</f>
        <v>přivábit (v-w10096f2)</v>
      </c>
    </row>
    <row r="39478" customFormat="false" ht="12.8" hidden="false" customHeight="false" outlineLevel="0" collapsed="false">
      <c r="B39478" s="0" t="s">
        <v>1</v>
      </c>
    </row>
    <row r="39479" customFormat="false" ht="12.8" hidden="false" customHeight="false" outlineLevel="0" collapsed="false">
      <c r="B39479" s="0" t="s">
        <v>8</v>
      </c>
    </row>
    <row r="39480" customFormat="false" ht="12.8" hidden="false" customHeight="false" outlineLevel="0" collapsed="false">
      <c r="B39480" s="0" t="s">
        <v>164</v>
      </c>
    </row>
    <row r="39482" customFormat="false" ht="12.8" hidden="false" customHeight="false" outlineLevel="0" collapsed="false">
      <c r="A39482" s="0" t="s">
        <v>14604</v>
      </c>
      <c r="B39482" s="0" t="str">
        <f aca="false">HYPERLINK("https://lindat.mff.cuni.cz/services/teitok/pdtc10/index.php?action=vallex&amp;frame=v-w5326f4", "přivádět (v-w5326f4)")</f>
        <v>přivádět (v-w5326f4)</v>
      </c>
      <c r="E39482" s="0" t="str">
        <f aca="false">HYPERLINK("https://lindat.mff.cuni.cz/services/SynSemClass40/SynSemClass40.html?veclass=vec00098#vec00098-ces-cm00054", "vec00098")</f>
        <v>vec00098</v>
      </c>
      <c r="F39482" s="0" t="s">
        <v>2500</v>
      </c>
    </row>
    <row r="39483" customFormat="false" ht="12.8" hidden="false" customHeight="false" outlineLevel="0" collapsed="false">
      <c r="B39483" s="0" t="s">
        <v>1</v>
      </c>
      <c r="C39483" s="0" t="s">
        <v>2501</v>
      </c>
      <c r="E39483" s="0" t="s">
        <v>1665</v>
      </c>
      <c r="F39483" s="0" t="s">
        <v>2502</v>
      </c>
    </row>
    <row r="39484" customFormat="false" ht="12.8" hidden="false" customHeight="false" outlineLevel="0" collapsed="false">
      <c r="B39484" s="0" t="s">
        <v>9857</v>
      </c>
      <c r="C39484" s="0" t="s">
        <v>2503</v>
      </c>
      <c r="E39484" s="0" t="s">
        <v>79</v>
      </c>
      <c r="F39484" s="0" t="s">
        <v>2504</v>
      </c>
    </row>
    <row r="39485" customFormat="false" ht="12.8" hidden="false" customHeight="false" outlineLevel="0" collapsed="false">
      <c r="B39485" s="0" t="s">
        <v>98</v>
      </c>
      <c r="C39485" s="0" t="s">
        <v>2505</v>
      </c>
      <c r="E39485" s="0" t="s">
        <v>2287</v>
      </c>
      <c r="F39485" s="0" t="s">
        <v>2506</v>
      </c>
    </row>
    <row r="39487" customFormat="false" ht="12.8" hidden="false" customHeight="false" outlineLevel="0" collapsed="false">
      <c r="A39487" s="0" t="s">
        <v>14605</v>
      </c>
      <c r="B39487" s="0" t="str">
        <f aca="false">HYPERLINK("https://lindat.mff.cuni.cz/services/teitok/pdtc10/index.php?action=vallex&amp;frame=v-w5326f2", "přivádět (v-w5326f2)")</f>
        <v>přivádět (v-w5326f2)</v>
      </c>
      <c r="E39487" s="0" t="str">
        <f aca="false">HYPERLINK("https://lindat.mff.cuni.cz/services/SynSemClass40/SynSemClass40.html?veclass=vec00812#vec00812-ces-cm00175", "vec00812")</f>
        <v>vec00812</v>
      </c>
      <c r="F39487" s="0" t="s">
        <v>2822</v>
      </c>
    </row>
    <row r="39488" customFormat="false" ht="12.8" hidden="false" customHeight="false" outlineLevel="0" collapsed="false">
      <c r="B39488" s="0" t="s">
        <v>1</v>
      </c>
      <c r="C39488" s="0" t="s">
        <v>2823</v>
      </c>
      <c r="E39488" s="0" t="s">
        <v>1103</v>
      </c>
      <c r="F39488" s="0" t="s">
        <v>2824</v>
      </c>
    </row>
    <row r="39489" customFormat="false" ht="12.8" hidden="false" customHeight="false" outlineLevel="0" collapsed="false">
      <c r="B39489" s="0" t="s">
        <v>8</v>
      </c>
      <c r="C39489" s="0" t="s">
        <v>2372</v>
      </c>
      <c r="E39489" s="0" t="s">
        <v>142</v>
      </c>
      <c r="F39489" s="0" t="s">
        <v>2825</v>
      </c>
    </row>
    <row r="39490" customFormat="false" ht="12.8" hidden="false" customHeight="false" outlineLevel="0" collapsed="false">
      <c r="B39490" s="0" t="s">
        <v>361</v>
      </c>
      <c r="C39490" s="0" t="s">
        <v>2826</v>
      </c>
      <c r="E39490" s="0" t="s">
        <v>3114</v>
      </c>
      <c r="F39490" s="0" t="s">
        <v>3115</v>
      </c>
    </row>
    <row r="39492" customFormat="false" ht="12.8" hidden="false" customHeight="false" outlineLevel="0" collapsed="false">
      <c r="A39492" s="0" t="s">
        <v>14606</v>
      </c>
      <c r="B39492" s="0" t="str">
        <f aca="false">HYPERLINK("https://lindat.mff.cuni.cz/services/teitok/pdtc10/index.php?action=vallex&amp;frame=v-w5326f1", "přivádět (v-w5326f1)")</f>
        <v>přivádět (v-w5326f1)</v>
      </c>
      <c r="E39492" s="0" t="str">
        <f aca="false">HYPERLINK("https://lindat.mff.cuni.cz/services/SynSemClass40/SynSemClass40.html?veclass=vec00172#vec00172-ces-cm00033", "vec00172")</f>
        <v>vec00172</v>
      </c>
      <c r="F39492" s="0" t="s">
        <v>2513</v>
      </c>
      <c r="H39492" s="0" t="str">
        <f aca="false">HYPERLINK("https://lindat.mff.cuni.cz/services/SynSemClass40/SynSemClass40.html?veclass=vec01377#vec01377-ces-cm00003", "vec01377")</f>
        <v>vec01377</v>
      </c>
      <c r="I39492" s="0" t="s">
        <v>2643</v>
      </c>
    </row>
    <row r="39493" customFormat="false" ht="12.8" hidden="false" customHeight="false" outlineLevel="0" collapsed="false">
      <c r="B39493" s="0" t="s">
        <v>1</v>
      </c>
      <c r="C39493" s="0" t="s">
        <v>9487</v>
      </c>
      <c r="E39493" s="0" t="s">
        <v>2196</v>
      </c>
      <c r="F39493" s="0" t="s">
        <v>2515</v>
      </c>
      <c r="H39493" s="0" t="s">
        <v>2645</v>
      </c>
      <c r="I39493" s="0" t="s">
        <v>2646</v>
      </c>
    </row>
    <row r="39494" customFormat="false" ht="12.8" hidden="false" customHeight="false" outlineLevel="0" collapsed="false">
      <c r="B39494" s="0" t="s">
        <v>8</v>
      </c>
      <c r="C39494" s="0" t="s">
        <v>9488</v>
      </c>
      <c r="E39494" s="0" t="s">
        <v>2200</v>
      </c>
      <c r="F39494" s="0" t="s">
        <v>2517</v>
      </c>
      <c r="H39494" s="0" t="s">
        <v>2648</v>
      </c>
      <c r="I39494" s="0" t="s">
        <v>2649</v>
      </c>
    </row>
    <row r="39495" customFormat="false" ht="12.8" hidden="false" customHeight="false" outlineLevel="0" collapsed="false">
      <c r="B39495" s="0" t="s">
        <v>164</v>
      </c>
      <c r="C39495" s="0" t="s">
        <v>2211</v>
      </c>
      <c r="E39495" s="0" t="s">
        <v>1315</v>
      </c>
      <c r="F39495" s="0" t="s">
        <v>1316</v>
      </c>
      <c r="H39495" s="0" t="s">
        <v>370</v>
      </c>
      <c r="I39495" s="0" t="s">
        <v>2652</v>
      </c>
    </row>
    <row r="39497" customFormat="false" ht="12.8" hidden="false" customHeight="false" outlineLevel="0" collapsed="false">
      <c r="A39497" s="0" t="s">
        <v>14607</v>
      </c>
      <c r="B39497" s="0" t="str">
        <f aca="false">HYPERLINK("https://lindat.mff.cuni.cz/services/teitok/pdtc10/index.php?action=vallex&amp;frame=v-w5326f3", "přivádět (v-w5326f3)")</f>
        <v>přivádět (v-w5326f3)</v>
      </c>
    </row>
    <row r="39498" customFormat="false" ht="12.8" hidden="false" customHeight="false" outlineLevel="0" collapsed="false">
      <c r="B39498" s="0" t="s">
        <v>1</v>
      </c>
    </row>
    <row r="39499" customFormat="false" ht="12.8" hidden="false" customHeight="false" outlineLevel="0" collapsed="false">
      <c r="B39499" s="0" t="s">
        <v>14013</v>
      </c>
    </row>
    <row r="39500" customFormat="false" ht="12.8" hidden="false" customHeight="false" outlineLevel="0" collapsed="false">
      <c r="B39500" s="0" t="s">
        <v>8</v>
      </c>
    </row>
    <row r="39502" customFormat="false" ht="12.8" hidden="false" customHeight="false" outlineLevel="0" collapsed="false">
      <c r="A39502" s="0" t="s">
        <v>14608</v>
      </c>
      <c r="B39502" s="0" t="str">
        <f aca="false">HYPERLINK("https://lindat.mff.cuni.cz/services/teitok/pdtc10/index.php?action=vallex&amp;frame=v-w10654f2", "přivázat (v-w10654f2)")</f>
        <v>přivázat (v-w10654f2)</v>
      </c>
      <c r="E39502" s="0" t="str">
        <f aca="false">HYPERLINK("https://lindat.mff.cuni.cz/services/SynSemClass40/SynSemClass40.html?veclass=vec00899#vec00899-ces-cm00008", "vec00899")</f>
        <v>vec00899</v>
      </c>
      <c r="F39502" s="0" t="s">
        <v>7652</v>
      </c>
    </row>
    <row r="39503" customFormat="false" ht="12.8" hidden="false" customHeight="false" outlineLevel="0" collapsed="false">
      <c r="B39503" s="0" t="s">
        <v>1</v>
      </c>
      <c r="C39503" s="0" t="s">
        <v>447</v>
      </c>
      <c r="E39503" s="0" t="s">
        <v>31</v>
      </c>
      <c r="F39503" s="0" t="s">
        <v>7653</v>
      </c>
    </row>
    <row r="39504" customFormat="false" ht="12.8" hidden="false" customHeight="false" outlineLevel="0" collapsed="false">
      <c r="B39504" s="0" t="s">
        <v>8</v>
      </c>
      <c r="C39504" s="0" t="s">
        <v>7654</v>
      </c>
      <c r="E39504" s="0" t="s">
        <v>1569</v>
      </c>
      <c r="F39504" s="0" t="s">
        <v>7655</v>
      </c>
    </row>
    <row r="39506" customFormat="false" ht="12.8" hidden="false" customHeight="false" outlineLevel="0" collapsed="false">
      <c r="A39506" s="0" t="s">
        <v>14609</v>
      </c>
      <c r="B39506" s="0" t="str">
        <f aca="false">HYPERLINK("https://lindat.mff.cuni.cz/services/teitok/pdtc10/index.php?action=vallex&amp;frame=v-w5328f1", "přivážet (v-w5328f1)")</f>
        <v>přivážet (v-w5328f1)</v>
      </c>
      <c r="E39506" s="0" t="str">
        <f aca="false">HYPERLINK("https://lindat.mff.cuni.cz/services/SynSemClass40/SynSemClass40.html?veclass=vec00011#vec00011-ces-cm00019", "vec00011")</f>
        <v>vec00011</v>
      </c>
      <c r="F39506" s="0" t="s">
        <v>2193</v>
      </c>
    </row>
    <row r="39507" customFormat="false" ht="12.8" hidden="false" customHeight="false" outlineLevel="0" collapsed="false">
      <c r="B39507" s="0" t="s">
        <v>1</v>
      </c>
      <c r="C39507" s="0" t="s">
        <v>2209</v>
      </c>
      <c r="E39507" s="0" t="s">
        <v>2196</v>
      </c>
      <c r="F39507" s="0" t="s">
        <v>2197</v>
      </c>
    </row>
    <row r="39508" customFormat="false" ht="12.8" hidden="false" customHeight="false" outlineLevel="0" collapsed="false">
      <c r="B39508" s="0" t="s">
        <v>8</v>
      </c>
      <c r="C39508" s="0" t="s">
        <v>2210</v>
      </c>
      <c r="E39508" s="0" t="s">
        <v>2200</v>
      </c>
      <c r="F39508" s="0" t="s">
        <v>2201</v>
      </c>
    </row>
    <row r="39509" customFormat="false" ht="12.8" hidden="false" customHeight="false" outlineLevel="0" collapsed="false">
      <c r="B39509" s="0" t="s">
        <v>164</v>
      </c>
      <c r="C39509" s="0" t="s">
        <v>2211</v>
      </c>
      <c r="E39509" s="0" t="s">
        <v>2212</v>
      </c>
      <c r="F39509" s="0" t="s">
        <v>2213</v>
      </c>
    </row>
    <row r="39511" customFormat="false" ht="12.8" hidden="false" customHeight="false" outlineLevel="0" collapsed="false">
      <c r="A39511" s="0" t="s">
        <v>14610</v>
      </c>
      <c r="B39511" s="0" t="str">
        <f aca="false">HYPERLINK("https://lindat.mff.cuni.cz/services/teitok/pdtc10/index.php?action=vallex&amp;frame=v-w5329f3", "přivést (v-w5329f3)")</f>
        <v>přivést (v-w5329f3)</v>
      </c>
      <c r="E39511" s="0" t="str">
        <f aca="false">HYPERLINK("https://lindat.mff.cuni.cz/services/SynSemClass40/SynSemClass40.html?veclass=vec00098#vec00098-ces-cm00055", "vec00098")</f>
        <v>vec00098</v>
      </c>
      <c r="F39511" s="0" t="s">
        <v>2500</v>
      </c>
    </row>
    <row r="39512" customFormat="false" ht="12.8" hidden="false" customHeight="false" outlineLevel="0" collapsed="false">
      <c r="B39512" s="0" t="s">
        <v>1</v>
      </c>
      <c r="C39512" s="0" t="s">
        <v>2501</v>
      </c>
      <c r="E39512" s="0" t="s">
        <v>1665</v>
      </c>
      <c r="F39512" s="0" t="s">
        <v>2502</v>
      </c>
    </row>
    <row r="39513" customFormat="false" ht="12.8" hidden="false" customHeight="false" outlineLevel="0" collapsed="false">
      <c r="B39513" s="0" t="s">
        <v>9857</v>
      </c>
      <c r="C39513" s="0" t="s">
        <v>2503</v>
      </c>
      <c r="E39513" s="0" t="s">
        <v>79</v>
      </c>
      <c r="F39513" s="0" t="s">
        <v>2504</v>
      </c>
    </row>
    <row r="39514" customFormat="false" ht="12.8" hidden="false" customHeight="false" outlineLevel="0" collapsed="false">
      <c r="B39514" s="0" t="s">
        <v>98</v>
      </c>
      <c r="C39514" s="0" t="s">
        <v>2505</v>
      </c>
      <c r="E39514" s="0" t="s">
        <v>2287</v>
      </c>
      <c r="F39514" s="0" t="s">
        <v>2506</v>
      </c>
    </row>
    <row r="39516" customFormat="false" ht="12.8" hidden="false" customHeight="false" outlineLevel="0" collapsed="false">
      <c r="A39516" s="0" t="s">
        <v>14611</v>
      </c>
      <c r="B39516" s="0" t="str">
        <f aca="false">HYPERLINK("https://lindat.mff.cuni.cz/services/teitok/pdtc10/index.php?action=vallex&amp;frame=v-w5329f6_ZU", "přivést (v-w5329f6_ZU)")</f>
        <v>přivést (v-w5329f6_ZU)</v>
      </c>
      <c r="E39516" s="0" t="str">
        <f aca="false">HYPERLINK("https://lindat.mff.cuni.cz/services/SynSemClass40/SynSemClass40.html?veclass=vec00812#vec00812-ces-cm00076", "vec00812")</f>
        <v>vec00812</v>
      </c>
      <c r="F39516" s="0" t="s">
        <v>2822</v>
      </c>
    </row>
    <row r="39517" customFormat="false" ht="12.8" hidden="false" customHeight="false" outlineLevel="0" collapsed="false">
      <c r="B39517" s="0" t="s">
        <v>1</v>
      </c>
      <c r="C39517" s="0" t="s">
        <v>2823</v>
      </c>
      <c r="E39517" s="0" t="s">
        <v>1103</v>
      </c>
      <c r="F39517" s="0" t="s">
        <v>2824</v>
      </c>
    </row>
    <row r="39518" customFormat="false" ht="12.8" hidden="false" customHeight="false" outlineLevel="0" collapsed="false">
      <c r="B39518" s="0" t="s">
        <v>8</v>
      </c>
      <c r="C39518" s="0" t="s">
        <v>2372</v>
      </c>
      <c r="E39518" s="0" t="s">
        <v>142</v>
      </c>
      <c r="F39518" s="0" t="s">
        <v>2825</v>
      </c>
    </row>
    <row r="39519" customFormat="false" ht="12.8" hidden="false" customHeight="false" outlineLevel="0" collapsed="false">
      <c r="B39519" s="0" t="s">
        <v>361</v>
      </c>
      <c r="C39519" s="0" t="s">
        <v>2826</v>
      </c>
      <c r="E39519" s="0" t="s">
        <v>3114</v>
      </c>
      <c r="F39519" s="0" t="s">
        <v>3115</v>
      </c>
    </row>
    <row r="39521" customFormat="false" ht="12.8" hidden="false" customHeight="false" outlineLevel="0" collapsed="false">
      <c r="A39521" s="0" t="s">
        <v>14611</v>
      </c>
      <c r="B39521" s="0" t="str">
        <f aca="false">HYPERLINK("https://lindat.mff.cuni.cz/services/teitok/pdtc10/index.php?action=vallex&amp;frame=v-w5329f1", "přivést (v-w5329f1) - substituted with v-w5329f6_ZU")</f>
        <v>přivést (v-w5329f1) - substituted with v-w5329f6_ZU</v>
      </c>
    </row>
    <row r="39522" customFormat="false" ht="12.8" hidden="false" customHeight="false" outlineLevel="0" collapsed="false">
      <c r="B39522" s="0" t="s">
        <v>1</v>
      </c>
    </row>
    <row r="39523" customFormat="false" ht="12.8" hidden="false" customHeight="false" outlineLevel="0" collapsed="false">
      <c r="B39523" s="0" t="s">
        <v>8</v>
      </c>
    </row>
    <row r="39524" customFormat="false" ht="12.8" hidden="false" customHeight="false" outlineLevel="0" collapsed="false">
      <c r="B39524" s="0" t="s">
        <v>361</v>
      </c>
    </row>
    <row r="39526" customFormat="false" ht="12.8" hidden="false" customHeight="false" outlineLevel="0" collapsed="false">
      <c r="A39526" s="0" t="s">
        <v>14612</v>
      </c>
      <c r="B39526" s="0" t="str">
        <f aca="false">HYPERLINK("https://lindat.mff.cuni.cz/services/teitok/pdtc10/index.php?action=vallex&amp;frame=v-w5329f2", "přivést (v-w5329f2)")</f>
        <v>přivést (v-w5329f2)</v>
      </c>
      <c r="E39526" s="0" t="str">
        <f aca="false">HYPERLINK("https://lindat.mff.cuni.cz/services/SynSemClass40/SynSemClass40.html?veclass=vec00011#vec00011-ces-cm00010", "vec00011")</f>
        <v>vec00011</v>
      </c>
      <c r="F39526" s="0" t="s">
        <v>2193</v>
      </c>
      <c r="H39526" s="0" t="str">
        <f aca="false">HYPERLINK("https://lindat.mff.cuni.cz/services/SynSemClass40/SynSemClass40.html?veclass=vec01377#vec01377-ces-cm00004", "vec01377")</f>
        <v>vec01377</v>
      </c>
      <c r="I39526" s="0" t="s">
        <v>2643</v>
      </c>
    </row>
    <row r="39527" customFormat="false" ht="12.8" hidden="false" customHeight="false" outlineLevel="0" collapsed="false">
      <c r="B39527" s="0" t="s">
        <v>1</v>
      </c>
      <c r="C39527" s="0" t="s">
        <v>2707</v>
      </c>
      <c r="E39527" s="0" t="s">
        <v>2196</v>
      </c>
      <c r="F39527" s="0" t="s">
        <v>2197</v>
      </c>
      <c r="H39527" s="0" t="s">
        <v>2645</v>
      </c>
      <c r="I39527" s="0" t="s">
        <v>2646</v>
      </c>
    </row>
    <row r="39528" customFormat="false" ht="12.8" hidden="false" customHeight="false" outlineLevel="0" collapsed="false">
      <c r="B39528" s="0" t="s">
        <v>8</v>
      </c>
      <c r="C39528" s="0" t="s">
        <v>2708</v>
      </c>
      <c r="E39528" s="0" t="s">
        <v>2200</v>
      </c>
      <c r="F39528" s="0" t="s">
        <v>2201</v>
      </c>
      <c r="H39528" s="0" t="s">
        <v>2648</v>
      </c>
      <c r="I39528" s="0" t="s">
        <v>2649</v>
      </c>
    </row>
    <row r="39529" customFormat="false" ht="12.8" hidden="false" customHeight="false" outlineLevel="0" collapsed="false">
      <c r="B39529" s="0" t="s">
        <v>164</v>
      </c>
      <c r="C39529" s="0" t="s">
        <v>2709</v>
      </c>
      <c r="E39529" s="0" t="s">
        <v>2212</v>
      </c>
      <c r="F39529" s="0" t="s">
        <v>2213</v>
      </c>
      <c r="H39529" s="0" t="s">
        <v>370</v>
      </c>
      <c r="I39529" s="0" t="s">
        <v>2652</v>
      </c>
    </row>
    <row r="39531" customFormat="false" ht="12.8" hidden="false" customHeight="false" outlineLevel="0" collapsed="false">
      <c r="A39531" s="0" t="s">
        <v>14613</v>
      </c>
      <c r="B39531" s="0" t="str">
        <f aca="false">HYPERLINK("https://lindat.mff.cuni.cz/services/teitok/pdtc10/index.php?action=vallex&amp;frame=v-w5329f4", "přivést (v-w5329f4)")</f>
        <v>přivést (v-w5329f4)</v>
      </c>
    </row>
    <row r="39532" customFormat="false" ht="12.8" hidden="false" customHeight="false" outlineLevel="0" collapsed="false">
      <c r="B39532" s="0" t="s">
        <v>1</v>
      </c>
    </row>
    <row r="39533" customFormat="false" ht="12.8" hidden="false" customHeight="false" outlineLevel="0" collapsed="false">
      <c r="B39533" s="0" t="s">
        <v>14013</v>
      </c>
    </row>
    <row r="39534" customFormat="false" ht="12.8" hidden="false" customHeight="false" outlineLevel="0" collapsed="false">
      <c r="B39534" s="0" t="s">
        <v>8</v>
      </c>
    </row>
    <row r="39536" customFormat="false" ht="12.8" hidden="false" customHeight="false" outlineLevel="0" collapsed="false">
      <c r="A39536" s="0" t="s">
        <v>14614</v>
      </c>
      <c r="B39536" s="0" t="str">
        <f aca="false">HYPERLINK("https://lindat.mff.cuni.cz/services/teitok/pdtc10/index.php?action=vallex&amp;frame=v-w5329f5", "přivést (v-w5329f5)")</f>
        <v>přivést (v-w5329f5)</v>
      </c>
    </row>
    <row r="39537" customFormat="false" ht="12.8" hidden="false" customHeight="false" outlineLevel="0" collapsed="false">
      <c r="B39537" s="0" t="s">
        <v>1</v>
      </c>
    </row>
    <row r="39538" customFormat="false" ht="12.8" hidden="false" customHeight="false" outlineLevel="0" collapsed="false">
      <c r="B39538" s="0" t="s">
        <v>5174</v>
      </c>
    </row>
    <row r="39539" customFormat="false" ht="12.8" hidden="false" customHeight="false" outlineLevel="0" collapsed="false">
      <c r="B39539" s="0" t="s">
        <v>8</v>
      </c>
    </row>
    <row r="39541" customFormat="false" ht="12.8" hidden="false" customHeight="false" outlineLevel="0" collapsed="false">
      <c r="A39541" s="0" t="s">
        <v>14615</v>
      </c>
      <c r="B39541" s="0" t="str">
        <f aca="false">HYPERLINK("https://lindat.mff.cuni.cz/services/teitok/pdtc10/index.php?action=vallex&amp;frame=v-w5329f7_ZU", "přivést (v-w5329f7_ZU)")</f>
        <v>přivést (v-w5329f7_ZU)</v>
      </c>
    </row>
    <row r="39542" customFormat="false" ht="12.8" hidden="false" customHeight="false" outlineLevel="0" collapsed="false">
      <c r="B39542" s="0" t="s">
        <v>1</v>
      </c>
    </row>
    <row r="39543" customFormat="false" ht="12.8" hidden="false" customHeight="false" outlineLevel="0" collapsed="false">
      <c r="B39543" s="0" t="s">
        <v>8</v>
      </c>
    </row>
    <row r="39544" customFormat="false" ht="12.8" hidden="false" customHeight="false" outlineLevel="0" collapsed="false">
      <c r="B39544" s="0" t="s">
        <v>164</v>
      </c>
    </row>
    <row r="39546" customFormat="false" ht="12.8" hidden="false" customHeight="false" outlineLevel="0" collapsed="false">
      <c r="A39546" s="0" t="s">
        <v>14616</v>
      </c>
      <c r="B39546" s="0" t="str">
        <f aca="false">HYPERLINK("https://lindat.mff.cuni.cz/services/teitok/pdtc10/index.php?action=vallex&amp;frame=v-w5329f8_ZU", "přivést (v-w5329f8_ZU)")</f>
        <v>přivést (v-w5329f8_ZU)</v>
      </c>
    </row>
    <row r="39547" customFormat="false" ht="12.8" hidden="false" customHeight="false" outlineLevel="0" collapsed="false">
      <c r="B39547" s="0" t="s">
        <v>1</v>
      </c>
    </row>
    <row r="39548" customFormat="false" ht="12.8" hidden="false" customHeight="false" outlineLevel="0" collapsed="false">
      <c r="B39548" s="0" t="s">
        <v>8</v>
      </c>
    </row>
    <row r="39549" customFormat="false" ht="12.8" hidden="false" customHeight="false" outlineLevel="0" collapsed="false">
      <c r="B39549" s="0" t="s">
        <v>14617</v>
      </c>
    </row>
    <row r="39551" customFormat="false" ht="12.8" hidden="false" customHeight="false" outlineLevel="0" collapsed="false">
      <c r="A39551" s="0" t="s">
        <v>14618</v>
      </c>
      <c r="B39551" s="0" t="str">
        <f aca="false">HYPERLINK("https://lindat.mff.cuni.cz/services/teitok/pdtc10/index.php?action=vallex&amp;frame=v-w5329f10_MM", "přivést (v-w5329f10_MM)")</f>
        <v>přivést (v-w5329f10_MM)</v>
      </c>
    </row>
    <row r="39552" customFormat="false" ht="12.8" hidden="false" customHeight="false" outlineLevel="0" collapsed="false">
      <c r="B39552" s="0" t="s">
        <v>1</v>
      </c>
    </row>
    <row r="39553" customFormat="false" ht="12.8" hidden="false" customHeight="false" outlineLevel="0" collapsed="false">
      <c r="B39553" s="0" t="s">
        <v>8</v>
      </c>
    </row>
    <row r="39554" customFormat="false" ht="12.8" hidden="false" customHeight="false" outlineLevel="0" collapsed="false">
      <c r="B39554" s="0" t="s">
        <v>454</v>
      </c>
    </row>
    <row r="39556" customFormat="false" ht="12.8" hidden="false" customHeight="false" outlineLevel="0" collapsed="false">
      <c r="A39556" s="0" t="s">
        <v>14618</v>
      </c>
      <c r="B39556" s="0" t="str">
        <f aca="false">HYPERLINK("https://lindat.mff.cuni.cz/services/teitok/pdtc10/index.php?action=vallex&amp;frame=v-w5329f9_ZU", "přivést (v-w5329f9_ZU) - substituted with v-w5329f10_MM")</f>
        <v>přivést (v-w5329f9_ZU) - substituted with v-w5329f10_MM</v>
      </c>
    </row>
    <row r="39557" customFormat="false" ht="12.8" hidden="false" customHeight="false" outlineLevel="0" collapsed="false">
      <c r="B39557" s="0" t="s">
        <v>1</v>
      </c>
    </row>
    <row r="39558" customFormat="false" ht="12.8" hidden="false" customHeight="false" outlineLevel="0" collapsed="false">
      <c r="B39558" s="0" t="s">
        <v>8</v>
      </c>
    </row>
    <row r="39559" customFormat="false" ht="12.8" hidden="false" customHeight="false" outlineLevel="0" collapsed="false">
      <c r="B39559" s="0" t="s">
        <v>454</v>
      </c>
    </row>
    <row r="39561" customFormat="false" ht="12.8" hidden="false" customHeight="false" outlineLevel="0" collapsed="false">
      <c r="A39561" s="0" t="s">
        <v>14619</v>
      </c>
      <c r="B39561" s="0" t="str">
        <f aca="false">HYPERLINK("https://lindat.mff.cuni.cz/services/teitok/pdtc10/index.php?action=vallex&amp;frame=v-w5330f2", "přivézt (v-w5330f2)")</f>
        <v>přivézt (v-w5330f2)</v>
      </c>
      <c r="E39561" s="0" t="str">
        <f aca="false">HYPERLINK("https://lindat.mff.cuni.cz/services/SynSemClass40/SynSemClass40.html?veclass=vec00011#vec00011-ces-cm00012", "vec00011")</f>
        <v>vec00011</v>
      </c>
      <c r="F39561" s="0" t="s">
        <v>2193</v>
      </c>
    </row>
    <row r="39562" customFormat="false" ht="12.8" hidden="false" customHeight="false" outlineLevel="0" collapsed="false">
      <c r="B39562" s="0" t="s">
        <v>1</v>
      </c>
      <c r="C39562" s="0" t="s">
        <v>2209</v>
      </c>
      <c r="E39562" s="0" t="s">
        <v>2196</v>
      </c>
      <c r="F39562" s="0" t="s">
        <v>2197</v>
      </c>
    </row>
    <row r="39563" customFormat="false" ht="12.8" hidden="false" customHeight="false" outlineLevel="0" collapsed="false">
      <c r="B39563" s="0" t="s">
        <v>8</v>
      </c>
      <c r="C39563" s="0" t="s">
        <v>2210</v>
      </c>
      <c r="E39563" s="0" t="s">
        <v>2200</v>
      </c>
      <c r="F39563" s="0" t="s">
        <v>2201</v>
      </c>
    </row>
    <row r="39564" customFormat="false" ht="12.8" hidden="false" customHeight="false" outlineLevel="0" collapsed="false">
      <c r="B39564" s="0" t="s">
        <v>3473</v>
      </c>
      <c r="C39564" s="0" t="s">
        <v>2511</v>
      </c>
      <c r="E39564" s="0" t="s">
        <v>53</v>
      </c>
      <c r="F39564" s="0" t="s">
        <v>2204</v>
      </c>
    </row>
    <row r="39566" customFormat="false" ht="12.8" hidden="false" customHeight="false" outlineLevel="0" collapsed="false">
      <c r="A39566" s="0" t="s">
        <v>14620</v>
      </c>
      <c r="B39566" s="0" t="str">
        <f aca="false">HYPERLINK("https://lindat.mff.cuni.cz/services/teitok/pdtc10/index.php?action=vallex&amp;frame=v-w5330f1", "přivézt (v-w5330f1)")</f>
        <v>přivézt (v-w5330f1)</v>
      </c>
      <c r="E39566" s="0" t="str">
        <f aca="false">HYPERLINK("https://lindat.mff.cuni.cz/services/SynSemClass40/SynSemClass40.html?veclass=vec00011#vec00011-ces-cm00011", "vec00011")</f>
        <v>vec00011</v>
      </c>
      <c r="F39566" s="0" t="s">
        <v>2193</v>
      </c>
      <c r="H39566" s="0" t="str">
        <f aca="false">HYPERLINK("https://lindat.mff.cuni.cz/services/SynSemClass40/SynSemClass40.html?veclass=vec01377#vec01377-ces-cm00047", "vec01377")</f>
        <v>vec01377</v>
      </c>
      <c r="I39566" s="0" t="s">
        <v>2643</v>
      </c>
    </row>
    <row r="39567" customFormat="false" ht="12.8" hidden="false" customHeight="false" outlineLevel="0" collapsed="false">
      <c r="B39567" s="0" t="s">
        <v>1</v>
      </c>
      <c r="C39567" s="0" t="s">
        <v>2707</v>
      </c>
      <c r="E39567" s="0" t="s">
        <v>2196</v>
      </c>
      <c r="F39567" s="0" t="s">
        <v>2197</v>
      </c>
      <c r="H39567" s="0" t="s">
        <v>2645</v>
      </c>
      <c r="I39567" s="0" t="s">
        <v>2646</v>
      </c>
    </row>
    <row r="39568" customFormat="false" ht="12.8" hidden="false" customHeight="false" outlineLevel="0" collapsed="false">
      <c r="B39568" s="0" t="s">
        <v>8</v>
      </c>
      <c r="C39568" s="0" t="s">
        <v>2708</v>
      </c>
      <c r="E39568" s="0" t="s">
        <v>2200</v>
      </c>
      <c r="F39568" s="0" t="s">
        <v>2201</v>
      </c>
      <c r="H39568" s="0" t="s">
        <v>2648</v>
      </c>
      <c r="I39568" s="0" t="s">
        <v>2649</v>
      </c>
    </row>
    <row r="39569" customFormat="false" ht="12.8" hidden="false" customHeight="false" outlineLevel="0" collapsed="false">
      <c r="B39569" s="0" t="s">
        <v>164</v>
      </c>
      <c r="C39569" s="0" t="s">
        <v>2709</v>
      </c>
      <c r="E39569" s="0" t="s">
        <v>2212</v>
      </c>
      <c r="F39569" s="0" t="s">
        <v>2213</v>
      </c>
      <c r="H39569" s="0" t="s">
        <v>370</v>
      </c>
      <c r="I39569" s="0" t="s">
        <v>2652</v>
      </c>
    </row>
    <row r="39571" customFormat="false" ht="12.8" hidden="false" customHeight="false" outlineLevel="0" collapsed="false">
      <c r="A39571" s="0" t="s">
        <v>14621</v>
      </c>
      <c r="B39571" s="0" t="str">
        <f aca="false">HYPERLINK("https://lindat.mff.cuni.cz/services/teitok/pdtc10/index.php?action=vallex&amp;frame=v-w5331f2", "přivítat (v-w5331f2)")</f>
        <v>přivítat (v-w5331f2)</v>
      </c>
      <c r="E39571" s="0" t="str">
        <f aca="false">HYPERLINK("https://lindat.mff.cuni.cz/services/SynSemClass40/SynSemClass40.html?veclass=vec00135#vec00135-ces-cm00015", "vec00135")</f>
        <v>vec00135</v>
      </c>
      <c r="F39571" s="0" t="s">
        <v>153</v>
      </c>
    </row>
    <row r="39572" customFormat="false" ht="12.8" hidden="false" customHeight="false" outlineLevel="0" collapsed="false">
      <c r="B39572" s="0" t="s">
        <v>1</v>
      </c>
      <c r="C39572" s="0" t="s">
        <v>154</v>
      </c>
      <c r="E39572" s="0" t="s">
        <v>155</v>
      </c>
      <c r="F39572" s="0" t="s">
        <v>156</v>
      </c>
    </row>
    <row r="39573" customFormat="false" ht="12.8" hidden="false" customHeight="false" outlineLevel="0" collapsed="false">
      <c r="B39573" s="0" t="s">
        <v>14622</v>
      </c>
      <c r="C39573" s="0" t="s">
        <v>158</v>
      </c>
      <c r="E39573" s="0" t="s">
        <v>159</v>
      </c>
      <c r="F39573" s="0" t="s">
        <v>160</v>
      </c>
    </row>
    <row r="39575" customFormat="false" ht="12.8" hidden="false" customHeight="false" outlineLevel="0" collapsed="false">
      <c r="A39575" s="0" t="s">
        <v>14623</v>
      </c>
      <c r="B39575" s="0" t="str">
        <f aca="false">HYPERLINK("https://lindat.mff.cuni.cz/services/teitok/pdtc10/index.php?action=vallex&amp;frame=v-w5331f1", "přivítat (v-w5331f1)")</f>
        <v>přivítat (v-w5331f1)</v>
      </c>
      <c r="E39575" s="0" t="str">
        <f aca="false">HYPERLINK("https://lindat.mff.cuni.cz/services/SynSemClass40/SynSemClass40.html?veclass=vec01145#vec01145-ces-cm00009", "vec01145")</f>
        <v>vec01145</v>
      </c>
      <c r="F39575" s="0" t="s">
        <v>14624</v>
      </c>
    </row>
    <row r="39576" customFormat="false" ht="12.8" hidden="false" customHeight="false" outlineLevel="0" collapsed="false">
      <c r="B39576" s="0" t="s">
        <v>1</v>
      </c>
      <c r="C39576" s="0" t="s">
        <v>6252</v>
      </c>
      <c r="E39576" s="0" t="s">
        <v>4501</v>
      </c>
      <c r="F39576" s="0" t="s">
        <v>14625</v>
      </c>
    </row>
    <row r="39577" customFormat="false" ht="12.8" hidden="false" customHeight="false" outlineLevel="0" collapsed="false">
      <c r="B39577" s="0" t="s">
        <v>8</v>
      </c>
      <c r="C39577" s="0" t="s">
        <v>4017</v>
      </c>
      <c r="E39577" s="0" t="s">
        <v>4503</v>
      </c>
      <c r="F39577" s="0" t="s">
        <v>14626</v>
      </c>
    </row>
    <row r="39579" customFormat="false" ht="12.8" hidden="false" customHeight="false" outlineLevel="0" collapsed="false">
      <c r="A39579" s="0" t="s">
        <v>14627</v>
      </c>
      <c r="B39579" s="0" t="str">
        <f aca="false">HYPERLINK("https://lindat.mff.cuni.cz/services/teitok/pdtc10/index.php?action=vallex&amp;frame=v-w5342f1", "přivřít (v-w5342f1)")</f>
        <v>přivřít (v-w5342f1)</v>
      </c>
    </row>
    <row r="39580" customFormat="false" ht="12.8" hidden="false" customHeight="false" outlineLevel="0" collapsed="false">
      <c r="B39580" s="0" t="s">
        <v>1</v>
      </c>
    </row>
    <row r="39581" customFormat="false" ht="12.8" hidden="false" customHeight="false" outlineLevel="0" collapsed="false">
      <c r="B39581" s="0" t="s">
        <v>8</v>
      </c>
    </row>
    <row r="39583" customFormat="false" ht="12.8" hidden="false" customHeight="false" outlineLevel="0" collapsed="false">
      <c r="A39583" s="0" t="s">
        <v>14628</v>
      </c>
      <c r="B39583" s="0" t="str">
        <f aca="false">HYPERLINK("https://lindat.mff.cuni.cz/services/teitok/pdtc10/index.php?action=vallex&amp;frame=v-w5342f2", "přivřít (v-w5342f2)")</f>
        <v>přivřít (v-w5342f2)</v>
      </c>
    </row>
    <row r="39584" customFormat="false" ht="12.8" hidden="false" customHeight="false" outlineLevel="0" collapsed="false">
      <c r="B39584" s="0" t="s">
        <v>1</v>
      </c>
    </row>
    <row r="39585" customFormat="false" ht="12.8" hidden="false" customHeight="false" outlineLevel="0" collapsed="false">
      <c r="B39585" s="0" t="s">
        <v>8</v>
      </c>
    </row>
    <row r="39587" customFormat="false" ht="12.8" hidden="false" customHeight="false" outlineLevel="0" collapsed="false">
      <c r="A39587" s="0" t="s">
        <v>14629</v>
      </c>
      <c r="B39587" s="0" t="str">
        <f aca="false">HYPERLINK("https://lindat.mff.cuni.cz/services/teitok/pdtc10/index.php?action=vallex&amp;frame=v-w5346f1", "přizdobit (v-w5346f1)")</f>
        <v>přizdobit (v-w5346f1)</v>
      </c>
      <c r="E39587" s="0" t="str">
        <f aca="false">HYPERLINK("https://lindat.mff.cuni.cz/services/SynSemClass40/SynSemClass40.html?veclass=vec01363#vec01363-ces-cm00003", "vec01363")</f>
        <v>vec01363</v>
      </c>
      <c r="F39587" s="0" t="s">
        <v>7011</v>
      </c>
    </row>
    <row r="39588" customFormat="false" ht="12.8" hidden="false" customHeight="false" outlineLevel="0" collapsed="false">
      <c r="B39588" s="0" t="s">
        <v>1</v>
      </c>
      <c r="C39588" s="0" t="s">
        <v>3000</v>
      </c>
      <c r="E39588" s="0" t="s">
        <v>31</v>
      </c>
      <c r="F39588" s="0" t="s">
        <v>3001</v>
      </c>
    </row>
    <row r="39589" customFormat="false" ht="12.8" hidden="false" customHeight="false" outlineLevel="0" collapsed="false">
      <c r="B39589" s="0" t="s">
        <v>8</v>
      </c>
      <c r="C39589" s="0" t="s">
        <v>639</v>
      </c>
      <c r="E39589" s="0" t="s">
        <v>4782</v>
      </c>
      <c r="F39589" s="0" t="s">
        <v>7012</v>
      </c>
    </row>
    <row r="39591" customFormat="false" ht="12.8" hidden="false" customHeight="false" outlineLevel="0" collapsed="false">
      <c r="A39591" s="0" t="s">
        <v>14630</v>
      </c>
      <c r="B39591" s="0" t="str">
        <f aca="false">HYPERLINK("https://lindat.mff.cuni.cz/services/teitok/pdtc10/index.php?action=vallex&amp;frame=v-w5352f2", "přiznat (v-w5352f2)")</f>
        <v>přiznat (v-w5352f2)</v>
      </c>
      <c r="E39591" s="0" t="str">
        <f aca="false">HYPERLINK("https://lindat.mff.cuni.cz/services/SynSemClass40/SynSemClass40.html?veclass=vec00078#vec00078-ces-cm00088", "vec00078")</f>
        <v>vec00078</v>
      </c>
      <c r="F39591" s="0" t="s">
        <v>204</v>
      </c>
    </row>
    <row r="39592" customFormat="false" ht="12.8" hidden="false" customHeight="false" outlineLevel="0" collapsed="false">
      <c r="B39592" s="0" t="s">
        <v>1</v>
      </c>
      <c r="C39592" s="0" t="s">
        <v>205</v>
      </c>
      <c r="E39592" s="0" t="s">
        <v>206</v>
      </c>
      <c r="F39592" s="0" t="s">
        <v>207</v>
      </c>
    </row>
    <row r="39593" customFormat="false" ht="12.8" hidden="false" customHeight="false" outlineLevel="0" collapsed="false">
      <c r="B39593" s="0" t="s">
        <v>8</v>
      </c>
      <c r="C39593" s="0" t="s">
        <v>208</v>
      </c>
      <c r="E39593" s="0" t="s">
        <v>209</v>
      </c>
      <c r="F39593" s="0" t="s">
        <v>210</v>
      </c>
    </row>
    <row r="39594" customFormat="false" ht="12.8" hidden="false" customHeight="false" outlineLevel="0" collapsed="false">
      <c r="B39594" s="0" t="s">
        <v>52</v>
      </c>
      <c r="C39594" s="0" t="s">
        <v>2304</v>
      </c>
      <c r="E39594" s="0" t="s">
        <v>2305</v>
      </c>
      <c r="F39594" s="0" t="s">
        <v>2306</v>
      </c>
    </row>
    <row r="39596" customFormat="false" ht="12.8" hidden="false" customHeight="false" outlineLevel="0" collapsed="false">
      <c r="A39596" s="0" t="s">
        <v>14631</v>
      </c>
      <c r="B39596" s="0" t="str">
        <f aca="false">HYPERLINK("https://lindat.mff.cuni.cz/services/teitok/pdtc10/index.php?action=vallex&amp;frame=v-w5352f1", "přiznat (v-w5352f1)")</f>
        <v>přiznat (v-w5352f1)</v>
      </c>
      <c r="E39596" s="0" t="str">
        <f aca="false">HYPERLINK("https://lindat.mff.cuni.cz/services/SynSemClass40/SynSemClass40.html?veclass=vec00503#vec00503-ces-cm00009", "vec00503")</f>
        <v>vec00503</v>
      </c>
      <c r="F39596" s="0" t="s">
        <v>3130</v>
      </c>
    </row>
    <row r="39597" customFormat="false" ht="12.8" hidden="false" customHeight="false" outlineLevel="0" collapsed="false">
      <c r="B39597" s="0" t="s">
        <v>1</v>
      </c>
      <c r="C39597" s="0" t="s">
        <v>2986</v>
      </c>
      <c r="E39597" s="0" t="s">
        <v>11</v>
      </c>
      <c r="F39597" s="0" t="s">
        <v>3131</v>
      </c>
    </row>
    <row r="39598" customFormat="false" ht="12.8" hidden="false" customHeight="false" outlineLevel="0" collapsed="false">
      <c r="B39598" s="0" t="s">
        <v>14632</v>
      </c>
      <c r="C39598" s="0" t="s">
        <v>3133</v>
      </c>
      <c r="E39598" s="0" t="s">
        <v>3134</v>
      </c>
      <c r="F39598" s="0" t="s">
        <v>3135</v>
      </c>
    </row>
    <row r="39599" customFormat="false" ht="12.8" hidden="false" customHeight="false" outlineLevel="0" collapsed="false">
      <c r="B39599" s="0" t="s">
        <v>132</v>
      </c>
      <c r="C39599" s="0" t="s">
        <v>2304</v>
      </c>
      <c r="E39599" s="0" t="s">
        <v>221</v>
      </c>
      <c r="F39599" s="0" t="s">
        <v>3136</v>
      </c>
    </row>
    <row r="39601" customFormat="false" ht="12.8" hidden="false" customHeight="false" outlineLevel="0" collapsed="false">
      <c r="A39601" s="0" t="s">
        <v>14633</v>
      </c>
      <c r="B39601" s="0" t="str">
        <f aca="false">HYPERLINK("https://lindat.mff.cuni.cz/services/teitok/pdtc10/index.php?action=vallex&amp;frame=v-w5353f2_ZU", "přiznat se (v-w5353f2_ZU)")</f>
        <v>přiznat se (v-w5353f2_ZU)</v>
      </c>
    </row>
    <row r="39602" customFormat="false" ht="12.8" hidden="false" customHeight="false" outlineLevel="0" collapsed="false">
      <c r="B39602" s="0" t="s">
        <v>1</v>
      </c>
    </row>
    <row r="39603" customFormat="false" ht="12.8" hidden="false" customHeight="false" outlineLevel="0" collapsed="false">
      <c r="B39603" s="0" t="s">
        <v>14634</v>
      </c>
    </row>
    <row r="39604" customFormat="false" ht="12.8" hidden="false" customHeight="false" outlineLevel="0" collapsed="false">
      <c r="B39604" s="0" t="s">
        <v>132</v>
      </c>
    </row>
    <row r="39606" customFormat="false" ht="12.8" hidden="false" customHeight="false" outlineLevel="0" collapsed="false">
      <c r="A39606" s="0" t="s">
        <v>14633</v>
      </c>
      <c r="B39606" s="0" t="str">
        <f aca="false">HYPERLINK("https://lindat.mff.cuni.cz/services/teitok/pdtc10/index.php?action=vallex&amp;frame=v-w5353f1", "přiznat se (v-w5353f1) - substituted with v-w5353f2_ZU")</f>
        <v>přiznat se (v-w5353f1) - substituted with v-w5353f2_ZU</v>
      </c>
      <c r="E39606" s="0" t="str">
        <f aca="false">HYPERLINK("https://lindat.mff.cuni.cz/services/SynSemClass40/SynSemClass40.html?veclass=vec00503#vec00503-ces-cm00001", "vec00503")</f>
        <v>vec00503</v>
      </c>
      <c r="F39606" s="0" t="s">
        <v>3130</v>
      </c>
    </row>
    <row r="39607" customFormat="false" ht="12.8" hidden="false" customHeight="false" outlineLevel="0" collapsed="false">
      <c r="B39607" s="0" t="s">
        <v>1</v>
      </c>
      <c r="C39607" s="0" t="s">
        <v>2986</v>
      </c>
      <c r="E39607" s="0" t="s">
        <v>11</v>
      </c>
      <c r="F39607" s="0" t="s">
        <v>3131</v>
      </c>
    </row>
    <row r="39608" customFormat="false" ht="12.8" hidden="false" customHeight="false" outlineLevel="0" collapsed="false">
      <c r="B39608" s="0" t="s">
        <v>14634</v>
      </c>
      <c r="C39608" s="0" t="s">
        <v>3133</v>
      </c>
      <c r="E39608" s="0" t="s">
        <v>3134</v>
      </c>
      <c r="F39608" s="0" t="s">
        <v>3135</v>
      </c>
    </row>
    <row r="39609" customFormat="false" ht="12.8" hidden="false" customHeight="false" outlineLevel="0" collapsed="false">
      <c r="B39609" s="0" t="s">
        <v>132</v>
      </c>
      <c r="C39609" s="0" t="s">
        <v>2304</v>
      </c>
      <c r="E39609" s="0" t="s">
        <v>221</v>
      </c>
      <c r="F39609" s="0" t="s">
        <v>3136</v>
      </c>
    </row>
    <row r="39611" customFormat="false" ht="12.8" hidden="false" customHeight="false" outlineLevel="0" collapsed="false">
      <c r="A39611" s="0" t="s">
        <v>14635</v>
      </c>
      <c r="B39611" s="0" t="str">
        <f aca="false">HYPERLINK("https://lindat.mff.cuni.cz/services/teitok/pdtc10/index.php?action=vallex&amp;frame=v-w5354f2", "přiznávat (v-w5354f2)")</f>
        <v>přiznávat (v-w5354f2)</v>
      </c>
    </row>
    <row r="39612" customFormat="false" ht="12.8" hidden="false" customHeight="false" outlineLevel="0" collapsed="false">
      <c r="B39612" s="0" t="s">
        <v>1</v>
      </c>
    </row>
    <row r="39613" customFormat="false" ht="12.8" hidden="false" customHeight="false" outlineLevel="0" collapsed="false">
      <c r="B39613" s="0" t="s">
        <v>8</v>
      </c>
    </row>
    <row r="39614" customFormat="false" ht="12.8" hidden="false" customHeight="false" outlineLevel="0" collapsed="false">
      <c r="B39614" s="0" t="s">
        <v>52</v>
      </c>
    </row>
    <row r="39616" customFormat="false" ht="12.8" hidden="false" customHeight="false" outlineLevel="0" collapsed="false">
      <c r="A39616" s="0" t="s">
        <v>14636</v>
      </c>
      <c r="B39616" s="0" t="str">
        <f aca="false">HYPERLINK("https://lindat.mff.cuni.cz/services/teitok/pdtc10/index.php?action=vallex&amp;frame=v-w5354f1", "přiznávat (v-w5354f1)")</f>
        <v>přiznávat (v-w5354f1)</v>
      </c>
      <c r="E39616" s="0" t="str">
        <f aca="false">HYPERLINK("https://lindat.mff.cuni.cz/services/SynSemClass40/SynSemClass40.html?veclass=vec00503#vec00503-ces-cm00010", "vec00503")</f>
        <v>vec00503</v>
      </c>
      <c r="F39616" s="0" t="s">
        <v>3130</v>
      </c>
    </row>
    <row r="39617" customFormat="false" ht="12.8" hidden="false" customHeight="false" outlineLevel="0" collapsed="false">
      <c r="B39617" s="0" t="s">
        <v>1</v>
      </c>
      <c r="C39617" s="0" t="s">
        <v>2986</v>
      </c>
      <c r="E39617" s="0" t="s">
        <v>11</v>
      </c>
      <c r="F39617" s="0" t="s">
        <v>3131</v>
      </c>
    </row>
    <row r="39618" customFormat="false" ht="12.8" hidden="false" customHeight="false" outlineLevel="0" collapsed="false">
      <c r="B39618" s="0" t="s">
        <v>14632</v>
      </c>
      <c r="C39618" s="0" t="s">
        <v>3133</v>
      </c>
      <c r="E39618" s="0" t="s">
        <v>3134</v>
      </c>
      <c r="F39618" s="0" t="s">
        <v>3135</v>
      </c>
    </row>
    <row r="39619" customFormat="false" ht="12.8" hidden="false" customHeight="false" outlineLevel="0" collapsed="false">
      <c r="B39619" s="0" t="s">
        <v>132</v>
      </c>
      <c r="C39619" s="0" t="s">
        <v>2304</v>
      </c>
      <c r="E39619" s="0" t="s">
        <v>221</v>
      </c>
      <c r="F39619" s="0" t="s">
        <v>3136</v>
      </c>
    </row>
    <row r="39621" customFormat="false" ht="12.8" hidden="false" customHeight="false" outlineLevel="0" collapsed="false">
      <c r="A39621" s="0" t="s">
        <v>14637</v>
      </c>
      <c r="B39621" s="0" t="str">
        <f aca="false">HYPERLINK("https://lindat.mff.cuni.cz/services/teitok/pdtc10/index.php?action=vallex&amp;frame=v-w5355f1", "přiznávat se (v-w5355f1)")</f>
        <v>přiznávat se (v-w5355f1)</v>
      </c>
      <c r="E39621" s="0" t="str">
        <f aca="false">HYPERLINK("https://lindat.mff.cuni.cz/services/SynSemClass40/SynSemClass40.html?veclass=vec00503#vec00503-ces-cm00011", "vec00503")</f>
        <v>vec00503</v>
      </c>
      <c r="F39621" s="0" t="s">
        <v>3130</v>
      </c>
    </row>
    <row r="39622" customFormat="false" ht="12.8" hidden="false" customHeight="false" outlineLevel="0" collapsed="false">
      <c r="B39622" s="0" t="s">
        <v>1</v>
      </c>
      <c r="C39622" s="0" t="s">
        <v>2986</v>
      </c>
      <c r="E39622" s="0" t="s">
        <v>11</v>
      </c>
      <c r="F39622" s="0" t="s">
        <v>3131</v>
      </c>
    </row>
    <row r="39623" customFormat="false" ht="12.8" hidden="false" customHeight="false" outlineLevel="0" collapsed="false">
      <c r="B39623" s="0" t="s">
        <v>3132</v>
      </c>
      <c r="C39623" s="0" t="s">
        <v>3133</v>
      </c>
      <c r="E39623" s="0" t="s">
        <v>3134</v>
      </c>
      <c r="F39623" s="0" t="s">
        <v>3135</v>
      </c>
    </row>
    <row r="39624" customFormat="false" ht="12.8" hidden="false" customHeight="false" outlineLevel="0" collapsed="false">
      <c r="B39624" s="0" t="s">
        <v>132</v>
      </c>
      <c r="C39624" s="0" t="s">
        <v>2304</v>
      </c>
      <c r="E39624" s="0" t="s">
        <v>221</v>
      </c>
      <c r="F39624" s="0" t="s">
        <v>3136</v>
      </c>
    </row>
    <row r="39626" customFormat="false" ht="12.8" hidden="false" customHeight="false" outlineLevel="0" collapsed="false">
      <c r="A39626" s="0" t="s">
        <v>14638</v>
      </c>
      <c r="B39626" s="0" t="str">
        <f aca="false">HYPERLINK("https://lindat.mff.cuni.cz/services/teitok/pdtc10/index.php?action=vallex&amp;frame=v-w5358f3_MM", "přizpůsobit (v-w5358f3_MM)")</f>
        <v>přizpůsobit (v-w5358f3_MM)</v>
      </c>
    </row>
    <row r="39627" customFormat="false" ht="12.8" hidden="false" customHeight="false" outlineLevel="0" collapsed="false">
      <c r="B39627" s="0" t="s">
        <v>1</v>
      </c>
    </row>
    <row r="39628" customFormat="false" ht="12.8" hidden="false" customHeight="false" outlineLevel="0" collapsed="false">
      <c r="B39628" s="0" t="s">
        <v>8</v>
      </c>
    </row>
    <row r="39629" customFormat="false" ht="12.8" hidden="false" customHeight="false" outlineLevel="0" collapsed="false">
      <c r="B39629" s="0" t="s">
        <v>11614</v>
      </c>
    </row>
    <row r="39631" customFormat="false" ht="12.8" hidden="false" customHeight="false" outlineLevel="0" collapsed="false">
      <c r="A39631" s="0" t="s">
        <v>14638</v>
      </c>
      <c r="B39631" s="0" t="str">
        <f aca="false">HYPERLINK("https://lindat.mff.cuni.cz/services/teitok/pdtc10/index.php?action=vallex&amp;frame=v-w5358f1", "přizpůsobit (v-w5358f1) - substituted with v-w5358f3_MM")</f>
        <v>přizpůsobit (v-w5358f1) - substituted with v-w5358f3_MM</v>
      </c>
      <c r="E39631" s="0" t="str">
        <f aca="false">HYPERLINK("https://lindat.mff.cuni.cz/services/SynSemClass40/SynSemClass40.html?veclass=vec00902#vec00902-ces-cm00006", "vec00902")</f>
        <v>vec00902</v>
      </c>
      <c r="F39631" s="0" t="s">
        <v>14639</v>
      </c>
    </row>
    <row r="39632" customFormat="false" ht="12.8" hidden="false" customHeight="false" outlineLevel="0" collapsed="false">
      <c r="B39632" s="0" t="s">
        <v>1</v>
      </c>
      <c r="C39632" s="0" t="s">
        <v>14640</v>
      </c>
      <c r="E39632" s="0" t="s">
        <v>5401</v>
      </c>
      <c r="F39632" s="0" t="s">
        <v>14641</v>
      </c>
    </row>
    <row r="39633" customFormat="false" ht="12.8" hidden="false" customHeight="false" outlineLevel="0" collapsed="false">
      <c r="B39633" s="0" t="s">
        <v>8</v>
      </c>
      <c r="C39633" s="0" t="s">
        <v>6312</v>
      </c>
      <c r="E39633" s="0" t="s">
        <v>5405</v>
      </c>
      <c r="F39633" s="0" t="s">
        <v>14642</v>
      </c>
    </row>
    <row r="39634" customFormat="false" ht="12.8" hidden="false" customHeight="false" outlineLevel="0" collapsed="false">
      <c r="B39634" s="0" t="s">
        <v>11614</v>
      </c>
      <c r="C39634" s="0" t="s">
        <v>14643</v>
      </c>
      <c r="E39634" s="0" t="s">
        <v>14644</v>
      </c>
      <c r="F39634" s="0" t="s">
        <v>14645</v>
      </c>
    </row>
    <row r="39636" customFormat="false" ht="12.8" hidden="false" customHeight="false" outlineLevel="0" collapsed="false">
      <c r="A39636" s="0" t="s">
        <v>14638</v>
      </c>
      <c r="B39636" s="0" t="str">
        <f aca="false">HYPERLINK("https://lindat.mff.cuni.cz/services/teitok/pdtc10/index.php?action=vallex&amp;frame=v-w5358f2_ZU", "přizpůsobit (v-w5358f2_ZU) - substituted with v-w5358f3_MM")</f>
        <v>přizpůsobit (v-w5358f2_ZU) - substituted with v-w5358f3_MM</v>
      </c>
    </row>
    <row r="39637" customFormat="false" ht="12.8" hidden="false" customHeight="false" outlineLevel="0" collapsed="false">
      <c r="B39637" s="0" t="s">
        <v>1</v>
      </c>
    </row>
    <row r="39638" customFormat="false" ht="12.8" hidden="false" customHeight="false" outlineLevel="0" collapsed="false">
      <c r="B39638" s="0" t="s">
        <v>8</v>
      </c>
    </row>
    <row r="39639" customFormat="false" ht="12.8" hidden="false" customHeight="false" outlineLevel="0" collapsed="false">
      <c r="B39639" s="0" t="s">
        <v>11614</v>
      </c>
    </row>
    <row r="39641" customFormat="false" ht="12.8" hidden="false" customHeight="false" outlineLevel="0" collapsed="false">
      <c r="A39641" s="0" t="s">
        <v>14638</v>
      </c>
      <c r="B39641" s="0" t="str">
        <f aca="false">HYPERLINK("https://lindat.mff.cuni.cz/services/teitok/pdtc10/index.php?action=vallex&amp;frame=v-w5358hsa_209", "přizpůsobit (v-w5358hsa_209) - substituted with v-w5358f3_MM")</f>
        <v>přizpůsobit (v-w5358hsa_209) - substituted with v-w5358f3_MM</v>
      </c>
    </row>
    <row r="39642" customFormat="false" ht="12.8" hidden="false" customHeight="false" outlineLevel="0" collapsed="false">
      <c r="B39642" s="0" t="s">
        <v>1</v>
      </c>
    </row>
    <row r="39643" customFormat="false" ht="12.8" hidden="false" customHeight="false" outlineLevel="0" collapsed="false">
      <c r="B39643" s="0" t="s">
        <v>8</v>
      </c>
    </row>
    <row r="39644" customFormat="false" ht="12.8" hidden="false" customHeight="false" outlineLevel="0" collapsed="false">
      <c r="B39644" s="0" t="s">
        <v>11614</v>
      </c>
    </row>
    <row r="39646" customFormat="false" ht="12.8" hidden="false" customHeight="false" outlineLevel="0" collapsed="false">
      <c r="A39646" s="0" t="s">
        <v>14646</v>
      </c>
      <c r="B39646" s="0" t="str">
        <f aca="false">HYPERLINK("https://lindat.mff.cuni.cz/services/teitok/pdtc10/index.php?action=vallex&amp;frame=v-w5359f1", "přizpůsobit se (v-w5359f1)")</f>
        <v>přizpůsobit se (v-w5359f1)</v>
      </c>
      <c r="E39646" s="0" t="str">
        <f aca="false">HYPERLINK("https://lindat.mff.cuni.cz/services/SynSemClass40/SynSemClass40.html?veclass=vec00696#vec00696-ces-cm00001", "vec00696")</f>
        <v>vec00696</v>
      </c>
      <c r="F39646" s="0" t="s">
        <v>14597</v>
      </c>
    </row>
    <row r="39647" customFormat="false" ht="12.8" hidden="false" customHeight="false" outlineLevel="0" collapsed="false">
      <c r="B39647" s="0" t="s">
        <v>1</v>
      </c>
      <c r="C39647" s="0" t="s">
        <v>14598</v>
      </c>
      <c r="E39647" s="0" t="s">
        <v>5401</v>
      </c>
      <c r="F39647" s="0" t="s">
        <v>14599</v>
      </c>
    </row>
    <row r="39648" customFormat="false" ht="12.8" hidden="false" customHeight="false" outlineLevel="0" collapsed="false">
      <c r="B39648" s="0" t="s">
        <v>186</v>
      </c>
      <c r="C39648" s="0" t="s">
        <v>14601</v>
      </c>
      <c r="E39648" s="0" t="s">
        <v>1823</v>
      </c>
      <c r="F39648" s="0" t="s">
        <v>14602</v>
      </c>
    </row>
    <row r="39650" customFormat="false" ht="12.8" hidden="false" customHeight="false" outlineLevel="0" collapsed="false">
      <c r="A39650" s="0" t="s">
        <v>14647</v>
      </c>
      <c r="B39650" s="0" t="str">
        <f aca="false">HYPERLINK("https://lindat.mff.cuni.cz/services/teitok/pdtc10/index.php?action=vallex&amp;frame=v-w5361f1", "přizpůsobovat (v-w5361f1)")</f>
        <v>přizpůsobovat (v-w5361f1)</v>
      </c>
      <c r="E39650" s="0" t="str">
        <f aca="false">HYPERLINK("https://lindat.mff.cuni.cz/services/SynSemClass40/SynSemClass40.html?veclass=vec00902#vec00902-ces-cm00001", "vec00902")</f>
        <v>vec00902</v>
      </c>
      <c r="F39650" s="0" t="s">
        <v>14639</v>
      </c>
    </row>
    <row r="39651" customFormat="false" ht="12.8" hidden="false" customHeight="false" outlineLevel="0" collapsed="false">
      <c r="B39651" s="0" t="s">
        <v>1</v>
      </c>
      <c r="C39651" s="0" t="s">
        <v>14640</v>
      </c>
      <c r="E39651" s="0" t="s">
        <v>5401</v>
      </c>
      <c r="F39651" s="0" t="s">
        <v>14641</v>
      </c>
    </row>
    <row r="39652" customFormat="false" ht="12.8" hidden="false" customHeight="false" outlineLevel="0" collapsed="false">
      <c r="B39652" s="0" t="s">
        <v>8</v>
      </c>
      <c r="C39652" s="0" t="s">
        <v>6312</v>
      </c>
      <c r="E39652" s="0" t="s">
        <v>5405</v>
      </c>
      <c r="F39652" s="0" t="s">
        <v>14642</v>
      </c>
    </row>
    <row r="39653" customFormat="false" ht="12.8" hidden="false" customHeight="false" outlineLevel="0" collapsed="false">
      <c r="B39653" s="0" t="s">
        <v>52</v>
      </c>
      <c r="C39653" s="0" t="s">
        <v>14643</v>
      </c>
      <c r="E39653" s="0" t="s">
        <v>14644</v>
      </c>
      <c r="F39653" s="0" t="s">
        <v>14645</v>
      </c>
    </row>
    <row r="39655" customFormat="false" ht="12.8" hidden="false" customHeight="false" outlineLevel="0" collapsed="false">
      <c r="A39655" s="0" t="s">
        <v>14648</v>
      </c>
      <c r="B39655" s="0" t="str">
        <f aca="false">HYPERLINK("https://lindat.mff.cuni.cz/services/teitok/pdtc10/index.php?action=vallex&amp;frame=v-w5362f1", "přizpůsobovat se (v-w5362f1)")</f>
        <v>přizpůsobovat se (v-w5362f1)</v>
      </c>
      <c r="E39655" s="0" t="str">
        <f aca="false">HYPERLINK("https://lindat.mff.cuni.cz/services/SynSemClass40/SynSemClass40.html?veclass=vec00696#vec00696-ces-cm00016", "vec00696")</f>
        <v>vec00696</v>
      </c>
      <c r="F39655" s="0" t="s">
        <v>14597</v>
      </c>
    </row>
    <row r="39656" customFormat="false" ht="12.8" hidden="false" customHeight="false" outlineLevel="0" collapsed="false">
      <c r="B39656" s="0" t="s">
        <v>1</v>
      </c>
      <c r="C39656" s="0" t="s">
        <v>14598</v>
      </c>
      <c r="E39656" s="0" t="s">
        <v>5401</v>
      </c>
      <c r="F39656" s="0" t="s">
        <v>14599</v>
      </c>
    </row>
    <row r="39657" customFormat="false" ht="12.8" hidden="false" customHeight="false" outlineLevel="0" collapsed="false">
      <c r="B39657" s="0" t="s">
        <v>186</v>
      </c>
      <c r="C39657" s="0" t="s">
        <v>14601</v>
      </c>
      <c r="E39657" s="0" t="s">
        <v>1823</v>
      </c>
      <c r="F39657" s="0" t="s">
        <v>14602</v>
      </c>
    </row>
    <row r="39659" customFormat="false" ht="12.8" hidden="false" customHeight="false" outlineLevel="0" collapsed="false">
      <c r="A39659" s="0" t="s">
        <v>14649</v>
      </c>
      <c r="B39659" s="0" t="str">
        <f aca="false">HYPERLINK("https://lindat.mff.cuni.cz/services/teitok/pdtc10/index.php?action=vallex&amp;frame=v-w5364f1", "přizvat (v-w5364f1)")</f>
        <v>přizvat (v-w5364f1)</v>
      </c>
      <c r="E39659" s="0" t="str">
        <f aca="false">HYPERLINK("https://lindat.mff.cuni.cz/services/SynSemClass40/SynSemClass40.html?veclass=vec00487#vec00487-ces-cm00003", "vec00487")</f>
        <v>vec00487</v>
      </c>
      <c r="F39659" s="0" t="s">
        <v>11971</v>
      </c>
    </row>
    <row r="39660" customFormat="false" ht="12.8" hidden="false" customHeight="false" outlineLevel="0" collapsed="false">
      <c r="B39660" s="0" t="s">
        <v>1</v>
      </c>
      <c r="C39660" s="0" t="s">
        <v>154</v>
      </c>
      <c r="E39660" s="0" t="s">
        <v>31</v>
      </c>
      <c r="F39660" s="0" t="s">
        <v>4265</v>
      </c>
    </row>
    <row r="39661" customFormat="false" ht="12.8" hidden="false" customHeight="false" outlineLevel="0" collapsed="false">
      <c r="B39661" s="0" t="s">
        <v>8</v>
      </c>
      <c r="C39661" s="0" t="s">
        <v>8841</v>
      </c>
      <c r="E39661" s="0" t="s">
        <v>3002</v>
      </c>
      <c r="F39661" s="0" t="s">
        <v>11972</v>
      </c>
    </row>
    <row r="39663" customFormat="false" ht="12.8" hidden="false" customHeight="false" outlineLevel="0" collapsed="false">
      <c r="A39663" s="0" t="s">
        <v>14650</v>
      </c>
      <c r="B39663" s="0" t="str">
        <f aca="false">HYPERLINK("https://lindat.mff.cuni.cz/services/teitok/pdtc10/index.php?action=vallex&amp;frame=v-whsa_222hsa_223", "přičichnout (v-whsa_222hsa_223)")</f>
        <v>přičichnout (v-whsa_222hsa_223)</v>
      </c>
    </row>
    <row r="39664" customFormat="false" ht="12.8" hidden="false" customHeight="false" outlineLevel="0" collapsed="false">
      <c r="B39664" s="0" t="s">
        <v>1</v>
      </c>
    </row>
    <row r="39665" customFormat="false" ht="12.8" hidden="false" customHeight="false" outlineLevel="0" collapsed="false">
      <c r="B39665" s="0" t="s">
        <v>311</v>
      </c>
    </row>
    <row r="39667" customFormat="false" ht="12.8" hidden="false" customHeight="false" outlineLevel="0" collapsed="false">
      <c r="A39667" s="0" t="s">
        <v>14651</v>
      </c>
      <c r="B39667" s="0" t="str">
        <f aca="false">HYPERLINK("https://lindat.mff.cuni.cz/services/teitok/pdtc10/index.php?action=vallex&amp;frame=v-w5098f1", "přičinit se (v-w5098f1)")</f>
        <v>přičinit se (v-w5098f1)</v>
      </c>
    </row>
    <row r="39668" customFormat="false" ht="12.8" hidden="false" customHeight="false" outlineLevel="0" collapsed="false">
      <c r="B39668" s="0" t="s">
        <v>1</v>
      </c>
    </row>
    <row r="39669" customFormat="false" ht="12.8" hidden="false" customHeight="false" outlineLevel="0" collapsed="false">
      <c r="B39669" s="0" t="s">
        <v>14652</v>
      </c>
    </row>
    <row r="39671" customFormat="false" ht="12.8" hidden="false" customHeight="false" outlineLevel="0" collapsed="false">
      <c r="A39671" s="0" t="s">
        <v>14653</v>
      </c>
      <c r="B39671" s="0" t="str">
        <f aca="false">HYPERLINK("https://lindat.mff.cuni.cz/services/teitok/pdtc10/index.php?action=vallex&amp;frame=v-w5102f1", "přičlenit (v-w5102f1)")</f>
        <v>přičlenit (v-w5102f1)</v>
      </c>
    </row>
    <row r="39672" customFormat="false" ht="12.8" hidden="false" customHeight="false" outlineLevel="0" collapsed="false">
      <c r="B39672" s="0" t="s">
        <v>1</v>
      </c>
    </row>
    <row r="39673" customFormat="false" ht="12.8" hidden="false" customHeight="false" outlineLevel="0" collapsed="false">
      <c r="B39673" s="0" t="s">
        <v>8</v>
      </c>
    </row>
    <row r="39674" customFormat="false" ht="12.8" hidden="false" customHeight="false" outlineLevel="0" collapsed="false">
      <c r="B39674" s="0" t="s">
        <v>164</v>
      </c>
    </row>
    <row r="39676" customFormat="false" ht="12.8" hidden="false" customHeight="false" outlineLevel="0" collapsed="false">
      <c r="A39676" s="0" t="s">
        <v>14654</v>
      </c>
      <c r="B39676" s="0" t="str">
        <f aca="false">HYPERLINK("https://lindat.mff.cuni.cz/services/teitok/pdtc10/index.php?action=vallex&amp;frame=v-w5099f2", "přičíst (v-w5099f2)")</f>
        <v>přičíst (v-w5099f2)</v>
      </c>
      <c r="E39676" s="0" t="str">
        <f aca="false">HYPERLINK("https://lindat.mff.cuni.cz/services/SynSemClass40/SynSemClass40.html?veclass=vec00291#vec00291-ces-cm00004", "vec00291")</f>
        <v>vec00291</v>
      </c>
      <c r="F39676" s="0" t="s">
        <v>10760</v>
      </c>
    </row>
    <row r="39677" customFormat="false" ht="12.8" hidden="false" customHeight="false" outlineLevel="0" collapsed="false">
      <c r="B39677" s="0" t="s">
        <v>843</v>
      </c>
      <c r="C39677" s="0" t="s">
        <v>2240</v>
      </c>
      <c r="E39677" s="0" t="s">
        <v>10761</v>
      </c>
      <c r="F39677" s="0" t="s">
        <v>10762</v>
      </c>
    </row>
    <row r="39678" customFormat="false" ht="12.8" hidden="false" customHeight="false" outlineLevel="0" collapsed="false">
      <c r="B39678" s="0" t="s">
        <v>8</v>
      </c>
      <c r="C39678" s="0" t="s">
        <v>10763</v>
      </c>
      <c r="E39678" s="0" t="s">
        <v>1544</v>
      </c>
      <c r="F39678" s="0" t="s">
        <v>10764</v>
      </c>
    </row>
    <row r="39679" customFormat="false" ht="12.8" hidden="false" customHeight="false" outlineLevel="0" collapsed="false">
      <c r="B39679" s="0" t="s">
        <v>14655</v>
      </c>
      <c r="C39679" s="0" t="s">
        <v>10765</v>
      </c>
      <c r="E39679" s="0" t="s">
        <v>53</v>
      </c>
      <c r="F39679" s="0" t="s">
        <v>10766</v>
      </c>
    </row>
    <row r="39681" customFormat="false" ht="12.8" hidden="false" customHeight="false" outlineLevel="0" collapsed="false">
      <c r="A39681" s="0" t="s">
        <v>14656</v>
      </c>
      <c r="B39681" s="0" t="str">
        <f aca="false">HYPERLINK("https://lindat.mff.cuni.cz/services/teitok/pdtc10/index.php?action=vallex&amp;frame=v-w5099f1", "přičíst (v-w5099f1)")</f>
        <v>přičíst (v-w5099f1)</v>
      </c>
      <c r="E39681" s="0" t="str">
        <f aca="false">HYPERLINK("https://lindat.mff.cuni.cz/services/SynSemClass40/SynSemClass40.html?veclass=vec00175#vec00175-ces-cm00023", "vec00175")</f>
        <v>vec00175</v>
      </c>
      <c r="F39681" s="0" t="s">
        <v>4861</v>
      </c>
    </row>
    <row r="39682" customFormat="false" ht="12.8" hidden="false" customHeight="false" outlineLevel="0" collapsed="false">
      <c r="B39682" s="0" t="s">
        <v>843</v>
      </c>
      <c r="C39682" s="0" t="s">
        <v>13928</v>
      </c>
      <c r="E39682" s="0" t="s">
        <v>31</v>
      </c>
      <c r="F39682" s="0" t="s">
        <v>13929</v>
      </c>
    </row>
    <row r="39683" customFormat="false" ht="12.8" hidden="false" customHeight="false" outlineLevel="0" collapsed="false">
      <c r="B39683" s="0" t="s">
        <v>59</v>
      </c>
      <c r="C39683" s="0" t="s">
        <v>13930</v>
      </c>
      <c r="E39683" s="0" t="s">
        <v>13931</v>
      </c>
      <c r="F39683" s="0" t="s">
        <v>13932</v>
      </c>
    </row>
    <row r="39684" customFormat="false" ht="12.8" hidden="false" customHeight="false" outlineLevel="0" collapsed="false">
      <c r="B39684" s="0" t="s">
        <v>164</v>
      </c>
      <c r="C39684" s="0" t="s">
        <v>4865</v>
      </c>
      <c r="E39684" s="0" t="s">
        <v>4866</v>
      </c>
      <c r="F39684" s="0" t="s">
        <v>4867</v>
      </c>
    </row>
    <row r="39686" customFormat="false" ht="12.8" hidden="false" customHeight="false" outlineLevel="0" collapsed="false">
      <c r="A39686" s="0" t="s">
        <v>14657</v>
      </c>
      <c r="B39686" s="0" t="str">
        <f aca="false">HYPERLINK("https://lindat.mff.cuni.cz/services/teitok/pdtc10/index.php?action=vallex&amp;frame=v-w5100f1", "přičítat (v-w5100f1)")</f>
        <v>přičítat (v-w5100f1)</v>
      </c>
      <c r="E39686" s="0" t="str">
        <f aca="false">HYPERLINK("https://lindat.mff.cuni.cz/services/SynSemClass40/SynSemClass40.html?veclass=vec00291#vec00291-ces-cm00005", "vec00291")</f>
        <v>vec00291</v>
      </c>
      <c r="F39686" s="0" t="s">
        <v>10760</v>
      </c>
    </row>
    <row r="39687" customFormat="false" ht="12.8" hidden="false" customHeight="false" outlineLevel="0" collapsed="false">
      <c r="B39687" s="0" t="s">
        <v>843</v>
      </c>
      <c r="C39687" s="0" t="s">
        <v>2240</v>
      </c>
      <c r="E39687" s="0" t="s">
        <v>10761</v>
      </c>
      <c r="F39687" s="0" t="s">
        <v>10762</v>
      </c>
    </row>
    <row r="39688" customFormat="false" ht="12.8" hidden="false" customHeight="false" outlineLevel="0" collapsed="false">
      <c r="B39688" s="0" t="s">
        <v>8</v>
      </c>
      <c r="C39688" s="0" t="s">
        <v>10763</v>
      </c>
      <c r="E39688" s="0" t="s">
        <v>1544</v>
      </c>
      <c r="F39688" s="0" t="s">
        <v>10764</v>
      </c>
    </row>
    <row r="39689" customFormat="false" ht="12.8" hidden="false" customHeight="false" outlineLevel="0" collapsed="false">
      <c r="B39689" s="0" t="s">
        <v>52</v>
      </c>
      <c r="C39689" s="0" t="s">
        <v>10765</v>
      </c>
      <c r="E39689" s="0" t="s">
        <v>53</v>
      </c>
      <c r="F39689" s="0" t="s">
        <v>10766</v>
      </c>
    </row>
    <row r="39691" customFormat="false" ht="12.8" hidden="false" customHeight="false" outlineLevel="0" collapsed="false">
      <c r="A39691" s="0" t="s">
        <v>14658</v>
      </c>
      <c r="B39691" s="0" t="str">
        <f aca="false">HYPERLINK("https://lindat.mff.cuni.cz/services/teitok/pdtc10/index.php?action=vallex&amp;frame=v-w5100f2", "přičítat (v-w5100f2)")</f>
        <v>přičítat (v-w5100f2)</v>
      </c>
    </row>
    <row r="39692" customFormat="false" ht="12.8" hidden="false" customHeight="false" outlineLevel="0" collapsed="false">
      <c r="B39692" s="0" t="s">
        <v>1</v>
      </c>
    </row>
    <row r="39693" customFormat="false" ht="12.8" hidden="false" customHeight="false" outlineLevel="0" collapsed="false">
      <c r="B39693" s="0" t="s">
        <v>8</v>
      </c>
    </row>
    <row r="39694" customFormat="false" ht="12.8" hidden="false" customHeight="false" outlineLevel="0" collapsed="false">
      <c r="B39694" s="0" t="s">
        <v>164</v>
      </c>
    </row>
    <row r="39696" customFormat="false" ht="12.8" hidden="false" customHeight="false" outlineLevel="0" collapsed="false">
      <c r="A39696" s="0" t="s">
        <v>14659</v>
      </c>
      <c r="B39696" s="0" t="str">
        <f aca="false">HYPERLINK("https://lindat.mff.cuni.cz/services/teitok/pdtc10/index.php?action=vallex&amp;frame=v-w5254f3", "přiřadit (v-w5254f3)")</f>
        <v>přiřadit (v-w5254f3)</v>
      </c>
      <c r="E39696" s="0" t="str">
        <f aca="false">HYPERLINK("https://lindat.mff.cuni.cz/services/SynSemClass40/SynSemClass40.html?veclass=vec00291#vec00291-ces-cm00011", "vec00291")</f>
        <v>vec00291</v>
      </c>
      <c r="F39696" s="0" t="s">
        <v>10760</v>
      </c>
    </row>
    <row r="39697" customFormat="false" ht="12.8" hidden="false" customHeight="false" outlineLevel="0" collapsed="false">
      <c r="B39697" s="0" t="s">
        <v>1</v>
      </c>
      <c r="C39697" s="0" t="s">
        <v>2240</v>
      </c>
      <c r="E39697" s="0" t="s">
        <v>10761</v>
      </c>
      <c r="F39697" s="0" t="s">
        <v>10762</v>
      </c>
    </row>
    <row r="39698" customFormat="false" ht="12.8" hidden="false" customHeight="false" outlineLevel="0" collapsed="false">
      <c r="B39698" s="0" t="s">
        <v>8</v>
      </c>
      <c r="C39698" s="0" t="s">
        <v>10763</v>
      </c>
      <c r="E39698" s="0" t="s">
        <v>1544</v>
      </c>
      <c r="F39698" s="0" t="s">
        <v>10764</v>
      </c>
    </row>
    <row r="39699" customFormat="false" ht="12.8" hidden="false" customHeight="false" outlineLevel="0" collapsed="false">
      <c r="B39699" s="0" t="s">
        <v>52</v>
      </c>
      <c r="C39699" s="0" t="s">
        <v>10765</v>
      </c>
      <c r="E39699" s="0" t="s">
        <v>53</v>
      </c>
      <c r="F39699" s="0" t="s">
        <v>10766</v>
      </c>
    </row>
    <row r="39701" customFormat="false" ht="12.8" hidden="false" customHeight="false" outlineLevel="0" collapsed="false">
      <c r="A39701" s="0" t="s">
        <v>14660</v>
      </c>
      <c r="B39701" s="0" t="str">
        <f aca="false">HYPERLINK("https://lindat.mff.cuni.cz/services/teitok/pdtc10/index.php?action=vallex&amp;frame=v-w5254f1", "přiřadit (v-w5254f1)")</f>
        <v>přiřadit (v-w5254f1)</v>
      </c>
    </row>
    <row r="39702" customFormat="false" ht="12.8" hidden="false" customHeight="false" outlineLevel="0" collapsed="false">
      <c r="B39702" s="0" t="s">
        <v>1</v>
      </c>
    </row>
    <row r="39703" customFormat="false" ht="12.8" hidden="false" customHeight="false" outlineLevel="0" collapsed="false">
      <c r="B39703" s="0" t="s">
        <v>8</v>
      </c>
    </row>
    <row r="39704" customFormat="false" ht="12.8" hidden="false" customHeight="false" outlineLevel="0" collapsed="false">
      <c r="B39704" s="0" t="s">
        <v>164</v>
      </c>
    </row>
    <row r="39706" customFormat="false" ht="12.8" hidden="false" customHeight="false" outlineLevel="0" collapsed="false">
      <c r="A39706" s="0" t="s">
        <v>14661</v>
      </c>
      <c r="B39706" s="0" t="str">
        <f aca="false">HYPERLINK("https://lindat.mff.cuni.cz/services/teitok/pdtc10/index.php?action=vallex&amp;frame=v-w5254f2", "přiřadit (v-w5254f2)")</f>
        <v>přiřadit (v-w5254f2)</v>
      </c>
    </row>
    <row r="39707" customFormat="false" ht="12.8" hidden="false" customHeight="false" outlineLevel="0" collapsed="false">
      <c r="B39707" s="0" t="s">
        <v>1</v>
      </c>
    </row>
    <row r="39708" customFormat="false" ht="12.8" hidden="false" customHeight="false" outlineLevel="0" collapsed="false">
      <c r="B39708" s="0" t="s">
        <v>8</v>
      </c>
    </row>
    <row r="39709" customFormat="false" ht="12.8" hidden="false" customHeight="false" outlineLevel="0" collapsed="false">
      <c r="B39709" s="0" t="s">
        <v>164</v>
      </c>
    </row>
    <row r="39711" customFormat="false" ht="12.8" hidden="false" customHeight="false" outlineLevel="0" collapsed="false">
      <c r="A39711" s="0" t="s">
        <v>14662</v>
      </c>
      <c r="B39711" s="0" t="str">
        <f aca="false">HYPERLINK("https://lindat.mff.cuni.cz/services/teitok/pdtc10/index.php?action=vallex&amp;frame=v-w5255f1", "přiřadit se (v-w5255f1)")</f>
        <v>přiřadit se (v-w5255f1)</v>
      </c>
    </row>
    <row r="39712" customFormat="false" ht="12.8" hidden="false" customHeight="false" outlineLevel="0" collapsed="false">
      <c r="B39712" s="0" t="s">
        <v>1</v>
      </c>
    </row>
    <row r="39713" customFormat="false" ht="12.8" hidden="false" customHeight="false" outlineLevel="0" collapsed="false">
      <c r="B39713" s="0" t="s">
        <v>311</v>
      </c>
    </row>
    <row r="39715" customFormat="false" ht="12.8" hidden="false" customHeight="false" outlineLevel="0" collapsed="false">
      <c r="A39715" s="0" t="s">
        <v>14663</v>
      </c>
      <c r="B39715" s="0" t="str">
        <f aca="false">HYPERLINK("https://lindat.mff.cuni.cz/services/teitok/pdtc10/index.php?action=vallex&amp;frame=v-w5255f2", "přiřadit se (v-w5255f2)")</f>
        <v>přiřadit se (v-w5255f2)</v>
      </c>
    </row>
    <row r="39716" customFormat="false" ht="12.8" hidden="false" customHeight="false" outlineLevel="0" collapsed="false">
      <c r="B39716" s="0" t="s">
        <v>1</v>
      </c>
    </row>
    <row r="39717" customFormat="false" ht="12.8" hidden="false" customHeight="false" outlineLevel="0" collapsed="false">
      <c r="B39717" s="0" t="s">
        <v>164</v>
      </c>
    </row>
    <row r="39719" customFormat="false" ht="12.8" hidden="false" customHeight="false" outlineLevel="0" collapsed="false">
      <c r="A39719" s="0" t="s">
        <v>14664</v>
      </c>
      <c r="B39719" s="0" t="str">
        <f aca="false">HYPERLINK("https://lindat.mff.cuni.cz/services/teitok/pdtc10/index.php?action=vallex&amp;frame=v-w5257f2", "přiřazovat (v-w5257f2)")</f>
        <v>přiřazovat (v-w5257f2)</v>
      </c>
    </row>
    <row r="39720" customFormat="false" ht="12.8" hidden="false" customHeight="false" outlineLevel="0" collapsed="false">
      <c r="B39720" s="0" t="s">
        <v>1</v>
      </c>
    </row>
    <row r="39721" customFormat="false" ht="12.8" hidden="false" customHeight="false" outlineLevel="0" collapsed="false">
      <c r="B39721" s="0" t="s">
        <v>8</v>
      </c>
    </row>
    <row r="39722" customFormat="false" ht="12.8" hidden="false" customHeight="false" outlineLevel="0" collapsed="false">
      <c r="B39722" s="0" t="s">
        <v>52</v>
      </c>
    </row>
    <row r="39724" customFormat="false" ht="12.8" hidden="false" customHeight="false" outlineLevel="0" collapsed="false">
      <c r="A39724" s="0" t="s">
        <v>14665</v>
      </c>
      <c r="B39724" s="0" t="str">
        <f aca="false">HYPERLINK("https://lindat.mff.cuni.cz/services/teitok/pdtc10/index.php?action=vallex&amp;frame=v-w5257f1", "přiřazovat (v-w5257f1)")</f>
        <v>přiřazovat (v-w5257f1)</v>
      </c>
    </row>
    <row r="39725" customFormat="false" ht="12.8" hidden="false" customHeight="false" outlineLevel="0" collapsed="false">
      <c r="B39725" s="0" t="s">
        <v>1</v>
      </c>
    </row>
    <row r="39726" customFormat="false" ht="12.8" hidden="false" customHeight="false" outlineLevel="0" collapsed="false">
      <c r="B39726" s="0" t="s">
        <v>8</v>
      </c>
    </row>
    <row r="39727" customFormat="false" ht="12.8" hidden="false" customHeight="false" outlineLevel="0" collapsed="false">
      <c r="B39727" s="0" t="s">
        <v>164</v>
      </c>
    </row>
    <row r="39729" customFormat="false" ht="12.8" hidden="false" customHeight="false" outlineLevel="0" collapsed="false">
      <c r="A39729" s="0" t="s">
        <v>14666</v>
      </c>
      <c r="B39729" s="0" t="str">
        <f aca="false">HYPERLINK("https://lindat.mff.cuni.cz/services/teitok/pdtc10/index.php?action=vallex&amp;frame=v-w5258f2", "přiřazovat se (v-w5258f2)")</f>
        <v>přiřazovat se (v-w5258f2)</v>
      </c>
    </row>
    <row r="39730" customFormat="false" ht="12.8" hidden="false" customHeight="false" outlineLevel="0" collapsed="false">
      <c r="B39730" s="0" t="s">
        <v>1</v>
      </c>
    </row>
    <row r="39731" customFormat="false" ht="12.8" hidden="false" customHeight="false" outlineLevel="0" collapsed="false">
      <c r="B39731" s="0" t="s">
        <v>311</v>
      </c>
    </row>
    <row r="39733" customFormat="false" ht="12.8" hidden="false" customHeight="false" outlineLevel="0" collapsed="false">
      <c r="A39733" s="0" t="s">
        <v>14667</v>
      </c>
      <c r="B39733" s="0" t="str">
        <f aca="false">HYPERLINK("https://lindat.mff.cuni.cz/services/teitok/pdtc10/index.php?action=vallex&amp;frame=v-w5258f1", "přiřazovat se (v-w5258f1)")</f>
        <v>přiřazovat se (v-w5258f1)</v>
      </c>
    </row>
    <row r="39734" customFormat="false" ht="12.8" hidden="false" customHeight="false" outlineLevel="0" collapsed="false">
      <c r="B39734" s="0" t="s">
        <v>1</v>
      </c>
    </row>
    <row r="39735" customFormat="false" ht="12.8" hidden="false" customHeight="false" outlineLevel="0" collapsed="false">
      <c r="B39735" s="0" t="s">
        <v>164</v>
      </c>
    </row>
    <row r="39737" customFormat="false" ht="12.8" hidden="false" customHeight="false" outlineLevel="0" collapsed="false">
      <c r="A39737" s="0" t="s">
        <v>14668</v>
      </c>
      <c r="B39737" s="0" t="str">
        <f aca="false">HYPERLINK("https://lindat.mff.cuni.cz/services/teitok/pdtc10/index.php?action=vallex&amp;frame=v-w5260f1", "přiřknout (v-w5260f1)")</f>
        <v>přiřknout (v-w5260f1)</v>
      </c>
    </row>
    <row r="39738" customFormat="false" ht="12.8" hidden="false" customHeight="false" outlineLevel="0" collapsed="false">
      <c r="B39738" s="0" t="s">
        <v>1</v>
      </c>
    </row>
    <row r="39739" customFormat="false" ht="12.8" hidden="false" customHeight="false" outlineLevel="0" collapsed="false">
      <c r="B39739" s="0" t="s">
        <v>59</v>
      </c>
    </row>
    <row r="39740" customFormat="false" ht="12.8" hidden="false" customHeight="false" outlineLevel="0" collapsed="false">
      <c r="B39740" s="0" t="s">
        <v>52</v>
      </c>
    </row>
    <row r="39742" customFormat="false" ht="12.8" hidden="false" customHeight="false" outlineLevel="0" collapsed="false">
      <c r="A39742" s="0" t="s">
        <v>14669</v>
      </c>
      <c r="B39742" s="0" t="str">
        <f aca="false">HYPERLINK("https://lindat.mff.cuni.cz/services/teitok/pdtc10/index.php?action=vallex&amp;frame=v-w5259f1", "přiřítit se (v-w5259f1)")</f>
        <v>přiřítit se (v-w5259f1)</v>
      </c>
    </row>
    <row r="39743" customFormat="false" ht="12.8" hidden="false" customHeight="false" outlineLevel="0" collapsed="false">
      <c r="B39743" s="0" t="s">
        <v>1</v>
      </c>
    </row>
    <row r="39744" customFormat="false" ht="12.8" hidden="false" customHeight="false" outlineLevel="0" collapsed="false">
      <c r="B39744" s="0" t="s">
        <v>164</v>
      </c>
    </row>
    <row r="39746" customFormat="false" ht="12.8" hidden="false" customHeight="false" outlineLevel="0" collapsed="false">
      <c r="A39746" s="0" t="s">
        <v>14670</v>
      </c>
      <c r="B39746" s="0" t="str">
        <f aca="false">HYPERLINK("https://lindat.mff.cuni.cz/services/teitok/pdtc10/index.php?action=vallex&amp;frame=v-w10835f2", "přišroubovat (v-w10835f2)")</f>
        <v>přišroubovat (v-w10835f2)</v>
      </c>
      <c r="E39746" s="0" t="str">
        <f aca="false">HYPERLINK("https://lindat.mff.cuni.cz/services/SynSemClass40/SynSemClass40.html?veclass=vec00899#vec00899-ces-cm00007", "vec00899")</f>
        <v>vec00899</v>
      </c>
      <c r="F39746" s="0" t="s">
        <v>7652</v>
      </c>
      <c r="H39746" s="0" t="str">
        <f aca="false">HYPERLINK("https://lindat.mff.cuni.cz/services/SynSemClass40/SynSemClass40.html?veclass=vec01167#vec01167-ces-cm00003", "vec01167")</f>
        <v>vec01167</v>
      </c>
      <c r="I39746" s="0" t="s">
        <v>7657</v>
      </c>
      <c r="K39746" s="0" t="str">
        <f aca="false">HYPERLINK("https://lindat.mff.cuni.cz/services/SynSemClass40/SynSemClass40.html?veclass=vec01450#vec01450-ces-cm00001", "vec01450")</f>
        <v>vec01450</v>
      </c>
      <c r="L39746" s="0" t="s">
        <v>14671</v>
      </c>
    </row>
    <row r="39747" customFormat="false" ht="12.8" hidden="false" customHeight="false" outlineLevel="0" collapsed="false">
      <c r="B39747" s="0" t="s">
        <v>1</v>
      </c>
      <c r="C39747" s="0" t="s">
        <v>6310</v>
      </c>
      <c r="E39747" s="0" t="s">
        <v>31</v>
      </c>
      <c r="F39747" s="0" t="s">
        <v>7653</v>
      </c>
      <c r="H39747" s="0" t="s">
        <v>768</v>
      </c>
      <c r="I39747" s="0" t="s">
        <v>7658</v>
      </c>
      <c r="K39747" s="0" t="s">
        <v>4581</v>
      </c>
      <c r="L39747" s="0" t="s">
        <v>14672</v>
      </c>
    </row>
    <row r="39748" customFormat="false" ht="12.8" hidden="false" customHeight="false" outlineLevel="0" collapsed="false">
      <c r="B39748" s="0" t="s">
        <v>8</v>
      </c>
      <c r="C39748" s="0" t="s">
        <v>14673</v>
      </c>
      <c r="E39748" s="0" t="s">
        <v>1569</v>
      </c>
      <c r="F39748" s="0" t="s">
        <v>7655</v>
      </c>
      <c r="H39748" s="0" t="s">
        <v>110</v>
      </c>
      <c r="I39748" s="0" t="s">
        <v>7659</v>
      </c>
      <c r="K39748" s="0" t="s">
        <v>514</v>
      </c>
      <c r="L39748" s="0" t="s">
        <v>14674</v>
      </c>
    </row>
    <row r="39750" customFormat="false" ht="12.8" hidden="false" customHeight="false" outlineLevel="0" collapsed="false">
      <c r="A39750" s="0" t="s">
        <v>14675</v>
      </c>
      <c r="B39750" s="0" t="str">
        <f aca="false">HYPERLINK("https://lindat.mff.cuni.cz/services/teitok/pdtc10/index.php?action=vallex&amp;frame=v-w5301f2", "přišít (v-w5301f2)")</f>
        <v>přišít (v-w5301f2)</v>
      </c>
    </row>
    <row r="39751" customFormat="false" ht="12.8" hidden="false" customHeight="false" outlineLevel="0" collapsed="false">
      <c r="B39751" s="0" t="s">
        <v>1</v>
      </c>
    </row>
    <row r="39752" customFormat="false" ht="12.8" hidden="false" customHeight="false" outlineLevel="0" collapsed="false">
      <c r="B39752" s="0" t="s">
        <v>8</v>
      </c>
    </row>
    <row r="39753" customFormat="false" ht="12.8" hidden="false" customHeight="false" outlineLevel="0" collapsed="false">
      <c r="B39753" s="0" t="s">
        <v>52</v>
      </c>
    </row>
    <row r="39755" customFormat="false" ht="12.8" hidden="false" customHeight="false" outlineLevel="0" collapsed="false">
      <c r="A39755" s="0" t="s">
        <v>14676</v>
      </c>
      <c r="B39755" s="0" t="str">
        <f aca="false">HYPERLINK("https://lindat.mff.cuni.cz/services/teitok/pdtc10/index.php?action=vallex&amp;frame=v-w5301f1", "přišít (v-w5301f1)")</f>
        <v>přišít (v-w5301f1)</v>
      </c>
    </row>
    <row r="39756" customFormat="false" ht="12.8" hidden="false" customHeight="false" outlineLevel="0" collapsed="false">
      <c r="B39756" s="0" t="s">
        <v>1</v>
      </c>
    </row>
    <row r="39757" customFormat="false" ht="12.8" hidden="false" customHeight="false" outlineLevel="0" collapsed="false">
      <c r="B39757" s="0" t="s">
        <v>8</v>
      </c>
    </row>
    <row r="39758" customFormat="false" ht="12.8" hidden="false" customHeight="false" outlineLevel="0" collapsed="false">
      <c r="B39758" s="0" t="s">
        <v>164</v>
      </c>
    </row>
    <row r="39760" customFormat="false" ht="12.8" hidden="false" customHeight="false" outlineLevel="0" collapsed="false">
      <c r="A39760" s="0" t="s">
        <v>14677</v>
      </c>
      <c r="B39760" s="0" t="str">
        <f aca="false">HYPERLINK("https://lindat.mff.cuni.cz/services/teitok/pdtc10/index.php?action=vallex&amp;frame=v-w11940_ZUf1_ZU", "přišívat (v-w11940_ZUf1_ZU)")</f>
        <v>přišívat (v-w11940_ZUf1_ZU)</v>
      </c>
    </row>
    <row r="39761" customFormat="false" ht="12.8" hidden="false" customHeight="false" outlineLevel="0" collapsed="false">
      <c r="B39761" s="0" t="s">
        <v>1</v>
      </c>
    </row>
    <row r="39762" customFormat="false" ht="12.8" hidden="false" customHeight="false" outlineLevel="0" collapsed="false">
      <c r="B39762" s="0" t="s">
        <v>8</v>
      </c>
    </row>
    <row r="39763" customFormat="false" ht="12.8" hidden="false" customHeight="false" outlineLevel="0" collapsed="false">
      <c r="B39763" s="0" t="s">
        <v>454</v>
      </c>
    </row>
    <row r="39765" customFormat="false" ht="12.8" hidden="false" customHeight="false" outlineLevel="0" collapsed="false">
      <c r="A39765" s="0" t="s">
        <v>14678</v>
      </c>
      <c r="B39765" s="0" t="str">
        <f aca="false">HYPERLINK("https://lindat.mff.cuni.cz/services/teitok/pdtc10/index.php?action=vallex&amp;frame=v-w11919_ZUf1_ZU", "přiťukat (v-w11919_ZUf1_ZU)")</f>
        <v>přiťukat (v-w11919_ZUf1_ZU)</v>
      </c>
    </row>
    <row r="39766" customFormat="false" ht="12.8" hidden="false" customHeight="false" outlineLevel="0" collapsed="false">
      <c r="B39766" s="0" t="s">
        <v>1</v>
      </c>
    </row>
    <row r="39767" customFormat="false" ht="12.8" hidden="false" customHeight="false" outlineLevel="0" collapsed="false">
      <c r="B39767" s="0" t="s">
        <v>8</v>
      </c>
    </row>
    <row r="39769" customFormat="false" ht="12.8" hidden="false" customHeight="false" outlineLevel="0" collapsed="false">
      <c r="A39769" s="0" t="s">
        <v>14679</v>
      </c>
      <c r="B39769" s="0" t="str">
        <f aca="false">HYPERLINK("https://lindat.mff.cuni.cz/services/teitok/pdtc10/index.php?action=vallex&amp;frame=v-w5320f1", "přiťuknout (v-w5320f1)")</f>
        <v>přiťuknout (v-w5320f1)</v>
      </c>
    </row>
    <row r="39770" customFormat="false" ht="12.8" hidden="false" customHeight="false" outlineLevel="0" collapsed="false">
      <c r="B39770" s="0" t="s">
        <v>1</v>
      </c>
    </row>
    <row r="39771" customFormat="false" ht="12.8" hidden="false" customHeight="false" outlineLevel="0" collapsed="false">
      <c r="B39771" s="0" t="s">
        <v>8</v>
      </c>
    </row>
    <row r="39772" customFormat="false" ht="12.8" hidden="false" customHeight="false" outlineLevel="0" collapsed="false">
      <c r="B39772" s="0" t="s">
        <v>52</v>
      </c>
    </row>
    <row r="39774" customFormat="false" ht="12.8" hidden="false" customHeight="false" outlineLevel="0" collapsed="false">
      <c r="A39774" s="0" t="s">
        <v>14680</v>
      </c>
      <c r="B39774" s="0" t="str">
        <f aca="false">HYPERLINK("https://lindat.mff.cuni.cz/services/teitok/pdtc10/index.php?action=vallex&amp;frame=v-w5320f2_ZU", "přiťuknout (v-w5320f2_ZU)")</f>
        <v>přiťuknout (v-w5320f2_ZU)</v>
      </c>
    </row>
    <row r="39775" customFormat="false" ht="12.8" hidden="false" customHeight="false" outlineLevel="0" collapsed="false">
      <c r="B39775" s="0" t="s">
        <v>1</v>
      </c>
    </row>
    <row r="39776" customFormat="false" ht="12.8" hidden="false" customHeight="false" outlineLevel="0" collapsed="false">
      <c r="B39776" s="0" t="s">
        <v>52</v>
      </c>
    </row>
    <row r="39777" customFormat="false" ht="12.8" hidden="false" customHeight="false" outlineLevel="0" collapsed="false">
      <c r="B39777" s="0" t="s">
        <v>69</v>
      </c>
    </row>
    <row r="39779" customFormat="false" ht="12.8" hidden="false" customHeight="false" outlineLevel="0" collapsed="false">
      <c r="A39779" s="0" t="s">
        <v>14681</v>
      </c>
      <c r="B39779" s="0" t="str">
        <f aca="false">HYPERLINK("https://lindat.mff.cuni.cz/services/teitok/pdtc10/index.php?action=vallex&amp;frame=v-whsa_1595hsa_1596", "přiťuknout si (v-whsa_1595hsa_1596)")</f>
        <v>přiťuknout si (v-whsa_1595hsa_1596)</v>
      </c>
    </row>
    <row r="39780" customFormat="false" ht="12.8" hidden="false" customHeight="false" outlineLevel="0" collapsed="false">
      <c r="B39780" s="0" t="s">
        <v>1</v>
      </c>
    </row>
    <row r="39781" customFormat="false" ht="12.8" hidden="false" customHeight="false" outlineLevel="0" collapsed="false">
      <c r="B39781" s="0" t="s">
        <v>276</v>
      </c>
    </row>
    <row r="39782" customFormat="false" ht="12.8" hidden="false" customHeight="false" outlineLevel="0" collapsed="false">
      <c r="B39782" s="0" t="s">
        <v>69</v>
      </c>
    </row>
    <row r="39784" customFormat="false" ht="12.8" hidden="false" customHeight="false" outlineLevel="0" collapsed="false">
      <c r="A39784" s="0" t="s">
        <v>14682</v>
      </c>
      <c r="B39784" s="0" t="str">
        <f aca="false">HYPERLINK("https://lindat.mff.cuni.cz/services/teitok/pdtc10/index.php?action=vallex&amp;frame=v-w11476f1", "přiženit se (v-w11476f1)")</f>
        <v>přiženit se (v-w11476f1)</v>
      </c>
      <c r="E39784" s="0" t="str">
        <f aca="false">HYPERLINK("https://lindat.mff.cuni.cz/services/SynSemClass40/SynSemClass40.html?veclass=vec00218#vec00218-ces-cm00264", "vec00218")</f>
        <v>vec00218</v>
      </c>
      <c r="F39784" s="0" t="s">
        <v>2143</v>
      </c>
    </row>
    <row r="39785" customFormat="false" ht="12.8" hidden="false" customHeight="false" outlineLevel="0" collapsed="false">
      <c r="B39785" s="0" t="s">
        <v>1</v>
      </c>
      <c r="C39785" s="0" t="s">
        <v>2144</v>
      </c>
      <c r="E39785" s="0" t="s">
        <v>11</v>
      </c>
      <c r="F39785" s="0" t="s">
        <v>2145</v>
      </c>
    </row>
    <row r="39786" customFormat="false" ht="12.8" hidden="false" customHeight="false" outlineLevel="0" collapsed="false">
      <c r="B39786" s="0" t="s">
        <v>164</v>
      </c>
      <c r="C39786" s="0" t="s">
        <v>2146</v>
      </c>
      <c r="E39786" s="0" t="s">
        <v>370</v>
      </c>
      <c r="F39786" s="0" t="s">
        <v>2147</v>
      </c>
    </row>
    <row r="39788" customFormat="false" ht="12.8" hidden="false" customHeight="false" outlineLevel="0" collapsed="false">
      <c r="A39788" s="0" t="s">
        <v>14683</v>
      </c>
      <c r="B39788" s="0" t="str">
        <f aca="false">HYPERLINK("https://lindat.mff.cuni.cz/services/teitok/pdtc10/index.php?action=vallex&amp;frame=v-w10152f2", "přiživit (v-w10152f2)")</f>
        <v>přiživit (v-w10152f2)</v>
      </c>
    </row>
    <row r="39789" customFormat="false" ht="12.8" hidden="false" customHeight="false" outlineLevel="0" collapsed="false">
      <c r="B39789" s="0" t="s">
        <v>1</v>
      </c>
    </row>
    <row r="39790" customFormat="false" ht="12.8" hidden="false" customHeight="false" outlineLevel="0" collapsed="false">
      <c r="B39790" s="0" t="s">
        <v>8</v>
      </c>
    </row>
    <row r="39792" customFormat="false" ht="12.8" hidden="false" customHeight="false" outlineLevel="0" collapsed="false">
      <c r="A39792" s="0" t="s">
        <v>14684</v>
      </c>
      <c r="B39792" s="0" t="str">
        <f aca="false">HYPERLINK("https://lindat.mff.cuni.cz/services/teitok/pdtc10/index.php?action=vallex&amp;frame=v-w11251f1", "přiživit se (v-w11251f1)")</f>
        <v>přiživit se (v-w11251f1)</v>
      </c>
    </row>
    <row r="39793" customFormat="false" ht="12.8" hidden="false" customHeight="false" outlineLevel="0" collapsed="false">
      <c r="B39793" s="0" t="s">
        <v>1</v>
      </c>
    </row>
    <row r="39794" customFormat="false" ht="12.8" hidden="false" customHeight="false" outlineLevel="0" collapsed="false">
      <c r="B39794" s="0" t="s">
        <v>14685</v>
      </c>
    </row>
    <row r="39796" customFormat="false" ht="12.8" hidden="false" customHeight="false" outlineLevel="0" collapsed="false">
      <c r="A39796" s="0" t="s">
        <v>14686</v>
      </c>
      <c r="B39796" s="0" t="str">
        <f aca="false">HYPERLINK("https://lindat.mff.cuni.cz/services/teitok/pdtc10/index.php?action=vallex&amp;frame=v-w5366f1", "přiživovat se (v-w5366f1)")</f>
        <v>přiživovat se (v-w5366f1)</v>
      </c>
    </row>
    <row r="39797" customFormat="false" ht="12.8" hidden="false" customHeight="false" outlineLevel="0" collapsed="false">
      <c r="B39797" s="0" t="s">
        <v>1</v>
      </c>
    </row>
    <row r="39798" customFormat="false" ht="12.8" hidden="false" customHeight="false" outlineLevel="0" collapsed="false">
      <c r="B39798" s="0" t="s">
        <v>14685</v>
      </c>
    </row>
    <row r="39800" customFormat="false" ht="12.8" hidden="false" customHeight="false" outlineLevel="0" collapsed="false">
      <c r="A39800" s="0" t="s">
        <v>14687</v>
      </c>
      <c r="B39800" s="0" t="str">
        <f aca="false">HYPERLINK("https://lindat.mff.cuni.cz/services/teitok/pdtc10/index.php?action=vallex&amp;frame=v-w4663f3", "přát (v-w4663f3)")</f>
        <v>přát (v-w4663f3)</v>
      </c>
      <c r="E39800" s="0" t="str">
        <f aca="false">HYPERLINK("https://lindat.mff.cuni.cz/services/SynSemClass40/SynSemClass40.html?veclass=vec01084#vec01084-ces-cm00001", "vec01084")</f>
        <v>vec01084</v>
      </c>
      <c r="F39800" s="0" t="s">
        <v>14688</v>
      </c>
    </row>
    <row r="39801" customFormat="false" ht="12.8" hidden="false" customHeight="false" outlineLevel="0" collapsed="false">
      <c r="B39801" s="0" t="s">
        <v>1</v>
      </c>
      <c r="C39801" s="0" t="s">
        <v>1752</v>
      </c>
      <c r="E39801" s="0" t="s">
        <v>31</v>
      </c>
      <c r="F39801" s="0" t="s">
        <v>5293</v>
      </c>
    </row>
    <row r="39802" customFormat="false" ht="12.8" hidden="false" customHeight="false" outlineLevel="0" collapsed="false">
      <c r="B39802" s="0" t="s">
        <v>14689</v>
      </c>
      <c r="C39802" s="0" t="s">
        <v>800</v>
      </c>
      <c r="E39802" s="0" t="s">
        <v>6091</v>
      </c>
      <c r="F39802" s="0" t="s">
        <v>14690</v>
      </c>
    </row>
    <row r="39803" customFormat="false" ht="12.8" hidden="false" customHeight="false" outlineLevel="0" collapsed="false">
      <c r="B39803" s="0" t="s">
        <v>52</v>
      </c>
      <c r="C39803" s="0" t="s">
        <v>14691</v>
      </c>
      <c r="E39803" s="0" t="s">
        <v>4235</v>
      </c>
      <c r="F39803" s="0" t="s">
        <v>14692</v>
      </c>
    </row>
    <row r="39805" customFormat="false" ht="12.8" hidden="false" customHeight="false" outlineLevel="0" collapsed="false">
      <c r="A39805" s="0" t="s">
        <v>14693</v>
      </c>
      <c r="B39805" s="0" t="str">
        <f aca="false">HYPERLINK("https://lindat.mff.cuni.cz/services/teitok/pdtc10/index.php?action=vallex&amp;frame=v-w4663f1", "přát (v-w4663f1)")</f>
        <v>přát (v-w4663f1)</v>
      </c>
    </row>
    <row r="39806" customFormat="false" ht="12.8" hidden="false" customHeight="false" outlineLevel="0" collapsed="false">
      <c r="B39806" s="0" t="s">
        <v>1</v>
      </c>
    </row>
    <row r="39807" customFormat="false" ht="12.8" hidden="false" customHeight="false" outlineLevel="0" collapsed="false">
      <c r="B39807" s="0" t="s">
        <v>14694</v>
      </c>
    </row>
    <row r="39808" customFormat="false" ht="12.8" hidden="false" customHeight="false" outlineLevel="0" collapsed="false">
      <c r="B39808" s="0" t="s">
        <v>52</v>
      </c>
    </row>
    <row r="39810" customFormat="false" ht="12.8" hidden="false" customHeight="false" outlineLevel="0" collapsed="false">
      <c r="A39810" s="0" t="s">
        <v>14695</v>
      </c>
      <c r="B39810" s="0" t="str">
        <f aca="false">HYPERLINK("https://lindat.mff.cuni.cz/services/teitok/pdtc10/index.php?action=vallex&amp;frame=v-w4663f2", "přát (v-w4663f2)")</f>
        <v>přát (v-w4663f2)</v>
      </c>
    </row>
    <row r="39811" customFormat="false" ht="12.8" hidden="false" customHeight="false" outlineLevel="0" collapsed="false">
      <c r="B39811" s="0" t="s">
        <v>1</v>
      </c>
    </row>
    <row r="39812" customFormat="false" ht="12.8" hidden="false" customHeight="false" outlineLevel="0" collapsed="false">
      <c r="B39812" s="0" t="s">
        <v>186</v>
      </c>
    </row>
    <row r="39814" customFormat="false" ht="12.8" hidden="false" customHeight="false" outlineLevel="0" collapsed="false">
      <c r="A39814" s="0" t="s">
        <v>14696</v>
      </c>
      <c r="B39814" s="0" t="str">
        <f aca="false">HYPERLINK("https://lindat.mff.cuni.cz/services/teitok/pdtc10/index.php?action=vallex&amp;frame=v-w4666f2", "přát si (v-w4666f2)")</f>
        <v>přát si (v-w4666f2)</v>
      </c>
      <c r="E39814" s="0" t="str">
        <f aca="false">HYPERLINK("https://lindat.mff.cuni.cz/services/SynSemClass40/SynSemClass40.html?veclass=vec01495#vec01495-ces-cm00030", "vec01495")</f>
        <v>vec01495</v>
      </c>
      <c r="F39814" s="0" t="s">
        <v>6335</v>
      </c>
    </row>
    <row r="39815" customFormat="false" ht="12.8" hidden="false" customHeight="false" outlineLevel="0" collapsed="false">
      <c r="B39815" s="0" t="s">
        <v>1</v>
      </c>
      <c r="C39815" s="0" t="s">
        <v>6336</v>
      </c>
      <c r="E39815" s="0" t="s">
        <v>147</v>
      </c>
      <c r="F39815" s="0" t="s">
        <v>6337</v>
      </c>
    </row>
    <row r="39816" customFormat="false" ht="12.8" hidden="false" customHeight="false" outlineLevel="0" collapsed="false">
      <c r="B39816" s="0" t="s">
        <v>14697</v>
      </c>
      <c r="C39816" s="0" t="s">
        <v>6338</v>
      </c>
      <c r="E39816" s="0" t="s">
        <v>50</v>
      </c>
      <c r="F39816" s="0" t="s">
        <v>6339</v>
      </c>
    </row>
    <row r="39817" customFormat="false" ht="12.8" hidden="false" customHeight="false" outlineLevel="0" collapsed="false">
      <c r="B39817" s="0" t="s">
        <v>602</v>
      </c>
      <c r="C39817" s="0" t="s">
        <v>14698</v>
      </c>
      <c r="E39817" s="0" t="s">
        <v>12074</v>
      </c>
      <c r="F39817" s="0" t="s">
        <v>12075</v>
      </c>
    </row>
    <row r="39819" customFormat="false" ht="12.8" hidden="false" customHeight="false" outlineLevel="0" collapsed="false">
      <c r="A39819" s="0" t="s">
        <v>14699</v>
      </c>
      <c r="B39819" s="0" t="str">
        <f aca="false">HYPERLINK("https://lindat.mff.cuni.cz/services/teitok/pdtc10/index.php?action=vallex&amp;frame=v-w4666f1", "přát si (v-w4666f1)")</f>
        <v>přát si (v-w4666f1)</v>
      </c>
      <c r="E39819" s="0" t="str">
        <f aca="false">HYPERLINK("https://lindat.mff.cuni.cz/services/SynSemClass40/SynSemClass40.html?veclass=vec00219#vec00219-ces-cm00021", "vec00219")</f>
        <v>vec00219</v>
      </c>
      <c r="F39819" s="0" t="s">
        <v>3050</v>
      </c>
      <c r="H39819" s="0" t="str">
        <f aca="false">HYPERLINK("https://lindat.mff.cuni.cz/services/SynSemClass40/SynSemClass40.html?veclass=vec01495#vec01495-ces-cm00029", "vec01495")</f>
        <v>vec01495</v>
      </c>
      <c r="I39819" s="0" t="s">
        <v>6335</v>
      </c>
    </row>
    <row r="39820" customFormat="false" ht="12.8" hidden="false" customHeight="false" outlineLevel="0" collapsed="false">
      <c r="B39820" s="0" t="s">
        <v>1</v>
      </c>
      <c r="C39820" s="0" t="s">
        <v>14700</v>
      </c>
      <c r="E39820" s="0" t="s">
        <v>11</v>
      </c>
      <c r="F39820" s="0" t="s">
        <v>3052</v>
      </c>
      <c r="H39820" s="0" t="s">
        <v>147</v>
      </c>
      <c r="I39820" s="0" t="s">
        <v>6337</v>
      </c>
    </row>
    <row r="39821" customFormat="false" ht="12.8" hidden="false" customHeight="false" outlineLevel="0" collapsed="false">
      <c r="B39821" s="0" t="s">
        <v>14701</v>
      </c>
      <c r="C39821" s="0" t="s">
        <v>14702</v>
      </c>
      <c r="E39821" s="0" t="s">
        <v>3054</v>
      </c>
      <c r="F39821" s="0" t="s">
        <v>3055</v>
      </c>
      <c r="H39821" s="0" t="s">
        <v>50</v>
      </c>
      <c r="I39821" s="0" t="s">
        <v>6339</v>
      </c>
    </row>
    <row r="39823" customFormat="false" ht="12.8" hidden="false" customHeight="false" outlineLevel="0" collapsed="false">
      <c r="A39823" s="0" t="s">
        <v>14703</v>
      </c>
      <c r="B39823" s="0" t="str">
        <f aca="false">HYPERLINK("https://lindat.mff.cuni.cz/services/teitok/pdtc10/index.php?action=vallex&amp;frame=v-w4664f1", "přátelit se (v-w4664f1)")</f>
        <v>přátelit se (v-w4664f1)</v>
      </c>
    </row>
    <row r="39824" customFormat="false" ht="12.8" hidden="false" customHeight="false" outlineLevel="0" collapsed="false">
      <c r="B39824" s="0" t="s">
        <v>1</v>
      </c>
    </row>
    <row r="39825" customFormat="false" ht="12.8" hidden="false" customHeight="false" outlineLevel="0" collapsed="false">
      <c r="B39825" s="0" t="s">
        <v>721</v>
      </c>
    </row>
    <row r="39827" customFormat="false" ht="12.8" hidden="false" customHeight="false" outlineLevel="0" collapsed="false">
      <c r="A39827" s="0" t="s">
        <v>14704</v>
      </c>
      <c r="B39827" s="0" t="str">
        <f aca="false">HYPERLINK("https://lindat.mff.cuni.cz/services/teitok/pdtc10/index.php?action=vallex&amp;frame=v-w5262f1", "přísahat (v-w5262f1)")</f>
        <v>přísahat (v-w5262f1)</v>
      </c>
      <c r="E39827" s="0" t="str">
        <f aca="false">HYPERLINK("https://lindat.mff.cuni.cz/services/SynSemClass40/SynSemClass40.html?veclass=vec00311#vec00311-ces-cm00002", "vec00311")</f>
        <v>vec00311</v>
      </c>
      <c r="F39827" s="0" t="s">
        <v>14485</v>
      </c>
    </row>
    <row r="39828" customFormat="false" ht="12.8" hidden="false" customHeight="false" outlineLevel="0" collapsed="false">
      <c r="B39828" s="0" t="s">
        <v>1</v>
      </c>
      <c r="C39828" s="0" t="s">
        <v>14486</v>
      </c>
      <c r="E39828" s="0" t="s">
        <v>63</v>
      </c>
      <c r="F39828" s="0" t="s">
        <v>14487</v>
      </c>
    </row>
    <row r="39829" customFormat="false" ht="12.8" hidden="false" customHeight="false" outlineLevel="0" collapsed="false">
      <c r="B39829" s="0" t="s">
        <v>1741</v>
      </c>
      <c r="C39829" s="0" t="s">
        <v>14489</v>
      </c>
      <c r="E39829" s="0" t="s">
        <v>4209</v>
      </c>
      <c r="F39829" s="0" t="s">
        <v>14490</v>
      </c>
    </row>
    <row r="39830" customFormat="false" ht="12.8" hidden="false" customHeight="false" outlineLevel="0" collapsed="false">
      <c r="B39830" s="0" t="s">
        <v>52</v>
      </c>
      <c r="C39830" s="0" t="s">
        <v>14491</v>
      </c>
      <c r="E39830" s="0" t="s">
        <v>53</v>
      </c>
      <c r="F39830" s="0" t="s">
        <v>14492</v>
      </c>
    </row>
    <row r="39832" customFormat="false" ht="12.8" hidden="false" customHeight="false" outlineLevel="0" collapsed="false">
      <c r="A39832" s="0" t="s">
        <v>14705</v>
      </c>
      <c r="B39832" s="0" t="str">
        <f aca="false">HYPERLINK("https://lindat.mff.cuni.cz/services/teitok/pdtc10/index.php?action=vallex&amp;frame=v-w5268f2", "příslušet (v-w5268f2)")</f>
        <v>příslušet (v-w5268f2)</v>
      </c>
    </row>
    <row r="39833" customFormat="false" ht="12.8" hidden="false" customHeight="false" outlineLevel="0" collapsed="false">
      <c r="B39833" s="0" t="s">
        <v>1</v>
      </c>
    </row>
    <row r="39834" customFormat="false" ht="12.8" hidden="false" customHeight="false" outlineLevel="0" collapsed="false">
      <c r="B39834" s="0" t="s">
        <v>350</v>
      </c>
    </row>
    <row r="39836" customFormat="false" ht="12.8" hidden="false" customHeight="false" outlineLevel="0" collapsed="false">
      <c r="A39836" s="0" t="s">
        <v>14706</v>
      </c>
      <c r="B39836" s="0" t="str">
        <f aca="false">HYPERLINK("https://lindat.mff.cuni.cz/services/teitok/pdtc10/index.php?action=vallex&amp;frame=v-w5268f4", "příslušet (v-w5268f4)")</f>
        <v>příslušet (v-w5268f4)</v>
      </c>
    </row>
    <row r="39837" customFormat="false" ht="12.8" hidden="false" customHeight="false" outlineLevel="0" collapsed="false">
      <c r="B39837" s="0" t="s">
        <v>804</v>
      </c>
    </row>
    <row r="39838" customFormat="false" ht="12.8" hidden="false" customHeight="false" outlineLevel="0" collapsed="false">
      <c r="B39838" s="0" t="s">
        <v>3556</v>
      </c>
    </row>
    <row r="39840" customFormat="false" ht="12.8" hidden="false" customHeight="false" outlineLevel="0" collapsed="false">
      <c r="A39840" s="0" t="s">
        <v>14707</v>
      </c>
      <c r="B39840" s="0" t="str">
        <f aca="false">HYPERLINK("https://lindat.mff.cuni.cz/services/teitok/pdtc10/index.php?action=vallex&amp;frame=v-w5268f1", "příslušet (v-w5268f1)")</f>
        <v>příslušet (v-w5268f1)</v>
      </c>
    </row>
    <row r="39841" customFormat="false" ht="12.8" hidden="false" customHeight="false" outlineLevel="0" collapsed="false">
      <c r="B39841" s="0" t="s">
        <v>1</v>
      </c>
    </row>
    <row r="39842" customFormat="false" ht="12.8" hidden="false" customHeight="false" outlineLevel="0" collapsed="false">
      <c r="B39842" s="0" t="s">
        <v>164</v>
      </c>
    </row>
    <row r="39844" customFormat="false" ht="12.8" hidden="false" customHeight="false" outlineLevel="0" collapsed="false">
      <c r="A39844" s="0" t="s">
        <v>14708</v>
      </c>
      <c r="B39844" s="0" t="str">
        <f aca="false">HYPERLINK("https://lindat.mff.cuni.cz/services/teitok/pdtc10/index.php?action=vallex&amp;frame=v-w5268f3", "příslušet (v-w5268f3)")</f>
        <v>příslušet (v-w5268f3)</v>
      </c>
    </row>
    <row r="39845" customFormat="false" ht="12.8" hidden="false" customHeight="false" outlineLevel="0" collapsed="false">
      <c r="B39845" s="0" t="s">
        <v>804</v>
      </c>
    </row>
    <row r="39846" customFormat="false" ht="12.8" hidden="false" customHeight="false" outlineLevel="0" collapsed="false">
      <c r="B39846" s="0" t="s">
        <v>8239</v>
      </c>
    </row>
    <row r="39848" customFormat="false" ht="12.8" hidden="false" customHeight="false" outlineLevel="0" collapsed="false">
      <c r="A39848" s="0" t="s">
        <v>14709</v>
      </c>
      <c r="B39848" s="0" t="str">
        <f aca="false">HYPERLINK("https://lindat.mff.cuni.cz/services/teitok/pdtc10/index.php?action=vallex&amp;frame=v-w5269f1", "příslušet se (v-w5269f1)")</f>
        <v>příslušet se (v-w5269f1)</v>
      </c>
    </row>
    <row r="39849" customFormat="false" ht="12.8" hidden="false" customHeight="false" outlineLevel="0" collapsed="false">
      <c r="B39849" s="0" t="s">
        <v>6527</v>
      </c>
    </row>
    <row r="39851" customFormat="false" ht="12.8" hidden="false" customHeight="false" outlineLevel="0" collapsed="false">
      <c r="A39851" s="0" t="s">
        <v>14710</v>
      </c>
      <c r="B39851" s="0" t="str">
        <f aca="false">HYPERLINK("https://lindat.mff.cuni.cz/services/teitok/pdtc10/index.php?action=vallex&amp;frame=v-w5282f2", "příst (v-w5282f2)")</f>
        <v>příst (v-w5282f2)</v>
      </c>
    </row>
    <row r="39852" customFormat="false" ht="12.8" hidden="false" customHeight="false" outlineLevel="0" collapsed="false">
      <c r="B39852" s="0" t="s">
        <v>1</v>
      </c>
    </row>
    <row r="39853" customFormat="false" ht="12.8" hidden="false" customHeight="false" outlineLevel="0" collapsed="false">
      <c r="B39853" s="0" t="s">
        <v>8</v>
      </c>
    </row>
    <row r="39855" customFormat="false" ht="12.8" hidden="false" customHeight="false" outlineLevel="0" collapsed="false">
      <c r="A39855" s="0" t="s">
        <v>14711</v>
      </c>
      <c r="B39855" s="0" t="str">
        <f aca="false">HYPERLINK("https://lindat.mff.cuni.cz/services/teitok/pdtc10/index.php?action=vallex&amp;frame=v-w5282f1", "příst (v-w5282f1)")</f>
        <v>příst (v-w5282f1)</v>
      </c>
    </row>
    <row r="39856" customFormat="false" ht="12.8" hidden="false" customHeight="false" outlineLevel="0" collapsed="false">
      <c r="B39856" s="0" t="s">
        <v>1</v>
      </c>
    </row>
    <row r="39858" customFormat="false" ht="12.8" hidden="false" customHeight="false" outlineLevel="0" collapsed="false">
      <c r="A39858" s="0" t="s">
        <v>14712</v>
      </c>
      <c r="B39858" s="0" t="str">
        <f aca="false">HYPERLINK("https://lindat.mff.cuni.cz/services/teitok/pdtc10/index.php?action=vallex&amp;frame=v-w5318hsa_504", "přít se (v-w5318hsa_504)")</f>
        <v>přít se (v-w5318hsa_504)</v>
      </c>
      <c r="E39858" s="0" t="str">
        <f aca="false">HYPERLINK("https://lindat.mff.cuni.cz/services/SynSemClass40/SynSemClass40.html?veclass=vec00121#vec00121-ces-cm00008", "vec00121")</f>
        <v>vec00121</v>
      </c>
      <c r="F39858" s="0" t="s">
        <v>414</v>
      </c>
    </row>
    <row r="39859" customFormat="false" ht="12.8" hidden="false" customHeight="false" outlineLevel="0" collapsed="false">
      <c r="B39859" s="0" t="s">
        <v>1</v>
      </c>
      <c r="C39859" s="0" t="s">
        <v>415</v>
      </c>
      <c r="E39859" s="0" t="s">
        <v>416</v>
      </c>
      <c r="F39859" s="0" t="s">
        <v>417</v>
      </c>
    </row>
    <row r="39860" customFormat="false" ht="12.8" hidden="false" customHeight="false" outlineLevel="0" collapsed="false">
      <c r="B39860" s="0" t="s">
        <v>276</v>
      </c>
      <c r="C39860" s="0" t="s">
        <v>419</v>
      </c>
      <c r="E39860" s="0" t="s">
        <v>420</v>
      </c>
      <c r="F39860" s="0" t="s">
        <v>421</v>
      </c>
    </row>
    <row r="39861" customFormat="false" ht="12.8" hidden="false" customHeight="false" outlineLevel="0" collapsed="false">
      <c r="B39861" s="0" t="s">
        <v>14713</v>
      </c>
      <c r="C39861" s="0" t="s">
        <v>423</v>
      </c>
      <c r="E39861" s="0" t="s">
        <v>424</v>
      </c>
      <c r="F39861" s="0" t="s">
        <v>425</v>
      </c>
    </row>
    <row r="39863" customFormat="false" ht="12.8" hidden="false" customHeight="false" outlineLevel="0" collapsed="false">
      <c r="A39863" s="0" t="s">
        <v>14712</v>
      </c>
      <c r="B39863" s="0" t="str">
        <f aca="false">HYPERLINK("https://lindat.mff.cuni.cz/services/teitok/pdtc10/index.php?action=vallex&amp;frame=v-w5318f1", "přít se (v-w5318f1) - substituted with v-w5318hsa_504")</f>
        <v>přít se (v-w5318f1) - substituted with v-w5318hsa_504</v>
      </c>
    </row>
    <row r="39864" customFormat="false" ht="12.8" hidden="false" customHeight="false" outlineLevel="0" collapsed="false">
      <c r="B39864" s="0" t="s">
        <v>1</v>
      </c>
    </row>
    <row r="39865" customFormat="false" ht="12.8" hidden="false" customHeight="false" outlineLevel="0" collapsed="false">
      <c r="B39865" s="0" t="s">
        <v>276</v>
      </c>
    </row>
    <row r="39866" customFormat="false" ht="12.8" hidden="false" customHeight="false" outlineLevel="0" collapsed="false">
      <c r="B39866" s="0" t="s">
        <v>14713</v>
      </c>
    </row>
    <row r="39868" customFormat="false" ht="12.8" hidden="false" customHeight="false" outlineLevel="0" collapsed="false">
      <c r="A39868" s="0" t="s">
        <v>14714</v>
      </c>
      <c r="B39868" s="0" t="str">
        <f aca="false">HYPERLINK("https://lindat.mff.cuni.cz/services/teitok/pdtc10/index.php?action=vallex&amp;frame=v-w11238f1", "příčit se (v-w11238f1)")</f>
        <v>příčit se (v-w11238f1)</v>
      </c>
    </row>
    <row r="39869" customFormat="false" ht="12.8" hidden="false" customHeight="false" outlineLevel="0" collapsed="false">
      <c r="B39869" s="0" t="s">
        <v>1</v>
      </c>
    </row>
    <row r="39870" customFormat="false" ht="12.8" hidden="false" customHeight="false" outlineLevel="0" collapsed="false">
      <c r="B39870" s="0" t="s">
        <v>186</v>
      </c>
    </row>
    <row r="39872" customFormat="false" ht="12.8" hidden="false" customHeight="false" outlineLevel="0" collapsed="false">
      <c r="A39872" s="0" t="s">
        <v>14715</v>
      </c>
      <c r="B39872" s="0" t="str">
        <f aca="false">HYPERLINK("https://lindat.mff.cuni.cz/services/teitok/pdtc10/index.php?action=vallex&amp;frame=v-w5376f1", "půjčit (v-w5376f1)")</f>
        <v>půjčit (v-w5376f1)</v>
      </c>
      <c r="E39872" s="0" t="str">
        <f aca="false">HYPERLINK("https://lindat.mff.cuni.cz/services/SynSemClass40/SynSemClass40.html?veclass=vec00074#vec00074-ces-cm00154", "vec00074")</f>
        <v>vec00074</v>
      </c>
      <c r="F39872" s="0" t="s">
        <v>1782</v>
      </c>
      <c r="H39872" s="0" t="str">
        <f aca="false">HYPERLINK("https://lindat.mff.cuni.cz/services/SynSemClass40/SynSemClass40.html?veclass=vec01535#vec01535-ces-cm00144", "vec01535")</f>
        <v>vec01535</v>
      </c>
      <c r="I39872" s="0" t="s">
        <v>11488</v>
      </c>
    </row>
    <row r="39873" customFormat="false" ht="12.8" hidden="false" customHeight="false" outlineLevel="0" collapsed="false">
      <c r="B39873" s="0" t="s">
        <v>1</v>
      </c>
      <c r="C39873" s="0" t="s">
        <v>14716</v>
      </c>
      <c r="E39873" s="0" t="s">
        <v>1784</v>
      </c>
      <c r="F39873" s="0" t="s">
        <v>1785</v>
      </c>
      <c r="H39873" s="0" t="s">
        <v>11490</v>
      </c>
      <c r="I39873" s="0" t="s">
        <v>11491</v>
      </c>
    </row>
    <row r="39874" customFormat="false" ht="12.8" hidden="false" customHeight="false" outlineLevel="0" collapsed="false">
      <c r="B39874" s="0" t="s">
        <v>8</v>
      </c>
      <c r="C39874" s="0" t="s">
        <v>14717</v>
      </c>
      <c r="E39874" s="0" t="s">
        <v>1787</v>
      </c>
      <c r="F39874" s="0" t="s">
        <v>1788</v>
      </c>
      <c r="H39874" s="0" t="s">
        <v>4565</v>
      </c>
      <c r="I39874" s="0" t="s">
        <v>11493</v>
      </c>
    </row>
    <row r="39875" customFormat="false" ht="12.8" hidden="false" customHeight="false" outlineLevel="0" collapsed="false">
      <c r="B39875" s="0" t="s">
        <v>52</v>
      </c>
      <c r="C39875" s="0" t="s">
        <v>14718</v>
      </c>
      <c r="E39875" s="0" t="s">
        <v>53</v>
      </c>
      <c r="F39875" s="0" t="s">
        <v>1790</v>
      </c>
      <c r="H39875" s="0" t="s">
        <v>11495</v>
      </c>
      <c r="I39875" s="0" t="s">
        <v>11496</v>
      </c>
    </row>
    <row r="39877" customFormat="false" ht="12.8" hidden="false" customHeight="false" outlineLevel="0" collapsed="false">
      <c r="A39877" s="0" t="s">
        <v>14719</v>
      </c>
      <c r="B39877" s="0" t="str">
        <f aca="false">HYPERLINK("https://lindat.mff.cuni.cz/services/teitok/pdtc10/index.php?action=vallex&amp;frame=v-w5377f1", "půjčit si (v-w5377f1)")</f>
        <v>půjčit si (v-w5377f1)</v>
      </c>
      <c r="E39877" s="0" t="str">
        <f aca="false">HYPERLINK("https://lindat.mff.cuni.cz/services/SynSemClass40/SynSemClass40.html?veclass=vec00505#vec00505-ces-cm00001", "vec00505")</f>
        <v>vec00505</v>
      </c>
      <c r="F39877" s="0" t="s">
        <v>14720</v>
      </c>
    </row>
    <row r="39878" customFormat="false" ht="12.8" hidden="false" customHeight="false" outlineLevel="0" collapsed="false">
      <c r="B39878" s="0" t="s">
        <v>1</v>
      </c>
      <c r="C39878" s="0" t="s">
        <v>4134</v>
      </c>
      <c r="E39878" s="0" t="s">
        <v>7912</v>
      </c>
      <c r="F39878" s="0" t="s">
        <v>14721</v>
      </c>
    </row>
    <row r="39879" customFormat="false" ht="12.8" hidden="false" customHeight="false" outlineLevel="0" collapsed="false">
      <c r="B39879" s="0" t="s">
        <v>8</v>
      </c>
      <c r="C39879" s="0" t="s">
        <v>5583</v>
      </c>
      <c r="E39879" s="0" t="s">
        <v>7915</v>
      </c>
      <c r="F39879" s="0" t="s">
        <v>14722</v>
      </c>
    </row>
    <row r="39880" customFormat="false" ht="12.8" hidden="false" customHeight="false" outlineLevel="0" collapsed="false">
      <c r="B39880" s="0" t="s">
        <v>1633</v>
      </c>
      <c r="C39880" s="0" t="s">
        <v>14723</v>
      </c>
      <c r="E39880" s="0" t="s">
        <v>14724</v>
      </c>
      <c r="F39880" s="0" t="s">
        <v>14725</v>
      </c>
    </row>
    <row r="39882" customFormat="false" ht="12.8" hidden="false" customHeight="false" outlineLevel="0" collapsed="false">
      <c r="A39882" s="0" t="s">
        <v>14726</v>
      </c>
      <c r="B39882" s="0" t="str">
        <f aca="false">HYPERLINK("https://lindat.mff.cuni.cz/services/teitok/pdtc10/index.php?action=vallex&amp;frame=v-w5380f1", "půjčovat (v-w5380f1)")</f>
        <v>půjčovat (v-w5380f1)</v>
      </c>
      <c r="E39882" s="0" t="str">
        <f aca="false">HYPERLINK("https://lindat.mff.cuni.cz/services/SynSemClass40/SynSemClass40.html?veclass=vec00074#vec00074-ces-cm00155", "vec00074")</f>
        <v>vec00074</v>
      </c>
      <c r="F39882" s="0" t="s">
        <v>1782</v>
      </c>
      <c r="H39882" s="0" t="str">
        <f aca="false">HYPERLINK("https://lindat.mff.cuni.cz/services/SynSemClass40/SynSemClass40.html?veclass=vec01535#vec01535-ces-cm00146", "vec01535")</f>
        <v>vec01535</v>
      </c>
      <c r="I39882" s="0" t="s">
        <v>11488</v>
      </c>
    </row>
    <row r="39883" customFormat="false" ht="12.8" hidden="false" customHeight="false" outlineLevel="0" collapsed="false">
      <c r="B39883" s="0" t="s">
        <v>1</v>
      </c>
      <c r="C39883" s="0" t="s">
        <v>14716</v>
      </c>
      <c r="E39883" s="0" t="s">
        <v>1784</v>
      </c>
      <c r="F39883" s="0" t="s">
        <v>1785</v>
      </c>
      <c r="H39883" s="0" t="s">
        <v>11490</v>
      </c>
      <c r="I39883" s="0" t="s">
        <v>11491</v>
      </c>
    </row>
    <row r="39884" customFormat="false" ht="12.8" hidden="false" customHeight="false" outlineLevel="0" collapsed="false">
      <c r="B39884" s="0" t="s">
        <v>8</v>
      </c>
      <c r="C39884" s="0" t="s">
        <v>14717</v>
      </c>
      <c r="E39884" s="0" t="s">
        <v>1787</v>
      </c>
      <c r="F39884" s="0" t="s">
        <v>1788</v>
      </c>
      <c r="H39884" s="0" t="s">
        <v>4565</v>
      </c>
      <c r="I39884" s="0" t="s">
        <v>11493</v>
      </c>
    </row>
    <row r="39885" customFormat="false" ht="12.8" hidden="false" customHeight="false" outlineLevel="0" collapsed="false">
      <c r="B39885" s="0" t="s">
        <v>52</v>
      </c>
      <c r="C39885" s="0" t="s">
        <v>14718</v>
      </c>
      <c r="E39885" s="0" t="s">
        <v>53</v>
      </c>
      <c r="F39885" s="0" t="s">
        <v>1790</v>
      </c>
      <c r="H39885" s="0" t="s">
        <v>11495</v>
      </c>
      <c r="I39885" s="0" t="s">
        <v>11496</v>
      </c>
    </row>
    <row r="39887" customFormat="false" ht="12.8" hidden="false" customHeight="false" outlineLevel="0" collapsed="false">
      <c r="A39887" s="0" t="s">
        <v>14727</v>
      </c>
      <c r="B39887" s="0" t="str">
        <f aca="false">HYPERLINK("https://lindat.mff.cuni.cz/services/teitok/pdtc10/index.php?action=vallex&amp;frame=v-w5381f1", "půjčovat si (v-w5381f1)")</f>
        <v>půjčovat si (v-w5381f1)</v>
      </c>
      <c r="E39887" s="0" t="str">
        <f aca="false">HYPERLINK("https://lindat.mff.cuni.cz/services/SynSemClass40/SynSemClass40.html?veclass=vec00505#vec00505-ces-cm00004", "vec00505")</f>
        <v>vec00505</v>
      </c>
      <c r="F39887" s="0" t="s">
        <v>14720</v>
      </c>
    </row>
    <row r="39888" customFormat="false" ht="12.8" hidden="false" customHeight="false" outlineLevel="0" collapsed="false">
      <c r="B39888" s="0" t="s">
        <v>1</v>
      </c>
      <c r="C39888" s="0" t="s">
        <v>4134</v>
      </c>
      <c r="E39888" s="0" t="s">
        <v>7912</v>
      </c>
      <c r="F39888" s="0" t="s">
        <v>14721</v>
      </c>
    </row>
    <row r="39889" customFormat="false" ht="12.8" hidden="false" customHeight="false" outlineLevel="0" collapsed="false">
      <c r="B39889" s="0" t="s">
        <v>8</v>
      </c>
      <c r="C39889" s="0" t="s">
        <v>5583</v>
      </c>
      <c r="E39889" s="0" t="s">
        <v>7915</v>
      </c>
      <c r="F39889" s="0" t="s">
        <v>14722</v>
      </c>
    </row>
    <row r="39890" customFormat="false" ht="12.8" hidden="false" customHeight="false" outlineLevel="0" collapsed="false">
      <c r="B39890" s="0" t="s">
        <v>1633</v>
      </c>
      <c r="C39890" s="0" t="s">
        <v>14723</v>
      </c>
      <c r="E39890" s="0" t="s">
        <v>14724</v>
      </c>
      <c r="F39890" s="0" t="s">
        <v>14725</v>
      </c>
    </row>
    <row r="39892" customFormat="false" ht="12.8" hidden="false" customHeight="false" outlineLevel="0" collapsed="false">
      <c r="A39892" s="0" t="s">
        <v>14728</v>
      </c>
      <c r="B39892" s="0" t="str">
        <f aca="false">HYPERLINK("https://lindat.mff.cuni.cz/services/teitok/pdtc10/index.php?action=vallex&amp;frame=v-w5388f14_ZU", "působit (v-w5388f14_ZU)")</f>
        <v>působit (v-w5388f14_ZU)</v>
      </c>
    </row>
    <row r="39893" customFormat="false" ht="12.8" hidden="false" customHeight="false" outlineLevel="0" collapsed="false">
      <c r="B39893" s="0" t="s">
        <v>345</v>
      </c>
    </row>
    <row r="39894" customFormat="false" ht="12.8" hidden="false" customHeight="false" outlineLevel="0" collapsed="false">
      <c r="B39894" s="0" t="s">
        <v>8</v>
      </c>
    </row>
    <row r="39895" customFormat="false" ht="12.8" hidden="false" customHeight="false" outlineLevel="0" collapsed="false">
      <c r="B39895" s="0" t="s">
        <v>52</v>
      </c>
    </row>
    <row r="39897" customFormat="false" ht="12.8" hidden="false" customHeight="false" outlineLevel="0" collapsed="false">
      <c r="A39897" s="0" t="s">
        <v>14728</v>
      </c>
      <c r="B39897" s="0" t="str">
        <f aca="false">HYPERLINK("https://lindat.mff.cuni.cz/services/teitok/pdtc10/index.php?action=vallex&amp;frame=v-w5388f4", "působit (v-w5388f4) - substituted with v-w5388f14_ZU")</f>
        <v>působit (v-w5388f4) - substituted with v-w5388f14_ZU</v>
      </c>
      <c r="E39897" s="0" t="str">
        <f aca="false">HYPERLINK("https://lindat.mff.cuni.cz/services/SynSemClass40/SynSemClass40.html?veclass=vec00196#vec00196-ces-cm00125", "vec00196")</f>
        <v>vec00196</v>
      </c>
      <c r="F39897" s="0" t="s">
        <v>749</v>
      </c>
    </row>
    <row r="39898" customFormat="false" ht="12.8" hidden="false" customHeight="false" outlineLevel="0" collapsed="false">
      <c r="B39898" s="0" t="s">
        <v>345</v>
      </c>
      <c r="C39898" s="0" t="s">
        <v>750</v>
      </c>
      <c r="E39898" s="0" t="s">
        <v>76</v>
      </c>
      <c r="F39898" s="0" t="s">
        <v>751</v>
      </c>
    </row>
    <row r="39899" customFormat="false" ht="12.8" hidden="false" customHeight="false" outlineLevel="0" collapsed="false">
      <c r="B39899" s="0" t="s">
        <v>8</v>
      </c>
      <c r="C39899" s="0" t="s">
        <v>6686</v>
      </c>
      <c r="E39899" s="0" t="s">
        <v>6358</v>
      </c>
      <c r="F39899" s="0" t="s">
        <v>6645</v>
      </c>
    </row>
    <row r="39900" customFormat="false" ht="12.8" hidden="false" customHeight="false" outlineLevel="0" collapsed="false">
      <c r="B39900" s="0" t="s">
        <v>52</v>
      </c>
      <c r="C39900" s="0" t="s">
        <v>7175</v>
      </c>
      <c r="E39900" s="0" t="s">
        <v>2287</v>
      </c>
      <c r="F39900" s="0" t="s">
        <v>7176</v>
      </c>
    </row>
    <row r="39902" customFormat="false" ht="12.8" hidden="false" customHeight="false" outlineLevel="0" collapsed="false">
      <c r="A39902" s="0" t="s">
        <v>14729</v>
      </c>
      <c r="B39902" s="0" t="str">
        <f aca="false">HYPERLINK("https://lindat.mff.cuni.cz/services/teitok/pdtc10/index.php?action=vallex&amp;frame=v-w5388f5", "působit (v-w5388f5)")</f>
        <v>působit (v-w5388f5)</v>
      </c>
      <c r="E39902" s="0" t="str">
        <f aca="false">HYPERLINK("https://lindat.mff.cuni.cz/services/SynSemClass40/SynSemClass40.html?veclass=vec00174#vec00174-ces-cm00094", "vec00174")</f>
        <v>vec00174</v>
      </c>
      <c r="F39902" s="0" t="s">
        <v>325</v>
      </c>
    </row>
    <row r="39903" customFormat="false" ht="12.8" hidden="false" customHeight="false" outlineLevel="0" collapsed="false">
      <c r="B39903" s="0" t="s">
        <v>1</v>
      </c>
      <c r="C39903" s="0" t="s">
        <v>326</v>
      </c>
      <c r="E39903" s="0" t="s">
        <v>76</v>
      </c>
      <c r="F39903" s="0" t="s">
        <v>327</v>
      </c>
    </row>
    <row r="39904" customFormat="false" ht="12.8" hidden="false" customHeight="false" outlineLevel="0" collapsed="false">
      <c r="B39904" s="0" t="s">
        <v>14730</v>
      </c>
      <c r="C39904" s="0" t="s">
        <v>328</v>
      </c>
      <c r="E39904" s="0" t="s">
        <v>188</v>
      </c>
      <c r="F39904" s="0" t="s">
        <v>329</v>
      </c>
    </row>
    <row r="39906" customFormat="false" ht="12.8" hidden="false" customHeight="false" outlineLevel="0" collapsed="false">
      <c r="A39906" s="0" t="s">
        <v>14731</v>
      </c>
      <c r="B39906" s="0" t="str">
        <f aca="false">HYPERLINK("https://lindat.mff.cuni.cz/services/teitok/pdtc10/index.php?action=vallex&amp;frame=v-w5388f11_ZU", "působit (v-w5388f11_ZU)")</f>
        <v>působit (v-w5388f11_ZU)</v>
      </c>
    </row>
    <row r="39907" customFormat="false" ht="12.8" hidden="false" customHeight="false" outlineLevel="0" collapsed="false">
      <c r="B39907" s="0" t="s">
        <v>1181</v>
      </c>
    </row>
    <row r="39908" customFormat="false" ht="12.8" hidden="false" customHeight="false" outlineLevel="0" collapsed="false">
      <c r="B39908" s="0" t="s">
        <v>45</v>
      </c>
    </row>
    <row r="39910" customFormat="false" ht="12.8" hidden="false" customHeight="false" outlineLevel="0" collapsed="false">
      <c r="A39910" s="0" t="s">
        <v>14731</v>
      </c>
      <c r="B39910" s="0" t="str">
        <f aca="false">HYPERLINK("https://lindat.mff.cuni.cz/services/teitok/pdtc10/index.php?action=vallex&amp;frame=v-w5388f3", "působit (v-w5388f3) - substituted with v-w5388f11_ZU")</f>
        <v>působit (v-w5388f3) - substituted with v-w5388f11_ZU</v>
      </c>
    </row>
    <row r="39911" customFormat="false" ht="12.8" hidden="false" customHeight="false" outlineLevel="0" collapsed="false">
      <c r="B39911" s="0" t="s">
        <v>1181</v>
      </c>
    </row>
    <row r="39912" customFormat="false" ht="12.8" hidden="false" customHeight="false" outlineLevel="0" collapsed="false">
      <c r="B39912" s="0" t="s">
        <v>45</v>
      </c>
    </row>
    <row r="39914" customFormat="false" ht="12.8" hidden="false" customHeight="false" outlineLevel="0" collapsed="false">
      <c r="A39914" s="0" t="s">
        <v>14731</v>
      </c>
      <c r="B39914" s="0" t="str">
        <f aca="false">HYPERLINK("https://lindat.mff.cuni.cz/services/teitok/pdtc10/index.php?action=vallex&amp;frame=v-w5388f6_ZU", "působit (v-w5388f6_ZU) - substituted with v-w5388f11_ZU")</f>
        <v>působit (v-w5388f6_ZU) - substituted with v-w5388f11_ZU</v>
      </c>
    </row>
    <row r="39915" customFormat="false" ht="12.8" hidden="false" customHeight="false" outlineLevel="0" collapsed="false">
      <c r="B39915" s="0" t="s">
        <v>1181</v>
      </c>
    </row>
    <row r="39916" customFormat="false" ht="12.8" hidden="false" customHeight="false" outlineLevel="0" collapsed="false">
      <c r="B39916" s="0" t="s">
        <v>45</v>
      </c>
    </row>
    <row r="39918" customFormat="false" ht="12.8" hidden="false" customHeight="false" outlineLevel="0" collapsed="false">
      <c r="A39918" s="0" t="s">
        <v>14731</v>
      </c>
      <c r="B39918" s="0" t="str">
        <f aca="false">HYPERLINK("https://lindat.mff.cuni.cz/services/teitok/pdtc10/index.php?action=vallex&amp;frame=v-w5388f7_ZU", "působit (v-w5388f7_ZU) - substituted with v-w5388f11_ZU")</f>
        <v>působit (v-w5388f7_ZU) - substituted with v-w5388f11_ZU</v>
      </c>
    </row>
    <row r="39919" customFormat="false" ht="12.8" hidden="false" customHeight="false" outlineLevel="0" collapsed="false">
      <c r="B39919" s="0" t="s">
        <v>1181</v>
      </c>
    </row>
    <row r="39920" customFormat="false" ht="12.8" hidden="false" customHeight="false" outlineLevel="0" collapsed="false">
      <c r="B39920" s="0" t="s">
        <v>45</v>
      </c>
    </row>
    <row r="39922" customFormat="false" ht="12.8" hidden="false" customHeight="false" outlineLevel="0" collapsed="false">
      <c r="A39922" s="0" t="s">
        <v>14732</v>
      </c>
      <c r="B39922" s="0" t="str">
        <f aca="false">HYPERLINK("https://lindat.mff.cuni.cz/services/teitok/pdtc10/index.php?action=vallex&amp;frame=v-w5388f1", "působit (v-w5388f1)")</f>
        <v>působit (v-w5388f1)</v>
      </c>
      <c r="E39922" s="0" t="str">
        <f aca="false">HYPERLINK("https://lindat.mff.cuni.cz/services/SynSemClass40/SynSemClass40.html?veclass=vec00054#vec00054-ces-cm00011", "vec00054")</f>
        <v>vec00054</v>
      </c>
      <c r="F39922" s="0" t="s">
        <v>6203</v>
      </c>
      <c r="H39922" s="0" t="str">
        <f aca="false">HYPERLINK("https://lindat.mff.cuni.cz/services/SynSemClass40/SynSemClass40.html?veclass=vec01493#vec01493-ces-cm00028", "vec01493")</f>
        <v>vec01493</v>
      </c>
      <c r="I39922" s="0" t="s">
        <v>4506</v>
      </c>
    </row>
    <row r="39923" customFormat="false" ht="12.8" hidden="false" customHeight="false" outlineLevel="0" collapsed="false">
      <c r="B39923" s="0" t="s">
        <v>1</v>
      </c>
      <c r="C39923" s="0" t="s">
        <v>14733</v>
      </c>
      <c r="E39923" s="0" t="s">
        <v>11</v>
      </c>
      <c r="F39923" s="0" t="s">
        <v>6205</v>
      </c>
      <c r="H39923" s="0" t="s">
        <v>31</v>
      </c>
      <c r="I39923" s="0" t="s">
        <v>4507</v>
      </c>
    </row>
    <row r="39924" customFormat="false" ht="12.8" hidden="false" customHeight="false" outlineLevel="0" collapsed="false">
      <c r="B39924" s="0" t="s">
        <v>5</v>
      </c>
      <c r="C39924" s="0" t="s">
        <v>6206</v>
      </c>
      <c r="E39924" s="0" t="s">
        <v>3254</v>
      </c>
      <c r="F39924" s="0" t="s">
        <v>6207</v>
      </c>
      <c r="H39924" s="0" t="s">
        <v>3254</v>
      </c>
      <c r="I39924" s="0" t="s">
        <v>3255</v>
      </c>
    </row>
    <row r="39925" customFormat="false" ht="12.8" hidden="false" customHeight="false" outlineLevel="0" collapsed="false">
      <c r="B39925" s="0" t="s">
        <v>3642</v>
      </c>
    </row>
    <row r="39927" customFormat="false" ht="12.8" hidden="false" customHeight="false" outlineLevel="0" collapsed="false">
      <c r="A39927" s="0" t="s">
        <v>14734</v>
      </c>
      <c r="B39927" s="0" t="str">
        <f aca="false">HYPERLINK("https://lindat.mff.cuni.cz/services/teitok/pdtc10/index.php?action=vallex&amp;frame=v-w5388f17_ZU", "působit (v-w5388f17_ZU)")</f>
        <v>působit (v-w5388f17_ZU)</v>
      </c>
    </row>
    <row r="39928" customFormat="false" ht="12.8" hidden="false" customHeight="false" outlineLevel="0" collapsed="false">
      <c r="B39928" s="0" t="s">
        <v>14735</v>
      </c>
    </row>
    <row r="39929" customFormat="false" ht="12.8" hidden="false" customHeight="false" outlineLevel="0" collapsed="false">
      <c r="B39929" s="0" t="s">
        <v>69</v>
      </c>
    </row>
    <row r="39930" customFormat="false" ht="12.8" hidden="false" customHeight="false" outlineLevel="0" collapsed="false">
      <c r="B39930" s="0" t="s">
        <v>4656</v>
      </c>
    </row>
    <row r="39931" customFormat="false" ht="12.8" hidden="false" customHeight="false" outlineLevel="0" collapsed="false">
      <c r="B39931" s="0" t="s">
        <v>14736</v>
      </c>
    </row>
    <row r="39933" customFormat="false" ht="12.8" hidden="false" customHeight="false" outlineLevel="0" collapsed="false">
      <c r="A39933" s="0" t="s">
        <v>14734</v>
      </c>
      <c r="B39933" s="0" t="str">
        <f aca="false">HYPERLINK("https://lindat.mff.cuni.cz/services/teitok/pdtc10/index.php?action=vallex&amp;frame=v-w5388f10_ZU", "působit (v-w5388f10_ZU) - substituted with v-w5388f17_ZU")</f>
        <v>působit (v-w5388f10_ZU) - substituted with v-w5388f17_ZU</v>
      </c>
    </row>
    <row r="39934" customFormat="false" ht="12.8" hidden="false" customHeight="false" outlineLevel="0" collapsed="false">
      <c r="B39934" s="0" t="s">
        <v>14735</v>
      </c>
    </row>
    <row r="39935" customFormat="false" ht="12.8" hidden="false" customHeight="false" outlineLevel="0" collapsed="false">
      <c r="B39935" s="0" t="s">
        <v>69</v>
      </c>
    </row>
    <row r="39936" customFormat="false" ht="12.8" hidden="false" customHeight="false" outlineLevel="0" collapsed="false">
      <c r="B39936" s="0" t="s">
        <v>4656</v>
      </c>
    </row>
    <row r="39937" customFormat="false" ht="12.8" hidden="false" customHeight="false" outlineLevel="0" collapsed="false">
      <c r="B39937" s="0" t="s">
        <v>14736</v>
      </c>
    </row>
    <row r="39939" customFormat="false" ht="12.8" hidden="false" customHeight="false" outlineLevel="0" collapsed="false">
      <c r="A39939" s="0" t="s">
        <v>14734</v>
      </c>
      <c r="B39939" s="0" t="str">
        <f aca="false">HYPERLINK("https://lindat.mff.cuni.cz/services/teitok/pdtc10/index.php?action=vallex&amp;frame=v-w5388f12_ZU", "působit (v-w5388f12_ZU) - substituted with v-w5388f17_ZU")</f>
        <v>působit (v-w5388f12_ZU) - substituted with v-w5388f17_ZU</v>
      </c>
      <c r="E39939" s="0" t="str">
        <f aca="false">HYPERLINK("https://lindat.mff.cuni.cz/services/SynSemClass40/SynSemClass40.html?veclass=vec00164#vec00164-ces-cm00151", "vec00164")</f>
        <v>vec00164</v>
      </c>
      <c r="F39939" s="0" t="s">
        <v>4941</v>
      </c>
    </row>
    <row r="39940" customFormat="false" ht="12.8" hidden="false" customHeight="false" outlineLevel="0" collapsed="false">
      <c r="B39940" s="0" t="s">
        <v>14735</v>
      </c>
      <c r="C39940" s="0" t="s">
        <v>4942</v>
      </c>
      <c r="E39940" s="0" t="s">
        <v>4943</v>
      </c>
      <c r="F39940" s="0" t="s">
        <v>4944</v>
      </c>
    </row>
    <row r="39941" customFormat="false" ht="12.8" hidden="false" customHeight="false" outlineLevel="0" collapsed="false">
      <c r="B39941" s="0" t="s">
        <v>69</v>
      </c>
    </row>
    <row r="39942" customFormat="false" ht="12.8" hidden="false" customHeight="false" outlineLevel="0" collapsed="false">
      <c r="B39942" s="0" t="s">
        <v>4656</v>
      </c>
      <c r="C39942" s="0" t="s">
        <v>4957</v>
      </c>
      <c r="E39942" s="0" t="s">
        <v>4958</v>
      </c>
      <c r="F39942" s="0" t="s">
        <v>4959</v>
      </c>
    </row>
    <row r="39943" customFormat="false" ht="12.8" hidden="false" customHeight="false" outlineLevel="0" collapsed="false">
      <c r="B39943" s="0" t="s">
        <v>14736</v>
      </c>
    </row>
    <row r="39945" customFormat="false" ht="12.8" hidden="false" customHeight="false" outlineLevel="0" collapsed="false">
      <c r="A39945" s="0" t="s">
        <v>14734</v>
      </c>
      <c r="B39945" s="0" t="str">
        <f aca="false">HYPERLINK("https://lindat.mff.cuni.cz/services/teitok/pdtc10/index.php?action=vallex&amp;frame=v-w5388f13_ZU", "působit (v-w5388f13_ZU) - substituted with v-w5388f17_ZU")</f>
        <v>působit (v-w5388f13_ZU) - substituted with v-w5388f17_ZU</v>
      </c>
    </row>
    <row r="39946" customFormat="false" ht="12.8" hidden="false" customHeight="false" outlineLevel="0" collapsed="false">
      <c r="B39946" s="0" t="s">
        <v>14735</v>
      </c>
    </row>
    <row r="39947" customFormat="false" ht="12.8" hidden="false" customHeight="false" outlineLevel="0" collapsed="false">
      <c r="B39947" s="0" t="s">
        <v>69</v>
      </c>
    </row>
    <row r="39948" customFormat="false" ht="12.8" hidden="false" customHeight="false" outlineLevel="0" collapsed="false">
      <c r="B39948" s="0" t="s">
        <v>4656</v>
      </c>
    </row>
    <row r="39949" customFormat="false" ht="12.8" hidden="false" customHeight="false" outlineLevel="0" collapsed="false">
      <c r="B39949" s="0" t="s">
        <v>14736</v>
      </c>
    </row>
    <row r="39951" customFormat="false" ht="12.8" hidden="false" customHeight="false" outlineLevel="0" collapsed="false">
      <c r="A39951" s="0" t="s">
        <v>14734</v>
      </c>
      <c r="B39951" s="0" t="str">
        <f aca="false">HYPERLINK("https://lindat.mff.cuni.cz/services/teitok/pdtc10/index.php?action=vallex&amp;frame=v-w5388f15_ZU", "působit (v-w5388f15_ZU) - substituted with v-w5388f17_ZU")</f>
        <v>působit (v-w5388f15_ZU) - substituted with v-w5388f17_ZU</v>
      </c>
    </row>
    <row r="39952" customFormat="false" ht="12.8" hidden="false" customHeight="false" outlineLevel="0" collapsed="false">
      <c r="B39952" s="0" t="s">
        <v>14735</v>
      </c>
    </row>
    <row r="39953" customFormat="false" ht="12.8" hidden="false" customHeight="false" outlineLevel="0" collapsed="false">
      <c r="B39953" s="0" t="s">
        <v>69</v>
      </c>
    </row>
    <row r="39954" customFormat="false" ht="12.8" hidden="false" customHeight="false" outlineLevel="0" collapsed="false">
      <c r="B39954" s="0" t="s">
        <v>4656</v>
      </c>
    </row>
    <row r="39955" customFormat="false" ht="12.8" hidden="false" customHeight="false" outlineLevel="0" collapsed="false">
      <c r="B39955" s="0" t="s">
        <v>14736</v>
      </c>
    </row>
    <row r="39957" customFormat="false" ht="12.8" hidden="false" customHeight="false" outlineLevel="0" collapsed="false">
      <c r="A39957" s="0" t="s">
        <v>14734</v>
      </c>
      <c r="B39957" s="0" t="str">
        <f aca="false">HYPERLINK("https://lindat.mff.cuni.cz/services/teitok/pdtc10/index.php?action=vallex&amp;frame=v-w5388f8_ZU", "působit (v-w5388f8_ZU) - substituted with v-w5388f17_ZU")</f>
        <v>působit (v-w5388f8_ZU) - substituted with v-w5388f17_ZU</v>
      </c>
    </row>
    <row r="39958" customFormat="false" ht="12.8" hidden="false" customHeight="false" outlineLevel="0" collapsed="false">
      <c r="B39958" s="0" t="s">
        <v>14735</v>
      </c>
    </row>
    <row r="39959" customFormat="false" ht="12.8" hidden="false" customHeight="false" outlineLevel="0" collapsed="false">
      <c r="B39959" s="0" t="s">
        <v>69</v>
      </c>
    </row>
    <row r="39960" customFormat="false" ht="12.8" hidden="false" customHeight="false" outlineLevel="0" collapsed="false">
      <c r="B39960" s="0" t="s">
        <v>4656</v>
      </c>
    </row>
    <row r="39961" customFormat="false" ht="12.8" hidden="false" customHeight="false" outlineLevel="0" collapsed="false">
      <c r="B39961" s="0" t="s">
        <v>14736</v>
      </c>
    </row>
    <row r="39963" customFormat="false" ht="12.8" hidden="false" customHeight="false" outlineLevel="0" collapsed="false">
      <c r="A39963" s="0" t="s">
        <v>14734</v>
      </c>
      <c r="B39963" s="0" t="str">
        <f aca="false">HYPERLINK("https://lindat.mff.cuni.cz/services/teitok/pdtc10/index.php?action=vallex&amp;frame=v-w5388f9_ZU", "působit (v-w5388f9_ZU) - substituted with v-w5388f17_ZU")</f>
        <v>působit (v-w5388f9_ZU) - substituted with v-w5388f17_ZU</v>
      </c>
    </row>
    <row r="39964" customFormat="false" ht="12.8" hidden="false" customHeight="false" outlineLevel="0" collapsed="false">
      <c r="B39964" s="0" t="s">
        <v>14735</v>
      </c>
    </row>
    <row r="39965" customFormat="false" ht="12.8" hidden="false" customHeight="false" outlineLevel="0" collapsed="false">
      <c r="B39965" s="0" t="s">
        <v>69</v>
      </c>
    </row>
    <row r="39966" customFormat="false" ht="12.8" hidden="false" customHeight="false" outlineLevel="0" collapsed="false">
      <c r="B39966" s="0" t="s">
        <v>4656</v>
      </c>
    </row>
    <row r="39967" customFormat="false" ht="12.8" hidden="false" customHeight="false" outlineLevel="0" collapsed="false">
      <c r="B39967" s="0" t="s">
        <v>14736</v>
      </c>
    </row>
    <row r="39969" customFormat="false" ht="12.8" hidden="false" customHeight="false" outlineLevel="0" collapsed="false">
      <c r="A39969" s="0" t="s">
        <v>14737</v>
      </c>
      <c r="B39969" s="0" t="str">
        <f aca="false">HYPERLINK("https://lindat.mff.cuni.cz/services/teitok/pdtc10/index.php?action=vallex&amp;frame=v-w5388f2", "působit (v-w5388f2)")</f>
        <v>působit (v-w5388f2)</v>
      </c>
      <c r="E39969" s="0" t="str">
        <f aca="false">HYPERLINK("https://lindat.mff.cuni.cz/services/SynSemClass40/SynSemClass40.html?veclass=vec00221#vec00221-ces-cm00025", "vec00221")</f>
        <v>vec00221</v>
      </c>
      <c r="F39969" s="0" t="s">
        <v>1051</v>
      </c>
    </row>
    <row r="39970" customFormat="false" ht="12.8" hidden="false" customHeight="false" outlineLevel="0" collapsed="false">
      <c r="B39970" s="0" t="s">
        <v>1</v>
      </c>
      <c r="C39970" s="0" t="s">
        <v>1052</v>
      </c>
      <c r="E39970" s="0" t="s">
        <v>1053</v>
      </c>
      <c r="F39970" s="0" t="s">
        <v>1054</v>
      </c>
    </row>
    <row r="39972" customFormat="false" ht="12.8" hidden="false" customHeight="false" outlineLevel="0" collapsed="false">
      <c r="A39972" s="0" t="s">
        <v>14738</v>
      </c>
      <c r="B39972" s="0" t="str">
        <f aca="false">HYPERLINK("https://lindat.mff.cuni.cz/services/teitok/pdtc10/index.php?action=vallex&amp;frame=v-w5388f16_ZU", "působit (v-w5388f16_ZU)")</f>
        <v>působit (v-w5388f16_ZU)</v>
      </c>
    </row>
    <row r="39973" customFormat="false" ht="12.8" hidden="false" customHeight="false" outlineLevel="0" collapsed="false">
      <c r="B39973" s="0" t="s">
        <v>1</v>
      </c>
    </row>
    <row r="39975" customFormat="false" ht="12.8" hidden="false" customHeight="false" outlineLevel="0" collapsed="false">
      <c r="A39975" s="0" t="s">
        <v>14739</v>
      </c>
      <c r="B39975" s="0" t="str">
        <f aca="false">HYPERLINK("https://lindat.mff.cuni.cz/services/teitok/pdtc10/index.php?action=vallex&amp;frame=v-w5388hsa_50", "působit (v-w5388hsa_50)")</f>
        <v>působit (v-w5388hsa_50)</v>
      </c>
    </row>
    <row r="39976" customFormat="false" ht="12.8" hidden="false" customHeight="false" outlineLevel="0" collapsed="false">
      <c r="B39976" s="0" t="s">
        <v>1</v>
      </c>
    </row>
    <row r="39977" customFormat="false" ht="12.8" hidden="false" customHeight="false" outlineLevel="0" collapsed="false">
      <c r="B39977" s="0" t="s">
        <v>59</v>
      </c>
    </row>
    <row r="39979" customFormat="false" ht="12.8" hidden="false" customHeight="false" outlineLevel="0" collapsed="false">
      <c r="A39979" s="0" t="s">
        <v>14740</v>
      </c>
      <c r="B39979" s="0" t="str">
        <f aca="false">HYPERLINK("https://lindat.mff.cuni.cz/services/teitok/pdtc10/index.php?action=vallex&amp;frame=v-whsa_1070hsa_1071", "rabovat (v-whsa_1070hsa_1071)")</f>
        <v>rabovat (v-whsa_1070hsa_1071)</v>
      </c>
      <c r="E39979" s="0" t="str">
        <f aca="false">HYPERLINK("https://lindat.mff.cuni.cz/services/SynSemClass40/SynSemClass40.html?veclass=vec01303#vec01303-ces-cm00003", "vec01303")</f>
        <v>vec01303</v>
      </c>
      <c r="F39979" s="0" t="s">
        <v>3188</v>
      </c>
    </row>
    <row r="39980" customFormat="false" ht="12.8" hidden="false" customHeight="false" outlineLevel="0" collapsed="false">
      <c r="B39980" s="0" t="s">
        <v>1</v>
      </c>
      <c r="E39980" s="0" t="s">
        <v>1573</v>
      </c>
      <c r="F39980" s="0" t="s">
        <v>3191</v>
      </c>
    </row>
    <row r="39981" customFormat="false" ht="12.8" hidden="false" customHeight="false" outlineLevel="0" collapsed="false">
      <c r="B39981" s="0" t="s">
        <v>8</v>
      </c>
      <c r="C39981" s="0" t="s">
        <v>462</v>
      </c>
      <c r="E39981" s="0" t="s">
        <v>594</v>
      </c>
      <c r="F39981" s="0" t="s">
        <v>3194</v>
      </c>
    </row>
    <row r="39983" customFormat="false" ht="12.8" hidden="false" customHeight="false" outlineLevel="0" collapsed="false">
      <c r="A39983" s="0" t="s">
        <v>14741</v>
      </c>
      <c r="B39983" s="0" t="str">
        <f aca="false">HYPERLINK("https://lindat.mff.cuni.cz/services/teitok/pdtc10/index.php?action=vallex&amp;frame=v-whsa_1068hsa_1069", "rabovat (v-whsa_1068hsa_1069)")</f>
        <v>rabovat (v-whsa_1068hsa_1069)</v>
      </c>
    </row>
    <row r="39984" customFormat="false" ht="12.8" hidden="false" customHeight="false" outlineLevel="0" collapsed="false">
      <c r="B39984" s="0" t="s">
        <v>1</v>
      </c>
    </row>
    <row r="39986" customFormat="false" ht="12.8" hidden="false" customHeight="false" outlineLevel="0" collapsed="false">
      <c r="A39986" s="0" t="s">
        <v>14742</v>
      </c>
      <c r="B39986" s="0" t="str">
        <f aca="false">HYPERLINK("https://lindat.mff.cuni.cz/services/teitok/pdtc10/index.php?action=vallex&amp;frame=v-whsb_1068hsa_1069", "rabovat (v-whsb_1068hsa_1069)")</f>
        <v>rabovat (v-whsb_1068hsa_1069)</v>
      </c>
    </row>
    <row r="39987" customFormat="false" ht="12.8" hidden="false" customHeight="false" outlineLevel="0" collapsed="false">
      <c r="B39987" s="0" t="s">
        <v>1</v>
      </c>
    </row>
    <row r="39988" customFormat="false" ht="12.8" hidden="false" customHeight="false" outlineLevel="0" collapsed="false">
      <c r="B39988" s="0" t="s">
        <v>8</v>
      </c>
    </row>
    <row r="39990" customFormat="false" ht="12.8" hidden="false" customHeight="false" outlineLevel="0" collapsed="false">
      <c r="A39990" s="0" t="s">
        <v>14743</v>
      </c>
      <c r="B39990" s="0" t="str">
        <f aca="false">HYPERLINK("https://lindat.mff.cuni.cz/services/teitok/pdtc10/index.php?action=vallex&amp;frame=v-whsa_1068hsa_1070", "rabovat (v-whsa_1068hsa_1070)")</f>
        <v>rabovat (v-whsa_1068hsa_1070)</v>
      </c>
    </row>
    <row r="39991" customFormat="false" ht="12.8" hidden="false" customHeight="false" outlineLevel="0" collapsed="false">
      <c r="B39991" s="0" t="s">
        <v>1</v>
      </c>
    </row>
    <row r="39992" customFormat="false" ht="12.8" hidden="false" customHeight="false" outlineLevel="0" collapsed="false">
      <c r="B39992" s="0" t="s">
        <v>8</v>
      </c>
    </row>
    <row r="39994" customFormat="false" ht="12.8" hidden="false" customHeight="false" outlineLevel="0" collapsed="false">
      <c r="A39994" s="0" t="s">
        <v>14744</v>
      </c>
      <c r="B39994" s="0" t="str">
        <f aca="false">HYPERLINK("https://lindat.mff.cuni.cz/services/teitok/pdtc10/index.php?action=vallex&amp;frame=v-whsa_1070f1_ZU", "rabovat (v-whsa_1070f1_ZU)")</f>
        <v>rabovat (v-whsa_1070f1_ZU)</v>
      </c>
    </row>
    <row r="39995" customFormat="false" ht="12.8" hidden="false" customHeight="false" outlineLevel="0" collapsed="false">
      <c r="B39995" s="0" t="s">
        <v>1</v>
      </c>
    </row>
    <row r="39996" customFormat="false" ht="12.8" hidden="false" customHeight="false" outlineLevel="0" collapsed="false">
      <c r="B39996" s="0" t="s">
        <v>8</v>
      </c>
    </row>
    <row r="39998" customFormat="false" ht="12.8" hidden="false" customHeight="false" outlineLevel="0" collapsed="false">
      <c r="A39998" s="0" t="s">
        <v>14745</v>
      </c>
      <c r="B39998" s="0" t="str">
        <f aca="false">HYPERLINK("https://lindat.mff.cuni.cz/services/teitok/pdtc10/index.php?action=vallex&amp;frame=v-w10989f2", "rachotit (v-w10989f2)")</f>
        <v>rachotit (v-w10989f2)</v>
      </c>
      <c r="E39998" s="0" t="str">
        <f aca="false">HYPERLINK("https://lindat.mff.cuni.cz/services/SynSemClass40/SynSemClass40.html?veclass=vec01487#vec01487-ces-cm00009", "vec01487")</f>
        <v>vec01487</v>
      </c>
      <c r="F39998" s="0" t="s">
        <v>470</v>
      </c>
    </row>
    <row r="39999" customFormat="false" ht="12.8" hidden="false" customHeight="false" outlineLevel="0" collapsed="false">
      <c r="B39999" s="0" t="s">
        <v>1</v>
      </c>
      <c r="C39999" s="0" t="s">
        <v>471</v>
      </c>
      <c r="E39999" s="0" t="s">
        <v>472</v>
      </c>
      <c r="F39999" s="0" t="s">
        <v>473</v>
      </c>
    </row>
    <row r="40001" customFormat="false" ht="12.8" hidden="false" customHeight="false" outlineLevel="0" collapsed="false">
      <c r="A40001" s="0" t="s">
        <v>14746</v>
      </c>
      <c r="B40001" s="0" t="str">
        <f aca="false">HYPERLINK("https://lindat.mff.cuni.cz/services/teitok/pdtc10/index.php?action=vallex&amp;frame=v-whsa_1239hsa_1240", "rachtat (v-whsa_1239hsa_1240)")</f>
        <v>rachtat (v-whsa_1239hsa_1240)</v>
      </c>
    </row>
    <row r="40002" customFormat="false" ht="12.8" hidden="false" customHeight="false" outlineLevel="0" collapsed="false">
      <c r="B40002" s="0" t="s">
        <v>1</v>
      </c>
    </row>
    <row r="40004" customFormat="false" ht="12.8" hidden="false" customHeight="false" outlineLevel="0" collapsed="false">
      <c r="A40004" s="0" t="s">
        <v>14747</v>
      </c>
      <c r="B40004" s="0" t="str">
        <f aca="false">HYPERLINK("https://lindat.mff.cuni.cz/services/teitok/pdtc10/index.php?action=vallex&amp;frame=v-w5400f1", "racionalizovat (v-w5400f1)")</f>
        <v>racionalizovat (v-w5400f1)</v>
      </c>
    </row>
    <row r="40005" customFormat="false" ht="12.8" hidden="false" customHeight="false" outlineLevel="0" collapsed="false">
      <c r="B40005" s="0" t="s">
        <v>1</v>
      </c>
    </row>
    <row r="40006" customFormat="false" ht="12.8" hidden="false" customHeight="false" outlineLevel="0" collapsed="false">
      <c r="B40006" s="0" t="s">
        <v>8</v>
      </c>
    </row>
    <row r="40008" customFormat="false" ht="12.8" hidden="false" customHeight="false" outlineLevel="0" collapsed="false">
      <c r="A40008" s="0" t="s">
        <v>14748</v>
      </c>
      <c r="B40008" s="0" t="str">
        <f aca="false">HYPERLINK("https://lindat.mff.cuni.cz/services/teitok/pdtc10/index.php?action=vallex&amp;frame=v-w5405f1", "radikalizovat (v-w5405f1)")</f>
        <v>radikalizovat (v-w5405f1)</v>
      </c>
    </row>
    <row r="40009" customFormat="false" ht="12.8" hidden="false" customHeight="false" outlineLevel="0" collapsed="false">
      <c r="B40009" s="0" t="s">
        <v>1</v>
      </c>
    </row>
    <row r="40010" customFormat="false" ht="12.8" hidden="false" customHeight="false" outlineLevel="0" collapsed="false">
      <c r="B40010" s="0" t="s">
        <v>8</v>
      </c>
    </row>
    <row r="40012" customFormat="false" ht="12.8" hidden="false" customHeight="false" outlineLevel="0" collapsed="false">
      <c r="A40012" s="0" t="s">
        <v>14749</v>
      </c>
      <c r="B40012" s="0" t="str">
        <f aca="false">HYPERLINK("https://lindat.mff.cuni.cz/services/teitok/pdtc10/index.php?action=vallex&amp;frame=v-w5406f3_ZU", "radit (v-w5406f3_ZU)")</f>
        <v>radit (v-w5406f3_ZU)</v>
      </c>
      <c r="E40012" s="0" t="str">
        <f aca="false">HYPERLINK("https://lindat.mff.cuni.cz/services/SynSemClass40/SynSemClass40.html?veclass=vec00215#vec00215-ces-cm00018", "vec00215")</f>
        <v>vec00215</v>
      </c>
      <c r="F40012" s="0" t="s">
        <v>2608</v>
      </c>
    </row>
    <row r="40013" customFormat="false" ht="12.8" hidden="false" customHeight="false" outlineLevel="0" collapsed="false">
      <c r="B40013" s="0" t="s">
        <v>1</v>
      </c>
      <c r="C40013" s="0" t="s">
        <v>2609</v>
      </c>
      <c r="E40013" s="0" t="s">
        <v>63</v>
      </c>
      <c r="F40013" s="0" t="s">
        <v>2610</v>
      </c>
    </row>
    <row r="40014" customFormat="false" ht="12.8" hidden="false" customHeight="false" outlineLevel="0" collapsed="false">
      <c r="B40014" s="0" t="s">
        <v>14750</v>
      </c>
      <c r="C40014" s="0" t="s">
        <v>2612</v>
      </c>
      <c r="E40014" s="0" t="s">
        <v>2613</v>
      </c>
      <c r="F40014" s="0" t="s">
        <v>2614</v>
      </c>
    </row>
    <row r="40015" customFormat="false" ht="12.8" hidden="false" customHeight="false" outlineLevel="0" collapsed="false">
      <c r="B40015" s="0" t="s">
        <v>52</v>
      </c>
      <c r="C40015" s="0" t="s">
        <v>2615</v>
      </c>
      <c r="E40015" s="0" t="s">
        <v>564</v>
      </c>
      <c r="F40015" s="0" t="s">
        <v>2616</v>
      </c>
    </row>
    <row r="40017" customFormat="false" ht="12.8" hidden="false" customHeight="false" outlineLevel="0" collapsed="false">
      <c r="A40017" s="0" t="s">
        <v>14749</v>
      </c>
      <c r="B40017" s="0" t="str">
        <f aca="false">HYPERLINK("https://lindat.mff.cuni.cz/services/teitok/pdtc10/index.php?action=vallex&amp;frame=v-w5406f1", "radit (v-w5406f1) - substituted with v-w5406f3_ZU")</f>
        <v>radit (v-w5406f1) - substituted with v-w5406f3_ZU</v>
      </c>
    </row>
    <row r="40018" customFormat="false" ht="12.8" hidden="false" customHeight="false" outlineLevel="0" collapsed="false">
      <c r="B40018" s="0" t="s">
        <v>1</v>
      </c>
    </row>
    <row r="40019" customFormat="false" ht="12.8" hidden="false" customHeight="false" outlineLevel="0" collapsed="false">
      <c r="B40019" s="0" t="s">
        <v>14750</v>
      </c>
    </row>
    <row r="40020" customFormat="false" ht="12.8" hidden="false" customHeight="false" outlineLevel="0" collapsed="false">
      <c r="B40020" s="0" t="s">
        <v>52</v>
      </c>
    </row>
    <row r="40022" customFormat="false" ht="12.8" hidden="false" customHeight="false" outlineLevel="0" collapsed="false">
      <c r="A40022" s="0" t="s">
        <v>14751</v>
      </c>
      <c r="B40022" s="0" t="str">
        <f aca="false">HYPERLINK("https://lindat.mff.cuni.cz/services/teitok/pdtc10/index.php?action=vallex&amp;frame=v-w5406f2", "radit (v-w5406f2)")</f>
        <v>radit (v-w5406f2)</v>
      </c>
    </row>
    <row r="40023" customFormat="false" ht="12.8" hidden="false" customHeight="false" outlineLevel="0" collapsed="false">
      <c r="B40023" s="0" t="s">
        <v>1</v>
      </c>
    </row>
    <row r="40024" customFormat="false" ht="12.8" hidden="false" customHeight="false" outlineLevel="0" collapsed="false">
      <c r="B40024" s="0" t="s">
        <v>186</v>
      </c>
    </row>
    <row r="40025" customFormat="false" ht="12.8" hidden="false" customHeight="false" outlineLevel="0" collapsed="false">
      <c r="B40025" s="0" t="s">
        <v>725</v>
      </c>
    </row>
    <row r="40026" customFormat="false" ht="12.8" hidden="false" customHeight="false" outlineLevel="0" collapsed="false">
      <c r="B40026" s="0" t="s">
        <v>642</v>
      </c>
    </row>
    <row r="40027" customFormat="false" ht="12.8" hidden="false" customHeight="false" outlineLevel="0" collapsed="false">
      <c r="B40027" s="0" t="s">
        <v>648</v>
      </c>
    </row>
    <row r="40028" customFormat="false" ht="12.8" hidden="false" customHeight="false" outlineLevel="0" collapsed="false">
      <c r="B40028" s="0" t="s">
        <v>650</v>
      </c>
    </row>
    <row r="40029" customFormat="false" ht="12.8" hidden="false" customHeight="false" outlineLevel="0" collapsed="false">
      <c r="B40029" s="0" t="s">
        <v>652</v>
      </c>
    </row>
    <row r="40031" customFormat="false" ht="12.8" hidden="false" customHeight="false" outlineLevel="0" collapsed="false">
      <c r="A40031" s="0" t="s">
        <v>14752</v>
      </c>
      <c r="B40031" s="0" t="str">
        <f aca="false">HYPERLINK("https://lindat.mff.cuni.cz/services/teitok/pdtc10/index.php?action=vallex&amp;frame=v-w5407hsa_875", "radit se (v-w5407hsa_875)")</f>
        <v>radit se (v-w5407hsa_875)</v>
      </c>
      <c r="E40031" s="0" t="str">
        <f aca="false">HYPERLINK("https://lindat.mff.cuni.cz/services/SynSemClass40/SynSemClass40.html?veclass=vec00031#vec00031-ces-cm00102", "vec00031")</f>
        <v>vec00031</v>
      </c>
      <c r="F40031" s="0" t="s">
        <v>277</v>
      </c>
    </row>
    <row r="40032" customFormat="false" ht="12.8" hidden="false" customHeight="false" outlineLevel="0" collapsed="false">
      <c r="B40032" s="0" t="s">
        <v>1</v>
      </c>
      <c r="C40032" s="0" t="s">
        <v>278</v>
      </c>
      <c r="E40032" s="0" t="s">
        <v>147</v>
      </c>
      <c r="F40032" s="0" t="s">
        <v>279</v>
      </c>
    </row>
    <row r="40033" customFormat="false" ht="12.8" hidden="false" customHeight="false" outlineLevel="0" collapsed="false">
      <c r="B40033" s="0" t="s">
        <v>276</v>
      </c>
      <c r="C40033" s="0" t="s">
        <v>282</v>
      </c>
      <c r="E40033" s="0" t="s">
        <v>221</v>
      </c>
      <c r="F40033" s="0" t="s">
        <v>283</v>
      </c>
    </row>
    <row r="40034" customFormat="false" ht="12.8" hidden="false" customHeight="false" outlineLevel="0" collapsed="false">
      <c r="B40034" s="0" t="s">
        <v>14753</v>
      </c>
      <c r="C40034" s="0" t="s">
        <v>280</v>
      </c>
      <c r="E40034" s="0" t="s">
        <v>218</v>
      </c>
      <c r="F40034" s="0" t="s">
        <v>281</v>
      </c>
    </row>
    <row r="40036" customFormat="false" ht="12.8" hidden="false" customHeight="false" outlineLevel="0" collapsed="false">
      <c r="A40036" s="0" t="s">
        <v>14752</v>
      </c>
      <c r="B40036" s="0" t="str">
        <f aca="false">HYPERLINK("https://lindat.mff.cuni.cz/services/teitok/pdtc10/index.php?action=vallex&amp;frame=v-w5407f1", "radit se (v-w5407f1) - substituted with v-w5407hsa_875")</f>
        <v>radit se (v-w5407f1) - substituted with v-w5407hsa_875</v>
      </c>
    </row>
    <row r="40037" customFormat="false" ht="12.8" hidden="false" customHeight="false" outlineLevel="0" collapsed="false">
      <c r="B40037" s="0" t="s">
        <v>1</v>
      </c>
    </row>
    <row r="40038" customFormat="false" ht="12.8" hidden="false" customHeight="false" outlineLevel="0" collapsed="false">
      <c r="B40038" s="0" t="s">
        <v>276</v>
      </c>
    </row>
    <row r="40039" customFormat="false" ht="12.8" hidden="false" customHeight="false" outlineLevel="0" collapsed="false">
      <c r="B40039" s="0" t="s">
        <v>14753</v>
      </c>
    </row>
    <row r="40041" customFormat="false" ht="12.8" hidden="false" customHeight="false" outlineLevel="0" collapsed="false">
      <c r="A40041" s="0" t="s">
        <v>14754</v>
      </c>
      <c r="B40041" s="0" t="str">
        <f aca="false">HYPERLINK("https://lindat.mff.cuni.cz/services/teitok/pdtc10/index.php?action=vallex&amp;frame=v-w5409f1", "radovat se (v-w5409f1)")</f>
        <v>radovat se (v-w5409f1)</v>
      </c>
      <c r="E40041" s="0" t="str">
        <f aca="false">HYPERLINK("https://lindat.mff.cuni.cz/services/SynSemClass40/SynSemClass40.html?veclass=vec00742#vec00742-ces-cm00011", "vec00742")</f>
        <v>vec00742</v>
      </c>
      <c r="F40041" s="0" t="s">
        <v>2689</v>
      </c>
    </row>
    <row r="40042" customFormat="false" ht="12.8" hidden="false" customHeight="false" outlineLevel="0" collapsed="false">
      <c r="B40042" s="0" t="s">
        <v>1</v>
      </c>
      <c r="C40042" s="0" t="s">
        <v>2690</v>
      </c>
      <c r="E40042" s="0" t="s">
        <v>266</v>
      </c>
      <c r="F40042" s="0" t="s">
        <v>2691</v>
      </c>
    </row>
    <row r="40043" customFormat="false" ht="12.8" hidden="false" customHeight="false" outlineLevel="0" collapsed="false">
      <c r="B40043" s="0" t="s">
        <v>8069</v>
      </c>
      <c r="C40043" s="0" t="s">
        <v>2692</v>
      </c>
      <c r="E40043" s="0" t="s">
        <v>271</v>
      </c>
      <c r="F40043" s="0" t="s">
        <v>2693</v>
      </c>
    </row>
    <row r="40045" customFormat="false" ht="12.8" hidden="false" customHeight="false" outlineLevel="0" collapsed="false">
      <c r="A40045" s="0" t="s">
        <v>14755</v>
      </c>
      <c r="B40045" s="0" t="str">
        <f aca="false">HYPERLINK("https://lindat.mff.cuni.cz/services/teitok/pdtc10/index.php?action=vallex&amp;frame=v-w5414f1", "ranit (v-w5414f1)")</f>
        <v>ranit (v-w5414f1)</v>
      </c>
    </row>
    <row r="40046" customFormat="false" ht="12.8" hidden="false" customHeight="false" outlineLevel="0" collapsed="false">
      <c r="B40046" s="0" t="s">
        <v>1</v>
      </c>
    </row>
    <row r="40047" customFormat="false" ht="12.8" hidden="false" customHeight="false" outlineLevel="0" collapsed="false">
      <c r="B40047" s="0" t="s">
        <v>8</v>
      </c>
    </row>
    <row r="40049" customFormat="false" ht="12.8" hidden="false" customHeight="false" outlineLevel="0" collapsed="false">
      <c r="A40049" s="0" t="s">
        <v>14756</v>
      </c>
      <c r="B40049" s="0" t="str">
        <f aca="false">HYPERLINK("https://lindat.mff.cuni.cz/services/teitok/pdtc10/index.php?action=vallex&amp;frame=v-w5414f2", "ranit (v-w5414f2)")</f>
        <v>ranit (v-w5414f2)</v>
      </c>
    </row>
    <row r="40050" customFormat="false" ht="12.8" hidden="false" customHeight="false" outlineLevel="0" collapsed="false">
      <c r="B40050" s="0" t="s">
        <v>1</v>
      </c>
    </row>
    <row r="40051" customFormat="false" ht="12.8" hidden="false" customHeight="false" outlineLevel="0" collapsed="false">
      <c r="B40051" s="0" t="s">
        <v>8</v>
      </c>
    </row>
    <row r="40053" customFormat="false" ht="12.8" hidden="false" customHeight="false" outlineLevel="0" collapsed="false">
      <c r="A40053" s="0" t="s">
        <v>14757</v>
      </c>
      <c r="B40053" s="0" t="str">
        <f aca="false">HYPERLINK("https://lindat.mff.cuni.cz/services/teitok/pdtc10/index.php?action=vallex&amp;frame=v-w5416f1", "ratifikovat (v-w5416f1)")</f>
        <v>ratifikovat (v-w5416f1)</v>
      </c>
      <c r="E40053" s="0" t="str">
        <f aca="false">HYPERLINK("https://lindat.mff.cuni.cz/services/SynSemClass40/SynSemClass40.html?veclass=vec00078#vec00078-ces-cm00060", "vec00078")</f>
        <v>vec00078</v>
      </c>
      <c r="F40053" s="0" t="s">
        <v>204</v>
      </c>
    </row>
    <row r="40054" customFormat="false" ht="12.8" hidden="false" customHeight="false" outlineLevel="0" collapsed="false">
      <c r="B40054" s="0" t="s">
        <v>1</v>
      </c>
      <c r="C40054" s="0" t="s">
        <v>205</v>
      </c>
      <c r="E40054" s="0" t="s">
        <v>206</v>
      </c>
      <c r="F40054" s="0" t="s">
        <v>207</v>
      </c>
    </row>
    <row r="40055" customFormat="false" ht="12.8" hidden="false" customHeight="false" outlineLevel="0" collapsed="false">
      <c r="B40055" s="0" t="s">
        <v>8</v>
      </c>
      <c r="C40055" s="0" t="s">
        <v>208</v>
      </c>
      <c r="E40055" s="0" t="s">
        <v>209</v>
      </c>
      <c r="F40055" s="0" t="s">
        <v>210</v>
      </c>
    </row>
    <row r="40057" customFormat="false" ht="12.8" hidden="false" customHeight="false" outlineLevel="0" collapsed="false">
      <c r="A40057" s="0" t="s">
        <v>14758</v>
      </c>
      <c r="B40057" s="0" t="str">
        <f aca="false">HYPERLINK("https://lindat.mff.cuni.cz/services/teitok/pdtc10/index.php?action=vallex&amp;frame=v-w5417f1", "razit (v-w5417f1)")</f>
        <v>razit (v-w5417f1)</v>
      </c>
    </row>
    <row r="40058" customFormat="false" ht="12.8" hidden="false" customHeight="false" outlineLevel="0" collapsed="false">
      <c r="B40058" s="0" t="s">
        <v>1</v>
      </c>
    </row>
    <row r="40059" customFormat="false" ht="12.8" hidden="false" customHeight="false" outlineLevel="0" collapsed="false">
      <c r="B40059" s="0" t="s">
        <v>9033</v>
      </c>
    </row>
    <row r="40061" customFormat="false" ht="12.8" hidden="false" customHeight="false" outlineLevel="0" collapsed="false">
      <c r="A40061" s="0" t="s">
        <v>14759</v>
      </c>
      <c r="B40061" s="0" t="str">
        <f aca="false">HYPERLINK("https://lindat.mff.cuni.cz/services/teitok/pdtc10/index.php?action=vallex&amp;frame=v-w5417hsa_923", "razit (v-w5417hsa_923)")</f>
        <v>razit (v-w5417hsa_923)</v>
      </c>
    </row>
    <row r="40062" customFormat="false" ht="12.8" hidden="false" customHeight="false" outlineLevel="0" collapsed="false">
      <c r="B40062" s="0" t="s">
        <v>1</v>
      </c>
    </row>
    <row r="40063" customFormat="false" ht="12.8" hidden="false" customHeight="false" outlineLevel="0" collapsed="false">
      <c r="B40063" s="0" t="s">
        <v>8</v>
      </c>
    </row>
    <row r="40065" customFormat="false" ht="12.8" hidden="false" customHeight="false" outlineLevel="0" collapsed="false">
      <c r="A40065" s="0" t="s">
        <v>14760</v>
      </c>
      <c r="B40065" s="0" t="str">
        <f aca="false">HYPERLINK("https://lindat.mff.cuni.cz/services/teitok/pdtc10/index.php?action=vallex&amp;frame=v-w10827f2", "razítkovat (v-w10827f2)")</f>
        <v>razítkovat (v-w10827f2)</v>
      </c>
    </row>
    <row r="40066" customFormat="false" ht="12.8" hidden="false" customHeight="false" outlineLevel="0" collapsed="false">
      <c r="B40066" s="0" t="s">
        <v>1</v>
      </c>
    </row>
    <row r="40067" customFormat="false" ht="12.8" hidden="false" customHeight="false" outlineLevel="0" collapsed="false">
      <c r="B40067" s="0" t="s">
        <v>8</v>
      </c>
    </row>
    <row r="40069" customFormat="false" ht="12.8" hidden="false" customHeight="false" outlineLevel="0" collapsed="false">
      <c r="A40069" s="0" t="s">
        <v>14761</v>
      </c>
      <c r="B40069" s="0" t="str">
        <f aca="false">HYPERLINK("https://lindat.mff.cuni.cz/services/teitok/pdtc10/index.php?action=vallex&amp;frame=v-w5422f1", "reagovat (v-w5422f1)")</f>
        <v>reagovat (v-w5422f1)</v>
      </c>
      <c r="E40069" s="0" t="str">
        <f aca="false">HYPERLINK("https://lindat.mff.cuni.cz/services/SynSemClass40/SynSemClass40.html?veclass=vec00102#vec00102-ces-cm00001", "vec00102")</f>
        <v>vec00102</v>
      </c>
      <c r="F40069" s="0" t="s">
        <v>9130</v>
      </c>
    </row>
    <row r="40070" customFormat="false" ht="12.8" hidden="false" customHeight="false" outlineLevel="0" collapsed="false">
      <c r="B40070" s="0" t="s">
        <v>1</v>
      </c>
      <c r="C40070" s="0" t="s">
        <v>9131</v>
      </c>
      <c r="E40070" s="0" t="s">
        <v>11</v>
      </c>
      <c r="F40070" s="0" t="s">
        <v>9132</v>
      </c>
    </row>
    <row r="40071" customFormat="false" ht="12.8" hidden="false" customHeight="false" outlineLevel="0" collapsed="false">
      <c r="B40071" s="0" t="s">
        <v>45</v>
      </c>
      <c r="C40071" s="0" t="s">
        <v>9133</v>
      </c>
      <c r="E40071" s="0" t="s">
        <v>271</v>
      </c>
      <c r="F40071" s="0" t="s">
        <v>9134</v>
      </c>
    </row>
    <row r="40073" customFormat="false" ht="12.8" hidden="false" customHeight="false" outlineLevel="0" collapsed="false">
      <c r="A40073" s="0" t="s">
        <v>14762</v>
      </c>
      <c r="B40073" s="0" t="str">
        <f aca="false">HYPERLINK("https://lindat.mff.cuni.cz/services/teitok/pdtc10/index.php?action=vallex&amp;frame=v-w5422hsa_652", "reagovat (v-w5422hsa_652)")</f>
        <v>reagovat (v-w5422hsa_652)</v>
      </c>
    </row>
    <row r="40074" customFormat="false" ht="12.8" hidden="false" customHeight="false" outlineLevel="0" collapsed="false">
      <c r="B40074" s="0" t="s">
        <v>1</v>
      </c>
    </row>
    <row r="40075" customFormat="false" ht="12.8" hidden="false" customHeight="false" outlineLevel="0" collapsed="false">
      <c r="B40075" s="0" t="s">
        <v>14763</v>
      </c>
    </row>
    <row r="40076" customFormat="false" ht="12.8" hidden="false" customHeight="false" outlineLevel="0" collapsed="false">
      <c r="B40076" s="0" t="s">
        <v>69</v>
      </c>
    </row>
    <row r="40078" customFormat="false" ht="12.8" hidden="false" customHeight="false" outlineLevel="0" collapsed="false">
      <c r="A40078" s="0" t="s">
        <v>14762</v>
      </c>
      <c r="B40078" s="0" t="str">
        <f aca="false">HYPERLINK("https://lindat.mff.cuni.cz/services/teitok/pdtc10/index.php?action=vallex&amp;frame=v-w5422f2", "reagovat (v-w5422f2) - substituted with v-w5422hsa_652")</f>
        <v>reagovat (v-w5422f2) - substituted with v-w5422hsa_652</v>
      </c>
    </row>
    <row r="40079" customFormat="false" ht="12.8" hidden="false" customHeight="false" outlineLevel="0" collapsed="false">
      <c r="B40079" s="0" t="s">
        <v>1</v>
      </c>
    </row>
    <row r="40080" customFormat="false" ht="12.8" hidden="false" customHeight="false" outlineLevel="0" collapsed="false">
      <c r="B40080" s="0" t="s">
        <v>14763</v>
      </c>
    </row>
    <row r="40081" customFormat="false" ht="12.8" hidden="false" customHeight="false" outlineLevel="0" collapsed="false">
      <c r="B40081" s="0" t="s">
        <v>69</v>
      </c>
    </row>
    <row r="40083" customFormat="false" ht="12.8" hidden="false" customHeight="false" outlineLevel="0" collapsed="false">
      <c r="A40083" s="0" t="s">
        <v>14764</v>
      </c>
      <c r="B40083" s="0" t="str">
        <f aca="false">HYPERLINK("https://lindat.mff.cuni.cz/services/teitok/pdtc10/index.php?action=vallex&amp;frame=v-w5428f1", "realizovat (v-w5428f1)")</f>
        <v>realizovat (v-w5428f1)</v>
      </c>
      <c r="E40083" s="0" t="str">
        <f aca="false">HYPERLINK("https://lindat.mff.cuni.cz/services/SynSemClass40/SynSemClass40.html?veclass=vec00179#vec00179-ces-cm00204", "vec00179")</f>
        <v>vec00179</v>
      </c>
      <c r="F40083" s="0" t="s">
        <v>779</v>
      </c>
    </row>
    <row r="40084" customFormat="false" ht="12.8" hidden="false" customHeight="false" outlineLevel="0" collapsed="false">
      <c r="B40084" s="0" t="s">
        <v>1</v>
      </c>
      <c r="C40084" s="0" t="s">
        <v>14765</v>
      </c>
      <c r="E40084" s="0" t="s">
        <v>768</v>
      </c>
      <c r="F40084" s="0" t="s">
        <v>782</v>
      </c>
    </row>
    <row r="40085" customFormat="false" ht="12.8" hidden="false" customHeight="false" outlineLevel="0" collapsed="false">
      <c r="B40085" s="0" t="s">
        <v>8</v>
      </c>
      <c r="C40085" s="0" t="s">
        <v>14766</v>
      </c>
      <c r="E40085" s="0" t="s">
        <v>771</v>
      </c>
      <c r="F40085" s="0" t="s">
        <v>785</v>
      </c>
    </row>
    <row r="40086" customFormat="false" ht="12.8" hidden="false" customHeight="false" outlineLevel="0" collapsed="false">
      <c r="B40086" s="0" t="s">
        <v>36</v>
      </c>
      <c r="C40086" s="0" t="s">
        <v>14767</v>
      </c>
      <c r="E40086" s="0" t="s">
        <v>787</v>
      </c>
      <c r="F40086" s="0" t="s">
        <v>789</v>
      </c>
    </row>
    <row r="40088" customFormat="false" ht="12.8" hidden="false" customHeight="false" outlineLevel="0" collapsed="false">
      <c r="A40088" s="0" t="s">
        <v>14768</v>
      </c>
      <c r="B40088" s="0" t="str">
        <f aca="false">HYPERLINK("https://lindat.mff.cuni.cz/services/teitok/pdtc10/index.php?action=vallex&amp;frame=v-w5428f2", "realizovat (v-w5428f2)")</f>
        <v>realizovat (v-w5428f2)</v>
      </c>
      <c r="E40088" s="0" t="str">
        <f aca="false">HYPERLINK("https://lindat.mff.cuni.cz/services/SynSemClass40/SynSemClass40.html?veclass=vec01188#vec01188-ces-cm00015", "vec01188")</f>
        <v>vec01188</v>
      </c>
      <c r="F40088" s="0" t="s">
        <v>5481</v>
      </c>
    </row>
    <row r="40089" customFormat="false" ht="12.8" hidden="false" customHeight="false" outlineLevel="0" collapsed="false">
      <c r="B40089" s="0" t="s">
        <v>1</v>
      </c>
      <c r="C40089" s="0" t="s">
        <v>10802</v>
      </c>
      <c r="E40089" s="0" t="s">
        <v>31</v>
      </c>
      <c r="F40089" s="0" t="s">
        <v>5483</v>
      </c>
    </row>
    <row r="40090" customFormat="false" ht="12.8" hidden="false" customHeight="false" outlineLevel="0" collapsed="false">
      <c r="B40090" s="0" t="s">
        <v>305</v>
      </c>
      <c r="C40090" s="0" t="s">
        <v>14769</v>
      </c>
      <c r="E40090" s="0" t="s">
        <v>523</v>
      </c>
      <c r="F40090" s="0" t="s">
        <v>10813</v>
      </c>
    </row>
    <row r="40092" customFormat="false" ht="12.8" hidden="false" customHeight="false" outlineLevel="0" collapsed="false">
      <c r="A40092" s="0" t="s">
        <v>14770</v>
      </c>
      <c r="B40092" s="0" t="str">
        <f aca="false">HYPERLINK("https://lindat.mff.cuni.cz/services/teitok/pdtc10/index.php?action=vallex&amp;frame=v-w5429f1", "realizovat se (v-w5429f1)")</f>
        <v>realizovat se (v-w5429f1)</v>
      </c>
    </row>
    <row r="40093" customFormat="false" ht="12.8" hidden="false" customHeight="false" outlineLevel="0" collapsed="false">
      <c r="B40093" s="0" t="s">
        <v>1</v>
      </c>
    </row>
    <row r="40095" customFormat="false" ht="12.8" hidden="false" customHeight="false" outlineLevel="0" collapsed="false">
      <c r="A40095" s="0" t="s">
        <v>14771</v>
      </c>
      <c r="B40095" s="0" t="str">
        <f aca="false">HYPERLINK("https://lindat.mff.cuni.cz/services/teitok/pdtc10/index.php?action=vallex&amp;frame=v-w5432f1", "recenzovat (v-w5432f1)")</f>
        <v>recenzovat (v-w5432f1)</v>
      </c>
    </row>
    <row r="40096" customFormat="false" ht="12.8" hidden="false" customHeight="false" outlineLevel="0" collapsed="false">
      <c r="B40096" s="0" t="s">
        <v>1</v>
      </c>
    </row>
    <row r="40097" customFormat="false" ht="12.8" hidden="false" customHeight="false" outlineLevel="0" collapsed="false">
      <c r="B40097" s="0" t="s">
        <v>8</v>
      </c>
    </row>
    <row r="40099" customFormat="false" ht="12.8" hidden="false" customHeight="false" outlineLevel="0" collapsed="false">
      <c r="A40099" s="0" t="s">
        <v>14772</v>
      </c>
      <c r="B40099" s="0" t="str">
        <f aca="false">HYPERLINK("https://lindat.mff.cuni.cz/services/teitok/pdtc10/index.php?action=vallex&amp;frame=v-w5437f1", "recitovat (v-w5437f1)")</f>
        <v>recitovat (v-w5437f1)</v>
      </c>
      <c r="E40099" s="0" t="str">
        <f aca="false">HYPERLINK("https://lindat.mff.cuni.cz/services/SynSemClass40/SynSemClass40.html?veclass=vec01431#vec01431-ces-cm00007", "vec01431")</f>
        <v>vec01431</v>
      </c>
      <c r="F40099" s="0" t="s">
        <v>12585</v>
      </c>
    </row>
    <row r="40100" customFormat="false" ht="12.8" hidden="false" customHeight="false" outlineLevel="0" collapsed="false">
      <c r="B40100" s="0" t="s">
        <v>1</v>
      </c>
      <c r="E40100" s="0" t="s">
        <v>147</v>
      </c>
      <c r="F40100" s="0" t="s">
        <v>5874</v>
      </c>
    </row>
    <row r="40101" customFormat="false" ht="12.8" hidden="false" customHeight="false" outlineLevel="0" collapsed="false">
      <c r="B40101" s="0" t="s">
        <v>8</v>
      </c>
      <c r="E40101" s="0" t="s">
        <v>218</v>
      </c>
      <c r="F40101" s="0" t="s">
        <v>12586</v>
      </c>
    </row>
    <row r="40102" customFormat="false" ht="12.8" hidden="false" customHeight="false" outlineLevel="0" collapsed="false">
      <c r="B40102" s="0" t="s">
        <v>132</v>
      </c>
      <c r="E40102" s="0" t="s">
        <v>221</v>
      </c>
      <c r="F40102" s="0" t="s">
        <v>4699</v>
      </c>
    </row>
    <row r="40104" customFormat="false" ht="12.8" hidden="false" customHeight="false" outlineLevel="0" collapsed="false">
      <c r="A40104" s="0" t="s">
        <v>14773</v>
      </c>
      <c r="B40104" s="0" t="str">
        <f aca="false">HYPERLINK("https://lindat.mff.cuni.cz/services/teitok/pdtc10/index.php?action=vallex&amp;frame=v-w5439f2_ZU", "recyklovat (v-w5439f2_ZU)")</f>
        <v>recyklovat (v-w5439f2_ZU)</v>
      </c>
      <c r="E40104" s="0" t="str">
        <f aca="false">HYPERLINK("https://lindat.mff.cuni.cz/services/SynSemClass40/SynSemClass40.html?veclass=vec01098#vec01098-ces-cm00001", "vec01098")</f>
        <v>vec01098</v>
      </c>
      <c r="F40104" s="0" t="s">
        <v>14774</v>
      </c>
    </row>
    <row r="40105" customFormat="false" ht="12.8" hidden="false" customHeight="false" outlineLevel="0" collapsed="false">
      <c r="B40105" s="0" t="s">
        <v>1</v>
      </c>
      <c r="C40105" s="0" t="s">
        <v>4695</v>
      </c>
      <c r="E40105" s="0" t="s">
        <v>14775</v>
      </c>
      <c r="F40105" s="0" t="s">
        <v>14776</v>
      </c>
    </row>
    <row r="40106" customFormat="false" ht="12.8" hidden="false" customHeight="false" outlineLevel="0" collapsed="false">
      <c r="B40106" s="0" t="s">
        <v>8</v>
      </c>
      <c r="C40106" s="0" t="s">
        <v>158</v>
      </c>
      <c r="E40106" s="0" t="s">
        <v>6961</v>
      </c>
      <c r="F40106" s="0" t="s">
        <v>14777</v>
      </c>
    </row>
    <row r="40107" customFormat="false" ht="12.8" hidden="false" customHeight="false" outlineLevel="0" collapsed="false">
      <c r="B40107" s="0" t="s">
        <v>101</v>
      </c>
      <c r="E40107" s="0" t="s">
        <v>6964</v>
      </c>
      <c r="F40107" s="0" t="s">
        <v>14778</v>
      </c>
    </row>
    <row r="40109" customFormat="false" ht="12.8" hidden="false" customHeight="false" outlineLevel="0" collapsed="false">
      <c r="A40109" s="0" t="s">
        <v>14773</v>
      </c>
      <c r="B40109" s="0" t="str">
        <f aca="false">HYPERLINK("https://lindat.mff.cuni.cz/services/teitok/pdtc10/index.php?action=vallex&amp;frame=v-w5439f1", "recyklovat (v-w5439f1) - substituted with v-w5439f2_ZU")</f>
        <v>recyklovat (v-w5439f1) - substituted with v-w5439f2_ZU</v>
      </c>
    </row>
    <row r="40110" customFormat="false" ht="12.8" hidden="false" customHeight="false" outlineLevel="0" collapsed="false">
      <c r="B40110" s="0" t="s">
        <v>1</v>
      </c>
    </row>
    <row r="40111" customFormat="false" ht="12.8" hidden="false" customHeight="false" outlineLevel="0" collapsed="false">
      <c r="B40111" s="0" t="s">
        <v>8</v>
      </c>
    </row>
    <row r="40112" customFormat="false" ht="12.8" hidden="false" customHeight="false" outlineLevel="0" collapsed="false">
      <c r="B40112" s="0" t="s">
        <v>101</v>
      </c>
    </row>
    <row r="40114" customFormat="false" ht="12.8" hidden="false" customHeight="false" outlineLevel="0" collapsed="false">
      <c r="A40114" s="0" t="s">
        <v>14779</v>
      </c>
      <c r="B40114" s="0" t="str">
        <f aca="false">HYPERLINK("https://lindat.mff.cuni.cz/services/teitok/pdtc10/index.php?action=vallex&amp;frame=v-w10244f2", "redefinovat (v-w10244f2)")</f>
        <v>redefinovat (v-w10244f2)</v>
      </c>
      <c r="E40114" s="0" t="str">
        <f aca="false">HYPERLINK("https://lindat.mff.cuni.cz/services/SynSemClass40/SynSemClass40.html?veclass=vec00103#vec00103-ces-cm00001", "vec00103")</f>
        <v>vec00103</v>
      </c>
      <c r="F40114" s="0" t="s">
        <v>13420</v>
      </c>
    </row>
    <row r="40115" customFormat="false" ht="12.8" hidden="false" customHeight="false" outlineLevel="0" collapsed="false">
      <c r="B40115" s="0" t="s">
        <v>1</v>
      </c>
      <c r="C40115" s="0" t="s">
        <v>1752</v>
      </c>
      <c r="E40115" s="0" t="s">
        <v>621</v>
      </c>
      <c r="F40115" s="0" t="s">
        <v>13421</v>
      </c>
    </row>
    <row r="40116" customFormat="false" ht="12.8" hidden="false" customHeight="false" outlineLevel="0" collapsed="false">
      <c r="B40116" s="0" t="s">
        <v>1838</v>
      </c>
      <c r="C40116" s="0" t="s">
        <v>531</v>
      </c>
      <c r="E40116" s="0" t="s">
        <v>1569</v>
      </c>
      <c r="F40116" s="0" t="s">
        <v>13422</v>
      </c>
    </row>
    <row r="40118" customFormat="false" ht="12.8" hidden="false" customHeight="false" outlineLevel="0" collapsed="false">
      <c r="A40118" s="0" t="s">
        <v>14780</v>
      </c>
      <c r="B40118" s="0" t="str">
        <f aca="false">HYPERLINK("https://lindat.mff.cuni.cz/services/teitok/pdtc10/index.php?action=vallex&amp;frame=v-w12234_ZUf1_ZU", "redigovat (v-w12234_ZUf1_ZU)")</f>
        <v>redigovat (v-w12234_ZUf1_ZU)</v>
      </c>
    </row>
    <row r="40119" customFormat="false" ht="12.8" hidden="false" customHeight="false" outlineLevel="0" collapsed="false">
      <c r="B40119" s="0" t="s">
        <v>1</v>
      </c>
    </row>
    <row r="40120" customFormat="false" ht="12.8" hidden="false" customHeight="false" outlineLevel="0" collapsed="false">
      <c r="B40120" s="0" t="s">
        <v>8</v>
      </c>
    </row>
    <row r="40122" customFormat="false" ht="12.8" hidden="false" customHeight="false" outlineLevel="0" collapsed="false">
      <c r="A40122" s="0" t="s">
        <v>14781</v>
      </c>
      <c r="B40122" s="0" t="str">
        <f aca="false">HYPERLINK("https://lindat.mff.cuni.cz/services/teitok/pdtc10/index.php?action=vallex&amp;frame=v-w5445f1", "redukovat (v-w5445f1)")</f>
        <v>redukovat (v-w5445f1)</v>
      </c>
      <c r="E40122" s="0" t="str">
        <f aca="false">HYPERLINK("https://lindat.mff.cuni.cz/services/SynSemClass40/SynSemClass40.html?veclass=vec00118#vec00118-ces-cm00173", "vec00118")</f>
        <v>vec00118</v>
      </c>
      <c r="F40122" s="0" t="s">
        <v>5784</v>
      </c>
    </row>
    <row r="40123" customFormat="false" ht="12.8" hidden="false" customHeight="false" outlineLevel="0" collapsed="false">
      <c r="B40123" s="0" t="s">
        <v>1</v>
      </c>
      <c r="C40123" s="0" t="s">
        <v>9951</v>
      </c>
      <c r="E40123" s="0" t="s">
        <v>31</v>
      </c>
      <c r="F40123" s="0" t="s">
        <v>5787</v>
      </c>
    </row>
    <row r="40124" customFormat="false" ht="12.8" hidden="false" customHeight="false" outlineLevel="0" collapsed="false">
      <c r="B40124" s="0" t="s">
        <v>8</v>
      </c>
      <c r="C40124" s="0" t="s">
        <v>9952</v>
      </c>
      <c r="E40124" s="0" t="s">
        <v>1569</v>
      </c>
      <c r="F40124" s="0" t="s">
        <v>5790</v>
      </c>
    </row>
    <row r="40125" customFormat="false" ht="12.8" hidden="false" customHeight="false" outlineLevel="0" collapsed="false">
      <c r="B40125" s="0" t="s">
        <v>36</v>
      </c>
      <c r="C40125" s="0" t="s">
        <v>9953</v>
      </c>
      <c r="E40125" s="0" t="s">
        <v>5152</v>
      </c>
      <c r="F40125" s="0" t="s">
        <v>5793</v>
      </c>
    </row>
    <row r="40126" customFormat="false" ht="12.8" hidden="false" customHeight="false" outlineLevel="0" collapsed="false">
      <c r="B40126" s="0" t="s">
        <v>101</v>
      </c>
      <c r="C40126" s="0" t="s">
        <v>9954</v>
      </c>
      <c r="E40126" s="0" t="s">
        <v>5796</v>
      </c>
      <c r="F40126" s="0" t="s">
        <v>5797</v>
      </c>
    </row>
    <row r="40128" customFormat="false" ht="12.8" hidden="false" customHeight="false" outlineLevel="0" collapsed="false">
      <c r="A40128" s="0" t="s">
        <v>14782</v>
      </c>
      <c r="B40128" s="0" t="str">
        <f aca="false">HYPERLINK("https://lindat.mff.cuni.cz/services/teitok/pdtc10/index.php?action=vallex&amp;frame=v-w5451f1", "referovat (v-w5451f1)")</f>
        <v>referovat (v-w5451f1)</v>
      </c>
      <c r="E40128" s="0" t="str">
        <f aca="false">HYPERLINK("https://lindat.mff.cuni.cz/services/SynSemClass40/SynSemClass40.html?veclass=vec00060#vec00060-ces-cm00105", "vec00060")</f>
        <v>vec00060</v>
      </c>
      <c r="F40128" s="0" t="s">
        <v>213</v>
      </c>
    </row>
    <row r="40129" customFormat="false" ht="12.8" hidden="false" customHeight="false" outlineLevel="0" collapsed="false">
      <c r="B40129" s="0" t="s">
        <v>1</v>
      </c>
      <c r="C40129" s="0" t="s">
        <v>214</v>
      </c>
      <c r="E40129" s="0" t="s">
        <v>147</v>
      </c>
      <c r="F40129" s="0" t="s">
        <v>215</v>
      </c>
    </row>
    <row r="40130" customFormat="false" ht="12.8" hidden="false" customHeight="false" outlineLevel="0" collapsed="false">
      <c r="B40130" s="0" t="s">
        <v>318</v>
      </c>
      <c r="C40130" s="0" t="s">
        <v>217</v>
      </c>
      <c r="E40130" s="0" t="s">
        <v>218</v>
      </c>
      <c r="F40130" s="0" t="s">
        <v>219</v>
      </c>
    </row>
    <row r="40131" customFormat="false" ht="12.8" hidden="false" customHeight="false" outlineLevel="0" collapsed="false">
      <c r="B40131" s="0" t="s">
        <v>52</v>
      </c>
      <c r="C40131" s="0" t="s">
        <v>220</v>
      </c>
      <c r="E40131" s="0" t="s">
        <v>221</v>
      </c>
      <c r="F40131" s="0" t="s">
        <v>222</v>
      </c>
    </row>
    <row r="40133" customFormat="false" ht="12.8" hidden="false" customHeight="false" outlineLevel="0" collapsed="false">
      <c r="A40133" s="0" t="s">
        <v>14783</v>
      </c>
      <c r="B40133" s="0" t="str">
        <f aca="false">HYPERLINK("https://lindat.mff.cuni.cz/services/teitok/pdtc10/index.php?action=vallex&amp;frame=v-w5451f2", "referovat (v-w5451f2)")</f>
        <v>referovat (v-w5451f2)</v>
      </c>
    </row>
    <row r="40134" customFormat="false" ht="12.8" hidden="false" customHeight="false" outlineLevel="0" collapsed="false">
      <c r="B40134" s="0" t="s">
        <v>1</v>
      </c>
    </row>
    <row r="40135" customFormat="false" ht="12.8" hidden="false" customHeight="false" outlineLevel="0" collapsed="false">
      <c r="B40135" s="0" t="s">
        <v>52</v>
      </c>
    </row>
    <row r="40136" customFormat="false" ht="12.8" hidden="false" customHeight="false" outlineLevel="0" collapsed="false">
      <c r="B40136" s="0" t="s">
        <v>6412</v>
      </c>
    </row>
    <row r="40137" customFormat="false" ht="12.8" hidden="false" customHeight="false" outlineLevel="0" collapsed="false">
      <c r="B40137" s="0" t="s">
        <v>496</v>
      </c>
    </row>
    <row r="40139" customFormat="false" ht="12.8" hidden="false" customHeight="false" outlineLevel="0" collapsed="false">
      <c r="A40139" s="0" t="s">
        <v>14784</v>
      </c>
      <c r="B40139" s="0" t="str">
        <f aca="false">HYPERLINK("https://lindat.mff.cuni.cz/services/teitok/pdtc10/index.php?action=vallex&amp;frame=v-w10773f2", "refinancovat (v-w10773f2)")</f>
        <v>refinancovat (v-w10773f2)</v>
      </c>
      <c r="E40139" s="0" t="str">
        <f aca="false">HYPERLINK("https://lindat.mff.cuni.cz/services/SynSemClass40/SynSemClass40.html?veclass=vec00125#vec00125-ces-cm00176", "vec00125")</f>
        <v>vec00125</v>
      </c>
      <c r="F40139" s="0" t="s">
        <v>2552</v>
      </c>
    </row>
    <row r="40140" customFormat="false" ht="12.8" hidden="false" customHeight="false" outlineLevel="0" collapsed="false">
      <c r="B40140" s="0" t="s">
        <v>1</v>
      </c>
      <c r="C40140" s="0" t="s">
        <v>2553</v>
      </c>
      <c r="E40140" s="0" t="s">
        <v>2554</v>
      </c>
      <c r="F40140" s="0" t="s">
        <v>2555</v>
      </c>
    </row>
    <row r="40141" customFormat="false" ht="12.8" hidden="false" customHeight="false" outlineLevel="0" collapsed="false">
      <c r="B40141" s="0" t="s">
        <v>8</v>
      </c>
      <c r="C40141" s="0" t="s">
        <v>2556</v>
      </c>
      <c r="E40141" s="0" t="s">
        <v>2557</v>
      </c>
      <c r="F40141" s="0" t="s">
        <v>2558</v>
      </c>
    </row>
    <row r="40143" customFormat="false" ht="12.8" hidden="false" customHeight="false" outlineLevel="0" collapsed="false">
      <c r="A40143" s="0" t="s">
        <v>14785</v>
      </c>
      <c r="B40143" s="0" t="str">
        <f aca="false">HYPERLINK("https://lindat.mff.cuni.cz/services/teitok/pdtc10/index.php?action=vallex&amp;frame=v-w5452f1", "reflektovat (v-w5452f1)")</f>
        <v>reflektovat (v-w5452f1)</v>
      </c>
      <c r="E40143" s="0" t="str">
        <f aca="false">HYPERLINK("https://lindat.mff.cuni.cz/services/SynSemClass40/SynSemClass40.html?veclass=vec00141#vec00141-ces-cm00054", "vec00141")</f>
        <v>vec00141</v>
      </c>
      <c r="F40143" s="0" t="s">
        <v>4796</v>
      </c>
    </row>
    <row r="40144" customFormat="false" ht="12.8" hidden="false" customHeight="false" outlineLevel="0" collapsed="false">
      <c r="B40144" s="0" t="s">
        <v>1</v>
      </c>
      <c r="C40144" s="0" t="s">
        <v>4797</v>
      </c>
      <c r="E40144" s="0" t="s">
        <v>4798</v>
      </c>
      <c r="F40144" s="0" t="s">
        <v>4799</v>
      </c>
    </row>
    <row r="40145" customFormat="false" ht="12.8" hidden="false" customHeight="false" outlineLevel="0" collapsed="false">
      <c r="B40145" s="0" t="s">
        <v>228</v>
      </c>
      <c r="C40145" s="0" t="s">
        <v>4800</v>
      </c>
      <c r="E40145" s="0" t="s">
        <v>4801</v>
      </c>
      <c r="F40145" s="0" t="s">
        <v>4802</v>
      </c>
    </row>
    <row r="40147" customFormat="false" ht="12.8" hidden="false" customHeight="false" outlineLevel="0" collapsed="false">
      <c r="A40147" s="0" t="s">
        <v>14786</v>
      </c>
      <c r="B40147" s="0" t="str">
        <f aca="false">HYPERLINK("https://lindat.mff.cuni.cz/services/teitok/pdtc10/index.php?action=vallex&amp;frame=v-w5457f1", "reformovat (v-w5457f1)")</f>
        <v>reformovat (v-w5457f1)</v>
      </c>
    </row>
    <row r="40148" customFormat="false" ht="12.8" hidden="false" customHeight="false" outlineLevel="0" collapsed="false">
      <c r="B40148" s="0" t="s">
        <v>1</v>
      </c>
    </row>
    <row r="40149" customFormat="false" ht="12.8" hidden="false" customHeight="false" outlineLevel="0" collapsed="false">
      <c r="B40149" s="0" t="s">
        <v>8</v>
      </c>
    </row>
    <row r="40151" customFormat="false" ht="12.8" hidden="false" customHeight="false" outlineLevel="0" collapsed="false">
      <c r="A40151" s="0" t="s">
        <v>14787</v>
      </c>
      <c r="B40151" s="0" t="str">
        <f aca="false">HYPERLINK("https://lindat.mff.cuni.cz/services/teitok/pdtc10/index.php?action=vallex&amp;frame=v-w5459f1", "regenerovat (v-w5459f1)")</f>
        <v>regenerovat (v-w5459f1)</v>
      </c>
      <c r="E40151" s="0" t="str">
        <f aca="false">HYPERLINK("https://lindat.mff.cuni.cz/services/SynSemClass40/SynSemClass40.html?veclass=vec00246#vec00246-ces-cm00029", "vec00246")</f>
        <v>vec00246</v>
      </c>
      <c r="F40151" s="0" t="s">
        <v>8433</v>
      </c>
    </row>
    <row r="40152" customFormat="false" ht="12.8" hidden="false" customHeight="false" outlineLevel="0" collapsed="false">
      <c r="B40152" s="0" t="s">
        <v>1</v>
      </c>
      <c r="C40152" s="0" t="s">
        <v>8434</v>
      </c>
      <c r="E40152" s="0" t="s">
        <v>31</v>
      </c>
      <c r="F40152" s="0" t="s">
        <v>8435</v>
      </c>
    </row>
    <row r="40153" customFormat="false" ht="12.8" hidden="false" customHeight="false" outlineLevel="0" collapsed="false">
      <c r="B40153" s="0" t="s">
        <v>8</v>
      </c>
      <c r="C40153" s="0" t="s">
        <v>8436</v>
      </c>
      <c r="E40153" s="0" t="s">
        <v>79</v>
      </c>
      <c r="F40153" s="0" t="s">
        <v>8437</v>
      </c>
    </row>
    <row r="40155" customFormat="false" ht="12.8" hidden="false" customHeight="false" outlineLevel="0" collapsed="false">
      <c r="A40155" s="0" t="s">
        <v>14788</v>
      </c>
      <c r="B40155" s="0" t="str">
        <f aca="false">HYPERLINK("https://lindat.mff.cuni.cz/services/teitok/pdtc10/index.php?action=vallex&amp;frame=v-w5461f2", "registrovat (v-w5461f2)")</f>
        <v>registrovat (v-w5461f2)</v>
      </c>
      <c r="E40155" s="0" t="str">
        <f aca="false">HYPERLINK("https://lindat.mff.cuni.cz/services/SynSemClass40/SynSemClass40.html?veclass=vec01545#vec01545-ces-cm00013", "vec01545")</f>
        <v>vec01545</v>
      </c>
      <c r="F40155" s="0" t="s">
        <v>11902</v>
      </c>
    </row>
    <row r="40156" customFormat="false" ht="12.8" hidden="false" customHeight="false" outlineLevel="0" collapsed="false">
      <c r="B40156" s="0" t="s">
        <v>1</v>
      </c>
      <c r="C40156" s="0" t="s">
        <v>11624</v>
      </c>
      <c r="E40156" s="0" t="s">
        <v>621</v>
      </c>
      <c r="F40156" s="0" t="s">
        <v>11905</v>
      </c>
    </row>
    <row r="40157" customFormat="false" ht="12.8" hidden="false" customHeight="false" outlineLevel="0" collapsed="false">
      <c r="B40157" s="0" t="s">
        <v>14789</v>
      </c>
      <c r="C40157" s="0" t="s">
        <v>7322</v>
      </c>
      <c r="E40157" s="0" t="s">
        <v>271</v>
      </c>
      <c r="F40157" s="0" t="s">
        <v>11909</v>
      </c>
    </row>
    <row r="40159" customFormat="false" ht="12.8" hidden="false" customHeight="false" outlineLevel="0" collapsed="false">
      <c r="A40159" s="0" t="s">
        <v>14790</v>
      </c>
      <c r="B40159" s="0" t="str">
        <f aca="false">HYPERLINK("https://lindat.mff.cuni.cz/services/teitok/pdtc10/index.php?action=vallex&amp;frame=v-w5461f1", "registrovat (v-w5461f1)")</f>
        <v>registrovat (v-w5461f1)</v>
      </c>
      <c r="E40159" s="0" t="str">
        <f aca="false">HYPERLINK("https://lindat.mff.cuni.cz/services/SynSemClass40/SynSemClass40.html?veclass=vec00507#vec00507-ces-cm00001", "vec00507")</f>
        <v>vec00507</v>
      </c>
      <c r="F40159" s="0" t="s">
        <v>14791</v>
      </c>
    </row>
    <row r="40160" customFormat="false" ht="12.8" hidden="false" customHeight="false" outlineLevel="0" collapsed="false">
      <c r="B40160" s="0" t="s">
        <v>1</v>
      </c>
      <c r="C40160" s="0" t="s">
        <v>11762</v>
      </c>
      <c r="E40160" s="0" t="s">
        <v>31</v>
      </c>
      <c r="F40160" s="0" t="s">
        <v>14792</v>
      </c>
    </row>
    <row r="40161" customFormat="false" ht="12.8" hidden="false" customHeight="false" outlineLevel="0" collapsed="false">
      <c r="B40161" s="0" t="s">
        <v>228</v>
      </c>
      <c r="C40161" s="0" t="s">
        <v>14793</v>
      </c>
      <c r="E40161" s="0" t="s">
        <v>180</v>
      </c>
      <c r="F40161" s="0" t="s">
        <v>14794</v>
      </c>
    </row>
    <row r="40163" customFormat="false" ht="12.8" hidden="false" customHeight="false" outlineLevel="0" collapsed="false">
      <c r="A40163" s="0" t="s">
        <v>14795</v>
      </c>
      <c r="B40163" s="0" t="str">
        <f aca="false">HYPERLINK("https://lindat.mff.cuni.cz/services/teitok/pdtc10/index.php?action=vallex&amp;frame=v-w5465f1", "regulovat (v-w5465f1)")</f>
        <v>regulovat (v-w5465f1)</v>
      </c>
      <c r="E40163" s="0" t="str">
        <f aca="false">HYPERLINK("https://lindat.mff.cuni.cz/services/SynSemClass40/SynSemClass40.html?veclass=vec00302#vec00302-ces-cm00043", "vec00302")</f>
        <v>vec00302</v>
      </c>
      <c r="F40163" s="0" t="s">
        <v>1991</v>
      </c>
    </row>
    <row r="40164" customFormat="false" ht="12.8" hidden="false" customHeight="false" outlineLevel="0" collapsed="false">
      <c r="B40164" s="0" t="s">
        <v>1</v>
      </c>
      <c r="C40164" s="0" t="s">
        <v>1992</v>
      </c>
      <c r="E40164" s="0" t="s">
        <v>206</v>
      </c>
      <c r="F40164" s="0" t="s">
        <v>1993</v>
      </c>
    </row>
    <row r="40165" customFormat="false" ht="12.8" hidden="false" customHeight="false" outlineLevel="0" collapsed="false">
      <c r="B40165" s="0" t="s">
        <v>8</v>
      </c>
      <c r="C40165" s="0" t="s">
        <v>1994</v>
      </c>
      <c r="E40165" s="0" t="s">
        <v>1995</v>
      </c>
      <c r="F40165" s="0" t="s">
        <v>1996</v>
      </c>
    </row>
    <row r="40167" customFormat="false" ht="12.8" hidden="false" customHeight="false" outlineLevel="0" collapsed="false">
      <c r="A40167" s="0" t="s">
        <v>14796</v>
      </c>
      <c r="B40167" s="0" t="str">
        <f aca="false">HYPERLINK("https://lindat.mff.cuni.cz/services/teitok/pdtc10/index.php?action=vallex&amp;frame=v-w5467f1", "rehabilitovat (v-w5467f1)")</f>
        <v>rehabilitovat (v-w5467f1)</v>
      </c>
    </row>
    <row r="40168" customFormat="false" ht="12.8" hidden="false" customHeight="false" outlineLevel="0" collapsed="false">
      <c r="B40168" s="0" t="s">
        <v>1</v>
      </c>
    </row>
    <row r="40169" customFormat="false" ht="12.8" hidden="false" customHeight="false" outlineLevel="0" collapsed="false">
      <c r="B40169" s="0" t="s">
        <v>8</v>
      </c>
    </row>
    <row r="40171" customFormat="false" ht="12.8" hidden="false" customHeight="false" outlineLevel="0" collapsed="false">
      <c r="A40171" s="0" t="s">
        <v>14797</v>
      </c>
      <c r="B40171" s="0" t="str">
        <f aca="false">HYPERLINK("https://lindat.mff.cuni.cz/services/teitok/pdtc10/index.php?action=vallex&amp;frame=v-w5468f1", "reinvestovat (v-w5468f1)")</f>
        <v>reinvestovat (v-w5468f1)</v>
      </c>
      <c r="E40171" s="0" t="str">
        <f aca="false">HYPERLINK("https://lindat.mff.cuni.cz/services/SynSemClass40/SynSemClass40.html?veclass=vec00147#vec00147-ces-cm00127", "vec00147")</f>
        <v>vec00147</v>
      </c>
      <c r="F40171" s="0" t="s">
        <v>1698</v>
      </c>
    </row>
    <row r="40172" customFormat="false" ht="12.8" hidden="false" customHeight="false" outlineLevel="0" collapsed="false">
      <c r="B40172" s="0" t="s">
        <v>1</v>
      </c>
      <c r="C40172" s="0" t="s">
        <v>1699</v>
      </c>
      <c r="E40172" s="0" t="s">
        <v>11</v>
      </c>
      <c r="F40172" s="0" t="s">
        <v>1700</v>
      </c>
    </row>
    <row r="40173" customFormat="false" ht="12.8" hidden="false" customHeight="false" outlineLevel="0" collapsed="false">
      <c r="B40173" s="0" t="s">
        <v>8</v>
      </c>
      <c r="C40173" s="0" t="s">
        <v>1701</v>
      </c>
      <c r="E40173" s="0" t="s">
        <v>1702</v>
      </c>
      <c r="F40173" s="0" t="s">
        <v>1703</v>
      </c>
    </row>
    <row r="40174" customFormat="false" ht="12.8" hidden="false" customHeight="false" outlineLevel="0" collapsed="false">
      <c r="B40174" s="0" t="s">
        <v>723</v>
      </c>
      <c r="C40174" s="0" t="s">
        <v>3417</v>
      </c>
      <c r="E40174" s="0" t="s">
        <v>3418</v>
      </c>
      <c r="F40174" s="0" t="s">
        <v>3419</v>
      </c>
    </row>
    <row r="40176" customFormat="false" ht="12.8" hidden="false" customHeight="false" outlineLevel="0" collapsed="false">
      <c r="A40176" s="0" t="s">
        <v>14798</v>
      </c>
      <c r="B40176" s="0" t="str">
        <f aca="false">HYPERLINK("https://lindat.mff.cuni.cz/services/teitok/pdtc10/index.php?action=vallex&amp;frame=v-whsa_896hsa_897", "rekapitalizovat (v-whsa_896hsa_897)")</f>
        <v>rekapitalizovat (v-whsa_896hsa_897)</v>
      </c>
    </row>
    <row r="40177" customFormat="false" ht="12.8" hidden="false" customHeight="false" outlineLevel="0" collapsed="false">
      <c r="B40177" s="0" t="s">
        <v>1</v>
      </c>
    </row>
    <row r="40178" customFormat="false" ht="12.8" hidden="false" customHeight="false" outlineLevel="0" collapsed="false">
      <c r="B40178" s="0" t="s">
        <v>8</v>
      </c>
    </row>
    <row r="40179" customFormat="false" ht="12.8" hidden="false" customHeight="false" outlineLevel="0" collapsed="false">
      <c r="B40179" s="0" t="s">
        <v>101</v>
      </c>
    </row>
    <row r="40181" customFormat="false" ht="12.8" hidden="false" customHeight="false" outlineLevel="0" collapsed="false">
      <c r="A40181" s="0" t="s">
        <v>14799</v>
      </c>
      <c r="B40181" s="0" t="str">
        <f aca="false">HYPERLINK("https://lindat.mff.cuni.cz/services/teitok/pdtc10/index.php?action=vallex&amp;frame=v-w5472f1", "reklamovat (v-w5472f1)")</f>
        <v>reklamovat (v-w5472f1)</v>
      </c>
    </row>
    <row r="40182" customFormat="false" ht="12.8" hidden="false" customHeight="false" outlineLevel="0" collapsed="false">
      <c r="B40182" s="0" t="s">
        <v>1</v>
      </c>
    </row>
    <row r="40183" customFormat="false" ht="12.8" hidden="false" customHeight="false" outlineLevel="0" collapsed="false">
      <c r="B40183" s="0" t="s">
        <v>8</v>
      </c>
    </row>
    <row r="40185" customFormat="false" ht="12.8" hidden="false" customHeight="false" outlineLevel="0" collapsed="false">
      <c r="A40185" s="0" t="s">
        <v>14800</v>
      </c>
      <c r="B40185" s="0" t="str">
        <f aca="false">HYPERLINK("https://lindat.mff.cuni.cz/services/teitok/pdtc10/index.php?action=vallex&amp;frame=v-w5474f1", "rekonstruovat (v-w5474f1)")</f>
        <v>rekonstruovat (v-w5474f1)</v>
      </c>
      <c r="E40185" s="0" t="str">
        <f aca="false">HYPERLINK("https://lindat.mff.cuni.cz/services/SynSemClass40/SynSemClass40.html?veclass=vec00095#vec00095-ces-cm00088", "vec00095")</f>
        <v>vec00095</v>
      </c>
      <c r="F40185" s="0" t="s">
        <v>29</v>
      </c>
      <c r="H40185" s="0" t="str">
        <f aca="false">HYPERLINK("https://lindat.mff.cuni.cz/services/SynSemClass40/SynSemClass40.html?veclass=vec00462#vec00462-ces-cm00022", "vec00462")</f>
        <v>vec00462</v>
      </c>
      <c r="I40185" s="0" t="s">
        <v>9737</v>
      </c>
    </row>
    <row r="40186" customFormat="false" ht="12.8" hidden="false" customHeight="false" outlineLevel="0" collapsed="false">
      <c r="B40186" s="0" t="s">
        <v>1</v>
      </c>
      <c r="C40186" s="0" t="s">
        <v>14801</v>
      </c>
      <c r="E40186" s="0" t="s">
        <v>31</v>
      </c>
      <c r="F40186" s="0" t="s">
        <v>32</v>
      </c>
      <c r="H40186" s="0" t="s">
        <v>9738</v>
      </c>
      <c r="I40186" s="0" t="s">
        <v>9739</v>
      </c>
    </row>
    <row r="40187" customFormat="false" ht="12.8" hidden="false" customHeight="false" outlineLevel="0" collapsed="false">
      <c r="B40187" s="0" t="s">
        <v>8</v>
      </c>
      <c r="C40187" s="0" t="s">
        <v>14802</v>
      </c>
      <c r="E40187" s="0" t="s">
        <v>34</v>
      </c>
      <c r="F40187" s="0" t="s">
        <v>35</v>
      </c>
      <c r="H40187" s="0" t="s">
        <v>1569</v>
      </c>
      <c r="I40187" s="0" t="s">
        <v>9740</v>
      </c>
    </row>
    <row r="40188" customFormat="false" ht="12.8" hidden="false" customHeight="false" outlineLevel="0" collapsed="false">
      <c r="B40188" s="0" t="s">
        <v>36</v>
      </c>
      <c r="C40188" s="0" t="s">
        <v>37</v>
      </c>
      <c r="E40188" s="0" t="s">
        <v>38</v>
      </c>
      <c r="F40188" s="0" t="s">
        <v>39</v>
      </c>
    </row>
    <row r="40189" customFormat="false" ht="12.8" hidden="false" customHeight="false" outlineLevel="0" collapsed="false">
      <c r="B40189" s="0" t="s">
        <v>101</v>
      </c>
      <c r="C40189" s="0" t="s">
        <v>41</v>
      </c>
      <c r="E40189" s="0" t="s">
        <v>42</v>
      </c>
      <c r="F40189" s="0" t="s">
        <v>43</v>
      </c>
    </row>
    <row r="40191" customFormat="false" ht="12.8" hidden="false" customHeight="false" outlineLevel="0" collapsed="false">
      <c r="A40191" s="0" t="s">
        <v>14803</v>
      </c>
      <c r="B40191" s="0" t="str">
        <f aca="false">HYPERLINK("https://lindat.mff.cuni.cz/services/teitok/pdtc10/index.php?action=vallex&amp;frame=v-w5474f2", "rekonstruovat (v-w5474f2)")</f>
        <v>rekonstruovat (v-w5474f2)</v>
      </c>
      <c r="E40191" s="0" t="str">
        <f aca="false">HYPERLINK("https://lindat.mff.cuni.cz/services/SynSemClass40/SynSemClass40.html?veclass=vec01189#vec01189-ces-cm00004", "vec01189")</f>
        <v>vec01189</v>
      </c>
      <c r="F40191" s="0" t="s">
        <v>14804</v>
      </c>
    </row>
    <row r="40192" customFormat="false" ht="12.8" hidden="false" customHeight="false" outlineLevel="0" collapsed="false">
      <c r="B40192" s="0" t="s">
        <v>1</v>
      </c>
      <c r="C40192" s="0" t="s">
        <v>3000</v>
      </c>
      <c r="E40192" s="0" t="s">
        <v>768</v>
      </c>
      <c r="F40192" s="0" t="s">
        <v>14805</v>
      </c>
    </row>
    <row r="40193" customFormat="false" ht="12.8" hidden="false" customHeight="false" outlineLevel="0" collapsed="false">
      <c r="B40193" s="0" t="s">
        <v>8</v>
      </c>
      <c r="C40193" s="0" t="s">
        <v>7124</v>
      </c>
      <c r="E40193" s="0" t="s">
        <v>771</v>
      </c>
      <c r="F40193" s="0" t="s">
        <v>14806</v>
      </c>
    </row>
    <row r="40194" customFormat="false" ht="12.8" hidden="false" customHeight="false" outlineLevel="0" collapsed="false">
      <c r="B40194" s="0" t="s">
        <v>36</v>
      </c>
      <c r="C40194" s="0" t="s">
        <v>14807</v>
      </c>
      <c r="E40194" s="0" t="s">
        <v>2176</v>
      </c>
      <c r="F40194" s="0" t="s">
        <v>14808</v>
      </c>
    </row>
    <row r="40196" customFormat="false" ht="12.8" hidden="false" customHeight="false" outlineLevel="0" collapsed="false">
      <c r="A40196" s="0" t="s">
        <v>14809</v>
      </c>
      <c r="B40196" s="0" t="str">
        <f aca="false">HYPERLINK("https://lindat.mff.cuni.cz/services/teitok/pdtc10/index.php?action=vallex&amp;frame=v-w11684_ZUf2_ZU", "rekreovat se (v-w11684_ZUf2_ZU)")</f>
        <v>rekreovat se (v-w11684_ZUf2_ZU)</v>
      </c>
    </row>
    <row r="40197" customFormat="false" ht="12.8" hidden="false" customHeight="false" outlineLevel="0" collapsed="false">
      <c r="B40197" s="0" t="s">
        <v>1</v>
      </c>
    </row>
    <row r="40199" customFormat="false" ht="12.8" hidden="false" customHeight="false" outlineLevel="0" collapsed="false">
      <c r="A40199" s="0" t="s">
        <v>14809</v>
      </c>
      <c r="B40199" s="0" t="str">
        <f aca="false">HYPERLINK("https://lindat.mff.cuni.cz/services/teitok/pdtc10/index.php?action=vallex&amp;frame=v-w11684_ZUf1_ZU", "rekreovat se (v-w11684_ZUf1_ZU) - substituted with v-w11684_ZUf2_ZU")</f>
        <v>rekreovat se (v-w11684_ZUf1_ZU) - substituted with v-w11684_ZUf2_ZU</v>
      </c>
    </row>
    <row r="40200" customFormat="false" ht="12.8" hidden="false" customHeight="false" outlineLevel="0" collapsed="false">
      <c r="B40200" s="0" t="s">
        <v>1</v>
      </c>
    </row>
    <row r="40202" customFormat="false" ht="12.8" hidden="false" customHeight="false" outlineLevel="0" collapsed="false">
      <c r="A40202" s="0" t="s">
        <v>14810</v>
      </c>
      <c r="B40202" s="0" t="str">
        <f aca="false">HYPERLINK("https://lindat.mff.cuni.cz/services/teitok/pdtc10/index.php?action=vallex&amp;frame=v-w11571_ZUf1_ZU", "rekrutovat (v-w11571_ZUf1_ZU)")</f>
        <v>rekrutovat (v-w11571_ZUf1_ZU)</v>
      </c>
    </row>
    <row r="40203" customFormat="false" ht="12.8" hidden="false" customHeight="false" outlineLevel="0" collapsed="false">
      <c r="B40203" s="0" t="s">
        <v>1</v>
      </c>
    </row>
    <row r="40204" customFormat="false" ht="12.8" hidden="false" customHeight="false" outlineLevel="0" collapsed="false">
      <c r="B40204" s="0" t="s">
        <v>8</v>
      </c>
    </row>
    <row r="40206" customFormat="false" ht="12.8" hidden="false" customHeight="false" outlineLevel="0" collapsed="false">
      <c r="A40206" s="0" t="s">
        <v>14811</v>
      </c>
      <c r="B40206" s="0" t="str">
        <f aca="false">HYPERLINK("https://lindat.mff.cuni.cz/services/teitok/pdtc10/index.php?action=vallex&amp;frame=v-w5476f1", "rekrutovat se (v-w5476f1)")</f>
        <v>rekrutovat se (v-w5476f1)</v>
      </c>
    </row>
    <row r="40207" customFormat="false" ht="12.8" hidden="false" customHeight="false" outlineLevel="0" collapsed="false">
      <c r="B40207" s="0" t="s">
        <v>1</v>
      </c>
    </row>
    <row r="40208" customFormat="false" ht="12.8" hidden="false" customHeight="false" outlineLevel="0" collapsed="false">
      <c r="B40208" s="0" t="s">
        <v>298</v>
      </c>
    </row>
    <row r="40210" customFormat="false" ht="12.8" hidden="false" customHeight="false" outlineLevel="0" collapsed="false">
      <c r="A40210" s="0" t="s">
        <v>14812</v>
      </c>
      <c r="B40210" s="0" t="str">
        <f aca="false">HYPERLINK("https://lindat.mff.cuni.cz/services/teitok/pdtc10/index.php?action=vallex&amp;frame=v-w5480f1", "rekvalifikovat se (v-w5480f1)")</f>
        <v>rekvalifikovat se (v-w5480f1)</v>
      </c>
    </row>
    <row r="40211" customFormat="false" ht="12.8" hidden="false" customHeight="false" outlineLevel="0" collapsed="false">
      <c r="B40211" s="0" t="s">
        <v>1</v>
      </c>
    </row>
    <row r="40213" customFormat="false" ht="12.8" hidden="false" customHeight="false" outlineLevel="0" collapsed="false">
      <c r="A40213" s="0" t="s">
        <v>14813</v>
      </c>
      <c r="B40213" s="0" t="str">
        <f aca="false">HYPERLINK("https://lindat.mff.cuni.cz/services/teitok/pdtc10/index.php?action=vallex&amp;frame=v-w5482f1", "relativizovat (v-w5482f1)")</f>
        <v>relativizovat (v-w5482f1)</v>
      </c>
    </row>
    <row r="40214" customFormat="false" ht="12.8" hidden="false" customHeight="false" outlineLevel="0" collapsed="false">
      <c r="B40214" s="0" t="s">
        <v>1</v>
      </c>
    </row>
    <row r="40215" customFormat="false" ht="12.8" hidden="false" customHeight="false" outlineLevel="0" collapsed="false">
      <c r="B40215" s="0" t="s">
        <v>8</v>
      </c>
    </row>
    <row r="40217" customFormat="false" ht="12.8" hidden="false" customHeight="false" outlineLevel="0" collapsed="false">
      <c r="A40217" s="0" t="s">
        <v>14814</v>
      </c>
      <c r="B40217" s="0" t="str">
        <f aca="false">HYPERLINK("https://lindat.mff.cuni.cz/services/teitok/pdtc10/index.php?action=vallex&amp;frame=v-w5483f1", "relaxovat (v-w5483f1)")</f>
        <v>relaxovat (v-w5483f1)</v>
      </c>
    </row>
    <row r="40218" customFormat="false" ht="12.8" hidden="false" customHeight="false" outlineLevel="0" collapsed="false">
      <c r="B40218" s="0" t="s">
        <v>1</v>
      </c>
    </row>
    <row r="40220" customFormat="false" ht="12.8" hidden="false" customHeight="false" outlineLevel="0" collapsed="false">
      <c r="A40220" s="0" t="s">
        <v>14815</v>
      </c>
      <c r="B40220" s="0" t="str">
        <f aca="false">HYPERLINK("https://lindat.mff.cuni.cz/services/teitok/pdtc10/index.php?action=vallex&amp;frame=v-whsb_726hsa_727", "relaxovat se (v-whsb_726hsa_727)")</f>
        <v>relaxovat se (v-whsb_726hsa_727)</v>
      </c>
    </row>
    <row r="40221" customFormat="false" ht="12.8" hidden="false" customHeight="false" outlineLevel="0" collapsed="false">
      <c r="B40221" s="0" t="s">
        <v>1</v>
      </c>
    </row>
    <row r="40223" customFormat="false" ht="12.8" hidden="false" customHeight="false" outlineLevel="0" collapsed="false">
      <c r="A40223" s="0" t="s">
        <v>14816</v>
      </c>
      <c r="B40223" s="0" t="str">
        <f aca="false">HYPERLINK("https://lindat.mff.cuni.cz/services/teitok/pdtc10/index.php?action=vallex&amp;frame=v-w5486f1", "remizovat (v-w5486f1)")</f>
        <v>remizovat (v-w5486f1)</v>
      </c>
    </row>
    <row r="40224" customFormat="false" ht="12.8" hidden="false" customHeight="false" outlineLevel="0" collapsed="false">
      <c r="B40224" s="0" t="s">
        <v>1</v>
      </c>
    </row>
    <row r="40225" customFormat="false" ht="12.8" hidden="false" customHeight="false" outlineLevel="0" collapsed="false">
      <c r="B40225" s="0" t="s">
        <v>409</v>
      </c>
    </row>
    <row r="40227" customFormat="false" ht="12.8" hidden="false" customHeight="false" outlineLevel="0" collapsed="false">
      <c r="A40227" s="0" t="s">
        <v>14817</v>
      </c>
      <c r="B40227" s="0" t="str">
        <f aca="false">HYPERLINK("https://lindat.mff.cuni.cz/services/teitok/pdtc10/index.php?action=vallex&amp;frame=v-w5487f1", "remízovat (v-w5487f1)")</f>
        <v>remízovat (v-w5487f1)</v>
      </c>
    </row>
    <row r="40228" customFormat="false" ht="12.8" hidden="false" customHeight="false" outlineLevel="0" collapsed="false">
      <c r="B40228" s="0" t="s">
        <v>1</v>
      </c>
    </row>
    <row r="40229" customFormat="false" ht="12.8" hidden="false" customHeight="false" outlineLevel="0" collapsed="false">
      <c r="B40229" s="0" t="s">
        <v>721</v>
      </c>
    </row>
    <row r="40231" customFormat="false" ht="12.8" hidden="false" customHeight="false" outlineLevel="0" collapsed="false">
      <c r="A40231" s="0" t="s">
        <v>14818</v>
      </c>
      <c r="B40231" s="0" t="str">
        <f aca="false">HYPERLINK("https://lindat.mff.cuni.cz/services/teitok/pdtc10/index.php?action=vallex&amp;frame=v-w10284f2", "renovovat (v-w10284f2)")</f>
        <v>renovovat (v-w10284f2)</v>
      </c>
    </row>
    <row r="40232" customFormat="false" ht="12.8" hidden="false" customHeight="false" outlineLevel="0" collapsed="false">
      <c r="B40232" s="0" t="s">
        <v>1</v>
      </c>
    </row>
    <row r="40233" customFormat="false" ht="12.8" hidden="false" customHeight="false" outlineLevel="0" collapsed="false">
      <c r="B40233" s="0" t="s">
        <v>8</v>
      </c>
    </row>
    <row r="40235" customFormat="false" ht="12.8" hidden="false" customHeight="false" outlineLevel="0" collapsed="false">
      <c r="A40235" s="0" t="s">
        <v>14819</v>
      </c>
      <c r="B40235" s="0" t="str">
        <f aca="false">HYPERLINK("https://lindat.mff.cuni.cz/services/teitok/pdtc10/index.php?action=vallex&amp;frame=v-w11091hsa_1229", "reorganizovat (v-w11091hsa_1229)")</f>
        <v>reorganizovat (v-w11091hsa_1229)</v>
      </c>
    </row>
    <row r="40236" customFormat="false" ht="12.8" hidden="false" customHeight="false" outlineLevel="0" collapsed="false">
      <c r="B40236" s="0" t="s">
        <v>1</v>
      </c>
    </row>
    <row r="40237" customFormat="false" ht="12.8" hidden="false" customHeight="false" outlineLevel="0" collapsed="false">
      <c r="B40237" s="0" t="s">
        <v>8</v>
      </c>
    </row>
    <row r="40238" customFormat="false" ht="12.8" hidden="false" customHeight="false" outlineLevel="0" collapsed="false">
      <c r="B40238" s="0" t="s">
        <v>101</v>
      </c>
    </row>
    <row r="40240" customFormat="false" ht="12.8" hidden="false" customHeight="false" outlineLevel="0" collapsed="false">
      <c r="A40240" s="0" t="s">
        <v>14819</v>
      </c>
      <c r="B40240" s="0" t="str">
        <f aca="false">HYPERLINK("https://lindat.mff.cuni.cz/services/teitok/pdtc10/index.php?action=vallex&amp;frame=v-w11091f2", "reorganizovat (v-w11091f2) - substituted with v-w11091hsa_1229")</f>
        <v>reorganizovat (v-w11091f2) - substituted with v-w11091hsa_1229</v>
      </c>
    </row>
    <row r="40241" customFormat="false" ht="12.8" hidden="false" customHeight="false" outlineLevel="0" collapsed="false">
      <c r="B40241" s="0" t="s">
        <v>1</v>
      </c>
    </row>
    <row r="40242" customFormat="false" ht="12.8" hidden="false" customHeight="false" outlineLevel="0" collapsed="false">
      <c r="B40242" s="0" t="s">
        <v>8</v>
      </c>
    </row>
    <row r="40243" customFormat="false" ht="12.8" hidden="false" customHeight="false" outlineLevel="0" collapsed="false">
      <c r="B40243" s="0" t="s">
        <v>101</v>
      </c>
    </row>
    <row r="40245" customFormat="false" ht="12.8" hidden="false" customHeight="false" outlineLevel="0" collapsed="false">
      <c r="A40245" s="0" t="s">
        <v>14820</v>
      </c>
      <c r="B40245" s="0" t="str">
        <f aca="false">HYPERLINK("https://lindat.mff.cuni.cz/services/teitok/pdtc10/index.php?action=vallex&amp;frame=v-w10440f2", "repatriovat (v-w10440f2)")</f>
        <v>repatriovat (v-w10440f2)</v>
      </c>
      <c r="E40245" s="0" t="str">
        <f aca="false">HYPERLINK("https://lindat.mff.cuni.cz/services/SynSemClass40/SynSemClass40.html?veclass=vec01437#vec01437-ces-cm00003", "vec01437")</f>
        <v>vec01437</v>
      </c>
      <c r="F40245" s="0" t="s">
        <v>7921</v>
      </c>
    </row>
    <row r="40246" customFormat="false" ht="12.8" hidden="false" customHeight="false" outlineLevel="0" collapsed="false">
      <c r="B40246" s="0" t="s">
        <v>1</v>
      </c>
      <c r="C40246" s="0" t="s">
        <v>4695</v>
      </c>
      <c r="E40246" s="0" t="s">
        <v>206</v>
      </c>
      <c r="F40246" s="0" t="s">
        <v>7923</v>
      </c>
    </row>
    <row r="40247" customFormat="false" ht="12.8" hidden="false" customHeight="false" outlineLevel="0" collapsed="false">
      <c r="B40247" s="0" t="s">
        <v>8</v>
      </c>
      <c r="C40247" s="0" t="s">
        <v>531</v>
      </c>
      <c r="E40247" s="0" t="s">
        <v>7925</v>
      </c>
      <c r="F40247" s="0" t="s">
        <v>7926</v>
      </c>
    </row>
    <row r="40248" customFormat="false" ht="12.8" hidden="false" customHeight="false" outlineLevel="0" collapsed="false">
      <c r="B40248" s="0" t="s">
        <v>164</v>
      </c>
      <c r="E40248" s="0" t="s">
        <v>7930</v>
      </c>
      <c r="F40248" s="0" t="s">
        <v>7931</v>
      </c>
    </row>
    <row r="40250" customFormat="false" ht="12.8" hidden="false" customHeight="false" outlineLevel="0" collapsed="false">
      <c r="A40250" s="0" t="s">
        <v>14821</v>
      </c>
      <c r="B40250" s="0" t="str">
        <f aca="false">HYPERLINK("https://lindat.mff.cuni.cz/services/teitok/pdtc10/index.php?action=vallex&amp;frame=v-w5500f1", "reprezentovat (v-w5500f1)")</f>
        <v>reprezentovat (v-w5500f1)</v>
      </c>
      <c r="E40250" s="0" t="str">
        <f aca="false">HYPERLINK("https://lindat.mff.cuni.cz/services/SynSemClass40/SynSemClass40.html?veclass=vec00375#vec00375-ces-cm00003", "vec00375")</f>
        <v>vec00375</v>
      </c>
      <c r="F40250" s="0" t="s">
        <v>10733</v>
      </c>
    </row>
    <row r="40251" customFormat="false" ht="12.8" hidden="false" customHeight="false" outlineLevel="0" collapsed="false">
      <c r="B40251" s="0" t="s">
        <v>1</v>
      </c>
      <c r="C40251" s="0" t="s">
        <v>10734</v>
      </c>
      <c r="E40251" s="0" t="s">
        <v>10735</v>
      </c>
      <c r="F40251" s="0" t="s">
        <v>10736</v>
      </c>
    </row>
    <row r="40252" customFormat="false" ht="12.8" hidden="false" customHeight="false" outlineLevel="0" collapsed="false">
      <c r="B40252" s="0" t="s">
        <v>8</v>
      </c>
      <c r="C40252" s="0" t="s">
        <v>10737</v>
      </c>
      <c r="E40252" s="0" t="s">
        <v>10738</v>
      </c>
      <c r="F40252" s="0" t="s">
        <v>10739</v>
      </c>
    </row>
    <row r="40254" customFormat="false" ht="12.8" hidden="false" customHeight="false" outlineLevel="0" collapsed="false">
      <c r="A40254" s="0" t="s">
        <v>14822</v>
      </c>
      <c r="B40254" s="0" t="str">
        <f aca="false">HYPERLINK("https://lindat.mff.cuni.cz/services/teitok/pdtc10/index.php?action=vallex&amp;frame=v-w5504f1", "reprodukovat (v-w5504f1)")</f>
        <v>reprodukovat (v-w5504f1)</v>
      </c>
    </row>
    <row r="40255" customFormat="false" ht="12.8" hidden="false" customHeight="false" outlineLevel="0" collapsed="false">
      <c r="B40255" s="0" t="s">
        <v>1</v>
      </c>
    </row>
    <row r="40256" customFormat="false" ht="12.8" hidden="false" customHeight="false" outlineLevel="0" collapsed="false">
      <c r="B40256" s="0" t="s">
        <v>8</v>
      </c>
    </row>
    <row r="40258" customFormat="false" ht="12.8" hidden="false" customHeight="false" outlineLevel="0" collapsed="false">
      <c r="A40258" s="0" t="s">
        <v>14823</v>
      </c>
      <c r="B40258" s="0" t="str">
        <f aca="false">HYPERLINK("https://lindat.mff.cuni.cz/services/teitok/pdtc10/index.php?action=vallex&amp;frame=v-w5504f3", "reprodukovat (v-w5504f3)")</f>
        <v>reprodukovat (v-w5504f3)</v>
      </c>
    </row>
    <row r="40259" customFormat="false" ht="12.8" hidden="false" customHeight="false" outlineLevel="0" collapsed="false">
      <c r="B40259" s="0" t="s">
        <v>1</v>
      </c>
    </row>
    <row r="40260" customFormat="false" ht="12.8" hidden="false" customHeight="false" outlineLevel="0" collapsed="false">
      <c r="B40260" s="0" t="s">
        <v>8</v>
      </c>
    </row>
    <row r="40262" customFormat="false" ht="12.8" hidden="false" customHeight="false" outlineLevel="0" collapsed="false">
      <c r="A40262" s="0" t="s">
        <v>14824</v>
      </c>
      <c r="B40262" s="0" t="str">
        <f aca="false">HYPERLINK("https://lindat.mff.cuni.cz/services/teitok/pdtc10/index.php?action=vallex&amp;frame=v-w5504f2", "reprodukovat (v-w5504f2)")</f>
        <v>reprodukovat (v-w5504f2)</v>
      </c>
    </row>
    <row r="40263" customFormat="false" ht="12.8" hidden="false" customHeight="false" outlineLevel="0" collapsed="false">
      <c r="B40263" s="0" t="s">
        <v>1</v>
      </c>
    </row>
    <row r="40264" customFormat="false" ht="12.8" hidden="false" customHeight="false" outlineLevel="0" collapsed="false">
      <c r="B40264" s="0" t="s">
        <v>8</v>
      </c>
    </row>
    <row r="40266" customFormat="false" ht="12.8" hidden="false" customHeight="false" outlineLevel="0" collapsed="false">
      <c r="A40266" s="0" t="s">
        <v>14825</v>
      </c>
      <c r="B40266" s="0" t="str">
        <f aca="false">HYPERLINK("https://lindat.mff.cuni.cz/services/teitok/pdtc10/index.php?action=vallex&amp;frame=v-w5505f1", "reprodukovat se (v-w5505f1)")</f>
        <v>reprodukovat se (v-w5505f1)</v>
      </c>
    </row>
    <row r="40267" customFormat="false" ht="12.8" hidden="false" customHeight="false" outlineLevel="0" collapsed="false">
      <c r="B40267" s="0" t="s">
        <v>1</v>
      </c>
    </row>
    <row r="40269" customFormat="false" ht="12.8" hidden="false" customHeight="false" outlineLevel="0" collapsed="false">
      <c r="A40269" s="0" t="s">
        <v>14826</v>
      </c>
      <c r="B40269" s="0" t="str">
        <f aca="false">HYPERLINK("https://lindat.mff.cuni.cz/services/teitok/pdtc10/index.php?action=vallex&amp;frame=v-w10975f2", "reptat (v-w10975f2)")</f>
        <v>reptat (v-w10975f2)</v>
      </c>
      <c r="E40269" s="0" t="str">
        <f aca="false">HYPERLINK("https://lindat.mff.cuni.cz/services/SynSemClass40/SynSemClass40.html?veclass=vec00132#vec00132-ces-cm00005", "vec00132")</f>
        <v>vec00132</v>
      </c>
      <c r="F40269" s="0" t="s">
        <v>484</v>
      </c>
      <c r="H40269" s="0" t="str">
        <f aca="false">HYPERLINK("https://lindat.mff.cuni.cz/services/SynSemClass40/SynSemClass40.html?veclass=vec01489#vec01489-ces-cm00010", "vec01489")</f>
        <v>vec01489</v>
      </c>
      <c r="I40269" s="0" t="s">
        <v>485</v>
      </c>
    </row>
    <row r="40270" customFormat="false" ht="12.8" hidden="false" customHeight="false" outlineLevel="0" collapsed="false">
      <c r="B40270" s="0" t="s">
        <v>1</v>
      </c>
      <c r="C40270" s="0" t="s">
        <v>486</v>
      </c>
      <c r="E40270" s="0" t="s">
        <v>63</v>
      </c>
      <c r="F40270" s="0" t="s">
        <v>487</v>
      </c>
      <c r="H40270" s="0" t="s">
        <v>63</v>
      </c>
      <c r="I40270" s="0" t="s">
        <v>488</v>
      </c>
    </row>
    <row r="40271" customFormat="false" ht="12.8" hidden="false" customHeight="false" outlineLevel="0" collapsed="false">
      <c r="B40271" s="0" t="s">
        <v>797</v>
      </c>
      <c r="C40271" s="0" t="s">
        <v>490</v>
      </c>
      <c r="E40271" s="0" t="s">
        <v>230</v>
      </c>
      <c r="F40271" s="0" t="s">
        <v>491</v>
      </c>
      <c r="H40271" s="0" t="s">
        <v>230</v>
      </c>
      <c r="I40271" s="0" t="s">
        <v>492</v>
      </c>
    </row>
    <row r="40273" customFormat="false" ht="12.8" hidden="false" customHeight="false" outlineLevel="0" collapsed="false">
      <c r="A40273" s="0" t="s">
        <v>14827</v>
      </c>
      <c r="B40273" s="0" t="str">
        <f aca="false">HYPERLINK("https://lindat.mff.cuni.cz/services/teitok/pdtc10/index.php?action=vallex&amp;frame=v-w5508f1", "respektovat (v-w5508f1)")</f>
        <v>respektovat (v-w5508f1)</v>
      </c>
      <c r="E40273" s="0" t="str">
        <f aca="false">HYPERLINK("https://lindat.mff.cuni.cz/services/SynSemClass40/SynSemClass40.html?veclass=vec00303#vec00303-ces-cm00032", "vec00303")</f>
        <v>vec00303</v>
      </c>
      <c r="F40273" s="0" t="s">
        <v>1818</v>
      </c>
    </row>
    <row r="40274" customFormat="false" ht="12.8" hidden="false" customHeight="false" outlineLevel="0" collapsed="false">
      <c r="B40274" s="0" t="s">
        <v>1</v>
      </c>
      <c r="C40274" s="0" t="s">
        <v>1819</v>
      </c>
      <c r="E40274" s="0" t="s">
        <v>11</v>
      </c>
      <c r="F40274" s="0" t="s">
        <v>1820</v>
      </c>
    </row>
    <row r="40275" customFormat="false" ht="12.8" hidden="false" customHeight="false" outlineLevel="0" collapsed="false">
      <c r="B40275" s="0" t="s">
        <v>2128</v>
      </c>
      <c r="C40275" s="0" t="s">
        <v>1822</v>
      </c>
      <c r="E40275" s="0" t="s">
        <v>1823</v>
      </c>
      <c r="F40275" s="0" t="s">
        <v>1824</v>
      </c>
    </row>
    <row r="40277" customFormat="false" ht="12.8" hidden="false" customHeight="false" outlineLevel="0" collapsed="false">
      <c r="A40277" s="0" t="s">
        <v>14828</v>
      </c>
      <c r="B40277" s="0" t="str">
        <f aca="false">HYPERLINK("https://lindat.mff.cuni.cz/services/teitok/pdtc10/index.php?action=vallex&amp;frame=v-w12306_MMf1_MM", "restaurovat (v-w12306_MMf1_MM)")</f>
        <v>restaurovat (v-w12306_MMf1_MM)</v>
      </c>
    </row>
    <row r="40278" customFormat="false" ht="12.8" hidden="false" customHeight="false" outlineLevel="0" collapsed="false">
      <c r="B40278" s="0" t="s">
        <v>1</v>
      </c>
    </row>
    <row r="40279" customFormat="false" ht="12.8" hidden="false" customHeight="false" outlineLevel="0" collapsed="false">
      <c r="B40279" s="0" t="s">
        <v>8</v>
      </c>
    </row>
    <row r="40281" customFormat="false" ht="12.8" hidden="false" customHeight="false" outlineLevel="0" collapsed="false">
      <c r="A40281" s="0" t="s">
        <v>14829</v>
      </c>
      <c r="B40281" s="0" t="str">
        <f aca="false">HYPERLINK("https://lindat.mff.cuni.cz/services/teitok/pdtc10/index.php?action=vallex&amp;frame=v-w12360_MMf1_MM", "restituovat (v-w12360_MMf1_MM)")</f>
        <v>restituovat (v-w12360_MMf1_MM)</v>
      </c>
    </row>
    <row r="40282" customFormat="false" ht="12.8" hidden="false" customHeight="false" outlineLevel="0" collapsed="false">
      <c r="B40282" s="0" t="s">
        <v>1</v>
      </c>
    </row>
    <row r="40283" customFormat="false" ht="12.8" hidden="false" customHeight="false" outlineLevel="0" collapsed="false">
      <c r="B40283" s="0" t="s">
        <v>8</v>
      </c>
    </row>
    <row r="40284" customFormat="false" ht="12.8" hidden="false" customHeight="false" outlineLevel="0" collapsed="false">
      <c r="B40284" s="0" t="s">
        <v>602</v>
      </c>
    </row>
    <row r="40286" customFormat="false" ht="12.8" hidden="false" customHeight="false" outlineLevel="0" collapsed="false">
      <c r="A40286" s="0" t="s">
        <v>14830</v>
      </c>
      <c r="B40286" s="0" t="str">
        <f aca="false">HYPERLINK("https://lindat.mff.cuni.cz/services/teitok/pdtc10/index.php?action=vallex&amp;frame=v-w5514hsa_440", "restrukturalizovat (v-w5514hsa_440)")</f>
        <v>restrukturalizovat (v-w5514hsa_440)</v>
      </c>
      <c r="E40286" s="0" t="str">
        <f aca="false">HYPERLINK("https://lindat.mff.cuni.cz/services/SynSemClass40/SynSemClass40.html?veclass=vec00095#vec00095-ces-cm00032", "vec00095")</f>
        <v>vec00095</v>
      </c>
      <c r="F40286" s="0" t="s">
        <v>29</v>
      </c>
    </row>
    <row r="40287" customFormat="false" ht="12.8" hidden="false" customHeight="false" outlineLevel="0" collapsed="false">
      <c r="B40287" s="0" t="s">
        <v>1</v>
      </c>
      <c r="C40287" s="0" t="s">
        <v>30</v>
      </c>
      <c r="E40287" s="0" t="s">
        <v>31</v>
      </c>
      <c r="F40287" s="0" t="s">
        <v>32</v>
      </c>
    </row>
    <row r="40288" customFormat="false" ht="12.8" hidden="false" customHeight="false" outlineLevel="0" collapsed="false">
      <c r="B40288" s="0" t="s">
        <v>8</v>
      </c>
      <c r="C40288" s="0" t="s">
        <v>33</v>
      </c>
      <c r="E40288" s="0" t="s">
        <v>34</v>
      </c>
      <c r="F40288" s="0" t="s">
        <v>35</v>
      </c>
    </row>
    <row r="40289" customFormat="false" ht="12.8" hidden="false" customHeight="false" outlineLevel="0" collapsed="false">
      <c r="B40289" s="0" t="s">
        <v>101</v>
      </c>
      <c r="C40289" s="0" t="s">
        <v>41</v>
      </c>
      <c r="E40289" s="0" t="s">
        <v>42</v>
      </c>
      <c r="F40289" s="0" t="s">
        <v>43</v>
      </c>
    </row>
    <row r="40291" customFormat="false" ht="12.8" hidden="false" customHeight="false" outlineLevel="0" collapsed="false">
      <c r="A40291" s="0" t="s">
        <v>14830</v>
      </c>
      <c r="B40291" s="0" t="str">
        <f aca="false">HYPERLINK("https://lindat.mff.cuni.cz/services/teitok/pdtc10/index.php?action=vallex&amp;frame=v-w5514f1", "restrukturalizovat (v-w5514f1) - substituted with v-w5514hsa_440")</f>
        <v>restrukturalizovat (v-w5514f1) - substituted with v-w5514hsa_440</v>
      </c>
    </row>
    <row r="40292" customFormat="false" ht="12.8" hidden="false" customHeight="false" outlineLevel="0" collapsed="false">
      <c r="B40292" s="0" t="s">
        <v>1</v>
      </c>
    </row>
    <row r="40293" customFormat="false" ht="12.8" hidden="false" customHeight="false" outlineLevel="0" collapsed="false">
      <c r="B40293" s="0" t="s">
        <v>8</v>
      </c>
    </row>
    <row r="40294" customFormat="false" ht="12.8" hidden="false" customHeight="false" outlineLevel="0" collapsed="false">
      <c r="B40294" s="0" t="s">
        <v>101</v>
      </c>
    </row>
    <row r="40296" customFormat="false" ht="12.8" hidden="false" customHeight="false" outlineLevel="0" collapsed="false">
      <c r="A40296" s="0" t="s">
        <v>14831</v>
      </c>
      <c r="B40296" s="0" t="str">
        <f aca="false">HYPERLINK("https://lindat.mff.cuni.cz/services/teitok/pdtc10/index.php?action=vallex&amp;frame=v-w11481f1", "restrukturalizovat se (v-w11481f1)")</f>
        <v>restrukturalizovat se (v-w11481f1)</v>
      </c>
      <c r="E40296" s="0" t="str">
        <f aca="false">HYPERLINK("https://lindat.mff.cuni.cz/services/SynSemClass40/SynSemClass40.html?veclass=vec01132#vec01132-ces-cm00178", "vec01132")</f>
        <v>vec01132</v>
      </c>
      <c r="F40296" s="0" t="s">
        <v>6967</v>
      </c>
    </row>
    <row r="40297" customFormat="false" ht="12.8" hidden="false" customHeight="false" outlineLevel="0" collapsed="false">
      <c r="B40297" s="0" t="s">
        <v>1</v>
      </c>
      <c r="C40297" s="0" t="s">
        <v>6968</v>
      </c>
      <c r="E40297" s="0" t="s">
        <v>84</v>
      </c>
      <c r="F40297" s="0" t="s">
        <v>6969</v>
      </c>
    </row>
    <row r="40298" customFormat="false" ht="12.8" hidden="false" customHeight="false" outlineLevel="0" collapsed="false">
      <c r="B40298" s="0" t="s">
        <v>6970</v>
      </c>
      <c r="C40298" s="0" t="s">
        <v>6971</v>
      </c>
      <c r="E40298" s="0" t="s">
        <v>1592</v>
      </c>
      <c r="F40298" s="0" t="s">
        <v>6972</v>
      </c>
    </row>
    <row r="40299" customFormat="false" ht="12.8" hidden="false" customHeight="false" outlineLevel="0" collapsed="false">
      <c r="B40299" s="0" t="s">
        <v>36</v>
      </c>
      <c r="C40299" s="0" t="s">
        <v>6973</v>
      </c>
      <c r="E40299" s="0" t="s">
        <v>38</v>
      </c>
      <c r="F40299" s="0" t="s">
        <v>6974</v>
      </c>
    </row>
    <row r="40301" customFormat="false" ht="12.8" hidden="false" customHeight="false" outlineLevel="0" collapsed="false">
      <c r="A40301" s="0" t="s">
        <v>14832</v>
      </c>
      <c r="B40301" s="0" t="str">
        <f aca="false">HYPERLINK("https://lindat.mff.cuni.cz/services/teitok/pdtc10/index.php?action=vallex&amp;frame=v-w10198f2", "restrukturovat (v-w10198f2)")</f>
        <v>restrukturovat (v-w10198f2)</v>
      </c>
    </row>
    <row r="40302" customFormat="false" ht="12.8" hidden="false" customHeight="false" outlineLevel="0" collapsed="false">
      <c r="B40302" s="0" t="s">
        <v>1</v>
      </c>
    </row>
    <row r="40303" customFormat="false" ht="12.8" hidden="false" customHeight="false" outlineLevel="0" collapsed="false">
      <c r="B40303" s="0" t="s">
        <v>8</v>
      </c>
    </row>
    <row r="40305" customFormat="false" ht="12.8" hidden="false" customHeight="false" outlineLevel="0" collapsed="false">
      <c r="A40305" s="0" t="s">
        <v>14833</v>
      </c>
      <c r="B40305" s="0" t="str">
        <f aca="false">HYPERLINK("https://lindat.mff.cuni.cz/services/teitok/pdtc10/index.php?action=vallex&amp;frame=v-w5515f1", "retardovat (v-w5515f1)")</f>
        <v>retardovat (v-w5515f1)</v>
      </c>
    </row>
    <row r="40306" customFormat="false" ht="12.8" hidden="false" customHeight="false" outlineLevel="0" collapsed="false">
      <c r="B40306" s="0" t="s">
        <v>1</v>
      </c>
    </row>
    <row r="40307" customFormat="false" ht="12.8" hidden="false" customHeight="false" outlineLevel="0" collapsed="false">
      <c r="B40307" s="0" t="s">
        <v>8</v>
      </c>
    </row>
    <row r="40309" customFormat="false" ht="12.8" hidden="false" customHeight="false" outlineLevel="0" collapsed="false">
      <c r="A40309" s="0" t="s">
        <v>14834</v>
      </c>
      <c r="B40309" s="0" t="str">
        <f aca="false">HYPERLINK("https://lindat.mff.cuni.cz/services/teitok/pdtc10/index.php?action=vallex&amp;frame=v-w5519f2", "revalvovat (v-w5519f2)")</f>
        <v>revalvovat (v-w5519f2)</v>
      </c>
    </row>
    <row r="40310" customFormat="false" ht="12.8" hidden="false" customHeight="false" outlineLevel="0" collapsed="false">
      <c r="B40310" s="0" t="s">
        <v>1</v>
      </c>
    </row>
    <row r="40311" customFormat="false" ht="12.8" hidden="false" customHeight="false" outlineLevel="0" collapsed="false">
      <c r="B40311" s="0" t="s">
        <v>8</v>
      </c>
    </row>
    <row r="40313" customFormat="false" ht="12.8" hidden="false" customHeight="false" outlineLevel="0" collapsed="false">
      <c r="A40313" s="0" t="s">
        <v>14835</v>
      </c>
      <c r="B40313" s="0" t="str">
        <f aca="false">HYPERLINK("https://lindat.mff.cuni.cz/services/teitok/pdtc10/index.php?action=vallex&amp;frame=v-w5519f1", "revalvovat (v-w5519f1)")</f>
        <v>revalvovat (v-w5519f1)</v>
      </c>
    </row>
    <row r="40314" customFormat="false" ht="12.8" hidden="false" customHeight="false" outlineLevel="0" collapsed="false">
      <c r="B40314" s="0" t="s">
        <v>1</v>
      </c>
    </row>
    <row r="40316" customFormat="false" ht="12.8" hidden="false" customHeight="false" outlineLevel="0" collapsed="false">
      <c r="A40316" s="0" t="s">
        <v>14836</v>
      </c>
      <c r="B40316" s="0" t="str">
        <f aca="false">HYPERLINK("https://lindat.mff.cuni.cz/services/teitok/pdtc10/index.php?action=vallex&amp;frame=v-w5520f1", "revidovat (v-w5520f1)")</f>
        <v>revidovat (v-w5520f1)</v>
      </c>
      <c r="E40316" s="0" t="str">
        <f aca="false">HYPERLINK("https://lindat.mff.cuni.cz/services/SynSemClass40/SynSemClass40.html?veclass=vec01304#vec01304-ces-cm00006", "vec01304")</f>
        <v>vec01304</v>
      </c>
      <c r="F40316" s="0" t="s">
        <v>302</v>
      </c>
      <c r="H40316" s="0" t="str">
        <f aca="false">HYPERLINK("https://lindat.mff.cuni.cz/services/SynSemClass40/SynSemClass40.html?veclass=vec01416#vec01416-ces-cm00015", "vec01416")</f>
        <v>vec01416</v>
      </c>
      <c r="I40316" s="0" t="s">
        <v>5648</v>
      </c>
    </row>
    <row r="40317" customFormat="false" ht="12.8" hidden="false" customHeight="false" outlineLevel="0" collapsed="false">
      <c r="B40317" s="0" t="s">
        <v>1</v>
      </c>
      <c r="C40317" s="0" t="s">
        <v>14837</v>
      </c>
      <c r="E40317" s="0" t="s">
        <v>115</v>
      </c>
      <c r="F40317" s="0" t="s">
        <v>304</v>
      </c>
      <c r="H40317" s="0" t="s">
        <v>4581</v>
      </c>
      <c r="I40317" s="0" t="s">
        <v>5650</v>
      </c>
    </row>
    <row r="40318" customFormat="false" ht="12.8" hidden="false" customHeight="false" outlineLevel="0" collapsed="false">
      <c r="B40318" s="0" t="s">
        <v>2493</v>
      </c>
      <c r="C40318" s="0" t="s">
        <v>14838</v>
      </c>
      <c r="E40318" s="0" t="s">
        <v>119</v>
      </c>
      <c r="F40318" s="0" t="s">
        <v>307</v>
      </c>
      <c r="H40318" s="0" t="s">
        <v>9853</v>
      </c>
      <c r="I40318" s="0" t="s">
        <v>9854</v>
      </c>
    </row>
    <row r="40320" customFormat="false" ht="12.8" hidden="false" customHeight="false" outlineLevel="0" collapsed="false">
      <c r="A40320" s="0" t="s">
        <v>14839</v>
      </c>
      <c r="B40320" s="0" t="str">
        <f aca="false">HYPERLINK("https://lindat.mff.cuni.cz/services/teitok/pdtc10/index.php?action=vallex&amp;frame=v-w5525f1", "revokovat (v-w5525f1)")</f>
        <v>revokovat (v-w5525f1)</v>
      </c>
    </row>
    <row r="40321" customFormat="false" ht="12.8" hidden="false" customHeight="false" outlineLevel="0" collapsed="false">
      <c r="B40321" s="0" t="s">
        <v>1</v>
      </c>
    </row>
    <row r="40322" customFormat="false" ht="12.8" hidden="false" customHeight="false" outlineLevel="0" collapsed="false">
      <c r="B40322" s="0" t="s">
        <v>8</v>
      </c>
    </row>
    <row r="40324" customFormat="false" ht="12.8" hidden="false" customHeight="false" outlineLevel="0" collapsed="false">
      <c r="A40324" s="0" t="s">
        <v>14840</v>
      </c>
      <c r="B40324" s="0" t="str">
        <f aca="false">HYPERLINK("https://lindat.mff.cuni.cz/services/teitok/pdtc10/index.php?action=vallex&amp;frame=v-w5526f1", "rezavět (v-w5526f1)")</f>
        <v>rezavět (v-w5526f1)</v>
      </c>
    </row>
    <row r="40325" customFormat="false" ht="12.8" hidden="false" customHeight="false" outlineLevel="0" collapsed="false">
      <c r="B40325" s="0" t="s">
        <v>1</v>
      </c>
    </row>
    <row r="40327" customFormat="false" ht="12.8" hidden="false" customHeight="false" outlineLevel="0" collapsed="false">
      <c r="A40327" s="0" t="s">
        <v>14841</v>
      </c>
      <c r="B40327" s="0" t="str">
        <f aca="false">HYPERLINK("https://lindat.mff.cuni.cz/services/teitok/pdtc10/index.php?action=vallex&amp;frame=v-w5528f1", "rezervovat (v-w5528f1)")</f>
        <v>rezervovat (v-w5528f1)</v>
      </c>
      <c r="E40327" s="0" t="str">
        <f aca="false">HYPERLINK("https://lindat.mff.cuni.cz/services/SynSemClass40/SynSemClass40.html?veclass=vec00178#vec00178-ces-cm00128", "vec00178")</f>
        <v>vec00178</v>
      </c>
      <c r="F40327" s="0" t="s">
        <v>8586</v>
      </c>
    </row>
    <row r="40328" customFormat="false" ht="12.8" hidden="false" customHeight="false" outlineLevel="0" collapsed="false">
      <c r="B40328" s="0" t="s">
        <v>1</v>
      </c>
      <c r="C40328" s="0" t="s">
        <v>5649</v>
      </c>
      <c r="E40328" s="0" t="s">
        <v>31</v>
      </c>
      <c r="F40328" s="0" t="s">
        <v>8587</v>
      </c>
    </row>
    <row r="40329" customFormat="false" ht="12.8" hidden="false" customHeight="false" outlineLevel="0" collapsed="false">
      <c r="B40329" s="0" t="s">
        <v>8</v>
      </c>
      <c r="C40329" s="0" t="s">
        <v>8588</v>
      </c>
      <c r="E40329" s="0" t="s">
        <v>34</v>
      </c>
      <c r="F40329" s="0" t="s">
        <v>8589</v>
      </c>
    </row>
    <row r="40330" customFormat="false" ht="12.8" hidden="false" customHeight="false" outlineLevel="0" collapsed="false">
      <c r="B40330" s="0" t="s">
        <v>3473</v>
      </c>
      <c r="C40330" s="0" t="s">
        <v>14842</v>
      </c>
      <c r="E40330" s="0" t="s">
        <v>1392</v>
      </c>
      <c r="F40330" s="0" t="s">
        <v>11508</v>
      </c>
    </row>
    <row r="40332" customFormat="false" ht="12.8" hidden="false" customHeight="false" outlineLevel="0" collapsed="false">
      <c r="A40332" s="0" t="s">
        <v>14843</v>
      </c>
      <c r="B40332" s="0" t="str">
        <f aca="false">HYPERLINK("https://lindat.mff.cuni.cz/services/teitok/pdtc10/index.php?action=vallex&amp;frame=v-w5530f1", "rezignovat (v-w5530f1)")</f>
        <v>rezignovat (v-w5530f1)</v>
      </c>
      <c r="E40332" s="0" t="str">
        <f aca="false">HYPERLINK("https://lindat.mff.cuni.cz/services/SynSemClass40/SynSemClass40.html?veclass=vec00942#vec00942-ces-cm00031", "vec00942")</f>
        <v>vec00942</v>
      </c>
      <c r="F40332" s="0" t="s">
        <v>1686</v>
      </c>
    </row>
    <row r="40333" customFormat="false" ht="12.8" hidden="false" customHeight="false" outlineLevel="0" collapsed="false">
      <c r="B40333" s="0" t="s">
        <v>1</v>
      </c>
      <c r="C40333" s="0" t="s">
        <v>1687</v>
      </c>
      <c r="E40333" s="0" t="s">
        <v>11</v>
      </c>
      <c r="F40333" s="0" t="s">
        <v>1688</v>
      </c>
    </row>
    <row r="40334" customFormat="false" ht="12.8" hidden="false" customHeight="false" outlineLevel="0" collapsed="false">
      <c r="B40334" s="0" t="s">
        <v>14844</v>
      </c>
      <c r="C40334" s="0" t="s">
        <v>1690</v>
      </c>
      <c r="E40334" s="0" t="s">
        <v>140</v>
      </c>
      <c r="F40334" s="0" t="s">
        <v>1691</v>
      </c>
    </row>
    <row r="40336" customFormat="false" ht="12.8" hidden="false" customHeight="false" outlineLevel="0" collapsed="false">
      <c r="A40336" s="0" t="s">
        <v>14845</v>
      </c>
      <c r="B40336" s="0" t="str">
        <f aca="false">HYPERLINK("https://lindat.mff.cuni.cz/services/teitok/pdtc10/index.php?action=vallex&amp;frame=v-whsa_269hsa_270", "rezivět (v-whsa_269hsa_270)")</f>
        <v>rezivět (v-whsa_269hsa_270)</v>
      </c>
    </row>
    <row r="40337" customFormat="false" ht="12.8" hidden="false" customHeight="false" outlineLevel="0" collapsed="false">
      <c r="B40337" s="0" t="s">
        <v>1</v>
      </c>
    </row>
    <row r="40339" customFormat="false" ht="12.8" hidden="false" customHeight="false" outlineLevel="0" collapsed="false">
      <c r="A40339" s="0" t="s">
        <v>14846</v>
      </c>
      <c r="B40339" s="0" t="str">
        <f aca="false">HYPERLINK("https://lindat.mff.cuni.cz/services/teitok/pdtc10/index.php?action=vallex&amp;frame=v-w11161f2", "rezonovat (v-w11161f2)")</f>
        <v>rezonovat (v-w11161f2)</v>
      </c>
      <c r="E40339" s="0" t="str">
        <f aca="false">HYPERLINK("https://lindat.mff.cuni.cz/services/SynSemClass40/SynSemClass40.html?veclass=vec01099#vec01099-ces-cm00001", "vec01099")</f>
        <v>vec01099</v>
      </c>
      <c r="F40339" s="0" t="s">
        <v>14847</v>
      </c>
    </row>
    <row r="40340" customFormat="false" ht="12.8" hidden="false" customHeight="false" outlineLevel="0" collapsed="false">
      <c r="B40340" s="0" t="s">
        <v>1</v>
      </c>
      <c r="C40340" s="0" t="s">
        <v>10</v>
      </c>
      <c r="E40340" s="0" t="s">
        <v>1971</v>
      </c>
      <c r="F40340" s="0" t="s">
        <v>14848</v>
      </c>
    </row>
    <row r="40341" customFormat="false" ht="12.8" hidden="false" customHeight="false" outlineLevel="0" collapsed="false">
      <c r="B40341" s="0" t="s">
        <v>721</v>
      </c>
      <c r="C40341" s="0" t="s">
        <v>1511</v>
      </c>
      <c r="E40341" s="0" t="s">
        <v>1976</v>
      </c>
      <c r="F40341" s="0" t="s">
        <v>14849</v>
      </c>
    </row>
    <row r="40343" customFormat="false" ht="12.8" hidden="false" customHeight="false" outlineLevel="0" collapsed="false">
      <c r="A40343" s="0" t="s">
        <v>14850</v>
      </c>
      <c r="B40343" s="0" t="str">
        <f aca="false">HYPERLINK("https://lindat.mff.cuni.cz/services/teitok/pdtc10/index.php?action=vallex&amp;frame=v-w11161hsa_136", "rezonovat (v-w11161hsa_136)")</f>
        <v>rezonovat (v-w11161hsa_136)</v>
      </c>
    </row>
    <row r="40344" customFormat="false" ht="12.8" hidden="false" customHeight="false" outlineLevel="0" collapsed="false">
      <c r="B40344" s="0" t="s">
        <v>1</v>
      </c>
    </row>
    <row r="40346" customFormat="false" ht="12.8" hidden="false" customHeight="false" outlineLevel="0" collapsed="false">
      <c r="A40346" s="0" t="s">
        <v>14851</v>
      </c>
      <c r="B40346" s="0" t="str">
        <f aca="false">HYPERLINK("https://lindat.mff.cuni.cz/services/teitok/pdtc10/index.php?action=vallex&amp;frame=v-w5534f1", "rezultovat (v-w5534f1)")</f>
        <v>rezultovat (v-w5534f1)</v>
      </c>
    </row>
    <row r="40347" customFormat="false" ht="12.8" hidden="false" customHeight="false" outlineLevel="0" collapsed="false">
      <c r="B40347" s="0" t="s">
        <v>1</v>
      </c>
    </row>
    <row r="40348" customFormat="false" ht="12.8" hidden="false" customHeight="false" outlineLevel="0" collapsed="false">
      <c r="B40348" s="0" t="s">
        <v>763</v>
      </c>
    </row>
    <row r="40350" customFormat="false" ht="12.8" hidden="false" customHeight="false" outlineLevel="0" collapsed="false">
      <c r="A40350" s="0" t="s">
        <v>14852</v>
      </c>
      <c r="B40350" s="0" t="str">
        <f aca="false">HYPERLINK("https://lindat.mff.cuni.cz/services/teitok/pdtc10/index.php?action=vallex&amp;frame=v-w5536f1", "režírovat (v-w5536f1)")</f>
        <v>režírovat (v-w5536f1)</v>
      </c>
      <c r="E40350" s="0" t="str">
        <f aca="false">HYPERLINK("https://lindat.mff.cuni.cz/services/SynSemClass40/SynSemClass40.html?veclass=vec00302#vec00302-ces-cm00044", "vec00302")</f>
        <v>vec00302</v>
      </c>
      <c r="F40350" s="0" t="s">
        <v>1991</v>
      </c>
    </row>
    <row r="40351" customFormat="false" ht="12.8" hidden="false" customHeight="false" outlineLevel="0" collapsed="false">
      <c r="B40351" s="0" t="s">
        <v>1</v>
      </c>
      <c r="C40351" s="0" t="s">
        <v>1992</v>
      </c>
      <c r="E40351" s="0" t="s">
        <v>206</v>
      </c>
      <c r="F40351" s="0" t="s">
        <v>1993</v>
      </c>
    </row>
    <row r="40352" customFormat="false" ht="12.8" hidden="false" customHeight="false" outlineLevel="0" collapsed="false">
      <c r="B40352" s="0" t="s">
        <v>8</v>
      </c>
      <c r="C40352" s="0" t="s">
        <v>1994</v>
      </c>
      <c r="E40352" s="0" t="s">
        <v>1995</v>
      </c>
      <c r="F40352" s="0" t="s">
        <v>1996</v>
      </c>
    </row>
    <row r="40354" customFormat="false" ht="12.8" hidden="false" customHeight="false" outlineLevel="0" collapsed="false">
      <c r="A40354" s="0" t="s">
        <v>14853</v>
      </c>
      <c r="B40354" s="0" t="str">
        <f aca="false">HYPERLINK("https://lindat.mff.cuni.cz/services/teitok/pdtc10/index.php?action=vallex&amp;frame=v-w11572_ZUf1_ZU", "riffovat (v-w11572_ZUf1_ZU)")</f>
        <v>riffovat (v-w11572_ZUf1_ZU)</v>
      </c>
    </row>
    <row r="40355" customFormat="false" ht="12.8" hidden="false" customHeight="false" outlineLevel="0" collapsed="false">
      <c r="B40355" s="0" t="s">
        <v>1</v>
      </c>
    </row>
    <row r="40356" customFormat="false" ht="12.8" hidden="false" customHeight="false" outlineLevel="0" collapsed="false">
      <c r="B40356" s="0" t="s">
        <v>496</v>
      </c>
    </row>
    <row r="40357" customFormat="false" ht="12.8" hidden="false" customHeight="false" outlineLevel="0" collapsed="false">
      <c r="B40357" s="0" t="s">
        <v>11998</v>
      </c>
    </row>
    <row r="40359" customFormat="false" ht="12.8" hidden="false" customHeight="false" outlineLevel="0" collapsed="false">
      <c r="A40359" s="0" t="s">
        <v>14854</v>
      </c>
      <c r="B40359" s="0" t="str">
        <f aca="false">HYPERLINK("https://lindat.mff.cuni.cz/services/teitok/pdtc10/index.php?action=vallex&amp;frame=v-whsa_1359hsa_1360", "risknout (v-whsa_1359hsa_1360)")</f>
        <v>risknout (v-whsa_1359hsa_1360)</v>
      </c>
    </row>
    <row r="40360" customFormat="false" ht="12.8" hidden="false" customHeight="false" outlineLevel="0" collapsed="false">
      <c r="B40360" s="0" t="s">
        <v>1</v>
      </c>
    </row>
    <row r="40361" customFormat="false" ht="12.8" hidden="false" customHeight="false" outlineLevel="0" collapsed="false">
      <c r="B40361" s="0" t="s">
        <v>59</v>
      </c>
    </row>
    <row r="40363" customFormat="false" ht="12.8" hidden="false" customHeight="false" outlineLevel="0" collapsed="false">
      <c r="A40363" s="0" t="s">
        <v>14855</v>
      </c>
      <c r="B40363" s="0" t="str">
        <f aca="false">HYPERLINK("https://lindat.mff.cuni.cz/services/teitok/pdtc10/index.php?action=vallex&amp;frame=v-w5540f1", "riskovat (v-w5540f1)")</f>
        <v>riskovat (v-w5540f1)</v>
      </c>
      <c r="E40363" s="0" t="str">
        <f aca="false">HYPERLINK("https://lindat.mff.cuni.cz/services/SynSemClass40/SynSemClass40.html?veclass=vec00104#vec00104-ces-cm00001", "vec00104")</f>
        <v>vec00104</v>
      </c>
      <c r="F40363" s="0" t="s">
        <v>7710</v>
      </c>
    </row>
    <row r="40364" customFormat="false" ht="12.8" hidden="false" customHeight="false" outlineLevel="0" collapsed="false">
      <c r="B40364" s="0" t="s">
        <v>1</v>
      </c>
      <c r="C40364" s="0" t="s">
        <v>6310</v>
      </c>
      <c r="E40364" s="0" t="s">
        <v>11</v>
      </c>
      <c r="F40364" s="0" t="s">
        <v>7711</v>
      </c>
    </row>
    <row r="40365" customFormat="false" ht="12.8" hidden="false" customHeight="false" outlineLevel="0" collapsed="false">
      <c r="B40365" s="0" t="s">
        <v>14856</v>
      </c>
      <c r="C40365" s="0" t="s">
        <v>13246</v>
      </c>
      <c r="E40365" s="0" t="s">
        <v>594</v>
      </c>
      <c r="F40365" s="0" t="s">
        <v>14857</v>
      </c>
    </row>
    <row r="40367" customFormat="false" ht="12.8" hidden="false" customHeight="false" outlineLevel="0" collapsed="false">
      <c r="A40367" s="0" t="s">
        <v>14858</v>
      </c>
      <c r="B40367" s="0" t="str">
        <f aca="false">HYPERLINK("https://lindat.mff.cuni.cz/services/teitok/pdtc10/index.php?action=vallex&amp;frame=v-w5543f1", "rmoutit (v-w5543f1)")</f>
        <v>rmoutit (v-w5543f1)</v>
      </c>
    </row>
    <row r="40368" customFormat="false" ht="12.8" hidden="false" customHeight="false" outlineLevel="0" collapsed="false">
      <c r="B40368" s="0" t="s">
        <v>843</v>
      </c>
    </row>
    <row r="40369" customFormat="false" ht="12.8" hidden="false" customHeight="false" outlineLevel="0" collapsed="false">
      <c r="B40369" s="0" t="s">
        <v>8</v>
      </c>
    </row>
    <row r="40371" customFormat="false" ht="12.8" hidden="false" customHeight="false" outlineLevel="0" collapsed="false">
      <c r="A40371" s="0" t="s">
        <v>14859</v>
      </c>
      <c r="B40371" s="0" t="str">
        <f aca="false">HYPERLINK("https://lindat.mff.cuni.cz/services/teitok/pdtc10/index.php?action=vallex&amp;frame=v-whsa_1826f1_ZU", "rodit (v-whsa_1826f1_ZU)")</f>
        <v>rodit (v-whsa_1826f1_ZU)</v>
      </c>
    </row>
    <row r="40372" customFormat="false" ht="12.8" hidden="false" customHeight="false" outlineLevel="0" collapsed="false">
      <c r="B40372" s="0" t="s">
        <v>1</v>
      </c>
    </row>
    <row r="40373" customFormat="false" ht="12.8" hidden="false" customHeight="false" outlineLevel="0" collapsed="false">
      <c r="B40373" s="0" t="s">
        <v>8</v>
      </c>
    </row>
    <row r="40375" customFormat="false" ht="12.8" hidden="false" customHeight="false" outlineLevel="0" collapsed="false">
      <c r="A40375" s="0" t="s">
        <v>14859</v>
      </c>
      <c r="B40375" s="0" t="str">
        <f aca="false">HYPERLINK("https://lindat.mff.cuni.cz/services/teitok/pdtc10/index.php?action=vallex&amp;frame=v-whsa_1826hsa_1827", "rodit (v-whsa_1826hsa_1827) - substituted with v-whsa_1826f1_ZU")</f>
        <v>rodit (v-whsa_1826hsa_1827) - substituted with v-whsa_1826f1_ZU</v>
      </c>
    </row>
    <row r="40376" customFormat="false" ht="12.8" hidden="false" customHeight="false" outlineLevel="0" collapsed="false">
      <c r="B40376" s="0" t="s">
        <v>1</v>
      </c>
    </row>
    <row r="40377" customFormat="false" ht="12.8" hidden="false" customHeight="false" outlineLevel="0" collapsed="false">
      <c r="B40377" s="0" t="s">
        <v>8</v>
      </c>
    </row>
    <row r="40379" customFormat="false" ht="12.8" hidden="false" customHeight="false" outlineLevel="0" collapsed="false">
      <c r="A40379" s="0" t="s">
        <v>14860</v>
      </c>
      <c r="B40379" s="0" t="str">
        <f aca="false">HYPERLINK("https://lindat.mff.cuni.cz/services/teitok/pdtc10/index.php?action=vallex&amp;frame=v-whsa_1826f2_ZU", "rodit (v-whsa_1826f2_ZU)")</f>
        <v>rodit (v-whsa_1826f2_ZU)</v>
      </c>
    </row>
    <row r="40380" customFormat="false" ht="12.8" hidden="false" customHeight="false" outlineLevel="0" collapsed="false">
      <c r="B40380" s="0" t="s">
        <v>1</v>
      </c>
    </row>
    <row r="40381" customFormat="false" ht="12.8" hidden="false" customHeight="false" outlineLevel="0" collapsed="false">
      <c r="B40381" s="0" t="s">
        <v>8</v>
      </c>
    </row>
    <row r="40383" customFormat="false" ht="12.8" hidden="false" customHeight="false" outlineLevel="0" collapsed="false">
      <c r="A40383" s="0" t="s">
        <v>14861</v>
      </c>
      <c r="B40383" s="0" t="str">
        <f aca="false">HYPERLINK("https://lindat.mff.cuni.cz/services/teitok/pdtc10/index.php?action=vallex&amp;frame=v-w5544f1", "rodit se (v-w5544f1)")</f>
        <v>rodit se (v-w5544f1)</v>
      </c>
      <c r="E40383" s="0" t="str">
        <f aca="false">HYPERLINK("https://lindat.mff.cuni.cz/services/SynSemClass40/SynSemClass40.html?veclass=vec00197#vec00197-ces-cm00003", "vec00197")</f>
        <v>vec00197</v>
      </c>
      <c r="F40383" s="0" t="s">
        <v>14862</v>
      </c>
    </row>
    <row r="40384" customFormat="false" ht="12.8" hidden="false" customHeight="false" outlineLevel="0" collapsed="false">
      <c r="B40384" s="0" t="s">
        <v>1</v>
      </c>
      <c r="C40384" s="0" t="s">
        <v>1507</v>
      </c>
      <c r="E40384" s="0" t="s">
        <v>957</v>
      </c>
      <c r="F40384" s="0" t="s">
        <v>10263</v>
      </c>
    </row>
    <row r="40385" customFormat="false" ht="12.8" hidden="false" customHeight="false" outlineLevel="0" collapsed="false">
      <c r="B40385" s="0" t="s">
        <v>763</v>
      </c>
      <c r="C40385" s="0" t="s">
        <v>14863</v>
      </c>
      <c r="E40385" s="0" t="s">
        <v>14864</v>
      </c>
      <c r="F40385" s="0" t="s">
        <v>14865</v>
      </c>
    </row>
    <row r="40387" customFormat="false" ht="12.8" hidden="false" customHeight="false" outlineLevel="0" collapsed="false">
      <c r="A40387" s="0" t="s">
        <v>14866</v>
      </c>
      <c r="B40387" s="0" t="str">
        <f aca="false">HYPERLINK("https://lindat.mff.cuni.cz/services/teitok/pdtc10/index.php?action=vallex&amp;frame=v-w5544f2_ZU", "rodit se (v-w5544f2_ZU)")</f>
        <v>rodit se (v-w5544f2_ZU)</v>
      </c>
    </row>
    <row r="40388" customFormat="false" ht="12.8" hidden="false" customHeight="false" outlineLevel="0" collapsed="false">
      <c r="B40388" s="0" t="s">
        <v>1</v>
      </c>
    </row>
    <row r="40390" customFormat="false" ht="12.8" hidden="false" customHeight="false" outlineLevel="0" collapsed="false">
      <c r="A40390" s="0" t="s">
        <v>14866</v>
      </c>
      <c r="B40390" s="0" t="str">
        <f aca="false">HYPERLINK("https://lindat.mff.cuni.cz/services/teitok/pdtc10/index.php?action=vallex&amp;frame=v-w5544hsa_1674", "rodit se (v-w5544hsa_1674) - substituted with v-w5544f2_ZU")</f>
        <v>rodit se (v-w5544hsa_1674) - substituted with v-w5544f2_ZU</v>
      </c>
    </row>
    <row r="40391" customFormat="false" ht="12.8" hidden="false" customHeight="false" outlineLevel="0" collapsed="false">
      <c r="B40391" s="0" t="s">
        <v>1</v>
      </c>
    </row>
    <row r="40393" customFormat="false" ht="12.8" hidden="false" customHeight="false" outlineLevel="0" collapsed="false">
      <c r="A40393" s="0" t="s">
        <v>14867</v>
      </c>
      <c r="B40393" s="0" t="str">
        <f aca="false">HYPERLINK("https://lindat.mff.cuni.cz/services/teitok/pdtc10/index.php?action=vallex&amp;frame=v-w5544f3_ZU", "rodit se (v-w5544f3_ZU)")</f>
        <v>rodit se (v-w5544f3_ZU)</v>
      </c>
    </row>
    <row r="40394" customFormat="false" ht="12.8" hidden="false" customHeight="false" outlineLevel="0" collapsed="false">
      <c r="B40394" s="0" t="s">
        <v>1</v>
      </c>
    </row>
    <row r="40395" customFormat="false" ht="12.8" hidden="false" customHeight="false" outlineLevel="0" collapsed="false">
      <c r="B40395" s="0" t="s">
        <v>763</v>
      </c>
    </row>
    <row r="40397" customFormat="false" ht="12.8" hidden="false" customHeight="false" outlineLevel="0" collapsed="false">
      <c r="A40397" s="0" t="s">
        <v>14868</v>
      </c>
      <c r="B40397" s="0" t="str">
        <f aca="false">HYPERLINK("https://lindat.mff.cuni.cz/services/teitok/pdtc10/index.php?action=vallex&amp;frame=v-w5545f1", "rojit se (v-w5545f1)")</f>
        <v>rojit se (v-w5545f1)</v>
      </c>
    </row>
    <row r="40398" customFormat="false" ht="12.8" hidden="false" customHeight="false" outlineLevel="0" collapsed="false">
      <c r="B40398" s="0" t="s">
        <v>1</v>
      </c>
    </row>
    <row r="40399" customFormat="false" ht="12.8" hidden="false" customHeight="false" outlineLevel="0" collapsed="false">
      <c r="B40399" s="0" t="s">
        <v>5</v>
      </c>
    </row>
    <row r="40401" customFormat="false" ht="12.8" hidden="false" customHeight="false" outlineLevel="0" collapsed="false">
      <c r="A40401" s="0" t="s">
        <v>14869</v>
      </c>
      <c r="B40401" s="0" t="str">
        <f aca="false">HYPERLINK("https://lindat.mff.cuni.cz/services/teitok/pdtc10/index.php?action=vallex&amp;frame=v-w5545f2", "rojit se (v-w5545f2)")</f>
        <v>rojit se (v-w5545f2)</v>
      </c>
    </row>
    <row r="40402" customFormat="false" ht="12.8" hidden="false" customHeight="false" outlineLevel="0" collapsed="false">
      <c r="B40402" s="0" t="s">
        <v>1</v>
      </c>
    </row>
    <row r="40403" customFormat="false" ht="12.8" hidden="false" customHeight="false" outlineLevel="0" collapsed="false">
      <c r="B40403" s="0" t="s">
        <v>14870</v>
      </c>
    </row>
    <row r="40405" customFormat="false" ht="12.8" hidden="false" customHeight="false" outlineLevel="0" collapsed="false">
      <c r="A40405" s="0" t="s">
        <v>14871</v>
      </c>
      <c r="B40405" s="0" t="str">
        <f aca="false">HYPERLINK("https://lindat.mff.cuni.cz/services/teitok/pdtc10/index.php?action=vallex&amp;frame=v-w5548f1", "rokovat (v-w5548f1)")</f>
        <v>rokovat (v-w5548f1)</v>
      </c>
      <c r="E40405" s="0" t="str">
        <f aca="false">HYPERLINK("https://lindat.mff.cuni.cz/services/SynSemClass40/SynSemClass40.html?veclass=vec00031#vec00031-ces-cm00115", "vec00031")</f>
        <v>vec00031</v>
      </c>
      <c r="F40405" s="0" t="s">
        <v>277</v>
      </c>
      <c r="H40405" s="0" t="str">
        <f aca="false">HYPERLINK("https://lindat.mff.cuni.cz/services/SynSemClass40/SynSemClass40.html?veclass=vec00162#vec00162-ces-cm00055", "vec00162")</f>
        <v>vec00162</v>
      </c>
      <c r="I40405" s="0" t="s">
        <v>1109</v>
      </c>
    </row>
    <row r="40406" customFormat="false" ht="12.8" hidden="false" customHeight="false" outlineLevel="0" collapsed="false">
      <c r="B40406" s="0" t="s">
        <v>1</v>
      </c>
      <c r="C40406" s="0" t="s">
        <v>12367</v>
      </c>
      <c r="E40406" s="0" t="s">
        <v>147</v>
      </c>
      <c r="F40406" s="0" t="s">
        <v>279</v>
      </c>
      <c r="H40406" s="0" t="s">
        <v>2241</v>
      </c>
      <c r="I40406" s="0" t="s">
        <v>2242</v>
      </c>
    </row>
    <row r="40407" customFormat="false" ht="12.8" hidden="false" customHeight="false" outlineLevel="0" collapsed="false">
      <c r="B40407" s="0" t="s">
        <v>318</v>
      </c>
      <c r="C40407" s="0" t="s">
        <v>12368</v>
      </c>
      <c r="E40407" s="0" t="s">
        <v>218</v>
      </c>
      <c r="F40407" s="0" t="s">
        <v>281</v>
      </c>
      <c r="H40407" s="0" t="s">
        <v>209</v>
      </c>
      <c r="I40407" s="0" t="s">
        <v>2245</v>
      </c>
    </row>
    <row r="40408" customFormat="false" ht="12.8" hidden="false" customHeight="false" outlineLevel="0" collapsed="false">
      <c r="B40408" s="0" t="s">
        <v>276</v>
      </c>
      <c r="C40408" s="0" t="s">
        <v>12369</v>
      </c>
      <c r="E40408" s="0" t="s">
        <v>221</v>
      </c>
      <c r="F40408" s="0" t="s">
        <v>283</v>
      </c>
      <c r="H40408" s="0" t="s">
        <v>2247</v>
      </c>
      <c r="I40408" s="0" t="s">
        <v>2248</v>
      </c>
    </row>
    <row r="40410" customFormat="false" ht="12.8" hidden="false" customHeight="false" outlineLevel="0" collapsed="false">
      <c r="A40410" s="0" t="s">
        <v>14872</v>
      </c>
      <c r="B40410" s="0" t="str">
        <f aca="false">HYPERLINK("https://lindat.mff.cuni.cz/services/teitok/pdtc10/index.php?action=vallex&amp;frame=v-w10083f2", "rotovat (v-w10083f2)")</f>
        <v>rotovat (v-w10083f2)</v>
      </c>
    </row>
    <row r="40411" customFormat="false" ht="12.8" hidden="false" customHeight="false" outlineLevel="0" collapsed="false">
      <c r="B40411" s="0" t="s">
        <v>1</v>
      </c>
    </row>
    <row r="40413" customFormat="false" ht="12.8" hidden="false" customHeight="false" outlineLevel="0" collapsed="false">
      <c r="A40413" s="0" t="s">
        <v>14873</v>
      </c>
      <c r="B40413" s="0" t="str">
        <f aca="false">HYPERLINK("https://lindat.mff.cuni.cz/services/teitok/pdtc10/index.php?action=vallex&amp;frame=v-w12370_MMf1_MM", "rovnat (v-w12370_MMf1_MM)")</f>
        <v>rovnat (v-w12370_MMf1_MM)</v>
      </c>
    </row>
    <row r="40414" customFormat="false" ht="12.8" hidden="false" customHeight="false" outlineLevel="0" collapsed="false">
      <c r="B40414" s="0" t="s">
        <v>1</v>
      </c>
    </row>
    <row r="40415" customFormat="false" ht="12.8" hidden="false" customHeight="false" outlineLevel="0" collapsed="false">
      <c r="B40415" s="0" t="s">
        <v>8</v>
      </c>
    </row>
    <row r="40417" customFormat="false" ht="12.8" hidden="false" customHeight="false" outlineLevel="0" collapsed="false">
      <c r="A40417" s="0" t="s">
        <v>14874</v>
      </c>
      <c r="B40417" s="0" t="str">
        <f aca="false">HYPERLINK("https://lindat.mff.cuni.cz/services/teitok/pdtc10/index.php?action=vallex&amp;frame=v-w5554f2", "rovnat se (v-w5554f2)")</f>
        <v>rovnat se (v-w5554f2)</v>
      </c>
    </row>
    <row r="40418" customFormat="false" ht="12.8" hidden="false" customHeight="false" outlineLevel="0" collapsed="false">
      <c r="B40418" s="0" t="s">
        <v>835</v>
      </c>
    </row>
    <row r="40419" customFormat="false" ht="12.8" hidden="false" customHeight="false" outlineLevel="0" collapsed="false">
      <c r="B40419" s="0" t="s">
        <v>1807</v>
      </c>
    </row>
    <row r="40421" customFormat="false" ht="12.8" hidden="false" customHeight="false" outlineLevel="0" collapsed="false">
      <c r="A40421" s="0" t="s">
        <v>14875</v>
      </c>
      <c r="B40421" s="0" t="str">
        <f aca="false">HYPERLINK("https://lindat.mff.cuni.cz/services/teitok/pdtc10/index.php?action=vallex&amp;frame=v-w5554f1", "rovnat se (v-w5554f1)")</f>
        <v>rovnat se (v-w5554f1)</v>
      </c>
      <c r="E40421" s="0" t="str">
        <f aca="false">HYPERLINK("https://lindat.mff.cuni.cz/services/SynSemClass40/SynSemClass40.html?veclass=vec00250#vec00250-ces-cm00023", "vec00250")</f>
        <v>vec00250</v>
      </c>
      <c r="F40421" s="0" t="s">
        <v>9124</v>
      </c>
    </row>
    <row r="40422" customFormat="false" ht="12.8" hidden="false" customHeight="false" outlineLevel="0" collapsed="false">
      <c r="B40422" s="0" t="s">
        <v>1</v>
      </c>
      <c r="C40422" s="0" t="s">
        <v>9125</v>
      </c>
      <c r="E40422" s="0" t="s">
        <v>1971</v>
      </c>
      <c r="F40422" s="0" t="s">
        <v>9126</v>
      </c>
    </row>
    <row r="40423" customFormat="false" ht="12.8" hidden="false" customHeight="false" outlineLevel="0" collapsed="false">
      <c r="B40423" s="0" t="s">
        <v>186</v>
      </c>
      <c r="C40423" s="0" t="s">
        <v>9127</v>
      </c>
      <c r="E40423" s="0" t="s">
        <v>1976</v>
      </c>
      <c r="F40423" s="0" t="s">
        <v>9128</v>
      </c>
    </row>
    <row r="40425" customFormat="false" ht="12.8" hidden="false" customHeight="false" outlineLevel="0" collapsed="false">
      <c r="A40425" s="0" t="s">
        <v>14876</v>
      </c>
      <c r="B40425" s="0" t="str">
        <f aca="false">HYPERLINK("https://lindat.mff.cuni.cz/services/teitok/pdtc10/index.php?action=vallex&amp;frame=v-w5554f4_ZU", "rovnat se (v-w5554f4_ZU)")</f>
        <v>rovnat se (v-w5554f4_ZU)</v>
      </c>
      <c r="E40425" s="0" t="str">
        <f aca="false">HYPERLINK("https://lindat.mff.cuni.cz/services/SynSemClass40/SynSemClass40.html?veclass=vec00206#vec00206-ces-cm00073", "vec00206")</f>
        <v>vec00206</v>
      </c>
      <c r="F40425" s="0" t="s">
        <v>2728</v>
      </c>
    </row>
    <row r="40426" customFormat="false" ht="12.8" hidden="false" customHeight="false" outlineLevel="0" collapsed="false">
      <c r="B40426" s="0" t="s">
        <v>1</v>
      </c>
      <c r="C40426" s="0" t="s">
        <v>2729</v>
      </c>
      <c r="E40426" s="0" t="s">
        <v>235</v>
      </c>
      <c r="F40426" s="0" t="s">
        <v>2730</v>
      </c>
    </row>
    <row r="40427" customFormat="false" ht="12.8" hidden="false" customHeight="false" outlineLevel="0" collapsed="false">
      <c r="B40427" s="0" t="s">
        <v>186</v>
      </c>
      <c r="C40427" s="0" t="s">
        <v>2731</v>
      </c>
      <c r="E40427" s="0" t="s">
        <v>2732</v>
      </c>
      <c r="F40427" s="0" t="s">
        <v>2733</v>
      </c>
    </row>
    <row r="40429" customFormat="false" ht="12.8" hidden="false" customHeight="false" outlineLevel="0" collapsed="false">
      <c r="A40429" s="0" t="s">
        <v>14876</v>
      </c>
      <c r="B40429" s="0" t="str">
        <f aca="false">HYPERLINK("https://lindat.mff.cuni.cz/services/teitok/pdtc10/index.php?action=vallex&amp;frame=v-w5554f3_ZU", "rovnat se (v-w5554f3_ZU) - substituted with v-w5554f4_ZU")</f>
        <v>rovnat se (v-w5554f3_ZU) - substituted with v-w5554f4_ZU</v>
      </c>
    </row>
    <row r="40430" customFormat="false" ht="12.8" hidden="false" customHeight="false" outlineLevel="0" collapsed="false">
      <c r="B40430" s="0" t="s">
        <v>1</v>
      </c>
    </row>
    <row r="40431" customFormat="false" ht="12.8" hidden="false" customHeight="false" outlineLevel="0" collapsed="false">
      <c r="B40431" s="0" t="s">
        <v>186</v>
      </c>
    </row>
    <row r="40433" customFormat="false" ht="12.8" hidden="false" customHeight="false" outlineLevel="0" collapsed="false">
      <c r="A40433" s="0" t="s">
        <v>14877</v>
      </c>
      <c r="B40433" s="0" t="str">
        <f aca="false">HYPERLINK("https://lindat.mff.cuni.cz/services/teitok/pdtc10/index.php?action=vallex&amp;frame=v-whsa_1644hsa_1645", "rozbalit (v-whsa_1644hsa_1645)")</f>
        <v>rozbalit (v-whsa_1644hsa_1645)</v>
      </c>
    </row>
    <row r="40434" customFormat="false" ht="12.8" hidden="false" customHeight="false" outlineLevel="0" collapsed="false">
      <c r="B40434" s="0" t="s">
        <v>1</v>
      </c>
    </row>
    <row r="40435" customFormat="false" ht="12.8" hidden="false" customHeight="false" outlineLevel="0" collapsed="false">
      <c r="B40435" s="0" t="s">
        <v>8</v>
      </c>
    </row>
    <row r="40437" customFormat="false" ht="12.8" hidden="false" customHeight="false" outlineLevel="0" collapsed="false">
      <c r="A40437" s="0" t="s">
        <v>14878</v>
      </c>
      <c r="B40437" s="0" t="str">
        <f aca="false">HYPERLINK("https://lindat.mff.cuni.cz/services/teitok/pdtc10/index.php?action=vallex&amp;frame=v-whsa_647hsa_648", "rozbalovat (v-whsa_647hsa_648)")</f>
        <v>rozbalovat (v-whsa_647hsa_648)</v>
      </c>
    </row>
    <row r="40438" customFormat="false" ht="12.8" hidden="false" customHeight="false" outlineLevel="0" collapsed="false">
      <c r="B40438" s="0" t="s">
        <v>1</v>
      </c>
    </row>
    <row r="40439" customFormat="false" ht="12.8" hidden="false" customHeight="false" outlineLevel="0" collapsed="false">
      <c r="B40439" s="0" t="s">
        <v>8</v>
      </c>
    </row>
    <row r="40441" customFormat="false" ht="12.8" hidden="false" customHeight="false" outlineLevel="0" collapsed="false">
      <c r="A40441" s="0" t="s">
        <v>14879</v>
      </c>
      <c r="B40441" s="0" t="str">
        <f aca="false">HYPERLINK("https://lindat.mff.cuni.cz/services/teitok/pdtc10/index.php?action=vallex&amp;frame=v-w11374f1", "rozbalovat se (v-w11374f1)")</f>
        <v>rozbalovat se (v-w11374f1)</v>
      </c>
    </row>
    <row r="40442" customFormat="false" ht="12.8" hidden="false" customHeight="false" outlineLevel="0" collapsed="false">
      <c r="B40442" s="0" t="s">
        <v>1</v>
      </c>
    </row>
    <row r="40444" customFormat="false" ht="12.8" hidden="false" customHeight="false" outlineLevel="0" collapsed="false">
      <c r="A40444" s="0" t="s">
        <v>14880</v>
      </c>
      <c r="B40444" s="0" t="str">
        <f aca="false">HYPERLINK("https://lindat.mff.cuni.cz/services/teitok/pdtc10/index.php?action=vallex&amp;frame=v-whsa_591hsa_592", "rozbourat (v-whsa_591hsa_592)")</f>
        <v>rozbourat (v-whsa_591hsa_592)</v>
      </c>
    </row>
    <row r="40445" customFormat="false" ht="12.8" hidden="false" customHeight="false" outlineLevel="0" collapsed="false">
      <c r="B40445" s="0" t="s">
        <v>1</v>
      </c>
    </row>
    <row r="40446" customFormat="false" ht="12.8" hidden="false" customHeight="false" outlineLevel="0" collapsed="false">
      <c r="B40446" s="0" t="s">
        <v>8</v>
      </c>
    </row>
    <row r="40448" customFormat="false" ht="12.8" hidden="false" customHeight="false" outlineLevel="0" collapsed="false">
      <c r="A40448" s="0" t="s">
        <v>14881</v>
      </c>
      <c r="B40448" s="0" t="str">
        <f aca="false">HYPERLINK("https://lindat.mff.cuni.cz/services/teitok/pdtc10/index.php?action=vallex&amp;frame=v-w11573_ZUf1_ZU", "rozbouřit (v-w11573_ZUf1_ZU)")</f>
        <v>rozbouřit (v-w11573_ZUf1_ZU)</v>
      </c>
      <c r="E40448" s="0" t="str">
        <f aca="false">HYPERLINK("https://lindat.mff.cuni.cz/services/SynSemClass40/SynSemClass40.html?veclass=vec00915#vec00915-ces-cm00003", "vec00915")</f>
        <v>vec00915</v>
      </c>
      <c r="F40448" s="0" t="s">
        <v>14882</v>
      </c>
    </row>
    <row r="40449" customFormat="false" ht="12.8" hidden="false" customHeight="false" outlineLevel="0" collapsed="false">
      <c r="B40449" s="0" t="s">
        <v>1</v>
      </c>
      <c r="C40449" s="0" t="s">
        <v>1752</v>
      </c>
      <c r="E40449" s="0" t="s">
        <v>76</v>
      </c>
      <c r="F40449" s="0" t="s">
        <v>14883</v>
      </c>
    </row>
    <row r="40450" customFormat="false" ht="12.8" hidden="false" customHeight="false" outlineLevel="0" collapsed="false">
      <c r="B40450" s="0" t="s">
        <v>8</v>
      </c>
      <c r="C40450" s="0" t="s">
        <v>1575</v>
      </c>
      <c r="E40450" s="0" t="s">
        <v>142</v>
      </c>
      <c r="F40450" s="0" t="s">
        <v>1576</v>
      </c>
    </row>
    <row r="40452" customFormat="false" ht="12.8" hidden="false" customHeight="false" outlineLevel="0" collapsed="false">
      <c r="A40452" s="0" t="s">
        <v>14884</v>
      </c>
      <c r="B40452" s="0" t="str">
        <f aca="false">HYPERLINK("https://lindat.mff.cuni.cz/services/teitok/pdtc10/index.php?action=vallex&amp;frame=v-w11961_ZUf1_ZU", "rozbouřit se (v-w11961_ZUf1_ZU)")</f>
        <v>rozbouřit se (v-w11961_ZUf1_ZU)</v>
      </c>
    </row>
    <row r="40453" customFormat="false" ht="12.8" hidden="false" customHeight="false" outlineLevel="0" collapsed="false">
      <c r="B40453" s="0" t="s">
        <v>1</v>
      </c>
    </row>
    <row r="40455" customFormat="false" ht="12.8" hidden="false" customHeight="false" outlineLevel="0" collapsed="false">
      <c r="A40455" s="0" t="s">
        <v>14885</v>
      </c>
      <c r="B40455" s="0" t="str">
        <f aca="false">HYPERLINK("https://lindat.mff.cuni.cz/services/teitok/pdtc10/index.php?action=vallex&amp;frame=v-whsa_341hsa_342", "rozbořit (v-whsa_341hsa_342)")</f>
        <v>rozbořit (v-whsa_341hsa_342)</v>
      </c>
    </row>
    <row r="40456" customFormat="false" ht="12.8" hidden="false" customHeight="false" outlineLevel="0" collapsed="false">
      <c r="B40456" s="0" t="s">
        <v>1</v>
      </c>
    </row>
    <row r="40457" customFormat="false" ht="12.8" hidden="false" customHeight="false" outlineLevel="0" collapsed="false">
      <c r="B40457" s="0" t="s">
        <v>8</v>
      </c>
    </row>
    <row r="40459" customFormat="false" ht="12.8" hidden="false" customHeight="false" outlineLevel="0" collapsed="false">
      <c r="A40459" s="0" t="s">
        <v>14886</v>
      </c>
      <c r="B40459" s="0" t="str">
        <f aca="false">HYPERLINK("https://lindat.mff.cuni.cz/services/teitok/pdtc10/index.php?action=vallex&amp;frame=v-w11970_ZUf1_ZU", "rozbrečet se (v-w11970_ZUf1_ZU)")</f>
        <v>rozbrečet se (v-w11970_ZUf1_ZU)</v>
      </c>
    </row>
    <row r="40460" customFormat="false" ht="12.8" hidden="false" customHeight="false" outlineLevel="0" collapsed="false">
      <c r="B40460" s="0" t="s">
        <v>1</v>
      </c>
    </row>
    <row r="40462" customFormat="false" ht="12.8" hidden="false" customHeight="false" outlineLevel="0" collapsed="false">
      <c r="A40462" s="0" t="s">
        <v>14887</v>
      </c>
      <c r="B40462" s="0" t="str">
        <f aca="false">HYPERLINK("https://lindat.mff.cuni.cz/services/teitok/pdtc10/index.php?action=vallex&amp;frame=v-whsa_633hsa_634", "rozbušit se (v-whsa_633hsa_634)")</f>
        <v>rozbušit se (v-whsa_633hsa_634)</v>
      </c>
    </row>
    <row r="40463" customFormat="false" ht="12.8" hidden="false" customHeight="false" outlineLevel="0" collapsed="false">
      <c r="B40463" s="0" t="s">
        <v>1</v>
      </c>
    </row>
    <row r="40465" customFormat="false" ht="12.8" hidden="false" customHeight="false" outlineLevel="0" collapsed="false">
      <c r="A40465" s="0" t="s">
        <v>14888</v>
      </c>
      <c r="B40465" s="0" t="str">
        <f aca="false">HYPERLINK("https://lindat.mff.cuni.cz/services/teitok/pdtc10/index.php?action=vallex&amp;frame=v-w12332_MMf1_MM", "rozbíhat (v-w12332_MMf1_MM)")</f>
        <v>rozbíhat (v-w12332_MMf1_MM)</v>
      </c>
    </row>
    <row r="40466" customFormat="false" ht="12.8" hidden="false" customHeight="false" outlineLevel="0" collapsed="false">
      <c r="B40466" s="0" t="s">
        <v>1</v>
      </c>
    </row>
    <row r="40467" customFormat="false" ht="12.8" hidden="false" customHeight="false" outlineLevel="0" collapsed="false">
      <c r="B40467" s="0" t="s">
        <v>8</v>
      </c>
    </row>
    <row r="40469" customFormat="false" ht="12.8" hidden="false" customHeight="false" outlineLevel="0" collapsed="false">
      <c r="A40469" s="0" t="s">
        <v>14889</v>
      </c>
      <c r="B40469" s="0" t="str">
        <f aca="false">HYPERLINK("https://lindat.mff.cuni.cz/services/teitok/pdtc10/index.php?action=vallex&amp;frame=v-w5561f1", "rozbíhat se (v-w5561f1)")</f>
        <v>rozbíhat se (v-w5561f1)</v>
      </c>
      <c r="E40469" s="0" t="str">
        <f aca="false">HYPERLINK("https://lindat.mff.cuni.cz/services/SynSemClass40/SynSemClass40.html?veclass=vec00097#vec00097-ces-cm00204", "vec00097")</f>
        <v>vec00097</v>
      </c>
      <c r="F40469" s="0" t="s">
        <v>373</v>
      </c>
    </row>
    <row r="40470" customFormat="false" ht="12.8" hidden="false" customHeight="false" outlineLevel="0" collapsed="false">
      <c r="B40470" s="0" t="s">
        <v>1</v>
      </c>
      <c r="C40470" s="0" t="s">
        <v>374</v>
      </c>
      <c r="E40470" s="0" t="s">
        <v>375</v>
      </c>
      <c r="F40470" s="0" t="s">
        <v>376</v>
      </c>
    </row>
    <row r="40472" customFormat="false" ht="12.8" hidden="false" customHeight="false" outlineLevel="0" collapsed="false">
      <c r="A40472" s="0" t="s">
        <v>14890</v>
      </c>
      <c r="B40472" s="0" t="str">
        <f aca="false">HYPERLINK("https://lindat.mff.cuni.cz/services/teitok/pdtc10/index.php?action=vallex&amp;frame=v-w5563f1", "rozbíjet (v-w5563f1)")</f>
        <v>rozbíjet (v-w5563f1)</v>
      </c>
      <c r="E40472" s="0" t="str">
        <f aca="false">HYPERLINK("https://lindat.mff.cuni.cz/services/SynSemClass40/SynSemClass40.html?veclass=vec00389#vec00389-ces-cm00042", "vec00389")</f>
        <v>vec00389</v>
      </c>
      <c r="F40472" s="0" t="s">
        <v>1888</v>
      </c>
      <c r="H40472" s="0" t="str">
        <f aca="false">HYPERLINK("https://lindat.mff.cuni.cz/services/SynSemClass40/SynSemClass40.html?veclass=vec00903#vec00903-ces-cm00008", "vec00903")</f>
        <v>vec00903</v>
      </c>
      <c r="I40472" s="0" t="s">
        <v>8059</v>
      </c>
    </row>
    <row r="40473" customFormat="false" ht="12.8" hidden="false" customHeight="false" outlineLevel="0" collapsed="false">
      <c r="B40473" s="0" t="s">
        <v>1</v>
      </c>
      <c r="C40473" s="0" t="s">
        <v>14891</v>
      </c>
      <c r="E40473" s="0" t="s">
        <v>1890</v>
      </c>
      <c r="F40473" s="0" t="s">
        <v>1891</v>
      </c>
      <c r="H40473" s="0" t="s">
        <v>1890</v>
      </c>
      <c r="I40473" s="0" t="s">
        <v>8061</v>
      </c>
    </row>
    <row r="40474" customFormat="false" ht="12.8" hidden="false" customHeight="false" outlineLevel="0" collapsed="false">
      <c r="B40474" s="0" t="s">
        <v>305</v>
      </c>
      <c r="C40474" s="0" t="s">
        <v>14892</v>
      </c>
      <c r="E40474" s="0" t="s">
        <v>1893</v>
      </c>
      <c r="F40474" s="0" t="s">
        <v>1894</v>
      </c>
      <c r="H40474" s="0" t="s">
        <v>1893</v>
      </c>
      <c r="I40474" s="0" t="s">
        <v>8063</v>
      </c>
    </row>
    <row r="40475" customFormat="false" ht="12.8" hidden="false" customHeight="false" outlineLevel="0" collapsed="false">
      <c r="B40475" s="0" t="s">
        <v>101</v>
      </c>
      <c r="C40475" s="0" t="s">
        <v>14893</v>
      </c>
      <c r="E40475" s="0" t="s">
        <v>14894</v>
      </c>
      <c r="F40475" s="0" t="s">
        <v>14895</v>
      </c>
      <c r="H40475" s="0" t="s">
        <v>2584</v>
      </c>
      <c r="I40475" s="0" t="s">
        <v>8065</v>
      </c>
    </row>
    <row r="40477" customFormat="false" ht="12.8" hidden="false" customHeight="false" outlineLevel="0" collapsed="false">
      <c r="A40477" s="0" t="s">
        <v>14896</v>
      </c>
      <c r="B40477" s="0" t="str">
        <f aca="false">HYPERLINK("https://lindat.mff.cuni.cz/services/teitok/pdtc10/index.php?action=vallex&amp;frame=v-w5564f1", "rozbít (v-w5564f1)")</f>
        <v>rozbít (v-w5564f1)</v>
      </c>
      <c r="E40477" s="0" t="str">
        <f aca="false">HYPERLINK("https://lindat.mff.cuni.cz/services/SynSemClass40/SynSemClass40.html?veclass=vec00389#vec00389-ces-cm00043", "vec00389")</f>
        <v>vec00389</v>
      </c>
      <c r="F40477" s="0" t="s">
        <v>1888</v>
      </c>
      <c r="H40477" s="0" t="str">
        <f aca="false">HYPERLINK("https://lindat.mff.cuni.cz/services/SynSemClass40/SynSemClass40.html?veclass=vec00903#vec00903-ces-cm00009", "vec00903")</f>
        <v>vec00903</v>
      </c>
      <c r="I40477" s="0" t="s">
        <v>8059</v>
      </c>
    </row>
    <row r="40478" customFormat="false" ht="12.8" hidden="false" customHeight="false" outlineLevel="0" collapsed="false">
      <c r="B40478" s="0" t="s">
        <v>1</v>
      </c>
      <c r="C40478" s="0" t="s">
        <v>14891</v>
      </c>
      <c r="E40478" s="0" t="s">
        <v>1890</v>
      </c>
      <c r="F40478" s="0" t="s">
        <v>1891</v>
      </c>
      <c r="H40478" s="0" t="s">
        <v>1890</v>
      </c>
      <c r="I40478" s="0" t="s">
        <v>8061</v>
      </c>
    </row>
    <row r="40479" customFormat="false" ht="12.8" hidden="false" customHeight="false" outlineLevel="0" collapsed="false">
      <c r="B40479" s="0" t="s">
        <v>8</v>
      </c>
      <c r="C40479" s="0" t="s">
        <v>14892</v>
      </c>
      <c r="E40479" s="0" t="s">
        <v>1893</v>
      </c>
      <c r="F40479" s="0" t="s">
        <v>1894</v>
      </c>
      <c r="H40479" s="0" t="s">
        <v>1893</v>
      </c>
      <c r="I40479" s="0" t="s">
        <v>8063</v>
      </c>
    </row>
    <row r="40480" customFormat="false" ht="12.8" hidden="false" customHeight="false" outlineLevel="0" collapsed="false">
      <c r="B40480" s="0" t="s">
        <v>101</v>
      </c>
      <c r="C40480" s="0" t="s">
        <v>14893</v>
      </c>
      <c r="E40480" s="0" t="s">
        <v>14894</v>
      </c>
      <c r="F40480" s="0" t="s">
        <v>14895</v>
      </c>
      <c r="H40480" s="0" t="s">
        <v>2584</v>
      </c>
      <c r="I40480" s="0" t="s">
        <v>8065</v>
      </c>
    </row>
    <row r="40482" customFormat="false" ht="12.8" hidden="false" customHeight="false" outlineLevel="0" collapsed="false">
      <c r="A40482" s="0" t="s">
        <v>14897</v>
      </c>
      <c r="B40482" s="0" t="str">
        <f aca="false">HYPERLINK("https://lindat.mff.cuni.cz/services/teitok/pdtc10/index.php?action=vallex&amp;frame=v-w5564f2_ZU", "rozbít (v-w5564f2_ZU)")</f>
        <v>rozbít (v-w5564f2_ZU)</v>
      </c>
    </row>
    <row r="40483" customFormat="false" ht="12.8" hidden="false" customHeight="false" outlineLevel="0" collapsed="false">
      <c r="B40483" s="0" t="s">
        <v>1</v>
      </c>
    </row>
    <row r="40484" customFormat="false" ht="12.8" hidden="false" customHeight="false" outlineLevel="0" collapsed="false">
      <c r="B40484" s="0" t="s">
        <v>8</v>
      </c>
    </row>
    <row r="40486" customFormat="false" ht="12.8" hidden="false" customHeight="false" outlineLevel="0" collapsed="false">
      <c r="A40486" s="0" t="s">
        <v>14898</v>
      </c>
      <c r="B40486" s="0" t="str">
        <f aca="false">HYPERLINK("https://lindat.mff.cuni.cz/services/teitok/pdtc10/index.php?action=vallex&amp;frame=v-whsa_231hsa_232", "rozbít se (v-whsa_231hsa_232)")</f>
        <v>rozbít se (v-whsa_231hsa_232)</v>
      </c>
      <c r="E40486" s="0" t="str">
        <f aca="false">HYPERLINK("https://lindat.mff.cuni.cz/services/SynSemClass40/SynSemClass40.html?veclass=vec00681#vec00681-ces-cm00005", "vec00681")</f>
        <v>vec00681</v>
      </c>
      <c r="F40486" s="0" t="s">
        <v>11358</v>
      </c>
    </row>
    <row r="40487" customFormat="false" ht="12.8" hidden="false" customHeight="false" outlineLevel="0" collapsed="false">
      <c r="B40487" s="0" t="s">
        <v>1</v>
      </c>
      <c r="C40487" s="0" t="s">
        <v>11359</v>
      </c>
      <c r="E40487" s="0" t="s">
        <v>84</v>
      </c>
      <c r="F40487" s="0" t="s">
        <v>11360</v>
      </c>
    </row>
    <row r="40489" customFormat="false" ht="12.8" hidden="false" customHeight="false" outlineLevel="0" collapsed="false">
      <c r="A40489" s="0" t="s">
        <v>14899</v>
      </c>
      <c r="B40489" s="0" t="str">
        <f aca="false">HYPERLINK("https://lindat.mff.cuni.cz/services/teitok/pdtc10/index.php?action=vallex&amp;frame=v-whsa_476hsa_477", "rozběhnout (v-whsa_476hsa_477)")</f>
        <v>rozběhnout (v-whsa_476hsa_477)</v>
      </c>
      <c r="E40489" s="0" t="str">
        <f aca="false">HYPERLINK("https://lindat.mff.cuni.cz/services/SynSemClass40/SynSemClass40.html?veclass=vec00038#vec00038-ces-cm00163", "vec00038")</f>
        <v>vec00038</v>
      </c>
      <c r="F40489" s="0" t="s">
        <v>74</v>
      </c>
    </row>
    <row r="40490" customFormat="false" ht="12.8" hidden="false" customHeight="false" outlineLevel="0" collapsed="false">
      <c r="B40490" s="0" t="s">
        <v>1</v>
      </c>
      <c r="C40490" s="0" t="s">
        <v>75</v>
      </c>
      <c r="E40490" s="0" t="s">
        <v>76</v>
      </c>
      <c r="F40490" s="0" t="s">
        <v>77</v>
      </c>
    </row>
    <row r="40491" customFormat="false" ht="12.8" hidden="false" customHeight="false" outlineLevel="0" collapsed="false">
      <c r="B40491" s="0" t="s">
        <v>8</v>
      </c>
      <c r="C40491" s="0" t="s">
        <v>78</v>
      </c>
      <c r="E40491" s="0" t="s">
        <v>79</v>
      </c>
      <c r="F40491" s="0" t="s">
        <v>80</v>
      </c>
    </row>
    <row r="40493" customFormat="false" ht="12.8" hidden="false" customHeight="false" outlineLevel="0" collapsed="false">
      <c r="A40493" s="0" t="s">
        <v>14900</v>
      </c>
      <c r="B40493" s="0" t="str">
        <f aca="false">HYPERLINK("https://lindat.mff.cuni.cz/services/teitok/pdtc10/index.php?action=vallex&amp;frame=v-w5560f1", "rozběhnout se (v-w5560f1)")</f>
        <v>rozběhnout se (v-w5560f1)</v>
      </c>
      <c r="E40493" s="0" t="str">
        <f aca="false">HYPERLINK("https://lindat.mff.cuni.cz/services/SynSemClass40/SynSemClass40.html?veclass=vec00097#vec00097-ces-cm00197", "vec00097")</f>
        <v>vec00097</v>
      </c>
      <c r="F40493" s="0" t="s">
        <v>373</v>
      </c>
      <c r="H40493" s="0" t="str">
        <f aca="false">HYPERLINK("https://lindat.mff.cuni.cz/services/SynSemClass40/SynSemClass40.html?veclass=vec00861#vec00861-ces-cm00034", "vec00861")</f>
        <v>vec00861</v>
      </c>
      <c r="I40493" s="0" t="s">
        <v>10062</v>
      </c>
    </row>
    <row r="40494" customFormat="false" ht="12.8" hidden="false" customHeight="false" outlineLevel="0" collapsed="false">
      <c r="B40494" s="0" t="s">
        <v>1</v>
      </c>
      <c r="C40494" s="0" t="s">
        <v>14901</v>
      </c>
      <c r="E40494" s="0" t="s">
        <v>375</v>
      </c>
      <c r="F40494" s="0" t="s">
        <v>376</v>
      </c>
      <c r="H40494" s="0" t="s">
        <v>10064</v>
      </c>
      <c r="I40494" s="0" t="s">
        <v>10065</v>
      </c>
    </row>
    <row r="40496" customFormat="false" ht="12.8" hidden="false" customHeight="false" outlineLevel="0" collapsed="false">
      <c r="A40496" s="0" t="s">
        <v>14902</v>
      </c>
      <c r="B40496" s="0" t="str">
        <f aca="false">HYPERLINK("https://lindat.mff.cuni.cz/services/teitok/pdtc10/index.php?action=vallex&amp;frame=v-w5560f2_ZU", "rozběhnout se (v-w5560f2_ZU)")</f>
        <v>rozběhnout se (v-w5560f2_ZU)</v>
      </c>
    </row>
    <row r="40497" customFormat="false" ht="12.8" hidden="false" customHeight="false" outlineLevel="0" collapsed="false">
      <c r="B40497" s="0" t="s">
        <v>1</v>
      </c>
    </row>
    <row r="40499" customFormat="false" ht="12.8" hidden="false" customHeight="false" outlineLevel="0" collapsed="false">
      <c r="A40499" s="0" t="s">
        <v>14903</v>
      </c>
      <c r="B40499" s="0" t="str">
        <f aca="false">HYPERLINK("https://lindat.mff.cuni.cz/services/teitok/pdtc10/index.php?action=vallex&amp;frame=v-whsa_252hsa_253", "rozchodit (v-whsa_252hsa_253)")</f>
        <v>rozchodit (v-whsa_252hsa_253)</v>
      </c>
      <c r="E40499" s="0" t="str">
        <f aca="false">HYPERLINK("https://lindat.mff.cuni.cz/services/SynSemClass40/SynSemClass40.html?veclass=vec01439#vec01439-ces-cm00002", "vec01439")</f>
        <v>vec01439</v>
      </c>
      <c r="F40499" s="0" t="s">
        <v>14904</v>
      </c>
    </row>
    <row r="40500" customFormat="false" ht="12.8" hidden="false" customHeight="false" outlineLevel="0" collapsed="false">
      <c r="B40500" s="0" t="s">
        <v>1</v>
      </c>
      <c r="C40500" s="0" t="s">
        <v>4695</v>
      </c>
      <c r="E40500" s="0" t="s">
        <v>11</v>
      </c>
      <c r="F40500" s="0" t="s">
        <v>5950</v>
      </c>
    </row>
    <row r="40501" customFormat="false" ht="12.8" hidden="false" customHeight="false" outlineLevel="0" collapsed="false">
      <c r="B40501" s="0" t="s">
        <v>8</v>
      </c>
      <c r="C40501" s="0" t="s">
        <v>462</v>
      </c>
      <c r="E40501" s="0" t="s">
        <v>411</v>
      </c>
      <c r="F40501" s="0" t="s">
        <v>14905</v>
      </c>
    </row>
    <row r="40503" customFormat="false" ht="12.8" hidden="false" customHeight="false" outlineLevel="0" collapsed="false">
      <c r="A40503" s="0" t="s">
        <v>14906</v>
      </c>
      <c r="B40503" s="0" t="str">
        <f aca="false">HYPERLINK("https://lindat.mff.cuni.cz/services/teitok/pdtc10/index.php?action=vallex&amp;frame=v-w10274f2", "rozchvátit (v-w10274f2)")</f>
        <v>rozchvátit (v-w10274f2)</v>
      </c>
    </row>
    <row r="40504" customFormat="false" ht="12.8" hidden="false" customHeight="false" outlineLevel="0" collapsed="false">
      <c r="B40504" s="0" t="s">
        <v>1</v>
      </c>
    </row>
    <row r="40505" customFormat="false" ht="12.8" hidden="false" customHeight="false" outlineLevel="0" collapsed="false">
      <c r="B40505" s="0" t="s">
        <v>8</v>
      </c>
    </row>
    <row r="40507" customFormat="false" ht="12.8" hidden="false" customHeight="false" outlineLevel="0" collapsed="false">
      <c r="A40507" s="0" t="s">
        <v>14907</v>
      </c>
      <c r="B40507" s="0" t="str">
        <f aca="false">HYPERLINK("https://lindat.mff.cuni.cz/services/teitok/pdtc10/index.php?action=vallex&amp;frame=v-w5655f3", "rozcházet se (v-w5655f3)")</f>
        <v>rozcházet se (v-w5655f3)</v>
      </c>
      <c r="E40507" s="0" t="str">
        <f aca="false">HYPERLINK("https://lindat.mff.cuni.cz/services/SynSemClass40/SynSemClass40.html?veclass=vec01308#vec01308-ces-cm00004", "vec01308")</f>
        <v>vec01308</v>
      </c>
      <c r="F40507" s="0" t="s">
        <v>14908</v>
      </c>
      <c r="H40507" s="0" t="str">
        <f aca="false">HYPERLINK("https://lindat.mff.cuni.cz/services/SynSemClass40/SynSemClass40.html?veclass=vec01320#vec01320-ces-cm00020", "vec01320")</f>
        <v>vec01320</v>
      </c>
      <c r="I40507" s="0" t="s">
        <v>912</v>
      </c>
    </row>
    <row r="40508" customFormat="false" ht="12.8" hidden="false" customHeight="false" outlineLevel="0" collapsed="false">
      <c r="B40508" s="0" t="s">
        <v>1</v>
      </c>
      <c r="C40508" s="0" t="s">
        <v>14909</v>
      </c>
      <c r="E40508" s="0" t="s">
        <v>2251</v>
      </c>
      <c r="F40508" s="0" t="s">
        <v>14910</v>
      </c>
      <c r="H40508" s="0" t="s">
        <v>155</v>
      </c>
      <c r="I40508" s="0" t="s">
        <v>916</v>
      </c>
    </row>
    <row r="40509" customFormat="false" ht="12.8" hidden="false" customHeight="false" outlineLevel="0" collapsed="false">
      <c r="B40509" s="0" t="s">
        <v>536</v>
      </c>
      <c r="C40509" s="0" t="s">
        <v>14911</v>
      </c>
      <c r="E40509" s="0" t="s">
        <v>230</v>
      </c>
      <c r="F40509" s="0" t="s">
        <v>14912</v>
      </c>
      <c r="H40509" s="0" t="s">
        <v>922</v>
      </c>
      <c r="I40509" s="0" t="s">
        <v>923</v>
      </c>
    </row>
    <row r="40510" customFormat="false" ht="12.8" hidden="false" customHeight="false" outlineLevel="0" collapsed="false">
      <c r="B40510" s="0" t="s">
        <v>276</v>
      </c>
      <c r="C40510" s="0" t="s">
        <v>14913</v>
      </c>
      <c r="E40510" s="0" t="s">
        <v>2256</v>
      </c>
      <c r="F40510" s="0" t="s">
        <v>14914</v>
      </c>
      <c r="H40510" s="0" t="s">
        <v>221</v>
      </c>
      <c r="I40510" s="0" t="s">
        <v>3501</v>
      </c>
    </row>
    <row r="40512" customFormat="false" ht="12.8" hidden="false" customHeight="false" outlineLevel="0" collapsed="false">
      <c r="A40512" s="0" t="s">
        <v>14915</v>
      </c>
      <c r="B40512" s="0" t="str">
        <f aca="false">HYPERLINK("https://lindat.mff.cuni.cz/services/teitok/pdtc10/index.php?action=vallex&amp;frame=v-w5655f1", "rozcházet se (v-w5655f1)")</f>
        <v>rozcházet se (v-w5655f1)</v>
      </c>
      <c r="E40512" s="0" t="str">
        <f aca="false">HYPERLINK("https://lindat.mff.cuni.cz/services/SynSemClass40/SynSemClass40.html?veclass=vec00650#vec00650-ces-cm00003", "vec00650")</f>
        <v>vec00650</v>
      </c>
      <c r="F40512" s="0" t="s">
        <v>9005</v>
      </c>
      <c r="H40512" s="0" t="str">
        <f aca="false">HYPERLINK("https://lindat.mff.cuni.cz/services/SynSemClass40/SynSemClass40.html?veclass=vec00829#vec00829-ces-cm00011", "vec00829")</f>
        <v>vec00829</v>
      </c>
      <c r="I40512" s="0" t="s">
        <v>1968</v>
      </c>
      <c r="K40512" s="0" t="str">
        <f aca="false">HYPERLINK("https://lindat.mff.cuni.cz/services/SynSemClass40/SynSemClass40.html?veclass=vec00849#vec00849-ces-cm00013", "vec00849")</f>
        <v>vec00849</v>
      </c>
      <c r="L40512" s="0" t="s">
        <v>8738</v>
      </c>
      <c r="N40512" s="0" t="str">
        <f aca="false">HYPERLINK("https://lindat.mff.cuni.cz/services/SynSemClass40/SynSemClass40.html?veclass=vec00892#vec00892-ces-cm00005", "vec00892")</f>
        <v>vec00892</v>
      </c>
      <c r="O40512" s="0" t="s">
        <v>5820</v>
      </c>
    </row>
    <row r="40513" customFormat="false" ht="12.8" hidden="false" customHeight="false" outlineLevel="0" collapsed="false">
      <c r="B40513" s="0" t="s">
        <v>1</v>
      </c>
      <c r="C40513" s="0" t="s">
        <v>14916</v>
      </c>
      <c r="E40513" s="0" t="s">
        <v>1971</v>
      </c>
      <c r="F40513" s="0" t="s">
        <v>9006</v>
      </c>
      <c r="H40513" s="0" t="s">
        <v>1971</v>
      </c>
      <c r="I40513" s="0" t="s">
        <v>1972</v>
      </c>
      <c r="K40513" s="0" t="s">
        <v>957</v>
      </c>
      <c r="L40513" s="0" t="s">
        <v>8739</v>
      </c>
      <c r="N40513" s="0" t="s">
        <v>5822</v>
      </c>
      <c r="O40513" s="0" t="s">
        <v>5823</v>
      </c>
    </row>
    <row r="40514" customFormat="false" ht="12.8" hidden="false" customHeight="false" outlineLevel="0" collapsed="false">
      <c r="B40514" s="0" t="s">
        <v>721</v>
      </c>
      <c r="C40514" s="0" t="s">
        <v>14917</v>
      </c>
      <c r="E40514" s="0" t="s">
        <v>1976</v>
      </c>
      <c r="F40514" s="0" t="s">
        <v>9008</v>
      </c>
      <c r="H40514" s="0" t="s">
        <v>1976</v>
      </c>
      <c r="I40514" s="0" t="s">
        <v>1977</v>
      </c>
      <c r="K40514" s="0" t="s">
        <v>1823</v>
      </c>
      <c r="L40514" s="0" t="s">
        <v>8740</v>
      </c>
      <c r="N40514" s="0" t="s">
        <v>5824</v>
      </c>
      <c r="O40514" s="0" t="s">
        <v>5825</v>
      </c>
    </row>
    <row r="40516" customFormat="false" ht="12.8" hidden="false" customHeight="false" outlineLevel="0" collapsed="false">
      <c r="A40516" s="0" t="s">
        <v>14918</v>
      </c>
      <c r="B40516" s="0" t="str">
        <f aca="false">HYPERLINK("https://lindat.mff.cuni.cz/services/teitok/pdtc10/index.php?action=vallex&amp;frame=v-w5655f2", "rozcházet se (v-w5655f2)")</f>
        <v>rozcházet se (v-w5655f2)</v>
      </c>
      <c r="E40516" s="0" t="str">
        <f aca="false">HYPERLINK("https://lindat.mff.cuni.cz/services/SynSemClass40/SynSemClass40.html?veclass=vec00905#vec00905-ces-cm00006", "vec00905")</f>
        <v>vec00905</v>
      </c>
      <c r="F40516" s="0" t="s">
        <v>8789</v>
      </c>
    </row>
    <row r="40517" customFormat="false" ht="12.8" hidden="false" customHeight="false" outlineLevel="0" collapsed="false">
      <c r="B40517" s="0" t="s">
        <v>1</v>
      </c>
      <c r="C40517" s="0" t="s">
        <v>5344</v>
      </c>
      <c r="E40517" s="0" t="s">
        <v>2241</v>
      </c>
      <c r="F40517" s="0" t="s">
        <v>8790</v>
      </c>
    </row>
    <row r="40518" customFormat="false" ht="12.8" hidden="false" customHeight="false" outlineLevel="0" collapsed="false">
      <c r="B40518" s="0" t="s">
        <v>721</v>
      </c>
      <c r="E40518" s="0" t="s">
        <v>2665</v>
      </c>
      <c r="F40518" s="0" t="s">
        <v>8791</v>
      </c>
    </row>
    <row r="40520" customFormat="false" ht="12.8" hidden="false" customHeight="false" outlineLevel="0" collapsed="false">
      <c r="A40520" s="0" t="s">
        <v>14919</v>
      </c>
      <c r="B40520" s="0" t="str">
        <f aca="false">HYPERLINK("https://lindat.mff.cuni.cz/services/teitok/pdtc10/index.php?action=vallex&amp;frame=v-w5655hsa_1173", "rozcházet se (v-w5655hsa_1173)")</f>
        <v>rozcházet se (v-w5655hsa_1173)</v>
      </c>
    </row>
    <row r="40521" customFormat="false" ht="12.8" hidden="false" customHeight="false" outlineLevel="0" collapsed="false">
      <c r="B40521" s="0" t="s">
        <v>1</v>
      </c>
    </row>
    <row r="40523" customFormat="false" ht="12.8" hidden="false" customHeight="false" outlineLevel="0" collapsed="false">
      <c r="A40523" s="0" t="s">
        <v>14920</v>
      </c>
      <c r="B40523" s="0" t="str">
        <f aca="false">HYPERLINK("https://lindat.mff.cuni.cz/services/teitok/pdtc10/index.php?action=vallex&amp;frame=v-w5568f1", "rozcupovat (v-w5568f1)")</f>
        <v>rozcupovat (v-w5568f1)</v>
      </c>
      <c r="E40523" s="0" t="str">
        <f aca="false">HYPERLINK("https://lindat.mff.cuni.cz/services/SynSemClass40/SynSemClass40.html?veclass=vec00903#vec00903-ces-cm00001", "vec00903")</f>
        <v>vec00903</v>
      </c>
      <c r="F40523" s="0" t="s">
        <v>8059</v>
      </c>
    </row>
    <row r="40524" customFormat="false" ht="12.8" hidden="false" customHeight="false" outlineLevel="0" collapsed="false">
      <c r="B40524" s="0" t="s">
        <v>1</v>
      </c>
      <c r="C40524" s="0" t="s">
        <v>3241</v>
      </c>
      <c r="E40524" s="0" t="s">
        <v>1890</v>
      </c>
      <c r="F40524" s="0" t="s">
        <v>8061</v>
      </c>
    </row>
    <row r="40525" customFormat="false" ht="12.8" hidden="false" customHeight="false" outlineLevel="0" collapsed="false">
      <c r="B40525" s="0" t="s">
        <v>8</v>
      </c>
      <c r="C40525" s="0" t="s">
        <v>4776</v>
      </c>
      <c r="E40525" s="0" t="s">
        <v>1893</v>
      </c>
      <c r="F40525" s="0" t="s">
        <v>8063</v>
      </c>
    </row>
    <row r="40526" customFormat="false" ht="12.8" hidden="false" customHeight="false" outlineLevel="0" collapsed="false">
      <c r="B40526" s="0" t="s">
        <v>101</v>
      </c>
      <c r="C40526" s="0" t="s">
        <v>13627</v>
      </c>
      <c r="E40526" s="0" t="s">
        <v>2584</v>
      </c>
      <c r="F40526" s="0" t="s">
        <v>8065</v>
      </c>
    </row>
    <row r="40528" customFormat="false" ht="12.8" hidden="false" customHeight="false" outlineLevel="0" collapsed="false">
      <c r="A40528" s="0" t="s">
        <v>14921</v>
      </c>
      <c r="B40528" s="0" t="str">
        <f aca="false">HYPERLINK("https://lindat.mff.cuni.cz/services/teitok/pdtc10/index.php?action=vallex&amp;frame=v-whsb_364hsa_365", "rozcvičovat (v-whsb_364hsa_365)")</f>
        <v>rozcvičovat (v-whsb_364hsa_365)</v>
      </c>
    </row>
    <row r="40529" customFormat="false" ht="12.8" hidden="false" customHeight="false" outlineLevel="0" collapsed="false">
      <c r="B40529" s="0" t="s">
        <v>1</v>
      </c>
    </row>
    <row r="40530" customFormat="false" ht="12.8" hidden="false" customHeight="false" outlineLevel="0" collapsed="false">
      <c r="B40530" s="0" t="s">
        <v>8</v>
      </c>
    </row>
    <row r="40532" customFormat="false" ht="12.8" hidden="false" customHeight="false" outlineLevel="0" collapsed="false">
      <c r="A40532" s="0" t="s">
        <v>14922</v>
      </c>
      <c r="B40532" s="0" t="str">
        <f aca="false">HYPERLINK("https://lindat.mff.cuni.cz/services/teitok/pdtc10/index.php?action=vallex&amp;frame=v-w5571f1", "rozcvičovat se (v-w5571f1)")</f>
        <v>rozcvičovat se (v-w5571f1)</v>
      </c>
    </row>
    <row r="40533" customFormat="false" ht="12.8" hidden="false" customHeight="false" outlineLevel="0" collapsed="false">
      <c r="B40533" s="0" t="s">
        <v>1</v>
      </c>
    </row>
    <row r="40535" customFormat="false" ht="12.8" hidden="false" customHeight="false" outlineLevel="0" collapsed="false">
      <c r="A40535" s="0" t="s">
        <v>14923</v>
      </c>
      <c r="B40535" s="0" t="str">
        <f aca="false">HYPERLINK("https://lindat.mff.cuni.cz/services/teitok/pdtc10/index.php?action=vallex&amp;frame=v-w5579f2_ZU", "rozdat (v-w5579f2_ZU)")</f>
        <v>rozdat (v-w5579f2_ZU)</v>
      </c>
    </row>
    <row r="40536" customFormat="false" ht="12.8" hidden="false" customHeight="false" outlineLevel="0" collapsed="false">
      <c r="B40536" s="0" t="s">
        <v>1</v>
      </c>
    </row>
    <row r="40537" customFormat="false" ht="12.8" hidden="false" customHeight="false" outlineLevel="0" collapsed="false">
      <c r="B40537" s="0" t="s">
        <v>8</v>
      </c>
    </row>
    <row r="40538" customFormat="false" ht="12.8" hidden="false" customHeight="false" outlineLevel="0" collapsed="false">
      <c r="B40538" s="0" t="s">
        <v>14924</v>
      </c>
    </row>
    <row r="40540" customFormat="false" ht="12.8" hidden="false" customHeight="false" outlineLevel="0" collapsed="false">
      <c r="A40540" s="0" t="s">
        <v>14923</v>
      </c>
      <c r="B40540" s="0" t="str">
        <f aca="false">HYPERLINK("https://lindat.mff.cuni.cz/services/teitok/pdtc10/index.php?action=vallex&amp;frame=v-w5579f1", "rozdat (v-w5579f1) - substituted with v-w5579f2_ZU")</f>
        <v>rozdat (v-w5579f1) - substituted with v-w5579f2_ZU</v>
      </c>
      <c r="E40540" s="0" t="str">
        <f aca="false">HYPERLINK("https://lindat.mff.cuni.cz/services/SynSemClass40/SynSemClass40.html?veclass=vec00209#vec00209-ces-cm00197", "vec00209")</f>
        <v>vec00209</v>
      </c>
      <c r="F40540" s="0" t="s">
        <v>2040</v>
      </c>
    </row>
    <row r="40541" customFormat="false" ht="12.8" hidden="false" customHeight="false" outlineLevel="0" collapsed="false">
      <c r="B40541" s="0" t="s">
        <v>1</v>
      </c>
      <c r="C40541" s="0" t="s">
        <v>2041</v>
      </c>
      <c r="E40541" s="0" t="s">
        <v>1784</v>
      </c>
      <c r="F40541" s="0" t="s">
        <v>2042</v>
      </c>
    </row>
    <row r="40542" customFormat="false" ht="12.8" hidden="false" customHeight="false" outlineLevel="0" collapsed="false">
      <c r="B40542" s="0" t="s">
        <v>8</v>
      </c>
      <c r="C40542" s="0" t="s">
        <v>2043</v>
      </c>
      <c r="E40542" s="0" t="s">
        <v>1787</v>
      </c>
      <c r="F40542" s="0" t="s">
        <v>2044</v>
      </c>
    </row>
    <row r="40543" customFormat="false" ht="12.8" hidden="false" customHeight="false" outlineLevel="0" collapsed="false">
      <c r="B40543" s="0" t="s">
        <v>14924</v>
      </c>
      <c r="C40543" s="0" t="s">
        <v>2046</v>
      </c>
      <c r="E40543" s="0" t="s">
        <v>53</v>
      </c>
      <c r="F40543" s="0" t="s">
        <v>2047</v>
      </c>
    </row>
    <row r="40545" customFormat="false" ht="12.8" hidden="false" customHeight="false" outlineLevel="0" collapsed="false">
      <c r="A40545" s="0" t="s">
        <v>14925</v>
      </c>
      <c r="B40545" s="0" t="str">
        <f aca="false">HYPERLINK("https://lindat.mff.cuni.cz/services/teitok/pdtc10/index.php?action=vallex&amp;frame=v-w5579hsa_639", "rozdat (v-w5579hsa_639)")</f>
        <v>rozdat (v-w5579hsa_639)</v>
      </c>
      <c r="E40545" s="0" t="str">
        <f aca="false">HYPERLINK("https://lindat.mff.cuni.cz/services/SynSemClass40/SynSemClass40.html?veclass=vec00209#vec00209-ces-cm00131", "vec00209")</f>
        <v>vec00209</v>
      </c>
      <c r="F40545" s="0" t="s">
        <v>2040</v>
      </c>
      <c r="H40545" s="0" t="str">
        <f aca="false">HYPERLINK("https://lindat.mff.cuni.cz/services/SynSemClass40/SynSemClass40.html?veclass=vec01256#vec01256-ces-cm00064", "vec01256")</f>
        <v>vec01256</v>
      </c>
      <c r="I40545" s="0" t="s">
        <v>2194</v>
      </c>
    </row>
    <row r="40546" customFormat="false" ht="12.8" hidden="false" customHeight="false" outlineLevel="0" collapsed="false">
      <c r="B40546" s="0" t="s">
        <v>1</v>
      </c>
      <c r="C40546" s="0" t="s">
        <v>14926</v>
      </c>
      <c r="E40546" s="0" t="s">
        <v>1784</v>
      </c>
      <c r="F40546" s="0" t="s">
        <v>2042</v>
      </c>
      <c r="H40546" s="0" t="s">
        <v>31</v>
      </c>
      <c r="I40546" s="0" t="s">
        <v>2198</v>
      </c>
    </row>
    <row r="40547" customFormat="false" ht="12.8" hidden="false" customHeight="false" outlineLevel="0" collapsed="false">
      <c r="B40547" s="0" t="s">
        <v>8</v>
      </c>
      <c r="C40547" s="0" t="s">
        <v>14927</v>
      </c>
      <c r="E40547" s="0" t="s">
        <v>1787</v>
      </c>
      <c r="F40547" s="0" t="s">
        <v>2044</v>
      </c>
      <c r="H40547" s="0" t="s">
        <v>1875</v>
      </c>
      <c r="I40547" s="0" t="s">
        <v>2202</v>
      </c>
    </row>
    <row r="40548" customFormat="false" ht="12.8" hidden="false" customHeight="false" outlineLevel="0" collapsed="false">
      <c r="B40548" s="0" t="s">
        <v>52</v>
      </c>
      <c r="C40548" s="0" t="s">
        <v>14928</v>
      </c>
      <c r="E40548" s="0" t="s">
        <v>53</v>
      </c>
      <c r="F40548" s="0" t="s">
        <v>2047</v>
      </c>
      <c r="H40548" s="0" t="s">
        <v>53</v>
      </c>
      <c r="I40548" s="0" t="s">
        <v>2205</v>
      </c>
    </row>
    <row r="40550" customFormat="false" ht="12.8" hidden="false" customHeight="false" outlineLevel="0" collapsed="false">
      <c r="A40550" s="0" t="s">
        <v>14929</v>
      </c>
      <c r="B40550" s="0" t="str">
        <f aca="false">HYPERLINK("https://lindat.mff.cuni.cz/services/teitok/pdtc10/index.php?action=vallex&amp;frame=v-w5580f1", "rozdat si (v-w5580f1)")</f>
        <v>rozdat si (v-w5580f1)</v>
      </c>
    </row>
    <row r="40551" customFormat="false" ht="12.8" hidden="false" customHeight="false" outlineLevel="0" collapsed="false">
      <c r="B40551" s="0" t="s">
        <v>1</v>
      </c>
    </row>
    <row r="40552" customFormat="false" ht="12.8" hidden="false" customHeight="false" outlineLevel="0" collapsed="false">
      <c r="B40552" s="0" t="s">
        <v>697</v>
      </c>
    </row>
    <row r="40553" customFormat="false" ht="12.8" hidden="false" customHeight="false" outlineLevel="0" collapsed="false">
      <c r="B40553" s="0" t="s">
        <v>721</v>
      </c>
    </row>
    <row r="40555" customFormat="false" ht="12.8" hidden="false" customHeight="false" outlineLevel="0" collapsed="false">
      <c r="A40555" s="0" t="s">
        <v>14930</v>
      </c>
      <c r="B40555" s="0" t="str">
        <f aca="false">HYPERLINK("https://lindat.mff.cuni.cz/services/teitok/pdtc10/index.php?action=vallex&amp;frame=v-w10433f2", "rozdmýchat (v-w10433f2)")</f>
        <v>rozdmýchat (v-w10433f2)</v>
      </c>
      <c r="E40555" s="0" t="str">
        <f aca="false">HYPERLINK("https://lindat.mff.cuni.cz/services/SynSemClass40/SynSemClass40.html?veclass=vec00038#vec00038-ces-cm00164", "vec00038")</f>
        <v>vec00038</v>
      </c>
      <c r="F40555" s="0" t="s">
        <v>74</v>
      </c>
    </row>
    <row r="40556" customFormat="false" ht="12.8" hidden="false" customHeight="false" outlineLevel="0" collapsed="false">
      <c r="B40556" s="0" t="s">
        <v>1</v>
      </c>
      <c r="C40556" s="0" t="s">
        <v>75</v>
      </c>
      <c r="E40556" s="0" t="s">
        <v>76</v>
      </c>
      <c r="F40556" s="0" t="s">
        <v>77</v>
      </c>
    </row>
    <row r="40557" customFormat="false" ht="12.8" hidden="false" customHeight="false" outlineLevel="0" collapsed="false">
      <c r="B40557" s="0" t="s">
        <v>8</v>
      </c>
      <c r="C40557" s="0" t="s">
        <v>78</v>
      </c>
      <c r="E40557" s="0" t="s">
        <v>79</v>
      </c>
      <c r="F40557" s="0" t="s">
        <v>80</v>
      </c>
    </row>
    <row r="40559" customFormat="false" ht="12.8" hidden="false" customHeight="false" outlineLevel="0" collapsed="false">
      <c r="A40559" s="0" t="s">
        <v>14931</v>
      </c>
      <c r="B40559" s="0" t="str">
        <f aca="false">HYPERLINK("https://lindat.mff.cuni.cz/services/teitok/pdtc10/index.php?action=vallex&amp;frame=v-w5594f3", "rozdrobit (v-w5594f3)")</f>
        <v>rozdrobit (v-w5594f3)</v>
      </c>
    </row>
    <row r="40560" customFormat="false" ht="12.8" hidden="false" customHeight="false" outlineLevel="0" collapsed="false">
      <c r="B40560" s="0" t="s">
        <v>1</v>
      </c>
    </row>
    <row r="40561" customFormat="false" ht="12.8" hidden="false" customHeight="false" outlineLevel="0" collapsed="false">
      <c r="B40561" s="0" t="s">
        <v>8</v>
      </c>
    </row>
    <row r="40562" customFormat="false" ht="12.8" hidden="false" customHeight="false" outlineLevel="0" collapsed="false">
      <c r="B40562" s="0" t="s">
        <v>40</v>
      </c>
    </row>
    <row r="40564" customFormat="false" ht="12.8" hidden="false" customHeight="false" outlineLevel="0" collapsed="false">
      <c r="A40564" s="0" t="s">
        <v>14931</v>
      </c>
      <c r="B40564" s="0" t="str">
        <f aca="false">HYPERLINK("https://lindat.mff.cuni.cz/services/teitok/pdtc10/index.php?action=vallex&amp;frame=v-w5594f1", "rozdrobit (v-w5594f1) - substituted with v-w5594f3")</f>
        <v>rozdrobit (v-w5594f1) - substituted with v-w5594f3</v>
      </c>
    </row>
    <row r="40565" customFormat="false" ht="12.8" hidden="false" customHeight="false" outlineLevel="0" collapsed="false">
      <c r="B40565" s="0" t="s">
        <v>1</v>
      </c>
    </row>
    <row r="40566" customFormat="false" ht="12.8" hidden="false" customHeight="false" outlineLevel="0" collapsed="false">
      <c r="B40566" s="0" t="s">
        <v>8</v>
      </c>
    </row>
    <row r="40567" customFormat="false" ht="12.8" hidden="false" customHeight="false" outlineLevel="0" collapsed="false">
      <c r="B40567" s="0" t="s">
        <v>40</v>
      </c>
    </row>
    <row r="40569" customFormat="false" ht="12.8" hidden="false" customHeight="false" outlineLevel="0" collapsed="false">
      <c r="A40569" s="0" t="s">
        <v>14932</v>
      </c>
      <c r="B40569" s="0" t="str">
        <f aca="false">HYPERLINK("https://lindat.mff.cuni.cz/services/teitok/pdtc10/index.php?action=vallex&amp;frame=v-w5594f2", "rozdrobit (v-w5594f2)")</f>
        <v>rozdrobit (v-w5594f2)</v>
      </c>
    </row>
    <row r="40570" customFormat="false" ht="12.8" hidden="false" customHeight="false" outlineLevel="0" collapsed="false">
      <c r="B40570" s="0" t="s">
        <v>1</v>
      </c>
    </row>
    <row r="40571" customFormat="false" ht="12.8" hidden="false" customHeight="false" outlineLevel="0" collapsed="false">
      <c r="B40571" s="0" t="s">
        <v>8</v>
      </c>
    </row>
    <row r="40572" customFormat="false" ht="12.8" hidden="false" customHeight="false" outlineLevel="0" collapsed="false">
      <c r="B40572" s="0" t="s">
        <v>101</v>
      </c>
    </row>
    <row r="40574" customFormat="false" ht="12.8" hidden="false" customHeight="false" outlineLevel="0" collapsed="false">
      <c r="A40574" s="0" t="s">
        <v>14933</v>
      </c>
      <c r="B40574" s="0" t="str">
        <f aca="false">HYPERLINK("https://lindat.mff.cuni.cz/services/teitok/pdtc10/index.php?action=vallex&amp;frame=v-w11413f1", "rozdrolit se (v-w11413f1)")</f>
        <v>rozdrolit se (v-w11413f1)</v>
      </c>
      <c r="E40574" s="0" t="str">
        <f aca="false">HYPERLINK("https://lindat.mff.cuni.cz/services/SynSemClass40/SynSemClass40.html?veclass=vec01305#vec01305-ces-cm00025", "vec01305")</f>
        <v>vec01305</v>
      </c>
      <c r="F40574" s="0" t="s">
        <v>2015</v>
      </c>
    </row>
    <row r="40575" customFormat="false" ht="12.8" hidden="false" customHeight="false" outlineLevel="0" collapsed="false">
      <c r="B40575" s="0" t="s">
        <v>1</v>
      </c>
      <c r="C40575" s="0" t="s">
        <v>2016</v>
      </c>
      <c r="E40575" s="0" t="s">
        <v>2017</v>
      </c>
      <c r="F40575" s="0" t="s">
        <v>2018</v>
      </c>
    </row>
    <row r="40576" customFormat="false" ht="12.8" hidden="false" customHeight="false" outlineLevel="0" collapsed="false">
      <c r="B40576" s="0" t="s">
        <v>3213</v>
      </c>
      <c r="C40576" s="0" t="s">
        <v>2019</v>
      </c>
      <c r="E40576" s="0" t="s">
        <v>110</v>
      </c>
      <c r="F40576" s="0" t="s">
        <v>2020</v>
      </c>
    </row>
    <row r="40578" customFormat="false" ht="12.8" hidden="false" customHeight="false" outlineLevel="0" collapsed="false">
      <c r="A40578" s="0" t="s">
        <v>14934</v>
      </c>
      <c r="B40578" s="0" t="str">
        <f aca="false">HYPERLINK("https://lindat.mff.cuni.cz/services/teitok/pdtc10/index.php?action=vallex&amp;frame=v-w5595f1", "rozdrtit (v-w5595f1)")</f>
        <v>rozdrtit (v-w5595f1)</v>
      </c>
      <c r="E40578" s="0" t="str">
        <f aca="false">HYPERLINK("https://lindat.mff.cuni.cz/services/SynSemClass40/SynSemClass40.html?veclass=vec00903#vec00903-ces-cm00003", "vec00903")</f>
        <v>vec00903</v>
      </c>
      <c r="F40578" s="0" t="s">
        <v>8059</v>
      </c>
    </row>
    <row r="40579" customFormat="false" ht="12.8" hidden="false" customHeight="false" outlineLevel="0" collapsed="false">
      <c r="B40579" s="0" t="s">
        <v>1</v>
      </c>
      <c r="C40579" s="0" t="s">
        <v>3241</v>
      </c>
      <c r="E40579" s="0" t="s">
        <v>1890</v>
      </c>
      <c r="F40579" s="0" t="s">
        <v>8061</v>
      </c>
    </row>
    <row r="40580" customFormat="false" ht="12.8" hidden="false" customHeight="false" outlineLevel="0" collapsed="false">
      <c r="B40580" s="0" t="s">
        <v>8</v>
      </c>
      <c r="C40580" s="0" t="s">
        <v>4776</v>
      </c>
      <c r="E40580" s="0" t="s">
        <v>1893</v>
      </c>
      <c r="F40580" s="0" t="s">
        <v>8063</v>
      </c>
    </row>
    <row r="40581" customFormat="false" ht="12.8" hidden="false" customHeight="false" outlineLevel="0" collapsed="false">
      <c r="B40581" s="0" t="s">
        <v>101</v>
      </c>
      <c r="C40581" s="0" t="s">
        <v>13627</v>
      </c>
      <c r="E40581" s="0" t="s">
        <v>2584</v>
      </c>
      <c r="F40581" s="0" t="s">
        <v>8065</v>
      </c>
    </row>
    <row r="40583" customFormat="false" ht="12.8" hidden="false" customHeight="false" outlineLevel="0" collapsed="false">
      <c r="A40583" s="0" t="s">
        <v>14935</v>
      </c>
      <c r="B40583" s="0" t="str">
        <f aca="false">HYPERLINK("https://lindat.mff.cuni.cz/services/teitok/pdtc10/index.php?action=vallex&amp;frame=v-w5595f2", "rozdrtit (v-w5595f2)")</f>
        <v>rozdrtit (v-w5595f2)</v>
      </c>
      <c r="E40583" s="0" t="str">
        <f aca="false">HYPERLINK("https://lindat.mff.cuni.cz/services/SynSemClass40/SynSemClass40.html?veclass=vec00389#vec00389-ces-cm00032", "vec00389")</f>
        <v>vec00389</v>
      </c>
      <c r="F40583" s="0" t="s">
        <v>1888</v>
      </c>
    </row>
    <row r="40584" customFormat="false" ht="12.8" hidden="false" customHeight="false" outlineLevel="0" collapsed="false">
      <c r="B40584" s="0" t="s">
        <v>1</v>
      </c>
      <c r="C40584" s="0" t="s">
        <v>1889</v>
      </c>
      <c r="E40584" s="0" t="s">
        <v>1890</v>
      </c>
      <c r="F40584" s="0" t="s">
        <v>1891</v>
      </c>
    </row>
    <row r="40585" customFormat="false" ht="12.8" hidden="false" customHeight="false" outlineLevel="0" collapsed="false">
      <c r="B40585" s="0" t="s">
        <v>8</v>
      </c>
      <c r="C40585" s="0" t="s">
        <v>1892</v>
      </c>
      <c r="E40585" s="0" t="s">
        <v>1893</v>
      </c>
      <c r="F40585" s="0" t="s">
        <v>1894</v>
      </c>
    </row>
    <row r="40587" customFormat="false" ht="12.8" hidden="false" customHeight="false" outlineLevel="0" collapsed="false">
      <c r="A40587" s="0" t="s">
        <v>14936</v>
      </c>
      <c r="B40587" s="0" t="str">
        <f aca="false">HYPERLINK("https://lindat.mff.cuni.cz/services/teitok/pdtc10/index.php?action=vallex&amp;frame=v-w10067f2", "rozdvojit (v-w10067f2)")</f>
        <v>rozdvojit (v-w10067f2)</v>
      </c>
      <c r="E40587" s="0" t="str">
        <f aca="false">HYPERLINK("https://lindat.mff.cuni.cz/services/SynSemClass40/SynSemClass40.html?veclass=vec00296#vec00296-ces-cm00058", "vec00296")</f>
        <v>vec00296</v>
      </c>
      <c r="F40587" s="0" t="s">
        <v>5275</v>
      </c>
    </row>
    <row r="40588" customFormat="false" ht="12.8" hidden="false" customHeight="false" outlineLevel="0" collapsed="false">
      <c r="B40588" s="0" t="s">
        <v>1</v>
      </c>
      <c r="C40588" s="0" t="s">
        <v>5276</v>
      </c>
      <c r="E40588" s="0" t="s">
        <v>11</v>
      </c>
      <c r="F40588" s="0" t="s">
        <v>5277</v>
      </c>
    </row>
    <row r="40589" customFormat="false" ht="12.8" hidden="false" customHeight="false" outlineLevel="0" collapsed="false">
      <c r="B40589" s="0" t="s">
        <v>8</v>
      </c>
      <c r="C40589" s="0" t="s">
        <v>5278</v>
      </c>
      <c r="E40589" s="0" t="s">
        <v>5279</v>
      </c>
      <c r="F40589" s="0" t="s">
        <v>5280</v>
      </c>
    </row>
    <row r="40590" customFormat="false" ht="12.8" hidden="false" customHeight="false" outlineLevel="0" collapsed="false">
      <c r="B40590" s="0" t="s">
        <v>5779</v>
      </c>
      <c r="C40590" s="0" t="s">
        <v>5281</v>
      </c>
      <c r="E40590" s="0" t="s">
        <v>2584</v>
      </c>
      <c r="F40590" s="0" t="s">
        <v>5282</v>
      </c>
    </row>
    <row r="40592" customFormat="false" ht="12.8" hidden="false" customHeight="false" outlineLevel="0" collapsed="false">
      <c r="A40592" s="0" t="s">
        <v>14937</v>
      </c>
      <c r="B40592" s="0" t="str">
        <f aca="false">HYPERLINK("https://lindat.mff.cuni.cz/services/teitok/pdtc10/index.php?action=vallex&amp;frame=v-w5581f1", "rozdávat (v-w5581f1)")</f>
        <v>rozdávat (v-w5581f1)</v>
      </c>
      <c r="E40592" s="0" t="str">
        <f aca="false">HYPERLINK("https://lindat.mff.cuni.cz/services/SynSemClass40/SynSemClass40.html?veclass=vec00209#vec00209-ces-cm00019", "vec00209")</f>
        <v>vec00209</v>
      </c>
      <c r="F40592" s="0" t="s">
        <v>2040</v>
      </c>
      <c r="H40592" s="0" t="str">
        <f aca="false">HYPERLINK("https://lindat.mff.cuni.cz/services/SynSemClass40/SynSemClass40.html?veclass=vec01256#vec01256-ces-cm00065", "vec01256")</f>
        <v>vec01256</v>
      </c>
      <c r="I40592" s="0" t="s">
        <v>2194</v>
      </c>
    </row>
    <row r="40593" customFormat="false" ht="12.8" hidden="false" customHeight="false" outlineLevel="0" collapsed="false">
      <c r="B40593" s="0" t="s">
        <v>1</v>
      </c>
      <c r="C40593" s="0" t="s">
        <v>14926</v>
      </c>
      <c r="E40593" s="0" t="s">
        <v>1784</v>
      </c>
      <c r="F40593" s="0" t="s">
        <v>2042</v>
      </c>
      <c r="H40593" s="0" t="s">
        <v>31</v>
      </c>
      <c r="I40593" s="0" t="s">
        <v>2198</v>
      </c>
    </row>
    <row r="40594" customFormat="false" ht="12.8" hidden="false" customHeight="false" outlineLevel="0" collapsed="false">
      <c r="B40594" s="0" t="s">
        <v>8</v>
      </c>
      <c r="C40594" s="0" t="s">
        <v>14927</v>
      </c>
      <c r="E40594" s="0" t="s">
        <v>1787</v>
      </c>
      <c r="F40594" s="0" t="s">
        <v>2044</v>
      </c>
      <c r="H40594" s="0" t="s">
        <v>1875</v>
      </c>
      <c r="I40594" s="0" t="s">
        <v>2202</v>
      </c>
    </row>
    <row r="40595" customFormat="false" ht="12.8" hidden="false" customHeight="false" outlineLevel="0" collapsed="false">
      <c r="B40595" s="0" t="s">
        <v>52</v>
      </c>
      <c r="C40595" s="0" t="s">
        <v>14928</v>
      </c>
      <c r="E40595" s="0" t="s">
        <v>53</v>
      </c>
      <c r="F40595" s="0" t="s">
        <v>2047</v>
      </c>
      <c r="H40595" s="0" t="s">
        <v>53</v>
      </c>
      <c r="I40595" s="0" t="s">
        <v>2205</v>
      </c>
    </row>
    <row r="40597" customFormat="false" ht="12.8" hidden="false" customHeight="false" outlineLevel="0" collapsed="false">
      <c r="A40597" s="0" t="s">
        <v>14938</v>
      </c>
      <c r="B40597" s="0" t="str">
        <f aca="false">HYPERLINK("https://lindat.mff.cuni.cz/services/teitok/pdtc10/index.php?action=vallex&amp;frame=v-whsb_538f1_ZU", "rozdýchat (v-whsb_538f1_ZU)")</f>
        <v>rozdýchat (v-whsb_538f1_ZU)</v>
      </c>
    </row>
    <row r="40598" customFormat="false" ht="12.8" hidden="false" customHeight="false" outlineLevel="0" collapsed="false">
      <c r="B40598" s="0" t="s">
        <v>1</v>
      </c>
    </row>
    <row r="40599" customFormat="false" ht="12.8" hidden="false" customHeight="false" outlineLevel="0" collapsed="false">
      <c r="B40599" s="0" t="s">
        <v>8</v>
      </c>
    </row>
    <row r="40601" customFormat="false" ht="12.8" hidden="false" customHeight="false" outlineLevel="0" collapsed="false">
      <c r="A40601" s="0" t="s">
        <v>14939</v>
      </c>
      <c r="B40601" s="0" t="str">
        <f aca="false">HYPERLINK("https://lindat.mff.cuni.cz/services/teitok/pdtc10/index.php?action=vallex&amp;frame=v-whsb_538hsa_539", "rozdýchat (v-whsb_538hsa_539)")</f>
        <v>rozdýchat (v-whsb_538hsa_539)</v>
      </c>
    </row>
    <row r="40602" customFormat="false" ht="12.8" hidden="false" customHeight="false" outlineLevel="0" collapsed="false">
      <c r="B40602" s="0" t="s">
        <v>1</v>
      </c>
    </row>
    <row r="40603" customFormat="false" ht="12.8" hidden="false" customHeight="false" outlineLevel="0" collapsed="false">
      <c r="B40603" s="0" t="s">
        <v>8</v>
      </c>
    </row>
    <row r="40605" customFormat="false" ht="12.8" hidden="false" customHeight="false" outlineLevel="0" collapsed="false">
      <c r="A40605" s="0" t="s">
        <v>14940</v>
      </c>
      <c r="B40605" s="0" t="str">
        <f aca="false">HYPERLINK("https://lindat.mff.cuni.cz/services/teitok/pdtc10/index.php?action=vallex&amp;frame=v-w11956_ZUf1_ZU", "rozdýchávat (v-w11956_ZUf1_ZU)")</f>
        <v>rozdýchávat (v-w11956_ZUf1_ZU)</v>
      </c>
    </row>
    <row r="40606" customFormat="false" ht="12.8" hidden="false" customHeight="false" outlineLevel="0" collapsed="false">
      <c r="B40606" s="0" t="s">
        <v>1</v>
      </c>
    </row>
    <row r="40607" customFormat="false" ht="12.8" hidden="false" customHeight="false" outlineLevel="0" collapsed="false">
      <c r="B40607" s="0" t="s">
        <v>8</v>
      </c>
    </row>
    <row r="40609" customFormat="false" ht="12.8" hidden="false" customHeight="false" outlineLevel="0" collapsed="false">
      <c r="A40609" s="0" t="s">
        <v>14941</v>
      </c>
      <c r="B40609" s="0" t="str">
        <f aca="false">HYPERLINK("https://lindat.mff.cuni.cz/services/teitok/pdtc10/index.php?action=vallex&amp;frame=v-w11958_ZUf1_ZU", "rozdělat (v-w11958_ZUf1_ZU)")</f>
        <v>rozdělat (v-w11958_ZUf1_ZU)</v>
      </c>
    </row>
    <row r="40610" customFormat="false" ht="12.8" hidden="false" customHeight="false" outlineLevel="0" collapsed="false">
      <c r="B40610" s="0" t="s">
        <v>1</v>
      </c>
    </row>
    <row r="40611" customFormat="false" ht="12.8" hidden="false" customHeight="false" outlineLevel="0" collapsed="false">
      <c r="B40611" s="0" t="s">
        <v>8</v>
      </c>
    </row>
    <row r="40613" customFormat="false" ht="12.8" hidden="false" customHeight="false" outlineLevel="0" collapsed="false">
      <c r="A40613" s="0" t="s">
        <v>14942</v>
      </c>
      <c r="B40613" s="0" t="str">
        <f aca="false">HYPERLINK("https://lindat.mff.cuni.cz/services/teitok/pdtc10/index.php?action=vallex&amp;frame=v-w5584f3", "rozdělit (v-w5584f3)")</f>
        <v>rozdělit (v-w5584f3)</v>
      </c>
    </row>
    <row r="40614" customFormat="false" ht="12.8" hidden="false" customHeight="false" outlineLevel="0" collapsed="false">
      <c r="B40614" s="0" t="s">
        <v>1</v>
      </c>
    </row>
    <row r="40615" customFormat="false" ht="12.8" hidden="false" customHeight="false" outlineLevel="0" collapsed="false">
      <c r="B40615" s="0" t="s">
        <v>8</v>
      </c>
    </row>
    <row r="40616" customFormat="false" ht="12.8" hidden="false" customHeight="false" outlineLevel="0" collapsed="false">
      <c r="B40616" s="0" t="s">
        <v>14943</v>
      </c>
    </row>
    <row r="40617" customFormat="false" ht="12.8" hidden="false" customHeight="false" outlineLevel="0" collapsed="false">
      <c r="B40617" s="0" t="s">
        <v>101</v>
      </c>
    </row>
    <row r="40619" customFormat="false" ht="12.8" hidden="false" customHeight="false" outlineLevel="0" collapsed="false">
      <c r="A40619" s="0" t="s">
        <v>14944</v>
      </c>
      <c r="B40619" s="0" t="str">
        <f aca="false">HYPERLINK("https://lindat.mff.cuni.cz/services/teitok/pdtc10/index.php?action=vallex&amp;frame=v-w5584f2", "rozdělit (v-w5584f2)")</f>
        <v>rozdělit (v-w5584f2)</v>
      </c>
      <c r="E40619" s="0" t="str">
        <f aca="false">HYPERLINK("https://lindat.mff.cuni.cz/services/SynSemClass40/SynSemClass40.html?veclass=vec00209#vec00209-ces-cm00021", "vec00209")</f>
        <v>vec00209</v>
      </c>
      <c r="F40619" s="0" t="s">
        <v>2040</v>
      </c>
    </row>
    <row r="40620" customFormat="false" ht="12.8" hidden="false" customHeight="false" outlineLevel="0" collapsed="false">
      <c r="B40620" s="0" t="s">
        <v>1</v>
      </c>
      <c r="C40620" s="0" t="s">
        <v>2041</v>
      </c>
      <c r="E40620" s="0" t="s">
        <v>1784</v>
      </c>
      <c r="F40620" s="0" t="s">
        <v>2042</v>
      </c>
    </row>
    <row r="40621" customFormat="false" ht="12.8" hidden="false" customHeight="false" outlineLevel="0" collapsed="false">
      <c r="B40621" s="0" t="s">
        <v>8</v>
      </c>
      <c r="C40621" s="0" t="s">
        <v>2043</v>
      </c>
      <c r="E40621" s="0" t="s">
        <v>1787</v>
      </c>
      <c r="F40621" s="0" t="s">
        <v>2044</v>
      </c>
    </row>
    <row r="40622" customFormat="false" ht="12.8" hidden="false" customHeight="false" outlineLevel="0" collapsed="false">
      <c r="B40622" s="0" t="s">
        <v>14945</v>
      </c>
      <c r="C40622" s="0" t="s">
        <v>2046</v>
      </c>
      <c r="E40622" s="0" t="s">
        <v>53</v>
      </c>
      <c r="F40622" s="0" t="s">
        <v>2047</v>
      </c>
    </row>
    <row r="40624" customFormat="false" ht="12.8" hidden="false" customHeight="false" outlineLevel="0" collapsed="false">
      <c r="A40624" s="0" t="s">
        <v>14946</v>
      </c>
      <c r="B40624" s="0" t="str">
        <f aca="false">HYPERLINK("https://lindat.mff.cuni.cz/services/teitok/pdtc10/index.php?action=vallex&amp;frame=v-w5584f1", "rozdělit (v-w5584f1)")</f>
        <v>rozdělit (v-w5584f1)</v>
      </c>
      <c r="E40624" s="0" t="str">
        <f aca="false">HYPERLINK("https://lindat.mff.cuni.cz/services/SynSemClass40/SynSemClass40.html?veclass=vec00296#vec00296-ces-cm00001", "vec00296")</f>
        <v>vec00296</v>
      </c>
      <c r="F40624" s="0" t="s">
        <v>5275</v>
      </c>
      <c r="H40624" s="0" t="str">
        <f aca="false">HYPERLINK("https://lindat.mff.cuni.cz/services/SynSemClass40/SynSemClass40.html?veclass=vec01449#vec01449-ces-cm00013", "vec01449")</f>
        <v>vec01449</v>
      </c>
      <c r="I40624" s="0" t="s">
        <v>5718</v>
      </c>
    </row>
    <row r="40625" customFormat="false" ht="12.8" hidden="false" customHeight="false" outlineLevel="0" collapsed="false">
      <c r="B40625" s="0" t="s">
        <v>1</v>
      </c>
      <c r="C40625" s="0" t="s">
        <v>14947</v>
      </c>
      <c r="E40625" s="0" t="s">
        <v>11</v>
      </c>
      <c r="F40625" s="0" t="s">
        <v>5277</v>
      </c>
      <c r="H40625" s="0" t="s">
        <v>11</v>
      </c>
      <c r="I40625" s="0" t="s">
        <v>5720</v>
      </c>
    </row>
    <row r="40626" customFormat="false" ht="12.8" hidden="false" customHeight="false" outlineLevel="0" collapsed="false">
      <c r="B40626" s="0" t="s">
        <v>8</v>
      </c>
      <c r="C40626" s="0" t="s">
        <v>14948</v>
      </c>
      <c r="E40626" s="0" t="s">
        <v>5279</v>
      </c>
      <c r="F40626" s="0" t="s">
        <v>5280</v>
      </c>
      <c r="H40626" s="0" t="s">
        <v>5279</v>
      </c>
      <c r="I40626" s="0" t="s">
        <v>5722</v>
      </c>
    </row>
    <row r="40627" customFormat="false" ht="12.8" hidden="false" customHeight="false" outlineLevel="0" collapsed="false">
      <c r="B40627" s="0" t="s">
        <v>5779</v>
      </c>
      <c r="C40627" s="0" t="s">
        <v>14949</v>
      </c>
      <c r="E40627" s="0" t="s">
        <v>2584</v>
      </c>
      <c r="F40627" s="0" t="s">
        <v>5282</v>
      </c>
      <c r="H40627" s="0" t="s">
        <v>2584</v>
      </c>
      <c r="I40627" s="0" t="s">
        <v>5724</v>
      </c>
    </row>
    <row r="40629" customFormat="false" ht="12.8" hidden="false" customHeight="false" outlineLevel="0" collapsed="false">
      <c r="A40629" s="0" t="s">
        <v>14950</v>
      </c>
      <c r="B40629" s="0" t="str">
        <f aca="false">HYPERLINK("https://lindat.mff.cuni.cz/services/teitok/pdtc10/index.php?action=vallex&amp;frame=v-w5585f2", "rozdělit se (v-w5585f2)")</f>
        <v>rozdělit se (v-w5585f2)</v>
      </c>
    </row>
    <row r="40630" customFormat="false" ht="12.8" hidden="false" customHeight="false" outlineLevel="0" collapsed="false">
      <c r="B40630" s="0" t="s">
        <v>1</v>
      </c>
    </row>
    <row r="40631" customFormat="false" ht="12.8" hidden="false" customHeight="false" outlineLevel="0" collapsed="false">
      <c r="B40631" s="0" t="s">
        <v>814</v>
      </c>
    </row>
    <row r="40632" customFormat="false" ht="12.8" hidden="false" customHeight="false" outlineLevel="0" collapsed="false">
      <c r="B40632" s="0" t="s">
        <v>276</v>
      </c>
    </row>
    <row r="40634" customFormat="false" ht="12.8" hidden="false" customHeight="false" outlineLevel="0" collapsed="false">
      <c r="A40634" s="0" t="s">
        <v>14951</v>
      </c>
      <c r="B40634" s="0" t="str">
        <f aca="false">HYPERLINK("https://lindat.mff.cuni.cz/services/teitok/pdtc10/index.php?action=vallex&amp;frame=v-w5585f1", "rozdělit se (v-w5585f1)")</f>
        <v>rozdělit se (v-w5585f1)</v>
      </c>
      <c r="E40634" s="0" t="str">
        <f aca="false">HYPERLINK("https://lindat.mff.cuni.cz/services/SynSemClass40/SynSemClass40.html?veclass=vec01305#vec01305-ces-cm00003", "vec01305")</f>
        <v>vec01305</v>
      </c>
      <c r="F40634" s="0" t="s">
        <v>2015</v>
      </c>
    </row>
    <row r="40635" customFormat="false" ht="12.8" hidden="false" customHeight="false" outlineLevel="0" collapsed="false">
      <c r="B40635" s="0" t="s">
        <v>1</v>
      </c>
      <c r="C40635" s="0" t="s">
        <v>2016</v>
      </c>
      <c r="E40635" s="0" t="s">
        <v>2017</v>
      </c>
      <c r="F40635" s="0" t="s">
        <v>2018</v>
      </c>
    </row>
    <row r="40636" customFormat="false" ht="12.8" hidden="false" customHeight="false" outlineLevel="0" collapsed="false">
      <c r="B40636" s="0" t="s">
        <v>14952</v>
      </c>
      <c r="C40636" s="0" t="s">
        <v>2019</v>
      </c>
      <c r="E40636" s="0" t="s">
        <v>110</v>
      </c>
      <c r="F40636" s="0" t="s">
        <v>2020</v>
      </c>
    </row>
    <row r="40638" customFormat="false" ht="12.8" hidden="false" customHeight="false" outlineLevel="0" collapsed="false">
      <c r="A40638" s="0" t="s">
        <v>14953</v>
      </c>
      <c r="B40638" s="0" t="str">
        <f aca="false">HYPERLINK("https://lindat.mff.cuni.cz/services/teitok/pdtc10/index.php?action=vallex&amp;frame=v-w5585f3", "rozdělit se (v-w5585f3)")</f>
        <v>rozdělit se (v-w5585f3)</v>
      </c>
    </row>
    <row r="40639" customFormat="false" ht="12.8" hidden="false" customHeight="false" outlineLevel="0" collapsed="false">
      <c r="B40639" s="0" t="s">
        <v>1</v>
      </c>
    </row>
    <row r="40640" customFormat="false" ht="12.8" hidden="false" customHeight="false" outlineLevel="0" collapsed="false">
      <c r="B40640" s="0" t="s">
        <v>444</v>
      </c>
    </row>
    <row r="40642" customFormat="false" ht="12.8" hidden="false" customHeight="false" outlineLevel="0" collapsed="false">
      <c r="A40642" s="0" t="s">
        <v>14954</v>
      </c>
      <c r="B40642" s="0" t="str">
        <f aca="false">HYPERLINK("https://lindat.mff.cuni.cz/services/teitok/pdtc10/index.php?action=vallex&amp;frame=v-w5587f3_ZU", "rozdělovat (v-w5587f3_ZU)")</f>
        <v>rozdělovat (v-w5587f3_ZU)</v>
      </c>
    </row>
    <row r="40643" customFormat="false" ht="12.8" hidden="false" customHeight="false" outlineLevel="0" collapsed="false">
      <c r="B40643" s="0" t="s">
        <v>1</v>
      </c>
    </row>
    <row r="40644" customFormat="false" ht="12.8" hidden="false" customHeight="false" outlineLevel="0" collapsed="false">
      <c r="B40644" s="0" t="s">
        <v>305</v>
      </c>
    </row>
    <row r="40645" customFormat="false" ht="12.8" hidden="false" customHeight="false" outlineLevel="0" collapsed="false">
      <c r="B40645" s="0" t="s">
        <v>3995</v>
      </c>
    </row>
    <row r="40647" customFormat="false" ht="12.8" hidden="false" customHeight="false" outlineLevel="0" collapsed="false">
      <c r="A40647" s="0" t="s">
        <v>14954</v>
      </c>
      <c r="B40647" s="0" t="str">
        <f aca="false">HYPERLINK("https://lindat.mff.cuni.cz/services/teitok/pdtc10/index.php?action=vallex&amp;frame=v-w5587f1", "rozdělovat (v-w5587f1) - substituted with v-w5587f3_ZU")</f>
        <v>rozdělovat (v-w5587f1) - substituted with v-w5587f3_ZU</v>
      </c>
      <c r="E40647" s="0" t="str">
        <f aca="false">HYPERLINK("https://lindat.mff.cuni.cz/services/SynSemClass40/SynSemClass40.html?veclass=vec00209#vec00209-ces-cm00022", "vec00209")</f>
        <v>vec00209</v>
      </c>
      <c r="F40647" s="0" t="s">
        <v>2040</v>
      </c>
    </row>
    <row r="40648" customFormat="false" ht="12.8" hidden="false" customHeight="false" outlineLevel="0" collapsed="false">
      <c r="B40648" s="0" t="s">
        <v>1</v>
      </c>
      <c r="C40648" s="0" t="s">
        <v>2041</v>
      </c>
      <c r="E40648" s="0" t="s">
        <v>1784</v>
      </c>
      <c r="F40648" s="0" t="s">
        <v>2042</v>
      </c>
    </row>
    <row r="40649" customFormat="false" ht="12.8" hidden="false" customHeight="false" outlineLevel="0" collapsed="false">
      <c r="B40649" s="0" t="s">
        <v>305</v>
      </c>
      <c r="C40649" s="0" t="s">
        <v>2043</v>
      </c>
      <c r="E40649" s="0" t="s">
        <v>1787</v>
      </c>
      <c r="F40649" s="0" t="s">
        <v>2044</v>
      </c>
    </row>
    <row r="40650" customFormat="false" ht="12.8" hidden="false" customHeight="false" outlineLevel="0" collapsed="false">
      <c r="B40650" s="0" t="s">
        <v>3995</v>
      </c>
      <c r="C40650" s="0" t="s">
        <v>2046</v>
      </c>
      <c r="E40650" s="0" t="s">
        <v>53</v>
      </c>
      <c r="F40650" s="0" t="s">
        <v>2047</v>
      </c>
    </row>
    <row r="40652" customFormat="false" ht="12.8" hidden="false" customHeight="false" outlineLevel="0" collapsed="false">
      <c r="A40652" s="0" t="s">
        <v>14955</v>
      </c>
      <c r="B40652" s="0" t="str">
        <f aca="false">HYPERLINK("https://lindat.mff.cuni.cz/services/teitok/pdtc10/index.php?action=vallex&amp;frame=v-w5587f2", "rozdělovat (v-w5587f2)")</f>
        <v>rozdělovat (v-w5587f2)</v>
      </c>
      <c r="E40652" s="0" t="str">
        <f aca="false">HYPERLINK("https://lindat.mff.cuni.cz/services/SynSemClass40/SynSemClass40.html?veclass=vec00296#vec00296-ces-cm00007", "vec00296")</f>
        <v>vec00296</v>
      </c>
      <c r="F40652" s="0" t="s">
        <v>5275</v>
      </c>
    </row>
    <row r="40653" customFormat="false" ht="12.8" hidden="false" customHeight="false" outlineLevel="0" collapsed="false">
      <c r="B40653" s="0" t="s">
        <v>1</v>
      </c>
      <c r="C40653" s="0" t="s">
        <v>5276</v>
      </c>
      <c r="E40653" s="0" t="s">
        <v>11</v>
      </c>
      <c r="F40653" s="0" t="s">
        <v>5277</v>
      </c>
    </row>
    <row r="40654" customFormat="false" ht="12.8" hidden="false" customHeight="false" outlineLevel="0" collapsed="false">
      <c r="B40654" s="0" t="s">
        <v>8</v>
      </c>
      <c r="C40654" s="0" t="s">
        <v>5278</v>
      </c>
      <c r="E40654" s="0" t="s">
        <v>5279</v>
      </c>
      <c r="F40654" s="0" t="s">
        <v>5280</v>
      </c>
    </row>
    <row r="40655" customFormat="false" ht="12.8" hidden="false" customHeight="false" outlineLevel="0" collapsed="false">
      <c r="B40655" s="0" t="s">
        <v>5779</v>
      </c>
      <c r="C40655" s="0" t="s">
        <v>5281</v>
      </c>
      <c r="E40655" s="0" t="s">
        <v>2584</v>
      </c>
      <c r="F40655" s="0" t="s">
        <v>5282</v>
      </c>
    </row>
    <row r="40657" customFormat="false" ht="12.8" hidden="false" customHeight="false" outlineLevel="0" collapsed="false">
      <c r="A40657" s="0" t="s">
        <v>14956</v>
      </c>
      <c r="B40657" s="0" t="str">
        <f aca="false">HYPERLINK("https://lindat.mff.cuni.cz/services/teitok/pdtc10/index.php?action=vallex&amp;frame=v-whsa_663hsa_664", "rozdělovat se (v-whsa_663hsa_664)")</f>
        <v>rozdělovat se (v-whsa_663hsa_664)</v>
      </c>
    </row>
    <row r="40658" customFormat="false" ht="12.8" hidden="false" customHeight="false" outlineLevel="0" collapsed="false">
      <c r="B40658" s="0" t="s">
        <v>1</v>
      </c>
    </row>
    <row r="40659" customFormat="false" ht="12.8" hidden="false" customHeight="false" outlineLevel="0" collapsed="false">
      <c r="B40659" s="0" t="s">
        <v>3213</v>
      </c>
    </row>
    <row r="40661" customFormat="false" ht="12.8" hidden="false" customHeight="false" outlineLevel="0" collapsed="false">
      <c r="A40661" s="0" t="s">
        <v>14957</v>
      </c>
      <c r="B40661" s="0" t="str">
        <f aca="false">HYPERLINK("https://lindat.mff.cuni.cz/services/teitok/pdtc10/index.php?action=vallex&amp;frame=v-whsa_2018f2_ZU", "rozdělávat (v-whsa_2018f2_ZU)")</f>
        <v>rozdělávat (v-whsa_2018f2_ZU)</v>
      </c>
    </row>
    <row r="40662" customFormat="false" ht="12.8" hidden="false" customHeight="false" outlineLevel="0" collapsed="false">
      <c r="B40662" s="0" t="s">
        <v>1</v>
      </c>
    </row>
    <row r="40663" customFormat="false" ht="12.8" hidden="false" customHeight="false" outlineLevel="0" collapsed="false">
      <c r="B40663" s="0" t="s">
        <v>8</v>
      </c>
    </row>
    <row r="40665" customFormat="false" ht="12.8" hidden="false" customHeight="false" outlineLevel="0" collapsed="false">
      <c r="A40665" s="0" t="s">
        <v>14957</v>
      </c>
      <c r="B40665" s="0" t="str">
        <f aca="false">HYPERLINK("https://lindat.mff.cuni.cz/services/teitok/pdtc10/index.php?action=vallex&amp;frame=v-whsa_2018hsa_2020", "rozdělávat (v-whsa_2018hsa_2020) - substituted with v-whsa_2018f2_ZU")</f>
        <v>rozdělávat (v-whsa_2018hsa_2020) - substituted with v-whsa_2018f2_ZU</v>
      </c>
    </row>
    <row r="40666" customFormat="false" ht="12.8" hidden="false" customHeight="false" outlineLevel="0" collapsed="false">
      <c r="B40666" s="0" t="s">
        <v>1</v>
      </c>
    </row>
    <row r="40667" customFormat="false" ht="12.8" hidden="false" customHeight="false" outlineLevel="0" collapsed="false">
      <c r="B40667" s="0" t="s">
        <v>8</v>
      </c>
    </row>
    <row r="40669" customFormat="false" ht="12.8" hidden="false" customHeight="false" outlineLevel="0" collapsed="false">
      <c r="A40669" s="0" t="s">
        <v>14958</v>
      </c>
      <c r="B40669" s="0" t="str">
        <f aca="false">HYPERLINK("https://lindat.mff.cuni.cz/services/teitok/pdtc10/index.php?action=vallex&amp;frame=v-whsa_2018f3_ZU", "rozdělávat (v-whsa_2018f3_ZU)")</f>
        <v>rozdělávat (v-whsa_2018f3_ZU)</v>
      </c>
    </row>
    <row r="40670" customFormat="false" ht="12.8" hidden="false" customHeight="false" outlineLevel="0" collapsed="false">
      <c r="B40670" s="0" t="s">
        <v>1</v>
      </c>
    </row>
    <row r="40671" customFormat="false" ht="12.8" hidden="false" customHeight="false" outlineLevel="0" collapsed="false">
      <c r="B40671" s="0" t="s">
        <v>8</v>
      </c>
    </row>
    <row r="40673" customFormat="false" ht="12.8" hidden="false" customHeight="false" outlineLevel="0" collapsed="false">
      <c r="A40673" s="0" t="s">
        <v>14958</v>
      </c>
      <c r="B40673" s="0" t="str">
        <f aca="false">HYPERLINK("https://lindat.mff.cuni.cz/services/teitok/pdtc10/index.php?action=vallex&amp;frame=v-whsa_2018f1_ZU", "rozdělávat (v-whsa_2018f1_ZU) - substituted with v-whsa_2018f3_ZU")</f>
        <v>rozdělávat (v-whsa_2018f1_ZU) - substituted with v-whsa_2018f3_ZU</v>
      </c>
    </row>
    <row r="40674" customFormat="false" ht="12.8" hidden="false" customHeight="false" outlineLevel="0" collapsed="false">
      <c r="B40674" s="0" t="s">
        <v>1</v>
      </c>
    </row>
    <row r="40675" customFormat="false" ht="12.8" hidden="false" customHeight="false" outlineLevel="0" collapsed="false">
      <c r="B40675" s="0" t="s">
        <v>8</v>
      </c>
    </row>
    <row r="40677" customFormat="false" ht="12.8" hidden="false" customHeight="false" outlineLevel="0" collapsed="false">
      <c r="A40677" s="0" t="s">
        <v>14958</v>
      </c>
      <c r="B40677" s="0" t="str">
        <f aca="false">HYPERLINK("https://lindat.mff.cuni.cz/services/teitok/pdtc10/index.php?action=vallex&amp;frame=v-whsa_2018hsa_2019", "rozdělávat (v-whsa_2018hsa_2019) - substituted with v-whsa_2018f3_ZU")</f>
        <v>rozdělávat (v-whsa_2018hsa_2019) - substituted with v-whsa_2018f3_ZU</v>
      </c>
    </row>
    <row r="40678" customFormat="false" ht="12.8" hidden="false" customHeight="false" outlineLevel="0" collapsed="false">
      <c r="B40678" s="0" t="s">
        <v>1</v>
      </c>
    </row>
    <row r="40679" customFormat="false" ht="12.8" hidden="false" customHeight="false" outlineLevel="0" collapsed="false">
      <c r="B40679" s="0" t="s">
        <v>8</v>
      </c>
    </row>
    <row r="40681" customFormat="false" ht="12.8" hidden="false" customHeight="false" outlineLevel="0" collapsed="false">
      <c r="A40681" s="0" t="s">
        <v>14959</v>
      </c>
      <c r="B40681" s="0" t="str">
        <f aca="false">HYPERLINK("https://lindat.mff.cuni.cz/services/teitok/pdtc10/index.php?action=vallex&amp;frame=v-w5598f3", "rozebrat (v-w5598f3)")</f>
        <v>rozebrat (v-w5598f3)</v>
      </c>
    </row>
    <row r="40682" customFormat="false" ht="12.8" hidden="false" customHeight="false" outlineLevel="0" collapsed="false">
      <c r="B40682" s="0" t="s">
        <v>1</v>
      </c>
    </row>
    <row r="40683" customFormat="false" ht="12.8" hidden="false" customHeight="false" outlineLevel="0" collapsed="false">
      <c r="B40683" s="0" t="s">
        <v>8</v>
      </c>
    </row>
    <row r="40684" customFormat="false" ht="12.8" hidden="false" customHeight="false" outlineLevel="0" collapsed="false">
      <c r="B40684" s="0" t="s">
        <v>276</v>
      </c>
    </row>
    <row r="40686" customFormat="false" ht="12.8" hidden="false" customHeight="false" outlineLevel="0" collapsed="false">
      <c r="A40686" s="0" t="s">
        <v>14960</v>
      </c>
      <c r="B40686" s="0" t="str">
        <f aca="false">HYPERLINK("https://lindat.mff.cuni.cz/services/teitok/pdtc10/index.php?action=vallex&amp;frame=v-w5598f1", "rozebrat (v-w5598f1)")</f>
        <v>rozebrat (v-w5598f1)</v>
      </c>
    </row>
    <row r="40687" customFormat="false" ht="12.8" hidden="false" customHeight="false" outlineLevel="0" collapsed="false">
      <c r="B40687" s="0" t="s">
        <v>1</v>
      </c>
    </row>
    <row r="40688" customFormat="false" ht="12.8" hidden="false" customHeight="false" outlineLevel="0" collapsed="false">
      <c r="B40688" s="0" t="s">
        <v>8</v>
      </c>
    </row>
    <row r="40689" customFormat="false" ht="12.8" hidden="false" customHeight="false" outlineLevel="0" collapsed="false">
      <c r="B40689" s="0" t="s">
        <v>101</v>
      </c>
    </row>
    <row r="40691" customFormat="false" ht="12.8" hidden="false" customHeight="false" outlineLevel="0" collapsed="false">
      <c r="A40691" s="0" t="s">
        <v>14961</v>
      </c>
      <c r="B40691" s="0" t="str">
        <f aca="false">HYPERLINK("https://lindat.mff.cuni.cz/services/teitok/pdtc10/index.php?action=vallex&amp;frame=v-w5598f2", "rozebrat (v-w5598f2)")</f>
        <v>rozebrat (v-w5598f2)</v>
      </c>
    </row>
    <row r="40692" customFormat="false" ht="12.8" hidden="false" customHeight="false" outlineLevel="0" collapsed="false">
      <c r="B40692" s="0" t="s">
        <v>1</v>
      </c>
    </row>
    <row r="40693" customFormat="false" ht="12.8" hidden="false" customHeight="false" outlineLevel="0" collapsed="false">
      <c r="B40693" s="0" t="s">
        <v>8</v>
      </c>
    </row>
    <row r="40695" customFormat="false" ht="12.8" hidden="false" customHeight="false" outlineLevel="0" collapsed="false">
      <c r="A40695" s="0" t="s">
        <v>14962</v>
      </c>
      <c r="B40695" s="0" t="str">
        <f aca="false">HYPERLINK("https://lindat.mff.cuni.cz/services/teitok/pdtc10/index.php?action=vallex&amp;frame=v-w5597f1", "rozebírat (v-w5597f1)")</f>
        <v>rozebírat (v-w5597f1)</v>
      </c>
      <c r="E40695" s="0" t="str">
        <f aca="false">HYPERLINK("https://lindat.mff.cuni.cz/services/SynSemClass40/SynSemClass40.html?veclass=vec00031#vec00031-ces-cm00067", "vec00031")</f>
        <v>vec00031</v>
      </c>
      <c r="F40695" s="0" t="s">
        <v>277</v>
      </c>
    </row>
    <row r="40696" customFormat="false" ht="12.8" hidden="false" customHeight="false" outlineLevel="0" collapsed="false">
      <c r="B40696" s="0" t="s">
        <v>1</v>
      </c>
      <c r="C40696" s="0" t="s">
        <v>278</v>
      </c>
      <c r="E40696" s="0" t="s">
        <v>147</v>
      </c>
      <c r="F40696" s="0" t="s">
        <v>279</v>
      </c>
    </row>
    <row r="40697" customFormat="false" ht="12.8" hidden="false" customHeight="false" outlineLevel="0" collapsed="false">
      <c r="B40697" s="0" t="s">
        <v>8</v>
      </c>
      <c r="C40697" s="0" t="s">
        <v>280</v>
      </c>
      <c r="E40697" s="0" t="s">
        <v>218</v>
      </c>
      <c r="F40697" s="0" t="s">
        <v>281</v>
      </c>
    </row>
    <row r="40698" customFormat="false" ht="12.8" hidden="false" customHeight="false" outlineLevel="0" collapsed="false">
      <c r="B40698" s="0" t="s">
        <v>3205</v>
      </c>
      <c r="C40698" s="0" t="s">
        <v>282</v>
      </c>
      <c r="E40698" s="0" t="s">
        <v>221</v>
      </c>
      <c r="F40698" s="0" t="s">
        <v>283</v>
      </c>
    </row>
    <row r="40700" customFormat="false" ht="12.8" hidden="false" customHeight="false" outlineLevel="0" collapsed="false">
      <c r="A40700" s="0" t="s">
        <v>14963</v>
      </c>
      <c r="B40700" s="0" t="str">
        <f aca="false">HYPERLINK("https://lindat.mff.cuni.cz/services/teitok/pdtc10/index.php?action=vallex&amp;frame=v-w5597f2", "rozebírat (v-w5597f2)")</f>
        <v>rozebírat (v-w5597f2)</v>
      </c>
      <c r="E40700" s="0" t="str">
        <f aca="false">HYPERLINK("https://lindat.mff.cuni.cz/services/SynSemClass40/SynSemClass40.html?veclass=vec00296#vec00296-ces-cm00059", "vec00296")</f>
        <v>vec00296</v>
      </c>
      <c r="F40700" s="0" t="s">
        <v>5275</v>
      </c>
      <c r="H40700" s="0" t="str">
        <f aca="false">HYPERLINK("https://lindat.mff.cuni.cz/services/SynSemClass40/SynSemClass40.html?veclass=vec00903#vec00903-ces-cm00010", "vec00903")</f>
        <v>vec00903</v>
      </c>
      <c r="I40700" s="0" t="s">
        <v>8059</v>
      </c>
    </row>
    <row r="40701" customFormat="false" ht="12.8" hidden="false" customHeight="false" outlineLevel="0" collapsed="false">
      <c r="B40701" s="0" t="s">
        <v>1</v>
      </c>
      <c r="C40701" s="0" t="s">
        <v>14964</v>
      </c>
      <c r="E40701" s="0" t="s">
        <v>11</v>
      </c>
      <c r="F40701" s="0" t="s">
        <v>5277</v>
      </c>
      <c r="H40701" s="0" t="s">
        <v>1890</v>
      </c>
      <c r="I40701" s="0" t="s">
        <v>8061</v>
      </c>
    </row>
    <row r="40702" customFormat="false" ht="12.8" hidden="false" customHeight="false" outlineLevel="0" collapsed="false">
      <c r="B40702" s="0" t="s">
        <v>8</v>
      </c>
      <c r="C40702" s="0" t="s">
        <v>14965</v>
      </c>
      <c r="E40702" s="0" t="s">
        <v>5279</v>
      </c>
      <c r="F40702" s="0" t="s">
        <v>5280</v>
      </c>
      <c r="H40702" s="0" t="s">
        <v>1893</v>
      </c>
      <c r="I40702" s="0" t="s">
        <v>8063</v>
      </c>
    </row>
    <row r="40703" customFormat="false" ht="12.8" hidden="false" customHeight="false" outlineLevel="0" collapsed="false">
      <c r="B40703" s="0" t="s">
        <v>101</v>
      </c>
      <c r="C40703" s="0" t="s">
        <v>14966</v>
      </c>
      <c r="E40703" s="0" t="s">
        <v>2584</v>
      </c>
      <c r="F40703" s="0" t="s">
        <v>5282</v>
      </c>
      <c r="H40703" s="0" t="s">
        <v>2584</v>
      </c>
      <c r="I40703" s="0" t="s">
        <v>8065</v>
      </c>
    </row>
    <row r="40705" customFormat="false" ht="12.8" hidden="false" customHeight="false" outlineLevel="0" collapsed="false">
      <c r="A40705" s="0" t="s">
        <v>14967</v>
      </c>
      <c r="B40705" s="0" t="str">
        <f aca="false">HYPERLINK("https://lindat.mff.cuni.cz/services/teitok/pdtc10/index.php?action=vallex&amp;frame=v-whsa_1977f1_ZU", "rozeběhnout se (v-whsa_1977f1_ZU)")</f>
        <v>rozeběhnout se (v-whsa_1977f1_ZU)</v>
      </c>
    </row>
    <row r="40706" customFormat="false" ht="12.8" hidden="false" customHeight="false" outlineLevel="0" collapsed="false">
      <c r="B40706" s="0" t="s">
        <v>1</v>
      </c>
    </row>
    <row r="40708" customFormat="false" ht="12.8" hidden="false" customHeight="false" outlineLevel="0" collapsed="false">
      <c r="A40708" s="0" t="s">
        <v>14967</v>
      </c>
      <c r="B40708" s="0" t="str">
        <f aca="false">HYPERLINK("https://lindat.mff.cuni.cz/services/teitok/pdtc10/index.php?action=vallex&amp;frame=v-whsa_1977hsa_1978", "rozeběhnout se (v-whsa_1977hsa_1978) - substituted with v-whsa_1977f1_ZU")</f>
        <v>rozeběhnout se (v-whsa_1977hsa_1978) - substituted with v-whsa_1977f1_ZU</v>
      </c>
    </row>
    <row r="40709" customFormat="false" ht="12.8" hidden="false" customHeight="false" outlineLevel="0" collapsed="false">
      <c r="B40709" s="0" t="s">
        <v>1</v>
      </c>
    </row>
    <row r="40711" customFormat="false" ht="12.8" hidden="false" customHeight="false" outlineLevel="0" collapsed="false">
      <c r="A40711" s="0" t="s">
        <v>14968</v>
      </c>
      <c r="B40711" s="0" t="str">
        <f aca="false">HYPERLINK("https://lindat.mff.cuni.cz/services/teitok/pdtc10/index.php?action=vallex&amp;frame=v-w5610f1", "rozechvívat (v-w5610f1)")</f>
        <v>rozechvívat (v-w5610f1)</v>
      </c>
    </row>
    <row r="40712" customFormat="false" ht="12.8" hidden="false" customHeight="false" outlineLevel="0" collapsed="false">
      <c r="B40712" s="0" t="s">
        <v>843</v>
      </c>
    </row>
    <row r="40713" customFormat="false" ht="12.8" hidden="false" customHeight="false" outlineLevel="0" collapsed="false">
      <c r="B40713" s="0" t="s">
        <v>8</v>
      </c>
    </row>
    <row r="40715" customFormat="false" ht="12.8" hidden="false" customHeight="false" outlineLevel="0" collapsed="false">
      <c r="A40715" s="0" t="s">
        <v>14969</v>
      </c>
      <c r="B40715" s="0" t="str">
        <f aca="false">HYPERLINK("https://lindat.mff.cuni.cz/services/teitok/pdtc10/index.php?action=vallex&amp;frame=v-w5609f1", "rozechvět (v-w5609f1)")</f>
        <v>rozechvět (v-w5609f1)</v>
      </c>
    </row>
    <row r="40716" customFormat="false" ht="12.8" hidden="false" customHeight="false" outlineLevel="0" collapsed="false">
      <c r="B40716" s="0" t="s">
        <v>843</v>
      </c>
    </row>
    <row r="40717" customFormat="false" ht="12.8" hidden="false" customHeight="false" outlineLevel="0" collapsed="false">
      <c r="B40717" s="0" t="s">
        <v>8</v>
      </c>
    </row>
    <row r="40719" customFormat="false" ht="12.8" hidden="false" customHeight="false" outlineLevel="0" collapsed="false">
      <c r="A40719" s="0" t="s">
        <v>14970</v>
      </c>
      <c r="B40719" s="0" t="str">
        <f aca="false">HYPERLINK("https://lindat.mff.cuni.cz/services/teitok/pdtc10/index.php?action=vallex&amp;frame=v-w5609f2", "rozechvět (v-w5609f2)")</f>
        <v>rozechvět (v-w5609f2)</v>
      </c>
    </row>
    <row r="40720" customFormat="false" ht="12.8" hidden="false" customHeight="false" outlineLevel="0" collapsed="false">
      <c r="B40720" s="0" t="s">
        <v>1</v>
      </c>
    </row>
    <row r="40721" customFormat="false" ht="12.8" hidden="false" customHeight="false" outlineLevel="0" collapsed="false">
      <c r="B40721" s="0" t="s">
        <v>8</v>
      </c>
    </row>
    <row r="40723" customFormat="false" ht="12.8" hidden="false" customHeight="false" outlineLevel="0" collapsed="false">
      <c r="A40723" s="0" t="s">
        <v>14971</v>
      </c>
      <c r="B40723" s="0" t="str">
        <f aca="false">HYPERLINK("https://lindat.mff.cuni.cz/services/teitok/pdtc10/index.php?action=vallex&amp;frame=v-whsa_56hsa_57", "rozednít se (v-whsa_56hsa_57)")</f>
        <v>rozednít se (v-whsa_56hsa_57)</v>
      </c>
    </row>
    <row r="40725" customFormat="false" ht="12.8" hidden="false" customHeight="false" outlineLevel="0" collapsed="false">
      <c r="A40725" s="0" t="s">
        <v>14972</v>
      </c>
      <c r="B40725" s="0" t="str">
        <f aca="false">HYPERLINK("https://lindat.mff.cuni.cz/services/teitok/pdtc10/index.php?action=vallex&amp;frame=v-w5599f2", "rozednívat se (v-w5599f2)")</f>
        <v>rozednívat se (v-w5599f2)</v>
      </c>
    </row>
    <row r="40726" customFormat="false" ht="12.8" hidden="false" customHeight="false" outlineLevel="0" collapsed="false">
      <c r="B40726" s="0" t="s">
        <v>1</v>
      </c>
    </row>
    <row r="40728" customFormat="false" ht="12.8" hidden="false" customHeight="false" outlineLevel="0" collapsed="false">
      <c r="A40728" s="0" t="s">
        <v>14973</v>
      </c>
      <c r="B40728" s="0" t="str">
        <f aca="false">HYPERLINK("https://lindat.mff.cuni.cz/services/teitok/pdtc10/index.php?action=vallex&amp;frame=v-w5599f1", "rozednívat se (v-w5599f1)")</f>
        <v>rozednívat se (v-w5599f1)</v>
      </c>
    </row>
    <row r="40730" customFormat="false" ht="12.8" hidden="false" customHeight="false" outlineLevel="0" collapsed="false">
      <c r="A40730" s="0" t="s">
        <v>14974</v>
      </c>
      <c r="B40730" s="0" t="str">
        <f aca="false">HYPERLINK("https://lindat.mff.cuni.cz/services/teitok/pdtc10/index.php?action=vallex&amp;frame=v-w5600f1", "rozehnat (v-w5600f1)")</f>
        <v>rozehnat (v-w5600f1)</v>
      </c>
      <c r="E40730" s="0" t="str">
        <f aca="false">HYPERLINK("https://lindat.mff.cuni.cz/services/SynSemClass40/SynSemClass40.html?veclass=vec00910#vec00910-ces-cm00025", "vec00910")</f>
        <v>vec00910</v>
      </c>
      <c r="F40730" s="0" t="s">
        <v>14975</v>
      </c>
    </row>
    <row r="40731" customFormat="false" ht="12.8" hidden="false" customHeight="false" outlineLevel="0" collapsed="false">
      <c r="B40731" s="0" t="s">
        <v>1</v>
      </c>
      <c r="C40731" s="0" t="s">
        <v>512</v>
      </c>
      <c r="E40731" s="0" t="s">
        <v>1103</v>
      </c>
      <c r="F40731" s="0" t="s">
        <v>14976</v>
      </c>
    </row>
    <row r="40732" customFormat="false" ht="12.8" hidden="false" customHeight="false" outlineLevel="0" collapsed="false">
      <c r="B40732" s="0" t="s">
        <v>8</v>
      </c>
      <c r="C40732" s="0" t="s">
        <v>639</v>
      </c>
      <c r="E40732" s="0" t="s">
        <v>532</v>
      </c>
      <c r="F40732" s="0" t="s">
        <v>14977</v>
      </c>
    </row>
    <row r="40734" customFormat="false" ht="12.8" hidden="false" customHeight="false" outlineLevel="0" collapsed="false">
      <c r="A40734" s="0" t="s">
        <v>14978</v>
      </c>
      <c r="B40734" s="0" t="str">
        <f aca="false">HYPERLINK("https://lindat.mff.cuni.cz/services/teitok/pdtc10/index.php?action=vallex&amp;frame=v-w5602f2", "rozehrát (v-w5602f2)")</f>
        <v>rozehrát (v-w5602f2)</v>
      </c>
    </row>
    <row r="40735" customFormat="false" ht="12.8" hidden="false" customHeight="false" outlineLevel="0" collapsed="false">
      <c r="B40735" s="0" t="s">
        <v>1</v>
      </c>
    </row>
    <row r="40736" customFormat="false" ht="12.8" hidden="false" customHeight="false" outlineLevel="0" collapsed="false">
      <c r="B40736" s="0" t="s">
        <v>8</v>
      </c>
    </row>
    <row r="40737" customFormat="false" ht="12.8" hidden="false" customHeight="false" outlineLevel="0" collapsed="false">
      <c r="B40737" s="0" t="s">
        <v>245</v>
      </c>
    </row>
    <row r="40739" customFormat="false" ht="12.8" hidden="false" customHeight="false" outlineLevel="0" collapsed="false">
      <c r="A40739" s="0" t="s">
        <v>14979</v>
      </c>
      <c r="B40739" s="0" t="str">
        <f aca="false">HYPERLINK("https://lindat.mff.cuni.cz/services/teitok/pdtc10/index.php?action=vallex&amp;frame=v-w5602f1", "rozehrát (v-w5602f1)")</f>
        <v>rozehrát (v-w5602f1)</v>
      </c>
    </row>
    <row r="40740" customFormat="false" ht="12.8" hidden="false" customHeight="false" outlineLevel="0" collapsed="false">
      <c r="B40740" s="0" t="s">
        <v>1</v>
      </c>
    </row>
    <row r="40741" customFormat="false" ht="12.8" hidden="false" customHeight="false" outlineLevel="0" collapsed="false">
      <c r="B40741" s="0" t="s">
        <v>8</v>
      </c>
    </row>
    <row r="40743" customFormat="false" ht="12.8" hidden="false" customHeight="false" outlineLevel="0" collapsed="false">
      <c r="A40743" s="0" t="s">
        <v>14980</v>
      </c>
      <c r="B40743" s="0" t="str">
        <f aca="false">HYPERLINK("https://lindat.mff.cuni.cz/services/teitok/pdtc10/index.php?action=vallex&amp;frame=v-w5603f1", "rozehrát se (v-w5603f1)")</f>
        <v>rozehrát se (v-w5603f1)</v>
      </c>
    </row>
    <row r="40744" customFormat="false" ht="12.8" hidden="false" customHeight="false" outlineLevel="0" collapsed="false">
      <c r="B40744" s="0" t="s">
        <v>1</v>
      </c>
    </row>
    <row r="40746" customFormat="false" ht="12.8" hidden="false" customHeight="false" outlineLevel="0" collapsed="false">
      <c r="A40746" s="0" t="s">
        <v>14981</v>
      </c>
      <c r="B40746" s="0" t="str">
        <f aca="false">HYPERLINK("https://lindat.mff.cuni.cz/services/teitok/pdtc10/index.php?action=vallex&amp;frame=v-w5605f1", "rozehrávat (v-w5605f1)")</f>
        <v>rozehrávat (v-w5605f1)</v>
      </c>
    </row>
    <row r="40747" customFormat="false" ht="12.8" hidden="false" customHeight="false" outlineLevel="0" collapsed="false">
      <c r="B40747" s="0" t="s">
        <v>1</v>
      </c>
    </row>
    <row r="40748" customFormat="false" ht="12.8" hidden="false" customHeight="false" outlineLevel="0" collapsed="false">
      <c r="B40748" s="0" t="s">
        <v>8</v>
      </c>
    </row>
    <row r="40750" customFormat="false" ht="12.8" hidden="false" customHeight="false" outlineLevel="0" collapsed="false">
      <c r="A40750" s="0" t="s">
        <v>14982</v>
      </c>
      <c r="B40750" s="0" t="str">
        <f aca="false">HYPERLINK("https://lindat.mff.cuni.cz/services/teitok/pdtc10/index.php?action=vallex&amp;frame=v-w5607f1", "rozehřát (v-w5607f1)")</f>
        <v>rozehřát (v-w5607f1)</v>
      </c>
    </row>
    <row r="40751" customFormat="false" ht="12.8" hidden="false" customHeight="false" outlineLevel="0" collapsed="false">
      <c r="B40751" s="0" t="s">
        <v>1</v>
      </c>
    </row>
    <row r="40752" customFormat="false" ht="12.8" hidden="false" customHeight="false" outlineLevel="0" collapsed="false">
      <c r="B40752" s="0" t="s">
        <v>8</v>
      </c>
    </row>
    <row r="40754" customFormat="false" ht="12.8" hidden="false" customHeight="false" outlineLevel="0" collapsed="false">
      <c r="A40754" s="0" t="s">
        <v>14983</v>
      </c>
      <c r="B40754" s="0" t="str">
        <f aca="false">HYPERLINK("https://lindat.mff.cuni.cz/services/teitok/pdtc10/index.php?action=vallex&amp;frame=v-w5607f2", "rozehřát (v-w5607f2)")</f>
        <v>rozehřát (v-w5607f2)</v>
      </c>
    </row>
    <row r="40755" customFormat="false" ht="12.8" hidden="false" customHeight="false" outlineLevel="0" collapsed="false">
      <c r="B40755" s="0" t="s">
        <v>1</v>
      </c>
    </row>
    <row r="40756" customFormat="false" ht="12.8" hidden="false" customHeight="false" outlineLevel="0" collapsed="false">
      <c r="B40756" s="0" t="s">
        <v>8</v>
      </c>
    </row>
    <row r="40758" customFormat="false" ht="12.8" hidden="false" customHeight="false" outlineLevel="0" collapsed="false">
      <c r="A40758" s="0" t="s">
        <v>14984</v>
      </c>
      <c r="B40758" s="0" t="str">
        <f aca="false">HYPERLINK("https://lindat.mff.cuni.cz/services/teitok/pdtc10/index.php?action=vallex&amp;frame=v-w5611f1", "rozejít se (v-w5611f1)")</f>
        <v>rozejít se (v-w5611f1)</v>
      </c>
      <c r="E40758" s="0" t="str">
        <f aca="false">HYPERLINK("https://lindat.mff.cuni.cz/services/SynSemClass40/SynSemClass40.html?veclass=vec00905#vec00905-ces-cm00001", "vec00905")</f>
        <v>vec00905</v>
      </c>
      <c r="F40758" s="0" t="s">
        <v>8789</v>
      </c>
    </row>
    <row r="40759" customFormat="false" ht="12.8" hidden="false" customHeight="false" outlineLevel="0" collapsed="false">
      <c r="B40759" s="0" t="s">
        <v>1</v>
      </c>
      <c r="C40759" s="0" t="s">
        <v>5344</v>
      </c>
      <c r="E40759" s="0" t="s">
        <v>2241</v>
      </c>
      <c r="F40759" s="0" t="s">
        <v>8790</v>
      </c>
    </row>
    <row r="40760" customFormat="false" ht="12.8" hidden="false" customHeight="false" outlineLevel="0" collapsed="false">
      <c r="B40760" s="0" t="s">
        <v>721</v>
      </c>
      <c r="E40760" s="0" t="s">
        <v>2665</v>
      </c>
      <c r="F40760" s="0" t="s">
        <v>8791</v>
      </c>
    </row>
    <row r="40762" customFormat="false" ht="12.8" hidden="false" customHeight="false" outlineLevel="0" collapsed="false">
      <c r="A40762" s="0" t="s">
        <v>14985</v>
      </c>
      <c r="B40762" s="0" t="str">
        <f aca="false">HYPERLINK("https://lindat.mff.cuni.cz/services/teitok/pdtc10/index.php?action=vallex&amp;frame=v-w5611hsa_779", "rozejít se (v-w5611hsa_779)")</f>
        <v>rozejít se (v-w5611hsa_779)</v>
      </c>
    </row>
    <row r="40763" customFormat="false" ht="12.8" hidden="false" customHeight="false" outlineLevel="0" collapsed="false">
      <c r="B40763" s="0" t="s">
        <v>1</v>
      </c>
    </row>
    <row r="40765" customFormat="false" ht="12.8" hidden="false" customHeight="false" outlineLevel="0" collapsed="false">
      <c r="A40765" s="0" t="s">
        <v>14986</v>
      </c>
      <c r="B40765" s="0" t="str">
        <f aca="false">HYPERLINK("https://lindat.mff.cuni.cz/services/teitok/pdtc10/index.php?action=vallex&amp;frame=v-whsb_1271f1_ZU", "rozemlít (v-whsb_1271f1_ZU)")</f>
        <v>rozemlít (v-whsb_1271f1_ZU)</v>
      </c>
    </row>
    <row r="40766" customFormat="false" ht="12.8" hidden="false" customHeight="false" outlineLevel="0" collapsed="false">
      <c r="B40766" s="0" t="s">
        <v>1</v>
      </c>
    </row>
    <row r="40767" customFormat="false" ht="12.8" hidden="false" customHeight="false" outlineLevel="0" collapsed="false">
      <c r="B40767" s="0" t="s">
        <v>8</v>
      </c>
    </row>
    <row r="40768" customFormat="false" ht="12.8" hidden="false" customHeight="false" outlineLevel="0" collapsed="false">
      <c r="B40768" s="0" t="s">
        <v>101</v>
      </c>
    </row>
    <row r="40770" customFormat="false" ht="12.8" hidden="false" customHeight="false" outlineLevel="0" collapsed="false">
      <c r="A40770" s="0" t="s">
        <v>14986</v>
      </c>
      <c r="B40770" s="0" t="str">
        <f aca="false">HYPERLINK("https://lindat.mff.cuni.cz/services/teitok/pdtc10/index.php?action=vallex&amp;frame=v-whsb_1271hsa_1272", "rozemlít (v-whsb_1271hsa_1272) - substituted with v-whsb_1271f1_ZU")</f>
        <v>rozemlít (v-whsb_1271hsa_1272) - substituted with v-whsb_1271f1_ZU</v>
      </c>
    </row>
    <row r="40771" customFormat="false" ht="12.8" hidden="false" customHeight="false" outlineLevel="0" collapsed="false">
      <c r="B40771" s="0" t="s">
        <v>1</v>
      </c>
    </row>
    <row r="40772" customFormat="false" ht="12.8" hidden="false" customHeight="false" outlineLevel="0" collapsed="false">
      <c r="B40772" s="0" t="s">
        <v>8</v>
      </c>
    </row>
    <row r="40773" customFormat="false" ht="12.8" hidden="false" customHeight="false" outlineLevel="0" collapsed="false">
      <c r="B40773" s="0" t="s">
        <v>101</v>
      </c>
    </row>
    <row r="40775" customFormat="false" ht="12.8" hidden="false" customHeight="false" outlineLevel="0" collapsed="false">
      <c r="A40775" s="0" t="s">
        <v>14987</v>
      </c>
      <c r="B40775" s="0" t="str">
        <f aca="false">HYPERLINK("https://lindat.mff.cuni.cz/services/teitok/pdtc10/index.php?action=vallex&amp;frame=v-w11041f2", "rozepisovat (v-w11041f2)")</f>
        <v>rozepisovat (v-w11041f2)</v>
      </c>
      <c r="E40775" s="0" t="str">
        <f aca="false">HYPERLINK("https://lindat.mff.cuni.cz/services/SynSemClass40/SynSemClass40.html?veclass=vec00296#vec00296-ces-cm00060", "vec00296")</f>
        <v>vec00296</v>
      </c>
      <c r="F40775" s="0" t="s">
        <v>5275</v>
      </c>
    </row>
    <row r="40776" customFormat="false" ht="12.8" hidden="false" customHeight="false" outlineLevel="0" collapsed="false">
      <c r="B40776" s="0" t="s">
        <v>1</v>
      </c>
      <c r="C40776" s="0" t="s">
        <v>5276</v>
      </c>
      <c r="E40776" s="0" t="s">
        <v>11</v>
      </c>
      <c r="F40776" s="0" t="s">
        <v>5277</v>
      </c>
    </row>
    <row r="40777" customFormat="false" ht="12.8" hidden="false" customHeight="false" outlineLevel="0" collapsed="false">
      <c r="B40777" s="0" t="s">
        <v>8</v>
      </c>
      <c r="C40777" s="0" t="s">
        <v>5278</v>
      </c>
      <c r="E40777" s="0" t="s">
        <v>5279</v>
      </c>
      <c r="F40777" s="0" t="s">
        <v>5280</v>
      </c>
    </row>
    <row r="40778" customFormat="false" ht="12.8" hidden="false" customHeight="false" outlineLevel="0" collapsed="false">
      <c r="B40778" s="0" t="s">
        <v>5779</v>
      </c>
      <c r="C40778" s="0" t="s">
        <v>5281</v>
      </c>
      <c r="E40778" s="0" t="s">
        <v>2584</v>
      </c>
      <c r="F40778" s="0" t="s">
        <v>5282</v>
      </c>
    </row>
    <row r="40780" customFormat="false" ht="12.8" hidden="false" customHeight="false" outlineLevel="0" collapsed="false">
      <c r="A40780" s="0" t="s">
        <v>14988</v>
      </c>
      <c r="B40780" s="0" t="str">
        <f aca="false">HYPERLINK("https://lindat.mff.cuni.cz/services/teitok/pdtc10/index.php?action=vallex&amp;frame=v-w12030_ZUf1_ZU", "rozervat (v-w12030_ZUf1_ZU)")</f>
        <v>rozervat (v-w12030_ZUf1_ZU)</v>
      </c>
    </row>
    <row r="40781" customFormat="false" ht="12.8" hidden="false" customHeight="false" outlineLevel="0" collapsed="false">
      <c r="B40781" s="0" t="s">
        <v>1</v>
      </c>
    </row>
    <row r="40782" customFormat="false" ht="12.8" hidden="false" customHeight="false" outlineLevel="0" collapsed="false">
      <c r="B40782" s="0" t="s">
        <v>8</v>
      </c>
    </row>
    <row r="40783" customFormat="false" ht="12.8" hidden="false" customHeight="false" outlineLevel="0" collapsed="false">
      <c r="B40783" s="0" t="s">
        <v>101</v>
      </c>
    </row>
    <row r="40785" customFormat="false" ht="12.8" hidden="false" customHeight="false" outlineLevel="0" collapsed="false">
      <c r="A40785" s="0" t="s">
        <v>14989</v>
      </c>
      <c r="B40785" s="0" t="str">
        <f aca="false">HYPERLINK("https://lindat.mff.cuni.cz/services/teitok/pdtc10/index.php?action=vallex&amp;frame=v-w10820f2", "rozesadit (v-w10820f2)")</f>
        <v>rozesadit (v-w10820f2)</v>
      </c>
    </row>
    <row r="40786" customFormat="false" ht="12.8" hidden="false" customHeight="false" outlineLevel="0" collapsed="false">
      <c r="B40786" s="0" t="s">
        <v>1</v>
      </c>
    </row>
    <row r="40787" customFormat="false" ht="12.8" hidden="false" customHeight="false" outlineLevel="0" collapsed="false">
      <c r="B40787" s="0" t="s">
        <v>8</v>
      </c>
    </row>
    <row r="40788" customFormat="false" ht="12.8" hidden="false" customHeight="false" outlineLevel="0" collapsed="false">
      <c r="B40788" s="0" t="s">
        <v>1965</v>
      </c>
    </row>
    <row r="40790" customFormat="false" ht="12.8" hidden="false" customHeight="false" outlineLevel="0" collapsed="false">
      <c r="A40790" s="0" t="s">
        <v>14990</v>
      </c>
      <c r="B40790" s="0" t="str">
        <f aca="false">HYPERLINK("https://lindat.mff.cuni.cz/services/teitok/pdtc10/index.php?action=vallex&amp;frame=v-w10820f3_ZU", "rozesadit (v-w10820f3_ZU)")</f>
        <v>rozesadit (v-w10820f3_ZU)</v>
      </c>
    </row>
    <row r="40791" customFormat="false" ht="12.8" hidden="false" customHeight="false" outlineLevel="0" collapsed="false">
      <c r="B40791" s="0" t="s">
        <v>1</v>
      </c>
    </row>
    <row r="40792" customFormat="false" ht="12.8" hidden="false" customHeight="false" outlineLevel="0" collapsed="false">
      <c r="B40792" s="0" t="s">
        <v>8</v>
      </c>
    </row>
    <row r="40794" customFormat="false" ht="12.8" hidden="false" customHeight="false" outlineLevel="0" collapsed="false">
      <c r="A40794" s="0" t="s">
        <v>14991</v>
      </c>
      <c r="B40794" s="0" t="str">
        <f aca="false">HYPERLINK("https://lindat.mff.cuni.cz/services/teitok/pdtc10/index.php?action=vallex&amp;frame=v-w5616f1", "rozeslat (v-w5616f1)")</f>
        <v>rozeslat (v-w5616f1)</v>
      </c>
      <c r="E40794" s="0" t="str">
        <f aca="false">HYPERLINK("https://lindat.mff.cuni.cz/services/SynSemClass40/SynSemClass40.html?veclass=vec00209#vec00209-ces-cm00024", "vec00209")</f>
        <v>vec00209</v>
      </c>
      <c r="F40794" s="0" t="s">
        <v>2040</v>
      </c>
    </row>
    <row r="40795" customFormat="false" ht="12.8" hidden="false" customHeight="false" outlineLevel="0" collapsed="false">
      <c r="B40795" s="0" t="s">
        <v>1</v>
      </c>
      <c r="C40795" s="0" t="s">
        <v>2041</v>
      </c>
      <c r="E40795" s="0" t="s">
        <v>1784</v>
      </c>
      <c r="F40795" s="0" t="s">
        <v>2042</v>
      </c>
    </row>
    <row r="40796" customFormat="false" ht="12.8" hidden="false" customHeight="false" outlineLevel="0" collapsed="false">
      <c r="B40796" s="0" t="s">
        <v>8</v>
      </c>
      <c r="C40796" s="0" t="s">
        <v>2043</v>
      </c>
      <c r="E40796" s="0" t="s">
        <v>1787</v>
      </c>
      <c r="F40796" s="0" t="s">
        <v>2044</v>
      </c>
    </row>
    <row r="40797" customFormat="false" ht="12.8" hidden="false" customHeight="false" outlineLevel="0" collapsed="false">
      <c r="B40797" s="0" t="s">
        <v>52</v>
      </c>
      <c r="C40797" s="0" t="s">
        <v>2046</v>
      </c>
      <c r="E40797" s="0" t="s">
        <v>53</v>
      </c>
      <c r="F40797" s="0" t="s">
        <v>2047</v>
      </c>
    </row>
    <row r="40799" customFormat="false" ht="12.8" hidden="false" customHeight="false" outlineLevel="0" collapsed="false">
      <c r="A40799" s="0" t="s">
        <v>14992</v>
      </c>
      <c r="B40799" s="0" t="str">
        <f aca="false">HYPERLINK("https://lindat.mff.cuni.cz/services/teitok/pdtc10/index.php?action=vallex&amp;frame=v-w5616f2", "rozeslat (v-w5616f2)")</f>
        <v>rozeslat (v-w5616f2)</v>
      </c>
    </row>
    <row r="40800" customFormat="false" ht="12.8" hidden="false" customHeight="false" outlineLevel="0" collapsed="false">
      <c r="B40800" s="0" t="s">
        <v>1</v>
      </c>
    </row>
    <row r="40801" customFormat="false" ht="12.8" hidden="false" customHeight="false" outlineLevel="0" collapsed="false">
      <c r="B40801" s="0" t="s">
        <v>8</v>
      </c>
    </row>
    <row r="40802" customFormat="false" ht="12.8" hidden="false" customHeight="false" outlineLevel="0" collapsed="false">
      <c r="B40802" s="0" t="s">
        <v>164</v>
      </c>
    </row>
    <row r="40804" customFormat="false" ht="12.8" hidden="false" customHeight="false" outlineLevel="0" collapsed="false">
      <c r="A40804" s="0" t="s">
        <v>14993</v>
      </c>
      <c r="B40804" s="0" t="str">
        <f aca="false">HYPERLINK("https://lindat.mff.cuni.cz/services/teitok/pdtc10/index.php?action=vallex&amp;frame=v-whsb_317hsa_318", "rozesmutnit (v-whsb_317hsa_318)")</f>
        <v>rozesmutnit (v-whsb_317hsa_318)</v>
      </c>
    </row>
    <row r="40805" customFormat="false" ht="12.8" hidden="false" customHeight="false" outlineLevel="0" collapsed="false">
      <c r="B40805" s="0" t="s">
        <v>1</v>
      </c>
    </row>
    <row r="40806" customFormat="false" ht="12.8" hidden="false" customHeight="false" outlineLevel="0" collapsed="false">
      <c r="B40806" s="0" t="s">
        <v>8</v>
      </c>
    </row>
    <row r="40808" customFormat="false" ht="12.8" hidden="false" customHeight="false" outlineLevel="0" collapsed="false">
      <c r="A40808" s="0" t="s">
        <v>14994</v>
      </c>
      <c r="B40808" s="0" t="str">
        <f aca="false">HYPERLINK("https://lindat.mff.cuni.cz/services/teitok/pdtc10/index.php?action=vallex&amp;frame=v-w5617f1", "rozesmát (v-w5617f1)")</f>
        <v>rozesmát (v-w5617f1)</v>
      </c>
    </row>
    <row r="40809" customFormat="false" ht="12.8" hidden="false" customHeight="false" outlineLevel="0" collapsed="false">
      <c r="B40809" s="0" t="s">
        <v>1</v>
      </c>
    </row>
    <row r="40810" customFormat="false" ht="12.8" hidden="false" customHeight="false" outlineLevel="0" collapsed="false">
      <c r="B40810" s="0" t="s">
        <v>8</v>
      </c>
    </row>
    <row r="40812" customFormat="false" ht="12.8" hidden="false" customHeight="false" outlineLevel="0" collapsed="false">
      <c r="A40812" s="0" t="s">
        <v>14995</v>
      </c>
      <c r="B40812" s="0" t="str">
        <f aca="false">HYPERLINK("https://lindat.mff.cuni.cz/services/teitok/pdtc10/index.php?action=vallex&amp;frame=v-whsa_892hsa_893", "rozesmávat (v-whsa_892hsa_893)")</f>
        <v>rozesmávat (v-whsa_892hsa_893)</v>
      </c>
    </row>
    <row r="40813" customFormat="false" ht="12.8" hidden="false" customHeight="false" outlineLevel="0" collapsed="false">
      <c r="B40813" s="0" t="s">
        <v>1</v>
      </c>
    </row>
    <row r="40814" customFormat="false" ht="12.8" hidden="false" customHeight="false" outlineLevel="0" collapsed="false">
      <c r="B40814" s="0" t="s">
        <v>8</v>
      </c>
    </row>
    <row r="40816" customFormat="false" ht="12.8" hidden="false" customHeight="false" outlineLevel="0" collapsed="false">
      <c r="A40816" s="0" t="s">
        <v>14996</v>
      </c>
      <c r="B40816" s="0" t="str">
        <f aca="false">HYPERLINK("https://lindat.mff.cuni.cz/services/teitok/pdtc10/index.php?action=vallex&amp;frame=v-whsa_1342hsa_1343", "rozesmívat (v-whsa_1342hsa_1343)")</f>
        <v>rozesmívat (v-whsa_1342hsa_1343)</v>
      </c>
    </row>
    <row r="40817" customFormat="false" ht="12.8" hidden="false" customHeight="false" outlineLevel="0" collapsed="false">
      <c r="B40817" s="0" t="s">
        <v>1</v>
      </c>
    </row>
    <row r="40818" customFormat="false" ht="12.8" hidden="false" customHeight="false" outlineLevel="0" collapsed="false">
      <c r="B40818" s="0" t="s">
        <v>8</v>
      </c>
    </row>
    <row r="40820" customFormat="false" ht="12.8" hidden="false" customHeight="false" outlineLevel="0" collapsed="false">
      <c r="A40820" s="0" t="s">
        <v>14997</v>
      </c>
      <c r="B40820" s="0" t="str">
        <f aca="false">HYPERLINK("https://lindat.mff.cuni.cz/services/teitok/pdtc10/index.php?action=vallex&amp;frame=v-w5619f1", "rozestavit (v-w5619f1)")</f>
        <v>rozestavit (v-w5619f1)</v>
      </c>
    </row>
    <row r="40821" customFormat="false" ht="12.8" hidden="false" customHeight="false" outlineLevel="0" collapsed="false">
      <c r="B40821" s="0" t="s">
        <v>1</v>
      </c>
    </row>
    <row r="40822" customFormat="false" ht="12.8" hidden="false" customHeight="false" outlineLevel="0" collapsed="false">
      <c r="B40822" s="0" t="s">
        <v>8</v>
      </c>
    </row>
    <row r="40823" customFormat="false" ht="12.8" hidden="false" customHeight="false" outlineLevel="0" collapsed="false">
      <c r="B40823" s="0" t="s">
        <v>5</v>
      </c>
    </row>
    <row r="40825" customFormat="false" ht="12.8" hidden="false" customHeight="false" outlineLevel="0" collapsed="false">
      <c r="A40825" s="0" t="s">
        <v>14998</v>
      </c>
      <c r="B40825" s="0" t="str">
        <f aca="false">HYPERLINK("https://lindat.mff.cuni.cz/services/teitok/pdtc10/index.php?action=vallex&amp;frame=v-w5619f2", "rozestavit (v-w5619f2)")</f>
        <v>rozestavit (v-w5619f2)</v>
      </c>
    </row>
    <row r="40826" customFormat="false" ht="12.8" hidden="false" customHeight="false" outlineLevel="0" collapsed="false">
      <c r="B40826" s="0" t="s">
        <v>1</v>
      </c>
    </row>
    <row r="40827" customFormat="false" ht="12.8" hidden="false" customHeight="false" outlineLevel="0" collapsed="false">
      <c r="B40827" s="0" t="s">
        <v>8</v>
      </c>
    </row>
    <row r="40828" customFormat="false" ht="12.8" hidden="false" customHeight="false" outlineLevel="0" collapsed="false">
      <c r="B40828" s="0" t="s">
        <v>164</v>
      </c>
    </row>
    <row r="40830" customFormat="false" ht="12.8" hidden="false" customHeight="false" outlineLevel="0" collapsed="false">
      <c r="A40830" s="0" t="s">
        <v>14999</v>
      </c>
      <c r="B40830" s="0" t="str">
        <f aca="false">HYPERLINK("https://lindat.mff.cuni.cz/services/teitok/pdtc10/index.php?action=vallex&amp;frame=v-w5618f2", "rozestavět (v-w5618f2)")</f>
        <v>rozestavět (v-w5618f2)</v>
      </c>
    </row>
    <row r="40831" customFormat="false" ht="12.8" hidden="false" customHeight="false" outlineLevel="0" collapsed="false">
      <c r="B40831" s="0" t="s">
        <v>1</v>
      </c>
    </row>
    <row r="40832" customFormat="false" ht="12.8" hidden="false" customHeight="false" outlineLevel="0" collapsed="false">
      <c r="B40832" s="0" t="s">
        <v>8</v>
      </c>
    </row>
    <row r="40833" customFormat="false" ht="12.8" hidden="false" customHeight="false" outlineLevel="0" collapsed="false">
      <c r="B40833" s="0" t="s">
        <v>5</v>
      </c>
    </row>
    <row r="40835" customFormat="false" ht="12.8" hidden="false" customHeight="false" outlineLevel="0" collapsed="false">
      <c r="A40835" s="0" t="s">
        <v>15000</v>
      </c>
      <c r="B40835" s="0" t="str">
        <f aca="false">HYPERLINK("https://lindat.mff.cuni.cz/services/teitok/pdtc10/index.php?action=vallex&amp;frame=v-w5618f3", "rozestavět (v-w5618f3)")</f>
        <v>rozestavět (v-w5618f3)</v>
      </c>
    </row>
    <row r="40836" customFormat="false" ht="12.8" hidden="false" customHeight="false" outlineLevel="0" collapsed="false">
      <c r="B40836" s="0" t="s">
        <v>1</v>
      </c>
    </row>
    <row r="40837" customFormat="false" ht="12.8" hidden="false" customHeight="false" outlineLevel="0" collapsed="false">
      <c r="B40837" s="0" t="s">
        <v>8</v>
      </c>
    </row>
    <row r="40838" customFormat="false" ht="12.8" hidden="false" customHeight="false" outlineLevel="0" collapsed="false">
      <c r="B40838" s="0" t="s">
        <v>164</v>
      </c>
    </row>
    <row r="40840" customFormat="false" ht="12.8" hidden="false" customHeight="false" outlineLevel="0" collapsed="false">
      <c r="A40840" s="0" t="s">
        <v>15001</v>
      </c>
      <c r="B40840" s="0" t="str">
        <f aca="false">HYPERLINK("https://lindat.mff.cuni.cz/services/teitok/pdtc10/index.php?action=vallex&amp;frame=v-w5618f1", "rozestavět (v-w5618f1)")</f>
        <v>rozestavět (v-w5618f1)</v>
      </c>
    </row>
    <row r="40841" customFormat="false" ht="12.8" hidden="false" customHeight="false" outlineLevel="0" collapsed="false">
      <c r="B40841" s="0" t="s">
        <v>1</v>
      </c>
    </row>
    <row r="40842" customFormat="false" ht="12.8" hidden="false" customHeight="false" outlineLevel="0" collapsed="false">
      <c r="B40842" s="0" t="s">
        <v>8</v>
      </c>
    </row>
    <row r="40844" customFormat="false" ht="12.8" hidden="false" customHeight="false" outlineLevel="0" collapsed="false">
      <c r="A40844" s="0" t="s">
        <v>15002</v>
      </c>
      <c r="B40844" s="0" t="str">
        <f aca="false">HYPERLINK("https://lindat.mff.cuni.cz/services/teitok/pdtc10/index.php?action=vallex&amp;frame=v-w11245f1", "rozestoupit se (v-w11245f1)")</f>
        <v>rozestoupit se (v-w11245f1)</v>
      </c>
    </row>
    <row r="40845" customFormat="false" ht="12.8" hidden="false" customHeight="false" outlineLevel="0" collapsed="false">
      <c r="B40845" s="0" t="s">
        <v>1</v>
      </c>
    </row>
    <row r="40847" customFormat="false" ht="12.8" hidden="false" customHeight="false" outlineLevel="0" collapsed="false">
      <c r="A40847" s="0" t="s">
        <v>15003</v>
      </c>
      <c r="B40847" s="0" t="str">
        <f aca="false">HYPERLINK("https://lindat.mff.cuni.cz/services/teitok/pdtc10/index.php?action=vallex&amp;frame=v-w5615f1", "rozesílat (v-w5615f1)")</f>
        <v>rozesílat (v-w5615f1)</v>
      </c>
      <c r="E40847" s="0" t="str">
        <f aca="false">HYPERLINK("https://lindat.mff.cuni.cz/services/SynSemClass40/SynSemClass40.html?veclass=vec00209#vec00209-ces-cm00023", "vec00209")</f>
        <v>vec00209</v>
      </c>
      <c r="F40847" s="0" t="s">
        <v>2040</v>
      </c>
    </row>
    <row r="40848" customFormat="false" ht="12.8" hidden="false" customHeight="false" outlineLevel="0" collapsed="false">
      <c r="B40848" s="0" t="s">
        <v>1</v>
      </c>
      <c r="C40848" s="0" t="s">
        <v>2041</v>
      </c>
      <c r="E40848" s="0" t="s">
        <v>1784</v>
      </c>
      <c r="F40848" s="0" t="s">
        <v>2042</v>
      </c>
    </row>
    <row r="40849" customFormat="false" ht="12.8" hidden="false" customHeight="false" outlineLevel="0" collapsed="false">
      <c r="B40849" s="0" t="s">
        <v>8</v>
      </c>
      <c r="C40849" s="0" t="s">
        <v>2043</v>
      </c>
      <c r="E40849" s="0" t="s">
        <v>1787</v>
      </c>
      <c r="F40849" s="0" t="s">
        <v>2044</v>
      </c>
    </row>
    <row r="40850" customFormat="false" ht="12.8" hidden="false" customHeight="false" outlineLevel="0" collapsed="false">
      <c r="B40850" s="0" t="s">
        <v>52</v>
      </c>
      <c r="C40850" s="0" t="s">
        <v>2046</v>
      </c>
      <c r="E40850" s="0" t="s">
        <v>53</v>
      </c>
      <c r="F40850" s="0" t="s">
        <v>2047</v>
      </c>
    </row>
    <row r="40852" customFormat="false" ht="12.8" hidden="false" customHeight="false" outlineLevel="0" collapsed="false">
      <c r="A40852" s="0" t="s">
        <v>15004</v>
      </c>
      <c r="B40852" s="0" t="str">
        <f aca="false">HYPERLINK("https://lindat.mff.cuni.cz/services/teitok/pdtc10/index.php?action=vallex&amp;frame=v-w5615f2", "rozesílat (v-w5615f2)")</f>
        <v>rozesílat (v-w5615f2)</v>
      </c>
    </row>
    <row r="40853" customFormat="false" ht="12.8" hidden="false" customHeight="false" outlineLevel="0" collapsed="false">
      <c r="B40853" s="0" t="s">
        <v>1</v>
      </c>
    </row>
    <row r="40854" customFormat="false" ht="12.8" hidden="false" customHeight="false" outlineLevel="0" collapsed="false">
      <c r="B40854" s="0" t="s">
        <v>8</v>
      </c>
    </row>
    <row r="40855" customFormat="false" ht="12.8" hidden="false" customHeight="false" outlineLevel="0" collapsed="false">
      <c r="B40855" s="0" t="s">
        <v>164</v>
      </c>
    </row>
    <row r="40857" customFormat="false" ht="12.8" hidden="false" customHeight="false" outlineLevel="0" collapsed="false">
      <c r="A40857" s="0" t="s">
        <v>15005</v>
      </c>
      <c r="B40857" s="0" t="str">
        <f aca="false">HYPERLINK("https://lindat.mff.cuni.cz/services/teitok/pdtc10/index.php?action=vallex&amp;frame=v-w5620f2", "rozetnout (v-w5620f2)")</f>
        <v>rozetnout (v-w5620f2)</v>
      </c>
    </row>
    <row r="40858" customFormat="false" ht="12.8" hidden="false" customHeight="false" outlineLevel="0" collapsed="false">
      <c r="B40858" s="0" t="s">
        <v>1</v>
      </c>
    </row>
    <row r="40859" customFormat="false" ht="12.8" hidden="false" customHeight="false" outlineLevel="0" collapsed="false">
      <c r="B40859" s="0" t="s">
        <v>8</v>
      </c>
    </row>
    <row r="40860" customFormat="false" ht="12.8" hidden="false" customHeight="false" outlineLevel="0" collapsed="false">
      <c r="B40860" s="0" t="s">
        <v>3211</v>
      </c>
    </row>
    <row r="40862" customFormat="false" ht="12.8" hidden="false" customHeight="false" outlineLevel="0" collapsed="false">
      <c r="A40862" s="0" t="s">
        <v>15006</v>
      </c>
      <c r="B40862" s="0" t="str">
        <f aca="false">HYPERLINK("https://lindat.mff.cuni.cz/services/teitok/pdtc10/index.php?action=vallex&amp;frame=v-w5620f1", "rozetnout (v-w5620f1)")</f>
        <v>rozetnout (v-w5620f1)</v>
      </c>
    </row>
    <row r="40863" customFormat="false" ht="12.8" hidden="false" customHeight="false" outlineLevel="0" collapsed="false">
      <c r="B40863" s="0" t="s">
        <v>1</v>
      </c>
    </row>
    <row r="40864" customFormat="false" ht="12.8" hidden="false" customHeight="false" outlineLevel="0" collapsed="false">
      <c r="B40864" s="0" t="s">
        <v>8</v>
      </c>
    </row>
    <row r="40866" customFormat="false" ht="12.8" hidden="false" customHeight="false" outlineLevel="0" collapsed="false">
      <c r="A40866" s="0" t="s">
        <v>15007</v>
      </c>
      <c r="B40866" s="0" t="str">
        <f aca="false">HYPERLINK("https://lindat.mff.cuni.cz/services/teitok/pdtc10/index.php?action=vallex&amp;frame=v-w11574_ZUf1_ZU", "rozevírat (v-w11574_ZUf1_ZU)")</f>
        <v>rozevírat (v-w11574_ZUf1_ZU)</v>
      </c>
    </row>
    <row r="40867" customFormat="false" ht="12.8" hidden="false" customHeight="false" outlineLevel="0" collapsed="false">
      <c r="B40867" s="0" t="s">
        <v>1</v>
      </c>
    </row>
    <row r="40868" customFormat="false" ht="12.8" hidden="false" customHeight="false" outlineLevel="0" collapsed="false">
      <c r="B40868" s="0" t="s">
        <v>8</v>
      </c>
    </row>
    <row r="40870" customFormat="false" ht="12.8" hidden="false" customHeight="false" outlineLevel="0" collapsed="false">
      <c r="A40870" s="0" t="s">
        <v>15008</v>
      </c>
      <c r="B40870" s="0" t="str">
        <f aca="false">HYPERLINK("https://lindat.mff.cuni.cz/services/teitok/pdtc10/index.php?action=vallex&amp;frame=v-w11834_ZUf1_ZU", "rozevřít (v-w11834_ZUf1_ZU)")</f>
        <v>rozevřít (v-w11834_ZUf1_ZU)</v>
      </c>
    </row>
    <row r="40871" customFormat="false" ht="12.8" hidden="false" customHeight="false" outlineLevel="0" collapsed="false">
      <c r="B40871" s="0" t="s">
        <v>1</v>
      </c>
    </row>
    <row r="40872" customFormat="false" ht="12.8" hidden="false" customHeight="false" outlineLevel="0" collapsed="false">
      <c r="B40872" s="0" t="s">
        <v>8</v>
      </c>
    </row>
    <row r="40874" customFormat="false" ht="12.8" hidden="false" customHeight="false" outlineLevel="0" collapsed="false">
      <c r="A40874" s="0" t="s">
        <v>15009</v>
      </c>
      <c r="B40874" s="0" t="str">
        <f aca="false">HYPERLINK("https://lindat.mff.cuni.cz/services/teitok/pdtc10/index.php?action=vallex&amp;frame=v-w5621f1", "rozevřít se (v-w5621f1)")</f>
        <v>rozevřít se (v-w5621f1)</v>
      </c>
    </row>
    <row r="40875" customFormat="false" ht="12.8" hidden="false" customHeight="false" outlineLevel="0" collapsed="false">
      <c r="B40875" s="0" t="s">
        <v>1</v>
      </c>
    </row>
    <row r="40876" customFormat="false" ht="12.8" hidden="false" customHeight="false" outlineLevel="0" collapsed="false">
      <c r="B40876" s="0" t="s">
        <v>763</v>
      </c>
    </row>
    <row r="40877" customFormat="false" ht="12.8" hidden="false" customHeight="false" outlineLevel="0" collapsed="false">
      <c r="B40877" s="0" t="s">
        <v>10314</v>
      </c>
    </row>
    <row r="40879" customFormat="false" ht="12.8" hidden="false" customHeight="false" outlineLevel="0" collapsed="false">
      <c r="A40879" s="0" t="s">
        <v>15010</v>
      </c>
      <c r="B40879" s="0" t="str">
        <f aca="false">HYPERLINK("https://lindat.mff.cuni.cz/services/teitok/pdtc10/index.php?action=vallex&amp;frame=v-w5622f2", "rozeznat (v-w5622f2)")</f>
        <v>rozeznat (v-w5622f2)</v>
      </c>
      <c r="E40879" s="0" t="str">
        <f aca="false">HYPERLINK("https://lindat.mff.cuni.cz/services/SynSemClass40/SynSemClass40.html?veclass=vec01102#vec01102-ces-cm00024", "vec01102")</f>
        <v>vec01102</v>
      </c>
      <c r="F40879" s="0" t="s">
        <v>1969</v>
      </c>
    </row>
    <row r="40880" customFormat="false" ht="12.8" hidden="false" customHeight="false" outlineLevel="0" collapsed="false">
      <c r="B40880" s="0" t="s">
        <v>1</v>
      </c>
      <c r="C40880" s="0" t="s">
        <v>459</v>
      </c>
      <c r="E40880" s="0" t="s">
        <v>8998</v>
      </c>
      <c r="F40880" s="0" t="s">
        <v>8999</v>
      </c>
    </row>
    <row r="40881" customFormat="false" ht="12.8" hidden="false" customHeight="false" outlineLevel="0" collapsed="false">
      <c r="B40881" s="0" t="s">
        <v>8</v>
      </c>
      <c r="C40881" s="0" t="s">
        <v>7131</v>
      </c>
      <c r="E40881" s="0" t="s">
        <v>5531</v>
      </c>
      <c r="F40881" s="0" t="s">
        <v>9000</v>
      </c>
    </row>
    <row r="40882" customFormat="false" ht="12.8" hidden="false" customHeight="false" outlineLevel="0" collapsed="false">
      <c r="B40882" s="0" t="s">
        <v>1965</v>
      </c>
      <c r="C40882" s="0" t="s">
        <v>9001</v>
      </c>
      <c r="E40882" s="0" t="s">
        <v>9002</v>
      </c>
      <c r="F40882" s="0" t="s">
        <v>9003</v>
      </c>
    </row>
    <row r="40884" customFormat="false" ht="12.8" hidden="false" customHeight="false" outlineLevel="0" collapsed="false">
      <c r="A40884" s="0" t="s">
        <v>15011</v>
      </c>
      <c r="B40884" s="0" t="str">
        <f aca="false">HYPERLINK("https://lindat.mff.cuni.cz/services/teitok/pdtc10/index.php?action=vallex&amp;frame=v-w5622f1", "rozeznat (v-w5622f1)")</f>
        <v>rozeznat (v-w5622f1)</v>
      </c>
      <c r="E40884" s="0" t="str">
        <f aca="false">HYPERLINK("https://lindat.mff.cuni.cz/services/SynSemClass40/SynSemClass40.html?veclass=vec00909#vec00909-ces-cm00172", "vec00909")</f>
        <v>vec00909</v>
      </c>
      <c r="F40884" s="0" t="s">
        <v>1954</v>
      </c>
    </row>
    <row r="40885" customFormat="false" ht="12.8" hidden="false" customHeight="false" outlineLevel="0" collapsed="false">
      <c r="B40885" s="0" t="s">
        <v>1</v>
      </c>
      <c r="C40885" s="0" t="s">
        <v>4256</v>
      </c>
      <c r="E40885" s="0" t="s">
        <v>621</v>
      </c>
      <c r="F40885" s="0" t="s">
        <v>1957</v>
      </c>
    </row>
    <row r="40886" customFormat="false" ht="12.8" hidden="false" customHeight="false" outlineLevel="0" collapsed="false">
      <c r="B40886" s="0" t="s">
        <v>1838</v>
      </c>
      <c r="C40886" s="0" t="s">
        <v>4766</v>
      </c>
      <c r="E40886" s="0" t="s">
        <v>180</v>
      </c>
      <c r="F40886" s="0" t="s">
        <v>1961</v>
      </c>
    </row>
    <row r="40888" customFormat="false" ht="12.8" hidden="false" customHeight="false" outlineLevel="0" collapsed="false">
      <c r="A40888" s="0" t="s">
        <v>15012</v>
      </c>
      <c r="B40888" s="0" t="str">
        <f aca="false">HYPERLINK("https://lindat.mff.cuni.cz/services/teitok/pdtc10/index.php?action=vallex&amp;frame=v-w5624f1", "rozeznávat (v-w5624f1)")</f>
        <v>rozeznávat (v-w5624f1)</v>
      </c>
    </row>
    <row r="40889" customFormat="false" ht="12.8" hidden="false" customHeight="false" outlineLevel="0" collapsed="false">
      <c r="B40889" s="0" t="s">
        <v>1</v>
      </c>
    </row>
    <row r="40890" customFormat="false" ht="12.8" hidden="false" customHeight="false" outlineLevel="0" collapsed="false">
      <c r="B40890" s="0" t="s">
        <v>8</v>
      </c>
    </row>
    <row r="40891" customFormat="false" ht="12.8" hidden="false" customHeight="false" outlineLevel="0" collapsed="false">
      <c r="B40891" s="0" t="s">
        <v>602</v>
      </c>
    </row>
    <row r="40893" customFormat="false" ht="12.8" hidden="false" customHeight="false" outlineLevel="0" collapsed="false">
      <c r="A40893" s="0" t="s">
        <v>15013</v>
      </c>
      <c r="B40893" s="0" t="str">
        <f aca="false">HYPERLINK("https://lindat.mff.cuni.cz/services/teitok/pdtc10/index.php?action=vallex&amp;frame=v-w5624f2", "rozeznávat (v-w5624f2)")</f>
        <v>rozeznávat (v-w5624f2)</v>
      </c>
      <c r="E40893" s="0" t="str">
        <f aca="false">HYPERLINK("https://lindat.mff.cuni.cz/services/SynSemClass40/SynSemClass40.html?veclass=vec00909#vec00909-ces-cm00031", "vec00909")</f>
        <v>vec00909</v>
      </c>
      <c r="F40893" s="0" t="s">
        <v>1954</v>
      </c>
    </row>
    <row r="40894" customFormat="false" ht="12.8" hidden="false" customHeight="false" outlineLevel="0" collapsed="false">
      <c r="B40894" s="0" t="s">
        <v>1</v>
      </c>
      <c r="C40894" s="0" t="s">
        <v>4256</v>
      </c>
      <c r="E40894" s="0" t="s">
        <v>621</v>
      </c>
      <c r="F40894" s="0" t="s">
        <v>1957</v>
      </c>
    </row>
    <row r="40895" customFormat="false" ht="12.8" hidden="false" customHeight="false" outlineLevel="0" collapsed="false">
      <c r="B40895" s="0" t="s">
        <v>1838</v>
      </c>
      <c r="C40895" s="0" t="s">
        <v>4766</v>
      </c>
      <c r="E40895" s="0" t="s">
        <v>180</v>
      </c>
      <c r="F40895" s="0" t="s">
        <v>1961</v>
      </c>
    </row>
    <row r="40897" customFormat="false" ht="12.8" hidden="false" customHeight="false" outlineLevel="0" collapsed="false">
      <c r="A40897" s="0" t="s">
        <v>15014</v>
      </c>
      <c r="B40897" s="0" t="str">
        <f aca="false">HYPERLINK("https://lindat.mff.cuni.cz/services/teitok/pdtc10/index.php?action=vallex&amp;frame=v-w11047f2", "rozeznít (v-w11047f2)")</f>
        <v>rozeznít (v-w11047f2)</v>
      </c>
      <c r="E40897" s="0" t="str">
        <f aca="false">HYPERLINK("https://lindat.mff.cuni.cz/services/SynSemClass40/SynSemClass40.html?veclass=vec00038#vec00038-ces-cm00026", "vec00038")</f>
        <v>vec00038</v>
      </c>
      <c r="F40897" s="0" t="s">
        <v>74</v>
      </c>
    </row>
    <row r="40898" customFormat="false" ht="12.8" hidden="false" customHeight="false" outlineLevel="0" collapsed="false">
      <c r="B40898" s="0" t="s">
        <v>1</v>
      </c>
      <c r="C40898" s="0" t="s">
        <v>75</v>
      </c>
      <c r="E40898" s="0" t="s">
        <v>76</v>
      </c>
      <c r="F40898" s="0" t="s">
        <v>77</v>
      </c>
    </row>
    <row r="40899" customFormat="false" ht="12.8" hidden="false" customHeight="false" outlineLevel="0" collapsed="false">
      <c r="B40899" s="0" t="s">
        <v>8</v>
      </c>
      <c r="C40899" s="0" t="s">
        <v>78</v>
      </c>
      <c r="E40899" s="0" t="s">
        <v>79</v>
      </c>
      <c r="F40899" s="0" t="s">
        <v>80</v>
      </c>
    </row>
    <row r="40901" customFormat="false" ht="12.8" hidden="false" customHeight="false" outlineLevel="0" collapsed="false">
      <c r="A40901" s="0" t="s">
        <v>15015</v>
      </c>
      <c r="B40901" s="0" t="str">
        <f aca="false">HYPERLINK("https://lindat.mff.cuni.cz/services/teitok/pdtc10/index.php?action=vallex&amp;frame=v-w11450f1", "rozeznít se (v-w11450f1)")</f>
        <v>rozeznít se (v-w11450f1)</v>
      </c>
      <c r="E40901" s="0" t="str">
        <f aca="false">HYPERLINK("https://lindat.mff.cuni.cz/services/SynSemClass40/SynSemClass40.html?veclass=vec01254#vec01254-ces-cm00007", "vec01254")</f>
        <v>vec01254</v>
      </c>
      <c r="F40901" s="0" t="s">
        <v>10262</v>
      </c>
    </row>
    <row r="40902" customFormat="false" ht="12.8" hidden="false" customHeight="false" outlineLevel="0" collapsed="false">
      <c r="B40902" s="0" t="s">
        <v>1</v>
      </c>
      <c r="C40902" s="0" t="s">
        <v>1507</v>
      </c>
      <c r="E40902" s="0" t="s">
        <v>957</v>
      </c>
      <c r="F40902" s="0" t="s">
        <v>10263</v>
      </c>
    </row>
    <row r="40904" customFormat="false" ht="12.8" hidden="false" customHeight="false" outlineLevel="0" collapsed="false">
      <c r="A40904" s="0" t="s">
        <v>15016</v>
      </c>
      <c r="B40904" s="0" t="str">
        <f aca="false">HYPERLINK("https://lindat.mff.cuni.cz/services/teitok/pdtc10/index.php?action=vallex&amp;frame=v-w5625f1", "rozeznívat (v-w5625f1)")</f>
        <v>rozeznívat (v-w5625f1)</v>
      </c>
    </row>
    <row r="40905" customFormat="false" ht="12.8" hidden="false" customHeight="false" outlineLevel="0" collapsed="false">
      <c r="B40905" s="0" t="s">
        <v>1</v>
      </c>
    </row>
    <row r="40906" customFormat="false" ht="12.8" hidden="false" customHeight="false" outlineLevel="0" collapsed="false">
      <c r="B40906" s="0" t="s">
        <v>8</v>
      </c>
    </row>
    <row r="40908" customFormat="false" ht="12.8" hidden="false" customHeight="false" outlineLevel="0" collapsed="false">
      <c r="A40908" s="0" t="s">
        <v>15017</v>
      </c>
      <c r="B40908" s="0" t="str">
        <f aca="false">HYPERLINK("https://lindat.mff.cuni.cz/services/teitok/pdtc10/index.php?action=vallex&amp;frame=v-whsa_1158hsa_1159", "rozeznívat se (v-whsa_1158hsa_1159)")</f>
        <v>rozeznívat se (v-whsa_1158hsa_1159)</v>
      </c>
    </row>
    <row r="40909" customFormat="false" ht="12.8" hidden="false" customHeight="false" outlineLevel="0" collapsed="false">
      <c r="B40909" s="0" t="s">
        <v>1</v>
      </c>
    </row>
    <row r="40911" customFormat="false" ht="12.8" hidden="false" customHeight="false" outlineLevel="0" collapsed="false">
      <c r="A40911" s="0" t="s">
        <v>15018</v>
      </c>
      <c r="B40911" s="0" t="str">
        <f aca="false">HYPERLINK("https://lindat.mff.cuni.cz/services/teitok/pdtc10/index.php?action=vallex&amp;frame=v-w5626f1", "rozezvučet (v-w5626f1)")</f>
        <v>rozezvučet (v-w5626f1)</v>
      </c>
    </row>
    <row r="40912" customFormat="false" ht="12.8" hidden="false" customHeight="false" outlineLevel="0" collapsed="false">
      <c r="B40912" s="0" t="s">
        <v>1</v>
      </c>
    </row>
    <row r="40913" customFormat="false" ht="12.8" hidden="false" customHeight="false" outlineLevel="0" collapsed="false">
      <c r="B40913" s="0" t="s">
        <v>8</v>
      </c>
    </row>
    <row r="40915" customFormat="false" ht="12.8" hidden="false" customHeight="false" outlineLevel="0" collapsed="false">
      <c r="A40915" s="0" t="s">
        <v>15019</v>
      </c>
      <c r="B40915" s="0" t="str">
        <f aca="false">HYPERLINK("https://lindat.mff.cuni.cz/services/teitok/pdtc10/index.php?action=vallex&amp;frame=v-w11165f2", "rozežrat (v-w11165f2)")</f>
        <v>rozežrat (v-w11165f2)</v>
      </c>
    </row>
    <row r="40916" customFormat="false" ht="12.8" hidden="false" customHeight="false" outlineLevel="0" collapsed="false">
      <c r="B40916" s="0" t="s">
        <v>1</v>
      </c>
    </row>
    <row r="40917" customFormat="false" ht="12.8" hidden="false" customHeight="false" outlineLevel="0" collapsed="false">
      <c r="B40917" s="0" t="s">
        <v>8</v>
      </c>
    </row>
    <row r="40919" customFormat="false" ht="12.8" hidden="false" customHeight="false" outlineLevel="0" collapsed="false">
      <c r="A40919" s="0" t="s">
        <v>15020</v>
      </c>
      <c r="B40919" s="0" t="str">
        <f aca="false">HYPERLINK("https://lindat.mff.cuni.cz/services/teitok/pdtc10/index.php?action=vallex&amp;frame=v-w10479f2", "rozfázovat (v-w10479f2)")</f>
        <v>rozfázovat (v-w10479f2)</v>
      </c>
    </row>
    <row r="40920" customFormat="false" ht="12.8" hidden="false" customHeight="false" outlineLevel="0" collapsed="false">
      <c r="B40920" s="0" t="s">
        <v>1</v>
      </c>
    </row>
    <row r="40921" customFormat="false" ht="12.8" hidden="false" customHeight="false" outlineLevel="0" collapsed="false">
      <c r="B40921" s="0" t="s">
        <v>8</v>
      </c>
    </row>
    <row r="40922" customFormat="false" ht="12.8" hidden="false" customHeight="false" outlineLevel="0" collapsed="false">
      <c r="B40922" s="0" t="s">
        <v>15021</v>
      </c>
    </row>
    <row r="40924" customFormat="false" ht="12.8" hidden="false" customHeight="false" outlineLevel="0" collapsed="false">
      <c r="A40924" s="0" t="s">
        <v>15022</v>
      </c>
      <c r="B40924" s="0" t="str">
        <f aca="false">HYPERLINK("https://lindat.mff.cuni.cz/services/teitok/pdtc10/index.php?action=vallex&amp;frame=v-w10252f3", "rozhazovat (v-w10252f3)")</f>
        <v>rozhazovat (v-w10252f3)</v>
      </c>
    </row>
    <row r="40925" customFormat="false" ht="12.8" hidden="false" customHeight="false" outlineLevel="0" collapsed="false">
      <c r="B40925" s="0" t="s">
        <v>1</v>
      </c>
    </row>
    <row r="40926" customFormat="false" ht="12.8" hidden="false" customHeight="false" outlineLevel="0" collapsed="false">
      <c r="B40926" s="0" t="s">
        <v>8</v>
      </c>
    </row>
    <row r="40928" customFormat="false" ht="12.8" hidden="false" customHeight="false" outlineLevel="0" collapsed="false">
      <c r="A40928" s="0" t="s">
        <v>15023</v>
      </c>
      <c r="B40928" s="0" t="str">
        <f aca="false">HYPERLINK("https://lindat.mff.cuni.cz/services/teitok/pdtc10/index.php?action=vallex&amp;frame=v-w10252f2", "rozhazovat (v-w10252f2)")</f>
        <v>rozhazovat (v-w10252f2)</v>
      </c>
    </row>
    <row r="40929" customFormat="false" ht="12.8" hidden="false" customHeight="false" outlineLevel="0" collapsed="false">
      <c r="B40929" s="0" t="s">
        <v>1</v>
      </c>
    </row>
    <row r="40930" customFormat="false" ht="12.8" hidden="false" customHeight="false" outlineLevel="0" collapsed="false">
      <c r="B40930" s="0" t="s">
        <v>8</v>
      </c>
    </row>
    <row r="40932" customFormat="false" ht="12.8" hidden="false" customHeight="false" outlineLevel="0" collapsed="false">
      <c r="A40932" s="0" t="s">
        <v>15024</v>
      </c>
      <c r="B40932" s="0" t="str">
        <f aca="false">HYPERLINK("https://lindat.mff.cuni.cz/services/teitok/pdtc10/index.php?action=vallex&amp;frame=v-w10252hsa_849", "rozhazovat (v-w10252hsa_849)")</f>
        <v>rozhazovat (v-w10252hsa_849)</v>
      </c>
    </row>
    <row r="40933" customFormat="false" ht="12.8" hidden="false" customHeight="false" outlineLevel="0" collapsed="false">
      <c r="B40933" s="0" t="s">
        <v>1</v>
      </c>
    </row>
    <row r="40934" customFormat="false" ht="12.8" hidden="false" customHeight="false" outlineLevel="0" collapsed="false">
      <c r="B40934" s="0" t="s">
        <v>286</v>
      </c>
    </row>
    <row r="40936" customFormat="false" ht="12.8" hidden="false" customHeight="false" outlineLevel="0" collapsed="false">
      <c r="A40936" s="0" t="s">
        <v>15025</v>
      </c>
      <c r="B40936" s="0" t="str">
        <f aca="false">HYPERLINK("https://lindat.mff.cuni.cz/services/teitok/pdtc10/index.php?action=vallex&amp;frame=v-w11575_ZUf1_ZU", "rozhlašovat (v-w11575_ZUf1_ZU)")</f>
        <v>rozhlašovat (v-w11575_ZUf1_ZU)</v>
      </c>
      <c r="E40936" s="0" t="str">
        <f aca="false">HYPERLINK("https://lindat.mff.cuni.cz/services/SynSemClass40/SynSemClass40.html?veclass=vec00060#vec00060-ces-cm00462", "vec00060")</f>
        <v>vec00060</v>
      </c>
      <c r="F40936" s="0" t="s">
        <v>213</v>
      </c>
    </row>
    <row r="40937" customFormat="false" ht="12.8" hidden="false" customHeight="false" outlineLevel="0" collapsed="false">
      <c r="B40937" s="0" t="s">
        <v>1</v>
      </c>
      <c r="C40937" s="0" t="s">
        <v>214</v>
      </c>
      <c r="E40937" s="0" t="s">
        <v>147</v>
      </c>
      <c r="F40937" s="0" t="s">
        <v>215</v>
      </c>
    </row>
    <row r="40938" customFormat="false" ht="12.8" hidden="false" customHeight="false" outlineLevel="0" collapsed="false">
      <c r="B40938" s="0" t="s">
        <v>318</v>
      </c>
      <c r="C40938" s="0" t="s">
        <v>217</v>
      </c>
      <c r="E40938" s="0" t="s">
        <v>218</v>
      </c>
      <c r="F40938" s="0" t="s">
        <v>219</v>
      </c>
    </row>
    <row r="40939" customFormat="false" ht="12.8" hidden="false" customHeight="false" outlineLevel="0" collapsed="false">
      <c r="B40939" s="0" t="s">
        <v>2382</v>
      </c>
      <c r="C40939" s="0" t="s">
        <v>2216</v>
      </c>
      <c r="E40939" s="0" t="s">
        <v>2217</v>
      </c>
      <c r="F40939" s="0" t="s">
        <v>2218</v>
      </c>
    </row>
    <row r="40940" customFormat="false" ht="12.8" hidden="false" customHeight="false" outlineLevel="0" collapsed="false">
      <c r="B40940" s="0" t="s">
        <v>132</v>
      </c>
      <c r="C40940" s="0" t="s">
        <v>220</v>
      </c>
      <c r="E40940" s="0" t="s">
        <v>221</v>
      </c>
      <c r="F40940" s="0" t="s">
        <v>222</v>
      </c>
    </row>
    <row r="40942" customFormat="false" ht="12.8" hidden="false" customHeight="false" outlineLevel="0" collapsed="false">
      <c r="A40942" s="0" t="s">
        <v>15026</v>
      </c>
      <c r="B40942" s="0" t="str">
        <f aca="false">HYPERLINK("https://lindat.mff.cuni.cz/services/teitok/pdtc10/index.php?action=vallex&amp;frame=v-w5629f2", "rozhlédnout se (v-w5629f2)")</f>
        <v>rozhlédnout se (v-w5629f2)</v>
      </c>
    </row>
    <row r="40943" customFormat="false" ht="12.8" hidden="false" customHeight="false" outlineLevel="0" collapsed="false">
      <c r="B40943" s="0" t="s">
        <v>1</v>
      </c>
    </row>
    <row r="40944" customFormat="false" ht="12.8" hidden="false" customHeight="false" outlineLevel="0" collapsed="false">
      <c r="B40944" s="0" t="s">
        <v>1659</v>
      </c>
    </row>
    <row r="40946" customFormat="false" ht="12.8" hidden="false" customHeight="false" outlineLevel="0" collapsed="false">
      <c r="A40946" s="0" t="s">
        <v>15027</v>
      </c>
      <c r="B40946" s="0" t="str">
        <f aca="false">HYPERLINK("https://lindat.mff.cuni.cz/services/teitok/pdtc10/index.php?action=vallex&amp;frame=v-w5629f1", "rozhlédnout se (v-w5629f1)")</f>
        <v>rozhlédnout se (v-w5629f1)</v>
      </c>
      <c r="E40946" s="0" t="str">
        <f aca="false">HYPERLINK("https://lindat.mff.cuni.cz/services/SynSemClass40/SynSemClass40.html?veclass=vec01263#vec01263-ces-cm00007", "vec01263")</f>
        <v>vec01263</v>
      </c>
      <c r="F40946" s="0" t="s">
        <v>9579</v>
      </c>
    </row>
    <row r="40947" customFormat="false" ht="12.8" hidden="false" customHeight="false" outlineLevel="0" collapsed="false">
      <c r="B40947" s="0" t="s">
        <v>1</v>
      </c>
      <c r="C40947" s="0" t="s">
        <v>4695</v>
      </c>
      <c r="E40947" s="0" t="s">
        <v>3856</v>
      </c>
      <c r="F40947" s="0" t="s">
        <v>9580</v>
      </c>
    </row>
    <row r="40949" customFormat="false" ht="12.8" hidden="false" customHeight="false" outlineLevel="0" collapsed="false">
      <c r="A40949" s="0" t="s">
        <v>15028</v>
      </c>
      <c r="B40949" s="0" t="str">
        <f aca="false">HYPERLINK("https://lindat.mff.cuni.cz/services/teitok/pdtc10/index.php?action=vallex&amp;frame=v-w5630f1", "rozhlížet se (v-w5630f1)")</f>
        <v>rozhlížet se (v-w5630f1)</v>
      </c>
    </row>
    <row r="40950" customFormat="false" ht="12.8" hidden="false" customHeight="false" outlineLevel="0" collapsed="false">
      <c r="B40950" s="0" t="s">
        <v>1</v>
      </c>
    </row>
    <row r="40951" customFormat="false" ht="12.8" hidden="false" customHeight="false" outlineLevel="0" collapsed="false">
      <c r="B40951" s="0" t="s">
        <v>1659</v>
      </c>
    </row>
    <row r="40953" customFormat="false" ht="12.8" hidden="false" customHeight="false" outlineLevel="0" collapsed="false">
      <c r="A40953" s="0" t="s">
        <v>15029</v>
      </c>
      <c r="B40953" s="0" t="str">
        <f aca="false">HYPERLINK("https://lindat.mff.cuni.cz/services/teitok/pdtc10/index.php?action=vallex&amp;frame=v-w5630f2", "rozhlížet se (v-w5630f2)")</f>
        <v>rozhlížet se (v-w5630f2)</v>
      </c>
      <c r="E40953" s="0" t="str">
        <f aca="false">HYPERLINK("https://lindat.mff.cuni.cz/services/SynSemClass40/SynSemClass40.html?veclass=vec01263#vec01263-ces-cm00008", "vec01263")</f>
        <v>vec01263</v>
      </c>
      <c r="F40953" s="0" t="s">
        <v>9579</v>
      </c>
    </row>
    <row r="40954" customFormat="false" ht="12.8" hidden="false" customHeight="false" outlineLevel="0" collapsed="false">
      <c r="B40954" s="0" t="s">
        <v>1</v>
      </c>
      <c r="C40954" s="0" t="s">
        <v>4695</v>
      </c>
      <c r="E40954" s="0" t="s">
        <v>3856</v>
      </c>
      <c r="F40954" s="0" t="s">
        <v>9580</v>
      </c>
    </row>
    <row r="40956" customFormat="false" ht="12.8" hidden="false" customHeight="false" outlineLevel="0" collapsed="false">
      <c r="A40956" s="0" t="s">
        <v>15030</v>
      </c>
      <c r="B40956" s="0" t="str">
        <f aca="false">HYPERLINK("https://lindat.mff.cuni.cz/services/teitok/pdtc10/index.php?action=vallex&amp;frame=v-w11367f1", "rozhněvat (v-w11367f1)")</f>
        <v>rozhněvat (v-w11367f1)</v>
      </c>
    </row>
    <row r="40957" customFormat="false" ht="12.8" hidden="false" customHeight="false" outlineLevel="0" collapsed="false">
      <c r="B40957" s="0" t="s">
        <v>1</v>
      </c>
    </row>
    <row r="40958" customFormat="false" ht="12.8" hidden="false" customHeight="false" outlineLevel="0" collapsed="false">
      <c r="B40958" s="0" t="s">
        <v>8</v>
      </c>
    </row>
    <row r="40960" customFormat="false" ht="12.8" hidden="false" customHeight="false" outlineLevel="0" collapsed="false">
      <c r="A40960" s="0" t="s">
        <v>15031</v>
      </c>
      <c r="B40960" s="0" t="str">
        <f aca="false">HYPERLINK("https://lindat.mff.cuni.cz/services/teitok/pdtc10/index.php?action=vallex&amp;frame=v-w5631f1", "rozhněvat se (v-w5631f1)")</f>
        <v>rozhněvat se (v-w5631f1)</v>
      </c>
    </row>
    <row r="40961" customFormat="false" ht="12.8" hidden="false" customHeight="false" outlineLevel="0" collapsed="false">
      <c r="B40961" s="0" t="s">
        <v>1</v>
      </c>
    </row>
    <row r="40962" customFormat="false" ht="12.8" hidden="false" customHeight="false" outlineLevel="0" collapsed="false">
      <c r="B40962" s="0" t="s">
        <v>45</v>
      </c>
    </row>
    <row r="40964" customFormat="false" ht="12.8" hidden="false" customHeight="false" outlineLevel="0" collapsed="false">
      <c r="A40964" s="0" t="s">
        <v>15032</v>
      </c>
      <c r="B40964" s="0" t="str">
        <f aca="false">HYPERLINK("https://lindat.mff.cuni.cz/services/teitok/pdtc10/index.php?action=vallex&amp;frame=v-w5632f1", "rozhodit (v-w5632f1)")</f>
        <v>rozhodit (v-w5632f1)</v>
      </c>
      <c r="E40964" s="0" t="str">
        <f aca="false">HYPERLINK("https://lindat.mff.cuni.cz/services/SynSemClass40/SynSemClass40.html?veclass=vec01385#vec01385-ces-cm00010", "vec01385")</f>
        <v>vec01385</v>
      </c>
      <c r="F40964" s="0" t="s">
        <v>15033</v>
      </c>
    </row>
    <row r="40965" customFormat="false" ht="12.8" hidden="false" customHeight="false" outlineLevel="0" collapsed="false">
      <c r="B40965" s="0" t="s">
        <v>1</v>
      </c>
      <c r="C40965" s="0" t="s">
        <v>15034</v>
      </c>
      <c r="E40965" s="0" t="s">
        <v>1103</v>
      </c>
      <c r="F40965" s="0" t="s">
        <v>15035</v>
      </c>
    </row>
    <row r="40966" customFormat="false" ht="12.8" hidden="false" customHeight="false" outlineLevel="0" collapsed="false">
      <c r="B40966" s="0" t="s">
        <v>8</v>
      </c>
      <c r="C40966" s="0" t="s">
        <v>15036</v>
      </c>
      <c r="E40966" s="0" t="s">
        <v>142</v>
      </c>
      <c r="F40966" s="0" t="s">
        <v>15037</v>
      </c>
    </row>
    <row r="40968" customFormat="false" ht="12.8" hidden="false" customHeight="false" outlineLevel="0" collapsed="false">
      <c r="A40968" s="0" t="s">
        <v>15038</v>
      </c>
      <c r="B40968" s="0" t="str">
        <f aca="false">HYPERLINK("https://lindat.mff.cuni.cz/services/teitok/pdtc10/index.php?action=vallex&amp;frame=v-w5632f3", "rozhodit (v-w5632f3)")</f>
        <v>rozhodit (v-w5632f3)</v>
      </c>
    </row>
    <row r="40969" customFormat="false" ht="12.8" hidden="false" customHeight="false" outlineLevel="0" collapsed="false">
      <c r="B40969" s="0" t="s">
        <v>1</v>
      </c>
    </row>
    <row r="40970" customFormat="false" ht="12.8" hidden="false" customHeight="false" outlineLevel="0" collapsed="false">
      <c r="B40970" s="0" t="s">
        <v>8</v>
      </c>
    </row>
    <row r="40972" customFormat="false" ht="12.8" hidden="false" customHeight="false" outlineLevel="0" collapsed="false">
      <c r="A40972" s="0" t="s">
        <v>15039</v>
      </c>
      <c r="B40972" s="0" t="str">
        <f aca="false">HYPERLINK("https://lindat.mff.cuni.cz/services/teitok/pdtc10/index.php?action=vallex&amp;frame=v-w5632f2", "rozhodit (v-w5632f2)")</f>
        <v>rozhodit (v-w5632f2)</v>
      </c>
    </row>
    <row r="40973" customFormat="false" ht="12.8" hidden="false" customHeight="false" outlineLevel="0" collapsed="false">
      <c r="B40973" s="0" t="s">
        <v>1</v>
      </c>
    </row>
    <row r="40974" customFormat="false" ht="12.8" hidden="false" customHeight="false" outlineLevel="0" collapsed="false">
      <c r="B40974" s="0" t="s">
        <v>8</v>
      </c>
    </row>
    <row r="40976" customFormat="false" ht="12.8" hidden="false" customHeight="false" outlineLevel="0" collapsed="false">
      <c r="A40976" s="0" t="s">
        <v>15040</v>
      </c>
      <c r="B40976" s="0" t="str">
        <f aca="false">HYPERLINK("https://lindat.mff.cuni.cz/services/teitok/pdtc10/index.php?action=vallex&amp;frame=v-w5634f3", "rozhodnout (v-w5634f3)")</f>
        <v>rozhodnout (v-w5634f3)</v>
      </c>
    </row>
    <row r="40977" customFormat="false" ht="12.8" hidden="false" customHeight="false" outlineLevel="0" collapsed="false">
      <c r="B40977" s="0" t="s">
        <v>1</v>
      </c>
    </row>
    <row r="40978" customFormat="false" ht="12.8" hidden="false" customHeight="false" outlineLevel="0" collapsed="false">
      <c r="B40978" s="0" t="s">
        <v>14753</v>
      </c>
    </row>
    <row r="40979" customFormat="false" ht="12.8" hidden="false" customHeight="false" outlineLevel="0" collapsed="false">
      <c r="B40979" s="0" t="s">
        <v>15041</v>
      </c>
    </row>
    <row r="40981" customFormat="false" ht="12.8" hidden="false" customHeight="false" outlineLevel="0" collapsed="false">
      <c r="A40981" s="0" t="s">
        <v>15042</v>
      </c>
      <c r="B40981" s="0" t="str">
        <f aca="false">HYPERLINK("https://lindat.mff.cuni.cz/services/teitok/pdtc10/index.php?action=vallex&amp;frame=v-w5634f5_MM", "rozhodnout (v-w5634f5_MM)")</f>
        <v>rozhodnout (v-w5634f5_MM)</v>
      </c>
    </row>
    <row r="40982" customFormat="false" ht="12.8" hidden="false" customHeight="false" outlineLevel="0" collapsed="false">
      <c r="B40982" s="0" t="s">
        <v>15043</v>
      </c>
    </row>
    <row r="40983" customFormat="false" ht="12.8" hidden="false" customHeight="false" outlineLevel="0" collapsed="false">
      <c r="B40983" s="0" t="s">
        <v>15044</v>
      </c>
    </row>
    <row r="40985" customFormat="false" ht="12.8" hidden="false" customHeight="false" outlineLevel="0" collapsed="false">
      <c r="A40985" s="0" t="s">
        <v>15042</v>
      </c>
      <c r="B40985" s="0" t="str">
        <f aca="false">HYPERLINK("https://lindat.mff.cuni.cz/services/teitok/pdtc10/index.php?action=vallex&amp;frame=v-w5634f1", "rozhodnout (v-w5634f1) - substituted with v-w5634f5_MM")</f>
        <v>rozhodnout (v-w5634f1) - substituted with v-w5634f5_MM</v>
      </c>
      <c r="E40985" s="0" t="str">
        <f aca="false">HYPERLINK("https://lindat.mff.cuni.cz/services/SynSemClass40/SynSemClass40.html?veclass=vec00127#vec00127-ces-cm00033", "vec00127")</f>
        <v>vec00127</v>
      </c>
      <c r="F40985" s="0" t="s">
        <v>1835</v>
      </c>
    </row>
    <row r="40986" customFormat="false" ht="12.8" hidden="false" customHeight="false" outlineLevel="0" collapsed="false">
      <c r="B40986" s="0" t="s">
        <v>15043</v>
      </c>
      <c r="C40986" s="0" t="s">
        <v>3461</v>
      </c>
      <c r="E40986" s="0" t="s">
        <v>11</v>
      </c>
      <c r="F40986" s="0" t="s">
        <v>1837</v>
      </c>
    </row>
    <row r="40987" customFormat="false" ht="12.8" hidden="false" customHeight="false" outlineLevel="0" collapsed="false">
      <c r="B40987" s="0" t="s">
        <v>15044</v>
      </c>
      <c r="C40987" s="0" t="s">
        <v>3463</v>
      </c>
      <c r="E40987" s="0" t="s">
        <v>1840</v>
      </c>
      <c r="F40987" s="0" t="s">
        <v>1841</v>
      </c>
    </row>
    <row r="40989" customFormat="false" ht="12.8" hidden="false" customHeight="false" outlineLevel="0" collapsed="false">
      <c r="A40989" s="0" t="s">
        <v>15045</v>
      </c>
      <c r="B40989" s="0" t="str">
        <f aca="false">HYPERLINK("https://lindat.mff.cuni.cz/services/teitok/pdtc10/index.php?action=vallex&amp;frame=v-w5634f2", "rozhodnout (v-w5634f2)")</f>
        <v>rozhodnout (v-w5634f2)</v>
      </c>
      <c r="E40989" s="0" t="str">
        <f aca="false">HYPERLINK("https://lindat.mff.cuni.cz/services/SynSemClass40/SynSemClass40.html?veclass=vec00509#vec00509-ces-cm00001", "vec00509")</f>
        <v>vec00509</v>
      </c>
      <c r="F40989" s="0" t="s">
        <v>15046</v>
      </c>
    </row>
    <row r="40990" customFormat="false" ht="12.8" hidden="false" customHeight="false" outlineLevel="0" collapsed="false">
      <c r="B40990" s="0" t="s">
        <v>1</v>
      </c>
      <c r="C40990" s="0" t="s">
        <v>15047</v>
      </c>
      <c r="E40990" s="0" t="s">
        <v>206</v>
      </c>
      <c r="F40990" s="0" t="s">
        <v>15048</v>
      </c>
    </row>
    <row r="40991" customFormat="false" ht="12.8" hidden="false" customHeight="false" outlineLevel="0" collapsed="false">
      <c r="B40991" s="0" t="s">
        <v>8</v>
      </c>
      <c r="C40991" s="0" t="s">
        <v>4712</v>
      </c>
      <c r="E40991" s="0" t="s">
        <v>230</v>
      </c>
      <c r="F40991" s="0" t="s">
        <v>15049</v>
      </c>
    </row>
    <row r="40993" customFormat="false" ht="12.8" hidden="false" customHeight="false" outlineLevel="0" collapsed="false">
      <c r="A40993" s="0" t="s">
        <v>15050</v>
      </c>
      <c r="B40993" s="0" t="str">
        <f aca="false">HYPERLINK("https://lindat.mff.cuni.cz/services/teitok/pdtc10/index.php?action=vallex&amp;frame=v-w5634f4", "rozhodnout (v-w5634f4)")</f>
        <v>rozhodnout (v-w5634f4)</v>
      </c>
      <c r="E40993" s="0" t="str">
        <f aca="false">HYPERLINK("https://lindat.mff.cuni.cz/services/SynSemClass40/SynSemClass40.html?veclass=vec00509#vec00509-ces-cm00005", "vec00509")</f>
        <v>vec00509</v>
      </c>
      <c r="F40993" s="0" t="s">
        <v>15046</v>
      </c>
    </row>
    <row r="40994" customFormat="false" ht="12.8" hidden="false" customHeight="false" outlineLevel="0" collapsed="false">
      <c r="B40994" s="0" t="s">
        <v>1</v>
      </c>
      <c r="C40994" s="0" t="s">
        <v>15047</v>
      </c>
      <c r="E40994" s="0" t="s">
        <v>206</v>
      </c>
      <c r="F40994" s="0" t="s">
        <v>15048</v>
      </c>
    </row>
    <row r="40995" customFormat="false" ht="12.8" hidden="false" customHeight="false" outlineLevel="0" collapsed="false">
      <c r="B40995" s="0" t="s">
        <v>3057</v>
      </c>
      <c r="C40995" s="0" t="s">
        <v>15051</v>
      </c>
      <c r="E40995" s="0" t="s">
        <v>15052</v>
      </c>
      <c r="F40995" s="0" t="s">
        <v>15053</v>
      </c>
    </row>
    <row r="40996" customFormat="false" ht="12.8" hidden="false" customHeight="false" outlineLevel="0" collapsed="false">
      <c r="B40996" s="0" t="s">
        <v>496</v>
      </c>
      <c r="C40996" s="0" t="s">
        <v>4712</v>
      </c>
      <c r="E40996" s="0" t="s">
        <v>230</v>
      </c>
      <c r="F40996" s="0" t="s">
        <v>15049</v>
      </c>
    </row>
    <row r="40998" customFormat="false" ht="12.8" hidden="false" customHeight="false" outlineLevel="0" collapsed="false">
      <c r="A40998" s="0" t="s">
        <v>15054</v>
      </c>
      <c r="B40998" s="0" t="str">
        <f aca="false">HYPERLINK("https://lindat.mff.cuni.cz/services/teitok/pdtc10/index.php?action=vallex&amp;frame=v-w5635f2", "rozhodnout se (v-w5635f2)")</f>
        <v>rozhodnout se (v-w5635f2)</v>
      </c>
      <c r="E40998" s="0" t="str">
        <f aca="false">HYPERLINK("https://lindat.mff.cuni.cz/services/SynSemClass40/SynSemClass40.html?veclass=vec00106#vec00106-ces-cm00001", "vec00106")</f>
        <v>vec00106</v>
      </c>
      <c r="F40998" s="0" t="s">
        <v>15055</v>
      </c>
    </row>
    <row r="40999" customFormat="false" ht="12.8" hidden="false" customHeight="false" outlineLevel="0" collapsed="false">
      <c r="B40999" s="0" t="s">
        <v>1</v>
      </c>
      <c r="C40999" s="0" t="s">
        <v>15056</v>
      </c>
      <c r="E40999" s="0" t="s">
        <v>621</v>
      </c>
      <c r="F40999" s="0" t="s">
        <v>15057</v>
      </c>
    </row>
    <row r="41000" customFormat="false" ht="12.8" hidden="false" customHeight="false" outlineLevel="0" collapsed="false">
      <c r="B41000" s="0" t="s">
        <v>2119</v>
      </c>
      <c r="C41000" s="0" t="s">
        <v>15058</v>
      </c>
      <c r="E41000" s="0" t="s">
        <v>4297</v>
      </c>
      <c r="F41000" s="0" t="s">
        <v>15059</v>
      </c>
    </row>
    <row r="41001" customFormat="false" ht="12.8" hidden="false" customHeight="false" outlineLevel="0" collapsed="false">
      <c r="B41001" s="0" t="s">
        <v>15060</v>
      </c>
      <c r="C41001" s="0" t="s">
        <v>15061</v>
      </c>
      <c r="E41001" s="0" t="s">
        <v>15062</v>
      </c>
      <c r="F41001" s="0" t="s">
        <v>15063</v>
      </c>
    </row>
    <row r="41003" customFormat="false" ht="12.8" hidden="false" customHeight="false" outlineLevel="0" collapsed="false">
      <c r="A41003" s="0" t="s">
        <v>15064</v>
      </c>
      <c r="B41003" s="0" t="str">
        <f aca="false">HYPERLINK("https://lindat.mff.cuni.cz/services/teitok/pdtc10/index.php?action=vallex&amp;frame=v-w5635f1", "rozhodnout se (v-w5635f1)")</f>
        <v>rozhodnout se (v-w5635f1)</v>
      </c>
      <c r="E41003" s="0" t="str">
        <f aca="false">HYPERLINK("https://lindat.mff.cuni.cz/services/SynSemClass40/SynSemClass40.html?veclass=vec00297#vec00297-ces-cm00001", "vec00297")</f>
        <v>vec00297</v>
      </c>
      <c r="F41003" s="0" t="s">
        <v>15065</v>
      </c>
    </row>
    <row r="41004" customFormat="false" ht="12.8" hidden="false" customHeight="false" outlineLevel="0" collapsed="false">
      <c r="B41004" s="0" t="s">
        <v>13303</v>
      </c>
      <c r="C41004" s="0" t="s">
        <v>15066</v>
      </c>
      <c r="E41004" s="0" t="s">
        <v>621</v>
      </c>
      <c r="F41004" s="0" t="s">
        <v>15067</v>
      </c>
    </row>
    <row r="41005" customFormat="false" ht="12.8" hidden="false" customHeight="false" outlineLevel="0" collapsed="false">
      <c r="B41005" s="0" t="s">
        <v>15068</v>
      </c>
      <c r="C41005" s="0" t="s">
        <v>15069</v>
      </c>
      <c r="E41005" s="0" t="s">
        <v>1840</v>
      </c>
      <c r="F41005" s="0" t="s">
        <v>15070</v>
      </c>
    </row>
    <row r="41007" customFormat="false" ht="12.8" hidden="false" customHeight="false" outlineLevel="0" collapsed="false">
      <c r="A41007" s="0" t="s">
        <v>15071</v>
      </c>
      <c r="B41007" s="0" t="str">
        <f aca="false">HYPERLINK("https://lindat.mff.cuni.cz/services/teitok/pdtc10/index.php?action=vallex&amp;frame=v-w5635f3", "rozhodnout se (v-w5635f3)")</f>
        <v>rozhodnout se (v-w5635f3)</v>
      </c>
      <c r="E41007" s="0" t="str">
        <f aca="false">HYPERLINK("https://lindat.mff.cuni.cz/services/SynSemClass40/SynSemClass40.html?veclass=vec00297#vec00297-ces-cm00010", "vec00297")</f>
        <v>vec00297</v>
      </c>
      <c r="F41007" s="0" t="s">
        <v>15065</v>
      </c>
    </row>
    <row r="41008" customFormat="false" ht="12.8" hidden="false" customHeight="false" outlineLevel="0" collapsed="false">
      <c r="B41008" s="0" t="s">
        <v>1</v>
      </c>
      <c r="C41008" s="0" t="s">
        <v>15066</v>
      </c>
      <c r="E41008" s="0" t="s">
        <v>621</v>
      </c>
      <c r="F41008" s="0" t="s">
        <v>15067</v>
      </c>
    </row>
    <row r="41009" customFormat="false" ht="12.8" hidden="false" customHeight="false" outlineLevel="0" collapsed="false">
      <c r="B41009" s="0" t="s">
        <v>725</v>
      </c>
    </row>
    <row r="41010" customFormat="false" ht="12.8" hidden="false" customHeight="false" outlineLevel="0" collapsed="false">
      <c r="B41010" s="0" t="s">
        <v>642</v>
      </c>
    </row>
    <row r="41011" customFormat="false" ht="12.8" hidden="false" customHeight="false" outlineLevel="0" collapsed="false">
      <c r="B41011" s="0" t="s">
        <v>648</v>
      </c>
    </row>
    <row r="41012" customFormat="false" ht="12.8" hidden="false" customHeight="false" outlineLevel="0" collapsed="false">
      <c r="B41012" s="0" t="s">
        <v>650</v>
      </c>
    </row>
    <row r="41013" customFormat="false" ht="12.8" hidden="false" customHeight="false" outlineLevel="0" collapsed="false">
      <c r="B41013" s="0" t="s">
        <v>652</v>
      </c>
    </row>
    <row r="41015" customFormat="false" ht="12.8" hidden="false" customHeight="false" outlineLevel="0" collapsed="false">
      <c r="A41015" s="0" t="s">
        <v>15072</v>
      </c>
      <c r="B41015" s="0" t="str">
        <f aca="false">HYPERLINK("https://lindat.mff.cuni.cz/services/teitok/pdtc10/index.php?action=vallex&amp;frame=v-w5638f4", "rozhodovat (v-w5638f4)")</f>
        <v>rozhodovat (v-w5638f4)</v>
      </c>
    </row>
    <row r="41016" customFormat="false" ht="12.8" hidden="false" customHeight="false" outlineLevel="0" collapsed="false">
      <c r="B41016" s="0" t="s">
        <v>1</v>
      </c>
    </row>
    <row r="41017" customFormat="false" ht="12.8" hidden="false" customHeight="false" outlineLevel="0" collapsed="false">
      <c r="B41017" s="0" t="s">
        <v>14753</v>
      </c>
    </row>
    <row r="41018" customFormat="false" ht="12.8" hidden="false" customHeight="false" outlineLevel="0" collapsed="false">
      <c r="B41018" s="0" t="s">
        <v>15041</v>
      </c>
    </row>
    <row r="41020" customFormat="false" ht="12.8" hidden="false" customHeight="false" outlineLevel="0" collapsed="false">
      <c r="A41020" s="0" t="s">
        <v>15073</v>
      </c>
      <c r="B41020" s="0" t="str">
        <f aca="false">HYPERLINK("https://lindat.mff.cuni.cz/services/teitok/pdtc10/index.php?action=vallex&amp;frame=v-w5638hsa_1472", "rozhodovat (v-w5638hsa_1472)")</f>
        <v>rozhodovat (v-w5638hsa_1472)</v>
      </c>
    </row>
    <row r="41021" customFormat="false" ht="12.8" hidden="false" customHeight="false" outlineLevel="0" collapsed="false">
      <c r="B41021" s="0" t="s">
        <v>15074</v>
      </c>
    </row>
    <row r="41022" customFormat="false" ht="12.8" hidden="false" customHeight="false" outlineLevel="0" collapsed="false">
      <c r="B41022" s="0" t="s">
        <v>15075</v>
      </c>
    </row>
    <row r="41024" customFormat="false" ht="12.8" hidden="false" customHeight="false" outlineLevel="0" collapsed="false">
      <c r="A41024" s="0" t="s">
        <v>15073</v>
      </c>
      <c r="B41024" s="0" t="str">
        <f aca="false">HYPERLINK("https://lindat.mff.cuni.cz/services/teitok/pdtc10/index.php?action=vallex&amp;frame=v-w5638f1", "rozhodovat (v-w5638f1) - substituted with v-w5638hsa_1472")</f>
        <v>rozhodovat (v-w5638f1) - substituted with v-w5638hsa_1472</v>
      </c>
      <c r="E41024" s="0" t="str">
        <f aca="false">HYPERLINK("https://lindat.mff.cuni.cz/services/SynSemClass40/SynSemClass40.html?veclass=vec00127#vec00127-ces-cm00037", "vec00127")</f>
        <v>vec00127</v>
      </c>
      <c r="F41024" s="0" t="s">
        <v>1835</v>
      </c>
    </row>
    <row r="41025" customFormat="false" ht="12.8" hidden="false" customHeight="false" outlineLevel="0" collapsed="false">
      <c r="B41025" s="0" t="s">
        <v>15074</v>
      </c>
      <c r="C41025" s="0" t="s">
        <v>3461</v>
      </c>
      <c r="E41025" s="0" t="s">
        <v>11</v>
      </c>
      <c r="F41025" s="0" t="s">
        <v>1837</v>
      </c>
    </row>
    <row r="41026" customFormat="false" ht="12.8" hidden="false" customHeight="false" outlineLevel="0" collapsed="false">
      <c r="B41026" s="0" t="s">
        <v>15075</v>
      </c>
      <c r="C41026" s="0" t="s">
        <v>3463</v>
      </c>
      <c r="E41026" s="0" t="s">
        <v>1840</v>
      </c>
      <c r="F41026" s="0" t="s">
        <v>1841</v>
      </c>
    </row>
    <row r="41028" customFormat="false" ht="12.8" hidden="false" customHeight="false" outlineLevel="0" collapsed="false">
      <c r="A41028" s="0" t="s">
        <v>15076</v>
      </c>
      <c r="B41028" s="0" t="str">
        <f aca="false">HYPERLINK("https://lindat.mff.cuni.cz/services/teitok/pdtc10/index.php?action=vallex&amp;frame=v-w5638f2", "rozhodovat (v-w5638f2)")</f>
        <v>rozhodovat (v-w5638f2)</v>
      </c>
      <c r="E41028" s="0" t="str">
        <f aca="false">HYPERLINK("https://lindat.mff.cuni.cz/services/SynSemClass40/SynSemClass40.html?veclass=vec00509#vec00509-ces-cm00028", "vec00509")</f>
        <v>vec00509</v>
      </c>
      <c r="F41028" s="0" t="s">
        <v>15046</v>
      </c>
    </row>
    <row r="41029" customFormat="false" ht="12.8" hidden="false" customHeight="false" outlineLevel="0" collapsed="false">
      <c r="B41029" s="0" t="s">
        <v>1</v>
      </c>
      <c r="C41029" s="0" t="s">
        <v>15047</v>
      </c>
      <c r="E41029" s="0" t="s">
        <v>206</v>
      </c>
      <c r="F41029" s="0" t="s">
        <v>15048</v>
      </c>
    </row>
    <row r="41030" customFormat="false" ht="12.8" hidden="false" customHeight="false" outlineLevel="0" collapsed="false">
      <c r="B41030" s="0" t="s">
        <v>8</v>
      </c>
      <c r="C41030" s="0" t="s">
        <v>4712</v>
      </c>
      <c r="E41030" s="0" t="s">
        <v>230</v>
      </c>
      <c r="F41030" s="0" t="s">
        <v>15049</v>
      </c>
    </row>
    <row r="41032" customFormat="false" ht="12.8" hidden="false" customHeight="false" outlineLevel="0" collapsed="false">
      <c r="A41032" s="0" t="s">
        <v>15077</v>
      </c>
      <c r="B41032" s="0" t="str">
        <f aca="false">HYPERLINK("https://lindat.mff.cuni.cz/services/teitok/pdtc10/index.php?action=vallex&amp;frame=v-w5638f3", "rozhodovat (v-w5638f3)")</f>
        <v>rozhodovat (v-w5638f3)</v>
      </c>
      <c r="E41032" s="0" t="str">
        <f aca="false">HYPERLINK("https://lindat.mff.cuni.cz/services/SynSemClass40/SynSemClass40.html?veclass=vec00509#vec00509-ces-cm00029", "vec00509")</f>
        <v>vec00509</v>
      </c>
      <c r="F41032" s="0" t="s">
        <v>15046</v>
      </c>
    </row>
    <row r="41033" customFormat="false" ht="12.8" hidden="false" customHeight="false" outlineLevel="0" collapsed="false">
      <c r="B41033" s="0" t="s">
        <v>1</v>
      </c>
      <c r="C41033" s="0" t="s">
        <v>15047</v>
      </c>
      <c r="E41033" s="0" t="s">
        <v>206</v>
      </c>
      <c r="F41033" s="0" t="s">
        <v>15048</v>
      </c>
    </row>
    <row r="41034" customFormat="false" ht="12.8" hidden="false" customHeight="false" outlineLevel="0" collapsed="false">
      <c r="B41034" s="0" t="s">
        <v>3057</v>
      </c>
      <c r="C41034" s="0" t="s">
        <v>15051</v>
      </c>
      <c r="E41034" s="0" t="s">
        <v>15052</v>
      </c>
      <c r="F41034" s="0" t="s">
        <v>15053</v>
      </c>
    </row>
    <row r="41035" customFormat="false" ht="12.8" hidden="false" customHeight="false" outlineLevel="0" collapsed="false">
      <c r="B41035" s="0" t="s">
        <v>496</v>
      </c>
      <c r="C41035" s="0" t="s">
        <v>4712</v>
      </c>
      <c r="E41035" s="0" t="s">
        <v>230</v>
      </c>
      <c r="F41035" s="0" t="s">
        <v>15049</v>
      </c>
    </row>
    <row r="41037" customFormat="false" ht="12.8" hidden="false" customHeight="false" outlineLevel="0" collapsed="false">
      <c r="A41037" s="0" t="s">
        <v>15078</v>
      </c>
      <c r="B41037" s="0" t="str">
        <f aca="false">HYPERLINK("https://lindat.mff.cuni.cz/services/teitok/pdtc10/index.php?action=vallex&amp;frame=v-w5639f1", "rozhodovat se (v-w5639f1)")</f>
        <v>rozhodovat se (v-w5639f1)</v>
      </c>
      <c r="E41037" s="0" t="str">
        <f aca="false">HYPERLINK("https://lindat.mff.cuni.cz/services/SynSemClass40/SynSemClass40.html?veclass=vec00106#vec00106-ces-cm00075", "vec00106")</f>
        <v>vec00106</v>
      </c>
      <c r="F41037" s="0" t="s">
        <v>15055</v>
      </c>
    </row>
    <row r="41038" customFormat="false" ht="12.8" hidden="false" customHeight="false" outlineLevel="0" collapsed="false">
      <c r="B41038" s="0" t="s">
        <v>1</v>
      </c>
      <c r="C41038" s="0" t="s">
        <v>15056</v>
      </c>
      <c r="E41038" s="0" t="s">
        <v>621</v>
      </c>
      <c r="F41038" s="0" t="s">
        <v>15057</v>
      </c>
    </row>
    <row r="41039" customFormat="false" ht="12.8" hidden="false" customHeight="false" outlineLevel="0" collapsed="false">
      <c r="B41039" s="0" t="s">
        <v>2119</v>
      </c>
      <c r="C41039" s="0" t="s">
        <v>15058</v>
      </c>
      <c r="E41039" s="0" t="s">
        <v>4297</v>
      </c>
      <c r="F41039" s="0" t="s">
        <v>15059</v>
      </c>
    </row>
    <row r="41040" customFormat="false" ht="12.8" hidden="false" customHeight="false" outlineLevel="0" collapsed="false">
      <c r="B41040" s="0" t="s">
        <v>15060</v>
      </c>
      <c r="C41040" s="0" t="s">
        <v>15061</v>
      </c>
      <c r="E41040" s="0" t="s">
        <v>15062</v>
      </c>
      <c r="F41040" s="0" t="s">
        <v>15063</v>
      </c>
    </row>
    <row r="41042" customFormat="false" ht="12.8" hidden="false" customHeight="false" outlineLevel="0" collapsed="false">
      <c r="A41042" s="0" t="s">
        <v>15079</v>
      </c>
      <c r="B41042" s="0" t="str">
        <f aca="false">HYPERLINK("https://lindat.mff.cuni.cz/services/teitok/pdtc10/index.php?action=vallex&amp;frame=v-w5639f2", "rozhodovat se (v-w5639f2)")</f>
        <v>rozhodovat se (v-w5639f2)</v>
      </c>
    </row>
    <row r="41043" customFormat="false" ht="12.8" hidden="false" customHeight="false" outlineLevel="0" collapsed="false">
      <c r="B41043" s="0" t="s">
        <v>1</v>
      </c>
    </row>
    <row r="41044" customFormat="false" ht="12.8" hidden="false" customHeight="false" outlineLevel="0" collapsed="false">
      <c r="B41044" s="0" t="s">
        <v>15068</v>
      </c>
    </row>
    <row r="41046" customFormat="false" ht="12.8" hidden="false" customHeight="false" outlineLevel="0" collapsed="false">
      <c r="A41046" s="0" t="s">
        <v>15080</v>
      </c>
      <c r="B41046" s="0" t="str">
        <f aca="false">HYPERLINK("https://lindat.mff.cuni.cz/services/teitok/pdtc10/index.php?action=vallex&amp;frame=v-w5642f1", "rozhorlit se (v-w5642f1)")</f>
        <v>rozhorlit se (v-w5642f1)</v>
      </c>
    </row>
    <row r="41047" customFormat="false" ht="12.8" hidden="false" customHeight="false" outlineLevel="0" collapsed="false">
      <c r="B41047" s="0" t="s">
        <v>1</v>
      </c>
    </row>
    <row r="41049" customFormat="false" ht="12.8" hidden="false" customHeight="false" outlineLevel="0" collapsed="false">
      <c r="A41049" s="0" t="s">
        <v>15081</v>
      </c>
      <c r="B41049" s="0" t="str">
        <f aca="false">HYPERLINK("https://lindat.mff.cuni.cz/services/teitok/pdtc10/index.php?action=vallex&amp;frame=v-w5648f1", "rozhostit se (v-w5648f1)")</f>
        <v>rozhostit se (v-w5648f1)</v>
      </c>
      <c r="E41049" s="0" t="str">
        <f aca="false">HYPERLINK("https://lindat.mff.cuni.cz/services/SynSemClass40/SynSemClass40.html?veclass=vec01518#vec01518-ces-cm00081", "vec01518")</f>
        <v>vec01518</v>
      </c>
      <c r="F41049" s="0" t="s">
        <v>2921</v>
      </c>
    </row>
    <row r="41050" customFormat="false" ht="12.8" hidden="false" customHeight="false" outlineLevel="0" collapsed="false">
      <c r="B41050" s="0" t="s">
        <v>1</v>
      </c>
      <c r="C41050" s="0" t="s">
        <v>15082</v>
      </c>
      <c r="E41050" s="0" t="s">
        <v>2923</v>
      </c>
      <c r="F41050" s="0" t="s">
        <v>2924</v>
      </c>
    </row>
    <row r="41052" customFormat="false" ht="12.8" hidden="false" customHeight="false" outlineLevel="0" collapsed="false">
      <c r="A41052" s="0" t="s">
        <v>15083</v>
      </c>
      <c r="B41052" s="0" t="str">
        <f aca="false">HYPERLINK("https://lindat.mff.cuni.cz/services/teitok/pdtc10/index.php?action=vallex&amp;frame=v-whsa_497hsa_498", "rozhoupat (v-whsa_497hsa_498)")</f>
        <v>rozhoupat (v-whsa_497hsa_498)</v>
      </c>
    </row>
    <row r="41053" customFormat="false" ht="12.8" hidden="false" customHeight="false" outlineLevel="0" collapsed="false">
      <c r="B41053" s="0" t="s">
        <v>1</v>
      </c>
    </row>
    <row r="41054" customFormat="false" ht="12.8" hidden="false" customHeight="false" outlineLevel="0" collapsed="false">
      <c r="B41054" s="0" t="s">
        <v>8</v>
      </c>
    </row>
    <row r="41056" customFormat="false" ht="12.8" hidden="false" customHeight="false" outlineLevel="0" collapsed="false">
      <c r="A41056" s="0" t="s">
        <v>15084</v>
      </c>
      <c r="B41056" s="0" t="str">
        <f aca="false">HYPERLINK("https://lindat.mff.cuni.cz/services/teitok/pdtc10/index.php?action=vallex&amp;frame=v-w5649f1", "rozhoupat se (v-w5649f1)")</f>
        <v>rozhoupat se (v-w5649f1)</v>
      </c>
    </row>
    <row r="41057" customFormat="false" ht="12.8" hidden="false" customHeight="false" outlineLevel="0" collapsed="false">
      <c r="B41057" s="0" t="s">
        <v>1</v>
      </c>
    </row>
    <row r="41058" customFormat="false" ht="12.8" hidden="false" customHeight="false" outlineLevel="0" collapsed="false">
      <c r="B41058" s="0" t="s">
        <v>311</v>
      </c>
    </row>
    <row r="41060" customFormat="false" ht="12.8" hidden="false" customHeight="false" outlineLevel="0" collapsed="false">
      <c r="A41060" s="0" t="s">
        <v>15085</v>
      </c>
      <c r="B41060" s="0" t="str">
        <f aca="false">HYPERLINK("https://lindat.mff.cuni.cz/services/teitok/pdtc10/index.php?action=vallex&amp;frame=v-w5649f2", "rozhoupat se (v-w5649f2)")</f>
        <v>rozhoupat se (v-w5649f2)</v>
      </c>
    </row>
    <row r="41061" customFormat="false" ht="12.8" hidden="false" customHeight="false" outlineLevel="0" collapsed="false">
      <c r="B41061" s="0" t="s">
        <v>1</v>
      </c>
    </row>
    <row r="41062" customFormat="false" ht="12.8" hidden="false" customHeight="false" outlineLevel="0" collapsed="false">
      <c r="B41062" s="0" t="s">
        <v>2119</v>
      </c>
    </row>
    <row r="41064" customFormat="false" ht="12.8" hidden="false" customHeight="false" outlineLevel="0" collapsed="false">
      <c r="A41064" s="0" t="s">
        <v>15086</v>
      </c>
      <c r="B41064" s="0" t="str">
        <f aca="false">HYPERLINK("https://lindat.mff.cuni.cz/services/teitok/pdtc10/index.php?action=vallex&amp;frame=v-w5649hsa_1182", "rozhoupat se (v-w5649hsa_1182)")</f>
        <v>rozhoupat se (v-w5649hsa_1182)</v>
      </c>
    </row>
    <row r="41065" customFormat="false" ht="12.8" hidden="false" customHeight="false" outlineLevel="0" collapsed="false">
      <c r="B41065" s="0" t="s">
        <v>1</v>
      </c>
    </row>
    <row r="41067" customFormat="false" ht="12.8" hidden="false" customHeight="false" outlineLevel="0" collapsed="false">
      <c r="A41067" s="0" t="s">
        <v>15087</v>
      </c>
      <c r="B41067" s="0" t="str">
        <f aca="false">HYPERLINK("https://lindat.mff.cuni.cz/services/teitok/pdtc10/index.php?action=vallex&amp;frame=v-w5649f3_ZU", "rozhoupat se (v-w5649f3_ZU)")</f>
        <v>rozhoupat se (v-w5649f3_ZU)</v>
      </c>
    </row>
    <row r="41068" customFormat="false" ht="12.8" hidden="false" customHeight="false" outlineLevel="0" collapsed="false">
      <c r="B41068" s="0" t="s">
        <v>1</v>
      </c>
    </row>
    <row r="41070" customFormat="false" ht="12.8" hidden="false" customHeight="false" outlineLevel="0" collapsed="false">
      <c r="A41070" s="0" t="s">
        <v>15087</v>
      </c>
      <c r="B41070" s="0" t="str">
        <f aca="false">HYPERLINK("https://lindat.mff.cuni.cz/services/teitok/pdtc10/index.php?action=vallex&amp;frame=v-w5649hsa_1183", "rozhoupat se (v-w5649hsa_1183) - substituted with v-w5649f3_ZU")</f>
        <v>rozhoupat se (v-w5649hsa_1183) - substituted with v-w5649f3_ZU</v>
      </c>
    </row>
    <row r="41071" customFormat="false" ht="12.8" hidden="false" customHeight="false" outlineLevel="0" collapsed="false">
      <c r="B41071" s="0" t="s">
        <v>1</v>
      </c>
    </row>
    <row r="41073" customFormat="false" ht="12.8" hidden="false" customHeight="false" outlineLevel="0" collapsed="false">
      <c r="A41073" s="0" t="s">
        <v>15088</v>
      </c>
      <c r="B41073" s="0" t="str">
        <f aca="false">HYPERLINK("https://lindat.mff.cuni.cz/services/teitok/pdtc10/index.php?action=vallex&amp;frame=v-w5651f1", "rozhovořit se (v-w5651f1)")</f>
        <v>rozhovořit se (v-w5651f1)</v>
      </c>
    </row>
    <row r="41074" customFormat="false" ht="12.8" hidden="false" customHeight="false" outlineLevel="0" collapsed="false">
      <c r="B41074" s="0" t="s">
        <v>1</v>
      </c>
    </row>
    <row r="41075" customFormat="false" ht="12.8" hidden="false" customHeight="false" outlineLevel="0" collapsed="false">
      <c r="B41075" s="0" t="s">
        <v>496</v>
      </c>
    </row>
    <row r="41077" customFormat="false" ht="12.8" hidden="false" customHeight="false" outlineLevel="0" collapsed="false">
      <c r="A41077" s="0" t="s">
        <v>15089</v>
      </c>
      <c r="B41077" s="0" t="str">
        <f aca="false">HYPERLINK("https://lindat.mff.cuni.cz/services/teitok/pdtc10/index.php?action=vallex&amp;frame=v-w5647f1", "rozhořet se (v-w5647f1)")</f>
        <v>rozhořet se (v-w5647f1)</v>
      </c>
      <c r="E41077" s="0" t="str">
        <f aca="false">HYPERLINK("https://lindat.mff.cuni.cz/services/SynSemClass40/SynSemClass40.html?veclass=vec01517#vec01517-ces-cm00019", "vec01517")</f>
        <v>vec01517</v>
      </c>
      <c r="F41077" s="0" t="s">
        <v>1589</v>
      </c>
    </row>
    <row r="41078" customFormat="false" ht="12.8" hidden="false" customHeight="false" outlineLevel="0" collapsed="false">
      <c r="B41078" s="0" t="s">
        <v>1</v>
      </c>
      <c r="E41078" s="0" t="s">
        <v>1590</v>
      </c>
      <c r="F41078" s="0" t="s">
        <v>1591</v>
      </c>
    </row>
    <row r="41079" customFormat="false" ht="12.8" hidden="false" customHeight="false" outlineLevel="0" collapsed="false">
      <c r="B41079" s="0" t="s">
        <v>4510</v>
      </c>
      <c r="E41079" s="0" t="s">
        <v>1592</v>
      </c>
      <c r="F41079" s="0" t="s">
        <v>1593</v>
      </c>
    </row>
    <row r="41080" customFormat="false" ht="12.8" hidden="false" customHeight="false" outlineLevel="0" collapsed="false">
      <c r="B41080" s="0" t="s">
        <v>36</v>
      </c>
      <c r="E41080" s="0" t="s">
        <v>38</v>
      </c>
      <c r="F41080" s="0" t="s">
        <v>8255</v>
      </c>
    </row>
    <row r="41082" customFormat="false" ht="12.8" hidden="false" customHeight="false" outlineLevel="0" collapsed="false">
      <c r="A41082" s="0" t="s">
        <v>15090</v>
      </c>
      <c r="B41082" s="0" t="str">
        <f aca="false">HYPERLINK("https://lindat.mff.cuni.cz/services/teitok/pdtc10/index.php?action=vallex&amp;frame=v-w5644f1", "rozhořčit (v-w5644f1)")</f>
        <v>rozhořčit (v-w5644f1)</v>
      </c>
      <c r="E41082" s="0" t="str">
        <f aca="false">HYPERLINK("https://lindat.mff.cuni.cz/services/SynSemClass40/SynSemClass40.html?veclass=vec00667#vec00667-ces-cm00003", "vec00667")</f>
        <v>vec00667</v>
      </c>
      <c r="F41082" s="0" t="s">
        <v>10601</v>
      </c>
    </row>
    <row r="41083" customFormat="false" ht="12.8" hidden="false" customHeight="false" outlineLevel="0" collapsed="false">
      <c r="B41083" s="0" t="s">
        <v>843</v>
      </c>
      <c r="C41083" s="0" t="s">
        <v>459</v>
      </c>
      <c r="E41083" s="0" t="s">
        <v>1103</v>
      </c>
      <c r="F41083" s="0" t="s">
        <v>4068</v>
      </c>
    </row>
    <row r="41084" customFormat="false" ht="12.8" hidden="false" customHeight="false" outlineLevel="0" collapsed="false">
      <c r="B41084" s="0" t="s">
        <v>8</v>
      </c>
      <c r="C41084" s="0" t="s">
        <v>744</v>
      </c>
      <c r="E41084" s="0" t="s">
        <v>142</v>
      </c>
      <c r="F41084" s="0" t="s">
        <v>745</v>
      </c>
    </row>
    <row r="41086" customFormat="false" ht="12.8" hidden="false" customHeight="false" outlineLevel="0" collapsed="false">
      <c r="A41086" s="0" t="s">
        <v>15091</v>
      </c>
      <c r="B41086" s="0" t="str">
        <f aca="false">HYPERLINK("https://lindat.mff.cuni.cz/services/teitok/pdtc10/index.php?action=vallex&amp;frame=v-w5645f1", "rozhořčovat se (v-w5645f1)")</f>
        <v>rozhořčovat se (v-w5645f1)</v>
      </c>
    </row>
    <row r="41087" customFormat="false" ht="12.8" hidden="false" customHeight="false" outlineLevel="0" collapsed="false">
      <c r="B41087" s="0" t="s">
        <v>1</v>
      </c>
    </row>
    <row r="41089" customFormat="false" ht="12.8" hidden="false" customHeight="false" outlineLevel="0" collapsed="false">
      <c r="A41089" s="0" t="s">
        <v>15092</v>
      </c>
      <c r="B41089" s="0" t="str">
        <f aca="false">HYPERLINK("https://lindat.mff.cuni.cz/services/teitok/pdtc10/index.php?action=vallex&amp;frame=v-w11390f1", "rozhádat se (v-w11390f1)")</f>
        <v>rozhádat se (v-w11390f1)</v>
      </c>
      <c r="E41089" s="0" t="str">
        <f aca="false">HYPERLINK("https://lindat.mff.cuni.cz/services/SynSemClass40/SynSemClass40.html?veclass=vec00019#vec00019-ces-cm00014", "vec00019")</f>
        <v>vec00019</v>
      </c>
      <c r="F41089" s="0" t="s">
        <v>2250</v>
      </c>
    </row>
    <row r="41090" customFormat="false" ht="12.8" hidden="false" customHeight="false" outlineLevel="0" collapsed="false">
      <c r="B41090" s="0" t="s">
        <v>1</v>
      </c>
      <c r="C41090" s="0" t="s">
        <v>239</v>
      </c>
      <c r="E41090" s="0" t="s">
        <v>2251</v>
      </c>
      <c r="F41090" s="0" t="s">
        <v>2252</v>
      </c>
    </row>
    <row r="41091" customFormat="false" ht="12.8" hidden="false" customHeight="false" outlineLevel="0" collapsed="false">
      <c r="B41091" s="0" t="s">
        <v>276</v>
      </c>
      <c r="E41091" s="0" t="s">
        <v>2256</v>
      </c>
      <c r="F41091" s="0" t="s">
        <v>2257</v>
      </c>
    </row>
    <row r="41092" customFormat="false" ht="12.8" hidden="false" customHeight="false" outlineLevel="0" collapsed="false">
      <c r="B41092" s="0" t="s">
        <v>496</v>
      </c>
      <c r="C41092" s="0" t="s">
        <v>2254</v>
      </c>
      <c r="E41092" s="0" t="s">
        <v>230</v>
      </c>
      <c r="F41092" s="0" t="s">
        <v>2255</v>
      </c>
    </row>
    <row r="41094" customFormat="false" ht="12.8" hidden="false" customHeight="false" outlineLevel="0" collapsed="false">
      <c r="A41094" s="0" t="s">
        <v>15093</v>
      </c>
      <c r="B41094" s="0" t="str">
        <f aca="false">HYPERLINK("https://lindat.mff.cuni.cz/services/teitok/pdtc10/index.php?action=vallex&amp;frame=v-w11243f1", "rozházet (v-w11243f1)")</f>
        <v>rozházet (v-w11243f1)</v>
      </c>
      <c r="E41094" s="0" t="str">
        <f aca="false">HYPERLINK("https://lindat.mff.cuni.cz/services/SynSemClass40/SynSemClass40.html?veclass=vec01385#vec01385-ces-cm00011", "vec01385")</f>
        <v>vec01385</v>
      </c>
      <c r="F41094" s="0" t="s">
        <v>15033</v>
      </c>
    </row>
    <row r="41095" customFormat="false" ht="12.8" hidden="false" customHeight="false" outlineLevel="0" collapsed="false">
      <c r="B41095" s="0" t="s">
        <v>1</v>
      </c>
      <c r="C41095" s="0" t="s">
        <v>15034</v>
      </c>
      <c r="E41095" s="0" t="s">
        <v>1103</v>
      </c>
      <c r="F41095" s="0" t="s">
        <v>15035</v>
      </c>
    </row>
    <row r="41096" customFormat="false" ht="12.8" hidden="false" customHeight="false" outlineLevel="0" collapsed="false">
      <c r="B41096" s="0" t="s">
        <v>8</v>
      </c>
      <c r="C41096" s="0" t="s">
        <v>15036</v>
      </c>
      <c r="E41096" s="0" t="s">
        <v>142</v>
      </c>
      <c r="F41096" s="0" t="s">
        <v>15037</v>
      </c>
    </row>
    <row r="41098" customFormat="false" ht="12.8" hidden="false" customHeight="false" outlineLevel="0" collapsed="false">
      <c r="A41098" s="0" t="s">
        <v>15094</v>
      </c>
      <c r="B41098" s="0" t="str">
        <f aca="false">HYPERLINK("https://lindat.mff.cuni.cz/services/teitok/pdtc10/index.php?action=vallex&amp;frame=v-w11243f2_ZU", "rozházet (v-w11243f2_ZU)")</f>
        <v>rozházet (v-w11243f2_ZU)</v>
      </c>
      <c r="E41098" s="0" t="str">
        <f aca="false">HYPERLINK("https://lindat.mff.cuni.cz/services/SynSemClass40/SynSemClass40.html?veclass=vec00105#vec00105-ces-cm00001", "vec00105")</f>
        <v>vec00105</v>
      </c>
      <c r="F41098" s="0" t="s">
        <v>15095</v>
      </c>
    </row>
    <row r="41099" customFormat="false" ht="12.8" hidden="false" customHeight="false" outlineLevel="0" collapsed="false">
      <c r="B41099" s="0" t="s">
        <v>1</v>
      </c>
      <c r="C41099" s="0" t="s">
        <v>512</v>
      </c>
      <c r="E41099" s="0" t="s">
        <v>1665</v>
      </c>
      <c r="F41099" s="0" t="s">
        <v>15096</v>
      </c>
    </row>
    <row r="41100" customFormat="false" ht="12.8" hidden="false" customHeight="false" outlineLevel="0" collapsed="false">
      <c r="B41100" s="0" t="s">
        <v>8</v>
      </c>
      <c r="C41100" s="0" t="s">
        <v>531</v>
      </c>
      <c r="E41100" s="0" t="s">
        <v>34</v>
      </c>
      <c r="F41100" s="0" t="s">
        <v>15097</v>
      </c>
    </row>
    <row r="41102" customFormat="false" ht="12.8" hidden="false" customHeight="false" outlineLevel="0" collapsed="false">
      <c r="A41102" s="0" t="s">
        <v>15098</v>
      </c>
      <c r="B41102" s="0" t="str">
        <f aca="false">HYPERLINK("https://lindat.mff.cuni.cz/services/teitok/pdtc10/index.php?action=vallex&amp;frame=v-w11243hsa_476", "rozházet (v-w11243hsa_476)")</f>
        <v>rozházet (v-w11243hsa_476)</v>
      </c>
    </row>
    <row r="41103" customFormat="false" ht="12.8" hidden="false" customHeight="false" outlineLevel="0" collapsed="false">
      <c r="B41103" s="0" t="s">
        <v>1</v>
      </c>
    </row>
    <row r="41104" customFormat="false" ht="12.8" hidden="false" customHeight="false" outlineLevel="0" collapsed="false">
      <c r="B41104" s="0" t="s">
        <v>8</v>
      </c>
    </row>
    <row r="41106" customFormat="false" ht="12.8" hidden="false" customHeight="false" outlineLevel="0" collapsed="false">
      <c r="A41106" s="0" t="s">
        <v>15099</v>
      </c>
      <c r="B41106" s="0" t="str">
        <f aca="false">HYPERLINK("https://lindat.mff.cuni.cz/services/teitok/pdtc10/index.php?action=vallex&amp;frame=v-w5627f1", "rozházet si (v-w5627f1)")</f>
        <v>rozházet si (v-w5627f1)</v>
      </c>
    </row>
    <row r="41107" customFormat="false" ht="12.8" hidden="false" customHeight="false" outlineLevel="0" collapsed="false">
      <c r="B41107" s="0" t="s">
        <v>1</v>
      </c>
    </row>
    <row r="41108" customFormat="false" ht="12.8" hidden="false" customHeight="false" outlineLevel="0" collapsed="false">
      <c r="B41108" s="0" t="s">
        <v>697</v>
      </c>
    </row>
    <row r="41109" customFormat="false" ht="12.8" hidden="false" customHeight="false" outlineLevel="0" collapsed="false">
      <c r="B41109" s="0" t="s">
        <v>721</v>
      </c>
    </row>
    <row r="41111" customFormat="false" ht="12.8" hidden="false" customHeight="false" outlineLevel="0" collapsed="false">
      <c r="A41111" s="0" t="s">
        <v>15100</v>
      </c>
      <c r="B41111" s="0" t="str">
        <f aca="false">HYPERLINK("https://lindat.mff.cuni.cz/services/teitok/pdtc10/index.php?action=vallex&amp;frame=v-w5654f1", "rozhýbat (v-w5654f1)")</f>
        <v>rozhýbat (v-w5654f1)</v>
      </c>
    </row>
    <row r="41112" customFormat="false" ht="12.8" hidden="false" customHeight="false" outlineLevel="0" collapsed="false">
      <c r="B41112" s="0" t="s">
        <v>1</v>
      </c>
    </row>
    <row r="41113" customFormat="false" ht="12.8" hidden="false" customHeight="false" outlineLevel="0" collapsed="false">
      <c r="B41113" s="0" t="s">
        <v>8</v>
      </c>
    </row>
    <row r="41115" customFormat="false" ht="12.8" hidden="false" customHeight="false" outlineLevel="0" collapsed="false">
      <c r="A41115" s="0" t="s">
        <v>15101</v>
      </c>
      <c r="B41115" s="0" t="str">
        <f aca="false">HYPERLINK("https://lindat.mff.cuni.cz/services/teitok/pdtc10/index.php?action=vallex&amp;frame=v-whsa_244hsa_245", "rozhýbat se (v-whsa_244hsa_245)")</f>
        <v>rozhýbat se (v-whsa_244hsa_245)</v>
      </c>
      <c r="E41115" s="0" t="str">
        <f aca="false">HYPERLINK("https://lindat.mff.cuni.cz/services/SynSemClass40/SynSemClass40.html?veclass=vec01307#vec01307-ces-cm00005", "vec01307")</f>
        <v>vec01307</v>
      </c>
      <c r="F41115" s="0" t="s">
        <v>15102</v>
      </c>
    </row>
    <row r="41116" customFormat="false" ht="12.8" hidden="false" customHeight="false" outlineLevel="0" collapsed="false">
      <c r="B41116" s="0" t="s">
        <v>1</v>
      </c>
      <c r="C41116" s="0" t="s">
        <v>1507</v>
      </c>
      <c r="E41116" s="0" t="s">
        <v>84</v>
      </c>
      <c r="F41116" s="0" t="s">
        <v>15103</v>
      </c>
    </row>
    <row r="41118" customFormat="false" ht="12.8" hidden="false" customHeight="false" outlineLevel="0" collapsed="false">
      <c r="A41118" s="0" t="s">
        <v>15104</v>
      </c>
      <c r="B41118" s="0" t="str">
        <f aca="false">HYPERLINK("https://lindat.mff.cuni.cz/services/teitok/pdtc10/index.php?action=vallex&amp;frame=v-w5658f1", "rozjet (v-w5658f1)")</f>
        <v>rozjet (v-w5658f1)</v>
      </c>
      <c r="E41118" s="0" t="str">
        <f aca="false">HYPERLINK("https://lindat.mff.cuni.cz/services/SynSemClass40/SynSemClass40.html?veclass=vec00038#vec00038-ces-cm00027", "vec00038")</f>
        <v>vec00038</v>
      </c>
      <c r="F41118" s="0" t="s">
        <v>74</v>
      </c>
    </row>
    <row r="41119" customFormat="false" ht="12.8" hidden="false" customHeight="false" outlineLevel="0" collapsed="false">
      <c r="B41119" s="0" t="s">
        <v>1</v>
      </c>
      <c r="C41119" s="0" t="s">
        <v>75</v>
      </c>
      <c r="E41119" s="0" t="s">
        <v>76</v>
      </c>
      <c r="F41119" s="0" t="s">
        <v>77</v>
      </c>
    </row>
    <row r="41120" customFormat="false" ht="12.8" hidden="false" customHeight="false" outlineLevel="0" collapsed="false">
      <c r="B41120" s="0" t="s">
        <v>8</v>
      </c>
      <c r="C41120" s="0" t="s">
        <v>78</v>
      </c>
      <c r="E41120" s="0" t="s">
        <v>79</v>
      </c>
      <c r="F41120" s="0" t="s">
        <v>80</v>
      </c>
    </row>
    <row r="41122" customFormat="false" ht="12.8" hidden="false" customHeight="false" outlineLevel="0" collapsed="false">
      <c r="A41122" s="0" t="s">
        <v>15105</v>
      </c>
      <c r="B41122" s="0" t="str">
        <f aca="false">HYPERLINK("https://lindat.mff.cuni.cz/services/teitok/pdtc10/index.php?action=vallex&amp;frame=v-w5658f2", "rozjet (v-w5658f2)")</f>
        <v>rozjet (v-w5658f2)</v>
      </c>
    </row>
    <row r="41123" customFormat="false" ht="12.8" hidden="false" customHeight="false" outlineLevel="0" collapsed="false">
      <c r="B41123" s="0" t="s">
        <v>1</v>
      </c>
    </row>
    <row r="41124" customFormat="false" ht="12.8" hidden="false" customHeight="false" outlineLevel="0" collapsed="false">
      <c r="B41124" s="0" t="s">
        <v>8</v>
      </c>
    </row>
    <row r="41126" customFormat="false" ht="12.8" hidden="false" customHeight="false" outlineLevel="0" collapsed="false">
      <c r="A41126" s="0" t="s">
        <v>15106</v>
      </c>
      <c r="B41126" s="0" t="str">
        <f aca="false">HYPERLINK("https://lindat.mff.cuni.cz/services/teitok/pdtc10/index.php?action=vallex&amp;frame=v-w5659f3", "rozjet se (v-w5659f3)")</f>
        <v>rozjet se (v-w5659f3)</v>
      </c>
    </row>
    <row r="41127" customFormat="false" ht="12.8" hidden="false" customHeight="false" outlineLevel="0" collapsed="false">
      <c r="B41127" s="0" t="s">
        <v>1</v>
      </c>
    </row>
    <row r="41128" customFormat="false" ht="12.8" hidden="false" customHeight="false" outlineLevel="0" collapsed="false">
      <c r="B41128" s="0" t="s">
        <v>164</v>
      </c>
    </row>
    <row r="41130" customFormat="false" ht="12.8" hidden="false" customHeight="false" outlineLevel="0" collapsed="false">
      <c r="A41130" s="0" t="s">
        <v>15107</v>
      </c>
      <c r="B41130" s="0" t="str">
        <f aca="false">HYPERLINK("https://lindat.mff.cuni.cz/services/teitok/pdtc10/index.php?action=vallex&amp;frame=v-w5659f1", "rozjet se (v-w5659f1)")</f>
        <v>rozjet se (v-w5659f1)</v>
      </c>
      <c r="E41130" s="0" t="str">
        <f aca="false">HYPERLINK("https://lindat.mff.cuni.cz/services/SynSemClass40/SynSemClass40.html?veclass=vec00097#vec00097-ces-cm00174", "vec00097")</f>
        <v>vec00097</v>
      </c>
      <c r="F41130" s="0" t="s">
        <v>373</v>
      </c>
    </row>
    <row r="41131" customFormat="false" ht="12.8" hidden="false" customHeight="false" outlineLevel="0" collapsed="false">
      <c r="B41131" s="0" t="s">
        <v>1</v>
      </c>
      <c r="C41131" s="0" t="s">
        <v>374</v>
      </c>
      <c r="E41131" s="0" t="s">
        <v>375</v>
      </c>
      <c r="F41131" s="0" t="s">
        <v>376</v>
      </c>
    </row>
    <row r="41133" customFormat="false" ht="12.8" hidden="false" customHeight="false" outlineLevel="0" collapsed="false">
      <c r="A41133" s="0" t="s">
        <v>15108</v>
      </c>
      <c r="B41133" s="0" t="str">
        <f aca="false">HYPERLINK("https://lindat.mff.cuni.cz/services/teitok/pdtc10/index.php?action=vallex&amp;frame=v-w5659f2", "rozjet se (v-w5659f2)")</f>
        <v>rozjet se (v-w5659f2)</v>
      </c>
    </row>
    <row r="41134" customFormat="false" ht="12.8" hidden="false" customHeight="false" outlineLevel="0" collapsed="false">
      <c r="B41134" s="0" t="s">
        <v>1</v>
      </c>
    </row>
    <row r="41136" customFormat="false" ht="12.8" hidden="false" customHeight="false" outlineLevel="0" collapsed="false">
      <c r="A41136" s="0" t="s">
        <v>15109</v>
      </c>
      <c r="B41136" s="0" t="str">
        <f aca="false">HYPERLINK("https://lindat.mff.cuni.cz/services/teitok/pdtc10/index.php?action=vallex&amp;frame=v-w5657f1", "rozjásat (v-w5657f1)")</f>
        <v>rozjásat (v-w5657f1)</v>
      </c>
    </row>
    <row r="41137" customFormat="false" ht="12.8" hidden="false" customHeight="false" outlineLevel="0" collapsed="false">
      <c r="B41137" s="0" t="s">
        <v>1</v>
      </c>
    </row>
    <row r="41138" customFormat="false" ht="12.8" hidden="false" customHeight="false" outlineLevel="0" collapsed="false">
      <c r="B41138" s="0" t="s">
        <v>8</v>
      </c>
    </row>
    <row r="41140" customFormat="false" ht="12.8" hidden="false" customHeight="false" outlineLevel="0" collapsed="false">
      <c r="A41140" s="0" t="s">
        <v>15110</v>
      </c>
      <c r="B41140" s="0" t="str">
        <f aca="false">HYPERLINK("https://lindat.mff.cuni.cz/services/teitok/pdtc10/index.php?action=vallex&amp;frame=v-w10088f2", "rozjásávat (v-w10088f2)")</f>
        <v>rozjásávat (v-w10088f2)</v>
      </c>
    </row>
    <row r="41141" customFormat="false" ht="12.8" hidden="false" customHeight="false" outlineLevel="0" collapsed="false">
      <c r="B41141" s="0" t="s">
        <v>1</v>
      </c>
    </row>
    <row r="41142" customFormat="false" ht="12.8" hidden="false" customHeight="false" outlineLevel="0" collapsed="false">
      <c r="B41142" s="0" t="s">
        <v>8</v>
      </c>
    </row>
    <row r="41144" customFormat="false" ht="12.8" hidden="false" customHeight="false" outlineLevel="0" collapsed="false">
      <c r="A41144" s="0" t="s">
        <v>15111</v>
      </c>
      <c r="B41144" s="0" t="str">
        <f aca="false">HYPERLINK("https://lindat.mff.cuni.cz/services/teitok/pdtc10/index.php?action=vallex&amp;frame=v-w5661f1", "rozjíždět (v-w5661f1)")</f>
        <v>rozjíždět (v-w5661f1)</v>
      </c>
      <c r="E41144" s="0" t="str">
        <f aca="false">HYPERLINK("https://lindat.mff.cuni.cz/services/SynSemClass40/SynSemClass40.html?veclass=vec00038#vec00038-ces-cm00248", "vec00038")</f>
        <v>vec00038</v>
      </c>
      <c r="F41144" s="0" t="s">
        <v>74</v>
      </c>
    </row>
    <row r="41145" customFormat="false" ht="12.8" hidden="false" customHeight="false" outlineLevel="0" collapsed="false">
      <c r="B41145" s="0" t="s">
        <v>1</v>
      </c>
      <c r="C41145" s="0" t="s">
        <v>75</v>
      </c>
      <c r="E41145" s="0" t="s">
        <v>76</v>
      </c>
      <c r="F41145" s="0" t="s">
        <v>77</v>
      </c>
    </row>
    <row r="41146" customFormat="false" ht="12.8" hidden="false" customHeight="false" outlineLevel="0" collapsed="false">
      <c r="B41146" s="0" t="s">
        <v>8</v>
      </c>
      <c r="C41146" s="0" t="s">
        <v>78</v>
      </c>
      <c r="E41146" s="0" t="s">
        <v>79</v>
      </c>
      <c r="F41146" s="0" t="s">
        <v>80</v>
      </c>
    </row>
    <row r="41148" customFormat="false" ht="12.8" hidden="false" customHeight="false" outlineLevel="0" collapsed="false">
      <c r="A41148" s="0" t="s">
        <v>15112</v>
      </c>
      <c r="B41148" s="0" t="str">
        <f aca="false">HYPERLINK("https://lindat.mff.cuni.cz/services/teitok/pdtc10/index.php?action=vallex&amp;frame=v-w5662f1", "rozjíždět se (v-w5662f1)")</f>
        <v>rozjíždět se (v-w5662f1)</v>
      </c>
      <c r="E41148" s="0" t="str">
        <f aca="false">HYPERLINK("https://lindat.mff.cuni.cz/services/SynSemClass40/SynSemClass40.html?veclass=vec00097#vec00097-ces-cm00189", "vec00097")</f>
        <v>vec00097</v>
      </c>
      <c r="F41148" s="0" t="s">
        <v>373</v>
      </c>
    </row>
    <row r="41149" customFormat="false" ht="12.8" hidden="false" customHeight="false" outlineLevel="0" collapsed="false">
      <c r="B41149" s="0" t="s">
        <v>1</v>
      </c>
      <c r="C41149" s="0" t="s">
        <v>374</v>
      </c>
      <c r="E41149" s="0" t="s">
        <v>375</v>
      </c>
      <c r="F41149" s="0" t="s">
        <v>376</v>
      </c>
    </row>
    <row r="41151" customFormat="false" ht="12.8" hidden="false" customHeight="false" outlineLevel="0" collapsed="false">
      <c r="A41151" s="0" t="s">
        <v>15113</v>
      </c>
      <c r="B41151" s="0" t="str">
        <f aca="false">HYPERLINK("https://lindat.mff.cuni.cz/services/teitok/pdtc10/index.php?action=vallex&amp;frame=v-w5662f2_ZU", "rozjíždět se (v-w5662f2_ZU)")</f>
        <v>rozjíždět se (v-w5662f2_ZU)</v>
      </c>
    </row>
    <row r="41152" customFormat="false" ht="12.8" hidden="false" customHeight="false" outlineLevel="0" collapsed="false">
      <c r="B41152" s="0" t="s">
        <v>1</v>
      </c>
    </row>
    <row r="41154" customFormat="false" ht="12.8" hidden="false" customHeight="false" outlineLevel="0" collapsed="false">
      <c r="A41154" s="0" t="s">
        <v>15114</v>
      </c>
      <c r="B41154" s="0" t="str">
        <f aca="false">HYPERLINK("https://lindat.mff.cuni.cz/services/teitok/pdtc10/index.php?action=vallex&amp;frame=v-w11858_ZUf1_ZU", "rozkazovat (v-w11858_ZUf1_ZU)")</f>
        <v>rozkazovat (v-w11858_ZUf1_ZU)</v>
      </c>
    </row>
    <row r="41155" customFormat="false" ht="12.8" hidden="false" customHeight="false" outlineLevel="0" collapsed="false">
      <c r="B41155" s="0" t="s">
        <v>1</v>
      </c>
    </row>
    <row r="41156" customFormat="false" ht="12.8" hidden="false" customHeight="false" outlineLevel="0" collapsed="false">
      <c r="B41156" s="0" t="s">
        <v>52</v>
      </c>
    </row>
    <row r="41157" customFormat="false" ht="12.8" hidden="false" customHeight="false" outlineLevel="0" collapsed="false">
      <c r="B41157" s="0" t="s">
        <v>15115</v>
      </c>
    </row>
    <row r="41159" customFormat="false" ht="12.8" hidden="false" customHeight="false" outlineLevel="0" collapsed="false">
      <c r="A41159" s="0" t="s">
        <v>15116</v>
      </c>
      <c r="B41159" s="0" t="str">
        <f aca="false">HYPERLINK("https://lindat.mff.cuni.cz/services/teitok/pdtc10/index.php?action=vallex&amp;frame=v-w5668f1", "rozklepat se (v-w5668f1)")</f>
        <v>rozklepat se (v-w5668f1)</v>
      </c>
    </row>
    <row r="41160" customFormat="false" ht="12.8" hidden="false" customHeight="false" outlineLevel="0" collapsed="false">
      <c r="B41160" s="0" t="s">
        <v>1</v>
      </c>
    </row>
    <row r="41162" customFormat="false" ht="12.8" hidden="false" customHeight="false" outlineLevel="0" collapsed="false">
      <c r="A41162" s="0" t="s">
        <v>15117</v>
      </c>
      <c r="B41162" s="0" t="str">
        <f aca="false">HYPERLINK("https://lindat.mff.cuni.cz/services/teitok/pdtc10/index.php?action=vallex&amp;frame=v-w5666f1", "rozkládat (v-w5666f1)")</f>
        <v>rozkládat (v-w5666f1)</v>
      </c>
    </row>
    <row r="41163" customFormat="false" ht="12.8" hidden="false" customHeight="false" outlineLevel="0" collapsed="false">
      <c r="B41163" s="0" t="s">
        <v>1</v>
      </c>
    </row>
    <row r="41164" customFormat="false" ht="12.8" hidden="false" customHeight="false" outlineLevel="0" collapsed="false">
      <c r="B41164" s="0" t="s">
        <v>15118</v>
      </c>
    </row>
    <row r="41165" customFormat="false" ht="12.8" hidden="false" customHeight="false" outlineLevel="0" collapsed="false">
      <c r="B41165" s="0" t="s">
        <v>3205</v>
      </c>
    </row>
    <row r="41167" customFormat="false" ht="12.8" hidden="false" customHeight="false" outlineLevel="0" collapsed="false">
      <c r="A41167" s="0" t="s">
        <v>15119</v>
      </c>
      <c r="B41167" s="0" t="str">
        <f aca="false">HYPERLINK("https://lindat.mff.cuni.cz/services/teitok/pdtc10/index.php?action=vallex&amp;frame=v-w5666hsa_248", "rozkládat (v-w5666hsa_248)")</f>
        <v>rozkládat (v-w5666hsa_248)</v>
      </c>
      <c r="E41167" s="0" t="str">
        <f aca="false">HYPERLINK("https://lindat.mff.cuni.cz/services/SynSemClass40/SynSemClass40.html?veclass=vec00296#vec00296-ces-cm00042", "vec00296")</f>
        <v>vec00296</v>
      </c>
      <c r="F41167" s="0" t="s">
        <v>5275</v>
      </c>
    </row>
    <row r="41168" customFormat="false" ht="12.8" hidden="false" customHeight="false" outlineLevel="0" collapsed="false">
      <c r="B41168" s="0" t="s">
        <v>1</v>
      </c>
      <c r="C41168" s="0" t="s">
        <v>5276</v>
      </c>
      <c r="E41168" s="0" t="s">
        <v>11</v>
      </c>
      <c r="F41168" s="0" t="s">
        <v>5277</v>
      </c>
    </row>
    <row r="41169" customFormat="false" ht="12.8" hidden="false" customHeight="false" outlineLevel="0" collapsed="false">
      <c r="B41169" s="0" t="s">
        <v>8</v>
      </c>
      <c r="C41169" s="0" t="s">
        <v>5278</v>
      </c>
      <c r="E41169" s="0" t="s">
        <v>5279</v>
      </c>
      <c r="F41169" s="0" t="s">
        <v>5280</v>
      </c>
    </row>
    <row r="41170" customFormat="false" ht="12.8" hidden="false" customHeight="false" outlineLevel="0" collapsed="false">
      <c r="B41170" s="0" t="s">
        <v>40</v>
      </c>
      <c r="C41170" s="0" t="s">
        <v>5281</v>
      </c>
      <c r="E41170" s="0" t="s">
        <v>2584</v>
      </c>
      <c r="F41170" s="0" t="s">
        <v>5282</v>
      </c>
    </row>
    <row r="41172" customFormat="false" ht="12.8" hidden="false" customHeight="false" outlineLevel="0" collapsed="false">
      <c r="A41172" s="0" t="s">
        <v>15119</v>
      </c>
      <c r="B41172" s="0" t="str">
        <f aca="false">HYPERLINK("https://lindat.mff.cuni.cz/services/teitok/pdtc10/index.php?action=vallex&amp;frame=v-w5666f2", "rozkládat (v-w5666f2) - substituted with v-w5666hsa_248")</f>
        <v>rozkládat (v-w5666f2) - substituted with v-w5666hsa_248</v>
      </c>
    </row>
    <row r="41173" customFormat="false" ht="12.8" hidden="false" customHeight="false" outlineLevel="0" collapsed="false">
      <c r="B41173" s="0" t="s">
        <v>1</v>
      </c>
    </row>
    <row r="41174" customFormat="false" ht="12.8" hidden="false" customHeight="false" outlineLevel="0" collapsed="false">
      <c r="B41174" s="0" t="s">
        <v>8</v>
      </c>
    </row>
    <row r="41175" customFormat="false" ht="12.8" hidden="false" customHeight="false" outlineLevel="0" collapsed="false">
      <c r="B41175" s="0" t="s">
        <v>40</v>
      </c>
    </row>
    <row r="41177" customFormat="false" ht="12.8" hidden="false" customHeight="false" outlineLevel="0" collapsed="false">
      <c r="A41177" s="0" t="s">
        <v>15120</v>
      </c>
      <c r="B41177" s="0" t="str">
        <f aca="false">HYPERLINK("https://lindat.mff.cuni.cz/services/teitok/pdtc10/index.php?action=vallex&amp;frame=v-w5667f3", "rozkládat se (v-w5667f3)")</f>
        <v>rozkládat se (v-w5667f3)</v>
      </c>
    </row>
    <row r="41178" customFormat="false" ht="12.8" hidden="false" customHeight="false" outlineLevel="0" collapsed="false">
      <c r="B41178" s="0" t="s">
        <v>1</v>
      </c>
    </row>
    <row r="41179" customFormat="false" ht="12.8" hidden="false" customHeight="false" outlineLevel="0" collapsed="false">
      <c r="B41179" s="0" t="s">
        <v>3213</v>
      </c>
    </row>
    <row r="41181" customFormat="false" ht="12.8" hidden="false" customHeight="false" outlineLevel="0" collapsed="false">
      <c r="A41181" s="0" t="s">
        <v>15121</v>
      </c>
      <c r="B41181" s="0" t="str">
        <f aca="false">HYPERLINK("https://lindat.mff.cuni.cz/services/teitok/pdtc10/index.php?action=vallex&amp;frame=v-w5667f1", "rozkládat se (v-w5667f1)")</f>
        <v>rozkládat se (v-w5667f1)</v>
      </c>
      <c r="E41181" s="0" t="str">
        <f aca="false">HYPERLINK("https://lindat.mff.cuni.cz/services/SynSemClass40/SynSemClass40.html?veclass=vec00308#vec00308-ces-cm00015", "vec00308")</f>
        <v>vec00308</v>
      </c>
      <c r="F41181" s="0" t="s">
        <v>6005</v>
      </c>
    </row>
    <row r="41182" customFormat="false" ht="12.8" hidden="false" customHeight="false" outlineLevel="0" collapsed="false">
      <c r="B41182" s="0" t="s">
        <v>1</v>
      </c>
      <c r="C41182" s="0" t="s">
        <v>6006</v>
      </c>
      <c r="E41182" s="0" t="s">
        <v>6007</v>
      </c>
      <c r="F41182" s="0" t="s">
        <v>6008</v>
      </c>
    </row>
    <row r="41183" customFormat="false" ht="12.8" hidden="false" customHeight="false" outlineLevel="0" collapsed="false">
      <c r="B41183" s="0" t="s">
        <v>5</v>
      </c>
      <c r="C41183" s="0" t="s">
        <v>6009</v>
      </c>
      <c r="E41183" s="0" t="s">
        <v>3254</v>
      </c>
      <c r="F41183" s="0" t="s">
        <v>6010</v>
      </c>
    </row>
    <row r="41185" customFormat="false" ht="12.8" hidden="false" customHeight="false" outlineLevel="0" collapsed="false">
      <c r="A41185" s="0" t="s">
        <v>15122</v>
      </c>
      <c r="B41185" s="0" t="str">
        <f aca="false">HYPERLINK("https://lindat.mff.cuni.cz/services/teitok/pdtc10/index.php?action=vallex&amp;frame=v-w5667f2", "rozkládat se (v-w5667f2)")</f>
        <v>rozkládat se (v-w5667f2)</v>
      </c>
      <c r="E41185" s="0" t="str">
        <f aca="false">HYPERLINK("https://lindat.mff.cuni.cz/services/SynSemClass40/SynSemClass40.html?veclass=vec01103#vec01103-ces-cm00003", "vec01103")</f>
        <v>vec01103</v>
      </c>
      <c r="F41185" s="0" t="s">
        <v>15123</v>
      </c>
    </row>
    <row r="41186" customFormat="false" ht="12.8" hidden="false" customHeight="false" outlineLevel="0" collapsed="false">
      <c r="B41186" s="0" t="s">
        <v>1</v>
      </c>
      <c r="C41186" s="0" t="s">
        <v>549</v>
      </c>
      <c r="E41186" s="0" t="s">
        <v>6270</v>
      </c>
      <c r="F41186" s="0" t="s">
        <v>15124</v>
      </c>
    </row>
    <row r="41188" customFormat="false" ht="12.8" hidden="false" customHeight="false" outlineLevel="0" collapsed="false">
      <c r="A41188" s="0" t="s">
        <v>15125</v>
      </c>
      <c r="B41188" s="0" t="str">
        <f aca="false">HYPERLINK("https://lindat.mff.cuni.cz/services/teitok/pdtc10/index.php?action=vallex&amp;frame=v-w5667f4_ZU", "rozkládat se (v-w5667f4_ZU)")</f>
        <v>rozkládat se (v-w5667f4_ZU)</v>
      </c>
    </row>
    <row r="41189" customFormat="false" ht="12.8" hidden="false" customHeight="false" outlineLevel="0" collapsed="false">
      <c r="B41189" s="0" t="s">
        <v>1</v>
      </c>
    </row>
    <row r="41191" customFormat="false" ht="12.8" hidden="false" customHeight="false" outlineLevel="0" collapsed="false">
      <c r="A41191" s="0" t="s">
        <v>15126</v>
      </c>
      <c r="B41191" s="0" t="str">
        <f aca="false">HYPERLINK("https://lindat.mff.cuni.cz/services/teitok/pdtc10/index.php?action=vallex&amp;frame=v-w5669f1", "rozkmitat (v-w5669f1)")</f>
        <v>rozkmitat (v-w5669f1)</v>
      </c>
    </row>
    <row r="41192" customFormat="false" ht="12.8" hidden="false" customHeight="false" outlineLevel="0" collapsed="false">
      <c r="B41192" s="0" t="s">
        <v>1</v>
      </c>
    </row>
    <row r="41193" customFormat="false" ht="12.8" hidden="false" customHeight="false" outlineLevel="0" collapsed="false">
      <c r="B41193" s="0" t="s">
        <v>8</v>
      </c>
    </row>
    <row r="41195" customFormat="false" ht="12.8" hidden="false" customHeight="false" outlineLevel="0" collapsed="false">
      <c r="A41195" s="0" t="s">
        <v>15127</v>
      </c>
      <c r="B41195" s="0" t="str">
        <f aca="false">HYPERLINK("https://lindat.mff.cuni.cz/services/teitok/pdtc10/index.php?action=vallex&amp;frame=v-w11277f1", "rozkmotřit se (v-w11277f1)")</f>
        <v>rozkmotřit se (v-w11277f1)</v>
      </c>
    </row>
    <row r="41196" customFormat="false" ht="12.8" hidden="false" customHeight="false" outlineLevel="0" collapsed="false">
      <c r="B41196" s="0" t="s">
        <v>1</v>
      </c>
    </row>
    <row r="41197" customFormat="false" ht="12.8" hidden="false" customHeight="false" outlineLevel="0" collapsed="false">
      <c r="B41197" s="0" t="s">
        <v>721</v>
      </c>
    </row>
    <row r="41199" customFormat="false" ht="12.8" hidden="false" customHeight="false" outlineLevel="0" collapsed="false">
      <c r="A41199" s="0" t="s">
        <v>15128</v>
      </c>
      <c r="B41199" s="0" t="str">
        <f aca="false">HYPERLINK("https://lindat.mff.cuni.cz/services/teitok/pdtc10/index.php?action=vallex&amp;frame=v-w12083_ZUf1_ZU", "rozkrajovat (v-w12083_ZUf1_ZU)")</f>
        <v>rozkrajovat (v-w12083_ZUf1_ZU)</v>
      </c>
    </row>
    <row r="41200" customFormat="false" ht="12.8" hidden="false" customHeight="false" outlineLevel="0" collapsed="false">
      <c r="B41200" s="0" t="s">
        <v>1</v>
      </c>
    </row>
    <row r="41201" customFormat="false" ht="12.8" hidden="false" customHeight="false" outlineLevel="0" collapsed="false">
      <c r="B41201" s="0" t="s">
        <v>8</v>
      </c>
    </row>
    <row r="41202" customFormat="false" ht="12.8" hidden="false" customHeight="false" outlineLevel="0" collapsed="false">
      <c r="B41202" s="0" t="s">
        <v>101</v>
      </c>
    </row>
    <row r="41204" customFormat="false" ht="12.8" hidden="false" customHeight="false" outlineLevel="0" collapsed="false">
      <c r="A41204" s="0" t="s">
        <v>15129</v>
      </c>
      <c r="B41204" s="0" t="str">
        <f aca="false">HYPERLINK("https://lindat.mff.cuni.cz/services/teitok/pdtc10/index.php?action=vallex&amp;frame=v-w5670f1", "rozkramařit (v-w5670f1)")</f>
        <v>rozkramařit (v-w5670f1)</v>
      </c>
    </row>
    <row r="41205" customFormat="false" ht="12.8" hidden="false" customHeight="false" outlineLevel="0" collapsed="false">
      <c r="B41205" s="0" t="s">
        <v>1</v>
      </c>
    </row>
    <row r="41206" customFormat="false" ht="12.8" hidden="false" customHeight="false" outlineLevel="0" collapsed="false">
      <c r="B41206" s="0" t="s">
        <v>8</v>
      </c>
    </row>
    <row r="41208" customFormat="false" ht="12.8" hidden="false" customHeight="false" outlineLevel="0" collapsed="false">
      <c r="A41208" s="0" t="s">
        <v>15130</v>
      </c>
      <c r="B41208" s="0" t="str">
        <f aca="false">HYPERLINK("https://lindat.mff.cuni.cz/services/teitok/pdtc10/index.php?action=vallex&amp;frame=v-w12061_ZUf1_ZU", "rozkrojovat (v-w12061_ZUf1_ZU)")</f>
        <v>rozkrojovat (v-w12061_ZUf1_ZU)</v>
      </c>
    </row>
    <row r="41209" customFormat="false" ht="12.8" hidden="false" customHeight="false" outlineLevel="0" collapsed="false">
      <c r="B41209" s="0" t="s">
        <v>1</v>
      </c>
    </row>
    <row r="41210" customFormat="false" ht="12.8" hidden="false" customHeight="false" outlineLevel="0" collapsed="false">
      <c r="B41210" s="0" t="s">
        <v>8</v>
      </c>
    </row>
    <row r="41211" customFormat="false" ht="12.8" hidden="false" customHeight="false" outlineLevel="0" collapsed="false">
      <c r="B41211" s="0" t="s">
        <v>101</v>
      </c>
    </row>
    <row r="41213" customFormat="false" ht="12.8" hidden="false" customHeight="false" outlineLevel="0" collapsed="false">
      <c r="A41213" s="0" t="s">
        <v>15131</v>
      </c>
      <c r="B41213" s="0" t="str">
        <f aca="false">HYPERLINK("https://lindat.mff.cuni.cz/services/teitok/pdtc10/index.php?action=vallex&amp;frame=v-w12017_ZUf1_ZU", "rozkročit se (v-w12017_ZUf1_ZU)")</f>
        <v>rozkročit se (v-w12017_ZUf1_ZU)</v>
      </c>
    </row>
    <row r="41214" customFormat="false" ht="12.8" hidden="false" customHeight="false" outlineLevel="0" collapsed="false">
      <c r="B41214" s="0" t="s">
        <v>1</v>
      </c>
    </row>
    <row r="41216" customFormat="false" ht="12.8" hidden="false" customHeight="false" outlineLevel="0" collapsed="false">
      <c r="A41216" s="0" t="s">
        <v>15132</v>
      </c>
      <c r="B41216" s="0" t="str">
        <f aca="false">HYPERLINK("https://lindat.mff.cuni.cz/services/teitok/pdtc10/index.php?action=vallex&amp;frame=v-whsa_1743hsa_1744", "rozkrájet (v-whsa_1743hsa_1744)")</f>
        <v>rozkrájet (v-whsa_1743hsa_1744)</v>
      </c>
    </row>
    <row r="41217" customFormat="false" ht="12.8" hidden="false" customHeight="false" outlineLevel="0" collapsed="false">
      <c r="B41217" s="0" t="s">
        <v>1</v>
      </c>
    </row>
    <row r="41218" customFormat="false" ht="12.8" hidden="false" customHeight="false" outlineLevel="0" collapsed="false">
      <c r="B41218" s="0" t="s">
        <v>8</v>
      </c>
    </row>
    <row r="41219" customFormat="false" ht="12.8" hidden="false" customHeight="false" outlineLevel="0" collapsed="false">
      <c r="B41219" s="0" t="s">
        <v>101</v>
      </c>
    </row>
    <row r="41221" customFormat="false" ht="12.8" hidden="false" customHeight="false" outlineLevel="0" collapsed="false">
      <c r="A41221" s="0" t="s">
        <v>15133</v>
      </c>
      <c r="B41221" s="0" t="str">
        <f aca="false">HYPERLINK("https://lindat.mff.cuni.cz/services/teitok/pdtc10/index.php?action=vallex&amp;frame=v-w5671f1", "rozkrást (v-w5671f1)")</f>
        <v>rozkrást (v-w5671f1)</v>
      </c>
    </row>
    <row r="41222" customFormat="false" ht="12.8" hidden="false" customHeight="false" outlineLevel="0" collapsed="false">
      <c r="B41222" s="0" t="s">
        <v>1</v>
      </c>
    </row>
    <row r="41223" customFormat="false" ht="12.8" hidden="false" customHeight="false" outlineLevel="0" collapsed="false">
      <c r="B41223" s="0" t="s">
        <v>8</v>
      </c>
    </row>
    <row r="41225" customFormat="false" ht="12.8" hidden="false" customHeight="false" outlineLevel="0" collapsed="false">
      <c r="A41225" s="0" t="s">
        <v>15134</v>
      </c>
      <c r="B41225" s="0" t="str">
        <f aca="false">HYPERLINK("https://lindat.mff.cuni.cz/services/teitok/pdtc10/index.php?action=vallex&amp;frame=v-w5673f1", "rozkvést (v-w5673f1)")</f>
        <v>rozkvést (v-w5673f1)</v>
      </c>
    </row>
    <row r="41226" customFormat="false" ht="12.8" hidden="false" customHeight="false" outlineLevel="0" collapsed="false">
      <c r="B41226" s="0" t="s">
        <v>1</v>
      </c>
    </row>
    <row r="41228" customFormat="false" ht="12.8" hidden="false" customHeight="false" outlineLevel="0" collapsed="false">
      <c r="A41228" s="0" t="s">
        <v>15135</v>
      </c>
      <c r="B41228" s="0" t="str">
        <f aca="false">HYPERLINK("https://lindat.mff.cuni.cz/services/teitok/pdtc10/index.php?action=vallex&amp;frame=v-w5673f2", "rozkvést (v-w5673f2)")</f>
        <v>rozkvést (v-w5673f2)</v>
      </c>
      <c r="E41228" s="0" t="str">
        <f aca="false">HYPERLINK("https://lindat.mff.cuni.cz/services/SynSemClass40/SynSemClass40.html?veclass=vec00510#vec00510-ces-cm00065", "vec00510")</f>
        <v>vec00510</v>
      </c>
      <c r="F41228" s="0" t="s">
        <v>4074</v>
      </c>
    </row>
    <row r="41229" customFormat="false" ht="12.8" hidden="false" customHeight="false" outlineLevel="0" collapsed="false">
      <c r="B41229" s="0" t="s">
        <v>1</v>
      </c>
      <c r="C41229" s="0" t="s">
        <v>5871</v>
      </c>
      <c r="E41229" s="0" t="s">
        <v>84</v>
      </c>
      <c r="F41229" s="0" t="s">
        <v>4077</v>
      </c>
    </row>
    <row r="41231" customFormat="false" ht="12.8" hidden="false" customHeight="false" outlineLevel="0" collapsed="false">
      <c r="A41231" s="0" t="s">
        <v>15136</v>
      </c>
      <c r="B41231" s="0" t="str">
        <f aca="false">HYPERLINK("https://lindat.mff.cuni.cz/services/teitok/pdtc10/index.php?action=vallex&amp;frame=v-w10740f2", "rozkvétat (v-w10740f2)")</f>
        <v>rozkvétat (v-w10740f2)</v>
      </c>
    </row>
    <row r="41232" customFormat="false" ht="12.8" hidden="false" customHeight="false" outlineLevel="0" collapsed="false">
      <c r="B41232" s="0" t="s">
        <v>1</v>
      </c>
    </row>
    <row r="41234" customFormat="false" ht="12.8" hidden="false" customHeight="false" outlineLevel="0" collapsed="false">
      <c r="A41234" s="0" t="s">
        <v>15137</v>
      </c>
      <c r="B41234" s="0" t="str">
        <f aca="false">HYPERLINK("https://lindat.mff.cuni.cz/services/teitok/pdtc10/index.php?action=vallex&amp;frame=v-w10562f2", "rozkázat (v-w10562f2)")</f>
        <v>rozkázat (v-w10562f2)</v>
      </c>
    </row>
    <row r="41235" customFormat="false" ht="12.8" hidden="false" customHeight="false" outlineLevel="0" collapsed="false">
      <c r="B41235" s="0" t="s">
        <v>1</v>
      </c>
    </row>
    <row r="41236" customFormat="false" ht="12.8" hidden="false" customHeight="false" outlineLevel="0" collapsed="false">
      <c r="B41236" s="0" t="s">
        <v>1983</v>
      </c>
    </row>
    <row r="41237" customFormat="false" ht="12.8" hidden="false" customHeight="false" outlineLevel="0" collapsed="false">
      <c r="B41237" s="0" t="s">
        <v>52</v>
      </c>
    </row>
    <row r="41239" customFormat="false" ht="12.8" hidden="false" customHeight="false" outlineLevel="0" collapsed="false">
      <c r="A41239" s="0" t="s">
        <v>15138</v>
      </c>
      <c r="B41239" s="0" t="str">
        <f aca="false">HYPERLINK("https://lindat.mff.cuni.cz/services/teitok/pdtc10/index.php?action=vallex&amp;frame=v-w12182_ZUf1_ZU", "rozkřiknout (v-w12182_ZUf1_ZU)")</f>
        <v>rozkřiknout (v-w12182_ZUf1_ZU)</v>
      </c>
    </row>
    <row r="41240" customFormat="false" ht="12.8" hidden="false" customHeight="false" outlineLevel="0" collapsed="false">
      <c r="B41240" s="0" t="s">
        <v>1</v>
      </c>
    </row>
    <row r="41241" customFormat="false" ht="12.8" hidden="false" customHeight="false" outlineLevel="0" collapsed="false">
      <c r="B41241" s="0" t="s">
        <v>496</v>
      </c>
    </row>
    <row r="41242" customFormat="false" ht="12.8" hidden="false" customHeight="false" outlineLevel="0" collapsed="false">
      <c r="B41242" s="0" t="s">
        <v>2382</v>
      </c>
    </row>
    <row r="41244" customFormat="false" ht="12.8" hidden="false" customHeight="false" outlineLevel="0" collapsed="false">
      <c r="A41244" s="0" t="s">
        <v>15139</v>
      </c>
      <c r="B41244" s="0" t="str">
        <f aca="false">HYPERLINK("https://lindat.mff.cuni.cz/services/teitok/pdtc10/index.php?action=vallex&amp;frame=v-w11703_ZUf1_ZU", "rozkřiknout se (v-w11703_ZUf1_ZU)")</f>
        <v>rozkřiknout se (v-w11703_ZUf1_ZU)</v>
      </c>
    </row>
    <row r="41245" customFormat="false" ht="12.8" hidden="false" customHeight="false" outlineLevel="0" collapsed="false">
      <c r="B41245" s="0" t="s">
        <v>1</v>
      </c>
    </row>
    <row r="41246" customFormat="false" ht="12.8" hidden="false" customHeight="false" outlineLevel="0" collapsed="false">
      <c r="B41246" s="0" t="s">
        <v>1332</v>
      </c>
    </row>
    <row r="41247" customFormat="false" ht="12.8" hidden="false" customHeight="false" outlineLevel="0" collapsed="false">
      <c r="B41247" s="0" t="s">
        <v>4688</v>
      </c>
    </row>
    <row r="41249" customFormat="false" ht="12.8" hidden="false" customHeight="false" outlineLevel="0" collapsed="false">
      <c r="A41249" s="0" t="s">
        <v>15140</v>
      </c>
      <c r="B41249" s="0" t="str">
        <f aca="false">HYPERLINK("https://lindat.mff.cuni.cz/services/teitok/pdtc10/index.php?action=vallex&amp;frame=v-w5672f1", "rozkřičet (v-w5672f1)")</f>
        <v>rozkřičet (v-w5672f1)</v>
      </c>
    </row>
    <row r="41250" customFormat="false" ht="12.8" hidden="false" customHeight="false" outlineLevel="0" collapsed="false">
      <c r="B41250" s="0" t="s">
        <v>1</v>
      </c>
    </row>
    <row r="41251" customFormat="false" ht="12.8" hidden="false" customHeight="false" outlineLevel="0" collapsed="false">
      <c r="B41251" s="0" t="s">
        <v>8</v>
      </c>
    </row>
    <row r="41253" customFormat="false" ht="12.8" hidden="false" customHeight="false" outlineLevel="0" collapsed="false">
      <c r="A41253" s="0" t="s">
        <v>15141</v>
      </c>
      <c r="B41253" s="0" t="str">
        <f aca="false">HYPERLINK("https://lindat.mff.cuni.cz/services/teitok/pdtc10/index.php?action=vallex&amp;frame=v-w5675f1", "rozladit (v-w5675f1)")</f>
        <v>rozladit (v-w5675f1)</v>
      </c>
      <c r="E41253" s="0" t="str">
        <f aca="false">HYPERLINK("https://lindat.mff.cuni.cz/services/SynSemClass40/SynSemClass40.html?veclass=vec00608#vec00608-ces-cm00003", "vec00608")</f>
        <v>vec00608</v>
      </c>
      <c r="F41253" s="0" t="s">
        <v>1927</v>
      </c>
    </row>
    <row r="41254" customFormat="false" ht="12.8" hidden="false" customHeight="false" outlineLevel="0" collapsed="false">
      <c r="B41254" s="0" t="s">
        <v>1</v>
      </c>
      <c r="C41254" s="0" t="s">
        <v>657</v>
      </c>
      <c r="E41254" s="0" t="s">
        <v>1103</v>
      </c>
      <c r="F41254" s="0" t="s">
        <v>1928</v>
      </c>
    </row>
    <row r="41255" customFormat="false" ht="12.8" hidden="false" customHeight="false" outlineLevel="0" collapsed="false">
      <c r="B41255" s="0" t="s">
        <v>8</v>
      </c>
      <c r="C41255" s="0" t="s">
        <v>1929</v>
      </c>
      <c r="E41255" s="0" t="s">
        <v>1930</v>
      </c>
      <c r="F41255" s="0" t="s">
        <v>1931</v>
      </c>
    </row>
    <row r="41257" customFormat="false" ht="12.8" hidden="false" customHeight="false" outlineLevel="0" collapsed="false">
      <c r="A41257" s="0" t="s">
        <v>15142</v>
      </c>
      <c r="B41257" s="0" t="str">
        <f aca="false">HYPERLINK("https://lindat.mff.cuni.cz/services/teitok/pdtc10/index.php?action=vallex&amp;frame=v-w5677f1", "rozlehnout se (v-w5677f1)")</f>
        <v>rozlehnout se (v-w5677f1)</v>
      </c>
    </row>
    <row r="41258" customFormat="false" ht="12.8" hidden="false" customHeight="false" outlineLevel="0" collapsed="false">
      <c r="B41258" s="0" t="s">
        <v>1</v>
      </c>
    </row>
    <row r="41260" customFormat="false" ht="12.8" hidden="false" customHeight="false" outlineLevel="0" collapsed="false">
      <c r="A41260" s="0" t="s">
        <v>15143</v>
      </c>
      <c r="B41260" s="0" t="str">
        <f aca="false">HYPERLINK("https://lindat.mff.cuni.cz/services/teitok/pdtc10/index.php?action=vallex&amp;frame=v-w5678f1", "rozlepit (v-w5678f1)")</f>
        <v>rozlepit (v-w5678f1)</v>
      </c>
      <c r="E41260" s="0" t="str">
        <f aca="false">HYPERLINK("https://lindat.mff.cuni.cz/services/SynSemClass40/SynSemClass40.html?veclass=vec01479#vec01479-ces-cm00002", "vec01479")</f>
        <v>vec01479</v>
      </c>
      <c r="F41260" s="0" t="s">
        <v>5973</v>
      </c>
    </row>
    <row r="41261" customFormat="false" ht="12.8" hidden="false" customHeight="false" outlineLevel="0" collapsed="false">
      <c r="B41261" s="0" t="s">
        <v>1</v>
      </c>
      <c r="C41261" s="0" t="s">
        <v>4695</v>
      </c>
      <c r="E41261" s="0" t="s">
        <v>4850</v>
      </c>
      <c r="F41261" s="0" t="s">
        <v>5974</v>
      </c>
    </row>
    <row r="41262" customFormat="false" ht="12.8" hidden="false" customHeight="false" outlineLevel="0" collapsed="false">
      <c r="B41262" s="0" t="s">
        <v>8</v>
      </c>
      <c r="C41262" s="0" t="s">
        <v>800</v>
      </c>
      <c r="E41262" s="0" t="s">
        <v>110</v>
      </c>
      <c r="F41262" s="0" t="s">
        <v>5975</v>
      </c>
    </row>
    <row r="41264" customFormat="false" ht="12.8" hidden="false" customHeight="false" outlineLevel="0" collapsed="false">
      <c r="A41264" s="0" t="s">
        <v>15144</v>
      </c>
      <c r="B41264" s="0" t="str">
        <f aca="false">HYPERLINK("https://lindat.mff.cuni.cz/services/teitok/pdtc10/index.php?action=vallex&amp;frame=v-whsa_789hsa_790", "rozležet se (v-whsa_789hsa_790)")</f>
        <v>rozležet se (v-whsa_789hsa_790)</v>
      </c>
    </row>
    <row r="41265" customFormat="false" ht="12.8" hidden="false" customHeight="false" outlineLevel="0" collapsed="false">
      <c r="B41265" s="0" t="s">
        <v>1</v>
      </c>
    </row>
    <row r="41267" customFormat="false" ht="12.8" hidden="false" customHeight="false" outlineLevel="0" collapsed="false">
      <c r="A41267" s="0" t="s">
        <v>15145</v>
      </c>
      <c r="B41267" s="0" t="str">
        <f aca="false">HYPERLINK("https://lindat.mff.cuni.cz/services/teitok/pdtc10/index.php?action=vallex&amp;frame=v-w5680f2", "rozlišit (v-w5680f2)")</f>
        <v>rozlišit (v-w5680f2)</v>
      </c>
      <c r="E41267" s="0" t="str">
        <f aca="false">HYPERLINK("https://lindat.mff.cuni.cz/services/SynSemClass40/SynSemClass40.html?veclass=vec01102#vec01102-ces-cm00022", "vec01102")</f>
        <v>vec01102</v>
      </c>
      <c r="F41267" s="0" t="s">
        <v>1969</v>
      </c>
    </row>
    <row r="41268" customFormat="false" ht="12.8" hidden="false" customHeight="false" outlineLevel="0" collapsed="false">
      <c r="B41268" s="0" t="s">
        <v>1</v>
      </c>
      <c r="C41268" s="0" t="s">
        <v>459</v>
      </c>
      <c r="E41268" s="0" t="s">
        <v>8998</v>
      </c>
      <c r="F41268" s="0" t="s">
        <v>8999</v>
      </c>
    </row>
    <row r="41269" customFormat="false" ht="12.8" hidden="false" customHeight="false" outlineLevel="0" collapsed="false">
      <c r="B41269" s="0" t="s">
        <v>8</v>
      </c>
      <c r="C41269" s="0" t="s">
        <v>7131</v>
      </c>
      <c r="E41269" s="0" t="s">
        <v>5531</v>
      </c>
      <c r="F41269" s="0" t="s">
        <v>9000</v>
      </c>
    </row>
    <row r="41270" customFormat="false" ht="12.8" hidden="false" customHeight="false" outlineLevel="0" collapsed="false">
      <c r="B41270" s="0" t="s">
        <v>1965</v>
      </c>
      <c r="C41270" s="0" t="s">
        <v>9001</v>
      </c>
      <c r="E41270" s="0" t="s">
        <v>9002</v>
      </c>
      <c r="F41270" s="0" t="s">
        <v>9003</v>
      </c>
    </row>
    <row r="41272" customFormat="false" ht="12.8" hidden="false" customHeight="false" outlineLevel="0" collapsed="false">
      <c r="A41272" s="0" t="s">
        <v>15146</v>
      </c>
      <c r="B41272" s="0" t="str">
        <f aca="false">HYPERLINK("https://lindat.mff.cuni.cz/services/teitok/pdtc10/index.php?action=vallex&amp;frame=v-w5680f1", "rozlišit (v-w5680f1)")</f>
        <v>rozlišit (v-w5680f1)</v>
      </c>
    </row>
    <row r="41273" customFormat="false" ht="12.8" hidden="false" customHeight="false" outlineLevel="0" collapsed="false">
      <c r="B41273" s="0" t="s">
        <v>1</v>
      </c>
    </row>
    <row r="41274" customFormat="false" ht="12.8" hidden="false" customHeight="false" outlineLevel="0" collapsed="false">
      <c r="B41274" s="0" t="s">
        <v>13308</v>
      </c>
    </row>
    <row r="41276" customFormat="false" ht="12.8" hidden="false" customHeight="false" outlineLevel="0" collapsed="false">
      <c r="A41276" s="0" t="s">
        <v>15147</v>
      </c>
      <c r="B41276" s="0" t="str">
        <f aca="false">HYPERLINK("https://lindat.mff.cuni.cz/services/teitok/pdtc10/index.php?action=vallex&amp;frame=v-w5681f1", "rozlišovat (v-w5681f1)")</f>
        <v>rozlišovat (v-w5681f1)</v>
      </c>
      <c r="E41276" s="0" t="str">
        <f aca="false">HYPERLINK("https://lindat.mff.cuni.cz/services/SynSemClass40/SynSemClass40.html?veclass=vec01102#vec01102-ces-cm00001", "vec01102")</f>
        <v>vec01102</v>
      </c>
      <c r="F41276" s="0" t="s">
        <v>1969</v>
      </c>
    </row>
    <row r="41277" customFormat="false" ht="12.8" hidden="false" customHeight="false" outlineLevel="0" collapsed="false">
      <c r="B41277" s="0" t="s">
        <v>1</v>
      </c>
      <c r="C41277" s="0" t="s">
        <v>459</v>
      </c>
      <c r="E41277" s="0" t="s">
        <v>8998</v>
      </c>
      <c r="F41277" s="0" t="s">
        <v>8999</v>
      </c>
    </row>
    <row r="41278" customFormat="false" ht="12.8" hidden="false" customHeight="false" outlineLevel="0" collapsed="false">
      <c r="B41278" s="0" t="s">
        <v>1964</v>
      </c>
      <c r="C41278" s="0" t="s">
        <v>7131</v>
      </c>
      <c r="E41278" s="0" t="s">
        <v>5531</v>
      </c>
      <c r="F41278" s="0" t="s">
        <v>9000</v>
      </c>
    </row>
    <row r="41279" customFormat="false" ht="12.8" hidden="false" customHeight="false" outlineLevel="0" collapsed="false">
      <c r="B41279" s="0" t="s">
        <v>1965</v>
      </c>
      <c r="C41279" s="0" t="s">
        <v>9001</v>
      </c>
      <c r="E41279" s="0" t="s">
        <v>9002</v>
      </c>
      <c r="F41279" s="0" t="s">
        <v>9003</v>
      </c>
    </row>
    <row r="41281" customFormat="false" ht="12.8" hidden="false" customHeight="false" outlineLevel="0" collapsed="false">
      <c r="A41281" s="0" t="s">
        <v>15148</v>
      </c>
      <c r="B41281" s="0" t="str">
        <f aca="false">HYPERLINK("https://lindat.mff.cuni.cz/services/teitok/pdtc10/index.php?action=vallex&amp;frame=v-w5681f2", "rozlišovat (v-w5681f2)")</f>
        <v>rozlišovat (v-w5681f2)</v>
      </c>
    </row>
    <row r="41282" customFormat="false" ht="12.8" hidden="false" customHeight="false" outlineLevel="0" collapsed="false">
      <c r="B41282" s="0" t="s">
        <v>1</v>
      </c>
    </row>
    <row r="41283" customFormat="false" ht="12.8" hidden="false" customHeight="false" outlineLevel="0" collapsed="false">
      <c r="B41283" s="0" t="s">
        <v>8</v>
      </c>
    </row>
    <row r="41284" customFormat="false" ht="12.8" hidden="false" customHeight="false" outlineLevel="0" collapsed="false">
      <c r="B41284" s="0" t="s">
        <v>5779</v>
      </c>
    </row>
    <row r="41286" customFormat="false" ht="12.8" hidden="false" customHeight="false" outlineLevel="0" collapsed="false">
      <c r="A41286" s="0" t="s">
        <v>15149</v>
      </c>
      <c r="B41286" s="0" t="str">
        <f aca="false">HYPERLINK("https://lindat.mff.cuni.cz/services/teitok/pdtc10/index.php?action=vallex&amp;frame=v-w12366_MMf1_MM", "rozloučit (v-w12366_MMf1_MM)")</f>
        <v>rozloučit (v-w12366_MMf1_MM)</v>
      </c>
    </row>
    <row r="41287" customFormat="false" ht="12.8" hidden="false" customHeight="false" outlineLevel="0" collapsed="false">
      <c r="B41287" s="0" t="s">
        <v>1</v>
      </c>
    </row>
    <row r="41288" customFormat="false" ht="12.8" hidden="false" customHeight="false" outlineLevel="0" collapsed="false">
      <c r="B41288" s="0" t="s">
        <v>8</v>
      </c>
    </row>
    <row r="41290" customFormat="false" ht="12.8" hidden="false" customHeight="false" outlineLevel="0" collapsed="false">
      <c r="A41290" s="0" t="s">
        <v>15150</v>
      </c>
      <c r="B41290" s="0" t="str">
        <f aca="false">HYPERLINK("https://lindat.mff.cuni.cz/services/teitok/pdtc10/index.php?action=vallex&amp;frame=v-w5684f1", "rozloučit se (v-w5684f1)")</f>
        <v>rozloučit se (v-w5684f1)</v>
      </c>
    </row>
    <row r="41291" customFormat="false" ht="12.8" hidden="false" customHeight="false" outlineLevel="0" collapsed="false">
      <c r="B41291" s="0" t="s">
        <v>1</v>
      </c>
    </row>
    <row r="41292" customFormat="false" ht="12.8" hidden="false" customHeight="false" outlineLevel="0" collapsed="false">
      <c r="B41292" s="0" t="s">
        <v>721</v>
      </c>
    </row>
    <row r="41294" customFormat="false" ht="12.8" hidden="false" customHeight="false" outlineLevel="0" collapsed="false">
      <c r="A41294" s="0" t="s">
        <v>15151</v>
      </c>
      <c r="B41294" s="0" t="str">
        <f aca="false">HYPERLINK("https://lindat.mff.cuni.cz/services/teitok/pdtc10/index.php?action=vallex&amp;frame=v-w5686f3", "rozložit (v-w5686f3)")</f>
        <v>rozložit (v-w5686f3)</v>
      </c>
      <c r="E41294" s="0" t="str">
        <f aca="false">HYPERLINK("https://lindat.mff.cuni.cz/services/SynSemClass40/SynSemClass40.html?veclass=vec00694#vec00694-ces-cm00039", "vec00694")</f>
        <v>vec00694</v>
      </c>
      <c r="F41294" s="0" t="s">
        <v>1862</v>
      </c>
    </row>
    <row r="41295" customFormat="false" ht="12.8" hidden="false" customHeight="false" outlineLevel="0" collapsed="false">
      <c r="B41295" s="0" t="s">
        <v>1</v>
      </c>
      <c r="C41295" s="0" t="s">
        <v>13633</v>
      </c>
      <c r="E41295" s="0" t="s">
        <v>1866</v>
      </c>
      <c r="F41295" s="0" t="s">
        <v>1867</v>
      </c>
    </row>
    <row r="41296" customFormat="false" ht="12.8" hidden="false" customHeight="false" outlineLevel="0" collapsed="false">
      <c r="B41296" s="0" t="s">
        <v>8</v>
      </c>
      <c r="C41296" s="0" t="s">
        <v>22</v>
      </c>
      <c r="E41296" s="0" t="s">
        <v>1873</v>
      </c>
      <c r="F41296" s="0" t="s">
        <v>1874</v>
      </c>
    </row>
    <row r="41297" customFormat="false" ht="12.8" hidden="false" customHeight="false" outlineLevel="0" collapsed="false">
      <c r="B41297" s="0" t="s">
        <v>3995</v>
      </c>
      <c r="C41297" s="0" t="s">
        <v>1902</v>
      </c>
      <c r="E41297" s="0" t="s">
        <v>53</v>
      </c>
      <c r="F41297" s="0" t="s">
        <v>1879</v>
      </c>
    </row>
    <row r="41299" customFormat="false" ht="12.8" hidden="false" customHeight="false" outlineLevel="0" collapsed="false">
      <c r="A41299" s="0" t="s">
        <v>15152</v>
      </c>
      <c r="B41299" s="0" t="str">
        <f aca="false">HYPERLINK("https://lindat.mff.cuni.cz/services/teitok/pdtc10/index.php?action=vallex&amp;frame=v-w5686f2", "rozložit (v-w5686f2)")</f>
        <v>rozložit (v-w5686f2)</v>
      </c>
    </row>
    <row r="41300" customFormat="false" ht="12.8" hidden="false" customHeight="false" outlineLevel="0" collapsed="false">
      <c r="B41300" s="0" t="s">
        <v>1</v>
      </c>
    </row>
    <row r="41301" customFormat="false" ht="12.8" hidden="false" customHeight="false" outlineLevel="0" collapsed="false">
      <c r="B41301" s="0" t="s">
        <v>8</v>
      </c>
    </row>
    <row r="41302" customFormat="false" ht="12.8" hidden="false" customHeight="false" outlineLevel="0" collapsed="false">
      <c r="B41302" s="0" t="s">
        <v>101</v>
      </c>
    </row>
    <row r="41304" customFormat="false" ht="12.8" hidden="false" customHeight="false" outlineLevel="0" collapsed="false">
      <c r="A41304" s="0" t="s">
        <v>15153</v>
      </c>
      <c r="B41304" s="0" t="str">
        <f aca="false">HYPERLINK("https://lindat.mff.cuni.cz/services/teitok/pdtc10/index.php?action=vallex&amp;frame=v-w5686f4", "rozložit (v-w5686f4)")</f>
        <v>rozložit (v-w5686f4)</v>
      </c>
      <c r="E41304" s="0" t="str">
        <f aca="false">HYPERLINK("https://lindat.mff.cuni.cz/services/SynSemClass40/SynSemClass40.html?veclass=vec00296#vec00296-ces-cm00043", "vec00296")</f>
        <v>vec00296</v>
      </c>
      <c r="F41304" s="0" t="s">
        <v>5275</v>
      </c>
    </row>
    <row r="41305" customFormat="false" ht="12.8" hidden="false" customHeight="false" outlineLevel="0" collapsed="false">
      <c r="B41305" s="0" t="s">
        <v>1</v>
      </c>
      <c r="C41305" s="0" t="s">
        <v>5276</v>
      </c>
      <c r="E41305" s="0" t="s">
        <v>11</v>
      </c>
      <c r="F41305" s="0" t="s">
        <v>5277</v>
      </c>
    </row>
    <row r="41306" customFormat="false" ht="12.8" hidden="false" customHeight="false" outlineLevel="0" collapsed="false">
      <c r="B41306" s="0" t="s">
        <v>8</v>
      </c>
      <c r="C41306" s="0" t="s">
        <v>5278</v>
      </c>
      <c r="E41306" s="0" t="s">
        <v>5279</v>
      </c>
      <c r="F41306" s="0" t="s">
        <v>5280</v>
      </c>
    </row>
    <row r="41307" customFormat="false" ht="12.8" hidden="false" customHeight="false" outlineLevel="0" collapsed="false">
      <c r="B41307" s="0" t="s">
        <v>101</v>
      </c>
      <c r="C41307" s="0" t="s">
        <v>5281</v>
      </c>
      <c r="E41307" s="0" t="s">
        <v>2584</v>
      </c>
      <c r="F41307" s="0" t="s">
        <v>5282</v>
      </c>
    </row>
    <row r="41309" customFormat="false" ht="12.8" hidden="false" customHeight="false" outlineLevel="0" collapsed="false">
      <c r="A41309" s="0" t="s">
        <v>15154</v>
      </c>
      <c r="B41309" s="0" t="str">
        <f aca="false">HYPERLINK("https://lindat.mff.cuni.cz/services/teitok/pdtc10/index.php?action=vallex&amp;frame=v-w5686f6", "rozložit (v-w5686f6)")</f>
        <v>rozložit (v-w5686f6)</v>
      </c>
    </row>
    <row r="41310" customFormat="false" ht="12.8" hidden="false" customHeight="false" outlineLevel="0" collapsed="false">
      <c r="B41310" s="0" t="s">
        <v>1</v>
      </c>
    </row>
    <row r="41311" customFormat="false" ht="12.8" hidden="false" customHeight="false" outlineLevel="0" collapsed="false">
      <c r="B41311" s="0" t="s">
        <v>8</v>
      </c>
    </row>
    <row r="41312" customFormat="false" ht="12.8" hidden="false" customHeight="false" outlineLevel="0" collapsed="false">
      <c r="B41312" s="0" t="s">
        <v>15021</v>
      </c>
    </row>
    <row r="41314" customFormat="false" ht="12.8" hidden="false" customHeight="false" outlineLevel="0" collapsed="false">
      <c r="A41314" s="0" t="s">
        <v>15154</v>
      </c>
      <c r="B41314" s="0" t="str">
        <f aca="false">HYPERLINK("https://lindat.mff.cuni.cz/services/teitok/pdtc10/index.php?action=vallex&amp;frame=v-w5686f1", "rozložit (v-w5686f1) - substituted with v-w5686f6")</f>
        <v>rozložit (v-w5686f1) - substituted with v-w5686f6</v>
      </c>
    </row>
    <row r="41315" customFormat="false" ht="12.8" hidden="false" customHeight="false" outlineLevel="0" collapsed="false">
      <c r="B41315" s="0" t="s">
        <v>1</v>
      </c>
    </row>
    <row r="41316" customFormat="false" ht="12.8" hidden="false" customHeight="false" outlineLevel="0" collapsed="false">
      <c r="B41316" s="0" t="s">
        <v>8</v>
      </c>
    </row>
    <row r="41317" customFormat="false" ht="12.8" hidden="false" customHeight="false" outlineLevel="0" collapsed="false">
      <c r="B41317" s="0" t="s">
        <v>15021</v>
      </c>
    </row>
    <row r="41319" customFormat="false" ht="12.8" hidden="false" customHeight="false" outlineLevel="0" collapsed="false">
      <c r="A41319" s="0" t="s">
        <v>15155</v>
      </c>
      <c r="B41319" s="0" t="str">
        <f aca="false">HYPERLINK("https://lindat.mff.cuni.cz/services/teitok/pdtc10/index.php?action=vallex&amp;frame=v-w5686f5", "rozložit (v-w5686f5)")</f>
        <v>rozložit (v-w5686f5)</v>
      </c>
    </row>
    <row r="41320" customFormat="false" ht="12.8" hidden="false" customHeight="false" outlineLevel="0" collapsed="false">
      <c r="B41320" s="0" t="s">
        <v>1</v>
      </c>
    </row>
    <row r="41321" customFormat="false" ht="12.8" hidden="false" customHeight="false" outlineLevel="0" collapsed="false">
      <c r="B41321" s="0" t="s">
        <v>8</v>
      </c>
    </row>
    <row r="41323" customFormat="false" ht="12.8" hidden="false" customHeight="false" outlineLevel="0" collapsed="false">
      <c r="A41323" s="0" t="s">
        <v>15156</v>
      </c>
      <c r="B41323" s="0" t="str">
        <f aca="false">HYPERLINK("https://lindat.mff.cuni.cz/services/teitok/pdtc10/index.php?action=vallex&amp;frame=v-w5687f1", "rozložit se (v-w5687f1)")</f>
        <v>rozložit se (v-w5687f1)</v>
      </c>
    </row>
    <row r="41324" customFormat="false" ht="12.8" hidden="false" customHeight="false" outlineLevel="0" collapsed="false">
      <c r="B41324" s="0" t="s">
        <v>1</v>
      </c>
    </row>
    <row r="41325" customFormat="false" ht="12.8" hidden="false" customHeight="false" outlineLevel="0" collapsed="false">
      <c r="B41325" s="0" t="s">
        <v>5</v>
      </c>
    </row>
    <row r="41327" customFormat="false" ht="12.8" hidden="false" customHeight="false" outlineLevel="0" collapsed="false">
      <c r="A41327" s="0" t="s">
        <v>15157</v>
      </c>
      <c r="B41327" s="0" t="str">
        <f aca="false">HYPERLINK("https://lindat.mff.cuni.cz/services/teitok/pdtc10/index.php?action=vallex&amp;frame=v-w5687f2_ZU", "rozložit se (v-w5687f2_ZU)")</f>
        <v>rozložit se (v-w5687f2_ZU)</v>
      </c>
      <c r="E41327" s="0" t="str">
        <f aca="false">HYPERLINK("https://lindat.mff.cuni.cz/services/SynSemClass40/SynSemClass40.html?veclass=vec00911#vec00911-ces-cm00004", "vec00911")</f>
        <v>vec00911</v>
      </c>
      <c r="F41327" s="0" t="s">
        <v>15158</v>
      </c>
    </row>
    <row r="41328" customFormat="false" ht="12.8" hidden="false" customHeight="false" outlineLevel="0" collapsed="false">
      <c r="B41328" s="0" t="s">
        <v>1</v>
      </c>
      <c r="C41328" s="0" t="s">
        <v>5344</v>
      </c>
      <c r="E41328" s="0" t="s">
        <v>15159</v>
      </c>
      <c r="F41328" s="0" t="s">
        <v>15160</v>
      </c>
    </row>
    <row r="41330" customFormat="false" ht="12.8" hidden="false" customHeight="false" outlineLevel="0" collapsed="false">
      <c r="A41330" s="0" t="s">
        <v>15161</v>
      </c>
      <c r="B41330" s="0" t="str">
        <f aca="false">HYPERLINK("https://lindat.mff.cuni.cz/services/teitok/pdtc10/index.php?action=vallex&amp;frame=v-w11814_ZUf1_ZU", "rozlučovat (v-w11814_ZUf1_ZU)")</f>
        <v>rozlučovat (v-w11814_ZUf1_ZU)</v>
      </c>
    </row>
    <row r="41331" customFormat="false" ht="12.8" hidden="false" customHeight="false" outlineLevel="0" collapsed="false">
      <c r="B41331" s="0" t="s">
        <v>1</v>
      </c>
    </row>
    <row r="41332" customFormat="false" ht="12.8" hidden="false" customHeight="false" outlineLevel="0" collapsed="false">
      <c r="B41332" s="0" t="s">
        <v>8</v>
      </c>
    </row>
    <row r="41333" customFormat="false" ht="12.8" hidden="false" customHeight="false" outlineLevel="0" collapsed="false">
      <c r="B41333" s="0" t="s">
        <v>602</v>
      </c>
    </row>
    <row r="41335" customFormat="false" ht="12.8" hidden="false" customHeight="false" outlineLevel="0" collapsed="false">
      <c r="A41335" s="0" t="s">
        <v>15162</v>
      </c>
      <c r="B41335" s="0" t="str">
        <f aca="false">HYPERLINK("https://lindat.mff.cuni.cz/services/teitok/pdtc10/index.php?action=vallex&amp;frame=v-w5688f1", "rozluštit (v-w5688f1)")</f>
        <v>rozluštit (v-w5688f1)</v>
      </c>
    </row>
    <row r="41336" customFormat="false" ht="12.8" hidden="false" customHeight="false" outlineLevel="0" collapsed="false">
      <c r="B41336" s="0" t="s">
        <v>1</v>
      </c>
    </row>
    <row r="41337" customFormat="false" ht="12.8" hidden="false" customHeight="false" outlineLevel="0" collapsed="false">
      <c r="B41337" s="0" t="s">
        <v>2493</v>
      </c>
    </row>
    <row r="41339" customFormat="false" ht="12.8" hidden="false" customHeight="false" outlineLevel="0" collapsed="false">
      <c r="A41339" s="0" t="s">
        <v>15163</v>
      </c>
      <c r="B41339" s="0" t="str">
        <f aca="false">HYPERLINK("https://lindat.mff.cuni.cz/services/teitok/pdtc10/index.php?action=vallex&amp;frame=v-w10626f2", "rozlámat (v-w10626f2)")</f>
        <v>rozlámat (v-w10626f2)</v>
      </c>
      <c r="E41339" s="0" t="str">
        <f aca="false">HYPERLINK("https://lindat.mff.cuni.cz/services/SynSemClass40/SynSemClass40.html?veclass=vec00389#vec00389-ces-cm00044", "vec00389")</f>
        <v>vec00389</v>
      </c>
      <c r="F41339" s="0" t="s">
        <v>1888</v>
      </c>
      <c r="H41339" s="0" t="str">
        <f aca="false">HYPERLINK("https://lindat.mff.cuni.cz/services/SynSemClass40/SynSemClass40.html?veclass=vec00903#vec00903-ces-cm00011", "vec00903")</f>
        <v>vec00903</v>
      </c>
      <c r="I41339" s="0" t="s">
        <v>8059</v>
      </c>
    </row>
    <row r="41340" customFormat="false" ht="12.8" hidden="false" customHeight="false" outlineLevel="0" collapsed="false">
      <c r="B41340" s="0" t="s">
        <v>1</v>
      </c>
      <c r="C41340" s="0" t="s">
        <v>14891</v>
      </c>
      <c r="E41340" s="0" t="s">
        <v>1890</v>
      </c>
      <c r="F41340" s="0" t="s">
        <v>1891</v>
      </c>
      <c r="H41340" s="0" t="s">
        <v>1890</v>
      </c>
      <c r="I41340" s="0" t="s">
        <v>8061</v>
      </c>
    </row>
    <row r="41341" customFormat="false" ht="12.8" hidden="false" customHeight="false" outlineLevel="0" collapsed="false">
      <c r="B41341" s="0" t="s">
        <v>8</v>
      </c>
      <c r="C41341" s="0" t="s">
        <v>14892</v>
      </c>
      <c r="E41341" s="0" t="s">
        <v>1893</v>
      </c>
      <c r="F41341" s="0" t="s">
        <v>1894</v>
      </c>
      <c r="H41341" s="0" t="s">
        <v>1893</v>
      </c>
      <c r="I41341" s="0" t="s">
        <v>8063</v>
      </c>
    </row>
    <row r="41342" customFormat="false" ht="12.8" hidden="false" customHeight="false" outlineLevel="0" collapsed="false">
      <c r="B41342" s="0" t="s">
        <v>4553</v>
      </c>
      <c r="C41342" s="0" t="s">
        <v>14893</v>
      </c>
      <c r="E41342" s="0" t="s">
        <v>14894</v>
      </c>
      <c r="F41342" s="0" t="s">
        <v>14895</v>
      </c>
      <c r="H41342" s="0" t="s">
        <v>2584</v>
      </c>
      <c r="I41342" s="0" t="s">
        <v>8065</v>
      </c>
    </row>
    <row r="41344" customFormat="false" ht="12.8" hidden="false" customHeight="false" outlineLevel="0" collapsed="false">
      <c r="A41344" s="0" t="s">
        <v>15164</v>
      </c>
      <c r="B41344" s="0" t="str">
        <f aca="false">HYPERLINK("https://lindat.mff.cuni.cz/services/teitok/pdtc10/index.php?action=vallex&amp;frame=v-w5676f1", "rozléhat se (v-w5676f1)")</f>
        <v>rozléhat se (v-w5676f1)</v>
      </c>
    </row>
    <row r="41345" customFormat="false" ht="12.8" hidden="false" customHeight="false" outlineLevel="0" collapsed="false">
      <c r="B41345" s="0" t="s">
        <v>1</v>
      </c>
    </row>
    <row r="41347" customFormat="false" ht="12.8" hidden="false" customHeight="false" outlineLevel="0" collapsed="false">
      <c r="A41347" s="0" t="s">
        <v>15165</v>
      </c>
      <c r="B41347" s="0" t="str">
        <f aca="false">HYPERLINK("https://lindat.mff.cuni.cz/services/teitok/pdtc10/index.php?action=vallex&amp;frame=v-w11909_ZUf1_ZU", "rozlít si (v-w11909_ZUf1_ZU)")</f>
        <v>rozlít si (v-w11909_ZUf1_ZU)</v>
      </c>
    </row>
    <row r="41348" customFormat="false" ht="12.8" hidden="false" customHeight="false" outlineLevel="0" collapsed="false">
      <c r="B41348" s="0" t="s">
        <v>1</v>
      </c>
    </row>
    <row r="41349" customFormat="false" ht="12.8" hidden="false" customHeight="false" outlineLevel="0" collapsed="false">
      <c r="B41349" s="0" t="s">
        <v>697</v>
      </c>
    </row>
    <row r="41350" customFormat="false" ht="12.8" hidden="false" customHeight="false" outlineLevel="0" collapsed="false">
      <c r="B41350" s="0" t="s">
        <v>15166</v>
      </c>
    </row>
    <row r="41352" customFormat="false" ht="12.8" hidden="false" customHeight="false" outlineLevel="0" collapsed="false">
      <c r="A41352" s="0" t="s">
        <v>15167</v>
      </c>
      <c r="B41352" s="0" t="str">
        <f aca="false">HYPERLINK("https://lindat.mff.cuni.cz/services/teitok/pdtc10/index.php?action=vallex&amp;frame=v-w5682f1", "rozlítit (v-w5682f1)")</f>
        <v>rozlítit (v-w5682f1)</v>
      </c>
    </row>
    <row r="41353" customFormat="false" ht="12.8" hidden="false" customHeight="false" outlineLevel="0" collapsed="false">
      <c r="B41353" s="0" t="s">
        <v>1</v>
      </c>
    </row>
    <row r="41354" customFormat="false" ht="12.8" hidden="false" customHeight="false" outlineLevel="0" collapsed="false">
      <c r="B41354" s="0" t="s">
        <v>8</v>
      </c>
    </row>
    <row r="41356" customFormat="false" ht="12.8" hidden="false" customHeight="false" outlineLevel="0" collapsed="false">
      <c r="A41356" s="0" t="s">
        <v>15168</v>
      </c>
      <c r="B41356" s="0" t="str">
        <f aca="false">HYPERLINK("https://lindat.mff.cuni.cz/services/teitok/pdtc10/index.php?action=vallex&amp;frame=v-w11687_ZUf1_ZU", "rozmachovat se (v-w11687_ZUf1_ZU)")</f>
        <v>rozmachovat se (v-w11687_ZUf1_ZU)</v>
      </c>
    </row>
    <row r="41357" customFormat="false" ht="12.8" hidden="false" customHeight="false" outlineLevel="0" collapsed="false">
      <c r="B41357" s="0" t="s">
        <v>1</v>
      </c>
    </row>
    <row r="41359" customFormat="false" ht="12.8" hidden="false" customHeight="false" outlineLevel="0" collapsed="false">
      <c r="A41359" s="0" t="s">
        <v>15169</v>
      </c>
      <c r="B41359" s="0" t="str">
        <f aca="false">HYPERLINK("https://lindat.mff.cuni.cz/services/teitok/pdtc10/index.php?action=vallex&amp;frame=v-whsa_1244f1_ZU", "rozmazlovat (v-whsa_1244f1_ZU)")</f>
        <v>rozmazlovat (v-whsa_1244f1_ZU)</v>
      </c>
    </row>
    <row r="41360" customFormat="false" ht="12.8" hidden="false" customHeight="false" outlineLevel="0" collapsed="false">
      <c r="B41360" s="0" t="s">
        <v>1</v>
      </c>
    </row>
    <row r="41361" customFormat="false" ht="12.8" hidden="false" customHeight="false" outlineLevel="0" collapsed="false">
      <c r="B41361" s="0" t="s">
        <v>8</v>
      </c>
    </row>
    <row r="41363" customFormat="false" ht="12.8" hidden="false" customHeight="false" outlineLevel="0" collapsed="false">
      <c r="A41363" s="0" t="s">
        <v>15169</v>
      </c>
      <c r="B41363" s="0" t="str">
        <f aca="false">HYPERLINK("https://lindat.mff.cuni.cz/services/teitok/pdtc10/index.php?action=vallex&amp;frame=v-whsa_1244hsa_1245", "rozmazlovat (v-whsa_1244hsa_1245) - substituted with v-whsa_1244f1_ZU")</f>
        <v>rozmazlovat (v-whsa_1244hsa_1245) - substituted with v-whsa_1244f1_ZU</v>
      </c>
    </row>
    <row r="41364" customFormat="false" ht="12.8" hidden="false" customHeight="false" outlineLevel="0" collapsed="false">
      <c r="B41364" s="0" t="s">
        <v>1</v>
      </c>
    </row>
    <row r="41365" customFormat="false" ht="12.8" hidden="false" customHeight="false" outlineLevel="0" collapsed="false">
      <c r="B41365" s="0" t="s">
        <v>8</v>
      </c>
    </row>
    <row r="41367" customFormat="false" ht="12.8" hidden="false" customHeight="false" outlineLevel="0" collapsed="false">
      <c r="A41367" s="0" t="s">
        <v>15170</v>
      </c>
      <c r="B41367" s="0" t="str">
        <f aca="false">HYPERLINK("https://lindat.mff.cuni.cz/services/teitok/pdtc10/index.php?action=vallex&amp;frame=v-w10385f2", "rozmazávat (v-w10385f2)")</f>
        <v>rozmazávat (v-w10385f2)</v>
      </c>
    </row>
    <row r="41368" customFormat="false" ht="12.8" hidden="false" customHeight="false" outlineLevel="0" collapsed="false">
      <c r="B41368" s="0" t="s">
        <v>1</v>
      </c>
    </row>
    <row r="41369" customFormat="false" ht="12.8" hidden="false" customHeight="false" outlineLevel="0" collapsed="false">
      <c r="B41369" s="0" t="s">
        <v>8</v>
      </c>
    </row>
    <row r="41371" customFormat="false" ht="12.8" hidden="false" customHeight="false" outlineLevel="0" collapsed="false">
      <c r="A41371" s="0" t="s">
        <v>15171</v>
      </c>
      <c r="B41371" s="0" t="str">
        <f aca="false">HYPERLINK("https://lindat.mff.cuni.cz/services/teitok/pdtc10/index.php?action=vallex&amp;frame=v-w10057f2", "rozmačkat (v-w10057f2)")</f>
        <v>rozmačkat (v-w10057f2)</v>
      </c>
    </row>
    <row r="41372" customFormat="false" ht="12.8" hidden="false" customHeight="false" outlineLevel="0" collapsed="false">
      <c r="B41372" s="0" t="s">
        <v>1</v>
      </c>
    </row>
    <row r="41373" customFormat="false" ht="12.8" hidden="false" customHeight="false" outlineLevel="0" collapsed="false">
      <c r="B41373" s="0" t="s">
        <v>8</v>
      </c>
    </row>
    <row r="41374" customFormat="false" ht="12.8" hidden="false" customHeight="false" outlineLevel="0" collapsed="false">
      <c r="B41374" s="0" t="s">
        <v>101</v>
      </c>
    </row>
    <row r="41376" customFormat="false" ht="12.8" hidden="false" customHeight="false" outlineLevel="0" collapsed="false">
      <c r="A41376" s="0" t="s">
        <v>15172</v>
      </c>
      <c r="B41376" s="0" t="str">
        <f aca="false">HYPERLINK("https://lindat.mff.cuni.cz/services/teitok/pdtc10/index.php?action=vallex&amp;frame=v-w5695f1", "rozmetat (v-w5695f1)")</f>
        <v>rozmetat (v-w5695f1)</v>
      </c>
    </row>
    <row r="41377" customFormat="false" ht="12.8" hidden="false" customHeight="false" outlineLevel="0" collapsed="false">
      <c r="B41377" s="0" t="s">
        <v>1</v>
      </c>
    </row>
    <row r="41378" customFormat="false" ht="12.8" hidden="false" customHeight="false" outlineLevel="0" collapsed="false">
      <c r="B41378" s="0" t="s">
        <v>8</v>
      </c>
    </row>
    <row r="41380" customFormat="false" ht="12.8" hidden="false" customHeight="false" outlineLevel="0" collapsed="false">
      <c r="A41380" s="0" t="s">
        <v>15173</v>
      </c>
      <c r="B41380" s="0" t="str">
        <f aca="false">HYPERLINK("https://lindat.mff.cuni.cz/services/teitok/pdtc10/index.php?action=vallex&amp;frame=v-w5700f1", "rozmlouvat (v-w5700f1)")</f>
        <v>rozmlouvat (v-w5700f1)</v>
      </c>
    </row>
    <row r="41381" customFormat="false" ht="12.8" hidden="false" customHeight="false" outlineLevel="0" collapsed="false">
      <c r="B41381" s="0" t="s">
        <v>1</v>
      </c>
    </row>
    <row r="41382" customFormat="false" ht="12.8" hidden="false" customHeight="false" outlineLevel="0" collapsed="false">
      <c r="B41382" s="0" t="s">
        <v>318</v>
      </c>
    </row>
    <row r="41383" customFormat="false" ht="12.8" hidden="false" customHeight="false" outlineLevel="0" collapsed="false">
      <c r="B41383" s="0" t="s">
        <v>276</v>
      </c>
    </row>
    <row r="41385" customFormat="false" ht="12.8" hidden="false" customHeight="false" outlineLevel="0" collapsed="false">
      <c r="A41385" s="0" t="s">
        <v>15174</v>
      </c>
      <c r="B41385" s="0" t="str">
        <f aca="false">HYPERLINK("https://lindat.mff.cuni.cz/services/teitok/pdtc10/index.php?action=vallex&amp;frame=v-w5700hsa_1903", "rozmlouvat (v-w5700hsa_1903)")</f>
        <v>rozmlouvat (v-w5700hsa_1903)</v>
      </c>
    </row>
    <row r="41386" customFormat="false" ht="12.8" hidden="false" customHeight="false" outlineLevel="0" collapsed="false">
      <c r="B41386" s="0" t="s">
        <v>1</v>
      </c>
    </row>
    <row r="41387" customFormat="false" ht="12.8" hidden="false" customHeight="false" outlineLevel="0" collapsed="false">
      <c r="B41387" s="0" t="s">
        <v>8</v>
      </c>
    </row>
    <row r="41388" customFormat="false" ht="12.8" hidden="false" customHeight="false" outlineLevel="0" collapsed="false">
      <c r="B41388" s="0" t="s">
        <v>52</v>
      </c>
    </row>
    <row r="41390" customFormat="false" ht="12.8" hidden="false" customHeight="false" outlineLevel="0" collapsed="false">
      <c r="A41390" s="0" t="s">
        <v>15175</v>
      </c>
      <c r="B41390" s="0" t="str">
        <f aca="false">HYPERLINK("https://lindat.mff.cuni.cz/services/teitok/pdtc10/index.php?action=vallex&amp;frame=v-w11032f2", "rozmluvit (v-w11032f2)")</f>
        <v>rozmluvit (v-w11032f2)</v>
      </c>
      <c r="E41390" s="0" t="str">
        <f aca="false">HYPERLINK("https://lindat.mff.cuni.cz/services/SynSemClass40/SynSemClass40.html?veclass=vec01309#vec01309-ces-cm00002", "vec01309")</f>
        <v>vec01309</v>
      </c>
      <c r="F41390" s="0" t="s">
        <v>15176</v>
      </c>
    </row>
    <row r="41391" customFormat="false" ht="12.8" hidden="false" customHeight="false" outlineLevel="0" collapsed="false">
      <c r="B41391" s="0" t="s">
        <v>1</v>
      </c>
      <c r="C41391" s="0" t="s">
        <v>4695</v>
      </c>
      <c r="E41391" s="0" t="s">
        <v>147</v>
      </c>
      <c r="F41391" s="0" t="s">
        <v>4696</v>
      </c>
    </row>
    <row r="41392" customFormat="false" ht="12.8" hidden="false" customHeight="false" outlineLevel="0" collapsed="false">
      <c r="B41392" s="0" t="s">
        <v>8</v>
      </c>
      <c r="C41392" s="0" t="s">
        <v>10577</v>
      </c>
      <c r="E41392" s="0" t="s">
        <v>1556</v>
      </c>
      <c r="F41392" s="0" t="s">
        <v>15177</v>
      </c>
    </row>
    <row r="41393" customFormat="false" ht="12.8" hidden="false" customHeight="false" outlineLevel="0" collapsed="false">
      <c r="B41393" s="0" t="s">
        <v>52</v>
      </c>
      <c r="C41393" s="0" t="s">
        <v>8629</v>
      </c>
      <c r="E41393" s="0" t="s">
        <v>552</v>
      </c>
      <c r="F41393" s="0" t="s">
        <v>15178</v>
      </c>
    </row>
    <row r="41395" customFormat="false" ht="12.8" hidden="false" customHeight="false" outlineLevel="0" collapsed="false">
      <c r="A41395" s="0" t="s">
        <v>15179</v>
      </c>
      <c r="B41395" s="0" t="str">
        <f aca="false">HYPERLINK("https://lindat.mff.cuni.cz/services/teitok/pdtc10/index.php?action=vallex&amp;frame=v-w12094_ZUf1_ZU", "rozmluvit se (v-w12094_ZUf1_ZU)")</f>
        <v>rozmluvit se (v-w12094_ZUf1_ZU)</v>
      </c>
    </row>
    <row r="41396" customFormat="false" ht="12.8" hidden="false" customHeight="false" outlineLevel="0" collapsed="false">
      <c r="B41396" s="0" t="s">
        <v>1</v>
      </c>
    </row>
    <row r="41398" customFormat="false" ht="12.8" hidden="false" customHeight="false" outlineLevel="0" collapsed="false">
      <c r="A41398" s="0" t="s">
        <v>15180</v>
      </c>
      <c r="B41398" s="0" t="str">
        <f aca="false">HYPERLINK("https://lindat.mff.cuni.cz/services/teitok/pdtc10/index.php?action=vallex&amp;frame=v-whsa_1316hsa_1317", "rozmlátit (v-whsa_1316hsa_1317)")</f>
        <v>rozmlátit (v-whsa_1316hsa_1317)</v>
      </c>
    </row>
    <row r="41399" customFormat="false" ht="12.8" hidden="false" customHeight="false" outlineLevel="0" collapsed="false">
      <c r="B41399" s="0" t="s">
        <v>1</v>
      </c>
    </row>
    <row r="41400" customFormat="false" ht="12.8" hidden="false" customHeight="false" outlineLevel="0" collapsed="false">
      <c r="B41400" s="0" t="s">
        <v>8</v>
      </c>
    </row>
    <row r="41401" customFormat="false" ht="12.8" hidden="false" customHeight="false" outlineLevel="0" collapsed="false">
      <c r="B41401" s="0" t="s">
        <v>101</v>
      </c>
    </row>
    <row r="41403" customFormat="false" ht="12.8" hidden="false" customHeight="false" outlineLevel="0" collapsed="false">
      <c r="A41403" s="0" t="s">
        <v>15181</v>
      </c>
      <c r="B41403" s="0" t="str">
        <f aca="false">HYPERLINK("https://lindat.mff.cuni.cz/services/teitok/pdtc10/index.php?action=vallex&amp;frame=v-w5702f1", "rozmnožit (v-w5702f1)")</f>
        <v>rozmnožit (v-w5702f1)</v>
      </c>
    </row>
    <row r="41404" customFormat="false" ht="12.8" hidden="false" customHeight="false" outlineLevel="0" collapsed="false">
      <c r="B41404" s="0" t="s">
        <v>1</v>
      </c>
    </row>
    <row r="41405" customFormat="false" ht="12.8" hidden="false" customHeight="false" outlineLevel="0" collapsed="false">
      <c r="B41405" s="0" t="s">
        <v>8</v>
      </c>
    </row>
    <row r="41406" customFormat="false" ht="12.8" hidden="false" customHeight="false" outlineLevel="0" collapsed="false">
      <c r="B41406" s="0" t="s">
        <v>36</v>
      </c>
    </row>
    <row r="41407" customFormat="false" ht="12.8" hidden="false" customHeight="false" outlineLevel="0" collapsed="false">
      <c r="B41407" s="0" t="s">
        <v>101</v>
      </c>
    </row>
    <row r="41409" customFormat="false" ht="12.8" hidden="false" customHeight="false" outlineLevel="0" collapsed="false">
      <c r="A41409" s="0" t="s">
        <v>15182</v>
      </c>
      <c r="B41409" s="0" t="str">
        <f aca="false">HYPERLINK("https://lindat.mff.cuni.cz/services/teitok/pdtc10/index.php?action=vallex&amp;frame=v-w5702f2", "rozmnožit (v-w5702f2)")</f>
        <v>rozmnožit (v-w5702f2)</v>
      </c>
      <c r="E41409" s="0" t="str">
        <f aca="false">HYPERLINK("https://lindat.mff.cuni.cz/services/SynSemClass40/SynSemClass40.html?veclass=vec01246#vec01246-ces-cm00008", "vec01246")</f>
        <v>vec01246</v>
      </c>
      <c r="F41409" s="0" t="s">
        <v>5636</v>
      </c>
    </row>
    <row r="41410" customFormat="false" ht="12.8" hidden="false" customHeight="false" outlineLevel="0" collapsed="false">
      <c r="B41410" s="0" t="s">
        <v>1</v>
      </c>
      <c r="C41410" s="0" t="s">
        <v>447</v>
      </c>
      <c r="E41410" s="0" t="s">
        <v>768</v>
      </c>
      <c r="F41410" s="0" t="s">
        <v>5637</v>
      </c>
    </row>
    <row r="41411" customFormat="false" ht="12.8" hidden="false" customHeight="false" outlineLevel="0" collapsed="false">
      <c r="B41411" s="0" t="s">
        <v>8</v>
      </c>
      <c r="C41411" s="0" t="s">
        <v>827</v>
      </c>
      <c r="E41411" s="0" t="s">
        <v>1569</v>
      </c>
      <c r="F41411" s="0" t="s">
        <v>5638</v>
      </c>
    </row>
    <row r="41413" customFormat="false" ht="12.8" hidden="false" customHeight="false" outlineLevel="0" collapsed="false">
      <c r="A41413" s="0" t="s">
        <v>15183</v>
      </c>
      <c r="B41413" s="0" t="str">
        <f aca="false">HYPERLINK("https://lindat.mff.cuni.cz/services/teitok/pdtc10/index.php?action=vallex&amp;frame=v-whsb_159hsa_160", "rozmnožit se (v-whsb_159hsa_160)")</f>
        <v>rozmnožit se (v-whsb_159hsa_160)</v>
      </c>
    </row>
    <row r="41414" customFormat="false" ht="12.8" hidden="false" customHeight="false" outlineLevel="0" collapsed="false">
      <c r="B41414" s="0" t="s">
        <v>1</v>
      </c>
    </row>
    <row r="41416" customFormat="false" ht="12.8" hidden="false" customHeight="false" outlineLevel="0" collapsed="false">
      <c r="A41416" s="0" t="s">
        <v>15184</v>
      </c>
      <c r="B41416" s="0" t="str">
        <f aca="false">HYPERLINK("https://lindat.mff.cuni.cz/services/teitok/pdtc10/index.php?action=vallex&amp;frame=v-w11805_ZUf1_ZU", "rozmnožovat (v-w11805_ZUf1_ZU)")</f>
        <v>rozmnožovat (v-w11805_ZUf1_ZU)</v>
      </c>
    </row>
    <row r="41417" customFormat="false" ht="12.8" hidden="false" customHeight="false" outlineLevel="0" collapsed="false">
      <c r="B41417" s="0" t="s">
        <v>1</v>
      </c>
    </row>
    <row r="41418" customFormat="false" ht="12.8" hidden="false" customHeight="false" outlineLevel="0" collapsed="false">
      <c r="B41418" s="0" t="s">
        <v>8</v>
      </c>
    </row>
    <row r="41420" customFormat="false" ht="12.8" hidden="false" customHeight="false" outlineLevel="0" collapsed="false">
      <c r="A41420" s="0" t="s">
        <v>15185</v>
      </c>
      <c r="B41420" s="0" t="str">
        <f aca="false">HYPERLINK("https://lindat.mff.cuni.cz/services/teitok/pdtc10/index.php?action=vallex&amp;frame=v-w11576_ZUf1_ZU", "rozmoci se (v-w11576_ZUf1_ZU)")</f>
        <v>rozmoci se (v-w11576_ZUf1_ZU)</v>
      </c>
    </row>
    <row r="41421" customFormat="false" ht="12.8" hidden="false" customHeight="false" outlineLevel="0" collapsed="false">
      <c r="B41421" s="0" t="s">
        <v>1</v>
      </c>
    </row>
    <row r="41423" customFormat="false" ht="12.8" hidden="false" customHeight="false" outlineLevel="0" collapsed="false">
      <c r="A41423" s="0" t="s">
        <v>15186</v>
      </c>
      <c r="B41423" s="0" t="str">
        <f aca="false">HYPERLINK("https://lindat.mff.cuni.cz/services/teitok/pdtc10/index.php?action=vallex&amp;frame=v-w5703f1", "rozmotat (v-w5703f1)")</f>
        <v>rozmotat (v-w5703f1)</v>
      </c>
    </row>
    <row r="41424" customFormat="false" ht="12.8" hidden="false" customHeight="false" outlineLevel="0" collapsed="false">
      <c r="B41424" s="0" t="s">
        <v>1</v>
      </c>
    </row>
    <row r="41425" customFormat="false" ht="12.8" hidden="false" customHeight="false" outlineLevel="0" collapsed="false">
      <c r="B41425" s="0" t="s">
        <v>8</v>
      </c>
    </row>
    <row r="41427" customFormat="false" ht="12.8" hidden="false" customHeight="false" outlineLevel="0" collapsed="false">
      <c r="A41427" s="0" t="s">
        <v>15187</v>
      </c>
      <c r="B41427" s="0" t="str">
        <f aca="false">HYPERLINK("https://lindat.mff.cuni.cz/services/teitok/pdtc10/index.php?action=vallex&amp;frame=v-whsa_1430hsa_1431", "rozmrazovat (v-whsa_1430hsa_1431)")</f>
        <v>rozmrazovat (v-whsa_1430hsa_1431)</v>
      </c>
    </row>
    <row r="41428" customFormat="false" ht="12.8" hidden="false" customHeight="false" outlineLevel="0" collapsed="false">
      <c r="B41428" s="0" t="s">
        <v>1</v>
      </c>
    </row>
    <row r="41429" customFormat="false" ht="12.8" hidden="false" customHeight="false" outlineLevel="0" collapsed="false">
      <c r="B41429" s="0" t="s">
        <v>8</v>
      </c>
    </row>
    <row r="41431" customFormat="false" ht="12.8" hidden="false" customHeight="false" outlineLevel="0" collapsed="false">
      <c r="A41431" s="0" t="s">
        <v>15188</v>
      </c>
      <c r="B41431" s="0" t="str">
        <f aca="false">HYPERLINK("https://lindat.mff.cuni.cz/services/teitok/pdtc10/index.php?action=vallex&amp;frame=v-w5704f1", "rozmrznout (v-w5704f1)")</f>
        <v>rozmrznout (v-w5704f1)</v>
      </c>
    </row>
    <row r="41432" customFormat="false" ht="12.8" hidden="false" customHeight="false" outlineLevel="0" collapsed="false">
      <c r="B41432" s="0" t="s">
        <v>1</v>
      </c>
    </row>
    <row r="41434" customFormat="false" ht="12.8" hidden="false" customHeight="false" outlineLevel="0" collapsed="false">
      <c r="A41434" s="0" t="s">
        <v>15189</v>
      </c>
      <c r="B41434" s="0" t="str">
        <f aca="false">HYPERLINK("https://lindat.mff.cuni.cz/services/teitok/pdtc10/index.php?action=vallex&amp;frame=v-whsa_1202hsa_1203", "rozmyslet se (v-whsa_1202hsa_1203)")</f>
        <v>rozmyslet se (v-whsa_1202hsa_1203)</v>
      </c>
      <c r="E41434" s="0" t="str">
        <f aca="false">HYPERLINK("https://lindat.mff.cuni.cz/services/SynSemClass40/SynSemClass40.html?veclass=vec01044#vec01044-ces-cm00009", "vec01044")</f>
        <v>vec01044</v>
      </c>
      <c r="F41434" s="0" t="s">
        <v>6397</v>
      </c>
    </row>
    <row r="41435" customFormat="false" ht="12.8" hidden="false" customHeight="false" outlineLevel="0" collapsed="false">
      <c r="B41435" s="0" t="s">
        <v>1</v>
      </c>
      <c r="C41435" s="0" t="s">
        <v>825</v>
      </c>
      <c r="E41435" s="0" t="s">
        <v>914</v>
      </c>
      <c r="F41435" s="0" t="s">
        <v>6398</v>
      </c>
    </row>
    <row r="41437" customFormat="false" ht="12.8" hidden="false" customHeight="false" outlineLevel="0" collapsed="false">
      <c r="A41437" s="0" t="s">
        <v>15190</v>
      </c>
      <c r="B41437" s="0" t="str">
        <f aca="false">HYPERLINK("https://lindat.mff.cuni.cz/services/teitok/pdtc10/index.php?action=vallex&amp;frame=v-w5705f1", "rozmyslet si (v-w5705f1)")</f>
        <v>rozmyslet si (v-w5705f1)</v>
      </c>
      <c r="E41437" s="0" t="str">
        <f aca="false">HYPERLINK("https://lindat.mff.cuni.cz/services/SynSemClass40/SynSemClass40.html?veclass=vec00149#vec00149-ces-cm00126", "vec00149")</f>
        <v>vec00149</v>
      </c>
      <c r="F41437" s="0" t="s">
        <v>686</v>
      </c>
    </row>
    <row r="41438" customFormat="false" ht="12.8" hidden="false" customHeight="false" outlineLevel="0" collapsed="false">
      <c r="B41438" s="0" t="s">
        <v>1</v>
      </c>
      <c r="C41438" s="0" t="s">
        <v>687</v>
      </c>
      <c r="E41438" s="0" t="s">
        <v>621</v>
      </c>
      <c r="F41438" s="0" t="s">
        <v>688</v>
      </c>
    </row>
    <row r="41439" customFormat="false" ht="12.8" hidden="false" customHeight="false" outlineLevel="0" collapsed="false">
      <c r="B41439" s="0" t="s">
        <v>15191</v>
      </c>
      <c r="C41439" s="0" t="s">
        <v>690</v>
      </c>
      <c r="E41439" s="0" t="s">
        <v>209</v>
      </c>
      <c r="F41439" s="0" t="s">
        <v>691</v>
      </c>
    </row>
    <row r="41441" customFormat="false" ht="12.8" hidden="false" customHeight="false" outlineLevel="0" collapsed="false">
      <c r="A41441" s="0" t="s">
        <v>15192</v>
      </c>
      <c r="B41441" s="0" t="str">
        <f aca="false">HYPERLINK("https://lindat.mff.cuni.cz/services/teitok/pdtc10/index.php?action=vallex&amp;frame=v-w5706f1", "rozmyslit si (v-w5706f1)")</f>
        <v>rozmyslit si (v-w5706f1)</v>
      </c>
    </row>
    <row r="41442" customFormat="false" ht="12.8" hidden="false" customHeight="false" outlineLevel="0" collapsed="false">
      <c r="B41442" s="0" t="s">
        <v>1</v>
      </c>
    </row>
    <row r="41443" customFormat="false" ht="12.8" hidden="false" customHeight="false" outlineLevel="0" collapsed="false">
      <c r="B41443" s="0" t="s">
        <v>15191</v>
      </c>
    </row>
    <row r="41445" customFormat="false" ht="12.8" hidden="false" customHeight="false" outlineLevel="0" collapsed="false">
      <c r="A41445" s="0" t="s">
        <v>15193</v>
      </c>
      <c r="B41445" s="0" t="str">
        <f aca="false">HYPERLINK("https://lindat.mff.cuni.cz/services/teitok/pdtc10/index.php?action=vallex&amp;frame=v-w11446f1", "rozmáchnout se (v-w11446f1)")</f>
        <v>rozmáchnout se (v-w11446f1)</v>
      </c>
    </row>
    <row r="41446" customFormat="false" ht="12.8" hidden="false" customHeight="false" outlineLevel="0" collapsed="false">
      <c r="B41446" s="0" t="s">
        <v>1</v>
      </c>
    </row>
    <row r="41448" customFormat="false" ht="12.8" hidden="false" customHeight="false" outlineLevel="0" collapsed="false">
      <c r="A41448" s="0" t="s">
        <v>15194</v>
      </c>
      <c r="B41448" s="0" t="str">
        <f aca="false">HYPERLINK("https://lindat.mff.cuni.cz/services/teitok/pdtc10/index.php?action=vallex&amp;frame=v-w5689f1", "rozmáhat se (v-w5689f1)")</f>
        <v>rozmáhat se (v-w5689f1)</v>
      </c>
    </row>
    <row r="41449" customFormat="false" ht="12.8" hidden="false" customHeight="false" outlineLevel="0" collapsed="false">
      <c r="B41449" s="0" t="s">
        <v>1</v>
      </c>
    </row>
    <row r="41451" customFormat="false" ht="12.8" hidden="false" customHeight="false" outlineLevel="0" collapsed="false">
      <c r="A41451" s="0" t="s">
        <v>15195</v>
      </c>
      <c r="B41451" s="0" t="str">
        <f aca="false">HYPERLINK("https://lindat.mff.cuni.cz/services/teitok/pdtc10/index.php?action=vallex&amp;frame=v-w5696f1", "rozmíchat (v-w5696f1)")</f>
        <v>rozmíchat (v-w5696f1)</v>
      </c>
      <c r="E41451" s="0" t="str">
        <f aca="false">HYPERLINK("https://lindat.mff.cuni.cz/services/SynSemClass40/SynSemClass40.html?veclass=vec01519#vec01519-ces-cm00022", "vec01519")</f>
        <v>vec01519</v>
      </c>
      <c r="F41451" s="0" t="s">
        <v>6441</v>
      </c>
    </row>
    <row r="41452" customFormat="false" ht="12.8" hidden="false" customHeight="false" outlineLevel="0" collapsed="false">
      <c r="B41452" s="0" t="s">
        <v>1</v>
      </c>
      <c r="C41452" s="0" t="s">
        <v>6442</v>
      </c>
      <c r="E41452" s="0" t="s">
        <v>768</v>
      </c>
      <c r="F41452" s="0" t="s">
        <v>6443</v>
      </c>
    </row>
    <row r="41453" customFormat="false" ht="12.8" hidden="false" customHeight="false" outlineLevel="0" collapsed="false">
      <c r="B41453" s="0" t="s">
        <v>8</v>
      </c>
      <c r="C41453" s="0" t="s">
        <v>6444</v>
      </c>
      <c r="E41453" s="0" t="s">
        <v>771</v>
      </c>
      <c r="F41453" s="0" t="s">
        <v>6445</v>
      </c>
    </row>
    <row r="41454" customFormat="false" ht="12.8" hidden="false" customHeight="false" outlineLevel="0" collapsed="false">
      <c r="B41454" s="0" t="s">
        <v>36</v>
      </c>
      <c r="C41454" s="0" t="s">
        <v>6446</v>
      </c>
      <c r="E41454" s="0" t="s">
        <v>6329</v>
      </c>
      <c r="F41454" s="0" t="s">
        <v>6447</v>
      </c>
    </row>
    <row r="41456" customFormat="false" ht="12.8" hidden="false" customHeight="false" outlineLevel="0" collapsed="false">
      <c r="A41456" s="0" t="s">
        <v>15196</v>
      </c>
      <c r="B41456" s="0" t="str">
        <f aca="false">HYPERLINK("https://lindat.mff.cuni.cz/services/teitok/pdtc10/index.php?action=vallex&amp;frame=v-w5697f1", "rozmístit (v-w5697f1)")</f>
        <v>rozmístit (v-w5697f1)</v>
      </c>
      <c r="E41456" s="0" t="str">
        <f aca="false">HYPERLINK("https://lindat.mff.cuni.cz/services/SynSemClass40/SynSemClass40.html?veclass=vec00735#vec00735-ces-cm00025", "vec00735")</f>
        <v>vec00735</v>
      </c>
      <c r="F41456" s="0" t="s">
        <v>2719</v>
      </c>
    </row>
    <row r="41457" customFormat="false" ht="12.8" hidden="false" customHeight="false" outlineLevel="0" collapsed="false">
      <c r="B41457" s="0" t="s">
        <v>1</v>
      </c>
      <c r="C41457" s="0" t="s">
        <v>2720</v>
      </c>
      <c r="E41457" s="0" t="s">
        <v>334</v>
      </c>
      <c r="F41457" s="0" t="s">
        <v>2721</v>
      </c>
    </row>
    <row r="41458" customFormat="false" ht="12.8" hidden="false" customHeight="false" outlineLevel="0" collapsed="false">
      <c r="B41458" s="0" t="s">
        <v>8</v>
      </c>
      <c r="C41458" s="0" t="s">
        <v>2722</v>
      </c>
      <c r="E41458" s="0" t="s">
        <v>2648</v>
      </c>
      <c r="F41458" s="0" t="s">
        <v>2723</v>
      </c>
    </row>
    <row r="41459" customFormat="false" ht="12.8" hidden="false" customHeight="false" outlineLevel="0" collapsed="false">
      <c r="B41459" s="0" t="s">
        <v>5</v>
      </c>
      <c r="C41459" s="0" t="s">
        <v>6068</v>
      </c>
      <c r="E41459" s="0" t="s">
        <v>3254</v>
      </c>
      <c r="F41459" s="0" t="s">
        <v>6069</v>
      </c>
    </row>
    <row r="41461" customFormat="false" ht="12.8" hidden="false" customHeight="false" outlineLevel="0" collapsed="false">
      <c r="A41461" s="0" t="s">
        <v>15197</v>
      </c>
      <c r="B41461" s="0" t="str">
        <f aca="false">HYPERLINK("https://lindat.mff.cuni.cz/services/teitok/pdtc10/index.php?action=vallex&amp;frame=v-w5697f2", "rozmístit (v-w5697f2)")</f>
        <v>rozmístit (v-w5697f2)</v>
      </c>
      <c r="E41461" s="0" t="str">
        <f aca="false">HYPERLINK("https://lindat.mff.cuni.cz/services/SynSemClass40/SynSemClass40.html?veclass=vec00735#vec00735-ces-cm00169", "vec00735")</f>
        <v>vec00735</v>
      </c>
      <c r="F41461" s="0" t="s">
        <v>2719</v>
      </c>
    </row>
    <row r="41462" customFormat="false" ht="12.8" hidden="false" customHeight="false" outlineLevel="0" collapsed="false">
      <c r="B41462" s="0" t="s">
        <v>1</v>
      </c>
      <c r="C41462" s="0" t="s">
        <v>2720</v>
      </c>
      <c r="E41462" s="0" t="s">
        <v>334</v>
      </c>
      <c r="F41462" s="0" t="s">
        <v>2721</v>
      </c>
    </row>
    <row r="41463" customFormat="false" ht="12.8" hidden="false" customHeight="false" outlineLevel="0" collapsed="false">
      <c r="B41463" s="0" t="s">
        <v>8</v>
      </c>
      <c r="C41463" s="0" t="s">
        <v>2722</v>
      </c>
      <c r="E41463" s="0" t="s">
        <v>2648</v>
      </c>
      <c r="F41463" s="0" t="s">
        <v>2723</v>
      </c>
    </row>
    <row r="41464" customFormat="false" ht="12.8" hidden="false" customHeight="false" outlineLevel="0" collapsed="false">
      <c r="B41464" s="0" t="s">
        <v>164</v>
      </c>
      <c r="C41464" s="0" t="s">
        <v>2724</v>
      </c>
      <c r="E41464" s="0" t="s">
        <v>370</v>
      </c>
      <c r="F41464" s="0" t="s">
        <v>2725</v>
      </c>
    </row>
    <row r="41466" customFormat="false" ht="12.8" hidden="false" customHeight="false" outlineLevel="0" collapsed="false">
      <c r="A41466" s="0" t="s">
        <v>15198</v>
      </c>
      <c r="B41466" s="0" t="str">
        <f aca="false">HYPERLINK("https://lindat.mff.cuni.cz/services/teitok/pdtc10/index.php?action=vallex&amp;frame=v-w12072_ZUf1_ZU", "rozmístit se (v-w12072_ZUf1_ZU)")</f>
        <v>rozmístit se (v-w12072_ZUf1_ZU)</v>
      </c>
    </row>
    <row r="41467" customFormat="false" ht="12.8" hidden="false" customHeight="false" outlineLevel="0" collapsed="false">
      <c r="B41467" s="0" t="s">
        <v>1</v>
      </c>
    </row>
    <row r="41469" customFormat="false" ht="12.8" hidden="false" customHeight="false" outlineLevel="0" collapsed="false">
      <c r="A41469" s="0" t="s">
        <v>15199</v>
      </c>
      <c r="B41469" s="0" t="str">
        <f aca="false">HYPERLINK("https://lindat.mff.cuni.cz/services/teitok/pdtc10/index.php?action=vallex&amp;frame=v-w5699f1", "rozmísťovat (v-w5699f1)")</f>
        <v>rozmísťovat (v-w5699f1)</v>
      </c>
    </row>
    <row r="41470" customFormat="false" ht="12.8" hidden="false" customHeight="false" outlineLevel="0" collapsed="false">
      <c r="B41470" s="0" t="s">
        <v>1</v>
      </c>
    </row>
    <row r="41471" customFormat="false" ht="12.8" hidden="false" customHeight="false" outlineLevel="0" collapsed="false">
      <c r="B41471" s="0" t="s">
        <v>8</v>
      </c>
    </row>
    <row r="41472" customFormat="false" ht="12.8" hidden="false" customHeight="false" outlineLevel="0" collapsed="false">
      <c r="B41472" s="0" t="s">
        <v>5</v>
      </c>
    </row>
    <row r="41474" customFormat="false" ht="12.8" hidden="false" customHeight="false" outlineLevel="0" collapsed="false">
      <c r="A41474" s="0" t="s">
        <v>15200</v>
      </c>
      <c r="B41474" s="0" t="str">
        <f aca="false">HYPERLINK("https://lindat.mff.cuni.cz/services/teitok/pdtc10/index.php?action=vallex&amp;frame=v-w5699f2", "rozmísťovat (v-w5699f2)")</f>
        <v>rozmísťovat (v-w5699f2)</v>
      </c>
    </row>
    <row r="41475" customFormat="false" ht="12.8" hidden="false" customHeight="false" outlineLevel="0" collapsed="false">
      <c r="B41475" s="0" t="s">
        <v>1</v>
      </c>
    </row>
    <row r="41476" customFormat="false" ht="12.8" hidden="false" customHeight="false" outlineLevel="0" collapsed="false">
      <c r="B41476" s="0" t="s">
        <v>8</v>
      </c>
    </row>
    <row r="41477" customFormat="false" ht="12.8" hidden="false" customHeight="false" outlineLevel="0" collapsed="false">
      <c r="B41477" s="0" t="s">
        <v>164</v>
      </c>
    </row>
    <row r="41479" customFormat="false" ht="12.8" hidden="false" customHeight="false" outlineLevel="0" collapsed="false">
      <c r="A41479" s="0" t="s">
        <v>15201</v>
      </c>
      <c r="B41479" s="0" t="str">
        <f aca="false">HYPERLINK("https://lindat.mff.cuni.cz/services/teitok/pdtc10/index.php?action=vallex&amp;frame=v-w5707f1", "rozmýšlet (v-w5707f1)")</f>
        <v>rozmýšlet (v-w5707f1)</v>
      </c>
    </row>
    <row r="41480" customFormat="false" ht="12.8" hidden="false" customHeight="false" outlineLevel="0" collapsed="false">
      <c r="B41480" s="0" t="s">
        <v>1</v>
      </c>
    </row>
    <row r="41481" customFormat="false" ht="12.8" hidden="false" customHeight="false" outlineLevel="0" collapsed="false">
      <c r="B41481" s="0" t="s">
        <v>3363</v>
      </c>
    </row>
    <row r="41483" customFormat="false" ht="12.8" hidden="false" customHeight="false" outlineLevel="0" collapsed="false">
      <c r="A41483" s="0" t="s">
        <v>15202</v>
      </c>
      <c r="B41483" s="0" t="str">
        <f aca="false">HYPERLINK("https://lindat.mff.cuni.cz/services/teitok/pdtc10/index.php?action=vallex&amp;frame=v-w5708f1", "rozmýšlet se (v-w5708f1)")</f>
        <v>rozmýšlet se (v-w5708f1)</v>
      </c>
    </row>
    <row r="41484" customFormat="false" ht="12.8" hidden="false" customHeight="false" outlineLevel="0" collapsed="false">
      <c r="B41484" s="0" t="s">
        <v>1</v>
      </c>
    </row>
    <row r="41485" customFormat="false" ht="12.8" hidden="false" customHeight="false" outlineLevel="0" collapsed="false">
      <c r="B41485" s="0" t="s">
        <v>15203</v>
      </c>
    </row>
    <row r="41487" customFormat="false" ht="12.8" hidden="false" customHeight="false" outlineLevel="0" collapsed="false">
      <c r="A41487" s="0" t="s">
        <v>15204</v>
      </c>
      <c r="B41487" s="0" t="str">
        <f aca="false">HYPERLINK("https://lindat.mff.cuni.cz/services/teitok/pdtc10/index.php?action=vallex&amp;frame=v-w11577_ZUf1_ZU", "rozmýšlet si (v-w11577_ZUf1_ZU)")</f>
        <v>rozmýšlet si (v-w11577_ZUf1_ZU)</v>
      </c>
      <c r="E41487" s="0" t="str">
        <f aca="false">HYPERLINK("https://lindat.mff.cuni.cz/services/SynSemClass40/SynSemClass40.html?veclass=vec00149#vec00149-ces-cm00142", "vec00149")</f>
        <v>vec00149</v>
      </c>
      <c r="F41487" s="0" t="s">
        <v>686</v>
      </c>
    </row>
    <row r="41488" customFormat="false" ht="12.8" hidden="false" customHeight="false" outlineLevel="0" collapsed="false">
      <c r="B41488" s="0" t="s">
        <v>1</v>
      </c>
      <c r="C41488" s="0" t="s">
        <v>687</v>
      </c>
      <c r="E41488" s="0" t="s">
        <v>621</v>
      </c>
      <c r="F41488" s="0" t="s">
        <v>688</v>
      </c>
    </row>
    <row r="41489" customFormat="false" ht="12.8" hidden="false" customHeight="false" outlineLevel="0" collapsed="false">
      <c r="B41489" s="0" t="s">
        <v>15191</v>
      </c>
      <c r="C41489" s="0" t="s">
        <v>690</v>
      </c>
      <c r="E41489" s="0" t="s">
        <v>209</v>
      </c>
      <c r="F41489" s="0" t="s">
        <v>691</v>
      </c>
    </row>
    <row r="41491" customFormat="false" ht="12.8" hidden="false" customHeight="false" outlineLevel="0" collapsed="false">
      <c r="A41491" s="0" t="s">
        <v>15205</v>
      </c>
      <c r="B41491" s="0" t="str">
        <f aca="false">HYPERLINK("https://lindat.mff.cuni.cz/services/teitok/pdtc10/index.php?action=vallex&amp;frame=v-w5693f1", "rozmělňovat (v-w5693f1)")</f>
        <v>rozmělňovat (v-w5693f1)</v>
      </c>
      <c r="E41491" s="0" t="str">
        <f aca="false">HYPERLINK("https://lindat.mff.cuni.cz/services/SynSemClass40/SynSemClass40.html?veclass=vec00296#vec00296-ces-cm00061", "vec00296")</f>
        <v>vec00296</v>
      </c>
      <c r="F41491" s="0" t="s">
        <v>5275</v>
      </c>
    </row>
    <row r="41492" customFormat="false" ht="12.8" hidden="false" customHeight="false" outlineLevel="0" collapsed="false">
      <c r="B41492" s="0" t="s">
        <v>1</v>
      </c>
      <c r="C41492" s="0" t="s">
        <v>5276</v>
      </c>
      <c r="E41492" s="0" t="s">
        <v>11</v>
      </c>
      <c r="F41492" s="0" t="s">
        <v>5277</v>
      </c>
    </row>
    <row r="41493" customFormat="false" ht="12.8" hidden="false" customHeight="false" outlineLevel="0" collapsed="false">
      <c r="B41493" s="0" t="s">
        <v>8</v>
      </c>
      <c r="C41493" s="0" t="s">
        <v>5278</v>
      </c>
      <c r="E41493" s="0" t="s">
        <v>5279</v>
      </c>
      <c r="F41493" s="0" t="s">
        <v>5280</v>
      </c>
    </row>
    <row r="41494" customFormat="false" ht="12.8" hidden="false" customHeight="false" outlineLevel="0" collapsed="false">
      <c r="B41494" s="0" t="s">
        <v>101</v>
      </c>
      <c r="C41494" s="0" t="s">
        <v>5281</v>
      </c>
      <c r="E41494" s="0" t="s">
        <v>2584</v>
      </c>
      <c r="F41494" s="0" t="s">
        <v>5282</v>
      </c>
    </row>
    <row r="41496" customFormat="false" ht="12.8" hidden="false" customHeight="false" outlineLevel="0" collapsed="false">
      <c r="A41496" s="0" t="s">
        <v>15206</v>
      </c>
      <c r="B41496" s="0" t="str">
        <f aca="false">HYPERLINK("https://lindat.mff.cuni.cz/services/teitok/pdtc10/index.php?action=vallex&amp;frame=v-w5694f1", "rozměnit (v-w5694f1)")</f>
        <v>rozměnit (v-w5694f1)</v>
      </c>
    </row>
    <row r="41497" customFormat="false" ht="12.8" hidden="false" customHeight="false" outlineLevel="0" collapsed="false">
      <c r="B41497" s="0" t="s">
        <v>1</v>
      </c>
    </row>
    <row r="41498" customFormat="false" ht="12.8" hidden="false" customHeight="false" outlineLevel="0" collapsed="false">
      <c r="B41498" s="0" t="s">
        <v>8</v>
      </c>
    </row>
    <row r="41499" customFormat="false" ht="12.8" hidden="false" customHeight="false" outlineLevel="0" collapsed="false">
      <c r="B41499" s="0" t="s">
        <v>15207</v>
      </c>
    </row>
    <row r="41501" customFormat="false" ht="12.8" hidden="false" customHeight="false" outlineLevel="0" collapsed="false">
      <c r="A41501" s="0" t="s">
        <v>15208</v>
      </c>
      <c r="B41501" s="0" t="str">
        <f aca="false">HYPERLINK("https://lindat.mff.cuni.cz/services/teitok/pdtc10/index.php?action=vallex&amp;frame=v-w11288f1", "roznásobovat (v-w11288f1)")</f>
        <v>roznásobovat (v-w11288f1)</v>
      </c>
    </row>
    <row r="41502" customFormat="false" ht="12.8" hidden="false" customHeight="false" outlineLevel="0" collapsed="false">
      <c r="B41502" s="0" t="s">
        <v>1</v>
      </c>
    </row>
    <row r="41503" customFormat="false" ht="12.8" hidden="false" customHeight="false" outlineLevel="0" collapsed="false">
      <c r="B41503" s="0" t="s">
        <v>8</v>
      </c>
    </row>
    <row r="41505" customFormat="false" ht="12.8" hidden="false" customHeight="false" outlineLevel="0" collapsed="false">
      <c r="A41505" s="0" t="s">
        <v>15209</v>
      </c>
      <c r="B41505" s="0" t="str">
        <f aca="false">HYPERLINK("https://lindat.mff.cuni.cz/services/teitok/pdtc10/index.php?action=vallex&amp;frame=v-w5710f1", "roznášet (v-w5710f1)")</f>
        <v>roznášet (v-w5710f1)</v>
      </c>
    </row>
    <row r="41506" customFormat="false" ht="12.8" hidden="false" customHeight="false" outlineLevel="0" collapsed="false">
      <c r="B41506" s="0" t="s">
        <v>1</v>
      </c>
    </row>
    <row r="41507" customFormat="false" ht="12.8" hidden="false" customHeight="false" outlineLevel="0" collapsed="false">
      <c r="B41507" s="0" t="s">
        <v>8</v>
      </c>
    </row>
    <row r="41509" customFormat="false" ht="12.8" hidden="false" customHeight="false" outlineLevel="0" collapsed="false">
      <c r="A41509" s="0" t="s">
        <v>15210</v>
      </c>
      <c r="B41509" s="0" t="str">
        <f aca="false">HYPERLINK("https://lindat.mff.cuni.cz/services/teitok/pdtc10/index.php?action=vallex&amp;frame=v-w5710f2", "roznášet (v-w5710f2)")</f>
        <v>roznášet (v-w5710f2)</v>
      </c>
    </row>
    <row r="41510" customFormat="false" ht="12.8" hidden="false" customHeight="false" outlineLevel="0" collapsed="false">
      <c r="B41510" s="0" t="s">
        <v>1</v>
      </c>
    </row>
    <row r="41511" customFormat="false" ht="12.8" hidden="false" customHeight="false" outlineLevel="0" collapsed="false">
      <c r="B41511" s="0" t="s">
        <v>6412</v>
      </c>
    </row>
    <row r="41512" customFormat="false" ht="12.8" hidden="false" customHeight="false" outlineLevel="0" collapsed="false">
      <c r="B41512" s="0" t="s">
        <v>496</v>
      </c>
    </row>
    <row r="41514" customFormat="false" ht="12.8" hidden="false" customHeight="false" outlineLevel="0" collapsed="false">
      <c r="A41514" s="0" t="s">
        <v>15211</v>
      </c>
      <c r="B41514" s="0" t="str">
        <f aca="false">HYPERLINK("https://lindat.mff.cuni.cz/services/teitok/pdtc10/index.php?action=vallex&amp;frame=v-w5710f4_ZU", "roznášet (v-w5710f4_ZU)")</f>
        <v>roznášet (v-w5710f4_ZU)</v>
      </c>
    </row>
    <row r="41515" customFormat="false" ht="12.8" hidden="false" customHeight="false" outlineLevel="0" collapsed="false">
      <c r="B41515" s="0" t="s">
        <v>1</v>
      </c>
    </row>
    <row r="41516" customFormat="false" ht="12.8" hidden="false" customHeight="false" outlineLevel="0" collapsed="false">
      <c r="B41516" s="0" t="s">
        <v>8</v>
      </c>
    </row>
    <row r="41518" customFormat="false" ht="12.8" hidden="false" customHeight="false" outlineLevel="0" collapsed="false">
      <c r="A41518" s="0" t="s">
        <v>15211</v>
      </c>
      <c r="B41518" s="0" t="str">
        <f aca="false">HYPERLINK("https://lindat.mff.cuni.cz/services/teitok/pdtc10/index.php?action=vallex&amp;frame=v-w5710f3_ZU", "roznášet (v-w5710f3_ZU) - substituted with v-w5710f4_ZU")</f>
        <v>roznášet (v-w5710f3_ZU) - substituted with v-w5710f4_ZU</v>
      </c>
    </row>
    <row r="41519" customFormat="false" ht="12.8" hidden="false" customHeight="false" outlineLevel="0" collapsed="false">
      <c r="B41519" s="0" t="s">
        <v>1</v>
      </c>
    </row>
    <row r="41520" customFormat="false" ht="12.8" hidden="false" customHeight="false" outlineLevel="0" collapsed="false">
      <c r="B41520" s="0" t="s">
        <v>8</v>
      </c>
    </row>
    <row r="41522" customFormat="false" ht="12.8" hidden="false" customHeight="false" outlineLevel="0" collapsed="false">
      <c r="A41522" s="0" t="s">
        <v>15212</v>
      </c>
      <c r="B41522" s="0" t="str">
        <f aca="false">HYPERLINK("https://lindat.mff.cuni.cz/services/teitok/pdtc10/index.php?action=vallex&amp;frame=v-w5712f1", "roznést (v-w5712f1)")</f>
        <v>roznést (v-w5712f1)</v>
      </c>
      <c r="E41522" s="0" t="str">
        <f aca="false">HYPERLINK("https://lindat.mff.cuni.cz/services/SynSemClass40/SynSemClass40.html?veclass=vec00209#vec00209-ces-cm00330", "vec00209")</f>
        <v>vec00209</v>
      </c>
      <c r="F41522" s="0" t="s">
        <v>2040</v>
      </c>
      <c r="H41522" s="0" t="str">
        <f aca="false">HYPERLINK("https://lindat.mff.cuni.cz/services/SynSemClass40/SynSemClass40.html?veclass=vec00912#vec00912-ces-cm00046", "vec00912")</f>
        <v>vec00912</v>
      </c>
      <c r="I41522" s="0" t="s">
        <v>15213</v>
      </c>
    </row>
    <row r="41523" customFormat="false" ht="12.8" hidden="false" customHeight="false" outlineLevel="0" collapsed="false">
      <c r="B41523" s="0" t="s">
        <v>1</v>
      </c>
      <c r="C41523" s="0" t="s">
        <v>15214</v>
      </c>
      <c r="E41523" s="0" t="s">
        <v>1784</v>
      </c>
      <c r="F41523" s="0" t="s">
        <v>2042</v>
      </c>
      <c r="H41523" s="0" t="s">
        <v>1866</v>
      </c>
      <c r="I41523" s="0" t="s">
        <v>15215</v>
      </c>
    </row>
    <row r="41524" customFormat="false" ht="12.8" hidden="false" customHeight="false" outlineLevel="0" collapsed="false">
      <c r="B41524" s="0" t="s">
        <v>8</v>
      </c>
      <c r="C41524" s="0" t="s">
        <v>15216</v>
      </c>
      <c r="E41524" s="0" t="s">
        <v>1787</v>
      </c>
      <c r="F41524" s="0" t="s">
        <v>2044</v>
      </c>
      <c r="H41524" s="0" t="s">
        <v>1873</v>
      </c>
      <c r="I41524" s="0" t="s">
        <v>15217</v>
      </c>
    </row>
    <row r="41526" customFormat="false" ht="12.8" hidden="false" customHeight="false" outlineLevel="0" collapsed="false">
      <c r="A41526" s="0" t="s">
        <v>15218</v>
      </c>
      <c r="B41526" s="0" t="str">
        <f aca="false">HYPERLINK("https://lindat.mff.cuni.cz/services/teitok/pdtc10/index.php?action=vallex&amp;frame=v-w5712f2", "roznést (v-w5712f2)")</f>
        <v>roznést (v-w5712f2)</v>
      </c>
    </row>
    <row r="41527" customFormat="false" ht="12.8" hidden="false" customHeight="false" outlineLevel="0" collapsed="false">
      <c r="B41527" s="0" t="s">
        <v>1</v>
      </c>
    </row>
    <row r="41528" customFormat="false" ht="12.8" hidden="false" customHeight="false" outlineLevel="0" collapsed="false">
      <c r="B41528" s="0" t="s">
        <v>6412</v>
      </c>
    </row>
    <row r="41529" customFormat="false" ht="12.8" hidden="false" customHeight="false" outlineLevel="0" collapsed="false">
      <c r="B41529" s="0" t="s">
        <v>496</v>
      </c>
    </row>
    <row r="41531" customFormat="false" ht="12.8" hidden="false" customHeight="false" outlineLevel="0" collapsed="false">
      <c r="A41531" s="0" t="s">
        <v>15219</v>
      </c>
      <c r="B41531" s="0" t="str">
        <f aca="false">HYPERLINK("https://lindat.mff.cuni.cz/services/teitok/pdtc10/index.php?action=vallex&amp;frame=v-w5712f3_ZU", "roznést (v-w5712f3_ZU)")</f>
        <v>roznést (v-w5712f3_ZU)</v>
      </c>
    </row>
    <row r="41532" customFormat="false" ht="12.8" hidden="false" customHeight="false" outlineLevel="0" collapsed="false">
      <c r="B41532" s="0" t="s">
        <v>1</v>
      </c>
    </row>
    <row r="41533" customFormat="false" ht="12.8" hidden="false" customHeight="false" outlineLevel="0" collapsed="false">
      <c r="B41533" s="0" t="s">
        <v>15220</v>
      </c>
    </row>
    <row r="41534" customFormat="false" ht="12.8" hidden="false" customHeight="false" outlineLevel="0" collapsed="false">
      <c r="B41534" s="0" t="s">
        <v>8</v>
      </c>
    </row>
    <row r="41536" customFormat="false" ht="12.8" hidden="false" customHeight="false" outlineLevel="0" collapsed="false">
      <c r="A41536" s="0" t="s">
        <v>15221</v>
      </c>
      <c r="B41536" s="0" t="str">
        <f aca="false">HYPERLINK("https://lindat.mff.cuni.cz/services/teitok/pdtc10/index.php?action=vallex&amp;frame=v-w10438f3", "roznítit (v-w10438f3)")</f>
        <v>roznítit (v-w10438f3)</v>
      </c>
      <c r="E41536" s="0" t="str">
        <f aca="false">HYPERLINK("https://lindat.mff.cuni.cz/services/SynSemClass40/SynSemClass40.html?veclass=vec00038#vec00038-ces-cm00314", "vec00038")</f>
        <v>vec00038</v>
      </c>
      <c r="F41536" s="0" t="s">
        <v>74</v>
      </c>
      <c r="H41536" s="0" t="str">
        <f aca="false">HYPERLINK("https://lindat.mff.cuni.cz/services/SynSemClass40/SynSemClass40.html?veclass=vec00915#vec00915-ces-cm00004", "vec00915")</f>
        <v>vec00915</v>
      </c>
      <c r="I41536" s="0" t="s">
        <v>14882</v>
      </c>
    </row>
    <row r="41537" customFormat="false" ht="12.8" hidden="false" customHeight="false" outlineLevel="0" collapsed="false">
      <c r="B41537" s="0" t="s">
        <v>1</v>
      </c>
      <c r="C41537" s="0" t="s">
        <v>15222</v>
      </c>
      <c r="E41537" s="0" t="s">
        <v>76</v>
      </c>
      <c r="F41537" s="0" t="s">
        <v>77</v>
      </c>
      <c r="H41537" s="0" t="s">
        <v>76</v>
      </c>
      <c r="I41537" s="0" t="s">
        <v>14883</v>
      </c>
    </row>
    <row r="41538" customFormat="false" ht="12.8" hidden="false" customHeight="false" outlineLevel="0" collapsed="false">
      <c r="B41538" s="0" t="s">
        <v>8</v>
      </c>
      <c r="C41538" s="0" t="s">
        <v>15223</v>
      </c>
      <c r="E41538" s="0" t="s">
        <v>79</v>
      </c>
      <c r="F41538" s="0" t="s">
        <v>80</v>
      </c>
      <c r="H41538" s="0" t="s">
        <v>142</v>
      </c>
      <c r="I41538" s="0" t="s">
        <v>1576</v>
      </c>
    </row>
    <row r="41540" customFormat="false" ht="12.8" hidden="false" customHeight="false" outlineLevel="0" collapsed="false">
      <c r="A41540" s="0" t="s">
        <v>15224</v>
      </c>
      <c r="B41540" s="0" t="str">
        <f aca="false">HYPERLINK("https://lindat.mff.cuni.cz/services/teitok/pdtc10/index.php?action=vallex&amp;frame=v-w5711f1", "rozněcovat (v-w5711f1)")</f>
        <v>rozněcovat (v-w5711f1)</v>
      </c>
    </row>
    <row r="41541" customFormat="false" ht="12.8" hidden="false" customHeight="false" outlineLevel="0" collapsed="false">
      <c r="B41541" s="0" t="s">
        <v>1</v>
      </c>
    </row>
    <row r="41542" customFormat="false" ht="12.8" hidden="false" customHeight="false" outlineLevel="0" collapsed="false">
      <c r="B41542" s="0" t="s">
        <v>8</v>
      </c>
    </row>
    <row r="41544" customFormat="false" ht="12.8" hidden="false" customHeight="false" outlineLevel="0" collapsed="false">
      <c r="A41544" s="0" t="s">
        <v>15225</v>
      </c>
      <c r="B41544" s="0" t="str">
        <f aca="false">HYPERLINK("https://lindat.mff.cuni.cz/services/teitok/pdtc10/index.php?action=vallex&amp;frame=v-w11744_ZUf1_ZU", "rozněžňovat (v-w11744_ZUf1_ZU)")</f>
        <v>rozněžňovat (v-w11744_ZUf1_ZU)</v>
      </c>
    </row>
    <row r="41545" customFormat="false" ht="12.8" hidden="false" customHeight="false" outlineLevel="0" collapsed="false">
      <c r="B41545" s="0" t="s">
        <v>1</v>
      </c>
    </row>
    <row r="41546" customFormat="false" ht="12.8" hidden="false" customHeight="false" outlineLevel="0" collapsed="false">
      <c r="B41546" s="0" t="s">
        <v>8</v>
      </c>
    </row>
    <row r="41548" customFormat="false" ht="12.8" hidden="false" customHeight="false" outlineLevel="0" collapsed="false">
      <c r="A41548" s="0" t="s">
        <v>15226</v>
      </c>
      <c r="B41548" s="0" t="str">
        <f aca="false">HYPERLINK("https://lindat.mff.cuni.cz/services/teitok/pdtc10/index.php?action=vallex&amp;frame=v-w11241f1", "rozohnit se (v-w11241f1)")</f>
        <v>rozohnit se (v-w11241f1)</v>
      </c>
    </row>
    <row r="41549" customFormat="false" ht="12.8" hidden="false" customHeight="false" outlineLevel="0" collapsed="false">
      <c r="B41549" s="0" t="s">
        <v>1</v>
      </c>
    </row>
    <row r="41550" customFormat="false" ht="12.8" hidden="false" customHeight="false" outlineLevel="0" collapsed="false">
      <c r="B41550" s="0" t="s">
        <v>69</v>
      </c>
    </row>
    <row r="41552" customFormat="false" ht="12.8" hidden="false" customHeight="false" outlineLevel="0" collapsed="false">
      <c r="A41552" s="0" t="s">
        <v>15227</v>
      </c>
      <c r="B41552" s="0" t="str">
        <f aca="false">HYPERLINK("https://lindat.mff.cuni.cz/services/teitok/pdtc10/index.php?action=vallex&amp;frame=v-w5716f1", "rozpadat se (v-w5716f1)")</f>
        <v>rozpadat se (v-w5716f1)</v>
      </c>
      <c r="E41552" s="0" t="str">
        <f aca="false">HYPERLINK("https://lindat.mff.cuni.cz/services/SynSemClass40/SynSemClass40.html?veclass=vec01305#vec01305-ces-cm00014", "vec01305")</f>
        <v>vec01305</v>
      </c>
      <c r="F41552" s="0" t="s">
        <v>2015</v>
      </c>
    </row>
    <row r="41553" customFormat="false" ht="12.8" hidden="false" customHeight="false" outlineLevel="0" collapsed="false">
      <c r="B41553" s="0" t="s">
        <v>1</v>
      </c>
      <c r="C41553" s="0" t="s">
        <v>2016</v>
      </c>
      <c r="E41553" s="0" t="s">
        <v>2017</v>
      </c>
      <c r="F41553" s="0" t="s">
        <v>2018</v>
      </c>
    </row>
    <row r="41554" customFormat="false" ht="12.8" hidden="false" customHeight="false" outlineLevel="0" collapsed="false">
      <c r="B41554" s="0" t="s">
        <v>3213</v>
      </c>
      <c r="C41554" s="0" t="s">
        <v>2019</v>
      </c>
      <c r="E41554" s="0" t="s">
        <v>110</v>
      </c>
      <c r="F41554" s="0" t="s">
        <v>2020</v>
      </c>
    </row>
    <row r="41556" customFormat="false" ht="12.8" hidden="false" customHeight="false" outlineLevel="0" collapsed="false">
      <c r="A41556" s="0" t="s">
        <v>15228</v>
      </c>
      <c r="B41556" s="0" t="str">
        <f aca="false">HYPERLINK("https://lindat.mff.cuni.cz/services/teitok/pdtc10/index.php?action=vallex&amp;frame=v-w5716f2_ZU", "rozpadat se (v-w5716f2_ZU)")</f>
        <v>rozpadat se (v-w5716f2_ZU)</v>
      </c>
    </row>
    <row r="41557" customFormat="false" ht="12.8" hidden="false" customHeight="false" outlineLevel="0" collapsed="false">
      <c r="B41557" s="0" t="s">
        <v>1</v>
      </c>
    </row>
    <row r="41559" customFormat="false" ht="12.8" hidden="false" customHeight="false" outlineLevel="0" collapsed="false">
      <c r="A41559" s="0" t="s">
        <v>15229</v>
      </c>
      <c r="B41559" s="0" t="str">
        <f aca="false">HYPERLINK("https://lindat.mff.cuni.cz/services/teitok/pdtc10/index.php?action=vallex&amp;frame=v-w5717f2", "rozpadnout se (v-w5717f2)")</f>
        <v>rozpadnout se (v-w5717f2)</v>
      </c>
      <c r="E41559" s="0" t="str">
        <f aca="false">HYPERLINK("https://lindat.mff.cuni.cz/services/SynSemClass40/SynSemClass40.html?veclass=vec01305#vec01305-ces-cm00015", "vec01305")</f>
        <v>vec01305</v>
      </c>
      <c r="F41559" s="0" t="s">
        <v>2015</v>
      </c>
    </row>
    <row r="41560" customFormat="false" ht="12.8" hidden="false" customHeight="false" outlineLevel="0" collapsed="false">
      <c r="B41560" s="0" t="s">
        <v>1</v>
      </c>
      <c r="C41560" s="0" t="s">
        <v>2016</v>
      </c>
      <c r="E41560" s="0" t="s">
        <v>2017</v>
      </c>
      <c r="F41560" s="0" t="s">
        <v>2018</v>
      </c>
    </row>
    <row r="41561" customFormat="false" ht="12.8" hidden="false" customHeight="false" outlineLevel="0" collapsed="false">
      <c r="B41561" s="0" t="s">
        <v>3213</v>
      </c>
      <c r="C41561" s="0" t="s">
        <v>2019</v>
      </c>
      <c r="E41561" s="0" t="s">
        <v>110</v>
      </c>
      <c r="F41561" s="0" t="s">
        <v>2020</v>
      </c>
    </row>
    <row r="41563" customFormat="false" ht="12.8" hidden="false" customHeight="false" outlineLevel="0" collapsed="false">
      <c r="A41563" s="0" t="s">
        <v>15230</v>
      </c>
      <c r="B41563" s="0" t="str">
        <f aca="false">HYPERLINK("https://lindat.mff.cuni.cz/services/teitok/pdtc10/index.php?action=vallex&amp;frame=v-w5717f1", "rozpadnout se (v-w5717f1)")</f>
        <v>rozpadnout se (v-w5717f1)</v>
      </c>
      <c r="E41563" s="0" t="str">
        <f aca="false">HYPERLINK("https://lindat.mff.cuni.cz/services/SynSemClass40/SynSemClass40.html?veclass=vec00113#vec00113-ces-cm00278", "vec00113")</f>
        <v>vec00113</v>
      </c>
      <c r="F41563" s="0" t="s">
        <v>2122</v>
      </c>
    </row>
    <row r="41564" customFormat="false" ht="12.8" hidden="false" customHeight="false" outlineLevel="0" collapsed="false">
      <c r="B41564" s="0" t="s">
        <v>1</v>
      </c>
      <c r="C41564" s="0" t="s">
        <v>4146</v>
      </c>
      <c r="E41564" s="0" t="s">
        <v>1084</v>
      </c>
      <c r="F41564" s="0" t="s">
        <v>2124</v>
      </c>
    </row>
    <row r="41566" customFormat="false" ht="12.8" hidden="false" customHeight="false" outlineLevel="0" collapsed="false">
      <c r="A41566" s="0" t="s">
        <v>15231</v>
      </c>
      <c r="B41566" s="0" t="str">
        <f aca="false">HYPERLINK("https://lindat.mff.cuni.cz/services/teitok/pdtc10/index.php?action=vallex&amp;frame=v-w5718f1", "rozpakovat se (v-w5718f1)")</f>
        <v>rozpakovat se (v-w5718f1)</v>
      </c>
      <c r="E41566" s="0" t="str">
        <f aca="false">HYPERLINK("https://lindat.mff.cuni.cz/services/SynSemClass40/SynSemClass40.html?veclass=vec01061#vec01061-ces-cm00003", "vec01061")</f>
        <v>vec01061</v>
      </c>
      <c r="F41566" s="0" t="s">
        <v>9397</v>
      </c>
    </row>
    <row r="41567" customFormat="false" ht="12.8" hidden="false" customHeight="false" outlineLevel="0" collapsed="false">
      <c r="B41567" s="0" t="s">
        <v>1</v>
      </c>
      <c r="C41567" s="0" t="s">
        <v>9398</v>
      </c>
      <c r="E41567" s="0" t="s">
        <v>11</v>
      </c>
      <c r="F41567" s="0" t="s">
        <v>9399</v>
      </c>
    </row>
    <row r="41568" customFormat="false" ht="12.8" hidden="false" customHeight="false" outlineLevel="0" collapsed="false">
      <c r="B41568" s="0" t="s">
        <v>10013</v>
      </c>
      <c r="C41568" s="0" t="s">
        <v>9401</v>
      </c>
      <c r="E41568" s="0" t="s">
        <v>79</v>
      </c>
      <c r="F41568" s="0" t="s">
        <v>9402</v>
      </c>
    </row>
    <row r="41570" customFormat="false" ht="12.8" hidden="false" customHeight="false" outlineLevel="0" collapsed="false">
      <c r="A41570" s="0" t="s">
        <v>15232</v>
      </c>
      <c r="B41570" s="0" t="str">
        <f aca="false">HYPERLINK("https://lindat.mff.cuni.cz/services/teitok/pdtc10/index.php?action=vallex&amp;frame=v-w5720f1", "rozpalovat (v-w5720f1)")</f>
        <v>rozpalovat (v-w5720f1)</v>
      </c>
    </row>
    <row r="41571" customFormat="false" ht="12.8" hidden="false" customHeight="false" outlineLevel="0" collapsed="false">
      <c r="B41571" s="0" t="s">
        <v>1</v>
      </c>
    </row>
    <row r="41572" customFormat="false" ht="12.8" hidden="false" customHeight="false" outlineLevel="0" collapsed="false">
      <c r="B41572" s="0" t="s">
        <v>8</v>
      </c>
    </row>
    <row r="41574" customFormat="false" ht="12.8" hidden="false" customHeight="false" outlineLevel="0" collapsed="false">
      <c r="A41574" s="0" t="s">
        <v>15233</v>
      </c>
      <c r="B41574" s="0" t="str">
        <f aca="false">HYPERLINK("https://lindat.mff.cuni.cz/services/teitok/pdtc10/index.php?action=vallex&amp;frame=v-w5720hsa_586", "rozpalovat (v-w5720hsa_586)")</f>
        <v>rozpalovat (v-w5720hsa_586)</v>
      </c>
    </row>
    <row r="41575" customFormat="false" ht="12.8" hidden="false" customHeight="false" outlineLevel="0" collapsed="false">
      <c r="B41575" s="0" t="s">
        <v>1</v>
      </c>
    </row>
    <row r="41576" customFormat="false" ht="12.8" hidden="false" customHeight="false" outlineLevel="0" collapsed="false">
      <c r="B41576" s="0" t="s">
        <v>8</v>
      </c>
    </row>
    <row r="41578" customFormat="false" ht="12.8" hidden="false" customHeight="false" outlineLevel="0" collapsed="false">
      <c r="A41578" s="0" t="s">
        <v>15234</v>
      </c>
      <c r="B41578" s="0" t="str">
        <f aca="false">HYPERLINK("https://lindat.mff.cuni.cz/services/teitok/pdtc10/index.php?action=vallex&amp;frame=v-w12154_ZUf1_ZU", "rozpažovat (v-w12154_ZUf1_ZU)")</f>
        <v>rozpažovat (v-w12154_ZUf1_ZU)</v>
      </c>
    </row>
    <row r="41579" customFormat="false" ht="12.8" hidden="false" customHeight="false" outlineLevel="0" collapsed="false">
      <c r="B41579" s="0" t="s">
        <v>1</v>
      </c>
    </row>
    <row r="41580" customFormat="false" ht="12.8" hidden="false" customHeight="false" outlineLevel="0" collapsed="false">
      <c r="B41580" s="0" t="s">
        <v>2299</v>
      </c>
    </row>
    <row r="41582" customFormat="false" ht="12.8" hidden="false" customHeight="false" outlineLevel="0" collapsed="false">
      <c r="A41582" s="0" t="s">
        <v>15235</v>
      </c>
      <c r="B41582" s="0" t="str">
        <f aca="false">HYPERLINK("https://lindat.mff.cuni.cz/services/teitok/pdtc10/index.php?action=vallex&amp;frame=v-w10747f2", "rozpitvávat (v-w10747f2)")</f>
        <v>rozpitvávat (v-w10747f2)</v>
      </c>
    </row>
    <row r="41583" customFormat="false" ht="12.8" hidden="false" customHeight="false" outlineLevel="0" collapsed="false">
      <c r="B41583" s="0" t="s">
        <v>1</v>
      </c>
    </row>
    <row r="41584" customFormat="false" ht="12.8" hidden="false" customHeight="false" outlineLevel="0" collapsed="false">
      <c r="B41584" s="0" t="s">
        <v>8</v>
      </c>
    </row>
    <row r="41586" customFormat="false" ht="12.8" hidden="false" customHeight="false" outlineLevel="0" collapsed="false">
      <c r="A41586" s="0" t="s">
        <v>15236</v>
      </c>
      <c r="B41586" s="0" t="str">
        <f aca="false">HYPERLINK("https://lindat.mff.cuni.cz/services/teitok/pdtc10/index.php?action=vallex&amp;frame=v-w5725f1", "rozplakat (v-w5725f1)")</f>
        <v>rozplakat (v-w5725f1)</v>
      </c>
      <c r="E41586" s="0" t="str">
        <f aca="false">HYPERLINK("https://lindat.mff.cuni.cz/services/SynSemClass40/SynSemClass40.html?veclass=vec01210#vec01210-ces-cm00004", "vec01210")</f>
        <v>vec01210</v>
      </c>
      <c r="F41586" s="0" t="s">
        <v>2337</v>
      </c>
    </row>
    <row r="41587" customFormat="false" ht="12.8" hidden="false" customHeight="false" outlineLevel="0" collapsed="false">
      <c r="B41587" s="0" t="s">
        <v>1</v>
      </c>
      <c r="C41587" s="0" t="s">
        <v>2338</v>
      </c>
      <c r="E41587" s="0" t="s">
        <v>1103</v>
      </c>
      <c r="F41587" s="0" t="s">
        <v>2339</v>
      </c>
    </row>
    <row r="41588" customFormat="false" ht="12.8" hidden="false" customHeight="false" outlineLevel="0" collapsed="false">
      <c r="B41588" s="0" t="s">
        <v>8</v>
      </c>
      <c r="C41588" s="0" t="s">
        <v>449</v>
      </c>
      <c r="E41588" s="0" t="s">
        <v>1930</v>
      </c>
      <c r="F41588" s="0" t="s">
        <v>2340</v>
      </c>
    </row>
    <row r="41590" customFormat="false" ht="12.8" hidden="false" customHeight="false" outlineLevel="0" collapsed="false">
      <c r="A41590" s="0" t="s">
        <v>15237</v>
      </c>
      <c r="B41590" s="0" t="str">
        <f aca="false">HYPERLINK("https://lindat.mff.cuni.cz/services/teitok/pdtc10/index.php?action=vallex&amp;frame=v-w11398f1", "rozplakat se (v-w11398f1)")</f>
        <v>rozplakat se (v-w11398f1)</v>
      </c>
      <c r="E41590" s="0" t="str">
        <f aca="false">HYPERLINK("https://lindat.mff.cuni.cz/services/SynSemClass40/SynSemClass40.html?veclass=vec00867#vec00867-ces-cm00002", "vec00867")</f>
        <v>vec00867</v>
      </c>
      <c r="F41590" s="0" t="s">
        <v>1294</v>
      </c>
    </row>
    <row r="41591" customFormat="false" ht="12.8" hidden="false" customHeight="false" outlineLevel="0" collapsed="false">
      <c r="B41591" s="0" t="s">
        <v>1</v>
      </c>
      <c r="C41591" s="0" t="s">
        <v>9802</v>
      </c>
      <c r="E41591" s="0" t="s">
        <v>266</v>
      </c>
      <c r="F41591" s="0" t="s">
        <v>1296</v>
      </c>
    </row>
    <row r="41593" customFormat="false" ht="12.8" hidden="false" customHeight="false" outlineLevel="0" collapsed="false">
      <c r="A41593" s="0" t="s">
        <v>15238</v>
      </c>
      <c r="B41593" s="0" t="str">
        <f aca="false">HYPERLINK("https://lindat.mff.cuni.cz/services/teitok/pdtc10/index.php?action=vallex&amp;frame=v-whsa_1048hsa_1049", "rozplakávat (v-whsa_1048hsa_1049)")</f>
        <v>rozplakávat (v-whsa_1048hsa_1049)</v>
      </c>
    </row>
    <row r="41594" customFormat="false" ht="12.8" hidden="false" customHeight="false" outlineLevel="0" collapsed="false">
      <c r="B41594" s="0" t="s">
        <v>1</v>
      </c>
    </row>
    <row r="41595" customFormat="false" ht="12.8" hidden="false" customHeight="false" outlineLevel="0" collapsed="false">
      <c r="B41595" s="0" t="s">
        <v>8</v>
      </c>
    </row>
    <row r="41597" customFormat="false" ht="12.8" hidden="false" customHeight="false" outlineLevel="0" collapsed="false">
      <c r="A41597" s="0" t="s">
        <v>15239</v>
      </c>
      <c r="B41597" s="0" t="str">
        <f aca="false">HYPERLINK("https://lindat.mff.cuni.cz/services/teitok/pdtc10/index.php?action=vallex&amp;frame=v-w5726f1", "rozplynout se (v-w5726f1)")</f>
        <v>rozplynout se (v-w5726f1)</v>
      </c>
    </row>
    <row r="41598" customFormat="false" ht="12.8" hidden="false" customHeight="false" outlineLevel="0" collapsed="false">
      <c r="B41598" s="0" t="s">
        <v>1</v>
      </c>
    </row>
    <row r="41600" customFormat="false" ht="12.8" hidden="false" customHeight="false" outlineLevel="0" collapsed="false">
      <c r="A41600" s="0" t="s">
        <v>15240</v>
      </c>
      <c r="B41600" s="0" t="str">
        <f aca="false">HYPERLINK("https://lindat.mff.cuni.cz/services/teitok/pdtc10/index.php?action=vallex&amp;frame=v-w10189f2", "rozplácnout (v-w10189f2)")</f>
        <v>rozplácnout (v-w10189f2)</v>
      </c>
      <c r="E41600" s="0" t="str">
        <f aca="false">HYPERLINK("https://lindat.mff.cuni.cz/services/SynSemClass40/SynSemClass40.html?veclass=vec01441#vec01441-ces-cm00001", "vec01441")</f>
        <v>vec01441</v>
      </c>
      <c r="F41600" s="0" t="s">
        <v>15241</v>
      </c>
    </row>
    <row r="41601" customFormat="false" ht="12.8" hidden="false" customHeight="false" outlineLevel="0" collapsed="false">
      <c r="B41601" s="0" t="s">
        <v>1</v>
      </c>
      <c r="E41601" s="0" t="s">
        <v>84</v>
      </c>
      <c r="F41601" s="0" t="s">
        <v>5431</v>
      </c>
    </row>
    <row r="41602" customFormat="false" ht="12.8" hidden="false" customHeight="false" outlineLevel="0" collapsed="false">
      <c r="B41602" s="0" t="s">
        <v>8</v>
      </c>
      <c r="C41602" s="0" t="s">
        <v>462</v>
      </c>
      <c r="E41602" s="0" t="s">
        <v>87</v>
      </c>
      <c r="F41602" s="0" t="s">
        <v>15242</v>
      </c>
    </row>
    <row r="41604" customFormat="false" ht="12.8" hidden="false" customHeight="false" outlineLevel="0" collapsed="false">
      <c r="A41604" s="0" t="s">
        <v>15243</v>
      </c>
      <c r="B41604" s="0" t="str">
        <f aca="false">HYPERLINK("https://lindat.mff.cuni.cz/services/teitok/pdtc10/index.php?action=vallex&amp;frame=v-w10419f2", "rozplést (v-w10419f2)")</f>
        <v>rozplést (v-w10419f2)</v>
      </c>
    </row>
    <row r="41605" customFormat="false" ht="12.8" hidden="false" customHeight="false" outlineLevel="0" collapsed="false">
      <c r="B41605" s="0" t="s">
        <v>1</v>
      </c>
    </row>
    <row r="41606" customFormat="false" ht="12.8" hidden="false" customHeight="false" outlineLevel="0" collapsed="false">
      <c r="B41606" s="0" t="s">
        <v>8</v>
      </c>
    </row>
    <row r="41608" customFormat="false" ht="12.8" hidden="false" customHeight="false" outlineLevel="0" collapsed="false">
      <c r="A41608" s="0" t="s">
        <v>15244</v>
      </c>
      <c r="B41608" s="0" t="str">
        <f aca="false">HYPERLINK("https://lindat.mff.cuni.cz/services/teitok/pdtc10/index.php?action=vallex&amp;frame=v-w11578_ZUf2_ZU", "rozplétat (v-w11578_ZUf2_ZU)")</f>
        <v>rozplétat (v-w11578_ZUf2_ZU)</v>
      </c>
    </row>
    <row r="41609" customFormat="false" ht="12.8" hidden="false" customHeight="false" outlineLevel="0" collapsed="false">
      <c r="B41609" s="0" t="s">
        <v>1</v>
      </c>
    </row>
    <row r="41610" customFormat="false" ht="12.8" hidden="false" customHeight="false" outlineLevel="0" collapsed="false">
      <c r="B41610" s="0" t="s">
        <v>15245</v>
      </c>
    </row>
    <row r="41612" customFormat="false" ht="12.8" hidden="false" customHeight="false" outlineLevel="0" collapsed="false">
      <c r="A41612" s="0" t="s">
        <v>15244</v>
      </c>
      <c r="B41612" s="0" t="str">
        <f aca="false">HYPERLINK("https://lindat.mff.cuni.cz/services/teitok/pdtc10/index.php?action=vallex&amp;frame=v-w11578_ZUf1_ZU", "rozplétat (v-w11578_ZUf1_ZU) - substituted with v-w11578_ZUf2_ZU")</f>
        <v>rozplétat (v-w11578_ZUf1_ZU) - substituted with v-w11578_ZUf2_ZU</v>
      </c>
    </row>
    <row r="41613" customFormat="false" ht="12.8" hidden="false" customHeight="false" outlineLevel="0" collapsed="false">
      <c r="B41613" s="0" t="s">
        <v>1</v>
      </c>
    </row>
    <row r="41614" customFormat="false" ht="12.8" hidden="false" customHeight="false" outlineLevel="0" collapsed="false">
      <c r="B41614" s="0" t="s">
        <v>15245</v>
      </c>
    </row>
    <row r="41616" customFormat="false" ht="12.8" hidden="false" customHeight="false" outlineLevel="0" collapsed="false">
      <c r="A41616" s="0" t="s">
        <v>15246</v>
      </c>
      <c r="B41616" s="0" t="str">
        <f aca="false">HYPERLINK("https://lindat.mff.cuni.cz/services/teitok/pdtc10/index.php?action=vallex&amp;frame=v-w5727f1", "rozplývat se (v-w5727f1)")</f>
        <v>rozplývat se (v-w5727f1)</v>
      </c>
    </row>
    <row r="41617" customFormat="false" ht="12.8" hidden="false" customHeight="false" outlineLevel="0" collapsed="false">
      <c r="B41617" s="0" t="s">
        <v>1</v>
      </c>
    </row>
    <row r="41619" customFormat="false" ht="12.8" hidden="false" customHeight="false" outlineLevel="0" collapsed="false">
      <c r="A41619" s="0" t="s">
        <v>15247</v>
      </c>
      <c r="B41619" s="0" t="str">
        <f aca="false">HYPERLINK("https://lindat.mff.cuni.cz/services/teitok/pdtc10/index.php?action=vallex&amp;frame=v-w5727f2", "rozplývat se (v-w5727f2)")</f>
        <v>rozplývat se (v-w5727f2)</v>
      </c>
      <c r="E41619" s="0" t="str">
        <f aca="false">HYPERLINK("https://lindat.mff.cuni.cz/services/SynSemClass40/SynSemClass40.html?veclass=vec01310#vec01310-ces-cm00005", "vec01310")</f>
        <v>vec01310</v>
      </c>
      <c r="F41619" s="0" t="s">
        <v>5023</v>
      </c>
    </row>
    <row r="41620" customFormat="false" ht="12.8" hidden="false" customHeight="false" outlineLevel="0" collapsed="false">
      <c r="B41620" s="0" t="s">
        <v>1</v>
      </c>
      <c r="C41620" s="0" t="s">
        <v>459</v>
      </c>
      <c r="E41620" s="0" t="s">
        <v>266</v>
      </c>
      <c r="F41620" s="0" t="s">
        <v>5024</v>
      </c>
    </row>
    <row r="41622" customFormat="false" ht="12.8" hidden="false" customHeight="false" outlineLevel="0" collapsed="false">
      <c r="A41622" s="0" t="s">
        <v>15248</v>
      </c>
      <c r="B41622" s="0" t="str">
        <f aca="false">HYPERLINK("https://lindat.mff.cuni.cz/services/teitok/pdtc10/index.php?action=vallex&amp;frame=v-w11415f1", "rozpojit se (v-w11415f1)")</f>
        <v>rozpojit se (v-w11415f1)</v>
      </c>
    </row>
    <row r="41623" customFormat="false" ht="12.8" hidden="false" customHeight="false" outlineLevel="0" collapsed="false">
      <c r="B41623" s="0" t="s">
        <v>1</v>
      </c>
    </row>
    <row r="41624" customFormat="false" ht="12.8" hidden="false" customHeight="false" outlineLevel="0" collapsed="false">
      <c r="B41624" s="0" t="s">
        <v>26</v>
      </c>
    </row>
    <row r="41626" customFormat="false" ht="12.8" hidden="false" customHeight="false" outlineLevel="0" collapsed="false">
      <c r="A41626" s="0" t="s">
        <v>15249</v>
      </c>
      <c r="B41626" s="0" t="str">
        <f aca="false">HYPERLINK("https://lindat.mff.cuni.cz/services/teitok/pdtc10/index.php?action=vallex&amp;frame=v-w10056f2", "rozpoltit (v-w10056f2)")</f>
        <v>rozpoltit (v-w10056f2)</v>
      </c>
    </row>
    <row r="41627" customFormat="false" ht="12.8" hidden="false" customHeight="false" outlineLevel="0" collapsed="false">
      <c r="B41627" s="0" t="s">
        <v>1</v>
      </c>
    </row>
    <row r="41628" customFormat="false" ht="12.8" hidden="false" customHeight="false" outlineLevel="0" collapsed="false">
      <c r="B41628" s="0" t="s">
        <v>8</v>
      </c>
    </row>
    <row r="41629" customFormat="false" ht="12.8" hidden="false" customHeight="false" outlineLevel="0" collapsed="false">
      <c r="B41629" s="0" t="s">
        <v>5779</v>
      </c>
    </row>
    <row r="41631" customFormat="false" ht="12.8" hidden="false" customHeight="false" outlineLevel="0" collapsed="false">
      <c r="A41631" s="0" t="s">
        <v>15250</v>
      </c>
      <c r="B41631" s="0" t="str">
        <f aca="false">HYPERLINK("https://lindat.mff.cuni.cz/services/teitok/pdtc10/index.php?action=vallex&amp;frame=v-w5733f1", "rozpomínat se (v-w5733f1)")</f>
        <v>rozpomínat se (v-w5733f1)</v>
      </c>
    </row>
    <row r="41632" customFormat="false" ht="12.8" hidden="false" customHeight="false" outlineLevel="0" collapsed="false">
      <c r="B41632" s="0" t="s">
        <v>1</v>
      </c>
    </row>
    <row r="41633" customFormat="false" ht="12.8" hidden="false" customHeight="false" outlineLevel="0" collapsed="false">
      <c r="B41633" s="0" t="s">
        <v>15251</v>
      </c>
    </row>
    <row r="41635" customFormat="false" ht="12.8" hidden="false" customHeight="false" outlineLevel="0" collapsed="false">
      <c r="A41635" s="0" t="s">
        <v>15252</v>
      </c>
      <c r="B41635" s="0" t="str">
        <f aca="false">HYPERLINK("https://lindat.mff.cuni.cz/services/teitok/pdtc10/index.php?action=vallex&amp;frame=v-whsa_848f1_ZU", "rozporcovat (v-whsa_848f1_ZU)")</f>
        <v>rozporcovat (v-whsa_848f1_ZU)</v>
      </c>
      <c r="E41635" s="0" t="str">
        <f aca="false">HYPERLINK("https://lindat.mff.cuni.cz/services/SynSemClass40/SynSemClass40.html?veclass=vec00296#vec00296-ces-cm00062", "vec00296")</f>
        <v>vec00296</v>
      </c>
      <c r="F41635" s="0" t="s">
        <v>5275</v>
      </c>
      <c r="H41635" s="0" t="str">
        <f aca="false">HYPERLINK("https://lindat.mff.cuni.cz/services/SynSemClass40/SynSemClass40.html?veclass=vec00903#vec00903-ces-cm00012", "vec00903")</f>
        <v>vec00903</v>
      </c>
      <c r="I41635" s="0" t="s">
        <v>8059</v>
      </c>
    </row>
    <row r="41636" customFormat="false" ht="12.8" hidden="false" customHeight="false" outlineLevel="0" collapsed="false">
      <c r="B41636" s="0" t="s">
        <v>1</v>
      </c>
      <c r="C41636" s="0" t="s">
        <v>14964</v>
      </c>
      <c r="E41636" s="0" t="s">
        <v>11</v>
      </c>
      <c r="F41636" s="0" t="s">
        <v>5277</v>
      </c>
      <c r="H41636" s="0" t="s">
        <v>1890</v>
      </c>
      <c r="I41636" s="0" t="s">
        <v>8061</v>
      </c>
    </row>
    <row r="41637" customFormat="false" ht="12.8" hidden="false" customHeight="false" outlineLevel="0" collapsed="false">
      <c r="B41637" s="0" t="s">
        <v>8</v>
      </c>
      <c r="C41637" s="0" t="s">
        <v>14965</v>
      </c>
      <c r="E41637" s="0" t="s">
        <v>5279</v>
      </c>
      <c r="F41637" s="0" t="s">
        <v>5280</v>
      </c>
      <c r="H41637" s="0" t="s">
        <v>1893</v>
      </c>
      <c r="I41637" s="0" t="s">
        <v>8063</v>
      </c>
    </row>
    <row r="41638" customFormat="false" ht="12.8" hidden="false" customHeight="false" outlineLevel="0" collapsed="false">
      <c r="B41638" s="0" t="s">
        <v>101</v>
      </c>
      <c r="C41638" s="0" t="s">
        <v>14966</v>
      </c>
      <c r="E41638" s="0" t="s">
        <v>2584</v>
      </c>
      <c r="F41638" s="0" t="s">
        <v>5282</v>
      </c>
      <c r="H41638" s="0" t="s">
        <v>2584</v>
      </c>
      <c r="I41638" s="0" t="s">
        <v>8065</v>
      </c>
    </row>
    <row r="41640" customFormat="false" ht="12.8" hidden="false" customHeight="false" outlineLevel="0" collapsed="false">
      <c r="A41640" s="0" t="s">
        <v>15252</v>
      </c>
      <c r="B41640" s="0" t="str">
        <f aca="false">HYPERLINK("https://lindat.mff.cuni.cz/services/teitok/pdtc10/index.php?action=vallex&amp;frame=v-whsa_848hsa_849", "rozporcovat (v-whsa_848hsa_849) - substituted with v-whsa_848f1_ZU")</f>
        <v>rozporcovat (v-whsa_848hsa_849) - substituted with v-whsa_848f1_ZU</v>
      </c>
    </row>
    <row r="41641" customFormat="false" ht="12.8" hidden="false" customHeight="false" outlineLevel="0" collapsed="false">
      <c r="B41641" s="0" t="s">
        <v>1</v>
      </c>
    </row>
    <row r="41642" customFormat="false" ht="12.8" hidden="false" customHeight="false" outlineLevel="0" collapsed="false">
      <c r="B41642" s="0" t="s">
        <v>8</v>
      </c>
    </row>
    <row r="41643" customFormat="false" ht="12.8" hidden="false" customHeight="false" outlineLevel="0" collapsed="false">
      <c r="B41643" s="0" t="s">
        <v>101</v>
      </c>
    </row>
    <row r="41645" customFormat="false" ht="12.8" hidden="false" customHeight="false" outlineLevel="0" collapsed="false">
      <c r="A41645" s="0" t="s">
        <v>15253</v>
      </c>
      <c r="B41645" s="0" t="str">
        <f aca="false">HYPERLINK("https://lindat.mff.cuni.cz/services/teitok/pdtc10/index.php?action=vallex&amp;frame=v-w5739f1", "rozpoutat (v-w5739f1)")</f>
        <v>rozpoutat (v-w5739f1)</v>
      </c>
      <c r="E41645" s="0" t="str">
        <f aca="false">HYPERLINK("https://lindat.mff.cuni.cz/services/SynSemClass40/SynSemClass40.html?veclass=vec00038#vec00038-ces-cm00165", "vec00038")</f>
        <v>vec00038</v>
      </c>
      <c r="F41645" s="0" t="s">
        <v>74</v>
      </c>
    </row>
    <row r="41646" customFormat="false" ht="12.8" hidden="false" customHeight="false" outlineLevel="0" collapsed="false">
      <c r="B41646" s="0" t="s">
        <v>1</v>
      </c>
      <c r="C41646" s="0" t="s">
        <v>75</v>
      </c>
      <c r="E41646" s="0" t="s">
        <v>76</v>
      </c>
      <c r="F41646" s="0" t="s">
        <v>77</v>
      </c>
    </row>
    <row r="41647" customFormat="false" ht="12.8" hidden="false" customHeight="false" outlineLevel="0" collapsed="false">
      <c r="B41647" s="0" t="s">
        <v>8</v>
      </c>
      <c r="C41647" s="0" t="s">
        <v>78</v>
      </c>
      <c r="E41647" s="0" t="s">
        <v>79</v>
      </c>
      <c r="F41647" s="0" t="s">
        <v>80</v>
      </c>
    </row>
    <row r="41649" customFormat="false" ht="12.8" hidden="false" customHeight="false" outlineLevel="0" collapsed="false">
      <c r="A41649" s="0" t="s">
        <v>15254</v>
      </c>
      <c r="B41649" s="0" t="str">
        <f aca="false">HYPERLINK("https://lindat.mff.cuni.cz/services/teitok/pdtc10/index.php?action=vallex&amp;frame=v-w5740f1", "rozpoutat se (v-w5740f1)")</f>
        <v>rozpoutat se (v-w5740f1)</v>
      </c>
      <c r="E41649" s="0" t="str">
        <f aca="false">HYPERLINK("https://lindat.mff.cuni.cz/services/SynSemClass40/SynSemClass40.html?veclass=vec00097#vec00097-ces-cm00175", "vec00097")</f>
        <v>vec00097</v>
      </c>
      <c r="F41649" s="0" t="s">
        <v>373</v>
      </c>
    </row>
    <row r="41650" customFormat="false" ht="12.8" hidden="false" customHeight="false" outlineLevel="0" collapsed="false">
      <c r="B41650" s="0" t="s">
        <v>1</v>
      </c>
      <c r="C41650" s="0" t="s">
        <v>374</v>
      </c>
      <c r="E41650" s="0" t="s">
        <v>375</v>
      </c>
      <c r="F41650" s="0" t="s">
        <v>376</v>
      </c>
    </row>
    <row r="41652" customFormat="false" ht="12.8" hidden="false" customHeight="false" outlineLevel="0" collapsed="false">
      <c r="A41652" s="0" t="s">
        <v>15255</v>
      </c>
      <c r="B41652" s="0" t="str">
        <f aca="false">HYPERLINK("https://lindat.mff.cuni.cz/services/teitok/pdtc10/index.php?action=vallex&amp;frame=v-whsa_918hsa_919", "rozpoutávat (v-whsa_918hsa_919)")</f>
        <v>rozpoutávat (v-whsa_918hsa_919)</v>
      </c>
      <c r="E41652" s="0" t="str">
        <f aca="false">HYPERLINK("https://lindat.mff.cuni.cz/services/SynSemClass40/SynSemClass40.html?veclass=vec00038#vec00038-ces-cm00166", "vec00038")</f>
        <v>vec00038</v>
      </c>
      <c r="F41652" s="0" t="s">
        <v>74</v>
      </c>
    </row>
    <row r="41653" customFormat="false" ht="12.8" hidden="false" customHeight="false" outlineLevel="0" collapsed="false">
      <c r="B41653" s="0" t="s">
        <v>1</v>
      </c>
      <c r="C41653" s="0" t="s">
        <v>75</v>
      </c>
      <c r="E41653" s="0" t="s">
        <v>76</v>
      </c>
      <c r="F41653" s="0" t="s">
        <v>77</v>
      </c>
    </row>
    <row r="41654" customFormat="false" ht="12.8" hidden="false" customHeight="false" outlineLevel="0" collapsed="false">
      <c r="B41654" s="0" t="s">
        <v>8</v>
      </c>
      <c r="C41654" s="0" t="s">
        <v>78</v>
      </c>
      <c r="E41654" s="0" t="s">
        <v>79</v>
      </c>
      <c r="F41654" s="0" t="s">
        <v>80</v>
      </c>
    </row>
    <row r="41656" customFormat="false" ht="12.8" hidden="false" customHeight="false" outlineLevel="0" collapsed="false">
      <c r="A41656" s="0" t="s">
        <v>15256</v>
      </c>
      <c r="B41656" s="0" t="str">
        <f aca="false">HYPERLINK("https://lindat.mff.cuni.cz/services/teitok/pdtc10/index.php?action=vallex&amp;frame=v-w5736f1", "rozpouštět (v-w5736f1)")</f>
        <v>rozpouštět (v-w5736f1)</v>
      </c>
    </row>
    <row r="41657" customFormat="false" ht="12.8" hidden="false" customHeight="false" outlineLevel="0" collapsed="false">
      <c r="B41657" s="0" t="s">
        <v>1</v>
      </c>
    </row>
    <row r="41658" customFormat="false" ht="12.8" hidden="false" customHeight="false" outlineLevel="0" collapsed="false">
      <c r="B41658" s="0" t="s">
        <v>8</v>
      </c>
    </row>
    <row r="41660" customFormat="false" ht="12.8" hidden="false" customHeight="false" outlineLevel="0" collapsed="false">
      <c r="A41660" s="0" t="s">
        <v>15257</v>
      </c>
      <c r="B41660" s="0" t="str">
        <f aca="false">HYPERLINK("https://lindat.mff.cuni.cz/services/teitok/pdtc10/index.php?action=vallex&amp;frame=v-w5736f2", "rozpouštět (v-w5736f2)")</f>
        <v>rozpouštět (v-w5736f2)</v>
      </c>
      <c r="E41660" s="0" t="str">
        <f aca="false">HYPERLINK("https://lindat.mff.cuni.cz/services/SynSemClass40/SynSemClass40.html?veclass=vec00198#vec00198-ces-cm00068", "vec00198")</f>
        <v>vec00198</v>
      </c>
      <c r="F41660" s="0" t="s">
        <v>134</v>
      </c>
    </row>
    <row r="41661" customFormat="false" ht="12.8" hidden="false" customHeight="false" outlineLevel="0" collapsed="false">
      <c r="B41661" s="0" t="s">
        <v>1</v>
      </c>
      <c r="C41661" s="0" t="s">
        <v>8126</v>
      </c>
      <c r="E41661" s="0" t="s">
        <v>31</v>
      </c>
      <c r="F41661" s="0" t="s">
        <v>137</v>
      </c>
    </row>
    <row r="41662" customFormat="false" ht="12.8" hidden="false" customHeight="false" outlineLevel="0" collapsed="false">
      <c r="B41662" s="0" t="s">
        <v>8</v>
      </c>
      <c r="C41662" s="0" t="s">
        <v>8127</v>
      </c>
      <c r="E41662" s="0" t="s">
        <v>140</v>
      </c>
      <c r="F41662" s="0" t="s">
        <v>141</v>
      </c>
    </row>
    <row r="41664" customFormat="false" ht="12.8" hidden="false" customHeight="false" outlineLevel="0" collapsed="false">
      <c r="A41664" s="0" t="s">
        <v>15258</v>
      </c>
      <c r="B41664" s="0" t="str">
        <f aca="false">HYPERLINK("https://lindat.mff.cuni.cz/services/teitok/pdtc10/index.php?action=vallex&amp;frame=v-whsa_423hsa_424", "rozpouštět se (v-whsa_423hsa_424)")</f>
        <v>rozpouštět se (v-whsa_423hsa_424)</v>
      </c>
    </row>
    <row r="41665" customFormat="false" ht="12.8" hidden="false" customHeight="false" outlineLevel="0" collapsed="false">
      <c r="B41665" s="0" t="s">
        <v>1</v>
      </c>
    </row>
    <row r="41667" customFormat="false" ht="12.8" hidden="false" customHeight="false" outlineLevel="0" collapsed="false">
      <c r="A41667" s="0" t="s">
        <v>15259</v>
      </c>
      <c r="B41667" s="0" t="str">
        <f aca="false">HYPERLINK("https://lindat.mff.cuni.cz/services/teitok/pdtc10/index.php?action=vallex&amp;frame=v-w5741f1", "rozpovídat se (v-w5741f1)")</f>
        <v>rozpovídat se (v-w5741f1)</v>
      </c>
    </row>
    <row r="41668" customFormat="false" ht="12.8" hidden="false" customHeight="false" outlineLevel="0" collapsed="false">
      <c r="B41668" s="0" t="s">
        <v>1</v>
      </c>
    </row>
    <row r="41669" customFormat="false" ht="12.8" hidden="false" customHeight="false" outlineLevel="0" collapsed="false">
      <c r="B41669" s="0" t="s">
        <v>496</v>
      </c>
    </row>
    <row r="41671" customFormat="false" ht="12.8" hidden="false" customHeight="false" outlineLevel="0" collapsed="false">
      <c r="A41671" s="0" t="s">
        <v>15260</v>
      </c>
      <c r="B41671" s="0" t="str">
        <f aca="false">HYPERLINK("https://lindat.mff.cuni.cz/services/teitok/pdtc10/index.php?action=vallex&amp;frame=v-w5742f2", "rozpoznat (v-w5742f2)")</f>
        <v>rozpoznat (v-w5742f2)</v>
      </c>
      <c r="E41671" s="0" t="str">
        <f aca="false">HYPERLINK("https://lindat.mff.cuni.cz/services/SynSemClass40/SynSemClass40.html?veclass=vec01102#vec01102-ces-cm00011", "vec01102")</f>
        <v>vec01102</v>
      </c>
      <c r="F41671" s="0" t="s">
        <v>1969</v>
      </c>
    </row>
    <row r="41672" customFormat="false" ht="12.8" hidden="false" customHeight="false" outlineLevel="0" collapsed="false">
      <c r="B41672" s="0" t="s">
        <v>1</v>
      </c>
      <c r="C41672" s="0" t="s">
        <v>459</v>
      </c>
      <c r="E41672" s="0" t="s">
        <v>8998</v>
      </c>
      <c r="F41672" s="0" t="s">
        <v>8999</v>
      </c>
    </row>
    <row r="41673" customFormat="false" ht="12.8" hidden="false" customHeight="false" outlineLevel="0" collapsed="false">
      <c r="B41673" s="0" t="s">
        <v>8</v>
      </c>
      <c r="C41673" s="0" t="s">
        <v>7131</v>
      </c>
      <c r="E41673" s="0" t="s">
        <v>5531</v>
      </c>
      <c r="F41673" s="0" t="s">
        <v>9000</v>
      </c>
    </row>
    <row r="41674" customFormat="false" ht="12.8" hidden="false" customHeight="false" outlineLevel="0" collapsed="false">
      <c r="B41674" s="0" t="s">
        <v>1965</v>
      </c>
      <c r="C41674" s="0" t="s">
        <v>9001</v>
      </c>
      <c r="E41674" s="0" t="s">
        <v>9002</v>
      </c>
      <c r="F41674" s="0" t="s">
        <v>9003</v>
      </c>
    </row>
    <row r="41676" customFormat="false" ht="12.8" hidden="false" customHeight="false" outlineLevel="0" collapsed="false">
      <c r="A41676" s="0" t="s">
        <v>15261</v>
      </c>
      <c r="B41676" s="0" t="str">
        <f aca="false">HYPERLINK("https://lindat.mff.cuni.cz/services/teitok/pdtc10/index.php?action=vallex&amp;frame=v-w5742f1", "rozpoznat (v-w5742f1)")</f>
        <v>rozpoznat (v-w5742f1)</v>
      </c>
      <c r="E41676" s="0" t="str">
        <f aca="false">HYPERLINK("https://lindat.mff.cuni.cz/services/SynSemClass40/SynSemClass40.html?veclass=vec00909#vec00909-ces-cm00001", "vec00909")</f>
        <v>vec00909</v>
      </c>
      <c r="F41676" s="0" t="s">
        <v>1954</v>
      </c>
    </row>
    <row r="41677" customFormat="false" ht="12.8" hidden="false" customHeight="false" outlineLevel="0" collapsed="false">
      <c r="B41677" s="0" t="s">
        <v>1</v>
      </c>
      <c r="C41677" s="0" t="s">
        <v>4256</v>
      </c>
      <c r="E41677" s="0" t="s">
        <v>621</v>
      </c>
      <c r="F41677" s="0" t="s">
        <v>1957</v>
      </c>
    </row>
    <row r="41678" customFormat="false" ht="12.8" hidden="false" customHeight="false" outlineLevel="0" collapsed="false">
      <c r="B41678" s="0" t="s">
        <v>15262</v>
      </c>
      <c r="C41678" s="0" t="s">
        <v>4766</v>
      </c>
      <c r="E41678" s="0" t="s">
        <v>180</v>
      </c>
      <c r="F41678" s="0" t="s">
        <v>1961</v>
      </c>
    </row>
    <row r="41680" customFormat="false" ht="12.8" hidden="false" customHeight="false" outlineLevel="0" collapsed="false">
      <c r="A41680" s="0" t="s">
        <v>15263</v>
      </c>
      <c r="B41680" s="0" t="str">
        <f aca="false">HYPERLINK("https://lindat.mff.cuni.cz/services/teitok/pdtc10/index.php?action=vallex&amp;frame=v-w5744f2", "rozpoznávat (v-w5744f2)")</f>
        <v>rozpoznávat (v-w5744f2)</v>
      </c>
      <c r="E41680" s="0" t="str">
        <f aca="false">HYPERLINK("https://lindat.mff.cuni.cz/services/SynSemClass40/SynSemClass40.html?veclass=vec01102#vec01102-ces-cm00023", "vec01102")</f>
        <v>vec01102</v>
      </c>
      <c r="F41680" s="0" t="s">
        <v>1969</v>
      </c>
    </row>
    <row r="41681" customFormat="false" ht="12.8" hidden="false" customHeight="false" outlineLevel="0" collapsed="false">
      <c r="B41681" s="0" t="s">
        <v>1</v>
      </c>
      <c r="C41681" s="0" t="s">
        <v>459</v>
      </c>
      <c r="E41681" s="0" t="s">
        <v>8998</v>
      </c>
      <c r="F41681" s="0" t="s">
        <v>8999</v>
      </c>
    </row>
    <row r="41682" customFormat="false" ht="12.8" hidden="false" customHeight="false" outlineLevel="0" collapsed="false">
      <c r="B41682" s="0" t="s">
        <v>8</v>
      </c>
      <c r="C41682" s="0" t="s">
        <v>7131</v>
      </c>
      <c r="E41682" s="0" t="s">
        <v>5531</v>
      </c>
      <c r="F41682" s="0" t="s">
        <v>9000</v>
      </c>
    </row>
    <row r="41683" customFormat="false" ht="12.8" hidden="false" customHeight="false" outlineLevel="0" collapsed="false">
      <c r="B41683" s="0" t="s">
        <v>1965</v>
      </c>
      <c r="C41683" s="0" t="s">
        <v>9001</v>
      </c>
      <c r="E41683" s="0" t="s">
        <v>9002</v>
      </c>
      <c r="F41683" s="0" t="s">
        <v>9003</v>
      </c>
    </row>
    <row r="41685" customFormat="false" ht="12.8" hidden="false" customHeight="false" outlineLevel="0" collapsed="false">
      <c r="A41685" s="0" t="s">
        <v>15264</v>
      </c>
      <c r="B41685" s="0" t="str">
        <f aca="false">HYPERLINK("https://lindat.mff.cuni.cz/services/teitok/pdtc10/index.php?action=vallex&amp;frame=v-w5744f1", "rozpoznávat (v-w5744f1)")</f>
        <v>rozpoznávat (v-w5744f1)</v>
      </c>
      <c r="E41685" s="0" t="str">
        <f aca="false">HYPERLINK("https://lindat.mff.cuni.cz/services/SynSemClass40/SynSemClass40.html?veclass=vec00909#vec00909-ces-cm00173", "vec00909")</f>
        <v>vec00909</v>
      </c>
      <c r="F41685" s="0" t="s">
        <v>1954</v>
      </c>
    </row>
    <row r="41686" customFormat="false" ht="12.8" hidden="false" customHeight="false" outlineLevel="0" collapsed="false">
      <c r="B41686" s="0" t="s">
        <v>1</v>
      </c>
      <c r="C41686" s="0" t="s">
        <v>4256</v>
      </c>
      <c r="E41686" s="0" t="s">
        <v>621</v>
      </c>
      <c r="F41686" s="0" t="s">
        <v>1957</v>
      </c>
    </row>
    <row r="41687" customFormat="false" ht="12.8" hidden="false" customHeight="false" outlineLevel="0" collapsed="false">
      <c r="B41687" s="0" t="s">
        <v>15262</v>
      </c>
      <c r="C41687" s="0" t="s">
        <v>4766</v>
      </c>
      <c r="E41687" s="0" t="s">
        <v>180</v>
      </c>
      <c r="F41687" s="0" t="s">
        <v>1961</v>
      </c>
    </row>
    <row r="41689" customFormat="false" ht="12.8" hidden="false" customHeight="false" outlineLevel="0" collapsed="false">
      <c r="A41689" s="0" t="s">
        <v>15265</v>
      </c>
      <c r="B41689" s="0" t="str">
        <f aca="false">HYPERLINK("https://lindat.mff.cuni.cz/services/teitok/pdtc10/index.php?action=vallex&amp;frame=v-w5729f1", "rozpočíst (v-w5729f1)")</f>
        <v>rozpočíst (v-w5729f1)</v>
      </c>
    </row>
    <row r="41690" customFormat="false" ht="12.8" hidden="false" customHeight="false" outlineLevel="0" collapsed="false">
      <c r="B41690" s="0" t="s">
        <v>1</v>
      </c>
    </row>
    <row r="41691" customFormat="false" ht="12.8" hidden="false" customHeight="false" outlineLevel="0" collapsed="false">
      <c r="B41691" s="0" t="s">
        <v>8</v>
      </c>
    </row>
    <row r="41692" customFormat="false" ht="12.8" hidden="false" customHeight="false" outlineLevel="0" collapsed="false">
      <c r="B41692" s="0" t="s">
        <v>14943</v>
      </c>
    </row>
    <row r="41693" customFormat="false" ht="12.8" hidden="false" customHeight="false" outlineLevel="0" collapsed="false">
      <c r="B41693" s="0" t="s">
        <v>101</v>
      </c>
    </row>
    <row r="41695" customFormat="false" ht="12.8" hidden="false" customHeight="false" outlineLevel="0" collapsed="false">
      <c r="A41695" s="0" t="s">
        <v>15266</v>
      </c>
      <c r="B41695" s="0" t="str">
        <f aca="false">HYPERLINK("https://lindat.mff.cuni.cz/services/teitok/pdtc10/index.php?action=vallex&amp;frame=v-w5730f1", "rozpočíst se (v-w5730f1)")</f>
        <v>rozpočíst se (v-w5730f1)</v>
      </c>
    </row>
    <row r="41696" customFormat="false" ht="12.8" hidden="false" customHeight="false" outlineLevel="0" collapsed="false">
      <c r="B41696" s="0" t="s">
        <v>1</v>
      </c>
    </row>
    <row r="41697" customFormat="false" ht="12.8" hidden="false" customHeight="false" outlineLevel="0" collapsed="false">
      <c r="B41697" s="0" t="s">
        <v>14952</v>
      </c>
    </row>
    <row r="41699" customFormat="false" ht="12.8" hidden="false" customHeight="false" outlineLevel="0" collapsed="false">
      <c r="A41699" s="0" t="s">
        <v>15267</v>
      </c>
      <c r="B41699" s="0" t="str">
        <f aca="false">HYPERLINK("https://lindat.mff.cuni.cz/services/teitok/pdtc10/index.php?action=vallex&amp;frame=v-w12274_ZUf2_ZU", "rozpočítat (v-w12274_ZUf2_ZU)")</f>
        <v>rozpočítat (v-w12274_ZUf2_ZU)</v>
      </c>
    </row>
    <row r="41700" customFormat="false" ht="12.8" hidden="false" customHeight="false" outlineLevel="0" collapsed="false">
      <c r="B41700" s="0" t="s">
        <v>1</v>
      </c>
    </row>
    <row r="41701" customFormat="false" ht="12.8" hidden="false" customHeight="false" outlineLevel="0" collapsed="false">
      <c r="B41701" s="0" t="s">
        <v>8</v>
      </c>
    </row>
    <row r="41702" customFormat="false" ht="12.8" hidden="false" customHeight="false" outlineLevel="0" collapsed="false">
      <c r="B41702" s="0" t="s">
        <v>2045</v>
      </c>
    </row>
    <row r="41703" customFormat="false" ht="12.8" hidden="false" customHeight="false" outlineLevel="0" collapsed="false">
      <c r="B41703" s="0" t="s">
        <v>101</v>
      </c>
    </row>
    <row r="41705" customFormat="false" ht="12.8" hidden="false" customHeight="false" outlineLevel="0" collapsed="false">
      <c r="A41705" s="0" t="s">
        <v>15267</v>
      </c>
      <c r="B41705" s="0" t="str">
        <f aca="false">HYPERLINK("https://lindat.mff.cuni.cz/services/teitok/pdtc10/index.php?action=vallex&amp;frame=v-w12274_ZUf1_ZU", "rozpočítat (v-w12274_ZUf1_ZU) - substituted with v-w12274_ZUf2_ZU")</f>
        <v>rozpočítat (v-w12274_ZUf1_ZU) - substituted with v-w12274_ZUf2_ZU</v>
      </c>
    </row>
    <row r="41706" customFormat="false" ht="12.8" hidden="false" customHeight="false" outlineLevel="0" collapsed="false">
      <c r="B41706" s="0" t="s">
        <v>1</v>
      </c>
    </row>
    <row r="41707" customFormat="false" ht="12.8" hidden="false" customHeight="false" outlineLevel="0" collapsed="false">
      <c r="B41707" s="0" t="s">
        <v>8</v>
      </c>
    </row>
    <row r="41708" customFormat="false" ht="12.8" hidden="false" customHeight="false" outlineLevel="0" collapsed="false">
      <c r="B41708" s="0" t="s">
        <v>2045</v>
      </c>
    </row>
    <row r="41709" customFormat="false" ht="12.8" hidden="false" customHeight="false" outlineLevel="0" collapsed="false">
      <c r="B41709" s="0" t="s">
        <v>101</v>
      </c>
    </row>
    <row r="41711" customFormat="false" ht="12.8" hidden="false" customHeight="false" outlineLevel="0" collapsed="false">
      <c r="A41711" s="0" t="s">
        <v>15268</v>
      </c>
      <c r="B41711" s="0" t="str">
        <f aca="false">HYPERLINK("https://lindat.mff.cuni.cz/services/teitok/pdtc10/index.php?action=vallex&amp;frame=v-w5746f1", "rozpracovat (v-w5746f1)")</f>
        <v>rozpracovat (v-w5746f1)</v>
      </c>
    </row>
    <row r="41712" customFormat="false" ht="12.8" hidden="false" customHeight="false" outlineLevel="0" collapsed="false">
      <c r="B41712" s="0" t="s">
        <v>1</v>
      </c>
    </row>
    <row r="41713" customFormat="false" ht="12.8" hidden="false" customHeight="false" outlineLevel="0" collapsed="false">
      <c r="B41713" s="0" t="s">
        <v>8</v>
      </c>
    </row>
    <row r="41715" customFormat="false" ht="12.8" hidden="false" customHeight="false" outlineLevel="0" collapsed="false">
      <c r="A41715" s="0" t="s">
        <v>15269</v>
      </c>
      <c r="B41715" s="0" t="str">
        <f aca="false">HYPERLINK("https://lindat.mff.cuni.cz/services/teitok/pdtc10/index.php?action=vallex&amp;frame=v-w5747f1", "rozpracovávat (v-w5747f1)")</f>
        <v>rozpracovávat (v-w5747f1)</v>
      </c>
    </row>
    <row r="41716" customFormat="false" ht="12.8" hidden="false" customHeight="false" outlineLevel="0" collapsed="false">
      <c r="B41716" s="0" t="s">
        <v>1</v>
      </c>
    </row>
    <row r="41717" customFormat="false" ht="12.8" hidden="false" customHeight="false" outlineLevel="0" collapsed="false">
      <c r="B41717" s="0" t="s">
        <v>8</v>
      </c>
    </row>
    <row r="41719" customFormat="false" ht="12.8" hidden="false" customHeight="false" outlineLevel="0" collapsed="false">
      <c r="A41719" s="0" t="s">
        <v>15270</v>
      </c>
      <c r="B41719" s="0" t="str">
        <f aca="false">HYPERLINK("https://lindat.mff.cuni.cz/services/teitok/pdtc10/index.php?action=vallex&amp;frame=v-w11921_ZUf1_ZU", "rozpraskat (v-w11921_ZUf1_ZU)")</f>
        <v>rozpraskat (v-w11921_ZUf1_ZU)</v>
      </c>
    </row>
    <row r="41720" customFormat="false" ht="12.8" hidden="false" customHeight="false" outlineLevel="0" collapsed="false">
      <c r="B41720" s="0" t="s">
        <v>1</v>
      </c>
    </row>
    <row r="41722" customFormat="false" ht="12.8" hidden="false" customHeight="false" outlineLevel="0" collapsed="false">
      <c r="A41722" s="0" t="s">
        <v>15271</v>
      </c>
      <c r="B41722" s="0" t="str">
        <f aca="false">HYPERLINK("https://lindat.mff.cuni.cz/services/teitok/pdtc10/index.php?action=vallex&amp;frame=v-whsa_1084hsa_1085", "rozprchnout se (v-whsa_1084hsa_1085)")</f>
        <v>rozprchnout se (v-whsa_1084hsa_1085)</v>
      </c>
    </row>
    <row r="41723" customFormat="false" ht="12.8" hidden="false" customHeight="false" outlineLevel="0" collapsed="false">
      <c r="B41723" s="0" t="s">
        <v>1</v>
      </c>
    </row>
    <row r="41725" customFormat="false" ht="12.8" hidden="false" customHeight="false" outlineLevel="0" collapsed="false">
      <c r="A41725" s="0" t="s">
        <v>15272</v>
      </c>
      <c r="B41725" s="0" t="str">
        <f aca="false">HYPERLINK("https://lindat.mff.cuni.cz/services/teitok/pdtc10/index.php?action=vallex&amp;frame=v-whsa_1969hsa_1970", "rozprchávat se (v-whsa_1969hsa_1970)")</f>
        <v>rozprchávat se (v-whsa_1969hsa_1970)</v>
      </c>
    </row>
    <row r="41726" customFormat="false" ht="12.8" hidden="false" customHeight="false" outlineLevel="0" collapsed="false">
      <c r="B41726" s="0" t="s">
        <v>1</v>
      </c>
    </row>
    <row r="41728" customFormat="false" ht="12.8" hidden="false" customHeight="false" outlineLevel="0" collapsed="false">
      <c r="A41728" s="0" t="s">
        <v>15273</v>
      </c>
      <c r="B41728" s="0" t="str">
        <f aca="false">HYPERLINK("https://lindat.mff.cuni.cz/services/teitok/pdtc10/index.php?action=vallex&amp;frame=v-w5749f1", "rozprodat (v-w5749f1)")</f>
        <v>rozprodat (v-w5749f1)</v>
      </c>
      <c r="E41728" s="0" t="str">
        <f aca="false">HYPERLINK("https://lindat.mff.cuni.cz/services/SynSemClass40/SynSemClass40.html?veclass=vec00083#vec00083-ces-cm00014", "vec00083")</f>
        <v>vec00083</v>
      </c>
      <c r="F41728" s="0" t="s">
        <v>9165</v>
      </c>
    </row>
    <row r="41729" customFormat="false" ht="12.8" hidden="false" customHeight="false" outlineLevel="0" collapsed="false">
      <c r="B41729" s="0" t="s">
        <v>1</v>
      </c>
      <c r="C41729" s="0" t="s">
        <v>9166</v>
      </c>
      <c r="E41729" s="0" t="s">
        <v>3198</v>
      </c>
      <c r="F41729" s="0" t="s">
        <v>9167</v>
      </c>
    </row>
    <row r="41730" customFormat="false" ht="12.8" hidden="false" customHeight="false" outlineLevel="0" collapsed="false">
      <c r="B41730" s="0" t="s">
        <v>8</v>
      </c>
      <c r="C41730" s="0" t="s">
        <v>9168</v>
      </c>
      <c r="E41730" s="0" t="s">
        <v>3201</v>
      </c>
      <c r="F41730" s="0" t="s">
        <v>9169</v>
      </c>
    </row>
    <row r="41731" customFormat="false" ht="12.8" hidden="false" customHeight="false" outlineLevel="0" collapsed="false">
      <c r="B41731" s="0" t="s">
        <v>52</v>
      </c>
    </row>
    <row r="41733" customFormat="false" ht="12.8" hidden="false" customHeight="false" outlineLevel="0" collapsed="false">
      <c r="A41733" s="0" t="s">
        <v>15274</v>
      </c>
      <c r="B41733" s="0" t="str">
        <f aca="false">HYPERLINK("https://lindat.mff.cuni.cz/services/teitok/pdtc10/index.php?action=vallex&amp;frame=v-w5750f1", "rozprodávat (v-w5750f1)")</f>
        <v>rozprodávat (v-w5750f1)</v>
      </c>
      <c r="E41733" s="0" t="str">
        <f aca="false">HYPERLINK("https://lindat.mff.cuni.cz/services/SynSemClass40/SynSemClass40.html?veclass=vec00083#vec00083-ces-cm00029", "vec00083")</f>
        <v>vec00083</v>
      </c>
      <c r="F41733" s="0" t="s">
        <v>9165</v>
      </c>
    </row>
    <row r="41734" customFormat="false" ht="12.8" hidden="false" customHeight="false" outlineLevel="0" collapsed="false">
      <c r="B41734" s="0" t="s">
        <v>1</v>
      </c>
      <c r="C41734" s="0" t="s">
        <v>9166</v>
      </c>
      <c r="E41734" s="0" t="s">
        <v>3198</v>
      </c>
      <c r="F41734" s="0" t="s">
        <v>9167</v>
      </c>
    </row>
    <row r="41735" customFormat="false" ht="12.8" hidden="false" customHeight="false" outlineLevel="0" collapsed="false">
      <c r="B41735" s="0" t="s">
        <v>8</v>
      </c>
      <c r="C41735" s="0" t="s">
        <v>9168</v>
      </c>
      <c r="E41735" s="0" t="s">
        <v>3201</v>
      </c>
      <c r="F41735" s="0" t="s">
        <v>9169</v>
      </c>
    </row>
    <row r="41736" customFormat="false" ht="12.8" hidden="false" customHeight="false" outlineLevel="0" collapsed="false">
      <c r="B41736" s="0" t="s">
        <v>52</v>
      </c>
      <c r="C41736" s="0" t="s">
        <v>9170</v>
      </c>
      <c r="E41736" s="0" t="s">
        <v>8304</v>
      </c>
      <c r="F41736" s="0" t="s">
        <v>9171</v>
      </c>
    </row>
    <row r="41738" customFormat="false" ht="12.8" hidden="false" customHeight="false" outlineLevel="0" collapsed="false">
      <c r="A41738" s="0" t="s">
        <v>15275</v>
      </c>
      <c r="B41738" s="0" t="str">
        <f aca="false">HYPERLINK("https://lindat.mff.cuni.cz/services/teitok/pdtc10/index.php?action=vallex&amp;frame=v-w11666_ZUf1_ZU", "rozprostírat (v-w11666_ZUf1_ZU)")</f>
        <v>rozprostírat (v-w11666_ZUf1_ZU)</v>
      </c>
    </row>
    <row r="41739" customFormat="false" ht="12.8" hidden="false" customHeight="false" outlineLevel="0" collapsed="false">
      <c r="B41739" s="0" t="s">
        <v>1</v>
      </c>
    </row>
    <row r="41740" customFormat="false" ht="12.8" hidden="false" customHeight="false" outlineLevel="0" collapsed="false">
      <c r="B41740" s="0" t="s">
        <v>8</v>
      </c>
    </row>
    <row r="41742" customFormat="false" ht="12.8" hidden="false" customHeight="false" outlineLevel="0" collapsed="false">
      <c r="A41742" s="0" t="s">
        <v>15276</v>
      </c>
      <c r="B41742" s="0" t="str">
        <f aca="false">HYPERLINK("https://lindat.mff.cuni.cz/services/teitok/pdtc10/index.php?action=vallex&amp;frame=v-w5751f1", "rozprostírat se (v-w5751f1)")</f>
        <v>rozprostírat se (v-w5751f1)</v>
      </c>
    </row>
    <row r="41743" customFormat="false" ht="12.8" hidden="false" customHeight="false" outlineLevel="0" collapsed="false">
      <c r="B41743" s="0" t="s">
        <v>1</v>
      </c>
    </row>
    <row r="41744" customFormat="false" ht="12.8" hidden="false" customHeight="false" outlineLevel="0" collapsed="false">
      <c r="B41744" s="0" t="s">
        <v>5</v>
      </c>
    </row>
    <row r="41746" customFormat="false" ht="12.8" hidden="false" customHeight="false" outlineLevel="0" collapsed="false">
      <c r="A41746" s="0" t="s">
        <v>15277</v>
      </c>
      <c r="B41746" s="0" t="str">
        <f aca="false">HYPERLINK("https://lindat.mff.cuni.cz/services/teitok/pdtc10/index.php?action=vallex&amp;frame=v-w10361f6", "rozprostřít (v-w10361f6)")</f>
        <v>rozprostřít (v-w10361f6)</v>
      </c>
      <c r="E41746" s="0" t="str">
        <f aca="false">HYPERLINK("https://lindat.mff.cuni.cz/services/SynSemClass40/SynSemClass40.html?veclass=vec00694#vec00694-ces-cm00022", "vec00694")</f>
        <v>vec00694</v>
      </c>
      <c r="F41746" s="0" t="s">
        <v>1862</v>
      </c>
    </row>
    <row r="41747" customFormat="false" ht="12.8" hidden="false" customHeight="false" outlineLevel="0" collapsed="false">
      <c r="B41747" s="0" t="s">
        <v>1</v>
      </c>
      <c r="C41747" s="0" t="s">
        <v>13633</v>
      </c>
      <c r="E41747" s="0" t="s">
        <v>1866</v>
      </c>
      <c r="F41747" s="0" t="s">
        <v>1867</v>
      </c>
    </row>
    <row r="41748" customFormat="false" ht="12.8" hidden="false" customHeight="false" outlineLevel="0" collapsed="false">
      <c r="B41748" s="0" t="s">
        <v>8</v>
      </c>
      <c r="C41748" s="0" t="s">
        <v>22</v>
      </c>
      <c r="E41748" s="0" t="s">
        <v>1873</v>
      </c>
      <c r="F41748" s="0" t="s">
        <v>1874</v>
      </c>
    </row>
    <row r="41749" customFormat="false" ht="12.8" hidden="false" customHeight="false" outlineLevel="0" collapsed="false">
      <c r="B41749" s="0" t="s">
        <v>2045</v>
      </c>
      <c r="C41749" s="0" t="s">
        <v>1902</v>
      </c>
      <c r="E41749" s="0" t="s">
        <v>53</v>
      </c>
      <c r="F41749" s="0" t="s">
        <v>1879</v>
      </c>
    </row>
    <row r="41751" customFormat="false" ht="12.8" hidden="false" customHeight="false" outlineLevel="0" collapsed="false">
      <c r="A41751" s="0" t="s">
        <v>15278</v>
      </c>
      <c r="B41751" s="0" t="str">
        <f aca="false">HYPERLINK("https://lindat.mff.cuni.cz/services/teitok/pdtc10/index.php?action=vallex&amp;frame=v-w10361f5", "rozprostřít (v-w10361f5)")</f>
        <v>rozprostřít (v-w10361f5)</v>
      </c>
    </row>
    <row r="41752" customFormat="false" ht="12.8" hidden="false" customHeight="false" outlineLevel="0" collapsed="false">
      <c r="B41752" s="0" t="s">
        <v>1</v>
      </c>
    </row>
    <row r="41753" customFormat="false" ht="12.8" hidden="false" customHeight="false" outlineLevel="0" collapsed="false">
      <c r="B41753" s="0" t="s">
        <v>8</v>
      </c>
    </row>
    <row r="41754" customFormat="false" ht="12.8" hidden="false" customHeight="false" outlineLevel="0" collapsed="false">
      <c r="B41754" s="0" t="s">
        <v>15021</v>
      </c>
    </row>
    <row r="41756" customFormat="false" ht="12.8" hidden="false" customHeight="false" outlineLevel="0" collapsed="false">
      <c r="A41756" s="0" t="s">
        <v>15279</v>
      </c>
      <c r="B41756" s="0" t="str">
        <f aca="false">HYPERLINK("https://lindat.mff.cuni.cz/services/teitok/pdtc10/index.php?action=vallex&amp;frame=v-w10361f2", "rozprostřít (v-w10361f2)")</f>
        <v>rozprostřít (v-w10361f2)</v>
      </c>
    </row>
    <row r="41757" customFormat="false" ht="12.8" hidden="false" customHeight="false" outlineLevel="0" collapsed="false">
      <c r="B41757" s="0" t="s">
        <v>1</v>
      </c>
    </row>
    <row r="41758" customFormat="false" ht="12.8" hidden="false" customHeight="false" outlineLevel="0" collapsed="false">
      <c r="B41758" s="0" t="s">
        <v>8</v>
      </c>
    </row>
    <row r="41760" customFormat="false" ht="12.8" hidden="false" customHeight="false" outlineLevel="0" collapsed="false">
      <c r="A41760" s="0" t="s">
        <v>15280</v>
      </c>
      <c r="B41760" s="0" t="str">
        <f aca="false">HYPERLINK("https://lindat.mff.cuni.cz/services/teitok/pdtc10/index.php?action=vallex&amp;frame=v-w10361f7_ZU", "rozprostřít (v-w10361f7_ZU)")</f>
        <v>rozprostřít (v-w10361f7_ZU)</v>
      </c>
    </row>
    <row r="41761" customFormat="false" ht="12.8" hidden="false" customHeight="false" outlineLevel="0" collapsed="false">
      <c r="B41761" s="0" t="s">
        <v>1</v>
      </c>
    </row>
    <row r="41762" customFormat="false" ht="12.8" hidden="false" customHeight="false" outlineLevel="0" collapsed="false">
      <c r="B41762" s="0" t="s">
        <v>8</v>
      </c>
    </row>
    <row r="41764" customFormat="false" ht="12.8" hidden="false" customHeight="false" outlineLevel="0" collapsed="false">
      <c r="A41764" s="0" t="s">
        <v>15281</v>
      </c>
      <c r="B41764" s="0" t="str">
        <f aca="false">HYPERLINK("https://lindat.mff.cuni.cz/services/teitok/pdtc10/index.php?action=vallex&amp;frame=v-w11296f1", "rozprostřít se (v-w11296f1)")</f>
        <v>rozprostřít se (v-w11296f1)</v>
      </c>
    </row>
    <row r="41765" customFormat="false" ht="12.8" hidden="false" customHeight="false" outlineLevel="0" collapsed="false">
      <c r="B41765" s="0" t="s">
        <v>1</v>
      </c>
    </row>
    <row r="41767" customFormat="false" ht="12.8" hidden="false" customHeight="false" outlineLevel="0" collapsed="false">
      <c r="A41767" s="0" t="s">
        <v>15282</v>
      </c>
      <c r="B41767" s="0" t="str">
        <f aca="false">HYPERLINK("https://lindat.mff.cuni.cz/services/teitok/pdtc10/index.php?action=vallex&amp;frame=v-w10620f2", "rozproudit (v-w10620f2)")</f>
        <v>rozproudit (v-w10620f2)</v>
      </c>
      <c r="E41767" s="0" t="str">
        <f aca="false">HYPERLINK("https://lindat.mff.cuni.cz/services/SynSemClass40/SynSemClass40.html?veclass=vec00038#vec00038-ces-cm00167", "vec00038")</f>
        <v>vec00038</v>
      </c>
      <c r="F41767" s="0" t="s">
        <v>74</v>
      </c>
    </row>
    <row r="41768" customFormat="false" ht="12.8" hidden="false" customHeight="false" outlineLevel="0" collapsed="false">
      <c r="B41768" s="0" t="s">
        <v>1</v>
      </c>
      <c r="C41768" s="0" t="s">
        <v>75</v>
      </c>
      <c r="E41768" s="0" t="s">
        <v>76</v>
      </c>
      <c r="F41768" s="0" t="s">
        <v>77</v>
      </c>
    </row>
    <row r="41769" customFormat="false" ht="12.8" hidden="false" customHeight="false" outlineLevel="0" collapsed="false">
      <c r="B41769" s="0" t="s">
        <v>8</v>
      </c>
      <c r="C41769" s="0" t="s">
        <v>78</v>
      </c>
      <c r="E41769" s="0" t="s">
        <v>79</v>
      </c>
      <c r="F41769" s="0" t="s">
        <v>80</v>
      </c>
    </row>
    <row r="41771" customFormat="false" ht="12.8" hidden="false" customHeight="false" outlineLevel="0" collapsed="false">
      <c r="A41771" s="0" t="s">
        <v>15283</v>
      </c>
      <c r="B41771" s="0" t="str">
        <f aca="false">HYPERLINK("https://lindat.mff.cuni.cz/services/teitok/pdtc10/index.php?action=vallex&amp;frame=v-whsa_1096hsa_1097", "rozproudit se (v-whsa_1096hsa_1097)")</f>
        <v>rozproudit se (v-whsa_1096hsa_1097)</v>
      </c>
    </row>
    <row r="41772" customFormat="false" ht="12.8" hidden="false" customHeight="false" outlineLevel="0" collapsed="false">
      <c r="B41772" s="0" t="s">
        <v>1</v>
      </c>
    </row>
    <row r="41774" customFormat="false" ht="12.8" hidden="false" customHeight="false" outlineLevel="0" collapsed="false">
      <c r="A41774" s="0" t="s">
        <v>15284</v>
      </c>
      <c r="B41774" s="0" t="str">
        <f aca="false">HYPERLINK("https://lindat.mff.cuni.cz/services/teitok/pdtc10/index.php?action=vallex&amp;frame=v-whsb_53hsa_54", "rozprsknout se (v-whsb_53hsa_54)")</f>
        <v>rozprsknout se (v-whsb_53hsa_54)</v>
      </c>
    </row>
    <row r="41775" customFormat="false" ht="12.8" hidden="false" customHeight="false" outlineLevel="0" collapsed="false">
      <c r="B41775" s="0" t="s">
        <v>1</v>
      </c>
    </row>
    <row r="41777" customFormat="false" ht="12.8" hidden="false" customHeight="false" outlineLevel="0" collapsed="false">
      <c r="A41777" s="0" t="s">
        <v>15285</v>
      </c>
      <c r="B41777" s="0" t="str">
        <f aca="false">HYPERLINK("https://lindat.mff.cuni.cz/services/teitok/pdtc10/index.php?action=vallex&amp;frame=v-w10074f2", "rozprášit (v-w10074f2)")</f>
        <v>rozprášit (v-w10074f2)</v>
      </c>
      <c r="E41777" s="0" t="str">
        <f aca="false">HYPERLINK("https://lindat.mff.cuni.cz/services/SynSemClass40/SynSemClass40.html?veclass=vec00910#vec00910-ces-cm00026", "vec00910")</f>
        <v>vec00910</v>
      </c>
      <c r="F41777" s="0" t="s">
        <v>14975</v>
      </c>
    </row>
    <row r="41778" customFormat="false" ht="12.8" hidden="false" customHeight="false" outlineLevel="0" collapsed="false">
      <c r="B41778" s="0" t="s">
        <v>1</v>
      </c>
      <c r="C41778" s="0" t="s">
        <v>512</v>
      </c>
      <c r="E41778" s="0" t="s">
        <v>1103</v>
      </c>
      <c r="F41778" s="0" t="s">
        <v>14976</v>
      </c>
    </row>
    <row r="41779" customFormat="false" ht="12.8" hidden="false" customHeight="false" outlineLevel="0" collapsed="false">
      <c r="B41779" s="0" t="s">
        <v>8</v>
      </c>
      <c r="C41779" s="0" t="s">
        <v>639</v>
      </c>
      <c r="E41779" s="0" t="s">
        <v>532</v>
      </c>
      <c r="F41779" s="0" t="s">
        <v>14977</v>
      </c>
    </row>
    <row r="41781" customFormat="false" ht="12.8" hidden="false" customHeight="false" outlineLevel="0" collapsed="false">
      <c r="A41781" s="0" t="s">
        <v>15286</v>
      </c>
      <c r="B41781" s="0" t="str">
        <f aca="false">HYPERLINK("https://lindat.mff.cuni.cz/services/teitok/pdtc10/index.php?action=vallex&amp;frame=v-whsa_1184f1_ZU", "rozptylovat (v-whsa_1184f1_ZU)")</f>
        <v>rozptylovat (v-whsa_1184f1_ZU)</v>
      </c>
    </row>
    <row r="41782" customFormat="false" ht="12.8" hidden="false" customHeight="false" outlineLevel="0" collapsed="false">
      <c r="B41782" s="0" t="s">
        <v>1</v>
      </c>
    </row>
    <row r="41783" customFormat="false" ht="12.8" hidden="false" customHeight="false" outlineLevel="0" collapsed="false">
      <c r="B41783" s="0" t="s">
        <v>98</v>
      </c>
    </row>
    <row r="41784" customFormat="false" ht="12.8" hidden="false" customHeight="false" outlineLevel="0" collapsed="false">
      <c r="B41784" s="0" t="s">
        <v>444</v>
      </c>
    </row>
    <row r="41786" customFormat="false" ht="12.8" hidden="false" customHeight="false" outlineLevel="0" collapsed="false">
      <c r="A41786" s="0" t="s">
        <v>15286</v>
      </c>
      <c r="B41786" s="0" t="str">
        <f aca="false">HYPERLINK("https://lindat.mff.cuni.cz/services/teitok/pdtc10/index.php?action=vallex&amp;frame=v-whsa_1184hsa_1185", "rozptylovat (v-whsa_1184hsa_1185) - substituted with v-whsa_1184f1_ZU")</f>
        <v>rozptylovat (v-whsa_1184hsa_1185) - substituted with v-whsa_1184f1_ZU</v>
      </c>
    </row>
    <row r="41787" customFormat="false" ht="12.8" hidden="false" customHeight="false" outlineLevel="0" collapsed="false">
      <c r="B41787" s="0" t="s">
        <v>1</v>
      </c>
    </row>
    <row r="41788" customFormat="false" ht="12.8" hidden="false" customHeight="false" outlineLevel="0" collapsed="false">
      <c r="B41788" s="0" t="s">
        <v>98</v>
      </c>
    </row>
    <row r="41789" customFormat="false" ht="12.8" hidden="false" customHeight="false" outlineLevel="0" collapsed="false">
      <c r="B41789" s="0" t="s">
        <v>444</v>
      </c>
    </row>
    <row r="41791" customFormat="false" ht="12.8" hidden="false" customHeight="false" outlineLevel="0" collapsed="false">
      <c r="A41791" s="0" t="s">
        <v>15287</v>
      </c>
      <c r="B41791" s="0" t="str">
        <f aca="false">HYPERLINK("https://lindat.mff.cuni.cz/services/teitok/pdtc10/index.php?action=vallex&amp;frame=v-w5755f1", "rozptylovat se (v-w5755f1)")</f>
        <v>rozptylovat se (v-w5755f1)</v>
      </c>
      <c r="E41791" s="0" t="str">
        <f aca="false">HYPERLINK("https://lindat.mff.cuni.cz/services/SynSemClass40/SynSemClass40.html?veclass=vec00911#vec00911-ces-cm00003", "vec00911")</f>
        <v>vec00911</v>
      </c>
      <c r="F41791" s="0" t="s">
        <v>15158</v>
      </c>
    </row>
    <row r="41792" customFormat="false" ht="12.8" hidden="false" customHeight="false" outlineLevel="0" collapsed="false">
      <c r="B41792" s="0" t="s">
        <v>1</v>
      </c>
      <c r="C41792" s="0" t="s">
        <v>5344</v>
      </c>
      <c r="E41792" s="0" t="s">
        <v>15159</v>
      </c>
      <c r="F41792" s="0" t="s">
        <v>15160</v>
      </c>
    </row>
    <row r="41794" customFormat="false" ht="12.8" hidden="false" customHeight="false" outlineLevel="0" collapsed="false">
      <c r="A41794" s="0" t="s">
        <v>15288</v>
      </c>
      <c r="B41794" s="0" t="str">
        <f aca="false">HYPERLINK("https://lindat.mff.cuni.cz/services/teitok/pdtc10/index.php?action=vallex&amp;frame=v-w5754f1", "rozptýlit (v-w5754f1)")</f>
        <v>rozptýlit (v-w5754f1)</v>
      </c>
      <c r="E41794" s="0" t="str">
        <f aca="false">HYPERLINK("https://lindat.mff.cuni.cz/services/SynSemClass40/SynSemClass40.html?veclass=vec00910#vec00910-ces-cm00001", "vec00910")</f>
        <v>vec00910</v>
      </c>
      <c r="F41794" s="0" t="s">
        <v>14975</v>
      </c>
    </row>
    <row r="41795" customFormat="false" ht="12.8" hidden="false" customHeight="false" outlineLevel="0" collapsed="false">
      <c r="B41795" s="0" t="s">
        <v>1</v>
      </c>
      <c r="C41795" s="0" t="s">
        <v>512</v>
      </c>
      <c r="E41795" s="0" t="s">
        <v>1103</v>
      </c>
      <c r="F41795" s="0" t="s">
        <v>14976</v>
      </c>
    </row>
    <row r="41796" customFormat="false" ht="12.8" hidden="false" customHeight="false" outlineLevel="0" collapsed="false">
      <c r="B41796" s="0" t="s">
        <v>8</v>
      </c>
      <c r="C41796" s="0" t="s">
        <v>639</v>
      </c>
      <c r="E41796" s="0" t="s">
        <v>532</v>
      </c>
      <c r="F41796" s="0" t="s">
        <v>14977</v>
      </c>
    </row>
    <row r="41798" customFormat="false" ht="12.8" hidden="false" customHeight="false" outlineLevel="0" collapsed="false">
      <c r="A41798" s="0" t="s">
        <v>15289</v>
      </c>
      <c r="B41798" s="0" t="str">
        <f aca="false">HYPERLINK("https://lindat.mff.cuni.cz/services/teitok/pdtc10/index.php?action=vallex&amp;frame=v-w5754f2_ZU", "rozptýlit (v-w5754f2_ZU)")</f>
        <v>rozptýlit (v-w5754f2_ZU)</v>
      </c>
      <c r="E41798" s="0" t="str">
        <f aca="false">HYPERLINK("https://lindat.mff.cuni.cz/services/SynSemClass40/SynSemClass40.html?veclass=vec00105#vec00105-ces-cm00006", "vec00105")</f>
        <v>vec00105</v>
      </c>
      <c r="F41798" s="0" t="s">
        <v>15095</v>
      </c>
    </row>
    <row r="41799" customFormat="false" ht="12.8" hidden="false" customHeight="false" outlineLevel="0" collapsed="false">
      <c r="B41799" s="0" t="s">
        <v>1</v>
      </c>
      <c r="C41799" s="0" t="s">
        <v>512</v>
      </c>
      <c r="E41799" s="0" t="s">
        <v>1665</v>
      </c>
      <c r="F41799" s="0" t="s">
        <v>15096</v>
      </c>
    </row>
    <row r="41800" customFormat="false" ht="12.8" hidden="false" customHeight="false" outlineLevel="0" collapsed="false">
      <c r="B41800" s="0" t="s">
        <v>8</v>
      </c>
      <c r="C41800" s="0" t="s">
        <v>531</v>
      </c>
      <c r="E41800" s="0" t="s">
        <v>34</v>
      </c>
      <c r="F41800" s="0" t="s">
        <v>15097</v>
      </c>
    </row>
    <row r="41802" customFormat="false" ht="12.8" hidden="false" customHeight="false" outlineLevel="0" collapsed="false">
      <c r="A41802" s="0" t="s">
        <v>15289</v>
      </c>
      <c r="B41802" s="0" t="str">
        <f aca="false">HYPERLINK("https://lindat.mff.cuni.cz/services/teitok/pdtc10/index.php?action=vallex&amp;frame=v-w5754hsa_108", "rozptýlit (v-w5754hsa_108) - substituted with v-w5754f2_ZU")</f>
        <v>rozptýlit (v-w5754hsa_108) - substituted with v-w5754f2_ZU</v>
      </c>
    </row>
    <row r="41803" customFormat="false" ht="12.8" hidden="false" customHeight="false" outlineLevel="0" collapsed="false">
      <c r="B41803" s="0" t="s">
        <v>1</v>
      </c>
    </row>
    <row r="41804" customFormat="false" ht="12.8" hidden="false" customHeight="false" outlineLevel="0" collapsed="false">
      <c r="B41804" s="0" t="s">
        <v>8</v>
      </c>
    </row>
    <row r="41806" customFormat="false" ht="12.8" hidden="false" customHeight="false" outlineLevel="0" collapsed="false">
      <c r="A41806" s="0" t="s">
        <v>15290</v>
      </c>
      <c r="B41806" s="0" t="str">
        <f aca="false">HYPERLINK("https://lindat.mff.cuni.cz/services/teitok/pdtc10/index.php?action=vallex&amp;frame=v-whsa_942f1_ZU", "rozptýlit se (v-whsa_942f1_ZU)")</f>
        <v>rozptýlit se (v-whsa_942f1_ZU)</v>
      </c>
      <c r="E41806" s="0" t="str">
        <f aca="false">HYPERLINK("https://lindat.mff.cuni.cz/services/SynSemClass40/SynSemClass40.html?veclass=vec00911#vec00911-ces-cm00001", "vec00911")</f>
        <v>vec00911</v>
      </c>
      <c r="F41806" s="0" t="s">
        <v>15158</v>
      </c>
    </row>
    <row r="41807" customFormat="false" ht="12.8" hidden="false" customHeight="false" outlineLevel="0" collapsed="false">
      <c r="B41807" s="0" t="s">
        <v>1</v>
      </c>
      <c r="C41807" s="0" t="s">
        <v>5344</v>
      </c>
      <c r="E41807" s="0" t="s">
        <v>15159</v>
      </c>
      <c r="F41807" s="0" t="s">
        <v>15160</v>
      </c>
    </row>
    <row r="41809" customFormat="false" ht="12.8" hidden="false" customHeight="false" outlineLevel="0" collapsed="false">
      <c r="A41809" s="0" t="s">
        <v>15290</v>
      </c>
      <c r="B41809" s="0" t="str">
        <f aca="false">HYPERLINK("https://lindat.mff.cuni.cz/services/teitok/pdtc10/index.php?action=vallex&amp;frame=v-whsa_942hsa_943", "rozptýlit se (v-whsa_942hsa_943) - substituted with v-whsa_942f1_ZU")</f>
        <v>rozptýlit se (v-whsa_942hsa_943) - substituted with v-whsa_942f1_ZU</v>
      </c>
    </row>
    <row r="41810" customFormat="false" ht="12.8" hidden="false" customHeight="false" outlineLevel="0" collapsed="false">
      <c r="B41810" s="0" t="s">
        <v>1</v>
      </c>
    </row>
    <row r="41812" customFormat="false" ht="12.8" hidden="false" customHeight="false" outlineLevel="0" collapsed="false">
      <c r="A41812" s="0" t="s">
        <v>15291</v>
      </c>
      <c r="B41812" s="0" t="str">
        <f aca="false">HYPERLINK("https://lindat.mff.cuni.cz/services/teitok/pdtc10/index.php?action=vallex&amp;frame=v-whsa_942f2_ZU", "rozptýlit se (v-whsa_942f2_ZU)")</f>
        <v>rozptýlit se (v-whsa_942f2_ZU)</v>
      </c>
    </row>
    <row r="41813" customFormat="false" ht="12.8" hidden="false" customHeight="false" outlineLevel="0" collapsed="false">
      <c r="B41813" s="0" t="s">
        <v>1</v>
      </c>
    </row>
    <row r="41815" customFormat="false" ht="12.8" hidden="false" customHeight="false" outlineLevel="0" collapsed="false">
      <c r="A41815" s="0" t="s">
        <v>15292</v>
      </c>
      <c r="B41815" s="0" t="str">
        <f aca="false">HYPERLINK("https://lindat.mff.cuni.cz/services/teitok/pdtc10/index.php?action=vallex&amp;frame=v-whsa_942hsa_1838", "rozptýlit se (v-whsa_942hsa_1838)")</f>
        <v>rozptýlit se (v-whsa_942hsa_1838)</v>
      </c>
    </row>
    <row r="41816" customFormat="false" ht="12.8" hidden="false" customHeight="false" outlineLevel="0" collapsed="false">
      <c r="B41816" s="0" t="s">
        <v>1</v>
      </c>
    </row>
    <row r="41818" customFormat="false" ht="12.8" hidden="false" customHeight="false" outlineLevel="0" collapsed="false">
      <c r="A41818" s="0" t="s">
        <v>15293</v>
      </c>
      <c r="B41818" s="0" t="str">
        <f aca="false">HYPERLINK("https://lindat.mff.cuni.cz/services/teitok/pdtc10/index.php?action=vallex&amp;frame=v-w5756f1", "rozpustit (v-w5756f1)")</f>
        <v>rozpustit (v-w5756f1)</v>
      </c>
      <c r="E41818" s="0" t="str">
        <f aca="false">HYPERLINK("https://lindat.mff.cuni.cz/services/SynSemClass40/SynSemClass40.html?veclass=vec00198#vec00198-ces-cm00069", "vec00198")</f>
        <v>vec00198</v>
      </c>
      <c r="F41818" s="0" t="s">
        <v>134</v>
      </c>
    </row>
    <row r="41819" customFormat="false" ht="12.8" hidden="false" customHeight="false" outlineLevel="0" collapsed="false">
      <c r="B41819" s="0" t="s">
        <v>1</v>
      </c>
      <c r="C41819" s="0" t="s">
        <v>8126</v>
      </c>
      <c r="E41819" s="0" t="s">
        <v>31</v>
      </c>
      <c r="F41819" s="0" t="s">
        <v>137</v>
      </c>
    </row>
    <row r="41820" customFormat="false" ht="12.8" hidden="false" customHeight="false" outlineLevel="0" collapsed="false">
      <c r="B41820" s="0" t="s">
        <v>8</v>
      </c>
      <c r="C41820" s="0" t="s">
        <v>8127</v>
      </c>
      <c r="E41820" s="0" t="s">
        <v>140</v>
      </c>
      <c r="F41820" s="0" t="s">
        <v>141</v>
      </c>
    </row>
    <row r="41822" customFormat="false" ht="12.8" hidden="false" customHeight="false" outlineLevel="0" collapsed="false">
      <c r="A41822" s="0" t="s">
        <v>15294</v>
      </c>
      <c r="B41822" s="0" t="str">
        <f aca="false">HYPERLINK("https://lindat.mff.cuni.cz/services/teitok/pdtc10/index.php?action=vallex&amp;frame=v-w5756f2", "rozpustit (v-w5756f2)")</f>
        <v>rozpustit (v-w5756f2)</v>
      </c>
    </row>
    <row r="41823" customFormat="false" ht="12.8" hidden="false" customHeight="false" outlineLevel="0" collapsed="false">
      <c r="B41823" s="0" t="s">
        <v>1</v>
      </c>
    </row>
    <row r="41824" customFormat="false" ht="12.8" hidden="false" customHeight="false" outlineLevel="0" collapsed="false">
      <c r="B41824" s="0" t="s">
        <v>8</v>
      </c>
    </row>
    <row r="41826" customFormat="false" ht="12.8" hidden="false" customHeight="false" outlineLevel="0" collapsed="false">
      <c r="A41826" s="0" t="s">
        <v>15295</v>
      </c>
      <c r="B41826" s="0" t="str">
        <f aca="false">HYPERLINK("https://lindat.mff.cuni.cz/services/teitok/pdtc10/index.php?action=vallex&amp;frame=v-whsa_5hsa_6", "rozpálit (v-whsa_5hsa_6)")</f>
        <v>rozpálit (v-whsa_5hsa_6)</v>
      </c>
    </row>
    <row r="41827" customFormat="false" ht="12.8" hidden="false" customHeight="false" outlineLevel="0" collapsed="false">
      <c r="B41827" s="0" t="s">
        <v>1</v>
      </c>
    </row>
    <row r="41828" customFormat="false" ht="12.8" hidden="false" customHeight="false" outlineLevel="0" collapsed="false">
      <c r="B41828" s="0" t="s">
        <v>8</v>
      </c>
    </row>
    <row r="41830" customFormat="false" ht="12.8" hidden="false" customHeight="false" outlineLevel="0" collapsed="false">
      <c r="A41830" s="0" t="s">
        <v>15296</v>
      </c>
      <c r="B41830" s="0" t="str">
        <f aca="false">HYPERLINK("https://lindat.mff.cuni.cz/services/teitok/pdtc10/index.php?action=vallex&amp;frame=v-w5721f1", "rozpíjet se (v-w5721f1)")</f>
        <v>rozpíjet se (v-w5721f1)</v>
      </c>
    </row>
    <row r="41831" customFormat="false" ht="12.8" hidden="false" customHeight="false" outlineLevel="0" collapsed="false">
      <c r="B41831" s="0" t="s">
        <v>1</v>
      </c>
    </row>
    <row r="41833" customFormat="false" ht="12.8" hidden="false" customHeight="false" outlineLevel="0" collapsed="false">
      <c r="A41833" s="0" t="s">
        <v>15297</v>
      </c>
      <c r="B41833" s="0" t="str">
        <f aca="false">HYPERLINK("https://lindat.mff.cuni.cz/services/teitok/pdtc10/index.php?action=vallex&amp;frame=v-w5723f1", "rozpínat se (v-w5723f1)")</f>
        <v>rozpínat se (v-w5723f1)</v>
      </c>
      <c r="E41833" s="0" t="str">
        <f aca="false">HYPERLINK("https://lindat.mff.cuni.cz/services/SynSemClass40/SynSemClass40.html?veclass=vec01520#vec01520-ces-cm00004", "vec01520")</f>
        <v>vec01520</v>
      </c>
      <c r="F41833" s="0" t="s">
        <v>4075</v>
      </c>
    </row>
    <row r="41834" customFormat="false" ht="12.8" hidden="false" customHeight="false" outlineLevel="0" collapsed="false">
      <c r="B41834" s="0" t="s">
        <v>1</v>
      </c>
      <c r="C41834" s="0" t="s">
        <v>15298</v>
      </c>
      <c r="E41834" s="0" t="s">
        <v>957</v>
      </c>
      <c r="F41834" s="0" t="s">
        <v>4078</v>
      </c>
    </row>
    <row r="41836" customFormat="false" ht="12.8" hidden="false" customHeight="false" outlineLevel="0" collapsed="false">
      <c r="A41836" s="0" t="s">
        <v>15299</v>
      </c>
      <c r="B41836" s="0" t="str">
        <f aca="false">HYPERLINK("https://lindat.mff.cuni.cz/services/teitok/pdtc10/index.php?action=vallex&amp;frame=v-w10340f2", "rozpůjčovat (v-w10340f2)")</f>
        <v>rozpůjčovat (v-w10340f2)</v>
      </c>
      <c r="E41836" s="0" t="str">
        <f aca="false">HYPERLINK("https://lindat.mff.cuni.cz/services/SynSemClass40/SynSemClass40.html?veclass=vec00074#vec00074-ces-cm00163", "vec00074")</f>
        <v>vec00074</v>
      </c>
      <c r="F41836" s="0" t="s">
        <v>1782</v>
      </c>
    </row>
    <row r="41837" customFormat="false" ht="12.8" hidden="false" customHeight="false" outlineLevel="0" collapsed="false">
      <c r="B41837" s="0" t="s">
        <v>1</v>
      </c>
      <c r="C41837" s="0" t="s">
        <v>1783</v>
      </c>
      <c r="E41837" s="0" t="s">
        <v>1784</v>
      </c>
      <c r="F41837" s="0" t="s">
        <v>1785</v>
      </c>
    </row>
    <row r="41838" customFormat="false" ht="12.8" hidden="false" customHeight="false" outlineLevel="0" collapsed="false">
      <c r="B41838" s="0" t="s">
        <v>8</v>
      </c>
      <c r="C41838" s="0" t="s">
        <v>1786</v>
      </c>
      <c r="E41838" s="0" t="s">
        <v>1787</v>
      </c>
      <c r="F41838" s="0" t="s">
        <v>1788</v>
      </c>
    </row>
    <row r="41839" customFormat="false" ht="12.8" hidden="false" customHeight="false" outlineLevel="0" collapsed="false">
      <c r="B41839" s="0" t="s">
        <v>52</v>
      </c>
      <c r="C41839" s="0" t="s">
        <v>1789</v>
      </c>
      <c r="E41839" s="0" t="s">
        <v>53</v>
      </c>
      <c r="F41839" s="0" t="s">
        <v>1790</v>
      </c>
    </row>
    <row r="41841" customFormat="false" ht="12.8" hidden="false" customHeight="false" outlineLevel="0" collapsed="false">
      <c r="A41841" s="0" t="s">
        <v>15300</v>
      </c>
      <c r="B41841" s="0" t="str">
        <f aca="false">HYPERLINK("https://lindat.mff.cuni.cz/services/teitok/pdtc10/index.php?action=vallex&amp;frame=v-w10994f2", "rozpůlit (v-w10994f2)")</f>
        <v>rozpůlit (v-w10994f2)</v>
      </c>
      <c r="E41841" s="0" t="str">
        <f aca="false">HYPERLINK("https://lindat.mff.cuni.cz/services/SynSemClass40/SynSemClass40.html?veclass=vec00296#vec00296-ces-cm00017", "vec00296")</f>
        <v>vec00296</v>
      </c>
      <c r="F41841" s="0" t="s">
        <v>5275</v>
      </c>
      <c r="H41841" s="0" t="str">
        <f aca="false">HYPERLINK("https://lindat.mff.cuni.cz/services/SynSemClass40/SynSemClass40.html?veclass=vec01449#vec01449-ces-cm00006", "vec01449")</f>
        <v>vec01449</v>
      </c>
      <c r="I41841" s="0" t="s">
        <v>5718</v>
      </c>
    </row>
    <row r="41842" customFormat="false" ht="12.8" hidden="false" customHeight="false" outlineLevel="0" collapsed="false">
      <c r="B41842" s="0" t="s">
        <v>1</v>
      </c>
      <c r="C41842" s="0" t="s">
        <v>14947</v>
      </c>
      <c r="E41842" s="0" t="s">
        <v>11</v>
      </c>
      <c r="F41842" s="0" t="s">
        <v>5277</v>
      </c>
      <c r="H41842" s="0" t="s">
        <v>11</v>
      </c>
      <c r="I41842" s="0" t="s">
        <v>5720</v>
      </c>
    </row>
    <row r="41843" customFormat="false" ht="12.8" hidden="false" customHeight="false" outlineLevel="0" collapsed="false">
      <c r="B41843" s="0" t="s">
        <v>8</v>
      </c>
      <c r="C41843" s="0" t="s">
        <v>14948</v>
      </c>
      <c r="E41843" s="0" t="s">
        <v>5279</v>
      </c>
      <c r="F41843" s="0" t="s">
        <v>5280</v>
      </c>
      <c r="H41843" s="0" t="s">
        <v>5279</v>
      </c>
      <c r="I41843" s="0" t="s">
        <v>5722</v>
      </c>
    </row>
    <row r="41844" customFormat="false" ht="12.8" hidden="false" customHeight="false" outlineLevel="0" collapsed="false">
      <c r="B41844" s="0" t="s">
        <v>5779</v>
      </c>
      <c r="C41844" s="0" t="s">
        <v>14949</v>
      </c>
      <c r="E41844" s="0" t="s">
        <v>2584</v>
      </c>
      <c r="F41844" s="0" t="s">
        <v>5282</v>
      </c>
      <c r="H41844" s="0" t="s">
        <v>2584</v>
      </c>
      <c r="I41844" s="0" t="s">
        <v>5724</v>
      </c>
    </row>
    <row r="41846" customFormat="false" ht="12.8" hidden="false" customHeight="false" outlineLevel="0" collapsed="false">
      <c r="A41846" s="0" t="s">
        <v>15301</v>
      </c>
      <c r="B41846" s="0" t="str">
        <f aca="false">HYPERLINK("https://lindat.mff.cuni.cz/services/teitok/pdtc10/index.php?action=vallex&amp;frame=v-w5758f1", "rozrazit (v-w5758f1)")</f>
        <v>rozrazit (v-w5758f1)</v>
      </c>
    </row>
    <row r="41847" customFormat="false" ht="12.8" hidden="false" customHeight="false" outlineLevel="0" collapsed="false">
      <c r="B41847" s="0" t="s">
        <v>1</v>
      </c>
    </row>
    <row r="41848" customFormat="false" ht="12.8" hidden="false" customHeight="false" outlineLevel="0" collapsed="false">
      <c r="B41848" s="0" t="s">
        <v>8</v>
      </c>
    </row>
    <row r="41850" customFormat="false" ht="12.8" hidden="false" customHeight="false" outlineLevel="0" collapsed="false">
      <c r="A41850" s="0" t="s">
        <v>15302</v>
      </c>
      <c r="B41850" s="0" t="str">
        <f aca="false">HYPERLINK("https://lindat.mff.cuni.cz/services/teitok/pdtc10/index.php?action=vallex&amp;frame=v-w5762f1", "rozrušit (v-w5762f1)")</f>
        <v>rozrušit (v-w5762f1)</v>
      </c>
      <c r="E41850" s="0" t="str">
        <f aca="false">HYPERLINK("https://lindat.mff.cuni.cz/services/SynSemClass40/SynSemClass40.html?veclass=vec00372#vec00372-ces-cm00089", "vec00372")</f>
        <v>vec00372</v>
      </c>
      <c r="F41850" s="0" t="s">
        <v>2524</v>
      </c>
    </row>
    <row r="41851" customFormat="false" ht="12.8" hidden="false" customHeight="false" outlineLevel="0" collapsed="false">
      <c r="B41851" s="0" t="s">
        <v>1</v>
      </c>
      <c r="C41851" s="0" t="s">
        <v>2525</v>
      </c>
      <c r="E41851" s="0" t="s">
        <v>2526</v>
      </c>
      <c r="F41851" s="0" t="s">
        <v>2527</v>
      </c>
    </row>
    <row r="41852" customFormat="false" ht="12.8" hidden="false" customHeight="false" outlineLevel="0" collapsed="false">
      <c r="B41852" s="0" t="s">
        <v>8</v>
      </c>
      <c r="C41852" s="0" t="s">
        <v>2528</v>
      </c>
      <c r="E41852" s="0" t="s">
        <v>142</v>
      </c>
      <c r="F41852" s="0" t="s">
        <v>2529</v>
      </c>
    </row>
    <row r="41854" customFormat="false" ht="12.8" hidden="false" customHeight="false" outlineLevel="0" collapsed="false">
      <c r="A41854" s="0" t="s">
        <v>15303</v>
      </c>
      <c r="B41854" s="0" t="str">
        <f aca="false">HYPERLINK("https://lindat.mff.cuni.cz/services/teitok/pdtc10/index.php?action=vallex&amp;frame=v-w5762f4_ZU", "rozrušit (v-w5762f4_ZU)")</f>
        <v>rozrušit (v-w5762f4_ZU)</v>
      </c>
    </row>
    <row r="41855" customFormat="false" ht="12.8" hidden="false" customHeight="false" outlineLevel="0" collapsed="false">
      <c r="B41855" s="0" t="s">
        <v>843</v>
      </c>
    </row>
    <row r="41856" customFormat="false" ht="12.8" hidden="false" customHeight="false" outlineLevel="0" collapsed="false">
      <c r="B41856" s="0" t="s">
        <v>8</v>
      </c>
    </row>
    <row r="41858" customFormat="false" ht="12.8" hidden="false" customHeight="false" outlineLevel="0" collapsed="false">
      <c r="A41858" s="0" t="s">
        <v>15303</v>
      </c>
      <c r="B41858" s="0" t="str">
        <f aca="false">HYPERLINK("https://lindat.mff.cuni.cz/services/teitok/pdtc10/index.php?action=vallex&amp;frame=v-w5762f2_ZU", "rozrušit (v-w5762f2_ZU) - substituted with v-w5762f4_ZU")</f>
        <v>rozrušit (v-w5762f2_ZU) - substituted with v-w5762f4_ZU</v>
      </c>
    </row>
    <row r="41859" customFormat="false" ht="12.8" hidden="false" customHeight="false" outlineLevel="0" collapsed="false">
      <c r="B41859" s="0" t="s">
        <v>843</v>
      </c>
    </row>
    <row r="41860" customFormat="false" ht="12.8" hidden="false" customHeight="false" outlineLevel="0" collapsed="false">
      <c r="B41860" s="0" t="s">
        <v>8</v>
      </c>
    </row>
    <row r="41862" customFormat="false" ht="12.8" hidden="false" customHeight="false" outlineLevel="0" collapsed="false">
      <c r="A41862" s="0" t="s">
        <v>15303</v>
      </c>
      <c r="B41862" s="0" t="str">
        <f aca="false">HYPERLINK("https://lindat.mff.cuni.cz/services/teitok/pdtc10/index.php?action=vallex&amp;frame=v-w5762f3_ZU", "rozrušit (v-w5762f3_ZU) - substituted with v-w5762f4_ZU")</f>
        <v>rozrušit (v-w5762f3_ZU) - substituted with v-w5762f4_ZU</v>
      </c>
      <c r="E41862" s="0" t="str">
        <f aca="false">HYPERLINK("https://lindat.mff.cuni.cz/services/SynSemClass40/SynSemClass40.html?veclass=vec01385#vec01385-ces-cm00012", "vec01385")</f>
        <v>vec01385</v>
      </c>
      <c r="F41862" s="0" t="s">
        <v>15033</v>
      </c>
    </row>
    <row r="41863" customFormat="false" ht="12.8" hidden="false" customHeight="false" outlineLevel="0" collapsed="false">
      <c r="B41863" s="0" t="s">
        <v>843</v>
      </c>
      <c r="C41863" s="0" t="s">
        <v>15034</v>
      </c>
      <c r="E41863" s="0" t="s">
        <v>1103</v>
      </c>
      <c r="F41863" s="0" t="s">
        <v>15035</v>
      </c>
    </row>
    <row r="41864" customFormat="false" ht="12.8" hidden="false" customHeight="false" outlineLevel="0" collapsed="false">
      <c r="B41864" s="0" t="s">
        <v>8</v>
      </c>
      <c r="C41864" s="0" t="s">
        <v>15036</v>
      </c>
      <c r="E41864" s="0" t="s">
        <v>142</v>
      </c>
      <c r="F41864" s="0" t="s">
        <v>15037</v>
      </c>
    </row>
    <row r="41866" customFormat="false" ht="12.8" hidden="false" customHeight="false" outlineLevel="0" collapsed="false">
      <c r="A41866" s="0" t="s">
        <v>15303</v>
      </c>
      <c r="B41866" s="0" t="str">
        <f aca="false">HYPERLINK("https://lindat.mff.cuni.cz/services/teitok/pdtc10/index.php?action=vallex&amp;frame=v-w5762hsa_195", "rozrušit (v-w5762hsa_195) - substituted with v-w5762f4_ZU")</f>
        <v>rozrušit (v-w5762hsa_195) - substituted with v-w5762f4_ZU</v>
      </c>
    </row>
    <row r="41867" customFormat="false" ht="12.8" hidden="false" customHeight="false" outlineLevel="0" collapsed="false">
      <c r="B41867" s="0" t="s">
        <v>843</v>
      </c>
    </row>
    <row r="41868" customFormat="false" ht="12.8" hidden="false" customHeight="false" outlineLevel="0" collapsed="false">
      <c r="B41868" s="0" t="s">
        <v>8</v>
      </c>
    </row>
    <row r="41870" customFormat="false" ht="12.8" hidden="false" customHeight="false" outlineLevel="0" collapsed="false">
      <c r="A41870" s="0" t="s">
        <v>15304</v>
      </c>
      <c r="B41870" s="0" t="str">
        <f aca="false">HYPERLINK("https://lindat.mff.cuni.cz/services/teitok/pdtc10/index.php?action=vallex&amp;frame=v-w5762hsa_237", "rozrušit (v-w5762hsa_237)")</f>
        <v>rozrušit (v-w5762hsa_237)</v>
      </c>
    </row>
    <row r="41871" customFormat="false" ht="12.8" hidden="false" customHeight="false" outlineLevel="0" collapsed="false">
      <c r="B41871" s="0" t="s">
        <v>1</v>
      </c>
    </row>
    <row r="41872" customFormat="false" ht="12.8" hidden="false" customHeight="false" outlineLevel="0" collapsed="false">
      <c r="B41872" s="0" t="s">
        <v>8</v>
      </c>
    </row>
    <row r="41874" customFormat="false" ht="12.8" hidden="false" customHeight="false" outlineLevel="0" collapsed="false">
      <c r="A41874" s="0" t="s">
        <v>15305</v>
      </c>
      <c r="B41874" s="0" t="str">
        <f aca="false">HYPERLINK("https://lindat.mff.cuni.cz/services/teitok/pdtc10/index.php?action=vallex&amp;frame=v-w12104_ZUf1_ZU", "rozrušovat (v-w12104_ZUf1_ZU)")</f>
        <v>rozrušovat (v-w12104_ZUf1_ZU)</v>
      </c>
    </row>
    <row r="41875" customFormat="false" ht="12.8" hidden="false" customHeight="false" outlineLevel="0" collapsed="false">
      <c r="B41875" s="0" t="s">
        <v>1</v>
      </c>
    </row>
    <row r="41876" customFormat="false" ht="12.8" hidden="false" customHeight="false" outlineLevel="0" collapsed="false">
      <c r="B41876" s="0" t="s">
        <v>8</v>
      </c>
    </row>
    <row r="41878" customFormat="false" ht="12.8" hidden="false" customHeight="false" outlineLevel="0" collapsed="false">
      <c r="A41878" s="0" t="s">
        <v>15306</v>
      </c>
      <c r="B41878" s="0" t="str">
        <f aca="false">HYPERLINK("https://lindat.mff.cuni.cz/services/teitok/pdtc10/index.php?action=vallex&amp;frame=v-w5763f1", "rozrýt (v-w5763f1)")</f>
        <v>rozrýt (v-w5763f1)</v>
      </c>
    </row>
    <row r="41879" customFormat="false" ht="12.8" hidden="false" customHeight="false" outlineLevel="0" collapsed="false">
      <c r="B41879" s="0" t="s">
        <v>1</v>
      </c>
    </row>
    <row r="41880" customFormat="false" ht="12.8" hidden="false" customHeight="false" outlineLevel="0" collapsed="false">
      <c r="B41880" s="0" t="s">
        <v>8</v>
      </c>
    </row>
    <row r="41882" customFormat="false" ht="12.8" hidden="false" customHeight="false" outlineLevel="0" collapsed="false">
      <c r="A41882" s="0" t="s">
        <v>15307</v>
      </c>
      <c r="B41882" s="0" t="str">
        <f aca="false">HYPERLINK("https://lindat.mff.cuni.cz/services/teitok/pdtc10/index.php?action=vallex&amp;frame=v-w5761f1", "rozrůst se (v-w5761f1)")</f>
        <v>rozrůst se (v-w5761f1)</v>
      </c>
      <c r="E41882" s="0" t="str">
        <f aca="false">HYPERLINK("https://lindat.mff.cuni.cz/services/SynSemClass40/SynSemClass40.html?veclass=vec00109#vec00109-ces-cm00029", "vec00109")</f>
        <v>vec00109</v>
      </c>
      <c r="F41882" s="0" t="s">
        <v>5143</v>
      </c>
    </row>
    <row r="41883" customFormat="false" ht="12.8" hidden="false" customHeight="false" outlineLevel="0" collapsed="false">
      <c r="B41883" s="0" t="s">
        <v>1</v>
      </c>
      <c r="C41883" s="0" t="s">
        <v>7017</v>
      </c>
      <c r="E41883" s="0" t="s">
        <v>235</v>
      </c>
      <c r="F41883" s="0" t="s">
        <v>5146</v>
      </c>
    </row>
    <row r="41884" customFormat="false" ht="12.8" hidden="false" customHeight="false" outlineLevel="0" collapsed="false">
      <c r="B41884" s="0" t="s">
        <v>763</v>
      </c>
      <c r="C41884" s="0" t="s">
        <v>15308</v>
      </c>
      <c r="E41884" s="0" t="s">
        <v>15309</v>
      </c>
      <c r="F41884" s="0" t="s">
        <v>15310</v>
      </c>
    </row>
    <row r="41885" customFormat="false" ht="12.8" hidden="false" customHeight="false" outlineLevel="0" collapsed="false">
      <c r="B41885" s="0" t="s">
        <v>4553</v>
      </c>
      <c r="C41885" s="0" t="s">
        <v>15311</v>
      </c>
      <c r="E41885" s="0" t="s">
        <v>5796</v>
      </c>
      <c r="F41885" s="0" t="s">
        <v>15312</v>
      </c>
    </row>
    <row r="41887" customFormat="false" ht="12.8" hidden="false" customHeight="false" outlineLevel="0" collapsed="false">
      <c r="A41887" s="0" t="s">
        <v>15313</v>
      </c>
      <c r="B41887" s="0" t="str">
        <f aca="false">HYPERLINK("https://lindat.mff.cuni.cz/services/teitok/pdtc10/index.php?action=vallex&amp;frame=v-w5761f3_ZU", "rozrůst se (v-w5761f3_ZU)")</f>
        <v>rozrůst se (v-w5761f3_ZU)</v>
      </c>
    </row>
    <row r="41888" customFormat="false" ht="12.8" hidden="false" customHeight="false" outlineLevel="0" collapsed="false">
      <c r="B41888" s="0" t="s">
        <v>1</v>
      </c>
    </row>
    <row r="41890" customFormat="false" ht="12.8" hidden="false" customHeight="false" outlineLevel="0" collapsed="false">
      <c r="A41890" s="0" t="s">
        <v>15313</v>
      </c>
      <c r="B41890" s="0" t="str">
        <f aca="false">HYPERLINK("https://lindat.mff.cuni.cz/services/teitok/pdtc10/index.php?action=vallex&amp;frame=v-w5761f2_ZU", "rozrůst se (v-w5761f2_ZU) - substituted with v-w5761f3_ZU")</f>
        <v>rozrůst se (v-w5761f2_ZU) - substituted with v-w5761f3_ZU</v>
      </c>
    </row>
    <row r="41891" customFormat="false" ht="12.8" hidden="false" customHeight="false" outlineLevel="0" collapsed="false">
      <c r="B41891" s="0" t="s">
        <v>1</v>
      </c>
    </row>
    <row r="41893" customFormat="false" ht="12.8" hidden="false" customHeight="false" outlineLevel="0" collapsed="false">
      <c r="A41893" s="0" t="s">
        <v>15314</v>
      </c>
      <c r="B41893" s="0" t="str">
        <f aca="false">HYPERLINK("https://lindat.mff.cuni.cz/services/teitok/pdtc10/index.php?action=vallex&amp;frame=v-w5760f1", "rozrůstat se (v-w5760f1)")</f>
        <v>rozrůstat se (v-w5760f1)</v>
      </c>
      <c r="E41893" s="0" t="str">
        <f aca="false">HYPERLINK("https://lindat.mff.cuni.cz/services/SynSemClass40/SynSemClass40.html?veclass=vec00109#vec00109-ces-cm00030", "vec00109")</f>
        <v>vec00109</v>
      </c>
      <c r="F41893" s="0" t="s">
        <v>5143</v>
      </c>
    </row>
    <row r="41894" customFormat="false" ht="12.8" hidden="false" customHeight="false" outlineLevel="0" collapsed="false">
      <c r="B41894" s="0" t="s">
        <v>1</v>
      </c>
      <c r="C41894" s="0" t="s">
        <v>7017</v>
      </c>
      <c r="E41894" s="0" t="s">
        <v>235</v>
      </c>
      <c r="F41894" s="0" t="s">
        <v>5146</v>
      </c>
    </row>
    <row r="41895" customFormat="false" ht="12.8" hidden="false" customHeight="false" outlineLevel="0" collapsed="false">
      <c r="B41895" s="0" t="s">
        <v>763</v>
      </c>
      <c r="C41895" s="0" t="s">
        <v>15308</v>
      </c>
      <c r="E41895" s="0" t="s">
        <v>15309</v>
      </c>
      <c r="F41895" s="0" t="s">
        <v>15310</v>
      </c>
    </row>
    <row r="41896" customFormat="false" ht="12.8" hidden="false" customHeight="false" outlineLevel="0" collapsed="false">
      <c r="B41896" s="0" t="s">
        <v>4553</v>
      </c>
      <c r="C41896" s="0" t="s">
        <v>15311</v>
      </c>
      <c r="E41896" s="0" t="s">
        <v>5796</v>
      </c>
      <c r="F41896" s="0" t="s">
        <v>15312</v>
      </c>
    </row>
    <row r="41898" customFormat="false" ht="12.8" hidden="false" customHeight="false" outlineLevel="0" collapsed="false">
      <c r="A41898" s="0" t="s">
        <v>15315</v>
      </c>
      <c r="B41898" s="0" t="str">
        <f aca="false">HYPERLINK("https://lindat.mff.cuni.cz/services/teitok/pdtc10/index.php?action=vallex&amp;frame=v-w5760hsa_689", "rozrůstat se (v-w5760hsa_689)")</f>
        <v>rozrůstat se (v-w5760hsa_689)</v>
      </c>
    </row>
    <row r="41899" customFormat="false" ht="12.8" hidden="false" customHeight="false" outlineLevel="0" collapsed="false">
      <c r="B41899" s="0" t="s">
        <v>1</v>
      </c>
    </row>
    <row r="41901" customFormat="false" ht="12.8" hidden="false" customHeight="false" outlineLevel="0" collapsed="false">
      <c r="A41901" s="0" t="s">
        <v>15316</v>
      </c>
      <c r="B41901" s="0" t="str">
        <f aca="false">HYPERLINK("https://lindat.mff.cuni.cz/services/teitok/pdtc10/index.php?action=vallex&amp;frame=v-w11315f1", "rozrůznit se (v-w11315f1)")</f>
        <v>rozrůznit se (v-w11315f1)</v>
      </c>
    </row>
    <row r="41902" customFormat="false" ht="12.8" hidden="false" customHeight="false" outlineLevel="0" collapsed="false">
      <c r="B41902" s="0" t="s">
        <v>1</v>
      </c>
    </row>
    <row r="41904" customFormat="false" ht="12.8" hidden="false" customHeight="false" outlineLevel="0" collapsed="false">
      <c r="A41904" s="0" t="s">
        <v>15317</v>
      </c>
      <c r="B41904" s="0" t="str">
        <f aca="false">HYPERLINK("https://lindat.mff.cuni.cz/services/teitok/pdtc10/index.php?action=vallex&amp;frame=v-whsb_0hsa_1", "rozsazovat (v-whsb_0hsa_1)")</f>
        <v>rozsazovat (v-whsb_0hsa_1)</v>
      </c>
    </row>
    <row r="41905" customFormat="false" ht="12.8" hidden="false" customHeight="false" outlineLevel="0" collapsed="false">
      <c r="B41905" s="0" t="s">
        <v>1</v>
      </c>
    </row>
    <row r="41906" customFormat="false" ht="12.8" hidden="false" customHeight="false" outlineLevel="0" collapsed="false">
      <c r="B41906" s="0" t="s">
        <v>8</v>
      </c>
    </row>
    <row r="41907" customFormat="false" ht="12.8" hidden="false" customHeight="false" outlineLevel="0" collapsed="false">
      <c r="B41907" s="0" t="s">
        <v>164</v>
      </c>
    </row>
    <row r="41909" customFormat="false" ht="12.8" hidden="false" customHeight="false" outlineLevel="0" collapsed="false">
      <c r="A41909" s="0" t="s">
        <v>15318</v>
      </c>
      <c r="B41909" s="0" t="str">
        <f aca="false">HYPERLINK("https://lindat.mff.cuni.cz/services/teitok/pdtc10/index.php?action=vallex&amp;frame=v-whsa_0hsa_2", "rozsazovat (v-whsa_0hsa_2)")</f>
        <v>rozsazovat (v-whsa_0hsa_2)</v>
      </c>
    </row>
    <row r="41910" customFormat="false" ht="12.8" hidden="false" customHeight="false" outlineLevel="0" collapsed="false">
      <c r="B41910" s="0" t="s">
        <v>1</v>
      </c>
    </row>
    <row r="41911" customFormat="false" ht="12.8" hidden="false" customHeight="false" outlineLevel="0" collapsed="false">
      <c r="B41911" s="0" t="s">
        <v>8</v>
      </c>
    </row>
    <row r="41912" customFormat="false" ht="12.8" hidden="false" customHeight="false" outlineLevel="0" collapsed="false">
      <c r="B41912" s="0" t="s">
        <v>5</v>
      </c>
    </row>
    <row r="41914" customFormat="false" ht="12.8" hidden="false" customHeight="false" outlineLevel="0" collapsed="false">
      <c r="A41914" s="0" t="s">
        <v>15319</v>
      </c>
      <c r="B41914" s="0" t="str">
        <f aca="false">HYPERLINK("https://lindat.mff.cuni.cz/services/teitok/pdtc10/index.php?action=vallex&amp;frame=v-whsa_1330hsa_1331", "rozsekat (v-whsa_1330hsa_1331)")</f>
        <v>rozsekat (v-whsa_1330hsa_1331)</v>
      </c>
    </row>
    <row r="41915" customFormat="false" ht="12.8" hidden="false" customHeight="false" outlineLevel="0" collapsed="false">
      <c r="B41915" s="0" t="s">
        <v>1</v>
      </c>
    </row>
    <row r="41916" customFormat="false" ht="12.8" hidden="false" customHeight="false" outlineLevel="0" collapsed="false">
      <c r="B41916" s="0" t="s">
        <v>8</v>
      </c>
    </row>
    <row r="41917" customFormat="false" ht="12.8" hidden="false" customHeight="false" outlineLevel="0" collapsed="false">
      <c r="B41917" s="0" t="s">
        <v>101</v>
      </c>
    </row>
    <row r="41919" customFormat="false" ht="12.8" hidden="false" customHeight="false" outlineLevel="0" collapsed="false">
      <c r="A41919" s="0" t="s">
        <v>15320</v>
      </c>
      <c r="B41919" s="0" t="str">
        <f aca="false">HYPERLINK("https://lindat.mff.cuni.cz/services/teitok/pdtc10/index.php?action=vallex&amp;frame=v-w11945_ZUf1_ZU", "rozseknout (v-w11945_ZUf1_ZU)")</f>
        <v>rozseknout (v-w11945_ZUf1_ZU)</v>
      </c>
    </row>
    <row r="41920" customFormat="false" ht="12.8" hidden="false" customHeight="false" outlineLevel="0" collapsed="false">
      <c r="B41920" s="0" t="s">
        <v>1</v>
      </c>
    </row>
    <row r="41921" customFormat="false" ht="12.8" hidden="false" customHeight="false" outlineLevel="0" collapsed="false">
      <c r="B41921" s="0" t="s">
        <v>8</v>
      </c>
    </row>
    <row r="41923" customFormat="false" ht="12.8" hidden="false" customHeight="false" outlineLevel="0" collapsed="false">
      <c r="A41923" s="0" t="s">
        <v>15321</v>
      </c>
      <c r="B41923" s="0" t="str">
        <f aca="false">HYPERLINK("https://lindat.mff.cuni.cz/services/teitok/pdtc10/index.php?action=vallex&amp;frame=v-whsa_509hsa_510", "rozsoudit (v-whsa_509hsa_510)")</f>
        <v>rozsoudit (v-whsa_509hsa_510)</v>
      </c>
    </row>
    <row r="41924" customFormat="false" ht="12.8" hidden="false" customHeight="false" outlineLevel="0" collapsed="false">
      <c r="B41924" s="0" t="s">
        <v>1</v>
      </c>
    </row>
    <row r="41925" customFormat="false" ht="12.8" hidden="false" customHeight="false" outlineLevel="0" collapsed="false">
      <c r="B41925" s="0" t="s">
        <v>8</v>
      </c>
    </row>
    <row r="41927" customFormat="false" ht="12.8" hidden="false" customHeight="false" outlineLevel="0" collapsed="false">
      <c r="A41927" s="0" t="s">
        <v>15322</v>
      </c>
      <c r="B41927" s="0" t="str">
        <f aca="false">HYPERLINK("https://lindat.mff.cuni.cz/services/teitok/pdtc10/index.php?action=vallex&amp;frame=v-w10954f3", "rozstřikovat (v-w10954f3)")</f>
        <v>rozstřikovat (v-w10954f3)</v>
      </c>
      <c r="E41927" s="0" t="str">
        <f aca="false">HYPERLINK("https://lindat.mff.cuni.cz/services/SynSemClass40/SynSemClass40.html?veclass=vec00105#vec00105-ces-cm00007", "vec00105")</f>
        <v>vec00105</v>
      </c>
      <c r="F41927" s="0" t="s">
        <v>15095</v>
      </c>
    </row>
    <row r="41928" customFormat="false" ht="12.8" hidden="false" customHeight="false" outlineLevel="0" collapsed="false">
      <c r="B41928" s="0" t="s">
        <v>1</v>
      </c>
      <c r="C41928" s="0" t="s">
        <v>512</v>
      </c>
      <c r="E41928" s="0" t="s">
        <v>1665</v>
      </c>
      <c r="F41928" s="0" t="s">
        <v>15096</v>
      </c>
    </row>
    <row r="41929" customFormat="false" ht="12.8" hidden="false" customHeight="false" outlineLevel="0" collapsed="false">
      <c r="B41929" s="0" t="s">
        <v>8</v>
      </c>
      <c r="C41929" s="0" t="s">
        <v>531</v>
      </c>
      <c r="E41929" s="0" t="s">
        <v>34</v>
      </c>
      <c r="F41929" s="0" t="s">
        <v>15097</v>
      </c>
    </row>
    <row r="41931" customFormat="false" ht="12.8" hidden="false" customHeight="false" outlineLevel="0" collapsed="false">
      <c r="A41931" s="0" t="s">
        <v>15323</v>
      </c>
      <c r="B41931" s="0" t="str">
        <f aca="false">HYPERLINK("https://lindat.mff.cuni.cz/services/teitok/pdtc10/index.php?action=vallex&amp;frame=v-w11710_ZUf1_ZU", "rozstříhat (v-w11710_ZUf1_ZU)")</f>
        <v>rozstříhat (v-w11710_ZUf1_ZU)</v>
      </c>
    </row>
    <row r="41932" customFormat="false" ht="12.8" hidden="false" customHeight="false" outlineLevel="0" collapsed="false">
      <c r="B41932" s="0" t="s">
        <v>1</v>
      </c>
    </row>
    <row r="41933" customFormat="false" ht="12.8" hidden="false" customHeight="false" outlineLevel="0" collapsed="false">
      <c r="B41933" s="0" t="s">
        <v>8</v>
      </c>
    </row>
    <row r="41934" customFormat="false" ht="12.8" hidden="false" customHeight="false" outlineLevel="0" collapsed="false">
      <c r="B41934" s="0" t="s">
        <v>101</v>
      </c>
    </row>
    <row r="41936" customFormat="false" ht="12.8" hidden="false" customHeight="false" outlineLevel="0" collapsed="false">
      <c r="A41936" s="0" t="s">
        <v>15324</v>
      </c>
      <c r="B41936" s="0" t="str">
        <f aca="false">HYPERLINK("https://lindat.mff.cuni.cz/services/teitok/pdtc10/index.php?action=vallex&amp;frame=v-w5769f1", "rozstřílet (v-w5769f1)")</f>
        <v>rozstřílet (v-w5769f1)</v>
      </c>
    </row>
    <row r="41937" customFormat="false" ht="12.8" hidden="false" customHeight="false" outlineLevel="0" collapsed="false">
      <c r="B41937" s="0" t="s">
        <v>1</v>
      </c>
    </row>
    <row r="41938" customFormat="false" ht="12.8" hidden="false" customHeight="false" outlineLevel="0" collapsed="false">
      <c r="B41938" s="0" t="s">
        <v>8</v>
      </c>
    </row>
    <row r="41940" customFormat="false" ht="12.8" hidden="false" customHeight="false" outlineLevel="0" collapsed="false">
      <c r="A41940" s="0" t="s">
        <v>15325</v>
      </c>
      <c r="B41940" s="0" t="str">
        <f aca="false">HYPERLINK("https://lindat.mff.cuni.cz/services/teitok/pdtc10/index.php?action=vallex&amp;frame=v-w5769f2_ZU", "rozstřílet (v-w5769f2_ZU)")</f>
        <v>rozstřílet (v-w5769f2_ZU)</v>
      </c>
    </row>
    <row r="41941" customFormat="false" ht="12.8" hidden="false" customHeight="false" outlineLevel="0" collapsed="false">
      <c r="B41941" s="0" t="s">
        <v>1</v>
      </c>
    </row>
    <row r="41942" customFormat="false" ht="12.8" hidden="false" customHeight="false" outlineLevel="0" collapsed="false">
      <c r="B41942" s="0" t="s">
        <v>8</v>
      </c>
    </row>
    <row r="41943" customFormat="false" ht="12.8" hidden="false" customHeight="false" outlineLevel="0" collapsed="false">
      <c r="B41943" s="0" t="s">
        <v>101</v>
      </c>
    </row>
    <row r="41945" customFormat="false" ht="12.8" hidden="false" customHeight="false" outlineLevel="0" collapsed="false">
      <c r="A41945" s="0" t="s">
        <v>15326</v>
      </c>
      <c r="B41945" s="0" t="str">
        <f aca="false">HYPERLINK("https://lindat.mff.cuni.cz/services/teitok/pdtc10/index.php?action=vallex&amp;frame=v-w5772f1", "rozsvítit (v-w5772f1)")</f>
        <v>rozsvítit (v-w5772f1)</v>
      </c>
      <c r="E41945" s="0" t="str">
        <f aca="false">HYPERLINK("https://lindat.mff.cuni.cz/services/SynSemClass40/SynSemClass40.html?veclass=vec00986#vec00986-ces-cm00015", "vec00986")</f>
        <v>vec00986</v>
      </c>
      <c r="F41945" s="0" t="s">
        <v>15327</v>
      </c>
    </row>
    <row r="41946" customFormat="false" ht="12.8" hidden="false" customHeight="false" outlineLevel="0" collapsed="false">
      <c r="B41946" s="0" t="s">
        <v>1</v>
      </c>
      <c r="C41946" s="0" t="s">
        <v>459</v>
      </c>
      <c r="E41946" s="0" t="s">
        <v>15328</v>
      </c>
      <c r="F41946" s="0" t="s">
        <v>15329</v>
      </c>
    </row>
    <row r="41947" customFormat="false" ht="12.8" hidden="false" customHeight="false" outlineLevel="0" collapsed="false">
      <c r="B41947" s="0" t="s">
        <v>8</v>
      </c>
      <c r="C41947" s="0" t="s">
        <v>462</v>
      </c>
      <c r="E41947" s="0" t="s">
        <v>15330</v>
      </c>
      <c r="F41947" s="0" t="s">
        <v>15331</v>
      </c>
    </row>
    <row r="41949" customFormat="false" ht="12.8" hidden="false" customHeight="false" outlineLevel="0" collapsed="false">
      <c r="A41949" s="0" t="s">
        <v>15332</v>
      </c>
      <c r="B41949" s="0" t="str">
        <f aca="false">HYPERLINK("https://lindat.mff.cuni.cz/services/teitok/pdtc10/index.php?action=vallex&amp;frame=v-w5773f1", "rozsvítit se (v-w5773f1)")</f>
        <v>rozsvítit se (v-w5773f1)</v>
      </c>
    </row>
    <row r="41950" customFormat="false" ht="12.8" hidden="false" customHeight="false" outlineLevel="0" collapsed="false">
      <c r="B41950" s="0" t="s">
        <v>1</v>
      </c>
    </row>
    <row r="41952" customFormat="false" ht="12.8" hidden="false" customHeight="false" outlineLevel="0" collapsed="false">
      <c r="A41952" s="0" t="s">
        <v>15333</v>
      </c>
      <c r="B41952" s="0" t="str">
        <f aca="false">HYPERLINK("https://lindat.mff.cuni.cz/services/teitok/pdtc10/index.php?action=vallex&amp;frame=v-w11027f3_ZU", "rozsvěcet (v-w11027f3_ZU)")</f>
        <v>rozsvěcet (v-w11027f3_ZU)</v>
      </c>
    </row>
    <row r="41953" customFormat="false" ht="12.8" hidden="false" customHeight="false" outlineLevel="0" collapsed="false">
      <c r="B41953" s="0" t="s">
        <v>1</v>
      </c>
    </row>
    <row r="41954" customFormat="false" ht="12.8" hidden="false" customHeight="false" outlineLevel="0" collapsed="false">
      <c r="B41954" s="0" t="s">
        <v>8</v>
      </c>
    </row>
    <row r="41956" customFormat="false" ht="12.8" hidden="false" customHeight="false" outlineLevel="0" collapsed="false">
      <c r="A41956" s="0" t="s">
        <v>15333</v>
      </c>
      <c r="B41956" s="0" t="str">
        <f aca="false">HYPERLINK("https://lindat.mff.cuni.cz/services/teitok/pdtc10/index.php?action=vallex&amp;frame=v-w11027f2", "rozsvěcet (v-w11027f2) - substituted with v-w11027f3_ZU")</f>
        <v>rozsvěcet (v-w11027f2) - substituted with v-w11027f3_ZU</v>
      </c>
    </row>
    <row r="41957" customFormat="false" ht="12.8" hidden="false" customHeight="false" outlineLevel="0" collapsed="false">
      <c r="B41957" s="0" t="s">
        <v>1</v>
      </c>
    </row>
    <row r="41958" customFormat="false" ht="12.8" hidden="false" customHeight="false" outlineLevel="0" collapsed="false">
      <c r="B41958" s="0" t="s">
        <v>8</v>
      </c>
    </row>
    <row r="41960" customFormat="false" ht="12.8" hidden="false" customHeight="false" outlineLevel="0" collapsed="false">
      <c r="A41960" s="0" t="s">
        <v>15334</v>
      </c>
      <c r="B41960" s="0" t="str">
        <f aca="false">HYPERLINK("https://lindat.mff.cuni.cz/services/teitok/pdtc10/index.php?action=vallex&amp;frame=v-w11306f1", "rozsvěcovat se (v-w11306f1)")</f>
        <v>rozsvěcovat se (v-w11306f1)</v>
      </c>
    </row>
    <row r="41961" customFormat="false" ht="12.8" hidden="false" customHeight="false" outlineLevel="0" collapsed="false">
      <c r="B41961" s="0" t="s">
        <v>1</v>
      </c>
    </row>
    <row r="41963" customFormat="false" ht="12.8" hidden="false" customHeight="false" outlineLevel="0" collapsed="false">
      <c r="A41963" s="0" t="s">
        <v>15335</v>
      </c>
      <c r="B41963" s="0" t="str">
        <f aca="false">HYPERLINK("https://lindat.mff.cuni.cz/services/teitok/pdtc10/index.php?action=vallex&amp;frame=v-w11727_ZUf1_ZU", "rozsypat (v-w11727_ZUf1_ZU)")</f>
        <v>rozsypat (v-w11727_ZUf1_ZU)</v>
      </c>
    </row>
    <row r="41964" customFormat="false" ht="12.8" hidden="false" customHeight="false" outlineLevel="0" collapsed="false">
      <c r="B41964" s="0" t="s">
        <v>1</v>
      </c>
    </row>
    <row r="41965" customFormat="false" ht="12.8" hidden="false" customHeight="false" outlineLevel="0" collapsed="false">
      <c r="B41965" s="0" t="s">
        <v>8</v>
      </c>
    </row>
    <row r="41967" customFormat="false" ht="12.8" hidden="false" customHeight="false" outlineLevel="0" collapsed="false">
      <c r="A41967" s="0" t="s">
        <v>15336</v>
      </c>
      <c r="B41967" s="0" t="str">
        <f aca="false">HYPERLINK("https://lindat.mff.cuni.cz/services/teitok/pdtc10/index.php?action=vallex&amp;frame=v-w5774f1", "rozsypat se (v-w5774f1)")</f>
        <v>rozsypat se (v-w5774f1)</v>
      </c>
    </row>
    <row r="41968" customFormat="false" ht="12.8" hidden="false" customHeight="false" outlineLevel="0" collapsed="false">
      <c r="B41968" s="0" t="s">
        <v>1</v>
      </c>
    </row>
    <row r="41970" customFormat="false" ht="12.8" hidden="false" customHeight="false" outlineLevel="0" collapsed="false">
      <c r="A41970" s="0" t="s">
        <v>15337</v>
      </c>
      <c r="B41970" s="0" t="str">
        <f aca="false">HYPERLINK("https://lindat.mff.cuni.cz/services/teitok/pdtc10/index.php?action=vallex&amp;frame=v-w5775f1", "rozsypávat se (v-w5775f1)")</f>
        <v>rozsypávat se (v-w5775f1)</v>
      </c>
    </row>
    <row r="41971" customFormat="false" ht="12.8" hidden="false" customHeight="false" outlineLevel="0" collapsed="false">
      <c r="B41971" s="0" t="s">
        <v>1</v>
      </c>
    </row>
    <row r="41973" customFormat="false" ht="12.8" hidden="false" customHeight="false" outlineLevel="0" collapsed="false">
      <c r="A41973" s="0" t="s">
        <v>15338</v>
      </c>
      <c r="B41973" s="0" t="str">
        <f aca="false">HYPERLINK("https://lindat.mff.cuni.cz/services/teitok/pdtc10/index.php?action=vallex&amp;frame=v-w5768f1", "rozsít (v-w5768f1)")</f>
        <v>rozsít (v-w5768f1)</v>
      </c>
    </row>
    <row r="41974" customFormat="false" ht="12.8" hidden="false" customHeight="false" outlineLevel="0" collapsed="false">
      <c r="B41974" s="0" t="s">
        <v>1</v>
      </c>
    </row>
    <row r="41975" customFormat="false" ht="12.8" hidden="false" customHeight="false" outlineLevel="0" collapsed="false">
      <c r="B41975" s="0" t="s">
        <v>8</v>
      </c>
    </row>
    <row r="41976" customFormat="false" ht="12.8" hidden="false" customHeight="false" outlineLevel="0" collapsed="false">
      <c r="B41976" s="0" t="s">
        <v>5</v>
      </c>
    </row>
    <row r="41978" customFormat="false" ht="12.8" hidden="false" customHeight="false" outlineLevel="0" collapsed="false">
      <c r="A41978" s="0" t="s">
        <v>15339</v>
      </c>
      <c r="B41978" s="0" t="str">
        <f aca="false">HYPERLINK("https://lindat.mff.cuni.cz/services/teitok/pdtc10/index.php?action=vallex&amp;frame=v-w5768f2", "rozsít (v-w5768f2)")</f>
        <v>rozsít (v-w5768f2)</v>
      </c>
    </row>
    <row r="41979" customFormat="false" ht="12.8" hidden="false" customHeight="false" outlineLevel="0" collapsed="false">
      <c r="B41979" s="0" t="s">
        <v>1</v>
      </c>
    </row>
    <row r="41980" customFormat="false" ht="12.8" hidden="false" customHeight="false" outlineLevel="0" collapsed="false">
      <c r="B41980" s="0" t="s">
        <v>8</v>
      </c>
    </row>
    <row r="41981" customFormat="false" ht="12.8" hidden="false" customHeight="false" outlineLevel="0" collapsed="false">
      <c r="B41981" s="0" t="s">
        <v>164</v>
      </c>
    </row>
    <row r="41983" customFormat="false" ht="12.8" hidden="false" customHeight="false" outlineLevel="0" collapsed="false">
      <c r="A41983" s="0" t="s">
        <v>15340</v>
      </c>
      <c r="B41983" s="0" t="str">
        <f aca="false">HYPERLINK("https://lindat.mff.cuni.cz/services/teitok/pdtc10/index.php?action=vallex&amp;frame=v-w11460f1", "roztahovat (v-w11460f1)")</f>
        <v>roztahovat (v-w11460f1)</v>
      </c>
    </row>
    <row r="41984" customFormat="false" ht="12.8" hidden="false" customHeight="false" outlineLevel="0" collapsed="false">
      <c r="B41984" s="0" t="s">
        <v>1</v>
      </c>
    </row>
    <row r="41985" customFormat="false" ht="12.8" hidden="false" customHeight="false" outlineLevel="0" collapsed="false">
      <c r="B41985" s="0" t="s">
        <v>8</v>
      </c>
    </row>
    <row r="41987" customFormat="false" ht="12.8" hidden="false" customHeight="false" outlineLevel="0" collapsed="false">
      <c r="A41987" s="0" t="s">
        <v>15341</v>
      </c>
      <c r="B41987" s="0" t="str">
        <f aca="false">HYPERLINK("https://lindat.mff.cuni.cz/services/teitok/pdtc10/index.php?action=vallex&amp;frame=v-w11460f2_ZU", "roztahovat (v-w11460f2_ZU)")</f>
        <v>roztahovat (v-w11460f2_ZU)</v>
      </c>
    </row>
    <row r="41988" customFormat="false" ht="12.8" hidden="false" customHeight="false" outlineLevel="0" collapsed="false">
      <c r="B41988" s="0" t="s">
        <v>1</v>
      </c>
    </row>
    <row r="41989" customFormat="false" ht="12.8" hidden="false" customHeight="false" outlineLevel="0" collapsed="false">
      <c r="B41989" s="0" t="s">
        <v>8</v>
      </c>
    </row>
    <row r="41991" customFormat="false" ht="12.8" hidden="false" customHeight="false" outlineLevel="0" collapsed="false">
      <c r="A41991" s="0" t="s">
        <v>15342</v>
      </c>
      <c r="B41991" s="0" t="str">
        <f aca="false">HYPERLINK("https://lindat.mff.cuni.cz/services/teitok/pdtc10/index.php?action=vallex&amp;frame=v-w5789f1", "roztahovat se (v-w5789f1)")</f>
        <v>roztahovat se (v-w5789f1)</v>
      </c>
      <c r="E41991" s="0" t="str">
        <f aca="false">HYPERLINK("https://lindat.mff.cuni.cz/services/SynSemClass40/SynSemClass40.html?veclass=vec01520#vec01520-ces-cm00009", "vec01520")</f>
        <v>vec01520</v>
      </c>
      <c r="F41991" s="0" t="s">
        <v>4075</v>
      </c>
    </row>
    <row r="41992" customFormat="false" ht="12.8" hidden="false" customHeight="false" outlineLevel="0" collapsed="false">
      <c r="B41992" s="0" t="s">
        <v>1</v>
      </c>
      <c r="C41992" s="0" t="s">
        <v>15298</v>
      </c>
      <c r="E41992" s="0" t="s">
        <v>957</v>
      </c>
      <c r="F41992" s="0" t="s">
        <v>4078</v>
      </c>
    </row>
    <row r="41994" customFormat="false" ht="12.8" hidden="false" customHeight="false" outlineLevel="0" collapsed="false">
      <c r="A41994" s="0" t="s">
        <v>15343</v>
      </c>
      <c r="B41994" s="0" t="str">
        <f aca="false">HYPERLINK("https://lindat.mff.cuni.cz/services/teitok/pdtc10/index.php?action=vallex&amp;frame=v-w5790f1", "roztancovat (v-w5790f1)")</f>
        <v>roztancovat (v-w5790f1)</v>
      </c>
    </row>
    <row r="41995" customFormat="false" ht="12.8" hidden="false" customHeight="false" outlineLevel="0" collapsed="false">
      <c r="B41995" s="0" t="s">
        <v>629</v>
      </c>
    </row>
    <row r="41996" customFormat="false" ht="12.8" hidden="false" customHeight="false" outlineLevel="0" collapsed="false">
      <c r="B41996" s="0" t="s">
        <v>8</v>
      </c>
    </row>
    <row r="41998" customFormat="false" ht="12.8" hidden="false" customHeight="false" outlineLevel="0" collapsed="false">
      <c r="A41998" s="0" t="s">
        <v>15344</v>
      </c>
      <c r="B41998" s="0" t="str">
        <f aca="false">HYPERLINK("https://lindat.mff.cuni.cz/services/teitok/pdtc10/index.php?action=vallex&amp;frame=v-w5791f1", "roztančit (v-w5791f1)")</f>
        <v>roztančit (v-w5791f1)</v>
      </c>
    </row>
    <row r="41999" customFormat="false" ht="12.8" hidden="false" customHeight="false" outlineLevel="0" collapsed="false">
      <c r="B41999" s="0" t="s">
        <v>1</v>
      </c>
    </row>
    <row r="42000" customFormat="false" ht="12.8" hidden="false" customHeight="false" outlineLevel="0" collapsed="false">
      <c r="B42000" s="0" t="s">
        <v>8</v>
      </c>
    </row>
    <row r="42002" customFormat="false" ht="12.8" hidden="false" customHeight="false" outlineLevel="0" collapsed="false">
      <c r="A42002" s="0" t="s">
        <v>15345</v>
      </c>
      <c r="B42002" s="0" t="str">
        <f aca="false">HYPERLINK("https://lindat.mff.cuni.cz/services/teitok/pdtc10/index.php?action=vallex&amp;frame=v-w5793f1", "roztavit (v-w5793f1)")</f>
        <v>roztavit (v-w5793f1)</v>
      </c>
    </row>
    <row r="42003" customFormat="false" ht="12.8" hidden="false" customHeight="false" outlineLevel="0" collapsed="false">
      <c r="B42003" s="0" t="s">
        <v>1</v>
      </c>
    </row>
    <row r="42004" customFormat="false" ht="12.8" hidden="false" customHeight="false" outlineLevel="0" collapsed="false">
      <c r="B42004" s="0" t="s">
        <v>8</v>
      </c>
    </row>
    <row r="42006" customFormat="false" ht="12.8" hidden="false" customHeight="false" outlineLevel="0" collapsed="false">
      <c r="A42006" s="0" t="s">
        <v>15346</v>
      </c>
      <c r="B42006" s="0" t="str">
        <f aca="false">HYPERLINK("https://lindat.mff.cuni.cz/services/teitok/pdtc10/index.php?action=vallex&amp;frame=v-w5794f1", "roztavit se (v-w5794f1)")</f>
        <v>roztavit se (v-w5794f1)</v>
      </c>
      <c r="E42006" s="0" t="str">
        <f aca="false">HYPERLINK("https://lindat.mff.cuni.cz/services/SynSemClass40/SynSemClass40.html?veclass=vec01103#vec01103-ces-cm00001", "vec01103")</f>
        <v>vec01103</v>
      </c>
      <c r="F42006" s="0" t="s">
        <v>15123</v>
      </c>
    </row>
    <row r="42007" customFormat="false" ht="12.8" hidden="false" customHeight="false" outlineLevel="0" collapsed="false">
      <c r="B42007" s="0" t="s">
        <v>1</v>
      </c>
      <c r="C42007" s="0" t="s">
        <v>549</v>
      </c>
      <c r="E42007" s="0" t="s">
        <v>6270</v>
      </c>
      <c r="F42007" s="0" t="s">
        <v>15124</v>
      </c>
    </row>
    <row r="42009" customFormat="false" ht="12.8" hidden="false" customHeight="false" outlineLevel="0" collapsed="false">
      <c r="A42009" s="0" t="s">
        <v>15347</v>
      </c>
      <c r="B42009" s="0" t="str">
        <f aca="false">HYPERLINK("https://lindat.mff.cuni.cz/services/teitok/pdtc10/index.php?action=vallex&amp;frame=v-w5795f1", "roztleskat (v-w5795f1)")</f>
        <v>roztleskat (v-w5795f1)</v>
      </c>
    </row>
    <row r="42010" customFormat="false" ht="12.8" hidden="false" customHeight="false" outlineLevel="0" collapsed="false">
      <c r="B42010" s="0" t="s">
        <v>1</v>
      </c>
    </row>
    <row r="42011" customFormat="false" ht="12.8" hidden="false" customHeight="false" outlineLevel="0" collapsed="false">
      <c r="B42011" s="0" t="s">
        <v>8</v>
      </c>
    </row>
    <row r="42013" customFormat="false" ht="12.8" hidden="false" customHeight="false" outlineLevel="0" collapsed="false">
      <c r="A42013" s="0" t="s">
        <v>15348</v>
      </c>
      <c r="B42013" s="0" t="str">
        <f aca="false">HYPERLINK("https://lindat.mff.cuni.cz/services/teitok/pdtc10/index.php?action=vallex&amp;frame=v-w10349f2", "roztlouci (v-w10349f2)")</f>
        <v>roztlouci (v-w10349f2)</v>
      </c>
      <c r="E42013" s="0" t="str">
        <f aca="false">HYPERLINK("https://lindat.mff.cuni.cz/services/SynSemClass40/SynSemClass40.html?veclass=vec00389#vec00389-ces-cm00046", "vec00389")</f>
        <v>vec00389</v>
      </c>
      <c r="F42013" s="0" t="s">
        <v>1888</v>
      </c>
    </row>
    <row r="42014" customFormat="false" ht="12.8" hidden="false" customHeight="false" outlineLevel="0" collapsed="false">
      <c r="B42014" s="0" t="s">
        <v>1</v>
      </c>
      <c r="C42014" s="0" t="s">
        <v>1889</v>
      </c>
      <c r="E42014" s="0" t="s">
        <v>1890</v>
      </c>
      <c r="F42014" s="0" t="s">
        <v>1891</v>
      </c>
    </row>
    <row r="42015" customFormat="false" ht="12.8" hidden="false" customHeight="false" outlineLevel="0" collapsed="false">
      <c r="B42015" s="0" t="s">
        <v>8</v>
      </c>
      <c r="C42015" s="0" t="s">
        <v>1892</v>
      </c>
      <c r="E42015" s="0" t="s">
        <v>1893</v>
      </c>
      <c r="F42015" s="0" t="s">
        <v>1894</v>
      </c>
    </row>
    <row r="42017" customFormat="false" ht="12.8" hidden="false" customHeight="false" outlineLevel="0" collapsed="false">
      <c r="A42017" s="0" t="s">
        <v>15349</v>
      </c>
      <c r="B42017" s="0" t="str">
        <f aca="false">HYPERLINK("https://lindat.mff.cuni.cz/services/teitok/pdtc10/index.php?action=vallex&amp;frame=v-w11892_ZUf1_ZU", "roztloukat (v-w11892_ZUf1_ZU)")</f>
        <v>roztloukat (v-w11892_ZUf1_ZU)</v>
      </c>
    </row>
    <row r="42018" customFormat="false" ht="12.8" hidden="false" customHeight="false" outlineLevel="0" collapsed="false">
      <c r="B42018" s="0" t="s">
        <v>1</v>
      </c>
    </row>
    <row r="42019" customFormat="false" ht="12.8" hidden="false" customHeight="false" outlineLevel="0" collapsed="false">
      <c r="B42019" s="0" t="s">
        <v>8</v>
      </c>
    </row>
    <row r="42020" customFormat="false" ht="12.8" hidden="false" customHeight="false" outlineLevel="0" collapsed="false">
      <c r="B42020" s="0" t="s">
        <v>101</v>
      </c>
    </row>
    <row r="42022" customFormat="false" ht="12.8" hidden="false" customHeight="false" outlineLevel="0" collapsed="false">
      <c r="A42022" s="0" t="s">
        <v>15350</v>
      </c>
      <c r="B42022" s="0" t="str">
        <f aca="false">HYPERLINK("https://lindat.mff.cuni.cz/services/teitok/pdtc10/index.php?action=vallex&amp;frame=v-w10377f2", "roztočit (v-w10377f2)")</f>
        <v>roztočit (v-w10377f2)</v>
      </c>
      <c r="E42022" s="0" t="str">
        <f aca="false">HYPERLINK("https://lindat.mff.cuni.cz/services/SynSemClass40/SynSemClass40.html?veclass=vec00812#vec00812-ces-cm00393", "vec00812")</f>
        <v>vec00812</v>
      </c>
      <c r="F42022" s="0" t="s">
        <v>2822</v>
      </c>
    </row>
    <row r="42023" customFormat="false" ht="12.8" hidden="false" customHeight="false" outlineLevel="0" collapsed="false">
      <c r="B42023" s="0" t="s">
        <v>1</v>
      </c>
      <c r="C42023" s="0" t="s">
        <v>2823</v>
      </c>
      <c r="E42023" s="0" t="s">
        <v>1103</v>
      </c>
      <c r="F42023" s="0" t="s">
        <v>2824</v>
      </c>
    </row>
    <row r="42024" customFormat="false" ht="12.8" hidden="false" customHeight="false" outlineLevel="0" collapsed="false">
      <c r="B42024" s="0" t="s">
        <v>8</v>
      </c>
      <c r="C42024" s="0" t="s">
        <v>2372</v>
      </c>
      <c r="E42024" s="0" t="s">
        <v>142</v>
      </c>
      <c r="F42024" s="0" t="s">
        <v>2825</v>
      </c>
    </row>
    <row r="42025" customFormat="false" ht="12.8" hidden="false" customHeight="false" outlineLevel="0" collapsed="false">
      <c r="B42025" s="0" t="s">
        <v>361</v>
      </c>
      <c r="C42025" s="0" t="s">
        <v>2826</v>
      </c>
      <c r="E42025" s="0" t="s">
        <v>3114</v>
      </c>
      <c r="F42025" s="0" t="s">
        <v>3115</v>
      </c>
    </row>
    <row r="42027" customFormat="false" ht="12.8" hidden="false" customHeight="false" outlineLevel="0" collapsed="false">
      <c r="A42027" s="0" t="s">
        <v>15351</v>
      </c>
      <c r="B42027" s="0" t="str">
        <f aca="false">HYPERLINK("https://lindat.mff.cuni.cz/services/teitok/pdtc10/index.php?action=vallex&amp;frame=v-w10377f3", "roztočit (v-w10377f3)")</f>
        <v>roztočit (v-w10377f3)</v>
      </c>
    </row>
    <row r="42028" customFormat="false" ht="12.8" hidden="false" customHeight="false" outlineLevel="0" collapsed="false">
      <c r="B42028" s="0" t="s">
        <v>1</v>
      </c>
    </row>
    <row r="42029" customFormat="false" ht="12.8" hidden="false" customHeight="false" outlineLevel="0" collapsed="false">
      <c r="B42029" s="0" t="s">
        <v>8</v>
      </c>
    </row>
    <row r="42031" customFormat="false" ht="12.8" hidden="false" customHeight="false" outlineLevel="0" collapsed="false">
      <c r="A42031" s="0" t="s">
        <v>15352</v>
      </c>
      <c r="B42031" s="0" t="str">
        <f aca="false">HYPERLINK("https://lindat.mff.cuni.cz/services/teitok/pdtc10/index.php?action=vallex&amp;frame=v-w10377f4", "roztočit (v-w10377f4)")</f>
        <v>roztočit (v-w10377f4)</v>
      </c>
      <c r="E42031" s="0" t="str">
        <f aca="false">HYPERLINK("https://lindat.mff.cuni.cz/services/SynSemClass40/SynSemClass40.html?veclass=vec00038#vec00038-ces-cm00316", "vec00038")</f>
        <v>vec00038</v>
      </c>
      <c r="F42031" s="0" t="s">
        <v>74</v>
      </c>
    </row>
    <row r="42032" customFormat="false" ht="12.8" hidden="false" customHeight="false" outlineLevel="0" collapsed="false">
      <c r="B42032" s="0" t="s">
        <v>1</v>
      </c>
      <c r="C42032" s="0" t="s">
        <v>75</v>
      </c>
      <c r="E42032" s="0" t="s">
        <v>76</v>
      </c>
      <c r="F42032" s="0" t="s">
        <v>77</v>
      </c>
    </row>
    <row r="42033" customFormat="false" ht="12.8" hidden="false" customHeight="false" outlineLevel="0" collapsed="false">
      <c r="B42033" s="0" t="s">
        <v>8</v>
      </c>
      <c r="C42033" s="0" t="s">
        <v>78</v>
      </c>
      <c r="E42033" s="0" t="s">
        <v>79</v>
      </c>
      <c r="F42033" s="0" t="s">
        <v>80</v>
      </c>
    </row>
    <row r="42035" customFormat="false" ht="12.8" hidden="false" customHeight="false" outlineLevel="0" collapsed="false">
      <c r="A42035" s="0" t="s">
        <v>15353</v>
      </c>
      <c r="B42035" s="0" t="str">
        <f aca="false">HYPERLINK("https://lindat.mff.cuni.cz/services/teitok/pdtc10/index.php?action=vallex&amp;frame=v-w10218f2", "roztrhat (v-w10218f2)")</f>
        <v>roztrhat (v-w10218f2)</v>
      </c>
    </row>
    <row r="42036" customFormat="false" ht="12.8" hidden="false" customHeight="false" outlineLevel="0" collapsed="false">
      <c r="B42036" s="0" t="s">
        <v>1</v>
      </c>
    </row>
    <row r="42037" customFormat="false" ht="12.8" hidden="false" customHeight="false" outlineLevel="0" collapsed="false">
      <c r="B42037" s="0" t="s">
        <v>8</v>
      </c>
    </row>
    <row r="42038" customFormat="false" ht="12.8" hidden="false" customHeight="false" outlineLevel="0" collapsed="false">
      <c r="B42038" s="0" t="s">
        <v>101</v>
      </c>
    </row>
    <row r="42040" customFormat="false" ht="12.8" hidden="false" customHeight="false" outlineLevel="0" collapsed="false">
      <c r="A42040" s="0" t="s">
        <v>15354</v>
      </c>
      <c r="B42040" s="0" t="str">
        <f aca="false">HYPERLINK("https://lindat.mff.cuni.cz/services/teitok/pdtc10/index.php?action=vallex&amp;frame=v-w11265f1", "roztrhat se (v-w11265f1)")</f>
        <v>roztrhat se (v-w11265f1)</v>
      </c>
      <c r="E42040" s="0" t="str">
        <f aca="false">HYPERLINK("https://lindat.mff.cuni.cz/services/SynSemClass40/SynSemClass40.html?veclass=vec00389#vec00389-ces-cm00065", "vec00389")</f>
        <v>vec00389</v>
      </c>
      <c r="F42040" s="0" t="s">
        <v>1888</v>
      </c>
      <c r="H42040" s="0" t="str">
        <f aca="false">HYPERLINK("https://lindat.mff.cuni.cz/services/SynSemClass40/SynSemClass40.html?veclass=vec01305#vec01305-ces-cm00016", "vec01305")</f>
        <v>vec01305</v>
      </c>
      <c r="I42040" s="0" t="s">
        <v>2015</v>
      </c>
    </row>
    <row r="42041" customFormat="false" ht="12.8" hidden="false" customHeight="false" outlineLevel="0" collapsed="false">
      <c r="B42041" s="0" t="s">
        <v>1</v>
      </c>
      <c r="C42041" s="0" t="s">
        <v>15355</v>
      </c>
      <c r="E42041" s="0" t="s">
        <v>15356</v>
      </c>
      <c r="F42041" s="0" t="s">
        <v>15357</v>
      </c>
      <c r="H42041" s="0" t="s">
        <v>2017</v>
      </c>
      <c r="I42041" s="0" t="s">
        <v>2018</v>
      </c>
    </row>
    <row r="42043" customFormat="false" ht="12.8" hidden="false" customHeight="false" outlineLevel="0" collapsed="false">
      <c r="A42043" s="0" t="s">
        <v>15358</v>
      </c>
      <c r="B42043" s="0" t="str">
        <f aca="false">HYPERLINK("https://lindat.mff.cuni.cz/services/teitok/pdtc10/index.php?action=vallex&amp;frame=v-w5797f1", "roztrhnout (v-w5797f1)")</f>
        <v>roztrhnout (v-w5797f1)</v>
      </c>
    </row>
    <row r="42044" customFormat="false" ht="12.8" hidden="false" customHeight="false" outlineLevel="0" collapsed="false">
      <c r="B42044" s="0" t="s">
        <v>1</v>
      </c>
    </row>
    <row r="42045" customFormat="false" ht="12.8" hidden="false" customHeight="false" outlineLevel="0" collapsed="false">
      <c r="B42045" s="0" t="s">
        <v>8</v>
      </c>
    </row>
    <row r="42046" customFormat="false" ht="12.8" hidden="false" customHeight="false" outlineLevel="0" collapsed="false">
      <c r="B42046" s="0" t="s">
        <v>101</v>
      </c>
    </row>
    <row r="42048" customFormat="false" ht="12.8" hidden="false" customHeight="false" outlineLevel="0" collapsed="false">
      <c r="A42048" s="0" t="s">
        <v>15359</v>
      </c>
      <c r="B42048" s="0" t="str">
        <f aca="false">HYPERLINK("https://lindat.mff.cuni.cz/services/teitok/pdtc10/index.php?action=vallex&amp;frame=v-w5798f1", "roztrhnout se (v-w5798f1)")</f>
        <v>roztrhnout se (v-w5798f1)</v>
      </c>
    </row>
    <row r="42049" customFormat="false" ht="12.8" hidden="false" customHeight="false" outlineLevel="0" collapsed="false">
      <c r="B42049" s="0" t="s">
        <v>1</v>
      </c>
    </row>
    <row r="42051" customFormat="false" ht="12.8" hidden="false" customHeight="false" outlineLevel="0" collapsed="false">
      <c r="A42051" s="0" t="s">
        <v>15360</v>
      </c>
      <c r="B42051" s="0" t="str">
        <f aca="false">HYPERLINK("https://lindat.mff.cuni.cz/services/teitok/pdtc10/index.php?action=vallex&amp;frame=v-w5799f1", "roztrousit (v-w5799f1)")</f>
        <v>roztrousit (v-w5799f1)</v>
      </c>
    </row>
    <row r="42052" customFormat="false" ht="12.8" hidden="false" customHeight="false" outlineLevel="0" collapsed="false">
      <c r="B42052" s="0" t="s">
        <v>1</v>
      </c>
    </row>
    <row r="42053" customFormat="false" ht="12.8" hidden="false" customHeight="false" outlineLevel="0" collapsed="false">
      <c r="B42053" s="0" t="s">
        <v>8</v>
      </c>
    </row>
    <row r="42055" customFormat="false" ht="12.8" hidden="false" customHeight="false" outlineLevel="0" collapsed="false">
      <c r="A42055" s="0" t="s">
        <v>15361</v>
      </c>
      <c r="B42055" s="0" t="str">
        <f aca="false">HYPERLINK("https://lindat.mff.cuni.cz/services/teitok/pdtc10/index.php?action=vallex&amp;frame=v-w5799f2_ZU", "roztrousit (v-w5799f2_ZU)")</f>
        <v>roztrousit (v-w5799f2_ZU)</v>
      </c>
    </row>
    <row r="42056" customFormat="false" ht="12.8" hidden="false" customHeight="false" outlineLevel="0" collapsed="false">
      <c r="B42056" s="0" t="s">
        <v>1</v>
      </c>
    </row>
    <row r="42057" customFormat="false" ht="12.8" hidden="false" customHeight="false" outlineLevel="0" collapsed="false">
      <c r="B42057" s="0" t="s">
        <v>8</v>
      </c>
    </row>
    <row r="42058" customFormat="false" ht="12.8" hidden="false" customHeight="false" outlineLevel="0" collapsed="false">
      <c r="B42058" s="0" t="s">
        <v>5</v>
      </c>
    </row>
    <row r="42060" customFormat="false" ht="12.8" hidden="false" customHeight="false" outlineLevel="0" collapsed="false">
      <c r="A42060" s="0" t="s">
        <v>15361</v>
      </c>
      <c r="B42060" s="0" t="str">
        <f aca="false">HYPERLINK("https://lindat.mff.cuni.cz/services/teitok/pdtc10/index.php?action=vallex&amp;frame=v-w5799hsa_1236", "roztrousit (v-w5799hsa_1236) - substituted with v-w5799f2_ZU")</f>
        <v>roztrousit (v-w5799hsa_1236) - substituted with v-w5799f2_ZU</v>
      </c>
    </row>
    <row r="42061" customFormat="false" ht="12.8" hidden="false" customHeight="false" outlineLevel="0" collapsed="false">
      <c r="B42061" s="0" t="s">
        <v>1</v>
      </c>
    </row>
    <row r="42062" customFormat="false" ht="12.8" hidden="false" customHeight="false" outlineLevel="0" collapsed="false">
      <c r="B42062" s="0" t="s">
        <v>8</v>
      </c>
    </row>
    <row r="42063" customFormat="false" ht="12.8" hidden="false" customHeight="false" outlineLevel="0" collapsed="false">
      <c r="B42063" s="0" t="s">
        <v>5</v>
      </c>
    </row>
    <row r="42065" customFormat="false" ht="12.8" hidden="false" customHeight="false" outlineLevel="0" collapsed="false">
      <c r="A42065" s="0" t="s">
        <v>15362</v>
      </c>
      <c r="B42065" s="0" t="str">
        <f aca="false">HYPERLINK("https://lindat.mff.cuni.cz/services/teitok/pdtc10/index.php?action=vallex&amp;frame=v-w10450f2", "roztrpčit (v-w10450f2)")</f>
        <v>roztrpčit (v-w10450f2)</v>
      </c>
    </row>
    <row r="42066" customFormat="false" ht="12.8" hidden="false" customHeight="false" outlineLevel="0" collapsed="false">
      <c r="B42066" s="0" t="s">
        <v>1</v>
      </c>
    </row>
    <row r="42067" customFormat="false" ht="12.8" hidden="false" customHeight="false" outlineLevel="0" collapsed="false">
      <c r="B42067" s="0" t="s">
        <v>8</v>
      </c>
    </row>
    <row r="42069" customFormat="false" ht="12.8" hidden="false" customHeight="false" outlineLevel="0" collapsed="false">
      <c r="A42069" s="0" t="s">
        <v>15363</v>
      </c>
      <c r="B42069" s="0" t="str">
        <f aca="false">HYPERLINK("https://lindat.mff.cuni.cz/services/teitok/pdtc10/index.php?action=vallex&amp;frame=v-whsa_655hsa_656", "roztrpčovat (v-whsa_655hsa_656)")</f>
        <v>roztrpčovat (v-whsa_655hsa_656)</v>
      </c>
    </row>
    <row r="42070" customFormat="false" ht="12.8" hidden="false" customHeight="false" outlineLevel="0" collapsed="false">
      <c r="B42070" s="0" t="s">
        <v>1</v>
      </c>
    </row>
    <row r="42071" customFormat="false" ht="12.8" hidden="false" customHeight="false" outlineLevel="0" collapsed="false">
      <c r="B42071" s="0" t="s">
        <v>8</v>
      </c>
    </row>
    <row r="42073" customFormat="false" ht="12.8" hidden="false" customHeight="false" outlineLevel="0" collapsed="false">
      <c r="A42073" s="0" t="s">
        <v>15364</v>
      </c>
      <c r="B42073" s="0" t="str">
        <f aca="false">HYPERLINK("https://lindat.mff.cuni.cz/services/teitok/pdtc10/index.php?action=vallex&amp;frame=v-w5786f1", "roztáhnout (v-w5786f1)")</f>
        <v>roztáhnout (v-w5786f1)</v>
      </c>
    </row>
    <row r="42074" customFormat="false" ht="12.8" hidden="false" customHeight="false" outlineLevel="0" collapsed="false">
      <c r="B42074" s="0" t="s">
        <v>1</v>
      </c>
    </row>
    <row r="42075" customFormat="false" ht="12.8" hidden="false" customHeight="false" outlineLevel="0" collapsed="false">
      <c r="B42075" s="0" t="s">
        <v>8</v>
      </c>
    </row>
    <row r="42077" customFormat="false" ht="12.8" hidden="false" customHeight="false" outlineLevel="0" collapsed="false">
      <c r="A42077" s="0" t="s">
        <v>15365</v>
      </c>
      <c r="B42077" s="0" t="str">
        <f aca="false">HYPERLINK("https://lindat.mff.cuni.cz/services/teitok/pdtc10/index.php?action=vallex&amp;frame=v-w5787f1", "roztáhnout se (v-w5787f1)")</f>
        <v>roztáhnout se (v-w5787f1)</v>
      </c>
      <c r="E42077" s="0" t="str">
        <f aca="false">HYPERLINK("https://lindat.mff.cuni.cz/services/SynSemClass40/SynSemClass40.html?veclass=vec01520#vec01520-ces-cm00008", "vec01520")</f>
        <v>vec01520</v>
      </c>
      <c r="F42077" s="0" t="s">
        <v>4075</v>
      </c>
    </row>
    <row r="42078" customFormat="false" ht="12.8" hidden="false" customHeight="false" outlineLevel="0" collapsed="false">
      <c r="B42078" s="0" t="s">
        <v>1</v>
      </c>
      <c r="C42078" s="0" t="s">
        <v>15298</v>
      </c>
      <c r="E42078" s="0" t="s">
        <v>957</v>
      </c>
      <c r="F42078" s="0" t="s">
        <v>4078</v>
      </c>
    </row>
    <row r="42080" customFormat="false" ht="12.8" hidden="false" customHeight="false" outlineLevel="0" collapsed="false">
      <c r="A42080" s="0" t="s">
        <v>15366</v>
      </c>
      <c r="B42080" s="0" t="str">
        <f aca="false">HYPERLINK("https://lindat.mff.cuni.cz/services/teitok/pdtc10/index.php?action=vallex&amp;frame=v-w5792f1", "roztát (v-w5792f1)")</f>
        <v>roztát (v-w5792f1)</v>
      </c>
    </row>
    <row r="42081" customFormat="false" ht="12.8" hidden="false" customHeight="false" outlineLevel="0" collapsed="false">
      <c r="B42081" s="0" t="s">
        <v>1</v>
      </c>
    </row>
    <row r="42083" customFormat="false" ht="12.8" hidden="false" customHeight="false" outlineLevel="0" collapsed="false">
      <c r="A42083" s="0" t="s">
        <v>15367</v>
      </c>
      <c r="B42083" s="0" t="str">
        <f aca="false">HYPERLINK("https://lindat.mff.cuni.cz/services/teitok/pdtc10/index.php?action=vallex&amp;frame=v-w5785f1", "roztáčet (v-w5785f1)")</f>
        <v>roztáčet (v-w5785f1)</v>
      </c>
    </row>
    <row r="42084" customFormat="false" ht="12.8" hidden="false" customHeight="false" outlineLevel="0" collapsed="false">
      <c r="B42084" s="0" t="s">
        <v>1</v>
      </c>
    </row>
    <row r="42085" customFormat="false" ht="12.8" hidden="false" customHeight="false" outlineLevel="0" collapsed="false">
      <c r="B42085" s="0" t="s">
        <v>8</v>
      </c>
    </row>
    <row r="42087" customFormat="false" ht="12.8" hidden="false" customHeight="false" outlineLevel="0" collapsed="false">
      <c r="A42087" s="0" t="s">
        <v>15368</v>
      </c>
      <c r="B42087" s="0" t="str">
        <f aca="false">HYPERLINK("https://lindat.mff.cuni.cz/services/teitok/pdtc10/index.php?action=vallex&amp;frame=v-w5785f2_ZU", "roztáčet (v-w5785f2_ZU)")</f>
        <v>roztáčet (v-w5785f2_ZU)</v>
      </c>
    </row>
    <row r="42088" customFormat="false" ht="12.8" hidden="false" customHeight="false" outlineLevel="0" collapsed="false">
      <c r="B42088" s="0" t="s">
        <v>1</v>
      </c>
    </row>
    <row r="42089" customFormat="false" ht="12.8" hidden="false" customHeight="false" outlineLevel="0" collapsed="false">
      <c r="B42089" s="0" t="s">
        <v>8</v>
      </c>
    </row>
    <row r="42091" customFormat="false" ht="12.8" hidden="false" customHeight="false" outlineLevel="0" collapsed="false">
      <c r="A42091" s="0" t="s">
        <v>15369</v>
      </c>
      <c r="B42091" s="0" t="str">
        <f aca="false">HYPERLINK("https://lindat.mff.cuni.cz/services/teitok/pdtc10/index.php?action=vallex&amp;frame=v-w5785hsa_248", "roztáčet (v-w5785hsa_248)")</f>
        <v>roztáčet (v-w5785hsa_248)</v>
      </c>
    </row>
    <row r="42092" customFormat="false" ht="12.8" hidden="false" customHeight="false" outlineLevel="0" collapsed="false">
      <c r="B42092" s="0" t="s">
        <v>1</v>
      </c>
    </row>
    <row r="42093" customFormat="false" ht="12.8" hidden="false" customHeight="false" outlineLevel="0" collapsed="false">
      <c r="B42093" s="0" t="s">
        <v>8</v>
      </c>
    </row>
    <row r="42095" customFormat="false" ht="12.8" hidden="false" customHeight="false" outlineLevel="0" collapsed="false">
      <c r="A42095" s="0" t="s">
        <v>15370</v>
      </c>
      <c r="B42095" s="0" t="str">
        <f aca="false">HYPERLINK("https://lindat.mff.cuni.cz/services/teitok/pdtc10/index.php?action=vallex&amp;frame=v-whsa_523f2_ZU", "roztéci se (v-whsa_523f2_ZU)")</f>
        <v>roztéci se (v-whsa_523f2_ZU)</v>
      </c>
      <c r="E42095" s="0" t="str">
        <f aca="false">HYPERLINK("https://lindat.mff.cuni.cz/services/SynSemClass40/SynSemClass40.html?veclass=vec00911#vec00911-ces-cm00005", "vec00911")</f>
        <v>vec00911</v>
      </c>
      <c r="F42095" s="0" t="s">
        <v>15158</v>
      </c>
      <c r="H42095" s="0" t="str">
        <f aca="false">HYPERLINK("https://lindat.mff.cuni.cz/services/SynSemClass40/SynSemClass40.html?veclass=vec01103#vec01103-ces-cm00005", "vec01103")</f>
        <v>vec01103</v>
      </c>
      <c r="I42095" s="0" t="s">
        <v>15123</v>
      </c>
    </row>
    <row r="42096" customFormat="false" ht="12.8" hidden="false" customHeight="false" outlineLevel="0" collapsed="false">
      <c r="B42096" s="0" t="s">
        <v>1</v>
      </c>
      <c r="C42096" s="0" t="s">
        <v>10</v>
      </c>
      <c r="E42096" s="0" t="s">
        <v>15159</v>
      </c>
      <c r="F42096" s="0" t="s">
        <v>15160</v>
      </c>
      <c r="H42096" s="0" t="s">
        <v>6270</v>
      </c>
      <c r="I42096" s="0" t="s">
        <v>15124</v>
      </c>
    </row>
    <row r="42098" customFormat="false" ht="12.8" hidden="false" customHeight="false" outlineLevel="0" collapsed="false">
      <c r="A42098" s="0" t="s">
        <v>15370</v>
      </c>
      <c r="B42098" s="0" t="str">
        <f aca="false">HYPERLINK("https://lindat.mff.cuni.cz/services/teitok/pdtc10/index.php?action=vallex&amp;frame=v-whsa_523f1_ZU", "roztéci se (v-whsa_523f1_ZU) - substituted with v-whsa_523f2_ZU")</f>
        <v>roztéci se (v-whsa_523f1_ZU) - substituted with v-whsa_523f2_ZU</v>
      </c>
    </row>
    <row r="42099" customFormat="false" ht="12.8" hidden="false" customHeight="false" outlineLevel="0" collapsed="false">
      <c r="B42099" s="0" t="s">
        <v>1</v>
      </c>
    </row>
    <row r="42101" customFormat="false" ht="12.8" hidden="false" customHeight="false" outlineLevel="0" collapsed="false">
      <c r="A42101" s="0" t="s">
        <v>15370</v>
      </c>
      <c r="B42101" s="0" t="str">
        <f aca="false">HYPERLINK("https://lindat.mff.cuni.cz/services/teitok/pdtc10/index.php?action=vallex&amp;frame=v-whsa_523hsa_524", "roztéci se (v-whsa_523hsa_524) - substituted with v-whsa_523f2_ZU")</f>
        <v>roztéci se (v-whsa_523hsa_524) - substituted with v-whsa_523f2_ZU</v>
      </c>
    </row>
    <row r="42102" customFormat="false" ht="12.8" hidden="false" customHeight="false" outlineLevel="0" collapsed="false">
      <c r="B42102" s="0" t="s">
        <v>1</v>
      </c>
    </row>
    <row r="42104" customFormat="false" ht="12.8" hidden="false" customHeight="false" outlineLevel="0" collapsed="false">
      <c r="A42104" s="0" t="s">
        <v>15371</v>
      </c>
      <c r="B42104" s="0" t="str">
        <f aca="false">HYPERLINK("https://lindat.mff.cuni.cz/services/teitok/pdtc10/index.php?action=vallex&amp;frame=v-whsa_593hsa_594", "roztékat se (v-whsa_593hsa_594)")</f>
        <v>roztékat se (v-whsa_593hsa_594)</v>
      </c>
      <c r="E42104" s="0" t="str">
        <f aca="false">HYPERLINK("https://lindat.mff.cuni.cz/services/SynSemClass40/SynSemClass40.html?veclass=vec01103#vec01103-ces-cm00006", "vec01103")</f>
        <v>vec01103</v>
      </c>
      <c r="F42104" s="0" t="s">
        <v>15123</v>
      </c>
    </row>
    <row r="42105" customFormat="false" ht="12.8" hidden="false" customHeight="false" outlineLevel="0" collapsed="false">
      <c r="B42105" s="0" t="s">
        <v>1</v>
      </c>
      <c r="C42105" s="0" t="s">
        <v>549</v>
      </c>
      <c r="E42105" s="0" t="s">
        <v>6270</v>
      </c>
      <c r="F42105" s="0" t="s">
        <v>15124</v>
      </c>
    </row>
    <row r="42107" customFormat="false" ht="12.8" hidden="false" customHeight="false" outlineLevel="0" collapsed="false">
      <c r="A42107" s="0" t="s">
        <v>15372</v>
      </c>
      <c r="B42107" s="0" t="str">
        <f aca="false">HYPERLINK("https://lindat.mff.cuni.cz/services/teitok/pdtc10/index.php?action=vallex&amp;frame=v-w10538f2", "roztřiďovat (v-w10538f2)")</f>
        <v>roztřiďovat (v-w10538f2)</v>
      </c>
      <c r="E42107" s="0" t="str">
        <f aca="false">HYPERLINK("https://lindat.mff.cuni.cz/services/SynSemClass40/SynSemClass40.html?veclass=vec00296#vec00296-ces-cm00019", "vec00296")</f>
        <v>vec00296</v>
      </c>
      <c r="F42107" s="0" t="s">
        <v>5275</v>
      </c>
    </row>
    <row r="42108" customFormat="false" ht="12.8" hidden="false" customHeight="false" outlineLevel="0" collapsed="false">
      <c r="B42108" s="0" t="s">
        <v>1</v>
      </c>
      <c r="C42108" s="0" t="s">
        <v>5276</v>
      </c>
      <c r="E42108" s="0" t="s">
        <v>11</v>
      </c>
      <c r="F42108" s="0" t="s">
        <v>5277</v>
      </c>
    </row>
    <row r="42109" customFormat="false" ht="12.8" hidden="false" customHeight="false" outlineLevel="0" collapsed="false">
      <c r="B42109" s="0" t="s">
        <v>8</v>
      </c>
      <c r="C42109" s="0" t="s">
        <v>5278</v>
      </c>
      <c r="E42109" s="0" t="s">
        <v>5279</v>
      </c>
      <c r="F42109" s="0" t="s">
        <v>5280</v>
      </c>
    </row>
    <row r="42110" customFormat="false" ht="12.8" hidden="false" customHeight="false" outlineLevel="0" collapsed="false">
      <c r="B42110" s="0" t="s">
        <v>5779</v>
      </c>
      <c r="C42110" s="0" t="s">
        <v>5281</v>
      </c>
      <c r="E42110" s="0" t="s">
        <v>2584</v>
      </c>
      <c r="F42110" s="0" t="s">
        <v>5282</v>
      </c>
    </row>
    <row r="42112" customFormat="false" ht="12.8" hidden="false" customHeight="false" outlineLevel="0" collapsed="false">
      <c r="A42112" s="0" t="s">
        <v>15373</v>
      </c>
      <c r="B42112" s="0" t="str">
        <f aca="false">HYPERLINK("https://lindat.mff.cuni.cz/services/teitok/pdtc10/index.php?action=vallex&amp;frame=v-w5801f1", "roztřídit (v-w5801f1)")</f>
        <v>roztřídit (v-w5801f1)</v>
      </c>
      <c r="E42112" s="0" t="str">
        <f aca="false">HYPERLINK("https://lindat.mff.cuni.cz/services/SynSemClass40/SynSemClass40.html?veclass=vec00296#vec00296-ces-cm00015", "vec00296")</f>
        <v>vec00296</v>
      </c>
      <c r="F42112" s="0" t="s">
        <v>5275</v>
      </c>
    </row>
    <row r="42113" customFormat="false" ht="12.8" hidden="false" customHeight="false" outlineLevel="0" collapsed="false">
      <c r="B42113" s="0" t="s">
        <v>1</v>
      </c>
      <c r="C42113" s="0" t="s">
        <v>5276</v>
      </c>
      <c r="E42113" s="0" t="s">
        <v>11</v>
      </c>
      <c r="F42113" s="0" t="s">
        <v>5277</v>
      </c>
    </row>
    <row r="42114" customFormat="false" ht="12.8" hidden="false" customHeight="false" outlineLevel="0" collapsed="false">
      <c r="B42114" s="0" t="s">
        <v>8</v>
      </c>
      <c r="C42114" s="0" t="s">
        <v>5278</v>
      </c>
      <c r="E42114" s="0" t="s">
        <v>5279</v>
      </c>
      <c r="F42114" s="0" t="s">
        <v>5280</v>
      </c>
    </row>
    <row r="42115" customFormat="false" ht="12.8" hidden="false" customHeight="false" outlineLevel="0" collapsed="false">
      <c r="B42115" s="0" t="s">
        <v>5779</v>
      </c>
      <c r="C42115" s="0" t="s">
        <v>5281</v>
      </c>
      <c r="E42115" s="0" t="s">
        <v>2584</v>
      </c>
      <c r="F42115" s="0" t="s">
        <v>5282</v>
      </c>
    </row>
    <row r="42117" customFormat="false" ht="12.8" hidden="false" customHeight="false" outlineLevel="0" collapsed="false">
      <c r="A42117" s="0" t="s">
        <v>15374</v>
      </c>
      <c r="B42117" s="0" t="str">
        <f aca="false">HYPERLINK("https://lindat.mff.cuni.cz/services/teitok/pdtc10/index.php?action=vallex&amp;frame=v-w10153f3", "roztříštit (v-w10153f3)")</f>
        <v>roztříštit (v-w10153f3)</v>
      </c>
    </row>
    <row r="42118" customFormat="false" ht="12.8" hidden="false" customHeight="false" outlineLevel="0" collapsed="false">
      <c r="B42118" s="0" t="s">
        <v>1</v>
      </c>
    </row>
    <row r="42119" customFormat="false" ht="12.8" hidden="false" customHeight="false" outlineLevel="0" collapsed="false">
      <c r="B42119" s="0" t="s">
        <v>8</v>
      </c>
    </row>
    <row r="42120" customFormat="false" ht="12.8" hidden="false" customHeight="false" outlineLevel="0" collapsed="false">
      <c r="B42120" s="0" t="s">
        <v>40</v>
      </c>
    </row>
    <row r="42122" customFormat="false" ht="12.8" hidden="false" customHeight="false" outlineLevel="0" collapsed="false">
      <c r="A42122" s="0" t="s">
        <v>15375</v>
      </c>
      <c r="B42122" s="0" t="str">
        <f aca="false">HYPERLINK("https://lindat.mff.cuni.cz/services/teitok/pdtc10/index.php?action=vallex&amp;frame=v-w10153f2", "roztříštit (v-w10153f2)")</f>
        <v>roztříštit (v-w10153f2)</v>
      </c>
    </row>
    <row r="42123" customFormat="false" ht="12.8" hidden="false" customHeight="false" outlineLevel="0" collapsed="false">
      <c r="B42123" s="0" t="s">
        <v>1</v>
      </c>
    </row>
    <row r="42124" customFormat="false" ht="12.8" hidden="false" customHeight="false" outlineLevel="0" collapsed="false">
      <c r="B42124" s="0" t="s">
        <v>8</v>
      </c>
    </row>
    <row r="42125" customFormat="false" ht="12.8" hidden="false" customHeight="false" outlineLevel="0" collapsed="false">
      <c r="B42125" s="0" t="s">
        <v>101</v>
      </c>
    </row>
    <row r="42127" customFormat="false" ht="12.8" hidden="false" customHeight="false" outlineLevel="0" collapsed="false">
      <c r="A42127" s="0" t="s">
        <v>15376</v>
      </c>
      <c r="B42127" s="0" t="str">
        <f aca="false">HYPERLINK("https://lindat.mff.cuni.cz/services/teitok/pdtc10/index.php?action=vallex&amp;frame=v-w11252f1", "roztříštit se (v-w11252f1)")</f>
        <v>roztříštit se (v-w11252f1)</v>
      </c>
    </row>
    <row r="42128" customFormat="false" ht="12.8" hidden="false" customHeight="false" outlineLevel="0" collapsed="false">
      <c r="B42128" s="0" t="s">
        <v>1</v>
      </c>
    </row>
    <row r="42129" customFormat="false" ht="12.8" hidden="false" customHeight="false" outlineLevel="0" collapsed="false">
      <c r="B42129" s="0" t="s">
        <v>69</v>
      </c>
    </row>
    <row r="42131" customFormat="false" ht="12.8" hidden="false" customHeight="false" outlineLevel="0" collapsed="false">
      <c r="A42131" s="0" t="s">
        <v>15377</v>
      </c>
      <c r="B42131" s="0" t="str">
        <f aca="false">HYPERLINK("https://lindat.mff.cuni.cz/services/teitok/pdtc10/index.php?action=vallex&amp;frame=v-w5804f7_ZU", "rozumět (v-w5804f7_ZU)")</f>
        <v>rozumět (v-w5804f7_ZU)</v>
      </c>
    </row>
    <row r="42132" customFormat="false" ht="12.8" hidden="false" customHeight="false" outlineLevel="0" collapsed="false">
      <c r="B42132" s="0" t="s">
        <v>1</v>
      </c>
    </row>
    <row r="42133" customFormat="false" ht="12.8" hidden="false" customHeight="false" outlineLevel="0" collapsed="false">
      <c r="B42133" s="0" t="s">
        <v>8893</v>
      </c>
    </row>
    <row r="42134" customFormat="false" ht="12.8" hidden="false" customHeight="false" outlineLevel="0" collapsed="false">
      <c r="B42134" s="0" t="s">
        <v>52</v>
      </c>
    </row>
    <row r="42136" customFormat="false" ht="12.8" hidden="false" customHeight="false" outlineLevel="0" collapsed="false">
      <c r="A42136" s="0" t="s">
        <v>15377</v>
      </c>
      <c r="B42136" s="0" t="str">
        <f aca="false">HYPERLINK("https://lindat.mff.cuni.cz/services/teitok/pdtc10/index.php?action=vallex&amp;frame=v-w5804f3", "rozumět (v-w5804f3) - substituted with v-w5804f7_ZU")</f>
        <v>rozumět (v-w5804f3) - substituted with v-w5804f7_ZU</v>
      </c>
    </row>
    <row r="42137" customFormat="false" ht="12.8" hidden="false" customHeight="false" outlineLevel="0" collapsed="false">
      <c r="B42137" s="0" t="s">
        <v>1</v>
      </c>
    </row>
    <row r="42138" customFormat="false" ht="12.8" hidden="false" customHeight="false" outlineLevel="0" collapsed="false">
      <c r="B42138" s="0" t="s">
        <v>8893</v>
      </c>
    </row>
    <row r="42139" customFormat="false" ht="12.8" hidden="false" customHeight="false" outlineLevel="0" collapsed="false">
      <c r="B42139" s="0" t="s">
        <v>52</v>
      </c>
    </row>
    <row r="42141" customFormat="false" ht="12.8" hidden="false" customHeight="false" outlineLevel="0" collapsed="false">
      <c r="A42141" s="0" t="s">
        <v>15378</v>
      </c>
      <c r="B42141" s="0" t="str">
        <f aca="false">HYPERLINK("https://lindat.mff.cuni.cz/services/teitok/pdtc10/index.php?action=vallex&amp;frame=v-w5804f6_ZU", "rozumět (v-w5804f6_ZU)")</f>
        <v>rozumět (v-w5804f6_ZU)</v>
      </c>
    </row>
    <row r="42142" customFormat="false" ht="12.8" hidden="false" customHeight="false" outlineLevel="0" collapsed="false">
      <c r="B42142" s="0" t="s">
        <v>1</v>
      </c>
    </row>
    <row r="42143" customFormat="false" ht="12.8" hidden="false" customHeight="false" outlineLevel="0" collapsed="false">
      <c r="B42143" s="0" t="s">
        <v>15379</v>
      </c>
    </row>
    <row r="42145" customFormat="false" ht="12.8" hidden="false" customHeight="false" outlineLevel="0" collapsed="false">
      <c r="A42145" s="0" t="s">
        <v>15378</v>
      </c>
      <c r="B42145" s="0" t="str">
        <f aca="false">HYPERLINK("https://lindat.mff.cuni.cz/services/teitok/pdtc10/index.php?action=vallex&amp;frame=v-w5804f1", "rozumět (v-w5804f1) - substituted with v-w5804f6_ZU")</f>
        <v>rozumět (v-w5804f1) - substituted with v-w5804f6_ZU</v>
      </c>
      <c r="E42145" s="0" t="str">
        <f aca="false">HYPERLINK("https://lindat.mff.cuni.cz/services/SynSemClass40/SynSemClass40.html?veclass=vec00107#vec00107-ces-cm00001", "vec00107")</f>
        <v>vec00107</v>
      </c>
      <c r="F42145" s="0" t="s">
        <v>1644</v>
      </c>
    </row>
    <row r="42146" customFormat="false" ht="12.8" hidden="false" customHeight="false" outlineLevel="0" collapsed="false">
      <c r="B42146" s="0" t="s">
        <v>1</v>
      </c>
      <c r="C42146" s="0" t="s">
        <v>5649</v>
      </c>
      <c r="E42146" s="0" t="s">
        <v>621</v>
      </c>
      <c r="F42146" s="0" t="s">
        <v>1647</v>
      </c>
    </row>
    <row r="42147" customFormat="false" ht="12.8" hidden="false" customHeight="false" outlineLevel="0" collapsed="false">
      <c r="B42147" s="0" t="s">
        <v>15379</v>
      </c>
      <c r="C42147" s="0" t="s">
        <v>4776</v>
      </c>
      <c r="E42147" s="0" t="s">
        <v>180</v>
      </c>
      <c r="F42147" s="0" t="s">
        <v>1651</v>
      </c>
    </row>
    <row r="42149" customFormat="false" ht="12.8" hidden="false" customHeight="false" outlineLevel="0" collapsed="false">
      <c r="A42149" s="0" t="s">
        <v>15380</v>
      </c>
      <c r="B42149" s="0" t="str">
        <f aca="false">HYPERLINK("https://lindat.mff.cuni.cz/services/teitok/pdtc10/index.php?action=vallex&amp;frame=v-w5804f8_MM", "rozumět (v-w5804f8_MM)")</f>
        <v>rozumět (v-w5804f8_MM)</v>
      </c>
    </row>
    <row r="42150" customFormat="false" ht="12.8" hidden="false" customHeight="false" outlineLevel="0" collapsed="false">
      <c r="B42150" s="0" t="s">
        <v>1</v>
      </c>
    </row>
    <row r="42151" customFormat="false" ht="12.8" hidden="false" customHeight="false" outlineLevel="0" collapsed="false">
      <c r="B42151" s="0" t="s">
        <v>186</v>
      </c>
    </row>
    <row r="42153" customFormat="false" ht="12.8" hidden="false" customHeight="false" outlineLevel="0" collapsed="false">
      <c r="A42153" s="0" t="s">
        <v>15380</v>
      </c>
      <c r="B42153" s="0" t="str">
        <f aca="false">HYPERLINK("https://lindat.mff.cuni.cz/services/teitok/pdtc10/index.php?action=vallex&amp;frame=v-w5804f4", "rozumět (v-w5804f4) - substituted with v-w5804f8_MM")</f>
        <v>rozumět (v-w5804f4) - substituted with v-w5804f8_MM</v>
      </c>
      <c r="E42153" s="0" t="str">
        <f aca="false">HYPERLINK("https://lindat.mff.cuni.cz/services/SynSemClass40/SynSemClass40.html?veclass=vec01446#vec01446-ces-cm00002", "vec01446")</f>
        <v>vec01446</v>
      </c>
      <c r="F42153" s="0" t="s">
        <v>1645</v>
      </c>
    </row>
    <row r="42154" customFormat="false" ht="12.8" hidden="false" customHeight="false" outlineLevel="0" collapsed="false">
      <c r="B42154" s="0" t="s">
        <v>1</v>
      </c>
      <c r="C42154" s="0" t="s">
        <v>7782</v>
      </c>
      <c r="E42154" s="0" t="s">
        <v>155</v>
      </c>
      <c r="F42154" s="0" t="s">
        <v>1648</v>
      </c>
    </row>
    <row r="42155" customFormat="false" ht="12.8" hidden="false" customHeight="false" outlineLevel="0" collapsed="false">
      <c r="B42155" s="0" t="s">
        <v>186</v>
      </c>
      <c r="C42155" s="0" t="s">
        <v>11385</v>
      </c>
      <c r="E42155" s="0" t="s">
        <v>142</v>
      </c>
      <c r="F42155" s="0" t="s">
        <v>1652</v>
      </c>
    </row>
    <row r="42157" customFormat="false" ht="12.8" hidden="false" customHeight="false" outlineLevel="0" collapsed="false">
      <c r="A42157" s="0" t="s">
        <v>15381</v>
      </c>
      <c r="B42157" s="0" t="str">
        <f aca="false">HYPERLINK("https://lindat.mff.cuni.cz/services/teitok/pdtc10/index.php?action=vallex&amp;frame=v-w5804f2", "rozumět (v-w5804f2)")</f>
        <v>rozumět (v-w5804f2)</v>
      </c>
    </row>
    <row r="42158" customFormat="false" ht="12.8" hidden="false" customHeight="false" outlineLevel="0" collapsed="false">
      <c r="B42158" s="0" t="s">
        <v>1</v>
      </c>
    </row>
    <row r="42159" customFormat="false" ht="12.8" hidden="false" customHeight="false" outlineLevel="0" collapsed="false">
      <c r="B42159" s="0" t="s">
        <v>15382</v>
      </c>
    </row>
    <row r="42160" customFormat="false" ht="12.8" hidden="false" customHeight="false" outlineLevel="0" collapsed="false">
      <c r="B42160" s="0" t="s">
        <v>6395</v>
      </c>
    </row>
    <row r="42162" customFormat="false" ht="12.8" hidden="false" customHeight="false" outlineLevel="0" collapsed="false">
      <c r="A42162" s="0" t="s">
        <v>15383</v>
      </c>
      <c r="B42162" s="0" t="str">
        <f aca="false">HYPERLINK("https://lindat.mff.cuni.cz/services/teitok/pdtc10/index.php?action=vallex&amp;frame=v-w5804f5", "rozumět (v-w5804f5)")</f>
        <v>rozumět (v-w5804f5)</v>
      </c>
    </row>
    <row r="42163" customFormat="false" ht="12.8" hidden="false" customHeight="false" outlineLevel="0" collapsed="false">
      <c r="B42163" s="0" t="s">
        <v>1</v>
      </c>
    </row>
    <row r="42165" customFormat="false" ht="12.8" hidden="false" customHeight="false" outlineLevel="0" collapsed="false">
      <c r="A42165" s="0" t="s">
        <v>15384</v>
      </c>
      <c r="B42165" s="0" t="str">
        <f aca="false">HYPERLINK("https://lindat.mff.cuni.cz/services/teitok/pdtc10/index.php?action=vallex&amp;frame=v-whsa_1730hsa_1731", "rozumět si (v-whsa_1730hsa_1731)")</f>
        <v>rozumět si (v-whsa_1730hsa_1731)</v>
      </c>
    </row>
    <row r="42166" customFormat="false" ht="12.8" hidden="false" customHeight="false" outlineLevel="0" collapsed="false">
      <c r="B42166" s="0" t="s">
        <v>1</v>
      </c>
    </row>
    <row r="42167" customFormat="false" ht="12.8" hidden="false" customHeight="false" outlineLevel="0" collapsed="false">
      <c r="B42167" s="0" t="s">
        <v>721</v>
      </c>
    </row>
    <row r="42169" customFormat="false" ht="12.8" hidden="false" customHeight="false" outlineLevel="0" collapsed="false">
      <c r="A42169" s="0" t="s">
        <v>15385</v>
      </c>
      <c r="B42169" s="0" t="str">
        <f aca="false">HYPERLINK("https://lindat.mff.cuni.cz/services/teitok/pdtc10/index.php?action=vallex&amp;frame=v-whsa_1160f1_ZU", "rozutéci se (v-whsa_1160f1_ZU)")</f>
        <v>rozutéci se (v-whsa_1160f1_ZU)</v>
      </c>
    </row>
    <row r="42170" customFormat="false" ht="12.8" hidden="false" customHeight="false" outlineLevel="0" collapsed="false">
      <c r="B42170" s="0" t="s">
        <v>1</v>
      </c>
    </row>
    <row r="42172" customFormat="false" ht="12.8" hidden="false" customHeight="false" outlineLevel="0" collapsed="false">
      <c r="A42172" s="0" t="s">
        <v>15385</v>
      </c>
      <c r="B42172" s="0" t="str">
        <f aca="false">HYPERLINK("https://lindat.mff.cuni.cz/services/teitok/pdtc10/index.php?action=vallex&amp;frame=v-whsa_1160hsa_1161", "rozutéci se (v-whsa_1160hsa_1161) - substituted with v-whsa_1160f1_ZU")</f>
        <v>rozutéci se (v-whsa_1160hsa_1161) - substituted with v-whsa_1160f1_ZU</v>
      </c>
    </row>
    <row r="42173" customFormat="false" ht="12.8" hidden="false" customHeight="false" outlineLevel="0" collapsed="false">
      <c r="B42173" s="0" t="s">
        <v>1</v>
      </c>
    </row>
    <row r="42175" customFormat="false" ht="12.8" hidden="false" customHeight="false" outlineLevel="0" collapsed="false">
      <c r="A42175" s="0" t="s">
        <v>15386</v>
      </c>
      <c r="B42175" s="0" t="str">
        <f aca="false">HYPERLINK("https://lindat.mff.cuni.cz/services/teitok/pdtc10/index.php?action=vallex&amp;frame=v-w11236f1", "rozutíkávat se (v-w11236f1)")</f>
        <v>rozutíkávat se (v-w11236f1)</v>
      </c>
    </row>
    <row r="42176" customFormat="false" ht="12.8" hidden="false" customHeight="false" outlineLevel="0" collapsed="false">
      <c r="B42176" s="0" t="s">
        <v>1</v>
      </c>
    </row>
    <row r="42178" customFormat="false" ht="12.8" hidden="false" customHeight="false" outlineLevel="0" collapsed="false">
      <c r="A42178" s="0" t="s">
        <v>15387</v>
      </c>
      <c r="B42178" s="0" t="str">
        <f aca="false">HYPERLINK("https://lindat.mff.cuni.cz/services/teitok/pdtc10/index.php?action=vallex&amp;frame=v-w10272f2", "rozuzlit (v-w10272f2)")</f>
        <v>rozuzlit (v-w10272f2)</v>
      </c>
    </row>
    <row r="42179" customFormat="false" ht="12.8" hidden="false" customHeight="false" outlineLevel="0" collapsed="false">
      <c r="B42179" s="0" t="s">
        <v>1</v>
      </c>
    </row>
    <row r="42180" customFormat="false" ht="12.8" hidden="false" customHeight="false" outlineLevel="0" collapsed="false">
      <c r="B42180" s="0" t="s">
        <v>2493</v>
      </c>
    </row>
    <row r="42182" customFormat="false" ht="12.8" hidden="false" customHeight="false" outlineLevel="0" collapsed="false">
      <c r="A42182" s="0" t="s">
        <v>15388</v>
      </c>
      <c r="B42182" s="0" t="str">
        <f aca="false">HYPERLINK("https://lindat.mff.cuni.cz/services/teitok/pdtc10/index.php?action=vallex&amp;frame=v-w12090_ZUf1_ZU", "rozvazovat (v-w12090_ZUf1_ZU)")</f>
        <v>rozvazovat (v-w12090_ZUf1_ZU)</v>
      </c>
    </row>
    <row r="42183" customFormat="false" ht="12.8" hidden="false" customHeight="false" outlineLevel="0" collapsed="false">
      <c r="B42183" s="0" t="s">
        <v>1</v>
      </c>
    </row>
    <row r="42185" customFormat="false" ht="12.8" hidden="false" customHeight="false" outlineLevel="0" collapsed="false">
      <c r="A42185" s="0" t="s">
        <v>15389</v>
      </c>
      <c r="B42185" s="0" t="str">
        <f aca="false">HYPERLINK("https://lindat.mff.cuni.cz/services/teitok/pdtc10/index.php?action=vallex&amp;frame=v-whsa_1170hsa_1171", "rozvažovat (v-whsa_1170hsa_1171)")</f>
        <v>rozvažovat (v-whsa_1170hsa_1171)</v>
      </c>
      <c r="E42185" s="0" t="str">
        <f aca="false">HYPERLINK("https://lindat.mff.cuni.cz/services/SynSemClass40/SynSemClass40.html?veclass=vec00149#vec00149-ces-cm00078", "vec00149")</f>
        <v>vec00149</v>
      </c>
      <c r="F42185" s="0" t="s">
        <v>686</v>
      </c>
    </row>
    <row r="42186" customFormat="false" ht="12.8" hidden="false" customHeight="false" outlineLevel="0" collapsed="false">
      <c r="B42186" s="0" t="s">
        <v>1</v>
      </c>
      <c r="C42186" s="0" t="s">
        <v>687</v>
      </c>
      <c r="E42186" s="0" t="s">
        <v>621</v>
      </c>
      <c r="F42186" s="0" t="s">
        <v>688</v>
      </c>
    </row>
    <row r="42187" customFormat="false" ht="12.8" hidden="false" customHeight="false" outlineLevel="0" collapsed="false">
      <c r="B42187" s="0" t="s">
        <v>8</v>
      </c>
      <c r="C42187" s="0" t="s">
        <v>690</v>
      </c>
      <c r="E42187" s="0" t="s">
        <v>209</v>
      </c>
      <c r="F42187" s="0" t="s">
        <v>691</v>
      </c>
    </row>
    <row r="42189" customFormat="false" ht="12.8" hidden="false" customHeight="false" outlineLevel="0" collapsed="false">
      <c r="A42189" s="0" t="s">
        <v>15390</v>
      </c>
      <c r="B42189" s="0" t="str">
        <f aca="false">HYPERLINK("https://lindat.mff.cuni.cz/services/teitok/pdtc10/index.php?action=vallex&amp;frame=v-w5819f1", "rozvinout (v-w5819f1)")</f>
        <v>rozvinout (v-w5819f1)</v>
      </c>
      <c r="E42189" s="0" t="str">
        <f aca="false">HYPERLINK("https://lindat.mff.cuni.cz/services/SynSemClass40/SynSemClass40.html?veclass=vec00914#vec00914-ces-cm00001", "vec00914")</f>
        <v>vec00914</v>
      </c>
      <c r="F42189" s="0" t="s">
        <v>7849</v>
      </c>
    </row>
    <row r="42190" customFormat="false" ht="12.8" hidden="false" customHeight="false" outlineLevel="0" collapsed="false">
      <c r="B42190" s="0" t="s">
        <v>1</v>
      </c>
      <c r="C42190" s="0" t="s">
        <v>459</v>
      </c>
      <c r="E42190" s="0" t="s">
        <v>4581</v>
      </c>
      <c r="F42190" s="0" t="s">
        <v>7850</v>
      </c>
    </row>
    <row r="42191" customFormat="false" ht="12.8" hidden="false" customHeight="false" outlineLevel="0" collapsed="false">
      <c r="B42191" s="0" t="s">
        <v>8</v>
      </c>
      <c r="C42191" s="0" t="s">
        <v>462</v>
      </c>
      <c r="E42191" s="0" t="s">
        <v>1569</v>
      </c>
      <c r="F42191" s="0" t="s">
        <v>7851</v>
      </c>
    </row>
    <row r="42193" customFormat="false" ht="12.8" hidden="false" customHeight="false" outlineLevel="0" collapsed="false">
      <c r="A42193" s="0" t="s">
        <v>15391</v>
      </c>
      <c r="B42193" s="0" t="str">
        <f aca="false">HYPERLINK("https://lindat.mff.cuni.cz/services/teitok/pdtc10/index.php?action=vallex&amp;frame=v-w5819f2", "rozvinout (v-w5819f2)")</f>
        <v>rozvinout (v-w5819f2)</v>
      </c>
      <c r="E42193" s="0" t="str">
        <f aca="false">HYPERLINK("https://lindat.mff.cuni.cz/services/SynSemClass40/SynSemClass40.html?veclass=vec00108#vec00108-ces-cm00009", "vec00108")</f>
        <v>vec00108</v>
      </c>
      <c r="F42193" s="0" t="s">
        <v>5537</v>
      </c>
    </row>
    <row r="42194" customFormat="false" ht="12.8" hidden="false" customHeight="false" outlineLevel="0" collapsed="false">
      <c r="B42194" s="0" t="s">
        <v>1</v>
      </c>
      <c r="C42194" s="0" t="s">
        <v>5538</v>
      </c>
      <c r="E42194" s="0" t="s">
        <v>147</v>
      </c>
      <c r="F42194" s="0" t="s">
        <v>5539</v>
      </c>
    </row>
    <row r="42195" customFormat="false" ht="12.8" hidden="false" customHeight="false" outlineLevel="0" collapsed="false">
      <c r="B42195" s="0" t="s">
        <v>8</v>
      </c>
      <c r="C42195" s="0" t="s">
        <v>198</v>
      </c>
      <c r="E42195" s="0" t="s">
        <v>209</v>
      </c>
      <c r="F42195" s="0" t="s">
        <v>5540</v>
      </c>
    </row>
    <row r="42197" customFormat="false" ht="12.8" hidden="false" customHeight="false" outlineLevel="0" collapsed="false">
      <c r="A42197" s="0" t="s">
        <v>15392</v>
      </c>
      <c r="B42197" s="0" t="str">
        <f aca="false">HYPERLINK("https://lindat.mff.cuni.cz/services/teitok/pdtc10/index.php?action=vallex&amp;frame=v-w5819f3", "rozvinout (v-w5819f3)")</f>
        <v>rozvinout (v-w5819f3)</v>
      </c>
    </row>
    <row r="42198" customFormat="false" ht="12.8" hidden="false" customHeight="false" outlineLevel="0" collapsed="false">
      <c r="B42198" s="0" t="s">
        <v>1</v>
      </c>
    </row>
    <row r="42199" customFormat="false" ht="12.8" hidden="false" customHeight="false" outlineLevel="0" collapsed="false">
      <c r="B42199" s="0" t="s">
        <v>8</v>
      </c>
    </row>
    <row r="42201" customFormat="false" ht="12.8" hidden="false" customHeight="false" outlineLevel="0" collapsed="false">
      <c r="A42201" s="0" t="s">
        <v>15393</v>
      </c>
      <c r="B42201" s="0" t="str">
        <f aca="false">HYPERLINK("https://lindat.mff.cuni.cz/services/teitok/pdtc10/index.php?action=vallex&amp;frame=v-w5820f1", "rozvinout se (v-w5820f1)")</f>
        <v>rozvinout se (v-w5820f1)</v>
      </c>
      <c r="E42201" s="0" t="str">
        <f aca="false">HYPERLINK("https://lindat.mff.cuni.cz/services/SynSemClass40/SynSemClass40.html?veclass=vec00510#vec00510-ces-cm00018", "vec00510")</f>
        <v>vec00510</v>
      </c>
      <c r="F42201" s="0" t="s">
        <v>4074</v>
      </c>
    </row>
    <row r="42202" customFormat="false" ht="12.8" hidden="false" customHeight="false" outlineLevel="0" collapsed="false">
      <c r="B42202" s="0" t="s">
        <v>1</v>
      </c>
      <c r="C42202" s="0" t="s">
        <v>5871</v>
      </c>
      <c r="E42202" s="0" t="s">
        <v>84</v>
      </c>
      <c r="F42202" s="0" t="s">
        <v>4077</v>
      </c>
    </row>
    <row r="42204" customFormat="false" ht="12.8" hidden="false" customHeight="false" outlineLevel="0" collapsed="false">
      <c r="A42204" s="0" t="s">
        <v>15394</v>
      </c>
      <c r="B42204" s="0" t="str">
        <f aca="false">HYPERLINK("https://lindat.mff.cuni.cz/services/teitok/pdtc10/index.php?action=vallex&amp;frame=v-w5820f2_ZU", "rozvinout se (v-w5820f2_ZU)")</f>
        <v>rozvinout se (v-w5820f2_ZU)</v>
      </c>
    </row>
    <row r="42205" customFormat="false" ht="12.8" hidden="false" customHeight="false" outlineLevel="0" collapsed="false">
      <c r="B42205" s="0" t="s">
        <v>1</v>
      </c>
    </row>
    <row r="42206" customFormat="false" ht="12.8" hidden="false" customHeight="false" outlineLevel="0" collapsed="false">
      <c r="B42206" s="0" t="s">
        <v>763</v>
      </c>
    </row>
    <row r="42207" customFormat="false" ht="12.8" hidden="false" customHeight="false" outlineLevel="0" collapsed="false">
      <c r="B42207" s="0" t="s">
        <v>245</v>
      </c>
    </row>
    <row r="42209" customFormat="false" ht="12.8" hidden="false" customHeight="false" outlineLevel="0" collapsed="false">
      <c r="A42209" s="0" t="s">
        <v>15395</v>
      </c>
      <c r="B42209" s="0" t="str">
        <f aca="false">HYPERLINK("https://lindat.mff.cuni.cz/services/teitok/pdtc10/index.php?action=vallex&amp;frame=v-w5821f1", "rozvinovat (v-w5821f1)")</f>
        <v>rozvinovat (v-w5821f1)</v>
      </c>
      <c r="E42209" s="0" t="str">
        <f aca="false">HYPERLINK("https://lindat.mff.cuni.cz/services/SynSemClass40/SynSemClass40.html?veclass=vec00108#vec00108-ces-cm00022", "vec00108")</f>
        <v>vec00108</v>
      </c>
      <c r="F42209" s="0" t="s">
        <v>5537</v>
      </c>
    </row>
    <row r="42210" customFormat="false" ht="12.8" hidden="false" customHeight="false" outlineLevel="0" collapsed="false">
      <c r="B42210" s="0" t="s">
        <v>1</v>
      </c>
      <c r="C42210" s="0" t="s">
        <v>5538</v>
      </c>
      <c r="E42210" s="0" t="s">
        <v>147</v>
      </c>
      <c r="F42210" s="0" t="s">
        <v>5539</v>
      </c>
    </row>
    <row r="42211" customFormat="false" ht="12.8" hidden="false" customHeight="false" outlineLevel="0" collapsed="false">
      <c r="B42211" s="0" t="s">
        <v>8</v>
      </c>
      <c r="C42211" s="0" t="s">
        <v>198</v>
      </c>
      <c r="E42211" s="0" t="s">
        <v>209</v>
      </c>
      <c r="F42211" s="0" t="s">
        <v>5540</v>
      </c>
    </row>
    <row r="42213" customFormat="false" ht="12.8" hidden="false" customHeight="false" outlineLevel="0" collapsed="false">
      <c r="A42213" s="0" t="s">
        <v>15396</v>
      </c>
      <c r="B42213" s="0" t="str">
        <f aca="false">HYPERLINK("https://lindat.mff.cuni.cz/services/teitok/pdtc10/index.php?action=vallex&amp;frame=v-w5822f1", "rozvinovat se (v-w5822f1)")</f>
        <v>rozvinovat se (v-w5822f1)</v>
      </c>
    </row>
    <row r="42214" customFormat="false" ht="12.8" hidden="false" customHeight="false" outlineLevel="0" collapsed="false">
      <c r="B42214" s="0" t="s">
        <v>1</v>
      </c>
    </row>
    <row r="42216" customFormat="false" ht="12.8" hidden="false" customHeight="false" outlineLevel="0" collapsed="false">
      <c r="A42216" s="0" t="s">
        <v>15397</v>
      </c>
      <c r="B42216" s="0" t="str">
        <f aca="false">HYPERLINK("https://lindat.mff.cuni.cz/services/teitok/pdtc10/index.php?action=vallex&amp;frame=v-w5827f1", "rozvodnit se (v-w5827f1)")</f>
        <v>rozvodnit se (v-w5827f1)</v>
      </c>
      <c r="E42216" s="0" t="str">
        <f aca="false">HYPERLINK("https://lindat.mff.cuni.cz/services/SynSemClass40/SynSemClass40.html?veclass=vec01521#vec01521-ces-cm00005", "vec01521")</f>
        <v>vec01521</v>
      </c>
      <c r="F42216" s="0" t="s">
        <v>13779</v>
      </c>
    </row>
    <row r="42217" customFormat="false" ht="12.8" hidden="false" customHeight="false" outlineLevel="0" collapsed="false">
      <c r="B42217" s="0" t="s">
        <v>1</v>
      </c>
      <c r="E42217" s="0" t="s">
        <v>957</v>
      </c>
      <c r="F42217" s="0" t="s">
        <v>13780</v>
      </c>
    </row>
    <row r="42219" customFormat="false" ht="12.8" hidden="false" customHeight="false" outlineLevel="0" collapsed="false">
      <c r="A42219" s="0" t="s">
        <v>15398</v>
      </c>
      <c r="B42219" s="0" t="str">
        <f aca="false">HYPERLINK("https://lindat.mff.cuni.cz/services/teitok/pdtc10/index.php?action=vallex&amp;frame=v-w11667_ZUf1_ZU", "rozvracet (v-w11667_ZUf1_ZU)")</f>
        <v>rozvracet (v-w11667_ZUf1_ZU)</v>
      </c>
      <c r="E42219" s="0" t="str">
        <f aca="false">HYPERLINK("https://lindat.mff.cuni.cz/services/SynSemClass40/SynSemClass40.html?veclass=vec00785#vec00785-ces-cm00080", "vec00785")</f>
        <v>vec00785</v>
      </c>
      <c r="F42219" s="0" t="s">
        <v>5463</v>
      </c>
    </row>
    <row r="42220" customFormat="false" ht="12.8" hidden="false" customHeight="false" outlineLevel="0" collapsed="false">
      <c r="B42220" s="0" t="s">
        <v>1</v>
      </c>
      <c r="C42220" s="0" t="s">
        <v>12308</v>
      </c>
      <c r="E42220" s="0" t="s">
        <v>76</v>
      </c>
      <c r="F42220" s="0" t="s">
        <v>5466</v>
      </c>
    </row>
    <row r="42221" customFormat="false" ht="12.8" hidden="false" customHeight="false" outlineLevel="0" collapsed="false">
      <c r="B42221" s="0" t="s">
        <v>8</v>
      </c>
      <c r="C42221" s="0" t="s">
        <v>12309</v>
      </c>
      <c r="E42221" s="0" t="s">
        <v>142</v>
      </c>
      <c r="F42221" s="0" t="s">
        <v>5469</v>
      </c>
    </row>
    <row r="42223" customFormat="false" ht="12.8" hidden="false" customHeight="false" outlineLevel="0" collapsed="false">
      <c r="A42223" s="0" t="s">
        <v>15399</v>
      </c>
      <c r="B42223" s="0" t="str">
        <f aca="false">HYPERLINK("https://lindat.mff.cuni.cz/services/teitok/pdtc10/index.php?action=vallex&amp;frame=v-w5831f1", "rozvrhnout (v-w5831f1)")</f>
        <v>rozvrhnout (v-w5831f1)</v>
      </c>
    </row>
    <row r="42224" customFormat="false" ht="12.8" hidden="false" customHeight="false" outlineLevel="0" collapsed="false">
      <c r="B42224" s="0" t="s">
        <v>1</v>
      </c>
    </row>
    <row r="42225" customFormat="false" ht="12.8" hidden="false" customHeight="false" outlineLevel="0" collapsed="false">
      <c r="B42225" s="0" t="s">
        <v>8</v>
      </c>
    </row>
    <row r="42226" customFormat="false" ht="12.8" hidden="false" customHeight="false" outlineLevel="0" collapsed="false">
      <c r="B42226" s="0" t="s">
        <v>2045</v>
      </c>
    </row>
    <row r="42228" customFormat="false" ht="12.8" hidden="false" customHeight="false" outlineLevel="0" collapsed="false">
      <c r="A42228" s="0" t="s">
        <v>15400</v>
      </c>
      <c r="B42228" s="0" t="str">
        <f aca="false">HYPERLINK("https://lindat.mff.cuni.cz/services/teitok/pdtc10/index.php?action=vallex&amp;frame=v-w11936_ZUf1_ZU", "rozvrstvit (v-w11936_ZUf1_ZU)")</f>
        <v>rozvrstvit (v-w11936_ZUf1_ZU)</v>
      </c>
    </row>
    <row r="42229" customFormat="false" ht="12.8" hidden="false" customHeight="false" outlineLevel="0" collapsed="false">
      <c r="B42229" s="0" t="s">
        <v>1</v>
      </c>
    </row>
    <row r="42230" customFormat="false" ht="12.8" hidden="false" customHeight="false" outlineLevel="0" collapsed="false">
      <c r="B42230" s="0" t="s">
        <v>8</v>
      </c>
    </row>
    <row r="42232" customFormat="false" ht="12.8" hidden="false" customHeight="false" outlineLevel="0" collapsed="false">
      <c r="A42232" s="0" t="s">
        <v>15401</v>
      </c>
      <c r="B42232" s="0" t="str">
        <f aca="false">HYPERLINK("https://lindat.mff.cuni.cz/services/teitok/pdtc10/index.php?action=vallex&amp;frame=v-w11580_ZUf1_ZU", "rozvrátit (v-w11580_ZUf1_ZU)")</f>
        <v>rozvrátit (v-w11580_ZUf1_ZU)</v>
      </c>
      <c r="E42232" s="0" t="str">
        <f aca="false">HYPERLINK("https://lindat.mff.cuni.cz/services/SynSemClass40/SynSemClass40.html?veclass=vec00389#vec00389-ces-cm00047", "vec00389")</f>
        <v>vec00389</v>
      </c>
      <c r="F42232" s="0" t="s">
        <v>1888</v>
      </c>
      <c r="H42232" s="0" t="str">
        <f aca="false">HYPERLINK("https://lindat.mff.cuni.cz/services/SynSemClass40/SynSemClass40.html?veclass=vec01510#vec01510-ces-cm00030", "vec01510")</f>
        <v>vec01510</v>
      </c>
      <c r="I42232" s="0" t="s">
        <v>7671</v>
      </c>
    </row>
    <row r="42233" customFormat="false" ht="12.8" hidden="false" customHeight="false" outlineLevel="0" collapsed="false">
      <c r="B42233" s="0" t="s">
        <v>1</v>
      </c>
      <c r="C42233" s="0" t="s">
        <v>15402</v>
      </c>
      <c r="E42233" s="0" t="s">
        <v>1890</v>
      </c>
      <c r="F42233" s="0" t="s">
        <v>1891</v>
      </c>
      <c r="H42233" s="0" t="s">
        <v>76</v>
      </c>
      <c r="I42233" s="0" t="s">
        <v>7674</v>
      </c>
    </row>
    <row r="42234" customFormat="false" ht="12.8" hidden="false" customHeight="false" outlineLevel="0" collapsed="false">
      <c r="B42234" s="0" t="s">
        <v>8</v>
      </c>
      <c r="C42234" s="0" t="s">
        <v>15403</v>
      </c>
      <c r="E42234" s="0" t="s">
        <v>1893</v>
      </c>
      <c r="F42234" s="0" t="s">
        <v>1894</v>
      </c>
      <c r="H42234" s="0" t="s">
        <v>706</v>
      </c>
      <c r="I42234" s="0" t="s">
        <v>7678</v>
      </c>
    </row>
    <row r="42236" customFormat="false" ht="12.8" hidden="false" customHeight="false" outlineLevel="0" collapsed="false">
      <c r="A42236" s="0" t="s">
        <v>15404</v>
      </c>
      <c r="B42236" s="0" t="str">
        <f aca="false">HYPERLINK("https://lindat.mff.cuni.cz/services/teitok/pdtc10/index.php?action=vallex&amp;frame=v-w5806f1", "rozvádět (v-w5806f1)")</f>
        <v>rozvádět (v-w5806f1)</v>
      </c>
      <c r="E42236" s="0" t="str">
        <f aca="false">HYPERLINK("https://lindat.mff.cuni.cz/services/SynSemClass40/SynSemClass40.html?veclass=vec00108#vec00108-ces-cm00008", "vec00108")</f>
        <v>vec00108</v>
      </c>
      <c r="F42236" s="0" t="s">
        <v>5537</v>
      </c>
    </row>
    <row r="42237" customFormat="false" ht="12.8" hidden="false" customHeight="false" outlineLevel="0" collapsed="false">
      <c r="B42237" s="0" t="s">
        <v>1</v>
      </c>
      <c r="C42237" s="0" t="s">
        <v>5538</v>
      </c>
      <c r="E42237" s="0" t="s">
        <v>147</v>
      </c>
      <c r="F42237" s="0" t="s">
        <v>5539</v>
      </c>
    </row>
    <row r="42238" customFormat="false" ht="12.8" hidden="false" customHeight="false" outlineLevel="0" collapsed="false">
      <c r="B42238" s="0" t="s">
        <v>3028</v>
      </c>
      <c r="C42238" s="0" t="s">
        <v>198</v>
      </c>
      <c r="E42238" s="0" t="s">
        <v>209</v>
      </c>
      <c r="F42238" s="0" t="s">
        <v>5540</v>
      </c>
    </row>
    <row r="42240" customFormat="false" ht="12.8" hidden="false" customHeight="false" outlineLevel="0" collapsed="false">
      <c r="A42240" s="0" t="s">
        <v>15405</v>
      </c>
      <c r="B42240" s="0" t="str">
        <f aca="false">HYPERLINK("https://lindat.mff.cuni.cz/services/teitok/pdtc10/index.php?action=vallex&amp;frame=v-w5806f2", "rozvádět (v-w5806f2)")</f>
        <v>rozvádět (v-w5806f2)</v>
      </c>
    </row>
    <row r="42241" customFormat="false" ht="12.8" hidden="false" customHeight="false" outlineLevel="0" collapsed="false">
      <c r="B42241" s="0" t="s">
        <v>1</v>
      </c>
    </row>
    <row r="42242" customFormat="false" ht="12.8" hidden="false" customHeight="false" outlineLevel="0" collapsed="false">
      <c r="B42242" s="0" t="s">
        <v>8</v>
      </c>
    </row>
    <row r="42244" customFormat="false" ht="12.8" hidden="false" customHeight="false" outlineLevel="0" collapsed="false">
      <c r="A42244" s="0" t="s">
        <v>15406</v>
      </c>
      <c r="B42244" s="0" t="str">
        <f aca="false">HYPERLINK("https://lindat.mff.cuni.cz/services/teitok/pdtc10/index.php?action=vallex&amp;frame=v-w5807f1", "rozvádět se (v-w5807f1)")</f>
        <v>rozvádět se (v-w5807f1)</v>
      </c>
      <c r="E42244" s="0" t="str">
        <f aca="false">HYPERLINK("https://lindat.mff.cuni.cz/services/SynSemClass40/SynSemClass40.html?veclass=vec01104#vec01104-ces-cm00003", "vec01104")</f>
        <v>vec01104</v>
      </c>
      <c r="F42244" s="0" t="s">
        <v>15407</v>
      </c>
    </row>
    <row r="42245" customFormat="false" ht="12.8" hidden="false" customHeight="false" outlineLevel="0" collapsed="false">
      <c r="B42245" s="0" t="s">
        <v>1</v>
      </c>
      <c r="C42245" s="0" t="s">
        <v>459</v>
      </c>
      <c r="E42245" s="0" t="s">
        <v>2241</v>
      </c>
      <c r="F42245" s="0" t="s">
        <v>15408</v>
      </c>
    </row>
    <row r="42246" customFormat="false" ht="12.8" hidden="false" customHeight="false" outlineLevel="0" collapsed="false">
      <c r="B42246" s="0" t="s">
        <v>721</v>
      </c>
      <c r="C42246" s="0" t="s">
        <v>798</v>
      </c>
      <c r="E42246" s="0" t="s">
        <v>2665</v>
      </c>
      <c r="F42246" s="0" t="s">
        <v>15409</v>
      </c>
    </row>
    <row r="42248" customFormat="false" ht="12.8" hidden="false" customHeight="false" outlineLevel="0" collapsed="false">
      <c r="A42248" s="0" t="s">
        <v>15410</v>
      </c>
      <c r="B42248" s="0" t="str">
        <f aca="false">HYPERLINK("https://lindat.mff.cuni.cz/services/teitok/pdtc10/index.php?action=vallex&amp;frame=v-w5809f1", "rozvázat (v-w5809f1)")</f>
        <v>rozvázat (v-w5809f1)</v>
      </c>
    </row>
    <row r="42249" customFormat="false" ht="12.8" hidden="false" customHeight="false" outlineLevel="0" collapsed="false">
      <c r="B42249" s="0" t="s">
        <v>1</v>
      </c>
    </row>
    <row r="42250" customFormat="false" ht="12.8" hidden="false" customHeight="false" outlineLevel="0" collapsed="false">
      <c r="B42250" s="0" t="s">
        <v>8</v>
      </c>
    </row>
    <row r="42252" customFormat="false" ht="12.8" hidden="false" customHeight="false" outlineLevel="0" collapsed="false">
      <c r="A42252" s="0" t="s">
        <v>15411</v>
      </c>
      <c r="B42252" s="0" t="str">
        <f aca="false">HYPERLINK("https://lindat.mff.cuni.cz/services/teitok/pdtc10/index.php?action=vallex&amp;frame=v-w5809f3", "rozvázat (v-w5809f3)")</f>
        <v>rozvázat (v-w5809f3)</v>
      </c>
    </row>
    <row r="42253" customFormat="false" ht="12.8" hidden="false" customHeight="false" outlineLevel="0" collapsed="false">
      <c r="B42253" s="0" t="s">
        <v>1</v>
      </c>
    </row>
    <row r="42254" customFormat="false" ht="12.8" hidden="false" customHeight="false" outlineLevel="0" collapsed="false">
      <c r="B42254" s="0" t="s">
        <v>15412</v>
      </c>
    </row>
    <row r="42255" customFormat="false" ht="12.8" hidden="false" customHeight="false" outlineLevel="0" collapsed="false">
      <c r="B42255" s="0" t="s">
        <v>186</v>
      </c>
    </row>
    <row r="42257" customFormat="false" ht="12.8" hidden="false" customHeight="false" outlineLevel="0" collapsed="false">
      <c r="A42257" s="0" t="s">
        <v>15413</v>
      </c>
      <c r="B42257" s="0" t="str">
        <f aca="false">HYPERLINK("https://lindat.mff.cuni.cz/services/teitok/pdtc10/index.php?action=vallex&amp;frame=v-w5809f2", "rozvázat (v-w5809f2)")</f>
        <v>rozvázat (v-w5809f2)</v>
      </c>
    </row>
    <row r="42258" customFormat="false" ht="12.8" hidden="false" customHeight="false" outlineLevel="0" collapsed="false">
      <c r="B42258" s="0" t="s">
        <v>1</v>
      </c>
    </row>
    <row r="42259" customFormat="false" ht="12.8" hidden="false" customHeight="false" outlineLevel="0" collapsed="false">
      <c r="B42259" s="0" t="s">
        <v>15414</v>
      </c>
    </row>
    <row r="42261" customFormat="false" ht="12.8" hidden="false" customHeight="false" outlineLevel="0" collapsed="false">
      <c r="A42261" s="0" t="s">
        <v>15415</v>
      </c>
      <c r="B42261" s="0" t="str">
        <f aca="false">HYPERLINK("https://lindat.mff.cuni.cz/services/teitok/pdtc10/index.php?action=vallex&amp;frame=v-w5809hsa_1137", "rozvázat (v-w5809hsa_1137)")</f>
        <v>rozvázat (v-w5809hsa_1137)</v>
      </c>
    </row>
    <row r="42262" customFormat="false" ht="12.8" hidden="false" customHeight="false" outlineLevel="0" collapsed="false">
      <c r="B42262" s="0" t="s">
        <v>1</v>
      </c>
    </row>
    <row r="42263" customFormat="false" ht="12.8" hidden="false" customHeight="false" outlineLevel="0" collapsed="false">
      <c r="B42263" s="0" t="s">
        <v>8</v>
      </c>
    </row>
    <row r="42265" customFormat="false" ht="12.8" hidden="false" customHeight="false" outlineLevel="0" collapsed="false">
      <c r="A42265" s="0" t="s">
        <v>15416</v>
      </c>
      <c r="B42265" s="0" t="str">
        <f aca="false">HYPERLINK("https://lindat.mff.cuni.cz/services/teitok/pdtc10/index.php?action=vallex&amp;frame=v-w10528f2", "rozvážet (v-w10528f2)")</f>
        <v>rozvážet (v-w10528f2)</v>
      </c>
    </row>
    <row r="42266" customFormat="false" ht="12.8" hidden="false" customHeight="false" outlineLevel="0" collapsed="false">
      <c r="B42266" s="0" t="s">
        <v>1</v>
      </c>
    </row>
    <row r="42267" customFormat="false" ht="12.8" hidden="false" customHeight="false" outlineLevel="0" collapsed="false">
      <c r="B42267" s="0" t="s">
        <v>8</v>
      </c>
    </row>
    <row r="42269" customFormat="false" ht="12.8" hidden="false" customHeight="false" outlineLevel="0" collapsed="false">
      <c r="A42269" s="0" t="s">
        <v>15417</v>
      </c>
      <c r="B42269" s="0" t="str">
        <f aca="false">HYPERLINK("https://lindat.mff.cuni.cz/services/teitok/pdtc10/index.php?action=vallex&amp;frame=v-w5810f1", "rozvážit (v-w5810f1)")</f>
        <v>rozvážit (v-w5810f1)</v>
      </c>
      <c r="E42269" s="0" t="str">
        <f aca="false">HYPERLINK("https://lindat.mff.cuni.cz/services/SynSemClass40/SynSemClass40.html?veclass=vec00149#vec00149-ces-cm00143", "vec00149")</f>
        <v>vec00149</v>
      </c>
      <c r="F42269" s="0" t="s">
        <v>686</v>
      </c>
    </row>
    <row r="42270" customFormat="false" ht="12.8" hidden="false" customHeight="false" outlineLevel="0" collapsed="false">
      <c r="B42270" s="0" t="s">
        <v>1</v>
      </c>
      <c r="C42270" s="0" t="s">
        <v>687</v>
      </c>
      <c r="E42270" s="0" t="s">
        <v>621</v>
      </c>
      <c r="F42270" s="0" t="s">
        <v>688</v>
      </c>
    </row>
    <row r="42271" customFormat="false" ht="12.8" hidden="false" customHeight="false" outlineLevel="0" collapsed="false">
      <c r="B42271" s="0" t="s">
        <v>8</v>
      </c>
      <c r="C42271" s="0" t="s">
        <v>690</v>
      </c>
      <c r="E42271" s="0" t="s">
        <v>209</v>
      </c>
      <c r="F42271" s="0" t="s">
        <v>691</v>
      </c>
    </row>
    <row r="42273" customFormat="false" ht="12.8" hidden="false" customHeight="false" outlineLevel="0" collapsed="false">
      <c r="A42273" s="0" t="s">
        <v>15418</v>
      </c>
      <c r="B42273" s="0" t="str">
        <f aca="false">HYPERLINK("https://lindat.mff.cuni.cz/services/teitok/pdtc10/index.php?action=vallex&amp;frame=v-w5812f3_ZU", "rozvést (v-w5812f3_ZU)")</f>
        <v>rozvést (v-w5812f3_ZU)</v>
      </c>
      <c r="E42273" s="0" t="str">
        <f aca="false">HYPERLINK("https://lindat.mff.cuni.cz/services/SynSemClass40/SynSemClass40.html?veclass=vec00108#vec00108-ces-cm00001", "vec00108")</f>
        <v>vec00108</v>
      </c>
      <c r="F42273" s="0" t="s">
        <v>5537</v>
      </c>
    </row>
    <row r="42274" customFormat="false" ht="12.8" hidden="false" customHeight="false" outlineLevel="0" collapsed="false">
      <c r="B42274" s="0" t="s">
        <v>1</v>
      </c>
      <c r="C42274" s="0" t="s">
        <v>5538</v>
      </c>
      <c r="E42274" s="0" t="s">
        <v>147</v>
      </c>
      <c r="F42274" s="0" t="s">
        <v>5539</v>
      </c>
    </row>
    <row r="42275" customFormat="false" ht="12.8" hidden="false" customHeight="false" outlineLevel="0" collapsed="false">
      <c r="B42275" s="0" t="s">
        <v>8</v>
      </c>
      <c r="C42275" s="0" t="s">
        <v>198</v>
      </c>
      <c r="E42275" s="0" t="s">
        <v>209</v>
      </c>
      <c r="F42275" s="0" t="s">
        <v>5540</v>
      </c>
    </row>
    <row r="42276" customFormat="false" ht="12.8" hidden="false" customHeight="false" outlineLevel="0" collapsed="false">
      <c r="B42276" s="0" t="s">
        <v>245</v>
      </c>
    </row>
    <row r="42278" customFormat="false" ht="12.8" hidden="false" customHeight="false" outlineLevel="0" collapsed="false">
      <c r="A42278" s="0" t="s">
        <v>15419</v>
      </c>
      <c r="B42278" s="0" t="str">
        <f aca="false">HYPERLINK("https://lindat.mff.cuni.cz/services/teitok/pdtc10/index.php?action=vallex&amp;frame=v-w5812f1", "rozvést (v-w5812f1)")</f>
        <v>rozvést (v-w5812f1)</v>
      </c>
    </row>
    <row r="42279" customFormat="false" ht="12.8" hidden="false" customHeight="false" outlineLevel="0" collapsed="false">
      <c r="B42279" s="0" t="s">
        <v>1</v>
      </c>
    </row>
    <row r="42280" customFormat="false" ht="12.8" hidden="false" customHeight="false" outlineLevel="0" collapsed="false">
      <c r="B42280" s="0" t="s">
        <v>8</v>
      </c>
    </row>
    <row r="42282" customFormat="false" ht="12.8" hidden="false" customHeight="false" outlineLevel="0" collapsed="false">
      <c r="A42282" s="0" t="s">
        <v>15420</v>
      </c>
      <c r="B42282" s="0" t="str">
        <f aca="false">HYPERLINK("https://lindat.mff.cuni.cz/services/teitok/pdtc10/index.php?action=vallex&amp;frame=v-w5812f2", "rozvést (v-w5812f2)")</f>
        <v>rozvést (v-w5812f2)</v>
      </c>
    </row>
    <row r="42283" customFormat="false" ht="12.8" hidden="false" customHeight="false" outlineLevel="0" collapsed="false">
      <c r="B42283" s="0" t="s">
        <v>1</v>
      </c>
    </row>
    <row r="42284" customFormat="false" ht="12.8" hidden="false" customHeight="false" outlineLevel="0" collapsed="false">
      <c r="B42284" s="0" t="s">
        <v>8</v>
      </c>
    </row>
    <row r="42286" customFormat="false" ht="12.8" hidden="false" customHeight="false" outlineLevel="0" collapsed="false">
      <c r="A42286" s="0" t="s">
        <v>15421</v>
      </c>
      <c r="B42286" s="0" t="str">
        <f aca="false">HYPERLINK("https://lindat.mff.cuni.cz/services/teitok/pdtc10/index.php?action=vallex&amp;frame=v-w5813f1", "rozvést se (v-w5813f1)")</f>
        <v>rozvést se (v-w5813f1)</v>
      </c>
      <c r="E42286" s="0" t="str">
        <f aca="false">HYPERLINK("https://lindat.mff.cuni.cz/services/SynSemClass40/SynSemClass40.html?veclass=vec01104#vec01104-ces-cm00001", "vec01104")</f>
        <v>vec01104</v>
      </c>
      <c r="F42286" s="0" t="s">
        <v>15407</v>
      </c>
    </row>
    <row r="42287" customFormat="false" ht="12.8" hidden="false" customHeight="false" outlineLevel="0" collapsed="false">
      <c r="B42287" s="0" t="s">
        <v>1</v>
      </c>
      <c r="C42287" s="0" t="s">
        <v>459</v>
      </c>
      <c r="E42287" s="0" t="s">
        <v>2241</v>
      </c>
      <c r="F42287" s="0" t="s">
        <v>15408</v>
      </c>
    </row>
    <row r="42288" customFormat="false" ht="12.8" hidden="false" customHeight="false" outlineLevel="0" collapsed="false">
      <c r="B42288" s="0" t="s">
        <v>721</v>
      </c>
      <c r="C42288" s="0" t="s">
        <v>798</v>
      </c>
      <c r="E42288" s="0" t="s">
        <v>2665</v>
      </c>
      <c r="F42288" s="0" t="s">
        <v>15409</v>
      </c>
    </row>
    <row r="42290" customFormat="false" ht="12.8" hidden="false" customHeight="false" outlineLevel="0" collapsed="false">
      <c r="A42290" s="0" t="s">
        <v>15422</v>
      </c>
      <c r="B42290" s="0" t="str">
        <f aca="false">HYPERLINK("https://lindat.mff.cuni.cz/services/teitok/pdtc10/index.php?action=vallex&amp;frame=v-w5817f1", "rozvíjet (v-w5817f1)")</f>
        <v>rozvíjet (v-w5817f1)</v>
      </c>
      <c r="E42290" s="0" t="str">
        <f aca="false">HYPERLINK("https://lindat.mff.cuni.cz/services/SynSemClass40/SynSemClass40.html?veclass=vec00539#vec00539-ces-cm00030", "vec00539")</f>
        <v>vec00539</v>
      </c>
      <c r="F42290" s="0" t="s">
        <v>11472</v>
      </c>
    </row>
    <row r="42291" customFormat="false" ht="12.8" hidden="false" customHeight="false" outlineLevel="0" collapsed="false">
      <c r="B42291" s="0" t="s">
        <v>1</v>
      </c>
      <c r="C42291" s="0" t="s">
        <v>11473</v>
      </c>
      <c r="E42291" s="0" t="s">
        <v>8199</v>
      </c>
      <c r="F42291" s="0" t="s">
        <v>11474</v>
      </c>
    </row>
    <row r="42292" customFormat="false" ht="12.8" hidden="false" customHeight="false" outlineLevel="0" collapsed="false">
      <c r="B42292" s="0" t="s">
        <v>8</v>
      </c>
      <c r="C42292" s="0" t="s">
        <v>8834</v>
      </c>
      <c r="E42292" s="0" t="s">
        <v>142</v>
      </c>
      <c r="F42292" s="0" t="s">
        <v>11475</v>
      </c>
    </row>
    <row r="42294" customFormat="false" ht="12.8" hidden="false" customHeight="false" outlineLevel="0" collapsed="false">
      <c r="A42294" s="0" t="s">
        <v>15423</v>
      </c>
      <c r="B42294" s="0" t="str">
        <f aca="false">HYPERLINK("https://lindat.mff.cuni.cz/services/teitok/pdtc10/index.php?action=vallex&amp;frame=v-w5817f2", "rozvíjet (v-w5817f2)")</f>
        <v>rozvíjet (v-w5817f2)</v>
      </c>
    </row>
    <row r="42295" customFormat="false" ht="12.8" hidden="false" customHeight="false" outlineLevel="0" collapsed="false">
      <c r="B42295" s="0" t="s">
        <v>1</v>
      </c>
    </row>
    <row r="42296" customFormat="false" ht="12.8" hidden="false" customHeight="false" outlineLevel="0" collapsed="false">
      <c r="B42296" s="0" t="s">
        <v>8</v>
      </c>
    </row>
    <row r="42298" customFormat="false" ht="12.8" hidden="false" customHeight="false" outlineLevel="0" collapsed="false">
      <c r="A42298" s="0" t="s">
        <v>15424</v>
      </c>
      <c r="B42298" s="0" t="str">
        <f aca="false">HYPERLINK("https://lindat.mff.cuni.cz/services/teitok/pdtc10/index.php?action=vallex&amp;frame=v-w5818f1", "rozvíjet se (v-w5818f1)")</f>
        <v>rozvíjet se (v-w5818f1)</v>
      </c>
      <c r="E42298" s="0" t="str">
        <f aca="false">HYPERLINK("https://lindat.mff.cuni.cz/services/SynSemClass40/SynSemClass40.html?veclass=vec00510#vec00510-ces-cm00001", "vec00510")</f>
        <v>vec00510</v>
      </c>
      <c r="F42298" s="0" t="s">
        <v>4074</v>
      </c>
    </row>
    <row r="42299" customFormat="false" ht="12.8" hidden="false" customHeight="false" outlineLevel="0" collapsed="false">
      <c r="B42299" s="0" t="s">
        <v>1</v>
      </c>
      <c r="C42299" s="0" t="s">
        <v>5871</v>
      </c>
      <c r="E42299" s="0" t="s">
        <v>84</v>
      </c>
      <c r="F42299" s="0" t="s">
        <v>4077</v>
      </c>
    </row>
    <row r="42301" customFormat="false" ht="12.8" hidden="false" customHeight="false" outlineLevel="0" collapsed="false">
      <c r="A42301" s="0" t="s">
        <v>15425</v>
      </c>
      <c r="B42301" s="0" t="str">
        <f aca="false">HYPERLINK("https://lindat.mff.cuni.cz/services/teitok/pdtc10/index.php?action=vallex&amp;frame=v-w5818f2_ZU", "rozvíjet se (v-w5818f2_ZU)")</f>
        <v>rozvíjet se (v-w5818f2_ZU)</v>
      </c>
    </row>
    <row r="42302" customFormat="false" ht="12.8" hidden="false" customHeight="false" outlineLevel="0" collapsed="false">
      <c r="B42302" s="0" t="s">
        <v>1</v>
      </c>
    </row>
    <row r="42304" customFormat="false" ht="12.8" hidden="false" customHeight="false" outlineLevel="0" collapsed="false">
      <c r="A42304" s="0" t="s">
        <v>15426</v>
      </c>
      <c r="B42304" s="0" t="str">
        <f aca="false">HYPERLINK("https://lindat.mff.cuni.cz/services/teitok/pdtc10/index.php?action=vallex&amp;frame=v-w5824f1", "rozvířit (v-w5824f1)")</f>
        <v>rozvířit (v-w5824f1)</v>
      </c>
      <c r="E42304" s="0" t="str">
        <f aca="false">HYPERLINK("https://lindat.mff.cuni.cz/services/SynSemClass40/SynSemClass40.html?veclass=vec00915#vec00915-ces-cm00001", "vec00915")</f>
        <v>vec00915</v>
      </c>
      <c r="F42304" s="0" t="s">
        <v>14882</v>
      </c>
    </row>
    <row r="42305" customFormat="false" ht="12.8" hidden="false" customHeight="false" outlineLevel="0" collapsed="false">
      <c r="B42305" s="0" t="s">
        <v>1</v>
      </c>
      <c r="C42305" s="0" t="s">
        <v>1752</v>
      </c>
      <c r="E42305" s="0" t="s">
        <v>76</v>
      </c>
      <c r="F42305" s="0" t="s">
        <v>14883</v>
      </c>
    </row>
    <row r="42306" customFormat="false" ht="12.8" hidden="false" customHeight="false" outlineLevel="0" collapsed="false">
      <c r="B42306" s="0" t="s">
        <v>8</v>
      </c>
      <c r="C42306" s="0" t="s">
        <v>1575</v>
      </c>
      <c r="E42306" s="0" t="s">
        <v>142</v>
      </c>
      <c r="F42306" s="0" t="s">
        <v>1576</v>
      </c>
    </row>
    <row r="42308" customFormat="false" ht="12.8" hidden="false" customHeight="false" outlineLevel="0" collapsed="false">
      <c r="A42308" s="0" t="s">
        <v>15427</v>
      </c>
      <c r="B42308" s="0" t="str">
        <f aca="false">HYPERLINK("https://lindat.mff.cuni.cz/services/teitok/pdtc10/index.php?action=vallex&amp;frame=v-w5811f1", "rozvěsit (v-w5811f1)")</f>
        <v>rozvěsit (v-w5811f1)</v>
      </c>
    </row>
    <row r="42309" customFormat="false" ht="12.8" hidden="false" customHeight="false" outlineLevel="0" collapsed="false">
      <c r="B42309" s="0" t="s">
        <v>1</v>
      </c>
    </row>
    <row r="42310" customFormat="false" ht="12.8" hidden="false" customHeight="false" outlineLevel="0" collapsed="false">
      <c r="B42310" s="0" t="s">
        <v>8</v>
      </c>
    </row>
    <row r="42312" customFormat="false" ht="12.8" hidden="false" customHeight="false" outlineLevel="0" collapsed="false">
      <c r="A42312" s="0" t="s">
        <v>15428</v>
      </c>
      <c r="B42312" s="0" t="str">
        <f aca="false">HYPERLINK("https://lindat.mff.cuni.cz/services/teitok/pdtc10/index.php?action=vallex&amp;frame=v-w5814f1", "rozvětvovat se (v-w5814f1)")</f>
        <v>rozvětvovat se (v-w5814f1)</v>
      </c>
      <c r="E42312" s="0" t="str">
        <f aca="false">HYPERLINK("https://lindat.mff.cuni.cz/services/SynSemClass40/SynSemClass40.html?veclass=vec01305#vec01305-ces-cm00017", "vec01305")</f>
        <v>vec01305</v>
      </c>
      <c r="F42312" s="0" t="s">
        <v>2015</v>
      </c>
    </row>
    <row r="42313" customFormat="false" ht="12.8" hidden="false" customHeight="false" outlineLevel="0" collapsed="false">
      <c r="B42313" s="0" t="s">
        <v>1</v>
      </c>
      <c r="C42313" s="0" t="s">
        <v>2016</v>
      </c>
      <c r="E42313" s="0" t="s">
        <v>2017</v>
      </c>
      <c r="F42313" s="0" t="s">
        <v>2018</v>
      </c>
    </row>
    <row r="42314" customFormat="false" ht="12.8" hidden="false" customHeight="false" outlineLevel="0" collapsed="false">
      <c r="B42314" s="0" t="s">
        <v>4007</v>
      </c>
      <c r="C42314" s="0" t="s">
        <v>2019</v>
      </c>
      <c r="E42314" s="0" t="s">
        <v>110</v>
      </c>
      <c r="F42314" s="0" t="s">
        <v>2020</v>
      </c>
    </row>
    <row r="42316" customFormat="false" ht="12.8" hidden="false" customHeight="false" outlineLevel="0" collapsed="false">
      <c r="A42316" s="0" t="s">
        <v>15429</v>
      </c>
      <c r="B42316" s="0" t="str">
        <f aca="false">HYPERLINK("https://lindat.mff.cuni.cz/services/teitok/pdtc10/index.php?action=vallex&amp;frame=v-w11581_ZUf2_ZU", "rozzlobit (v-w11581_ZUf2_ZU)")</f>
        <v>rozzlobit (v-w11581_ZUf2_ZU)</v>
      </c>
    </row>
    <row r="42317" customFormat="false" ht="12.8" hidden="false" customHeight="false" outlineLevel="0" collapsed="false">
      <c r="B42317" s="0" t="s">
        <v>843</v>
      </c>
    </row>
    <row r="42318" customFormat="false" ht="12.8" hidden="false" customHeight="false" outlineLevel="0" collapsed="false">
      <c r="B42318" s="0" t="s">
        <v>8</v>
      </c>
    </row>
    <row r="42320" customFormat="false" ht="12.8" hidden="false" customHeight="false" outlineLevel="0" collapsed="false">
      <c r="A42320" s="0" t="s">
        <v>15429</v>
      </c>
      <c r="B42320" s="0" t="str">
        <f aca="false">HYPERLINK("https://lindat.mff.cuni.cz/services/teitok/pdtc10/index.php?action=vallex&amp;frame=v-w11581_ZUf1_ZU", "rozzlobit (v-w11581_ZUf1_ZU) - substituted with v-w11581_ZUf2_ZU")</f>
        <v>rozzlobit (v-w11581_ZUf1_ZU) - substituted with v-w11581_ZUf2_ZU</v>
      </c>
      <c r="E42320" s="0" t="str">
        <f aca="false">HYPERLINK("https://lindat.mff.cuni.cz/services/SynSemClass40/SynSemClass40.html?veclass=vec00701#vec00701-ces-cm00001", "vec00701")</f>
        <v>vec00701</v>
      </c>
      <c r="F42320" s="0" t="s">
        <v>8089</v>
      </c>
    </row>
    <row r="42321" customFormat="false" ht="12.8" hidden="false" customHeight="false" outlineLevel="0" collapsed="false">
      <c r="B42321" s="0" t="s">
        <v>843</v>
      </c>
      <c r="C42321" s="0" t="s">
        <v>4471</v>
      </c>
      <c r="E42321" s="0" t="s">
        <v>1103</v>
      </c>
      <c r="F42321" s="0" t="s">
        <v>8092</v>
      </c>
    </row>
    <row r="42322" customFormat="false" ht="12.8" hidden="false" customHeight="false" outlineLevel="0" collapsed="false">
      <c r="B42322" s="0" t="s">
        <v>8</v>
      </c>
      <c r="C42322" s="0" t="s">
        <v>7131</v>
      </c>
      <c r="E42322" s="0" t="s">
        <v>1399</v>
      </c>
      <c r="F42322" s="0" t="s">
        <v>8095</v>
      </c>
    </row>
    <row r="42324" customFormat="false" ht="12.8" hidden="false" customHeight="false" outlineLevel="0" collapsed="false">
      <c r="A42324" s="0" t="s">
        <v>15430</v>
      </c>
      <c r="B42324" s="0" t="str">
        <f aca="false">HYPERLINK("https://lindat.mff.cuni.cz/services/teitok/pdtc10/index.php?action=vallex&amp;frame=v-w5834f1", "rozzlobit se (v-w5834f1)")</f>
        <v>rozzlobit se (v-w5834f1)</v>
      </c>
    </row>
    <row r="42325" customFormat="false" ht="12.8" hidden="false" customHeight="false" outlineLevel="0" collapsed="false">
      <c r="B42325" s="0" t="s">
        <v>1</v>
      </c>
    </row>
    <row r="42326" customFormat="false" ht="12.8" hidden="false" customHeight="false" outlineLevel="0" collapsed="false">
      <c r="B42326" s="0" t="s">
        <v>797</v>
      </c>
    </row>
    <row r="42328" customFormat="false" ht="12.8" hidden="false" customHeight="false" outlineLevel="0" collapsed="false">
      <c r="A42328" s="0" t="s">
        <v>15431</v>
      </c>
      <c r="B42328" s="0" t="str">
        <f aca="false">HYPERLINK("https://lindat.mff.cuni.cz/services/teitok/pdtc10/index.php?action=vallex&amp;frame=v-w10623f2", "rozzuřit (v-w10623f2)")</f>
        <v>rozzuřit (v-w10623f2)</v>
      </c>
      <c r="E42328" s="0" t="str">
        <f aca="false">HYPERLINK("https://lindat.mff.cuni.cz/services/SynSemClass40/SynSemClass40.html?veclass=vec00701#vec00701-ces-cm00007", "vec00701")</f>
        <v>vec00701</v>
      </c>
      <c r="F42328" s="0" t="s">
        <v>8089</v>
      </c>
    </row>
    <row r="42329" customFormat="false" ht="12.8" hidden="false" customHeight="false" outlineLevel="0" collapsed="false">
      <c r="B42329" s="0" t="s">
        <v>1</v>
      </c>
      <c r="C42329" s="0" t="s">
        <v>4471</v>
      </c>
      <c r="E42329" s="0" t="s">
        <v>1103</v>
      </c>
      <c r="F42329" s="0" t="s">
        <v>8092</v>
      </c>
    </row>
    <row r="42330" customFormat="false" ht="12.8" hidden="false" customHeight="false" outlineLevel="0" collapsed="false">
      <c r="B42330" s="0" t="s">
        <v>8</v>
      </c>
      <c r="C42330" s="0" t="s">
        <v>7131</v>
      </c>
      <c r="E42330" s="0" t="s">
        <v>1399</v>
      </c>
      <c r="F42330" s="0" t="s">
        <v>8095</v>
      </c>
    </row>
    <row r="42332" customFormat="false" ht="12.8" hidden="false" customHeight="false" outlineLevel="0" collapsed="false">
      <c r="A42332" s="0" t="s">
        <v>15432</v>
      </c>
      <c r="B42332" s="0" t="str">
        <f aca="false">HYPERLINK("https://lindat.mff.cuni.cz/services/teitok/pdtc10/index.php?action=vallex&amp;frame=v-w5833f1", "rozzářit se (v-w5833f1)")</f>
        <v>rozzářit se (v-w5833f1)</v>
      </c>
    </row>
    <row r="42333" customFormat="false" ht="12.8" hidden="false" customHeight="false" outlineLevel="0" collapsed="false">
      <c r="B42333" s="0" t="s">
        <v>1</v>
      </c>
    </row>
    <row r="42335" customFormat="false" ht="12.8" hidden="false" customHeight="false" outlineLevel="0" collapsed="false">
      <c r="A42335" s="0" t="s">
        <v>15433</v>
      </c>
      <c r="B42335" s="0" t="str">
        <f aca="false">HYPERLINK("https://lindat.mff.cuni.cz/services/teitok/pdtc10/index.php?action=vallex&amp;frame=v-w10085f2", "rozčarovat (v-w10085f2)")</f>
        <v>rozčarovat (v-w10085f2)</v>
      </c>
      <c r="E42335" s="0" t="str">
        <f aca="false">HYPERLINK("https://lindat.mff.cuni.cz/services/SynSemClass40/SynSemClass40.html?veclass=vec00587#vec00587-ces-cm00003", "vec00587")</f>
        <v>vec00587</v>
      </c>
      <c r="F42335" s="0" t="s">
        <v>15434</v>
      </c>
    </row>
    <row r="42336" customFormat="false" ht="12.8" hidden="false" customHeight="false" outlineLevel="0" collapsed="false">
      <c r="B42336" s="0" t="s">
        <v>15435</v>
      </c>
      <c r="C42336" s="0" t="s">
        <v>106</v>
      </c>
      <c r="E42336" s="0" t="s">
        <v>1103</v>
      </c>
      <c r="F42336" s="0" t="s">
        <v>15436</v>
      </c>
    </row>
    <row r="42337" customFormat="false" ht="12.8" hidden="false" customHeight="false" outlineLevel="0" collapsed="false">
      <c r="B42337" s="0" t="s">
        <v>8</v>
      </c>
      <c r="C42337" s="0" t="s">
        <v>15437</v>
      </c>
      <c r="E42337" s="0" t="s">
        <v>1399</v>
      </c>
      <c r="F42337" s="0" t="s">
        <v>15438</v>
      </c>
    </row>
    <row r="42339" customFormat="false" ht="12.8" hidden="false" customHeight="false" outlineLevel="0" collapsed="false">
      <c r="A42339" s="0" t="s">
        <v>15439</v>
      </c>
      <c r="B42339" s="0" t="str">
        <f aca="false">HYPERLINK("https://lindat.mff.cuni.cz/services/teitok/pdtc10/index.php?action=vallex&amp;frame=v-w5573f1", "rozčeřit (v-w5573f1)")</f>
        <v>rozčeřit (v-w5573f1)</v>
      </c>
    </row>
    <row r="42340" customFormat="false" ht="12.8" hidden="false" customHeight="false" outlineLevel="0" collapsed="false">
      <c r="B42340" s="0" t="s">
        <v>1</v>
      </c>
    </row>
    <row r="42341" customFormat="false" ht="12.8" hidden="false" customHeight="false" outlineLevel="0" collapsed="false">
      <c r="B42341" s="0" t="s">
        <v>8</v>
      </c>
    </row>
    <row r="42343" customFormat="false" ht="12.8" hidden="false" customHeight="false" outlineLevel="0" collapsed="false">
      <c r="A42343" s="0" t="s">
        <v>15440</v>
      </c>
      <c r="B42343" s="0" t="str">
        <f aca="false">HYPERLINK("https://lindat.mff.cuni.cz/services/teitok/pdtc10/index.php?action=vallex&amp;frame=v-whsa_70hsa_71", "rozčilit se (v-whsa_70hsa_71)")</f>
        <v>rozčilit se (v-whsa_70hsa_71)</v>
      </c>
    </row>
    <row r="42344" customFormat="false" ht="12.8" hidden="false" customHeight="false" outlineLevel="0" collapsed="false">
      <c r="B42344" s="0" t="s">
        <v>1</v>
      </c>
    </row>
    <row r="42345" customFormat="false" ht="12.8" hidden="false" customHeight="false" outlineLevel="0" collapsed="false">
      <c r="B42345" s="0" t="s">
        <v>15441</v>
      </c>
    </row>
    <row r="42347" customFormat="false" ht="12.8" hidden="false" customHeight="false" outlineLevel="0" collapsed="false">
      <c r="A42347" s="0" t="s">
        <v>15442</v>
      </c>
      <c r="B42347" s="0" t="str">
        <f aca="false">HYPERLINK("https://lindat.mff.cuni.cz/services/teitok/pdtc10/index.php?action=vallex&amp;frame=v-w5575f3_ZU", "rozčilovat (v-w5575f3_ZU)")</f>
        <v>rozčilovat (v-w5575f3_ZU)</v>
      </c>
    </row>
    <row r="42348" customFormat="false" ht="12.8" hidden="false" customHeight="false" outlineLevel="0" collapsed="false">
      <c r="B42348" s="0" t="s">
        <v>15443</v>
      </c>
    </row>
    <row r="42349" customFormat="false" ht="12.8" hidden="false" customHeight="false" outlineLevel="0" collapsed="false">
      <c r="B42349" s="0" t="s">
        <v>8</v>
      </c>
    </row>
    <row r="42351" customFormat="false" ht="12.8" hidden="false" customHeight="false" outlineLevel="0" collapsed="false">
      <c r="A42351" s="0" t="s">
        <v>15442</v>
      </c>
      <c r="B42351" s="0" t="str">
        <f aca="false">HYPERLINK("https://lindat.mff.cuni.cz/services/teitok/pdtc10/index.php?action=vallex&amp;frame=v-w5575f1", "rozčilovat (v-w5575f1) - substituted with v-w5575f3_ZU")</f>
        <v>rozčilovat (v-w5575f1) - substituted with v-w5575f3_ZU</v>
      </c>
      <c r="E42351" s="0" t="str">
        <f aca="false">HYPERLINK("https://lindat.mff.cuni.cz/services/SynSemClass40/SynSemClass40.html?veclass=vec00904#vec00904-ces-cm00001", "vec00904")</f>
        <v>vec00904</v>
      </c>
      <c r="F42351" s="0" t="s">
        <v>8090</v>
      </c>
    </row>
    <row r="42352" customFormat="false" ht="12.8" hidden="false" customHeight="false" outlineLevel="0" collapsed="false">
      <c r="B42352" s="0" t="s">
        <v>15443</v>
      </c>
      <c r="C42352" s="0" t="s">
        <v>12702</v>
      </c>
      <c r="E42352" s="0" t="s">
        <v>1103</v>
      </c>
      <c r="F42352" s="0" t="s">
        <v>8093</v>
      </c>
    </row>
    <row r="42353" customFormat="false" ht="12.8" hidden="false" customHeight="false" outlineLevel="0" collapsed="false">
      <c r="B42353" s="0" t="s">
        <v>8</v>
      </c>
      <c r="C42353" s="0" t="s">
        <v>15444</v>
      </c>
      <c r="E42353" s="0" t="s">
        <v>1399</v>
      </c>
      <c r="F42353" s="0" t="s">
        <v>8096</v>
      </c>
    </row>
    <row r="42355" customFormat="false" ht="12.8" hidden="false" customHeight="false" outlineLevel="0" collapsed="false">
      <c r="A42355" s="0" t="s">
        <v>15442</v>
      </c>
      <c r="B42355" s="0" t="str">
        <f aca="false">HYPERLINK("https://lindat.mff.cuni.cz/services/teitok/pdtc10/index.php?action=vallex&amp;frame=v-w5575f2_ZU", "rozčilovat (v-w5575f2_ZU) - substituted with v-w5575f3_ZU")</f>
        <v>rozčilovat (v-w5575f2_ZU) - substituted with v-w5575f3_ZU</v>
      </c>
    </row>
    <row r="42356" customFormat="false" ht="12.8" hidden="false" customHeight="false" outlineLevel="0" collapsed="false">
      <c r="B42356" s="0" t="s">
        <v>15443</v>
      </c>
    </row>
    <row r="42357" customFormat="false" ht="12.8" hidden="false" customHeight="false" outlineLevel="0" collapsed="false">
      <c r="B42357" s="0" t="s">
        <v>8</v>
      </c>
    </row>
    <row r="42359" customFormat="false" ht="12.8" hidden="false" customHeight="false" outlineLevel="0" collapsed="false">
      <c r="A42359" s="0" t="s">
        <v>15445</v>
      </c>
      <c r="B42359" s="0" t="str">
        <f aca="false">HYPERLINK("https://lindat.mff.cuni.cz/services/teitok/pdtc10/index.php?action=vallex&amp;frame=v-w5576f1", "rozčilovat se (v-w5576f1)")</f>
        <v>rozčilovat se (v-w5576f1)</v>
      </c>
    </row>
    <row r="42360" customFormat="false" ht="12.8" hidden="false" customHeight="false" outlineLevel="0" collapsed="false">
      <c r="B42360" s="0" t="s">
        <v>1</v>
      </c>
    </row>
    <row r="42361" customFormat="false" ht="12.8" hidden="false" customHeight="false" outlineLevel="0" collapsed="false">
      <c r="B42361" s="0" t="s">
        <v>69</v>
      </c>
    </row>
    <row r="42363" customFormat="false" ht="12.8" hidden="false" customHeight="false" outlineLevel="0" collapsed="false">
      <c r="A42363" s="0" t="s">
        <v>15446</v>
      </c>
      <c r="B42363" s="0" t="str">
        <f aca="false">HYPERLINK("https://lindat.mff.cuni.cz/services/teitok/pdtc10/index.php?action=vallex&amp;frame=v-w5578f2", "rozčlenit (v-w5578f2)")</f>
        <v>rozčlenit (v-w5578f2)</v>
      </c>
    </row>
    <row r="42364" customFormat="false" ht="12.8" hidden="false" customHeight="false" outlineLevel="0" collapsed="false">
      <c r="B42364" s="0" t="s">
        <v>1</v>
      </c>
    </row>
    <row r="42365" customFormat="false" ht="12.8" hidden="false" customHeight="false" outlineLevel="0" collapsed="false">
      <c r="B42365" s="0" t="s">
        <v>8</v>
      </c>
    </row>
    <row r="42366" customFormat="false" ht="12.8" hidden="false" customHeight="false" outlineLevel="0" collapsed="false">
      <c r="B42366" s="0" t="s">
        <v>3995</v>
      </c>
    </row>
    <row r="42368" customFormat="false" ht="12.8" hidden="false" customHeight="false" outlineLevel="0" collapsed="false">
      <c r="A42368" s="0" t="s">
        <v>15447</v>
      </c>
      <c r="B42368" s="0" t="str">
        <f aca="false">HYPERLINK("https://lindat.mff.cuni.cz/services/teitok/pdtc10/index.php?action=vallex&amp;frame=v-w5578f1", "rozčlenit (v-w5578f1)")</f>
        <v>rozčlenit (v-w5578f1)</v>
      </c>
    </row>
    <row r="42369" customFormat="false" ht="12.8" hidden="false" customHeight="false" outlineLevel="0" collapsed="false">
      <c r="B42369" s="0" t="s">
        <v>1</v>
      </c>
    </row>
    <row r="42370" customFormat="false" ht="12.8" hidden="false" customHeight="false" outlineLevel="0" collapsed="false">
      <c r="B42370" s="0" t="s">
        <v>8</v>
      </c>
    </row>
    <row r="42371" customFormat="false" ht="12.8" hidden="false" customHeight="false" outlineLevel="0" collapsed="false">
      <c r="B42371" s="0" t="s">
        <v>5779</v>
      </c>
    </row>
    <row r="42373" customFormat="false" ht="12.8" hidden="false" customHeight="false" outlineLevel="0" collapsed="false">
      <c r="A42373" s="0" t="s">
        <v>15448</v>
      </c>
      <c r="B42373" s="0" t="str">
        <f aca="false">HYPERLINK("https://lindat.mff.cuni.cz/services/teitok/pdtc10/index.php?action=vallex&amp;frame=v-w5574f1", "rozčílit (v-w5574f1)")</f>
        <v>rozčílit (v-w5574f1)</v>
      </c>
    </row>
    <row r="42374" customFormat="false" ht="12.8" hidden="false" customHeight="false" outlineLevel="0" collapsed="false">
      <c r="B42374" s="0" t="s">
        <v>1</v>
      </c>
    </row>
    <row r="42375" customFormat="false" ht="12.8" hidden="false" customHeight="false" outlineLevel="0" collapsed="false">
      <c r="B42375" s="0" t="s">
        <v>8</v>
      </c>
    </row>
    <row r="42377" customFormat="false" ht="12.8" hidden="false" customHeight="false" outlineLevel="0" collapsed="false">
      <c r="A42377" s="0" t="s">
        <v>15449</v>
      </c>
      <c r="B42377" s="0" t="str">
        <f aca="false">HYPERLINK("https://lindat.mff.cuni.cz/services/teitok/pdtc10/index.php?action=vallex&amp;frame=v-whsa_388hsa_389", "rozčílit se (v-whsa_388hsa_389)")</f>
        <v>rozčílit se (v-whsa_388hsa_389)</v>
      </c>
    </row>
    <row r="42378" customFormat="false" ht="12.8" hidden="false" customHeight="false" outlineLevel="0" collapsed="false">
      <c r="B42378" s="0" t="s">
        <v>1</v>
      </c>
    </row>
    <row r="42379" customFormat="false" ht="12.8" hidden="false" customHeight="false" outlineLevel="0" collapsed="false">
      <c r="B42379" s="0" t="s">
        <v>15441</v>
      </c>
    </row>
    <row r="42381" customFormat="false" ht="12.8" hidden="false" customHeight="false" outlineLevel="0" collapsed="false">
      <c r="A42381" s="0" t="s">
        <v>15450</v>
      </c>
      <c r="B42381" s="0" t="str">
        <f aca="false">HYPERLINK("https://lindat.mff.cuni.cz/services/teitok/pdtc10/index.php?action=vallex&amp;frame=v-w11579_ZUf1_ZU", "rozředit (v-w11579_ZUf1_ZU)")</f>
        <v>rozředit (v-w11579_ZUf1_ZU)</v>
      </c>
    </row>
    <row r="42382" customFormat="false" ht="12.8" hidden="false" customHeight="false" outlineLevel="0" collapsed="false">
      <c r="B42382" s="0" t="s">
        <v>1</v>
      </c>
    </row>
    <row r="42383" customFormat="false" ht="12.8" hidden="false" customHeight="false" outlineLevel="0" collapsed="false">
      <c r="B42383" s="0" t="s">
        <v>8</v>
      </c>
    </row>
    <row r="42384" customFormat="false" ht="12.8" hidden="false" customHeight="false" outlineLevel="0" collapsed="false">
      <c r="B42384" s="0" t="s">
        <v>101</v>
      </c>
    </row>
    <row r="42386" customFormat="false" ht="12.8" hidden="false" customHeight="false" outlineLevel="0" collapsed="false">
      <c r="A42386" s="0" t="s">
        <v>15451</v>
      </c>
      <c r="B42386" s="0" t="str">
        <f aca="false">HYPERLINK("https://lindat.mff.cuni.cz/services/teitok/pdtc10/index.php?action=vallex&amp;frame=v-w10546f2", "rozřezat (v-w10546f2)")</f>
        <v>rozřezat (v-w10546f2)</v>
      </c>
      <c r="E42386" s="0" t="str">
        <f aca="false">HYPERLINK("https://lindat.mff.cuni.cz/services/SynSemClass40/SynSemClass40.html?veclass=vec00296#vec00296-ces-cm00063", "vec00296")</f>
        <v>vec00296</v>
      </c>
      <c r="F42386" s="0" t="s">
        <v>5275</v>
      </c>
      <c r="H42386" s="0" t="str">
        <f aca="false">HYPERLINK("https://lindat.mff.cuni.cz/services/SynSemClass40/SynSemClass40.html?veclass=vec00389#vec00389-ces-cm00045", "vec00389")</f>
        <v>vec00389</v>
      </c>
      <c r="I42386" s="0" t="s">
        <v>1888</v>
      </c>
      <c r="K42386" s="0" t="str">
        <f aca="false">HYPERLINK("https://lindat.mff.cuni.cz/services/SynSemClass40/SynSemClass40.html?veclass=vec00903#vec00903-ces-cm00013", "vec00903")</f>
        <v>vec00903</v>
      </c>
      <c r="L42386" s="0" t="s">
        <v>8059</v>
      </c>
    </row>
    <row r="42387" customFormat="false" ht="12.8" hidden="false" customHeight="false" outlineLevel="0" collapsed="false">
      <c r="B42387" s="0" t="s">
        <v>1</v>
      </c>
      <c r="C42387" s="0" t="s">
        <v>15452</v>
      </c>
      <c r="E42387" s="0" t="s">
        <v>11</v>
      </c>
      <c r="F42387" s="0" t="s">
        <v>5277</v>
      </c>
      <c r="H42387" s="0" t="s">
        <v>1890</v>
      </c>
      <c r="I42387" s="0" t="s">
        <v>1891</v>
      </c>
      <c r="K42387" s="0" t="s">
        <v>1890</v>
      </c>
      <c r="L42387" s="0" t="s">
        <v>8061</v>
      </c>
    </row>
    <row r="42388" customFormat="false" ht="12.8" hidden="false" customHeight="false" outlineLevel="0" collapsed="false">
      <c r="B42388" s="0" t="s">
        <v>8</v>
      </c>
      <c r="C42388" s="0" t="s">
        <v>15453</v>
      </c>
      <c r="E42388" s="0" t="s">
        <v>5279</v>
      </c>
      <c r="F42388" s="0" t="s">
        <v>5280</v>
      </c>
      <c r="H42388" s="0" t="s">
        <v>1893</v>
      </c>
      <c r="I42388" s="0" t="s">
        <v>1894</v>
      </c>
      <c r="K42388" s="0" t="s">
        <v>1893</v>
      </c>
      <c r="L42388" s="0" t="s">
        <v>8063</v>
      </c>
    </row>
    <row r="42389" customFormat="false" ht="12.8" hidden="false" customHeight="false" outlineLevel="0" collapsed="false">
      <c r="B42389" s="0" t="s">
        <v>3211</v>
      </c>
      <c r="C42389" s="0" t="s">
        <v>15454</v>
      </c>
      <c r="E42389" s="0" t="s">
        <v>2584</v>
      </c>
      <c r="F42389" s="0" t="s">
        <v>5282</v>
      </c>
      <c r="H42389" s="0" t="s">
        <v>14894</v>
      </c>
      <c r="I42389" s="0" t="s">
        <v>14895</v>
      </c>
      <c r="K42389" s="0" t="s">
        <v>2584</v>
      </c>
      <c r="L42389" s="0" t="s">
        <v>8065</v>
      </c>
    </row>
    <row r="42391" customFormat="false" ht="12.8" hidden="false" customHeight="false" outlineLevel="0" collapsed="false">
      <c r="A42391" s="0" t="s">
        <v>15455</v>
      </c>
      <c r="B42391" s="0" t="str">
        <f aca="false">HYPERLINK("https://lindat.mff.cuni.cz/services/teitok/pdtc10/index.php?action=vallex&amp;frame=v-whsa_1574hsa_1575", "rozřezávat (v-whsa_1574hsa_1575)")</f>
        <v>rozřezávat (v-whsa_1574hsa_1575)</v>
      </c>
    </row>
    <row r="42392" customFormat="false" ht="12.8" hidden="false" customHeight="false" outlineLevel="0" collapsed="false">
      <c r="B42392" s="0" t="s">
        <v>1</v>
      </c>
    </row>
    <row r="42393" customFormat="false" ht="12.8" hidden="false" customHeight="false" outlineLevel="0" collapsed="false">
      <c r="B42393" s="0" t="s">
        <v>8</v>
      </c>
    </row>
    <row r="42395" customFormat="false" ht="12.8" hidden="false" customHeight="false" outlineLevel="0" collapsed="false">
      <c r="A42395" s="0" t="s">
        <v>15456</v>
      </c>
      <c r="B42395" s="0" t="str">
        <f aca="false">HYPERLINK("https://lindat.mff.cuni.cz/services/teitok/pdtc10/index.php?action=vallex&amp;frame=v-w5764f1", "rozřeďovat se (v-w5764f1)")</f>
        <v>rozřeďovat se (v-w5764f1)</v>
      </c>
    </row>
    <row r="42396" customFormat="false" ht="12.8" hidden="false" customHeight="false" outlineLevel="0" collapsed="false">
      <c r="B42396" s="0" t="s">
        <v>1</v>
      </c>
    </row>
    <row r="42398" customFormat="false" ht="12.8" hidden="false" customHeight="false" outlineLevel="0" collapsed="false">
      <c r="A42398" s="0" t="s">
        <v>15457</v>
      </c>
      <c r="B42398" s="0" t="str">
        <f aca="false">HYPERLINK("https://lindat.mff.cuni.cz/services/teitok/pdtc10/index.php?action=vallex&amp;frame=v-w5765f1", "rozřešit (v-w5765f1)")</f>
        <v>rozřešit (v-w5765f1)</v>
      </c>
    </row>
    <row r="42399" customFormat="false" ht="12.8" hidden="false" customHeight="false" outlineLevel="0" collapsed="false">
      <c r="B42399" s="0" t="s">
        <v>1</v>
      </c>
    </row>
    <row r="42400" customFormat="false" ht="12.8" hidden="false" customHeight="false" outlineLevel="0" collapsed="false">
      <c r="B42400" s="0" t="s">
        <v>8</v>
      </c>
    </row>
    <row r="42402" customFormat="false" ht="12.8" hidden="false" customHeight="false" outlineLevel="0" collapsed="false">
      <c r="A42402" s="0" t="s">
        <v>15458</v>
      </c>
      <c r="B42402" s="0" t="str">
        <f aca="false">HYPERLINK("https://lindat.mff.cuni.cz/services/teitok/pdtc10/index.php?action=vallex&amp;frame=v-w5766f1", "rozříznout (v-w5766f1)")</f>
        <v>rozříznout (v-w5766f1)</v>
      </c>
      <c r="E42402" s="0" t="str">
        <f aca="false">HYPERLINK("https://lindat.mff.cuni.cz/services/SynSemClass40/SynSemClass40.html?veclass=vec00296#vec00296-ces-cm00064", "vec00296")</f>
        <v>vec00296</v>
      </c>
      <c r="F42402" s="0" t="s">
        <v>5275</v>
      </c>
    </row>
    <row r="42403" customFormat="false" ht="12.8" hidden="false" customHeight="false" outlineLevel="0" collapsed="false">
      <c r="B42403" s="0" t="s">
        <v>1</v>
      </c>
      <c r="C42403" s="0" t="s">
        <v>5276</v>
      </c>
      <c r="E42403" s="0" t="s">
        <v>11</v>
      </c>
      <c r="F42403" s="0" t="s">
        <v>5277</v>
      </c>
    </row>
    <row r="42404" customFormat="false" ht="12.8" hidden="false" customHeight="false" outlineLevel="0" collapsed="false">
      <c r="B42404" s="0" t="s">
        <v>8</v>
      </c>
      <c r="C42404" s="0" t="s">
        <v>5278</v>
      </c>
      <c r="E42404" s="0" t="s">
        <v>5279</v>
      </c>
      <c r="F42404" s="0" t="s">
        <v>5280</v>
      </c>
    </row>
    <row r="42405" customFormat="false" ht="12.8" hidden="false" customHeight="false" outlineLevel="0" collapsed="false">
      <c r="B42405" s="0" t="s">
        <v>3211</v>
      </c>
      <c r="C42405" s="0" t="s">
        <v>5281</v>
      </c>
      <c r="E42405" s="0" t="s">
        <v>2584</v>
      </c>
      <c r="F42405" s="0" t="s">
        <v>5282</v>
      </c>
    </row>
    <row r="42407" customFormat="false" ht="12.8" hidden="false" customHeight="false" outlineLevel="0" collapsed="false">
      <c r="A42407" s="0" t="s">
        <v>15459</v>
      </c>
      <c r="B42407" s="0" t="str">
        <f aca="false">HYPERLINK("https://lindat.mff.cuni.cz/services/teitok/pdtc10/index.php?action=vallex&amp;frame=v-w5780f1", "rozšiřovat (v-w5780f1)")</f>
        <v>rozšiřovat (v-w5780f1)</v>
      </c>
      <c r="E42407" s="0" t="str">
        <f aca="false">HYPERLINK("https://lindat.mff.cuni.cz/services/SynSemClass40/SynSemClass40.html?veclass=vec00298#vec00298-ces-cm00030", "vec00298")</f>
        <v>vec00298</v>
      </c>
      <c r="F42407" s="0" t="s">
        <v>7194</v>
      </c>
    </row>
    <row r="42408" customFormat="false" ht="12.8" hidden="false" customHeight="false" outlineLevel="0" collapsed="false">
      <c r="B42408" s="0" t="s">
        <v>1</v>
      </c>
      <c r="C42408" s="0" t="s">
        <v>7195</v>
      </c>
      <c r="E42408" s="0" t="s">
        <v>31</v>
      </c>
      <c r="F42408" s="0" t="s">
        <v>7196</v>
      </c>
    </row>
    <row r="42409" customFormat="false" ht="12.8" hidden="false" customHeight="false" outlineLevel="0" collapsed="false">
      <c r="B42409" s="0" t="s">
        <v>8</v>
      </c>
      <c r="C42409" s="0" t="s">
        <v>7197</v>
      </c>
      <c r="E42409" s="0" t="s">
        <v>1569</v>
      </c>
      <c r="F42409" s="0" t="s">
        <v>7198</v>
      </c>
    </row>
    <row r="42410" customFormat="false" ht="12.8" hidden="false" customHeight="false" outlineLevel="0" collapsed="false">
      <c r="B42410" s="0" t="s">
        <v>36</v>
      </c>
      <c r="C42410" s="0" t="s">
        <v>7199</v>
      </c>
      <c r="E42410" s="0" t="s">
        <v>5152</v>
      </c>
      <c r="F42410" s="0" t="s">
        <v>7200</v>
      </c>
    </row>
    <row r="42411" customFormat="false" ht="12.8" hidden="false" customHeight="false" outlineLevel="0" collapsed="false">
      <c r="B42411" s="0" t="s">
        <v>15460</v>
      </c>
      <c r="C42411" s="0" t="s">
        <v>7201</v>
      </c>
      <c r="E42411" s="0" t="s">
        <v>5796</v>
      </c>
      <c r="F42411" s="0" t="s">
        <v>7202</v>
      </c>
    </row>
    <row r="42413" customFormat="false" ht="12.8" hidden="false" customHeight="false" outlineLevel="0" collapsed="false">
      <c r="A42413" s="0" t="s">
        <v>15461</v>
      </c>
      <c r="B42413" s="0" t="str">
        <f aca="false">HYPERLINK("https://lindat.mff.cuni.cz/services/teitok/pdtc10/index.php?action=vallex&amp;frame=v-w5780f3", "rozšiřovat (v-w5780f3)")</f>
        <v>rozšiřovat (v-w5780f3)</v>
      </c>
      <c r="E42413" s="0" t="str">
        <f aca="false">HYPERLINK("https://lindat.mff.cuni.cz/services/SynSemClass40/SynSemClass40.html?veclass=vec00912#vec00912-ces-cm00034", "vec00912")</f>
        <v>vec00912</v>
      </c>
      <c r="F42413" s="0" t="s">
        <v>15213</v>
      </c>
    </row>
    <row r="42414" customFormat="false" ht="12.8" hidden="false" customHeight="false" outlineLevel="0" collapsed="false">
      <c r="B42414" s="0" t="s">
        <v>1</v>
      </c>
      <c r="C42414" s="0" t="s">
        <v>106</v>
      </c>
      <c r="E42414" s="0" t="s">
        <v>1866</v>
      </c>
      <c r="F42414" s="0" t="s">
        <v>15215</v>
      </c>
    </row>
    <row r="42415" customFormat="false" ht="12.8" hidden="false" customHeight="false" outlineLevel="0" collapsed="false">
      <c r="B42415" s="0" t="s">
        <v>8</v>
      </c>
      <c r="C42415" s="0" t="s">
        <v>4473</v>
      </c>
      <c r="E42415" s="0" t="s">
        <v>1873</v>
      </c>
      <c r="F42415" s="0" t="s">
        <v>15217</v>
      </c>
    </row>
    <row r="42417" customFormat="false" ht="12.8" hidden="false" customHeight="false" outlineLevel="0" collapsed="false">
      <c r="A42417" s="0" t="s">
        <v>15462</v>
      </c>
      <c r="B42417" s="0" t="str">
        <f aca="false">HYPERLINK("https://lindat.mff.cuni.cz/services/teitok/pdtc10/index.php?action=vallex&amp;frame=v-w5780f2", "rozšiřovat (v-w5780f2)")</f>
        <v>rozšiřovat (v-w5780f2)</v>
      </c>
    </row>
    <row r="42418" customFormat="false" ht="12.8" hidden="false" customHeight="false" outlineLevel="0" collapsed="false">
      <c r="B42418" s="0" t="s">
        <v>1</v>
      </c>
    </row>
    <row r="42419" customFormat="false" ht="12.8" hidden="false" customHeight="false" outlineLevel="0" collapsed="false">
      <c r="B42419" s="0" t="s">
        <v>6412</v>
      </c>
    </row>
    <row r="42420" customFormat="false" ht="12.8" hidden="false" customHeight="false" outlineLevel="0" collapsed="false">
      <c r="B42420" s="0" t="s">
        <v>496</v>
      </c>
    </row>
    <row r="42422" customFormat="false" ht="12.8" hidden="false" customHeight="false" outlineLevel="0" collapsed="false">
      <c r="A42422" s="0" t="s">
        <v>15463</v>
      </c>
      <c r="B42422" s="0" t="str">
        <f aca="false">HYPERLINK("https://lindat.mff.cuni.cz/services/teitok/pdtc10/index.php?action=vallex&amp;frame=v-w5781f1", "rozšiřovat se (v-w5781f1)")</f>
        <v>rozšiřovat se (v-w5781f1)</v>
      </c>
      <c r="E42422" s="0" t="str">
        <f aca="false">HYPERLINK("https://lindat.mff.cuni.cz/services/SynSemClass40/SynSemClass40.html?veclass=vec00510#vec00510-ces-cm00017", "vec00510")</f>
        <v>vec00510</v>
      </c>
      <c r="F42422" s="0" t="s">
        <v>4074</v>
      </c>
      <c r="H42422" s="0" t="str">
        <f aca="false">HYPERLINK("https://lindat.mff.cuni.cz/services/SynSemClass40/SynSemClass40.html?veclass=vec01520#vec01520-ces-cm00007", "vec01520")</f>
        <v>vec01520</v>
      </c>
      <c r="I42422" s="0" t="s">
        <v>4075</v>
      </c>
    </row>
    <row r="42423" customFormat="false" ht="12.8" hidden="false" customHeight="false" outlineLevel="0" collapsed="false">
      <c r="B42423" s="0" t="s">
        <v>1</v>
      </c>
      <c r="C42423" s="0" t="s">
        <v>4076</v>
      </c>
      <c r="E42423" s="0" t="s">
        <v>84</v>
      </c>
      <c r="F42423" s="0" t="s">
        <v>4077</v>
      </c>
      <c r="H42423" s="0" t="s">
        <v>957</v>
      </c>
      <c r="I42423" s="0" t="s">
        <v>4078</v>
      </c>
    </row>
    <row r="42425" customFormat="false" ht="12.8" hidden="false" customHeight="false" outlineLevel="0" collapsed="false">
      <c r="A42425" s="0" t="s">
        <v>15464</v>
      </c>
      <c r="B42425" s="0" t="str">
        <f aca="false">HYPERLINK("https://lindat.mff.cuni.cz/services/teitok/pdtc10/index.php?action=vallex&amp;frame=v-w11711_ZUf1_ZU", "rozšlapat (v-w11711_ZUf1_ZU)")</f>
        <v>rozšlapat (v-w11711_ZUf1_ZU)</v>
      </c>
    </row>
    <row r="42426" customFormat="false" ht="12.8" hidden="false" customHeight="false" outlineLevel="0" collapsed="false">
      <c r="B42426" s="0" t="s">
        <v>1</v>
      </c>
    </row>
    <row r="42427" customFormat="false" ht="12.8" hidden="false" customHeight="false" outlineLevel="0" collapsed="false">
      <c r="B42427" s="0" t="s">
        <v>8</v>
      </c>
    </row>
    <row r="42428" customFormat="false" ht="12.8" hidden="false" customHeight="false" outlineLevel="0" collapsed="false">
      <c r="B42428" s="0" t="s">
        <v>101</v>
      </c>
    </row>
    <row r="42430" customFormat="false" ht="12.8" hidden="false" customHeight="false" outlineLevel="0" collapsed="false">
      <c r="A42430" s="0" t="s">
        <v>15465</v>
      </c>
      <c r="B42430" s="0" t="str">
        <f aca="false">HYPERLINK("https://lindat.mff.cuni.cz/services/teitok/pdtc10/index.php?action=vallex&amp;frame=v-w5782f1", "rozšlehat (v-w5782f1)")</f>
        <v>rozšlehat (v-w5782f1)</v>
      </c>
    </row>
    <row r="42431" customFormat="false" ht="12.8" hidden="false" customHeight="false" outlineLevel="0" collapsed="false">
      <c r="B42431" s="0" t="s">
        <v>1</v>
      </c>
    </row>
    <row r="42432" customFormat="false" ht="12.8" hidden="false" customHeight="false" outlineLevel="0" collapsed="false">
      <c r="B42432" s="0" t="s">
        <v>8</v>
      </c>
    </row>
    <row r="42434" customFormat="false" ht="12.8" hidden="false" customHeight="false" outlineLevel="0" collapsed="false">
      <c r="A42434" s="0" t="s">
        <v>15466</v>
      </c>
      <c r="B42434" s="0" t="str">
        <f aca="false">HYPERLINK("https://lindat.mff.cuni.cz/services/teitok/pdtc10/index.php?action=vallex&amp;frame=v-whsa_1071hsa_1072", "rozšoupnout se (v-whsa_1071hsa_1072)")</f>
        <v>rozšoupnout se (v-whsa_1071hsa_1072)</v>
      </c>
    </row>
    <row r="42435" customFormat="false" ht="12.8" hidden="false" customHeight="false" outlineLevel="0" collapsed="false">
      <c r="B42435" s="0" t="s">
        <v>1</v>
      </c>
    </row>
    <row r="42437" customFormat="false" ht="12.8" hidden="false" customHeight="false" outlineLevel="0" collapsed="false">
      <c r="A42437" s="0" t="s">
        <v>15467</v>
      </c>
      <c r="B42437" s="0" t="str">
        <f aca="false">HYPERLINK("https://lindat.mff.cuni.cz/services/teitok/pdtc10/index.php?action=vallex&amp;frame=v-whsa_1466hsa_1467", "rozštipovat se (v-whsa_1466hsa_1467)")</f>
        <v>rozštipovat se (v-whsa_1466hsa_1467)</v>
      </c>
    </row>
    <row r="42438" customFormat="false" ht="12.8" hidden="false" customHeight="false" outlineLevel="0" collapsed="false">
      <c r="B42438" s="0" t="s">
        <v>1</v>
      </c>
    </row>
    <row r="42439" customFormat="false" ht="12.8" hidden="false" customHeight="false" outlineLevel="0" collapsed="false">
      <c r="B42439" s="0" t="s">
        <v>69</v>
      </c>
    </row>
    <row r="42441" customFormat="false" ht="12.8" hidden="false" customHeight="false" outlineLevel="0" collapsed="false">
      <c r="A42441" s="0" t="s">
        <v>15468</v>
      </c>
      <c r="B42441" s="0" t="str">
        <f aca="false">HYPERLINK("https://lindat.mff.cuni.cz/services/teitok/pdtc10/index.php?action=vallex&amp;frame=v-w10227f2", "rozštěpit (v-w10227f2)")</f>
        <v>rozštěpit (v-w10227f2)</v>
      </c>
      <c r="E42441" s="0" t="str">
        <f aca="false">HYPERLINK("https://lindat.mff.cuni.cz/services/SynSemClass40/SynSemClass40.html?veclass=vec00296#vec00296-ces-cm00018", "vec00296")</f>
        <v>vec00296</v>
      </c>
      <c r="F42441" s="0" t="s">
        <v>5275</v>
      </c>
      <c r="H42441" s="0" t="str">
        <f aca="false">HYPERLINK("https://lindat.mff.cuni.cz/services/SynSemClass40/SynSemClass40.html?veclass=vec01449#vec01449-ces-cm00015", "vec01449")</f>
        <v>vec01449</v>
      </c>
      <c r="I42441" s="0" t="s">
        <v>5718</v>
      </c>
    </row>
    <row r="42442" customFormat="false" ht="12.8" hidden="false" customHeight="false" outlineLevel="0" collapsed="false">
      <c r="B42442" s="0" t="s">
        <v>1</v>
      </c>
      <c r="C42442" s="0" t="s">
        <v>14947</v>
      </c>
      <c r="E42442" s="0" t="s">
        <v>11</v>
      </c>
      <c r="F42442" s="0" t="s">
        <v>5277</v>
      </c>
      <c r="H42442" s="0" t="s">
        <v>11</v>
      </c>
      <c r="I42442" s="0" t="s">
        <v>5720</v>
      </c>
    </row>
    <row r="42443" customFormat="false" ht="12.8" hidden="false" customHeight="false" outlineLevel="0" collapsed="false">
      <c r="B42443" s="0" t="s">
        <v>8</v>
      </c>
      <c r="C42443" s="0" t="s">
        <v>14948</v>
      </c>
      <c r="E42443" s="0" t="s">
        <v>5279</v>
      </c>
      <c r="F42443" s="0" t="s">
        <v>5280</v>
      </c>
      <c r="H42443" s="0" t="s">
        <v>5279</v>
      </c>
      <c r="I42443" s="0" t="s">
        <v>5722</v>
      </c>
    </row>
    <row r="42444" customFormat="false" ht="12.8" hidden="false" customHeight="false" outlineLevel="0" collapsed="false">
      <c r="B42444" s="0" t="s">
        <v>5779</v>
      </c>
      <c r="C42444" s="0" t="s">
        <v>14949</v>
      </c>
      <c r="E42444" s="0" t="s">
        <v>2584</v>
      </c>
      <c r="F42444" s="0" t="s">
        <v>5282</v>
      </c>
      <c r="H42444" s="0" t="s">
        <v>2584</v>
      </c>
      <c r="I42444" s="0" t="s">
        <v>5724</v>
      </c>
    </row>
    <row r="42446" customFormat="false" ht="12.8" hidden="false" customHeight="false" outlineLevel="0" collapsed="false">
      <c r="A42446" s="0" t="s">
        <v>15469</v>
      </c>
      <c r="B42446" s="0" t="str">
        <f aca="false">HYPERLINK("https://lindat.mff.cuni.cz/services/teitok/pdtc10/index.php?action=vallex&amp;frame=v-w5777f2", "rozšířit (v-w5777f2)")</f>
        <v>rozšířit (v-w5777f2)</v>
      </c>
      <c r="E42446" s="0" t="str">
        <f aca="false">HYPERLINK("https://lindat.mff.cuni.cz/services/SynSemClass40/SynSemClass40.html?veclass=vec00298#vec00298-ces-cm00001", "vec00298")</f>
        <v>vec00298</v>
      </c>
      <c r="F42446" s="0" t="s">
        <v>7194</v>
      </c>
    </row>
    <row r="42447" customFormat="false" ht="12.8" hidden="false" customHeight="false" outlineLevel="0" collapsed="false">
      <c r="B42447" s="0" t="s">
        <v>1</v>
      </c>
      <c r="C42447" s="0" t="s">
        <v>7195</v>
      </c>
      <c r="E42447" s="0" t="s">
        <v>31</v>
      </c>
      <c r="F42447" s="0" t="s">
        <v>7196</v>
      </c>
    </row>
    <row r="42448" customFormat="false" ht="12.8" hidden="false" customHeight="false" outlineLevel="0" collapsed="false">
      <c r="B42448" s="0" t="s">
        <v>8</v>
      </c>
      <c r="C42448" s="0" t="s">
        <v>7197</v>
      </c>
      <c r="E42448" s="0" t="s">
        <v>1569</v>
      </c>
      <c r="F42448" s="0" t="s">
        <v>7198</v>
      </c>
    </row>
    <row r="42449" customFormat="false" ht="12.8" hidden="false" customHeight="false" outlineLevel="0" collapsed="false">
      <c r="B42449" s="0" t="s">
        <v>36</v>
      </c>
      <c r="C42449" s="0" t="s">
        <v>7199</v>
      </c>
      <c r="E42449" s="0" t="s">
        <v>5152</v>
      </c>
      <c r="F42449" s="0" t="s">
        <v>7200</v>
      </c>
    </row>
    <row r="42450" customFormat="false" ht="12.8" hidden="false" customHeight="false" outlineLevel="0" collapsed="false">
      <c r="B42450" s="0" t="s">
        <v>15460</v>
      </c>
      <c r="C42450" s="0" t="s">
        <v>7201</v>
      </c>
      <c r="E42450" s="0" t="s">
        <v>5796</v>
      </c>
      <c r="F42450" s="0" t="s">
        <v>7202</v>
      </c>
    </row>
    <row r="42452" customFormat="false" ht="12.8" hidden="false" customHeight="false" outlineLevel="0" collapsed="false">
      <c r="A42452" s="0" t="s">
        <v>15470</v>
      </c>
      <c r="B42452" s="0" t="str">
        <f aca="false">HYPERLINK("https://lindat.mff.cuni.cz/services/teitok/pdtc10/index.php?action=vallex&amp;frame=v-w5777f1", "rozšířit (v-w5777f1)")</f>
        <v>rozšířit (v-w5777f1)</v>
      </c>
    </row>
    <row r="42453" customFormat="false" ht="12.8" hidden="false" customHeight="false" outlineLevel="0" collapsed="false">
      <c r="B42453" s="0" t="s">
        <v>1</v>
      </c>
    </row>
    <row r="42454" customFormat="false" ht="12.8" hidden="false" customHeight="false" outlineLevel="0" collapsed="false">
      <c r="B42454" s="0" t="s">
        <v>8</v>
      </c>
    </row>
    <row r="42456" customFormat="false" ht="12.8" hidden="false" customHeight="false" outlineLevel="0" collapsed="false">
      <c r="A42456" s="0" t="s">
        <v>15471</v>
      </c>
      <c r="B42456" s="0" t="str">
        <f aca="false">HYPERLINK("https://lindat.mff.cuni.cz/services/teitok/pdtc10/index.php?action=vallex&amp;frame=v-w5777f3", "rozšířit (v-w5777f3)")</f>
        <v>rozšířit (v-w5777f3)</v>
      </c>
      <c r="E42456" s="0" t="str">
        <f aca="false">HYPERLINK("https://lindat.mff.cuni.cz/services/SynSemClass40/SynSemClass40.html?veclass=vec00912#vec00912-ces-cm00001", "vec00912")</f>
        <v>vec00912</v>
      </c>
      <c r="F42456" s="0" t="s">
        <v>15213</v>
      </c>
    </row>
    <row r="42457" customFormat="false" ht="12.8" hidden="false" customHeight="false" outlineLevel="0" collapsed="false">
      <c r="B42457" s="0" t="s">
        <v>1</v>
      </c>
      <c r="C42457" s="0" t="s">
        <v>106</v>
      </c>
      <c r="E42457" s="0" t="s">
        <v>1866</v>
      </c>
      <c r="F42457" s="0" t="s">
        <v>15215</v>
      </c>
    </row>
    <row r="42458" customFormat="false" ht="12.8" hidden="false" customHeight="false" outlineLevel="0" collapsed="false">
      <c r="B42458" s="0" t="s">
        <v>8</v>
      </c>
      <c r="C42458" s="0" t="s">
        <v>4473</v>
      </c>
      <c r="E42458" s="0" t="s">
        <v>1873</v>
      </c>
      <c r="F42458" s="0" t="s">
        <v>15217</v>
      </c>
    </row>
    <row r="42460" customFormat="false" ht="12.8" hidden="false" customHeight="false" outlineLevel="0" collapsed="false">
      <c r="A42460" s="0" t="s">
        <v>15472</v>
      </c>
      <c r="B42460" s="0" t="str">
        <f aca="false">HYPERLINK("https://lindat.mff.cuni.cz/services/teitok/pdtc10/index.php?action=vallex&amp;frame=v-w5777f4", "rozšířit (v-w5777f4)")</f>
        <v>rozšířit (v-w5777f4)</v>
      </c>
    </row>
    <row r="42461" customFormat="false" ht="12.8" hidden="false" customHeight="false" outlineLevel="0" collapsed="false">
      <c r="B42461" s="0" t="s">
        <v>1</v>
      </c>
    </row>
    <row r="42462" customFormat="false" ht="12.8" hidden="false" customHeight="false" outlineLevel="0" collapsed="false">
      <c r="B42462" s="0" t="s">
        <v>6412</v>
      </c>
    </row>
    <row r="42463" customFormat="false" ht="12.8" hidden="false" customHeight="false" outlineLevel="0" collapsed="false">
      <c r="B42463" s="0" t="s">
        <v>496</v>
      </c>
    </row>
    <row r="42465" customFormat="false" ht="12.8" hidden="false" customHeight="false" outlineLevel="0" collapsed="false">
      <c r="A42465" s="0" t="s">
        <v>15473</v>
      </c>
      <c r="B42465" s="0" t="str">
        <f aca="false">HYPERLINK("https://lindat.mff.cuni.cz/services/teitok/pdtc10/index.php?action=vallex&amp;frame=v-w5778f1", "rozšířit se (v-w5778f1)")</f>
        <v>rozšířit se (v-w5778f1)</v>
      </c>
      <c r="E42465" s="0" t="str">
        <f aca="false">HYPERLINK("https://lindat.mff.cuni.cz/services/SynSemClass40/SynSemClass40.html?veclass=vec00510#vec00510-ces-cm00050", "vec00510")</f>
        <v>vec00510</v>
      </c>
      <c r="F42465" s="0" t="s">
        <v>4074</v>
      </c>
      <c r="H42465" s="0" t="str">
        <f aca="false">HYPERLINK("https://lindat.mff.cuni.cz/services/SynSemClass40/SynSemClass40.html?veclass=vec01520#vec01520-ces-cm00005", "vec01520")</f>
        <v>vec01520</v>
      </c>
      <c r="I42465" s="0" t="s">
        <v>4075</v>
      </c>
    </row>
    <row r="42466" customFormat="false" ht="12.8" hidden="false" customHeight="false" outlineLevel="0" collapsed="false">
      <c r="B42466" s="0" t="s">
        <v>1</v>
      </c>
      <c r="C42466" s="0" t="s">
        <v>4076</v>
      </c>
      <c r="E42466" s="0" t="s">
        <v>84</v>
      </c>
      <c r="F42466" s="0" t="s">
        <v>4077</v>
      </c>
      <c r="H42466" s="0" t="s">
        <v>957</v>
      </c>
      <c r="I42466" s="0" t="s">
        <v>4078</v>
      </c>
    </row>
    <row r="42468" customFormat="false" ht="12.8" hidden="false" customHeight="false" outlineLevel="0" collapsed="false">
      <c r="A42468" s="0" t="s">
        <v>15474</v>
      </c>
      <c r="B42468" s="0" t="str">
        <f aca="false">HYPERLINK("https://lindat.mff.cuni.cz/services/teitok/pdtc10/index.php?action=vallex&amp;frame=v-w5778f2_ZU", "rozšířit se (v-w5778f2_ZU)")</f>
        <v>rozšířit se (v-w5778f2_ZU)</v>
      </c>
      <c r="E42468" s="0" t="str">
        <f aca="false">HYPERLINK("https://lindat.mff.cuni.cz/services/SynSemClass40/SynSemClass40.html?veclass=vec00109#vec00109-ces-cm00103", "vec00109")</f>
        <v>vec00109</v>
      </c>
      <c r="F42468" s="0" t="s">
        <v>5143</v>
      </c>
    </row>
    <row r="42469" customFormat="false" ht="12.8" hidden="false" customHeight="false" outlineLevel="0" collapsed="false">
      <c r="B42469" s="0" t="s">
        <v>1</v>
      </c>
      <c r="C42469" s="0" t="s">
        <v>7017</v>
      </c>
      <c r="E42469" s="0" t="s">
        <v>235</v>
      </c>
      <c r="F42469" s="0" t="s">
        <v>5146</v>
      </c>
    </row>
    <row r="42470" customFormat="false" ht="12.8" hidden="false" customHeight="false" outlineLevel="0" collapsed="false">
      <c r="B42470" s="0" t="s">
        <v>69</v>
      </c>
      <c r="C42470" s="0" t="s">
        <v>5148</v>
      </c>
      <c r="E42470" s="0" t="s">
        <v>5149</v>
      </c>
      <c r="F42470" s="0" t="s">
        <v>5150</v>
      </c>
    </row>
    <row r="42471" customFormat="false" ht="12.8" hidden="false" customHeight="false" outlineLevel="0" collapsed="false">
      <c r="B42471" s="0" t="s">
        <v>36</v>
      </c>
      <c r="C42471" s="0" t="s">
        <v>5151</v>
      </c>
      <c r="E42471" s="0" t="s">
        <v>5152</v>
      </c>
      <c r="F42471" s="0" t="s">
        <v>5153</v>
      </c>
    </row>
    <row r="42473" customFormat="false" ht="12.8" hidden="false" customHeight="false" outlineLevel="0" collapsed="false">
      <c r="A42473" s="0" t="s">
        <v>15474</v>
      </c>
      <c r="B42473" s="0" t="str">
        <f aca="false">HYPERLINK("https://lindat.mff.cuni.cz/services/teitok/pdtc10/index.php?action=vallex&amp;frame=v-w5778hsa_616", "rozšířit se (v-w5778hsa_616) - substituted with v-w5778f2_ZU")</f>
        <v>rozšířit se (v-w5778hsa_616) - substituted with v-w5778f2_ZU</v>
      </c>
    </row>
    <row r="42474" customFormat="false" ht="12.8" hidden="false" customHeight="false" outlineLevel="0" collapsed="false">
      <c r="B42474" s="0" t="s">
        <v>1</v>
      </c>
    </row>
    <row r="42475" customFormat="false" ht="12.8" hidden="false" customHeight="false" outlineLevel="0" collapsed="false">
      <c r="B42475" s="0" t="s">
        <v>69</v>
      </c>
    </row>
    <row r="42476" customFormat="false" ht="12.8" hidden="false" customHeight="false" outlineLevel="0" collapsed="false">
      <c r="B42476" s="0" t="s">
        <v>36</v>
      </c>
    </row>
    <row r="42478" customFormat="false" ht="12.8" hidden="false" customHeight="false" outlineLevel="0" collapsed="false">
      <c r="A42478" s="0" t="s">
        <v>15475</v>
      </c>
      <c r="B42478" s="0" t="str">
        <f aca="false">HYPERLINK("https://lindat.mff.cuni.cz/services/teitok/pdtc10/index.php?action=vallex&amp;frame=v-w5838f1", "ruinovat (v-w5838f1)")</f>
        <v>ruinovat (v-w5838f1)</v>
      </c>
      <c r="E42478" s="0" t="str">
        <f aca="false">HYPERLINK("https://lindat.mff.cuni.cz/services/SynSemClass40/SynSemClass40.html?veclass=vec00389#vec00389-ces-cm00009", "vec00389")</f>
        <v>vec00389</v>
      </c>
      <c r="F42478" s="0" t="s">
        <v>1888</v>
      </c>
    </row>
    <row r="42479" customFormat="false" ht="12.8" hidden="false" customHeight="false" outlineLevel="0" collapsed="false">
      <c r="B42479" s="0" t="s">
        <v>1</v>
      </c>
      <c r="C42479" s="0" t="s">
        <v>1889</v>
      </c>
      <c r="E42479" s="0" t="s">
        <v>1890</v>
      </c>
      <c r="F42479" s="0" t="s">
        <v>1891</v>
      </c>
    </row>
    <row r="42480" customFormat="false" ht="12.8" hidden="false" customHeight="false" outlineLevel="0" collapsed="false">
      <c r="B42480" s="0" t="s">
        <v>8</v>
      </c>
      <c r="C42480" s="0" t="s">
        <v>1892</v>
      </c>
      <c r="E42480" s="0" t="s">
        <v>1893</v>
      </c>
      <c r="F42480" s="0" t="s">
        <v>1894</v>
      </c>
    </row>
    <row r="42482" customFormat="false" ht="12.8" hidden="false" customHeight="false" outlineLevel="0" collapsed="false">
      <c r="A42482" s="0" t="s">
        <v>15476</v>
      </c>
      <c r="B42482" s="0" t="str">
        <f aca="false">HYPERLINK("https://lindat.mff.cuni.cz/services/teitok/pdtc10/index.php?action=vallex&amp;frame=v-w5839f1", "rukovat (v-w5839f1)")</f>
        <v>rukovat (v-w5839f1)</v>
      </c>
    </row>
    <row r="42483" customFormat="false" ht="12.8" hidden="false" customHeight="false" outlineLevel="0" collapsed="false">
      <c r="B42483" s="0" t="s">
        <v>1</v>
      </c>
    </row>
    <row r="42484" customFormat="false" ht="12.8" hidden="false" customHeight="false" outlineLevel="0" collapsed="false">
      <c r="B42484" s="0" t="s">
        <v>164</v>
      </c>
    </row>
    <row r="42486" customFormat="false" ht="12.8" hidden="false" customHeight="false" outlineLevel="0" collapsed="false">
      <c r="A42486" s="0" t="s">
        <v>15477</v>
      </c>
      <c r="B42486" s="0" t="str">
        <f aca="false">HYPERLINK("https://lindat.mff.cuni.cz/services/teitok/pdtc10/index.php?action=vallex&amp;frame=v-w11843_ZUf1_ZU", "rupnout (v-w11843_ZUf1_ZU)")</f>
        <v>rupnout (v-w11843_ZUf1_ZU)</v>
      </c>
    </row>
    <row r="42487" customFormat="false" ht="12.8" hidden="false" customHeight="false" outlineLevel="0" collapsed="false">
      <c r="B42487" s="0" t="s">
        <v>1</v>
      </c>
    </row>
    <row r="42489" customFormat="false" ht="12.8" hidden="false" customHeight="false" outlineLevel="0" collapsed="false">
      <c r="A42489" s="0" t="s">
        <v>15478</v>
      </c>
      <c r="B42489" s="0" t="str">
        <f aca="false">HYPERLINK("https://lindat.mff.cuni.cz/services/teitok/pdtc10/index.php?action=vallex&amp;frame=v-w5836f1", "ručit (v-w5836f1)")</f>
        <v>ručit (v-w5836f1)</v>
      </c>
      <c r="E42489" s="0" t="str">
        <f aca="false">HYPERLINK("https://lindat.mff.cuni.cz/services/SynSemClass40/SynSemClass40.html?veclass=vec00511#vec00511-ces-cm00001", "vec00511")</f>
        <v>vec00511</v>
      </c>
      <c r="F42489" s="0" t="s">
        <v>3726</v>
      </c>
    </row>
    <row r="42490" customFormat="false" ht="12.8" hidden="false" customHeight="false" outlineLevel="0" collapsed="false">
      <c r="B42490" s="0" t="s">
        <v>1</v>
      </c>
      <c r="C42490" s="0" t="s">
        <v>3727</v>
      </c>
      <c r="E42490" s="0" t="s">
        <v>206</v>
      </c>
      <c r="F42490" s="0" t="s">
        <v>3728</v>
      </c>
    </row>
    <row r="42491" customFormat="false" ht="12.8" hidden="false" customHeight="false" outlineLevel="0" collapsed="false">
      <c r="B42491" s="0" t="s">
        <v>15479</v>
      </c>
      <c r="C42491" s="0" t="s">
        <v>4208</v>
      </c>
      <c r="E42491" s="0" t="s">
        <v>4209</v>
      </c>
      <c r="F42491" s="0" t="s">
        <v>4210</v>
      </c>
    </row>
    <row r="42492" customFormat="false" ht="12.8" hidden="false" customHeight="false" outlineLevel="0" collapsed="false">
      <c r="B42492" s="0" t="s">
        <v>52</v>
      </c>
      <c r="C42492" s="0" t="s">
        <v>3733</v>
      </c>
      <c r="E42492" s="0" t="s">
        <v>3734</v>
      </c>
      <c r="F42492" s="0" t="s">
        <v>3735</v>
      </c>
    </row>
    <row r="42494" customFormat="false" ht="12.8" hidden="false" customHeight="false" outlineLevel="0" collapsed="false">
      <c r="A42494" s="0" t="s">
        <v>15480</v>
      </c>
      <c r="B42494" s="0" t="str">
        <f aca="false">HYPERLINK("https://lindat.mff.cuni.cz/services/teitok/pdtc10/index.php?action=vallex&amp;frame=v-w5845f1", "rušit (v-w5845f1)")</f>
        <v>rušit (v-w5845f1)</v>
      </c>
    </row>
    <row r="42495" customFormat="false" ht="12.8" hidden="false" customHeight="false" outlineLevel="0" collapsed="false">
      <c r="B42495" s="0" t="s">
        <v>1</v>
      </c>
    </row>
    <row r="42496" customFormat="false" ht="12.8" hidden="false" customHeight="false" outlineLevel="0" collapsed="false">
      <c r="B42496" s="0" t="s">
        <v>8</v>
      </c>
    </row>
    <row r="42497" customFormat="false" ht="12.8" hidden="false" customHeight="false" outlineLevel="0" collapsed="false">
      <c r="B42497" s="0" t="s">
        <v>2840</v>
      </c>
    </row>
    <row r="42499" customFormat="false" ht="12.8" hidden="false" customHeight="false" outlineLevel="0" collapsed="false">
      <c r="A42499" s="0" t="s">
        <v>15481</v>
      </c>
      <c r="B42499" s="0" t="str">
        <f aca="false">HYPERLINK("https://lindat.mff.cuni.cz/services/teitok/pdtc10/index.php?action=vallex&amp;frame=v-w5845f3_ZU", "rušit (v-w5845f3_ZU)")</f>
        <v>rušit (v-w5845f3_ZU)</v>
      </c>
      <c r="E42499" s="0" t="str">
        <f aca="false">HYPERLINK("https://lindat.mff.cuni.cz/services/SynSemClass40/SynSemClass40.html?veclass=vec00198#vec00198-ces-cm00070", "vec00198")</f>
        <v>vec00198</v>
      </c>
      <c r="F42499" s="0" t="s">
        <v>134</v>
      </c>
    </row>
    <row r="42500" customFormat="false" ht="12.8" hidden="false" customHeight="false" outlineLevel="0" collapsed="false">
      <c r="B42500" s="0" t="s">
        <v>1</v>
      </c>
      <c r="C42500" s="0" t="s">
        <v>8126</v>
      </c>
      <c r="E42500" s="0" t="s">
        <v>31</v>
      </c>
      <c r="F42500" s="0" t="s">
        <v>137</v>
      </c>
    </row>
    <row r="42501" customFormat="false" ht="12.8" hidden="false" customHeight="false" outlineLevel="0" collapsed="false">
      <c r="B42501" s="0" t="s">
        <v>8</v>
      </c>
      <c r="C42501" s="0" t="s">
        <v>8127</v>
      </c>
      <c r="E42501" s="0" t="s">
        <v>140</v>
      </c>
      <c r="F42501" s="0" t="s">
        <v>141</v>
      </c>
    </row>
    <row r="42503" customFormat="false" ht="12.8" hidden="false" customHeight="false" outlineLevel="0" collapsed="false">
      <c r="A42503" s="0" t="s">
        <v>15481</v>
      </c>
      <c r="B42503" s="0" t="str">
        <f aca="false">HYPERLINK("https://lindat.mff.cuni.cz/services/teitok/pdtc10/index.php?action=vallex&amp;frame=v-w5845f2", "rušit (v-w5845f2) - substituted with v-w5845f3_ZU")</f>
        <v>rušit (v-w5845f2) - substituted with v-w5845f3_ZU</v>
      </c>
    </row>
    <row r="42504" customFormat="false" ht="12.8" hidden="false" customHeight="false" outlineLevel="0" collapsed="false">
      <c r="B42504" s="0" t="s">
        <v>1</v>
      </c>
    </row>
    <row r="42505" customFormat="false" ht="12.8" hidden="false" customHeight="false" outlineLevel="0" collapsed="false">
      <c r="B42505" s="0" t="s">
        <v>8</v>
      </c>
    </row>
    <row r="42507" customFormat="false" ht="12.8" hidden="false" customHeight="false" outlineLevel="0" collapsed="false">
      <c r="A42507" s="0" t="s">
        <v>15482</v>
      </c>
      <c r="B42507" s="0" t="str">
        <f aca="false">HYPERLINK("https://lindat.mff.cuni.cz/services/teitok/pdtc10/index.php?action=vallex&amp;frame=v-w5845f4_ZU", "rušit (v-w5845f4_ZU)")</f>
        <v>rušit (v-w5845f4_ZU)</v>
      </c>
    </row>
    <row r="42508" customFormat="false" ht="12.8" hidden="false" customHeight="false" outlineLevel="0" collapsed="false">
      <c r="B42508" s="0" t="s">
        <v>1</v>
      </c>
    </row>
    <row r="42509" customFormat="false" ht="12.8" hidden="false" customHeight="false" outlineLevel="0" collapsed="false">
      <c r="B42509" s="0" t="s">
        <v>8</v>
      </c>
    </row>
    <row r="42511" customFormat="false" ht="12.8" hidden="false" customHeight="false" outlineLevel="0" collapsed="false">
      <c r="A42511" s="0" t="s">
        <v>15483</v>
      </c>
      <c r="B42511" s="0" t="str">
        <f aca="false">HYPERLINK("https://lindat.mff.cuni.cz/services/teitok/pdtc10/index.php?action=vallex&amp;frame=v-w5848f1", "rvát (v-w5848f1)")</f>
        <v>rvát (v-w5848f1)</v>
      </c>
    </row>
    <row r="42512" customFormat="false" ht="12.8" hidden="false" customHeight="false" outlineLevel="0" collapsed="false">
      <c r="B42512" s="0" t="s">
        <v>1</v>
      </c>
    </row>
    <row r="42513" customFormat="false" ht="12.8" hidden="false" customHeight="false" outlineLevel="0" collapsed="false">
      <c r="B42513" s="0" t="s">
        <v>8</v>
      </c>
    </row>
    <row r="42514" customFormat="false" ht="12.8" hidden="false" customHeight="false" outlineLevel="0" collapsed="false">
      <c r="B42514" s="0" t="s">
        <v>101</v>
      </c>
    </row>
    <row r="42516" customFormat="false" ht="12.8" hidden="false" customHeight="false" outlineLevel="0" collapsed="false">
      <c r="A42516" s="0" t="s">
        <v>15484</v>
      </c>
      <c r="B42516" s="0" t="str">
        <f aca="false">HYPERLINK("https://lindat.mff.cuni.cz/services/teitok/pdtc10/index.php?action=vallex&amp;frame=v-w5849f1", "rvát se (v-w5849f1)")</f>
        <v>rvát se (v-w5849f1)</v>
      </c>
      <c r="E42516" s="0" t="str">
        <f aca="false">HYPERLINK("https://lindat.mff.cuni.cz/services/SynSemClass40/SynSemClass40.html?veclass=vec00121#vec00121-ces-cm00024", "vec00121")</f>
        <v>vec00121</v>
      </c>
      <c r="F42516" s="0" t="s">
        <v>414</v>
      </c>
    </row>
    <row r="42517" customFormat="false" ht="12.8" hidden="false" customHeight="false" outlineLevel="0" collapsed="false">
      <c r="B42517" s="0" t="s">
        <v>1</v>
      </c>
      <c r="C42517" s="0" t="s">
        <v>415</v>
      </c>
      <c r="E42517" s="0" t="s">
        <v>416</v>
      </c>
      <c r="F42517" s="0" t="s">
        <v>417</v>
      </c>
    </row>
    <row r="42518" customFormat="false" ht="12.8" hidden="false" customHeight="false" outlineLevel="0" collapsed="false">
      <c r="B42518" s="0" t="s">
        <v>276</v>
      </c>
      <c r="C42518" s="0" t="s">
        <v>419</v>
      </c>
      <c r="E42518" s="0" t="s">
        <v>420</v>
      </c>
      <c r="F42518" s="0" t="s">
        <v>421</v>
      </c>
    </row>
    <row r="42519" customFormat="false" ht="12.8" hidden="false" customHeight="false" outlineLevel="0" collapsed="false">
      <c r="B42519" s="0" t="s">
        <v>3152</v>
      </c>
      <c r="C42519" s="0" t="s">
        <v>423</v>
      </c>
      <c r="E42519" s="0" t="s">
        <v>424</v>
      </c>
      <c r="F42519" s="0" t="s">
        <v>425</v>
      </c>
    </row>
    <row r="42521" customFormat="false" ht="12.8" hidden="false" customHeight="false" outlineLevel="0" collapsed="false">
      <c r="A42521" s="0" t="s">
        <v>15485</v>
      </c>
      <c r="B42521" s="0" t="str">
        <f aca="false">HYPERLINK("https://lindat.mff.cuni.cz/services/teitok/pdtc10/index.php?action=vallex&amp;frame=v-w5850f1", "rybařit (v-w5850f1)")</f>
        <v>rybařit (v-w5850f1)</v>
      </c>
    </row>
    <row r="42522" customFormat="false" ht="12.8" hidden="false" customHeight="false" outlineLevel="0" collapsed="false">
      <c r="B42522" s="0" t="s">
        <v>1</v>
      </c>
    </row>
    <row r="42524" customFormat="false" ht="12.8" hidden="false" customHeight="false" outlineLevel="0" collapsed="false">
      <c r="A42524" s="0" t="s">
        <v>15486</v>
      </c>
      <c r="B42524" s="0" t="str">
        <f aca="false">HYPERLINK("https://lindat.mff.cuni.cz/services/teitok/pdtc10/index.php?action=vallex&amp;frame=v-whsa_1525hsa_1526", "rychtovat (v-whsa_1525hsa_1526)")</f>
        <v>rychtovat (v-whsa_1525hsa_1526)</v>
      </c>
    </row>
    <row r="42525" customFormat="false" ht="12.8" hidden="false" customHeight="false" outlineLevel="0" collapsed="false">
      <c r="B42525" s="0" t="s">
        <v>1</v>
      </c>
    </row>
    <row r="42526" customFormat="false" ht="12.8" hidden="false" customHeight="false" outlineLevel="0" collapsed="false">
      <c r="B42526" s="0" t="s">
        <v>8</v>
      </c>
    </row>
    <row r="42528" customFormat="false" ht="12.8" hidden="false" customHeight="false" outlineLevel="0" collapsed="false">
      <c r="A42528" s="0" t="s">
        <v>15487</v>
      </c>
      <c r="B42528" s="0" t="str">
        <f aca="false">HYPERLINK("https://lindat.mff.cuni.cz/services/teitok/pdtc10/index.php?action=vallex&amp;frame=v-w5412f1", "rámovat (v-w5412f1)")</f>
        <v>rámovat (v-w5412f1)</v>
      </c>
      <c r="E42528" s="0" t="str">
        <f aca="false">HYPERLINK("https://lindat.mff.cuni.cz/services/SynSemClass40/SynSemClass40.html?veclass=vec00053#vec00053-ces-cm00006", "vec00053")</f>
        <v>vec00053</v>
      </c>
      <c r="F42528" s="0" t="s">
        <v>5956</v>
      </c>
      <c r="H42528" s="0" t="str">
        <f aca="false">HYPERLINK("https://lindat.mff.cuni.cz/services/SynSemClass40/SynSemClass40.html?veclass=vec00643#vec00643-ces-cm00009", "vec00643")</f>
        <v>vec00643</v>
      </c>
      <c r="I42528" s="0" t="s">
        <v>5957</v>
      </c>
    </row>
    <row r="42529" customFormat="false" ht="12.8" hidden="false" customHeight="false" outlineLevel="0" collapsed="false">
      <c r="B42529" s="0" t="s">
        <v>1</v>
      </c>
      <c r="C42529" s="0" t="s">
        <v>5958</v>
      </c>
      <c r="E42529" s="0" t="s">
        <v>5959</v>
      </c>
      <c r="F42529" s="0" t="s">
        <v>5960</v>
      </c>
      <c r="H42529" s="0" t="s">
        <v>5961</v>
      </c>
      <c r="I42529" s="0" t="s">
        <v>5962</v>
      </c>
    </row>
    <row r="42530" customFormat="false" ht="12.8" hidden="false" customHeight="false" outlineLevel="0" collapsed="false">
      <c r="B42530" s="0" t="s">
        <v>8</v>
      </c>
      <c r="C42530" s="0" t="s">
        <v>5963</v>
      </c>
      <c r="E42530" s="0" t="s">
        <v>5964</v>
      </c>
      <c r="F42530" s="0" t="s">
        <v>5965</v>
      </c>
      <c r="H42530" s="0" t="s">
        <v>5966</v>
      </c>
      <c r="I42530" s="0" t="s">
        <v>5967</v>
      </c>
    </row>
    <row r="42532" customFormat="false" ht="12.8" hidden="false" customHeight="false" outlineLevel="0" collapsed="false">
      <c r="A42532" s="0" t="s">
        <v>15488</v>
      </c>
      <c r="B42532" s="0" t="str">
        <f aca="false">HYPERLINK("https://lindat.mff.cuni.cz/services/teitok/pdtc10/index.php?action=vallex&amp;frame=v-w11822_ZUf1_ZU", "ráčit (v-w11822_ZUf1_ZU)")</f>
        <v>ráčit (v-w11822_ZUf1_ZU)</v>
      </c>
    </row>
    <row r="42533" customFormat="false" ht="12.8" hidden="false" customHeight="false" outlineLevel="0" collapsed="false">
      <c r="B42533" s="0" t="s">
        <v>1</v>
      </c>
    </row>
    <row r="42534" customFormat="false" ht="12.8" hidden="false" customHeight="false" outlineLevel="0" collapsed="false">
      <c r="B42534" s="0" t="s">
        <v>8</v>
      </c>
    </row>
    <row r="42536" customFormat="false" ht="12.8" hidden="false" customHeight="false" outlineLevel="0" collapsed="false">
      <c r="A42536" s="0" t="s">
        <v>15489</v>
      </c>
      <c r="B42536" s="0" t="str">
        <f aca="false">HYPERLINK("https://lindat.mff.cuni.cz/services/teitok/pdtc10/index.php?action=vallex&amp;frame=v-w5401f1", "ráčkovat (v-w5401f1)")</f>
        <v>ráčkovat (v-w5401f1)</v>
      </c>
    </row>
    <row r="42537" customFormat="false" ht="12.8" hidden="false" customHeight="false" outlineLevel="0" collapsed="false">
      <c r="B42537" s="0" t="s">
        <v>1</v>
      </c>
    </row>
    <row r="42539" customFormat="false" ht="12.8" hidden="false" customHeight="false" outlineLevel="0" collapsed="false">
      <c r="A42539" s="0" t="s">
        <v>15490</v>
      </c>
      <c r="B42539" s="0" t="str">
        <f aca="false">HYPERLINK("https://lindat.mff.cuni.cz/services/teitok/pdtc10/index.php?action=vallex&amp;frame=v-w10333f4_ZU", "rýmovat (v-w10333f4_ZU)")</f>
        <v>rýmovat (v-w10333f4_ZU)</v>
      </c>
      <c r="E42539" s="0" t="str">
        <f aca="false">HYPERLINK("https://lindat.mff.cuni.cz/services/SynSemClass40/SynSemClass40.html?veclass=vec01522#vec01522-ces-cm00003", "vec01522")</f>
        <v>vec01522</v>
      </c>
      <c r="F42539" s="0" t="s">
        <v>15491</v>
      </c>
    </row>
    <row r="42540" customFormat="false" ht="12.8" hidden="false" customHeight="false" outlineLevel="0" collapsed="false">
      <c r="B42540" s="0" t="s">
        <v>1</v>
      </c>
      <c r="C42540" s="0" t="s">
        <v>4695</v>
      </c>
      <c r="E42540" s="0" t="s">
        <v>31</v>
      </c>
      <c r="F42540" s="0" t="s">
        <v>460</v>
      </c>
    </row>
    <row r="42541" customFormat="false" ht="12.8" hidden="false" customHeight="false" outlineLevel="0" collapsed="false">
      <c r="B42541" s="0" t="s">
        <v>8</v>
      </c>
      <c r="C42541" s="0" t="s">
        <v>462</v>
      </c>
      <c r="E42541" s="0" t="s">
        <v>4852</v>
      </c>
      <c r="F42541" s="0" t="s">
        <v>15492</v>
      </c>
    </row>
    <row r="42542" customFormat="false" ht="12.8" hidden="false" customHeight="false" outlineLevel="0" collapsed="false">
      <c r="B42542" s="0" t="s">
        <v>3537</v>
      </c>
      <c r="C42542" s="0" t="s">
        <v>15493</v>
      </c>
      <c r="E42542" s="0" t="s">
        <v>5445</v>
      </c>
      <c r="F42542" s="0" t="s">
        <v>15494</v>
      </c>
    </row>
    <row r="42544" customFormat="false" ht="12.8" hidden="false" customHeight="false" outlineLevel="0" collapsed="false">
      <c r="A42544" s="0" t="s">
        <v>15490</v>
      </c>
      <c r="B42544" s="0" t="str">
        <f aca="false">HYPERLINK("https://lindat.mff.cuni.cz/services/teitok/pdtc10/index.php?action=vallex&amp;frame=v-w10333f3", "rýmovat (v-w10333f3) - substituted with v-w10333f4_ZU")</f>
        <v>rýmovat (v-w10333f3) - substituted with v-w10333f4_ZU</v>
      </c>
    </row>
    <row r="42545" customFormat="false" ht="12.8" hidden="false" customHeight="false" outlineLevel="0" collapsed="false">
      <c r="B42545" s="0" t="s">
        <v>1</v>
      </c>
    </row>
    <row r="42546" customFormat="false" ht="12.8" hidden="false" customHeight="false" outlineLevel="0" collapsed="false">
      <c r="B42546" s="0" t="s">
        <v>8</v>
      </c>
    </row>
    <row r="42547" customFormat="false" ht="12.8" hidden="false" customHeight="false" outlineLevel="0" collapsed="false">
      <c r="B42547" s="0" t="s">
        <v>3537</v>
      </c>
    </row>
    <row r="42549" customFormat="false" ht="12.8" hidden="false" customHeight="false" outlineLevel="0" collapsed="false">
      <c r="A42549" s="0" t="s">
        <v>15495</v>
      </c>
      <c r="B42549" s="0" t="str">
        <f aca="false">HYPERLINK("https://lindat.mff.cuni.cz/services/teitok/pdtc10/index.php?action=vallex&amp;frame=v-w11285f1", "rýmovat se (v-w11285f1)")</f>
        <v>rýmovat se (v-w11285f1)</v>
      </c>
      <c r="E42549" s="0" t="str">
        <f aca="false">HYPERLINK("https://lindat.mff.cuni.cz/services/SynSemClass40/SynSemClass40.html?veclass=vec01099#vec01099-ces-cm00003", "vec01099")</f>
        <v>vec01099</v>
      </c>
      <c r="F42549" s="0" t="s">
        <v>14847</v>
      </c>
    </row>
    <row r="42550" customFormat="false" ht="12.8" hidden="false" customHeight="false" outlineLevel="0" collapsed="false">
      <c r="B42550" s="0" t="s">
        <v>1</v>
      </c>
      <c r="C42550" s="0" t="s">
        <v>10</v>
      </c>
      <c r="E42550" s="0" t="s">
        <v>1971</v>
      </c>
      <c r="F42550" s="0" t="s">
        <v>14848</v>
      </c>
    </row>
    <row r="42551" customFormat="false" ht="12.8" hidden="false" customHeight="false" outlineLevel="0" collapsed="false">
      <c r="B42551" s="0" t="s">
        <v>721</v>
      </c>
      <c r="C42551" s="0" t="s">
        <v>1511</v>
      </c>
      <c r="E42551" s="0" t="s">
        <v>1976</v>
      </c>
      <c r="F42551" s="0" t="s">
        <v>14849</v>
      </c>
    </row>
    <row r="42553" customFormat="false" ht="12.8" hidden="false" customHeight="false" outlineLevel="0" collapsed="false">
      <c r="A42553" s="0" t="s">
        <v>15496</v>
      </c>
      <c r="B42553" s="0" t="str">
        <f aca="false">HYPERLINK("https://lindat.mff.cuni.cz/services/teitok/pdtc10/index.php?action=vallex&amp;frame=v-w5852f1", "rýpnout si (v-w5852f1)")</f>
        <v>rýpnout si (v-w5852f1)</v>
      </c>
    </row>
    <row r="42554" customFormat="false" ht="12.8" hidden="false" customHeight="false" outlineLevel="0" collapsed="false">
      <c r="B42554" s="0" t="s">
        <v>1</v>
      </c>
    </row>
    <row r="42555" customFormat="false" ht="12.8" hidden="false" customHeight="false" outlineLevel="0" collapsed="false">
      <c r="B42555" s="0" t="s">
        <v>1187</v>
      </c>
    </row>
    <row r="42557" customFormat="false" ht="12.8" hidden="false" customHeight="false" outlineLevel="0" collapsed="false">
      <c r="A42557" s="0" t="s">
        <v>15497</v>
      </c>
      <c r="B42557" s="0" t="str">
        <f aca="false">HYPERLINK("https://lindat.mff.cuni.cz/services/teitok/pdtc10/index.php?action=vallex&amp;frame=v-w5853f1", "rýsovat (v-w5853f1)")</f>
        <v>rýsovat (v-w5853f1)</v>
      </c>
    </row>
    <row r="42558" customFormat="false" ht="12.8" hidden="false" customHeight="false" outlineLevel="0" collapsed="false">
      <c r="B42558" s="0" t="s">
        <v>1</v>
      </c>
    </row>
    <row r="42559" customFormat="false" ht="12.8" hidden="false" customHeight="false" outlineLevel="0" collapsed="false">
      <c r="B42559" s="0" t="s">
        <v>8</v>
      </c>
    </row>
    <row r="42561" customFormat="false" ht="12.8" hidden="false" customHeight="false" outlineLevel="0" collapsed="false">
      <c r="A42561" s="0" t="s">
        <v>15498</v>
      </c>
      <c r="B42561" s="0" t="str">
        <f aca="false">HYPERLINK("https://lindat.mff.cuni.cz/services/teitok/pdtc10/index.php?action=vallex&amp;frame=v-w5854f1", "rýsovat se (v-w5854f1)")</f>
        <v>rýsovat se (v-w5854f1)</v>
      </c>
      <c r="E42561" s="0" t="str">
        <f aca="false">HYPERLINK("https://lindat.mff.cuni.cz/services/SynSemClass40/SynSemClass40.html?veclass=vec00703#vec00703-ces-cm00001", "vec00703")</f>
        <v>vec00703</v>
      </c>
      <c r="F42561" s="0" t="s">
        <v>6246</v>
      </c>
    </row>
    <row r="42562" customFormat="false" ht="12.8" hidden="false" customHeight="false" outlineLevel="0" collapsed="false">
      <c r="B42562" s="0" t="s">
        <v>1</v>
      </c>
      <c r="C42562" s="0" t="s">
        <v>15499</v>
      </c>
      <c r="E42562" s="0" t="s">
        <v>2923</v>
      </c>
      <c r="F42562" s="0" t="s">
        <v>6249</v>
      </c>
    </row>
    <row r="42564" customFormat="false" ht="12.8" hidden="false" customHeight="false" outlineLevel="0" collapsed="false">
      <c r="A42564" s="0" t="s">
        <v>15500</v>
      </c>
      <c r="B42564" s="0" t="str">
        <f aca="false">HYPERLINK("https://lindat.mff.cuni.cz/services/teitok/pdtc10/index.php?action=vallex&amp;frame=v-whsa_986f2_ZU", "rýt (v-whsa_986f2_ZU)")</f>
        <v>rýt (v-whsa_986f2_ZU)</v>
      </c>
    </row>
    <row r="42565" customFormat="false" ht="12.8" hidden="false" customHeight="false" outlineLevel="0" collapsed="false">
      <c r="B42565" s="0" t="s">
        <v>1</v>
      </c>
    </row>
    <row r="42566" customFormat="false" ht="12.8" hidden="false" customHeight="false" outlineLevel="0" collapsed="false">
      <c r="B42566" s="0" t="s">
        <v>390</v>
      </c>
    </row>
    <row r="42568" customFormat="false" ht="12.8" hidden="false" customHeight="false" outlineLevel="0" collapsed="false">
      <c r="A42568" s="0" t="s">
        <v>15500</v>
      </c>
      <c r="B42568" s="0" t="str">
        <f aca="false">HYPERLINK("https://lindat.mff.cuni.cz/services/teitok/pdtc10/index.php?action=vallex&amp;frame=v-whsa_986f1_ZU", "rýt (v-whsa_986f1_ZU) - substituted with v-whsa_986f2_ZU")</f>
        <v>rýt (v-whsa_986f1_ZU) - substituted with v-whsa_986f2_ZU</v>
      </c>
    </row>
    <row r="42569" customFormat="false" ht="12.8" hidden="false" customHeight="false" outlineLevel="0" collapsed="false">
      <c r="B42569" s="0" t="s">
        <v>1</v>
      </c>
    </row>
    <row r="42570" customFormat="false" ht="12.8" hidden="false" customHeight="false" outlineLevel="0" collapsed="false">
      <c r="B42570" s="0" t="s">
        <v>390</v>
      </c>
    </row>
    <row r="42572" customFormat="false" ht="12.8" hidden="false" customHeight="false" outlineLevel="0" collapsed="false">
      <c r="A42572" s="0" t="s">
        <v>15500</v>
      </c>
      <c r="B42572" s="0" t="str">
        <f aca="false">HYPERLINK("https://lindat.mff.cuni.cz/services/teitok/pdtc10/index.php?action=vallex&amp;frame=v-whsa_986hsa_987", "rýt (v-whsa_986hsa_987) - substituted with v-whsa_986f2_ZU")</f>
        <v>rýt (v-whsa_986hsa_987) - substituted with v-whsa_986f2_ZU</v>
      </c>
    </row>
    <row r="42573" customFormat="false" ht="12.8" hidden="false" customHeight="false" outlineLevel="0" collapsed="false">
      <c r="B42573" s="0" t="s">
        <v>1</v>
      </c>
    </row>
    <row r="42574" customFormat="false" ht="12.8" hidden="false" customHeight="false" outlineLevel="0" collapsed="false">
      <c r="B42574" s="0" t="s">
        <v>390</v>
      </c>
    </row>
    <row r="42576" customFormat="false" ht="12.8" hidden="false" customHeight="false" outlineLevel="0" collapsed="false">
      <c r="A42576" s="0" t="s">
        <v>15501</v>
      </c>
      <c r="B42576" s="0" t="str">
        <f aca="false">HYPERLINK("https://lindat.mff.cuni.cz/services/teitok/pdtc10/index.php?action=vallex&amp;frame=v-whsa_984hsa_985", "rýt (v-whsa_984hsa_985)")</f>
        <v>rýt (v-whsa_984hsa_985)</v>
      </c>
    </row>
    <row r="42577" customFormat="false" ht="12.8" hidden="false" customHeight="false" outlineLevel="0" collapsed="false">
      <c r="B42577" s="0" t="s">
        <v>1</v>
      </c>
    </row>
    <row r="42578" customFormat="false" ht="12.8" hidden="false" customHeight="false" outlineLevel="0" collapsed="false">
      <c r="B42578" s="0" t="s">
        <v>390</v>
      </c>
    </row>
    <row r="42580" customFormat="false" ht="12.8" hidden="false" customHeight="false" outlineLevel="0" collapsed="false">
      <c r="A42580" s="0" t="s">
        <v>15502</v>
      </c>
      <c r="B42580" s="0" t="str">
        <f aca="false">HYPERLINK("https://lindat.mff.cuni.cz/services/teitok/pdtc10/index.php?action=vallex&amp;frame=v-w10283f3", "rýžovat (v-w10283f3)")</f>
        <v>rýžovat (v-w10283f3)</v>
      </c>
    </row>
    <row r="42581" customFormat="false" ht="12.8" hidden="false" customHeight="false" outlineLevel="0" collapsed="false">
      <c r="B42581" s="0" t="s">
        <v>1</v>
      </c>
    </row>
    <row r="42582" customFormat="false" ht="12.8" hidden="false" customHeight="false" outlineLevel="0" collapsed="false">
      <c r="B42582" s="0" t="s">
        <v>8</v>
      </c>
    </row>
    <row r="42583" customFormat="false" ht="12.8" hidden="false" customHeight="false" outlineLevel="0" collapsed="false">
      <c r="B42583" s="0" t="s">
        <v>8050</v>
      </c>
    </row>
    <row r="42585" customFormat="false" ht="12.8" hidden="false" customHeight="false" outlineLevel="0" collapsed="false">
      <c r="A42585" s="0" t="s">
        <v>15503</v>
      </c>
      <c r="B42585" s="0" t="str">
        <f aca="false">HYPERLINK("https://lindat.mff.cuni.cz/services/teitok/pdtc10/index.php?action=vallex&amp;frame=v-w10283f4", "rýžovat (v-w10283f4)")</f>
        <v>rýžovat (v-w10283f4)</v>
      </c>
      <c r="E42585" s="0" t="str">
        <f aca="false">HYPERLINK("https://lindat.mff.cuni.cz/services/SynSemClass40/SynSemClass40.html?veclass=vec01105#vec01105-ces-cm00001", "vec01105")</f>
        <v>vec01105</v>
      </c>
      <c r="F42585" s="0" t="s">
        <v>15504</v>
      </c>
    </row>
    <row r="42586" customFormat="false" ht="12.8" hidden="false" customHeight="false" outlineLevel="0" collapsed="false">
      <c r="B42586" s="0" t="s">
        <v>1</v>
      </c>
      <c r="C42586" s="0" t="s">
        <v>4695</v>
      </c>
      <c r="E42586" s="0" t="s">
        <v>1567</v>
      </c>
      <c r="F42586" s="0" t="s">
        <v>15505</v>
      </c>
    </row>
    <row r="42587" customFormat="false" ht="12.8" hidden="false" customHeight="false" outlineLevel="0" collapsed="false">
      <c r="B42587" s="0" t="s">
        <v>8</v>
      </c>
      <c r="C42587" s="0" t="s">
        <v>798</v>
      </c>
      <c r="E42587" s="0" t="s">
        <v>2111</v>
      </c>
      <c r="F42587" s="0" t="s">
        <v>15506</v>
      </c>
    </row>
    <row r="42589" customFormat="false" ht="12.8" hidden="false" customHeight="false" outlineLevel="0" collapsed="false">
      <c r="A42589" s="0" t="s">
        <v>15507</v>
      </c>
      <c r="B42589" s="0" t="str">
        <f aca="false">HYPERLINK("https://lindat.mff.cuni.cz/services/teitok/pdtc10/index.php?action=vallex&amp;frame=v-w5841f3", "růst (v-w5841f3)")</f>
        <v>růst (v-w5841f3)</v>
      </c>
    </row>
    <row r="42590" customFormat="false" ht="12.8" hidden="false" customHeight="false" outlineLevel="0" collapsed="false">
      <c r="B42590" s="0" t="s">
        <v>1</v>
      </c>
    </row>
    <row r="42591" customFormat="false" ht="12.8" hidden="false" customHeight="false" outlineLevel="0" collapsed="false">
      <c r="B42591" s="0" t="s">
        <v>2715</v>
      </c>
    </row>
    <row r="42592" customFormat="false" ht="12.8" hidden="false" customHeight="false" outlineLevel="0" collapsed="false">
      <c r="B42592" s="0" t="s">
        <v>36</v>
      </c>
    </row>
    <row r="42594" customFormat="false" ht="12.8" hidden="false" customHeight="false" outlineLevel="0" collapsed="false">
      <c r="A42594" s="0" t="s">
        <v>15508</v>
      </c>
      <c r="B42594" s="0" t="str">
        <f aca="false">HYPERLINK("https://lindat.mff.cuni.cz/services/teitok/pdtc10/index.php?action=vallex&amp;frame=v-w5841f5_ZU", "růst (v-w5841f5_ZU)")</f>
        <v>růst (v-w5841f5_ZU)</v>
      </c>
      <c r="E42594" s="0" t="str">
        <f aca="false">HYPERLINK("https://lindat.mff.cuni.cz/services/SynSemClass40/SynSemClass40.html?veclass=vec00109#vec00109-ces-cm00001", "vec00109")</f>
        <v>vec00109</v>
      </c>
      <c r="F42594" s="0" t="s">
        <v>5143</v>
      </c>
    </row>
    <row r="42595" customFormat="false" ht="12.8" hidden="false" customHeight="false" outlineLevel="0" collapsed="false">
      <c r="B42595" s="0" t="s">
        <v>1</v>
      </c>
      <c r="C42595" s="0" t="s">
        <v>7017</v>
      </c>
      <c r="E42595" s="0" t="s">
        <v>235</v>
      </c>
      <c r="F42595" s="0" t="s">
        <v>5146</v>
      </c>
    </row>
    <row r="42596" customFormat="false" ht="12.8" hidden="false" customHeight="false" outlineLevel="0" collapsed="false">
      <c r="B42596" s="0" t="s">
        <v>2683</v>
      </c>
      <c r="C42596" s="0" t="s">
        <v>5148</v>
      </c>
      <c r="E42596" s="0" t="s">
        <v>5149</v>
      </c>
      <c r="F42596" s="0" t="s">
        <v>5150</v>
      </c>
    </row>
    <row r="42597" customFormat="false" ht="12.8" hidden="false" customHeight="false" outlineLevel="0" collapsed="false">
      <c r="B42597" s="0" t="s">
        <v>36</v>
      </c>
      <c r="C42597" s="0" t="s">
        <v>5151</v>
      </c>
      <c r="E42597" s="0" t="s">
        <v>5152</v>
      </c>
      <c r="F42597" s="0" t="s">
        <v>5153</v>
      </c>
    </row>
    <row r="42599" customFormat="false" ht="12.8" hidden="false" customHeight="false" outlineLevel="0" collapsed="false">
      <c r="A42599" s="0" t="s">
        <v>15508</v>
      </c>
      <c r="B42599" s="0" t="str">
        <f aca="false">HYPERLINK("https://lindat.mff.cuni.cz/services/teitok/pdtc10/index.php?action=vallex&amp;frame=v-w5841f1", "růst (v-w5841f1) - substituted with v-w5841f5_ZU")</f>
        <v>růst (v-w5841f1) - substituted with v-w5841f5_ZU</v>
      </c>
    </row>
    <row r="42600" customFormat="false" ht="12.8" hidden="false" customHeight="false" outlineLevel="0" collapsed="false">
      <c r="B42600" s="0" t="s">
        <v>1</v>
      </c>
    </row>
    <row r="42601" customFormat="false" ht="12.8" hidden="false" customHeight="false" outlineLevel="0" collapsed="false">
      <c r="B42601" s="0" t="s">
        <v>2683</v>
      </c>
    </row>
    <row r="42602" customFormat="false" ht="12.8" hidden="false" customHeight="false" outlineLevel="0" collapsed="false">
      <c r="B42602" s="0" t="s">
        <v>36</v>
      </c>
    </row>
    <row r="42604" customFormat="false" ht="12.8" hidden="false" customHeight="false" outlineLevel="0" collapsed="false">
      <c r="A42604" s="0" t="s">
        <v>15509</v>
      </c>
      <c r="B42604" s="0" t="str">
        <f aca="false">HYPERLINK("https://lindat.mff.cuni.cz/services/teitok/pdtc10/index.php?action=vallex&amp;frame=v-w5841f4", "růst (v-w5841f4)")</f>
        <v>růst (v-w5841f4)</v>
      </c>
    </row>
    <row r="42605" customFormat="false" ht="12.8" hidden="false" customHeight="false" outlineLevel="0" collapsed="false">
      <c r="B42605" s="0" t="s">
        <v>1</v>
      </c>
    </row>
    <row r="42606" customFormat="false" ht="12.8" hidden="false" customHeight="false" outlineLevel="0" collapsed="false">
      <c r="B42606" s="0" t="s">
        <v>298</v>
      </c>
    </row>
    <row r="42608" customFormat="false" ht="12.8" hidden="false" customHeight="false" outlineLevel="0" collapsed="false">
      <c r="A42608" s="0" t="s">
        <v>15510</v>
      </c>
      <c r="B42608" s="0" t="str">
        <f aca="false">HYPERLINK("https://lindat.mff.cuni.cz/services/teitok/pdtc10/index.php?action=vallex&amp;frame=v-w5841f7_ZU", "růst (v-w5841f7_ZU)")</f>
        <v>růst (v-w5841f7_ZU)</v>
      </c>
    </row>
    <row r="42609" customFormat="false" ht="12.8" hidden="false" customHeight="false" outlineLevel="0" collapsed="false">
      <c r="B42609" s="0" t="s">
        <v>1</v>
      </c>
    </row>
    <row r="42611" customFormat="false" ht="12.8" hidden="false" customHeight="false" outlineLevel="0" collapsed="false">
      <c r="A42611" s="0" t="s">
        <v>15510</v>
      </c>
      <c r="B42611" s="0" t="str">
        <f aca="false">HYPERLINK("https://lindat.mff.cuni.cz/services/teitok/pdtc10/index.php?action=vallex&amp;frame=v-w5841f2", "růst (v-w5841f2) - substituted with v-w5841f7_ZU")</f>
        <v>růst (v-w5841f2) - substituted with v-w5841f7_ZU</v>
      </c>
      <c r="E42611" s="0" t="str">
        <f aca="false">HYPERLINK("https://lindat.mff.cuni.cz/services/SynSemClass40/SynSemClass40.html?veclass=vec00510#vec00510-ces-cm00019", "vec00510")</f>
        <v>vec00510</v>
      </c>
      <c r="F42611" s="0" t="s">
        <v>4074</v>
      </c>
    </row>
    <row r="42612" customFormat="false" ht="12.8" hidden="false" customHeight="false" outlineLevel="0" collapsed="false">
      <c r="B42612" s="0" t="s">
        <v>1</v>
      </c>
      <c r="C42612" s="0" t="s">
        <v>5871</v>
      </c>
      <c r="E42612" s="0" t="s">
        <v>84</v>
      </c>
      <c r="F42612" s="0" t="s">
        <v>4077</v>
      </c>
    </row>
    <row r="42614" customFormat="false" ht="12.8" hidden="false" customHeight="false" outlineLevel="0" collapsed="false">
      <c r="A42614" s="0" t="s">
        <v>15511</v>
      </c>
      <c r="B42614" s="0" t="str">
        <f aca="false">HYPERLINK("https://lindat.mff.cuni.cz/services/teitok/pdtc10/index.php?action=vallex&amp;frame=v-w5841f6_ZU", "růst (v-w5841f6_ZU)")</f>
        <v>růst (v-w5841f6_ZU)</v>
      </c>
    </row>
    <row r="42615" customFormat="false" ht="12.8" hidden="false" customHeight="false" outlineLevel="0" collapsed="false">
      <c r="B42615" s="0" t="s">
        <v>1</v>
      </c>
    </row>
    <row r="42616" customFormat="false" ht="12.8" hidden="false" customHeight="false" outlineLevel="0" collapsed="false">
      <c r="B42616" s="0" t="s">
        <v>15512</v>
      </c>
    </row>
    <row r="42618" customFormat="false" ht="12.8" hidden="false" customHeight="false" outlineLevel="0" collapsed="false">
      <c r="A42618" s="0" t="s">
        <v>15511</v>
      </c>
      <c r="B42618" s="0" t="str">
        <f aca="false">HYPERLINK("https://lindat.mff.cuni.cz/services/teitok/pdtc10/index.php?action=vallex&amp;frame=v-w5841hsa_956", "růst (v-w5841hsa_956) - substituted with v-w5841f6_ZU")</f>
        <v>růst (v-w5841hsa_956) - substituted with v-w5841f6_ZU</v>
      </c>
    </row>
    <row r="42619" customFormat="false" ht="12.8" hidden="false" customHeight="false" outlineLevel="0" collapsed="false">
      <c r="B42619" s="0" t="s">
        <v>1</v>
      </c>
    </row>
    <row r="42620" customFormat="false" ht="12.8" hidden="false" customHeight="false" outlineLevel="0" collapsed="false">
      <c r="B42620" s="0" t="s">
        <v>15512</v>
      </c>
    </row>
    <row r="42622" customFormat="false" ht="12.8" hidden="false" customHeight="false" outlineLevel="0" collapsed="false">
      <c r="A42622" s="0" t="s">
        <v>15513</v>
      </c>
      <c r="B42622" s="0" t="str">
        <f aca="false">HYPERLINK("https://lindat.mff.cuni.cz/services/teitok/pdtc10/index.php?action=vallex&amp;frame=v-w5846f1", "různit se (v-w5846f1)")</f>
        <v>různit se (v-w5846f1)</v>
      </c>
      <c r="E42622" s="0" t="str">
        <f aca="false">HYPERLINK("https://lindat.mff.cuni.cz/services/SynSemClass40/SynSemClass40.html?veclass=vec00829#vec00829-ces-cm00008", "vec00829")</f>
        <v>vec00829</v>
      </c>
      <c r="F42622" s="0" t="s">
        <v>1968</v>
      </c>
    </row>
    <row r="42623" customFormat="false" ht="12.8" hidden="false" customHeight="false" outlineLevel="0" collapsed="false">
      <c r="B42623" s="0" t="s">
        <v>1</v>
      </c>
      <c r="C42623" s="0" t="s">
        <v>5565</v>
      </c>
      <c r="E42623" s="0" t="s">
        <v>1971</v>
      </c>
      <c r="F42623" s="0" t="s">
        <v>1972</v>
      </c>
    </row>
    <row r="42624" customFormat="false" ht="12.8" hidden="false" customHeight="false" outlineLevel="0" collapsed="false">
      <c r="B42624" s="0" t="s">
        <v>26</v>
      </c>
      <c r="C42624" s="0" t="s">
        <v>5566</v>
      </c>
      <c r="E42624" s="0" t="s">
        <v>1976</v>
      </c>
      <c r="F42624" s="0" t="s">
        <v>1977</v>
      </c>
    </row>
    <row r="42626" customFormat="false" ht="12.8" hidden="false" customHeight="false" outlineLevel="0" collapsed="false">
      <c r="A42626" s="0" t="s">
        <v>15514</v>
      </c>
      <c r="B42626" s="0" t="str">
        <f aca="false">HYPERLINK("https://lindat.mff.cuni.cz/services/teitok/pdtc10/index.php?action=vallex&amp;frame=v-w11668_ZUf1_ZU", "sabotovat (v-w11668_ZUf1_ZU)")</f>
        <v>sabotovat (v-w11668_ZUf1_ZU)</v>
      </c>
    </row>
    <row r="42627" customFormat="false" ht="12.8" hidden="false" customHeight="false" outlineLevel="0" collapsed="false">
      <c r="B42627" s="0" t="s">
        <v>1</v>
      </c>
    </row>
    <row r="42628" customFormat="false" ht="12.8" hidden="false" customHeight="false" outlineLevel="0" collapsed="false">
      <c r="B42628" s="0" t="s">
        <v>8</v>
      </c>
    </row>
    <row r="42630" customFormat="false" ht="12.8" hidden="false" customHeight="false" outlineLevel="0" collapsed="false">
      <c r="A42630" s="0" t="s">
        <v>15515</v>
      </c>
      <c r="B42630" s="0" t="str">
        <f aca="false">HYPERLINK("https://lindat.mff.cuni.cz/services/teitok/pdtc10/index.php?action=vallex&amp;frame=v-w5890f2", "sahat (v-w5890f2)")</f>
        <v>sahat (v-w5890f2)</v>
      </c>
      <c r="E42630" s="0" t="str">
        <f aca="false">HYPERLINK("https://lindat.mff.cuni.cz/services/SynSemClass40/SynSemClass40.html?veclass=vec00713#vec00713-ces-cm00007", "vec00713")</f>
        <v>vec00713</v>
      </c>
      <c r="F42630" s="0" t="s">
        <v>15516</v>
      </c>
    </row>
    <row r="42631" customFormat="false" ht="12.8" hidden="false" customHeight="false" outlineLevel="0" collapsed="false">
      <c r="B42631" s="0" t="s">
        <v>1</v>
      </c>
      <c r="C42631" s="0" t="s">
        <v>239</v>
      </c>
      <c r="E42631" s="0" t="s">
        <v>11</v>
      </c>
      <c r="F42631" s="0" t="s">
        <v>15517</v>
      </c>
    </row>
    <row r="42632" customFormat="false" ht="12.8" hidden="false" customHeight="false" outlineLevel="0" collapsed="false">
      <c r="B42632" s="0" t="s">
        <v>15518</v>
      </c>
      <c r="C42632" s="0" t="s">
        <v>5391</v>
      </c>
      <c r="E42632" s="0" t="s">
        <v>15519</v>
      </c>
      <c r="F42632" s="0" t="s">
        <v>15520</v>
      </c>
    </row>
    <row r="42634" customFormat="false" ht="12.8" hidden="false" customHeight="false" outlineLevel="0" collapsed="false">
      <c r="A42634" s="0" t="s">
        <v>15521</v>
      </c>
      <c r="B42634" s="0" t="str">
        <f aca="false">HYPERLINK("https://lindat.mff.cuni.cz/services/teitok/pdtc10/index.php?action=vallex&amp;frame=v-w5890f4", "sahat (v-w5890f4)")</f>
        <v>sahat (v-w5890f4)</v>
      </c>
    </row>
    <row r="42635" customFormat="false" ht="12.8" hidden="false" customHeight="false" outlineLevel="0" collapsed="false">
      <c r="B42635" s="0" t="s">
        <v>1</v>
      </c>
    </row>
    <row r="42636" customFormat="false" ht="12.8" hidden="false" customHeight="false" outlineLevel="0" collapsed="false">
      <c r="B42636" s="0" t="s">
        <v>45</v>
      </c>
    </row>
    <row r="42638" customFormat="false" ht="12.8" hidden="false" customHeight="false" outlineLevel="0" collapsed="false">
      <c r="A42638" s="0" t="s">
        <v>15522</v>
      </c>
      <c r="B42638" s="0" t="str">
        <f aca="false">HYPERLINK("https://lindat.mff.cuni.cz/services/teitok/pdtc10/index.php?action=vallex&amp;frame=v-w5890f1", "sahat (v-w5890f1)")</f>
        <v>sahat (v-w5890f1)</v>
      </c>
      <c r="E42638" s="0" t="str">
        <f aca="false">HYPERLINK("https://lindat.mff.cuni.cz/services/SynSemClass40/SynSemClass40.html?veclass=vec00918#vec00918-ces-cm00007", "vec00918")</f>
        <v>vec00918</v>
      </c>
      <c r="F42638" s="0" t="s">
        <v>2999</v>
      </c>
      <c r="H42638" s="0" t="str">
        <f aca="false">HYPERLINK("https://lindat.mff.cuni.cz/services/SynSemClass40/SynSemClass40.html?veclass=vec01527#vec01527-ces-cm00009", "vec01527")</f>
        <v>vec01527</v>
      </c>
      <c r="I42638" s="0" t="s">
        <v>4556</v>
      </c>
    </row>
    <row r="42639" customFormat="false" ht="12.8" hidden="false" customHeight="false" outlineLevel="0" collapsed="false">
      <c r="B42639" s="0" t="s">
        <v>1</v>
      </c>
      <c r="C42639" s="0" t="s">
        <v>106</v>
      </c>
      <c r="E42639" s="0" t="s">
        <v>31</v>
      </c>
      <c r="F42639" s="0" t="s">
        <v>3001</v>
      </c>
      <c r="H42639" s="0" t="s">
        <v>2263</v>
      </c>
      <c r="I42639" s="0" t="s">
        <v>4557</v>
      </c>
    </row>
    <row r="42640" customFormat="false" ht="12.8" hidden="false" customHeight="false" outlineLevel="0" collapsed="false">
      <c r="B42640" s="0" t="s">
        <v>164</v>
      </c>
      <c r="C42640" s="0" t="s">
        <v>4618</v>
      </c>
      <c r="E42640" s="0" t="s">
        <v>4619</v>
      </c>
      <c r="F42640" s="0" t="s">
        <v>4620</v>
      </c>
      <c r="H42640" s="0" t="s">
        <v>370</v>
      </c>
      <c r="I42640" s="0" t="s">
        <v>4621</v>
      </c>
    </row>
    <row r="42642" customFormat="false" ht="12.8" hidden="false" customHeight="false" outlineLevel="0" collapsed="false">
      <c r="A42642" s="0" t="s">
        <v>15523</v>
      </c>
      <c r="B42642" s="0" t="str">
        <f aca="false">HYPERLINK("https://lindat.mff.cuni.cz/services/teitok/pdtc10/index.php?action=vallex&amp;frame=v-w5890f3", "sahat (v-w5890f3)")</f>
        <v>sahat (v-w5890f3)</v>
      </c>
      <c r="E42642" s="0" t="str">
        <f aca="false">HYPERLINK("https://lindat.mff.cuni.cz/services/SynSemClass40/SynSemClass40.html?veclass=vec00917#vec00917-ces-cm00001", "vec00917")</f>
        <v>vec00917</v>
      </c>
      <c r="F42642" s="0" t="s">
        <v>15524</v>
      </c>
    </row>
    <row r="42643" customFormat="false" ht="12.8" hidden="false" customHeight="false" outlineLevel="0" collapsed="false">
      <c r="B42643" s="0" t="s">
        <v>1</v>
      </c>
      <c r="C42643" s="0" t="s">
        <v>15525</v>
      </c>
      <c r="E42643" s="0" t="s">
        <v>235</v>
      </c>
      <c r="F42643" s="0" t="s">
        <v>15526</v>
      </c>
    </row>
    <row r="42644" customFormat="false" ht="12.8" hidden="false" customHeight="false" outlineLevel="0" collapsed="false">
      <c r="B42644" s="0" t="s">
        <v>164</v>
      </c>
      <c r="E42644" s="0" t="s">
        <v>1315</v>
      </c>
      <c r="F42644" s="0" t="s">
        <v>1316</v>
      </c>
    </row>
    <row r="42646" customFormat="false" ht="12.8" hidden="false" customHeight="false" outlineLevel="0" collapsed="false">
      <c r="A42646" s="0" t="s">
        <v>15527</v>
      </c>
      <c r="B42646" s="0" t="str">
        <f aca="false">HYPERLINK("https://lindat.mff.cuni.cz/services/teitok/pdtc10/index.php?action=vallex&amp;frame=v-w11297f1", "samopojišťovat se (v-w11297f1)")</f>
        <v>samopojišťovat se (v-w11297f1)</v>
      </c>
      <c r="E42646" s="0" t="str">
        <f aca="false">HYPERLINK("https://lindat.mff.cuni.cz/services/SynSemClass40/SynSemClass40.html?veclass=vec00260#vec00260-ces-cm00016", "vec00260")</f>
        <v>vec00260</v>
      </c>
      <c r="F42646" s="0" t="s">
        <v>4985</v>
      </c>
    </row>
    <row r="42647" customFormat="false" ht="12.8" hidden="false" customHeight="false" outlineLevel="0" collapsed="false">
      <c r="B42647" s="0" t="s">
        <v>1</v>
      </c>
      <c r="C42647" s="0" t="s">
        <v>15528</v>
      </c>
      <c r="E42647" s="0" t="s">
        <v>15529</v>
      </c>
      <c r="F42647" s="0" t="s">
        <v>15530</v>
      </c>
    </row>
    <row r="42649" customFormat="false" ht="12.8" hidden="false" customHeight="false" outlineLevel="0" collapsed="false">
      <c r="A42649" s="0" t="s">
        <v>15531</v>
      </c>
      <c r="B42649" s="0" t="str">
        <f aca="false">HYPERLINK("https://lindat.mff.cuni.cz/services/teitok/pdtc10/index.php?action=vallex&amp;frame=v-w5894f1", "sankcionovat (v-w5894f1)")</f>
        <v>sankcionovat (v-w5894f1)</v>
      </c>
    </row>
    <row r="42650" customFormat="false" ht="12.8" hidden="false" customHeight="false" outlineLevel="0" collapsed="false">
      <c r="B42650" s="0" t="s">
        <v>1</v>
      </c>
    </row>
    <row r="42651" customFormat="false" ht="12.8" hidden="false" customHeight="false" outlineLevel="0" collapsed="false">
      <c r="B42651" s="0" t="s">
        <v>8</v>
      </c>
    </row>
    <row r="42653" customFormat="false" ht="12.8" hidden="false" customHeight="false" outlineLevel="0" collapsed="false">
      <c r="A42653" s="0" t="s">
        <v>15532</v>
      </c>
      <c r="B42653" s="0" t="str">
        <f aca="false">HYPERLINK("https://lindat.mff.cuni.cz/services/teitok/pdtc10/index.php?action=vallex&amp;frame=v-w5900f2", "sbalit (v-w5900f2)")</f>
        <v>sbalit (v-w5900f2)</v>
      </c>
    </row>
    <row r="42654" customFormat="false" ht="12.8" hidden="false" customHeight="false" outlineLevel="0" collapsed="false">
      <c r="B42654" s="0" t="s">
        <v>1</v>
      </c>
    </row>
    <row r="42655" customFormat="false" ht="12.8" hidden="false" customHeight="false" outlineLevel="0" collapsed="false">
      <c r="B42655" s="0" t="s">
        <v>8</v>
      </c>
    </row>
    <row r="42656" customFormat="false" ht="12.8" hidden="false" customHeight="false" outlineLevel="0" collapsed="false">
      <c r="B42656" s="0" t="s">
        <v>245</v>
      </c>
    </row>
    <row r="42658" customFormat="false" ht="12.8" hidden="false" customHeight="false" outlineLevel="0" collapsed="false">
      <c r="A42658" s="0" t="s">
        <v>15533</v>
      </c>
      <c r="B42658" s="0" t="str">
        <f aca="false">HYPERLINK("https://lindat.mff.cuni.cz/services/teitok/pdtc10/index.php?action=vallex&amp;frame=v-w5900f1", "sbalit (v-w5900f1)")</f>
        <v>sbalit (v-w5900f1)</v>
      </c>
    </row>
    <row r="42659" customFormat="false" ht="12.8" hidden="false" customHeight="false" outlineLevel="0" collapsed="false">
      <c r="B42659" s="0" t="s">
        <v>1</v>
      </c>
    </row>
    <row r="42660" customFormat="false" ht="12.8" hidden="false" customHeight="false" outlineLevel="0" collapsed="false">
      <c r="B42660" s="0" t="s">
        <v>8</v>
      </c>
    </row>
    <row r="42662" customFormat="false" ht="12.8" hidden="false" customHeight="false" outlineLevel="0" collapsed="false">
      <c r="A42662" s="0" t="s">
        <v>15534</v>
      </c>
      <c r="B42662" s="0" t="str">
        <f aca="false">HYPERLINK("https://lindat.mff.cuni.cz/services/teitok/pdtc10/index.php?action=vallex&amp;frame=v-w5900f3", "sbalit (v-w5900f3)")</f>
        <v>sbalit (v-w5900f3)</v>
      </c>
    </row>
    <row r="42663" customFormat="false" ht="12.8" hidden="false" customHeight="false" outlineLevel="0" collapsed="false">
      <c r="B42663" s="0" t="s">
        <v>1</v>
      </c>
    </row>
    <row r="42664" customFormat="false" ht="12.8" hidden="false" customHeight="false" outlineLevel="0" collapsed="false">
      <c r="B42664" s="0" t="s">
        <v>8</v>
      </c>
    </row>
    <row r="42666" customFormat="false" ht="12.8" hidden="false" customHeight="false" outlineLevel="0" collapsed="false">
      <c r="A42666" s="0" t="s">
        <v>15535</v>
      </c>
      <c r="B42666" s="0" t="str">
        <f aca="false">HYPERLINK("https://lindat.mff.cuni.cz/services/teitok/pdtc10/index.php?action=vallex&amp;frame=v-w5900f4_ZU", "sbalit (v-w5900f4_ZU)")</f>
        <v>sbalit (v-w5900f4_ZU)</v>
      </c>
    </row>
    <row r="42667" customFormat="false" ht="12.8" hidden="false" customHeight="false" outlineLevel="0" collapsed="false">
      <c r="B42667" s="0" t="s">
        <v>1</v>
      </c>
    </row>
    <row r="42668" customFormat="false" ht="12.8" hidden="false" customHeight="false" outlineLevel="0" collapsed="false">
      <c r="B42668" s="0" t="s">
        <v>8</v>
      </c>
    </row>
    <row r="42670" customFormat="false" ht="12.8" hidden="false" customHeight="false" outlineLevel="0" collapsed="false">
      <c r="A42670" s="0" t="s">
        <v>15536</v>
      </c>
      <c r="B42670" s="0" t="str">
        <f aca="false">HYPERLINK("https://lindat.mff.cuni.cz/services/teitok/pdtc10/index.php?action=vallex&amp;frame=v-w12346_MMf1_MM", "sbližovat (v-w12346_MMf1_MM)")</f>
        <v>sbližovat (v-w12346_MMf1_MM)</v>
      </c>
    </row>
    <row r="42671" customFormat="false" ht="12.8" hidden="false" customHeight="false" outlineLevel="0" collapsed="false">
      <c r="B42671" s="0" t="s">
        <v>1</v>
      </c>
    </row>
    <row r="42672" customFormat="false" ht="12.8" hidden="false" customHeight="false" outlineLevel="0" collapsed="false">
      <c r="B42672" s="0" t="s">
        <v>8</v>
      </c>
    </row>
    <row r="42673" customFormat="false" ht="12.8" hidden="false" customHeight="false" outlineLevel="0" collapsed="false">
      <c r="B42673" s="0" t="s">
        <v>276</v>
      </c>
    </row>
    <row r="42675" customFormat="false" ht="12.8" hidden="false" customHeight="false" outlineLevel="0" collapsed="false">
      <c r="A42675" s="0" t="s">
        <v>15537</v>
      </c>
      <c r="B42675" s="0" t="str">
        <f aca="false">HYPERLINK("https://lindat.mff.cuni.cz/services/teitok/pdtc10/index.php?action=vallex&amp;frame=v-w5909f1", "sblížit (v-w5909f1)")</f>
        <v>sblížit (v-w5909f1)</v>
      </c>
    </row>
    <row r="42676" customFormat="false" ht="12.8" hidden="false" customHeight="false" outlineLevel="0" collapsed="false">
      <c r="B42676" s="0" t="s">
        <v>1</v>
      </c>
    </row>
    <row r="42677" customFormat="false" ht="12.8" hidden="false" customHeight="false" outlineLevel="0" collapsed="false">
      <c r="B42677" s="0" t="s">
        <v>721</v>
      </c>
    </row>
    <row r="42678" customFormat="false" ht="12.8" hidden="false" customHeight="false" outlineLevel="0" collapsed="false">
      <c r="B42678" s="0" t="s">
        <v>98</v>
      </c>
    </row>
    <row r="42680" customFormat="false" ht="12.8" hidden="false" customHeight="false" outlineLevel="0" collapsed="false">
      <c r="A42680" s="0" t="s">
        <v>15538</v>
      </c>
      <c r="B42680" s="0" t="str">
        <f aca="false">HYPERLINK("https://lindat.mff.cuni.cz/services/teitok/pdtc10/index.php?action=vallex&amp;frame=v-w11470f1", "sblížit se (v-w11470f1)")</f>
        <v>sblížit se (v-w11470f1)</v>
      </c>
    </row>
    <row r="42681" customFormat="false" ht="12.8" hidden="false" customHeight="false" outlineLevel="0" collapsed="false">
      <c r="B42681" s="0" t="s">
        <v>1</v>
      </c>
    </row>
    <row r="42682" customFormat="false" ht="12.8" hidden="false" customHeight="false" outlineLevel="0" collapsed="false">
      <c r="B42682" s="0" t="s">
        <v>721</v>
      </c>
    </row>
    <row r="42684" customFormat="false" ht="12.8" hidden="false" customHeight="false" outlineLevel="0" collapsed="false">
      <c r="A42684" s="0" t="s">
        <v>15539</v>
      </c>
      <c r="B42684" s="0" t="str">
        <f aca="false">HYPERLINK("https://lindat.mff.cuni.cz/services/teitok/pdtc10/index.php?action=vallex&amp;frame=v-whsb_1174hsa_1175", "sbuchnout (v-whsb_1174hsa_1175)")</f>
        <v>sbuchnout (v-whsb_1174hsa_1175)</v>
      </c>
    </row>
    <row r="42685" customFormat="false" ht="12.8" hidden="false" customHeight="false" outlineLevel="0" collapsed="false">
      <c r="B42685" s="0" t="s">
        <v>1</v>
      </c>
    </row>
    <row r="42687" customFormat="false" ht="12.8" hidden="false" customHeight="false" outlineLevel="0" collapsed="false">
      <c r="A42687" s="0" t="s">
        <v>15540</v>
      </c>
      <c r="B42687" s="0" t="str">
        <f aca="false">HYPERLINK("https://lindat.mff.cuni.cz/services/teitok/pdtc10/index.php?action=vallex&amp;frame=v-w5904f1", "sbíhat se (v-w5904f1)")</f>
        <v>sbíhat se (v-w5904f1)</v>
      </c>
    </row>
    <row r="42688" customFormat="false" ht="12.8" hidden="false" customHeight="false" outlineLevel="0" collapsed="false">
      <c r="B42688" s="0" t="s">
        <v>1</v>
      </c>
    </row>
    <row r="42689" customFormat="false" ht="12.8" hidden="false" customHeight="false" outlineLevel="0" collapsed="false">
      <c r="B42689" s="0" t="s">
        <v>721</v>
      </c>
    </row>
    <row r="42690" customFormat="false" ht="12.8" hidden="false" customHeight="false" outlineLevel="0" collapsed="false">
      <c r="B42690" s="0" t="s">
        <v>3026</v>
      </c>
    </row>
    <row r="42692" customFormat="false" ht="12.8" hidden="false" customHeight="false" outlineLevel="0" collapsed="false">
      <c r="A42692" s="0" t="s">
        <v>15541</v>
      </c>
      <c r="B42692" s="0" t="str">
        <f aca="false">HYPERLINK("https://lindat.mff.cuni.cz/services/teitok/pdtc10/index.php?action=vallex&amp;frame=v-w5904f2_ZU", "sbíhat se (v-w5904f2_ZU)")</f>
        <v>sbíhat se (v-w5904f2_ZU)</v>
      </c>
    </row>
    <row r="42693" customFormat="false" ht="12.8" hidden="false" customHeight="false" outlineLevel="0" collapsed="false">
      <c r="B42693" s="0" t="s">
        <v>804</v>
      </c>
    </row>
    <row r="42694" customFormat="false" ht="12.8" hidden="false" customHeight="false" outlineLevel="0" collapsed="false">
      <c r="B42694" s="0" t="s">
        <v>15542</v>
      </c>
    </row>
    <row r="42695" customFormat="false" ht="12.8" hidden="false" customHeight="false" outlineLevel="0" collapsed="false">
      <c r="B42695" s="0" t="s">
        <v>69</v>
      </c>
    </row>
    <row r="42697" customFormat="false" ht="12.8" hidden="false" customHeight="false" outlineLevel="0" collapsed="false">
      <c r="A42697" s="0" t="s">
        <v>15543</v>
      </c>
      <c r="B42697" s="0" t="str">
        <f aca="false">HYPERLINK("https://lindat.mff.cuni.cz/services/teitok/pdtc10/index.php?action=vallex&amp;frame=v-w5906f4_ZU", "sbírat (v-w5906f4_ZU)")</f>
        <v>sbírat (v-w5906f4_ZU)</v>
      </c>
    </row>
    <row r="42698" customFormat="false" ht="12.8" hidden="false" customHeight="false" outlineLevel="0" collapsed="false">
      <c r="B42698" s="0" t="s">
        <v>1</v>
      </c>
    </row>
    <row r="42699" customFormat="false" ht="12.8" hidden="false" customHeight="false" outlineLevel="0" collapsed="false">
      <c r="B42699" s="0" t="s">
        <v>8</v>
      </c>
    </row>
    <row r="42701" customFormat="false" ht="12.8" hidden="false" customHeight="false" outlineLevel="0" collapsed="false">
      <c r="A42701" s="0" t="s">
        <v>15543</v>
      </c>
      <c r="B42701" s="0" t="str">
        <f aca="false">HYPERLINK("https://lindat.mff.cuni.cz/services/teitok/pdtc10/index.php?action=vallex&amp;frame=v-w5906f1", "sbírat (v-w5906f1) - substituted with v-w5906f4_ZU")</f>
        <v>sbírat (v-w5906f1) - substituted with v-w5906f4_ZU</v>
      </c>
    </row>
    <row r="42702" customFormat="false" ht="12.8" hidden="false" customHeight="false" outlineLevel="0" collapsed="false">
      <c r="B42702" s="0" t="s">
        <v>1</v>
      </c>
    </row>
    <row r="42703" customFormat="false" ht="12.8" hidden="false" customHeight="false" outlineLevel="0" collapsed="false">
      <c r="B42703" s="0" t="s">
        <v>8</v>
      </c>
    </row>
    <row r="42705" customFormat="false" ht="12.8" hidden="false" customHeight="false" outlineLevel="0" collapsed="false">
      <c r="A42705" s="0" t="s">
        <v>15543</v>
      </c>
      <c r="B42705" s="0" t="str">
        <f aca="false">HYPERLINK("https://lindat.mff.cuni.cz/services/teitok/pdtc10/index.php?action=vallex&amp;frame=v-w5906f3_ZU", "sbírat (v-w5906f3_ZU) - substituted with v-w5906f4_ZU")</f>
        <v>sbírat (v-w5906f3_ZU) - substituted with v-w5906f4_ZU</v>
      </c>
      <c r="E42705" s="0" t="str">
        <f aca="false">HYPERLINK("https://lindat.mff.cuni.cz/services/SynSemClass40/SynSemClass40.html?veclass=vec00443#vec00443-ces-cm00016", "vec00443")</f>
        <v>vec00443</v>
      </c>
      <c r="F42705" s="0" t="s">
        <v>90</v>
      </c>
    </row>
    <row r="42706" customFormat="false" ht="12.8" hidden="false" customHeight="false" outlineLevel="0" collapsed="false">
      <c r="B42706" s="0" t="s">
        <v>1</v>
      </c>
      <c r="C42706" s="0" t="s">
        <v>91</v>
      </c>
      <c r="E42706" s="0" t="s">
        <v>92</v>
      </c>
      <c r="F42706" s="0" t="s">
        <v>93</v>
      </c>
    </row>
    <row r="42707" customFormat="false" ht="12.8" hidden="false" customHeight="false" outlineLevel="0" collapsed="false">
      <c r="B42707" s="0" t="s">
        <v>8</v>
      </c>
      <c r="C42707" s="0" t="s">
        <v>94</v>
      </c>
      <c r="E42707" s="0" t="s">
        <v>95</v>
      </c>
      <c r="F42707" s="0" t="s">
        <v>96</v>
      </c>
    </row>
    <row r="42709" customFormat="false" ht="12.8" hidden="false" customHeight="false" outlineLevel="0" collapsed="false">
      <c r="A42709" s="0" t="s">
        <v>15544</v>
      </c>
      <c r="B42709" s="0" t="str">
        <f aca="false">HYPERLINK("https://lindat.mff.cuni.cz/services/teitok/pdtc10/index.php?action=vallex&amp;frame=v-w5906f2", "sbírat (v-w5906f2)")</f>
        <v>sbírat (v-w5906f2)</v>
      </c>
    </row>
    <row r="42710" customFormat="false" ht="12.8" hidden="false" customHeight="false" outlineLevel="0" collapsed="false">
      <c r="B42710" s="0" t="s">
        <v>1</v>
      </c>
    </row>
    <row r="42711" customFormat="false" ht="12.8" hidden="false" customHeight="false" outlineLevel="0" collapsed="false">
      <c r="B42711" s="0" t="s">
        <v>15545</v>
      </c>
    </row>
    <row r="42713" customFormat="false" ht="12.8" hidden="false" customHeight="false" outlineLevel="0" collapsed="false">
      <c r="A42713" s="0" t="s">
        <v>15546</v>
      </c>
      <c r="B42713" s="0" t="str">
        <f aca="false">HYPERLINK("https://lindat.mff.cuni.cz/services/teitok/pdtc10/index.php?action=vallex&amp;frame=v-w5906f5_ZU", "sbírat (v-w5906f5_ZU)")</f>
        <v>sbírat (v-w5906f5_ZU)</v>
      </c>
    </row>
    <row r="42714" customFormat="false" ht="12.8" hidden="false" customHeight="false" outlineLevel="0" collapsed="false">
      <c r="B42714" s="0" t="s">
        <v>1</v>
      </c>
    </row>
    <row r="42715" customFormat="false" ht="12.8" hidden="false" customHeight="false" outlineLevel="0" collapsed="false">
      <c r="B42715" s="0" t="s">
        <v>8</v>
      </c>
    </row>
    <row r="42716" customFormat="false" ht="12.8" hidden="false" customHeight="false" outlineLevel="0" collapsed="false">
      <c r="B42716" s="0" t="s">
        <v>6273</v>
      </c>
    </row>
    <row r="42718" customFormat="false" ht="12.8" hidden="false" customHeight="false" outlineLevel="0" collapsed="false">
      <c r="A42718" s="0" t="s">
        <v>15547</v>
      </c>
      <c r="B42718" s="0" t="str">
        <f aca="false">HYPERLINK("https://lindat.mff.cuni.cz/services/teitok/pdtc10/index.php?action=vallex&amp;frame=v-w5906f6_ZU", "sbírat (v-w5906f6_ZU)")</f>
        <v>sbírat (v-w5906f6_ZU)</v>
      </c>
    </row>
    <row r="42719" customFormat="false" ht="12.8" hidden="false" customHeight="false" outlineLevel="0" collapsed="false">
      <c r="B42719" s="0" t="s">
        <v>1</v>
      </c>
    </row>
    <row r="42720" customFormat="false" ht="12.8" hidden="false" customHeight="false" outlineLevel="0" collapsed="false">
      <c r="B42720" s="0" t="s">
        <v>8</v>
      </c>
    </row>
    <row r="42722" customFormat="false" ht="12.8" hidden="false" customHeight="false" outlineLevel="0" collapsed="false">
      <c r="A42722" s="0" t="s">
        <v>15548</v>
      </c>
      <c r="B42722" s="0" t="str">
        <f aca="false">HYPERLINK("https://lindat.mff.cuni.cz/services/teitok/pdtc10/index.php?action=vallex&amp;frame=v-w11813_ZUf1_ZU", "scelovat (v-w11813_ZUf1_ZU)")</f>
        <v>scelovat (v-w11813_ZUf1_ZU)</v>
      </c>
    </row>
    <row r="42723" customFormat="false" ht="12.8" hidden="false" customHeight="false" outlineLevel="0" collapsed="false">
      <c r="B42723" s="0" t="s">
        <v>1</v>
      </c>
    </row>
    <row r="42724" customFormat="false" ht="12.8" hidden="false" customHeight="false" outlineLevel="0" collapsed="false">
      <c r="B42724" s="0" t="s">
        <v>8</v>
      </c>
    </row>
    <row r="42725" customFormat="false" ht="12.8" hidden="false" customHeight="false" outlineLevel="0" collapsed="false">
      <c r="B42725" s="0" t="s">
        <v>276</v>
      </c>
    </row>
    <row r="42726" customFormat="false" ht="12.8" hidden="false" customHeight="false" outlineLevel="0" collapsed="false">
      <c r="B42726" s="0" t="s">
        <v>245</v>
      </c>
    </row>
    <row r="42728" customFormat="false" ht="12.8" hidden="false" customHeight="false" outlineLevel="0" collapsed="false">
      <c r="A42728" s="0" t="s">
        <v>15549</v>
      </c>
      <c r="B42728" s="0" t="str">
        <f aca="false">HYPERLINK("https://lindat.mff.cuni.cz/services/teitok/pdtc10/index.php?action=vallex&amp;frame=v-whsa_2056hsa_2057", "schnout (v-whsa_2056hsa_2057)")</f>
        <v>schnout (v-whsa_2056hsa_2057)</v>
      </c>
    </row>
    <row r="42729" customFormat="false" ht="12.8" hidden="false" customHeight="false" outlineLevel="0" collapsed="false">
      <c r="B42729" s="0" t="s">
        <v>1</v>
      </c>
    </row>
    <row r="42731" customFormat="false" ht="12.8" hidden="false" customHeight="false" outlineLevel="0" collapsed="false">
      <c r="A42731" s="0" t="s">
        <v>15550</v>
      </c>
      <c r="B42731" s="0" t="str">
        <f aca="false">HYPERLINK("https://lindat.mff.cuni.cz/services/teitok/pdtc10/index.php?action=vallex&amp;frame=v-w6049f1", "schovat (v-w6049f1)")</f>
        <v>schovat (v-w6049f1)</v>
      </c>
      <c r="E42731" s="0" t="str">
        <f aca="false">HYPERLINK("https://lindat.mff.cuni.cz/services/SynSemClass40/SynSemClass40.html?veclass=vec00514#vec00514-ces-cm00121", "vec00514")</f>
        <v>vec00514</v>
      </c>
      <c r="F42731" s="0" t="s">
        <v>5808</v>
      </c>
    </row>
    <row r="42732" customFormat="false" ht="12.8" hidden="false" customHeight="false" outlineLevel="0" collapsed="false">
      <c r="B42732" s="0" t="s">
        <v>1</v>
      </c>
      <c r="C42732" s="0" t="s">
        <v>5809</v>
      </c>
      <c r="E42732" s="0" t="s">
        <v>4243</v>
      </c>
      <c r="F42732" s="0" t="s">
        <v>5810</v>
      </c>
    </row>
    <row r="42733" customFormat="false" ht="12.8" hidden="false" customHeight="false" outlineLevel="0" collapsed="false">
      <c r="B42733" s="0" t="s">
        <v>4245</v>
      </c>
      <c r="C42733" s="0" t="s">
        <v>5811</v>
      </c>
      <c r="E42733" s="0" t="s">
        <v>4246</v>
      </c>
      <c r="F42733" s="0" t="s">
        <v>5812</v>
      </c>
    </row>
    <row r="42734" customFormat="false" ht="12.8" hidden="false" customHeight="false" outlineLevel="0" collapsed="false">
      <c r="B42734" s="0" t="s">
        <v>4248</v>
      </c>
      <c r="C42734" s="0" t="s">
        <v>5813</v>
      </c>
      <c r="E42734" s="0" t="s">
        <v>5814</v>
      </c>
      <c r="F42734" s="0" t="s">
        <v>5815</v>
      </c>
    </row>
    <row r="42736" customFormat="false" ht="12.8" hidden="false" customHeight="false" outlineLevel="0" collapsed="false">
      <c r="A42736" s="0" t="s">
        <v>15551</v>
      </c>
      <c r="B42736" s="0" t="str">
        <f aca="false">HYPERLINK("https://lindat.mff.cuni.cz/services/teitok/pdtc10/index.php?action=vallex&amp;frame=v-w6049f2", "schovat (v-w6049f2)")</f>
        <v>schovat (v-w6049f2)</v>
      </c>
    </row>
    <row r="42737" customFormat="false" ht="12.8" hidden="false" customHeight="false" outlineLevel="0" collapsed="false">
      <c r="B42737" s="0" t="s">
        <v>1</v>
      </c>
    </row>
    <row r="42738" customFormat="false" ht="12.8" hidden="false" customHeight="false" outlineLevel="0" collapsed="false">
      <c r="B42738" s="0" t="s">
        <v>15552</v>
      </c>
    </row>
    <row r="42739" customFormat="false" ht="12.8" hidden="false" customHeight="false" outlineLevel="0" collapsed="false">
      <c r="B42739" s="0" t="s">
        <v>496</v>
      </c>
    </row>
    <row r="42740" customFormat="false" ht="12.8" hidden="false" customHeight="false" outlineLevel="0" collapsed="false">
      <c r="B42740" s="0" t="s">
        <v>4248</v>
      </c>
    </row>
    <row r="42742" customFormat="false" ht="12.8" hidden="false" customHeight="false" outlineLevel="0" collapsed="false">
      <c r="A42742" s="0" t="s">
        <v>15553</v>
      </c>
      <c r="B42742" s="0" t="str">
        <f aca="false">HYPERLINK("https://lindat.mff.cuni.cz/services/teitok/pdtc10/index.php?action=vallex&amp;frame=v-w11164f5", "schovávat (v-w11164f5)")</f>
        <v>schovávat (v-w11164f5)</v>
      </c>
      <c r="E42742" s="0" t="str">
        <f aca="false">HYPERLINK("https://lindat.mff.cuni.cz/services/SynSemClass40/SynSemClass40.html?veclass=vec00514#vec00514-ces-cm00123", "vec00514")</f>
        <v>vec00514</v>
      </c>
      <c r="F42742" s="0" t="s">
        <v>5808</v>
      </c>
    </row>
    <row r="42743" customFormat="false" ht="12.8" hidden="false" customHeight="false" outlineLevel="0" collapsed="false">
      <c r="B42743" s="0" t="s">
        <v>1</v>
      </c>
      <c r="C42743" s="0" t="s">
        <v>5809</v>
      </c>
      <c r="E42743" s="0" t="s">
        <v>4243</v>
      </c>
      <c r="F42743" s="0" t="s">
        <v>5810</v>
      </c>
    </row>
    <row r="42744" customFormat="false" ht="12.8" hidden="false" customHeight="false" outlineLevel="0" collapsed="false">
      <c r="B42744" s="0" t="s">
        <v>4245</v>
      </c>
      <c r="C42744" s="0" t="s">
        <v>5811</v>
      </c>
      <c r="E42744" s="0" t="s">
        <v>4246</v>
      </c>
      <c r="F42744" s="0" t="s">
        <v>5812</v>
      </c>
    </row>
    <row r="42745" customFormat="false" ht="12.8" hidden="false" customHeight="false" outlineLevel="0" collapsed="false">
      <c r="B42745" s="0" t="s">
        <v>4248</v>
      </c>
      <c r="C42745" s="0" t="s">
        <v>5813</v>
      </c>
      <c r="E42745" s="0" t="s">
        <v>5814</v>
      </c>
      <c r="F42745" s="0" t="s">
        <v>5815</v>
      </c>
    </row>
    <row r="42747" customFormat="false" ht="12.8" hidden="false" customHeight="false" outlineLevel="0" collapsed="false">
      <c r="A42747" s="0" t="s">
        <v>15554</v>
      </c>
      <c r="B42747" s="0" t="str">
        <f aca="false">HYPERLINK("https://lindat.mff.cuni.cz/services/teitok/pdtc10/index.php?action=vallex&amp;frame=v-w11164f3", "schovávat (v-w11164f3)")</f>
        <v>schovávat (v-w11164f3)</v>
      </c>
      <c r="E42747" s="0" t="str">
        <f aca="false">HYPERLINK("https://lindat.mff.cuni.cz/services/SynSemClass40/SynSemClass40.html?veclass=vec00921#vec00921-ces-cm00009", "vec00921")</f>
        <v>vec00921</v>
      </c>
      <c r="F42747" s="0" t="s">
        <v>13123</v>
      </c>
    </row>
    <row r="42748" customFormat="false" ht="12.8" hidden="false" customHeight="false" outlineLevel="0" collapsed="false">
      <c r="B42748" s="0" t="s">
        <v>1</v>
      </c>
      <c r="C42748" s="0" t="s">
        <v>2578</v>
      </c>
      <c r="E42748" s="0" t="s">
        <v>31</v>
      </c>
      <c r="F42748" s="0" t="s">
        <v>2579</v>
      </c>
    </row>
    <row r="42749" customFormat="false" ht="12.8" hidden="false" customHeight="false" outlineLevel="0" collapsed="false">
      <c r="B42749" s="0" t="s">
        <v>8</v>
      </c>
      <c r="C42749" s="0" t="s">
        <v>827</v>
      </c>
      <c r="E42749" s="0" t="s">
        <v>3201</v>
      </c>
      <c r="F42749" s="0" t="s">
        <v>13124</v>
      </c>
    </row>
    <row r="42751" customFormat="false" ht="12.8" hidden="false" customHeight="false" outlineLevel="0" collapsed="false">
      <c r="A42751" s="0" t="s">
        <v>15555</v>
      </c>
      <c r="B42751" s="0" t="str">
        <f aca="false">HYPERLINK("https://lindat.mff.cuni.cz/services/teitok/pdtc10/index.php?action=vallex&amp;frame=v-whsa_1483hsa_1484", "schrastit (v-whsa_1483hsa_1484)")</f>
        <v>schrastit (v-whsa_1483hsa_1484)</v>
      </c>
    </row>
    <row r="42752" customFormat="false" ht="12.8" hidden="false" customHeight="false" outlineLevel="0" collapsed="false">
      <c r="B42752" s="0" t="s">
        <v>1</v>
      </c>
    </row>
    <row r="42753" customFormat="false" ht="12.8" hidden="false" customHeight="false" outlineLevel="0" collapsed="false">
      <c r="B42753" s="0" t="s">
        <v>8</v>
      </c>
    </row>
    <row r="42755" customFormat="false" ht="12.8" hidden="false" customHeight="false" outlineLevel="0" collapsed="false">
      <c r="A42755" s="0" t="s">
        <v>15556</v>
      </c>
      <c r="B42755" s="0" t="str">
        <f aca="false">HYPERLINK("https://lindat.mff.cuni.cz/services/teitok/pdtc10/index.php?action=vallex&amp;frame=v-w10621f2", "schraňovat (v-w10621f2)")</f>
        <v>schraňovat (v-w10621f2)</v>
      </c>
      <c r="E42755" s="0" t="str">
        <f aca="false">HYPERLINK("https://lindat.mff.cuni.cz/services/SynSemClass40/SynSemClass40.html?veclass=vec00443#vec00443-ces-cm00017", "vec00443")</f>
        <v>vec00443</v>
      </c>
      <c r="F42755" s="0" t="s">
        <v>90</v>
      </c>
    </row>
    <row r="42756" customFormat="false" ht="12.8" hidden="false" customHeight="false" outlineLevel="0" collapsed="false">
      <c r="B42756" s="0" t="s">
        <v>1</v>
      </c>
      <c r="C42756" s="0" t="s">
        <v>91</v>
      </c>
      <c r="E42756" s="0" t="s">
        <v>92</v>
      </c>
      <c r="F42756" s="0" t="s">
        <v>93</v>
      </c>
    </row>
    <row r="42757" customFormat="false" ht="12.8" hidden="false" customHeight="false" outlineLevel="0" collapsed="false">
      <c r="B42757" s="0" t="s">
        <v>8</v>
      </c>
      <c r="C42757" s="0" t="s">
        <v>94</v>
      </c>
      <c r="E42757" s="0" t="s">
        <v>95</v>
      </c>
      <c r="F42757" s="0" t="s">
        <v>96</v>
      </c>
    </row>
    <row r="42759" customFormat="false" ht="12.8" hidden="false" customHeight="false" outlineLevel="0" collapsed="false">
      <c r="A42759" s="0" t="s">
        <v>15557</v>
      </c>
      <c r="B42759" s="0" t="str">
        <f aca="false">HYPERLINK("https://lindat.mff.cuni.cz/services/teitok/pdtc10/index.php?action=vallex&amp;frame=v-w6057f2", "schvalovat (v-w6057f2)")</f>
        <v>schvalovat (v-w6057f2)</v>
      </c>
    </row>
    <row r="42760" customFormat="false" ht="12.8" hidden="false" customHeight="false" outlineLevel="0" collapsed="false">
      <c r="B42760" s="0" t="s">
        <v>1</v>
      </c>
    </row>
    <row r="42761" customFormat="false" ht="12.8" hidden="false" customHeight="false" outlineLevel="0" collapsed="false">
      <c r="B42761" s="0" t="s">
        <v>8</v>
      </c>
    </row>
    <row r="42762" customFormat="false" ht="12.8" hidden="false" customHeight="false" outlineLevel="0" collapsed="false">
      <c r="B42762" s="0" t="s">
        <v>11721</v>
      </c>
    </row>
    <row r="42764" customFormat="false" ht="12.8" hidden="false" customHeight="false" outlineLevel="0" collapsed="false">
      <c r="A42764" s="0" t="s">
        <v>15558</v>
      </c>
      <c r="B42764" s="0" t="str">
        <f aca="false">HYPERLINK("https://lindat.mff.cuni.cz/services/teitok/pdtc10/index.php?action=vallex&amp;frame=v-w6057f1", "schvalovat (v-w6057f1)")</f>
        <v>schvalovat (v-w6057f1)</v>
      </c>
      <c r="E42764" s="0" t="str">
        <f aca="false">HYPERLINK("https://lindat.mff.cuni.cz/services/SynSemClass40/SynSemClass40.html?veclass=vec00078#vec00078-ces-cm00020", "vec00078")</f>
        <v>vec00078</v>
      </c>
      <c r="F42764" s="0" t="s">
        <v>204</v>
      </c>
    </row>
    <row r="42765" customFormat="false" ht="12.8" hidden="false" customHeight="false" outlineLevel="0" collapsed="false">
      <c r="B42765" s="0" t="s">
        <v>1</v>
      </c>
      <c r="C42765" s="0" t="s">
        <v>205</v>
      </c>
      <c r="E42765" s="0" t="s">
        <v>206</v>
      </c>
      <c r="F42765" s="0" t="s">
        <v>207</v>
      </c>
    </row>
    <row r="42766" customFormat="false" ht="12.8" hidden="false" customHeight="false" outlineLevel="0" collapsed="false">
      <c r="B42766" s="0" t="s">
        <v>216</v>
      </c>
      <c r="C42766" s="0" t="s">
        <v>208</v>
      </c>
      <c r="E42766" s="0" t="s">
        <v>209</v>
      </c>
      <c r="F42766" s="0" t="s">
        <v>210</v>
      </c>
    </row>
    <row r="42768" customFormat="false" ht="12.8" hidden="false" customHeight="false" outlineLevel="0" collapsed="false">
      <c r="A42768" s="0" t="s">
        <v>15559</v>
      </c>
      <c r="B42768" s="0" t="str">
        <f aca="false">HYPERLINK("https://lindat.mff.cuni.cz/services/teitok/pdtc10/index.php?action=vallex&amp;frame=v-w6054f2", "schválit (v-w6054f2)")</f>
        <v>schválit (v-w6054f2)</v>
      </c>
    </row>
    <row r="42769" customFormat="false" ht="12.8" hidden="false" customHeight="false" outlineLevel="0" collapsed="false">
      <c r="B42769" s="0" t="s">
        <v>1</v>
      </c>
    </row>
    <row r="42770" customFormat="false" ht="12.8" hidden="false" customHeight="false" outlineLevel="0" collapsed="false">
      <c r="B42770" s="0" t="s">
        <v>8</v>
      </c>
    </row>
    <row r="42771" customFormat="false" ht="12.8" hidden="false" customHeight="false" outlineLevel="0" collapsed="false">
      <c r="B42771" s="0" t="s">
        <v>11721</v>
      </c>
    </row>
    <row r="42773" customFormat="false" ht="12.8" hidden="false" customHeight="false" outlineLevel="0" collapsed="false">
      <c r="A42773" s="0" t="s">
        <v>15560</v>
      </c>
      <c r="B42773" s="0" t="str">
        <f aca="false">HYPERLINK("https://lindat.mff.cuni.cz/services/teitok/pdtc10/index.php?action=vallex&amp;frame=v-w6054f1", "schválit (v-w6054f1)")</f>
        <v>schválit (v-w6054f1)</v>
      </c>
      <c r="E42773" s="0" t="str">
        <f aca="false">HYPERLINK("https://lindat.mff.cuni.cz/services/SynSemClass40/SynSemClass40.html?veclass=vec00078#vec00078-ces-cm00019", "vec00078")</f>
        <v>vec00078</v>
      </c>
      <c r="F42773" s="0" t="s">
        <v>204</v>
      </c>
    </row>
    <row r="42774" customFormat="false" ht="12.8" hidden="false" customHeight="false" outlineLevel="0" collapsed="false">
      <c r="B42774" s="0" t="s">
        <v>1</v>
      </c>
      <c r="C42774" s="0" t="s">
        <v>205</v>
      </c>
      <c r="E42774" s="0" t="s">
        <v>206</v>
      </c>
      <c r="F42774" s="0" t="s">
        <v>207</v>
      </c>
    </row>
    <row r="42775" customFormat="false" ht="12.8" hidden="false" customHeight="false" outlineLevel="0" collapsed="false">
      <c r="B42775" s="0" t="s">
        <v>216</v>
      </c>
      <c r="C42775" s="0" t="s">
        <v>208</v>
      </c>
      <c r="E42775" s="0" t="s">
        <v>209</v>
      </c>
      <c r="F42775" s="0" t="s">
        <v>210</v>
      </c>
    </row>
    <row r="42777" customFormat="false" ht="12.8" hidden="false" customHeight="false" outlineLevel="0" collapsed="false">
      <c r="A42777" s="0" t="s">
        <v>15561</v>
      </c>
      <c r="B42777" s="0" t="str">
        <f aca="false">HYPERLINK("https://lindat.mff.cuni.cz/services/teitok/pdtc10/index.php?action=vallex&amp;frame=v-w12029_ZUf1_ZU", "schvátit (v-w12029_ZUf1_ZU)")</f>
        <v>schvátit (v-w12029_ZUf1_ZU)</v>
      </c>
    </row>
    <row r="42778" customFormat="false" ht="12.8" hidden="false" customHeight="false" outlineLevel="0" collapsed="false">
      <c r="B42778" s="0" t="s">
        <v>1</v>
      </c>
    </row>
    <row r="42779" customFormat="false" ht="12.8" hidden="false" customHeight="false" outlineLevel="0" collapsed="false">
      <c r="B42779" s="0" t="s">
        <v>8</v>
      </c>
    </row>
    <row r="42781" customFormat="false" ht="12.8" hidden="false" customHeight="false" outlineLevel="0" collapsed="false">
      <c r="A42781" s="0" t="s">
        <v>15562</v>
      </c>
      <c r="B42781" s="0" t="str">
        <f aca="false">HYPERLINK("https://lindat.mff.cuni.cz/services/teitok/pdtc10/index.php?action=vallex&amp;frame=v-w6058f2", "schylovat se (v-w6058f2)")</f>
        <v>schylovat se (v-w6058f2)</v>
      </c>
    </row>
    <row r="42782" customFormat="false" ht="12.8" hidden="false" customHeight="false" outlineLevel="0" collapsed="false">
      <c r="B42782" s="0" t="s">
        <v>1</v>
      </c>
    </row>
    <row r="42783" customFormat="false" ht="12.8" hidden="false" customHeight="false" outlineLevel="0" collapsed="false">
      <c r="B42783" s="0" t="s">
        <v>311</v>
      </c>
    </row>
    <row r="42785" customFormat="false" ht="12.8" hidden="false" customHeight="false" outlineLevel="0" collapsed="false">
      <c r="A42785" s="0" t="s">
        <v>15563</v>
      </c>
      <c r="B42785" s="0" t="str">
        <f aca="false">HYPERLINK("https://lindat.mff.cuni.cz/services/teitok/pdtc10/index.php?action=vallex&amp;frame=v-w6058f1", "schylovat se (v-w6058f1)")</f>
        <v>schylovat se (v-w6058f1)</v>
      </c>
    </row>
    <row r="42786" customFormat="false" ht="12.8" hidden="false" customHeight="false" outlineLevel="0" collapsed="false">
      <c r="B42786" s="0" t="s">
        <v>2156</v>
      </c>
    </row>
    <row r="42788" customFormat="false" ht="12.8" hidden="false" customHeight="false" outlineLevel="0" collapsed="false">
      <c r="A42788" s="0" t="s">
        <v>15564</v>
      </c>
      <c r="B42788" s="0" t="str">
        <f aca="false">HYPERLINK("https://lindat.mff.cuni.cz/services/teitok/pdtc10/index.php?action=vallex&amp;frame=v-w6059f1", "schytat (v-w6059f1)")</f>
        <v>schytat (v-w6059f1)</v>
      </c>
    </row>
    <row r="42789" customFormat="false" ht="12.8" hidden="false" customHeight="false" outlineLevel="0" collapsed="false">
      <c r="B42789" s="0" t="s">
        <v>1</v>
      </c>
    </row>
    <row r="42790" customFormat="false" ht="12.8" hidden="false" customHeight="false" outlineLevel="0" collapsed="false">
      <c r="B42790" s="0" t="s">
        <v>8</v>
      </c>
    </row>
    <row r="42791" customFormat="false" ht="12.8" hidden="false" customHeight="false" outlineLevel="0" collapsed="false">
      <c r="B42791" s="0" t="s">
        <v>602</v>
      </c>
    </row>
    <row r="42793" customFormat="false" ht="12.8" hidden="false" customHeight="false" outlineLevel="0" collapsed="false">
      <c r="A42793" s="0" t="s">
        <v>15565</v>
      </c>
      <c r="B42793" s="0" t="str">
        <f aca="false">HYPERLINK("https://lindat.mff.cuni.cz/services/teitok/pdtc10/index.php?action=vallex&amp;frame=v-w12383_MMf1_MM", "schytnout (v-w12383_MMf1_MM)")</f>
        <v>schytnout (v-w12383_MMf1_MM)</v>
      </c>
    </row>
    <row r="42794" customFormat="false" ht="12.8" hidden="false" customHeight="false" outlineLevel="0" collapsed="false">
      <c r="B42794" s="0" t="s">
        <v>1</v>
      </c>
    </row>
    <row r="42795" customFormat="false" ht="12.8" hidden="false" customHeight="false" outlineLevel="0" collapsed="false">
      <c r="B42795" s="0" t="s">
        <v>8</v>
      </c>
    </row>
    <row r="42796" customFormat="false" ht="12.8" hidden="false" customHeight="false" outlineLevel="0" collapsed="false">
      <c r="B42796" s="0" t="s">
        <v>602</v>
      </c>
    </row>
    <row r="42798" customFormat="false" ht="12.8" hidden="false" customHeight="false" outlineLevel="0" collapsed="false">
      <c r="A42798" s="0" t="s">
        <v>15566</v>
      </c>
      <c r="B42798" s="0" t="str">
        <f aca="false">HYPERLINK("https://lindat.mff.cuni.cz/services/teitok/pdtc10/index.php?action=vallex&amp;frame=v-w12383_MMf2_MM", "schytnout (v-w12383_MMf2_MM)")</f>
        <v>schytnout (v-w12383_MMf2_MM)</v>
      </c>
    </row>
    <row r="42799" customFormat="false" ht="12.8" hidden="false" customHeight="false" outlineLevel="0" collapsed="false">
      <c r="B42799" s="0" t="s">
        <v>1</v>
      </c>
    </row>
    <row r="42800" customFormat="false" ht="12.8" hidden="false" customHeight="false" outlineLevel="0" collapsed="false">
      <c r="B42800" s="0" t="s">
        <v>8</v>
      </c>
    </row>
    <row r="42801" customFormat="false" ht="12.8" hidden="false" customHeight="false" outlineLevel="0" collapsed="false">
      <c r="B42801" s="0" t="s">
        <v>602</v>
      </c>
    </row>
    <row r="42803" customFormat="false" ht="12.8" hidden="false" customHeight="false" outlineLevel="0" collapsed="false">
      <c r="A42803" s="0" t="s">
        <v>15567</v>
      </c>
      <c r="B42803" s="0" t="str">
        <f aca="false">HYPERLINK("https://lindat.mff.cuni.cz/services/teitok/pdtc10/index.php?action=vallex&amp;frame=v-w6045f1", "scházet (v-w6045f1)")</f>
        <v>scházet (v-w6045f1)</v>
      </c>
    </row>
    <row r="42804" customFormat="false" ht="12.8" hidden="false" customHeight="false" outlineLevel="0" collapsed="false">
      <c r="B42804" s="0" t="s">
        <v>843</v>
      </c>
    </row>
    <row r="42805" customFormat="false" ht="12.8" hidden="false" customHeight="false" outlineLevel="0" collapsed="false">
      <c r="B42805" s="0" t="s">
        <v>186</v>
      </c>
    </row>
    <row r="42807" customFormat="false" ht="12.8" hidden="false" customHeight="false" outlineLevel="0" collapsed="false">
      <c r="A42807" s="0" t="s">
        <v>15568</v>
      </c>
      <c r="B42807" s="0" t="str">
        <f aca="false">HYPERLINK("https://lindat.mff.cuni.cz/services/teitok/pdtc10/index.php?action=vallex&amp;frame=v-w6045f2_ZU", "scházet (v-w6045f2_ZU)")</f>
        <v>scházet (v-w6045f2_ZU)</v>
      </c>
    </row>
    <row r="42808" customFormat="false" ht="12.8" hidden="false" customHeight="false" outlineLevel="0" collapsed="false">
      <c r="B42808" s="0" t="s">
        <v>835</v>
      </c>
    </row>
    <row r="42810" customFormat="false" ht="12.8" hidden="false" customHeight="false" outlineLevel="0" collapsed="false">
      <c r="A42810" s="0" t="s">
        <v>15569</v>
      </c>
      <c r="B42810" s="0" t="str">
        <f aca="false">HYPERLINK("https://lindat.mff.cuni.cz/services/teitok/pdtc10/index.php?action=vallex&amp;frame=v-w6046f3_MM", "scházet se (v-w6046f3_MM)")</f>
        <v>scházet se (v-w6046f3_MM)</v>
      </c>
    </row>
    <row r="42811" customFormat="false" ht="12.8" hidden="false" customHeight="false" outlineLevel="0" collapsed="false">
      <c r="B42811" s="0" t="s">
        <v>1</v>
      </c>
    </row>
    <row r="42812" customFormat="false" ht="12.8" hidden="false" customHeight="false" outlineLevel="0" collapsed="false">
      <c r="B42812" s="0" t="s">
        <v>721</v>
      </c>
    </row>
    <row r="42814" customFormat="false" ht="12.8" hidden="false" customHeight="false" outlineLevel="0" collapsed="false">
      <c r="A42814" s="0" t="s">
        <v>15569</v>
      </c>
      <c r="B42814" s="0" t="str">
        <f aca="false">HYPERLINK("https://lindat.mff.cuni.cz/services/teitok/pdtc10/index.php?action=vallex&amp;frame=v-w6046f1", "scházet se (v-w6046f1) - substituted with v-w6046f3_MM")</f>
        <v>scházet se (v-w6046f1) - substituted with v-w6046f3_MM</v>
      </c>
      <c r="E42814" s="0" t="str">
        <f aca="false">HYPERLINK("https://lindat.mff.cuni.cz/services/SynSemClass40/SynSemClass40.html?veclass=vec00307#vec00307-ces-cm00054", "vec00307")</f>
        <v>vec00307</v>
      </c>
      <c r="F42814" s="0" t="s">
        <v>11687</v>
      </c>
    </row>
    <row r="42815" customFormat="false" ht="12.8" hidden="false" customHeight="false" outlineLevel="0" collapsed="false">
      <c r="B42815" s="0" t="s">
        <v>1</v>
      </c>
      <c r="C42815" s="0" t="s">
        <v>11688</v>
      </c>
      <c r="E42815" s="0" t="s">
        <v>2241</v>
      </c>
      <c r="F42815" s="0" t="s">
        <v>11689</v>
      </c>
    </row>
    <row r="42816" customFormat="false" ht="12.8" hidden="false" customHeight="false" outlineLevel="0" collapsed="false">
      <c r="B42816" s="0" t="s">
        <v>721</v>
      </c>
      <c r="C42816" s="0" t="s">
        <v>4776</v>
      </c>
      <c r="E42816" s="0" t="s">
        <v>2665</v>
      </c>
      <c r="F42816" s="0" t="s">
        <v>11690</v>
      </c>
    </row>
    <row r="42818" customFormat="false" ht="12.8" hidden="false" customHeight="false" outlineLevel="0" collapsed="false">
      <c r="A42818" s="0" t="s">
        <v>15569</v>
      </c>
      <c r="B42818" s="0" t="str">
        <f aca="false">HYPERLINK("https://lindat.mff.cuni.cz/services/teitok/pdtc10/index.php?action=vallex&amp;frame=v-w6046f2_ZU", "scházet se (v-w6046f2_ZU) - substituted with v-w6046f3_MM")</f>
        <v>scházet se (v-w6046f2_ZU) - substituted with v-w6046f3_MM</v>
      </c>
    </row>
    <row r="42819" customFormat="false" ht="12.8" hidden="false" customHeight="false" outlineLevel="0" collapsed="false">
      <c r="B42819" s="0" t="s">
        <v>1</v>
      </c>
    </row>
    <row r="42820" customFormat="false" ht="12.8" hidden="false" customHeight="false" outlineLevel="0" collapsed="false">
      <c r="B42820" s="0" t="s">
        <v>721</v>
      </c>
    </row>
    <row r="42822" customFormat="false" ht="12.8" hidden="false" customHeight="false" outlineLevel="0" collapsed="false">
      <c r="A42822" s="0" t="s">
        <v>15570</v>
      </c>
      <c r="B42822" s="0" t="str">
        <f aca="false">HYPERLINK("https://lindat.mff.cuni.cz/services/teitok/pdtc10/index.php?action=vallex&amp;frame=v-w6046f5_MM", "scházet se (v-w6046f5_MM)")</f>
        <v>scházet se (v-w6046f5_MM)</v>
      </c>
    </row>
    <row r="42823" customFormat="false" ht="12.8" hidden="false" customHeight="false" outlineLevel="0" collapsed="false">
      <c r="B42823" s="0" t="s">
        <v>1</v>
      </c>
    </row>
    <row r="42824" customFormat="false" ht="12.8" hidden="false" customHeight="false" outlineLevel="0" collapsed="false">
      <c r="B42824" s="0" t="s">
        <v>164</v>
      </c>
    </row>
    <row r="42826" customFormat="false" ht="12.8" hidden="false" customHeight="false" outlineLevel="0" collapsed="false">
      <c r="A42826" s="0" t="s">
        <v>15570</v>
      </c>
      <c r="B42826" s="0" t="str">
        <f aca="false">HYPERLINK("https://lindat.mff.cuni.cz/services/teitok/pdtc10/index.php?action=vallex&amp;frame=v-w6046f4_MM", "scházet se (v-w6046f4_MM) - substituted with v-w6046f5_MM")</f>
        <v>scházet se (v-w6046f4_MM) - substituted with v-w6046f5_MM</v>
      </c>
    </row>
    <row r="42827" customFormat="false" ht="12.8" hidden="false" customHeight="false" outlineLevel="0" collapsed="false">
      <c r="B42827" s="0" t="s">
        <v>1</v>
      </c>
    </row>
    <row r="42828" customFormat="false" ht="12.8" hidden="false" customHeight="false" outlineLevel="0" collapsed="false">
      <c r="B42828" s="0" t="s">
        <v>164</v>
      </c>
    </row>
    <row r="42830" customFormat="false" ht="12.8" hidden="false" customHeight="false" outlineLevel="0" collapsed="false">
      <c r="A42830" s="0" t="s">
        <v>15571</v>
      </c>
      <c r="B42830" s="0" t="str">
        <f aca="false">HYPERLINK("https://lindat.mff.cuni.cz/services/teitok/pdtc10/index.php?action=vallex&amp;frame=v-whsa_1710hsa_1711", "scházívat se (v-whsa_1710hsa_1711)")</f>
        <v>scházívat se (v-whsa_1710hsa_1711)</v>
      </c>
    </row>
    <row r="42831" customFormat="false" ht="12.8" hidden="false" customHeight="false" outlineLevel="0" collapsed="false">
      <c r="B42831" s="0" t="s">
        <v>1</v>
      </c>
    </row>
    <row r="42832" customFormat="false" ht="12.8" hidden="false" customHeight="false" outlineLevel="0" collapsed="false">
      <c r="B42832" s="0" t="s">
        <v>721</v>
      </c>
    </row>
    <row r="42834" customFormat="false" ht="12.8" hidden="false" customHeight="false" outlineLevel="0" collapsed="false">
      <c r="A42834" s="0" t="s">
        <v>15572</v>
      </c>
      <c r="B42834" s="0" t="str">
        <f aca="false">HYPERLINK("https://lindat.mff.cuni.cz/services/teitok/pdtc10/index.php?action=vallex&amp;frame=v-w5913f1", "scupovat (v-w5913f1)")</f>
        <v>scupovat (v-w5913f1)</v>
      </c>
    </row>
    <row r="42835" customFormat="false" ht="12.8" hidden="false" customHeight="false" outlineLevel="0" collapsed="false">
      <c r="B42835" s="0" t="s">
        <v>1</v>
      </c>
    </row>
    <row r="42836" customFormat="false" ht="12.8" hidden="false" customHeight="false" outlineLevel="0" collapsed="false">
      <c r="B42836" s="0" t="s">
        <v>8</v>
      </c>
    </row>
    <row r="42837" customFormat="false" ht="12.8" hidden="false" customHeight="false" outlineLevel="0" collapsed="false">
      <c r="B42837" s="0" t="s">
        <v>3205</v>
      </c>
    </row>
    <row r="42838" customFormat="false" ht="12.8" hidden="false" customHeight="false" outlineLevel="0" collapsed="false">
      <c r="B42838" s="0" t="s">
        <v>3026</v>
      </c>
    </row>
    <row r="42840" customFormat="false" ht="12.8" hidden="false" customHeight="false" outlineLevel="0" collapsed="false">
      <c r="A42840" s="0" t="s">
        <v>15573</v>
      </c>
      <c r="B42840" s="0" t="str">
        <f aca="false">HYPERLINK("https://lindat.mff.cuni.cz/services/teitok/pdtc10/index.php?action=vallex&amp;frame=v-w12160_ZUf1_ZU", "scvakat (v-w12160_ZUf1_ZU)")</f>
        <v>scvakat (v-w12160_ZUf1_ZU)</v>
      </c>
    </row>
    <row r="42841" customFormat="false" ht="12.8" hidden="false" customHeight="false" outlineLevel="0" collapsed="false">
      <c r="B42841" s="0" t="s">
        <v>1</v>
      </c>
    </row>
    <row r="42842" customFormat="false" ht="12.8" hidden="false" customHeight="false" outlineLevel="0" collapsed="false">
      <c r="B42842" s="0" t="s">
        <v>8</v>
      </c>
    </row>
    <row r="42844" customFormat="false" ht="12.8" hidden="false" customHeight="false" outlineLevel="0" collapsed="false">
      <c r="A42844" s="0" t="s">
        <v>15574</v>
      </c>
      <c r="B42844" s="0" t="str">
        <f aca="false">HYPERLINK("https://lindat.mff.cuni.cz/services/teitok/pdtc10/index.php?action=vallex&amp;frame=v-w5914f2", "scvrknout se (v-w5914f2)")</f>
        <v>scvrknout se (v-w5914f2)</v>
      </c>
    </row>
    <row r="42845" customFormat="false" ht="12.8" hidden="false" customHeight="false" outlineLevel="0" collapsed="false">
      <c r="B42845" s="0" t="s">
        <v>1</v>
      </c>
    </row>
    <row r="42846" customFormat="false" ht="12.8" hidden="false" customHeight="false" outlineLevel="0" collapsed="false">
      <c r="B42846" s="0" t="s">
        <v>69</v>
      </c>
    </row>
    <row r="42847" customFormat="false" ht="12.8" hidden="false" customHeight="false" outlineLevel="0" collapsed="false">
      <c r="B42847" s="0" t="s">
        <v>36</v>
      </c>
    </row>
    <row r="42849" customFormat="false" ht="12.8" hidden="false" customHeight="false" outlineLevel="0" collapsed="false">
      <c r="A42849" s="0" t="s">
        <v>15575</v>
      </c>
      <c r="B42849" s="0" t="str">
        <f aca="false">HYPERLINK("https://lindat.mff.cuni.cz/services/teitok/pdtc10/index.php?action=vallex&amp;frame=v-w5914f1", "scvrknout se (v-w5914f1)")</f>
        <v>scvrknout se (v-w5914f1)</v>
      </c>
    </row>
    <row r="42850" customFormat="false" ht="12.8" hidden="false" customHeight="false" outlineLevel="0" collapsed="false">
      <c r="B42850" s="0" t="s">
        <v>1</v>
      </c>
    </row>
    <row r="42851" customFormat="false" ht="12.8" hidden="false" customHeight="false" outlineLevel="0" collapsed="false">
      <c r="B42851" s="0" t="s">
        <v>4250</v>
      </c>
    </row>
    <row r="42853" customFormat="false" ht="12.8" hidden="false" customHeight="false" outlineLevel="0" collapsed="false">
      <c r="A42853" s="0" t="s">
        <v>15576</v>
      </c>
      <c r="B42853" s="0" t="str">
        <f aca="false">HYPERLINK("https://lindat.mff.cuni.cz/services/teitok/pdtc10/index.php?action=vallex&amp;frame=v-w11454f1", "scvrkávat se (v-w11454f1)")</f>
        <v>scvrkávat se (v-w11454f1)</v>
      </c>
    </row>
    <row r="42854" customFormat="false" ht="12.8" hidden="false" customHeight="false" outlineLevel="0" collapsed="false">
      <c r="B42854" s="0" t="s">
        <v>1</v>
      </c>
    </row>
    <row r="42855" customFormat="false" ht="12.8" hidden="false" customHeight="false" outlineLevel="0" collapsed="false">
      <c r="B42855" s="0" t="s">
        <v>69</v>
      </c>
    </row>
    <row r="42856" customFormat="false" ht="12.8" hidden="false" customHeight="false" outlineLevel="0" collapsed="false">
      <c r="B42856" s="0" t="s">
        <v>36</v>
      </c>
    </row>
    <row r="42858" customFormat="false" ht="12.8" hidden="false" customHeight="false" outlineLevel="0" collapsed="false">
      <c r="A42858" s="0" t="s">
        <v>15577</v>
      </c>
      <c r="B42858" s="0" t="str">
        <f aca="false">HYPERLINK("https://lindat.mff.cuni.cz/services/teitok/pdtc10/index.php?action=vallex&amp;frame=v-whsa_1211hsa_1212", "sdrkotat (v-whsa_1211hsa_1212)")</f>
        <v>sdrkotat (v-whsa_1211hsa_1212)</v>
      </c>
    </row>
    <row r="42859" customFormat="false" ht="12.8" hidden="false" customHeight="false" outlineLevel="0" collapsed="false">
      <c r="B42859" s="0" t="s">
        <v>1</v>
      </c>
    </row>
    <row r="42860" customFormat="false" ht="12.8" hidden="false" customHeight="false" outlineLevel="0" collapsed="false">
      <c r="B42860" s="0" t="s">
        <v>631</v>
      </c>
    </row>
    <row r="42862" customFormat="false" ht="12.8" hidden="false" customHeight="false" outlineLevel="0" collapsed="false">
      <c r="A42862" s="0" t="s">
        <v>15578</v>
      </c>
      <c r="B42862" s="0" t="str">
        <f aca="false">HYPERLINK("https://lindat.mff.cuni.cz/services/teitok/pdtc10/index.php?action=vallex&amp;frame=v-w5923f1", "sdružit (v-w5923f1)")</f>
        <v>sdružit (v-w5923f1)</v>
      </c>
      <c r="E42862" s="0" t="str">
        <f aca="false">HYPERLINK("https://lindat.mff.cuni.cz/services/SynSemClass40/SynSemClass40.html?veclass=vec00623#vec00623-ces-cm00022", "vec00623")</f>
        <v>vec00623</v>
      </c>
      <c r="F42862" s="0" t="s">
        <v>5439</v>
      </c>
    </row>
    <row r="42863" customFormat="false" ht="12.8" hidden="false" customHeight="false" outlineLevel="0" collapsed="false">
      <c r="B42863" s="0" t="s">
        <v>1</v>
      </c>
      <c r="C42863" s="0" t="s">
        <v>5440</v>
      </c>
      <c r="E42863" s="0" t="s">
        <v>31</v>
      </c>
      <c r="F42863" s="0" t="s">
        <v>5441</v>
      </c>
    </row>
    <row r="42864" customFormat="false" ht="12.8" hidden="false" customHeight="false" outlineLevel="0" collapsed="false">
      <c r="B42864" s="0" t="s">
        <v>8</v>
      </c>
      <c r="C42864" s="0" t="s">
        <v>5442</v>
      </c>
      <c r="E42864" s="0" t="s">
        <v>4852</v>
      </c>
      <c r="F42864" s="0" t="s">
        <v>5443</v>
      </c>
    </row>
    <row r="42865" customFormat="false" ht="12.8" hidden="false" customHeight="false" outlineLevel="0" collapsed="false">
      <c r="B42865" s="0" t="s">
        <v>276</v>
      </c>
      <c r="C42865" s="0" t="s">
        <v>15579</v>
      </c>
      <c r="E42865" s="0" t="s">
        <v>4855</v>
      </c>
      <c r="F42865" s="0" t="s">
        <v>15580</v>
      </c>
    </row>
    <row r="42866" customFormat="false" ht="12.8" hidden="false" customHeight="false" outlineLevel="0" collapsed="false">
      <c r="B42866" s="0" t="s">
        <v>245</v>
      </c>
    </row>
    <row r="42868" customFormat="false" ht="12.8" hidden="false" customHeight="false" outlineLevel="0" collapsed="false">
      <c r="A42868" s="0" t="s">
        <v>15581</v>
      </c>
      <c r="B42868" s="0" t="str">
        <f aca="false">HYPERLINK("https://lindat.mff.cuni.cz/services/teitok/pdtc10/index.php?action=vallex&amp;frame=v-w5924f1", "sdružit se (v-w5924f1)")</f>
        <v>sdružit se (v-w5924f1)</v>
      </c>
      <c r="E42868" s="0" t="str">
        <f aca="false">HYPERLINK("https://lindat.mff.cuni.cz/services/SynSemClass40/SynSemClass40.html?veclass=vec00318#vec00318-ces-cm00017", "vec00318")</f>
        <v>vec00318</v>
      </c>
      <c r="F42868" s="0" t="s">
        <v>3218</v>
      </c>
    </row>
    <row r="42869" customFormat="false" ht="12.8" hidden="false" customHeight="false" outlineLevel="0" collapsed="false">
      <c r="B42869" s="0" t="s">
        <v>1</v>
      </c>
      <c r="C42869" s="0" t="s">
        <v>3219</v>
      </c>
      <c r="E42869" s="0" t="s">
        <v>2241</v>
      </c>
      <c r="F42869" s="0" t="s">
        <v>3220</v>
      </c>
    </row>
    <row r="42870" customFormat="false" ht="12.8" hidden="false" customHeight="false" outlineLevel="0" collapsed="false">
      <c r="B42870" s="0" t="s">
        <v>721</v>
      </c>
      <c r="C42870" s="0" t="s">
        <v>3221</v>
      </c>
      <c r="E42870" s="0" t="s">
        <v>2665</v>
      </c>
      <c r="F42870" s="0" t="s">
        <v>3222</v>
      </c>
    </row>
    <row r="42871" customFormat="false" ht="12.8" hidden="false" customHeight="false" outlineLevel="0" collapsed="false">
      <c r="B42871" s="0" t="s">
        <v>3026</v>
      </c>
      <c r="C42871" s="0" t="s">
        <v>11056</v>
      </c>
      <c r="E42871" s="0" t="s">
        <v>4858</v>
      </c>
      <c r="F42871" s="0" t="s">
        <v>11057</v>
      </c>
    </row>
    <row r="42873" customFormat="false" ht="12.8" hidden="false" customHeight="false" outlineLevel="0" collapsed="false">
      <c r="A42873" s="0" t="s">
        <v>15582</v>
      </c>
      <c r="B42873" s="0" t="str">
        <f aca="false">HYPERLINK("https://lindat.mff.cuni.cz/services/teitok/pdtc10/index.php?action=vallex&amp;frame=v-w5926f1", "sdružovat (v-w5926f1)")</f>
        <v>sdružovat (v-w5926f1)</v>
      </c>
      <c r="E42873" s="0" t="str">
        <f aca="false">HYPERLINK("https://lindat.mff.cuni.cz/services/SynSemClass40/SynSemClass40.html?veclass=vec00623#vec00623-ces-cm00006", "vec00623")</f>
        <v>vec00623</v>
      </c>
      <c r="F42873" s="0" t="s">
        <v>5439</v>
      </c>
    </row>
    <row r="42874" customFormat="false" ht="12.8" hidden="false" customHeight="false" outlineLevel="0" collapsed="false">
      <c r="B42874" s="0" t="s">
        <v>1</v>
      </c>
      <c r="C42874" s="0" t="s">
        <v>5440</v>
      </c>
      <c r="E42874" s="0" t="s">
        <v>31</v>
      </c>
      <c r="F42874" s="0" t="s">
        <v>5441</v>
      </c>
    </row>
    <row r="42875" customFormat="false" ht="12.8" hidden="false" customHeight="false" outlineLevel="0" collapsed="false">
      <c r="B42875" s="0" t="s">
        <v>8</v>
      </c>
      <c r="C42875" s="0" t="s">
        <v>5442</v>
      </c>
      <c r="E42875" s="0" t="s">
        <v>4852</v>
      </c>
      <c r="F42875" s="0" t="s">
        <v>5443</v>
      </c>
    </row>
    <row r="42876" customFormat="false" ht="12.8" hidden="false" customHeight="false" outlineLevel="0" collapsed="false">
      <c r="B42876" s="0" t="s">
        <v>276</v>
      </c>
      <c r="C42876" s="0" t="s">
        <v>15579</v>
      </c>
      <c r="E42876" s="0" t="s">
        <v>4855</v>
      </c>
      <c r="F42876" s="0" t="s">
        <v>15580</v>
      </c>
    </row>
    <row r="42877" customFormat="false" ht="12.8" hidden="false" customHeight="false" outlineLevel="0" collapsed="false">
      <c r="B42877" s="0" t="s">
        <v>3026</v>
      </c>
    </row>
    <row r="42879" customFormat="false" ht="12.8" hidden="false" customHeight="false" outlineLevel="0" collapsed="false">
      <c r="A42879" s="0" t="s">
        <v>15583</v>
      </c>
      <c r="B42879" s="0" t="str">
        <f aca="false">HYPERLINK("https://lindat.mff.cuni.cz/services/teitok/pdtc10/index.php?action=vallex&amp;frame=v-w5927f1", "sdružovat se (v-w5927f1)")</f>
        <v>sdružovat se (v-w5927f1)</v>
      </c>
      <c r="E42879" s="0" t="str">
        <f aca="false">HYPERLINK("https://lindat.mff.cuni.cz/services/SynSemClass40/SynSemClass40.html?veclass=vec00318#vec00318-ces-cm00015", "vec00318")</f>
        <v>vec00318</v>
      </c>
      <c r="F42879" s="0" t="s">
        <v>3218</v>
      </c>
    </row>
    <row r="42880" customFormat="false" ht="12.8" hidden="false" customHeight="false" outlineLevel="0" collapsed="false">
      <c r="B42880" s="0" t="s">
        <v>1</v>
      </c>
      <c r="C42880" s="0" t="s">
        <v>3219</v>
      </c>
      <c r="E42880" s="0" t="s">
        <v>2241</v>
      </c>
      <c r="F42880" s="0" t="s">
        <v>3220</v>
      </c>
    </row>
    <row r="42881" customFormat="false" ht="12.8" hidden="false" customHeight="false" outlineLevel="0" collapsed="false">
      <c r="B42881" s="0" t="s">
        <v>721</v>
      </c>
      <c r="C42881" s="0" t="s">
        <v>3221</v>
      </c>
      <c r="E42881" s="0" t="s">
        <v>2665</v>
      </c>
      <c r="F42881" s="0" t="s">
        <v>3222</v>
      </c>
    </row>
    <row r="42882" customFormat="false" ht="12.8" hidden="false" customHeight="false" outlineLevel="0" collapsed="false">
      <c r="B42882" s="0" t="s">
        <v>3026</v>
      </c>
      <c r="C42882" s="0" t="s">
        <v>11056</v>
      </c>
      <c r="E42882" s="0" t="s">
        <v>4858</v>
      </c>
      <c r="F42882" s="0" t="s">
        <v>11057</v>
      </c>
    </row>
    <row r="42884" customFormat="false" ht="12.8" hidden="false" customHeight="false" outlineLevel="0" collapsed="false">
      <c r="A42884" s="0" t="s">
        <v>15584</v>
      </c>
      <c r="B42884" s="0" t="str">
        <f aca="false">HYPERLINK("https://lindat.mff.cuni.cz/services/teitok/pdtc10/index.php?action=vallex&amp;frame=v-w5921f1", "sdílet (v-w5921f1)")</f>
        <v>sdílet (v-w5921f1)</v>
      </c>
      <c r="E42884" s="0" t="str">
        <f aca="false">HYPERLINK("https://lindat.mff.cuni.cz/services/SynSemClass40/SynSemClass40.html?veclass=vec00304#vec00304-ces-cm00001", "vec00304")</f>
        <v>vec00304</v>
      </c>
      <c r="F42884" s="0" t="s">
        <v>4000</v>
      </c>
    </row>
    <row r="42885" customFormat="false" ht="12.8" hidden="false" customHeight="false" outlineLevel="0" collapsed="false">
      <c r="B42885" s="0" t="s">
        <v>1</v>
      </c>
      <c r="C42885" s="0" t="s">
        <v>4001</v>
      </c>
      <c r="E42885" s="0" t="s">
        <v>2241</v>
      </c>
      <c r="F42885" s="0" t="s">
        <v>2662</v>
      </c>
    </row>
    <row r="42886" customFormat="false" ht="12.8" hidden="false" customHeight="false" outlineLevel="0" collapsed="false">
      <c r="B42886" s="0" t="s">
        <v>8</v>
      </c>
      <c r="C42886" s="0" t="s">
        <v>4002</v>
      </c>
      <c r="E42886" s="0" t="s">
        <v>34</v>
      </c>
      <c r="F42886" s="0" t="s">
        <v>4003</v>
      </c>
    </row>
    <row r="42887" customFormat="false" ht="12.8" hidden="false" customHeight="false" outlineLevel="0" collapsed="false">
      <c r="B42887" s="0" t="s">
        <v>276</v>
      </c>
      <c r="C42887" s="0" t="s">
        <v>4004</v>
      </c>
      <c r="E42887" s="0" t="s">
        <v>2247</v>
      </c>
      <c r="F42887" s="0" t="s">
        <v>4005</v>
      </c>
    </row>
    <row r="42889" customFormat="false" ht="12.8" hidden="false" customHeight="false" outlineLevel="0" collapsed="false">
      <c r="A42889" s="0" t="s">
        <v>15585</v>
      </c>
      <c r="B42889" s="0" t="str">
        <f aca="false">HYPERLINK("https://lindat.mff.cuni.cz/services/teitok/pdtc10/index.php?action=vallex&amp;frame=v-whsa_645hsa_646", "sdělat (v-whsa_645hsa_646)")</f>
        <v>sdělat (v-whsa_645hsa_646)</v>
      </c>
    </row>
    <row r="42890" customFormat="false" ht="12.8" hidden="false" customHeight="false" outlineLevel="0" collapsed="false">
      <c r="B42890" s="0" t="s">
        <v>1</v>
      </c>
    </row>
    <row r="42891" customFormat="false" ht="12.8" hidden="false" customHeight="false" outlineLevel="0" collapsed="false">
      <c r="B42891" s="0" t="s">
        <v>8</v>
      </c>
    </row>
    <row r="42892" customFormat="false" ht="12.8" hidden="false" customHeight="false" outlineLevel="0" collapsed="false">
      <c r="B42892" s="0" t="s">
        <v>164</v>
      </c>
    </row>
    <row r="42894" customFormat="false" ht="12.8" hidden="false" customHeight="false" outlineLevel="0" collapsed="false">
      <c r="A42894" s="0" t="s">
        <v>15586</v>
      </c>
      <c r="B42894" s="0" t="str">
        <f aca="false">HYPERLINK("https://lindat.mff.cuni.cz/services/teitok/pdtc10/index.php?action=vallex&amp;frame=v-w5918f3_ZU", "sdělit (v-w5918f3_ZU)")</f>
        <v>sdělit (v-w5918f3_ZU)</v>
      </c>
    </row>
    <row r="42895" customFormat="false" ht="12.8" hidden="false" customHeight="false" outlineLevel="0" collapsed="false">
      <c r="B42895" s="0" t="s">
        <v>1</v>
      </c>
    </row>
    <row r="42896" customFormat="false" ht="12.8" hidden="false" customHeight="false" outlineLevel="0" collapsed="false">
      <c r="B42896" s="0" t="s">
        <v>3028</v>
      </c>
    </row>
    <row r="42897" customFormat="false" ht="12.8" hidden="false" customHeight="false" outlineLevel="0" collapsed="false">
      <c r="B42897" s="0" t="s">
        <v>52</v>
      </c>
    </row>
    <row r="42899" customFormat="false" ht="12.8" hidden="false" customHeight="false" outlineLevel="0" collapsed="false">
      <c r="A42899" s="0" t="s">
        <v>15586</v>
      </c>
      <c r="B42899" s="0" t="str">
        <f aca="false">HYPERLINK("https://lindat.mff.cuni.cz/services/teitok/pdtc10/index.php?action=vallex&amp;frame=v-w5918f2", "sdělit (v-w5918f2) - substituted with v-w5918f3_ZU")</f>
        <v>sdělit (v-w5918f2) - substituted with v-w5918f3_ZU</v>
      </c>
      <c r="E42899" s="0" t="str">
        <f aca="false">HYPERLINK("https://lindat.mff.cuni.cz/services/SynSemClass40/SynSemClass40.html?veclass=vec00060#vec00060-ces-cm00114", "vec00060")</f>
        <v>vec00060</v>
      </c>
      <c r="F42899" s="0" t="s">
        <v>213</v>
      </c>
    </row>
    <row r="42900" customFormat="false" ht="12.8" hidden="false" customHeight="false" outlineLevel="0" collapsed="false">
      <c r="B42900" s="0" t="s">
        <v>1</v>
      </c>
      <c r="C42900" s="0" t="s">
        <v>214</v>
      </c>
      <c r="E42900" s="0" t="s">
        <v>147</v>
      </c>
      <c r="F42900" s="0" t="s">
        <v>215</v>
      </c>
    </row>
    <row r="42901" customFormat="false" ht="12.8" hidden="false" customHeight="false" outlineLevel="0" collapsed="false">
      <c r="B42901" s="0" t="s">
        <v>3028</v>
      </c>
      <c r="C42901" s="0" t="s">
        <v>217</v>
      </c>
      <c r="E42901" s="0" t="s">
        <v>218</v>
      </c>
      <c r="F42901" s="0" t="s">
        <v>219</v>
      </c>
    </row>
    <row r="42902" customFormat="false" ht="12.8" hidden="false" customHeight="false" outlineLevel="0" collapsed="false">
      <c r="B42902" s="0" t="s">
        <v>52</v>
      </c>
      <c r="C42902" s="0" t="s">
        <v>220</v>
      </c>
      <c r="E42902" s="0" t="s">
        <v>221</v>
      </c>
      <c r="F42902" s="0" t="s">
        <v>222</v>
      </c>
    </row>
    <row r="42904" customFormat="false" ht="12.8" hidden="false" customHeight="false" outlineLevel="0" collapsed="false">
      <c r="A42904" s="0" t="s">
        <v>15587</v>
      </c>
      <c r="B42904" s="0" t="str">
        <f aca="false">HYPERLINK("https://lindat.mff.cuni.cz/services/teitok/pdtc10/index.php?action=vallex&amp;frame=v-w5918f1", "sdělit (v-w5918f1)")</f>
        <v>sdělit (v-w5918f1)</v>
      </c>
      <c r="E42904" s="0" t="str">
        <f aca="false">HYPERLINK("https://lindat.mff.cuni.cz/services/SynSemClass40/SynSemClass40.html?veclass=vec00060#vec00060-ces-cm00113", "vec00060")</f>
        <v>vec00060</v>
      </c>
      <c r="F42904" s="0" t="s">
        <v>213</v>
      </c>
    </row>
    <row r="42905" customFormat="false" ht="12.8" hidden="false" customHeight="false" outlineLevel="0" collapsed="false">
      <c r="B42905" s="0" t="s">
        <v>1</v>
      </c>
      <c r="C42905" s="0" t="s">
        <v>214</v>
      </c>
      <c r="E42905" s="0" t="s">
        <v>147</v>
      </c>
      <c r="F42905" s="0" t="s">
        <v>215</v>
      </c>
    </row>
    <row r="42906" customFormat="false" ht="12.8" hidden="false" customHeight="false" outlineLevel="0" collapsed="false">
      <c r="B42906" s="0" t="s">
        <v>52</v>
      </c>
      <c r="C42906" s="0" t="s">
        <v>220</v>
      </c>
      <c r="E42906" s="0" t="s">
        <v>221</v>
      </c>
      <c r="F42906" s="0" t="s">
        <v>222</v>
      </c>
    </row>
    <row r="42907" customFormat="false" ht="12.8" hidden="false" customHeight="false" outlineLevel="0" collapsed="false">
      <c r="B42907" s="0" t="s">
        <v>15588</v>
      </c>
      <c r="C42907" s="0" t="s">
        <v>2216</v>
      </c>
      <c r="E42907" s="0" t="s">
        <v>2217</v>
      </c>
      <c r="F42907" s="0" t="s">
        <v>2218</v>
      </c>
    </row>
    <row r="42908" customFormat="false" ht="12.8" hidden="false" customHeight="false" outlineLevel="0" collapsed="false">
      <c r="B42908" s="0" t="s">
        <v>496</v>
      </c>
      <c r="C42908" s="0" t="s">
        <v>217</v>
      </c>
      <c r="E42908" s="0" t="s">
        <v>218</v>
      </c>
      <c r="F42908" s="0" t="s">
        <v>219</v>
      </c>
    </row>
    <row r="42910" customFormat="false" ht="12.8" hidden="false" customHeight="false" outlineLevel="0" collapsed="false">
      <c r="A42910" s="0" t="s">
        <v>15589</v>
      </c>
      <c r="B42910" s="0" t="str">
        <f aca="false">HYPERLINK("https://lindat.mff.cuni.cz/services/teitok/pdtc10/index.php?action=vallex&amp;frame=v-w5919f3_ZU", "sdělovat (v-w5919f3_ZU)")</f>
        <v>sdělovat (v-w5919f3_ZU)</v>
      </c>
    </row>
    <row r="42911" customFormat="false" ht="12.8" hidden="false" customHeight="false" outlineLevel="0" collapsed="false">
      <c r="B42911" s="0" t="s">
        <v>1</v>
      </c>
    </row>
    <row r="42912" customFormat="false" ht="12.8" hidden="false" customHeight="false" outlineLevel="0" collapsed="false">
      <c r="B42912" s="0" t="s">
        <v>500</v>
      </c>
    </row>
    <row r="42913" customFormat="false" ht="12.8" hidden="false" customHeight="false" outlineLevel="0" collapsed="false">
      <c r="B42913" s="0" t="s">
        <v>52</v>
      </c>
    </row>
    <row r="42915" customFormat="false" ht="12.8" hidden="false" customHeight="false" outlineLevel="0" collapsed="false">
      <c r="A42915" s="0" t="s">
        <v>15589</v>
      </c>
      <c r="B42915" s="0" t="str">
        <f aca="false">HYPERLINK("https://lindat.mff.cuni.cz/services/teitok/pdtc10/index.php?action=vallex&amp;frame=v-w5919f1", "sdělovat (v-w5919f1) - substituted with v-w5919f3_ZU")</f>
        <v>sdělovat (v-w5919f1) - substituted with v-w5919f3_ZU</v>
      </c>
      <c r="E42915" s="0" t="str">
        <f aca="false">HYPERLINK("https://lindat.mff.cuni.cz/services/SynSemClass40/SynSemClass40.html?veclass=vec00060#vec00060-ces-cm00449", "vec00060")</f>
        <v>vec00060</v>
      </c>
      <c r="F42915" s="0" t="s">
        <v>213</v>
      </c>
    </row>
    <row r="42916" customFormat="false" ht="12.8" hidden="false" customHeight="false" outlineLevel="0" collapsed="false">
      <c r="B42916" s="0" t="s">
        <v>1</v>
      </c>
      <c r="C42916" s="0" t="s">
        <v>214</v>
      </c>
      <c r="E42916" s="0" t="s">
        <v>147</v>
      </c>
      <c r="F42916" s="0" t="s">
        <v>215</v>
      </c>
    </row>
    <row r="42917" customFormat="false" ht="12.8" hidden="false" customHeight="false" outlineLevel="0" collapsed="false">
      <c r="B42917" s="0" t="s">
        <v>500</v>
      </c>
      <c r="C42917" s="0" t="s">
        <v>217</v>
      </c>
      <c r="E42917" s="0" t="s">
        <v>218</v>
      </c>
      <c r="F42917" s="0" t="s">
        <v>219</v>
      </c>
    </row>
    <row r="42918" customFormat="false" ht="12.8" hidden="false" customHeight="false" outlineLevel="0" collapsed="false">
      <c r="B42918" s="0" t="s">
        <v>52</v>
      </c>
      <c r="C42918" s="0" t="s">
        <v>220</v>
      </c>
      <c r="E42918" s="0" t="s">
        <v>221</v>
      </c>
      <c r="F42918" s="0" t="s">
        <v>222</v>
      </c>
    </row>
    <row r="42920" customFormat="false" ht="12.8" hidden="false" customHeight="false" outlineLevel="0" collapsed="false">
      <c r="A42920" s="0" t="s">
        <v>15590</v>
      </c>
      <c r="B42920" s="0" t="str">
        <f aca="false">HYPERLINK("https://lindat.mff.cuni.cz/services/teitok/pdtc10/index.php?action=vallex&amp;frame=v-w5919f2", "sdělovat (v-w5919f2)")</f>
        <v>sdělovat (v-w5919f2)</v>
      </c>
      <c r="E42920" s="0" t="str">
        <f aca="false">HYPERLINK("https://lindat.mff.cuni.cz/services/SynSemClass40/SynSemClass40.html?veclass=vec00060#vec00060-ces-cm00115", "vec00060")</f>
        <v>vec00060</v>
      </c>
      <c r="F42920" s="0" t="s">
        <v>213</v>
      </c>
    </row>
    <row r="42921" customFormat="false" ht="12.8" hidden="false" customHeight="false" outlineLevel="0" collapsed="false">
      <c r="B42921" s="0" t="s">
        <v>1</v>
      </c>
      <c r="C42921" s="0" t="s">
        <v>214</v>
      </c>
      <c r="E42921" s="0" t="s">
        <v>147</v>
      </c>
      <c r="F42921" s="0" t="s">
        <v>215</v>
      </c>
    </row>
    <row r="42922" customFormat="false" ht="12.8" hidden="false" customHeight="false" outlineLevel="0" collapsed="false">
      <c r="B42922" s="0" t="s">
        <v>52</v>
      </c>
      <c r="C42922" s="0" t="s">
        <v>220</v>
      </c>
      <c r="E42922" s="0" t="s">
        <v>221</v>
      </c>
      <c r="F42922" s="0" t="s">
        <v>222</v>
      </c>
    </row>
    <row r="42923" customFormat="false" ht="12.8" hidden="false" customHeight="false" outlineLevel="0" collapsed="false">
      <c r="B42923" s="0" t="s">
        <v>495</v>
      </c>
      <c r="C42923" s="0" t="s">
        <v>2216</v>
      </c>
      <c r="E42923" s="0" t="s">
        <v>2217</v>
      </c>
      <c r="F42923" s="0" t="s">
        <v>2218</v>
      </c>
    </row>
    <row r="42924" customFormat="false" ht="12.8" hidden="false" customHeight="false" outlineLevel="0" collapsed="false">
      <c r="B42924" s="0" t="s">
        <v>15591</v>
      </c>
      <c r="C42924" s="0" t="s">
        <v>217</v>
      </c>
      <c r="E42924" s="0" t="s">
        <v>218</v>
      </c>
      <c r="F42924" s="0" t="s">
        <v>219</v>
      </c>
    </row>
    <row r="42926" customFormat="false" ht="12.8" hidden="false" customHeight="false" outlineLevel="0" collapsed="false">
      <c r="A42926" s="0" t="s">
        <v>15592</v>
      </c>
      <c r="B42926" s="0" t="str">
        <f aca="false">HYPERLINK("https://lindat.mff.cuni.cz/services/teitok/pdtc10/index.php?action=vallex&amp;frame=v-w5940f1", "sebrat (v-w5940f1)")</f>
        <v>sebrat (v-w5940f1)</v>
      </c>
      <c r="E42926" s="0" t="str">
        <f aca="false">HYPERLINK("https://lindat.mff.cuni.cz/services/SynSemClass40/SynSemClass40.html?veclass=vec00704#vec00704-ces-cm00001", "vec00704")</f>
        <v>vec00704</v>
      </c>
      <c r="F42926" s="0" t="s">
        <v>588</v>
      </c>
      <c r="H42926" s="0" t="str">
        <f aca="false">HYPERLINK("https://lindat.mff.cuni.cz/services/SynSemClass40/SynSemClass40.html?veclass=vec01425#vec01425-ces-cm00013", "vec01425")</f>
        <v>vec01425</v>
      </c>
      <c r="I42926" s="0" t="s">
        <v>589</v>
      </c>
    </row>
    <row r="42927" customFormat="false" ht="12.8" hidden="false" customHeight="false" outlineLevel="0" collapsed="false">
      <c r="B42927" s="0" t="s">
        <v>1</v>
      </c>
      <c r="C42927" s="0" t="s">
        <v>590</v>
      </c>
      <c r="E42927" s="0" t="s">
        <v>31</v>
      </c>
      <c r="F42927" s="0" t="s">
        <v>591</v>
      </c>
      <c r="H42927" s="0" t="s">
        <v>31</v>
      </c>
      <c r="I42927" s="0" t="s">
        <v>592</v>
      </c>
    </row>
    <row r="42928" customFormat="false" ht="12.8" hidden="false" customHeight="false" outlineLevel="0" collapsed="false">
      <c r="B42928" s="0" t="s">
        <v>8</v>
      </c>
      <c r="C42928" s="0" t="s">
        <v>593</v>
      </c>
      <c r="E42928" s="0" t="s">
        <v>594</v>
      </c>
      <c r="F42928" s="0" t="s">
        <v>595</v>
      </c>
      <c r="H42928" s="0" t="s">
        <v>594</v>
      </c>
      <c r="I42928" s="0" t="s">
        <v>596</v>
      </c>
    </row>
    <row r="42929" customFormat="false" ht="12.8" hidden="false" customHeight="false" outlineLevel="0" collapsed="false">
      <c r="B42929" s="0" t="s">
        <v>52</v>
      </c>
      <c r="C42929" s="0" t="s">
        <v>597</v>
      </c>
      <c r="E42929" s="0" t="s">
        <v>598</v>
      </c>
      <c r="F42929" s="0" t="s">
        <v>599</v>
      </c>
      <c r="H42929" s="0" t="s">
        <v>598</v>
      </c>
      <c r="I42929" s="0" t="s">
        <v>600</v>
      </c>
    </row>
    <row r="42931" customFormat="false" ht="12.8" hidden="false" customHeight="false" outlineLevel="0" collapsed="false">
      <c r="A42931" s="0" t="s">
        <v>15593</v>
      </c>
      <c r="B42931" s="0" t="str">
        <f aca="false">HYPERLINK("https://lindat.mff.cuni.cz/services/teitok/pdtc10/index.php?action=vallex&amp;frame=v-w5940f3_ZU", "sebrat (v-w5940f3_ZU)")</f>
        <v>sebrat (v-w5940f3_ZU)</v>
      </c>
    </row>
    <row r="42932" customFormat="false" ht="12.8" hidden="false" customHeight="false" outlineLevel="0" collapsed="false">
      <c r="B42932" s="0" t="s">
        <v>1</v>
      </c>
    </row>
    <row r="42933" customFormat="false" ht="12.8" hidden="false" customHeight="false" outlineLevel="0" collapsed="false">
      <c r="B42933" s="0" t="s">
        <v>8</v>
      </c>
    </row>
    <row r="42935" customFormat="false" ht="12.8" hidden="false" customHeight="false" outlineLevel="0" collapsed="false">
      <c r="A42935" s="0" t="s">
        <v>15594</v>
      </c>
      <c r="B42935" s="0" t="str">
        <f aca="false">HYPERLINK("https://lindat.mff.cuni.cz/services/teitok/pdtc10/index.php?action=vallex&amp;frame=v-w5940f2", "sebrat (v-w5940f2)")</f>
        <v>sebrat (v-w5940f2)</v>
      </c>
    </row>
    <row r="42936" customFormat="false" ht="12.8" hidden="false" customHeight="false" outlineLevel="0" collapsed="false">
      <c r="B42936" s="0" t="s">
        <v>1</v>
      </c>
    </row>
    <row r="42937" customFormat="false" ht="12.8" hidden="false" customHeight="false" outlineLevel="0" collapsed="false">
      <c r="B42937" s="0" t="s">
        <v>15545</v>
      </c>
    </row>
    <row r="42939" customFormat="false" ht="12.8" hidden="false" customHeight="false" outlineLevel="0" collapsed="false">
      <c r="A42939" s="0" t="s">
        <v>15595</v>
      </c>
      <c r="B42939" s="0" t="str">
        <f aca="false">HYPERLINK("https://lindat.mff.cuni.cz/services/teitok/pdtc10/index.php?action=vallex&amp;frame=v-w5940f4_ZU", "sebrat (v-w5940f4_ZU)")</f>
        <v>sebrat (v-w5940f4_ZU)</v>
      </c>
    </row>
    <row r="42940" customFormat="false" ht="12.8" hidden="false" customHeight="false" outlineLevel="0" collapsed="false">
      <c r="B42940" s="0" t="s">
        <v>1</v>
      </c>
    </row>
    <row r="42941" customFormat="false" ht="12.8" hidden="false" customHeight="false" outlineLevel="0" collapsed="false">
      <c r="B42941" s="0" t="s">
        <v>8</v>
      </c>
    </row>
    <row r="42942" customFormat="false" ht="12.8" hidden="false" customHeight="false" outlineLevel="0" collapsed="false">
      <c r="B42942" s="0" t="s">
        <v>602</v>
      </c>
    </row>
    <row r="42944" customFormat="false" ht="12.8" hidden="false" customHeight="false" outlineLevel="0" collapsed="false">
      <c r="A42944" s="0" t="s">
        <v>15595</v>
      </c>
      <c r="B42944" s="0" t="str">
        <f aca="false">HYPERLINK("https://lindat.mff.cuni.cz/services/teitok/pdtc10/index.php?action=vallex&amp;frame=v-w5940hsa_1161", "sebrat (v-w5940hsa_1161) - substituted with v-w5940f4_ZU")</f>
        <v>sebrat (v-w5940hsa_1161) - substituted with v-w5940f4_ZU</v>
      </c>
    </row>
    <row r="42945" customFormat="false" ht="12.8" hidden="false" customHeight="false" outlineLevel="0" collapsed="false">
      <c r="B42945" s="0" t="s">
        <v>1</v>
      </c>
    </row>
    <row r="42946" customFormat="false" ht="12.8" hidden="false" customHeight="false" outlineLevel="0" collapsed="false">
      <c r="B42946" s="0" t="s">
        <v>8</v>
      </c>
    </row>
    <row r="42947" customFormat="false" ht="12.8" hidden="false" customHeight="false" outlineLevel="0" collapsed="false">
      <c r="B42947" s="0" t="s">
        <v>602</v>
      </c>
    </row>
    <row r="42949" customFormat="false" ht="12.8" hidden="false" customHeight="false" outlineLevel="0" collapsed="false">
      <c r="A42949" s="0" t="s">
        <v>15596</v>
      </c>
      <c r="B42949" s="0" t="str">
        <f aca="false">HYPERLINK("https://lindat.mff.cuni.cz/services/teitok/pdtc10/index.php?action=vallex&amp;frame=v-w5940f5_ZU", "sebrat (v-w5940f5_ZU)")</f>
        <v>sebrat (v-w5940f5_ZU)</v>
      </c>
    </row>
    <row r="42950" customFormat="false" ht="12.8" hidden="false" customHeight="false" outlineLevel="0" collapsed="false">
      <c r="B42950" s="0" t="s">
        <v>1</v>
      </c>
    </row>
    <row r="42951" customFormat="false" ht="12.8" hidden="false" customHeight="false" outlineLevel="0" collapsed="false">
      <c r="B42951" s="0" t="s">
        <v>8</v>
      </c>
    </row>
    <row r="42953" customFormat="false" ht="12.8" hidden="false" customHeight="false" outlineLevel="0" collapsed="false">
      <c r="A42953" s="0" t="s">
        <v>15596</v>
      </c>
      <c r="B42953" s="0" t="str">
        <f aca="false">HYPERLINK("https://lindat.mff.cuni.cz/services/teitok/pdtc10/index.php?action=vallex&amp;frame=v-w5940hsa_1160", "sebrat (v-w5940hsa_1160) - substituted with v-w5940f5_ZU")</f>
        <v>sebrat (v-w5940hsa_1160) - substituted with v-w5940f5_ZU</v>
      </c>
    </row>
    <row r="42954" customFormat="false" ht="12.8" hidden="false" customHeight="false" outlineLevel="0" collapsed="false">
      <c r="B42954" s="0" t="s">
        <v>1</v>
      </c>
    </row>
    <row r="42955" customFormat="false" ht="12.8" hidden="false" customHeight="false" outlineLevel="0" collapsed="false">
      <c r="B42955" s="0" t="s">
        <v>8</v>
      </c>
    </row>
    <row r="42957" customFormat="false" ht="12.8" hidden="false" customHeight="false" outlineLevel="0" collapsed="false">
      <c r="A42957" s="0" t="s">
        <v>15597</v>
      </c>
      <c r="B42957" s="0" t="str">
        <f aca="false">HYPERLINK("https://lindat.mff.cuni.cz/services/teitok/pdtc10/index.php?action=vallex&amp;frame=v-w5940f7_ZU", "sebrat (v-w5940f7_ZU)")</f>
        <v>sebrat (v-w5940f7_ZU)</v>
      </c>
    </row>
    <row r="42958" customFormat="false" ht="12.8" hidden="false" customHeight="false" outlineLevel="0" collapsed="false">
      <c r="B42958" s="0" t="s">
        <v>1</v>
      </c>
    </row>
    <row r="42959" customFormat="false" ht="12.8" hidden="false" customHeight="false" outlineLevel="0" collapsed="false">
      <c r="B42959" s="0" t="s">
        <v>8</v>
      </c>
    </row>
    <row r="42961" customFormat="false" ht="12.8" hidden="false" customHeight="false" outlineLevel="0" collapsed="false">
      <c r="A42961" s="0" t="s">
        <v>15597</v>
      </c>
      <c r="B42961" s="0" t="str">
        <f aca="false">HYPERLINK("https://lindat.mff.cuni.cz/services/teitok/pdtc10/index.php?action=vallex&amp;frame=v-w5940f6_ZU", "sebrat (v-w5940f6_ZU) - substituted with v-w5940f7_ZU")</f>
        <v>sebrat (v-w5940f6_ZU) - substituted with v-w5940f7_ZU</v>
      </c>
    </row>
    <row r="42962" customFormat="false" ht="12.8" hidden="false" customHeight="false" outlineLevel="0" collapsed="false">
      <c r="B42962" s="0" t="s">
        <v>1</v>
      </c>
    </row>
    <row r="42963" customFormat="false" ht="12.8" hidden="false" customHeight="false" outlineLevel="0" collapsed="false">
      <c r="B42963" s="0" t="s">
        <v>8</v>
      </c>
    </row>
    <row r="42965" customFormat="false" ht="12.8" hidden="false" customHeight="false" outlineLevel="0" collapsed="false">
      <c r="A42965" s="0" t="s">
        <v>15598</v>
      </c>
      <c r="B42965" s="0" t="str">
        <f aca="false">HYPERLINK("https://lindat.mff.cuni.cz/services/teitok/pdtc10/index.php?action=vallex&amp;frame=v-w5940f9_MM", "sebrat (v-w5940f9_MM)")</f>
        <v>sebrat (v-w5940f9_MM)</v>
      </c>
    </row>
    <row r="42966" customFormat="false" ht="12.8" hidden="false" customHeight="false" outlineLevel="0" collapsed="false">
      <c r="B42966" s="0" t="s">
        <v>1</v>
      </c>
    </row>
    <row r="42967" customFormat="false" ht="12.8" hidden="false" customHeight="false" outlineLevel="0" collapsed="false">
      <c r="B42967" s="0" t="s">
        <v>305</v>
      </c>
    </row>
    <row r="42969" customFormat="false" ht="12.8" hidden="false" customHeight="false" outlineLevel="0" collapsed="false">
      <c r="A42969" s="0" t="s">
        <v>15598</v>
      </c>
      <c r="B42969" s="0" t="str">
        <f aca="false">HYPERLINK("https://lindat.mff.cuni.cz/services/teitok/pdtc10/index.php?action=vallex&amp;frame=v-w5940f8_ZU", "sebrat (v-w5940f8_ZU) - substituted with v-w5940f9_MM")</f>
        <v>sebrat (v-w5940f8_ZU) - substituted with v-w5940f9_MM</v>
      </c>
    </row>
    <row r="42970" customFormat="false" ht="12.8" hidden="false" customHeight="false" outlineLevel="0" collapsed="false">
      <c r="B42970" s="0" t="s">
        <v>1</v>
      </c>
    </row>
    <row r="42971" customFormat="false" ht="12.8" hidden="false" customHeight="false" outlineLevel="0" collapsed="false">
      <c r="B42971" s="0" t="s">
        <v>305</v>
      </c>
    </row>
    <row r="42973" customFormat="false" ht="12.8" hidden="false" customHeight="false" outlineLevel="0" collapsed="false">
      <c r="A42973" s="0" t="s">
        <v>15598</v>
      </c>
      <c r="B42973" s="0" t="str">
        <f aca="false">HYPERLINK("https://lindat.mff.cuni.cz/services/teitok/pdtc10/index.php?action=vallex&amp;frame=v-w5940hsa_1158", "sebrat (v-w5940hsa_1158) - substituted with v-w5940f9_MM")</f>
        <v>sebrat (v-w5940hsa_1158) - substituted with v-w5940f9_MM</v>
      </c>
    </row>
    <row r="42974" customFormat="false" ht="12.8" hidden="false" customHeight="false" outlineLevel="0" collapsed="false">
      <c r="B42974" s="0" t="s">
        <v>1</v>
      </c>
    </row>
    <row r="42975" customFormat="false" ht="12.8" hidden="false" customHeight="false" outlineLevel="0" collapsed="false">
      <c r="B42975" s="0" t="s">
        <v>305</v>
      </c>
    </row>
    <row r="42977" customFormat="false" ht="12.8" hidden="false" customHeight="false" outlineLevel="0" collapsed="false">
      <c r="A42977" s="0" t="s">
        <v>15599</v>
      </c>
      <c r="B42977" s="0" t="str">
        <f aca="false">HYPERLINK("https://lindat.mff.cuni.cz/services/teitok/pdtc10/index.php?action=vallex&amp;frame=v-w5940hsa_1159", "sebrat (v-w5940hsa_1159)")</f>
        <v>sebrat (v-w5940hsa_1159)</v>
      </c>
    </row>
    <row r="42978" customFormat="false" ht="12.8" hidden="false" customHeight="false" outlineLevel="0" collapsed="false">
      <c r="B42978" s="0" t="s">
        <v>1</v>
      </c>
    </row>
    <row r="42979" customFormat="false" ht="12.8" hidden="false" customHeight="false" outlineLevel="0" collapsed="false">
      <c r="B42979" s="0" t="s">
        <v>8</v>
      </c>
    </row>
    <row r="42981" customFormat="false" ht="12.8" hidden="false" customHeight="false" outlineLevel="0" collapsed="false">
      <c r="A42981" s="0" t="s">
        <v>15600</v>
      </c>
      <c r="B42981" s="0" t="str">
        <f aca="false">HYPERLINK("https://lindat.mff.cuni.cz/services/teitok/pdtc10/index.php?action=vallex&amp;frame=v-whsa_1065hsa_1066", "sebrat se (v-whsa_1065hsa_1066)")</f>
        <v>sebrat se (v-whsa_1065hsa_1066)</v>
      </c>
    </row>
    <row r="42982" customFormat="false" ht="12.8" hidden="false" customHeight="false" outlineLevel="0" collapsed="false">
      <c r="B42982" s="0" t="s">
        <v>1</v>
      </c>
    </row>
    <row r="42984" customFormat="false" ht="12.8" hidden="false" customHeight="false" outlineLevel="0" collapsed="false">
      <c r="A42984" s="0" t="s">
        <v>15601</v>
      </c>
      <c r="B42984" s="0" t="str">
        <f aca="false">HYPERLINK("https://lindat.mff.cuni.cz/services/teitok/pdtc10/index.php?action=vallex&amp;frame=v-whsa_1065hsa_1067", "sebrat se (v-whsa_1065hsa_1067)")</f>
        <v>sebrat se (v-whsa_1065hsa_1067)</v>
      </c>
    </row>
    <row r="42985" customFormat="false" ht="12.8" hidden="false" customHeight="false" outlineLevel="0" collapsed="false">
      <c r="B42985" s="0" t="s">
        <v>1</v>
      </c>
    </row>
    <row r="42987" customFormat="false" ht="12.8" hidden="false" customHeight="false" outlineLevel="0" collapsed="false">
      <c r="A42987" s="0" t="s">
        <v>15602</v>
      </c>
      <c r="B42987" s="0" t="str">
        <f aca="false">HYPERLINK("https://lindat.mff.cuni.cz/services/teitok/pdtc10/index.php?action=vallex&amp;frame=v-whsa_757hsa_758", "seběhnout (v-whsa_757hsa_758)")</f>
        <v>seběhnout (v-whsa_757hsa_758)</v>
      </c>
    </row>
    <row r="42988" customFormat="false" ht="12.8" hidden="false" customHeight="false" outlineLevel="0" collapsed="false">
      <c r="B42988" s="0" t="s">
        <v>1</v>
      </c>
    </row>
    <row r="42989" customFormat="false" ht="12.8" hidden="false" customHeight="false" outlineLevel="0" collapsed="false">
      <c r="B42989" s="0" t="s">
        <v>164</v>
      </c>
    </row>
    <row r="42991" customFormat="false" ht="12.8" hidden="false" customHeight="false" outlineLevel="0" collapsed="false">
      <c r="A42991" s="0" t="s">
        <v>15603</v>
      </c>
      <c r="B42991" s="0" t="str">
        <f aca="false">HYPERLINK("https://lindat.mff.cuni.cz/services/teitok/pdtc10/index.php?action=vallex&amp;frame=v-w5929f1", "seběhnout se (v-w5929f1)")</f>
        <v>seběhnout se (v-w5929f1)</v>
      </c>
    </row>
    <row r="42992" customFormat="false" ht="12.8" hidden="false" customHeight="false" outlineLevel="0" collapsed="false">
      <c r="B42992" s="0" t="s">
        <v>1</v>
      </c>
    </row>
    <row r="42993" customFormat="false" ht="12.8" hidden="false" customHeight="false" outlineLevel="0" collapsed="false">
      <c r="B42993" s="0" t="s">
        <v>5</v>
      </c>
    </row>
    <row r="42995" customFormat="false" ht="12.8" hidden="false" customHeight="false" outlineLevel="0" collapsed="false">
      <c r="A42995" s="0" t="s">
        <v>15604</v>
      </c>
      <c r="B42995" s="0" t="str">
        <f aca="false">HYPERLINK("https://lindat.mff.cuni.cz/services/teitok/pdtc10/index.php?action=vallex&amp;frame=v-w5929f3", "seběhnout se (v-w5929f3)")</f>
        <v>seběhnout se (v-w5929f3)</v>
      </c>
    </row>
    <row r="42996" customFormat="false" ht="12.8" hidden="false" customHeight="false" outlineLevel="0" collapsed="false">
      <c r="B42996" s="0" t="s">
        <v>1</v>
      </c>
    </row>
    <row r="42997" customFormat="false" ht="12.8" hidden="false" customHeight="false" outlineLevel="0" collapsed="false">
      <c r="B42997" s="0" t="s">
        <v>164</v>
      </c>
    </row>
    <row r="42999" customFormat="false" ht="12.8" hidden="false" customHeight="false" outlineLevel="0" collapsed="false">
      <c r="A42999" s="0" t="s">
        <v>15605</v>
      </c>
      <c r="B42999" s="0" t="str">
        <f aca="false">HYPERLINK("https://lindat.mff.cuni.cz/services/teitok/pdtc10/index.php?action=vallex&amp;frame=v-w5929f2", "seběhnout se (v-w5929f2)")</f>
        <v>seběhnout se (v-w5929f2)</v>
      </c>
    </row>
    <row r="43000" customFormat="false" ht="12.8" hidden="false" customHeight="false" outlineLevel="0" collapsed="false">
      <c r="B43000" s="0" t="s">
        <v>1</v>
      </c>
    </row>
    <row r="43002" customFormat="false" ht="12.8" hidden="false" customHeight="false" outlineLevel="0" collapsed="false">
      <c r="A43002" s="0" t="s">
        <v>15606</v>
      </c>
      <c r="B43002" s="0" t="str">
        <f aca="false">HYPERLINK("https://lindat.mff.cuni.cz/services/teitok/pdtc10/index.php?action=vallex&amp;frame=v-whsa_879hsa_880", "secvičit (v-whsa_879hsa_880)")</f>
        <v>secvičit (v-whsa_879hsa_880)</v>
      </c>
    </row>
    <row r="43003" customFormat="false" ht="12.8" hidden="false" customHeight="false" outlineLevel="0" collapsed="false">
      <c r="B43003" s="0" t="s">
        <v>1</v>
      </c>
    </row>
    <row r="43004" customFormat="false" ht="12.8" hidden="false" customHeight="false" outlineLevel="0" collapsed="false">
      <c r="B43004" s="0" t="s">
        <v>8</v>
      </c>
    </row>
    <row r="43006" customFormat="false" ht="12.8" hidden="false" customHeight="false" outlineLevel="0" collapsed="false">
      <c r="A43006" s="0" t="s">
        <v>15607</v>
      </c>
      <c r="B43006" s="0" t="str">
        <f aca="false">HYPERLINK("https://lindat.mff.cuni.cz/services/teitok/pdtc10/index.php?action=vallex&amp;frame=v-whsa_584hsa_585", "secvičovat (v-whsa_584hsa_585)")</f>
        <v>secvičovat (v-whsa_584hsa_585)</v>
      </c>
    </row>
    <row r="43007" customFormat="false" ht="12.8" hidden="false" customHeight="false" outlineLevel="0" collapsed="false">
      <c r="B43007" s="0" t="s">
        <v>1</v>
      </c>
    </row>
    <row r="43008" customFormat="false" ht="12.8" hidden="false" customHeight="false" outlineLevel="0" collapsed="false">
      <c r="B43008" s="0" t="s">
        <v>8</v>
      </c>
    </row>
    <row r="43010" customFormat="false" ht="12.8" hidden="false" customHeight="false" outlineLevel="0" collapsed="false">
      <c r="A43010" s="0" t="s">
        <v>15608</v>
      </c>
      <c r="B43010" s="0" t="str">
        <f aca="false">HYPERLINK("https://lindat.mff.cuni.cz/services/teitok/pdtc10/index.php?action=vallex&amp;frame=v-whsa_1398hsa_1399", "secvičovat se (v-whsa_1398hsa_1399)")</f>
        <v>secvičovat se (v-whsa_1398hsa_1399)</v>
      </c>
    </row>
    <row r="43011" customFormat="false" ht="12.8" hidden="false" customHeight="false" outlineLevel="0" collapsed="false">
      <c r="B43011" s="0" t="s">
        <v>1</v>
      </c>
    </row>
    <row r="43012" customFormat="false" ht="12.8" hidden="false" customHeight="false" outlineLevel="0" collapsed="false">
      <c r="B43012" s="0" t="s">
        <v>721</v>
      </c>
    </row>
    <row r="43014" customFormat="false" ht="12.8" hidden="false" customHeight="false" outlineLevel="0" collapsed="false">
      <c r="A43014" s="0" t="s">
        <v>15609</v>
      </c>
      <c r="B43014" s="0" t="str">
        <f aca="false">HYPERLINK("https://lindat.mff.cuni.cz/services/teitok/pdtc10/index.php?action=vallex&amp;frame=v-w11767_ZUf2_ZU", "sedat (v-w11767_ZUf2_ZU)")</f>
        <v>sedat (v-w11767_ZUf2_ZU)</v>
      </c>
    </row>
    <row r="43015" customFormat="false" ht="12.8" hidden="false" customHeight="false" outlineLevel="0" collapsed="false">
      <c r="B43015" s="0" t="s">
        <v>1</v>
      </c>
    </row>
    <row r="43016" customFormat="false" ht="12.8" hidden="false" customHeight="false" outlineLevel="0" collapsed="false">
      <c r="B43016" s="0" t="s">
        <v>454</v>
      </c>
    </row>
    <row r="43018" customFormat="false" ht="12.8" hidden="false" customHeight="false" outlineLevel="0" collapsed="false">
      <c r="A43018" s="0" t="s">
        <v>15610</v>
      </c>
      <c r="B43018" s="0" t="str">
        <f aca="false">HYPERLINK("https://lindat.mff.cuni.cz/services/teitok/pdtc10/index.php?action=vallex&amp;frame=v-w11767_ZUf3_ZU", "sedat (v-w11767_ZUf3_ZU)")</f>
        <v>sedat (v-w11767_ZUf3_ZU)</v>
      </c>
    </row>
    <row r="43019" customFormat="false" ht="12.8" hidden="false" customHeight="false" outlineLevel="0" collapsed="false">
      <c r="B43019" s="0" t="s">
        <v>1</v>
      </c>
    </row>
    <row r="43020" customFormat="false" ht="12.8" hidden="false" customHeight="false" outlineLevel="0" collapsed="false">
      <c r="B43020" s="0" t="s">
        <v>1262</v>
      </c>
    </row>
    <row r="43022" customFormat="false" ht="12.8" hidden="false" customHeight="false" outlineLevel="0" collapsed="false">
      <c r="A43022" s="0" t="s">
        <v>15610</v>
      </c>
      <c r="B43022" s="0" t="str">
        <f aca="false">HYPERLINK("https://lindat.mff.cuni.cz/services/teitok/pdtc10/index.php?action=vallex&amp;frame=v-w11767_ZUf1_ZU", "sedat (v-w11767_ZUf1_ZU) - substituted with v-w11767_ZUf3_ZU")</f>
        <v>sedat (v-w11767_ZUf1_ZU) - substituted with v-w11767_ZUf3_ZU</v>
      </c>
    </row>
    <row r="43023" customFormat="false" ht="12.8" hidden="false" customHeight="false" outlineLevel="0" collapsed="false">
      <c r="B43023" s="0" t="s">
        <v>1</v>
      </c>
    </row>
    <row r="43024" customFormat="false" ht="12.8" hidden="false" customHeight="false" outlineLevel="0" collapsed="false">
      <c r="B43024" s="0" t="s">
        <v>1262</v>
      </c>
    </row>
    <row r="43026" customFormat="false" ht="12.8" hidden="false" customHeight="false" outlineLevel="0" collapsed="false">
      <c r="A43026" s="0" t="s">
        <v>15611</v>
      </c>
      <c r="B43026" s="0" t="str">
        <f aca="false">HYPERLINK("https://lindat.mff.cuni.cz/services/teitok/pdtc10/index.php?action=vallex&amp;frame=v-whsa_1364hsa_1365", "sedat si (v-whsa_1364hsa_1365)")</f>
        <v>sedat si (v-whsa_1364hsa_1365)</v>
      </c>
    </row>
    <row r="43027" customFormat="false" ht="12.8" hidden="false" customHeight="false" outlineLevel="0" collapsed="false">
      <c r="B43027" s="0" t="s">
        <v>1</v>
      </c>
    </row>
    <row r="43028" customFormat="false" ht="12.8" hidden="false" customHeight="false" outlineLevel="0" collapsed="false">
      <c r="B43028" s="0" t="s">
        <v>164</v>
      </c>
    </row>
    <row r="43030" customFormat="false" ht="12.8" hidden="false" customHeight="false" outlineLevel="0" collapsed="false">
      <c r="A43030" s="0" t="s">
        <v>15612</v>
      </c>
      <c r="B43030" s="0" t="str">
        <f aca="false">HYPERLINK("https://lindat.mff.cuni.cz/services/teitok/pdtc10/index.php?action=vallex&amp;frame=v-w10268f2", "sedlat (v-w10268f2)")</f>
        <v>sedlat (v-w10268f2)</v>
      </c>
    </row>
    <row r="43031" customFormat="false" ht="12.8" hidden="false" customHeight="false" outlineLevel="0" collapsed="false">
      <c r="B43031" s="0" t="s">
        <v>1</v>
      </c>
    </row>
    <row r="43032" customFormat="false" ht="12.8" hidden="false" customHeight="false" outlineLevel="0" collapsed="false">
      <c r="B43032" s="0" t="s">
        <v>8</v>
      </c>
    </row>
    <row r="43034" customFormat="false" ht="12.8" hidden="false" customHeight="false" outlineLevel="0" collapsed="false">
      <c r="A43034" s="0" t="s">
        <v>15613</v>
      </c>
      <c r="B43034" s="0" t="str">
        <f aca="false">HYPERLINK("https://lindat.mff.cuni.cz/services/teitok/pdtc10/index.php?action=vallex&amp;frame=v-w5946f1", "sednout (v-w5946f1)")</f>
        <v>sednout (v-w5946f1)</v>
      </c>
    </row>
    <row r="43035" customFormat="false" ht="12.8" hidden="false" customHeight="false" outlineLevel="0" collapsed="false">
      <c r="B43035" s="0" t="s">
        <v>1</v>
      </c>
    </row>
    <row r="43036" customFormat="false" ht="12.8" hidden="false" customHeight="false" outlineLevel="0" collapsed="false">
      <c r="B43036" s="0" t="s">
        <v>164</v>
      </c>
    </row>
    <row r="43038" customFormat="false" ht="12.8" hidden="false" customHeight="false" outlineLevel="0" collapsed="false">
      <c r="A43038" s="0" t="s">
        <v>15614</v>
      </c>
      <c r="B43038" s="0" t="str">
        <f aca="false">HYPERLINK("https://lindat.mff.cuni.cz/services/teitok/pdtc10/index.php?action=vallex&amp;frame=v-w5947f3_ZU", "sednout si (v-w5947f3_ZU)")</f>
        <v>sednout si (v-w5947f3_ZU)</v>
      </c>
    </row>
    <row r="43039" customFormat="false" ht="12.8" hidden="false" customHeight="false" outlineLevel="0" collapsed="false">
      <c r="B43039" s="0" t="s">
        <v>1</v>
      </c>
    </row>
    <row r="43040" customFormat="false" ht="12.8" hidden="false" customHeight="false" outlineLevel="0" collapsed="false">
      <c r="B43040" s="0" t="s">
        <v>5</v>
      </c>
    </row>
    <row r="43042" customFormat="false" ht="12.8" hidden="false" customHeight="false" outlineLevel="0" collapsed="false">
      <c r="A43042" s="0" t="s">
        <v>15614</v>
      </c>
      <c r="B43042" s="0" t="str">
        <f aca="false">HYPERLINK("https://lindat.mff.cuni.cz/services/teitok/pdtc10/index.php?action=vallex&amp;frame=v-w5947f2", "sednout si (v-w5947f2) - substituted with v-w5947f3_ZU")</f>
        <v>sednout si (v-w5947f2) - substituted with v-w5947f3_ZU</v>
      </c>
      <c r="E43042" s="0" t="str">
        <f aca="false">HYPERLINK("https://lindat.mff.cuni.cz/services/SynSemClass40/SynSemClass40.html?veclass=vec00705#vec00705-ces-cm00028", "vec00705")</f>
        <v>vec00705</v>
      </c>
      <c r="F43042" s="0" t="s">
        <v>9251</v>
      </c>
    </row>
    <row r="43043" customFormat="false" ht="12.8" hidden="false" customHeight="false" outlineLevel="0" collapsed="false">
      <c r="B43043" s="0" t="s">
        <v>1</v>
      </c>
      <c r="C43043" s="0" t="s">
        <v>2789</v>
      </c>
      <c r="E43043" s="0" t="s">
        <v>11</v>
      </c>
      <c r="F43043" s="0" t="s">
        <v>9252</v>
      </c>
    </row>
    <row r="43044" customFormat="false" ht="12.8" hidden="false" customHeight="false" outlineLevel="0" collapsed="false">
      <c r="B43044" s="0" t="s">
        <v>5</v>
      </c>
      <c r="E43044" s="0" t="s">
        <v>3254</v>
      </c>
      <c r="F43044" s="0" t="s">
        <v>3255</v>
      </c>
    </row>
    <row r="43046" customFormat="false" ht="12.8" hidden="false" customHeight="false" outlineLevel="0" collapsed="false">
      <c r="A43046" s="0" t="s">
        <v>15615</v>
      </c>
      <c r="B43046" s="0" t="str">
        <f aca="false">HYPERLINK("https://lindat.mff.cuni.cz/services/teitok/pdtc10/index.php?action=vallex&amp;frame=v-w5947f1", "sednout si (v-w5947f1)")</f>
        <v>sednout si (v-w5947f1)</v>
      </c>
      <c r="E43046" s="0" t="str">
        <f aca="false">HYPERLINK("https://lindat.mff.cuni.cz/services/SynSemClass40/SynSemClass40.html?veclass=vec00705#vec00705-ces-cm00001", "vec00705")</f>
        <v>vec00705</v>
      </c>
      <c r="F43046" s="0" t="s">
        <v>9251</v>
      </c>
    </row>
    <row r="43047" customFormat="false" ht="12.8" hidden="false" customHeight="false" outlineLevel="0" collapsed="false">
      <c r="B43047" s="0" t="s">
        <v>1</v>
      </c>
      <c r="C43047" s="0" t="s">
        <v>2789</v>
      </c>
      <c r="E43047" s="0" t="s">
        <v>11</v>
      </c>
      <c r="F43047" s="0" t="s">
        <v>9252</v>
      </c>
    </row>
    <row r="43048" customFormat="false" ht="12.8" hidden="false" customHeight="false" outlineLevel="0" collapsed="false">
      <c r="B43048" s="0" t="s">
        <v>164</v>
      </c>
      <c r="E43048" s="0" t="s">
        <v>370</v>
      </c>
      <c r="F43048" s="0" t="s">
        <v>3041</v>
      </c>
    </row>
    <row r="43050" customFormat="false" ht="12.8" hidden="false" customHeight="false" outlineLevel="0" collapsed="false">
      <c r="A43050" s="0" t="s">
        <v>15616</v>
      </c>
      <c r="B43050" s="0" t="str">
        <f aca="false">HYPERLINK("https://lindat.mff.cuni.cz/services/teitok/pdtc10/index.php?action=vallex&amp;frame=v-w5947hsa_1230", "sednout si (v-w5947hsa_1230)")</f>
        <v>sednout si (v-w5947hsa_1230)</v>
      </c>
    </row>
    <row r="43051" customFormat="false" ht="12.8" hidden="false" customHeight="false" outlineLevel="0" collapsed="false">
      <c r="B43051" s="0" t="s">
        <v>1</v>
      </c>
    </row>
    <row r="43052" customFormat="false" ht="12.8" hidden="false" customHeight="false" outlineLevel="0" collapsed="false">
      <c r="B43052" s="0" t="s">
        <v>15617</v>
      </c>
    </row>
    <row r="43054" customFormat="false" ht="12.8" hidden="false" customHeight="false" outlineLevel="0" collapsed="false">
      <c r="A43054" s="0" t="s">
        <v>15618</v>
      </c>
      <c r="B43054" s="0" t="str">
        <f aca="false">HYPERLINK("https://lindat.mff.cuni.cz/services/teitok/pdtc10/index.php?action=vallex&amp;frame=v-w5944f1", "sedávat (v-w5944f1)")</f>
        <v>sedávat (v-w5944f1)</v>
      </c>
    </row>
    <row r="43055" customFormat="false" ht="12.8" hidden="false" customHeight="false" outlineLevel="0" collapsed="false">
      <c r="B43055" s="0" t="s">
        <v>1</v>
      </c>
    </row>
    <row r="43056" customFormat="false" ht="12.8" hidden="false" customHeight="false" outlineLevel="0" collapsed="false">
      <c r="B43056" s="0" t="s">
        <v>5</v>
      </c>
    </row>
    <row r="43058" customFormat="false" ht="12.8" hidden="false" customHeight="false" outlineLevel="0" collapsed="false">
      <c r="A43058" s="0" t="s">
        <v>15619</v>
      </c>
      <c r="B43058" s="0" t="str">
        <f aca="false">HYPERLINK("https://lindat.mff.cuni.cz/services/teitok/pdtc10/index.php?action=vallex&amp;frame=v-w5945f3", "sedět (v-w5945f3)")</f>
        <v>sedět (v-w5945f3)</v>
      </c>
    </row>
    <row r="43059" customFormat="false" ht="12.8" hidden="false" customHeight="false" outlineLevel="0" collapsed="false">
      <c r="B43059" s="0" t="s">
        <v>7546</v>
      </c>
    </row>
    <row r="43060" customFormat="false" ht="12.8" hidden="false" customHeight="false" outlineLevel="0" collapsed="false">
      <c r="B43060" s="0" t="s">
        <v>186</v>
      </c>
    </row>
    <row r="43062" customFormat="false" ht="12.8" hidden="false" customHeight="false" outlineLevel="0" collapsed="false">
      <c r="A43062" s="0" t="s">
        <v>15620</v>
      </c>
      <c r="B43062" s="0" t="str">
        <f aca="false">HYPERLINK("https://lindat.mff.cuni.cz/services/teitok/pdtc10/index.php?action=vallex&amp;frame=v-w5945f1", "sedět (v-w5945f1)")</f>
        <v>sedět (v-w5945f1)</v>
      </c>
      <c r="E43062" s="0" t="str">
        <f aca="false">HYPERLINK("https://lindat.mff.cuni.cz/services/SynSemClass40/SynSemClass40.html?veclass=vec00373#vec00373-ces-cm00118", "vec00373")</f>
        <v>vec00373</v>
      </c>
      <c r="F43062" s="0" t="s">
        <v>6637</v>
      </c>
    </row>
    <row r="43063" customFormat="false" ht="12.8" hidden="false" customHeight="false" outlineLevel="0" collapsed="false">
      <c r="B43063" s="0" t="s">
        <v>1</v>
      </c>
      <c r="C43063" s="0" t="s">
        <v>11591</v>
      </c>
      <c r="E43063" s="0" t="s">
        <v>11</v>
      </c>
      <c r="F43063" s="0" t="s">
        <v>6639</v>
      </c>
    </row>
    <row r="43064" customFormat="false" ht="12.8" hidden="false" customHeight="false" outlineLevel="0" collapsed="false">
      <c r="B43064" s="0" t="s">
        <v>5</v>
      </c>
      <c r="E43064" s="0" t="s">
        <v>15621</v>
      </c>
      <c r="F43064" s="0" t="s">
        <v>15622</v>
      </c>
    </row>
    <row r="43066" customFormat="false" ht="12.8" hidden="false" customHeight="false" outlineLevel="0" collapsed="false">
      <c r="A43066" s="0" t="s">
        <v>15623</v>
      </c>
      <c r="B43066" s="0" t="str">
        <f aca="false">HYPERLINK("https://lindat.mff.cuni.cz/services/teitok/pdtc10/index.php?action=vallex&amp;frame=v-w5945f2", "sedět (v-w5945f2)")</f>
        <v>sedět (v-w5945f2)</v>
      </c>
      <c r="E43066" s="0" t="str">
        <f aca="false">HYPERLINK("https://lindat.mff.cuni.cz/services/SynSemClass40/SynSemClass40.html?veclass=vec00305#vec00305-ces-cm00001", "vec00305")</f>
        <v>vec00305</v>
      </c>
      <c r="F43066" s="0" t="s">
        <v>11459</v>
      </c>
    </row>
    <row r="43067" customFormat="false" ht="12.8" hidden="false" customHeight="false" outlineLevel="0" collapsed="false">
      <c r="B43067" s="0" t="s">
        <v>1</v>
      </c>
      <c r="C43067" s="0" t="s">
        <v>11460</v>
      </c>
      <c r="E43067" s="0" t="s">
        <v>11</v>
      </c>
      <c r="F43067" s="0" t="s">
        <v>11461</v>
      </c>
    </row>
    <row r="43069" customFormat="false" ht="12.8" hidden="false" customHeight="false" outlineLevel="0" collapsed="false">
      <c r="A43069" s="0" t="s">
        <v>15624</v>
      </c>
      <c r="B43069" s="0" t="str">
        <f aca="false">HYPERLINK("https://lindat.mff.cuni.cz/services/teitok/pdtc10/index.php?action=vallex&amp;frame=v-w5945f4", "sedět (v-w5945f4)")</f>
        <v>sedět (v-w5945f4)</v>
      </c>
    </row>
    <row r="43070" customFormat="false" ht="12.8" hidden="false" customHeight="false" outlineLevel="0" collapsed="false">
      <c r="B43070" s="0" t="s">
        <v>1</v>
      </c>
    </row>
    <row r="43072" customFormat="false" ht="12.8" hidden="false" customHeight="false" outlineLevel="0" collapsed="false">
      <c r="A43072" s="0" t="s">
        <v>15625</v>
      </c>
      <c r="B43072" s="0" t="str">
        <f aca="false">HYPERLINK("https://lindat.mff.cuni.cz/services/teitok/pdtc10/index.php?action=vallex&amp;frame=v-w5945hsa_1293", "sedět (v-w5945hsa_1293)")</f>
        <v>sedět (v-w5945hsa_1293)</v>
      </c>
      <c r="E43072" s="0" t="str">
        <f aca="false">HYPERLINK("https://lindat.mff.cuni.cz/services/SynSemClass40/SynSemClass40.html?veclass=vec00231#vec00231-ces-cm00054", "vec00231")</f>
        <v>vec00231</v>
      </c>
      <c r="F43072" s="0" t="s">
        <v>262</v>
      </c>
    </row>
    <row r="43073" customFormat="false" ht="12.8" hidden="false" customHeight="false" outlineLevel="0" collapsed="false">
      <c r="B43073" s="0" t="s">
        <v>1</v>
      </c>
      <c r="C43073" s="0" t="s">
        <v>11740</v>
      </c>
      <c r="E43073" s="0" t="s">
        <v>1103</v>
      </c>
      <c r="F43073" s="0" t="s">
        <v>11741</v>
      </c>
    </row>
    <row r="43074" customFormat="false" ht="12.8" hidden="false" customHeight="false" outlineLevel="0" collapsed="false">
      <c r="B43074" s="0" t="s">
        <v>186</v>
      </c>
      <c r="C43074" s="0" t="s">
        <v>11742</v>
      </c>
      <c r="E43074" s="0" t="s">
        <v>1930</v>
      </c>
      <c r="F43074" s="0" t="s">
        <v>11743</v>
      </c>
    </row>
    <row r="43076" customFormat="false" ht="12.8" hidden="false" customHeight="false" outlineLevel="0" collapsed="false">
      <c r="A43076" s="0" t="s">
        <v>15626</v>
      </c>
      <c r="B43076" s="0" t="str">
        <f aca="false">HYPERLINK("https://lindat.mff.cuni.cz/services/teitok/pdtc10/index.php?action=vallex&amp;frame=v-w5945hsa_1294", "sedět (v-w5945hsa_1294)")</f>
        <v>sedět (v-w5945hsa_1294)</v>
      </c>
    </row>
    <row r="43077" customFormat="false" ht="12.8" hidden="false" customHeight="false" outlineLevel="0" collapsed="false">
      <c r="B43077" s="0" t="s">
        <v>1</v>
      </c>
    </row>
    <row r="43078" customFormat="false" ht="12.8" hidden="false" customHeight="false" outlineLevel="0" collapsed="false">
      <c r="B43078" s="0" t="s">
        <v>291</v>
      </c>
    </row>
    <row r="43080" customFormat="false" ht="12.8" hidden="false" customHeight="false" outlineLevel="0" collapsed="false">
      <c r="A43080" s="0" t="s">
        <v>15627</v>
      </c>
      <c r="B43080" s="0" t="str">
        <f aca="false">HYPERLINK("https://lindat.mff.cuni.cz/services/teitok/pdtc10/index.php?action=vallex&amp;frame=v-w5945f5_ZU", "sedět (v-w5945f5_ZU)")</f>
        <v>sedět (v-w5945f5_ZU)</v>
      </c>
    </row>
    <row r="43081" customFormat="false" ht="12.8" hidden="false" customHeight="false" outlineLevel="0" collapsed="false">
      <c r="B43081" s="0" t="s">
        <v>1</v>
      </c>
    </row>
    <row r="43082" customFormat="false" ht="12.8" hidden="false" customHeight="false" outlineLevel="0" collapsed="false">
      <c r="B43082" s="0" t="s">
        <v>15628</v>
      </c>
    </row>
    <row r="43084" customFormat="false" ht="12.8" hidden="false" customHeight="false" outlineLevel="0" collapsed="false">
      <c r="A43084" s="0" t="s">
        <v>15627</v>
      </c>
      <c r="B43084" s="0" t="str">
        <f aca="false">HYPERLINK("https://lindat.mff.cuni.cz/services/teitok/pdtc10/index.php?action=vallex&amp;frame=v-w5945hsa_1295", "sedět (v-w5945hsa_1295) - substituted with v-w5945f5_ZU")</f>
        <v>sedět (v-w5945hsa_1295) - substituted with v-w5945f5_ZU</v>
      </c>
    </row>
    <row r="43085" customFormat="false" ht="12.8" hidden="false" customHeight="false" outlineLevel="0" collapsed="false">
      <c r="B43085" s="0" t="s">
        <v>1</v>
      </c>
    </row>
    <row r="43086" customFormat="false" ht="12.8" hidden="false" customHeight="false" outlineLevel="0" collapsed="false">
      <c r="B43086" s="0" t="s">
        <v>15628</v>
      </c>
    </row>
    <row r="43088" customFormat="false" ht="12.8" hidden="false" customHeight="false" outlineLevel="0" collapsed="false">
      <c r="A43088" s="0" t="s">
        <v>15629</v>
      </c>
      <c r="B43088" s="0" t="str">
        <f aca="false">HYPERLINK("https://lindat.mff.cuni.cz/services/teitok/pdtc10/index.php?action=vallex&amp;frame=v-w5945f6_ZU", "sedět (v-w5945f6_ZU)")</f>
        <v>sedět (v-w5945f6_ZU)</v>
      </c>
    </row>
    <row r="43089" customFormat="false" ht="12.8" hidden="false" customHeight="false" outlineLevel="0" collapsed="false">
      <c r="B43089" s="0" t="s">
        <v>1</v>
      </c>
    </row>
    <row r="43090" customFormat="false" ht="12.8" hidden="false" customHeight="false" outlineLevel="0" collapsed="false">
      <c r="B43090" s="0" t="s">
        <v>15630</v>
      </c>
    </row>
    <row r="43092" customFormat="false" ht="12.8" hidden="false" customHeight="false" outlineLevel="0" collapsed="false">
      <c r="A43092" s="0" t="s">
        <v>15629</v>
      </c>
      <c r="B43092" s="0" t="str">
        <f aca="false">HYPERLINK("https://lindat.mff.cuni.cz/services/teitok/pdtc10/index.php?action=vallex&amp;frame=v-w5945hsa_1296", "sedět (v-w5945hsa_1296) - substituted with v-w5945f6_ZU")</f>
        <v>sedět (v-w5945hsa_1296) - substituted with v-w5945f6_ZU</v>
      </c>
    </row>
    <row r="43093" customFormat="false" ht="12.8" hidden="false" customHeight="false" outlineLevel="0" collapsed="false">
      <c r="B43093" s="0" t="s">
        <v>1</v>
      </c>
    </row>
    <row r="43094" customFormat="false" ht="12.8" hidden="false" customHeight="false" outlineLevel="0" collapsed="false">
      <c r="B43094" s="0" t="s">
        <v>15630</v>
      </c>
    </row>
    <row r="43096" customFormat="false" ht="12.8" hidden="false" customHeight="false" outlineLevel="0" collapsed="false">
      <c r="A43096" s="0" t="s">
        <v>15631</v>
      </c>
      <c r="B43096" s="0" t="str">
        <f aca="false">HYPERLINK("https://lindat.mff.cuni.cz/services/teitok/pdtc10/index.php?action=vallex&amp;frame=v-w5945hsa_1101", "sedět (v-w5945hsa_1101)")</f>
        <v>sedět (v-w5945hsa_1101)</v>
      </c>
    </row>
    <row r="43097" customFormat="false" ht="12.8" hidden="false" customHeight="false" outlineLevel="0" collapsed="false">
      <c r="B43097" s="0" t="s">
        <v>1</v>
      </c>
    </row>
    <row r="43098" customFormat="false" ht="12.8" hidden="false" customHeight="false" outlineLevel="0" collapsed="false">
      <c r="B43098" s="0" t="s">
        <v>45</v>
      </c>
    </row>
    <row r="43100" customFormat="false" ht="12.8" hidden="false" customHeight="false" outlineLevel="0" collapsed="false">
      <c r="A43100" s="0" t="s">
        <v>15632</v>
      </c>
      <c r="B43100" s="0" t="str">
        <f aca="false">HYPERLINK("https://lindat.mff.cuni.cz/services/teitok/pdtc10/index.php?action=vallex&amp;frame=v-w10763f2", "sedřít (v-w10763f2)")</f>
        <v>sedřít (v-w10763f2)</v>
      </c>
    </row>
    <row r="43101" customFormat="false" ht="12.8" hidden="false" customHeight="false" outlineLevel="0" collapsed="false">
      <c r="B43101" s="0" t="s">
        <v>1</v>
      </c>
    </row>
    <row r="43102" customFormat="false" ht="12.8" hidden="false" customHeight="false" outlineLevel="0" collapsed="false">
      <c r="B43102" s="0" t="s">
        <v>15633</v>
      </c>
    </row>
    <row r="43103" customFormat="false" ht="12.8" hidden="false" customHeight="false" outlineLevel="0" collapsed="false">
      <c r="B43103" s="0" t="s">
        <v>186</v>
      </c>
    </row>
    <row r="43105" customFormat="false" ht="12.8" hidden="false" customHeight="false" outlineLevel="0" collapsed="false">
      <c r="A43105" s="0" t="s">
        <v>15634</v>
      </c>
      <c r="B43105" s="0" t="str">
        <f aca="false">HYPERLINK("https://lindat.mff.cuni.cz/services/teitok/pdtc10/index.php?action=vallex&amp;frame=v-whsa_23hsa_24", "segmentovat (v-whsa_23hsa_24)")</f>
        <v>segmentovat (v-whsa_23hsa_24)</v>
      </c>
    </row>
    <row r="43106" customFormat="false" ht="12.8" hidden="false" customHeight="false" outlineLevel="0" collapsed="false">
      <c r="B43106" s="0" t="s">
        <v>1</v>
      </c>
    </row>
    <row r="43107" customFormat="false" ht="12.8" hidden="false" customHeight="false" outlineLevel="0" collapsed="false">
      <c r="B43107" s="0" t="s">
        <v>8</v>
      </c>
    </row>
    <row r="43108" customFormat="false" ht="12.8" hidden="false" customHeight="false" outlineLevel="0" collapsed="false">
      <c r="B43108" s="0" t="s">
        <v>3211</v>
      </c>
    </row>
    <row r="43110" customFormat="false" ht="12.8" hidden="false" customHeight="false" outlineLevel="0" collapsed="false">
      <c r="A43110" s="0" t="s">
        <v>15635</v>
      </c>
      <c r="B43110" s="0" t="str">
        <f aca="false">HYPERLINK("https://lindat.mff.cuni.cz/services/teitok/pdtc10/index.php?action=vallex&amp;frame=v-w5948f2_ZU", "sehnat (v-w5948f2_ZU)")</f>
        <v>sehnat (v-w5948f2_ZU)</v>
      </c>
    </row>
    <row r="43111" customFormat="false" ht="12.8" hidden="false" customHeight="false" outlineLevel="0" collapsed="false">
      <c r="B43111" s="0" t="s">
        <v>1</v>
      </c>
    </row>
    <row r="43112" customFormat="false" ht="12.8" hidden="false" customHeight="false" outlineLevel="0" collapsed="false">
      <c r="B43112" s="0" t="s">
        <v>8</v>
      </c>
    </row>
    <row r="43113" customFormat="false" ht="12.8" hidden="false" customHeight="false" outlineLevel="0" collapsed="false">
      <c r="B43113" s="0" t="s">
        <v>602</v>
      </c>
    </row>
    <row r="43115" customFormat="false" ht="12.8" hidden="false" customHeight="false" outlineLevel="0" collapsed="false">
      <c r="A43115" s="0" t="s">
        <v>15635</v>
      </c>
      <c r="B43115" s="0" t="str">
        <f aca="false">HYPERLINK("https://lindat.mff.cuni.cz/services/teitok/pdtc10/index.php?action=vallex&amp;frame=v-w5948f1", "sehnat (v-w5948f1) - substituted with v-w5948f2_ZU")</f>
        <v>sehnat (v-w5948f1) - substituted with v-w5948f2_ZU</v>
      </c>
      <c r="E43115" s="0" t="str">
        <f aca="false">HYPERLINK("https://lindat.mff.cuni.cz/services/SynSemClass40/SynSemClass40.html?veclass=vec00374#vec00374-ces-cm00005", "vec00374")</f>
        <v>vec00374</v>
      </c>
      <c r="F43115" s="0" t="s">
        <v>8742</v>
      </c>
    </row>
    <row r="43116" customFormat="false" ht="12.8" hidden="false" customHeight="false" outlineLevel="0" collapsed="false">
      <c r="B43116" s="0" t="s">
        <v>1</v>
      </c>
      <c r="C43116" s="0" t="s">
        <v>3385</v>
      </c>
      <c r="E43116" s="0" t="s">
        <v>31</v>
      </c>
      <c r="F43116" s="0" t="s">
        <v>8743</v>
      </c>
    </row>
    <row r="43117" customFormat="false" ht="12.8" hidden="false" customHeight="false" outlineLevel="0" collapsed="false">
      <c r="B43117" s="0" t="s">
        <v>8</v>
      </c>
      <c r="C43117" s="0" t="s">
        <v>571</v>
      </c>
      <c r="E43117" s="0" t="s">
        <v>8744</v>
      </c>
      <c r="F43117" s="0" t="s">
        <v>8745</v>
      </c>
    </row>
    <row r="43118" customFormat="false" ht="12.8" hidden="false" customHeight="false" outlineLevel="0" collapsed="false">
      <c r="B43118" s="0" t="s">
        <v>602</v>
      </c>
    </row>
    <row r="43120" customFormat="false" ht="12.8" hidden="false" customHeight="false" outlineLevel="0" collapsed="false">
      <c r="A43120" s="0" t="s">
        <v>15636</v>
      </c>
      <c r="B43120" s="0" t="str">
        <f aca="false">HYPERLINK("https://lindat.mff.cuni.cz/services/teitok/pdtc10/index.php?action=vallex&amp;frame=v-w12202_ZUf1_ZU", "sehnout se (v-w12202_ZUf1_ZU)")</f>
        <v>sehnout se (v-w12202_ZUf1_ZU)</v>
      </c>
    </row>
    <row r="43121" customFormat="false" ht="12.8" hidden="false" customHeight="false" outlineLevel="0" collapsed="false">
      <c r="B43121" s="0" t="s">
        <v>1</v>
      </c>
    </row>
    <row r="43123" customFormat="false" ht="12.8" hidden="false" customHeight="false" outlineLevel="0" collapsed="false">
      <c r="A43123" s="0" t="s">
        <v>15637</v>
      </c>
      <c r="B43123" s="0" t="str">
        <f aca="false">HYPERLINK("https://lindat.mff.cuni.cz/services/teitok/pdtc10/index.php?action=vallex&amp;frame=v-w5950f1", "sehrát (v-w5950f1)")</f>
        <v>sehrát (v-w5950f1)</v>
      </c>
      <c r="E43123" s="0" t="str">
        <f aca="false">HYPERLINK("https://lindat.mff.cuni.cz/services/SynSemClass40/SynSemClass40.html?veclass=vec00415#vec00415-ces-cm00011", "vec00415")</f>
        <v>vec00415</v>
      </c>
      <c r="F43123" s="0" t="s">
        <v>4624</v>
      </c>
    </row>
    <row r="43124" customFormat="false" ht="12.8" hidden="false" customHeight="false" outlineLevel="0" collapsed="false">
      <c r="B43124" s="0" t="s">
        <v>1</v>
      </c>
      <c r="C43124" s="0" t="s">
        <v>4625</v>
      </c>
      <c r="E43124" s="0" t="s">
        <v>416</v>
      </c>
      <c r="F43124" s="0" t="s">
        <v>4626</v>
      </c>
    </row>
    <row r="43125" customFormat="false" ht="12.8" hidden="false" customHeight="false" outlineLevel="0" collapsed="false">
      <c r="B43125" s="0" t="s">
        <v>8</v>
      </c>
      <c r="C43125" s="0" t="s">
        <v>4627</v>
      </c>
      <c r="E43125" s="0" t="s">
        <v>432</v>
      </c>
      <c r="F43125" s="0" t="s">
        <v>4628</v>
      </c>
    </row>
    <row r="43126" customFormat="false" ht="12.8" hidden="false" customHeight="false" outlineLevel="0" collapsed="false">
      <c r="B43126" s="0" t="s">
        <v>3153</v>
      </c>
      <c r="E43126" s="0" t="s">
        <v>420</v>
      </c>
      <c r="F43126" s="0" t="s">
        <v>4629</v>
      </c>
    </row>
    <row r="43127" customFormat="false" ht="12.8" hidden="false" customHeight="false" outlineLevel="0" collapsed="false">
      <c r="B43127" s="0" t="s">
        <v>2413</v>
      </c>
      <c r="E43127" s="0" t="s">
        <v>4630</v>
      </c>
      <c r="F43127" s="0" t="s">
        <v>4631</v>
      </c>
    </row>
    <row r="43129" customFormat="false" ht="12.8" hidden="false" customHeight="false" outlineLevel="0" collapsed="false">
      <c r="A43129" s="0" t="s">
        <v>15638</v>
      </c>
      <c r="B43129" s="0" t="str">
        <f aca="false">HYPERLINK("https://lindat.mff.cuni.cz/services/teitok/pdtc10/index.php?action=vallex&amp;frame=v-w5950f4", "sehrát (v-w5950f4)")</f>
        <v>sehrát (v-w5950f4)</v>
      </c>
    </row>
    <row r="43130" customFormat="false" ht="12.8" hidden="false" customHeight="false" outlineLevel="0" collapsed="false">
      <c r="B43130" s="0" t="s">
        <v>1</v>
      </c>
    </row>
    <row r="43131" customFormat="false" ht="12.8" hidden="false" customHeight="false" outlineLevel="0" collapsed="false">
      <c r="B43131" s="0" t="s">
        <v>8</v>
      </c>
    </row>
    <row r="43133" customFormat="false" ht="12.8" hidden="false" customHeight="false" outlineLevel="0" collapsed="false">
      <c r="A43133" s="0" t="s">
        <v>15639</v>
      </c>
      <c r="B43133" s="0" t="str">
        <f aca="false">HYPERLINK("https://lindat.mff.cuni.cz/services/teitok/pdtc10/index.php?action=vallex&amp;frame=v-w5950f2", "sehrát (v-w5950f2)")</f>
        <v>sehrát (v-w5950f2)</v>
      </c>
      <c r="E43133" s="0" t="str">
        <f aca="false">HYPERLINK("https://lindat.mff.cuni.cz/services/SynSemClass40/SynSemClass40.html?veclass=vec00222#vec00222-ces-cm00005", "vec00222")</f>
        <v>vec00222</v>
      </c>
      <c r="F43133" s="0" t="s">
        <v>4644</v>
      </c>
    </row>
    <row r="43134" customFormat="false" ht="12.8" hidden="false" customHeight="false" outlineLevel="0" collapsed="false">
      <c r="B43134" s="0" t="s">
        <v>15435</v>
      </c>
      <c r="E43134" s="0" t="s">
        <v>1053</v>
      </c>
      <c r="F43134" s="0" t="s">
        <v>4646</v>
      </c>
    </row>
    <row r="43135" customFormat="false" ht="12.8" hidden="false" customHeight="false" outlineLevel="0" collapsed="false">
      <c r="B43135" s="0" t="s">
        <v>4647</v>
      </c>
    </row>
    <row r="43137" customFormat="false" ht="12.8" hidden="false" customHeight="false" outlineLevel="0" collapsed="false">
      <c r="A43137" s="0" t="s">
        <v>15640</v>
      </c>
      <c r="B43137" s="0" t="str">
        <f aca="false">HYPERLINK("https://lindat.mff.cuni.cz/services/teitok/pdtc10/index.php?action=vallex&amp;frame=v-w5950f3", "sehrát (v-w5950f3)")</f>
        <v>sehrát (v-w5950f3)</v>
      </c>
      <c r="E43137" s="0" t="str">
        <f aca="false">HYPERLINK("https://lindat.mff.cuni.cz/services/SynSemClass40/SynSemClass40.html?veclass=vec00222#vec00222-ces-cm00006", "vec00222")</f>
        <v>vec00222</v>
      </c>
      <c r="F43137" s="0" t="s">
        <v>4644</v>
      </c>
    </row>
    <row r="43138" customFormat="false" ht="12.8" hidden="false" customHeight="false" outlineLevel="0" collapsed="false">
      <c r="B43138" s="0" t="s">
        <v>15435</v>
      </c>
      <c r="E43138" s="0" t="s">
        <v>1053</v>
      </c>
      <c r="F43138" s="0" t="s">
        <v>4646</v>
      </c>
    </row>
    <row r="43139" customFormat="false" ht="12.8" hidden="false" customHeight="false" outlineLevel="0" collapsed="false">
      <c r="B43139" s="0" t="s">
        <v>4650</v>
      </c>
    </row>
    <row r="43141" customFormat="false" ht="12.8" hidden="false" customHeight="false" outlineLevel="0" collapsed="false">
      <c r="A43141" s="0" t="s">
        <v>15641</v>
      </c>
      <c r="B43141" s="0" t="str">
        <f aca="false">HYPERLINK("https://lindat.mff.cuni.cz/services/teitok/pdtc10/index.php?action=vallex&amp;frame=v-w5951f1", "sehrávat (v-w5951f1)")</f>
        <v>sehrávat (v-w5951f1)</v>
      </c>
      <c r="E43141" s="0" t="str">
        <f aca="false">HYPERLINK("https://lindat.mff.cuni.cz/services/SynSemClass40/SynSemClass40.html?veclass=vec00222#vec00222-ces-cm00008", "vec00222")</f>
        <v>vec00222</v>
      </c>
      <c r="F43141" s="0" t="s">
        <v>4644</v>
      </c>
    </row>
    <row r="43142" customFormat="false" ht="12.8" hidden="false" customHeight="false" outlineLevel="0" collapsed="false">
      <c r="B43142" s="0" t="s">
        <v>15435</v>
      </c>
      <c r="E43142" s="0" t="s">
        <v>1053</v>
      </c>
      <c r="F43142" s="0" t="s">
        <v>4646</v>
      </c>
    </row>
    <row r="43143" customFormat="false" ht="12.8" hidden="false" customHeight="false" outlineLevel="0" collapsed="false">
      <c r="B43143" s="0" t="s">
        <v>4647</v>
      </c>
    </row>
    <row r="43145" customFormat="false" ht="12.8" hidden="false" customHeight="false" outlineLevel="0" collapsed="false">
      <c r="A43145" s="0" t="s">
        <v>15642</v>
      </c>
      <c r="B43145" s="0" t="str">
        <f aca="false">HYPERLINK("https://lindat.mff.cuni.cz/services/teitok/pdtc10/index.php?action=vallex&amp;frame=v-w5951f2", "sehrávat (v-w5951f2)")</f>
        <v>sehrávat (v-w5951f2)</v>
      </c>
      <c r="E43145" s="0" t="str">
        <f aca="false">HYPERLINK("https://lindat.mff.cuni.cz/services/SynSemClass40/SynSemClass40.html?veclass=vec00222#vec00222-ces-cm00009", "vec00222")</f>
        <v>vec00222</v>
      </c>
      <c r="F43145" s="0" t="s">
        <v>4644</v>
      </c>
    </row>
    <row r="43146" customFormat="false" ht="12.8" hidden="false" customHeight="false" outlineLevel="0" collapsed="false">
      <c r="B43146" s="0" t="s">
        <v>15435</v>
      </c>
      <c r="E43146" s="0" t="s">
        <v>1053</v>
      </c>
      <c r="F43146" s="0" t="s">
        <v>4646</v>
      </c>
    </row>
    <row r="43147" customFormat="false" ht="12.8" hidden="false" customHeight="false" outlineLevel="0" collapsed="false">
      <c r="B43147" s="0" t="s">
        <v>4650</v>
      </c>
    </row>
    <row r="43149" customFormat="false" ht="12.8" hidden="false" customHeight="false" outlineLevel="0" collapsed="false">
      <c r="A43149" s="0" t="s">
        <v>15643</v>
      </c>
      <c r="B43149" s="0" t="str">
        <f aca="false">HYPERLINK("https://lindat.mff.cuni.cz/services/teitok/pdtc10/index.php?action=vallex&amp;frame=v-w5954f1", "sejmout (v-w5954f1)")</f>
        <v>sejmout (v-w5954f1)</v>
      </c>
      <c r="E43149" s="0" t="str">
        <f aca="false">HYPERLINK("https://lindat.mff.cuni.cz/services/SynSemClass40/SynSemClass40.html?veclass=vec00962#vec00962-ces-cm00003", "vec00962")</f>
        <v>vec00962</v>
      </c>
      <c r="F43149" s="0" t="s">
        <v>9319</v>
      </c>
    </row>
    <row r="43150" customFormat="false" ht="12.8" hidden="false" customHeight="false" outlineLevel="0" collapsed="false">
      <c r="B43150" s="0" t="s">
        <v>1</v>
      </c>
      <c r="C43150" s="0" t="s">
        <v>106</v>
      </c>
      <c r="E43150" s="0" t="s">
        <v>11</v>
      </c>
      <c r="F43150" s="0" t="s">
        <v>9320</v>
      </c>
    </row>
    <row r="43151" customFormat="false" ht="12.8" hidden="false" customHeight="false" outlineLevel="0" collapsed="false">
      <c r="B43151" s="0" t="s">
        <v>8</v>
      </c>
      <c r="C43151" s="0" t="s">
        <v>4392</v>
      </c>
      <c r="E43151" s="0" t="s">
        <v>4094</v>
      </c>
      <c r="F43151" s="0" t="s">
        <v>9321</v>
      </c>
    </row>
    <row r="43152" customFormat="false" ht="12.8" hidden="false" customHeight="false" outlineLevel="0" collapsed="false">
      <c r="B43152" s="0" t="s">
        <v>631</v>
      </c>
      <c r="C43152" s="0" t="s">
        <v>9322</v>
      </c>
      <c r="E43152" s="0" t="s">
        <v>1924</v>
      </c>
      <c r="F43152" s="0" t="s">
        <v>9323</v>
      </c>
    </row>
    <row r="43154" customFormat="false" ht="12.8" hidden="false" customHeight="false" outlineLevel="0" collapsed="false">
      <c r="A43154" s="0" t="s">
        <v>15644</v>
      </c>
      <c r="B43154" s="0" t="str">
        <f aca="false">HYPERLINK("https://lindat.mff.cuni.cz/services/teitok/pdtc10/index.php?action=vallex&amp;frame=v-w5954f4", "sejmout (v-w5954f4)")</f>
        <v>sejmout (v-w5954f4)</v>
      </c>
    </row>
    <row r="43155" customFormat="false" ht="12.8" hidden="false" customHeight="false" outlineLevel="0" collapsed="false">
      <c r="B43155" s="0" t="s">
        <v>1</v>
      </c>
    </row>
    <row r="43156" customFormat="false" ht="12.8" hidden="false" customHeight="false" outlineLevel="0" collapsed="false">
      <c r="B43156" s="0" t="s">
        <v>8</v>
      </c>
    </row>
    <row r="43157" customFormat="false" ht="12.8" hidden="false" customHeight="false" outlineLevel="0" collapsed="false">
      <c r="B43157" s="0" t="s">
        <v>631</v>
      </c>
    </row>
    <row r="43159" customFormat="false" ht="12.8" hidden="false" customHeight="false" outlineLevel="0" collapsed="false">
      <c r="A43159" s="0" t="s">
        <v>15645</v>
      </c>
      <c r="B43159" s="0" t="str">
        <f aca="false">HYPERLINK("https://lindat.mff.cuni.cz/services/teitok/pdtc10/index.php?action=vallex&amp;frame=v-w5954f2", "sejmout (v-w5954f2)")</f>
        <v>sejmout (v-w5954f2)</v>
      </c>
    </row>
    <row r="43160" customFormat="false" ht="12.8" hidden="false" customHeight="false" outlineLevel="0" collapsed="false">
      <c r="B43160" s="0" t="s">
        <v>1</v>
      </c>
    </row>
    <row r="43161" customFormat="false" ht="12.8" hidden="false" customHeight="false" outlineLevel="0" collapsed="false">
      <c r="B43161" s="0" t="s">
        <v>8</v>
      </c>
    </row>
    <row r="43163" customFormat="false" ht="12.8" hidden="false" customHeight="false" outlineLevel="0" collapsed="false">
      <c r="A43163" s="0" t="s">
        <v>15646</v>
      </c>
      <c r="B43163" s="0" t="str">
        <f aca="false">HYPERLINK("https://lindat.mff.cuni.cz/services/teitok/pdtc10/index.php?action=vallex&amp;frame=v-w5954f3", "sejmout (v-w5954f3)")</f>
        <v>sejmout (v-w5954f3)</v>
      </c>
    </row>
    <row r="43164" customFormat="false" ht="12.8" hidden="false" customHeight="false" outlineLevel="0" collapsed="false">
      <c r="B43164" s="0" t="s">
        <v>1</v>
      </c>
    </row>
    <row r="43165" customFormat="false" ht="12.8" hidden="false" customHeight="false" outlineLevel="0" collapsed="false">
      <c r="B43165" s="0" t="s">
        <v>8</v>
      </c>
    </row>
    <row r="43167" customFormat="false" ht="12.8" hidden="false" customHeight="false" outlineLevel="0" collapsed="false">
      <c r="A43167" s="0" t="s">
        <v>15647</v>
      </c>
      <c r="B43167" s="0" t="str">
        <f aca="false">HYPERLINK("https://lindat.mff.cuni.cz/services/teitok/pdtc10/index.php?action=vallex&amp;frame=v-w5952f7", "sejít (v-w5952f7)")</f>
        <v>sejít (v-w5952f7)</v>
      </c>
    </row>
    <row r="43168" customFormat="false" ht="12.8" hidden="false" customHeight="false" outlineLevel="0" collapsed="false">
      <c r="B43168" s="0" t="s">
        <v>1</v>
      </c>
    </row>
    <row r="43169" customFormat="false" ht="12.8" hidden="false" customHeight="false" outlineLevel="0" collapsed="false">
      <c r="B43169" s="0" t="s">
        <v>8</v>
      </c>
    </row>
    <row r="43171" customFormat="false" ht="12.8" hidden="false" customHeight="false" outlineLevel="0" collapsed="false">
      <c r="A43171" s="0" t="s">
        <v>15648</v>
      </c>
      <c r="B43171" s="0" t="str">
        <f aca="false">HYPERLINK("https://lindat.mff.cuni.cz/services/teitok/pdtc10/index.php?action=vallex&amp;frame=v-w5952f3", "sejít (v-w5952f3)")</f>
        <v>sejít (v-w5952f3)</v>
      </c>
    </row>
    <row r="43172" customFormat="false" ht="12.8" hidden="false" customHeight="false" outlineLevel="0" collapsed="false">
      <c r="B43172" s="0" t="s">
        <v>804</v>
      </c>
    </row>
    <row r="43173" customFormat="false" ht="12.8" hidden="false" customHeight="false" outlineLevel="0" collapsed="false">
      <c r="B43173" s="0" t="s">
        <v>291</v>
      </c>
    </row>
    <row r="43175" customFormat="false" ht="12.8" hidden="false" customHeight="false" outlineLevel="0" collapsed="false">
      <c r="A43175" s="0" t="s">
        <v>15649</v>
      </c>
      <c r="B43175" s="0" t="str">
        <f aca="false">HYPERLINK("https://lindat.mff.cuni.cz/services/teitok/pdtc10/index.php?action=vallex&amp;frame=v-w5952f4", "sejít (v-w5952f4)")</f>
        <v>sejít (v-w5952f4)</v>
      </c>
      <c r="E43175" s="0" t="str">
        <f aca="false">HYPERLINK("https://lindat.mff.cuni.cz/services/SynSemClass40/SynSemClass40.html?veclass=vec00022#vec00022-ces-cm00067", "vec00022")</f>
        <v>vec00022</v>
      </c>
      <c r="F43175" s="0" t="s">
        <v>4377</v>
      </c>
      <c r="H43175" s="0" t="str">
        <f aca="false">HYPERLINK("https://lindat.mff.cuni.cz/services/SynSemClass40/SynSemClass40.html?veclass=vec00048#vec00048-ces-cm00222", "vec00048")</f>
        <v>vec00048</v>
      </c>
      <c r="I43175" s="0" t="s">
        <v>1945</v>
      </c>
      <c r="K43175" s="0" t="str">
        <f aca="false">HYPERLINK("https://lindat.mff.cuni.cz/services/SynSemClass40/SynSemClass40.html?veclass=vec00227#vec00227-ces-cm00134", "vec00227")</f>
        <v>vec00227</v>
      </c>
      <c r="L43175" s="0" t="s">
        <v>1313</v>
      </c>
      <c r="N43175" s="0" t="str">
        <f aca="false">HYPERLINK("https://lindat.mff.cuni.cz/services/SynSemClass40/SynSemClass40.html?veclass=vec01318#vec01318-ces-cm00039", "vec01318")</f>
        <v>vec01318</v>
      </c>
      <c r="O43175" s="0" t="s">
        <v>5084</v>
      </c>
    </row>
    <row r="43176" customFormat="false" ht="12.8" hidden="false" customHeight="false" outlineLevel="0" collapsed="false">
      <c r="B43176" s="0" t="s">
        <v>1</v>
      </c>
      <c r="C43176" s="0" t="s">
        <v>15650</v>
      </c>
      <c r="E43176" s="0" t="s">
        <v>334</v>
      </c>
      <c r="F43176" s="0" t="s">
        <v>4379</v>
      </c>
      <c r="H43176" s="0" t="s">
        <v>334</v>
      </c>
      <c r="I43176" s="0" t="s">
        <v>1947</v>
      </c>
      <c r="K43176" s="0" t="s">
        <v>334</v>
      </c>
      <c r="L43176" s="0" t="s">
        <v>1314</v>
      </c>
      <c r="N43176" s="0" t="s">
        <v>334</v>
      </c>
      <c r="O43176" s="0" t="s">
        <v>5086</v>
      </c>
    </row>
    <row r="43177" customFormat="false" ht="12.8" hidden="false" customHeight="false" outlineLevel="0" collapsed="false">
      <c r="B43177" s="0" t="s">
        <v>631</v>
      </c>
      <c r="C43177" s="0" t="s">
        <v>1948</v>
      </c>
      <c r="E43177" s="0" t="s">
        <v>1949</v>
      </c>
      <c r="F43177" s="0" t="s">
        <v>2896</v>
      </c>
      <c r="H43177" s="0" t="s">
        <v>1949</v>
      </c>
      <c r="I43177" s="0" t="s">
        <v>1950</v>
      </c>
      <c r="K43177" s="0" t="s">
        <v>1949</v>
      </c>
      <c r="L43177" s="0" t="s">
        <v>2896</v>
      </c>
      <c r="N43177" s="0" t="s">
        <v>1924</v>
      </c>
      <c r="O43177" s="0" t="s">
        <v>9358</v>
      </c>
    </row>
    <row r="43179" customFormat="false" ht="12.8" hidden="false" customHeight="false" outlineLevel="0" collapsed="false">
      <c r="A43179" s="0" t="s">
        <v>15651</v>
      </c>
      <c r="B43179" s="0" t="str">
        <f aca="false">HYPERLINK("https://lindat.mff.cuni.cz/services/teitok/pdtc10/index.php?action=vallex&amp;frame=v-w5952f2", "sejít (v-w5952f2)")</f>
        <v>sejít (v-w5952f2)</v>
      </c>
      <c r="E43179" s="0" t="str">
        <f aca="false">HYPERLINK("https://lindat.mff.cuni.cz/services/SynSemClass40/SynSemClass40.html?veclass=vec00227#vec00227-ces-cm00132", "vec00227")</f>
        <v>vec00227</v>
      </c>
      <c r="F43179" s="0" t="s">
        <v>1313</v>
      </c>
    </row>
    <row r="43180" customFormat="false" ht="12.8" hidden="false" customHeight="false" outlineLevel="0" collapsed="false">
      <c r="B43180" s="0" t="s">
        <v>1</v>
      </c>
      <c r="C43180" s="0" t="s">
        <v>83</v>
      </c>
      <c r="E43180" s="0" t="s">
        <v>334</v>
      </c>
      <c r="F43180" s="0" t="s">
        <v>1314</v>
      </c>
    </row>
    <row r="43181" customFormat="false" ht="12.8" hidden="false" customHeight="false" outlineLevel="0" collapsed="false">
      <c r="B43181" s="0" t="s">
        <v>15652</v>
      </c>
      <c r="E43181" s="0" t="s">
        <v>1949</v>
      </c>
      <c r="F43181" s="0" t="s">
        <v>2896</v>
      </c>
    </row>
    <row r="43183" customFormat="false" ht="12.8" hidden="false" customHeight="false" outlineLevel="0" collapsed="false">
      <c r="A43183" s="0" t="s">
        <v>15653</v>
      </c>
      <c r="B43183" s="0" t="str">
        <f aca="false">HYPERLINK("https://lindat.mff.cuni.cz/services/teitok/pdtc10/index.php?action=vallex&amp;frame=v-w5952f5", "sejít (v-w5952f5)")</f>
        <v>sejít (v-w5952f5)</v>
      </c>
    </row>
    <row r="43184" customFormat="false" ht="12.8" hidden="false" customHeight="false" outlineLevel="0" collapsed="false">
      <c r="B43184" s="0" t="s">
        <v>1</v>
      </c>
    </row>
    <row r="43186" customFormat="false" ht="12.8" hidden="false" customHeight="false" outlineLevel="0" collapsed="false">
      <c r="A43186" s="0" t="s">
        <v>15654</v>
      </c>
      <c r="B43186" s="0" t="str">
        <f aca="false">HYPERLINK("https://lindat.mff.cuni.cz/services/teitok/pdtc10/index.php?action=vallex&amp;frame=v-w5952f6", "sejít (v-w5952f6)")</f>
        <v>sejít (v-w5952f6)</v>
      </c>
    </row>
    <row r="43187" customFormat="false" ht="12.8" hidden="false" customHeight="false" outlineLevel="0" collapsed="false">
      <c r="B43187" s="0" t="s">
        <v>1</v>
      </c>
    </row>
    <row r="43189" customFormat="false" ht="12.8" hidden="false" customHeight="false" outlineLevel="0" collapsed="false">
      <c r="A43189" s="0" t="s">
        <v>15655</v>
      </c>
      <c r="B43189" s="0" t="str">
        <f aca="false">HYPERLINK("https://lindat.mff.cuni.cz/services/teitok/pdtc10/index.php?action=vallex&amp;frame=v-w5952f1", "sejít (v-w5952f1)")</f>
        <v>sejít (v-w5952f1)</v>
      </c>
    </row>
    <row r="43190" customFormat="false" ht="12.8" hidden="false" customHeight="false" outlineLevel="0" collapsed="false">
      <c r="B43190" s="0" t="s">
        <v>15656</v>
      </c>
    </row>
    <row r="43192" customFormat="false" ht="12.8" hidden="false" customHeight="false" outlineLevel="0" collapsed="false">
      <c r="A43192" s="0" t="s">
        <v>15657</v>
      </c>
      <c r="B43192" s="0" t="str">
        <f aca="false">HYPERLINK("https://lindat.mff.cuni.cz/services/teitok/pdtc10/index.php?action=vallex&amp;frame=v-w5952f8", "sejít (v-w5952f8)")</f>
        <v>sejít (v-w5952f8)</v>
      </c>
    </row>
    <row r="43193" customFormat="false" ht="12.8" hidden="false" customHeight="false" outlineLevel="0" collapsed="false">
      <c r="B43193" s="0" t="s">
        <v>1</v>
      </c>
    </row>
    <row r="43194" customFormat="false" ht="12.8" hidden="false" customHeight="false" outlineLevel="0" collapsed="false">
      <c r="B43194" s="0" t="s">
        <v>15658</v>
      </c>
    </row>
    <row r="43195" customFormat="false" ht="12.8" hidden="false" customHeight="false" outlineLevel="0" collapsed="false">
      <c r="B43195" s="0" t="s">
        <v>186</v>
      </c>
    </row>
    <row r="43197" customFormat="false" ht="12.8" hidden="false" customHeight="false" outlineLevel="0" collapsed="false">
      <c r="A43197" s="0" t="s">
        <v>15659</v>
      </c>
      <c r="B43197" s="0" t="str">
        <f aca="false">HYPERLINK("https://lindat.mff.cuni.cz/services/teitok/pdtc10/index.php?action=vallex&amp;frame=v-w5952f9_ZU", "sejít (v-w5952f9_ZU)")</f>
        <v>sejít (v-w5952f9_ZU)</v>
      </c>
    </row>
    <row r="43198" customFormat="false" ht="12.8" hidden="false" customHeight="false" outlineLevel="0" collapsed="false">
      <c r="B43198" s="0" t="s">
        <v>1</v>
      </c>
    </row>
    <row r="43199" customFormat="false" ht="12.8" hidden="false" customHeight="false" outlineLevel="0" collapsed="false">
      <c r="B43199" s="0" t="s">
        <v>298</v>
      </c>
    </row>
    <row r="43201" customFormat="false" ht="12.8" hidden="false" customHeight="false" outlineLevel="0" collapsed="false">
      <c r="A43201" s="0" t="s">
        <v>15659</v>
      </c>
      <c r="B43201" s="0" t="str">
        <f aca="false">HYPERLINK("https://lindat.mff.cuni.cz/services/teitok/pdtc10/index.php?action=vallex&amp;frame=v-w5952hsa_1148", "sejít (v-w5952hsa_1148) - substituted with v-w5952f9_ZU")</f>
        <v>sejít (v-w5952hsa_1148) - substituted with v-w5952f9_ZU</v>
      </c>
    </row>
    <row r="43202" customFormat="false" ht="12.8" hidden="false" customHeight="false" outlineLevel="0" collapsed="false">
      <c r="B43202" s="0" t="s">
        <v>1</v>
      </c>
    </row>
    <row r="43203" customFormat="false" ht="12.8" hidden="false" customHeight="false" outlineLevel="0" collapsed="false">
      <c r="B43203" s="0" t="s">
        <v>298</v>
      </c>
    </row>
    <row r="43205" customFormat="false" ht="12.8" hidden="false" customHeight="false" outlineLevel="0" collapsed="false">
      <c r="A43205" s="0" t="s">
        <v>15660</v>
      </c>
      <c r="B43205" s="0" t="str">
        <f aca="false">HYPERLINK("https://lindat.mff.cuni.cz/services/teitok/pdtc10/index.php?action=vallex&amp;frame=v-w5952f10_ZU", "sejít (v-w5952f10_ZU)")</f>
        <v>sejít (v-w5952f10_ZU)</v>
      </c>
    </row>
    <row r="43206" customFormat="false" ht="12.8" hidden="false" customHeight="false" outlineLevel="0" collapsed="false">
      <c r="B43206" s="0" t="s">
        <v>1</v>
      </c>
    </row>
    <row r="43207" customFormat="false" ht="12.8" hidden="false" customHeight="false" outlineLevel="0" collapsed="false">
      <c r="B43207" s="0" t="s">
        <v>15661</v>
      </c>
    </row>
    <row r="43208" customFormat="false" ht="12.8" hidden="false" customHeight="false" outlineLevel="0" collapsed="false">
      <c r="B43208" s="0" t="s">
        <v>186</v>
      </c>
    </row>
    <row r="43210" customFormat="false" ht="12.8" hidden="false" customHeight="false" outlineLevel="0" collapsed="false">
      <c r="A43210" s="0" t="s">
        <v>15660</v>
      </c>
      <c r="B43210" s="0" t="str">
        <f aca="false">HYPERLINK("https://lindat.mff.cuni.cz/services/teitok/pdtc10/index.php?action=vallex&amp;frame=v-w5952hsa_1149", "sejít (v-w5952hsa_1149) - substituted with v-w5952f10_ZU")</f>
        <v>sejít (v-w5952hsa_1149) - substituted with v-w5952f10_ZU</v>
      </c>
    </row>
    <row r="43211" customFormat="false" ht="12.8" hidden="false" customHeight="false" outlineLevel="0" collapsed="false">
      <c r="B43211" s="0" t="s">
        <v>1</v>
      </c>
    </row>
    <row r="43212" customFormat="false" ht="12.8" hidden="false" customHeight="false" outlineLevel="0" collapsed="false">
      <c r="B43212" s="0" t="s">
        <v>15661</v>
      </c>
    </row>
    <row r="43213" customFormat="false" ht="12.8" hidden="false" customHeight="false" outlineLevel="0" collapsed="false">
      <c r="B43213" s="0" t="s">
        <v>186</v>
      </c>
    </row>
    <row r="43215" customFormat="false" ht="12.8" hidden="false" customHeight="false" outlineLevel="0" collapsed="false">
      <c r="A43215" s="0" t="s">
        <v>15662</v>
      </c>
      <c r="B43215" s="0" t="str">
        <f aca="false">HYPERLINK("https://lindat.mff.cuni.cz/services/teitok/pdtc10/index.php?action=vallex&amp;frame=v-w5953f1", "sejít se (v-w5953f1)")</f>
        <v>sejít se (v-w5953f1)</v>
      </c>
      <c r="E43215" s="0" t="str">
        <f aca="false">HYPERLINK("https://lindat.mff.cuni.cz/services/SynSemClass40/SynSemClass40.html?veclass=vec00307#vec00307-ces-cm00047", "vec00307")</f>
        <v>vec00307</v>
      </c>
      <c r="F43215" s="0" t="s">
        <v>11687</v>
      </c>
    </row>
    <row r="43216" customFormat="false" ht="12.8" hidden="false" customHeight="false" outlineLevel="0" collapsed="false">
      <c r="B43216" s="0" t="s">
        <v>1</v>
      </c>
      <c r="C43216" s="0" t="s">
        <v>11688</v>
      </c>
      <c r="E43216" s="0" t="s">
        <v>2241</v>
      </c>
      <c r="F43216" s="0" t="s">
        <v>11689</v>
      </c>
    </row>
    <row r="43217" customFormat="false" ht="12.8" hidden="false" customHeight="false" outlineLevel="0" collapsed="false">
      <c r="B43217" s="0" t="s">
        <v>721</v>
      </c>
      <c r="C43217" s="0" t="s">
        <v>4776</v>
      </c>
      <c r="E43217" s="0" t="s">
        <v>2665</v>
      </c>
      <c r="F43217" s="0" t="s">
        <v>11690</v>
      </c>
    </row>
    <row r="43219" customFormat="false" ht="12.8" hidden="false" customHeight="false" outlineLevel="0" collapsed="false">
      <c r="A43219" s="0" t="s">
        <v>15663</v>
      </c>
      <c r="B43219" s="0" t="str">
        <f aca="false">HYPERLINK("https://lindat.mff.cuni.cz/services/teitok/pdtc10/index.php?action=vallex&amp;frame=v-w5953f2", "sejít se (v-w5953f2)")</f>
        <v>sejít se (v-w5953f2)</v>
      </c>
    </row>
    <row r="43220" customFormat="false" ht="12.8" hidden="false" customHeight="false" outlineLevel="0" collapsed="false">
      <c r="B43220" s="0" t="s">
        <v>1</v>
      </c>
    </row>
    <row r="43222" customFormat="false" ht="12.8" hidden="false" customHeight="false" outlineLevel="0" collapsed="false">
      <c r="A43222" s="0" t="s">
        <v>15664</v>
      </c>
      <c r="B43222" s="0" t="str">
        <f aca="false">HYPERLINK("https://lindat.mff.cuni.cz/services/teitok/pdtc10/index.php?action=vallex&amp;frame=v-w10771f2", "sekat (v-w10771f2)")</f>
        <v>sekat (v-w10771f2)</v>
      </c>
    </row>
    <row r="43223" customFormat="false" ht="12.8" hidden="false" customHeight="false" outlineLevel="0" collapsed="false">
      <c r="B43223" s="0" t="s">
        <v>1</v>
      </c>
    </row>
    <row r="43224" customFormat="false" ht="12.8" hidden="false" customHeight="false" outlineLevel="0" collapsed="false">
      <c r="B43224" s="0" t="s">
        <v>8</v>
      </c>
    </row>
    <row r="43226" customFormat="false" ht="12.8" hidden="false" customHeight="false" outlineLevel="0" collapsed="false">
      <c r="A43226" s="0" t="s">
        <v>15665</v>
      </c>
      <c r="B43226" s="0" t="str">
        <f aca="false">HYPERLINK("https://lindat.mff.cuni.cz/services/teitok/pdtc10/index.php?action=vallex&amp;frame=v-w10771f3", "sekat (v-w10771f3)")</f>
        <v>sekat (v-w10771f3)</v>
      </c>
      <c r="E43226" s="0" t="str">
        <f aca="false">HYPERLINK("https://lindat.mff.cuni.cz/services/SynSemClass40/SynSemClass40.html?veclass=vec01443#vec01443-ces-cm00001", "vec01443")</f>
        <v>vec01443</v>
      </c>
      <c r="F43226" s="0" t="s">
        <v>15666</v>
      </c>
    </row>
    <row r="43227" customFormat="false" ht="12.8" hidden="false" customHeight="false" outlineLevel="0" collapsed="false">
      <c r="B43227" s="0" t="s">
        <v>1</v>
      </c>
      <c r="E43227" s="0" t="s">
        <v>31</v>
      </c>
      <c r="F43227" s="0" t="s">
        <v>49</v>
      </c>
    </row>
    <row r="43228" customFormat="false" ht="12.8" hidden="false" customHeight="false" outlineLevel="0" collapsed="false">
      <c r="B43228" s="0" t="s">
        <v>15667</v>
      </c>
      <c r="C43228" s="0" t="s">
        <v>5926</v>
      </c>
      <c r="E43228" s="0" t="s">
        <v>15668</v>
      </c>
      <c r="F43228" s="0" t="s">
        <v>15669</v>
      </c>
    </row>
    <row r="43230" customFormat="false" ht="12.8" hidden="false" customHeight="false" outlineLevel="0" collapsed="false">
      <c r="A43230" s="0" t="s">
        <v>15670</v>
      </c>
      <c r="B43230" s="0" t="str">
        <f aca="false">HYPERLINK("https://lindat.mff.cuni.cz/services/teitok/pdtc10/index.php?action=vallex&amp;frame=v-whsa_1413f1_ZU", "seknout (v-whsa_1413f1_ZU)")</f>
        <v>seknout (v-whsa_1413f1_ZU)</v>
      </c>
    </row>
    <row r="43231" customFormat="false" ht="12.8" hidden="false" customHeight="false" outlineLevel="0" collapsed="false">
      <c r="B43231" s="0" t="s">
        <v>1</v>
      </c>
    </row>
    <row r="43232" customFormat="false" ht="12.8" hidden="false" customHeight="false" outlineLevel="0" collapsed="false">
      <c r="B43232" s="0" t="s">
        <v>721</v>
      </c>
    </row>
    <row r="43234" customFormat="false" ht="12.8" hidden="false" customHeight="false" outlineLevel="0" collapsed="false">
      <c r="A43234" s="0" t="s">
        <v>15670</v>
      </c>
      <c r="B43234" s="0" t="str">
        <f aca="false">HYPERLINK("https://lindat.mff.cuni.cz/services/teitok/pdtc10/index.php?action=vallex&amp;frame=v-whsa_1413hsa_1414", "seknout (v-whsa_1413hsa_1414) - substituted with v-whsa_1413f1_ZU")</f>
        <v>seknout (v-whsa_1413hsa_1414) - substituted with v-whsa_1413f1_ZU</v>
      </c>
    </row>
    <row r="43235" customFormat="false" ht="12.8" hidden="false" customHeight="false" outlineLevel="0" collapsed="false">
      <c r="B43235" s="0" t="s">
        <v>1</v>
      </c>
    </row>
    <row r="43236" customFormat="false" ht="12.8" hidden="false" customHeight="false" outlineLevel="0" collapsed="false">
      <c r="B43236" s="0" t="s">
        <v>721</v>
      </c>
    </row>
    <row r="43238" customFormat="false" ht="12.8" hidden="false" customHeight="false" outlineLevel="0" collapsed="false">
      <c r="A43238" s="0" t="s">
        <v>15671</v>
      </c>
      <c r="B43238" s="0" t="str">
        <f aca="false">HYPERLINK("https://lindat.mff.cuni.cz/services/teitok/pdtc10/index.php?action=vallex&amp;frame=v-whsa_1413f2_ZU", "seknout (v-whsa_1413f2_ZU)")</f>
        <v>seknout (v-whsa_1413f2_ZU)</v>
      </c>
    </row>
    <row r="43239" customFormat="false" ht="12.8" hidden="false" customHeight="false" outlineLevel="0" collapsed="false">
      <c r="B43239" s="0" t="s">
        <v>1</v>
      </c>
    </row>
    <row r="43240" customFormat="false" ht="12.8" hidden="false" customHeight="false" outlineLevel="0" collapsed="false">
      <c r="B43240" s="0" t="s">
        <v>286</v>
      </c>
    </row>
    <row r="43242" customFormat="false" ht="12.8" hidden="false" customHeight="false" outlineLevel="0" collapsed="false">
      <c r="A43242" s="0" t="s">
        <v>15672</v>
      </c>
      <c r="B43242" s="0" t="str">
        <f aca="false">HYPERLINK("https://lindat.mff.cuni.cz/services/teitok/pdtc10/index.php?action=vallex&amp;frame=v-w11484f1", "seknout se (v-w11484f1)")</f>
        <v>seknout se (v-w11484f1)</v>
      </c>
    </row>
    <row r="43243" customFormat="false" ht="12.8" hidden="false" customHeight="false" outlineLevel="0" collapsed="false">
      <c r="B43243" s="0" t="s">
        <v>1</v>
      </c>
    </row>
    <row r="43245" customFormat="false" ht="12.8" hidden="false" customHeight="false" outlineLevel="0" collapsed="false">
      <c r="A43245" s="0" t="s">
        <v>15673</v>
      </c>
      <c r="B43245" s="0" t="str">
        <f aca="false">HYPERLINK("https://lindat.mff.cuni.cz/services/teitok/pdtc10/index.php?action=vallex&amp;frame=v-w5955f1", "sekundovat (v-w5955f1)")</f>
        <v>sekundovat (v-w5955f1)</v>
      </c>
    </row>
    <row r="43246" customFormat="false" ht="12.8" hidden="false" customHeight="false" outlineLevel="0" collapsed="false">
      <c r="B43246" s="0" t="s">
        <v>1</v>
      </c>
    </row>
    <row r="43247" customFormat="false" ht="12.8" hidden="false" customHeight="false" outlineLevel="0" collapsed="false">
      <c r="B43247" s="0" t="s">
        <v>186</v>
      </c>
    </row>
    <row r="43249" customFormat="false" ht="12.8" hidden="false" customHeight="false" outlineLevel="0" collapsed="false">
      <c r="A43249" s="0" t="s">
        <v>15674</v>
      </c>
      <c r="B43249" s="0" t="str">
        <f aca="false">HYPERLINK("https://lindat.mff.cuni.cz/services/teitok/pdtc10/index.php?action=vallex&amp;frame=v-w5955f2", "sekundovat (v-w5955f2)")</f>
        <v>sekundovat (v-w5955f2)</v>
      </c>
    </row>
    <row r="43250" customFormat="false" ht="12.8" hidden="false" customHeight="false" outlineLevel="0" collapsed="false">
      <c r="B43250" s="0" t="s">
        <v>1</v>
      </c>
    </row>
    <row r="43251" customFormat="false" ht="12.8" hidden="false" customHeight="false" outlineLevel="0" collapsed="false">
      <c r="B43251" s="0" t="s">
        <v>186</v>
      </c>
    </row>
    <row r="43253" customFormat="false" ht="12.8" hidden="false" customHeight="false" outlineLevel="0" collapsed="false">
      <c r="A43253" s="0" t="s">
        <v>15675</v>
      </c>
      <c r="B43253" s="0" t="str">
        <f aca="false">HYPERLINK("https://lindat.mff.cuni.cz/services/teitok/pdtc10/index.php?action=vallex&amp;frame=v-w5957f1", "selhat (v-w5957f1)")</f>
        <v>selhat (v-w5957f1)</v>
      </c>
      <c r="E43253" s="0" t="str">
        <f aca="false">HYPERLINK("https://lindat.mff.cuni.cz/services/SynSemClass40/SynSemClass40.html?veclass=vec00599#vec00599-ces-cm00011", "vec00599")</f>
        <v>vec00599</v>
      </c>
      <c r="F43253" s="0" t="s">
        <v>4593</v>
      </c>
      <c r="H43253" s="0" t="str">
        <f aca="false">HYPERLINK("https://lindat.mff.cuni.cz/services/SynSemClass40/SynSemClass40.html?veclass=vec01272#vec01272-ces-cm00042", "vec01272")</f>
        <v>vec01272</v>
      </c>
      <c r="I43253" s="0" t="s">
        <v>10383</v>
      </c>
    </row>
    <row r="43254" customFormat="false" ht="12.8" hidden="false" customHeight="false" outlineLevel="0" collapsed="false">
      <c r="B43254" s="0" t="s">
        <v>1</v>
      </c>
      <c r="C43254" s="0" t="s">
        <v>10384</v>
      </c>
      <c r="E43254" s="0" t="s">
        <v>4595</v>
      </c>
      <c r="F43254" s="0" t="s">
        <v>4596</v>
      </c>
      <c r="H43254" s="0" t="s">
        <v>957</v>
      </c>
      <c r="I43254" s="0" t="s">
        <v>10385</v>
      </c>
    </row>
    <row r="43256" customFormat="false" ht="12.8" hidden="false" customHeight="false" outlineLevel="0" collapsed="false">
      <c r="A43256" s="0" t="s">
        <v>15676</v>
      </c>
      <c r="B43256" s="0" t="str">
        <f aca="false">HYPERLINK("https://lindat.mff.cuni.cz/services/teitok/pdtc10/index.php?action=vallex&amp;frame=v-w11584_ZUf1_ZU", "selhávat (v-w11584_ZUf1_ZU)")</f>
        <v>selhávat (v-w11584_ZUf1_ZU)</v>
      </c>
      <c r="E43256" s="0" t="str">
        <f aca="false">HYPERLINK("https://lindat.mff.cuni.cz/services/SynSemClass40/SynSemClass40.html?veclass=vec00599#vec00599-ces-cm00036", "vec00599")</f>
        <v>vec00599</v>
      </c>
      <c r="F43256" s="0" t="s">
        <v>4593</v>
      </c>
    </row>
    <row r="43257" customFormat="false" ht="12.8" hidden="false" customHeight="false" outlineLevel="0" collapsed="false">
      <c r="B43257" s="0" t="s">
        <v>1</v>
      </c>
      <c r="C43257" s="0" t="s">
        <v>4594</v>
      </c>
      <c r="E43257" s="0" t="s">
        <v>4595</v>
      </c>
      <c r="F43257" s="0" t="s">
        <v>4596</v>
      </c>
    </row>
    <row r="43259" customFormat="false" ht="12.8" hidden="false" customHeight="false" outlineLevel="0" collapsed="false">
      <c r="A43259" s="0" t="s">
        <v>15677</v>
      </c>
      <c r="B43259" s="0" t="str">
        <f aca="false">HYPERLINK("https://lindat.mff.cuni.cz/services/teitok/pdtc10/index.php?action=vallex&amp;frame=v-w10860f2", "semknout (v-w10860f2)")</f>
        <v>semknout (v-w10860f2)</v>
      </c>
    </row>
    <row r="43260" customFormat="false" ht="12.8" hidden="false" customHeight="false" outlineLevel="0" collapsed="false">
      <c r="B43260" s="0" t="s">
        <v>1</v>
      </c>
    </row>
    <row r="43261" customFormat="false" ht="12.8" hidden="false" customHeight="false" outlineLevel="0" collapsed="false">
      <c r="B43261" s="0" t="s">
        <v>8</v>
      </c>
    </row>
    <row r="43262" customFormat="false" ht="12.8" hidden="false" customHeight="false" outlineLevel="0" collapsed="false">
      <c r="B43262" s="0" t="s">
        <v>276</v>
      </c>
    </row>
    <row r="43264" customFormat="false" ht="12.8" hidden="false" customHeight="false" outlineLevel="0" collapsed="false">
      <c r="A43264" s="0" t="s">
        <v>15678</v>
      </c>
      <c r="B43264" s="0" t="str">
        <f aca="false">HYPERLINK("https://lindat.mff.cuni.cz/services/teitok/pdtc10/index.php?action=vallex&amp;frame=v-whsa_1138hsa_1139", "semknout se (v-whsa_1138hsa_1139)")</f>
        <v>semknout se (v-whsa_1138hsa_1139)</v>
      </c>
    </row>
    <row r="43265" customFormat="false" ht="12.8" hidden="false" customHeight="false" outlineLevel="0" collapsed="false">
      <c r="B43265" s="0" t="s">
        <v>1</v>
      </c>
    </row>
    <row r="43266" customFormat="false" ht="12.8" hidden="false" customHeight="false" outlineLevel="0" collapsed="false">
      <c r="B43266" s="0" t="s">
        <v>721</v>
      </c>
    </row>
    <row r="43267" customFormat="false" ht="12.8" hidden="false" customHeight="false" outlineLevel="0" collapsed="false">
      <c r="B43267" s="0" t="s">
        <v>3026</v>
      </c>
    </row>
    <row r="43269" customFormat="false" ht="12.8" hidden="false" customHeight="false" outlineLevel="0" collapsed="false">
      <c r="A43269" s="0" t="s">
        <v>15679</v>
      </c>
      <c r="B43269" s="0" t="str">
        <f aca="false">HYPERLINK("https://lindat.mff.cuni.cz/services/teitok/pdtc10/index.php?action=vallex&amp;frame=v-w5959f1", "semlít (v-w5959f1)")</f>
        <v>semlít (v-w5959f1)</v>
      </c>
    </row>
    <row r="43270" customFormat="false" ht="12.8" hidden="false" customHeight="false" outlineLevel="0" collapsed="false">
      <c r="B43270" s="0" t="s">
        <v>1</v>
      </c>
    </row>
    <row r="43271" customFormat="false" ht="12.8" hidden="false" customHeight="false" outlineLevel="0" collapsed="false">
      <c r="B43271" s="0" t="s">
        <v>8</v>
      </c>
    </row>
    <row r="43272" customFormat="false" ht="12.8" hidden="false" customHeight="false" outlineLevel="0" collapsed="false">
      <c r="B43272" s="0" t="s">
        <v>36</v>
      </c>
    </row>
    <row r="43273" customFormat="false" ht="12.8" hidden="false" customHeight="false" outlineLevel="0" collapsed="false">
      <c r="B43273" s="0" t="s">
        <v>101</v>
      </c>
    </row>
    <row r="43275" customFormat="false" ht="12.8" hidden="false" customHeight="false" outlineLevel="0" collapsed="false">
      <c r="A43275" s="0" t="s">
        <v>15680</v>
      </c>
      <c r="B43275" s="0" t="str">
        <f aca="false">HYPERLINK("https://lindat.mff.cuni.cz/services/teitok/pdtc10/index.php?action=vallex&amp;frame=v-w10362f2", "separovat (v-w10362f2)")</f>
        <v>separovat (v-w10362f2)</v>
      </c>
    </row>
    <row r="43276" customFormat="false" ht="12.8" hidden="false" customHeight="false" outlineLevel="0" collapsed="false">
      <c r="B43276" s="0" t="s">
        <v>1</v>
      </c>
    </row>
    <row r="43277" customFormat="false" ht="12.8" hidden="false" customHeight="false" outlineLevel="0" collapsed="false">
      <c r="B43277" s="0" t="s">
        <v>8</v>
      </c>
    </row>
    <row r="43278" customFormat="false" ht="12.8" hidden="false" customHeight="false" outlineLevel="0" collapsed="false">
      <c r="B43278" s="0" t="s">
        <v>602</v>
      </c>
    </row>
    <row r="43280" customFormat="false" ht="12.8" hidden="false" customHeight="false" outlineLevel="0" collapsed="false">
      <c r="A43280" s="0" t="s">
        <v>15681</v>
      </c>
      <c r="B43280" s="0" t="str">
        <f aca="false">HYPERLINK("https://lindat.mff.cuni.cz/services/teitok/pdtc10/index.php?action=vallex&amp;frame=v-w11585_ZUf2_ZU", "separovat se (v-w11585_ZUf2_ZU)")</f>
        <v>separovat se (v-w11585_ZUf2_ZU)</v>
      </c>
      <c r="E43280" s="0" t="str">
        <f aca="false">HYPERLINK("https://lindat.mff.cuni.cz/services/SynSemClass40/SynSemClass40.html?veclass=vec00047#vec00047-ces-cm00041", "vec00047")</f>
        <v>vec00047</v>
      </c>
      <c r="F43280" s="0" t="s">
        <v>4894</v>
      </c>
    </row>
    <row r="43281" customFormat="false" ht="12.8" hidden="false" customHeight="false" outlineLevel="0" collapsed="false">
      <c r="B43281" s="0" t="s">
        <v>1</v>
      </c>
      <c r="C43281" s="0" t="s">
        <v>9552</v>
      </c>
      <c r="E43281" s="0" t="s">
        <v>9553</v>
      </c>
      <c r="F43281" s="0" t="s">
        <v>9554</v>
      </c>
    </row>
    <row r="43282" customFormat="false" ht="12.8" hidden="false" customHeight="false" outlineLevel="0" collapsed="false">
      <c r="B43282" s="0" t="s">
        <v>26</v>
      </c>
      <c r="C43282" s="0" t="s">
        <v>9440</v>
      </c>
      <c r="E43282" s="0" t="s">
        <v>5824</v>
      </c>
      <c r="F43282" s="0" t="s">
        <v>9555</v>
      </c>
    </row>
    <row r="43284" customFormat="false" ht="12.8" hidden="false" customHeight="false" outlineLevel="0" collapsed="false">
      <c r="A43284" s="0" t="s">
        <v>15681</v>
      </c>
      <c r="B43284" s="0" t="str">
        <f aca="false">HYPERLINK("https://lindat.mff.cuni.cz/services/teitok/pdtc10/index.php?action=vallex&amp;frame=v-w11585_ZUf1_ZU", "separovat se (v-w11585_ZUf1_ZU) - substituted with v-w11585_ZUf2_ZU")</f>
        <v>separovat se (v-w11585_ZUf1_ZU) - substituted with v-w11585_ZUf2_ZU</v>
      </c>
    </row>
    <row r="43285" customFormat="false" ht="12.8" hidden="false" customHeight="false" outlineLevel="0" collapsed="false">
      <c r="B43285" s="0" t="s">
        <v>1</v>
      </c>
    </row>
    <row r="43286" customFormat="false" ht="12.8" hidden="false" customHeight="false" outlineLevel="0" collapsed="false">
      <c r="B43286" s="0" t="s">
        <v>26</v>
      </c>
    </row>
    <row r="43288" customFormat="false" ht="12.8" hidden="false" customHeight="false" outlineLevel="0" collapsed="false">
      <c r="A43288" s="0" t="s">
        <v>15682</v>
      </c>
      <c r="B43288" s="0" t="str">
        <f aca="false">HYPERLINK("https://lindat.mff.cuni.cz/services/teitok/pdtc10/index.php?action=vallex&amp;frame=v-w5962f1", "sepisovat (v-w5962f1)")</f>
        <v>sepisovat (v-w5962f1)</v>
      </c>
      <c r="E43288" s="0" t="str">
        <f aca="false">HYPERLINK("https://lindat.mff.cuni.cz/services/SynSemClass40/SynSemClass40.html?veclass=vec00037#vec00037-ces-cm00007", "vec00037")</f>
        <v>vec00037</v>
      </c>
      <c r="F43288" s="0" t="s">
        <v>7592</v>
      </c>
    </row>
    <row r="43289" customFormat="false" ht="12.8" hidden="false" customHeight="false" outlineLevel="0" collapsed="false">
      <c r="B43289" s="0" t="s">
        <v>1</v>
      </c>
      <c r="C43289" s="0" t="s">
        <v>6252</v>
      </c>
      <c r="E43289" s="0" t="s">
        <v>768</v>
      </c>
      <c r="F43289" s="0" t="s">
        <v>7593</v>
      </c>
    </row>
    <row r="43290" customFormat="false" ht="12.8" hidden="false" customHeight="false" outlineLevel="0" collapsed="false">
      <c r="B43290" s="0" t="s">
        <v>8</v>
      </c>
      <c r="C43290" s="0" t="s">
        <v>5583</v>
      </c>
      <c r="E43290" s="0" t="s">
        <v>771</v>
      </c>
      <c r="F43290" s="0" t="s">
        <v>7594</v>
      </c>
    </row>
    <row r="43292" customFormat="false" ht="12.8" hidden="false" customHeight="false" outlineLevel="0" collapsed="false">
      <c r="A43292" s="0" t="s">
        <v>15683</v>
      </c>
      <c r="B43292" s="0" t="str">
        <f aca="false">HYPERLINK("https://lindat.mff.cuni.cz/services/teitok/pdtc10/index.php?action=vallex&amp;frame=v-w5962f2_ZU", "sepisovat (v-w5962f2_ZU)")</f>
        <v>sepisovat (v-w5962f2_ZU)</v>
      </c>
    </row>
    <row r="43293" customFormat="false" ht="12.8" hidden="false" customHeight="false" outlineLevel="0" collapsed="false">
      <c r="B43293" s="0" t="s">
        <v>1</v>
      </c>
    </row>
    <row r="43294" customFormat="false" ht="12.8" hidden="false" customHeight="false" outlineLevel="0" collapsed="false">
      <c r="B43294" s="0" t="s">
        <v>8</v>
      </c>
    </row>
    <row r="43296" customFormat="false" ht="12.8" hidden="false" customHeight="false" outlineLevel="0" collapsed="false">
      <c r="A43296" s="0" t="s">
        <v>15684</v>
      </c>
      <c r="B43296" s="0" t="str">
        <f aca="false">HYPERLINK("https://lindat.mff.cuni.cz/services/teitok/pdtc10/index.php?action=vallex&amp;frame=v-w11586_ZUf1_ZU", "sepnout (v-w11586_ZUf1_ZU)")</f>
        <v>sepnout (v-w11586_ZUf1_ZU)</v>
      </c>
    </row>
    <row r="43297" customFormat="false" ht="12.8" hidden="false" customHeight="false" outlineLevel="0" collapsed="false">
      <c r="B43297" s="0" t="s">
        <v>1</v>
      </c>
    </row>
    <row r="43298" customFormat="false" ht="12.8" hidden="false" customHeight="false" outlineLevel="0" collapsed="false">
      <c r="B43298" s="0" t="s">
        <v>8</v>
      </c>
    </row>
    <row r="43300" customFormat="false" ht="12.8" hidden="false" customHeight="false" outlineLevel="0" collapsed="false">
      <c r="A43300" s="0" t="s">
        <v>15685</v>
      </c>
      <c r="B43300" s="0" t="str">
        <f aca="false">HYPERLINK("https://lindat.mff.cuni.cz/services/teitok/pdtc10/index.php?action=vallex&amp;frame=v-w5965f1", "sepsat (v-w5965f1)")</f>
        <v>sepsat (v-w5965f1)</v>
      </c>
      <c r="E43300" s="0" t="str">
        <f aca="false">HYPERLINK("https://lindat.mff.cuni.cz/services/SynSemClass40/SynSemClass40.html?veclass=vec00037#vec00037-ces-cm00009", "vec00037")</f>
        <v>vec00037</v>
      </c>
      <c r="F43300" s="0" t="s">
        <v>7592</v>
      </c>
    </row>
    <row r="43301" customFormat="false" ht="12.8" hidden="false" customHeight="false" outlineLevel="0" collapsed="false">
      <c r="B43301" s="0" t="s">
        <v>1</v>
      </c>
      <c r="C43301" s="0" t="s">
        <v>6252</v>
      </c>
      <c r="E43301" s="0" t="s">
        <v>768</v>
      </c>
      <c r="F43301" s="0" t="s">
        <v>7593</v>
      </c>
    </row>
    <row r="43302" customFormat="false" ht="12.8" hidden="false" customHeight="false" outlineLevel="0" collapsed="false">
      <c r="B43302" s="0" t="s">
        <v>8</v>
      </c>
      <c r="C43302" s="0" t="s">
        <v>5583</v>
      </c>
      <c r="E43302" s="0" t="s">
        <v>771</v>
      </c>
      <c r="F43302" s="0" t="s">
        <v>7594</v>
      </c>
    </row>
    <row r="43304" customFormat="false" ht="12.8" hidden="false" customHeight="false" outlineLevel="0" collapsed="false">
      <c r="A43304" s="0" t="s">
        <v>15686</v>
      </c>
      <c r="B43304" s="0" t="str">
        <f aca="false">HYPERLINK("https://lindat.mff.cuni.cz/services/teitok/pdtc10/index.php?action=vallex&amp;frame=v-w5966f1", "sepsout (v-w5966f1)")</f>
        <v>sepsout (v-w5966f1)</v>
      </c>
    </row>
    <row r="43305" customFormat="false" ht="12.8" hidden="false" customHeight="false" outlineLevel="0" collapsed="false">
      <c r="B43305" s="0" t="s">
        <v>1</v>
      </c>
    </row>
    <row r="43306" customFormat="false" ht="12.8" hidden="false" customHeight="false" outlineLevel="0" collapsed="false">
      <c r="B43306" s="0" t="s">
        <v>8</v>
      </c>
    </row>
    <row r="43308" customFormat="false" ht="12.8" hidden="false" customHeight="false" outlineLevel="0" collapsed="false">
      <c r="A43308" s="0" t="s">
        <v>15687</v>
      </c>
      <c r="B43308" s="0" t="str">
        <f aca="false">HYPERLINK("https://lindat.mff.cuni.cz/services/teitok/pdtc10/index.php?action=vallex&amp;frame=v-whsb_812hsa_813", "serializovat (v-whsb_812hsa_813)")</f>
        <v>serializovat (v-whsb_812hsa_813)</v>
      </c>
    </row>
    <row r="43309" customFormat="false" ht="12.8" hidden="false" customHeight="false" outlineLevel="0" collapsed="false">
      <c r="B43309" s="0" t="s">
        <v>1</v>
      </c>
    </row>
    <row r="43310" customFormat="false" ht="12.8" hidden="false" customHeight="false" outlineLevel="0" collapsed="false">
      <c r="B43310" s="0" t="s">
        <v>8</v>
      </c>
    </row>
    <row r="43312" customFormat="false" ht="12.8" hidden="false" customHeight="false" outlineLevel="0" collapsed="false">
      <c r="A43312" s="0" t="s">
        <v>15688</v>
      </c>
      <c r="B43312" s="0" t="str">
        <f aca="false">HYPERLINK("https://lindat.mff.cuni.cz/services/teitok/pdtc10/index.php?action=vallex&amp;frame=v-w5969f2", "servírovat (v-w5969f2)")</f>
        <v>servírovat (v-w5969f2)</v>
      </c>
      <c r="E43312" s="0" t="str">
        <f aca="false">HYPERLINK("https://lindat.mff.cuni.cz/services/SynSemClass40/SynSemClass40.html?veclass=vec01256#vec01256-ces-cm00010", "vec01256")</f>
        <v>vec01256</v>
      </c>
      <c r="F43312" s="0" t="s">
        <v>2194</v>
      </c>
    </row>
    <row r="43313" customFormat="false" ht="12.8" hidden="false" customHeight="false" outlineLevel="0" collapsed="false">
      <c r="B43313" s="0" t="s">
        <v>1</v>
      </c>
      <c r="C43313" s="0" t="s">
        <v>3675</v>
      </c>
      <c r="E43313" s="0" t="s">
        <v>31</v>
      </c>
      <c r="F43313" s="0" t="s">
        <v>2198</v>
      </c>
    </row>
    <row r="43314" customFormat="false" ht="12.8" hidden="false" customHeight="false" outlineLevel="0" collapsed="false">
      <c r="B43314" s="0" t="s">
        <v>8</v>
      </c>
      <c r="C43314" s="0" t="s">
        <v>3676</v>
      </c>
      <c r="E43314" s="0" t="s">
        <v>1875</v>
      </c>
      <c r="F43314" s="0" t="s">
        <v>2202</v>
      </c>
    </row>
    <row r="43315" customFormat="false" ht="12.8" hidden="false" customHeight="false" outlineLevel="0" collapsed="false">
      <c r="B43315" s="0" t="s">
        <v>52</v>
      </c>
      <c r="C43315" s="0" t="s">
        <v>3677</v>
      </c>
      <c r="E43315" s="0" t="s">
        <v>53</v>
      </c>
      <c r="F43315" s="0" t="s">
        <v>2205</v>
      </c>
    </row>
    <row r="43317" customFormat="false" ht="12.8" hidden="false" customHeight="false" outlineLevel="0" collapsed="false">
      <c r="A43317" s="0" t="s">
        <v>15689</v>
      </c>
      <c r="B43317" s="0" t="str">
        <f aca="false">HYPERLINK("https://lindat.mff.cuni.cz/services/teitok/pdtc10/index.php?action=vallex&amp;frame=v-w5969f1", "servírovat (v-w5969f1)")</f>
        <v>servírovat (v-w5969f1)</v>
      </c>
    </row>
    <row r="43318" customFormat="false" ht="12.8" hidden="false" customHeight="false" outlineLevel="0" collapsed="false">
      <c r="B43318" s="0" t="s">
        <v>1</v>
      </c>
    </row>
    <row r="43320" customFormat="false" ht="12.8" hidden="false" customHeight="false" outlineLevel="0" collapsed="false">
      <c r="A43320" s="0" t="s">
        <v>15690</v>
      </c>
      <c r="B43320" s="0" t="str">
        <f aca="false">HYPERLINK("https://lindat.mff.cuni.cz/services/teitok/pdtc10/index.php?action=vallex&amp;frame=v-w5977f2", "sesadit (v-w5977f2)")</f>
        <v>sesadit (v-w5977f2)</v>
      </c>
    </row>
    <row r="43321" customFormat="false" ht="12.8" hidden="false" customHeight="false" outlineLevel="0" collapsed="false">
      <c r="B43321" s="0" t="s">
        <v>1</v>
      </c>
    </row>
    <row r="43322" customFormat="false" ht="12.8" hidden="false" customHeight="false" outlineLevel="0" collapsed="false">
      <c r="B43322" s="0" t="s">
        <v>8</v>
      </c>
    </row>
    <row r="43323" customFormat="false" ht="12.8" hidden="false" customHeight="false" outlineLevel="0" collapsed="false">
      <c r="B43323" s="0" t="s">
        <v>276</v>
      </c>
    </row>
    <row r="43325" customFormat="false" ht="12.8" hidden="false" customHeight="false" outlineLevel="0" collapsed="false">
      <c r="A43325" s="0" t="s">
        <v>15691</v>
      </c>
      <c r="B43325" s="0" t="str">
        <f aca="false">HYPERLINK("https://lindat.mff.cuni.cz/services/teitok/pdtc10/index.php?action=vallex&amp;frame=v-w5977f1", "sesadit (v-w5977f1)")</f>
        <v>sesadit (v-w5977f1)</v>
      </c>
      <c r="E43325" s="0" t="str">
        <f aca="false">HYPERLINK("https://lindat.mff.cuni.cz/services/SynSemClass40/SynSemClass40.html?veclass=vec00380#vec00380-ces-cm00075", "vec00380")</f>
        <v>vec00380</v>
      </c>
      <c r="F43325" s="0" t="s">
        <v>4414</v>
      </c>
    </row>
    <row r="43326" customFormat="false" ht="12.8" hidden="false" customHeight="false" outlineLevel="0" collapsed="false">
      <c r="B43326" s="0" t="s">
        <v>1</v>
      </c>
      <c r="C43326" s="0" t="s">
        <v>4415</v>
      </c>
      <c r="E43326" s="0" t="s">
        <v>4416</v>
      </c>
      <c r="F43326" s="0" t="s">
        <v>4417</v>
      </c>
    </row>
    <row r="43327" customFormat="false" ht="12.8" hidden="false" customHeight="false" outlineLevel="0" collapsed="false">
      <c r="B43327" s="0" t="s">
        <v>8</v>
      </c>
      <c r="C43327" s="0" t="s">
        <v>4418</v>
      </c>
      <c r="E43327" s="0" t="s">
        <v>532</v>
      </c>
      <c r="F43327" s="0" t="s">
        <v>4419</v>
      </c>
    </row>
    <row r="43328" customFormat="false" ht="12.8" hidden="false" customHeight="false" outlineLevel="0" collapsed="false">
      <c r="B43328" s="0" t="s">
        <v>631</v>
      </c>
    </row>
    <row r="43330" customFormat="false" ht="12.8" hidden="false" customHeight="false" outlineLevel="0" collapsed="false">
      <c r="A43330" s="0" t="s">
        <v>15692</v>
      </c>
      <c r="B43330" s="0" t="str">
        <f aca="false">HYPERLINK("https://lindat.mff.cuni.cz/services/teitok/pdtc10/index.php?action=vallex&amp;frame=v-w10519f2", "sesbírat (v-w10519f2)")</f>
        <v>sesbírat (v-w10519f2)</v>
      </c>
      <c r="E43330" s="0" t="str">
        <f aca="false">HYPERLINK("https://lindat.mff.cuni.cz/services/SynSemClass40/SynSemClass40.html?veclass=vec00443#vec00443-ces-cm00024", "vec00443")</f>
        <v>vec00443</v>
      </c>
      <c r="F43330" s="0" t="s">
        <v>90</v>
      </c>
      <c r="H43330" s="0" t="str">
        <f aca="false">HYPERLINK("https://lindat.mff.cuni.cz/services/SynSemClass40/SynSemClass40.html?veclass=vec00708#vec00708-ces-cm00019", "vec00708")</f>
        <v>vec00708</v>
      </c>
      <c r="I43330" s="0" t="s">
        <v>15693</v>
      </c>
    </row>
    <row r="43331" customFormat="false" ht="12.8" hidden="false" customHeight="false" outlineLevel="0" collapsed="false">
      <c r="B43331" s="0" t="s">
        <v>1</v>
      </c>
      <c r="C43331" s="0" t="s">
        <v>15694</v>
      </c>
      <c r="E43331" s="0" t="s">
        <v>92</v>
      </c>
      <c r="F43331" s="0" t="s">
        <v>93</v>
      </c>
      <c r="H43331" s="0" t="s">
        <v>92</v>
      </c>
      <c r="I43331" s="0" t="s">
        <v>15695</v>
      </c>
    </row>
    <row r="43332" customFormat="false" ht="12.8" hidden="false" customHeight="false" outlineLevel="0" collapsed="false">
      <c r="B43332" s="0" t="s">
        <v>8</v>
      </c>
      <c r="C43332" s="0" t="s">
        <v>11532</v>
      </c>
      <c r="E43332" s="0" t="s">
        <v>95</v>
      </c>
      <c r="F43332" s="0" t="s">
        <v>96</v>
      </c>
      <c r="H43332" s="0" t="s">
        <v>95</v>
      </c>
      <c r="I43332" s="0" t="s">
        <v>15696</v>
      </c>
    </row>
    <row r="43334" customFormat="false" ht="12.8" hidden="false" customHeight="false" outlineLevel="0" collapsed="false">
      <c r="A43334" s="0" t="s">
        <v>15697</v>
      </c>
      <c r="B43334" s="0" t="str">
        <f aca="false">HYPERLINK("https://lindat.mff.cuni.cz/services/teitok/pdtc10/index.php?action=vallex&amp;frame=v-w11789_ZUf1_ZU", "sesednout (v-w11789_ZUf1_ZU)")</f>
        <v>sesednout (v-w11789_ZUf1_ZU)</v>
      </c>
    </row>
    <row r="43335" customFormat="false" ht="12.8" hidden="false" customHeight="false" outlineLevel="0" collapsed="false">
      <c r="B43335" s="0" t="s">
        <v>1</v>
      </c>
    </row>
    <row r="43336" customFormat="false" ht="12.8" hidden="false" customHeight="false" outlineLevel="0" collapsed="false">
      <c r="B43336" s="0" t="s">
        <v>8</v>
      </c>
    </row>
    <row r="43338" customFormat="false" ht="12.8" hidden="false" customHeight="false" outlineLevel="0" collapsed="false">
      <c r="A43338" s="0" t="s">
        <v>15698</v>
      </c>
      <c r="B43338" s="0" t="str">
        <f aca="false">HYPERLINK("https://lindat.mff.cuni.cz/services/teitok/pdtc10/index.php?action=vallex&amp;frame=v-w5979f1", "seskočit (v-w5979f1)")</f>
        <v>seskočit (v-w5979f1)</v>
      </c>
      <c r="E43338" s="0" t="str">
        <f aca="false">HYPERLINK("https://lindat.mff.cuni.cz/services/SynSemClass40/SynSemClass40.html?veclass=vec01318#vec01318-ces-cm00001", "vec01318")</f>
        <v>vec01318</v>
      </c>
      <c r="F43338" s="0" t="s">
        <v>5084</v>
      </c>
    </row>
    <row r="43339" customFormat="false" ht="12.8" hidden="false" customHeight="false" outlineLevel="0" collapsed="false">
      <c r="B43339" s="0" t="s">
        <v>1</v>
      </c>
      <c r="C43339" s="0" t="s">
        <v>15699</v>
      </c>
      <c r="E43339" s="0" t="s">
        <v>334</v>
      </c>
      <c r="F43339" s="0" t="s">
        <v>5086</v>
      </c>
    </row>
    <row r="43340" customFormat="false" ht="12.8" hidden="false" customHeight="false" outlineLevel="0" collapsed="false">
      <c r="B43340" s="0" t="s">
        <v>631</v>
      </c>
      <c r="E43340" s="0" t="s">
        <v>1924</v>
      </c>
      <c r="F43340" s="0" t="s">
        <v>9358</v>
      </c>
    </row>
    <row r="43342" customFormat="false" ht="12.8" hidden="false" customHeight="false" outlineLevel="0" collapsed="false">
      <c r="A43342" s="0" t="s">
        <v>15700</v>
      </c>
      <c r="B43342" s="0" t="str">
        <f aca="false">HYPERLINK("https://lindat.mff.cuni.cz/services/teitok/pdtc10/index.php?action=vallex&amp;frame=v-w12308_MMf1_MM", "seskupit se (v-w12308_MMf1_MM)")</f>
        <v>seskupit se (v-w12308_MMf1_MM)</v>
      </c>
    </row>
    <row r="43343" customFormat="false" ht="12.8" hidden="false" customHeight="false" outlineLevel="0" collapsed="false">
      <c r="B43343" s="0" t="s">
        <v>1</v>
      </c>
    </row>
    <row r="43345" customFormat="false" ht="12.8" hidden="false" customHeight="false" outlineLevel="0" collapsed="false">
      <c r="A43345" s="0" t="s">
        <v>15701</v>
      </c>
      <c r="B43345" s="0" t="str">
        <f aca="false">HYPERLINK("https://lindat.mff.cuni.cz/services/teitok/pdtc10/index.php?action=vallex&amp;frame=v-w10715f2", "seskupovat (v-w10715f2)")</f>
        <v>seskupovat (v-w10715f2)</v>
      </c>
    </row>
    <row r="43346" customFormat="false" ht="12.8" hidden="false" customHeight="false" outlineLevel="0" collapsed="false">
      <c r="B43346" s="0" t="s">
        <v>1</v>
      </c>
    </row>
    <row r="43347" customFormat="false" ht="12.8" hidden="false" customHeight="false" outlineLevel="0" collapsed="false">
      <c r="B43347" s="0" t="s">
        <v>8</v>
      </c>
    </row>
    <row r="43349" customFormat="false" ht="12.8" hidden="false" customHeight="false" outlineLevel="0" collapsed="false">
      <c r="A43349" s="0" t="s">
        <v>15702</v>
      </c>
      <c r="B43349" s="0" t="str">
        <f aca="false">HYPERLINK("https://lindat.mff.cuni.cz/services/teitok/pdtc10/index.php?action=vallex&amp;frame=v-w10840f2", "sesmolit (v-w10840f2)")</f>
        <v>sesmolit (v-w10840f2)</v>
      </c>
    </row>
    <row r="43350" customFormat="false" ht="12.8" hidden="false" customHeight="false" outlineLevel="0" collapsed="false">
      <c r="B43350" s="0" t="s">
        <v>1</v>
      </c>
    </row>
    <row r="43351" customFormat="false" ht="12.8" hidden="false" customHeight="false" outlineLevel="0" collapsed="false">
      <c r="B43351" s="0" t="s">
        <v>8</v>
      </c>
    </row>
    <row r="43353" customFormat="false" ht="12.8" hidden="false" customHeight="false" outlineLevel="0" collapsed="false">
      <c r="A43353" s="0" t="s">
        <v>15703</v>
      </c>
      <c r="B43353" s="0" t="str">
        <f aca="false">HYPERLINK("https://lindat.mff.cuni.cz/services/teitok/pdtc10/index.php?action=vallex&amp;frame=v-w10840hsa_72", "sesmolit (v-w10840hsa_72)")</f>
        <v>sesmolit (v-w10840hsa_72)</v>
      </c>
      <c r="E43353" s="0" t="str">
        <f aca="false">HYPERLINK("https://lindat.mff.cuni.cz/services/SynSemClass40/SynSemClass40.html?veclass=vec00709#vec00709-ces-cm00008", "vec00709")</f>
        <v>vec00709</v>
      </c>
      <c r="F43353" s="0" t="s">
        <v>15704</v>
      </c>
    </row>
    <row r="43354" customFormat="false" ht="12.8" hidden="false" customHeight="false" outlineLevel="0" collapsed="false">
      <c r="B43354" s="0" t="s">
        <v>1</v>
      </c>
      <c r="C43354" s="0" t="s">
        <v>15705</v>
      </c>
      <c r="E43354" s="0" t="s">
        <v>63</v>
      </c>
      <c r="F43354" s="0" t="s">
        <v>15706</v>
      </c>
    </row>
    <row r="43355" customFormat="false" ht="12.8" hidden="false" customHeight="false" outlineLevel="0" collapsed="false">
      <c r="B43355" s="0" t="s">
        <v>8</v>
      </c>
      <c r="C43355" s="0" t="s">
        <v>15707</v>
      </c>
      <c r="E43355" s="0" t="s">
        <v>218</v>
      </c>
      <c r="F43355" s="0" t="s">
        <v>15708</v>
      </c>
    </row>
    <row r="43356" customFormat="false" ht="12.8" hidden="false" customHeight="false" outlineLevel="0" collapsed="false">
      <c r="B43356" s="0" t="s">
        <v>841</v>
      </c>
      <c r="C43356" s="0" t="s">
        <v>2590</v>
      </c>
      <c r="E43356" s="0" t="s">
        <v>15709</v>
      </c>
      <c r="F43356" s="0" t="s">
        <v>15710</v>
      </c>
    </row>
    <row r="43358" customFormat="false" ht="12.8" hidden="false" customHeight="false" outlineLevel="0" collapsed="false">
      <c r="A43358" s="0" t="s">
        <v>15711</v>
      </c>
      <c r="B43358" s="0" t="str">
        <f aca="false">HYPERLINK("https://lindat.mff.cuni.cz/services/teitok/pdtc10/index.php?action=vallex&amp;frame=v-whsa_555hsa_556", "sesout se (v-whsa_555hsa_556)")</f>
        <v>sesout se (v-whsa_555hsa_556)</v>
      </c>
    </row>
    <row r="43359" customFormat="false" ht="12.8" hidden="false" customHeight="false" outlineLevel="0" collapsed="false">
      <c r="B43359" s="0" t="s">
        <v>1</v>
      </c>
    </row>
    <row r="43361" customFormat="false" ht="12.8" hidden="false" customHeight="false" outlineLevel="0" collapsed="false">
      <c r="A43361" s="0" t="s">
        <v>15712</v>
      </c>
      <c r="B43361" s="0" t="str">
        <f aca="false">HYPERLINK("https://lindat.mff.cuni.cz/services/teitok/pdtc10/index.php?action=vallex&amp;frame=v-w5986f1", "sestavit (v-w5986f1)")</f>
        <v>sestavit (v-w5986f1)</v>
      </c>
      <c r="E43361" s="0" t="str">
        <f aca="false">HYPERLINK("https://lindat.mff.cuni.cz/services/SynSemClass40/SynSemClass40.html?veclass=vec00084#vec00084-ces-cm00039", "vec00084")</f>
        <v>vec00084</v>
      </c>
      <c r="F43361" s="0" t="s">
        <v>778</v>
      </c>
      <c r="H43361" s="0" t="str">
        <f aca="false">HYPERLINK("https://lindat.mff.cuni.cz/services/SynSemClass40/SynSemClass40.html?veclass=vec01490#vec01490-ces-cm00010", "vec01490")</f>
        <v>vec01490</v>
      </c>
      <c r="I43361" s="0" t="s">
        <v>2391</v>
      </c>
    </row>
    <row r="43362" customFormat="false" ht="12.8" hidden="false" customHeight="false" outlineLevel="0" collapsed="false">
      <c r="B43362" s="0" t="s">
        <v>1</v>
      </c>
      <c r="C43362" s="0" t="s">
        <v>15713</v>
      </c>
      <c r="E43362" s="0" t="s">
        <v>31</v>
      </c>
      <c r="F43362" s="0" t="s">
        <v>781</v>
      </c>
      <c r="H43362" s="0" t="s">
        <v>768</v>
      </c>
      <c r="I43362" s="0" t="s">
        <v>2393</v>
      </c>
    </row>
    <row r="43363" customFormat="false" ht="12.8" hidden="false" customHeight="false" outlineLevel="0" collapsed="false">
      <c r="B43363" s="0" t="s">
        <v>8</v>
      </c>
      <c r="C43363" s="0" t="s">
        <v>15714</v>
      </c>
      <c r="E43363" s="0" t="s">
        <v>771</v>
      </c>
      <c r="F43363" s="0" t="s">
        <v>784</v>
      </c>
      <c r="H43363" s="0" t="s">
        <v>771</v>
      </c>
      <c r="I43363" s="0" t="s">
        <v>2395</v>
      </c>
    </row>
    <row r="43364" customFormat="false" ht="12.8" hidden="false" customHeight="false" outlineLevel="0" collapsed="false">
      <c r="B43364" s="0" t="s">
        <v>36</v>
      </c>
      <c r="C43364" s="0" t="s">
        <v>15715</v>
      </c>
      <c r="E43364" s="0" t="s">
        <v>787</v>
      </c>
      <c r="F43364" s="0" t="s">
        <v>788</v>
      </c>
      <c r="H43364" s="0" t="s">
        <v>38</v>
      </c>
      <c r="I43364" s="0" t="s">
        <v>2397</v>
      </c>
    </row>
    <row r="43366" customFormat="false" ht="12.8" hidden="false" customHeight="false" outlineLevel="0" collapsed="false">
      <c r="A43366" s="0" t="s">
        <v>15716</v>
      </c>
      <c r="B43366" s="0" t="str">
        <f aca="false">HYPERLINK("https://lindat.mff.cuni.cz/services/teitok/pdtc10/index.php?action=vallex&amp;frame=v-w5986f2", "sestavit (v-w5986f2)")</f>
        <v>sestavit (v-w5986f2)</v>
      </c>
      <c r="E43366" s="0" t="str">
        <f aca="false">HYPERLINK("https://lindat.mff.cuni.cz/services/SynSemClass40/SynSemClass40.html?veclass=vec01444#vec01444-ces-cm00004", "vec01444")</f>
        <v>vec01444</v>
      </c>
      <c r="F43366" s="0" t="s">
        <v>7001</v>
      </c>
    </row>
    <row r="43367" customFormat="false" ht="12.8" hidden="false" customHeight="false" outlineLevel="0" collapsed="false">
      <c r="B43367" s="0" t="s">
        <v>1</v>
      </c>
      <c r="C43367" s="0" t="s">
        <v>4695</v>
      </c>
      <c r="E43367" s="0" t="s">
        <v>768</v>
      </c>
      <c r="F43367" s="0" t="s">
        <v>4781</v>
      </c>
    </row>
    <row r="43368" customFormat="false" ht="12.8" hidden="false" customHeight="false" outlineLevel="0" collapsed="false">
      <c r="B43368" s="0" t="s">
        <v>8</v>
      </c>
      <c r="C43368" s="0" t="s">
        <v>462</v>
      </c>
      <c r="E43368" s="0" t="s">
        <v>110</v>
      </c>
      <c r="F43368" s="0" t="s">
        <v>7002</v>
      </c>
    </row>
    <row r="43369" customFormat="false" ht="12.8" hidden="false" customHeight="false" outlineLevel="0" collapsed="false">
      <c r="B43369" s="0" t="s">
        <v>3026</v>
      </c>
      <c r="E43369" s="0" t="s">
        <v>4858</v>
      </c>
      <c r="F43369" s="0" t="s">
        <v>7003</v>
      </c>
    </row>
    <row r="43371" customFormat="false" ht="12.8" hidden="false" customHeight="false" outlineLevel="0" collapsed="false">
      <c r="A43371" s="0" t="s">
        <v>15717</v>
      </c>
      <c r="B43371" s="0" t="str">
        <f aca="false">HYPERLINK("https://lindat.mff.cuni.cz/services/teitok/pdtc10/index.php?action=vallex&amp;frame=v-w5989f1", "sestavovat (v-w5989f1)")</f>
        <v>sestavovat (v-w5989f1)</v>
      </c>
      <c r="E43371" s="0" t="str">
        <f aca="false">HYPERLINK("https://lindat.mff.cuni.cz/services/SynSemClass40/SynSemClass40.html?veclass=vec00084#vec00084-ces-cm00040", "vec00084")</f>
        <v>vec00084</v>
      </c>
      <c r="F43371" s="0" t="s">
        <v>778</v>
      </c>
      <c r="H43371" s="0" t="str">
        <f aca="false">HYPERLINK("https://lindat.mff.cuni.cz/services/SynSemClass40/SynSemClass40.html?veclass=vec01490#vec01490-ces-cm00012", "vec01490")</f>
        <v>vec01490</v>
      </c>
      <c r="I43371" s="0" t="s">
        <v>2391</v>
      </c>
    </row>
    <row r="43372" customFormat="false" ht="12.8" hidden="false" customHeight="false" outlineLevel="0" collapsed="false">
      <c r="B43372" s="0" t="s">
        <v>1</v>
      </c>
      <c r="C43372" s="0" t="s">
        <v>15713</v>
      </c>
      <c r="E43372" s="0" t="s">
        <v>31</v>
      </c>
      <c r="F43372" s="0" t="s">
        <v>781</v>
      </c>
      <c r="H43372" s="0" t="s">
        <v>768</v>
      </c>
      <c r="I43372" s="0" t="s">
        <v>2393</v>
      </c>
    </row>
    <row r="43373" customFormat="false" ht="12.8" hidden="false" customHeight="false" outlineLevel="0" collapsed="false">
      <c r="B43373" s="0" t="s">
        <v>8</v>
      </c>
      <c r="C43373" s="0" t="s">
        <v>15714</v>
      </c>
      <c r="E43373" s="0" t="s">
        <v>771</v>
      </c>
      <c r="F43373" s="0" t="s">
        <v>784</v>
      </c>
      <c r="H43373" s="0" t="s">
        <v>771</v>
      </c>
      <c r="I43373" s="0" t="s">
        <v>2395</v>
      </c>
    </row>
    <row r="43374" customFormat="false" ht="12.8" hidden="false" customHeight="false" outlineLevel="0" collapsed="false">
      <c r="B43374" s="0" t="s">
        <v>36</v>
      </c>
      <c r="C43374" s="0" t="s">
        <v>15715</v>
      </c>
      <c r="E43374" s="0" t="s">
        <v>787</v>
      </c>
      <c r="F43374" s="0" t="s">
        <v>788</v>
      </c>
      <c r="H43374" s="0" t="s">
        <v>38</v>
      </c>
      <c r="I43374" s="0" t="s">
        <v>2397</v>
      </c>
    </row>
    <row r="43376" customFormat="false" ht="12.8" hidden="false" customHeight="false" outlineLevel="0" collapsed="false">
      <c r="A43376" s="0" t="s">
        <v>15718</v>
      </c>
      <c r="B43376" s="0" t="str">
        <f aca="false">HYPERLINK("https://lindat.mff.cuni.cz/services/teitok/pdtc10/index.php?action=vallex&amp;frame=v-w5989f2", "sestavovat (v-w5989f2)")</f>
        <v>sestavovat (v-w5989f2)</v>
      </c>
      <c r="E43376" s="0" t="str">
        <f aca="false">HYPERLINK("https://lindat.mff.cuni.cz/services/SynSemClass40/SynSemClass40.html?veclass=vec01444#vec01444-ces-cm00005", "vec01444")</f>
        <v>vec01444</v>
      </c>
      <c r="F43376" s="0" t="s">
        <v>7001</v>
      </c>
    </row>
    <row r="43377" customFormat="false" ht="12.8" hidden="false" customHeight="false" outlineLevel="0" collapsed="false">
      <c r="B43377" s="0" t="s">
        <v>1</v>
      </c>
      <c r="C43377" s="0" t="s">
        <v>4695</v>
      </c>
      <c r="E43377" s="0" t="s">
        <v>768</v>
      </c>
      <c r="F43377" s="0" t="s">
        <v>4781</v>
      </c>
    </row>
    <row r="43378" customFormat="false" ht="12.8" hidden="false" customHeight="false" outlineLevel="0" collapsed="false">
      <c r="B43378" s="0" t="s">
        <v>8</v>
      </c>
      <c r="C43378" s="0" t="s">
        <v>462</v>
      </c>
      <c r="E43378" s="0" t="s">
        <v>110</v>
      </c>
      <c r="F43378" s="0" t="s">
        <v>7002</v>
      </c>
    </row>
    <row r="43379" customFormat="false" ht="12.8" hidden="false" customHeight="false" outlineLevel="0" collapsed="false">
      <c r="B43379" s="0" t="s">
        <v>3026</v>
      </c>
      <c r="E43379" s="0" t="s">
        <v>4858</v>
      </c>
      <c r="F43379" s="0" t="s">
        <v>7003</v>
      </c>
    </row>
    <row r="43381" customFormat="false" ht="12.8" hidden="false" customHeight="false" outlineLevel="0" collapsed="false">
      <c r="A43381" s="0" t="s">
        <v>15719</v>
      </c>
      <c r="B43381" s="0" t="str">
        <f aca="false">HYPERLINK("https://lindat.mff.cuni.cz/services/teitok/pdtc10/index.php?action=vallex&amp;frame=v-whsa_299f1_ZU", "sestoupit (v-whsa_299f1_ZU)")</f>
        <v>sestoupit (v-whsa_299f1_ZU)</v>
      </c>
    </row>
    <row r="43382" customFormat="false" ht="12.8" hidden="false" customHeight="false" outlineLevel="0" collapsed="false">
      <c r="B43382" s="0" t="s">
        <v>1</v>
      </c>
    </row>
    <row r="43383" customFormat="false" ht="12.8" hidden="false" customHeight="false" outlineLevel="0" collapsed="false">
      <c r="B43383" s="0" t="s">
        <v>631</v>
      </c>
    </row>
    <row r="43385" customFormat="false" ht="12.8" hidden="false" customHeight="false" outlineLevel="0" collapsed="false">
      <c r="A43385" s="0" t="s">
        <v>15719</v>
      </c>
      <c r="B43385" s="0" t="str">
        <f aca="false">HYPERLINK("https://lindat.mff.cuni.cz/services/teitok/pdtc10/index.php?action=vallex&amp;frame=v-whsb_299hsa_300", "sestoupit (v-whsb_299hsa_300) - substituted with v-whsa_299f1_ZU")</f>
        <v>sestoupit (v-whsb_299hsa_300) - substituted with v-whsa_299f1_ZU</v>
      </c>
    </row>
    <row r="43386" customFormat="false" ht="12.8" hidden="false" customHeight="false" outlineLevel="0" collapsed="false">
      <c r="B43386" s="0" t="s">
        <v>1</v>
      </c>
    </row>
    <row r="43387" customFormat="false" ht="12.8" hidden="false" customHeight="false" outlineLevel="0" collapsed="false">
      <c r="B43387" s="0" t="s">
        <v>631</v>
      </c>
    </row>
    <row r="43389" customFormat="false" ht="12.8" hidden="false" customHeight="false" outlineLevel="0" collapsed="false">
      <c r="A43389" s="0" t="s">
        <v>15720</v>
      </c>
      <c r="B43389" s="0" t="str">
        <f aca="false">HYPERLINK("https://lindat.mff.cuni.cz/services/teitok/pdtc10/index.php?action=vallex&amp;frame=v-w5990f1", "sestrojit (v-w5990f1)")</f>
        <v>sestrojit (v-w5990f1)</v>
      </c>
    </row>
    <row r="43390" customFormat="false" ht="12.8" hidden="false" customHeight="false" outlineLevel="0" collapsed="false">
      <c r="B43390" s="0" t="s">
        <v>1</v>
      </c>
    </row>
    <row r="43391" customFormat="false" ht="12.8" hidden="false" customHeight="false" outlineLevel="0" collapsed="false">
      <c r="B43391" s="0" t="s">
        <v>8</v>
      </c>
    </row>
    <row r="43392" customFormat="false" ht="12.8" hidden="false" customHeight="false" outlineLevel="0" collapsed="false">
      <c r="B43392" s="0" t="s">
        <v>36</v>
      </c>
    </row>
    <row r="43394" customFormat="false" ht="12.8" hidden="false" customHeight="false" outlineLevel="0" collapsed="false">
      <c r="A43394" s="0" t="s">
        <v>15721</v>
      </c>
      <c r="B43394" s="0" t="str">
        <f aca="false">HYPERLINK("https://lindat.mff.cuni.cz/services/teitok/pdtc10/index.php?action=vallex&amp;frame=v-w5995f1", "sestupovat (v-w5995f1)")</f>
        <v>sestupovat (v-w5995f1)</v>
      </c>
      <c r="E43394" s="0" t="str">
        <f aca="false">HYPERLINK("https://lindat.mff.cuni.cz/services/SynSemClass40/SynSemClass40.html?veclass=vec00022#vec00022-ces-cm00061", "vec00022")</f>
        <v>vec00022</v>
      </c>
      <c r="F43394" s="0" t="s">
        <v>4377</v>
      </c>
      <c r="H43394" s="0" t="str">
        <f aca="false">HYPERLINK("https://lindat.mff.cuni.cz/services/SynSemClass40/SynSemClass40.html?veclass=vec01318#vec01318-ces-cm00002", "vec01318")</f>
        <v>vec01318</v>
      </c>
      <c r="I43394" s="0" t="s">
        <v>5084</v>
      </c>
    </row>
    <row r="43395" customFormat="false" ht="12.8" hidden="false" customHeight="false" outlineLevel="0" collapsed="false">
      <c r="B43395" s="0" t="s">
        <v>1</v>
      </c>
      <c r="C43395" s="0" t="s">
        <v>15722</v>
      </c>
      <c r="E43395" s="0" t="s">
        <v>334</v>
      </c>
      <c r="F43395" s="0" t="s">
        <v>4379</v>
      </c>
      <c r="H43395" s="0" t="s">
        <v>334</v>
      </c>
      <c r="I43395" s="0" t="s">
        <v>5086</v>
      </c>
    </row>
    <row r="43396" customFormat="false" ht="12.8" hidden="false" customHeight="false" outlineLevel="0" collapsed="false">
      <c r="B43396" s="0" t="s">
        <v>631</v>
      </c>
      <c r="E43396" s="0" t="s">
        <v>1949</v>
      </c>
      <c r="F43396" s="0" t="s">
        <v>2896</v>
      </c>
      <c r="H43396" s="0" t="s">
        <v>1924</v>
      </c>
      <c r="I43396" s="0" t="s">
        <v>9358</v>
      </c>
    </row>
    <row r="43398" customFormat="false" ht="12.8" hidden="false" customHeight="false" outlineLevel="0" collapsed="false">
      <c r="A43398" s="0" t="s">
        <v>15723</v>
      </c>
      <c r="B43398" s="0" t="str">
        <f aca="false">HYPERLINK("https://lindat.mff.cuni.cz/services/teitok/pdtc10/index.php?action=vallex&amp;frame=v-w5996f1", "sestykovat (v-w5996f1)")</f>
        <v>sestykovat (v-w5996f1)</v>
      </c>
    </row>
    <row r="43399" customFormat="false" ht="12.8" hidden="false" customHeight="false" outlineLevel="0" collapsed="false">
      <c r="B43399" s="0" t="s">
        <v>1</v>
      </c>
    </row>
    <row r="43400" customFormat="false" ht="12.8" hidden="false" customHeight="false" outlineLevel="0" collapsed="false">
      <c r="B43400" s="0" t="s">
        <v>8</v>
      </c>
    </row>
    <row r="43401" customFormat="false" ht="12.8" hidden="false" customHeight="false" outlineLevel="0" collapsed="false">
      <c r="B43401" s="0" t="s">
        <v>276</v>
      </c>
    </row>
    <row r="43403" customFormat="false" ht="12.8" hidden="false" customHeight="false" outlineLevel="0" collapsed="false">
      <c r="A43403" s="0" t="s">
        <v>15724</v>
      </c>
      <c r="B43403" s="0" t="str">
        <f aca="false">HYPERLINK("https://lindat.mff.cuni.cz/services/teitok/pdtc10/index.php?action=vallex&amp;frame=v-w5983f1", "sestávat (v-w5983f1)")</f>
        <v>sestávat (v-w5983f1)</v>
      </c>
      <c r="E43403" s="0" t="str">
        <f aca="false">HYPERLINK("https://lindat.mff.cuni.cz/services/SynSemClass40/SynSemClass40.html?veclass=vec00366#vec00366-ces-cm00043", "vec00366")</f>
        <v>vec00366</v>
      </c>
      <c r="F43403" s="0" t="s">
        <v>8570</v>
      </c>
    </row>
    <row r="43404" customFormat="false" ht="12.8" hidden="false" customHeight="false" outlineLevel="0" collapsed="false">
      <c r="B43404" s="0" t="s">
        <v>1</v>
      </c>
      <c r="C43404" s="0" t="s">
        <v>8571</v>
      </c>
      <c r="E43404" s="0" t="s">
        <v>2017</v>
      </c>
      <c r="F43404" s="0" t="s">
        <v>8572</v>
      </c>
    </row>
    <row r="43405" customFormat="false" ht="12.8" hidden="false" customHeight="false" outlineLevel="0" collapsed="false">
      <c r="B43405" s="0" t="s">
        <v>298</v>
      </c>
      <c r="C43405" s="0" t="s">
        <v>8573</v>
      </c>
      <c r="E43405" s="0" t="s">
        <v>110</v>
      </c>
      <c r="F43405" s="0" t="s">
        <v>8574</v>
      </c>
    </row>
    <row r="43407" customFormat="false" ht="12.8" hidden="false" customHeight="false" outlineLevel="0" collapsed="false">
      <c r="A43407" s="0" t="s">
        <v>15725</v>
      </c>
      <c r="B43407" s="0" t="str">
        <f aca="false">HYPERLINK("https://lindat.mff.cuni.cz/services/teitok/pdtc10/index.php?action=vallex&amp;frame=v-w5993f1", "sestřelit (v-w5993f1)")</f>
        <v>sestřelit (v-w5993f1)</v>
      </c>
    </row>
    <row r="43408" customFormat="false" ht="12.8" hidden="false" customHeight="false" outlineLevel="0" collapsed="false">
      <c r="B43408" s="0" t="s">
        <v>1</v>
      </c>
    </row>
    <row r="43409" customFormat="false" ht="12.8" hidden="false" customHeight="false" outlineLevel="0" collapsed="false">
      <c r="B43409" s="0" t="s">
        <v>8</v>
      </c>
    </row>
    <row r="43411" customFormat="false" ht="12.8" hidden="false" customHeight="false" outlineLevel="0" collapsed="false">
      <c r="A43411" s="0" t="s">
        <v>15726</v>
      </c>
      <c r="B43411" s="0" t="str">
        <f aca="false">HYPERLINK("https://lindat.mff.cuni.cz/services/teitok/pdtc10/index.php?action=vallex&amp;frame=v-w11745_ZUf1_ZU", "sestřihávat (v-w11745_ZUf1_ZU)")</f>
        <v>sestřihávat (v-w11745_ZUf1_ZU)</v>
      </c>
    </row>
    <row r="43412" customFormat="false" ht="12.8" hidden="false" customHeight="false" outlineLevel="0" collapsed="false">
      <c r="B43412" s="0" t="s">
        <v>1</v>
      </c>
    </row>
    <row r="43413" customFormat="false" ht="12.8" hidden="false" customHeight="false" outlineLevel="0" collapsed="false">
      <c r="B43413" s="0" t="s">
        <v>8</v>
      </c>
    </row>
    <row r="43414" customFormat="false" ht="12.8" hidden="false" customHeight="false" outlineLevel="0" collapsed="false">
      <c r="B43414" s="0" t="s">
        <v>36</v>
      </c>
    </row>
    <row r="43416" customFormat="false" ht="12.8" hidden="false" customHeight="false" outlineLevel="0" collapsed="false">
      <c r="A43416" s="0" t="s">
        <v>15727</v>
      </c>
      <c r="B43416" s="0" t="str">
        <f aca="false">HYPERLINK("https://lindat.mff.cuni.cz/services/teitok/pdtc10/index.php?action=vallex&amp;frame=v-w12145_ZUf1_ZU", "sesumírovat (v-w12145_ZUf1_ZU)")</f>
        <v>sesumírovat (v-w12145_ZUf1_ZU)</v>
      </c>
    </row>
    <row r="43417" customFormat="false" ht="12.8" hidden="false" customHeight="false" outlineLevel="0" collapsed="false">
      <c r="B43417" s="0" t="s">
        <v>1</v>
      </c>
    </row>
    <row r="43418" customFormat="false" ht="12.8" hidden="false" customHeight="false" outlineLevel="0" collapsed="false">
      <c r="B43418" s="0" t="s">
        <v>305</v>
      </c>
    </row>
    <row r="43420" customFormat="false" ht="12.8" hidden="false" customHeight="false" outlineLevel="0" collapsed="false">
      <c r="A43420" s="0" t="s">
        <v>15728</v>
      </c>
      <c r="B43420" s="0" t="str">
        <f aca="false">HYPERLINK("https://lindat.mff.cuni.cz/services/teitok/pdtc10/index.php?action=vallex&amp;frame=v-w5997f1", "sesunout se (v-w5997f1)")</f>
        <v>sesunout se (v-w5997f1)</v>
      </c>
    </row>
    <row r="43421" customFormat="false" ht="12.8" hidden="false" customHeight="false" outlineLevel="0" collapsed="false">
      <c r="B43421" s="0" t="s">
        <v>1</v>
      </c>
    </row>
    <row r="43423" customFormat="false" ht="12.8" hidden="false" customHeight="false" outlineLevel="0" collapsed="false">
      <c r="A43423" s="0" t="s">
        <v>15729</v>
      </c>
      <c r="B43423" s="0" t="str">
        <f aca="false">HYPERLINK("https://lindat.mff.cuni.cz/services/teitok/pdtc10/index.php?action=vallex&amp;frame=v-w5999f1", "sesypat se (v-w5999f1)")</f>
        <v>sesypat se (v-w5999f1)</v>
      </c>
    </row>
    <row r="43424" customFormat="false" ht="12.8" hidden="false" customHeight="false" outlineLevel="0" collapsed="false">
      <c r="B43424" s="0" t="s">
        <v>1</v>
      </c>
    </row>
    <row r="43426" customFormat="false" ht="12.8" hidden="false" customHeight="false" outlineLevel="0" collapsed="false">
      <c r="A43426" s="0" t="s">
        <v>15730</v>
      </c>
      <c r="B43426" s="0" t="str">
        <f aca="false">HYPERLINK("https://lindat.mff.cuni.cz/services/teitok/pdtc10/index.php?action=vallex&amp;frame=v-w6002f1", "setkat se (v-w6002f1)")</f>
        <v>setkat se (v-w6002f1)</v>
      </c>
      <c r="E43426" s="0" t="str">
        <f aca="false">HYPERLINK("https://lindat.mff.cuni.cz/services/SynSemClass40/SynSemClass40.html?veclass=vec00307#vec00307-ces-cm00001", "vec00307")</f>
        <v>vec00307</v>
      </c>
      <c r="F43426" s="0" t="s">
        <v>11687</v>
      </c>
    </row>
    <row r="43427" customFormat="false" ht="12.8" hidden="false" customHeight="false" outlineLevel="0" collapsed="false">
      <c r="B43427" s="0" t="s">
        <v>1</v>
      </c>
      <c r="C43427" s="0" t="s">
        <v>11688</v>
      </c>
      <c r="E43427" s="0" t="s">
        <v>2241</v>
      </c>
      <c r="F43427" s="0" t="s">
        <v>11689</v>
      </c>
    </row>
    <row r="43428" customFormat="false" ht="12.8" hidden="false" customHeight="false" outlineLevel="0" collapsed="false">
      <c r="B43428" s="0" t="s">
        <v>721</v>
      </c>
      <c r="C43428" s="0" t="s">
        <v>4776</v>
      </c>
      <c r="E43428" s="0" t="s">
        <v>2665</v>
      </c>
      <c r="F43428" s="0" t="s">
        <v>11690</v>
      </c>
    </row>
    <row r="43430" customFormat="false" ht="12.8" hidden="false" customHeight="false" outlineLevel="0" collapsed="false">
      <c r="A43430" s="0" t="s">
        <v>15731</v>
      </c>
      <c r="B43430" s="0" t="str">
        <f aca="false">HYPERLINK("https://lindat.mff.cuni.cz/services/teitok/pdtc10/index.php?action=vallex&amp;frame=v-w6002f2", "setkat se (v-w6002f2)")</f>
        <v>setkat se (v-w6002f2)</v>
      </c>
      <c r="E43430" s="0" t="str">
        <f aca="false">HYPERLINK("https://lindat.mff.cuni.cz/services/SynSemClass40/SynSemClass40.html?veclass=vec00379#vec00379-ces-cm00018", "vec00379")</f>
        <v>vec00379</v>
      </c>
      <c r="F43430" s="0" t="s">
        <v>10883</v>
      </c>
    </row>
    <row r="43431" customFormat="false" ht="12.8" hidden="false" customHeight="false" outlineLevel="0" collapsed="false">
      <c r="B43431" s="0" t="s">
        <v>1</v>
      </c>
      <c r="C43431" s="0" t="s">
        <v>10884</v>
      </c>
      <c r="E43431" s="0" t="s">
        <v>266</v>
      </c>
      <c r="F43431" s="0" t="s">
        <v>10885</v>
      </c>
    </row>
    <row r="43432" customFormat="false" ht="12.8" hidden="false" customHeight="false" outlineLevel="0" collapsed="false">
      <c r="B43432" s="0" t="s">
        <v>721</v>
      </c>
      <c r="C43432" s="0" t="s">
        <v>10886</v>
      </c>
      <c r="E43432" s="0" t="s">
        <v>10887</v>
      </c>
      <c r="F43432" s="0" t="s">
        <v>10888</v>
      </c>
    </row>
    <row r="43434" customFormat="false" ht="12.8" hidden="false" customHeight="false" outlineLevel="0" collapsed="false">
      <c r="A43434" s="0" t="s">
        <v>15732</v>
      </c>
      <c r="B43434" s="0" t="str">
        <f aca="false">HYPERLINK("https://lindat.mff.cuni.cz/services/teitok/pdtc10/index.php?action=vallex&amp;frame=v-w6004f1", "setkávat se (v-w6004f1)")</f>
        <v>setkávat se (v-w6004f1)</v>
      </c>
      <c r="E43434" s="0" t="str">
        <f aca="false">HYPERLINK("https://lindat.mff.cuni.cz/services/SynSemClass40/SynSemClass40.html?veclass=vec00379#vec00379-ces-cm00019", "vec00379")</f>
        <v>vec00379</v>
      </c>
      <c r="F43434" s="0" t="s">
        <v>10883</v>
      </c>
    </row>
    <row r="43435" customFormat="false" ht="12.8" hidden="false" customHeight="false" outlineLevel="0" collapsed="false">
      <c r="B43435" s="0" t="s">
        <v>1</v>
      </c>
      <c r="C43435" s="0" t="s">
        <v>10884</v>
      </c>
      <c r="E43435" s="0" t="s">
        <v>266</v>
      </c>
      <c r="F43435" s="0" t="s">
        <v>10885</v>
      </c>
    </row>
    <row r="43436" customFormat="false" ht="12.8" hidden="false" customHeight="false" outlineLevel="0" collapsed="false">
      <c r="B43436" s="0" t="s">
        <v>721</v>
      </c>
      <c r="C43436" s="0" t="s">
        <v>10886</v>
      </c>
      <c r="E43436" s="0" t="s">
        <v>10887</v>
      </c>
      <c r="F43436" s="0" t="s">
        <v>10888</v>
      </c>
    </row>
    <row r="43438" customFormat="false" ht="12.8" hidden="false" customHeight="false" outlineLevel="0" collapsed="false">
      <c r="A43438" s="0" t="s">
        <v>15733</v>
      </c>
      <c r="B43438" s="0" t="str">
        <f aca="false">HYPERLINK("https://lindat.mff.cuni.cz/services/teitok/pdtc10/index.php?action=vallex&amp;frame=v-w6004f2", "setkávat se (v-w6004f2)")</f>
        <v>setkávat se (v-w6004f2)</v>
      </c>
      <c r="E43438" s="0" t="str">
        <f aca="false">HYPERLINK("https://lindat.mff.cuni.cz/services/SynSemClass40/SynSemClass40.html?veclass=vec00307#vec00307-ces-cm00050", "vec00307")</f>
        <v>vec00307</v>
      </c>
      <c r="F43438" s="0" t="s">
        <v>11687</v>
      </c>
    </row>
    <row r="43439" customFormat="false" ht="12.8" hidden="false" customHeight="false" outlineLevel="0" collapsed="false">
      <c r="B43439" s="0" t="s">
        <v>1</v>
      </c>
      <c r="C43439" s="0" t="s">
        <v>11688</v>
      </c>
      <c r="E43439" s="0" t="s">
        <v>2241</v>
      </c>
      <c r="F43439" s="0" t="s">
        <v>11689</v>
      </c>
    </row>
    <row r="43440" customFormat="false" ht="12.8" hidden="false" customHeight="false" outlineLevel="0" collapsed="false">
      <c r="B43440" s="0" t="s">
        <v>721</v>
      </c>
      <c r="C43440" s="0" t="s">
        <v>4776</v>
      </c>
      <c r="E43440" s="0" t="s">
        <v>2665</v>
      </c>
      <c r="F43440" s="0" t="s">
        <v>11690</v>
      </c>
    </row>
    <row r="43442" customFormat="false" ht="12.8" hidden="false" customHeight="false" outlineLevel="0" collapsed="false">
      <c r="A43442" s="0" t="s">
        <v>15734</v>
      </c>
      <c r="B43442" s="0" t="str">
        <f aca="false">HYPERLINK("https://lindat.mff.cuni.cz/services/teitok/pdtc10/index.php?action=vallex&amp;frame=v-w12043_ZUf1_ZU", "setmít se (v-w12043_ZUf1_ZU)")</f>
        <v>setmít se (v-w12043_ZUf1_ZU)</v>
      </c>
    </row>
    <row r="43444" customFormat="false" ht="12.8" hidden="false" customHeight="false" outlineLevel="0" collapsed="false">
      <c r="A43444" s="0" t="s">
        <v>15735</v>
      </c>
      <c r="B43444" s="0" t="str">
        <f aca="false">HYPERLINK("https://lindat.mff.cuni.cz/services/teitok/pdtc10/index.php?action=vallex&amp;frame=v-w6006f1", "setrvat (v-w6006f1)")</f>
        <v>setrvat (v-w6006f1)</v>
      </c>
    </row>
    <row r="43445" customFormat="false" ht="12.8" hidden="false" customHeight="false" outlineLevel="0" collapsed="false">
      <c r="B43445" s="0" t="s">
        <v>1</v>
      </c>
    </row>
    <row r="43446" customFormat="false" ht="12.8" hidden="false" customHeight="false" outlineLevel="0" collapsed="false">
      <c r="B43446" s="0" t="s">
        <v>5</v>
      </c>
    </row>
    <row r="43448" customFormat="false" ht="12.8" hidden="false" customHeight="false" outlineLevel="0" collapsed="false">
      <c r="A43448" s="0" t="s">
        <v>15736</v>
      </c>
      <c r="B43448" s="0" t="str">
        <f aca="false">HYPERLINK("https://lindat.mff.cuni.cz/services/teitok/pdtc10/index.php?action=vallex&amp;frame=v-w6006f2", "setrvat (v-w6006f2)")</f>
        <v>setrvat (v-w6006f2)</v>
      </c>
      <c r="E43448" s="0" t="str">
        <f aca="false">HYPERLINK("https://lindat.mff.cuni.cz/services/SynSemClass40/SynSemClass40.html?veclass=vec00199#vec00199-ces-cm00309", "vec00199")</f>
        <v>vec00199</v>
      </c>
      <c r="F43448" s="0" t="s">
        <v>1248</v>
      </c>
    </row>
    <row r="43449" customFormat="false" ht="12.8" hidden="false" customHeight="false" outlineLevel="0" collapsed="false">
      <c r="B43449" s="0" t="s">
        <v>1</v>
      </c>
      <c r="C43449" s="0" t="s">
        <v>1250</v>
      </c>
      <c r="E43449" s="0" t="s">
        <v>957</v>
      </c>
      <c r="F43449" s="0" t="s">
        <v>1251</v>
      </c>
    </row>
    <row r="43450" customFormat="false" ht="12.8" hidden="false" customHeight="false" outlineLevel="0" collapsed="false">
      <c r="B43450" s="0" t="s">
        <v>6510</v>
      </c>
      <c r="C43450" s="0" t="s">
        <v>15737</v>
      </c>
      <c r="E43450" s="0" t="s">
        <v>15738</v>
      </c>
      <c r="F43450" s="0" t="s">
        <v>15739</v>
      </c>
    </row>
    <row r="43451" customFormat="false" ht="12.8" hidden="false" customHeight="false" outlineLevel="0" collapsed="false">
      <c r="B43451" s="0" t="s">
        <v>8124</v>
      </c>
      <c r="C43451" s="0" t="s">
        <v>15740</v>
      </c>
      <c r="E43451" s="0" t="s">
        <v>15738</v>
      </c>
      <c r="F43451" s="0" t="s">
        <v>15739</v>
      </c>
    </row>
    <row r="43452" customFormat="false" ht="12.8" hidden="false" customHeight="false" outlineLevel="0" collapsed="false">
      <c r="B43452" s="0" t="s">
        <v>8123</v>
      </c>
      <c r="C43452" s="0" t="s">
        <v>15741</v>
      </c>
      <c r="E43452" s="0" t="s">
        <v>15738</v>
      </c>
      <c r="F43452" s="0" t="s">
        <v>15739</v>
      </c>
    </row>
    <row r="43454" customFormat="false" ht="12.8" hidden="false" customHeight="false" outlineLevel="0" collapsed="false">
      <c r="A43454" s="0" t="s">
        <v>15742</v>
      </c>
      <c r="B43454" s="0" t="str">
        <f aca="false">HYPERLINK("https://lindat.mff.cuni.cz/services/teitok/pdtc10/index.php?action=vallex&amp;frame=v-w6007f1", "setrvávat (v-w6007f1)")</f>
        <v>setrvávat (v-w6007f1)</v>
      </c>
      <c r="E43454" s="0" t="str">
        <f aca="false">HYPERLINK("https://lindat.mff.cuni.cz/services/SynSemClass40/SynSemClass40.html?veclass=vec01313#vec01313-ces-cm00001", "vec01313")</f>
        <v>vec01313</v>
      </c>
      <c r="F43454" s="0" t="s">
        <v>15743</v>
      </c>
      <c r="H43454" s="0" t="str">
        <f aca="false">HYPERLINK("https://lindat.mff.cuni.cz/services/SynSemClass40/SynSemClass40.html?veclass=vec01534#vec01534-ces-cm00005", "vec01534")</f>
        <v>vec01534</v>
      </c>
      <c r="I43454" s="0" t="s">
        <v>6088</v>
      </c>
    </row>
    <row r="43455" customFormat="false" ht="12.8" hidden="false" customHeight="false" outlineLevel="0" collapsed="false">
      <c r="B43455" s="0" t="s">
        <v>1</v>
      </c>
      <c r="C43455" s="0" t="s">
        <v>15744</v>
      </c>
      <c r="E43455" s="0" t="s">
        <v>155</v>
      </c>
      <c r="F43455" s="0" t="s">
        <v>15745</v>
      </c>
      <c r="H43455" s="0" t="s">
        <v>155</v>
      </c>
      <c r="I43455" s="0" t="s">
        <v>6090</v>
      </c>
    </row>
    <row r="43456" customFormat="false" ht="12.8" hidden="false" customHeight="false" outlineLevel="0" collapsed="false">
      <c r="B43456" s="0" t="s">
        <v>15746</v>
      </c>
      <c r="C43456" s="0" t="s">
        <v>14335</v>
      </c>
      <c r="E43456" s="0" t="s">
        <v>15747</v>
      </c>
      <c r="F43456" s="0" t="s">
        <v>15748</v>
      </c>
      <c r="H43456" s="0" t="s">
        <v>1823</v>
      </c>
      <c r="I43456" s="0" t="s">
        <v>6093</v>
      </c>
    </row>
    <row r="43458" customFormat="false" ht="12.8" hidden="false" customHeight="false" outlineLevel="0" collapsed="false">
      <c r="A43458" s="0" t="s">
        <v>15749</v>
      </c>
      <c r="B43458" s="0" t="str">
        <f aca="false">HYPERLINK("https://lindat.mff.cuni.cz/services/teitok/pdtc10/index.php?action=vallex&amp;frame=v-w6007f3", "setrvávat (v-w6007f3)")</f>
        <v>setrvávat (v-w6007f3)</v>
      </c>
      <c r="E43458" s="0" t="str">
        <f aca="false">HYPERLINK("https://lindat.mff.cuni.cz/services/SynSemClass40/SynSemClass40.html?veclass=vec00394#vec00394-ces-cm00065", "vec00394")</f>
        <v>vec00394</v>
      </c>
      <c r="F43458" s="0" t="s">
        <v>3338</v>
      </c>
    </row>
    <row r="43459" customFormat="false" ht="12.8" hidden="false" customHeight="false" outlineLevel="0" collapsed="false">
      <c r="B43459" s="0" t="s">
        <v>1</v>
      </c>
      <c r="C43459" s="0" t="s">
        <v>3345</v>
      </c>
      <c r="E43459" s="0" t="s">
        <v>11</v>
      </c>
      <c r="F43459" s="0" t="s">
        <v>3340</v>
      </c>
    </row>
    <row r="43460" customFormat="false" ht="12.8" hidden="false" customHeight="false" outlineLevel="0" collapsed="false">
      <c r="B43460" s="0" t="s">
        <v>5</v>
      </c>
      <c r="C43460" s="0" t="s">
        <v>3346</v>
      </c>
      <c r="E43460" s="0" t="s">
        <v>3254</v>
      </c>
      <c r="F43460" s="0" t="s">
        <v>3343</v>
      </c>
    </row>
    <row r="43462" customFormat="false" ht="12.8" hidden="false" customHeight="false" outlineLevel="0" collapsed="false">
      <c r="A43462" s="0" t="s">
        <v>15750</v>
      </c>
      <c r="B43462" s="0" t="str">
        <f aca="false">HYPERLINK("https://lindat.mff.cuni.cz/services/teitok/pdtc10/index.php?action=vallex&amp;frame=v-w6007f2", "setrvávat (v-w6007f2)")</f>
        <v>setrvávat (v-w6007f2)</v>
      </c>
      <c r="E43462" s="0" t="str">
        <f aca="false">HYPERLINK("https://lindat.mff.cuni.cz/services/SynSemClass40/SynSemClass40.html?veclass=vec00199#vec00199-ces-cm00310", "vec00199")</f>
        <v>vec00199</v>
      </c>
      <c r="F43462" s="0" t="s">
        <v>1248</v>
      </c>
    </row>
    <row r="43463" customFormat="false" ht="12.8" hidden="false" customHeight="false" outlineLevel="0" collapsed="false">
      <c r="B43463" s="0" t="s">
        <v>1</v>
      </c>
      <c r="C43463" s="0" t="s">
        <v>1250</v>
      </c>
      <c r="E43463" s="0" t="s">
        <v>957</v>
      </c>
      <c r="F43463" s="0" t="s">
        <v>1251</v>
      </c>
    </row>
    <row r="43464" customFormat="false" ht="12.8" hidden="false" customHeight="false" outlineLevel="0" collapsed="false">
      <c r="B43464" s="0" t="s">
        <v>6510</v>
      </c>
      <c r="C43464" s="0" t="s">
        <v>15737</v>
      </c>
      <c r="E43464" s="0" t="s">
        <v>15738</v>
      </c>
      <c r="F43464" s="0" t="s">
        <v>15739</v>
      </c>
    </row>
    <row r="43465" customFormat="false" ht="12.8" hidden="false" customHeight="false" outlineLevel="0" collapsed="false">
      <c r="B43465" s="0" t="s">
        <v>8124</v>
      </c>
      <c r="C43465" s="0" t="s">
        <v>15740</v>
      </c>
      <c r="E43465" s="0" t="s">
        <v>15738</v>
      </c>
      <c r="F43465" s="0" t="s">
        <v>15739</v>
      </c>
    </row>
    <row r="43466" customFormat="false" ht="12.8" hidden="false" customHeight="false" outlineLevel="0" collapsed="false">
      <c r="B43466" s="0" t="s">
        <v>8123</v>
      </c>
      <c r="C43466" s="0" t="s">
        <v>15741</v>
      </c>
      <c r="E43466" s="0" t="s">
        <v>15738</v>
      </c>
      <c r="F43466" s="0" t="s">
        <v>15739</v>
      </c>
    </row>
    <row r="43468" customFormat="false" ht="12.8" hidden="false" customHeight="false" outlineLevel="0" collapsed="false">
      <c r="A43468" s="0" t="s">
        <v>15751</v>
      </c>
      <c r="B43468" s="0" t="str">
        <f aca="false">HYPERLINK("https://lindat.mff.cuni.cz/services/teitok/pdtc10/index.php?action=vallex&amp;frame=v-w10295f2", "setřást (v-w10295f2)")</f>
        <v>setřást (v-w10295f2)</v>
      </c>
    </row>
    <row r="43469" customFormat="false" ht="12.8" hidden="false" customHeight="false" outlineLevel="0" collapsed="false">
      <c r="B43469" s="0" t="s">
        <v>1</v>
      </c>
    </row>
    <row r="43470" customFormat="false" ht="12.8" hidden="false" customHeight="false" outlineLevel="0" collapsed="false">
      <c r="B43470" s="0" t="s">
        <v>8</v>
      </c>
    </row>
    <row r="43471" customFormat="false" ht="12.8" hidden="false" customHeight="false" outlineLevel="0" collapsed="false">
      <c r="B43471" s="0" t="s">
        <v>631</v>
      </c>
    </row>
    <row r="43473" customFormat="false" ht="12.8" hidden="false" customHeight="false" outlineLevel="0" collapsed="false">
      <c r="A43473" s="0" t="s">
        <v>15752</v>
      </c>
      <c r="B43473" s="0" t="str">
        <f aca="false">HYPERLINK("https://lindat.mff.cuni.cz/services/teitok/pdtc10/index.php?action=vallex&amp;frame=v-w6008f1", "setřít (v-w6008f1)")</f>
        <v>setřít (v-w6008f1)</v>
      </c>
    </row>
    <row r="43474" customFormat="false" ht="12.8" hidden="false" customHeight="false" outlineLevel="0" collapsed="false">
      <c r="B43474" s="0" t="s">
        <v>1</v>
      </c>
    </row>
    <row r="43475" customFormat="false" ht="12.8" hidden="false" customHeight="false" outlineLevel="0" collapsed="false">
      <c r="B43475" s="0" t="s">
        <v>8</v>
      </c>
    </row>
    <row r="43477" customFormat="false" ht="12.8" hidden="false" customHeight="false" outlineLevel="0" collapsed="false">
      <c r="A43477" s="0" t="s">
        <v>15753</v>
      </c>
      <c r="B43477" s="0" t="str">
        <f aca="false">HYPERLINK("https://lindat.mff.cuni.cz/services/teitok/pdtc10/index.php?action=vallex&amp;frame=v-w6008f2", "setřít (v-w6008f2)")</f>
        <v>setřít (v-w6008f2)</v>
      </c>
    </row>
    <row r="43478" customFormat="false" ht="12.8" hidden="false" customHeight="false" outlineLevel="0" collapsed="false">
      <c r="B43478" s="0" t="s">
        <v>1</v>
      </c>
    </row>
    <row r="43479" customFormat="false" ht="12.8" hidden="false" customHeight="false" outlineLevel="0" collapsed="false">
      <c r="B43479" s="0" t="s">
        <v>8</v>
      </c>
    </row>
    <row r="43481" customFormat="false" ht="12.8" hidden="false" customHeight="false" outlineLevel="0" collapsed="false">
      <c r="A43481" s="0" t="s">
        <v>15754</v>
      </c>
      <c r="B43481" s="0" t="str">
        <f aca="false">HYPERLINK("https://lindat.mff.cuni.cz/services/teitok/pdtc10/index.php?action=vallex&amp;frame=v-w6009f1", "sevřít (v-w6009f1)")</f>
        <v>sevřít (v-w6009f1)</v>
      </c>
      <c r="E43481" s="0" t="str">
        <f aca="false">HYPERLINK("https://lindat.mff.cuni.cz/services/SynSemClass40/SynSemClass40.html?veclass=vec00728#vec00728-ces-cm00023", "vec00728")</f>
        <v>vec00728</v>
      </c>
      <c r="F43481" s="0" t="s">
        <v>11084</v>
      </c>
      <c r="H43481" s="0" t="str">
        <f aca="false">HYPERLINK("https://lindat.mff.cuni.cz/services/SynSemClass40/SynSemClass40.html?veclass=vec01396#vec01396-ces-cm00005", "vec01396")</f>
        <v>vec01396</v>
      </c>
      <c r="I43481" s="0" t="s">
        <v>3257</v>
      </c>
      <c r="K43481" s="0" t="str">
        <f aca="false">HYPERLINK("https://lindat.mff.cuni.cz/services/SynSemClass40/SynSemClass40.html?veclass=vec01409#vec01409-ces-cm00003", "vec01409")</f>
        <v>vec01409</v>
      </c>
      <c r="L43481" s="0" t="s">
        <v>8333</v>
      </c>
    </row>
    <row r="43482" customFormat="false" ht="12.8" hidden="false" customHeight="false" outlineLevel="0" collapsed="false">
      <c r="B43482" s="0" t="s">
        <v>1</v>
      </c>
      <c r="C43482" s="0" t="s">
        <v>15755</v>
      </c>
      <c r="E43482" s="0" t="s">
        <v>4581</v>
      </c>
      <c r="F43482" s="0" t="s">
        <v>11085</v>
      </c>
      <c r="H43482" s="0" t="s">
        <v>11</v>
      </c>
      <c r="I43482" s="0" t="s">
        <v>3259</v>
      </c>
      <c r="K43482" s="0" t="s">
        <v>31</v>
      </c>
      <c r="L43482" s="0" t="s">
        <v>2437</v>
      </c>
    </row>
    <row r="43483" customFormat="false" ht="12.8" hidden="false" customHeight="false" outlineLevel="0" collapsed="false">
      <c r="B43483" s="0" t="s">
        <v>8</v>
      </c>
      <c r="C43483" s="0" t="s">
        <v>15756</v>
      </c>
      <c r="E43483" s="0" t="s">
        <v>34</v>
      </c>
      <c r="F43483" s="0" t="s">
        <v>15757</v>
      </c>
      <c r="H43483" s="0" t="s">
        <v>514</v>
      </c>
      <c r="I43483" s="0" t="s">
        <v>3261</v>
      </c>
      <c r="K43483" s="0" t="s">
        <v>142</v>
      </c>
      <c r="L43483" s="0" t="s">
        <v>8334</v>
      </c>
    </row>
    <row r="43485" customFormat="false" ht="12.8" hidden="false" customHeight="false" outlineLevel="0" collapsed="false">
      <c r="A43485" s="0" t="s">
        <v>15758</v>
      </c>
      <c r="B43485" s="0" t="str">
        <f aca="false">HYPERLINK("https://lindat.mff.cuni.cz/services/teitok/pdtc10/index.php?action=vallex&amp;frame=v-whsa_366hsa_367", "sevřít se (v-whsa_366hsa_367)")</f>
        <v>sevřít se (v-whsa_366hsa_367)</v>
      </c>
    </row>
    <row r="43486" customFormat="false" ht="12.8" hidden="false" customHeight="false" outlineLevel="0" collapsed="false">
      <c r="B43486" s="0" t="s">
        <v>1</v>
      </c>
    </row>
    <row r="43488" customFormat="false" ht="12.8" hidden="false" customHeight="false" outlineLevel="0" collapsed="false">
      <c r="A43488" s="0" t="s">
        <v>15759</v>
      </c>
      <c r="B43488" s="0" t="str">
        <f aca="false">HYPERLINK("https://lindat.mff.cuni.cz/services/teitok/pdtc10/index.php?action=vallex&amp;frame=v-w6015f1", "seznamovat (v-w6015f1)")</f>
        <v>seznamovat (v-w6015f1)</v>
      </c>
    </row>
    <row r="43489" customFormat="false" ht="12.8" hidden="false" customHeight="false" outlineLevel="0" collapsed="false">
      <c r="B43489" s="0" t="s">
        <v>1</v>
      </c>
    </row>
    <row r="43490" customFormat="false" ht="12.8" hidden="false" customHeight="false" outlineLevel="0" collapsed="false">
      <c r="B43490" s="0" t="s">
        <v>721</v>
      </c>
    </row>
    <row r="43491" customFormat="false" ht="12.8" hidden="false" customHeight="false" outlineLevel="0" collapsed="false">
      <c r="B43491" s="0" t="s">
        <v>98</v>
      </c>
    </row>
    <row r="43493" customFormat="false" ht="12.8" hidden="false" customHeight="false" outlineLevel="0" collapsed="false">
      <c r="A43493" s="0" t="s">
        <v>15760</v>
      </c>
      <c r="B43493" s="0" t="str">
        <f aca="false">HYPERLINK("https://lindat.mff.cuni.cz/services/teitok/pdtc10/index.php?action=vallex&amp;frame=v-w6016f1", "seznamovat se (v-w6016f1)")</f>
        <v>seznamovat se (v-w6016f1)</v>
      </c>
      <c r="E43493" s="0" t="str">
        <f aca="false">HYPERLINK("https://lindat.mff.cuni.cz/services/SynSemClass40/SynSemClass40.html?veclass=vec00876#vec00876-ces-cm00014", "vec00876")</f>
        <v>vec00876</v>
      </c>
      <c r="F43493" s="0" t="s">
        <v>11959</v>
      </c>
    </row>
    <row r="43494" customFormat="false" ht="12.8" hidden="false" customHeight="false" outlineLevel="0" collapsed="false">
      <c r="B43494" s="0" t="s">
        <v>1</v>
      </c>
      <c r="C43494" s="0" t="s">
        <v>106</v>
      </c>
      <c r="E43494" s="0" t="s">
        <v>621</v>
      </c>
      <c r="F43494" s="0" t="s">
        <v>11960</v>
      </c>
    </row>
    <row r="43495" customFormat="false" ht="12.8" hidden="false" customHeight="false" outlineLevel="0" collapsed="false">
      <c r="B43495" s="0" t="s">
        <v>721</v>
      </c>
      <c r="C43495" s="0" t="s">
        <v>158</v>
      </c>
      <c r="E43495" s="0" t="s">
        <v>7925</v>
      </c>
      <c r="F43495" s="0" t="s">
        <v>11961</v>
      </c>
    </row>
    <row r="43497" customFormat="false" ht="12.8" hidden="false" customHeight="false" outlineLevel="0" collapsed="false">
      <c r="A43497" s="0" t="s">
        <v>15761</v>
      </c>
      <c r="B43497" s="0" t="str">
        <f aca="false">HYPERLINK("https://lindat.mff.cuni.cz/services/teitok/pdtc10/index.php?action=vallex&amp;frame=v-w6016f2_ZU", "seznamovat se (v-w6016f2_ZU)")</f>
        <v>seznamovat se (v-w6016f2_ZU)</v>
      </c>
    </row>
    <row r="43498" customFormat="false" ht="12.8" hidden="false" customHeight="false" outlineLevel="0" collapsed="false">
      <c r="B43498" s="0" t="s">
        <v>1</v>
      </c>
    </row>
    <row r="43499" customFormat="false" ht="12.8" hidden="false" customHeight="false" outlineLevel="0" collapsed="false">
      <c r="B43499" s="0" t="s">
        <v>721</v>
      </c>
    </row>
    <row r="43501" customFormat="false" ht="12.8" hidden="false" customHeight="false" outlineLevel="0" collapsed="false">
      <c r="A43501" s="0" t="s">
        <v>15762</v>
      </c>
      <c r="B43501" s="0" t="str">
        <f aca="false">HYPERLINK("https://lindat.mff.cuni.cz/services/teitok/pdtc10/index.php?action=vallex&amp;frame=v-w10047f2", "seznat (v-w10047f2)")</f>
        <v>seznat (v-w10047f2)</v>
      </c>
      <c r="E43501" s="0" t="str">
        <f aca="false">HYPERLINK("https://lindat.mff.cuni.cz/services/SynSemClass40/SynSemClass40.html?veclass=vec00032#vec00032-ces-cm00172", "vec00032")</f>
        <v>vec00032</v>
      </c>
      <c r="F43501" s="0" t="s">
        <v>911</v>
      </c>
    </row>
    <row r="43502" customFormat="false" ht="12.8" hidden="false" customHeight="false" outlineLevel="0" collapsed="false">
      <c r="B43502" s="0" t="s">
        <v>1</v>
      </c>
      <c r="C43502" s="0" t="s">
        <v>2485</v>
      </c>
      <c r="E43502" s="0" t="s">
        <v>914</v>
      </c>
      <c r="F43502" s="0" t="s">
        <v>915</v>
      </c>
    </row>
    <row r="43503" customFormat="false" ht="12.8" hidden="false" customHeight="false" outlineLevel="0" collapsed="false">
      <c r="B43503" s="0" t="s">
        <v>15763</v>
      </c>
      <c r="C43503" s="0" t="s">
        <v>2489</v>
      </c>
      <c r="E43503" s="0" t="s">
        <v>180</v>
      </c>
      <c r="F43503" s="0" t="s">
        <v>2490</v>
      </c>
    </row>
    <row r="43504" customFormat="false" ht="12.8" hidden="false" customHeight="false" outlineLevel="0" collapsed="false">
      <c r="B43504" s="0" t="s">
        <v>15763</v>
      </c>
      <c r="C43504" s="0" t="s">
        <v>2489</v>
      </c>
      <c r="E43504" s="0" t="s">
        <v>180</v>
      </c>
      <c r="F43504" s="0" t="s">
        <v>2490</v>
      </c>
    </row>
    <row r="43505" customFormat="false" ht="12.8" hidden="false" customHeight="false" outlineLevel="0" collapsed="false">
      <c r="B43505" s="0" t="s">
        <v>15764</v>
      </c>
      <c r="C43505" s="0" t="s">
        <v>2487</v>
      </c>
      <c r="E43505" s="0" t="s">
        <v>626</v>
      </c>
      <c r="F43505" s="0" t="s">
        <v>2488</v>
      </c>
    </row>
    <row r="43507" customFormat="false" ht="12.8" hidden="false" customHeight="false" outlineLevel="0" collapsed="false">
      <c r="A43507" s="0" t="s">
        <v>15765</v>
      </c>
      <c r="B43507" s="0" t="str">
        <f aca="false">HYPERLINK("https://lindat.mff.cuni.cz/services/teitok/pdtc10/index.php?action=vallex&amp;frame=v-w10047f3", "seznat (v-w10047f3)")</f>
        <v>seznat (v-w10047f3)</v>
      </c>
      <c r="E43507" s="0" t="str">
        <f aca="false">HYPERLINK("https://lindat.mff.cuni.cz/services/SynSemClass40/SynSemClass40.html?veclass=vec00082#vec00082-ces-cm00040", "vec00082")</f>
        <v>vec00082</v>
      </c>
      <c r="F43507" s="0" t="s">
        <v>8475</v>
      </c>
    </row>
    <row r="43508" customFormat="false" ht="12.8" hidden="false" customHeight="false" outlineLevel="0" collapsed="false">
      <c r="B43508" s="0" t="s">
        <v>1</v>
      </c>
      <c r="C43508" s="0" t="s">
        <v>8476</v>
      </c>
      <c r="E43508" s="0" t="s">
        <v>637</v>
      </c>
      <c r="F43508" s="0" t="s">
        <v>8477</v>
      </c>
    </row>
    <row r="43509" customFormat="false" ht="12.8" hidden="false" customHeight="false" outlineLevel="0" collapsed="false">
      <c r="B43509" s="0" t="s">
        <v>59</v>
      </c>
      <c r="C43509" s="0" t="s">
        <v>11645</v>
      </c>
      <c r="E43509" s="0" t="s">
        <v>640</v>
      </c>
      <c r="F43509" s="0" t="s">
        <v>11646</v>
      </c>
    </row>
    <row r="43511" customFormat="false" ht="12.8" hidden="false" customHeight="false" outlineLevel="0" collapsed="false">
      <c r="A43511" s="0" t="s">
        <v>15766</v>
      </c>
      <c r="B43511" s="0" t="str">
        <f aca="false">HYPERLINK("https://lindat.mff.cuni.cz/services/teitok/pdtc10/index.php?action=vallex&amp;frame=v-w6012f1", "seznámit (v-w6012f1)")</f>
        <v>seznámit (v-w6012f1)</v>
      </c>
    </row>
    <row r="43512" customFormat="false" ht="12.8" hidden="false" customHeight="false" outlineLevel="0" collapsed="false">
      <c r="B43512" s="0" t="s">
        <v>1</v>
      </c>
    </row>
    <row r="43513" customFormat="false" ht="12.8" hidden="false" customHeight="false" outlineLevel="0" collapsed="false">
      <c r="B43513" s="0" t="s">
        <v>721</v>
      </c>
    </row>
    <row r="43514" customFormat="false" ht="12.8" hidden="false" customHeight="false" outlineLevel="0" collapsed="false">
      <c r="B43514" s="0" t="s">
        <v>98</v>
      </c>
    </row>
    <row r="43516" customFormat="false" ht="12.8" hidden="false" customHeight="false" outlineLevel="0" collapsed="false">
      <c r="A43516" s="0" t="s">
        <v>15767</v>
      </c>
      <c r="B43516" s="0" t="str">
        <f aca="false">HYPERLINK("https://lindat.mff.cuni.cz/services/teitok/pdtc10/index.php?action=vallex&amp;frame=v-w6013f1", "seznámit se (v-w6013f1)")</f>
        <v>seznámit se (v-w6013f1)</v>
      </c>
      <c r="E43516" s="0" t="str">
        <f aca="false">HYPERLINK("https://lindat.mff.cuni.cz/services/SynSemClass40/SynSemClass40.html?veclass=vec00876#vec00876-ces-cm00007", "vec00876")</f>
        <v>vec00876</v>
      </c>
      <c r="F43516" s="0" t="s">
        <v>11959</v>
      </c>
    </row>
    <row r="43517" customFormat="false" ht="12.8" hidden="false" customHeight="false" outlineLevel="0" collapsed="false">
      <c r="B43517" s="0" t="s">
        <v>1</v>
      </c>
      <c r="C43517" s="0" t="s">
        <v>106</v>
      </c>
      <c r="E43517" s="0" t="s">
        <v>621</v>
      </c>
      <c r="F43517" s="0" t="s">
        <v>11960</v>
      </c>
    </row>
    <row r="43518" customFormat="false" ht="12.8" hidden="false" customHeight="false" outlineLevel="0" collapsed="false">
      <c r="B43518" s="0" t="s">
        <v>721</v>
      </c>
      <c r="C43518" s="0" t="s">
        <v>158</v>
      </c>
      <c r="E43518" s="0" t="s">
        <v>7925</v>
      </c>
      <c r="F43518" s="0" t="s">
        <v>11961</v>
      </c>
    </row>
    <row r="43520" customFormat="false" ht="12.8" hidden="false" customHeight="false" outlineLevel="0" collapsed="false">
      <c r="A43520" s="0" t="s">
        <v>15768</v>
      </c>
      <c r="B43520" s="0" t="str">
        <f aca="false">HYPERLINK("https://lindat.mff.cuni.cz/services/teitok/pdtc10/index.php?action=vallex&amp;frame=v-w6013f3_ZU", "seznámit se (v-w6013f3_ZU)")</f>
        <v>seznámit se (v-w6013f3_ZU)</v>
      </c>
    </row>
    <row r="43521" customFormat="false" ht="12.8" hidden="false" customHeight="false" outlineLevel="0" collapsed="false">
      <c r="B43521" s="0" t="s">
        <v>1</v>
      </c>
    </row>
    <row r="43522" customFormat="false" ht="12.8" hidden="false" customHeight="false" outlineLevel="0" collapsed="false">
      <c r="B43522" s="0" t="s">
        <v>721</v>
      </c>
    </row>
    <row r="43524" customFormat="false" ht="12.8" hidden="false" customHeight="false" outlineLevel="0" collapsed="false">
      <c r="A43524" s="0" t="s">
        <v>15768</v>
      </c>
      <c r="B43524" s="0" t="str">
        <f aca="false">HYPERLINK("https://lindat.mff.cuni.cz/services/teitok/pdtc10/index.php?action=vallex&amp;frame=v-w6013f2_ZU", "seznámit se (v-w6013f2_ZU) - substituted with v-w6013f3_ZU")</f>
        <v>seznámit se (v-w6013f2_ZU) - substituted with v-w6013f3_ZU</v>
      </c>
    </row>
    <row r="43525" customFormat="false" ht="12.8" hidden="false" customHeight="false" outlineLevel="0" collapsed="false">
      <c r="B43525" s="0" t="s">
        <v>1</v>
      </c>
    </row>
    <row r="43526" customFormat="false" ht="12.8" hidden="false" customHeight="false" outlineLevel="0" collapsed="false">
      <c r="B43526" s="0" t="s">
        <v>721</v>
      </c>
    </row>
    <row r="43528" customFormat="false" ht="12.8" hidden="false" customHeight="false" outlineLevel="0" collapsed="false">
      <c r="A43528" s="0" t="s">
        <v>15769</v>
      </c>
      <c r="B43528" s="0" t="str">
        <f aca="false">HYPERLINK("https://lindat.mff.cuni.cz/services/teitok/pdtc10/index.php?action=vallex&amp;frame=v-w6017f1", "sezvat (v-w6017f1)")</f>
        <v>sezvat (v-w6017f1)</v>
      </c>
      <c r="E43528" s="0" t="str">
        <f aca="false">HYPERLINK("https://lindat.mff.cuni.cz/services/SynSemClass40/SynSemClass40.html?veclass=vec00485#vec00485-ces-cm00038", "vec00485")</f>
        <v>vec00485</v>
      </c>
      <c r="F43528" s="0" t="s">
        <v>6309</v>
      </c>
      <c r="H43528" s="0" t="str">
        <f aca="false">HYPERLINK("https://lindat.mff.cuni.cz/services/SynSemClass40/SynSemClass40.html?veclass=vec00487#vec00487-ces-cm00018", "vec00487")</f>
        <v>vec00487</v>
      </c>
      <c r="I43528" s="0" t="s">
        <v>11971</v>
      </c>
      <c r="K43528" s="0" t="str">
        <f aca="false">HYPERLINK("https://lindat.mff.cuni.cz/services/SynSemClass40/SynSemClass40.html?veclass=vec01330#vec01330-ces-cm00070", "vec01330")</f>
        <v>vec01330</v>
      </c>
      <c r="L43528" s="0" t="s">
        <v>12025</v>
      </c>
    </row>
    <row r="43529" customFormat="false" ht="12.8" hidden="false" customHeight="false" outlineLevel="0" collapsed="false">
      <c r="B43529" s="0" t="s">
        <v>1</v>
      </c>
      <c r="C43529" s="0" t="s">
        <v>15770</v>
      </c>
      <c r="E43529" s="0" t="s">
        <v>206</v>
      </c>
      <c r="F43529" s="0" t="s">
        <v>6311</v>
      </c>
      <c r="H43529" s="0" t="s">
        <v>31</v>
      </c>
      <c r="I43529" s="0" t="s">
        <v>4265</v>
      </c>
      <c r="K43529" s="0" t="s">
        <v>4501</v>
      </c>
      <c r="L43529" s="0" t="s">
        <v>12027</v>
      </c>
    </row>
    <row r="43530" customFormat="false" ht="12.8" hidden="false" customHeight="false" outlineLevel="0" collapsed="false">
      <c r="B43530" s="0" t="s">
        <v>8</v>
      </c>
      <c r="C43530" s="0" t="s">
        <v>15771</v>
      </c>
      <c r="E43530" s="0" t="s">
        <v>3832</v>
      </c>
      <c r="F43530" s="0" t="s">
        <v>6313</v>
      </c>
      <c r="H43530" s="0" t="s">
        <v>3002</v>
      </c>
      <c r="I43530" s="0" t="s">
        <v>11972</v>
      </c>
      <c r="K43530" s="0" t="s">
        <v>188</v>
      </c>
      <c r="L43530" s="0" t="s">
        <v>12029</v>
      </c>
    </row>
    <row r="43532" customFormat="false" ht="12.8" hidden="false" customHeight="false" outlineLevel="0" collapsed="false">
      <c r="A43532" s="0" t="s">
        <v>15772</v>
      </c>
      <c r="B43532" s="0" t="str">
        <f aca="false">HYPERLINK("https://lindat.mff.cuni.cz/services/teitok/pdtc10/index.php?action=vallex&amp;frame=v-w5942f2", "sečíst (v-w5942f2)")</f>
        <v>sečíst (v-w5942f2)</v>
      </c>
    </row>
    <row r="43533" customFormat="false" ht="12.8" hidden="false" customHeight="false" outlineLevel="0" collapsed="false">
      <c r="B43533" s="0" t="s">
        <v>1</v>
      </c>
    </row>
    <row r="43534" customFormat="false" ht="12.8" hidden="false" customHeight="false" outlineLevel="0" collapsed="false">
      <c r="B43534" s="0" t="s">
        <v>8</v>
      </c>
    </row>
    <row r="43535" customFormat="false" ht="12.8" hidden="false" customHeight="false" outlineLevel="0" collapsed="false">
      <c r="B43535" s="0" t="s">
        <v>3537</v>
      </c>
    </row>
    <row r="43537" customFormat="false" ht="12.8" hidden="false" customHeight="false" outlineLevel="0" collapsed="false">
      <c r="A43537" s="0" t="s">
        <v>15773</v>
      </c>
      <c r="B43537" s="0" t="str">
        <f aca="false">HYPERLINK("https://lindat.mff.cuni.cz/services/teitok/pdtc10/index.php?action=vallex&amp;frame=v-w5942f4_ZU", "sečíst (v-w5942f4_ZU)")</f>
        <v>sečíst (v-w5942f4_ZU)</v>
      </c>
    </row>
    <row r="43538" customFormat="false" ht="12.8" hidden="false" customHeight="false" outlineLevel="0" collapsed="false">
      <c r="B43538" s="0" t="s">
        <v>1</v>
      </c>
    </row>
    <row r="43539" customFormat="false" ht="12.8" hidden="false" customHeight="false" outlineLevel="0" collapsed="false">
      <c r="B43539" s="0" t="s">
        <v>15774</v>
      </c>
    </row>
    <row r="43541" customFormat="false" ht="12.8" hidden="false" customHeight="false" outlineLevel="0" collapsed="false">
      <c r="A43541" s="0" t="s">
        <v>15773</v>
      </c>
      <c r="B43541" s="0" t="str">
        <f aca="false">HYPERLINK("https://lindat.mff.cuni.cz/services/teitok/pdtc10/index.php?action=vallex&amp;frame=v-w5942f1", "sečíst (v-w5942f1) - substituted with v-w5942f4_ZU")</f>
        <v>sečíst (v-w5942f1) - substituted with v-w5942f4_ZU</v>
      </c>
    </row>
    <row r="43542" customFormat="false" ht="12.8" hidden="false" customHeight="false" outlineLevel="0" collapsed="false">
      <c r="B43542" s="0" t="s">
        <v>1</v>
      </c>
    </row>
    <row r="43543" customFormat="false" ht="12.8" hidden="false" customHeight="false" outlineLevel="0" collapsed="false">
      <c r="B43543" s="0" t="s">
        <v>15774</v>
      </c>
    </row>
    <row r="43545" customFormat="false" ht="12.8" hidden="false" customHeight="false" outlineLevel="0" collapsed="false">
      <c r="A43545" s="0" t="s">
        <v>15773</v>
      </c>
      <c r="B43545" s="0" t="str">
        <f aca="false">HYPERLINK("https://lindat.mff.cuni.cz/services/teitok/pdtc10/index.php?action=vallex&amp;frame=v-w5942f3_ZU", "sečíst (v-w5942f3_ZU) - substituted with v-w5942f4_ZU")</f>
        <v>sečíst (v-w5942f3_ZU) - substituted with v-w5942f4_ZU</v>
      </c>
      <c r="E43545" s="0" t="str">
        <f aca="false">HYPERLINK("https://lindat.mff.cuni.cz/services/SynSemClass40/SynSemClass40.html?veclass=vec00166#vec00166-ces-cm00029", "vec00166")</f>
        <v>vec00166</v>
      </c>
      <c r="F43545" s="0" t="s">
        <v>12005</v>
      </c>
      <c r="H43545" s="0" t="str">
        <f aca="false">HYPERLINK("https://lindat.mff.cuni.cz/services/SynSemClass40/SynSemClass40.html?veclass=vec00919#vec00919-ces-cm00018", "vec00919")</f>
        <v>vec00919</v>
      </c>
      <c r="I43545" s="0" t="s">
        <v>15775</v>
      </c>
    </row>
    <row r="43546" customFormat="false" ht="12.8" hidden="false" customHeight="false" outlineLevel="0" collapsed="false">
      <c r="B43546" s="0" t="s">
        <v>1</v>
      </c>
      <c r="C43546" s="0" t="s">
        <v>12006</v>
      </c>
      <c r="E43546" s="0" t="s">
        <v>31</v>
      </c>
      <c r="F43546" s="0" t="s">
        <v>12007</v>
      </c>
      <c r="H43546" s="0" t="s">
        <v>31</v>
      </c>
      <c r="I43546" s="0" t="s">
        <v>49</v>
      </c>
    </row>
    <row r="43547" customFormat="false" ht="12.8" hidden="false" customHeight="false" outlineLevel="0" collapsed="false">
      <c r="B43547" s="0" t="s">
        <v>15774</v>
      </c>
      <c r="C43547" s="0" t="s">
        <v>1398</v>
      </c>
      <c r="E43547" s="0" t="s">
        <v>1347</v>
      </c>
      <c r="F43547" s="0" t="s">
        <v>12008</v>
      </c>
      <c r="H43547" s="0" t="s">
        <v>110</v>
      </c>
      <c r="I43547" s="0" t="s">
        <v>15776</v>
      </c>
    </row>
    <row r="43549" customFormat="false" ht="12.8" hidden="false" customHeight="false" outlineLevel="0" collapsed="false">
      <c r="A43549" s="0" t="s">
        <v>15777</v>
      </c>
      <c r="B43549" s="0" t="str">
        <f aca="false">HYPERLINK("https://lindat.mff.cuni.cz/services/teitok/pdtc10/index.php?action=vallex&amp;frame=v-w5942hsa_784", "sečíst (v-w5942hsa_784)")</f>
        <v>sečíst (v-w5942hsa_784)</v>
      </c>
    </row>
    <row r="43550" customFormat="false" ht="12.8" hidden="false" customHeight="false" outlineLevel="0" collapsed="false">
      <c r="B43550" s="0" t="s">
        <v>1</v>
      </c>
    </row>
    <row r="43551" customFormat="false" ht="12.8" hidden="false" customHeight="false" outlineLevel="0" collapsed="false">
      <c r="B43551" s="0" t="s">
        <v>8</v>
      </c>
    </row>
    <row r="43553" customFormat="false" ht="12.8" hidden="false" customHeight="false" outlineLevel="0" collapsed="false">
      <c r="A43553" s="0" t="s">
        <v>15778</v>
      </c>
      <c r="B43553" s="0" t="str">
        <f aca="false">HYPERLINK("https://lindat.mff.cuni.cz/services/teitok/pdtc10/index.php?action=vallex&amp;frame=v-w10973f2", "sečítat (v-w10973f2)")</f>
        <v>sečítat (v-w10973f2)</v>
      </c>
    </row>
    <row r="43554" customFormat="false" ht="12.8" hidden="false" customHeight="false" outlineLevel="0" collapsed="false">
      <c r="B43554" s="0" t="s">
        <v>1</v>
      </c>
    </row>
    <row r="43555" customFormat="false" ht="12.8" hidden="false" customHeight="false" outlineLevel="0" collapsed="false">
      <c r="B43555" s="0" t="s">
        <v>8</v>
      </c>
    </row>
    <row r="43557" customFormat="false" ht="12.8" hidden="false" customHeight="false" outlineLevel="0" collapsed="false">
      <c r="A43557" s="0" t="s">
        <v>15779</v>
      </c>
      <c r="B43557" s="0" t="str">
        <f aca="false">HYPERLINK("https://lindat.mff.cuni.cz/services/teitok/pdtc10/index.php?action=vallex&amp;frame=v-w5971f1", "seřadit (v-w5971f1)")</f>
        <v>seřadit (v-w5971f1)</v>
      </c>
    </row>
    <row r="43558" customFormat="false" ht="12.8" hidden="false" customHeight="false" outlineLevel="0" collapsed="false">
      <c r="B43558" s="0" t="s">
        <v>1</v>
      </c>
    </row>
    <row r="43559" customFormat="false" ht="12.8" hidden="false" customHeight="false" outlineLevel="0" collapsed="false">
      <c r="B43559" s="0" t="s">
        <v>8</v>
      </c>
    </row>
    <row r="43560" customFormat="false" ht="12.8" hidden="false" customHeight="false" outlineLevel="0" collapsed="false">
      <c r="B43560" s="0" t="s">
        <v>245</v>
      </c>
    </row>
    <row r="43562" customFormat="false" ht="12.8" hidden="false" customHeight="false" outlineLevel="0" collapsed="false">
      <c r="A43562" s="0" t="s">
        <v>15780</v>
      </c>
      <c r="B43562" s="0" t="str">
        <f aca="false">HYPERLINK("https://lindat.mff.cuni.cz/services/teitok/pdtc10/index.php?action=vallex&amp;frame=v-w12100_ZUf1_ZU", "seřadit se (v-w12100_ZUf1_ZU)")</f>
        <v>seřadit se (v-w12100_ZUf1_ZU)</v>
      </c>
    </row>
    <row r="43563" customFormat="false" ht="12.8" hidden="false" customHeight="false" outlineLevel="0" collapsed="false">
      <c r="B43563" s="0" t="s">
        <v>1</v>
      </c>
    </row>
    <row r="43564" customFormat="false" ht="12.8" hidden="false" customHeight="false" outlineLevel="0" collapsed="false">
      <c r="B43564" s="0" t="s">
        <v>4250</v>
      </c>
    </row>
    <row r="43566" customFormat="false" ht="12.8" hidden="false" customHeight="false" outlineLevel="0" collapsed="false">
      <c r="A43566" s="0" t="s">
        <v>15781</v>
      </c>
      <c r="B43566" s="0" t="str">
        <f aca="false">HYPERLINK("https://lindat.mff.cuni.cz/services/teitok/pdtc10/index.php?action=vallex&amp;frame=v-w12130_ZUf1_ZU", "seřazovat (v-w12130_ZUf1_ZU)")</f>
        <v>seřazovat (v-w12130_ZUf1_ZU)</v>
      </c>
    </row>
    <row r="43567" customFormat="false" ht="12.8" hidden="false" customHeight="false" outlineLevel="0" collapsed="false">
      <c r="B43567" s="0" t="s">
        <v>1</v>
      </c>
    </row>
    <row r="43568" customFormat="false" ht="12.8" hidden="false" customHeight="false" outlineLevel="0" collapsed="false">
      <c r="B43568" s="0" t="s">
        <v>8</v>
      </c>
    </row>
    <row r="43569" customFormat="false" ht="12.8" hidden="false" customHeight="false" outlineLevel="0" collapsed="false">
      <c r="B43569" s="0" t="s">
        <v>245</v>
      </c>
    </row>
    <row r="43571" customFormat="false" ht="12.8" hidden="false" customHeight="false" outlineLevel="0" collapsed="false">
      <c r="A43571" s="0" t="s">
        <v>15782</v>
      </c>
      <c r="B43571" s="0" t="str">
        <f aca="false">HYPERLINK("https://lindat.mff.cuni.cz/services/teitok/pdtc10/index.php?action=vallex&amp;frame=v-w5975f1", "seřizovat (v-w5975f1)")</f>
        <v>seřizovat (v-w5975f1)</v>
      </c>
    </row>
    <row r="43572" customFormat="false" ht="12.8" hidden="false" customHeight="false" outlineLevel="0" collapsed="false">
      <c r="B43572" s="0" t="s">
        <v>1</v>
      </c>
    </row>
    <row r="43573" customFormat="false" ht="12.8" hidden="false" customHeight="false" outlineLevel="0" collapsed="false">
      <c r="B43573" s="0" t="s">
        <v>8</v>
      </c>
    </row>
    <row r="43575" customFormat="false" ht="12.8" hidden="false" customHeight="false" outlineLevel="0" collapsed="false">
      <c r="A43575" s="0" t="s">
        <v>15783</v>
      </c>
      <c r="B43575" s="0" t="str">
        <f aca="false">HYPERLINK("https://lindat.mff.cuni.cz/services/teitok/pdtc10/index.php?action=vallex&amp;frame=v-w5976f1", "seřvat (v-w5976f1)")</f>
        <v>seřvat (v-w5976f1)</v>
      </c>
    </row>
    <row r="43576" customFormat="false" ht="12.8" hidden="false" customHeight="false" outlineLevel="0" collapsed="false">
      <c r="B43576" s="0" t="s">
        <v>1</v>
      </c>
    </row>
    <row r="43577" customFormat="false" ht="12.8" hidden="false" customHeight="false" outlineLevel="0" collapsed="false">
      <c r="B43577" s="0" t="s">
        <v>8</v>
      </c>
    </row>
    <row r="43579" customFormat="false" ht="12.8" hidden="false" customHeight="false" outlineLevel="0" collapsed="false">
      <c r="A43579" s="0" t="s">
        <v>15784</v>
      </c>
      <c r="B43579" s="0" t="str">
        <f aca="false">HYPERLINK("https://lindat.mff.cuni.cz/services/teitok/pdtc10/index.php?action=vallex&amp;frame=v-w12270_ZUf1_ZU", "seřvávat (v-w12270_ZUf1_ZU)")</f>
        <v>seřvávat (v-w12270_ZUf1_ZU)</v>
      </c>
    </row>
    <row r="43580" customFormat="false" ht="12.8" hidden="false" customHeight="false" outlineLevel="0" collapsed="false">
      <c r="B43580" s="0" t="s">
        <v>1</v>
      </c>
    </row>
    <row r="43581" customFormat="false" ht="12.8" hidden="false" customHeight="false" outlineLevel="0" collapsed="false">
      <c r="B43581" s="0" t="s">
        <v>8</v>
      </c>
    </row>
    <row r="43583" customFormat="false" ht="12.8" hidden="false" customHeight="false" outlineLevel="0" collapsed="false">
      <c r="A43583" s="0" t="s">
        <v>15785</v>
      </c>
      <c r="B43583" s="0" t="str">
        <f aca="false">HYPERLINK("https://lindat.mff.cuni.cz/services/teitok/pdtc10/index.php?action=vallex&amp;frame=v-w5972f1", "seřídit (v-w5972f1)")</f>
        <v>seřídit (v-w5972f1)</v>
      </c>
    </row>
    <row r="43584" customFormat="false" ht="12.8" hidden="false" customHeight="false" outlineLevel="0" collapsed="false">
      <c r="B43584" s="0" t="s">
        <v>1</v>
      </c>
    </row>
    <row r="43585" customFormat="false" ht="12.8" hidden="false" customHeight="false" outlineLevel="0" collapsed="false">
      <c r="B43585" s="0" t="s">
        <v>8</v>
      </c>
    </row>
    <row r="43587" customFormat="false" ht="12.8" hidden="false" customHeight="false" outlineLevel="0" collapsed="false">
      <c r="A43587" s="0" t="s">
        <v>15786</v>
      </c>
      <c r="B43587" s="0" t="str">
        <f aca="false">HYPERLINK("https://lindat.mff.cuni.cz/services/teitok/pdtc10/index.php?action=vallex&amp;frame=v-w10412f2", "seříznout (v-w10412f2)")</f>
        <v>seříznout (v-w10412f2)</v>
      </c>
      <c r="E43587" s="0" t="str">
        <f aca="false">HYPERLINK("https://lindat.mff.cuni.cz/services/SynSemClass40/SynSemClass40.html?veclass=vec01508#vec01508-ces-cm00020", "vec01508")</f>
        <v>vec01508</v>
      </c>
      <c r="F43587" s="0" t="s">
        <v>9644</v>
      </c>
    </row>
    <row r="43588" customFormat="false" ht="12.8" hidden="false" customHeight="false" outlineLevel="0" collapsed="false">
      <c r="B43588" s="0" t="s">
        <v>1</v>
      </c>
      <c r="C43588" s="0" t="s">
        <v>9650</v>
      </c>
      <c r="E43588" s="0" t="s">
        <v>5401</v>
      </c>
      <c r="F43588" s="0" t="s">
        <v>9646</v>
      </c>
    </row>
    <row r="43589" customFormat="false" ht="12.8" hidden="false" customHeight="false" outlineLevel="0" collapsed="false">
      <c r="B43589" s="0" t="s">
        <v>8</v>
      </c>
      <c r="C43589" s="0" t="s">
        <v>9651</v>
      </c>
      <c r="E43589" s="0" t="s">
        <v>5405</v>
      </c>
      <c r="F43589" s="0" t="s">
        <v>9648</v>
      </c>
    </row>
    <row r="43590" customFormat="false" ht="12.8" hidden="false" customHeight="false" outlineLevel="0" collapsed="false">
      <c r="B43590" s="0" t="s">
        <v>36</v>
      </c>
      <c r="C43590" s="0" t="s">
        <v>10313</v>
      </c>
      <c r="E43590" s="0" t="s">
        <v>38</v>
      </c>
      <c r="F43590" s="0" t="s">
        <v>9691</v>
      </c>
    </row>
    <row r="43591" customFormat="false" ht="12.8" hidden="false" customHeight="false" outlineLevel="0" collapsed="false">
      <c r="B43591" s="0" t="s">
        <v>101</v>
      </c>
      <c r="C43591" s="0" t="s">
        <v>10315</v>
      </c>
      <c r="E43591" s="0" t="s">
        <v>42</v>
      </c>
      <c r="F43591" s="0" t="s">
        <v>9693</v>
      </c>
    </row>
    <row r="43593" customFormat="false" ht="12.8" hidden="false" customHeight="false" outlineLevel="0" collapsed="false">
      <c r="A43593" s="0" t="s">
        <v>15787</v>
      </c>
      <c r="B43593" s="0" t="str">
        <f aca="false">HYPERLINK("https://lindat.mff.cuni.cz/services/teitok/pdtc10/index.php?action=vallex&amp;frame=v-w10052f2", "sešikovat (v-w10052f2)")</f>
        <v>sešikovat (v-w10052f2)</v>
      </c>
    </row>
    <row r="43594" customFormat="false" ht="12.8" hidden="false" customHeight="false" outlineLevel="0" collapsed="false">
      <c r="B43594" s="0" t="s">
        <v>1</v>
      </c>
    </row>
    <row r="43595" customFormat="false" ht="12.8" hidden="false" customHeight="false" outlineLevel="0" collapsed="false">
      <c r="B43595" s="0" t="s">
        <v>8</v>
      </c>
    </row>
    <row r="43597" customFormat="false" ht="12.8" hidden="false" customHeight="false" outlineLevel="0" collapsed="false">
      <c r="A43597" s="0" t="s">
        <v>15788</v>
      </c>
      <c r="B43597" s="0" t="str">
        <f aca="false">HYPERLINK("https://lindat.mff.cuni.cz/services/teitok/pdtc10/index.php?action=vallex&amp;frame=v-w10316f2", "seškrtat (v-w10316f2)")</f>
        <v>seškrtat (v-w10316f2)</v>
      </c>
    </row>
    <row r="43598" customFormat="false" ht="12.8" hidden="false" customHeight="false" outlineLevel="0" collapsed="false">
      <c r="B43598" s="0" t="s">
        <v>1</v>
      </c>
    </row>
    <row r="43599" customFormat="false" ht="12.8" hidden="false" customHeight="false" outlineLevel="0" collapsed="false">
      <c r="B43599" s="0" t="s">
        <v>8</v>
      </c>
    </row>
    <row r="43600" customFormat="false" ht="12.8" hidden="false" customHeight="false" outlineLevel="0" collapsed="false">
      <c r="B43600" s="0" t="s">
        <v>36</v>
      </c>
    </row>
    <row r="43601" customFormat="false" ht="12.8" hidden="false" customHeight="false" outlineLevel="0" collapsed="false">
      <c r="B43601" s="0" t="s">
        <v>101</v>
      </c>
    </row>
    <row r="43603" customFormat="false" ht="12.8" hidden="false" customHeight="false" outlineLevel="0" collapsed="false">
      <c r="A43603" s="0" t="s">
        <v>15789</v>
      </c>
      <c r="B43603" s="0" t="str">
        <f aca="false">HYPERLINK("https://lindat.mff.cuni.cz/services/teitok/pdtc10/index.php?action=vallex&amp;frame=v-whsa_890f1_ZU", "seškrtnout (v-whsa_890f1_ZU)")</f>
        <v>seškrtnout (v-whsa_890f1_ZU)</v>
      </c>
    </row>
    <row r="43604" customFormat="false" ht="12.8" hidden="false" customHeight="false" outlineLevel="0" collapsed="false">
      <c r="B43604" s="0" t="s">
        <v>1</v>
      </c>
    </row>
    <row r="43605" customFormat="false" ht="12.8" hidden="false" customHeight="false" outlineLevel="0" collapsed="false">
      <c r="B43605" s="0" t="s">
        <v>8</v>
      </c>
    </row>
    <row r="43606" customFormat="false" ht="12.8" hidden="false" customHeight="false" outlineLevel="0" collapsed="false">
      <c r="B43606" s="0" t="s">
        <v>36</v>
      </c>
    </row>
    <row r="43607" customFormat="false" ht="12.8" hidden="false" customHeight="false" outlineLevel="0" collapsed="false">
      <c r="B43607" s="0" t="s">
        <v>101</v>
      </c>
    </row>
    <row r="43609" customFormat="false" ht="12.8" hidden="false" customHeight="false" outlineLevel="0" collapsed="false">
      <c r="A43609" s="0" t="s">
        <v>15789</v>
      </c>
      <c r="B43609" s="0" t="str">
        <f aca="false">HYPERLINK("https://lindat.mff.cuni.cz/services/teitok/pdtc10/index.php?action=vallex&amp;frame=v-whsa_890hsa_891", "seškrtnout (v-whsa_890hsa_891) - substituted with v-whsa_890f1_ZU")</f>
        <v>seškrtnout (v-whsa_890hsa_891) - substituted with v-whsa_890f1_ZU</v>
      </c>
    </row>
    <row r="43610" customFormat="false" ht="12.8" hidden="false" customHeight="false" outlineLevel="0" collapsed="false">
      <c r="B43610" s="0" t="s">
        <v>1</v>
      </c>
    </row>
    <row r="43611" customFormat="false" ht="12.8" hidden="false" customHeight="false" outlineLevel="0" collapsed="false">
      <c r="B43611" s="0" t="s">
        <v>8</v>
      </c>
    </row>
    <row r="43612" customFormat="false" ht="12.8" hidden="false" customHeight="false" outlineLevel="0" collapsed="false">
      <c r="B43612" s="0" t="s">
        <v>36</v>
      </c>
    </row>
    <row r="43613" customFormat="false" ht="12.8" hidden="false" customHeight="false" outlineLevel="0" collapsed="false">
      <c r="B43613" s="0" t="s">
        <v>101</v>
      </c>
    </row>
    <row r="43615" customFormat="false" ht="12.8" hidden="false" customHeight="false" outlineLevel="0" collapsed="false">
      <c r="A43615" s="0" t="s">
        <v>15790</v>
      </c>
      <c r="B43615" s="0" t="str">
        <f aca="false">HYPERLINK("https://lindat.mff.cuni.cz/services/teitok/pdtc10/index.php?action=vallex&amp;frame=v-w11205f2", "sešlápnout (v-w11205f2)")</f>
        <v>sešlápnout (v-w11205f2)</v>
      </c>
      <c r="E43615" s="0" t="str">
        <f aca="false">HYPERLINK("https://lindat.mff.cuni.cz/services/SynSemClass40/SynSemClass40.html?veclass=vec00728#vec00728-ces-cm00021", "vec00728")</f>
        <v>vec00728</v>
      </c>
      <c r="F43615" s="0" t="s">
        <v>11084</v>
      </c>
    </row>
    <row r="43616" customFormat="false" ht="12.8" hidden="false" customHeight="false" outlineLevel="0" collapsed="false">
      <c r="B43616" s="0" t="s">
        <v>1</v>
      </c>
      <c r="C43616" s="0" t="s">
        <v>333</v>
      </c>
      <c r="E43616" s="0" t="s">
        <v>4581</v>
      </c>
      <c r="F43616" s="0" t="s">
        <v>11085</v>
      </c>
    </row>
    <row r="43617" customFormat="false" ht="12.8" hidden="false" customHeight="false" outlineLevel="0" collapsed="false">
      <c r="B43617" s="0" t="s">
        <v>8</v>
      </c>
      <c r="C43617" s="0" t="s">
        <v>8799</v>
      </c>
      <c r="E43617" s="0" t="s">
        <v>34</v>
      </c>
      <c r="F43617" s="0" t="s">
        <v>15757</v>
      </c>
    </row>
    <row r="43619" customFormat="false" ht="12.8" hidden="false" customHeight="false" outlineLevel="0" collapsed="false">
      <c r="A43619" s="0" t="s">
        <v>15791</v>
      </c>
      <c r="B43619" s="0" t="str">
        <f aca="false">HYPERLINK("https://lindat.mff.cuni.cz/services/teitok/pdtc10/index.php?action=vallex&amp;frame=v-whsa_1822hsa_1823", "sešoupat (v-whsa_1822hsa_1823)")</f>
        <v>sešoupat (v-whsa_1822hsa_1823)</v>
      </c>
    </row>
    <row r="43620" customFormat="false" ht="12.8" hidden="false" customHeight="false" outlineLevel="0" collapsed="false">
      <c r="B43620" s="0" t="s">
        <v>1</v>
      </c>
    </row>
    <row r="43621" customFormat="false" ht="12.8" hidden="false" customHeight="false" outlineLevel="0" collapsed="false">
      <c r="B43621" s="0" t="s">
        <v>8</v>
      </c>
    </row>
    <row r="43622" customFormat="false" ht="12.8" hidden="false" customHeight="false" outlineLevel="0" collapsed="false">
      <c r="B43622" s="0" t="s">
        <v>164</v>
      </c>
    </row>
    <row r="43624" customFormat="false" ht="12.8" hidden="false" customHeight="false" outlineLevel="0" collapsed="false">
      <c r="A43624" s="0" t="s">
        <v>15792</v>
      </c>
      <c r="B43624" s="0" t="str">
        <f aca="false">HYPERLINK("https://lindat.mff.cuni.cz/services/teitok/pdtc10/index.php?action=vallex&amp;frame=v-w10121f2", "sešroubovávat (v-w10121f2)")</f>
        <v>sešroubovávat (v-w10121f2)</v>
      </c>
    </row>
    <row r="43625" customFormat="false" ht="12.8" hidden="false" customHeight="false" outlineLevel="0" collapsed="false">
      <c r="B43625" s="0" t="s">
        <v>1</v>
      </c>
    </row>
    <row r="43626" customFormat="false" ht="12.8" hidden="false" customHeight="false" outlineLevel="0" collapsed="false">
      <c r="B43626" s="0" t="s">
        <v>8</v>
      </c>
    </row>
    <row r="43627" customFormat="false" ht="12.8" hidden="false" customHeight="false" outlineLevel="0" collapsed="false">
      <c r="B43627" s="0" t="s">
        <v>276</v>
      </c>
    </row>
    <row r="43628" customFormat="false" ht="12.8" hidden="false" customHeight="false" outlineLevel="0" collapsed="false">
      <c r="B43628" s="0" t="s">
        <v>3026</v>
      </c>
    </row>
    <row r="43630" customFormat="false" ht="12.8" hidden="false" customHeight="false" outlineLevel="0" collapsed="false">
      <c r="A43630" s="0" t="s">
        <v>15793</v>
      </c>
      <c r="B43630" s="0" t="str">
        <f aca="false">HYPERLINK("https://lindat.mff.cuni.cz/services/teitok/pdtc10/index.php?action=vallex&amp;frame=v-w6000f1", "sešít (v-w6000f1)")</f>
        <v>sešít (v-w6000f1)</v>
      </c>
    </row>
    <row r="43631" customFormat="false" ht="12.8" hidden="false" customHeight="false" outlineLevel="0" collapsed="false">
      <c r="B43631" s="0" t="s">
        <v>1</v>
      </c>
    </row>
    <row r="43632" customFormat="false" ht="12.8" hidden="false" customHeight="false" outlineLevel="0" collapsed="false">
      <c r="B43632" s="0" t="s">
        <v>8</v>
      </c>
    </row>
    <row r="43634" customFormat="false" ht="12.8" hidden="false" customHeight="false" outlineLevel="0" collapsed="false">
      <c r="A43634" s="0" t="s">
        <v>15794</v>
      </c>
      <c r="B43634" s="0" t="str">
        <f aca="false">HYPERLINK("https://lindat.mff.cuni.cz/services/teitok/pdtc10/index.php?action=vallex&amp;frame=v-w6000f2_MM", "sešít (v-w6000f2_MM)")</f>
        <v>sešít (v-w6000f2_MM)</v>
      </c>
    </row>
    <row r="43635" customFormat="false" ht="12.8" hidden="false" customHeight="false" outlineLevel="0" collapsed="false">
      <c r="B43635" s="0" t="s">
        <v>1</v>
      </c>
    </row>
    <row r="43636" customFormat="false" ht="12.8" hidden="false" customHeight="false" outlineLevel="0" collapsed="false">
      <c r="B43636" s="0" t="s">
        <v>8</v>
      </c>
    </row>
    <row r="43637" customFormat="false" ht="12.8" hidden="false" customHeight="false" outlineLevel="0" collapsed="false">
      <c r="B43637" s="0" t="s">
        <v>36</v>
      </c>
    </row>
    <row r="43639" customFormat="false" ht="12.8" hidden="false" customHeight="false" outlineLevel="0" collapsed="false">
      <c r="A43639" s="0" t="s">
        <v>15795</v>
      </c>
      <c r="B43639" s="0" t="str">
        <f aca="false">HYPERLINK("https://lindat.mff.cuni.cz/services/teitok/pdtc10/index.php?action=vallex&amp;frame=v-whsa_1243hsa_1244", "sešívat (v-whsa_1243hsa_1244)")</f>
        <v>sešívat (v-whsa_1243hsa_1244)</v>
      </c>
    </row>
    <row r="43640" customFormat="false" ht="12.8" hidden="false" customHeight="false" outlineLevel="0" collapsed="false">
      <c r="B43640" s="0" t="s">
        <v>1</v>
      </c>
    </row>
    <row r="43641" customFormat="false" ht="12.8" hidden="false" customHeight="false" outlineLevel="0" collapsed="false">
      <c r="B43641" s="0" t="s">
        <v>8</v>
      </c>
    </row>
    <row r="43643" customFormat="false" ht="12.8" hidden="false" customHeight="false" outlineLevel="0" collapsed="false">
      <c r="A43643" s="0" t="s">
        <v>15796</v>
      </c>
      <c r="B43643" s="0" t="str">
        <f aca="false">HYPERLINK("https://lindat.mff.cuni.cz/services/teitok/pdtc10/index.php?action=vallex&amp;frame=v-w6018f1", "sežrat (v-w6018f1)")</f>
        <v>sežrat (v-w6018f1)</v>
      </c>
    </row>
    <row r="43644" customFormat="false" ht="12.8" hidden="false" customHeight="false" outlineLevel="0" collapsed="false">
      <c r="B43644" s="0" t="s">
        <v>1</v>
      </c>
    </row>
    <row r="43645" customFormat="false" ht="12.8" hidden="false" customHeight="false" outlineLevel="0" collapsed="false">
      <c r="B43645" s="0" t="s">
        <v>8</v>
      </c>
    </row>
    <row r="43647" customFormat="false" ht="12.8" hidden="false" customHeight="false" outlineLevel="0" collapsed="false">
      <c r="A43647" s="0" t="s">
        <v>15797</v>
      </c>
      <c r="B43647" s="0" t="str">
        <f aca="false">HYPERLINK("https://lindat.mff.cuni.cz/services/teitok/pdtc10/index.php?action=vallex&amp;frame=v-w6018f2_ZU", "sežrat (v-w6018f2_ZU)")</f>
        <v>sežrat (v-w6018f2_ZU)</v>
      </c>
    </row>
    <row r="43648" customFormat="false" ht="12.8" hidden="false" customHeight="false" outlineLevel="0" collapsed="false">
      <c r="B43648" s="0" t="s">
        <v>1</v>
      </c>
    </row>
    <row r="43649" customFormat="false" ht="12.8" hidden="false" customHeight="false" outlineLevel="0" collapsed="false">
      <c r="B43649" s="0" t="s">
        <v>8</v>
      </c>
    </row>
    <row r="43651" customFormat="false" ht="12.8" hidden="false" customHeight="false" outlineLevel="0" collapsed="false">
      <c r="A43651" s="0" t="s">
        <v>15798</v>
      </c>
      <c r="B43651" s="0" t="str">
        <f aca="false">HYPERLINK("https://lindat.mff.cuni.cz/services/teitok/pdtc10/index.php?action=vallex&amp;frame=v-w6022f1", "shazovat (v-w6022f1)")</f>
        <v>shazovat (v-w6022f1)</v>
      </c>
      <c r="E43651" s="0" t="str">
        <f aca="false">HYPERLINK("https://lindat.mff.cuni.cz/services/SynSemClass40/SynSemClass40.html?veclass=vec01106#vec01106-ces-cm00001", "vec01106")</f>
        <v>vec01106</v>
      </c>
      <c r="F43651" s="0" t="s">
        <v>13814</v>
      </c>
    </row>
    <row r="43652" customFormat="false" ht="12.8" hidden="false" customHeight="false" outlineLevel="0" collapsed="false">
      <c r="B43652" s="0" t="s">
        <v>1</v>
      </c>
      <c r="C43652" s="0" t="s">
        <v>459</v>
      </c>
      <c r="E43652" s="0" t="s">
        <v>2196</v>
      </c>
      <c r="F43652" s="0" t="s">
        <v>13815</v>
      </c>
    </row>
    <row r="43653" customFormat="false" ht="12.8" hidden="false" customHeight="false" outlineLevel="0" collapsed="false">
      <c r="B43653" s="0" t="s">
        <v>8</v>
      </c>
      <c r="C43653" s="0" t="s">
        <v>744</v>
      </c>
      <c r="E43653" s="0" t="s">
        <v>2200</v>
      </c>
      <c r="F43653" s="0" t="s">
        <v>13816</v>
      </c>
    </row>
    <row r="43654" customFormat="false" ht="12.8" hidden="false" customHeight="false" outlineLevel="0" collapsed="false">
      <c r="B43654" s="0" t="s">
        <v>631</v>
      </c>
      <c r="E43654" s="0" t="s">
        <v>1949</v>
      </c>
      <c r="F43654" s="0" t="s">
        <v>2896</v>
      </c>
    </row>
    <row r="43656" customFormat="false" ht="12.8" hidden="false" customHeight="false" outlineLevel="0" collapsed="false">
      <c r="A43656" s="0" t="s">
        <v>15799</v>
      </c>
      <c r="B43656" s="0" t="str">
        <f aca="false">HYPERLINK("https://lindat.mff.cuni.cz/services/teitok/pdtc10/index.php?action=vallex&amp;frame=v-w6022f3", "shazovat (v-w6022f3)")</f>
        <v>shazovat (v-w6022f3)</v>
      </c>
      <c r="E43656" s="0" t="str">
        <f aca="false">HYPERLINK("https://lindat.mff.cuni.cz/services/SynSemClass40/SynSemClass40.html?veclass=vec01107#vec01107-ces-cm00001", "vec01107")</f>
        <v>vec01107</v>
      </c>
      <c r="F43656" s="0" t="s">
        <v>4724</v>
      </c>
    </row>
    <row r="43657" customFormat="false" ht="12.8" hidden="false" customHeight="false" outlineLevel="0" collapsed="false">
      <c r="B43657" s="0" t="s">
        <v>1</v>
      </c>
      <c r="C43657" s="0" t="s">
        <v>1752</v>
      </c>
      <c r="E43657" s="0" t="s">
        <v>1665</v>
      </c>
      <c r="F43657" s="0" t="s">
        <v>4728</v>
      </c>
    </row>
    <row r="43658" customFormat="false" ht="12.8" hidden="false" customHeight="false" outlineLevel="0" collapsed="false">
      <c r="B43658" s="0" t="s">
        <v>8</v>
      </c>
      <c r="C43658" s="0" t="s">
        <v>744</v>
      </c>
      <c r="E43658" s="0" t="s">
        <v>1569</v>
      </c>
      <c r="F43658" s="0" t="s">
        <v>1570</v>
      </c>
    </row>
    <row r="43659" customFormat="false" ht="12.8" hidden="false" customHeight="false" outlineLevel="0" collapsed="false">
      <c r="B43659" s="0" t="s">
        <v>164</v>
      </c>
      <c r="E43659" s="0" t="s">
        <v>1315</v>
      </c>
      <c r="F43659" s="0" t="s">
        <v>1316</v>
      </c>
    </row>
    <row r="43661" customFormat="false" ht="12.8" hidden="false" customHeight="false" outlineLevel="0" collapsed="false">
      <c r="A43661" s="0" t="s">
        <v>15800</v>
      </c>
      <c r="B43661" s="0" t="str">
        <f aca="false">HYPERLINK("https://lindat.mff.cuni.cz/services/teitok/pdtc10/index.php?action=vallex&amp;frame=v-w6022f4", "shazovat (v-w6022f4)")</f>
        <v>shazovat (v-w6022f4)</v>
      </c>
      <c r="E43661" s="0" t="str">
        <f aca="false">HYPERLINK("https://lindat.mff.cuni.cz/services/SynSemClass40/SynSemClass40.html?veclass=vec00707#vec00707-ces-cm00001", "vec00707")</f>
        <v>vec00707</v>
      </c>
      <c r="F43661" s="0" t="s">
        <v>4263</v>
      </c>
      <c r="H43661" s="0" t="str">
        <f aca="false">HYPERLINK("https://lindat.mff.cuni.cz/services/SynSemClass40/SynSemClass40.html?veclass=vec01192#vec01192-ces-cm00012", "vec01192")</f>
        <v>vec01192</v>
      </c>
      <c r="I43661" s="0" t="s">
        <v>2000</v>
      </c>
    </row>
    <row r="43662" customFormat="false" ht="12.8" hidden="false" customHeight="false" outlineLevel="0" collapsed="false">
      <c r="B43662" s="0" t="s">
        <v>1</v>
      </c>
      <c r="C43662" s="0" t="s">
        <v>1752</v>
      </c>
      <c r="E43662" s="0" t="s">
        <v>2005</v>
      </c>
      <c r="F43662" s="0" t="s">
        <v>4266</v>
      </c>
      <c r="H43662" s="0" t="s">
        <v>11</v>
      </c>
      <c r="I43662" s="0" t="s">
        <v>1613</v>
      </c>
    </row>
    <row r="43663" customFormat="false" ht="12.8" hidden="false" customHeight="false" outlineLevel="0" collapsed="false">
      <c r="B43663" s="0" t="s">
        <v>8</v>
      </c>
      <c r="C43663" s="0" t="s">
        <v>15801</v>
      </c>
      <c r="E43663" s="0" t="s">
        <v>2007</v>
      </c>
      <c r="F43663" s="0" t="s">
        <v>4269</v>
      </c>
      <c r="H43663" s="0" t="s">
        <v>142</v>
      </c>
      <c r="I43663" s="0" t="s">
        <v>2002</v>
      </c>
    </row>
    <row r="43665" customFormat="false" ht="12.8" hidden="false" customHeight="false" outlineLevel="0" collapsed="false">
      <c r="A43665" s="0" t="s">
        <v>15802</v>
      </c>
      <c r="B43665" s="0" t="str">
        <f aca="false">HYPERLINK("https://lindat.mff.cuni.cz/services/teitok/pdtc10/index.php?action=vallex&amp;frame=v-w6022f2", "shazovat (v-w6022f2)")</f>
        <v>shazovat (v-w6022f2)</v>
      </c>
      <c r="E43665" s="0" t="str">
        <f aca="false">HYPERLINK("https://lindat.mff.cuni.cz/services/SynSemClass40/SynSemClass40.html?veclass=vec01108#vec01108-ces-cm00002", "vec01108")</f>
        <v>vec01108</v>
      </c>
      <c r="F43665" s="0" t="s">
        <v>15803</v>
      </c>
    </row>
    <row r="43666" customFormat="false" ht="12.8" hidden="false" customHeight="false" outlineLevel="0" collapsed="false">
      <c r="B43666" s="0" t="s">
        <v>1</v>
      </c>
      <c r="E43666" s="0" t="s">
        <v>11</v>
      </c>
      <c r="F43666" s="0" t="s">
        <v>959</v>
      </c>
    </row>
    <row r="43667" customFormat="false" ht="12.8" hidden="false" customHeight="false" outlineLevel="0" collapsed="false">
      <c r="B43667" s="0" t="s">
        <v>8</v>
      </c>
      <c r="C43667" s="0" t="s">
        <v>462</v>
      </c>
      <c r="E43667" s="0" t="s">
        <v>2732</v>
      </c>
      <c r="F43667" s="0" t="s">
        <v>15804</v>
      </c>
    </row>
    <row r="43669" customFormat="false" ht="12.8" hidden="false" customHeight="false" outlineLevel="0" collapsed="false">
      <c r="A43669" s="0" t="s">
        <v>15805</v>
      </c>
      <c r="B43669" s="0" t="str">
        <f aca="false">HYPERLINK("https://lindat.mff.cuni.cz/services/teitok/pdtc10/index.php?action=vallex&amp;frame=v-w6022f5_ZU", "shazovat (v-w6022f5_ZU)")</f>
        <v>shazovat (v-w6022f5_ZU)</v>
      </c>
    </row>
    <row r="43670" customFormat="false" ht="12.8" hidden="false" customHeight="false" outlineLevel="0" collapsed="false">
      <c r="B43670" s="0" t="s">
        <v>1</v>
      </c>
    </row>
    <row r="43671" customFormat="false" ht="12.8" hidden="false" customHeight="false" outlineLevel="0" collapsed="false">
      <c r="B43671" s="0" t="s">
        <v>15806</v>
      </c>
    </row>
    <row r="43673" customFormat="false" ht="12.8" hidden="false" customHeight="false" outlineLevel="0" collapsed="false">
      <c r="A43673" s="0" t="s">
        <v>15807</v>
      </c>
      <c r="B43673" s="0" t="str">
        <f aca="false">HYPERLINK("https://lindat.mff.cuni.cz/services/teitok/pdtc10/index.php?action=vallex&amp;frame=v-w6023f2", "shledat (v-w6023f2)")</f>
        <v>shledat (v-w6023f2)</v>
      </c>
      <c r="E43673" s="0" t="str">
        <f aca="false">HYPERLINK("https://lindat.mff.cuni.cz/services/SynSemClass40/SynSemClass40.html?veclass=vec00402#vec00402-ces-cm00015", "vec00402")</f>
        <v>vec00402</v>
      </c>
      <c r="F43673" s="0" t="s">
        <v>619</v>
      </c>
    </row>
    <row r="43674" customFormat="false" ht="12.8" hidden="false" customHeight="false" outlineLevel="0" collapsed="false">
      <c r="B43674" s="0" t="s">
        <v>1</v>
      </c>
      <c r="C43674" s="0" t="s">
        <v>620</v>
      </c>
      <c r="E43674" s="0" t="s">
        <v>621</v>
      </c>
      <c r="F43674" s="0" t="s">
        <v>622</v>
      </c>
    </row>
    <row r="43675" customFormat="false" ht="12.8" hidden="false" customHeight="false" outlineLevel="0" collapsed="false">
      <c r="B43675" s="0" t="s">
        <v>59</v>
      </c>
      <c r="C43675" s="0" t="s">
        <v>623</v>
      </c>
      <c r="E43675" s="0" t="s">
        <v>180</v>
      </c>
      <c r="F43675" s="0" t="s">
        <v>624</v>
      </c>
    </row>
    <row r="43676" customFormat="false" ht="12.8" hidden="false" customHeight="false" outlineLevel="0" collapsed="false">
      <c r="B43676" s="0" t="s">
        <v>15808</v>
      </c>
      <c r="C43676" s="0" t="s">
        <v>625</v>
      </c>
      <c r="E43676" s="0" t="s">
        <v>626</v>
      </c>
      <c r="F43676" s="0" t="s">
        <v>627</v>
      </c>
    </row>
    <row r="43678" customFormat="false" ht="12.8" hidden="false" customHeight="false" outlineLevel="0" collapsed="false">
      <c r="A43678" s="0" t="s">
        <v>15809</v>
      </c>
      <c r="B43678" s="0" t="str">
        <f aca="false">HYPERLINK("https://lindat.mff.cuni.cz/services/teitok/pdtc10/index.php?action=vallex&amp;frame=v-w6023f1", "shledat (v-w6023f1)")</f>
        <v>shledat (v-w6023f1)</v>
      </c>
      <c r="E43678" s="0" t="str">
        <f aca="false">HYPERLINK("https://lindat.mff.cuni.cz/services/SynSemClass40/SynSemClass40.html?veclass=vec00127#vec00127-ces-cm00153", "vec00127")</f>
        <v>vec00127</v>
      </c>
      <c r="F43678" s="0" t="s">
        <v>1835</v>
      </c>
    </row>
    <row r="43679" customFormat="false" ht="12.8" hidden="false" customHeight="false" outlineLevel="0" collapsed="false">
      <c r="B43679" s="0" t="s">
        <v>1</v>
      </c>
      <c r="C43679" s="0" t="s">
        <v>3461</v>
      </c>
      <c r="E43679" s="0" t="s">
        <v>11</v>
      </c>
      <c r="F43679" s="0" t="s">
        <v>1837</v>
      </c>
    </row>
    <row r="43680" customFormat="false" ht="12.8" hidden="false" customHeight="false" outlineLevel="0" collapsed="false">
      <c r="B43680" s="0" t="s">
        <v>228</v>
      </c>
      <c r="C43680" s="0" t="s">
        <v>3463</v>
      </c>
      <c r="E43680" s="0" t="s">
        <v>1840</v>
      </c>
      <c r="F43680" s="0" t="s">
        <v>1841</v>
      </c>
    </row>
    <row r="43682" customFormat="false" ht="12.8" hidden="false" customHeight="false" outlineLevel="0" collapsed="false">
      <c r="A43682" s="0" t="s">
        <v>15810</v>
      </c>
      <c r="B43682" s="0" t="str">
        <f aca="false">HYPERLINK("https://lindat.mff.cuni.cz/services/teitok/pdtc10/index.php?action=vallex&amp;frame=v-whsa_525hsa_526", "shledat se (v-whsa_525hsa_526)")</f>
        <v>shledat se (v-whsa_525hsa_526)</v>
      </c>
    </row>
    <row r="43683" customFormat="false" ht="12.8" hidden="false" customHeight="false" outlineLevel="0" collapsed="false">
      <c r="B43683" s="0" t="s">
        <v>1</v>
      </c>
    </row>
    <row r="43684" customFormat="false" ht="12.8" hidden="false" customHeight="false" outlineLevel="0" collapsed="false">
      <c r="B43684" s="0" t="s">
        <v>721</v>
      </c>
    </row>
    <row r="43686" customFormat="false" ht="12.8" hidden="false" customHeight="false" outlineLevel="0" collapsed="false">
      <c r="A43686" s="0" t="s">
        <v>15811</v>
      </c>
      <c r="B43686" s="0" t="str">
        <f aca="false">HYPERLINK("https://lindat.mff.cuni.cz/services/teitok/pdtc10/index.php?action=vallex&amp;frame=v-w6024f1", "shledávat (v-w6024f1)")</f>
        <v>shledávat (v-w6024f1)</v>
      </c>
      <c r="E43686" s="0" t="str">
        <f aca="false">HYPERLINK("https://lindat.mff.cuni.cz/services/SynSemClass40/SynSemClass40.html?veclass=vec00032#vec00032-ces-cm00174", "vec00032")</f>
        <v>vec00032</v>
      </c>
      <c r="F43686" s="0" t="s">
        <v>911</v>
      </c>
    </row>
    <row r="43687" customFormat="false" ht="12.8" hidden="false" customHeight="false" outlineLevel="0" collapsed="false">
      <c r="B43687" s="0" t="s">
        <v>1</v>
      </c>
      <c r="C43687" s="0" t="s">
        <v>2485</v>
      </c>
      <c r="E43687" s="0" t="s">
        <v>914</v>
      </c>
      <c r="F43687" s="0" t="s">
        <v>915</v>
      </c>
    </row>
    <row r="43688" customFormat="false" ht="12.8" hidden="false" customHeight="false" outlineLevel="0" collapsed="false">
      <c r="B43688" s="0" t="s">
        <v>59</v>
      </c>
      <c r="C43688" s="0" t="s">
        <v>2489</v>
      </c>
      <c r="E43688" s="0" t="s">
        <v>180</v>
      </c>
      <c r="F43688" s="0" t="s">
        <v>2490</v>
      </c>
    </row>
    <row r="43689" customFormat="false" ht="12.8" hidden="false" customHeight="false" outlineLevel="0" collapsed="false">
      <c r="B43689" s="0" t="s">
        <v>15808</v>
      </c>
      <c r="C43689" s="0" t="s">
        <v>2487</v>
      </c>
      <c r="E43689" s="0" t="s">
        <v>626</v>
      </c>
      <c r="F43689" s="0" t="s">
        <v>2488</v>
      </c>
    </row>
    <row r="43691" customFormat="false" ht="12.8" hidden="false" customHeight="false" outlineLevel="0" collapsed="false">
      <c r="A43691" s="0" t="s">
        <v>15812</v>
      </c>
      <c r="B43691" s="0" t="str">
        <f aca="false">HYPERLINK("https://lindat.mff.cuni.cz/services/teitok/pdtc10/index.php?action=vallex&amp;frame=v-w6024f2", "shledávat (v-w6024f2)")</f>
        <v>shledávat (v-w6024f2)</v>
      </c>
      <c r="E43691" s="0" t="str">
        <f aca="false">HYPERLINK("https://lindat.mff.cuni.cz/services/SynSemClass40/SynSemClass40.html?veclass=vec00233#vec00233-ces-cm00058", "vec00233")</f>
        <v>vec00233</v>
      </c>
      <c r="F43691" s="0" t="s">
        <v>1065</v>
      </c>
    </row>
    <row r="43692" customFormat="false" ht="12.8" hidden="false" customHeight="false" outlineLevel="0" collapsed="false">
      <c r="B43692" s="0" t="s">
        <v>1</v>
      </c>
      <c r="C43692" s="0" t="s">
        <v>7077</v>
      </c>
      <c r="E43692" s="0" t="s">
        <v>2263</v>
      </c>
      <c r="F43692" s="0" t="s">
        <v>7078</v>
      </c>
    </row>
    <row r="43693" customFormat="false" ht="12.8" hidden="false" customHeight="false" outlineLevel="0" collapsed="false">
      <c r="B43693" s="0" t="s">
        <v>228</v>
      </c>
      <c r="C43693" s="0" t="s">
        <v>7079</v>
      </c>
      <c r="E43693" s="0" t="s">
        <v>7080</v>
      </c>
      <c r="F43693" s="0" t="s">
        <v>7081</v>
      </c>
    </row>
    <row r="43695" customFormat="false" ht="12.8" hidden="false" customHeight="false" outlineLevel="0" collapsed="false">
      <c r="A43695" s="0" t="s">
        <v>15813</v>
      </c>
      <c r="B43695" s="0" t="str">
        <f aca="false">HYPERLINK("https://lindat.mff.cuni.cz/services/teitok/pdtc10/index.php?action=vallex&amp;frame=v-w6026f1", "shluknout se (v-w6026f1)")</f>
        <v>shluknout se (v-w6026f1)</v>
      </c>
    </row>
    <row r="43696" customFormat="false" ht="12.8" hidden="false" customHeight="false" outlineLevel="0" collapsed="false">
      <c r="B43696" s="0" t="s">
        <v>1</v>
      </c>
    </row>
    <row r="43697" customFormat="false" ht="12.8" hidden="false" customHeight="false" outlineLevel="0" collapsed="false">
      <c r="B43697" s="0" t="s">
        <v>4510</v>
      </c>
    </row>
    <row r="43699" customFormat="false" ht="12.8" hidden="false" customHeight="false" outlineLevel="0" collapsed="false">
      <c r="A43699" s="0" t="s">
        <v>15814</v>
      </c>
      <c r="B43699" s="0" t="str">
        <f aca="false">HYPERLINK("https://lindat.mff.cuni.cz/services/teitok/pdtc10/index.php?action=vallex&amp;frame=v-w6027f1", "shlukovat se (v-w6027f1)")</f>
        <v>shlukovat se (v-w6027f1)</v>
      </c>
    </row>
    <row r="43700" customFormat="false" ht="12.8" hidden="false" customHeight="false" outlineLevel="0" collapsed="false">
      <c r="B43700" s="0" t="s">
        <v>1</v>
      </c>
    </row>
    <row r="43701" customFormat="false" ht="12.8" hidden="false" customHeight="false" outlineLevel="0" collapsed="false">
      <c r="B43701" s="0" t="s">
        <v>4510</v>
      </c>
    </row>
    <row r="43703" customFormat="false" ht="12.8" hidden="false" customHeight="false" outlineLevel="0" collapsed="false">
      <c r="A43703" s="0" t="s">
        <v>15815</v>
      </c>
      <c r="B43703" s="0" t="str">
        <f aca="false">HYPERLINK("https://lindat.mff.cuni.cz/services/teitok/pdtc10/index.php?action=vallex&amp;frame=v-w6025f1", "shlížet (v-w6025f1)")</f>
        <v>shlížet (v-w6025f1)</v>
      </c>
    </row>
    <row r="43704" customFormat="false" ht="12.8" hidden="false" customHeight="false" outlineLevel="0" collapsed="false">
      <c r="B43704" s="0" t="s">
        <v>1</v>
      </c>
    </row>
    <row r="43705" customFormat="false" ht="12.8" hidden="false" customHeight="false" outlineLevel="0" collapsed="false">
      <c r="B43705" s="0" t="s">
        <v>631</v>
      </c>
    </row>
    <row r="43707" customFormat="false" ht="12.8" hidden="false" customHeight="false" outlineLevel="0" collapsed="false">
      <c r="A43707" s="0" t="s">
        <v>15816</v>
      </c>
      <c r="B43707" s="0" t="str">
        <f aca="false">HYPERLINK("https://lindat.mff.cuni.cz/services/teitok/pdtc10/index.php?action=vallex&amp;frame=v-w10136f2", "shnít (v-w10136f2)")</f>
        <v>shnít (v-w10136f2)</v>
      </c>
    </row>
    <row r="43708" customFormat="false" ht="12.8" hidden="false" customHeight="false" outlineLevel="0" collapsed="false">
      <c r="B43708" s="0" t="s">
        <v>1</v>
      </c>
    </row>
    <row r="43710" customFormat="false" ht="12.8" hidden="false" customHeight="false" outlineLevel="0" collapsed="false">
      <c r="A43710" s="0" t="s">
        <v>15817</v>
      </c>
      <c r="B43710" s="0" t="str">
        <f aca="false">HYPERLINK("https://lindat.mff.cuni.cz/services/teitok/pdtc10/index.php?action=vallex&amp;frame=v-w6029f1", "shodit (v-w6029f1)")</f>
        <v>shodit (v-w6029f1)</v>
      </c>
      <c r="E43710" s="0" t="str">
        <f aca="false">HYPERLINK("https://lindat.mff.cuni.cz/services/SynSemClass40/SynSemClass40.html?veclass=vec01106#vec01106-ces-cm00003", "vec01106")</f>
        <v>vec01106</v>
      </c>
      <c r="F43710" s="0" t="s">
        <v>13814</v>
      </c>
    </row>
    <row r="43711" customFormat="false" ht="12.8" hidden="false" customHeight="false" outlineLevel="0" collapsed="false">
      <c r="B43711" s="0" t="s">
        <v>1</v>
      </c>
      <c r="C43711" s="0" t="s">
        <v>459</v>
      </c>
      <c r="E43711" s="0" t="s">
        <v>2196</v>
      </c>
      <c r="F43711" s="0" t="s">
        <v>13815</v>
      </c>
    </row>
    <row r="43712" customFormat="false" ht="12.8" hidden="false" customHeight="false" outlineLevel="0" collapsed="false">
      <c r="B43712" s="0" t="s">
        <v>8</v>
      </c>
      <c r="C43712" s="0" t="s">
        <v>744</v>
      </c>
      <c r="E43712" s="0" t="s">
        <v>2200</v>
      </c>
      <c r="F43712" s="0" t="s">
        <v>13816</v>
      </c>
    </row>
    <row r="43713" customFormat="false" ht="12.8" hidden="false" customHeight="false" outlineLevel="0" collapsed="false">
      <c r="B43713" s="0" t="s">
        <v>631</v>
      </c>
      <c r="E43713" s="0" t="s">
        <v>1949</v>
      </c>
      <c r="F43713" s="0" t="s">
        <v>2896</v>
      </c>
    </row>
    <row r="43715" customFormat="false" ht="12.8" hidden="false" customHeight="false" outlineLevel="0" collapsed="false">
      <c r="A43715" s="0" t="s">
        <v>15818</v>
      </c>
      <c r="B43715" s="0" t="str">
        <f aca="false">HYPERLINK("https://lindat.mff.cuni.cz/services/teitok/pdtc10/index.php?action=vallex&amp;frame=v-w6029f2", "shodit (v-w6029f2)")</f>
        <v>shodit (v-w6029f2)</v>
      </c>
    </row>
    <row r="43716" customFormat="false" ht="12.8" hidden="false" customHeight="false" outlineLevel="0" collapsed="false">
      <c r="B43716" s="0" t="s">
        <v>1</v>
      </c>
    </row>
    <row r="43717" customFormat="false" ht="12.8" hidden="false" customHeight="false" outlineLevel="0" collapsed="false">
      <c r="B43717" s="0" t="s">
        <v>15819</v>
      </c>
    </row>
    <row r="43718" customFormat="false" ht="12.8" hidden="false" customHeight="false" outlineLevel="0" collapsed="false">
      <c r="B43718" s="0" t="s">
        <v>8</v>
      </c>
    </row>
    <row r="43720" customFormat="false" ht="12.8" hidden="false" customHeight="false" outlineLevel="0" collapsed="false">
      <c r="A43720" s="0" t="s">
        <v>15820</v>
      </c>
      <c r="B43720" s="0" t="str">
        <f aca="false">HYPERLINK("https://lindat.mff.cuni.cz/services/teitok/pdtc10/index.php?action=vallex&amp;frame=v-w6029f3_ZU", "shodit (v-w6029f3_ZU)")</f>
        <v>shodit (v-w6029f3_ZU)</v>
      </c>
      <c r="E43720" s="0" t="str">
        <f aca="false">HYPERLINK("https://lindat.mff.cuni.cz/services/SynSemClass40/SynSemClass40.html?veclass=vec01108#vec01108-ces-cm00001", "vec01108")</f>
        <v>vec01108</v>
      </c>
      <c r="F43720" s="0" t="s">
        <v>15803</v>
      </c>
    </row>
    <row r="43721" customFormat="false" ht="12.8" hidden="false" customHeight="false" outlineLevel="0" collapsed="false">
      <c r="B43721" s="0" t="s">
        <v>1</v>
      </c>
      <c r="E43721" s="0" t="s">
        <v>11</v>
      </c>
      <c r="F43721" s="0" t="s">
        <v>959</v>
      </c>
    </row>
    <row r="43722" customFormat="false" ht="12.8" hidden="false" customHeight="false" outlineLevel="0" collapsed="false">
      <c r="B43722" s="0" t="s">
        <v>8</v>
      </c>
      <c r="C43722" s="0" t="s">
        <v>462</v>
      </c>
      <c r="E43722" s="0" t="s">
        <v>2732</v>
      </c>
      <c r="F43722" s="0" t="s">
        <v>15804</v>
      </c>
    </row>
    <row r="43724" customFormat="false" ht="12.8" hidden="false" customHeight="false" outlineLevel="0" collapsed="false">
      <c r="A43724" s="0" t="s">
        <v>15820</v>
      </c>
      <c r="B43724" s="0" t="str">
        <f aca="false">HYPERLINK("https://lindat.mff.cuni.cz/services/teitok/pdtc10/index.php?action=vallex&amp;frame=v-w6029hsa_1176", "shodit (v-w6029hsa_1176) - substituted with v-w6029f3_ZU")</f>
        <v>shodit (v-w6029hsa_1176) - substituted with v-w6029f3_ZU</v>
      </c>
    </row>
    <row r="43725" customFormat="false" ht="12.8" hidden="false" customHeight="false" outlineLevel="0" collapsed="false">
      <c r="B43725" s="0" t="s">
        <v>1</v>
      </c>
    </row>
    <row r="43726" customFormat="false" ht="12.8" hidden="false" customHeight="false" outlineLevel="0" collapsed="false">
      <c r="B43726" s="0" t="s">
        <v>8</v>
      </c>
    </row>
    <row r="43728" customFormat="false" ht="12.8" hidden="false" customHeight="false" outlineLevel="0" collapsed="false">
      <c r="A43728" s="0" t="s">
        <v>15821</v>
      </c>
      <c r="B43728" s="0" t="str">
        <f aca="false">HYPERLINK("https://lindat.mff.cuni.cz/services/teitok/pdtc10/index.php?action=vallex&amp;frame=v-w6031f2_ZU", "shodnout se (v-w6031f2_ZU)")</f>
        <v>shodnout se (v-w6031f2_ZU)</v>
      </c>
      <c r="E43728" s="0" t="str">
        <f aca="false">HYPERLINK("https://lindat.mff.cuni.cz/services/SynSemClass40/SynSemClass40.html?veclass=vec01308#vec01308-ces-cm00010", "vec01308")</f>
        <v>vec01308</v>
      </c>
      <c r="F43728" s="0" t="s">
        <v>14908</v>
      </c>
      <c r="H43728" s="0" t="str">
        <f aca="false">HYPERLINK("https://lindat.mff.cuni.cz/services/SynSemClass40/SynSemClass40.html?veclass=vec01320#vec01320-ces-cm00010", "vec01320")</f>
        <v>vec01320</v>
      </c>
      <c r="I43728" s="0" t="s">
        <v>912</v>
      </c>
    </row>
    <row r="43729" customFormat="false" ht="12.8" hidden="false" customHeight="false" outlineLevel="0" collapsed="false">
      <c r="B43729" s="0" t="s">
        <v>1</v>
      </c>
      <c r="C43729" s="0" t="s">
        <v>14909</v>
      </c>
      <c r="E43729" s="0" t="s">
        <v>2251</v>
      </c>
      <c r="F43729" s="0" t="s">
        <v>14910</v>
      </c>
      <c r="H43729" s="0" t="s">
        <v>155</v>
      </c>
      <c r="I43729" s="0" t="s">
        <v>916</v>
      </c>
    </row>
    <row r="43730" customFormat="false" ht="12.8" hidden="false" customHeight="false" outlineLevel="0" collapsed="false">
      <c r="B43730" s="0" t="s">
        <v>276</v>
      </c>
      <c r="C43730" s="0" t="s">
        <v>14913</v>
      </c>
      <c r="E43730" s="0" t="s">
        <v>2256</v>
      </c>
      <c r="F43730" s="0" t="s">
        <v>14914</v>
      </c>
      <c r="H43730" s="0" t="s">
        <v>221</v>
      </c>
      <c r="I43730" s="0" t="s">
        <v>3501</v>
      </c>
    </row>
    <row r="43731" customFormat="false" ht="12.8" hidden="false" customHeight="false" outlineLevel="0" collapsed="false">
      <c r="B43731" s="0" t="s">
        <v>15822</v>
      </c>
      <c r="C43731" s="0" t="s">
        <v>14911</v>
      </c>
      <c r="E43731" s="0" t="s">
        <v>230</v>
      </c>
      <c r="F43731" s="0" t="s">
        <v>14912</v>
      </c>
      <c r="H43731" s="0" t="s">
        <v>922</v>
      </c>
      <c r="I43731" s="0" t="s">
        <v>923</v>
      </c>
    </row>
    <row r="43733" customFormat="false" ht="12.8" hidden="false" customHeight="false" outlineLevel="0" collapsed="false">
      <c r="A43733" s="0" t="s">
        <v>15821</v>
      </c>
      <c r="B43733" s="0" t="str">
        <f aca="false">HYPERLINK("https://lindat.mff.cuni.cz/services/teitok/pdtc10/index.php?action=vallex&amp;frame=v-w6031f1", "shodnout se (v-w6031f1) - substituted with v-w6031f2_ZU")</f>
        <v>shodnout se (v-w6031f1) - substituted with v-w6031f2_ZU</v>
      </c>
    </row>
    <row r="43734" customFormat="false" ht="12.8" hidden="false" customHeight="false" outlineLevel="0" collapsed="false">
      <c r="B43734" s="0" t="s">
        <v>1</v>
      </c>
    </row>
    <row r="43735" customFormat="false" ht="12.8" hidden="false" customHeight="false" outlineLevel="0" collapsed="false">
      <c r="B43735" s="0" t="s">
        <v>276</v>
      </c>
    </row>
    <row r="43736" customFormat="false" ht="12.8" hidden="false" customHeight="false" outlineLevel="0" collapsed="false">
      <c r="B43736" s="0" t="s">
        <v>15822</v>
      </c>
    </row>
    <row r="43738" customFormat="false" ht="12.8" hidden="false" customHeight="false" outlineLevel="0" collapsed="false">
      <c r="A43738" s="0" t="s">
        <v>15823</v>
      </c>
      <c r="B43738" s="0" t="str">
        <f aca="false">HYPERLINK("https://lindat.mff.cuni.cz/services/teitok/pdtc10/index.php?action=vallex&amp;frame=v-w6033f3_ZU", "shodovat se (v-w6033f3_ZU)")</f>
        <v>shodovat se (v-w6033f3_ZU)</v>
      </c>
      <c r="E43738" s="0" t="str">
        <f aca="false">HYPERLINK("https://lindat.mff.cuni.cz/services/SynSemClass40/SynSemClass40.html?veclass=vec01308#vec01308-ces-cm00011", "vec01308")</f>
        <v>vec01308</v>
      </c>
      <c r="F43738" s="0" t="s">
        <v>14908</v>
      </c>
      <c r="H43738" s="0" t="str">
        <f aca="false">HYPERLINK("https://lindat.mff.cuni.cz/services/SynSemClass40/SynSemClass40.html?veclass=vec01320#vec01320-ces-cm00011", "vec01320")</f>
        <v>vec01320</v>
      </c>
      <c r="I43738" s="0" t="s">
        <v>912</v>
      </c>
    </row>
    <row r="43739" customFormat="false" ht="12.8" hidden="false" customHeight="false" outlineLevel="0" collapsed="false">
      <c r="B43739" s="0" t="s">
        <v>1</v>
      </c>
      <c r="C43739" s="0" t="s">
        <v>14909</v>
      </c>
      <c r="E43739" s="0" t="s">
        <v>2251</v>
      </c>
      <c r="F43739" s="0" t="s">
        <v>14910</v>
      </c>
      <c r="H43739" s="0" t="s">
        <v>155</v>
      </c>
      <c r="I43739" s="0" t="s">
        <v>916</v>
      </c>
    </row>
    <row r="43740" customFormat="false" ht="12.8" hidden="false" customHeight="false" outlineLevel="0" collapsed="false">
      <c r="B43740" s="0" t="s">
        <v>15824</v>
      </c>
      <c r="C43740" s="0" t="s">
        <v>14911</v>
      </c>
      <c r="E43740" s="0" t="s">
        <v>230</v>
      </c>
      <c r="F43740" s="0" t="s">
        <v>14912</v>
      </c>
      <c r="H43740" s="0" t="s">
        <v>922</v>
      </c>
      <c r="I43740" s="0" t="s">
        <v>923</v>
      </c>
    </row>
    <row r="43741" customFormat="false" ht="12.8" hidden="false" customHeight="false" outlineLevel="0" collapsed="false">
      <c r="B43741" s="0" t="s">
        <v>276</v>
      </c>
      <c r="C43741" s="0" t="s">
        <v>14913</v>
      </c>
      <c r="E43741" s="0" t="s">
        <v>2256</v>
      </c>
      <c r="F43741" s="0" t="s">
        <v>14914</v>
      </c>
      <c r="H43741" s="0" t="s">
        <v>221</v>
      </c>
      <c r="I43741" s="0" t="s">
        <v>3501</v>
      </c>
    </row>
    <row r="43743" customFormat="false" ht="12.8" hidden="false" customHeight="false" outlineLevel="0" collapsed="false">
      <c r="A43743" s="0" t="s">
        <v>15823</v>
      </c>
      <c r="B43743" s="0" t="str">
        <f aca="false">HYPERLINK("https://lindat.mff.cuni.cz/services/teitok/pdtc10/index.php?action=vallex&amp;frame=v-w6033f1", "shodovat se (v-w6033f1) - substituted with v-w6033f3_ZU")</f>
        <v>shodovat se (v-w6033f1) - substituted with v-w6033f3_ZU</v>
      </c>
    </row>
    <row r="43744" customFormat="false" ht="12.8" hidden="false" customHeight="false" outlineLevel="0" collapsed="false">
      <c r="B43744" s="0" t="s">
        <v>1</v>
      </c>
    </row>
    <row r="43745" customFormat="false" ht="12.8" hidden="false" customHeight="false" outlineLevel="0" collapsed="false">
      <c r="B43745" s="0" t="s">
        <v>15824</v>
      </c>
    </row>
    <row r="43746" customFormat="false" ht="12.8" hidden="false" customHeight="false" outlineLevel="0" collapsed="false">
      <c r="B43746" s="0" t="s">
        <v>276</v>
      </c>
    </row>
    <row r="43748" customFormat="false" ht="12.8" hidden="false" customHeight="false" outlineLevel="0" collapsed="false">
      <c r="A43748" s="0" t="s">
        <v>15823</v>
      </c>
      <c r="B43748" s="0" t="str">
        <f aca="false">HYPERLINK("https://lindat.mff.cuni.cz/services/teitok/pdtc10/index.php?action=vallex&amp;frame=v-w6033hsa_489", "shodovat se (v-w6033hsa_489) - substituted with v-w6033f3_ZU")</f>
        <v>shodovat se (v-w6033hsa_489) - substituted with v-w6033f3_ZU</v>
      </c>
    </row>
    <row r="43749" customFormat="false" ht="12.8" hidden="false" customHeight="false" outlineLevel="0" collapsed="false">
      <c r="B43749" s="0" t="s">
        <v>1</v>
      </c>
    </row>
    <row r="43750" customFormat="false" ht="12.8" hidden="false" customHeight="false" outlineLevel="0" collapsed="false">
      <c r="B43750" s="0" t="s">
        <v>15824</v>
      </c>
    </row>
    <row r="43751" customFormat="false" ht="12.8" hidden="false" customHeight="false" outlineLevel="0" collapsed="false">
      <c r="B43751" s="0" t="s">
        <v>276</v>
      </c>
    </row>
    <row r="43753" customFormat="false" ht="12.8" hidden="false" customHeight="false" outlineLevel="0" collapsed="false">
      <c r="A43753" s="0" t="s">
        <v>15825</v>
      </c>
      <c r="B43753" s="0" t="str">
        <f aca="false">HYPERLINK("https://lindat.mff.cuni.cz/services/teitok/pdtc10/index.php?action=vallex&amp;frame=v-w6033f2", "shodovat se (v-w6033f2)")</f>
        <v>shodovat se (v-w6033f2)</v>
      </c>
      <c r="E43753" s="0" t="str">
        <f aca="false">HYPERLINK("https://lindat.mff.cuni.cz/services/SynSemClass40/SynSemClass40.html?veclass=vec00120#vec00120-ces-cm00042", "vec00120")</f>
        <v>vec00120</v>
      </c>
      <c r="F43753" s="0" t="s">
        <v>61</v>
      </c>
    </row>
    <row r="43754" customFormat="false" ht="12.8" hidden="false" customHeight="false" outlineLevel="0" collapsed="false">
      <c r="B43754" s="0" t="s">
        <v>1</v>
      </c>
      <c r="C43754" s="0" t="s">
        <v>62</v>
      </c>
      <c r="E43754" s="0" t="s">
        <v>63</v>
      </c>
      <c r="F43754" s="0" t="s">
        <v>64</v>
      </c>
    </row>
    <row r="43755" customFormat="false" ht="12.8" hidden="false" customHeight="false" outlineLevel="0" collapsed="false">
      <c r="B43755" s="0" t="s">
        <v>721</v>
      </c>
      <c r="C43755" s="0" t="s">
        <v>65</v>
      </c>
      <c r="E43755" s="0" t="s">
        <v>14511</v>
      </c>
      <c r="F43755" s="0" t="s">
        <v>14512</v>
      </c>
    </row>
    <row r="43757" customFormat="false" ht="12.8" hidden="false" customHeight="false" outlineLevel="0" collapsed="false">
      <c r="A43757" s="0" t="s">
        <v>15826</v>
      </c>
      <c r="B43757" s="0" t="str">
        <f aca="false">HYPERLINK("https://lindat.mff.cuni.cz/services/teitok/pdtc10/index.php?action=vallex&amp;frame=v-w6034f1", "shořet (v-w6034f1)")</f>
        <v>shořet (v-w6034f1)</v>
      </c>
    </row>
    <row r="43758" customFormat="false" ht="12.8" hidden="false" customHeight="false" outlineLevel="0" collapsed="false">
      <c r="B43758" s="0" t="s">
        <v>1</v>
      </c>
    </row>
    <row r="43760" customFormat="false" ht="12.8" hidden="false" customHeight="false" outlineLevel="0" collapsed="false">
      <c r="A43760" s="0" t="s">
        <v>15827</v>
      </c>
      <c r="B43760" s="0" t="str">
        <f aca="false">HYPERLINK("https://lindat.mff.cuni.cz/services/teitok/pdtc10/index.php?action=vallex&amp;frame=v-w11587_ZUf1_ZU", "shrabat (v-w11587_ZUf1_ZU)")</f>
        <v>shrabat (v-w11587_ZUf1_ZU)</v>
      </c>
    </row>
    <row r="43761" customFormat="false" ht="12.8" hidden="false" customHeight="false" outlineLevel="0" collapsed="false">
      <c r="B43761" s="0" t="s">
        <v>1</v>
      </c>
    </row>
    <row r="43762" customFormat="false" ht="12.8" hidden="false" customHeight="false" outlineLevel="0" collapsed="false">
      <c r="B43762" s="0" t="s">
        <v>8</v>
      </c>
    </row>
    <row r="43763" customFormat="false" ht="12.8" hidden="false" customHeight="false" outlineLevel="0" collapsed="false">
      <c r="B43763" s="0" t="s">
        <v>4553</v>
      </c>
    </row>
    <row r="43765" customFormat="false" ht="12.8" hidden="false" customHeight="false" outlineLevel="0" collapsed="false">
      <c r="A43765" s="0" t="s">
        <v>15828</v>
      </c>
      <c r="B43765" s="0" t="str">
        <f aca="false">HYPERLINK("https://lindat.mff.cuni.cz/services/teitok/pdtc10/index.php?action=vallex&amp;frame=v-w11587_ZUf2_ZU", "shrabat (v-w11587_ZUf2_ZU)")</f>
        <v>shrabat (v-w11587_ZUf2_ZU)</v>
      </c>
      <c r="E43765" s="0" t="str">
        <f aca="false">HYPERLINK("https://lindat.mff.cuni.cz/services/SynSemClass40/SynSemClass40.html?veclass=vec00924#vec00924-ces-cm00013", "vec00924")</f>
        <v>vec00924</v>
      </c>
      <c r="F43765" s="0" t="s">
        <v>8926</v>
      </c>
    </row>
    <row r="43766" customFormat="false" ht="12.8" hidden="false" customHeight="false" outlineLevel="0" collapsed="false">
      <c r="B43766" s="0" t="s">
        <v>1</v>
      </c>
      <c r="C43766" s="0" t="s">
        <v>4695</v>
      </c>
      <c r="E43766" s="0" t="s">
        <v>334</v>
      </c>
      <c r="F43766" s="0" t="s">
        <v>5245</v>
      </c>
    </row>
    <row r="43767" customFormat="false" ht="12.8" hidden="false" customHeight="false" outlineLevel="0" collapsed="false">
      <c r="B43767" s="0" t="s">
        <v>8</v>
      </c>
      <c r="C43767" s="0" t="s">
        <v>798</v>
      </c>
      <c r="E43767" s="0" t="s">
        <v>2648</v>
      </c>
      <c r="F43767" s="0" t="s">
        <v>8927</v>
      </c>
    </row>
    <row r="43769" customFormat="false" ht="12.8" hidden="false" customHeight="false" outlineLevel="0" collapsed="false">
      <c r="A43769" s="0" t="s">
        <v>15829</v>
      </c>
      <c r="B43769" s="0" t="str">
        <f aca="false">HYPERLINK("https://lindat.mff.cuni.cz/services/teitok/pdtc10/index.php?action=vallex&amp;frame=v-w10066f2", "shrabovat (v-w10066f2)")</f>
        <v>shrabovat (v-w10066f2)</v>
      </c>
    </row>
    <row r="43770" customFormat="false" ht="12.8" hidden="false" customHeight="false" outlineLevel="0" collapsed="false">
      <c r="B43770" s="0" t="s">
        <v>1</v>
      </c>
    </row>
    <row r="43771" customFormat="false" ht="12.8" hidden="false" customHeight="false" outlineLevel="0" collapsed="false">
      <c r="B43771" s="0" t="s">
        <v>8</v>
      </c>
    </row>
    <row r="43772" customFormat="false" ht="12.8" hidden="false" customHeight="false" outlineLevel="0" collapsed="false">
      <c r="B43772" s="0" t="s">
        <v>4553</v>
      </c>
    </row>
    <row r="43774" customFormat="false" ht="12.8" hidden="false" customHeight="false" outlineLevel="0" collapsed="false">
      <c r="A43774" s="0" t="s">
        <v>15830</v>
      </c>
      <c r="B43774" s="0" t="str">
        <f aca="false">HYPERLINK("https://lindat.mff.cuni.cz/services/teitok/pdtc10/index.php?action=vallex&amp;frame=v-whsa_153f1_ZU", "shrabávat (v-whsa_153f1_ZU)")</f>
        <v>shrabávat (v-whsa_153f1_ZU)</v>
      </c>
      <c r="E43774" s="0" t="str">
        <f aca="false">HYPERLINK("https://lindat.mff.cuni.cz/services/SynSemClass40/SynSemClass40.html?veclass=vec01411#vec01411-ces-cm00003", "vec01411")</f>
        <v>vec01411</v>
      </c>
      <c r="F43774" s="0" t="s">
        <v>8922</v>
      </c>
    </row>
    <row r="43775" customFormat="false" ht="12.8" hidden="false" customHeight="false" outlineLevel="0" collapsed="false">
      <c r="B43775" s="0" t="s">
        <v>1</v>
      </c>
      <c r="E43775" s="0" t="s">
        <v>107</v>
      </c>
      <c r="F43775" s="0" t="s">
        <v>7327</v>
      </c>
    </row>
    <row r="43776" customFormat="false" ht="12.8" hidden="false" customHeight="false" outlineLevel="0" collapsed="false">
      <c r="B43776" s="0" t="s">
        <v>8</v>
      </c>
      <c r="E43776" s="0" t="s">
        <v>4094</v>
      </c>
      <c r="F43776" s="0" t="s">
        <v>8923</v>
      </c>
    </row>
    <row r="43778" customFormat="false" ht="12.8" hidden="false" customHeight="false" outlineLevel="0" collapsed="false">
      <c r="A43778" s="0" t="s">
        <v>15830</v>
      </c>
      <c r="B43778" s="0" t="str">
        <f aca="false">HYPERLINK("https://lindat.mff.cuni.cz/services/teitok/pdtc10/index.php?action=vallex&amp;frame=v-whsa_153hsa_154", "shrabávat (v-whsa_153hsa_154) - substituted with v-whsa_153f1_ZU")</f>
        <v>shrabávat (v-whsa_153hsa_154) - substituted with v-whsa_153f1_ZU</v>
      </c>
    </row>
    <row r="43779" customFormat="false" ht="12.8" hidden="false" customHeight="false" outlineLevel="0" collapsed="false">
      <c r="B43779" s="0" t="s">
        <v>1</v>
      </c>
    </row>
    <row r="43780" customFormat="false" ht="12.8" hidden="false" customHeight="false" outlineLevel="0" collapsed="false">
      <c r="B43780" s="0" t="s">
        <v>8</v>
      </c>
    </row>
    <row r="43782" customFormat="false" ht="12.8" hidden="false" customHeight="false" outlineLevel="0" collapsed="false">
      <c r="A43782" s="0" t="s">
        <v>15831</v>
      </c>
      <c r="B43782" s="0" t="str">
        <f aca="false">HYPERLINK("https://lindat.mff.cuni.cz/services/teitok/pdtc10/index.php?action=vallex&amp;frame=v-w6035f1", "shrnout (v-w6035f1)")</f>
        <v>shrnout (v-w6035f1)</v>
      </c>
      <c r="E43782" s="0" t="str">
        <f aca="false">HYPERLINK("https://lindat.mff.cuni.cz/services/SynSemClass40/SynSemClass40.html?veclass=vec00709#vec00709-ces-cm00001", "vec00709")</f>
        <v>vec00709</v>
      </c>
      <c r="F43782" s="0" t="s">
        <v>15704</v>
      </c>
    </row>
    <row r="43783" customFormat="false" ht="12.8" hidden="false" customHeight="false" outlineLevel="0" collapsed="false">
      <c r="B43783" s="0" t="s">
        <v>1</v>
      </c>
      <c r="C43783" s="0" t="s">
        <v>15705</v>
      </c>
      <c r="E43783" s="0" t="s">
        <v>63</v>
      </c>
      <c r="F43783" s="0" t="s">
        <v>15706</v>
      </c>
    </row>
    <row r="43784" customFormat="false" ht="12.8" hidden="false" customHeight="false" outlineLevel="0" collapsed="false">
      <c r="B43784" s="0" t="s">
        <v>15832</v>
      </c>
      <c r="C43784" s="0" t="s">
        <v>15707</v>
      </c>
      <c r="E43784" s="0" t="s">
        <v>218</v>
      </c>
      <c r="F43784" s="0" t="s">
        <v>15708</v>
      </c>
    </row>
    <row r="43785" customFormat="false" ht="12.8" hidden="false" customHeight="false" outlineLevel="0" collapsed="false">
      <c r="B43785" s="0" t="s">
        <v>3026</v>
      </c>
      <c r="C43785" s="0" t="s">
        <v>2590</v>
      </c>
      <c r="E43785" s="0" t="s">
        <v>15709</v>
      </c>
      <c r="F43785" s="0" t="s">
        <v>15710</v>
      </c>
    </row>
    <row r="43787" customFormat="false" ht="12.8" hidden="false" customHeight="false" outlineLevel="0" collapsed="false">
      <c r="A43787" s="0" t="s">
        <v>15833</v>
      </c>
      <c r="B43787" s="0" t="str">
        <f aca="false">HYPERLINK("https://lindat.mff.cuni.cz/services/teitok/pdtc10/index.php?action=vallex&amp;frame=v-w6035f2", "shrnout (v-w6035f2)")</f>
        <v>shrnout (v-w6035f2)</v>
      </c>
    </row>
    <row r="43788" customFormat="false" ht="12.8" hidden="false" customHeight="false" outlineLevel="0" collapsed="false">
      <c r="B43788" s="0" t="s">
        <v>1</v>
      </c>
    </row>
    <row r="43789" customFormat="false" ht="12.8" hidden="false" customHeight="false" outlineLevel="0" collapsed="false">
      <c r="B43789" s="0" t="s">
        <v>8</v>
      </c>
    </row>
    <row r="43790" customFormat="false" ht="12.8" hidden="false" customHeight="false" outlineLevel="0" collapsed="false">
      <c r="B43790" s="0" t="s">
        <v>631</v>
      </c>
    </row>
    <row r="43792" customFormat="false" ht="12.8" hidden="false" customHeight="false" outlineLevel="0" collapsed="false">
      <c r="A43792" s="0" t="s">
        <v>15834</v>
      </c>
      <c r="B43792" s="0" t="str">
        <f aca="false">HYPERLINK("https://lindat.mff.cuni.cz/services/teitok/pdtc10/index.php?action=vallex&amp;frame=v-w6036f1", "shrnovat (v-w6036f1)")</f>
        <v>shrnovat (v-w6036f1)</v>
      </c>
      <c r="E43792" s="0" t="str">
        <f aca="false">HYPERLINK("https://lindat.mff.cuni.cz/services/SynSemClass40/SynSemClass40.html?veclass=vec00709#vec00709-ces-cm00006", "vec00709")</f>
        <v>vec00709</v>
      </c>
      <c r="F43792" s="0" t="s">
        <v>15704</v>
      </c>
    </row>
    <row r="43793" customFormat="false" ht="12.8" hidden="false" customHeight="false" outlineLevel="0" collapsed="false">
      <c r="B43793" s="0" t="s">
        <v>1</v>
      </c>
      <c r="C43793" s="0" t="s">
        <v>15705</v>
      </c>
      <c r="E43793" s="0" t="s">
        <v>63</v>
      </c>
      <c r="F43793" s="0" t="s">
        <v>15706</v>
      </c>
    </row>
    <row r="43794" customFormat="false" ht="12.8" hidden="false" customHeight="false" outlineLevel="0" collapsed="false">
      <c r="B43794" s="0" t="s">
        <v>15835</v>
      </c>
      <c r="C43794" s="0" t="s">
        <v>15707</v>
      </c>
      <c r="E43794" s="0" t="s">
        <v>218</v>
      </c>
      <c r="F43794" s="0" t="s">
        <v>15708</v>
      </c>
    </row>
    <row r="43795" customFormat="false" ht="12.8" hidden="false" customHeight="false" outlineLevel="0" collapsed="false">
      <c r="B43795" s="0" t="s">
        <v>3026</v>
      </c>
      <c r="C43795" s="0" t="s">
        <v>2590</v>
      </c>
      <c r="E43795" s="0" t="s">
        <v>15709</v>
      </c>
      <c r="F43795" s="0" t="s">
        <v>15710</v>
      </c>
    </row>
    <row r="43797" customFormat="false" ht="12.8" hidden="false" customHeight="false" outlineLevel="0" collapsed="false">
      <c r="A43797" s="0" t="s">
        <v>15836</v>
      </c>
      <c r="B43797" s="0" t="str">
        <f aca="false">HYPERLINK("https://lindat.mff.cuni.cz/services/teitok/pdtc10/index.php?action=vallex&amp;frame=v-w6036f3", "shrnovat (v-w6036f3)")</f>
        <v>shrnovat (v-w6036f3)</v>
      </c>
    </row>
    <row r="43798" customFormat="false" ht="12.8" hidden="false" customHeight="false" outlineLevel="0" collapsed="false">
      <c r="B43798" s="0" t="s">
        <v>1</v>
      </c>
    </row>
    <row r="43799" customFormat="false" ht="12.8" hidden="false" customHeight="false" outlineLevel="0" collapsed="false">
      <c r="B43799" s="0" t="s">
        <v>8</v>
      </c>
    </row>
    <row r="43800" customFormat="false" ht="12.8" hidden="false" customHeight="false" outlineLevel="0" collapsed="false">
      <c r="B43800" s="0" t="s">
        <v>245</v>
      </c>
    </row>
    <row r="43802" customFormat="false" ht="12.8" hidden="false" customHeight="false" outlineLevel="0" collapsed="false">
      <c r="A43802" s="0" t="s">
        <v>15837</v>
      </c>
      <c r="B43802" s="0" t="str">
        <f aca="false">HYPERLINK("https://lindat.mff.cuni.cz/services/teitok/pdtc10/index.php?action=vallex&amp;frame=v-w6036f2", "shrnovat (v-w6036f2)")</f>
        <v>shrnovat (v-w6036f2)</v>
      </c>
    </row>
    <row r="43803" customFormat="false" ht="12.8" hidden="false" customHeight="false" outlineLevel="0" collapsed="false">
      <c r="B43803" s="0" t="s">
        <v>1</v>
      </c>
    </row>
    <row r="43804" customFormat="false" ht="12.8" hidden="false" customHeight="false" outlineLevel="0" collapsed="false">
      <c r="B43804" s="0" t="s">
        <v>8</v>
      </c>
    </row>
    <row r="43805" customFormat="false" ht="12.8" hidden="false" customHeight="false" outlineLevel="0" collapsed="false">
      <c r="B43805" s="0" t="s">
        <v>631</v>
      </c>
    </row>
    <row r="43807" customFormat="false" ht="12.8" hidden="false" customHeight="false" outlineLevel="0" collapsed="false">
      <c r="A43807" s="0" t="s">
        <v>15838</v>
      </c>
      <c r="B43807" s="0" t="str">
        <f aca="false">HYPERLINK("https://lindat.mff.cuni.cz/services/teitok/pdtc10/index.php?action=vallex&amp;frame=v-w6043f1", "shromažďovat (v-w6043f1)")</f>
        <v>shromažďovat (v-w6043f1)</v>
      </c>
      <c r="E43807" s="0" t="str">
        <f aca="false">HYPERLINK("https://lindat.mff.cuni.cz/services/SynSemClass40/SynSemClass40.html?veclass=vec00443#vec00443-ces-cm00008", "vec00443")</f>
        <v>vec00443</v>
      </c>
      <c r="F43807" s="0" t="s">
        <v>90</v>
      </c>
    </row>
    <row r="43808" customFormat="false" ht="12.8" hidden="false" customHeight="false" outlineLevel="0" collapsed="false">
      <c r="B43808" s="0" t="s">
        <v>1</v>
      </c>
      <c r="C43808" s="0" t="s">
        <v>91</v>
      </c>
      <c r="E43808" s="0" t="s">
        <v>92</v>
      </c>
      <c r="F43808" s="0" t="s">
        <v>93</v>
      </c>
    </row>
    <row r="43809" customFormat="false" ht="12.8" hidden="false" customHeight="false" outlineLevel="0" collapsed="false">
      <c r="B43809" s="0" t="s">
        <v>8</v>
      </c>
      <c r="C43809" s="0" t="s">
        <v>94</v>
      </c>
      <c r="E43809" s="0" t="s">
        <v>95</v>
      </c>
      <c r="F43809" s="0" t="s">
        <v>96</v>
      </c>
    </row>
    <row r="43811" customFormat="false" ht="12.8" hidden="false" customHeight="false" outlineLevel="0" collapsed="false">
      <c r="A43811" s="0" t="s">
        <v>15839</v>
      </c>
      <c r="B43811" s="0" t="str">
        <f aca="false">HYPERLINK("https://lindat.mff.cuni.cz/services/teitok/pdtc10/index.php?action=vallex&amp;frame=v-w6044f1", "shromažďovat se (v-w6044f1)")</f>
        <v>shromažďovat se (v-w6044f1)</v>
      </c>
      <c r="E43811" s="0" t="str">
        <f aca="false">HYPERLINK("https://lindat.mff.cuni.cz/services/SynSemClass40/SynSemClass40.html?veclass=vec00710#vec00710-ces-cm00005", "vec00710")</f>
        <v>vec00710</v>
      </c>
      <c r="F43811" s="0" t="s">
        <v>5499</v>
      </c>
    </row>
    <row r="43812" customFormat="false" ht="12.8" hidden="false" customHeight="false" outlineLevel="0" collapsed="false">
      <c r="B43812" s="0" t="s">
        <v>1</v>
      </c>
      <c r="C43812" s="0" t="s">
        <v>5500</v>
      </c>
      <c r="E43812" s="0" t="s">
        <v>5501</v>
      </c>
      <c r="F43812" s="0" t="s">
        <v>5502</v>
      </c>
    </row>
    <row r="43813" customFormat="false" ht="12.8" hidden="false" customHeight="false" outlineLevel="0" collapsed="false">
      <c r="B43813" s="0" t="s">
        <v>5</v>
      </c>
      <c r="E43813" s="0" t="s">
        <v>3254</v>
      </c>
      <c r="F43813" s="0" t="s">
        <v>3255</v>
      </c>
    </row>
    <row r="43815" customFormat="false" ht="12.8" hidden="false" customHeight="false" outlineLevel="0" collapsed="false">
      <c r="A43815" s="0" t="s">
        <v>15840</v>
      </c>
      <c r="B43815" s="0" t="str">
        <f aca="false">HYPERLINK("https://lindat.mff.cuni.cz/services/teitok/pdtc10/index.php?action=vallex&amp;frame=v-w6040f1", "shromáždit (v-w6040f1)")</f>
        <v>shromáždit (v-w6040f1)</v>
      </c>
      <c r="E43815" s="0" t="str">
        <f aca="false">HYPERLINK("https://lindat.mff.cuni.cz/services/SynSemClass40/SynSemClass40.html?veclass=vec00443#vec00443-ces-cm00007", "vec00443")</f>
        <v>vec00443</v>
      </c>
      <c r="F43815" s="0" t="s">
        <v>90</v>
      </c>
    </row>
    <row r="43816" customFormat="false" ht="12.8" hidden="false" customHeight="false" outlineLevel="0" collapsed="false">
      <c r="B43816" s="0" t="s">
        <v>1</v>
      </c>
      <c r="C43816" s="0" t="s">
        <v>91</v>
      </c>
      <c r="E43816" s="0" t="s">
        <v>92</v>
      </c>
      <c r="F43816" s="0" t="s">
        <v>93</v>
      </c>
    </row>
    <row r="43817" customFormat="false" ht="12.8" hidden="false" customHeight="false" outlineLevel="0" collapsed="false">
      <c r="B43817" s="0" t="s">
        <v>8</v>
      </c>
      <c r="C43817" s="0" t="s">
        <v>94</v>
      </c>
      <c r="E43817" s="0" t="s">
        <v>95</v>
      </c>
      <c r="F43817" s="0" t="s">
        <v>96</v>
      </c>
    </row>
    <row r="43819" customFormat="false" ht="12.8" hidden="false" customHeight="false" outlineLevel="0" collapsed="false">
      <c r="A43819" s="0" t="s">
        <v>15841</v>
      </c>
      <c r="B43819" s="0" t="str">
        <f aca="false">HYPERLINK("https://lindat.mff.cuni.cz/services/teitok/pdtc10/index.php?action=vallex&amp;frame=v-w6041f1", "shromáždit se (v-w6041f1)")</f>
        <v>shromáždit se (v-w6041f1)</v>
      </c>
      <c r="E43819" s="0" t="str">
        <f aca="false">HYPERLINK("https://lindat.mff.cuni.cz/services/SynSemClass40/SynSemClass40.html?veclass=vec00710#vec00710-ces-cm00001", "vec00710")</f>
        <v>vec00710</v>
      </c>
      <c r="F43819" s="0" t="s">
        <v>5499</v>
      </c>
    </row>
    <row r="43820" customFormat="false" ht="12.8" hidden="false" customHeight="false" outlineLevel="0" collapsed="false">
      <c r="B43820" s="0" t="s">
        <v>1</v>
      </c>
      <c r="C43820" s="0" t="s">
        <v>5500</v>
      </c>
      <c r="E43820" s="0" t="s">
        <v>5501</v>
      </c>
      <c r="F43820" s="0" t="s">
        <v>5502</v>
      </c>
    </row>
    <row r="43821" customFormat="false" ht="12.8" hidden="false" customHeight="false" outlineLevel="0" collapsed="false">
      <c r="B43821" s="0" t="s">
        <v>5</v>
      </c>
      <c r="E43821" s="0" t="s">
        <v>3254</v>
      </c>
      <c r="F43821" s="0" t="s">
        <v>3255</v>
      </c>
    </row>
    <row r="43823" customFormat="false" ht="12.8" hidden="false" customHeight="false" outlineLevel="0" collapsed="false">
      <c r="A43823" s="0" t="s">
        <v>15842</v>
      </c>
      <c r="B43823" s="0" t="str">
        <f aca="false">HYPERLINK("https://lindat.mff.cuni.cz/services/teitok/pdtc10/index.php?action=vallex&amp;frame=v-w6041f2", "shromáždit se (v-w6041f2)")</f>
        <v>shromáždit se (v-w6041f2)</v>
      </c>
    </row>
    <row r="43824" customFormat="false" ht="12.8" hidden="false" customHeight="false" outlineLevel="0" collapsed="false">
      <c r="B43824" s="0" t="s">
        <v>1</v>
      </c>
    </row>
    <row r="43825" customFormat="false" ht="12.8" hidden="false" customHeight="false" outlineLevel="0" collapsed="false">
      <c r="B43825" s="0" t="s">
        <v>164</v>
      </c>
    </row>
    <row r="43827" customFormat="false" ht="12.8" hidden="false" customHeight="false" outlineLevel="0" collapsed="false">
      <c r="A43827" s="0" t="s">
        <v>15843</v>
      </c>
      <c r="B43827" s="0" t="str">
        <f aca="false">HYPERLINK("https://lindat.mff.cuni.cz/services/teitok/pdtc10/index.php?action=vallex&amp;frame=v-w10084f2", "shrábnout (v-w10084f2)")</f>
        <v>shrábnout (v-w10084f2)</v>
      </c>
      <c r="E43827" s="0" t="str">
        <f aca="false">HYPERLINK("https://lindat.mff.cuni.cz/services/SynSemClass40/SynSemClass40.html?veclass=vec00708#vec00708-ces-cm00001", "vec00708")</f>
        <v>vec00708</v>
      </c>
      <c r="F43827" s="0" t="s">
        <v>15693</v>
      </c>
    </row>
    <row r="43828" customFormat="false" ht="12.8" hidden="false" customHeight="false" outlineLevel="0" collapsed="false">
      <c r="B43828" s="0" t="s">
        <v>1</v>
      </c>
      <c r="C43828" s="0" t="s">
        <v>333</v>
      </c>
      <c r="E43828" s="0" t="s">
        <v>92</v>
      </c>
      <c r="F43828" s="0" t="s">
        <v>15695</v>
      </c>
    </row>
    <row r="43829" customFormat="false" ht="12.8" hidden="false" customHeight="false" outlineLevel="0" collapsed="false">
      <c r="B43829" s="0" t="s">
        <v>8</v>
      </c>
      <c r="C43829" s="0" t="s">
        <v>1929</v>
      </c>
      <c r="E43829" s="0" t="s">
        <v>95</v>
      </c>
      <c r="F43829" s="0" t="s">
        <v>15696</v>
      </c>
    </row>
    <row r="43830" customFormat="false" ht="12.8" hidden="false" customHeight="false" outlineLevel="0" collapsed="false">
      <c r="B43830" s="0" t="s">
        <v>602</v>
      </c>
      <c r="C43830" s="0" t="s">
        <v>15844</v>
      </c>
      <c r="E43830" s="0" t="s">
        <v>2176</v>
      </c>
      <c r="F43830" s="0" t="s">
        <v>15845</v>
      </c>
    </row>
    <row r="43832" customFormat="false" ht="12.8" hidden="false" customHeight="false" outlineLevel="0" collapsed="false">
      <c r="A43832" s="0" t="s">
        <v>15846</v>
      </c>
      <c r="B43832" s="0" t="str">
        <f aca="false">HYPERLINK("https://lindat.mff.cuni.cz/services/teitok/pdtc10/index.php?action=vallex&amp;frame=v-w6020f2_MM", "shánět (v-w6020f2_MM)")</f>
        <v>shánět (v-w6020f2_MM)</v>
      </c>
    </row>
    <row r="43833" customFormat="false" ht="12.8" hidden="false" customHeight="false" outlineLevel="0" collapsed="false">
      <c r="B43833" s="0" t="s">
        <v>1</v>
      </c>
    </row>
    <row r="43834" customFormat="false" ht="12.8" hidden="false" customHeight="false" outlineLevel="0" collapsed="false">
      <c r="B43834" s="0" t="s">
        <v>305</v>
      </c>
    </row>
    <row r="43836" customFormat="false" ht="12.8" hidden="false" customHeight="false" outlineLevel="0" collapsed="false">
      <c r="A43836" s="0" t="s">
        <v>15846</v>
      </c>
      <c r="B43836" s="0" t="str">
        <f aca="false">HYPERLINK("https://lindat.mff.cuni.cz/services/teitok/pdtc10/index.php?action=vallex&amp;frame=v-w6020f1", "shánět (v-w6020f1) - substituted with v-w6020f2_MM")</f>
        <v>shánět (v-w6020f1) - substituted with v-w6020f2_MM</v>
      </c>
      <c r="E43836" s="0" t="str">
        <f aca="false">HYPERLINK("https://lindat.mff.cuni.cz/services/SynSemClass40/SynSemClass40.html?veclass=vec01290#vec01290-ces-cm00021", "vec01290")</f>
        <v>vec01290</v>
      </c>
      <c r="F43836" s="0" t="s">
        <v>12066</v>
      </c>
    </row>
    <row r="43837" customFormat="false" ht="12.8" hidden="false" customHeight="false" outlineLevel="0" collapsed="false">
      <c r="B43837" s="0" t="s">
        <v>1</v>
      </c>
      <c r="C43837" s="0" t="s">
        <v>14071</v>
      </c>
      <c r="E43837" s="0" t="s">
        <v>1492</v>
      </c>
      <c r="F43837" s="0" t="s">
        <v>12068</v>
      </c>
    </row>
    <row r="43838" customFormat="false" ht="12.8" hidden="false" customHeight="false" outlineLevel="0" collapsed="false">
      <c r="B43838" s="0" t="s">
        <v>305</v>
      </c>
      <c r="C43838" s="0" t="s">
        <v>14072</v>
      </c>
      <c r="E43838" s="0" t="s">
        <v>1495</v>
      </c>
      <c r="F43838" s="0" t="s">
        <v>12071</v>
      </c>
    </row>
    <row r="43840" customFormat="false" ht="12.8" hidden="false" customHeight="false" outlineLevel="0" collapsed="false">
      <c r="A43840" s="0" t="s">
        <v>15847</v>
      </c>
      <c r="B43840" s="0" t="str">
        <f aca="false">HYPERLINK("https://lindat.mff.cuni.cz/services/teitok/pdtc10/index.php?action=vallex&amp;frame=v-w6021f1", "shánět se (v-w6021f1)")</f>
        <v>shánět se (v-w6021f1)</v>
      </c>
    </row>
    <row r="43841" customFormat="false" ht="12.8" hidden="false" customHeight="false" outlineLevel="0" collapsed="false">
      <c r="B43841" s="0" t="s">
        <v>1</v>
      </c>
    </row>
    <row r="43842" customFormat="false" ht="12.8" hidden="false" customHeight="false" outlineLevel="0" collapsed="false">
      <c r="B43842" s="0" t="s">
        <v>1659</v>
      </c>
    </row>
    <row r="43844" customFormat="false" ht="12.8" hidden="false" customHeight="false" outlineLevel="0" collapsed="false">
      <c r="A43844" s="0" t="s">
        <v>15848</v>
      </c>
      <c r="B43844" s="0" t="str">
        <f aca="false">HYPERLINK("https://lindat.mff.cuni.cz/services/teitok/pdtc10/index.php?action=vallex&amp;frame=v-w12250_ZUf1_ZU", "shýbnout se (v-w12250_ZUf1_ZU)")</f>
        <v>shýbnout se (v-w12250_ZUf1_ZU)</v>
      </c>
    </row>
    <row r="43845" customFormat="false" ht="12.8" hidden="false" customHeight="false" outlineLevel="0" collapsed="false">
      <c r="B43845" s="0" t="s">
        <v>1</v>
      </c>
    </row>
    <row r="43846" customFormat="false" ht="12.8" hidden="false" customHeight="false" outlineLevel="0" collapsed="false">
      <c r="B43846" s="0" t="s">
        <v>15849</v>
      </c>
    </row>
    <row r="43848" customFormat="false" ht="12.8" hidden="false" customHeight="false" outlineLevel="0" collapsed="false">
      <c r="A43848" s="0" t="s">
        <v>15850</v>
      </c>
      <c r="B43848" s="0" t="str">
        <f aca="false">HYPERLINK("https://lindat.mff.cuni.cz/services/teitok/pdtc10/index.php?action=vallex&amp;frame=v-w6063f1", "signalizovat (v-w6063f1)")</f>
        <v>signalizovat (v-w6063f1)</v>
      </c>
      <c r="E43848" s="0" t="str">
        <f aca="false">HYPERLINK("https://lindat.mff.cuni.cz/services/SynSemClass40/SynSemClass40.html?veclass=vec00330#vec00330-ces-cm00062", "vec00330")</f>
        <v>vec00330</v>
      </c>
      <c r="F43848" s="0" t="s">
        <v>1896</v>
      </c>
      <c r="H43848" s="0" t="str">
        <f aca="false">HYPERLINK("https://lindat.mff.cuni.cz/services/SynSemClass40/SynSemClass40.html?veclass=vec01234#vec01234-ces-cm00069", "vec01234")</f>
        <v>vec01234</v>
      </c>
      <c r="I43848" s="0" t="s">
        <v>7555</v>
      </c>
    </row>
    <row r="43849" customFormat="false" ht="12.8" hidden="false" customHeight="false" outlineLevel="0" collapsed="false">
      <c r="B43849" s="0" t="s">
        <v>1</v>
      </c>
      <c r="C43849" s="0" t="s">
        <v>15851</v>
      </c>
      <c r="E43849" s="0" t="s">
        <v>11</v>
      </c>
      <c r="F43849" s="0" t="s">
        <v>1898</v>
      </c>
      <c r="H43849" s="0" t="s">
        <v>63</v>
      </c>
      <c r="I43849" s="0" t="s">
        <v>7557</v>
      </c>
    </row>
    <row r="43850" customFormat="false" ht="12.8" hidden="false" customHeight="false" outlineLevel="0" collapsed="false">
      <c r="B43850" s="0" t="s">
        <v>59</v>
      </c>
      <c r="C43850" s="0" t="s">
        <v>15852</v>
      </c>
      <c r="E43850" s="0" t="s">
        <v>180</v>
      </c>
      <c r="F43850" s="0" t="s">
        <v>1901</v>
      </c>
      <c r="H43850" s="0" t="s">
        <v>50</v>
      </c>
      <c r="I43850" s="0" t="s">
        <v>7559</v>
      </c>
    </row>
    <row r="43851" customFormat="false" ht="12.8" hidden="false" customHeight="false" outlineLevel="0" collapsed="false">
      <c r="B43851" s="0" t="s">
        <v>132</v>
      </c>
      <c r="C43851" s="0" t="s">
        <v>15853</v>
      </c>
      <c r="E43851" s="0" t="s">
        <v>221</v>
      </c>
      <c r="F43851" s="0" t="s">
        <v>1903</v>
      </c>
      <c r="H43851" s="0" t="s">
        <v>221</v>
      </c>
      <c r="I43851" s="0" t="s">
        <v>7560</v>
      </c>
    </row>
    <row r="43853" customFormat="false" ht="12.8" hidden="false" customHeight="false" outlineLevel="0" collapsed="false">
      <c r="A43853" s="0" t="s">
        <v>15854</v>
      </c>
      <c r="B43853" s="0" t="str">
        <f aca="false">HYPERLINK("https://lindat.mff.cuni.cz/services/teitok/pdtc10/index.php?action=vallex&amp;frame=v-w6063f3_ZU", "signalizovat (v-w6063f3_ZU)")</f>
        <v>signalizovat (v-w6063f3_ZU)</v>
      </c>
    </row>
    <row r="43854" customFormat="false" ht="12.8" hidden="false" customHeight="false" outlineLevel="0" collapsed="false">
      <c r="B43854" s="0" t="s">
        <v>1</v>
      </c>
    </row>
    <row r="43855" customFormat="false" ht="12.8" hidden="false" customHeight="false" outlineLevel="0" collapsed="false">
      <c r="B43855" s="0" t="s">
        <v>59</v>
      </c>
    </row>
    <row r="43857" customFormat="false" ht="12.8" hidden="false" customHeight="false" outlineLevel="0" collapsed="false">
      <c r="A43857" s="0" t="s">
        <v>15854</v>
      </c>
      <c r="B43857" s="0" t="str">
        <f aca="false">HYPERLINK("https://lindat.mff.cuni.cz/services/teitok/pdtc10/index.php?action=vallex&amp;frame=v-w6063f2", "signalizovat (v-w6063f2) - substituted with v-w6063f3_ZU")</f>
        <v>signalizovat (v-w6063f2) - substituted with v-w6063f3_ZU</v>
      </c>
    </row>
    <row r="43858" customFormat="false" ht="12.8" hidden="false" customHeight="false" outlineLevel="0" collapsed="false">
      <c r="B43858" s="0" t="s">
        <v>1</v>
      </c>
    </row>
    <row r="43859" customFormat="false" ht="12.8" hidden="false" customHeight="false" outlineLevel="0" collapsed="false">
      <c r="B43859" s="0" t="s">
        <v>59</v>
      </c>
    </row>
    <row r="43861" customFormat="false" ht="12.8" hidden="false" customHeight="false" outlineLevel="0" collapsed="false">
      <c r="A43861" s="0" t="s">
        <v>15855</v>
      </c>
      <c r="B43861" s="0" t="str">
        <f aca="false">HYPERLINK("https://lindat.mff.cuni.cz/services/teitok/pdtc10/index.php?action=vallex&amp;frame=v-w6063hsa_200", "signalizovat (v-w6063hsa_200)")</f>
        <v>signalizovat (v-w6063hsa_200)</v>
      </c>
    </row>
    <row r="43862" customFormat="false" ht="12.8" hidden="false" customHeight="false" outlineLevel="0" collapsed="false">
      <c r="B43862" s="0" t="s">
        <v>1</v>
      </c>
    </row>
    <row r="43864" customFormat="false" ht="12.8" hidden="false" customHeight="false" outlineLevel="0" collapsed="false">
      <c r="A43864" s="0" t="s">
        <v>15856</v>
      </c>
      <c r="B43864" s="0" t="str">
        <f aca="false">HYPERLINK("https://lindat.mff.cuni.cz/services/teitok/pdtc10/index.php?action=vallex&amp;frame=v-w6067f1", "signovat (v-w6067f1)")</f>
        <v>signovat (v-w6067f1)</v>
      </c>
    </row>
    <row r="43865" customFormat="false" ht="12.8" hidden="false" customHeight="false" outlineLevel="0" collapsed="false">
      <c r="B43865" s="0" t="s">
        <v>1</v>
      </c>
    </row>
    <row r="43866" customFormat="false" ht="12.8" hidden="false" customHeight="false" outlineLevel="0" collapsed="false">
      <c r="B43866" s="0" t="s">
        <v>8</v>
      </c>
    </row>
    <row r="43868" customFormat="false" ht="12.8" hidden="false" customHeight="false" outlineLevel="0" collapsed="false">
      <c r="A43868" s="0" t="s">
        <v>15857</v>
      </c>
      <c r="B43868" s="0" t="str">
        <f aca="false">HYPERLINK("https://lindat.mff.cuni.cz/services/teitok/pdtc10/index.php?action=vallex&amp;frame=v-w6070f1", "simulovat (v-w6070f1)")</f>
        <v>simulovat (v-w6070f1)</v>
      </c>
      <c r="E43868" s="0" t="str">
        <f aca="false">HYPERLINK("https://lindat.mff.cuni.cz/services/SynSemClass40/SynSemClass40.html?veclass=vec01109#vec01109-ces-cm00001", "vec01109")</f>
        <v>vec01109</v>
      </c>
      <c r="F43868" s="0" t="s">
        <v>5631</v>
      </c>
    </row>
    <row r="43869" customFormat="false" ht="12.8" hidden="false" customHeight="false" outlineLevel="0" collapsed="false">
      <c r="B43869" s="0" t="s">
        <v>1</v>
      </c>
      <c r="C43869" s="0" t="s">
        <v>3288</v>
      </c>
      <c r="E43869" s="0" t="s">
        <v>11</v>
      </c>
      <c r="F43869" s="0" t="s">
        <v>5632</v>
      </c>
    </row>
    <row r="43870" customFormat="false" ht="12.8" hidden="false" customHeight="false" outlineLevel="0" collapsed="false">
      <c r="B43870" s="0" t="s">
        <v>14856</v>
      </c>
      <c r="C43870" s="0" t="s">
        <v>827</v>
      </c>
      <c r="E43870" s="0" t="s">
        <v>5633</v>
      </c>
      <c r="F43870" s="0" t="s">
        <v>5634</v>
      </c>
    </row>
    <row r="43872" customFormat="false" ht="12.8" hidden="false" customHeight="false" outlineLevel="0" collapsed="false">
      <c r="A43872" s="0" t="s">
        <v>15858</v>
      </c>
      <c r="B43872" s="0" t="str">
        <f aca="false">HYPERLINK("https://lindat.mff.cuni.cz/services/teitok/pdtc10/index.php?action=vallex&amp;frame=v-w6075f1", "situovat (v-w6075f1)")</f>
        <v>situovat (v-w6075f1)</v>
      </c>
    </row>
    <row r="43873" customFormat="false" ht="12.8" hidden="false" customHeight="false" outlineLevel="0" collapsed="false">
      <c r="B43873" s="0" t="s">
        <v>1</v>
      </c>
    </row>
    <row r="43874" customFormat="false" ht="12.8" hidden="false" customHeight="false" outlineLevel="0" collapsed="false">
      <c r="B43874" s="0" t="s">
        <v>8</v>
      </c>
    </row>
    <row r="43875" customFormat="false" ht="12.8" hidden="false" customHeight="false" outlineLevel="0" collapsed="false">
      <c r="B43875" s="0" t="s">
        <v>164</v>
      </c>
    </row>
    <row r="43877" customFormat="false" ht="12.8" hidden="false" customHeight="false" outlineLevel="0" collapsed="false">
      <c r="A43877" s="0" t="s">
        <v>15859</v>
      </c>
      <c r="B43877" s="0" t="str">
        <f aca="false">HYPERLINK("https://lindat.mff.cuni.cz/services/teitok/pdtc10/index.php?action=vallex&amp;frame=v-w6078f1", "sjednat (v-w6078f1)")</f>
        <v>sjednat (v-w6078f1)</v>
      </c>
      <c r="E43877" s="0" t="str">
        <f aca="false">HYPERLINK("https://lindat.mff.cuni.cz/services/SynSemClass40/SynSemClass40.html?veclass=vec00162#vec00162-ces-cm00018", "vec00162")</f>
        <v>vec00162</v>
      </c>
      <c r="F43877" s="0" t="s">
        <v>1109</v>
      </c>
    </row>
    <row r="43878" customFormat="false" ht="12.8" hidden="false" customHeight="false" outlineLevel="0" collapsed="false">
      <c r="B43878" s="0" t="s">
        <v>1</v>
      </c>
      <c r="C43878" s="0" t="s">
        <v>2240</v>
      </c>
      <c r="E43878" s="0" t="s">
        <v>2241</v>
      </c>
      <c r="F43878" s="0" t="s">
        <v>2242</v>
      </c>
    </row>
    <row r="43879" customFormat="false" ht="12.8" hidden="false" customHeight="false" outlineLevel="0" collapsed="false">
      <c r="B43879" s="0" t="s">
        <v>15860</v>
      </c>
      <c r="C43879" s="0" t="s">
        <v>2244</v>
      </c>
      <c r="E43879" s="0" t="s">
        <v>209</v>
      </c>
      <c r="F43879" s="0" t="s">
        <v>2245</v>
      </c>
    </row>
    <row r="43880" customFormat="false" ht="12.8" hidden="false" customHeight="false" outlineLevel="0" collapsed="false">
      <c r="B43880" s="0" t="s">
        <v>276</v>
      </c>
      <c r="C43880" s="0" t="s">
        <v>2246</v>
      </c>
      <c r="E43880" s="0" t="s">
        <v>2247</v>
      </c>
      <c r="F43880" s="0" t="s">
        <v>2248</v>
      </c>
    </row>
    <row r="43882" customFormat="false" ht="12.8" hidden="false" customHeight="false" outlineLevel="0" collapsed="false">
      <c r="A43882" s="0" t="s">
        <v>15861</v>
      </c>
      <c r="B43882" s="0" t="str">
        <f aca="false">HYPERLINK("https://lindat.mff.cuni.cz/services/teitok/pdtc10/index.php?action=vallex&amp;frame=v-w6083f1", "sjednocovat (v-w6083f1)")</f>
        <v>sjednocovat (v-w6083f1)</v>
      </c>
    </row>
    <row r="43883" customFormat="false" ht="12.8" hidden="false" customHeight="false" outlineLevel="0" collapsed="false">
      <c r="B43883" s="0" t="s">
        <v>1</v>
      </c>
    </row>
    <row r="43884" customFormat="false" ht="12.8" hidden="false" customHeight="false" outlineLevel="0" collapsed="false">
      <c r="B43884" s="0" t="s">
        <v>8</v>
      </c>
    </row>
    <row r="43885" customFormat="false" ht="12.8" hidden="false" customHeight="false" outlineLevel="0" collapsed="false">
      <c r="B43885" s="0" t="s">
        <v>276</v>
      </c>
    </row>
    <row r="43886" customFormat="false" ht="12.8" hidden="false" customHeight="false" outlineLevel="0" collapsed="false">
      <c r="B43886" s="0" t="s">
        <v>15862</v>
      </c>
    </row>
    <row r="43888" customFormat="false" ht="12.8" hidden="false" customHeight="false" outlineLevel="0" collapsed="false">
      <c r="A43888" s="0" t="s">
        <v>15863</v>
      </c>
      <c r="B43888" s="0" t="str">
        <f aca="false">HYPERLINK("https://lindat.mff.cuni.cz/services/teitok/pdtc10/index.php?action=vallex&amp;frame=v-w6084f2_ZU", "sjednotit (v-w6084f2_ZU)")</f>
        <v>sjednotit (v-w6084f2_ZU)</v>
      </c>
      <c r="E43888" s="0" t="str">
        <f aca="false">HYPERLINK("https://lindat.mff.cuni.cz/services/SynSemClass40/SynSemClass40.html?veclass=vec00723#vec00723-ces-cm00065", "vec00723")</f>
        <v>vec00723</v>
      </c>
      <c r="F43888" s="0" t="s">
        <v>4849</v>
      </c>
    </row>
    <row r="43889" customFormat="false" ht="12.8" hidden="false" customHeight="false" outlineLevel="0" collapsed="false">
      <c r="B43889" s="0" t="s">
        <v>1</v>
      </c>
      <c r="C43889" s="0" t="s">
        <v>106</v>
      </c>
      <c r="E43889" s="0" t="s">
        <v>4850</v>
      </c>
      <c r="F43889" s="0" t="s">
        <v>4851</v>
      </c>
    </row>
    <row r="43890" customFormat="false" ht="12.8" hidden="false" customHeight="false" outlineLevel="0" collapsed="false">
      <c r="B43890" s="0" t="s">
        <v>8</v>
      </c>
      <c r="C43890" s="0" t="s">
        <v>1388</v>
      </c>
      <c r="E43890" s="0" t="s">
        <v>4852</v>
      </c>
      <c r="F43890" s="0" t="s">
        <v>4853</v>
      </c>
    </row>
    <row r="43891" customFormat="false" ht="12.8" hidden="false" customHeight="false" outlineLevel="0" collapsed="false">
      <c r="B43891" s="0" t="s">
        <v>276</v>
      </c>
      <c r="C43891" s="0" t="s">
        <v>4854</v>
      </c>
      <c r="E43891" s="0" t="s">
        <v>4855</v>
      </c>
      <c r="F43891" s="0" t="s">
        <v>4856</v>
      </c>
    </row>
    <row r="43892" customFormat="false" ht="12.8" hidden="false" customHeight="false" outlineLevel="0" collapsed="false">
      <c r="B43892" s="0" t="s">
        <v>15862</v>
      </c>
      <c r="C43892" s="0" t="s">
        <v>4857</v>
      </c>
      <c r="E43892" s="0" t="s">
        <v>4858</v>
      </c>
      <c r="F43892" s="0" t="s">
        <v>4859</v>
      </c>
    </row>
    <row r="43893" customFormat="false" ht="12.8" hidden="false" customHeight="false" outlineLevel="0" collapsed="false">
      <c r="B43893" s="0" t="s">
        <v>36</v>
      </c>
    </row>
    <row r="43895" customFormat="false" ht="12.8" hidden="false" customHeight="false" outlineLevel="0" collapsed="false">
      <c r="A43895" s="0" t="s">
        <v>15863</v>
      </c>
      <c r="B43895" s="0" t="str">
        <f aca="false">HYPERLINK("https://lindat.mff.cuni.cz/services/teitok/pdtc10/index.php?action=vallex&amp;frame=v-w6084f1", "sjednotit (v-w6084f1) - substituted with v-w6084f2_ZU")</f>
        <v>sjednotit (v-w6084f1) - substituted with v-w6084f2_ZU</v>
      </c>
    </row>
    <row r="43896" customFormat="false" ht="12.8" hidden="false" customHeight="false" outlineLevel="0" collapsed="false">
      <c r="B43896" s="0" t="s">
        <v>1</v>
      </c>
    </row>
    <row r="43897" customFormat="false" ht="12.8" hidden="false" customHeight="false" outlineLevel="0" collapsed="false">
      <c r="B43897" s="0" t="s">
        <v>8</v>
      </c>
    </row>
    <row r="43898" customFormat="false" ht="12.8" hidden="false" customHeight="false" outlineLevel="0" collapsed="false">
      <c r="B43898" s="0" t="s">
        <v>276</v>
      </c>
    </row>
    <row r="43899" customFormat="false" ht="12.8" hidden="false" customHeight="false" outlineLevel="0" collapsed="false">
      <c r="B43899" s="0" t="s">
        <v>15862</v>
      </c>
    </row>
    <row r="43900" customFormat="false" ht="12.8" hidden="false" customHeight="false" outlineLevel="0" collapsed="false">
      <c r="B43900" s="0" t="s">
        <v>36</v>
      </c>
    </row>
    <row r="43902" customFormat="false" ht="12.8" hidden="false" customHeight="false" outlineLevel="0" collapsed="false">
      <c r="A43902" s="0" t="s">
        <v>15864</v>
      </c>
      <c r="B43902" s="0" t="str">
        <f aca="false">HYPERLINK("https://lindat.mff.cuni.cz/services/teitok/pdtc10/index.php?action=vallex&amp;frame=v-w6085f1", "sjednotit se (v-w6085f1)")</f>
        <v>sjednotit se (v-w6085f1)</v>
      </c>
      <c r="E43902" s="0" t="str">
        <f aca="false">HYPERLINK("https://lindat.mff.cuni.cz/services/SynSemClass40/SynSemClass40.html?veclass=vec00318#vec00318-ces-cm00016", "vec00318")</f>
        <v>vec00318</v>
      </c>
      <c r="F43902" s="0" t="s">
        <v>3218</v>
      </c>
    </row>
    <row r="43903" customFormat="false" ht="12.8" hidden="false" customHeight="false" outlineLevel="0" collapsed="false">
      <c r="B43903" s="0" t="s">
        <v>1</v>
      </c>
      <c r="C43903" s="0" t="s">
        <v>3219</v>
      </c>
      <c r="E43903" s="0" t="s">
        <v>2241</v>
      </c>
      <c r="F43903" s="0" t="s">
        <v>3220</v>
      </c>
    </row>
    <row r="43904" customFormat="false" ht="12.8" hidden="false" customHeight="false" outlineLevel="0" collapsed="false">
      <c r="B43904" s="0" t="s">
        <v>721</v>
      </c>
      <c r="C43904" s="0" t="s">
        <v>3221</v>
      </c>
      <c r="E43904" s="0" t="s">
        <v>2665</v>
      </c>
      <c r="F43904" s="0" t="s">
        <v>3222</v>
      </c>
    </row>
    <row r="43905" customFormat="false" ht="12.8" hidden="false" customHeight="false" outlineLevel="0" collapsed="false">
      <c r="B43905" s="0" t="s">
        <v>3026</v>
      </c>
      <c r="C43905" s="0" t="s">
        <v>11056</v>
      </c>
      <c r="E43905" s="0" t="s">
        <v>4858</v>
      </c>
      <c r="F43905" s="0" t="s">
        <v>11057</v>
      </c>
    </row>
    <row r="43907" customFormat="false" ht="12.8" hidden="false" customHeight="false" outlineLevel="0" collapsed="false">
      <c r="A43907" s="0" t="s">
        <v>15865</v>
      </c>
      <c r="B43907" s="0" t="str">
        <f aca="false">HYPERLINK("https://lindat.mff.cuni.cz/services/teitok/pdtc10/index.php?action=vallex&amp;frame=v-w6080f1", "sjednávat (v-w6080f1)")</f>
        <v>sjednávat (v-w6080f1)</v>
      </c>
      <c r="E43907" s="0" t="str">
        <f aca="false">HYPERLINK("https://lindat.mff.cuni.cz/services/SynSemClass40/SynSemClass40.html?veclass=vec00162#vec00162-ces-cm00019", "vec00162")</f>
        <v>vec00162</v>
      </c>
      <c r="F43907" s="0" t="s">
        <v>1109</v>
      </c>
    </row>
    <row r="43908" customFormat="false" ht="12.8" hidden="false" customHeight="false" outlineLevel="0" collapsed="false">
      <c r="B43908" s="0" t="s">
        <v>1</v>
      </c>
      <c r="C43908" s="0" t="s">
        <v>2240</v>
      </c>
      <c r="E43908" s="0" t="s">
        <v>2241</v>
      </c>
      <c r="F43908" s="0" t="s">
        <v>2242</v>
      </c>
    </row>
    <row r="43909" customFormat="false" ht="12.8" hidden="false" customHeight="false" outlineLevel="0" collapsed="false">
      <c r="B43909" s="0" t="s">
        <v>15860</v>
      </c>
      <c r="C43909" s="0" t="s">
        <v>2244</v>
      </c>
      <c r="E43909" s="0" t="s">
        <v>209</v>
      </c>
      <c r="F43909" s="0" t="s">
        <v>2245</v>
      </c>
    </row>
    <row r="43910" customFormat="false" ht="12.8" hidden="false" customHeight="false" outlineLevel="0" collapsed="false">
      <c r="B43910" s="0" t="s">
        <v>276</v>
      </c>
      <c r="C43910" s="0" t="s">
        <v>2246</v>
      </c>
      <c r="E43910" s="0" t="s">
        <v>2247</v>
      </c>
      <c r="F43910" s="0" t="s">
        <v>2248</v>
      </c>
    </row>
    <row r="43912" customFormat="false" ht="12.8" hidden="false" customHeight="false" outlineLevel="0" collapsed="false">
      <c r="A43912" s="0" t="s">
        <v>15866</v>
      </c>
      <c r="B43912" s="0" t="str">
        <f aca="false">HYPERLINK("https://lindat.mff.cuni.cz/services/teitok/pdtc10/index.php?action=vallex&amp;frame=v-w6080f2", "sjednávat (v-w6080f2)")</f>
        <v>sjednávat (v-w6080f2)</v>
      </c>
    </row>
    <row r="43913" customFormat="false" ht="12.8" hidden="false" customHeight="false" outlineLevel="0" collapsed="false">
      <c r="B43913" s="0" t="s">
        <v>1</v>
      </c>
    </row>
    <row r="43914" customFormat="false" ht="12.8" hidden="false" customHeight="false" outlineLevel="0" collapsed="false">
      <c r="B43914" s="0" t="s">
        <v>15867</v>
      </c>
    </row>
    <row r="43916" customFormat="false" ht="12.8" hidden="false" customHeight="false" outlineLevel="0" collapsed="false">
      <c r="A43916" s="0" t="s">
        <v>15868</v>
      </c>
      <c r="B43916" s="0" t="str">
        <f aca="false">HYPERLINK("https://lindat.mff.cuni.cz/services/teitok/pdtc10/index.php?action=vallex&amp;frame=v-w6086f1", "sjet (v-w6086f1)")</f>
        <v>sjet (v-w6086f1)</v>
      </c>
    </row>
    <row r="43917" customFormat="false" ht="12.8" hidden="false" customHeight="false" outlineLevel="0" collapsed="false">
      <c r="B43917" s="0" t="s">
        <v>1</v>
      </c>
    </row>
    <row r="43918" customFormat="false" ht="12.8" hidden="false" customHeight="false" outlineLevel="0" collapsed="false">
      <c r="B43918" s="0" t="s">
        <v>631</v>
      </c>
    </row>
    <row r="43920" customFormat="false" ht="12.8" hidden="false" customHeight="false" outlineLevel="0" collapsed="false">
      <c r="A43920" s="0" t="s">
        <v>15869</v>
      </c>
      <c r="B43920" s="0" t="str">
        <f aca="false">HYPERLINK("https://lindat.mff.cuni.cz/services/teitok/pdtc10/index.php?action=vallex&amp;frame=v-w6086f3_ZU", "sjet (v-w6086f3_ZU)")</f>
        <v>sjet (v-w6086f3_ZU)</v>
      </c>
    </row>
    <row r="43921" customFormat="false" ht="12.8" hidden="false" customHeight="false" outlineLevel="0" collapsed="false">
      <c r="B43921" s="0" t="s">
        <v>1</v>
      </c>
    </row>
    <row r="43922" customFormat="false" ht="12.8" hidden="false" customHeight="false" outlineLevel="0" collapsed="false">
      <c r="B43922" s="0" t="s">
        <v>164</v>
      </c>
    </row>
    <row r="43924" customFormat="false" ht="12.8" hidden="false" customHeight="false" outlineLevel="0" collapsed="false">
      <c r="A43924" s="0" t="s">
        <v>15869</v>
      </c>
      <c r="B43924" s="0" t="str">
        <f aca="false">HYPERLINK("https://lindat.mff.cuni.cz/services/teitok/pdtc10/index.php?action=vallex&amp;frame=v-w6086f2_ZU", "sjet (v-w6086f2_ZU) - substituted with v-w6086f3_ZU")</f>
        <v>sjet (v-w6086f2_ZU) - substituted with v-w6086f3_ZU</v>
      </c>
    </row>
    <row r="43925" customFormat="false" ht="12.8" hidden="false" customHeight="false" outlineLevel="0" collapsed="false">
      <c r="B43925" s="0" t="s">
        <v>1</v>
      </c>
    </row>
    <row r="43926" customFormat="false" ht="12.8" hidden="false" customHeight="false" outlineLevel="0" collapsed="false">
      <c r="B43926" s="0" t="s">
        <v>164</v>
      </c>
    </row>
    <row r="43928" customFormat="false" ht="12.8" hidden="false" customHeight="false" outlineLevel="0" collapsed="false">
      <c r="A43928" s="0" t="s">
        <v>15869</v>
      </c>
      <c r="B43928" s="0" t="str">
        <f aca="false">HYPERLINK("https://lindat.mff.cuni.cz/services/teitok/pdtc10/index.php?action=vallex&amp;frame=v-w6086hsa_1156", "sjet (v-w6086hsa_1156) - substituted with v-w6086f3_ZU")</f>
        <v>sjet (v-w6086hsa_1156) - substituted with v-w6086f3_ZU</v>
      </c>
    </row>
    <row r="43929" customFormat="false" ht="12.8" hidden="false" customHeight="false" outlineLevel="0" collapsed="false">
      <c r="B43929" s="0" t="s">
        <v>1</v>
      </c>
    </row>
    <row r="43930" customFormat="false" ht="12.8" hidden="false" customHeight="false" outlineLevel="0" collapsed="false">
      <c r="B43930" s="0" t="s">
        <v>164</v>
      </c>
    </row>
    <row r="43932" customFormat="false" ht="12.8" hidden="false" customHeight="false" outlineLevel="0" collapsed="false">
      <c r="A43932" s="0" t="s">
        <v>15870</v>
      </c>
      <c r="B43932" s="0" t="str">
        <f aca="false">HYPERLINK("https://lindat.mff.cuni.cz/services/teitok/pdtc10/index.php?action=vallex&amp;frame=v-w6086hsa_1155", "sjet (v-w6086hsa_1155)")</f>
        <v>sjet (v-w6086hsa_1155)</v>
      </c>
    </row>
    <row r="43933" customFormat="false" ht="12.8" hidden="false" customHeight="false" outlineLevel="0" collapsed="false">
      <c r="B43933" s="0" t="s">
        <v>1</v>
      </c>
    </row>
    <row r="43934" customFormat="false" ht="12.8" hidden="false" customHeight="false" outlineLevel="0" collapsed="false">
      <c r="B43934" s="0" t="s">
        <v>8</v>
      </c>
    </row>
    <row r="43936" customFormat="false" ht="12.8" hidden="false" customHeight="false" outlineLevel="0" collapsed="false">
      <c r="A43936" s="0" t="s">
        <v>15871</v>
      </c>
      <c r="B43936" s="0" t="str">
        <f aca="false">HYPERLINK("https://lindat.mff.cuni.cz/services/teitok/pdtc10/index.php?action=vallex&amp;frame=v-w6086hsa_1157", "sjet (v-w6086hsa_1157)")</f>
        <v>sjet (v-w6086hsa_1157)</v>
      </c>
    </row>
    <row r="43937" customFormat="false" ht="12.8" hidden="false" customHeight="false" outlineLevel="0" collapsed="false">
      <c r="B43937" s="0" t="s">
        <v>1</v>
      </c>
    </row>
    <row r="43938" customFormat="false" ht="12.8" hidden="false" customHeight="false" outlineLevel="0" collapsed="false">
      <c r="B43938" s="0" t="s">
        <v>631</v>
      </c>
    </row>
    <row r="43940" customFormat="false" ht="12.8" hidden="false" customHeight="false" outlineLevel="0" collapsed="false">
      <c r="A43940" s="0" t="s">
        <v>15872</v>
      </c>
      <c r="B43940" s="0" t="str">
        <f aca="false">HYPERLINK("https://lindat.mff.cuni.cz/services/teitok/pdtc10/index.php?action=vallex&amp;frame=v-w6087f2", "sjet se (v-w6087f2)")</f>
        <v>sjet se (v-w6087f2)</v>
      </c>
    </row>
    <row r="43941" customFormat="false" ht="12.8" hidden="false" customHeight="false" outlineLevel="0" collapsed="false">
      <c r="B43941" s="0" t="s">
        <v>1</v>
      </c>
    </row>
    <row r="43942" customFormat="false" ht="12.8" hidden="false" customHeight="false" outlineLevel="0" collapsed="false">
      <c r="B43942" s="0" t="s">
        <v>5</v>
      </c>
    </row>
    <row r="43944" customFormat="false" ht="12.8" hidden="false" customHeight="false" outlineLevel="0" collapsed="false">
      <c r="A43944" s="0" t="s">
        <v>15873</v>
      </c>
      <c r="B43944" s="0" t="str">
        <f aca="false">HYPERLINK("https://lindat.mff.cuni.cz/services/teitok/pdtc10/index.php?action=vallex&amp;frame=v-w6087f1", "sjet se (v-w6087f1)")</f>
        <v>sjet se (v-w6087f1)</v>
      </c>
    </row>
    <row r="43945" customFormat="false" ht="12.8" hidden="false" customHeight="false" outlineLevel="0" collapsed="false">
      <c r="B43945" s="0" t="s">
        <v>1</v>
      </c>
    </row>
    <row r="43946" customFormat="false" ht="12.8" hidden="false" customHeight="false" outlineLevel="0" collapsed="false">
      <c r="B43946" s="0" t="s">
        <v>164</v>
      </c>
    </row>
    <row r="43948" customFormat="false" ht="12.8" hidden="false" customHeight="false" outlineLevel="0" collapsed="false">
      <c r="A43948" s="0" t="s">
        <v>15874</v>
      </c>
      <c r="B43948" s="0" t="str">
        <f aca="false">HYPERLINK("https://lindat.mff.cuni.cz/services/teitok/pdtc10/index.php?action=vallex&amp;frame=v-w6089f1", "sjezdit (v-w6089f1)")</f>
        <v>sjezdit (v-w6089f1)</v>
      </c>
    </row>
    <row r="43949" customFormat="false" ht="12.8" hidden="false" customHeight="false" outlineLevel="0" collapsed="false">
      <c r="B43949" s="0" t="s">
        <v>1</v>
      </c>
    </row>
    <row r="43950" customFormat="false" ht="12.8" hidden="false" customHeight="false" outlineLevel="0" collapsed="false">
      <c r="B43950" s="0" t="s">
        <v>8</v>
      </c>
    </row>
    <row r="43952" customFormat="false" ht="12.8" hidden="false" customHeight="false" outlineLevel="0" collapsed="false">
      <c r="A43952" s="0" t="s">
        <v>15875</v>
      </c>
      <c r="B43952" s="0" t="str">
        <f aca="false">HYPERLINK("https://lindat.mff.cuni.cz/services/teitok/pdtc10/index.php?action=vallex&amp;frame=v-whsa_871hsa_872", "sjezdovat (v-whsa_871hsa_872)")</f>
        <v>sjezdovat (v-whsa_871hsa_872)</v>
      </c>
    </row>
    <row r="43953" customFormat="false" ht="12.8" hidden="false" customHeight="false" outlineLevel="0" collapsed="false">
      <c r="B43953" s="0" t="s">
        <v>1</v>
      </c>
    </row>
    <row r="43955" customFormat="false" ht="12.8" hidden="false" customHeight="false" outlineLevel="0" collapsed="false">
      <c r="A43955" s="0" t="s">
        <v>15876</v>
      </c>
      <c r="B43955" s="0" t="str">
        <f aca="false">HYPERLINK("https://lindat.mff.cuni.cz/services/teitok/pdtc10/index.php?action=vallex&amp;frame=v-w6090f1", "sjíždět (v-w6090f1)")</f>
        <v>sjíždět (v-w6090f1)</v>
      </c>
    </row>
    <row r="43956" customFormat="false" ht="12.8" hidden="false" customHeight="false" outlineLevel="0" collapsed="false">
      <c r="B43956" s="0" t="s">
        <v>1</v>
      </c>
    </row>
    <row r="43957" customFormat="false" ht="12.8" hidden="false" customHeight="false" outlineLevel="0" collapsed="false">
      <c r="B43957" s="0" t="s">
        <v>631</v>
      </c>
    </row>
    <row r="43959" customFormat="false" ht="12.8" hidden="false" customHeight="false" outlineLevel="0" collapsed="false">
      <c r="A43959" s="0" t="s">
        <v>15877</v>
      </c>
      <c r="B43959" s="0" t="str">
        <f aca="false">HYPERLINK("https://lindat.mff.cuni.cz/services/teitok/pdtc10/index.php?action=vallex&amp;frame=v-w6090hsa_10", "sjíždět (v-w6090hsa_10)")</f>
        <v>sjíždět (v-w6090hsa_10)</v>
      </c>
    </row>
    <row r="43960" customFormat="false" ht="12.8" hidden="false" customHeight="false" outlineLevel="0" collapsed="false">
      <c r="B43960" s="0" t="s">
        <v>1</v>
      </c>
    </row>
    <row r="43961" customFormat="false" ht="12.8" hidden="false" customHeight="false" outlineLevel="0" collapsed="false">
      <c r="B43961" s="0" t="s">
        <v>8</v>
      </c>
    </row>
    <row r="43963" customFormat="false" ht="12.8" hidden="false" customHeight="false" outlineLevel="0" collapsed="false">
      <c r="A43963" s="0" t="s">
        <v>15878</v>
      </c>
      <c r="B43963" s="0" t="str">
        <f aca="false">HYPERLINK("https://lindat.mff.cuni.cz/services/teitok/pdtc10/index.php?action=vallex&amp;frame=v-w6091f1", "sjíždět se (v-w6091f1)")</f>
        <v>sjíždět se (v-w6091f1)</v>
      </c>
    </row>
    <row r="43964" customFormat="false" ht="12.8" hidden="false" customHeight="false" outlineLevel="0" collapsed="false">
      <c r="B43964" s="0" t="s">
        <v>1</v>
      </c>
    </row>
    <row r="43965" customFormat="false" ht="12.8" hidden="false" customHeight="false" outlineLevel="0" collapsed="false">
      <c r="B43965" s="0" t="s">
        <v>164</v>
      </c>
    </row>
    <row r="43967" customFormat="false" ht="12.8" hidden="false" customHeight="false" outlineLevel="0" collapsed="false">
      <c r="A43967" s="0" t="s">
        <v>15879</v>
      </c>
      <c r="B43967" s="0" t="str">
        <f aca="false">HYPERLINK("https://lindat.mff.cuni.cz/services/teitok/pdtc10/index.php?action=vallex&amp;frame=v-w6091f2", "sjíždět se (v-w6091f2)")</f>
        <v>sjíždět se (v-w6091f2)</v>
      </c>
    </row>
    <row r="43968" customFormat="false" ht="12.8" hidden="false" customHeight="false" outlineLevel="0" collapsed="false">
      <c r="B43968" s="0" t="s">
        <v>1</v>
      </c>
    </row>
    <row r="43970" customFormat="false" ht="12.8" hidden="false" customHeight="false" outlineLevel="0" collapsed="false">
      <c r="A43970" s="0" t="s">
        <v>15880</v>
      </c>
      <c r="B43970" s="0" t="str">
        <f aca="false">HYPERLINK("https://lindat.mff.cuni.cz/services/teitok/pdtc10/index.php?action=vallex&amp;frame=v-w6091hsa_2026", "sjíždět se (v-w6091hsa_2026)")</f>
        <v>sjíždět se (v-w6091hsa_2026)</v>
      </c>
    </row>
    <row r="43971" customFormat="false" ht="12.8" hidden="false" customHeight="false" outlineLevel="0" collapsed="false">
      <c r="B43971" s="0" t="s">
        <v>1</v>
      </c>
    </row>
    <row r="43972" customFormat="false" ht="12.8" hidden="false" customHeight="false" outlineLevel="0" collapsed="false">
      <c r="B43972" s="0" t="s">
        <v>5</v>
      </c>
    </row>
    <row r="43974" customFormat="false" ht="12.8" hidden="false" customHeight="false" outlineLevel="0" collapsed="false">
      <c r="A43974" s="0" t="s">
        <v>15881</v>
      </c>
      <c r="B43974" s="0" t="str">
        <f aca="false">HYPERLINK("https://lindat.mff.cuni.cz/services/teitok/pdtc10/index.php?action=vallex&amp;frame=v-whsa_1217hsa_1218", "skamarádit se (v-whsa_1217hsa_1218)")</f>
        <v>skamarádit se (v-whsa_1217hsa_1218)</v>
      </c>
    </row>
    <row r="43975" customFormat="false" ht="12.8" hidden="false" customHeight="false" outlineLevel="0" collapsed="false">
      <c r="B43975" s="0" t="s">
        <v>1</v>
      </c>
    </row>
    <row r="43976" customFormat="false" ht="12.8" hidden="false" customHeight="false" outlineLevel="0" collapsed="false">
      <c r="B43976" s="0" t="s">
        <v>721</v>
      </c>
    </row>
    <row r="43978" customFormat="false" ht="12.8" hidden="false" customHeight="false" outlineLevel="0" collapsed="false">
      <c r="A43978" s="0" t="s">
        <v>15882</v>
      </c>
      <c r="B43978" s="0" t="str">
        <f aca="false">HYPERLINK("https://lindat.mff.cuni.cz/services/teitok/pdtc10/index.php?action=vallex&amp;frame=v-w6093f1", "skandalizovat (v-w6093f1)")</f>
        <v>skandalizovat (v-w6093f1)</v>
      </c>
    </row>
    <row r="43979" customFormat="false" ht="12.8" hidden="false" customHeight="false" outlineLevel="0" collapsed="false">
      <c r="B43979" s="0" t="s">
        <v>1</v>
      </c>
    </row>
    <row r="43980" customFormat="false" ht="12.8" hidden="false" customHeight="false" outlineLevel="0" collapsed="false">
      <c r="B43980" s="0" t="s">
        <v>8</v>
      </c>
    </row>
    <row r="43982" customFormat="false" ht="12.8" hidden="false" customHeight="false" outlineLevel="0" collapsed="false">
      <c r="A43982" s="0" t="s">
        <v>15883</v>
      </c>
      <c r="B43982" s="0" t="str">
        <f aca="false">HYPERLINK("https://lindat.mff.cuni.cz/services/teitok/pdtc10/index.php?action=vallex&amp;frame=v-w6095hsa_630", "skandovat (v-w6095hsa_630)")</f>
        <v>skandovat (v-w6095hsa_630)</v>
      </c>
      <c r="E43982" s="0" t="str">
        <f aca="false">HYPERLINK("https://lindat.mff.cuni.cz/services/SynSemClass40/SynSemClass40.html?veclass=vec01114#vec01114-ces-cm00001", "vec01114")</f>
        <v>vec01114</v>
      </c>
      <c r="F43982" s="0" t="s">
        <v>12844</v>
      </c>
    </row>
    <row r="43983" customFormat="false" ht="12.8" hidden="false" customHeight="false" outlineLevel="0" collapsed="false">
      <c r="B43983" s="0" t="s">
        <v>1</v>
      </c>
      <c r="C43983" s="0" t="s">
        <v>239</v>
      </c>
      <c r="E43983" s="0" t="s">
        <v>147</v>
      </c>
      <c r="F43983" s="0" t="s">
        <v>12845</v>
      </c>
    </row>
    <row r="43984" customFormat="false" ht="12.8" hidden="false" customHeight="false" outlineLevel="0" collapsed="false">
      <c r="B43984" s="0" t="s">
        <v>508</v>
      </c>
      <c r="C43984" s="0" t="s">
        <v>5391</v>
      </c>
      <c r="E43984" s="0" t="s">
        <v>12846</v>
      </c>
      <c r="F43984" s="0" t="s">
        <v>12847</v>
      </c>
    </row>
    <row r="43986" customFormat="false" ht="12.8" hidden="false" customHeight="false" outlineLevel="0" collapsed="false">
      <c r="A43986" s="0" t="s">
        <v>15883</v>
      </c>
      <c r="B43986" s="0" t="str">
        <f aca="false">HYPERLINK("https://lindat.mff.cuni.cz/services/teitok/pdtc10/index.php?action=vallex&amp;frame=v-w6095f1", "skandovat (v-w6095f1) - substituted with v-w6095hsa_630")</f>
        <v>skandovat (v-w6095f1) - substituted with v-w6095hsa_630</v>
      </c>
    </row>
    <row r="43987" customFormat="false" ht="12.8" hidden="false" customHeight="false" outlineLevel="0" collapsed="false">
      <c r="B43987" s="0" t="s">
        <v>1</v>
      </c>
    </row>
    <row r="43988" customFormat="false" ht="12.8" hidden="false" customHeight="false" outlineLevel="0" collapsed="false">
      <c r="B43988" s="0" t="s">
        <v>508</v>
      </c>
    </row>
    <row r="43990" customFormat="false" ht="12.8" hidden="false" customHeight="false" outlineLevel="0" collapsed="false">
      <c r="A43990" s="0" t="s">
        <v>15884</v>
      </c>
      <c r="B43990" s="0" t="str">
        <f aca="false">HYPERLINK("https://lindat.mff.cuni.cz/services/teitok/pdtc10/index.php?action=vallex&amp;frame=v-w6098f1", "skartovat (v-w6098f1)")</f>
        <v>skartovat (v-w6098f1)</v>
      </c>
      <c r="E43990" s="0" t="str">
        <f aca="false">HYPERLINK("https://lindat.mff.cuni.cz/services/SynSemClass40/SynSemClass40.html?veclass=vec00389#vec00389-ces-cm00048", "vec00389")</f>
        <v>vec00389</v>
      </c>
      <c r="F43990" s="0" t="s">
        <v>1888</v>
      </c>
    </row>
    <row r="43991" customFormat="false" ht="12.8" hidden="false" customHeight="false" outlineLevel="0" collapsed="false">
      <c r="B43991" s="0" t="s">
        <v>1</v>
      </c>
      <c r="C43991" s="0" t="s">
        <v>1889</v>
      </c>
      <c r="E43991" s="0" t="s">
        <v>1890</v>
      </c>
      <c r="F43991" s="0" t="s">
        <v>1891</v>
      </c>
    </row>
    <row r="43992" customFormat="false" ht="12.8" hidden="false" customHeight="false" outlineLevel="0" collapsed="false">
      <c r="B43992" s="0" t="s">
        <v>8</v>
      </c>
      <c r="C43992" s="0" t="s">
        <v>1892</v>
      </c>
      <c r="E43992" s="0" t="s">
        <v>1893</v>
      </c>
      <c r="F43992" s="0" t="s">
        <v>1894</v>
      </c>
    </row>
    <row r="43994" customFormat="false" ht="12.8" hidden="false" customHeight="false" outlineLevel="0" collapsed="false">
      <c r="A43994" s="0" t="s">
        <v>15885</v>
      </c>
      <c r="B43994" s="0" t="str">
        <f aca="false">HYPERLINK("https://lindat.mff.cuni.cz/services/teitok/pdtc10/index.php?action=vallex&amp;frame=v-whsa_494hsa_495", "skautovat (v-whsa_494hsa_495)")</f>
        <v>skautovat (v-whsa_494hsa_495)</v>
      </c>
    </row>
    <row r="43995" customFormat="false" ht="12.8" hidden="false" customHeight="false" outlineLevel="0" collapsed="false">
      <c r="B43995" s="0" t="s">
        <v>1</v>
      </c>
    </row>
    <row r="43997" customFormat="false" ht="12.8" hidden="false" customHeight="false" outlineLevel="0" collapsed="false">
      <c r="A43997" s="0" t="s">
        <v>15886</v>
      </c>
      <c r="B43997" s="0" t="str">
        <f aca="false">HYPERLINK("https://lindat.mff.cuni.cz/services/teitok/pdtc10/index.php?action=vallex&amp;frame=v-w12245_ZUf1_ZU", "skejsnout (v-w12245_ZUf1_ZU)")</f>
        <v>skejsnout (v-w12245_ZUf1_ZU)</v>
      </c>
    </row>
    <row r="43998" customFormat="false" ht="12.8" hidden="false" customHeight="false" outlineLevel="0" collapsed="false">
      <c r="B43998" s="0" t="s">
        <v>1</v>
      </c>
    </row>
    <row r="43999" customFormat="false" ht="12.8" hidden="false" customHeight="false" outlineLevel="0" collapsed="false">
      <c r="B43999" s="0" t="s">
        <v>1262</v>
      </c>
    </row>
    <row r="44001" customFormat="false" ht="12.8" hidden="false" customHeight="false" outlineLevel="0" collapsed="false">
      <c r="A44001" s="0" t="s">
        <v>15887</v>
      </c>
      <c r="B44001" s="0" t="str">
        <f aca="false">HYPERLINK("https://lindat.mff.cuni.cz/services/teitok/pdtc10/index.php?action=vallex&amp;frame=v-w12084_ZUf1_ZU", "skenovat (v-w12084_ZUf1_ZU)")</f>
        <v>skenovat (v-w12084_ZUf1_ZU)</v>
      </c>
    </row>
    <row r="44002" customFormat="false" ht="12.8" hidden="false" customHeight="false" outlineLevel="0" collapsed="false">
      <c r="B44002" s="0" t="s">
        <v>1</v>
      </c>
    </row>
    <row r="44003" customFormat="false" ht="12.8" hidden="false" customHeight="false" outlineLevel="0" collapsed="false">
      <c r="B44003" s="0" t="s">
        <v>8</v>
      </c>
    </row>
    <row r="44005" customFormat="false" ht="12.8" hidden="false" customHeight="false" outlineLevel="0" collapsed="false">
      <c r="A44005" s="0" t="s">
        <v>15888</v>
      </c>
      <c r="B44005" s="0" t="str">
        <f aca="false">HYPERLINK("https://lindat.mff.cuni.cz/services/teitok/pdtc10/index.php?action=vallex&amp;frame=v-w6108f1", "skladovat (v-w6108f1)")</f>
        <v>skladovat (v-w6108f1)</v>
      </c>
      <c r="E44005" s="0" t="str">
        <f aca="false">HYPERLINK("https://lindat.mff.cuni.cz/services/SynSemClass40/SynSemClass40.html?veclass=vec00921#vec00921-ces-cm00001", "vec00921")</f>
        <v>vec00921</v>
      </c>
      <c r="F44005" s="0" t="s">
        <v>13123</v>
      </c>
    </row>
    <row r="44006" customFormat="false" ht="12.8" hidden="false" customHeight="false" outlineLevel="0" collapsed="false">
      <c r="B44006" s="0" t="s">
        <v>1</v>
      </c>
      <c r="C44006" s="0" t="s">
        <v>2578</v>
      </c>
      <c r="E44006" s="0" t="s">
        <v>31</v>
      </c>
      <c r="F44006" s="0" t="s">
        <v>2579</v>
      </c>
    </row>
    <row r="44007" customFormat="false" ht="12.8" hidden="false" customHeight="false" outlineLevel="0" collapsed="false">
      <c r="B44007" s="0" t="s">
        <v>8</v>
      </c>
      <c r="C44007" s="0" t="s">
        <v>827</v>
      </c>
      <c r="E44007" s="0" t="s">
        <v>3201</v>
      </c>
      <c r="F44007" s="0" t="s">
        <v>13124</v>
      </c>
    </row>
    <row r="44009" customFormat="false" ht="12.8" hidden="false" customHeight="false" outlineLevel="0" collapsed="false">
      <c r="A44009" s="0" t="s">
        <v>15889</v>
      </c>
      <c r="B44009" s="0" t="str">
        <f aca="false">HYPERLINK("https://lindat.mff.cuni.cz/services/teitok/pdtc10/index.php?action=vallex&amp;frame=v-w10791f2", "sklapnout (v-w10791f2)")</f>
        <v>sklapnout (v-w10791f2)</v>
      </c>
    </row>
    <row r="44010" customFormat="false" ht="12.8" hidden="false" customHeight="false" outlineLevel="0" collapsed="false">
      <c r="B44010" s="0" t="s">
        <v>804</v>
      </c>
    </row>
    <row r="44012" customFormat="false" ht="12.8" hidden="false" customHeight="false" outlineLevel="0" collapsed="false">
      <c r="A44012" s="0" t="s">
        <v>15890</v>
      </c>
      <c r="B44012" s="0" t="str">
        <f aca="false">HYPERLINK("https://lindat.mff.cuni.cz/services/teitok/pdtc10/index.php?action=vallex&amp;frame=v-w10791f3_MM", "sklapnout (v-w10791f3_MM)")</f>
        <v>sklapnout (v-w10791f3_MM)</v>
      </c>
    </row>
    <row r="44013" customFormat="false" ht="12.8" hidden="false" customHeight="false" outlineLevel="0" collapsed="false">
      <c r="B44013" s="0" t="s">
        <v>1</v>
      </c>
    </row>
    <row r="44014" customFormat="false" ht="12.8" hidden="false" customHeight="false" outlineLevel="0" collapsed="false">
      <c r="B44014" s="0" t="s">
        <v>8</v>
      </c>
    </row>
    <row r="44016" customFormat="false" ht="12.8" hidden="false" customHeight="false" outlineLevel="0" collapsed="false">
      <c r="A44016" s="0" t="s">
        <v>15891</v>
      </c>
      <c r="B44016" s="0" t="str">
        <f aca="false">HYPERLINK("https://lindat.mff.cuni.cz/services/teitok/pdtc10/index.php?action=vallex&amp;frame=v-w10791hsa_740", "sklapnout (v-w10791hsa_740)")</f>
        <v>sklapnout (v-w10791hsa_740)</v>
      </c>
    </row>
    <row r="44017" customFormat="false" ht="12.8" hidden="false" customHeight="false" outlineLevel="0" collapsed="false">
      <c r="B44017" s="0" t="s">
        <v>1</v>
      </c>
    </row>
    <row r="44019" customFormat="false" ht="12.8" hidden="false" customHeight="false" outlineLevel="0" collapsed="false">
      <c r="A44019" s="0" t="s">
        <v>15892</v>
      </c>
      <c r="B44019" s="0" t="str">
        <f aca="false">HYPERLINK("https://lindat.mff.cuni.cz/services/teitok/pdtc10/index.php?action=vallex&amp;frame=v-whsa_1915hsa_1916", "sklepnout (v-whsa_1915hsa_1916)")</f>
        <v>sklepnout (v-whsa_1915hsa_1916)</v>
      </c>
    </row>
    <row r="44020" customFormat="false" ht="12.8" hidden="false" customHeight="false" outlineLevel="0" collapsed="false">
      <c r="B44020" s="0" t="s">
        <v>1</v>
      </c>
    </row>
    <row r="44021" customFormat="false" ht="12.8" hidden="false" customHeight="false" outlineLevel="0" collapsed="false">
      <c r="B44021" s="0" t="s">
        <v>8</v>
      </c>
    </row>
    <row r="44023" customFormat="false" ht="12.8" hidden="false" customHeight="false" outlineLevel="0" collapsed="false">
      <c r="A44023" s="0" t="s">
        <v>15893</v>
      </c>
      <c r="B44023" s="0" t="str">
        <f aca="false">HYPERLINK("https://lindat.mff.cuni.cz/services/teitok/pdtc10/index.php?action=vallex&amp;frame=v-w6109f3_ZU", "sklidit (v-w6109f3_ZU)")</f>
        <v>sklidit (v-w6109f3_ZU)</v>
      </c>
      <c r="E44023" s="0" t="str">
        <f aca="false">HYPERLINK("https://lindat.mff.cuni.cz/services/SynSemClass40/SynSemClass40.html?veclass=vec00708#vec00708-ces-cm00007", "vec00708")</f>
        <v>vec00708</v>
      </c>
      <c r="F44023" s="0" t="s">
        <v>15693</v>
      </c>
    </row>
    <row r="44024" customFormat="false" ht="12.8" hidden="false" customHeight="false" outlineLevel="0" collapsed="false">
      <c r="B44024" s="0" t="s">
        <v>1</v>
      </c>
      <c r="C44024" s="0" t="s">
        <v>333</v>
      </c>
      <c r="E44024" s="0" t="s">
        <v>92</v>
      </c>
      <c r="F44024" s="0" t="s">
        <v>15695</v>
      </c>
    </row>
    <row r="44025" customFormat="false" ht="12.8" hidden="false" customHeight="false" outlineLevel="0" collapsed="false">
      <c r="B44025" s="0" t="s">
        <v>8</v>
      </c>
      <c r="C44025" s="0" t="s">
        <v>1929</v>
      </c>
      <c r="E44025" s="0" t="s">
        <v>95</v>
      </c>
      <c r="F44025" s="0" t="s">
        <v>15696</v>
      </c>
    </row>
    <row r="44026" customFormat="false" ht="12.8" hidden="false" customHeight="false" outlineLevel="0" collapsed="false">
      <c r="B44026" s="0" t="s">
        <v>602</v>
      </c>
      <c r="C44026" s="0" t="s">
        <v>15844</v>
      </c>
      <c r="E44026" s="0" t="s">
        <v>2176</v>
      </c>
      <c r="F44026" s="0" t="s">
        <v>15845</v>
      </c>
    </row>
    <row r="44028" customFormat="false" ht="12.8" hidden="false" customHeight="false" outlineLevel="0" collapsed="false">
      <c r="A44028" s="0" t="s">
        <v>15894</v>
      </c>
      <c r="B44028" s="0" t="str">
        <f aca="false">HYPERLINK("https://lindat.mff.cuni.cz/services/teitok/pdtc10/index.php?action=vallex&amp;frame=v-w6109f1", "sklidit (v-w6109f1)")</f>
        <v>sklidit (v-w6109f1)</v>
      </c>
      <c r="E44028" s="0" t="str">
        <f aca="false">HYPERLINK("https://lindat.mff.cuni.cz/services/SynSemClass40/SynSemClass40.html?veclass=vec00712#vec00712-ces-cm00001", "vec00712")</f>
        <v>vec00712</v>
      </c>
      <c r="F44028" s="0" t="s">
        <v>10291</v>
      </c>
    </row>
    <row r="44029" customFormat="false" ht="12.8" hidden="false" customHeight="false" outlineLevel="0" collapsed="false">
      <c r="B44029" s="0" t="s">
        <v>1</v>
      </c>
      <c r="C44029" s="0" t="s">
        <v>512</v>
      </c>
      <c r="E44029" s="0" t="s">
        <v>10292</v>
      </c>
      <c r="F44029" s="0" t="s">
        <v>10293</v>
      </c>
    </row>
    <row r="44030" customFormat="false" ht="12.8" hidden="false" customHeight="false" outlineLevel="0" collapsed="false">
      <c r="B44030" s="0" t="s">
        <v>8</v>
      </c>
      <c r="C44030" s="0" t="s">
        <v>10294</v>
      </c>
      <c r="E44030" s="0" t="s">
        <v>10295</v>
      </c>
      <c r="F44030" s="0" t="s">
        <v>10296</v>
      </c>
    </row>
    <row r="44032" customFormat="false" ht="12.8" hidden="false" customHeight="false" outlineLevel="0" collapsed="false">
      <c r="A44032" s="0" t="s">
        <v>15895</v>
      </c>
      <c r="B44032" s="0" t="str">
        <f aca="false">HYPERLINK("https://lindat.mff.cuni.cz/services/teitok/pdtc10/index.php?action=vallex&amp;frame=v-w6109f2", "sklidit (v-w6109f2)")</f>
        <v>sklidit (v-w6109f2)</v>
      </c>
    </row>
    <row r="44033" customFormat="false" ht="12.8" hidden="false" customHeight="false" outlineLevel="0" collapsed="false">
      <c r="B44033" s="0" t="s">
        <v>1</v>
      </c>
    </row>
    <row r="44034" customFormat="false" ht="12.8" hidden="false" customHeight="false" outlineLevel="0" collapsed="false">
      <c r="B44034" s="0" t="s">
        <v>8</v>
      </c>
    </row>
    <row r="44036" customFormat="false" ht="12.8" hidden="false" customHeight="false" outlineLevel="0" collapsed="false">
      <c r="A44036" s="0" t="s">
        <v>15896</v>
      </c>
      <c r="B44036" s="0" t="str">
        <f aca="false">HYPERLINK("https://lindat.mff.cuni.cz/services/teitok/pdtc10/index.php?action=vallex&amp;frame=v-w6113f1", "sklonit (v-w6113f1)")</f>
        <v>sklonit (v-w6113f1)</v>
      </c>
    </row>
    <row r="44037" customFormat="false" ht="12.8" hidden="false" customHeight="false" outlineLevel="0" collapsed="false">
      <c r="B44037" s="0" t="s">
        <v>1</v>
      </c>
    </row>
    <row r="44038" customFormat="false" ht="12.8" hidden="false" customHeight="false" outlineLevel="0" collapsed="false">
      <c r="B44038" s="0" t="s">
        <v>15897</v>
      </c>
    </row>
    <row r="44039" customFormat="false" ht="12.8" hidden="false" customHeight="false" outlineLevel="0" collapsed="false">
      <c r="B44039" s="0" t="s">
        <v>6877</v>
      </c>
    </row>
    <row r="44041" customFormat="false" ht="12.8" hidden="false" customHeight="false" outlineLevel="0" collapsed="false">
      <c r="A44041" s="0" t="s">
        <v>15898</v>
      </c>
      <c r="B44041" s="0" t="str">
        <f aca="false">HYPERLINK("https://lindat.mff.cuni.cz/services/teitok/pdtc10/index.php?action=vallex&amp;frame=v-w6114f1", "sklonit se (v-w6114f1)")</f>
        <v>sklonit se (v-w6114f1)</v>
      </c>
    </row>
    <row r="44042" customFormat="false" ht="12.8" hidden="false" customHeight="false" outlineLevel="0" collapsed="false">
      <c r="B44042" s="0" t="s">
        <v>1</v>
      </c>
    </row>
    <row r="44043" customFormat="false" ht="12.8" hidden="false" customHeight="false" outlineLevel="0" collapsed="false">
      <c r="B44043" s="0" t="s">
        <v>6877</v>
      </c>
    </row>
    <row r="44045" customFormat="false" ht="12.8" hidden="false" customHeight="false" outlineLevel="0" collapsed="false">
      <c r="A44045" s="0" t="s">
        <v>15899</v>
      </c>
      <c r="B44045" s="0" t="str">
        <f aca="false">HYPERLINK("https://lindat.mff.cuni.cz/services/teitok/pdtc10/index.php?action=vallex&amp;frame=v-w6114f2", "sklonit se (v-w6114f2)")</f>
        <v>sklonit se (v-w6114f2)</v>
      </c>
    </row>
    <row r="44046" customFormat="false" ht="12.8" hidden="false" customHeight="false" outlineLevel="0" collapsed="false">
      <c r="B44046" s="0" t="s">
        <v>1</v>
      </c>
    </row>
    <row r="44048" customFormat="false" ht="12.8" hidden="false" customHeight="false" outlineLevel="0" collapsed="false">
      <c r="A44048" s="0" t="s">
        <v>15900</v>
      </c>
      <c r="B44048" s="0" t="str">
        <f aca="false">HYPERLINK("https://lindat.mff.cuni.cz/services/teitok/pdtc10/index.php?action=vallex&amp;frame=v-whsa_1344f1_ZU", "sklopit (v-whsa_1344f1_ZU)")</f>
        <v>sklopit (v-whsa_1344f1_ZU)</v>
      </c>
    </row>
    <row r="44049" customFormat="false" ht="12.8" hidden="false" customHeight="false" outlineLevel="0" collapsed="false">
      <c r="B44049" s="0" t="s">
        <v>1</v>
      </c>
    </row>
    <row r="44050" customFormat="false" ht="12.8" hidden="false" customHeight="false" outlineLevel="0" collapsed="false">
      <c r="B44050" s="0" t="s">
        <v>8</v>
      </c>
    </row>
    <row r="44052" customFormat="false" ht="12.8" hidden="false" customHeight="false" outlineLevel="0" collapsed="false">
      <c r="A44052" s="0" t="s">
        <v>15900</v>
      </c>
      <c r="B44052" s="0" t="str">
        <f aca="false">HYPERLINK("https://lindat.mff.cuni.cz/services/teitok/pdtc10/index.php?action=vallex&amp;frame=v-whsa_1344hsa_1345", "sklopit (v-whsa_1344hsa_1345) - substituted with v-whsa_1344f1_ZU")</f>
        <v>sklopit (v-whsa_1344hsa_1345) - substituted with v-whsa_1344f1_ZU</v>
      </c>
    </row>
    <row r="44053" customFormat="false" ht="12.8" hidden="false" customHeight="false" outlineLevel="0" collapsed="false">
      <c r="B44053" s="0" t="s">
        <v>1</v>
      </c>
    </row>
    <row r="44054" customFormat="false" ht="12.8" hidden="false" customHeight="false" outlineLevel="0" collapsed="false">
      <c r="B44054" s="0" t="s">
        <v>8</v>
      </c>
    </row>
    <row r="44056" customFormat="false" ht="12.8" hidden="false" customHeight="false" outlineLevel="0" collapsed="false">
      <c r="A44056" s="0" t="s">
        <v>15901</v>
      </c>
      <c r="B44056" s="0" t="str">
        <f aca="false">HYPERLINK("https://lindat.mff.cuni.cz/services/teitok/pdtc10/index.php?action=vallex&amp;frame=v-w6117f1", "skloubit (v-w6117f1)")</f>
        <v>skloubit (v-w6117f1)</v>
      </c>
    </row>
    <row r="44057" customFormat="false" ht="12.8" hidden="false" customHeight="false" outlineLevel="0" collapsed="false">
      <c r="B44057" s="0" t="s">
        <v>1</v>
      </c>
    </row>
    <row r="44058" customFormat="false" ht="12.8" hidden="false" customHeight="false" outlineLevel="0" collapsed="false">
      <c r="B44058" s="0" t="s">
        <v>8</v>
      </c>
    </row>
    <row r="44059" customFormat="false" ht="12.8" hidden="false" customHeight="false" outlineLevel="0" collapsed="false">
      <c r="B44059" s="0" t="s">
        <v>276</v>
      </c>
    </row>
    <row r="44060" customFormat="false" ht="12.8" hidden="false" customHeight="false" outlineLevel="0" collapsed="false">
      <c r="B44060" s="0" t="s">
        <v>3026</v>
      </c>
    </row>
    <row r="44062" customFormat="false" ht="12.8" hidden="false" customHeight="false" outlineLevel="0" collapsed="false">
      <c r="A44062" s="0" t="s">
        <v>15902</v>
      </c>
      <c r="B44062" s="0" t="str">
        <f aca="false">HYPERLINK("https://lindat.mff.cuni.cz/services/teitok/pdtc10/index.php?action=vallex&amp;frame=v-w6118f2", "sklouznout (v-w6118f2)")</f>
        <v>sklouznout (v-w6118f2)</v>
      </c>
      <c r="E44062" s="0" t="str">
        <f aca="false">HYPERLINK("https://lindat.mff.cuni.cz/services/SynSemClass40/SynSemClass40.html?veclass=vec00028#vec00028-ces-cm00062", "vec00028")</f>
        <v>vec00028</v>
      </c>
      <c r="F44062" s="0" t="s">
        <v>5301</v>
      </c>
    </row>
    <row r="44063" customFormat="false" ht="12.8" hidden="false" customHeight="false" outlineLevel="0" collapsed="false">
      <c r="B44063" s="0" t="s">
        <v>1</v>
      </c>
      <c r="C44063" s="0" t="s">
        <v>9964</v>
      </c>
      <c r="E44063" s="0" t="s">
        <v>235</v>
      </c>
      <c r="F44063" s="0" t="s">
        <v>5304</v>
      </c>
    </row>
    <row r="44064" customFormat="false" ht="12.8" hidden="false" customHeight="false" outlineLevel="0" collapsed="false">
      <c r="B44064" s="0" t="s">
        <v>69</v>
      </c>
      <c r="C44064" s="0" t="s">
        <v>9965</v>
      </c>
      <c r="E44064" s="0" t="s">
        <v>5149</v>
      </c>
      <c r="F44064" s="0" t="s">
        <v>5307</v>
      </c>
    </row>
    <row r="44065" customFormat="false" ht="12.8" hidden="false" customHeight="false" outlineLevel="0" collapsed="false">
      <c r="B44065" s="0" t="s">
        <v>36</v>
      </c>
      <c r="C44065" s="0" t="s">
        <v>9966</v>
      </c>
      <c r="E44065" s="0" t="s">
        <v>5152</v>
      </c>
      <c r="F44065" s="0" t="s">
        <v>5311</v>
      </c>
    </row>
    <row r="44067" customFormat="false" ht="12.8" hidden="false" customHeight="false" outlineLevel="0" collapsed="false">
      <c r="A44067" s="0" t="s">
        <v>15903</v>
      </c>
      <c r="B44067" s="0" t="str">
        <f aca="false">HYPERLINK("https://lindat.mff.cuni.cz/services/teitok/pdtc10/index.php?action=vallex&amp;frame=v-w6118f1", "sklouznout (v-w6118f1)")</f>
        <v>sklouznout (v-w6118f1)</v>
      </c>
      <c r="E44067" s="0" t="str">
        <f aca="false">HYPERLINK("https://lindat.mff.cuni.cz/services/SynSemClass40/SynSemClass40.html?veclass=vec01115#vec01115-ces-cm00001", "vec01115")</f>
        <v>vec01115</v>
      </c>
      <c r="F44067" s="0" t="s">
        <v>1617</v>
      </c>
    </row>
    <row r="44068" customFormat="false" ht="12.8" hidden="false" customHeight="false" outlineLevel="0" collapsed="false">
      <c r="B44068" s="0" t="s">
        <v>1</v>
      </c>
      <c r="C44068" s="0" t="s">
        <v>1618</v>
      </c>
      <c r="E44068" s="0" t="s">
        <v>11</v>
      </c>
      <c r="F44068" s="0" t="s">
        <v>1619</v>
      </c>
    </row>
    <row r="44069" customFormat="false" ht="12.8" hidden="false" customHeight="false" outlineLevel="0" collapsed="false">
      <c r="B44069" s="0" t="s">
        <v>361</v>
      </c>
      <c r="C44069" s="0" t="s">
        <v>1620</v>
      </c>
      <c r="E44069" s="0" t="s">
        <v>363</v>
      </c>
      <c r="F44069" s="0" t="s">
        <v>1621</v>
      </c>
    </row>
    <row r="44071" customFormat="false" ht="12.8" hidden="false" customHeight="false" outlineLevel="0" collapsed="false">
      <c r="A44071" s="0" t="s">
        <v>15904</v>
      </c>
      <c r="B44071" s="0" t="str">
        <f aca="false">HYPERLINK("https://lindat.mff.cuni.cz/services/teitok/pdtc10/index.php?action=vallex&amp;frame=v-whsa_1066hsa_1067", "sklouznout se (v-whsa_1066hsa_1067)")</f>
        <v>sklouznout se (v-whsa_1066hsa_1067)</v>
      </c>
      <c r="E44071" s="0" t="str">
        <f aca="false">HYPERLINK("https://lindat.mff.cuni.cz/services/SynSemClass40/SynSemClass40.html?veclass=vec01219#vec01219-ces-cm00003", "vec01219")</f>
        <v>vec01219</v>
      </c>
      <c r="F44071" s="0" t="s">
        <v>5343</v>
      </c>
    </row>
    <row r="44072" customFormat="false" ht="12.8" hidden="false" customHeight="false" outlineLevel="0" collapsed="false">
      <c r="B44072" s="0" t="s">
        <v>1</v>
      </c>
      <c r="C44072" s="0" t="s">
        <v>5344</v>
      </c>
      <c r="E44072" s="0" t="s">
        <v>334</v>
      </c>
      <c r="F44072" s="0" t="s">
        <v>5345</v>
      </c>
    </row>
    <row r="44074" customFormat="false" ht="12.8" hidden="false" customHeight="false" outlineLevel="0" collapsed="false">
      <c r="A44074" s="0" t="s">
        <v>15905</v>
      </c>
      <c r="B44074" s="0" t="str">
        <f aca="false">HYPERLINK("https://lindat.mff.cuni.cz/services/teitok/pdtc10/index.php?action=vallex&amp;frame=v-w11024f3", "sklouzávat (v-w11024f3)")</f>
        <v>sklouzávat (v-w11024f3)</v>
      </c>
      <c r="E44074" s="0" t="str">
        <f aca="false">HYPERLINK("https://lindat.mff.cuni.cz/services/SynSemClass40/SynSemClass40.html?veclass=vec01115#vec01115-ces-cm00041", "vec01115")</f>
        <v>vec01115</v>
      </c>
      <c r="F44074" s="0" t="s">
        <v>1617</v>
      </c>
    </row>
    <row r="44075" customFormat="false" ht="12.8" hidden="false" customHeight="false" outlineLevel="0" collapsed="false">
      <c r="B44075" s="0" t="s">
        <v>1</v>
      </c>
      <c r="C44075" s="0" t="s">
        <v>1618</v>
      </c>
      <c r="E44075" s="0" t="s">
        <v>11</v>
      </c>
      <c r="F44075" s="0" t="s">
        <v>1619</v>
      </c>
    </row>
    <row r="44076" customFormat="false" ht="12.8" hidden="false" customHeight="false" outlineLevel="0" collapsed="false">
      <c r="B44076" s="0" t="s">
        <v>164</v>
      </c>
      <c r="C44076" s="0" t="s">
        <v>1620</v>
      </c>
      <c r="E44076" s="0" t="s">
        <v>363</v>
      </c>
      <c r="F44076" s="0" t="s">
        <v>1621</v>
      </c>
    </row>
    <row r="44078" customFormat="false" ht="12.8" hidden="false" customHeight="false" outlineLevel="0" collapsed="false">
      <c r="A44078" s="0" t="s">
        <v>15906</v>
      </c>
      <c r="B44078" s="0" t="str">
        <f aca="false">HYPERLINK("https://lindat.mff.cuni.cz/services/teitok/pdtc10/index.php?action=vallex&amp;frame=v-w6103f1", "skládat (v-w6103f1)")</f>
        <v>skládat (v-w6103f1)</v>
      </c>
    </row>
    <row r="44079" customFormat="false" ht="12.8" hidden="false" customHeight="false" outlineLevel="0" collapsed="false">
      <c r="B44079" s="0" t="s">
        <v>1</v>
      </c>
    </row>
    <row r="44080" customFormat="false" ht="12.8" hidden="false" customHeight="false" outlineLevel="0" collapsed="false">
      <c r="B44080" s="0" t="s">
        <v>8</v>
      </c>
    </row>
    <row r="44081" customFormat="false" ht="12.8" hidden="false" customHeight="false" outlineLevel="0" collapsed="false">
      <c r="B44081" s="0" t="s">
        <v>132</v>
      </c>
    </row>
    <row r="44083" customFormat="false" ht="12.8" hidden="false" customHeight="false" outlineLevel="0" collapsed="false">
      <c r="A44083" s="0" t="s">
        <v>15907</v>
      </c>
      <c r="B44083" s="0" t="str">
        <f aca="false">HYPERLINK("https://lindat.mff.cuni.cz/services/teitok/pdtc10/index.php?action=vallex&amp;frame=v-w6103f2", "skládat (v-w6103f2)")</f>
        <v>skládat (v-w6103f2)</v>
      </c>
    </row>
    <row r="44084" customFormat="false" ht="12.8" hidden="false" customHeight="false" outlineLevel="0" collapsed="false">
      <c r="B44084" s="0" t="s">
        <v>1</v>
      </c>
    </row>
    <row r="44085" customFormat="false" ht="12.8" hidden="false" customHeight="false" outlineLevel="0" collapsed="false">
      <c r="B44085" s="0" t="s">
        <v>8</v>
      </c>
    </row>
    <row r="44087" customFormat="false" ht="12.8" hidden="false" customHeight="false" outlineLevel="0" collapsed="false">
      <c r="A44087" s="0" t="s">
        <v>15908</v>
      </c>
      <c r="B44087" s="0" t="str">
        <f aca="false">HYPERLINK("https://lindat.mff.cuni.cz/services/teitok/pdtc10/index.php?action=vallex&amp;frame=v-w6103f3", "skládat (v-w6103f3)")</f>
        <v>skládat (v-w6103f3)</v>
      </c>
    </row>
    <row r="44088" customFormat="false" ht="12.8" hidden="false" customHeight="false" outlineLevel="0" collapsed="false">
      <c r="B44088" s="0" t="s">
        <v>1</v>
      </c>
    </row>
    <row r="44089" customFormat="false" ht="12.8" hidden="false" customHeight="false" outlineLevel="0" collapsed="false">
      <c r="B44089" s="0" t="s">
        <v>8</v>
      </c>
    </row>
    <row r="44091" customFormat="false" ht="12.8" hidden="false" customHeight="false" outlineLevel="0" collapsed="false">
      <c r="A44091" s="0" t="s">
        <v>15909</v>
      </c>
      <c r="B44091" s="0" t="str">
        <f aca="false">HYPERLINK("https://lindat.mff.cuni.cz/services/teitok/pdtc10/index.php?action=vallex&amp;frame=v-w6103f5_ZU", "skládat (v-w6103f5_ZU)")</f>
        <v>skládat (v-w6103f5_ZU)</v>
      </c>
    </row>
    <row r="44092" customFormat="false" ht="12.8" hidden="false" customHeight="false" outlineLevel="0" collapsed="false">
      <c r="B44092" s="0" t="s">
        <v>1</v>
      </c>
    </row>
    <row r="44093" customFormat="false" ht="12.8" hidden="false" customHeight="false" outlineLevel="0" collapsed="false">
      <c r="B44093" s="0" t="s">
        <v>8</v>
      </c>
    </row>
    <row r="44095" customFormat="false" ht="12.8" hidden="false" customHeight="false" outlineLevel="0" collapsed="false">
      <c r="A44095" s="0" t="s">
        <v>15910</v>
      </c>
      <c r="B44095" s="0" t="str">
        <f aca="false">HYPERLINK("https://lindat.mff.cuni.cz/services/teitok/pdtc10/index.php?action=vallex&amp;frame=v-w6103f4_ZU", "skládat (v-w6103f4_ZU)")</f>
        <v>skládat (v-w6103f4_ZU)</v>
      </c>
    </row>
    <row r="44096" customFormat="false" ht="12.8" hidden="false" customHeight="false" outlineLevel="0" collapsed="false">
      <c r="B44096" s="0" t="s">
        <v>1</v>
      </c>
    </row>
    <row r="44097" customFormat="false" ht="12.8" hidden="false" customHeight="false" outlineLevel="0" collapsed="false">
      <c r="B44097" s="0" t="s">
        <v>15911</v>
      </c>
    </row>
    <row r="44098" customFormat="false" ht="12.8" hidden="false" customHeight="false" outlineLevel="0" collapsed="false">
      <c r="B44098" s="0" t="s">
        <v>186</v>
      </c>
    </row>
    <row r="44100" customFormat="false" ht="12.8" hidden="false" customHeight="false" outlineLevel="0" collapsed="false">
      <c r="A44100" s="0" t="s">
        <v>15912</v>
      </c>
      <c r="B44100" s="0" t="str">
        <f aca="false">HYPERLINK("https://lindat.mff.cuni.cz/services/teitok/pdtc10/index.php?action=vallex&amp;frame=v-w6103f8_ZU", "skládat (v-w6103f8_ZU)")</f>
        <v>skládat (v-w6103f8_ZU)</v>
      </c>
    </row>
    <row r="44101" customFormat="false" ht="12.8" hidden="false" customHeight="false" outlineLevel="0" collapsed="false">
      <c r="B44101" s="0" t="s">
        <v>1</v>
      </c>
    </row>
    <row r="44102" customFormat="false" ht="12.8" hidden="false" customHeight="false" outlineLevel="0" collapsed="false">
      <c r="B44102" s="0" t="s">
        <v>8</v>
      </c>
    </row>
    <row r="44103" customFormat="false" ht="12.8" hidden="false" customHeight="false" outlineLevel="0" collapsed="false">
      <c r="B44103" s="0" t="s">
        <v>245</v>
      </c>
    </row>
    <row r="44105" customFormat="false" ht="12.8" hidden="false" customHeight="false" outlineLevel="0" collapsed="false">
      <c r="A44105" s="0" t="s">
        <v>15912</v>
      </c>
      <c r="B44105" s="0" t="str">
        <f aca="false">HYPERLINK("https://lindat.mff.cuni.cz/services/teitok/pdtc10/index.php?action=vallex&amp;frame=v-w6103f6_ZU", "skládat (v-w6103f6_ZU) - substituted with v-w6103f8_ZU")</f>
        <v>skládat (v-w6103f6_ZU) - substituted with v-w6103f8_ZU</v>
      </c>
      <c r="E44105" s="0" t="str">
        <f aca="false">HYPERLINK("https://lindat.mff.cuni.cz/services/SynSemClass40/SynSemClass40.html?veclass=vec01444#vec01444-ces-cm00008", "vec01444")</f>
        <v>vec01444</v>
      </c>
      <c r="F44105" s="0" t="s">
        <v>7001</v>
      </c>
    </row>
    <row r="44106" customFormat="false" ht="12.8" hidden="false" customHeight="false" outlineLevel="0" collapsed="false">
      <c r="B44106" s="0" t="s">
        <v>1</v>
      </c>
      <c r="C44106" s="0" t="s">
        <v>4695</v>
      </c>
      <c r="E44106" s="0" t="s">
        <v>768</v>
      </c>
      <c r="F44106" s="0" t="s">
        <v>4781</v>
      </c>
    </row>
    <row r="44107" customFormat="false" ht="12.8" hidden="false" customHeight="false" outlineLevel="0" collapsed="false">
      <c r="B44107" s="0" t="s">
        <v>8</v>
      </c>
      <c r="C44107" s="0" t="s">
        <v>462</v>
      </c>
      <c r="E44107" s="0" t="s">
        <v>110</v>
      </c>
      <c r="F44107" s="0" t="s">
        <v>7002</v>
      </c>
    </row>
    <row r="44108" customFormat="false" ht="12.8" hidden="false" customHeight="false" outlineLevel="0" collapsed="false">
      <c r="B44108" s="0" t="s">
        <v>245</v>
      </c>
      <c r="E44108" s="0" t="s">
        <v>4858</v>
      </c>
      <c r="F44108" s="0" t="s">
        <v>7003</v>
      </c>
    </row>
    <row r="44110" customFormat="false" ht="12.8" hidden="false" customHeight="false" outlineLevel="0" collapsed="false">
      <c r="A44110" s="0" t="s">
        <v>15913</v>
      </c>
      <c r="B44110" s="0" t="str">
        <f aca="false">HYPERLINK("https://lindat.mff.cuni.cz/services/teitok/pdtc10/index.php?action=vallex&amp;frame=v-w6103f7_ZU", "skládat (v-w6103f7_ZU)")</f>
        <v>skládat (v-w6103f7_ZU)</v>
      </c>
    </row>
    <row r="44111" customFormat="false" ht="12.8" hidden="false" customHeight="false" outlineLevel="0" collapsed="false">
      <c r="B44111" s="0" t="s">
        <v>1</v>
      </c>
    </row>
    <row r="44112" customFormat="false" ht="12.8" hidden="false" customHeight="false" outlineLevel="0" collapsed="false">
      <c r="B44112" s="0" t="s">
        <v>8</v>
      </c>
    </row>
    <row r="44113" customFormat="false" ht="12.8" hidden="false" customHeight="false" outlineLevel="0" collapsed="false">
      <c r="B44113" s="0" t="s">
        <v>245</v>
      </c>
    </row>
    <row r="44115" customFormat="false" ht="12.8" hidden="false" customHeight="false" outlineLevel="0" collapsed="false">
      <c r="A44115" s="0" t="s">
        <v>15913</v>
      </c>
      <c r="B44115" s="0" t="str">
        <f aca="false">HYPERLINK("https://lindat.mff.cuni.cz/services/teitok/pdtc10/index.php?action=vallex&amp;frame=v-w6103hsa_1197", "skládat (v-w6103hsa_1197) - substituted with v-w6103f7_ZU")</f>
        <v>skládat (v-w6103hsa_1197) - substituted with v-w6103f7_ZU</v>
      </c>
    </row>
    <row r="44116" customFormat="false" ht="12.8" hidden="false" customHeight="false" outlineLevel="0" collapsed="false">
      <c r="B44116" s="0" t="s">
        <v>1</v>
      </c>
    </row>
    <row r="44117" customFormat="false" ht="12.8" hidden="false" customHeight="false" outlineLevel="0" collapsed="false">
      <c r="B44117" s="0" t="s">
        <v>8</v>
      </c>
    </row>
    <row r="44118" customFormat="false" ht="12.8" hidden="false" customHeight="false" outlineLevel="0" collapsed="false">
      <c r="B44118" s="0" t="s">
        <v>245</v>
      </c>
    </row>
    <row r="44120" customFormat="false" ht="12.8" hidden="false" customHeight="false" outlineLevel="0" collapsed="false">
      <c r="A44120" s="0" t="s">
        <v>15914</v>
      </c>
      <c r="B44120" s="0" t="str">
        <f aca="false">HYPERLINK("https://lindat.mff.cuni.cz/services/teitok/pdtc10/index.php?action=vallex&amp;frame=v-w6105f2", "skládat se (v-w6105f2)")</f>
        <v>skládat se (v-w6105f2)</v>
      </c>
    </row>
    <row r="44121" customFormat="false" ht="12.8" hidden="false" customHeight="false" outlineLevel="0" collapsed="false">
      <c r="B44121" s="0" t="s">
        <v>1</v>
      </c>
    </row>
    <row r="44122" customFormat="false" ht="12.8" hidden="false" customHeight="false" outlineLevel="0" collapsed="false">
      <c r="B44122" s="0" t="s">
        <v>2715</v>
      </c>
    </row>
    <row r="44124" customFormat="false" ht="12.8" hidden="false" customHeight="false" outlineLevel="0" collapsed="false">
      <c r="A44124" s="0" t="s">
        <v>15915</v>
      </c>
      <c r="B44124" s="0" t="str">
        <f aca="false">HYPERLINK("https://lindat.mff.cuni.cz/services/teitok/pdtc10/index.php?action=vallex&amp;frame=v-w6105f1", "skládat se (v-w6105f1)")</f>
        <v>skládat se (v-w6105f1)</v>
      </c>
      <c r="E44124" s="0" t="str">
        <f aca="false">HYPERLINK("https://lindat.mff.cuni.cz/services/SynSemClass40/SynSemClass40.html?veclass=vec00366#vec00366-ces-cm00044", "vec00366")</f>
        <v>vec00366</v>
      </c>
      <c r="F44124" s="0" t="s">
        <v>8570</v>
      </c>
    </row>
    <row r="44125" customFormat="false" ht="12.8" hidden="false" customHeight="false" outlineLevel="0" collapsed="false">
      <c r="B44125" s="0" t="s">
        <v>1</v>
      </c>
      <c r="C44125" s="0" t="s">
        <v>8571</v>
      </c>
      <c r="E44125" s="0" t="s">
        <v>2017</v>
      </c>
      <c r="F44125" s="0" t="s">
        <v>8572</v>
      </c>
    </row>
    <row r="44126" customFormat="false" ht="12.8" hidden="false" customHeight="false" outlineLevel="0" collapsed="false">
      <c r="B44126" s="0" t="s">
        <v>298</v>
      </c>
      <c r="C44126" s="0" t="s">
        <v>8573</v>
      </c>
      <c r="E44126" s="0" t="s">
        <v>110</v>
      </c>
      <c r="F44126" s="0" t="s">
        <v>8574</v>
      </c>
    </row>
    <row r="44128" customFormat="false" ht="12.8" hidden="false" customHeight="false" outlineLevel="0" collapsed="false">
      <c r="A44128" s="0" t="s">
        <v>15916</v>
      </c>
      <c r="B44128" s="0" t="str">
        <f aca="false">HYPERLINK("https://lindat.mff.cuni.cz/services/teitok/pdtc10/index.php?action=vallex&amp;frame=v-w11354f1", "sklánět se (v-w11354f1)")</f>
        <v>sklánět se (v-w11354f1)</v>
      </c>
    </row>
    <row r="44129" customFormat="false" ht="12.8" hidden="false" customHeight="false" outlineLevel="0" collapsed="false">
      <c r="B44129" s="0" t="s">
        <v>1</v>
      </c>
    </row>
    <row r="44130" customFormat="false" ht="12.8" hidden="false" customHeight="false" outlineLevel="0" collapsed="false">
      <c r="B44130" s="0" t="s">
        <v>6877</v>
      </c>
    </row>
    <row r="44132" customFormat="false" ht="12.8" hidden="false" customHeight="false" outlineLevel="0" collapsed="false">
      <c r="A44132" s="0" t="s">
        <v>15917</v>
      </c>
      <c r="B44132" s="0" t="str">
        <f aca="false">HYPERLINK("https://lindat.mff.cuni.cz/services/teitok/pdtc10/index.php?action=vallex&amp;frame=v-w11354f2", "sklánět se (v-w11354f2)")</f>
        <v>sklánět se (v-w11354f2)</v>
      </c>
    </row>
    <row r="44133" customFormat="false" ht="12.8" hidden="false" customHeight="false" outlineLevel="0" collapsed="false">
      <c r="B44133" s="0" t="s">
        <v>1</v>
      </c>
    </row>
    <row r="44135" customFormat="false" ht="12.8" hidden="false" customHeight="false" outlineLevel="0" collapsed="false">
      <c r="A44135" s="0" t="s">
        <v>15918</v>
      </c>
      <c r="B44135" s="0" t="str">
        <f aca="false">HYPERLINK("https://lindat.mff.cuni.cz/services/teitok/pdtc10/index.php?action=vallex&amp;frame=v-whsa_1637hsa_1638", "sklápět (v-whsa_1637hsa_1638)")</f>
        <v>sklápět (v-whsa_1637hsa_1638)</v>
      </c>
    </row>
    <row r="44136" customFormat="false" ht="12.8" hidden="false" customHeight="false" outlineLevel="0" collapsed="false">
      <c r="B44136" s="0" t="s">
        <v>1</v>
      </c>
    </row>
    <row r="44137" customFormat="false" ht="12.8" hidden="false" customHeight="false" outlineLevel="0" collapsed="false">
      <c r="B44137" s="0" t="s">
        <v>8</v>
      </c>
    </row>
    <row r="44139" customFormat="false" ht="12.8" hidden="false" customHeight="false" outlineLevel="0" collapsed="false">
      <c r="A44139" s="0" t="s">
        <v>15919</v>
      </c>
      <c r="B44139" s="0" t="str">
        <f aca="false">HYPERLINK("https://lindat.mff.cuni.cz/services/teitok/pdtc10/index.php?action=vallex&amp;frame=v-w6111f1", "sklízet (v-w6111f1)")</f>
        <v>sklízet (v-w6111f1)</v>
      </c>
      <c r="E44139" s="0" t="str">
        <f aca="false">HYPERLINK("https://lindat.mff.cuni.cz/services/SynSemClass40/SynSemClass40.html?veclass=vec00712#vec00712-ces-cm00006", "vec00712")</f>
        <v>vec00712</v>
      </c>
      <c r="F44139" s="0" t="s">
        <v>10291</v>
      </c>
    </row>
    <row r="44140" customFormat="false" ht="12.8" hidden="false" customHeight="false" outlineLevel="0" collapsed="false">
      <c r="B44140" s="0" t="s">
        <v>1</v>
      </c>
      <c r="C44140" s="0" t="s">
        <v>512</v>
      </c>
      <c r="E44140" s="0" t="s">
        <v>10292</v>
      </c>
      <c r="F44140" s="0" t="s">
        <v>10293</v>
      </c>
    </row>
    <row r="44141" customFormat="false" ht="12.8" hidden="false" customHeight="false" outlineLevel="0" collapsed="false">
      <c r="B44141" s="0" t="s">
        <v>8</v>
      </c>
      <c r="C44141" s="0" t="s">
        <v>10294</v>
      </c>
      <c r="E44141" s="0" t="s">
        <v>10295</v>
      </c>
      <c r="F44141" s="0" t="s">
        <v>10296</v>
      </c>
    </row>
    <row r="44143" customFormat="false" ht="12.8" hidden="false" customHeight="false" outlineLevel="0" collapsed="false">
      <c r="A44143" s="0" t="s">
        <v>15920</v>
      </c>
      <c r="B44143" s="0" t="str">
        <f aca="false">HYPERLINK("https://lindat.mff.cuni.cz/services/teitok/pdtc10/index.php?action=vallex&amp;frame=v-w6111hsa_1341", "sklízet (v-w6111hsa_1341)")</f>
        <v>sklízet (v-w6111hsa_1341)</v>
      </c>
    </row>
    <row r="44144" customFormat="false" ht="12.8" hidden="false" customHeight="false" outlineLevel="0" collapsed="false">
      <c r="B44144" s="0" t="s">
        <v>1</v>
      </c>
    </row>
    <row r="44145" customFormat="false" ht="12.8" hidden="false" customHeight="false" outlineLevel="0" collapsed="false">
      <c r="B44145" s="0" t="s">
        <v>8</v>
      </c>
    </row>
    <row r="44147" customFormat="false" ht="12.8" hidden="false" customHeight="false" outlineLevel="0" collapsed="false">
      <c r="A44147" s="0" t="s">
        <v>15921</v>
      </c>
      <c r="B44147" s="0" t="str">
        <f aca="false">HYPERLINK("https://lindat.mff.cuni.cz/services/teitok/pdtc10/index.php?action=vallex&amp;frame=v-w12044_ZUf2_ZU", "skolit (v-w12044_ZUf2_ZU)")</f>
        <v>skolit (v-w12044_ZUf2_ZU)</v>
      </c>
    </row>
    <row r="44148" customFormat="false" ht="12.8" hidden="false" customHeight="false" outlineLevel="0" collapsed="false">
      <c r="B44148" s="0" t="s">
        <v>1</v>
      </c>
    </row>
    <row r="44149" customFormat="false" ht="12.8" hidden="false" customHeight="false" outlineLevel="0" collapsed="false">
      <c r="B44149" s="0" t="s">
        <v>8</v>
      </c>
    </row>
    <row r="44151" customFormat="false" ht="12.8" hidden="false" customHeight="false" outlineLevel="0" collapsed="false">
      <c r="A44151" s="0" t="s">
        <v>15921</v>
      </c>
      <c r="B44151" s="0" t="str">
        <f aca="false">HYPERLINK("https://lindat.mff.cuni.cz/services/teitok/pdtc10/index.php?action=vallex&amp;frame=v-w12044_ZUf1_ZU", "skolit (v-w12044_ZUf1_ZU) - substituted with v-w12044_ZUf2_ZU")</f>
        <v>skolit (v-w12044_ZUf1_ZU) - substituted with v-w12044_ZUf2_ZU</v>
      </c>
    </row>
    <row r="44152" customFormat="false" ht="12.8" hidden="false" customHeight="false" outlineLevel="0" collapsed="false">
      <c r="B44152" s="0" t="s">
        <v>1</v>
      </c>
    </row>
    <row r="44153" customFormat="false" ht="12.8" hidden="false" customHeight="false" outlineLevel="0" collapsed="false">
      <c r="B44153" s="0" t="s">
        <v>8</v>
      </c>
    </row>
    <row r="44155" customFormat="false" ht="12.8" hidden="false" customHeight="false" outlineLevel="0" collapsed="false">
      <c r="A44155" s="0" t="s">
        <v>15922</v>
      </c>
      <c r="B44155" s="0" t="str">
        <f aca="false">HYPERLINK("https://lindat.mff.cuni.cz/services/teitok/pdtc10/index.php?action=vallex&amp;frame=v-w6121f1", "skoncovat (v-w6121f1)")</f>
        <v>skoncovat (v-w6121f1)</v>
      </c>
    </row>
    <row r="44156" customFormat="false" ht="12.8" hidden="false" customHeight="false" outlineLevel="0" collapsed="false">
      <c r="B44156" s="0" t="s">
        <v>1</v>
      </c>
    </row>
    <row r="44157" customFormat="false" ht="12.8" hidden="false" customHeight="false" outlineLevel="0" collapsed="false">
      <c r="B44157" s="0" t="s">
        <v>721</v>
      </c>
    </row>
    <row r="44159" customFormat="false" ht="12.8" hidden="false" customHeight="false" outlineLevel="0" collapsed="false">
      <c r="A44159" s="0" t="s">
        <v>15923</v>
      </c>
      <c r="B44159" s="0" t="str">
        <f aca="false">HYPERLINK("https://lindat.mff.cuni.cz/services/teitok/pdtc10/index.php?action=vallex&amp;frame=v-w6123f3", "skončit (v-w6123f3)")</f>
        <v>skončit (v-w6123f3)</v>
      </c>
      <c r="E44159" s="0" t="str">
        <f aca="false">HYPERLINK("https://lindat.mff.cuni.cz/services/SynSemClass40/SynSemClass40.html?veclass=vec00213#vec00213-ces-cm00029", "vec00213")</f>
        <v>vec00213</v>
      </c>
      <c r="F44159" s="0" t="s">
        <v>2399</v>
      </c>
    </row>
    <row r="44160" customFormat="false" ht="12.8" hidden="false" customHeight="false" outlineLevel="0" collapsed="false">
      <c r="B44160" s="0" t="s">
        <v>1</v>
      </c>
      <c r="C44160" s="0" t="s">
        <v>2400</v>
      </c>
      <c r="E44160" s="0" t="s">
        <v>31</v>
      </c>
      <c r="F44160" s="0" t="s">
        <v>2401</v>
      </c>
    </row>
    <row r="44161" customFormat="false" ht="12.8" hidden="false" customHeight="false" outlineLevel="0" collapsed="false">
      <c r="B44161" s="0" t="s">
        <v>12351</v>
      </c>
      <c r="C44161" s="0" t="s">
        <v>2402</v>
      </c>
      <c r="E44161" s="0" t="s">
        <v>2403</v>
      </c>
      <c r="F44161" s="0" t="s">
        <v>2404</v>
      </c>
    </row>
    <row r="44163" customFormat="false" ht="12.8" hidden="false" customHeight="false" outlineLevel="0" collapsed="false">
      <c r="A44163" s="0" t="s">
        <v>15924</v>
      </c>
      <c r="B44163" s="0" t="str">
        <f aca="false">HYPERLINK("https://lindat.mff.cuni.cz/services/teitok/pdtc10/index.php?action=vallex&amp;frame=v-w6123f5", "skončit (v-w6123f5)")</f>
        <v>skončit (v-w6123f5)</v>
      </c>
      <c r="E44163" s="0" t="str">
        <f aca="false">HYPERLINK("https://lindat.mff.cuni.cz/services/SynSemClass40/SynSemClass40.html?veclass=vec00213#vec00213-ces-cm00041", "vec00213")</f>
        <v>vec00213</v>
      </c>
      <c r="F44163" s="0" t="s">
        <v>2399</v>
      </c>
    </row>
    <row r="44164" customFormat="false" ht="12.8" hidden="false" customHeight="false" outlineLevel="0" collapsed="false">
      <c r="B44164" s="0" t="s">
        <v>1</v>
      </c>
      <c r="C44164" s="0" t="s">
        <v>2400</v>
      </c>
      <c r="E44164" s="0" t="s">
        <v>31</v>
      </c>
      <c r="F44164" s="0" t="s">
        <v>2401</v>
      </c>
    </row>
    <row r="44165" customFormat="false" ht="12.8" hidden="false" customHeight="false" outlineLevel="0" collapsed="false">
      <c r="B44165" s="0" t="s">
        <v>721</v>
      </c>
      <c r="C44165" s="0" t="s">
        <v>2402</v>
      </c>
      <c r="E44165" s="0" t="s">
        <v>2403</v>
      </c>
      <c r="F44165" s="0" t="s">
        <v>2404</v>
      </c>
    </row>
    <row r="44167" customFormat="false" ht="12.8" hidden="false" customHeight="false" outlineLevel="0" collapsed="false">
      <c r="A44167" s="0" t="s">
        <v>15925</v>
      </c>
      <c r="B44167" s="0" t="str">
        <f aca="false">HYPERLINK("https://lindat.mff.cuni.cz/services/teitok/pdtc10/index.php?action=vallex&amp;frame=v-w6123f11_ZU", "skončit (v-w6123f11_ZU)")</f>
        <v>skončit (v-w6123f11_ZU)</v>
      </c>
      <c r="E44167" s="0" t="str">
        <f aca="false">HYPERLINK("https://lindat.mff.cuni.cz/services/SynSemClass40/SynSemClass40.html?veclass=vec01315#vec01315-ces-cm00004", "vec01315")</f>
        <v>vec01315</v>
      </c>
      <c r="F44167" s="0" t="s">
        <v>15926</v>
      </c>
    </row>
    <row r="44168" customFormat="false" ht="12.8" hidden="false" customHeight="false" outlineLevel="0" collapsed="false">
      <c r="B44168" s="0" t="s">
        <v>1</v>
      </c>
      <c r="C44168" s="0" t="s">
        <v>4594</v>
      </c>
      <c r="E44168" s="0" t="s">
        <v>11</v>
      </c>
      <c r="F44168" s="0" t="s">
        <v>15927</v>
      </c>
    </row>
    <row r="44169" customFormat="false" ht="12.8" hidden="false" customHeight="false" outlineLevel="0" collapsed="false">
      <c r="B44169" s="0" t="s">
        <v>3245</v>
      </c>
      <c r="C44169" s="0" t="s">
        <v>15928</v>
      </c>
      <c r="E44169" s="0" t="s">
        <v>15929</v>
      </c>
      <c r="F44169" s="0" t="s">
        <v>15930</v>
      </c>
    </row>
    <row r="44171" customFormat="false" ht="12.8" hidden="false" customHeight="false" outlineLevel="0" collapsed="false">
      <c r="A44171" s="0" t="s">
        <v>15931</v>
      </c>
      <c r="B44171" s="0" t="str">
        <f aca="false">HYPERLINK("https://lindat.mff.cuni.cz/services/teitok/pdtc10/index.php?action=vallex&amp;frame=v-w6123f13_ZU", "skončit (v-w6123f13_ZU)")</f>
        <v>skončit (v-w6123f13_ZU)</v>
      </c>
      <c r="E44171" s="0" t="str">
        <f aca="false">HYPERLINK("https://lindat.mff.cuni.cz/services/SynSemClass40/SynSemClass40.html?veclass=vec00741#vec00741-ces-cm00011", "vec00741")</f>
        <v>vec00741</v>
      </c>
      <c r="F44171" s="0" t="s">
        <v>5600</v>
      </c>
    </row>
    <row r="44172" customFormat="false" ht="12.8" hidden="false" customHeight="false" outlineLevel="0" collapsed="false">
      <c r="B44172" s="0" t="s">
        <v>1</v>
      </c>
      <c r="C44172" s="0" t="s">
        <v>15932</v>
      </c>
      <c r="E44172" s="0" t="s">
        <v>957</v>
      </c>
      <c r="F44172" s="0" t="s">
        <v>5602</v>
      </c>
    </row>
    <row r="44173" customFormat="false" ht="12.8" hidden="false" customHeight="false" outlineLevel="0" collapsed="false">
      <c r="B44173" s="0" t="s">
        <v>390</v>
      </c>
      <c r="E44173" s="0" t="s">
        <v>2403</v>
      </c>
      <c r="F44173" s="0" t="s">
        <v>15933</v>
      </c>
    </row>
    <row r="44174" customFormat="false" ht="12.8" hidden="false" customHeight="false" outlineLevel="0" collapsed="false">
      <c r="B44174" s="0" t="s">
        <v>5</v>
      </c>
      <c r="C44174" s="0" t="s">
        <v>15934</v>
      </c>
      <c r="E44174" s="0" t="s">
        <v>15935</v>
      </c>
      <c r="F44174" s="0" t="s">
        <v>15936</v>
      </c>
    </row>
    <row r="44176" customFormat="false" ht="12.8" hidden="false" customHeight="false" outlineLevel="0" collapsed="false">
      <c r="A44176" s="0" t="s">
        <v>15931</v>
      </c>
      <c r="B44176" s="0" t="str">
        <f aca="false">HYPERLINK("https://lindat.mff.cuni.cz/services/teitok/pdtc10/index.php?action=vallex&amp;frame=v-w6123f10_ZU", "skončit (v-w6123f10_ZU) - substituted with v-w6123f13_ZU")</f>
        <v>skončit (v-w6123f10_ZU) - substituted with v-w6123f13_ZU</v>
      </c>
    </row>
    <row r="44177" customFormat="false" ht="12.8" hidden="false" customHeight="false" outlineLevel="0" collapsed="false">
      <c r="B44177" s="0" t="s">
        <v>1</v>
      </c>
    </row>
    <row r="44178" customFormat="false" ht="12.8" hidden="false" customHeight="false" outlineLevel="0" collapsed="false">
      <c r="B44178" s="0" t="s">
        <v>390</v>
      </c>
    </row>
    <row r="44179" customFormat="false" ht="12.8" hidden="false" customHeight="false" outlineLevel="0" collapsed="false">
      <c r="B44179" s="0" t="s">
        <v>5</v>
      </c>
    </row>
    <row r="44181" customFormat="false" ht="12.8" hidden="false" customHeight="false" outlineLevel="0" collapsed="false">
      <c r="A44181" s="0" t="s">
        <v>15931</v>
      </c>
      <c r="B44181" s="0" t="str">
        <f aca="false">HYPERLINK("https://lindat.mff.cuni.cz/services/teitok/pdtc10/index.php?action=vallex&amp;frame=v-w6123f2", "skončit (v-w6123f2) - substituted with v-w6123f13_ZU")</f>
        <v>skončit (v-w6123f2) - substituted with v-w6123f13_ZU</v>
      </c>
    </row>
    <row r="44182" customFormat="false" ht="12.8" hidden="false" customHeight="false" outlineLevel="0" collapsed="false">
      <c r="B44182" s="0" t="s">
        <v>1</v>
      </c>
    </row>
    <row r="44183" customFormat="false" ht="12.8" hidden="false" customHeight="false" outlineLevel="0" collapsed="false">
      <c r="B44183" s="0" t="s">
        <v>390</v>
      </c>
    </row>
    <row r="44184" customFormat="false" ht="12.8" hidden="false" customHeight="false" outlineLevel="0" collapsed="false">
      <c r="B44184" s="0" t="s">
        <v>5</v>
      </c>
    </row>
    <row r="44186" customFormat="false" ht="12.8" hidden="false" customHeight="false" outlineLevel="0" collapsed="false">
      <c r="A44186" s="0" t="s">
        <v>15931</v>
      </c>
      <c r="B44186" s="0" t="str">
        <f aca="false">HYPERLINK("https://lindat.mff.cuni.cz/services/teitok/pdtc10/index.php?action=vallex&amp;frame=v-w6123f9_ZU", "skončit (v-w6123f9_ZU) - substituted with v-w6123f13_ZU")</f>
        <v>skončit (v-w6123f9_ZU) - substituted with v-w6123f13_ZU</v>
      </c>
    </row>
    <row r="44187" customFormat="false" ht="12.8" hidden="false" customHeight="false" outlineLevel="0" collapsed="false">
      <c r="B44187" s="0" t="s">
        <v>1</v>
      </c>
    </row>
    <row r="44188" customFormat="false" ht="12.8" hidden="false" customHeight="false" outlineLevel="0" collapsed="false">
      <c r="B44188" s="0" t="s">
        <v>390</v>
      </c>
    </row>
    <row r="44189" customFormat="false" ht="12.8" hidden="false" customHeight="false" outlineLevel="0" collapsed="false">
      <c r="B44189" s="0" t="s">
        <v>5</v>
      </c>
    </row>
    <row r="44191" customFormat="false" ht="12.8" hidden="false" customHeight="false" outlineLevel="0" collapsed="false">
      <c r="A44191" s="0" t="s">
        <v>15937</v>
      </c>
      <c r="B44191" s="0" t="str">
        <f aca="false">HYPERLINK("https://lindat.mff.cuni.cz/services/teitok/pdtc10/index.php?action=vallex&amp;frame=v-w6123f1", "skončit (v-w6123f1)")</f>
        <v>skončit (v-w6123f1)</v>
      </c>
      <c r="E44191" s="0" t="str">
        <f aca="false">HYPERLINK("https://lindat.mff.cuni.cz/services/SynSemClass40/SynSemClass40.html?veclass=vec00113#vec00113-ces-cm00001", "vec00113")</f>
        <v>vec00113</v>
      </c>
      <c r="F44191" s="0" t="s">
        <v>2122</v>
      </c>
    </row>
    <row r="44192" customFormat="false" ht="12.8" hidden="false" customHeight="false" outlineLevel="0" collapsed="false">
      <c r="B44192" s="0" t="s">
        <v>1</v>
      </c>
      <c r="C44192" s="0" t="s">
        <v>4146</v>
      </c>
      <c r="E44192" s="0" t="s">
        <v>1084</v>
      </c>
      <c r="F44192" s="0" t="s">
        <v>2124</v>
      </c>
    </row>
    <row r="44194" customFormat="false" ht="12.8" hidden="false" customHeight="false" outlineLevel="0" collapsed="false">
      <c r="A44194" s="0" t="s">
        <v>15938</v>
      </c>
      <c r="B44194" s="0" t="str">
        <f aca="false">HYPERLINK("https://lindat.mff.cuni.cz/services/teitok/pdtc10/index.php?action=vallex&amp;frame=v-w6123f14_ZU", "skončit (v-w6123f14_ZU)")</f>
        <v>skončit (v-w6123f14_ZU)</v>
      </c>
    </row>
    <row r="44195" customFormat="false" ht="12.8" hidden="false" customHeight="false" outlineLevel="0" collapsed="false">
      <c r="B44195" s="0" t="s">
        <v>1</v>
      </c>
    </row>
    <row r="44196" customFormat="false" ht="12.8" hidden="false" customHeight="false" outlineLevel="0" collapsed="false">
      <c r="B44196" s="0" t="s">
        <v>725</v>
      </c>
    </row>
    <row r="44197" customFormat="false" ht="12.8" hidden="false" customHeight="false" outlineLevel="0" collapsed="false">
      <c r="B44197" s="0" t="s">
        <v>642</v>
      </c>
    </row>
    <row r="44198" customFormat="false" ht="12.8" hidden="false" customHeight="false" outlineLevel="0" collapsed="false">
      <c r="B44198" s="0" t="s">
        <v>646</v>
      </c>
    </row>
    <row r="44199" customFormat="false" ht="12.8" hidden="false" customHeight="false" outlineLevel="0" collapsed="false">
      <c r="B44199" s="0" t="s">
        <v>648</v>
      </c>
    </row>
    <row r="44200" customFormat="false" ht="12.8" hidden="false" customHeight="false" outlineLevel="0" collapsed="false">
      <c r="B44200" s="0" t="s">
        <v>650</v>
      </c>
    </row>
    <row r="44202" customFormat="false" ht="12.8" hidden="false" customHeight="false" outlineLevel="0" collapsed="false">
      <c r="A44202" s="0" t="s">
        <v>15938</v>
      </c>
      <c r="B44202" s="0" t="str">
        <f aca="false">HYPERLINK("https://lindat.mff.cuni.cz/services/teitok/pdtc10/index.php?action=vallex&amp;frame=v-w6123f4", "skončit (v-w6123f4) - substituted with v-w6123f14_ZU")</f>
        <v>skončit (v-w6123f4) - substituted with v-w6123f14_ZU</v>
      </c>
      <c r="E44202" s="0" t="str">
        <f aca="false">HYPERLINK("https://lindat.mff.cuni.cz/services/SynSemClass40/SynSemClass40.html?veclass=vec00309#vec00309-ces-cm00001", "vec00309")</f>
        <v>vec00309</v>
      </c>
      <c r="F44202" s="0" t="s">
        <v>1081</v>
      </c>
    </row>
    <row r="44203" customFormat="false" ht="12.8" hidden="false" customHeight="false" outlineLevel="0" collapsed="false">
      <c r="B44203" s="0" t="s">
        <v>1</v>
      </c>
      <c r="C44203" s="0" t="s">
        <v>2542</v>
      </c>
      <c r="E44203" s="0" t="s">
        <v>1084</v>
      </c>
      <c r="F44203" s="0" t="s">
        <v>1085</v>
      </c>
    </row>
    <row r="44204" customFormat="false" ht="12.8" hidden="false" customHeight="false" outlineLevel="0" collapsed="false">
      <c r="B44204" s="0" t="s">
        <v>725</v>
      </c>
      <c r="C44204" s="0" t="s">
        <v>2543</v>
      </c>
      <c r="E44204" s="0" t="s">
        <v>15939</v>
      </c>
      <c r="F44204" s="0" t="s">
        <v>15940</v>
      </c>
    </row>
    <row r="44205" customFormat="false" ht="12.8" hidden="false" customHeight="false" outlineLevel="0" collapsed="false">
      <c r="B44205" s="0" t="s">
        <v>642</v>
      </c>
      <c r="C44205" s="0" t="s">
        <v>2546</v>
      </c>
      <c r="E44205" s="0" t="s">
        <v>15939</v>
      </c>
      <c r="F44205" s="0" t="s">
        <v>15940</v>
      </c>
    </row>
    <row r="44206" customFormat="false" ht="12.8" hidden="false" customHeight="false" outlineLevel="0" collapsed="false">
      <c r="B44206" s="0" t="s">
        <v>646</v>
      </c>
      <c r="C44206" s="0" t="s">
        <v>15941</v>
      </c>
      <c r="E44206" s="0" t="s">
        <v>15939</v>
      </c>
      <c r="F44206" s="0" t="s">
        <v>15940</v>
      </c>
    </row>
    <row r="44207" customFormat="false" ht="12.8" hidden="false" customHeight="false" outlineLevel="0" collapsed="false">
      <c r="B44207" s="0" t="s">
        <v>648</v>
      </c>
      <c r="C44207" s="0" t="s">
        <v>2547</v>
      </c>
      <c r="E44207" s="0" t="s">
        <v>15939</v>
      </c>
      <c r="F44207" s="0" t="s">
        <v>15940</v>
      </c>
    </row>
    <row r="44208" customFormat="false" ht="12.8" hidden="false" customHeight="false" outlineLevel="0" collapsed="false">
      <c r="B44208" s="0" t="s">
        <v>650</v>
      </c>
      <c r="C44208" s="0" t="s">
        <v>2548</v>
      </c>
      <c r="E44208" s="0" t="s">
        <v>15939</v>
      </c>
      <c r="F44208" s="0" t="s">
        <v>15940</v>
      </c>
    </row>
    <row r="44210" customFormat="false" ht="12.8" hidden="false" customHeight="false" outlineLevel="0" collapsed="false">
      <c r="A44210" s="0" t="s">
        <v>15942</v>
      </c>
      <c r="B44210" s="0" t="str">
        <f aca="false">HYPERLINK("https://lindat.mff.cuni.cz/services/teitok/pdtc10/index.php?action=vallex&amp;frame=v-w6123f6", "skončit (v-w6123f6)")</f>
        <v>skončit (v-w6123f6)</v>
      </c>
    </row>
    <row r="44211" customFormat="false" ht="12.8" hidden="false" customHeight="false" outlineLevel="0" collapsed="false">
      <c r="B44211" s="0" t="s">
        <v>1</v>
      </c>
    </row>
    <row r="44212" customFormat="false" ht="12.8" hidden="false" customHeight="false" outlineLevel="0" collapsed="false">
      <c r="B44212" s="0" t="s">
        <v>725</v>
      </c>
    </row>
    <row r="44213" customFormat="false" ht="12.8" hidden="false" customHeight="false" outlineLevel="0" collapsed="false">
      <c r="B44213" s="0" t="s">
        <v>642</v>
      </c>
    </row>
    <row r="44214" customFormat="false" ht="12.8" hidden="false" customHeight="false" outlineLevel="0" collapsed="false">
      <c r="B44214" s="0" t="s">
        <v>646</v>
      </c>
    </row>
    <row r="44215" customFormat="false" ht="12.8" hidden="false" customHeight="false" outlineLevel="0" collapsed="false">
      <c r="B44215" s="0" t="s">
        <v>648</v>
      </c>
    </row>
    <row r="44216" customFormat="false" ht="12.8" hidden="false" customHeight="false" outlineLevel="0" collapsed="false">
      <c r="B44216" s="0" t="s">
        <v>650</v>
      </c>
    </row>
    <row r="44218" customFormat="false" ht="12.8" hidden="false" customHeight="false" outlineLevel="0" collapsed="false">
      <c r="A44218" s="0" t="s">
        <v>15943</v>
      </c>
      <c r="B44218" s="0" t="str">
        <f aca="false">HYPERLINK("https://lindat.mff.cuni.cz/services/teitok/pdtc10/index.php?action=vallex&amp;frame=v-w6123f12_ZU", "skončit (v-w6123f12_ZU)")</f>
        <v>skončit (v-w6123f12_ZU)</v>
      </c>
    </row>
    <row r="44219" customFormat="false" ht="12.8" hidden="false" customHeight="false" outlineLevel="0" collapsed="false">
      <c r="B44219" s="0" t="s">
        <v>1</v>
      </c>
    </row>
    <row r="44220" customFormat="false" ht="12.8" hidden="false" customHeight="false" outlineLevel="0" collapsed="false">
      <c r="B44220" s="0" t="s">
        <v>15944</v>
      </c>
    </row>
    <row r="44222" customFormat="false" ht="12.8" hidden="false" customHeight="false" outlineLevel="0" collapsed="false">
      <c r="A44222" s="0" t="s">
        <v>15943</v>
      </c>
      <c r="B44222" s="0" t="str">
        <f aca="false">HYPERLINK("https://lindat.mff.cuni.cz/services/teitok/pdtc10/index.php?action=vallex&amp;frame=v-w6123hsa_491", "skončit (v-w6123hsa_491) - substituted with v-w6123f12_ZU")</f>
        <v>skončit (v-w6123hsa_491) - substituted with v-w6123f12_ZU</v>
      </c>
    </row>
    <row r="44223" customFormat="false" ht="12.8" hidden="false" customHeight="false" outlineLevel="0" collapsed="false">
      <c r="B44223" s="0" t="s">
        <v>1</v>
      </c>
    </row>
    <row r="44224" customFormat="false" ht="12.8" hidden="false" customHeight="false" outlineLevel="0" collapsed="false">
      <c r="B44224" s="0" t="s">
        <v>15944</v>
      </c>
    </row>
    <row r="44226" customFormat="false" ht="12.8" hidden="false" customHeight="false" outlineLevel="0" collapsed="false">
      <c r="A44226" s="0" t="s">
        <v>15945</v>
      </c>
      <c r="B44226" s="0" t="str">
        <f aca="false">HYPERLINK("https://lindat.mff.cuni.cz/services/teitok/pdtc10/index.php?action=vallex&amp;frame=v-w6123f7_ZU", "skončit (v-w6123f7_ZU)")</f>
        <v>skončit (v-w6123f7_ZU)</v>
      </c>
    </row>
    <row r="44227" customFormat="false" ht="12.8" hidden="false" customHeight="false" outlineLevel="0" collapsed="false">
      <c r="B44227" s="0" t="s">
        <v>1</v>
      </c>
    </row>
    <row r="44228" customFormat="false" ht="12.8" hidden="false" customHeight="false" outlineLevel="0" collapsed="false">
      <c r="B44228" s="0" t="s">
        <v>3245</v>
      </c>
    </row>
    <row r="44230" customFormat="false" ht="12.8" hidden="false" customHeight="false" outlineLevel="0" collapsed="false">
      <c r="A44230" s="0" t="s">
        <v>15946</v>
      </c>
      <c r="B44230" s="0" t="str">
        <f aca="false">HYPERLINK("https://lindat.mff.cuni.cz/services/teitok/pdtc10/index.php?action=vallex&amp;frame=v-w6123f8_ZU", "skončit (v-w6123f8_ZU)")</f>
        <v>skončit (v-w6123f8_ZU)</v>
      </c>
    </row>
    <row r="44231" customFormat="false" ht="12.8" hidden="false" customHeight="false" outlineLevel="0" collapsed="false">
      <c r="B44231" s="0" t="s">
        <v>1</v>
      </c>
    </row>
    <row r="44232" customFormat="false" ht="12.8" hidden="false" customHeight="false" outlineLevel="0" collapsed="false">
      <c r="B44232" s="0" t="s">
        <v>8</v>
      </c>
    </row>
    <row r="44233" customFormat="false" ht="12.8" hidden="false" customHeight="false" outlineLevel="0" collapsed="false">
      <c r="B44233" s="0" t="s">
        <v>1262</v>
      </c>
    </row>
    <row r="44235" customFormat="false" ht="12.8" hidden="false" customHeight="false" outlineLevel="0" collapsed="false">
      <c r="A44235" s="0" t="s">
        <v>15947</v>
      </c>
      <c r="B44235" s="0" t="str">
        <f aca="false">HYPERLINK("https://lindat.mff.cuni.cz/services/teitok/pdtc10/index.php?action=vallex&amp;frame=v-w6124f1", "skončit se (v-w6124f1)")</f>
        <v>skončit se (v-w6124f1)</v>
      </c>
    </row>
    <row r="44236" customFormat="false" ht="12.8" hidden="false" customHeight="false" outlineLevel="0" collapsed="false">
      <c r="B44236" s="0" t="s">
        <v>1</v>
      </c>
    </row>
    <row r="44238" customFormat="false" ht="12.8" hidden="false" customHeight="false" outlineLevel="0" collapsed="false">
      <c r="A44238" s="0" t="s">
        <v>15948</v>
      </c>
      <c r="B44238" s="0" t="str">
        <f aca="false">HYPERLINK("https://lindat.mff.cuni.cz/services/teitok/pdtc10/index.php?action=vallex&amp;frame=v-w10182f2", "skotačit (v-w10182f2)")</f>
        <v>skotačit (v-w10182f2)</v>
      </c>
      <c r="E44238" s="0" t="str">
        <f aca="false">HYPERLINK("https://lindat.mff.cuni.cz/services/SynSemClass40/SynSemClass40.html?veclass=vec00922#vec00922-ces-cm00001", "vec00922")</f>
        <v>vec00922</v>
      </c>
      <c r="F44238" s="0" t="s">
        <v>15949</v>
      </c>
    </row>
    <row r="44239" customFormat="false" ht="12.8" hidden="false" customHeight="false" outlineLevel="0" collapsed="false">
      <c r="B44239" s="0" t="s">
        <v>1</v>
      </c>
      <c r="C44239" s="0" t="s">
        <v>1752</v>
      </c>
      <c r="E44239" s="0" t="s">
        <v>334</v>
      </c>
      <c r="F44239" s="0" t="s">
        <v>15950</v>
      </c>
    </row>
    <row r="44241" customFormat="false" ht="12.8" hidden="false" customHeight="false" outlineLevel="0" collapsed="false">
      <c r="A44241" s="0" t="s">
        <v>15951</v>
      </c>
      <c r="B44241" s="0" t="str">
        <f aca="false">HYPERLINK("https://lindat.mff.cuni.cz/services/teitok/pdtc10/index.php?action=vallex&amp;frame=v-w11737_ZUf1_ZU", "skoulet (v-w11737_ZUf1_ZU)")</f>
        <v>skoulet (v-w11737_ZUf1_ZU)</v>
      </c>
    </row>
    <row r="44242" customFormat="false" ht="12.8" hidden="false" customHeight="false" outlineLevel="0" collapsed="false">
      <c r="B44242" s="0" t="s">
        <v>1</v>
      </c>
    </row>
    <row r="44243" customFormat="false" ht="12.8" hidden="false" customHeight="false" outlineLevel="0" collapsed="false">
      <c r="B44243" s="0" t="s">
        <v>8</v>
      </c>
    </row>
    <row r="44244" customFormat="false" ht="12.8" hidden="false" customHeight="false" outlineLevel="0" collapsed="false">
      <c r="B44244" s="0" t="s">
        <v>36</v>
      </c>
    </row>
    <row r="44245" customFormat="false" ht="12.8" hidden="false" customHeight="false" outlineLevel="0" collapsed="false">
      <c r="B44245" s="0" t="s">
        <v>101</v>
      </c>
    </row>
    <row r="44247" customFormat="false" ht="12.8" hidden="false" customHeight="false" outlineLevel="0" collapsed="false">
      <c r="A44247" s="0" t="s">
        <v>15952</v>
      </c>
      <c r="B44247" s="0" t="str">
        <f aca="false">HYPERLINK("https://lindat.mff.cuni.cz/services/teitok/pdtc10/index.php?action=vallex&amp;frame=v-w10741f2", "skoupit (v-w10741f2)")</f>
        <v>skoupit (v-w10741f2)</v>
      </c>
      <c r="E44247" s="0" t="str">
        <f aca="false">HYPERLINK("https://lindat.mff.cuni.cz/services/SynSemClass40/SynSemClass40.html?veclass=vec00035#vec00035-ces-cm00013", "vec00035")</f>
        <v>vec00035</v>
      </c>
      <c r="F44247" s="0" t="s">
        <v>5701</v>
      </c>
    </row>
    <row r="44248" customFormat="false" ht="12.8" hidden="false" customHeight="false" outlineLevel="0" collapsed="false">
      <c r="B44248" s="0" t="s">
        <v>1</v>
      </c>
      <c r="C44248" s="0" t="s">
        <v>5702</v>
      </c>
      <c r="E44248" s="0" t="s">
        <v>5703</v>
      </c>
      <c r="F44248" s="0" t="s">
        <v>5704</v>
      </c>
    </row>
    <row r="44249" customFormat="false" ht="12.8" hidden="false" customHeight="false" outlineLevel="0" collapsed="false">
      <c r="B44249" s="0" t="s">
        <v>8</v>
      </c>
      <c r="C44249" s="0" t="s">
        <v>5705</v>
      </c>
      <c r="E44249" s="0" t="s">
        <v>3201</v>
      </c>
      <c r="F44249" s="0" t="s">
        <v>5706</v>
      </c>
    </row>
    <row r="44250" customFormat="false" ht="12.8" hidden="false" customHeight="false" outlineLevel="0" collapsed="false">
      <c r="B44250" s="0" t="s">
        <v>602</v>
      </c>
      <c r="C44250" s="0" t="s">
        <v>5709</v>
      </c>
      <c r="E44250" s="0" t="s">
        <v>5710</v>
      </c>
      <c r="F44250" s="0" t="s">
        <v>5711</v>
      </c>
    </row>
    <row r="44252" customFormat="false" ht="12.8" hidden="false" customHeight="false" outlineLevel="0" collapsed="false">
      <c r="A44252" s="0" t="s">
        <v>15953</v>
      </c>
      <c r="B44252" s="0" t="str">
        <f aca="false">HYPERLINK("https://lindat.mff.cuni.cz/services/teitok/pdtc10/index.php?action=vallex&amp;frame=v-whsa_1417hsa_1418", "skousnout (v-whsa_1417hsa_1418)")</f>
        <v>skousnout (v-whsa_1417hsa_1418)</v>
      </c>
    </row>
    <row r="44253" customFormat="false" ht="12.8" hidden="false" customHeight="false" outlineLevel="0" collapsed="false">
      <c r="B44253" s="0" t="s">
        <v>1</v>
      </c>
    </row>
    <row r="44254" customFormat="false" ht="12.8" hidden="false" customHeight="false" outlineLevel="0" collapsed="false">
      <c r="B44254" s="0" t="s">
        <v>8</v>
      </c>
    </row>
    <row r="44256" customFormat="false" ht="12.8" hidden="false" customHeight="false" outlineLevel="0" collapsed="false">
      <c r="A44256" s="0" t="s">
        <v>15954</v>
      </c>
      <c r="B44256" s="0" t="str">
        <f aca="false">HYPERLINK("https://lindat.mff.cuni.cz/services/teitok/pdtc10/index.php?action=vallex&amp;frame=v-w6119f4_ZU", "skočit (v-w6119f4_ZU)")</f>
        <v>skočit (v-w6119f4_ZU)</v>
      </c>
    </row>
    <row r="44257" customFormat="false" ht="12.8" hidden="false" customHeight="false" outlineLevel="0" collapsed="false">
      <c r="B44257" s="0" t="s">
        <v>1</v>
      </c>
    </row>
    <row r="44258" customFormat="false" ht="12.8" hidden="false" customHeight="false" outlineLevel="0" collapsed="false">
      <c r="B44258" s="0" t="s">
        <v>45</v>
      </c>
    </row>
    <row r="44260" customFormat="false" ht="12.8" hidden="false" customHeight="false" outlineLevel="0" collapsed="false">
      <c r="A44260" s="0" t="s">
        <v>15955</v>
      </c>
      <c r="B44260" s="0" t="str">
        <f aca="false">HYPERLINK("https://lindat.mff.cuni.cz/services/teitok/pdtc10/index.php?action=vallex&amp;frame=v-w6119f3_ZU", "skočit (v-w6119f3_ZU)")</f>
        <v>skočit (v-w6119f3_ZU)</v>
      </c>
      <c r="E44260" s="0" t="str">
        <f aca="false">HYPERLINK("https://lindat.mff.cuni.cz/services/SynSemClass40/SynSemClass40.html?veclass=vec00713#vec00713-ces-cm00001", "vec00713")</f>
        <v>vec00713</v>
      </c>
      <c r="F44260" s="0" t="s">
        <v>15516</v>
      </c>
    </row>
    <row r="44261" customFormat="false" ht="12.8" hidden="false" customHeight="false" outlineLevel="0" collapsed="false">
      <c r="B44261" s="0" t="s">
        <v>1</v>
      </c>
      <c r="C44261" s="0" t="s">
        <v>239</v>
      </c>
      <c r="E44261" s="0" t="s">
        <v>11</v>
      </c>
      <c r="F44261" s="0" t="s">
        <v>15517</v>
      </c>
    </row>
    <row r="44262" customFormat="false" ht="12.8" hidden="false" customHeight="false" outlineLevel="0" collapsed="false">
      <c r="B44262" s="0" t="s">
        <v>1659</v>
      </c>
      <c r="C44262" s="0" t="s">
        <v>5391</v>
      </c>
      <c r="E44262" s="0" t="s">
        <v>15519</v>
      </c>
      <c r="F44262" s="0" t="s">
        <v>15520</v>
      </c>
    </row>
    <row r="44264" customFormat="false" ht="12.8" hidden="false" customHeight="false" outlineLevel="0" collapsed="false">
      <c r="A44264" s="0" t="s">
        <v>15956</v>
      </c>
      <c r="B44264" s="0" t="str">
        <f aca="false">HYPERLINK("https://lindat.mff.cuni.cz/services/teitok/pdtc10/index.php?action=vallex&amp;frame=v-w6119f1", "skočit (v-w6119f1)")</f>
        <v>skočit (v-w6119f1)</v>
      </c>
      <c r="E44264" s="0" t="str">
        <f aca="false">HYPERLINK("https://lindat.mff.cuni.cz/services/SynSemClass40/SynSemClass40.html?veclass=vec01113#vec01113-ces-cm00011", "vec01113")</f>
        <v>vec01113</v>
      </c>
      <c r="F44264" s="0" t="s">
        <v>7156</v>
      </c>
    </row>
    <row r="44265" customFormat="false" ht="12.8" hidden="false" customHeight="false" outlineLevel="0" collapsed="false">
      <c r="B44265" s="0" t="s">
        <v>1</v>
      </c>
      <c r="C44265" s="0" t="s">
        <v>512</v>
      </c>
      <c r="E44265" s="0" t="s">
        <v>334</v>
      </c>
      <c r="F44265" s="0" t="s">
        <v>1304</v>
      </c>
    </row>
    <row r="44266" customFormat="false" ht="12.8" hidden="false" customHeight="false" outlineLevel="0" collapsed="false">
      <c r="B44266" s="0" t="s">
        <v>390</v>
      </c>
    </row>
    <row r="44268" customFormat="false" ht="12.8" hidden="false" customHeight="false" outlineLevel="0" collapsed="false">
      <c r="A44268" s="0" t="s">
        <v>15957</v>
      </c>
      <c r="B44268" s="0" t="str">
        <f aca="false">HYPERLINK("https://lindat.mff.cuni.cz/services/teitok/pdtc10/index.php?action=vallex&amp;frame=v-w6119f2", "skočit (v-w6119f2)")</f>
        <v>skočit (v-w6119f2)</v>
      </c>
      <c r="E44268" s="0" t="str">
        <f aca="false">HYPERLINK("https://lindat.mff.cuni.cz/services/SynSemClass40/SynSemClass40.html?veclass=vec00747#vec00747-ces-cm00035", "vec00747")</f>
        <v>vec00747</v>
      </c>
      <c r="F44268" s="0" t="s">
        <v>4577</v>
      </c>
    </row>
    <row r="44269" customFormat="false" ht="12.8" hidden="false" customHeight="false" outlineLevel="0" collapsed="false">
      <c r="B44269" s="0" t="s">
        <v>1</v>
      </c>
      <c r="C44269" s="0" t="s">
        <v>447</v>
      </c>
      <c r="E44269" s="0" t="s">
        <v>334</v>
      </c>
      <c r="F44269" s="0" t="s">
        <v>4580</v>
      </c>
    </row>
    <row r="44270" customFormat="false" ht="12.8" hidden="false" customHeight="false" outlineLevel="0" collapsed="false">
      <c r="B44270" s="0" t="s">
        <v>164</v>
      </c>
      <c r="C44270" s="0" t="s">
        <v>15958</v>
      </c>
      <c r="E44270" s="0" t="s">
        <v>370</v>
      </c>
      <c r="F44270" s="0" t="s">
        <v>2451</v>
      </c>
    </row>
    <row r="44272" customFormat="false" ht="12.8" hidden="false" customHeight="false" outlineLevel="0" collapsed="false">
      <c r="A44272" s="0" t="s">
        <v>15959</v>
      </c>
      <c r="B44272" s="0" t="str">
        <f aca="false">HYPERLINK("https://lindat.mff.cuni.cz/services/teitok/pdtc10/index.php?action=vallex&amp;frame=v-w6119hsa_113", "skočit (v-w6119hsa_113)")</f>
        <v>skočit (v-w6119hsa_113)</v>
      </c>
      <c r="E44272" s="0" t="str">
        <f aca="false">HYPERLINK("https://lindat.mff.cuni.cz/services/SynSemClass40/SynSemClass40.html?veclass=vec00109#vec00109-ces-cm00105", "vec00109")</f>
        <v>vec00109</v>
      </c>
      <c r="F44272" s="0" t="s">
        <v>5143</v>
      </c>
    </row>
    <row r="44273" customFormat="false" ht="12.8" hidden="false" customHeight="false" outlineLevel="0" collapsed="false">
      <c r="B44273" s="0" t="s">
        <v>1</v>
      </c>
      <c r="C44273" s="0" t="s">
        <v>7017</v>
      </c>
      <c r="E44273" s="0" t="s">
        <v>235</v>
      </c>
      <c r="F44273" s="0" t="s">
        <v>5146</v>
      </c>
    </row>
    <row r="44274" customFormat="false" ht="12.8" hidden="false" customHeight="false" outlineLevel="0" collapsed="false">
      <c r="B44274" s="0" t="s">
        <v>69</v>
      </c>
      <c r="C44274" s="0" t="s">
        <v>5148</v>
      </c>
      <c r="E44274" s="0" t="s">
        <v>5149</v>
      </c>
      <c r="F44274" s="0" t="s">
        <v>5150</v>
      </c>
    </row>
    <row r="44275" customFormat="false" ht="12.8" hidden="false" customHeight="false" outlineLevel="0" collapsed="false">
      <c r="B44275" s="0" t="s">
        <v>36</v>
      </c>
      <c r="C44275" s="0" t="s">
        <v>5151</v>
      </c>
      <c r="E44275" s="0" t="s">
        <v>5152</v>
      </c>
      <c r="F44275" s="0" t="s">
        <v>5153</v>
      </c>
    </row>
    <row r="44277" customFormat="false" ht="12.8" hidden="false" customHeight="false" outlineLevel="0" collapsed="false">
      <c r="A44277" s="0" t="s">
        <v>15960</v>
      </c>
      <c r="B44277" s="0" t="str">
        <f aca="false">HYPERLINK("https://lindat.mff.cuni.cz/services/teitok/pdtc10/index.php?action=vallex&amp;frame=v-w6119f5_ZU", "skočit (v-w6119f5_ZU)")</f>
        <v>skočit (v-w6119f5_ZU)</v>
      </c>
    </row>
    <row r="44278" customFormat="false" ht="12.8" hidden="false" customHeight="false" outlineLevel="0" collapsed="false">
      <c r="B44278" s="0" t="s">
        <v>1</v>
      </c>
    </row>
    <row r="44279" customFormat="false" ht="12.8" hidden="false" customHeight="false" outlineLevel="0" collapsed="false">
      <c r="B44279" s="0" t="s">
        <v>45</v>
      </c>
    </row>
    <row r="44281" customFormat="false" ht="12.8" hidden="false" customHeight="false" outlineLevel="0" collapsed="false">
      <c r="A44281" s="0" t="s">
        <v>15961</v>
      </c>
      <c r="B44281" s="0" t="str">
        <f aca="false">HYPERLINK("https://lindat.mff.cuni.cz/services/teitok/pdtc10/index.php?action=vallex&amp;frame=v-w6119f6_ZU", "skočit (v-w6119f6_ZU)")</f>
        <v>skočit (v-w6119f6_ZU)</v>
      </c>
    </row>
    <row r="44282" customFormat="false" ht="12.8" hidden="false" customHeight="false" outlineLevel="0" collapsed="false">
      <c r="B44282" s="0" t="s">
        <v>1</v>
      </c>
    </row>
    <row r="44283" customFormat="false" ht="12.8" hidden="false" customHeight="false" outlineLevel="0" collapsed="false">
      <c r="B44283" s="0" t="s">
        <v>454</v>
      </c>
    </row>
    <row r="44285" customFormat="false" ht="12.8" hidden="false" customHeight="false" outlineLevel="0" collapsed="false">
      <c r="A44285" s="0" t="s">
        <v>15962</v>
      </c>
      <c r="B44285" s="0" t="str">
        <f aca="false">HYPERLINK("https://lindat.mff.cuni.cz/services/teitok/pdtc10/index.php?action=vallex&amp;frame=v-w6126f1", "skrečovat (v-w6126f1)")</f>
        <v>skrečovat (v-w6126f1)</v>
      </c>
    </row>
    <row r="44286" customFormat="false" ht="12.8" hidden="false" customHeight="false" outlineLevel="0" collapsed="false">
      <c r="B44286" s="0" t="s">
        <v>1</v>
      </c>
    </row>
    <row r="44287" customFormat="false" ht="12.8" hidden="false" customHeight="false" outlineLevel="0" collapsed="false">
      <c r="B44287" s="0" t="s">
        <v>8</v>
      </c>
    </row>
    <row r="44289" customFormat="false" ht="12.8" hidden="false" customHeight="false" outlineLevel="0" collapsed="false">
      <c r="A44289" s="0" t="s">
        <v>15963</v>
      </c>
      <c r="B44289" s="0" t="str">
        <f aca="false">HYPERLINK("https://lindat.mff.cuni.cz/services/teitok/pdtc10/index.php?action=vallex&amp;frame=v-w6128f1", "skrýt (v-w6128f1)")</f>
        <v>skrýt (v-w6128f1)</v>
      </c>
      <c r="E44289" s="0" t="str">
        <f aca="false">HYPERLINK("https://lindat.mff.cuni.cz/services/SynSemClass40/SynSemClass40.html?veclass=vec00514#vec00514-ces-cm00001", "vec00514")</f>
        <v>vec00514</v>
      </c>
      <c r="F44289" s="0" t="s">
        <v>5808</v>
      </c>
    </row>
    <row r="44290" customFormat="false" ht="12.8" hidden="false" customHeight="false" outlineLevel="0" collapsed="false">
      <c r="B44290" s="0" t="s">
        <v>1</v>
      </c>
      <c r="C44290" s="0" t="s">
        <v>5809</v>
      </c>
      <c r="E44290" s="0" t="s">
        <v>4243</v>
      </c>
      <c r="F44290" s="0" t="s">
        <v>5810</v>
      </c>
    </row>
    <row r="44291" customFormat="false" ht="12.8" hidden="false" customHeight="false" outlineLevel="0" collapsed="false">
      <c r="B44291" s="0" t="s">
        <v>4245</v>
      </c>
      <c r="C44291" s="0" t="s">
        <v>5811</v>
      </c>
      <c r="E44291" s="0" t="s">
        <v>4246</v>
      </c>
      <c r="F44291" s="0" t="s">
        <v>5812</v>
      </c>
    </row>
    <row r="44292" customFormat="false" ht="12.8" hidden="false" customHeight="false" outlineLevel="0" collapsed="false">
      <c r="B44292" s="0" t="s">
        <v>4248</v>
      </c>
      <c r="C44292" s="0" t="s">
        <v>5813</v>
      </c>
      <c r="E44292" s="0" t="s">
        <v>5814</v>
      </c>
      <c r="F44292" s="0" t="s">
        <v>5815</v>
      </c>
    </row>
    <row r="44294" customFormat="false" ht="12.8" hidden="false" customHeight="false" outlineLevel="0" collapsed="false">
      <c r="A44294" s="0" t="s">
        <v>15964</v>
      </c>
      <c r="B44294" s="0" t="str">
        <f aca="false">HYPERLINK("https://lindat.mff.cuni.cz/services/teitok/pdtc10/index.php?action=vallex&amp;frame=v-w6128f2", "skrýt (v-w6128f2)")</f>
        <v>skrýt (v-w6128f2)</v>
      </c>
    </row>
    <row r="44295" customFormat="false" ht="12.8" hidden="false" customHeight="false" outlineLevel="0" collapsed="false">
      <c r="B44295" s="0" t="s">
        <v>1</v>
      </c>
    </row>
    <row r="44296" customFormat="false" ht="12.8" hidden="false" customHeight="false" outlineLevel="0" collapsed="false">
      <c r="B44296" s="0" t="s">
        <v>15552</v>
      </c>
    </row>
    <row r="44297" customFormat="false" ht="12.8" hidden="false" customHeight="false" outlineLevel="0" collapsed="false">
      <c r="B44297" s="0" t="s">
        <v>496</v>
      </c>
    </row>
    <row r="44298" customFormat="false" ht="12.8" hidden="false" customHeight="false" outlineLevel="0" collapsed="false">
      <c r="B44298" s="0" t="s">
        <v>4248</v>
      </c>
    </row>
    <row r="44300" customFormat="false" ht="12.8" hidden="false" customHeight="false" outlineLevel="0" collapsed="false">
      <c r="A44300" s="0" t="s">
        <v>15965</v>
      </c>
      <c r="B44300" s="0" t="str">
        <f aca="false">HYPERLINK("https://lindat.mff.cuni.cz/services/teitok/pdtc10/index.php?action=vallex&amp;frame=v-w6130f1", "skrývat (v-w6130f1)")</f>
        <v>skrývat (v-w6130f1)</v>
      </c>
      <c r="E44300" s="0" t="str">
        <f aca="false">HYPERLINK("https://lindat.mff.cuni.cz/services/SynSemClass40/SynSemClass40.html?veclass=vec00514#vec00514-ces-cm00003", "vec00514")</f>
        <v>vec00514</v>
      </c>
      <c r="F44300" s="0" t="s">
        <v>5808</v>
      </c>
    </row>
    <row r="44301" customFormat="false" ht="12.8" hidden="false" customHeight="false" outlineLevel="0" collapsed="false">
      <c r="B44301" s="0" t="s">
        <v>1</v>
      </c>
      <c r="C44301" s="0" t="s">
        <v>5809</v>
      </c>
      <c r="E44301" s="0" t="s">
        <v>4243</v>
      </c>
      <c r="F44301" s="0" t="s">
        <v>5810</v>
      </c>
    </row>
    <row r="44302" customFormat="false" ht="12.8" hidden="false" customHeight="false" outlineLevel="0" collapsed="false">
      <c r="B44302" s="0" t="s">
        <v>4245</v>
      </c>
      <c r="C44302" s="0" t="s">
        <v>5811</v>
      </c>
      <c r="E44302" s="0" t="s">
        <v>4246</v>
      </c>
      <c r="F44302" s="0" t="s">
        <v>5812</v>
      </c>
    </row>
    <row r="44303" customFormat="false" ht="12.8" hidden="false" customHeight="false" outlineLevel="0" collapsed="false">
      <c r="B44303" s="0" t="s">
        <v>4248</v>
      </c>
      <c r="C44303" s="0" t="s">
        <v>5813</v>
      </c>
      <c r="E44303" s="0" t="s">
        <v>5814</v>
      </c>
      <c r="F44303" s="0" t="s">
        <v>5815</v>
      </c>
    </row>
    <row r="44305" customFormat="false" ht="12.8" hidden="false" customHeight="false" outlineLevel="0" collapsed="false">
      <c r="A44305" s="0" t="s">
        <v>15966</v>
      </c>
      <c r="B44305" s="0" t="str">
        <f aca="false">HYPERLINK("https://lindat.mff.cuni.cz/services/teitok/pdtc10/index.php?action=vallex&amp;frame=v-w6130f2", "skrývat (v-w6130f2)")</f>
        <v>skrývat (v-w6130f2)</v>
      </c>
    </row>
    <row r="44306" customFormat="false" ht="12.8" hidden="false" customHeight="false" outlineLevel="0" collapsed="false">
      <c r="B44306" s="0" t="s">
        <v>1</v>
      </c>
    </row>
    <row r="44307" customFormat="false" ht="12.8" hidden="false" customHeight="false" outlineLevel="0" collapsed="false">
      <c r="B44307" s="0" t="s">
        <v>15552</v>
      </c>
    </row>
    <row r="44308" customFormat="false" ht="12.8" hidden="false" customHeight="false" outlineLevel="0" collapsed="false">
      <c r="B44308" s="0" t="s">
        <v>496</v>
      </c>
    </row>
    <row r="44309" customFormat="false" ht="12.8" hidden="false" customHeight="false" outlineLevel="0" collapsed="false">
      <c r="B44309" s="0" t="s">
        <v>4248</v>
      </c>
    </row>
    <row r="44311" customFormat="false" ht="12.8" hidden="false" customHeight="false" outlineLevel="0" collapsed="false">
      <c r="A44311" s="0" t="s">
        <v>15967</v>
      </c>
      <c r="B44311" s="0" t="str">
        <f aca="false">HYPERLINK("https://lindat.mff.cuni.cz/services/teitok/pdtc10/index.php?action=vallex&amp;frame=v-w6130f3_ZU", "skrývat (v-w6130f3_ZU)")</f>
        <v>skrývat (v-w6130f3_ZU)</v>
      </c>
    </row>
    <row r="44312" customFormat="false" ht="12.8" hidden="false" customHeight="false" outlineLevel="0" collapsed="false">
      <c r="B44312" s="0" t="s">
        <v>1</v>
      </c>
    </row>
    <row r="44313" customFormat="false" ht="12.8" hidden="false" customHeight="false" outlineLevel="0" collapsed="false">
      <c r="B44313" s="0" t="s">
        <v>8</v>
      </c>
    </row>
    <row r="44315" customFormat="false" ht="12.8" hidden="false" customHeight="false" outlineLevel="0" collapsed="false">
      <c r="A44315" s="0" t="s">
        <v>15968</v>
      </c>
      <c r="B44315" s="0" t="str">
        <f aca="false">HYPERLINK("https://lindat.mff.cuni.cz/services/teitok/pdtc10/index.php?action=vallex&amp;frame=v-w6131f1", "skrývat se (v-w6131f1)")</f>
        <v>skrývat se (v-w6131f1)</v>
      </c>
      <c r="E44315" s="0" t="str">
        <f aca="false">HYPERLINK("https://lindat.mff.cuni.cz/services/SynSemClass40/SynSemClass40.html?veclass=vec00714#vec00714-ces-cm00001", "vec00714")</f>
        <v>vec00714</v>
      </c>
      <c r="F44315" s="0" t="s">
        <v>15969</v>
      </c>
    </row>
    <row r="44316" customFormat="false" ht="12.8" hidden="false" customHeight="false" outlineLevel="0" collapsed="false">
      <c r="B44316" s="0" t="s">
        <v>1</v>
      </c>
      <c r="C44316" s="0" t="s">
        <v>549</v>
      </c>
      <c r="E44316" s="0" t="s">
        <v>4243</v>
      </c>
      <c r="F44316" s="0" t="s">
        <v>15970</v>
      </c>
    </row>
    <row r="44317" customFormat="false" ht="12.8" hidden="false" customHeight="false" outlineLevel="0" collapsed="false">
      <c r="B44317" s="0" t="s">
        <v>5</v>
      </c>
      <c r="E44317" s="0" t="s">
        <v>3254</v>
      </c>
      <c r="F44317" s="0" t="s">
        <v>3255</v>
      </c>
    </row>
    <row r="44319" customFormat="false" ht="12.8" hidden="false" customHeight="false" outlineLevel="0" collapsed="false">
      <c r="A44319" s="0" t="s">
        <v>15971</v>
      </c>
      <c r="B44319" s="0" t="str">
        <f aca="false">HYPERLINK("https://lindat.mff.cuni.cz/services/teitok/pdtc10/index.php?action=vallex&amp;frame=v-w11910_ZUf1_ZU", "skrčit (v-w11910_ZUf1_ZU)")</f>
        <v>skrčit (v-w11910_ZUf1_ZU)</v>
      </c>
    </row>
    <row r="44320" customFormat="false" ht="12.8" hidden="false" customHeight="false" outlineLevel="0" collapsed="false">
      <c r="B44320" s="0" t="s">
        <v>1</v>
      </c>
    </row>
    <row r="44321" customFormat="false" ht="12.8" hidden="false" customHeight="false" outlineLevel="0" collapsed="false">
      <c r="B44321" s="0" t="s">
        <v>8</v>
      </c>
    </row>
    <row r="44323" customFormat="false" ht="12.8" hidden="false" customHeight="false" outlineLevel="0" collapsed="false">
      <c r="A44323" s="0" t="s">
        <v>15972</v>
      </c>
      <c r="B44323" s="0" t="str">
        <f aca="false">HYPERLINK("https://lindat.mff.cuni.cz/services/teitok/pdtc10/index.php?action=vallex&amp;frame=v-w12054_ZUf1_ZU", "skrčit se (v-w12054_ZUf1_ZU)")</f>
        <v>skrčit se (v-w12054_ZUf1_ZU)</v>
      </c>
    </row>
    <row r="44324" customFormat="false" ht="12.8" hidden="false" customHeight="false" outlineLevel="0" collapsed="false">
      <c r="B44324" s="0" t="s">
        <v>1</v>
      </c>
    </row>
    <row r="44326" customFormat="false" ht="12.8" hidden="false" customHeight="false" outlineLevel="0" collapsed="false">
      <c r="A44326" s="0" t="s">
        <v>15973</v>
      </c>
      <c r="B44326" s="0" t="str">
        <f aca="false">HYPERLINK("https://lindat.mff.cuni.cz/services/teitok/pdtc10/index.php?action=vallex&amp;frame=v-w6135f1", "skupovat (v-w6135f1)")</f>
        <v>skupovat (v-w6135f1)</v>
      </c>
      <c r="E44326" s="0" t="str">
        <f aca="false">HYPERLINK("https://lindat.mff.cuni.cz/services/SynSemClass40/SynSemClass40.html?veclass=vec00035#vec00035-ces-cm00014", "vec00035")</f>
        <v>vec00035</v>
      </c>
      <c r="F44326" s="0" t="s">
        <v>5701</v>
      </c>
    </row>
    <row r="44327" customFormat="false" ht="12.8" hidden="false" customHeight="false" outlineLevel="0" collapsed="false">
      <c r="B44327" s="0" t="s">
        <v>1</v>
      </c>
      <c r="C44327" s="0" t="s">
        <v>5702</v>
      </c>
      <c r="E44327" s="0" t="s">
        <v>5703</v>
      </c>
      <c r="F44327" s="0" t="s">
        <v>5704</v>
      </c>
    </row>
    <row r="44328" customFormat="false" ht="12.8" hidden="false" customHeight="false" outlineLevel="0" collapsed="false">
      <c r="B44328" s="0" t="s">
        <v>8</v>
      </c>
      <c r="C44328" s="0" t="s">
        <v>5705</v>
      </c>
      <c r="E44328" s="0" t="s">
        <v>3201</v>
      </c>
      <c r="F44328" s="0" t="s">
        <v>5706</v>
      </c>
    </row>
    <row r="44329" customFormat="false" ht="12.8" hidden="false" customHeight="false" outlineLevel="0" collapsed="false">
      <c r="B44329" s="0" t="s">
        <v>602</v>
      </c>
      <c r="C44329" s="0" t="s">
        <v>5709</v>
      </c>
      <c r="E44329" s="0" t="s">
        <v>5710</v>
      </c>
      <c r="F44329" s="0" t="s">
        <v>5711</v>
      </c>
    </row>
    <row r="44331" customFormat="false" ht="12.8" hidden="false" customHeight="false" outlineLevel="0" collapsed="false">
      <c r="A44331" s="0" t="s">
        <v>15974</v>
      </c>
      <c r="B44331" s="0" t="str">
        <f aca="false">HYPERLINK("https://lindat.mff.cuni.cz/services/teitok/pdtc10/index.php?action=vallex&amp;frame=v-w6137f1", "skvět se (v-w6137f1)")</f>
        <v>skvět se (v-w6137f1)</v>
      </c>
    </row>
    <row r="44332" customFormat="false" ht="12.8" hidden="false" customHeight="false" outlineLevel="0" collapsed="false">
      <c r="B44332" s="0" t="s">
        <v>1</v>
      </c>
    </row>
    <row r="44334" customFormat="false" ht="12.8" hidden="false" customHeight="false" outlineLevel="0" collapsed="false">
      <c r="A44334" s="0" t="s">
        <v>15975</v>
      </c>
      <c r="B44334" s="0" t="str">
        <f aca="false">HYPERLINK("https://lindat.mff.cuni.cz/services/teitok/pdtc10/index.php?action=vallex&amp;frame=v-w11283f1", "skácet se (v-w11283f1)")</f>
        <v>skácet se (v-w11283f1)</v>
      </c>
    </row>
    <row r="44335" customFormat="false" ht="12.8" hidden="false" customHeight="false" outlineLevel="0" collapsed="false">
      <c r="B44335" s="0" t="s">
        <v>1</v>
      </c>
    </row>
    <row r="44337" customFormat="false" ht="12.8" hidden="false" customHeight="false" outlineLevel="0" collapsed="false">
      <c r="A44337" s="0" t="s">
        <v>15976</v>
      </c>
      <c r="B44337" s="0" t="str">
        <f aca="false">HYPERLINK("https://lindat.mff.cuni.cz/services/teitok/pdtc10/index.php?action=vallex&amp;frame=v-w11283f2_ZU", "skácet se (v-w11283f2_ZU)")</f>
        <v>skácet se (v-w11283f2_ZU)</v>
      </c>
    </row>
    <row r="44338" customFormat="false" ht="12.8" hidden="false" customHeight="false" outlineLevel="0" collapsed="false">
      <c r="B44338" s="0" t="s">
        <v>1</v>
      </c>
    </row>
    <row r="44340" customFormat="false" ht="12.8" hidden="false" customHeight="false" outlineLevel="0" collapsed="false">
      <c r="A44340" s="0" t="s">
        <v>15977</v>
      </c>
      <c r="B44340" s="0" t="str">
        <f aca="false">HYPERLINK("https://lindat.mff.cuni.cz/services/teitok/pdtc10/index.php?action=vallex&amp;frame=v-w6092f1", "skákat (v-w6092f1)")</f>
        <v>skákat (v-w6092f1)</v>
      </c>
      <c r="E44340" s="0" t="str">
        <f aca="false">HYPERLINK("https://lindat.mff.cuni.cz/services/SynSemClass40/SynSemClass40.html?veclass=vec01113#vec01113-ces-cm00001", "vec01113")</f>
        <v>vec01113</v>
      </c>
      <c r="F44340" s="0" t="s">
        <v>7156</v>
      </c>
    </row>
    <row r="44341" customFormat="false" ht="12.8" hidden="false" customHeight="false" outlineLevel="0" collapsed="false">
      <c r="B44341" s="0" t="s">
        <v>1</v>
      </c>
      <c r="C44341" s="0" t="s">
        <v>512</v>
      </c>
      <c r="E44341" s="0" t="s">
        <v>334</v>
      </c>
      <c r="F44341" s="0" t="s">
        <v>1304</v>
      </c>
    </row>
    <row r="44342" customFormat="false" ht="12.8" hidden="false" customHeight="false" outlineLevel="0" collapsed="false">
      <c r="B44342" s="0" t="s">
        <v>390</v>
      </c>
    </row>
    <row r="44344" customFormat="false" ht="12.8" hidden="false" customHeight="false" outlineLevel="0" collapsed="false">
      <c r="A44344" s="0" t="s">
        <v>15978</v>
      </c>
      <c r="B44344" s="0" t="str">
        <f aca="false">HYPERLINK("https://lindat.mff.cuni.cz/services/teitok/pdtc10/index.php?action=vallex&amp;frame=v-w6092f2_ZU", "skákat (v-w6092f2_ZU)")</f>
        <v>skákat (v-w6092f2_ZU)</v>
      </c>
    </row>
    <row r="44345" customFormat="false" ht="12.8" hidden="false" customHeight="false" outlineLevel="0" collapsed="false">
      <c r="B44345" s="0" t="s">
        <v>1</v>
      </c>
    </row>
    <row r="44346" customFormat="false" ht="12.8" hidden="false" customHeight="false" outlineLevel="0" collapsed="false">
      <c r="B44346" s="0" t="s">
        <v>3635</v>
      </c>
    </row>
    <row r="44347" customFormat="false" ht="12.8" hidden="false" customHeight="false" outlineLevel="0" collapsed="false">
      <c r="B44347" s="0" t="s">
        <v>186</v>
      </c>
    </row>
    <row r="44349" customFormat="false" ht="12.8" hidden="false" customHeight="false" outlineLevel="0" collapsed="false">
      <c r="A44349" s="0" t="s">
        <v>15979</v>
      </c>
      <c r="B44349" s="0" t="str">
        <f aca="false">HYPERLINK("https://lindat.mff.cuni.cz/services/teitok/pdtc10/index.php?action=vallex&amp;frame=v-w6092hsa_806", "skákat (v-w6092hsa_806)")</f>
        <v>skákat (v-w6092hsa_806)</v>
      </c>
    </row>
    <row r="44350" customFormat="false" ht="12.8" hidden="false" customHeight="false" outlineLevel="0" collapsed="false">
      <c r="B44350" s="0" t="s">
        <v>1</v>
      </c>
    </row>
    <row r="44351" customFormat="false" ht="12.8" hidden="false" customHeight="false" outlineLevel="0" collapsed="false">
      <c r="B44351" s="0" t="s">
        <v>45</v>
      </c>
    </row>
    <row r="44353" customFormat="false" ht="12.8" hidden="false" customHeight="false" outlineLevel="0" collapsed="false">
      <c r="A44353" s="0" t="s">
        <v>15980</v>
      </c>
      <c r="B44353" s="0" t="str">
        <f aca="false">HYPERLINK("https://lindat.mff.cuni.cz/services/teitok/pdtc10/index.php?action=vallex&amp;frame=v-w6092f3_ZU", "skákat (v-w6092f3_ZU)")</f>
        <v>skákat (v-w6092f3_ZU)</v>
      </c>
    </row>
    <row r="44354" customFormat="false" ht="12.8" hidden="false" customHeight="false" outlineLevel="0" collapsed="false">
      <c r="B44354" s="0" t="s">
        <v>1</v>
      </c>
    </row>
    <row r="44355" customFormat="false" ht="12.8" hidden="false" customHeight="false" outlineLevel="0" collapsed="false">
      <c r="B44355" s="0" t="s">
        <v>454</v>
      </c>
    </row>
    <row r="44357" customFormat="false" ht="12.8" hidden="false" customHeight="false" outlineLevel="0" collapsed="false">
      <c r="A44357" s="0" t="s">
        <v>15981</v>
      </c>
      <c r="B44357" s="0" t="str">
        <f aca="false">HYPERLINK("https://lindat.mff.cuni.cz/services/teitok/pdtc10/index.php?action=vallex&amp;frame=v-w6125hsa_545", "skórovat (v-w6125hsa_545)")</f>
        <v>skórovat (v-w6125hsa_545)</v>
      </c>
    </row>
    <row r="44358" customFormat="false" ht="12.8" hidden="false" customHeight="false" outlineLevel="0" collapsed="false">
      <c r="B44358" s="0" t="s">
        <v>1</v>
      </c>
    </row>
    <row r="44359" customFormat="false" ht="12.8" hidden="false" customHeight="false" outlineLevel="0" collapsed="false">
      <c r="B44359" s="0" t="s">
        <v>69</v>
      </c>
    </row>
    <row r="44361" customFormat="false" ht="12.8" hidden="false" customHeight="false" outlineLevel="0" collapsed="false">
      <c r="A44361" s="0" t="s">
        <v>15981</v>
      </c>
      <c r="B44361" s="0" t="str">
        <f aca="false">HYPERLINK("https://lindat.mff.cuni.cz/services/teitok/pdtc10/index.php?action=vallex&amp;frame=v-w6125f1", "skórovat (v-w6125f1) - substituted with v-w6125hsa_545")</f>
        <v>skórovat (v-w6125f1) - substituted with v-w6125hsa_545</v>
      </c>
    </row>
    <row r="44362" customFormat="false" ht="12.8" hidden="false" customHeight="false" outlineLevel="0" collapsed="false">
      <c r="B44362" s="0" t="s">
        <v>1</v>
      </c>
    </row>
    <row r="44363" customFormat="false" ht="12.8" hidden="false" customHeight="false" outlineLevel="0" collapsed="false">
      <c r="B44363" s="0" t="s">
        <v>69</v>
      </c>
    </row>
    <row r="44365" customFormat="false" ht="12.8" hidden="false" customHeight="false" outlineLevel="0" collapsed="false">
      <c r="A44365" s="0" t="s">
        <v>15982</v>
      </c>
      <c r="B44365" s="0" t="str">
        <f aca="false">HYPERLINK("https://lindat.mff.cuni.cz/services/teitok/pdtc10/index.php?action=vallex&amp;frame=v-w6138f1", "skýtat (v-w6138f1)")</f>
        <v>skýtat (v-w6138f1)</v>
      </c>
    </row>
    <row r="44366" customFormat="false" ht="12.8" hidden="false" customHeight="false" outlineLevel="0" collapsed="false">
      <c r="B44366" s="0" t="s">
        <v>1</v>
      </c>
    </row>
    <row r="44367" customFormat="false" ht="12.8" hidden="false" customHeight="false" outlineLevel="0" collapsed="false">
      <c r="B44367" s="0" t="s">
        <v>8</v>
      </c>
    </row>
    <row r="44368" customFormat="false" ht="12.8" hidden="false" customHeight="false" outlineLevel="0" collapsed="false">
      <c r="B44368" s="0" t="s">
        <v>2410</v>
      </c>
    </row>
    <row r="44370" customFormat="false" ht="12.8" hidden="false" customHeight="false" outlineLevel="0" collapsed="false">
      <c r="A44370" s="0" t="s">
        <v>15983</v>
      </c>
      <c r="B44370" s="0" t="str">
        <f aca="false">HYPERLINK("https://lindat.mff.cuni.cz/services/teitok/pdtc10/index.php?action=vallex&amp;frame=v-w6138f2", "skýtat (v-w6138f2)")</f>
        <v>skýtat (v-w6138f2)</v>
      </c>
    </row>
    <row r="44371" customFormat="false" ht="12.8" hidden="false" customHeight="false" outlineLevel="0" collapsed="false">
      <c r="B44371" s="0" t="s">
        <v>1</v>
      </c>
    </row>
    <row r="44372" customFormat="false" ht="12.8" hidden="false" customHeight="false" outlineLevel="0" collapsed="false">
      <c r="B44372" s="0" t="s">
        <v>15984</v>
      </c>
    </row>
    <row r="44373" customFormat="false" ht="12.8" hidden="false" customHeight="false" outlineLevel="0" collapsed="false">
      <c r="B44373" s="0" t="s">
        <v>52</v>
      </c>
    </row>
    <row r="44375" customFormat="false" ht="12.8" hidden="false" customHeight="false" outlineLevel="0" collapsed="false">
      <c r="A44375" s="0" t="s">
        <v>15985</v>
      </c>
      <c r="B44375" s="0" t="str">
        <f aca="false">HYPERLINK("https://lindat.mff.cuni.cz/services/teitok/pdtc10/index.php?action=vallex&amp;frame=v-w6132f1", "skřípat (v-w6132f1)")</f>
        <v>skřípat (v-w6132f1)</v>
      </c>
    </row>
    <row r="44376" customFormat="false" ht="12.8" hidden="false" customHeight="false" outlineLevel="0" collapsed="false">
      <c r="B44376" s="0" t="s">
        <v>1</v>
      </c>
    </row>
    <row r="44377" customFormat="false" ht="12.8" hidden="false" customHeight="false" outlineLevel="0" collapsed="false">
      <c r="B44377" s="0" t="s">
        <v>286</v>
      </c>
    </row>
    <row r="44379" customFormat="false" ht="12.8" hidden="false" customHeight="false" outlineLevel="0" collapsed="false">
      <c r="A44379" s="0" t="s">
        <v>15986</v>
      </c>
      <c r="B44379" s="0" t="str">
        <f aca="false">HYPERLINK("https://lindat.mff.cuni.cz/services/teitok/pdtc10/index.php?action=vallex&amp;frame=v-w6132f2", "skřípat (v-w6132f2)")</f>
        <v>skřípat (v-w6132f2)</v>
      </c>
      <c r="E44379" s="0" t="str">
        <f aca="false">HYPERLINK("https://lindat.mff.cuni.cz/services/SynSemClass40/SynSemClass40.html?veclass=vec01316#vec01316-ces-cm00002", "vec01316")</f>
        <v>vec01316</v>
      </c>
      <c r="F44379" s="0" t="s">
        <v>15987</v>
      </c>
    </row>
    <row r="44380" customFormat="false" ht="12.8" hidden="false" customHeight="false" outlineLevel="0" collapsed="false">
      <c r="B44380" s="0" t="s">
        <v>1</v>
      </c>
      <c r="E44380" s="0" t="s">
        <v>472</v>
      </c>
      <c r="F44380" s="0" t="s">
        <v>15988</v>
      </c>
    </row>
    <row r="44382" customFormat="false" ht="12.8" hidden="false" customHeight="false" outlineLevel="0" collapsed="false">
      <c r="A44382" s="0" t="s">
        <v>15989</v>
      </c>
      <c r="B44382" s="0" t="str">
        <f aca="false">HYPERLINK("https://lindat.mff.cuni.cz/services/teitok/pdtc10/index.php?action=vallex&amp;frame=v-w6132f3", "skřípat (v-w6132f3)")</f>
        <v>skřípat (v-w6132f3)</v>
      </c>
    </row>
    <row r="44383" customFormat="false" ht="12.8" hidden="false" customHeight="false" outlineLevel="0" collapsed="false">
      <c r="B44383" s="0" t="s">
        <v>1</v>
      </c>
    </row>
    <row r="44385" customFormat="false" ht="12.8" hidden="false" customHeight="false" outlineLevel="0" collapsed="false">
      <c r="A44385" s="0" t="s">
        <v>15990</v>
      </c>
      <c r="B44385" s="0" t="str">
        <f aca="false">HYPERLINK("https://lindat.mff.cuni.cz/services/teitok/pdtc10/index.php?action=vallex&amp;frame=v-w6142f1", "sladit (v-w6142f1)")</f>
        <v>sladit (v-w6142f1)</v>
      </c>
    </row>
    <row r="44386" customFormat="false" ht="12.8" hidden="false" customHeight="false" outlineLevel="0" collapsed="false">
      <c r="B44386" s="0" t="s">
        <v>1</v>
      </c>
    </row>
    <row r="44387" customFormat="false" ht="12.8" hidden="false" customHeight="false" outlineLevel="0" collapsed="false">
      <c r="B44387" s="0" t="s">
        <v>8</v>
      </c>
    </row>
    <row r="44388" customFormat="false" ht="12.8" hidden="false" customHeight="false" outlineLevel="0" collapsed="false">
      <c r="B44388" s="0" t="s">
        <v>3537</v>
      </c>
    </row>
    <row r="44390" customFormat="false" ht="12.8" hidden="false" customHeight="false" outlineLevel="0" collapsed="false">
      <c r="A44390" s="0" t="s">
        <v>15991</v>
      </c>
      <c r="B44390" s="0" t="str">
        <f aca="false">HYPERLINK("https://lindat.mff.cuni.cz/services/teitok/pdtc10/index.php?action=vallex&amp;frame=v-w6142f2", "sladit (v-w6142f2)")</f>
        <v>sladit (v-w6142f2)</v>
      </c>
    </row>
    <row r="44391" customFormat="false" ht="12.8" hidden="false" customHeight="false" outlineLevel="0" collapsed="false">
      <c r="B44391" s="0" t="s">
        <v>1</v>
      </c>
    </row>
    <row r="44392" customFormat="false" ht="12.8" hidden="false" customHeight="false" outlineLevel="0" collapsed="false">
      <c r="B44392" s="0" t="s">
        <v>8</v>
      </c>
    </row>
    <row r="44394" customFormat="false" ht="12.8" hidden="false" customHeight="false" outlineLevel="0" collapsed="false">
      <c r="A44394" s="0" t="s">
        <v>15992</v>
      </c>
      <c r="B44394" s="0" t="str">
        <f aca="false">HYPERLINK("https://lindat.mff.cuni.cz/services/teitok/pdtc10/index.php?action=vallex&amp;frame=v-w6144f1", "slavit (v-w6144f1)")</f>
        <v>slavit (v-w6144f1)</v>
      </c>
      <c r="E44394" s="0" t="str">
        <f aca="false">HYPERLINK("https://lindat.mff.cuni.cz/services/SynSemClass40/SynSemClass40.html?veclass=vec00663#vec00663-ces-cm00003", "vec00663")</f>
        <v>vec00663</v>
      </c>
      <c r="F44394" s="0" t="s">
        <v>9978</v>
      </c>
    </row>
    <row r="44395" customFormat="false" ht="12.8" hidden="false" customHeight="false" outlineLevel="0" collapsed="false">
      <c r="B44395" s="0" t="s">
        <v>1</v>
      </c>
      <c r="C44395" s="0" t="s">
        <v>4264</v>
      </c>
      <c r="E44395" s="0" t="s">
        <v>9979</v>
      </c>
      <c r="F44395" s="0" t="s">
        <v>9980</v>
      </c>
    </row>
    <row r="44396" customFormat="false" ht="12.8" hidden="false" customHeight="false" outlineLevel="0" collapsed="false">
      <c r="B44396" s="0" t="s">
        <v>59</v>
      </c>
      <c r="C44396" s="0" t="s">
        <v>9981</v>
      </c>
      <c r="E44396" s="0" t="s">
        <v>9982</v>
      </c>
      <c r="F44396" s="0" t="s">
        <v>9983</v>
      </c>
    </row>
    <row r="44398" customFormat="false" ht="12.8" hidden="false" customHeight="false" outlineLevel="0" collapsed="false">
      <c r="A44398" s="0" t="s">
        <v>15993</v>
      </c>
      <c r="B44398" s="0" t="str">
        <f aca="false">HYPERLINK("https://lindat.mff.cuni.cz/services/teitok/pdtc10/index.php?action=vallex&amp;frame=v-w6144hsa_276", "slavit (v-w6144hsa_276)")</f>
        <v>slavit (v-w6144hsa_276)</v>
      </c>
    </row>
    <row r="44399" customFormat="false" ht="12.8" hidden="false" customHeight="false" outlineLevel="0" collapsed="false">
      <c r="B44399" s="0" t="s">
        <v>1</v>
      </c>
    </row>
    <row r="44400" customFormat="false" ht="12.8" hidden="false" customHeight="false" outlineLevel="0" collapsed="false">
      <c r="B44400" s="0" t="s">
        <v>8</v>
      </c>
    </row>
    <row r="44402" customFormat="false" ht="12.8" hidden="false" customHeight="false" outlineLevel="0" collapsed="false">
      <c r="A44402" s="0" t="s">
        <v>15994</v>
      </c>
      <c r="B44402" s="0" t="str">
        <f aca="false">HYPERLINK("https://lindat.mff.cuni.cz/services/teitok/pdtc10/index.php?action=vallex&amp;frame=v-w11962_ZUf1_ZU", "slavívat (v-w11962_ZUf1_ZU)")</f>
        <v>slavívat (v-w11962_ZUf1_ZU)</v>
      </c>
    </row>
    <row r="44403" customFormat="false" ht="12.8" hidden="false" customHeight="false" outlineLevel="0" collapsed="false">
      <c r="B44403" s="0" t="s">
        <v>1</v>
      </c>
    </row>
    <row r="44404" customFormat="false" ht="12.8" hidden="false" customHeight="false" outlineLevel="0" collapsed="false">
      <c r="B44404" s="0" t="s">
        <v>59</v>
      </c>
    </row>
    <row r="44406" customFormat="false" ht="12.8" hidden="false" customHeight="false" outlineLevel="0" collapsed="false">
      <c r="A44406" s="0" t="s">
        <v>15995</v>
      </c>
      <c r="B44406" s="0" t="str">
        <f aca="false">HYPERLINK("https://lindat.mff.cuni.cz/services/teitok/pdtc10/index.php?action=vallex&amp;frame=v-w6148f4", "sledovat (v-w6148f4)")</f>
        <v>sledovat (v-w6148f4)</v>
      </c>
    </row>
    <row r="44407" customFormat="false" ht="12.8" hidden="false" customHeight="false" outlineLevel="0" collapsed="false">
      <c r="B44407" s="0" t="s">
        <v>1</v>
      </c>
    </row>
    <row r="44408" customFormat="false" ht="12.8" hidden="false" customHeight="false" outlineLevel="0" collapsed="false">
      <c r="B44408" s="0" t="s">
        <v>2493</v>
      </c>
    </row>
    <row r="44410" customFormat="false" ht="12.8" hidden="false" customHeight="false" outlineLevel="0" collapsed="false">
      <c r="A44410" s="0" t="s">
        <v>15996</v>
      </c>
      <c r="B44410" s="0" t="str">
        <f aca="false">HYPERLINK("https://lindat.mff.cuni.cz/services/teitok/pdtc10/index.php?action=vallex&amp;frame=v-w6148f1", "sledovat (v-w6148f1)")</f>
        <v>sledovat (v-w6148f1)</v>
      </c>
      <c r="E44410" s="0" t="str">
        <f aca="false">HYPERLINK("https://lindat.mff.cuni.cz/services/SynSemClass40/SynSemClass40.html?veclass=vec00115#vec00115-ces-cm00001", "vec00115")</f>
        <v>vec00115</v>
      </c>
      <c r="F44410" s="0" t="s">
        <v>5568</v>
      </c>
    </row>
    <row r="44411" customFormat="false" ht="12.8" hidden="false" customHeight="false" outlineLevel="0" collapsed="false">
      <c r="B44411" s="0" t="s">
        <v>1</v>
      </c>
      <c r="C44411" s="0" t="s">
        <v>6344</v>
      </c>
      <c r="E44411" s="0" t="s">
        <v>5570</v>
      </c>
      <c r="F44411" s="0" t="s">
        <v>5571</v>
      </c>
    </row>
    <row r="44412" customFormat="false" ht="12.8" hidden="false" customHeight="false" outlineLevel="0" collapsed="false">
      <c r="B44412" s="0" t="s">
        <v>15997</v>
      </c>
      <c r="C44412" s="0" t="s">
        <v>6345</v>
      </c>
      <c r="E44412" s="0" t="s">
        <v>180</v>
      </c>
      <c r="F44412" s="0" t="s">
        <v>5573</v>
      </c>
    </row>
    <row r="44414" customFormat="false" ht="12.8" hidden="false" customHeight="false" outlineLevel="0" collapsed="false">
      <c r="A44414" s="0" t="s">
        <v>15998</v>
      </c>
      <c r="B44414" s="0" t="str">
        <f aca="false">HYPERLINK("https://lindat.mff.cuni.cz/services/teitok/pdtc10/index.php?action=vallex&amp;frame=v-w6148f2", "sledovat (v-w6148f2)")</f>
        <v>sledovat (v-w6148f2)</v>
      </c>
      <c r="E44414" s="0" t="str">
        <f aca="false">HYPERLINK("https://lindat.mff.cuni.cz/services/SynSemClass40/SynSemClass40.html?veclass=vec00310#vec00310-ces-cm00001", "vec00310")</f>
        <v>vec00310</v>
      </c>
      <c r="F44414" s="0" t="s">
        <v>3839</v>
      </c>
    </row>
    <row r="44415" customFormat="false" ht="12.8" hidden="false" customHeight="false" outlineLevel="0" collapsed="false">
      <c r="B44415" s="0" t="s">
        <v>1</v>
      </c>
      <c r="C44415" s="0" t="s">
        <v>1745</v>
      </c>
      <c r="E44415" s="0" t="s">
        <v>3840</v>
      </c>
      <c r="F44415" s="0" t="s">
        <v>3841</v>
      </c>
    </row>
    <row r="44416" customFormat="false" ht="12.8" hidden="false" customHeight="false" outlineLevel="0" collapsed="false">
      <c r="B44416" s="0" t="s">
        <v>15997</v>
      </c>
      <c r="C44416" s="0" t="s">
        <v>571</v>
      </c>
      <c r="E44416" s="0" t="s">
        <v>180</v>
      </c>
      <c r="F44416" s="0" t="s">
        <v>3842</v>
      </c>
    </row>
    <row r="44418" customFormat="false" ht="12.8" hidden="false" customHeight="false" outlineLevel="0" collapsed="false">
      <c r="A44418" s="0" t="s">
        <v>15999</v>
      </c>
      <c r="B44418" s="0" t="str">
        <f aca="false">HYPERLINK("https://lindat.mff.cuni.cz/services/teitok/pdtc10/index.php?action=vallex&amp;frame=v-w6148f3", "sledovat (v-w6148f3)")</f>
        <v>sledovat (v-w6148f3)</v>
      </c>
    </row>
    <row r="44419" customFormat="false" ht="12.8" hidden="false" customHeight="false" outlineLevel="0" collapsed="false">
      <c r="B44419" s="0" t="s">
        <v>1</v>
      </c>
    </row>
    <row r="44420" customFormat="false" ht="12.8" hidden="false" customHeight="false" outlineLevel="0" collapsed="false">
      <c r="B44420" s="0" t="s">
        <v>8</v>
      </c>
    </row>
    <row r="44422" customFormat="false" ht="12.8" hidden="false" customHeight="false" outlineLevel="0" collapsed="false">
      <c r="A44422" s="0" t="s">
        <v>16000</v>
      </c>
      <c r="B44422" s="0" t="str">
        <f aca="false">HYPERLINK("https://lindat.mff.cuni.cz/services/teitok/pdtc10/index.php?action=vallex&amp;frame=v-w6148hsa_741", "sledovat (v-w6148hsa_741)")</f>
        <v>sledovat (v-w6148hsa_741)</v>
      </c>
    </row>
    <row r="44423" customFormat="false" ht="12.8" hidden="false" customHeight="false" outlineLevel="0" collapsed="false">
      <c r="B44423" s="0" t="s">
        <v>1</v>
      </c>
    </row>
    <row r="44424" customFormat="false" ht="12.8" hidden="false" customHeight="false" outlineLevel="0" collapsed="false">
      <c r="B44424" s="0" t="s">
        <v>8</v>
      </c>
    </row>
    <row r="44426" customFormat="false" ht="12.8" hidden="false" customHeight="false" outlineLevel="0" collapsed="false">
      <c r="A44426" s="0" t="s">
        <v>16001</v>
      </c>
      <c r="B44426" s="0" t="str">
        <f aca="false">HYPERLINK("https://lindat.mff.cuni.cz/services/teitok/pdtc10/index.php?action=vallex&amp;frame=v-w6150f1", "slehnout (v-w6150f1)")</f>
        <v>slehnout (v-w6150f1)</v>
      </c>
    </row>
    <row r="44427" customFormat="false" ht="12.8" hidden="false" customHeight="false" outlineLevel="0" collapsed="false">
      <c r="B44427" s="0" t="s">
        <v>1</v>
      </c>
    </row>
    <row r="44429" customFormat="false" ht="12.8" hidden="false" customHeight="false" outlineLevel="0" collapsed="false">
      <c r="A44429" s="0" t="s">
        <v>16002</v>
      </c>
      <c r="B44429" s="0" t="str">
        <f aca="false">HYPERLINK("https://lindat.mff.cuni.cz/services/teitok/pdtc10/index.php?action=vallex&amp;frame=v-w6150hsa_351", "slehnout (v-w6150hsa_351)")</f>
        <v>slehnout (v-w6150hsa_351)</v>
      </c>
    </row>
    <row r="44430" customFormat="false" ht="12.8" hidden="false" customHeight="false" outlineLevel="0" collapsed="false">
      <c r="B44430" s="0" t="s">
        <v>1</v>
      </c>
    </row>
    <row r="44432" customFormat="false" ht="12.8" hidden="false" customHeight="false" outlineLevel="0" collapsed="false">
      <c r="A44432" s="0" t="s">
        <v>16003</v>
      </c>
      <c r="B44432" s="0" t="str">
        <f aca="false">HYPERLINK("https://lindat.mff.cuni.cz/services/teitok/pdtc10/index.php?action=vallex&amp;frame=v-w6151f1", "slehnout se (v-w6151f1)")</f>
        <v>slehnout se (v-w6151f1)</v>
      </c>
    </row>
    <row r="44433" customFormat="false" ht="12.8" hidden="false" customHeight="false" outlineLevel="0" collapsed="false">
      <c r="B44433" s="0" t="s">
        <v>861</v>
      </c>
    </row>
    <row r="44434" customFormat="false" ht="12.8" hidden="false" customHeight="false" outlineLevel="0" collapsed="false">
      <c r="B44434" s="0" t="s">
        <v>16004</v>
      </c>
    </row>
    <row r="44436" customFormat="false" ht="12.8" hidden="false" customHeight="false" outlineLevel="0" collapsed="false">
      <c r="A44436" s="0" t="s">
        <v>16005</v>
      </c>
      <c r="B44436" s="0" t="str">
        <f aca="false">HYPERLINK("https://lindat.mff.cuni.cz/services/teitok/pdtc10/index.php?action=vallex&amp;frame=v-w11589_ZUf1_ZU", "slepit (v-w11589_ZUf1_ZU)")</f>
        <v>slepit (v-w11589_ZUf1_ZU)</v>
      </c>
    </row>
    <row r="44437" customFormat="false" ht="12.8" hidden="false" customHeight="false" outlineLevel="0" collapsed="false">
      <c r="B44437" s="0" t="s">
        <v>1</v>
      </c>
    </row>
    <row r="44438" customFormat="false" ht="12.8" hidden="false" customHeight="false" outlineLevel="0" collapsed="false">
      <c r="B44438" s="0" t="s">
        <v>8</v>
      </c>
    </row>
    <row r="44440" customFormat="false" ht="12.8" hidden="false" customHeight="false" outlineLevel="0" collapsed="false">
      <c r="A44440" s="0" t="s">
        <v>16006</v>
      </c>
      <c r="B44440" s="0" t="str">
        <f aca="false">HYPERLINK("https://lindat.mff.cuni.cz/services/teitok/pdtc10/index.php?action=vallex&amp;frame=v-w10278f2", "sletět (v-w10278f2)")</f>
        <v>sletět (v-w10278f2)</v>
      </c>
      <c r="E44440" s="0" t="str">
        <f aca="false">HYPERLINK("https://lindat.mff.cuni.cz/services/SynSemClass40/SynSemClass40.html?veclass=vec00028#vec00028-ces-cm00135", "vec00028")</f>
        <v>vec00028</v>
      </c>
      <c r="F44440" s="0" t="s">
        <v>5301</v>
      </c>
    </row>
    <row r="44441" customFormat="false" ht="12.8" hidden="false" customHeight="false" outlineLevel="0" collapsed="false">
      <c r="B44441" s="0" t="s">
        <v>1</v>
      </c>
      <c r="C44441" s="0" t="s">
        <v>9964</v>
      </c>
      <c r="E44441" s="0" t="s">
        <v>235</v>
      </c>
      <c r="F44441" s="0" t="s">
        <v>5304</v>
      </c>
    </row>
    <row r="44443" customFormat="false" ht="12.8" hidden="false" customHeight="false" outlineLevel="0" collapsed="false">
      <c r="A44443" s="0" t="s">
        <v>16007</v>
      </c>
      <c r="B44443" s="0" t="str">
        <f aca="false">HYPERLINK("https://lindat.mff.cuni.cz/services/teitok/pdtc10/index.php?action=vallex&amp;frame=v-w6154f1", "slevit (v-w6154f1)")</f>
        <v>slevit (v-w6154f1)</v>
      </c>
    </row>
    <row r="44444" customFormat="false" ht="12.8" hidden="false" customHeight="false" outlineLevel="0" collapsed="false">
      <c r="B44444" s="0" t="s">
        <v>1</v>
      </c>
    </row>
    <row r="44445" customFormat="false" ht="12.8" hidden="false" customHeight="false" outlineLevel="0" collapsed="false">
      <c r="B44445" s="0" t="s">
        <v>8</v>
      </c>
    </row>
    <row r="44446" customFormat="false" ht="12.8" hidden="false" customHeight="false" outlineLevel="0" collapsed="false">
      <c r="B44446" s="0" t="s">
        <v>36</v>
      </c>
    </row>
    <row r="44447" customFormat="false" ht="12.8" hidden="false" customHeight="false" outlineLevel="0" collapsed="false">
      <c r="B44447" s="0" t="s">
        <v>101</v>
      </c>
    </row>
    <row r="44449" customFormat="false" ht="12.8" hidden="false" customHeight="false" outlineLevel="0" collapsed="false">
      <c r="A44449" s="0" t="s">
        <v>16008</v>
      </c>
      <c r="B44449" s="0" t="str">
        <f aca="false">HYPERLINK("https://lindat.mff.cuni.cz/services/teitok/pdtc10/index.php?action=vallex&amp;frame=v-w6154f2_ZU", "slevit (v-w6154f2_ZU)")</f>
        <v>slevit (v-w6154f2_ZU)</v>
      </c>
      <c r="E44449" s="0" t="str">
        <f aca="false">HYPERLINK("https://lindat.mff.cuni.cz/services/SynSemClass40/SynSemClass40.html?veclass=vec00942#vec00942-ces-cm00069", "vec00942")</f>
        <v>vec00942</v>
      </c>
      <c r="F44449" s="0" t="s">
        <v>1686</v>
      </c>
    </row>
    <row r="44450" customFormat="false" ht="12.8" hidden="false" customHeight="false" outlineLevel="0" collapsed="false">
      <c r="B44450" s="0" t="s">
        <v>1</v>
      </c>
      <c r="C44450" s="0" t="s">
        <v>1687</v>
      </c>
      <c r="E44450" s="0" t="s">
        <v>11</v>
      </c>
      <c r="F44450" s="0" t="s">
        <v>1688</v>
      </c>
    </row>
    <row r="44451" customFormat="false" ht="12.8" hidden="false" customHeight="false" outlineLevel="0" collapsed="false">
      <c r="B44451" s="0" t="s">
        <v>298</v>
      </c>
      <c r="C44451" s="0" t="s">
        <v>1690</v>
      </c>
      <c r="E44451" s="0" t="s">
        <v>140</v>
      </c>
      <c r="F44451" s="0" t="s">
        <v>1691</v>
      </c>
    </row>
    <row r="44453" customFormat="false" ht="12.8" hidden="false" customHeight="false" outlineLevel="0" collapsed="false">
      <c r="A44453" s="0" t="s">
        <v>16009</v>
      </c>
      <c r="B44453" s="0" t="str">
        <f aca="false">HYPERLINK("https://lindat.mff.cuni.cz/services/teitok/pdtc10/index.php?action=vallex&amp;frame=v-w6161f1", "slibovat (v-w6161f1)")</f>
        <v>slibovat (v-w6161f1)</v>
      </c>
      <c r="E44453" s="0" t="str">
        <f aca="false">HYPERLINK("https://lindat.mff.cuni.cz/services/SynSemClass40/SynSemClass40.html?veclass=vec00311#vec00311-ces-cm00004", "vec00311")</f>
        <v>vec00311</v>
      </c>
      <c r="F44453" s="0" t="s">
        <v>14485</v>
      </c>
    </row>
    <row r="44454" customFormat="false" ht="12.8" hidden="false" customHeight="false" outlineLevel="0" collapsed="false">
      <c r="B44454" s="0" t="s">
        <v>1</v>
      </c>
      <c r="C44454" s="0" t="s">
        <v>14486</v>
      </c>
      <c r="E44454" s="0" t="s">
        <v>63</v>
      </c>
      <c r="F44454" s="0" t="s">
        <v>14487</v>
      </c>
    </row>
    <row r="44455" customFormat="false" ht="12.8" hidden="false" customHeight="false" outlineLevel="0" collapsed="false">
      <c r="B44455" s="0" t="s">
        <v>14488</v>
      </c>
      <c r="C44455" s="0" t="s">
        <v>14489</v>
      </c>
      <c r="E44455" s="0" t="s">
        <v>4209</v>
      </c>
      <c r="F44455" s="0" t="s">
        <v>14490</v>
      </c>
    </row>
    <row r="44456" customFormat="false" ht="12.8" hidden="false" customHeight="false" outlineLevel="0" collapsed="false">
      <c r="B44456" s="0" t="s">
        <v>52</v>
      </c>
      <c r="C44456" s="0" t="s">
        <v>14491</v>
      </c>
      <c r="E44456" s="0" t="s">
        <v>53</v>
      </c>
      <c r="F44456" s="0" t="s">
        <v>14492</v>
      </c>
    </row>
    <row r="44458" customFormat="false" ht="12.8" hidden="false" customHeight="false" outlineLevel="0" collapsed="false">
      <c r="A44458" s="0" t="s">
        <v>16010</v>
      </c>
      <c r="B44458" s="0" t="str">
        <f aca="false">HYPERLINK("https://lindat.mff.cuni.cz/services/teitok/pdtc10/index.php?action=vallex&amp;frame=v-w6162f1", "slibovat si (v-w6162f1)")</f>
        <v>slibovat si (v-w6162f1)</v>
      </c>
    </row>
    <row r="44459" customFormat="false" ht="12.8" hidden="false" customHeight="false" outlineLevel="0" collapsed="false">
      <c r="B44459" s="0" t="s">
        <v>1</v>
      </c>
    </row>
    <row r="44460" customFormat="false" ht="12.8" hidden="false" customHeight="false" outlineLevel="0" collapsed="false">
      <c r="B44460" s="0" t="s">
        <v>59</v>
      </c>
    </row>
    <row r="44461" customFormat="false" ht="12.8" hidden="false" customHeight="false" outlineLevel="0" collapsed="false">
      <c r="B44461" s="0" t="s">
        <v>602</v>
      </c>
    </row>
    <row r="44463" customFormat="false" ht="12.8" hidden="false" customHeight="false" outlineLevel="0" collapsed="false">
      <c r="A44463" s="0" t="s">
        <v>16011</v>
      </c>
      <c r="B44463" s="0" t="str">
        <f aca="false">HYPERLINK("https://lindat.mff.cuni.cz/services/teitok/pdtc10/index.php?action=vallex&amp;frame=v-w10969f3_ZU", "slisovat (v-w10969f3_ZU)")</f>
        <v>slisovat (v-w10969f3_ZU)</v>
      </c>
    </row>
    <row r="44464" customFormat="false" ht="12.8" hidden="false" customHeight="false" outlineLevel="0" collapsed="false">
      <c r="B44464" s="0" t="s">
        <v>1</v>
      </c>
    </row>
    <row r="44465" customFormat="false" ht="12.8" hidden="false" customHeight="false" outlineLevel="0" collapsed="false">
      <c r="B44465" s="0" t="s">
        <v>8</v>
      </c>
    </row>
    <row r="44466" customFormat="false" ht="12.8" hidden="false" customHeight="false" outlineLevel="0" collapsed="false">
      <c r="B44466" s="0" t="s">
        <v>40</v>
      </c>
    </row>
    <row r="44468" customFormat="false" ht="12.8" hidden="false" customHeight="false" outlineLevel="0" collapsed="false">
      <c r="A44468" s="0" t="s">
        <v>16011</v>
      </c>
      <c r="B44468" s="0" t="str">
        <f aca="false">HYPERLINK("https://lindat.mff.cuni.cz/services/teitok/pdtc10/index.php?action=vallex&amp;frame=v-w10969f2", "slisovat (v-w10969f2) - substituted with v-w10969f3_ZU")</f>
        <v>slisovat (v-w10969f2) - substituted with v-w10969f3_ZU</v>
      </c>
    </row>
    <row r="44469" customFormat="false" ht="12.8" hidden="false" customHeight="false" outlineLevel="0" collapsed="false">
      <c r="B44469" s="0" t="s">
        <v>1</v>
      </c>
    </row>
    <row r="44470" customFormat="false" ht="12.8" hidden="false" customHeight="false" outlineLevel="0" collapsed="false">
      <c r="B44470" s="0" t="s">
        <v>8</v>
      </c>
    </row>
    <row r="44471" customFormat="false" ht="12.8" hidden="false" customHeight="false" outlineLevel="0" collapsed="false">
      <c r="B44471" s="0" t="s">
        <v>40</v>
      </c>
    </row>
    <row r="44473" customFormat="false" ht="12.8" hidden="false" customHeight="false" outlineLevel="0" collapsed="false">
      <c r="A44473" s="0" t="s">
        <v>16011</v>
      </c>
      <c r="B44473" s="0" t="str">
        <f aca="false">HYPERLINK("https://lindat.mff.cuni.cz/services/teitok/pdtc10/index.php?action=vallex&amp;frame=v-w10969hsa_118", "slisovat (v-w10969hsa_118) - substituted with v-w10969f3_ZU")</f>
        <v>slisovat (v-w10969hsa_118) - substituted with v-w10969f3_ZU</v>
      </c>
    </row>
    <row r="44474" customFormat="false" ht="12.8" hidden="false" customHeight="false" outlineLevel="0" collapsed="false">
      <c r="B44474" s="0" t="s">
        <v>1</v>
      </c>
    </row>
    <row r="44475" customFormat="false" ht="12.8" hidden="false" customHeight="false" outlineLevel="0" collapsed="false">
      <c r="B44475" s="0" t="s">
        <v>8</v>
      </c>
    </row>
    <row r="44476" customFormat="false" ht="12.8" hidden="false" customHeight="false" outlineLevel="0" collapsed="false">
      <c r="B44476" s="0" t="s">
        <v>40</v>
      </c>
    </row>
    <row r="44478" customFormat="false" ht="12.8" hidden="false" customHeight="false" outlineLevel="0" collapsed="false">
      <c r="A44478" s="0" t="s">
        <v>16012</v>
      </c>
      <c r="B44478" s="0" t="str">
        <f aca="false">HYPERLINK("https://lindat.mff.cuni.cz/services/teitok/pdtc10/index.php?action=vallex&amp;frame=v-whsa_1305hsa_1306", "sloupnout (v-whsa_1305hsa_1306)")</f>
        <v>sloupnout (v-whsa_1305hsa_1306)</v>
      </c>
    </row>
    <row r="44479" customFormat="false" ht="12.8" hidden="false" customHeight="false" outlineLevel="0" collapsed="false">
      <c r="B44479" s="0" t="s">
        <v>1</v>
      </c>
    </row>
    <row r="44480" customFormat="false" ht="12.8" hidden="false" customHeight="false" outlineLevel="0" collapsed="false">
      <c r="B44480" s="0" t="s">
        <v>8</v>
      </c>
    </row>
    <row r="44482" customFormat="false" ht="12.8" hidden="false" customHeight="false" outlineLevel="0" collapsed="false">
      <c r="A44482" s="0" t="s">
        <v>16013</v>
      </c>
      <c r="B44482" s="0" t="str">
        <f aca="false">HYPERLINK("https://lindat.mff.cuni.cz/services/teitok/pdtc10/index.php?action=vallex&amp;frame=v-w6169f1", "slout (v-w6169f1)")</f>
        <v>slout (v-w6169f1)</v>
      </c>
    </row>
    <row r="44483" customFormat="false" ht="12.8" hidden="false" customHeight="false" outlineLevel="0" collapsed="false">
      <c r="B44483" s="0" t="s">
        <v>1</v>
      </c>
    </row>
    <row r="44484" customFormat="false" ht="12.8" hidden="false" customHeight="false" outlineLevel="0" collapsed="false">
      <c r="B44484" s="0" t="s">
        <v>8039</v>
      </c>
    </row>
    <row r="44486" customFormat="false" ht="12.8" hidden="false" customHeight="false" outlineLevel="0" collapsed="false">
      <c r="A44486" s="0" t="s">
        <v>16014</v>
      </c>
      <c r="B44486" s="0" t="str">
        <f aca="false">HYPERLINK("https://lindat.mff.cuni.cz/services/teitok/pdtc10/index.php?action=vallex&amp;frame=v-w6169f2_ZU", "slout (v-w6169f2_ZU)")</f>
        <v>slout (v-w6169f2_ZU)</v>
      </c>
    </row>
    <row r="44487" customFormat="false" ht="12.8" hidden="false" customHeight="false" outlineLevel="0" collapsed="false">
      <c r="B44487" s="0" t="s">
        <v>1</v>
      </c>
    </row>
    <row r="44488" customFormat="false" ht="12.8" hidden="false" customHeight="false" outlineLevel="0" collapsed="false">
      <c r="B44488" s="0" t="s">
        <v>16015</v>
      </c>
    </row>
    <row r="44490" customFormat="false" ht="12.8" hidden="false" customHeight="false" outlineLevel="0" collapsed="false">
      <c r="A44490" s="0" t="s">
        <v>16016</v>
      </c>
      <c r="B44490" s="0" t="str">
        <f aca="false">HYPERLINK("https://lindat.mff.cuni.cz/services/teitok/pdtc10/index.php?action=vallex&amp;frame=v-w6167f1", "sloučit (v-w6167f1)")</f>
        <v>sloučit (v-w6167f1)</v>
      </c>
      <c r="E44490" s="0" t="str">
        <f aca="false">HYPERLINK("https://lindat.mff.cuni.cz/services/SynSemClass40/SynSemClass40.html?veclass=vec00623#vec00623-ces-cm00007", "vec00623")</f>
        <v>vec00623</v>
      </c>
      <c r="F44490" s="0" t="s">
        <v>5439</v>
      </c>
    </row>
    <row r="44491" customFormat="false" ht="12.8" hidden="false" customHeight="false" outlineLevel="0" collapsed="false">
      <c r="B44491" s="0" t="s">
        <v>1</v>
      </c>
      <c r="C44491" s="0" t="s">
        <v>5440</v>
      </c>
      <c r="E44491" s="0" t="s">
        <v>31</v>
      </c>
      <c r="F44491" s="0" t="s">
        <v>5441</v>
      </c>
    </row>
    <row r="44492" customFormat="false" ht="12.8" hidden="false" customHeight="false" outlineLevel="0" collapsed="false">
      <c r="B44492" s="0" t="s">
        <v>8</v>
      </c>
      <c r="C44492" s="0" t="s">
        <v>5442</v>
      </c>
      <c r="E44492" s="0" t="s">
        <v>4852</v>
      </c>
      <c r="F44492" s="0" t="s">
        <v>5443</v>
      </c>
    </row>
    <row r="44493" customFormat="false" ht="12.8" hidden="false" customHeight="false" outlineLevel="0" collapsed="false">
      <c r="B44493" s="0" t="s">
        <v>276</v>
      </c>
      <c r="C44493" s="0" t="s">
        <v>15579</v>
      </c>
      <c r="E44493" s="0" t="s">
        <v>4855</v>
      </c>
      <c r="F44493" s="0" t="s">
        <v>15580</v>
      </c>
    </row>
    <row r="44494" customFormat="false" ht="12.8" hidden="false" customHeight="false" outlineLevel="0" collapsed="false">
      <c r="B44494" s="0" t="s">
        <v>3026</v>
      </c>
    </row>
    <row r="44496" customFormat="false" ht="12.8" hidden="false" customHeight="false" outlineLevel="0" collapsed="false">
      <c r="A44496" s="0" t="s">
        <v>16017</v>
      </c>
      <c r="B44496" s="0" t="str">
        <f aca="false">HYPERLINK("https://lindat.mff.cuni.cz/services/teitok/pdtc10/index.php?action=vallex&amp;frame=v-w6167f2", "sloučit (v-w6167f2)")</f>
        <v>sloučit (v-w6167f2)</v>
      </c>
      <c r="E44496" s="0" t="str">
        <f aca="false">HYPERLINK("https://lindat.mff.cuni.cz/services/SynSemClass40/SynSemClass40.html?veclass=vec00519#vec00519-ces-cm00025", "vec00519")</f>
        <v>vec00519</v>
      </c>
      <c r="F44496" s="0" t="s">
        <v>12231</v>
      </c>
    </row>
    <row r="44497" customFormat="false" ht="12.8" hidden="false" customHeight="false" outlineLevel="0" collapsed="false">
      <c r="B44497" s="0" t="s">
        <v>1</v>
      </c>
      <c r="C44497" s="0" t="s">
        <v>11624</v>
      </c>
      <c r="E44497" s="0" t="s">
        <v>4850</v>
      </c>
      <c r="F44497" s="0" t="s">
        <v>12232</v>
      </c>
    </row>
    <row r="44498" customFormat="false" ht="12.8" hidden="false" customHeight="false" outlineLevel="0" collapsed="false">
      <c r="B44498" s="0" t="s">
        <v>8</v>
      </c>
      <c r="C44498" s="0" t="s">
        <v>12233</v>
      </c>
      <c r="E44498" s="0" t="s">
        <v>4852</v>
      </c>
      <c r="F44498" s="0" t="s">
        <v>12234</v>
      </c>
    </row>
    <row r="44499" customFormat="false" ht="12.8" hidden="false" customHeight="false" outlineLevel="0" collapsed="false">
      <c r="B44499" s="0" t="s">
        <v>276</v>
      </c>
      <c r="C44499" s="0" t="s">
        <v>12632</v>
      </c>
      <c r="E44499" s="0" t="s">
        <v>4855</v>
      </c>
      <c r="F44499" s="0" t="s">
        <v>12628</v>
      </c>
    </row>
    <row r="44501" customFormat="false" ht="12.8" hidden="false" customHeight="false" outlineLevel="0" collapsed="false">
      <c r="A44501" s="0" t="s">
        <v>16018</v>
      </c>
      <c r="B44501" s="0" t="str">
        <f aca="false">HYPERLINK("https://lindat.mff.cuni.cz/services/teitok/pdtc10/index.php?action=vallex&amp;frame=v-w6168f1", "sloučit se (v-w6168f1)")</f>
        <v>sloučit se (v-w6168f1)</v>
      </c>
      <c r="E44501" s="0" t="str">
        <f aca="false">HYPERLINK("https://lindat.mff.cuni.cz/services/SynSemClass40/SynSemClass40.html?veclass=vec00318#vec00318-ces-cm00005", "vec00318")</f>
        <v>vec00318</v>
      </c>
      <c r="F44501" s="0" t="s">
        <v>3218</v>
      </c>
      <c r="H44501" s="0" t="str">
        <f aca="false">HYPERLINK("https://lindat.mff.cuni.cz/services/SynSemClass40/SynSemClass40.html?veclass=vec01296#vec01296-ces-cm00011", "vec01296")</f>
        <v>vec01296</v>
      </c>
      <c r="I44501" s="0" t="s">
        <v>3625</v>
      </c>
    </row>
    <row r="44502" customFormat="false" ht="12.8" hidden="false" customHeight="false" outlineLevel="0" collapsed="false">
      <c r="B44502" s="0" t="s">
        <v>1</v>
      </c>
      <c r="C44502" s="0" t="s">
        <v>3626</v>
      </c>
      <c r="E44502" s="0" t="s">
        <v>2241</v>
      </c>
      <c r="F44502" s="0" t="s">
        <v>3220</v>
      </c>
      <c r="H44502" s="0" t="s">
        <v>2241</v>
      </c>
      <c r="I44502" s="0" t="s">
        <v>3627</v>
      </c>
    </row>
    <row r="44503" customFormat="false" ht="12.8" hidden="false" customHeight="false" outlineLevel="0" collapsed="false">
      <c r="B44503" s="0" t="s">
        <v>721</v>
      </c>
      <c r="C44503" s="0" t="s">
        <v>3628</v>
      </c>
      <c r="E44503" s="0" t="s">
        <v>2665</v>
      </c>
      <c r="F44503" s="0" t="s">
        <v>3222</v>
      </c>
      <c r="H44503" s="0" t="s">
        <v>2665</v>
      </c>
      <c r="I44503" s="0" t="s">
        <v>3629</v>
      </c>
    </row>
    <row r="44504" customFormat="false" ht="12.8" hidden="false" customHeight="false" outlineLevel="0" collapsed="false">
      <c r="B44504" s="0" t="s">
        <v>3026</v>
      </c>
      <c r="C44504" s="0" t="s">
        <v>11056</v>
      </c>
      <c r="E44504" s="0" t="s">
        <v>4858</v>
      </c>
      <c r="F44504" s="0" t="s">
        <v>11057</v>
      </c>
    </row>
    <row r="44506" customFormat="false" ht="12.8" hidden="false" customHeight="false" outlineLevel="0" collapsed="false">
      <c r="A44506" s="0" t="s">
        <v>16019</v>
      </c>
      <c r="B44506" s="0" t="str">
        <f aca="false">HYPERLINK("https://lindat.mff.cuni.cz/services/teitok/pdtc10/index.php?action=vallex&amp;frame=v-w6171f6_ZU", "sloužit (v-w6171f6_ZU)")</f>
        <v>sloužit (v-w6171f6_ZU)</v>
      </c>
      <c r="E44506" s="0" t="str">
        <f aca="false">HYPERLINK("https://lindat.mff.cuni.cz/services/SynSemClass40/SynSemClass40.html?veclass=vec00515#vec00515-ces-cm00010", "vec00515")</f>
        <v>vec00515</v>
      </c>
      <c r="F44506" s="0" t="s">
        <v>8579</v>
      </c>
    </row>
    <row r="44507" customFormat="false" ht="12.8" hidden="false" customHeight="false" outlineLevel="0" collapsed="false">
      <c r="B44507" s="0" t="s">
        <v>843</v>
      </c>
      <c r="C44507" s="0" t="s">
        <v>5276</v>
      </c>
      <c r="E44507" s="0" t="s">
        <v>3021</v>
      </c>
      <c r="F44507" s="0" t="s">
        <v>8580</v>
      </c>
    </row>
    <row r="44508" customFormat="false" ht="12.8" hidden="false" customHeight="false" outlineLevel="0" collapsed="false">
      <c r="B44508" s="0" t="s">
        <v>16020</v>
      </c>
      <c r="C44508" s="0" t="s">
        <v>8581</v>
      </c>
      <c r="E44508" s="0" t="s">
        <v>4438</v>
      </c>
      <c r="F44508" s="0" t="s">
        <v>8582</v>
      </c>
    </row>
    <row r="44510" customFormat="false" ht="12.8" hidden="false" customHeight="false" outlineLevel="0" collapsed="false">
      <c r="A44510" s="0" t="s">
        <v>16019</v>
      </c>
      <c r="B44510" s="0" t="str">
        <f aca="false">HYPERLINK("https://lindat.mff.cuni.cz/services/teitok/pdtc10/index.php?action=vallex&amp;frame=v-w6171f1", "sloužit (v-w6171f1) - substituted with v-w6171f6_ZU")</f>
        <v>sloužit (v-w6171f1) - substituted with v-w6171f6_ZU</v>
      </c>
    </row>
    <row r="44511" customFormat="false" ht="12.8" hidden="false" customHeight="false" outlineLevel="0" collapsed="false">
      <c r="B44511" s="0" t="s">
        <v>843</v>
      </c>
    </row>
    <row r="44512" customFormat="false" ht="12.8" hidden="false" customHeight="false" outlineLevel="0" collapsed="false">
      <c r="B44512" s="0" t="s">
        <v>16020</v>
      </c>
    </row>
    <row r="44514" customFormat="false" ht="12.8" hidden="false" customHeight="false" outlineLevel="0" collapsed="false">
      <c r="A44514" s="0" t="s">
        <v>16021</v>
      </c>
      <c r="B44514" s="0" t="str">
        <f aca="false">HYPERLINK("https://lindat.mff.cuni.cz/services/teitok/pdtc10/index.php?action=vallex&amp;frame=v-w6171f3", "sloužit (v-w6171f3)")</f>
        <v>sloužit (v-w6171f3)</v>
      </c>
      <c r="E44514" s="0" t="str">
        <f aca="false">HYPERLINK("https://lindat.mff.cuni.cz/services/SynSemClass40/SynSemClass40.html?veclass=vec00515#vec00515-ces-cm00001", "vec00515")</f>
        <v>vec00515</v>
      </c>
      <c r="F44514" s="0" t="s">
        <v>8579</v>
      </c>
    </row>
    <row r="44515" customFormat="false" ht="12.8" hidden="false" customHeight="false" outlineLevel="0" collapsed="false">
      <c r="B44515" s="0" t="s">
        <v>1</v>
      </c>
      <c r="C44515" s="0" t="s">
        <v>5276</v>
      </c>
      <c r="E44515" s="0" t="s">
        <v>3021</v>
      </c>
      <c r="F44515" s="0" t="s">
        <v>8580</v>
      </c>
    </row>
    <row r="44516" customFormat="false" ht="12.8" hidden="false" customHeight="false" outlineLevel="0" collapsed="false">
      <c r="B44516" s="0" t="s">
        <v>186</v>
      </c>
      <c r="C44516" s="0" t="s">
        <v>8581</v>
      </c>
      <c r="E44516" s="0" t="s">
        <v>4438</v>
      </c>
      <c r="F44516" s="0" t="s">
        <v>8582</v>
      </c>
    </row>
    <row r="44518" customFormat="false" ht="12.8" hidden="false" customHeight="false" outlineLevel="0" collapsed="false">
      <c r="A44518" s="0" t="s">
        <v>16022</v>
      </c>
      <c r="B44518" s="0" t="str">
        <f aca="false">HYPERLINK("https://lindat.mff.cuni.cz/services/teitok/pdtc10/index.php?action=vallex&amp;frame=v-w6171f4", "sloužit (v-w6171f4)")</f>
        <v>sloužit (v-w6171f4)</v>
      </c>
    </row>
    <row r="44519" customFormat="false" ht="12.8" hidden="false" customHeight="false" outlineLevel="0" collapsed="false">
      <c r="B44519" s="0" t="s">
        <v>1</v>
      </c>
    </row>
    <row r="44520" customFormat="false" ht="12.8" hidden="false" customHeight="false" outlineLevel="0" collapsed="false">
      <c r="B44520" s="0" t="s">
        <v>8</v>
      </c>
    </row>
    <row r="44522" customFormat="false" ht="12.8" hidden="false" customHeight="false" outlineLevel="0" collapsed="false">
      <c r="A44522" s="0" t="s">
        <v>16023</v>
      </c>
      <c r="B44522" s="0" t="str">
        <f aca="false">HYPERLINK("https://lindat.mff.cuni.cz/services/teitok/pdtc10/index.php?action=vallex&amp;frame=v-w6171f2", "sloužit (v-w6171f2)")</f>
        <v>sloužit (v-w6171f2)</v>
      </c>
      <c r="E44522" s="0" t="str">
        <f aca="false">HYPERLINK("https://lindat.mff.cuni.cz/services/SynSemClass40/SynSemClass40.html?veclass=vec00373#vec00373-ces-cm00063", "vec00373")</f>
        <v>vec00373</v>
      </c>
      <c r="F44522" s="0" t="s">
        <v>6637</v>
      </c>
    </row>
    <row r="44523" customFormat="false" ht="12.8" hidden="false" customHeight="false" outlineLevel="0" collapsed="false">
      <c r="B44523" s="0" t="s">
        <v>1</v>
      </c>
      <c r="C44523" s="0" t="s">
        <v>11591</v>
      </c>
      <c r="E44523" s="0" t="s">
        <v>11</v>
      </c>
      <c r="F44523" s="0" t="s">
        <v>6639</v>
      </c>
    </row>
    <row r="44525" customFormat="false" ht="12.8" hidden="false" customHeight="false" outlineLevel="0" collapsed="false">
      <c r="A44525" s="0" t="s">
        <v>16024</v>
      </c>
      <c r="B44525" s="0" t="str">
        <f aca="false">HYPERLINK("https://lindat.mff.cuni.cz/services/teitok/pdtc10/index.php?action=vallex&amp;frame=v-w6171f5", "sloužit (v-w6171f5)")</f>
        <v>sloužit (v-w6171f5)</v>
      </c>
      <c r="E44525" s="0" t="str">
        <f aca="false">HYPERLINK("https://lindat.mff.cuni.cz/services/SynSemClass40/SynSemClass40.html?veclass=vec00221#vec00221-ces-cm00030", "vec00221")</f>
        <v>vec00221</v>
      </c>
      <c r="F44525" s="0" t="s">
        <v>1051</v>
      </c>
    </row>
    <row r="44526" customFormat="false" ht="12.8" hidden="false" customHeight="false" outlineLevel="0" collapsed="false">
      <c r="B44526" s="0" t="s">
        <v>1</v>
      </c>
      <c r="C44526" s="0" t="s">
        <v>1052</v>
      </c>
      <c r="E44526" s="0" t="s">
        <v>1053</v>
      </c>
      <c r="F44526" s="0" t="s">
        <v>1054</v>
      </c>
    </row>
    <row r="44528" customFormat="false" ht="12.8" hidden="false" customHeight="false" outlineLevel="0" collapsed="false">
      <c r="A44528" s="0" t="s">
        <v>16025</v>
      </c>
      <c r="B44528" s="0" t="str">
        <f aca="false">HYPERLINK("https://lindat.mff.cuni.cz/services/teitok/pdtc10/index.php?action=vallex&amp;frame=v-w6171f7_ZU", "sloužit (v-w6171f7_ZU)")</f>
        <v>sloužit (v-w6171f7_ZU)</v>
      </c>
    </row>
    <row r="44529" customFormat="false" ht="12.8" hidden="false" customHeight="false" outlineLevel="0" collapsed="false">
      <c r="B44529" s="0" t="s">
        <v>1</v>
      </c>
    </row>
    <row r="44530" customFormat="false" ht="12.8" hidden="false" customHeight="false" outlineLevel="0" collapsed="false">
      <c r="B44530" s="0" t="s">
        <v>8</v>
      </c>
    </row>
    <row r="44532" customFormat="false" ht="12.8" hidden="false" customHeight="false" outlineLevel="0" collapsed="false">
      <c r="A44532" s="0" t="s">
        <v>16026</v>
      </c>
      <c r="B44532" s="0" t="str">
        <f aca="false">HYPERLINK("https://lindat.mff.cuni.cz/services/teitok/pdtc10/index.php?action=vallex&amp;frame=v-w6171f8_MM", "sloužit (v-w6171f8_MM)")</f>
        <v>sloužit (v-w6171f8_MM)</v>
      </c>
    </row>
    <row r="44533" customFormat="false" ht="12.8" hidden="false" customHeight="false" outlineLevel="0" collapsed="false">
      <c r="B44533" s="0" t="s">
        <v>1</v>
      </c>
    </row>
    <row r="44535" customFormat="false" ht="12.8" hidden="false" customHeight="false" outlineLevel="0" collapsed="false">
      <c r="A44535" s="0" t="s">
        <v>16027</v>
      </c>
      <c r="B44535" s="0" t="str">
        <f aca="false">HYPERLINK("https://lindat.mff.cuni.cz/services/teitok/pdtc10/index.php?action=vallex&amp;frame=v-w6177f1", "složit (v-w6177f1)")</f>
        <v>složit (v-w6177f1)</v>
      </c>
    </row>
    <row r="44536" customFormat="false" ht="12.8" hidden="false" customHeight="false" outlineLevel="0" collapsed="false">
      <c r="B44536" s="0" t="s">
        <v>1</v>
      </c>
    </row>
    <row r="44537" customFormat="false" ht="12.8" hidden="false" customHeight="false" outlineLevel="0" collapsed="false">
      <c r="B44537" s="0" t="s">
        <v>8</v>
      </c>
    </row>
    <row r="44538" customFormat="false" ht="12.8" hidden="false" customHeight="false" outlineLevel="0" collapsed="false">
      <c r="B44538" s="0" t="s">
        <v>132</v>
      </c>
    </row>
    <row r="44540" customFormat="false" ht="12.8" hidden="false" customHeight="false" outlineLevel="0" collapsed="false">
      <c r="A44540" s="0" t="s">
        <v>16028</v>
      </c>
      <c r="B44540" s="0" t="str">
        <f aca="false">HYPERLINK("https://lindat.mff.cuni.cz/services/teitok/pdtc10/index.php?action=vallex&amp;frame=v-w6177f4", "složit (v-w6177f4)")</f>
        <v>složit (v-w6177f4)</v>
      </c>
      <c r="E44540" s="0" t="str">
        <f aca="false">HYPERLINK("https://lindat.mff.cuni.cz/services/SynSemClass40/SynSemClass40.html?veclass=vec00942#vec00942-ces-cm00033", "vec00942")</f>
        <v>vec00942</v>
      </c>
      <c r="F44540" s="0" t="s">
        <v>1686</v>
      </c>
    </row>
    <row r="44541" customFormat="false" ht="12.8" hidden="false" customHeight="false" outlineLevel="0" collapsed="false">
      <c r="B44541" s="0" t="s">
        <v>1</v>
      </c>
      <c r="C44541" s="0" t="s">
        <v>1687</v>
      </c>
      <c r="E44541" s="0" t="s">
        <v>11</v>
      </c>
      <c r="F44541" s="0" t="s">
        <v>1688</v>
      </c>
    </row>
    <row r="44542" customFormat="false" ht="12.8" hidden="false" customHeight="false" outlineLevel="0" collapsed="false">
      <c r="B44542" s="0" t="s">
        <v>8</v>
      </c>
      <c r="C44542" s="0" t="s">
        <v>1690</v>
      </c>
      <c r="E44542" s="0" t="s">
        <v>140</v>
      </c>
      <c r="F44542" s="0" t="s">
        <v>1691</v>
      </c>
    </row>
    <row r="44543" customFormat="false" ht="12.8" hidden="false" customHeight="false" outlineLevel="0" collapsed="false">
      <c r="B44543" s="0" t="s">
        <v>4248</v>
      </c>
    </row>
    <row r="44545" customFormat="false" ht="12.8" hidden="false" customHeight="false" outlineLevel="0" collapsed="false">
      <c r="A44545" s="0" t="s">
        <v>16029</v>
      </c>
      <c r="B44545" s="0" t="str">
        <f aca="false">HYPERLINK("https://lindat.mff.cuni.cz/services/teitok/pdtc10/index.php?action=vallex&amp;frame=v-w6177f2", "složit (v-w6177f2)")</f>
        <v>složit (v-w6177f2)</v>
      </c>
      <c r="E44545" s="0" t="str">
        <f aca="false">HYPERLINK("https://lindat.mff.cuni.cz/services/SynSemClass40/SynSemClass40.html?veclass=vec01444#vec01444-ces-cm00009", "vec01444")</f>
        <v>vec01444</v>
      </c>
      <c r="F44545" s="0" t="s">
        <v>7001</v>
      </c>
    </row>
    <row r="44546" customFormat="false" ht="12.8" hidden="false" customHeight="false" outlineLevel="0" collapsed="false">
      <c r="B44546" s="0" t="s">
        <v>1</v>
      </c>
      <c r="C44546" s="0" t="s">
        <v>4695</v>
      </c>
      <c r="E44546" s="0" t="s">
        <v>768</v>
      </c>
      <c r="F44546" s="0" t="s">
        <v>4781</v>
      </c>
    </row>
    <row r="44547" customFormat="false" ht="12.8" hidden="false" customHeight="false" outlineLevel="0" collapsed="false">
      <c r="B44547" s="0" t="s">
        <v>8</v>
      </c>
      <c r="C44547" s="0" t="s">
        <v>462</v>
      </c>
      <c r="E44547" s="0" t="s">
        <v>110</v>
      </c>
      <c r="F44547" s="0" t="s">
        <v>7002</v>
      </c>
    </row>
    <row r="44548" customFormat="false" ht="12.8" hidden="false" customHeight="false" outlineLevel="0" collapsed="false">
      <c r="B44548" s="0" t="s">
        <v>36</v>
      </c>
    </row>
    <row r="44549" customFormat="false" ht="12.8" hidden="false" customHeight="false" outlineLevel="0" collapsed="false">
      <c r="B44549" s="0" t="s">
        <v>245</v>
      </c>
      <c r="E44549" s="0" t="s">
        <v>4858</v>
      </c>
      <c r="F44549" s="0" t="s">
        <v>7003</v>
      </c>
    </row>
    <row r="44551" customFormat="false" ht="12.8" hidden="false" customHeight="false" outlineLevel="0" collapsed="false">
      <c r="A44551" s="0" t="s">
        <v>16030</v>
      </c>
      <c r="B44551" s="0" t="str">
        <f aca="false">HYPERLINK("https://lindat.mff.cuni.cz/services/teitok/pdtc10/index.php?action=vallex&amp;frame=v-w6177f7", "složit (v-w6177f7)")</f>
        <v>složit (v-w6177f7)</v>
      </c>
      <c r="E44551" s="0" t="str">
        <f aca="false">HYPERLINK("https://lindat.mff.cuni.cz/services/SynSemClass40/SynSemClass40.html?veclass=vec01444#vec01444-ces-cm00010", "vec01444")</f>
        <v>vec01444</v>
      </c>
      <c r="F44551" s="0" t="s">
        <v>7001</v>
      </c>
    </row>
    <row r="44552" customFormat="false" ht="12.8" hidden="false" customHeight="false" outlineLevel="0" collapsed="false">
      <c r="B44552" s="0" t="s">
        <v>1</v>
      </c>
      <c r="C44552" s="0" t="s">
        <v>4695</v>
      </c>
      <c r="E44552" s="0" t="s">
        <v>768</v>
      </c>
      <c r="F44552" s="0" t="s">
        <v>4781</v>
      </c>
    </row>
    <row r="44553" customFormat="false" ht="12.8" hidden="false" customHeight="false" outlineLevel="0" collapsed="false">
      <c r="B44553" s="0" t="s">
        <v>8</v>
      </c>
      <c r="C44553" s="0" t="s">
        <v>462</v>
      </c>
      <c r="E44553" s="0" t="s">
        <v>110</v>
      </c>
      <c r="F44553" s="0" t="s">
        <v>7002</v>
      </c>
    </row>
    <row r="44554" customFormat="false" ht="12.8" hidden="false" customHeight="false" outlineLevel="0" collapsed="false">
      <c r="B44554" s="0" t="s">
        <v>3026</v>
      </c>
      <c r="E44554" s="0" t="s">
        <v>4858</v>
      </c>
      <c r="F44554" s="0" t="s">
        <v>7003</v>
      </c>
    </row>
    <row r="44556" customFormat="false" ht="12.8" hidden="false" customHeight="false" outlineLevel="0" collapsed="false">
      <c r="A44556" s="0" t="s">
        <v>16031</v>
      </c>
      <c r="B44556" s="0" t="str">
        <f aca="false">HYPERLINK("https://lindat.mff.cuni.cz/services/teitok/pdtc10/index.php?action=vallex&amp;frame=v-w6177f3", "složit (v-w6177f3)")</f>
        <v>složit (v-w6177f3)</v>
      </c>
    </row>
    <row r="44557" customFormat="false" ht="12.8" hidden="false" customHeight="false" outlineLevel="0" collapsed="false">
      <c r="B44557" s="0" t="s">
        <v>1</v>
      </c>
    </row>
    <row r="44558" customFormat="false" ht="12.8" hidden="false" customHeight="false" outlineLevel="0" collapsed="false">
      <c r="B44558" s="0" t="s">
        <v>8</v>
      </c>
    </row>
    <row r="44560" customFormat="false" ht="12.8" hidden="false" customHeight="false" outlineLevel="0" collapsed="false">
      <c r="A44560" s="0" t="s">
        <v>16032</v>
      </c>
      <c r="B44560" s="0" t="str">
        <f aca="false">HYPERLINK("https://lindat.mff.cuni.cz/services/teitok/pdtc10/index.php?action=vallex&amp;frame=v-w6177f8", "složit (v-w6177f8)")</f>
        <v>složit (v-w6177f8)</v>
      </c>
    </row>
    <row r="44561" customFormat="false" ht="12.8" hidden="false" customHeight="false" outlineLevel="0" collapsed="false">
      <c r="B44561" s="0" t="s">
        <v>1</v>
      </c>
    </row>
    <row r="44562" customFormat="false" ht="12.8" hidden="false" customHeight="false" outlineLevel="0" collapsed="false">
      <c r="B44562" s="0" t="s">
        <v>8</v>
      </c>
    </row>
    <row r="44564" customFormat="false" ht="12.8" hidden="false" customHeight="false" outlineLevel="0" collapsed="false">
      <c r="A44564" s="0" t="s">
        <v>16033</v>
      </c>
      <c r="B44564" s="0" t="str">
        <f aca="false">HYPERLINK("https://lindat.mff.cuni.cz/services/teitok/pdtc10/index.php?action=vallex&amp;frame=v-w6177f6", "složit (v-w6177f6)")</f>
        <v>složit (v-w6177f6)</v>
      </c>
      <c r="E44564" s="0" t="str">
        <f aca="false">HYPERLINK("https://lindat.mff.cuni.cz/services/SynSemClass40/SynSemClass40.html?veclass=vec00601#vec00601-ces-cm00004", "vec00601")</f>
        <v>vec00601</v>
      </c>
      <c r="F44564" s="0" t="s">
        <v>9</v>
      </c>
    </row>
    <row r="44565" customFormat="false" ht="12.8" hidden="false" customHeight="false" outlineLevel="0" collapsed="false">
      <c r="B44565" s="0" t="s">
        <v>1</v>
      </c>
      <c r="C44565" s="0" t="s">
        <v>10</v>
      </c>
      <c r="E44565" s="0" t="s">
        <v>11</v>
      </c>
      <c r="F44565" s="0" t="s">
        <v>12</v>
      </c>
    </row>
    <row r="44566" customFormat="false" ht="12.8" hidden="false" customHeight="false" outlineLevel="0" collapsed="false">
      <c r="B44566" s="0" t="s">
        <v>8</v>
      </c>
      <c r="C44566" s="0" t="s">
        <v>13</v>
      </c>
      <c r="E44566" s="0" t="s">
        <v>14</v>
      </c>
      <c r="F44566" s="0" t="s">
        <v>15</v>
      </c>
    </row>
    <row r="44568" customFormat="false" ht="12.8" hidden="false" customHeight="false" outlineLevel="0" collapsed="false">
      <c r="A44568" s="0" t="s">
        <v>16034</v>
      </c>
      <c r="B44568" s="0" t="str">
        <f aca="false">HYPERLINK("https://lindat.mff.cuni.cz/services/teitok/pdtc10/index.php?action=vallex&amp;frame=v-w6177f5", "složit (v-w6177f5)")</f>
        <v>složit (v-w6177f5)</v>
      </c>
    </row>
    <row r="44569" customFormat="false" ht="12.8" hidden="false" customHeight="false" outlineLevel="0" collapsed="false">
      <c r="B44569" s="0" t="s">
        <v>1</v>
      </c>
    </row>
    <row r="44570" customFormat="false" ht="12.8" hidden="false" customHeight="false" outlineLevel="0" collapsed="false">
      <c r="B44570" s="0" t="s">
        <v>16035</v>
      </c>
    </row>
    <row r="44572" customFormat="false" ht="12.8" hidden="false" customHeight="false" outlineLevel="0" collapsed="false">
      <c r="A44572" s="0" t="s">
        <v>16036</v>
      </c>
      <c r="B44572" s="0" t="str">
        <f aca="false">HYPERLINK("https://lindat.mff.cuni.cz/services/teitok/pdtc10/index.php?action=vallex&amp;frame=v-w6177f12_ZU", "složit (v-w6177f12_ZU)")</f>
        <v>složit (v-w6177f12_ZU)</v>
      </c>
    </row>
    <row r="44573" customFormat="false" ht="12.8" hidden="false" customHeight="false" outlineLevel="0" collapsed="false">
      <c r="B44573" s="0" t="s">
        <v>1</v>
      </c>
    </row>
    <row r="44574" customFormat="false" ht="12.8" hidden="false" customHeight="false" outlineLevel="0" collapsed="false">
      <c r="B44574" s="0" t="s">
        <v>8</v>
      </c>
    </row>
    <row r="44576" customFormat="false" ht="12.8" hidden="false" customHeight="false" outlineLevel="0" collapsed="false">
      <c r="A44576" s="0" t="s">
        <v>16036</v>
      </c>
      <c r="B44576" s="0" t="str">
        <f aca="false">HYPERLINK("https://lindat.mff.cuni.cz/services/teitok/pdtc10/index.php?action=vallex&amp;frame=v-w6177f10_ZU", "složit (v-w6177f10_ZU) - substituted with v-w6177f12_ZU")</f>
        <v>složit (v-w6177f10_ZU) - substituted with v-w6177f12_ZU</v>
      </c>
    </row>
    <row r="44577" customFormat="false" ht="12.8" hidden="false" customHeight="false" outlineLevel="0" collapsed="false">
      <c r="B44577" s="0" t="s">
        <v>1</v>
      </c>
    </row>
    <row r="44578" customFormat="false" ht="12.8" hidden="false" customHeight="false" outlineLevel="0" collapsed="false">
      <c r="B44578" s="0" t="s">
        <v>8</v>
      </c>
    </row>
    <row r="44580" customFormat="false" ht="12.8" hidden="false" customHeight="false" outlineLevel="0" collapsed="false">
      <c r="A44580" s="0" t="s">
        <v>16036</v>
      </c>
      <c r="B44580" s="0" t="str">
        <f aca="false">HYPERLINK("https://lindat.mff.cuni.cz/services/teitok/pdtc10/index.php?action=vallex&amp;frame=v-w6177hsa_450", "složit (v-w6177hsa_450) - substituted with v-w6177f12_ZU")</f>
        <v>složit (v-w6177hsa_450) - substituted with v-w6177f12_ZU</v>
      </c>
    </row>
    <row r="44581" customFormat="false" ht="12.8" hidden="false" customHeight="false" outlineLevel="0" collapsed="false">
      <c r="B44581" s="0" t="s">
        <v>1</v>
      </c>
    </row>
    <row r="44582" customFormat="false" ht="12.8" hidden="false" customHeight="false" outlineLevel="0" collapsed="false">
      <c r="B44582" s="0" t="s">
        <v>8</v>
      </c>
    </row>
    <row r="44584" customFormat="false" ht="12.8" hidden="false" customHeight="false" outlineLevel="0" collapsed="false">
      <c r="A44584" s="0" t="s">
        <v>16037</v>
      </c>
      <c r="B44584" s="0" t="str">
        <f aca="false">HYPERLINK("https://lindat.mff.cuni.cz/services/teitok/pdtc10/index.php?action=vallex&amp;frame=v-w6177f9_ZU", "složit (v-w6177f9_ZU)")</f>
        <v>složit (v-w6177f9_ZU)</v>
      </c>
    </row>
    <row r="44585" customFormat="false" ht="12.8" hidden="false" customHeight="false" outlineLevel="0" collapsed="false">
      <c r="B44585" s="0" t="s">
        <v>1</v>
      </c>
    </row>
    <row r="44586" customFormat="false" ht="12.8" hidden="false" customHeight="false" outlineLevel="0" collapsed="false">
      <c r="B44586" s="0" t="s">
        <v>16038</v>
      </c>
    </row>
    <row r="44587" customFormat="false" ht="12.8" hidden="false" customHeight="false" outlineLevel="0" collapsed="false">
      <c r="B44587" s="0" t="s">
        <v>186</v>
      </c>
    </row>
    <row r="44589" customFormat="false" ht="12.8" hidden="false" customHeight="false" outlineLevel="0" collapsed="false">
      <c r="A44589" s="0" t="s">
        <v>16037</v>
      </c>
      <c r="B44589" s="0" t="str">
        <f aca="false">HYPERLINK("https://lindat.mff.cuni.cz/services/teitok/pdtc10/index.php?action=vallex&amp;frame=v-w6177hsa_451", "složit (v-w6177hsa_451) - substituted with v-w6177f9_ZU")</f>
        <v>složit (v-w6177hsa_451) - substituted with v-w6177f9_ZU</v>
      </c>
    </row>
    <row r="44590" customFormat="false" ht="12.8" hidden="false" customHeight="false" outlineLevel="0" collapsed="false">
      <c r="B44590" s="0" t="s">
        <v>1</v>
      </c>
    </row>
    <row r="44591" customFormat="false" ht="12.8" hidden="false" customHeight="false" outlineLevel="0" collapsed="false">
      <c r="B44591" s="0" t="s">
        <v>16038</v>
      </c>
    </row>
    <row r="44592" customFormat="false" ht="12.8" hidden="false" customHeight="false" outlineLevel="0" collapsed="false">
      <c r="B44592" s="0" t="s">
        <v>186</v>
      </c>
    </row>
    <row r="44594" customFormat="false" ht="12.8" hidden="false" customHeight="false" outlineLevel="0" collapsed="false">
      <c r="A44594" s="0" t="s">
        <v>16039</v>
      </c>
      <c r="B44594" s="0" t="str">
        <f aca="false">HYPERLINK("https://lindat.mff.cuni.cz/services/teitok/pdtc10/index.php?action=vallex&amp;frame=v-w6177f11_ZU", "složit (v-w6177f11_ZU)")</f>
        <v>složit (v-w6177f11_ZU)</v>
      </c>
    </row>
    <row r="44595" customFormat="false" ht="12.8" hidden="false" customHeight="false" outlineLevel="0" collapsed="false">
      <c r="B44595" s="0" t="s">
        <v>1</v>
      </c>
    </row>
    <row r="44596" customFormat="false" ht="12.8" hidden="false" customHeight="false" outlineLevel="0" collapsed="false">
      <c r="B44596" s="0" t="s">
        <v>11601</v>
      </c>
    </row>
    <row r="44597" customFormat="false" ht="12.8" hidden="false" customHeight="false" outlineLevel="0" collapsed="false">
      <c r="B44597" s="0" t="s">
        <v>5</v>
      </c>
    </row>
    <row r="44599" customFormat="false" ht="12.8" hidden="false" customHeight="false" outlineLevel="0" collapsed="false">
      <c r="A44599" s="0" t="s">
        <v>16039</v>
      </c>
      <c r="B44599" s="0" t="str">
        <f aca="false">HYPERLINK("https://lindat.mff.cuni.cz/services/teitok/pdtc10/index.php?action=vallex&amp;frame=v-w6177hsa_363", "složit (v-w6177hsa_363) - substituted with v-w6177f11_ZU")</f>
        <v>složit (v-w6177hsa_363) - substituted with v-w6177f11_ZU</v>
      </c>
    </row>
    <row r="44600" customFormat="false" ht="12.8" hidden="false" customHeight="false" outlineLevel="0" collapsed="false">
      <c r="B44600" s="0" t="s">
        <v>1</v>
      </c>
    </row>
    <row r="44601" customFormat="false" ht="12.8" hidden="false" customHeight="false" outlineLevel="0" collapsed="false">
      <c r="B44601" s="0" t="s">
        <v>11601</v>
      </c>
    </row>
    <row r="44602" customFormat="false" ht="12.8" hidden="false" customHeight="false" outlineLevel="0" collapsed="false">
      <c r="B44602" s="0" t="s">
        <v>5</v>
      </c>
    </row>
    <row r="44604" customFormat="false" ht="12.8" hidden="false" customHeight="false" outlineLevel="0" collapsed="false">
      <c r="A44604" s="0" t="s">
        <v>16040</v>
      </c>
      <c r="B44604" s="0" t="str">
        <f aca="false">HYPERLINK("https://lindat.mff.cuni.cz/services/teitok/pdtc10/index.php?action=vallex&amp;frame=v-w6177f13_ZU", "složit (v-w6177f13_ZU)")</f>
        <v>složit (v-w6177f13_ZU)</v>
      </c>
    </row>
    <row r="44605" customFormat="false" ht="12.8" hidden="false" customHeight="false" outlineLevel="0" collapsed="false">
      <c r="B44605" s="0" t="s">
        <v>1</v>
      </c>
    </row>
    <row r="44606" customFormat="false" ht="12.8" hidden="false" customHeight="false" outlineLevel="0" collapsed="false">
      <c r="B44606" s="0" t="s">
        <v>8</v>
      </c>
    </row>
    <row r="44608" customFormat="false" ht="12.8" hidden="false" customHeight="false" outlineLevel="0" collapsed="false">
      <c r="A44608" s="0" t="s">
        <v>16041</v>
      </c>
      <c r="B44608" s="0" t="str">
        <f aca="false">HYPERLINK("https://lindat.mff.cuni.cz/services/teitok/pdtc10/index.php?action=vallex&amp;frame=v-w6177hsa_362", "složit (v-w6177hsa_362)")</f>
        <v>složit (v-w6177hsa_362)</v>
      </c>
    </row>
    <row r="44609" customFormat="false" ht="12.8" hidden="false" customHeight="false" outlineLevel="0" collapsed="false">
      <c r="B44609" s="0" t="s">
        <v>1</v>
      </c>
    </row>
    <row r="44610" customFormat="false" ht="12.8" hidden="false" customHeight="false" outlineLevel="0" collapsed="false">
      <c r="B44610" s="0" t="s">
        <v>8</v>
      </c>
    </row>
    <row r="44612" customFormat="false" ht="12.8" hidden="false" customHeight="false" outlineLevel="0" collapsed="false">
      <c r="A44612" s="0" t="s">
        <v>16042</v>
      </c>
      <c r="B44612" s="0" t="str">
        <f aca="false">HYPERLINK("https://lindat.mff.cuni.cz/services/teitok/pdtc10/index.php?action=vallex&amp;frame=v-w6178f1", "složit se (v-w6178f1)")</f>
        <v>složit se (v-w6178f1)</v>
      </c>
    </row>
    <row r="44613" customFormat="false" ht="12.8" hidden="false" customHeight="false" outlineLevel="0" collapsed="false">
      <c r="B44613" s="0" t="s">
        <v>1</v>
      </c>
    </row>
    <row r="44614" customFormat="false" ht="12.8" hidden="false" customHeight="false" outlineLevel="0" collapsed="false">
      <c r="B44614" s="0" t="s">
        <v>291</v>
      </c>
    </row>
    <row r="44615" customFormat="false" ht="12.8" hidden="false" customHeight="false" outlineLevel="0" collapsed="false">
      <c r="B44615" s="0" t="s">
        <v>276</v>
      </c>
    </row>
    <row r="44617" customFormat="false" ht="12.8" hidden="false" customHeight="false" outlineLevel="0" collapsed="false">
      <c r="A44617" s="0" t="s">
        <v>16043</v>
      </c>
      <c r="B44617" s="0" t="str">
        <f aca="false">HYPERLINK("https://lindat.mff.cuni.cz/services/teitok/pdtc10/index.php?action=vallex&amp;frame=v-w6178f2_ZU", "složit se (v-w6178f2_ZU)")</f>
        <v>složit se (v-w6178f2_ZU)</v>
      </c>
    </row>
    <row r="44618" customFormat="false" ht="12.8" hidden="false" customHeight="false" outlineLevel="0" collapsed="false">
      <c r="B44618" s="0" t="s">
        <v>1</v>
      </c>
    </row>
    <row r="44619" customFormat="false" ht="12.8" hidden="false" customHeight="false" outlineLevel="0" collapsed="false">
      <c r="B44619" s="0" t="s">
        <v>45</v>
      </c>
    </row>
    <row r="44621" customFormat="false" ht="12.8" hidden="false" customHeight="false" outlineLevel="0" collapsed="false">
      <c r="A44621" s="0" t="s">
        <v>16044</v>
      </c>
      <c r="B44621" s="0" t="str">
        <f aca="false">HYPERLINK("https://lindat.mff.cuni.cz/services/teitok/pdtc10/index.php?action=vallex&amp;frame=v-w6178hsa_1546", "složit se (v-w6178hsa_1546)")</f>
        <v>složit se (v-w6178hsa_1546)</v>
      </c>
    </row>
    <row r="44622" customFormat="false" ht="12.8" hidden="false" customHeight="false" outlineLevel="0" collapsed="false">
      <c r="B44622" s="0" t="s">
        <v>1</v>
      </c>
    </row>
    <row r="44624" customFormat="false" ht="12.8" hidden="false" customHeight="false" outlineLevel="0" collapsed="false">
      <c r="A44624" s="0" t="s">
        <v>16045</v>
      </c>
      <c r="B44624" s="0" t="str">
        <f aca="false">HYPERLINK("https://lindat.mff.cuni.cz/services/teitok/pdtc10/index.php?action=vallex&amp;frame=v-w6184f1", "slunit se (v-w6184f1)")</f>
        <v>slunit se (v-w6184f1)</v>
      </c>
    </row>
    <row r="44625" customFormat="false" ht="12.8" hidden="false" customHeight="false" outlineLevel="0" collapsed="false">
      <c r="B44625" s="0" t="s">
        <v>1</v>
      </c>
    </row>
    <row r="44627" customFormat="false" ht="12.8" hidden="false" customHeight="false" outlineLevel="0" collapsed="false">
      <c r="A44627" s="0" t="s">
        <v>16046</v>
      </c>
      <c r="B44627" s="0" t="str">
        <f aca="false">HYPERLINK("https://lindat.mff.cuni.cz/services/teitok/pdtc10/index.php?action=vallex&amp;frame=v-w6185f1", "slupnout (v-w6185f1)")</f>
        <v>slupnout (v-w6185f1)</v>
      </c>
    </row>
    <row r="44628" customFormat="false" ht="12.8" hidden="false" customHeight="false" outlineLevel="0" collapsed="false">
      <c r="B44628" s="0" t="s">
        <v>1</v>
      </c>
    </row>
    <row r="44629" customFormat="false" ht="12.8" hidden="false" customHeight="false" outlineLevel="0" collapsed="false">
      <c r="B44629" s="0" t="s">
        <v>8</v>
      </c>
    </row>
    <row r="44631" customFormat="false" ht="12.8" hidden="false" customHeight="false" outlineLevel="0" collapsed="false">
      <c r="A44631" s="0" t="s">
        <v>16047</v>
      </c>
      <c r="B44631" s="0" t="str">
        <f aca="false">HYPERLINK("https://lindat.mff.cuni.cz/services/teitok/pdtc10/index.php?action=vallex&amp;frame=v-w11590_ZUf1_ZU", "slučovat (v-w11590_ZUf1_ZU)")</f>
        <v>slučovat (v-w11590_ZUf1_ZU)</v>
      </c>
    </row>
    <row r="44632" customFormat="false" ht="12.8" hidden="false" customHeight="false" outlineLevel="0" collapsed="false">
      <c r="B44632" s="0" t="s">
        <v>1</v>
      </c>
    </row>
    <row r="44633" customFormat="false" ht="12.8" hidden="false" customHeight="false" outlineLevel="0" collapsed="false">
      <c r="B44633" s="0" t="s">
        <v>8</v>
      </c>
    </row>
    <row r="44634" customFormat="false" ht="12.8" hidden="false" customHeight="false" outlineLevel="0" collapsed="false">
      <c r="B44634" s="0" t="s">
        <v>276</v>
      </c>
    </row>
    <row r="44635" customFormat="false" ht="12.8" hidden="false" customHeight="false" outlineLevel="0" collapsed="false">
      <c r="B44635" s="0" t="s">
        <v>3026</v>
      </c>
    </row>
    <row r="44637" customFormat="false" ht="12.8" hidden="false" customHeight="false" outlineLevel="0" collapsed="false">
      <c r="A44637" s="0" t="s">
        <v>16048</v>
      </c>
      <c r="B44637" s="0" t="str">
        <f aca="false">HYPERLINK("https://lindat.mff.cuni.cz/services/teitok/pdtc10/index.php?action=vallex&amp;frame=v-w6182f2_ZU", "slučovat se (v-w6182f2_ZU)")</f>
        <v>slučovat se (v-w6182f2_ZU)</v>
      </c>
      <c r="E44637" s="0" t="str">
        <f aca="false">HYPERLINK("https://lindat.mff.cuni.cz/services/SynSemClass40/SynSemClass40.html?veclass=vec00318#vec00318-ces-cm00006", "vec00318")</f>
        <v>vec00318</v>
      </c>
      <c r="F44637" s="0" t="s">
        <v>3218</v>
      </c>
      <c r="H44637" s="0" t="str">
        <f aca="false">HYPERLINK("https://lindat.mff.cuni.cz/services/SynSemClass40/SynSemClass40.html?veclass=vec01296#vec01296-ces-cm00012", "vec01296")</f>
        <v>vec01296</v>
      </c>
      <c r="I44637" s="0" t="s">
        <v>3625</v>
      </c>
    </row>
    <row r="44638" customFormat="false" ht="12.8" hidden="false" customHeight="false" outlineLevel="0" collapsed="false">
      <c r="B44638" s="0" t="s">
        <v>1</v>
      </c>
      <c r="C44638" s="0" t="s">
        <v>3626</v>
      </c>
      <c r="E44638" s="0" t="s">
        <v>2241</v>
      </c>
      <c r="F44638" s="0" t="s">
        <v>3220</v>
      </c>
      <c r="H44638" s="0" t="s">
        <v>2241</v>
      </c>
      <c r="I44638" s="0" t="s">
        <v>3627</v>
      </c>
    </row>
    <row r="44639" customFormat="false" ht="12.8" hidden="false" customHeight="false" outlineLevel="0" collapsed="false">
      <c r="B44639" s="0" t="s">
        <v>721</v>
      </c>
      <c r="C44639" s="0" t="s">
        <v>3628</v>
      </c>
      <c r="E44639" s="0" t="s">
        <v>2665</v>
      </c>
      <c r="F44639" s="0" t="s">
        <v>3222</v>
      </c>
      <c r="H44639" s="0" t="s">
        <v>2665</v>
      </c>
      <c r="I44639" s="0" t="s">
        <v>3629</v>
      </c>
    </row>
    <row r="44640" customFormat="false" ht="12.8" hidden="false" customHeight="false" outlineLevel="0" collapsed="false">
      <c r="B44640" s="0" t="s">
        <v>3026</v>
      </c>
      <c r="C44640" s="0" t="s">
        <v>11056</v>
      </c>
      <c r="E44640" s="0" t="s">
        <v>4858</v>
      </c>
      <c r="F44640" s="0" t="s">
        <v>11057</v>
      </c>
    </row>
    <row r="44642" customFormat="false" ht="12.8" hidden="false" customHeight="false" outlineLevel="0" collapsed="false">
      <c r="A44642" s="0" t="s">
        <v>16049</v>
      </c>
      <c r="B44642" s="0" t="str">
        <f aca="false">HYPERLINK("https://lindat.mff.cuni.cz/services/teitok/pdtc10/index.php?action=vallex&amp;frame=v-w6182f1", "slučovat se (v-w6182f1)")</f>
        <v>slučovat se (v-w6182f1)</v>
      </c>
    </row>
    <row r="44643" customFormat="false" ht="12.8" hidden="false" customHeight="false" outlineLevel="0" collapsed="false">
      <c r="B44643" s="0" t="s">
        <v>1</v>
      </c>
    </row>
    <row r="44644" customFormat="false" ht="12.8" hidden="false" customHeight="false" outlineLevel="0" collapsed="false">
      <c r="B44644" s="0" t="s">
        <v>721</v>
      </c>
    </row>
    <row r="44646" customFormat="false" ht="12.8" hidden="false" customHeight="false" outlineLevel="0" collapsed="false">
      <c r="A44646" s="0" t="s">
        <v>16050</v>
      </c>
      <c r="B44646" s="0" t="str">
        <f aca="false">HYPERLINK("https://lindat.mff.cuni.cz/services/teitok/pdtc10/index.php?action=vallex&amp;frame=v-w6186f1", "slušet (v-w6186f1)")</f>
        <v>slušet (v-w6186f1)</v>
      </c>
      <c r="E44646" s="0" t="str">
        <f aca="false">HYPERLINK("https://lindat.mff.cuni.cz/services/SynSemClass40/SynSemClass40.html?veclass=vec01523#vec01523-ces-cm00008", "vec01523")</f>
        <v>vec01523</v>
      </c>
      <c r="F44646" s="0" t="s">
        <v>4430</v>
      </c>
    </row>
    <row r="44647" customFormat="false" ht="12.8" hidden="false" customHeight="false" outlineLevel="0" collapsed="false">
      <c r="B44647" s="0" t="s">
        <v>7546</v>
      </c>
      <c r="C44647" s="0" t="s">
        <v>4441</v>
      </c>
      <c r="E44647" s="0" t="s">
        <v>4434</v>
      </c>
      <c r="F44647" s="0" t="s">
        <v>4435</v>
      </c>
    </row>
    <row r="44648" customFormat="false" ht="12.8" hidden="false" customHeight="false" outlineLevel="0" collapsed="false">
      <c r="B44648" s="0" t="s">
        <v>186</v>
      </c>
      <c r="C44648" s="0" t="s">
        <v>10469</v>
      </c>
      <c r="E44648" s="0" t="s">
        <v>4438</v>
      </c>
      <c r="F44648" s="0" t="s">
        <v>4439</v>
      </c>
    </row>
    <row r="44650" customFormat="false" ht="12.8" hidden="false" customHeight="false" outlineLevel="0" collapsed="false">
      <c r="A44650" s="0" t="s">
        <v>16051</v>
      </c>
      <c r="B44650" s="0" t="str">
        <f aca="false">HYPERLINK("https://lindat.mff.cuni.cz/services/teitok/pdtc10/index.php?action=vallex&amp;frame=v-w6187f1", "slušet se (v-w6187f1)")</f>
        <v>slušet se (v-w6187f1)</v>
      </c>
      <c r="E44650" s="0" t="str">
        <f aca="false">HYPERLINK("https://lindat.mff.cuni.cz/services/SynSemClass40/SynSemClass40.html?veclass=vec01523#vec01523-ces-cm00009", "vec01523")</f>
        <v>vec01523</v>
      </c>
      <c r="F44650" s="0" t="s">
        <v>4430</v>
      </c>
    </row>
    <row r="44651" customFormat="false" ht="12.8" hidden="false" customHeight="false" outlineLevel="0" collapsed="false">
      <c r="B44651" s="0" t="s">
        <v>6527</v>
      </c>
      <c r="C44651" s="0" t="s">
        <v>4441</v>
      </c>
      <c r="E44651" s="0" t="s">
        <v>4434</v>
      </c>
      <c r="F44651" s="0" t="s">
        <v>4435</v>
      </c>
    </row>
    <row r="44652" customFormat="false" ht="12.8" hidden="false" customHeight="false" outlineLevel="0" collapsed="false">
      <c r="B44652" s="0" t="s">
        <v>10468</v>
      </c>
      <c r="C44652" s="0" t="s">
        <v>10469</v>
      </c>
      <c r="E44652" s="0" t="s">
        <v>4438</v>
      </c>
      <c r="F44652" s="0" t="s">
        <v>4439</v>
      </c>
    </row>
    <row r="44654" customFormat="false" ht="12.8" hidden="false" customHeight="false" outlineLevel="0" collapsed="false">
      <c r="A44654" s="0" t="s">
        <v>16052</v>
      </c>
      <c r="B44654" s="0" t="str">
        <f aca="false">HYPERLINK("https://lindat.mff.cuni.cz/services/teitok/pdtc10/index.php?action=vallex&amp;frame=v-w6192f3", "slyšet (v-w6192f3)")</f>
        <v>slyšet (v-w6192f3)</v>
      </c>
      <c r="E44654" s="0" t="str">
        <f aca="false">HYPERLINK("https://lindat.mff.cuni.cz/services/SynSemClass40/SynSemClass40.html?veclass=vec00013#vec00013-ces-cm00082", "vec00013")</f>
        <v>vec00013</v>
      </c>
      <c r="F44654" s="0" t="s">
        <v>2742</v>
      </c>
      <c r="H44654" s="0" t="str">
        <f aca="false">HYPERLINK("https://lindat.mff.cuni.cz/services/SynSemClass40/SynSemClass40.html?veclass=vec01264#vec01264-ces-cm00018", "vec01264")</f>
        <v>vec01264</v>
      </c>
      <c r="I44654" s="0" t="s">
        <v>2757</v>
      </c>
    </row>
    <row r="44655" customFormat="false" ht="12.8" hidden="false" customHeight="false" outlineLevel="0" collapsed="false">
      <c r="B44655" s="0" t="s">
        <v>1</v>
      </c>
      <c r="C44655" s="0" t="s">
        <v>2758</v>
      </c>
      <c r="E44655" s="0" t="s">
        <v>621</v>
      </c>
      <c r="F44655" s="0" t="s">
        <v>2744</v>
      </c>
      <c r="H44655" s="0" t="s">
        <v>621</v>
      </c>
      <c r="I44655" s="0" t="s">
        <v>2759</v>
      </c>
    </row>
    <row r="44656" customFormat="false" ht="12.8" hidden="false" customHeight="false" outlineLevel="0" collapsed="false">
      <c r="B44656" s="0" t="s">
        <v>16053</v>
      </c>
      <c r="C44656" s="0" t="s">
        <v>2763</v>
      </c>
      <c r="E44656" s="0" t="s">
        <v>218</v>
      </c>
      <c r="F44656" s="0" t="s">
        <v>2749</v>
      </c>
      <c r="H44656" s="0" t="s">
        <v>218</v>
      </c>
      <c r="I44656" s="0" t="s">
        <v>2764</v>
      </c>
    </row>
    <row r="44657" customFormat="false" ht="12.8" hidden="false" customHeight="false" outlineLevel="0" collapsed="false">
      <c r="B44657" s="0" t="s">
        <v>602</v>
      </c>
      <c r="C44657" s="0" t="s">
        <v>2766</v>
      </c>
      <c r="E44657" s="0" t="s">
        <v>2176</v>
      </c>
      <c r="F44657" s="0" t="s">
        <v>2751</v>
      </c>
      <c r="H44657" s="0" t="s">
        <v>2176</v>
      </c>
      <c r="I44657" s="0" t="s">
        <v>2767</v>
      </c>
    </row>
    <row r="44659" customFormat="false" ht="12.8" hidden="false" customHeight="false" outlineLevel="0" collapsed="false">
      <c r="A44659" s="0" t="s">
        <v>16054</v>
      </c>
      <c r="B44659" s="0" t="str">
        <f aca="false">HYPERLINK("https://lindat.mff.cuni.cz/services/teitok/pdtc10/index.php?action=vallex&amp;frame=v-w6192f9_ZU", "slyšet (v-w6192f9_ZU)")</f>
        <v>slyšet (v-w6192f9_ZU)</v>
      </c>
    </row>
    <row r="44660" customFormat="false" ht="12.8" hidden="false" customHeight="false" outlineLevel="0" collapsed="false">
      <c r="B44660" s="0" t="s">
        <v>1</v>
      </c>
    </row>
    <row r="44661" customFormat="false" ht="12.8" hidden="false" customHeight="false" outlineLevel="0" collapsed="false">
      <c r="B44661" s="0" t="s">
        <v>8</v>
      </c>
    </row>
    <row r="44662" customFormat="false" ht="12.8" hidden="false" customHeight="false" outlineLevel="0" collapsed="false">
      <c r="B44662" s="0" t="s">
        <v>16055</v>
      </c>
    </row>
    <row r="44664" customFormat="false" ht="12.8" hidden="false" customHeight="false" outlineLevel="0" collapsed="false">
      <c r="A44664" s="0" t="s">
        <v>16054</v>
      </c>
      <c r="B44664" s="0" t="str">
        <f aca="false">HYPERLINK("https://lindat.mff.cuni.cz/services/teitok/pdtc10/index.php?action=vallex&amp;frame=v-w6192f4", "slyšet (v-w6192f4) - substituted with v-w6192f9_ZU")</f>
        <v>slyšet (v-w6192f4) - substituted with v-w6192f9_ZU</v>
      </c>
      <c r="E44664" s="0" t="str">
        <f aca="false">HYPERLINK("https://lindat.mff.cuni.cz/services/SynSemClass40/SynSemClass40.html?veclass=vec00313#vec00313-ces-cm00009", "vec00313")</f>
        <v>vec00313</v>
      </c>
      <c r="F44664" s="0" t="s">
        <v>16056</v>
      </c>
    </row>
    <row r="44665" customFormat="false" ht="12.8" hidden="false" customHeight="false" outlineLevel="0" collapsed="false">
      <c r="B44665" s="0" t="s">
        <v>1</v>
      </c>
      <c r="C44665" s="0" t="s">
        <v>4001</v>
      </c>
      <c r="E44665" s="0" t="s">
        <v>637</v>
      </c>
      <c r="F44665" s="0" t="s">
        <v>16057</v>
      </c>
    </row>
    <row r="44666" customFormat="false" ht="12.8" hidden="false" customHeight="false" outlineLevel="0" collapsed="false">
      <c r="B44666" s="0" t="s">
        <v>8</v>
      </c>
      <c r="C44666" s="0" t="s">
        <v>16058</v>
      </c>
      <c r="E44666" s="0" t="s">
        <v>180</v>
      </c>
      <c r="F44666" s="0" t="s">
        <v>16059</v>
      </c>
    </row>
    <row r="44667" customFormat="false" ht="12.8" hidden="false" customHeight="false" outlineLevel="0" collapsed="false">
      <c r="B44667" s="0" t="s">
        <v>16055</v>
      </c>
      <c r="C44667" s="0" t="s">
        <v>16060</v>
      </c>
      <c r="E44667" s="0" t="s">
        <v>6476</v>
      </c>
      <c r="F44667" s="0" t="s">
        <v>16061</v>
      </c>
    </row>
    <row r="44669" customFormat="false" ht="12.8" hidden="false" customHeight="false" outlineLevel="0" collapsed="false">
      <c r="A44669" s="0" t="s">
        <v>16054</v>
      </c>
      <c r="B44669" s="0" t="str">
        <f aca="false">HYPERLINK("https://lindat.mff.cuni.cz/services/teitok/pdtc10/index.php?action=vallex&amp;frame=v-w6192f6_ZU", "slyšet (v-w6192f6_ZU) - substituted with v-w6192f9_ZU")</f>
        <v>slyšet (v-w6192f6_ZU) - substituted with v-w6192f9_ZU</v>
      </c>
    </row>
    <row r="44670" customFormat="false" ht="12.8" hidden="false" customHeight="false" outlineLevel="0" collapsed="false">
      <c r="B44670" s="0" t="s">
        <v>1</v>
      </c>
    </row>
    <row r="44671" customFormat="false" ht="12.8" hidden="false" customHeight="false" outlineLevel="0" collapsed="false">
      <c r="B44671" s="0" t="s">
        <v>8</v>
      </c>
    </row>
    <row r="44672" customFormat="false" ht="12.8" hidden="false" customHeight="false" outlineLevel="0" collapsed="false">
      <c r="B44672" s="0" t="s">
        <v>16055</v>
      </c>
    </row>
    <row r="44674" customFormat="false" ht="12.8" hidden="false" customHeight="false" outlineLevel="0" collapsed="false">
      <c r="A44674" s="0" t="s">
        <v>16062</v>
      </c>
      <c r="B44674" s="0" t="str">
        <f aca="false">HYPERLINK("https://lindat.mff.cuni.cz/services/teitok/pdtc10/index.php?action=vallex&amp;frame=v-w6192f8_ZU", "slyšet (v-w6192f8_ZU)")</f>
        <v>slyšet (v-w6192f8_ZU)</v>
      </c>
    </row>
    <row r="44675" customFormat="false" ht="12.8" hidden="false" customHeight="false" outlineLevel="0" collapsed="false">
      <c r="B44675" s="0" t="s">
        <v>1</v>
      </c>
    </row>
    <row r="44676" customFormat="false" ht="12.8" hidden="false" customHeight="false" outlineLevel="0" collapsed="false">
      <c r="B44676" s="0" t="s">
        <v>16063</v>
      </c>
    </row>
    <row r="44678" customFormat="false" ht="12.8" hidden="false" customHeight="false" outlineLevel="0" collapsed="false">
      <c r="A44678" s="0" t="s">
        <v>16062</v>
      </c>
      <c r="B44678" s="0" t="str">
        <f aca="false">HYPERLINK("https://lindat.mff.cuni.cz/services/teitok/pdtc10/index.php?action=vallex&amp;frame=v-w6192f1", "slyšet (v-w6192f1) - substituted with v-w6192f8_ZU")</f>
        <v>slyšet (v-w6192f1) - substituted with v-w6192f8_ZU</v>
      </c>
      <c r="E44678" s="0" t="str">
        <f aca="false">HYPERLINK("https://lindat.mff.cuni.cz/services/SynSemClass40/SynSemClass40.html?veclass=vec00313#vec00313-ces-cm00001", "vec00313")</f>
        <v>vec00313</v>
      </c>
      <c r="F44678" s="0" t="s">
        <v>16056</v>
      </c>
    </row>
    <row r="44679" customFormat="false" ht="12.8" hidden="false" customHeight="false" outlineLevel="0" collapsed="false">
      <c r="B44679" s="0" t="s">
        <v>1</v>
      </c>
      <c r="C44679" s="0" t="s">
        <v>4001</v>
      </c>
      <c r="E44679" s="0" t="s">
        <v>637</v>
      </c>
      <c r="F44679" s="0" t="s">
        <v>16057</v>
      </c>
    </row>
    <row r="44680" customFormat="false" ht="12.8" hidden="false" customHeight="false" outlineLevel="0" collapsed="false">
      <c r="B44680" s="0" t="s">
        <v>16063</v>
      </c>
      <c r="C44680" s="0" t="s">
        <v>16058</v>
      </c>
      <c r="E44680" s="0" t="s">
        <v>180</v>
      </c>
      <c r="F44680" s="0" t="s">
        <v>16059</v>
      </c>
    </row>
    <row r="44682" customFormat="false" ht="12.8" hidden="false" customHeight="false" outlineLevel="0" collapsed="false">
      <c r="A44682" s="0" t="s">
        <v>16064</v>
      </c>
      <c r="B44682" s="0" t="str">
        <f aca="false">HYPERLINK("https://lindat.mff.cuni.cz/services/teitok/pdtc10/index.php?action=vallex&amp;frame=v-w6192f5", "slyšet (v-w6192f5)")</f>
        <v>slyšet (v-w6192f5)</v>
      </c>
    </row>
    <row r="44683" customFormat="false" ht="12.8" hidden="false" customHeight="false" outlineLevel="0" collapsed="false">
      <c r="B44683" s="0" t="s">
        <v>1</v>
      </c>
    </row>
    <row r="44684" customFormat="false" ht="12.8" hidden="false" customHeight="false" outlineLevel="0" collapsed="false">
      <c r="B44684" s="0" t="s">
        <v>45</v>
      </c>
    </row>
    <row r="44686" customFormat="false" ht="12.8" hidden="false" customHeight="false" outlineLevel="0" collapsed="false">
      <c r="A44686" s="0" t="s">
        <v>16065</v>
      </c>
      <c r="B44686" s="0" t="str">
        <f aca="false">HYPERLINK("https://lindat.mff.cuni.cz/services/teitok/pdtc10/index.php?action=vallex&amp;frame=v-w6192f2", "slyšet (v-w6192f2)")</f>
        <v>slyšet (v-w6192f2)</v>
      </c>
      <c r="E44686" s="0" t="str">
        <f aca="false">HYPERLINK("https://lindat.mff.cuni.cz/services/SynSemClass40/SynSemClass40.html?veclass=vec00013#vec00013-ces-cm00081", "vec00013")</f>
        <v>vec00013</v>
      </c>
      <c r="F44686" s="0" t="s">
        <v>2742</v>
      </c>
      <c r="H44686" s="0" t="str">
        <f aca="false">HYPERLINK("https://lindat.mff.cuni.cz/services/SynSemClass40/SynSemClass40.html?veclass=vec01264#vec01264-ces-cm00007", "vec01264")</f>
        <v>vec01264</v>
      </c>
      <c r="I44686" s="0" t="s">
        <v>2757</v>
      </c>
    </row>
    <row r="44687" customFormat="false" ht="12.8" hidden="false" customHeight="false" outlineLevel="0" collapsed="false">
      <c r="B44687" s="0" t="s">
        <v>1</v>
      </c>
      <c r="C44687" s="0" t="s">
        <v>2758</v>
      </c>
      <c r="E44687" s="0" t="s">
        <v>621</v>
      </c>
      <c r="F44687" s="0" t="s">
        <v>2744</v>
      </c>
      <c r="H44687" s="0" t="s">
        <v>621</v>
      </c>
      <c r="I44687" s="0" t="s">
        <v>2759</v>
      </c>
    </row>
    <row r="44688" customFormat="false" ht="12.8" hidden="false" customHeight="false" outlineLevel="0" collapsed="false">
      <c r="B44688" s="0" t="s">
        <v>2760</v>
      </c>
      <c r="C44688" s="0" t="s">
        <v>2761</v>
      </c>
      <c r="E44688" s="0" t="s">
        <v>2217</v>
      </c>
      <c r="F44688" s="0" t="s">
        <v>2747</v>
      </c>
      <c r="H44688" s="0" t="s">
        <v>2217</v>
      </c>
      <c r="I44688" s="0" t="s">
        <v>2762</v>
      </c>
    </row>
    <row r="44689" customFormat="false" ht="12.8" hidden="false" customHeight="false" outlineLevel="0" collapsed="false">
      <c r="B44689" s="0" t="s">
        <v>496</v>
      </c>
      <c r="C44689" s="0" t="s">
        <v>2763</v>
      </c>
      <c r="E44689" s="0" t="s">
        <v>218</v>
      </c>
      <c r="F44689" s="0" t="s">
        <v>2749</v>
      </c>
      <c r="H44689" s="0" t="s">
        <v>218</v>
      </c>
      <c r="I44689" s="0" t="s">
        <v>2764</v>
      </c>
    </row>
    <row r="44690" customFormat="false" ht="12.8" hidden="false" customHeight="false" outlineLevel="0" collapsed="false">
      <c r="B44690" s="0" t="s">
        <v>2765</v>
      </c>
      <c r="C44690" s="0" t="s">
        <v>2766</v>
      </c>
      <c r="E44690" s="0" t="s">
        <v>2176</v>
      </c>
      <c r="F44690" s="0" t="s">
        <v>2751</v>
      </c>
      <c r="H44690" s="0" t="s">
        <v>2176</v>
      </c>
      <c r="I44690" s="0" t="s">
        <v>2767</v>
      </c>
    </row>
    <row r="44692" customFormat="false" ht="12.8" hidden="false" customHeight="false" outlineLevel="0" collapsed="false">
      <c r="A44692" s="0" t="s">
        <v>16066</v>
      </c>
      <c r="B44692" s="0" t="str">
        <f aca="false">HYPERLINK("https://lindat.mff.cuni.cz/services/teitok/pdtc10/index.php?action=vallex&amp;frame=v-w6192f7_ZU", "slyšet (v-w6192f7_ZU)")</f>
        <v>slyšet (v-w6192f7_ZU)</v>
      </c>
    </row>
    <row r="44693" customFormat="false" ht="12.8" hidden="false" customHeight="false" outlineLevel="0" collapsed="false">
      <c r="B44693" s="0" t="s">
        <v>1</v>
      </c>
    </row>
    <row r="44694" customFormat="false" ht="12.8" hidden="false" customHeight="false" outlineLevel="0" collapsed="false">
      <c r="B44694" s="0" t="s">
        <v>16067</v>
      </c>
    </row>
    <row r="44696" customFormat="false" ht="12.8" hidden="false" customHeight="false" outlineLevel="0" collapsed="false">
      <c r="A44696" s="0" t="s">
        <v>16066</v>
      </c>
      <c r="B44696" s="0" t="str">
        <f aca="false">HYPERLINK("https://lindat.mff.cuni.cz/services/teitok/pdtc10/index.php?action=vallex&amp;frame=v-w6192hsa_1037", "slyšet (v-w6192hsa_1037) - substituted with v-w6192f7_ZU")</f>
        <v>slyšet (v-w6192hsa_1037) - substituted with v-w6192f7_ZU</v>
      </c>
    </row>
    <row r="44697" customFormat="false" ht="12.8" hidden="false" customHeight="false" outlineLevel="0" collapsed="false">
      <c r="B44697" s="0" t="s">
        <v>1</v>
      </c>
    </row>
    <row r="44698" customFormat="false" ht="12.8" hidden="false" customHeight="false" outlineLevel="0" collapsed="false">
      <c r="B44698" s="0" t="s">
        <v>16067</v>
      </c>
    </row>
    <row r="44700" customFormat="false" ht="12.8" hidden="false" customHeight="false" outlineLevel="0" collapsed="false">
      <c r="A44700" s="0" t="s">
        <v>16068</v>
      </c>
      <c r="B44700" s="0" t="str">
        <f aca="false">HYPERLINK("https://lindat.mff.cuni.cz/services/teitok/pdtc10/index.php?action=vallex&amp;frame=v-whsa_1135hsa_1136", "slyšet se (v-whsa_1135hsa_1136)")</f>
        <v>slyšet se (v-whsa_1135hsa_1136)</v>
      </c>
    </row>
    <row r="44701" customFormat="false" ht="12.8" hidden="false" customHeight="false" outlineLevel="0" collapsed="false">
      <c r="B44701" s="0" t="s">
        <v>1</v>
      </c>
    </row>
    <row r="44702" customFormat="false" ht="12.8" hidden="false" customHeight="false" outlineLevel="0" collapsed="false">
      <c r="B44702" s="0" t="s">
        <v>721</v>
      </c>
    </row>
    <row r="44704" customFormat="false" ht="12.8" hidden="false" customHeight="false" outlineLevel="0" collapsed="false">
      <c r="A44704" s="0" t="s">
        <v>16069</v>
      </c>
      <c r="B44704" s="0" t="str">
        <f aca="false">HYPERLINK("https://lindat.mff.cuni.cz/services/teitok/pdtc10/index.php?action=vallex&amp;frame=v-w6139f1", "slábnout (v-w6139f1)")</f>
        <v>slábnout (v-w6139f1)</v>
      </c>
      <c r="E44704" s="0" t="str">
        <f aca="false">HYPERLINK("https://lindat.mff.cuni.cz/services/SynSemClass40/SynSemClass40.html?veclass=vec00463#vec00463-ces-cm00008", "vec00463")</f>
        <v>vec00463</v>
      </c>
      <c r="F44704" s="0" t="s">
        <v>8671</v>
      </c>
    </row>
    <row r="44705" customFormat="false" ht="12.8" hidden="false" customHeight="false" outlineLevel="0" collapsed="false">
      <c r="B44705" s="0" t="s">
        <v>1</v>
      </c>
      <c r="C44705" s="0" t="s">
        <v>9962</v>
      </c>
      <c r="E44705" s="0" t="s">
        <v>8663</v>
      </c>
      <c r="F44705" s="0" t="s">
        <v>8673</v>
      </c>
    </row>
    <row r="44707" customFormat="false" ht="12.8" hidden="false" customHeight="false" outlineLevel="0" collapsed="false">
      <c r="A44707" s="0" t="s">
        <v>16070</v>
      </c>
      <c r="B44707" s="0" t="str">
        <f aca="false">HYPERLINK("https://lindat.mff.cuni.cz/services/teitok/pdtc10/index.php?action=vallex&amp;frame=v-w11272f1", "slétat se (v-w11272f1)")</f>
        <v>slétat se (v-w11272f1)</v>
      </c>
    </row>
    <row r="44708" customFormat="false" ht="12.8" hidden="false" customHeight="false" outlineLevel="0" collapsed="false">
      <c r="B44708" s="0" t="s">
        <v>1</v>
      </c>
    </row>
    <row r="44709" customFormat="false" ht="12.8" hidden="false" customHeight="false" outlineLevel="0" collapsed="false">
      <c r="B44709" s="0" t="s">
        <v>164</v>
      </c>
    </row>
    <row r="44711" customFormat="false" ht="12.8" hidden="false" customHeight="false" outlineLevel="0" collapsed="false">
      <c r="A44711" s="0" t="s">
        <v>16071</v>
      </c>
      <c r="B44711" s="0" t="str">
        <f aca="false">HYPERLINK("https://lindat.mff.cuni.cz/services/teitok/pdtc10/index.php?action=vallex&amp;frame=v-w11124f2", "slétnout (v-w11124f2)")</f>
        <v>slétnout (v-w11124f2)</v>
      </c>
    </row>
    <row r="44712" customFormat="false" ht="12.8" hidden="false" customHeight="false" outlineLevel="0" collapsed="false">
      <c r="B44712" s="0" t="s">
        <v>1</v>
      </c>
    </row>
    <row r="44713" customFormat="false" ht="12.8" hidden="false" customHeight="false" outlineLevel="0" collapsed="false">
      <c r="B44713" s="0" t="s">
        <v>69</v>
      </c>
    </row>
    <row r="44714" customFormat="false" ht="12.8" hidden="false" customHeight="false" outlineLevel="0" collapsed="false">
      <c r="B44714" s="0" t="s">
        <v>36</v>
      </c>
    </row>
    <row r="44716" customFormat="false" ht="12.8" hidden="false" customHeight="false" outlineLevel="0" collapsed="false">
      <c r="A44716" s="0" t="s">
        <v>16072</v>
      </c>
      <c r="B44716" s="0" t="str">
        <f aca="false">HYPERLINK("https://lindat.mff.cuni.cz/services/teitok/pdtc10/index.php?action=vallex&amp;frame=v-w6153f1", "slévat se (v-w6153f1)")</f>
        <v>slévat se (v-w6153f1)</v>
      </c>
    </row>
    <row r="44717" customFormat="false" ht="12.8" hidden="false" customHeight="false" outlineLevel="0" collapsed="false">
      <c r="B44717" s="0" t="s">
        <v>1</v>
      </c>
    </row>
    <row r="44718" customFormat="false" ht="12.8" hidden="false" customHeight="false" outlineLevel="0" collapsed="false">
      <c r="B44718" s="0" t="s">
        <v>721</v>
      </c>
    </row>
    <row r="44719" customFormat="false" ht="12.8" hidden="false" customHeight="false" outlineLevel="0" collapsed="false">
      <c r="B44719" s="0" t="s">
        <v>3026</v>
      </c>
    </row>
    <row r="44721" customFormat="false" ht="12.8" hidden="false" customHeight="false" outlineLevel="0" collapsed="false">
      <c r="A44721" s="0" t="s">
        <v>16073</v>
      </c>
      <c r="B44721" s="0" t="str">
        <f aca="false">HYPERLINK("https://lindat.mff.cuni.cz/services/teitok/pdtc10/index.php?action=vallex&amp;frame=v-w6155f1", "slézat (v-w6155f1)")</f>
        <v>slézat (v-w6155f1)</v>
      </c>
      <c r="E44721" s="0" t="str">
        <f aca="false">HYPERLINK("https://lindat.mff.cuni.cz/services/SynSemClass40/SynSemClass40.html?veclass=vec01318#vec01318-ces-cm00003", "vec01318")</f>
        <v>vec01318</v>
      </c>
      <c r="F44721" s="0" t="s">
        <v>5084</v>
      </c>
    </row>
    <row r="44722" customFormat="false" ht="12.8" hidden="false" customHeight="false" outlineLevel="0" collapsed="false">
      <c r="B44722" s="0" t="s">
        <v>1</v>
      </c>
      <c r="C44722" s="0" t="s">
        <v>15699</v>
      </c>
      <c r="E44722" s="0" t="s">
        <v>334</v>
      </c>
      <c r="F44722" s="0" t="s">
        <v>5086</v>
      </c>
    </row>
    <row r="44723" customFormat="false" ht="12.8" hidden="false" customHeight="false" outlineLevel="0" collapsed="false">
      <c r="B44723" s="0" t="s">
        <v>631</v>
      </c>
      <c r="E44723" s="0" t="s">
        <v>1924</v>
      </c>
      <c r="F44723" s="0" t="s">
        <v>9358</v>
      </c>
    </row>
    <row r="44725" customFormat="false" ht="12.8" hidden="false" customHeight="false" outlineLevel="0" collapsed="false">
      <c r="A44725" s="0" t="s">
        <v>16074</v>
      </c>
      <c r="B44725" s="0" t="str">
        <f aca="false">HYPERLINK("https://lindat.mff.cuni.cz/services/teitok/pdtc10/index.php?action=vallex&amp;frame=v-w6156f1", "slézt (v-w6156f1)")</f>
        <v>slézt (v-w6156f1)</v>
      </c>
      <c r="E44725" s="0" t="str">
        <f aca="false">HYPERLINK("https://lindat.mff.cuni.cz/services/SynSemClass40/SynSemClass40.html?veclass=vec01318#vec01318-ces-cm00004", "vec01318")</f>
        <v>vec01318</v>
      </c>
      <c r="F44725" s="0" t="s">
        <v>5084</v>
      </c>
    </row>
    <row r="44726" customFormat="false" ht="12.8" hidden="false" customHeight="false" outlineLevel="0" collapsed="false">
      <c r="B44726" s="0" t="s">
        <v>1</v>
      </c>
      <c r="C44726" s="0" t="s">
        <v>15699</v>
      </c>
      <c r="E44726" s="0" t="s">
        <v>334</v>
      </c>
      <c r="F44726" s="0" t="s">
        <v>5086</v>
      </c>
    </row>
    <row r="44727" customFormat="false" ht="12.8" hidden="false" customHeight="false" outlineLevel="0" collapsed="false">
      <c r="B44727" s="0" t="s">
        <v>631</v>
      </c>
      <c r="E44727" s="0" t="s">
        <v>1924</v>
      </c>
      <c r="F44727" s="0" t="s">
        <v>9358</v>
      </c>
    </row>
    <row r="44729" customFormat="false" ht="12.8" hidden="false" customHeight="false" outlineLevel="0" collapsed="false">
      <c r="A44729" s="0" t="s">
        <v>16075</v>
      </c>
      <c r="B44729" s="0" t="str">
        <f aca="false">HYPERLINK("https://lindat.mff.cuni.cz/services/teitok/pdtc10/index.php?action=vallex&amp;frame=v-w6159f1", "slíbit (v-w6159f1)")</f>
        <v>slíbit (v-w6159f1)</v>
      </c>
      <c r="E44729" s="0" t="str">
        <f aca="false">HYPERLINK("https://lindat.mff.cuni.cz/services/SynSemClass40/SynSemClass40.html?veclass=vec00311#vec00311-ces-cm00001", "vec00311")</f>
        <v>vec00311</v>
      </c>
      <c r="F44729" s="0" t="s">
        <v>14485</v>
      </c>
    </row>
    <row r="44730" customFormat="false" ht="12.8" hidden="false" customHeight="false" outlineLevel="0" collapsed="false">
      <c r="B44730" s="0" t="s">
        <v>1</v>
      </c>
      <c r="C44730" s="0" t="s">
        <v>14486</v>
      </c>
      <c r="E44730" s="0" t="s">
        <v>63</v>
      </c>
      <c r="F44730" s="0" t="s">
        <v>14487</v>
      </c>
    </row>
    <row r="44731" customFormat="false" ht="12.8" hidden="false" customHeight="false" outlineLevel="0" collapsed="false">
      <c r="B44731" s="0" t="s">
        <v>14488</v>
      </c>
      <c r="C44731" s="0" t="s">
        <v>14489</v>
      </c>
      <c r="E44731" s="0" t="s">
        <v>4209</v>
      </c>
      <c r="F44731" s="0" t="s">
        <v>14490</v>
      </c>
    </row>
    <row r="44732" customFormat="false" ht="12.8" hidden="false" customHeight="false" outlineLevel="0" collapsed="false">
      <c r="B44732" s="0" t="s">
        <v>52</v>
      </c>
      <c r="C44732" s="0" t="s">
        <v>14491</v>
      </c>
      <c r="E44732" s="0" t="s">
        <v>53</v>
      </c>
      <c r="F44732" s="0" t="s">
        <v>14492</v>
      </c>
    </row>
    <row r="44734" customFormat="false" ht="12.8" hidden="false" customHeight="false" outlineLevel="0" collapsed="false">
      <c r="A44734" s="0" t="s">
        <v>16076</v>
      </c>
      <c r="B44734" s="0" t="str">
        <f aca="false">HYPERLINK("https://lindat.mff.cuni.cz/services/teitok/pdtc10/index.php?action=vallex&amp;frame=v-whsa_1075hsa_1076", "slídit (v-whsa_1075hsa_1076)")</f>
        <v>slídit (v-whsa_1075hsa_1076)</v>
      </c>
    </row>
    <row r="44735" customFormat="false" ht="12.8" hidden="false" customHeight="false" outlineLevel="0" collapsed="false">
      <c r="B44735" s="0" t="s">
        <v>1</v>
      </c>
    </row>
    <row r="44736" customFormat="false" ht="12.8" hidden="false" customHeight="false" outlineLevel="0" collapsed="false">
      <c r="B44736" s="0" t="s">
        <v>1659</v>
      </c>
    </row>
    <row r="44738" customFormat="false" ht="12.8" hidden="false" customHeight="false" outlineLevel="0" collapsed="false">
      <c r="A44738" s="0" t="s">
        <v>16077</v>
      </c>
      <c r="B44738" s="0" t="str">
        <f aca="false">HYPERLINK("https://lindat.mff.cuni.cz/services/teitok/pdtc10/index.php?action=vallex&amp;frame=v-w12123_ZUf1_ZU", "slít se (v-w12123_ZUf1_ZU)")</f>
        <v>slít se (v-w12123_ZUf1_ZU)</v>
      </c>
    </row>
    <row r="44739" customFormat="false" ht="12.8" hidden="false" customHeight="false" outlineLevel="0" collapsed="false">
      <c r="B44739" s="0" t="s">
        <v>1</v>
      </c>
    </row>
    <row r="44740" customFormat="false" ht="12.8" hidden="false" customHeight="false" outlineLevel="0" collapsed="false">
      <c r="B44740" s="0" t="s">
        <v>6273</v>
      </c>
    </row>
    <row r="44742" customFormat="false" ht="12.8" hidden="false" customHeight="false" outlineLevel="0" collapsed="false">
      <c r="A44742" s="0" t="s">
        <v>16078</v>
      </c>
      <c r="B44742" s="0" t="str">
        <f aca="false">HYPERLINK("https://lindat.mff.cuni.cz/services/teitok/pdtc10/index.php?action=vallex&amp;frame=v-w11155f3", "slýchat (v-w11155f3)")</f>
        <v>slýchat (v-w11155f3)</v>
      </c>
      <c r="E44742" s="0" t="str">
        <f aca="false">HYPERLINK("https://lindat.mff.cuni.cz/services/SynSemClass40/SynSemClass40.html?veclass=vec00313#vec00313-ces-cm00006", "vec00313")</f>
        <v>vec00313</v>
      </c>
      <c r="F44742" s="0" t="s">
        <v>16056</v>
      </c>
    </row>
    <row r="44743" customFormat="false" ht="12.8" hidden="false" customHeight="false" outlineLevel="0" collapsed="false">
      <c r="B44743" s="0" t="s">
        <v>1</v>
      </c>
      <c r="C44743" s="0" t="s">
        <v>4001</v>
      </c>
      <c r="E44743" s="0" t="s">
        <v>637</v>
      </c>
      <c r="F44743" s="0" t="s">
        <v>16057</v>
      </c>
    </row>
    <row r="44744" customFormat="false" ht="12.8" hidden="false" customHeight="false" outlineLevel="0" collapsed="false">
      <c r="B44744" s="0" t="s">
        <v>15262</v>
      </c>
      <c r="C44744" s="0" t="s">
        <v>16058</v>
      </c>
      <c r="E44744" s="0" t="s">
        <v>180</v>
      </c>
      <c r="F44744" s="0" t="s">
        <v>16059</v>
      </c>
    </row>
    <row r="44746" customFormat="false" ht="12.8" hidden="false" customHeight="false" outlineLevel="0" collapsed="false">
      <c r="A44746" s="0" t="s">
        <v>16079</v>
      </c>
      <c r="B44746" s="0" t="str">
        <f aca="false">HYPERLINK("https://lindat.mff.cuni.cz/services/teitok/pdtc10/index.php?action=vallex&amp;frame=v-w11155f2", "slýchat (v-w11155f2)")</f>
        <v>slýchat (v-w11155f2)</v>
      </c>
      <c r="E44746" s="0" t="str">
        <f aca="false">HYPERLINK("https://lindat.mff.cuni.cz/services/SynSemClass40/SynSemClass40.html?veclass=vec00013#vec00013-ces-cm00286", "vec00013")</f>
        <v>vec00013</v>
      </c>
      <c r="F44746" s="0" t="s">
        <v>2742</v>
      </c>
    </row>
    <row r="44747" customFormat="false" ht="12.8" hidden="false" customHeight="false" outlineLevel="0" collapsed="false">
      <c r="B44747" s="0" t="s">
        <v>1</v>
      </c>
      <c r="C44747" s="0" t="s">
        <v>2743</v>
      </c>
      <c r="E44747" s="0" t="s">
        <v>621</v>
      </c>
      <c r="F44747" s="0" t="s">
        <v>2744</v>
      </c>
    </row>
    <row r="44748" customFormat="false" ht="12.8" hidden="false" customHeight="false" outlineLevel="0" collapsed="false">
      <c r="B44748" s="0" t="s">
        <v>6414</v>
      </c>
      <c r="C44748" s="0" t="s">
        <v>2746</v>
      </c>
      <c r="E44748" s="0" t="s">
        <v>2217</v>
      </c>
      <c r="F44748" s="0" t="s">
        <v>2747</v>
      </c>
    </row>
    <row r="44749" customFormat="false" ht="12.8" hidden="false" customHeight="false" outlineLevel="0" collapsed="false">
      <c r="B44749" s="0" t="s">
        <v>496</v>
      </c>
      <c r="C44749" s="0" t="s">
        <v>2748</v>
      </c>
      <c r="E44749" s="0" t="s">
        <v>218</v>
      </c>
      <c r="F44749" s="0" t="s">
        <v>2749</v>
      </c>
    </row>
    <row r="44750" customFormat="false" ht="12.8" hidden="false" customHeight="false" outlineLevel="0" collapsed="false">
      <c r="B44750" s="0" t="s">
        <v>16080</v>
      </c>
      <c r="C44750" s="0" t="s">
        <v>2750</v>
      </c>
      <c r="E44750" s="0" t="s">
        <v>2176</v>
      </c>
      <c r="F44750" s="0" t="s">
        <v>2751</v>
      </c>
    </row>
    <row r="44752" customFormat="false" ht="12.8" hidden="false" customHeight="false" outlineLevel="0" collapsed="false">
      <c r="A44752" s="0" t="s">
        <v>16081</v>
      </c>
      <c r="B44752" s="0" t="str">
        <f aca="false">HYPERLINK("https://lindat.mff.cuni.cz/services/teitok/pdtc10/index.php?action=vallex&amp;frame=v-w6190f2", "slýchávat (v-w6190f2)")</f>
        <v>slýchávat (v-w6190f2)</v>
      </c>
      <c r="E44752" s="0" t="str">
        <f aca="false">HYPERLINK("https://lindat.mff.cuni.cz/services/SynSemClass40/SynSemClass40.html?veclass=vec00313#vec00313-ces-cm00015", "vec00313")</f>
        <v>vec00313</v>
      </c>
      <c r="F44752" s="0" t="s">
        <v>16056</v>
      </c>
    </row>
    <row r="44753" customFormat="false" ht="12.8" hidden="false" customHeight="false" outlineLevel="0" collapsed="false">
      <c r="B44753" s="0" t="s">
        <v>1</v>
      </c>
      <c r="C44753" s="0" t="s">
        <v>4001</v>
      </c>
      <c r="E44753" s="0" t="s">
        <v>637</v>
      </c>
      <c r="F44753" s="0" t="s">
        <v>16057</v>
      </c>
    </row>
    <row r="44754" customFormat="false" ht="12.8" hidden="false" customHeight="false" outlineLevel="0" collapsed="false">
      <c r="B44754" s="0" t="s">
        <v>15262</v>
      </c>
      <c r="C44754" s="0" t="s">
        <v>16058</v>
      </c>
      <c r="E44754" s="0" t="s">
        <v>180</v>
      </c>
      <c r="F44754" s="0" t="s">
        <v>16059</v>
      </c>
    </row>
    <row r="44756" customFormat="false" ht="12.8" hidden="false" customHeight="false" outlineLevel="0" collapsed="false">
      <c r="A44756" s="0" t="s">
        <v>16082</v>
      </c>
      <c r="B44756" s="0" t="str">
        <f aca="false">HYPERLINK("https://lindat.mff.cuni.cz/services/teitok/pdtc10/index.php?action=vallex&amp;frame=v-w6190f1", "slýchávat (v-w6190f1)")</f>
        <v>slýchávat (v-w6190f1)</v>
      </c>
      <c r="E44756" s="0" t="str">
        <f aca="false">HYPERLINK("https://lindat.mff.cuni.cz/services/SynSemClass40/SynSemClass40.html?veclass=vec00013#vec00013-ces-cm00287", "vec00013")</f>
        <v>vec00013</v>
      </c>
      <c r="F44756" s="0" t="s">
        <v>2742</v>
      </c>
    </row>
    <row r="44757" customFormat="false" ht="12.8" hidden="false" customHeight="false" outlineLevel="0" collapsed="false">
      <c r="B44757" s="0" t="s">
        <v>1</v>
      </c>
      <c r="C44757" s="0" t="s">
        <v>2743</v>
      </c>
      <c r="E44757" s="0" t="s">
        <v>621</v>
      </c>
      <c r="F44757" s="0" t="s">
        <v>2744</v>
      </c>
    </row>
    <row r="44758" customFormat="false" ht="12.8" hidden="false" customHeight="false" outlineLevel="0" collapsed="false">
      <c r="B44758" s="0" t="s">
        <v>6414</v>
      </c>
      <c r="C44758" s="0" t="s">
        <v>2746</v>
      </c>
      <c r="E44758" s="0" t="s">
        <v>2217</v>
      </c>
      <c r="F44758" s="0" t="s">
        <v>2747</v>
      </c>
    </row>
    <row r="44759" customFormat="false" ht="12.8" hidden="false" customHeight="false" outlineLevel="0" collapsed="false">
      <c r="B44759" s="0" t="s">
        <v>496</v>
      </c>
      <c r="C44759" s="0" t="s">
        <v>2748</v>
      </c>
      <c r="E44759" s="0" t="s">
        <v>218</v>
      </c>
      <c r="F44759" s="0" t="s">
        <v>2749</v>
      </c>
    </row>
    <row r="44760" customFormat="false" ht="12.8" hidden="false" customHeight="false" outlineLevel="0" collapsed="false">
      <c r="B44760" s="0" t="s">
        <v>16080</v>
      </c>
      <c r="C44760" s="0" t="s">
        <v>2750</v>
      </c>
      <c r="E44760" s="0" t="s">
        <v>2176</v>
      </c>
      <c r="F44760" s="0" t="s">
        <v>2751</v>
      </c>
    </row>
    <row r="44762" customFormat="false" ht="12.8" hidden="false" customHeight="false" outlineLevel="0" collapsed="false">
      <c r="A44762" s="0" t="s">
        <v>16083</v>
      </c>
      <c r="B44762" s="0" t="str">
        <f aca="false">HYPERLINK("https://lindat.mff.cuni.cz/services/teitok/pdtc10/index.php?action=vallex&amp;frame=v-w6194f2", "smazat (v-w6194f2)")</f>
        <v>smazat (v-w6194f2)</v>
      </c>
      <c r="E44762" s="0" t="str">
        <f aca="false">HYPERLINK("https://lindat.mff.cuni.cz/services/SynSemClass40/SynSemClass40.html?veclass=vec00923#vec00923-ces-cm00001", "vec00923")</f>
        <v>vec00923</v>
      </c>
      <c r="F44762" s="0" t="s">
        <v>9307</v>
      </c>
      <c r="H44762" s="0" t="str">
        <f aca="false">HYPERLINK("https://lindat.mff.cuni.cz/services/SynSemClass40/SynSemClass40.html?veclass=vec01482#vec01482-ces-cm00002", "vec01482")</f>
        <v>vec01482</v>
      </c>
      <c r="I44762" s="0" t="s">
        <v>135</v>
      </c>
    </row>
    <row r="44763" customFormat="false" ht="12.8" hidden="false" customHeight="false" outlineLevel="0" collapsed="false">
      <c r="B44763" s="0" t="s">
        <v>1</v>
      </c>
      <c r="C44763" s="0" t="s">
        <v>4264</v>
      </c>
      <c r="E44763" s="0" t="s">
        <v>76</v>
      </c>
      <c r="F44763" s="0" t="s">
        <v>743</v>
      </c>
      <c r="H44763" s="0" t="s">
        <v>76</v>
      </c>
      <c r="I44763" s="0" t="s">
        <v>138</v>
      </c>
    </row>
    <row r="44764" customFormat="false" ht="12.8" hidden="false" customHeight="false" outlineLevel="0" collapsed="false">
      <c r="B44764" s="0" t="s">
        <v>8</v>
      </c>
      <c r="C44764" s="0" t="s">
        <v>6312</v>
      </c>
      <c r="E44764" s="0" t="s">
        <v>4094</v>
      </c>
      <c r="F44764" s="0" t="s">
        <v>9308</v>
      </c>
      <c r="H44764" s="0" t="s">
        <v>142</v>
      </c>
      <c r="I44764" s="0" t="s">
        <v>143</v>
      </c>
    </row>
    <row r="44766" customFormat="false" ht="12.8" hidden="false" customHeight="false" outlineLevel="0" collapsed="false">
      <c r="A44766" s="0" t="s">
        <v>16083</v>
      </c>
      <c r="B44766" s="0" t="str">
        <f aca="false">HYPERLINK("https://lindat.mff.cuni.cz/services/teitok/pdtc10/index.php?action=vallex&amp;frame=v-w6194f1", "smazat (v-w6194f1) - substituted with v-w6194f2")</f>
        <v>smazat (v-w6194f1) - substituted with v-w6194f2</v>
      </c>
    </row>
    <row r="44767" customFormat="false" ht="12.8" hidden="false" customHeight="false" outlineLevel="0" collapsed="false">
      <c r="B44767" s="0" t="s">
        <v>1</v>
      </c>
    </row>
    <row r="44768" customFormat="false" ht="12.8" hidden="false" customHeight="false" outlineLevel="0" collapsed="false">
      <c r="B44768" s="0" t="s">
        <v>8</v>
      </c>
    </row>
    <row r="44770" customFormat="false" ht="12.8" hidden="false" customHeight="false" outlineLevel="0" collapsed="false">
      <c r="A44770" s="0" t="s">
        <v>16084</v>
      </c>
      <c r="B44770" s="0" t="str">
        <f aca="false">HYPERLINK("https://lindat.mff.cuni.cz/services/teitok/pdtc10/index.php?action=vallex&amp;frame=v-w6194hsa_1565", "smazat (v-w6194hsa_1565)")</f>
        <v>smazat (v-w6194hsa_1565)</v>
      </c>
    </row>
    <row r="44771" customFormat="false" ht="12.8" hidden="false" customHeight="false" outlineLevel="0" collapsed="false">
      <c r="B44771" s="0" t="s">
        <v>1</v>
      </c>
    </row>
    <row r="44772" customFormat="false" ht="12.8" hidden="false" customHeight="false" outlineLevel="0" collapsed="false">
      <c r="B44772" s="0" t="s">
        <v>8</v>
      </c>
    </row>
    <row r="44773" customFormat="false" ht="12.8" hidden="false" customHeight="false" outlineLevel="0" collapsed="false">
      <c r="B44773" s="0" t="s">
        <v>631</v>
      </c>
    </row>
    <row r="44775" customFormat="false" ht="12.8" hidden="false" customHeight="false" outlineLevel="0" collapsed="false">
      <c r="A44775" s="0" t="s">
        <v>16085</v>
      </c>
      <c r="B44775" s="0" t="str">
        <f aca="false">HYPERLINK("https://lindat.mff.cuni.cz/services/teitok/pdtc10/index.php?action=vallex&amp;frame=v-w11591_ZUf1_ZU", "smazávat (v-w11591_ZUf1_ZU)")</f>
        <v>smazávat (v-w11591_ZUf1_ZU)</v>
      </c>
      <c r="E44775" s="0" t="str">
        <f aca="false">HYPERLINK("https://lindat.mff.cuni.cz/services/SynSemClass40/SynSemClass40.html?veclass=vec00923#vec00923-ces-cm00092", "vec00923")</f>
        <v>vec00923</v>
      </c>
      <c r="F44775" s="0" t="s">
        <v>9307</v>
      </c>
      <c r="H44775" s="0" t="str">
        <f aca="false">HYPERLINK("https://lindat.mff.cuni.cz/services/SynSemClass40/SynSemClass40.html?veclass=vec01482#vec01482-ces-cm00003", "vec01482")</f>
        <v>vec01482</v>
      </c>
      <c r="I44775" s="0" t="s">
        <v>135</v>
      </c>
    </row>
    <row r="44776" customFormat="false" ht="12.8" hidden="false" customHeight="false" outlineLevel="0" collapsed="false">
      <c r="B44776" s="0" t="s">
        <v>1</v>
      </c>
      <c r="C44776" s="0" t="s">
        <v>4264</v>
      </c>
      <c r="E44776" s="0" t="s">
        <v>76</v>
      </c>
      <c r="F44776" s="0" t="s">
        <v>743</v>
      </c>
      <c r="H44776" s="0" t="s">
        <v>76</v>
      </c>
      <c r="I44776" s="0" t="s">
        <v>138</v>
      </c>
    </row>
    <row r="44777" customFormat="false" ht="12.8" hidden="false" customHeight="false" outlineLevel="0" collapsed="false">
      <c r="B44777" s="0" t="s">
        <v>8</v>
      </c>
      <c r="C44777" s="0" t="s">
        <v>6312</v>
      </c>
      <c r="E44777" s="0" t="s">
        <v>4094</v>
      </c>
      <c r="F44777" s="0" t="s">
        <v>9308</v>
      </c>
      <c r="H44777" s="0" t="s">
        <v>142</v>
      </c>
      <c r="I44777" s="0" t="s">
        <v>143</v>
      </c>
    </row>
    <row r="44779" customFormat="false" ht="12.8" hidden="false" customHeight="false" outlineLevel="0" collapsed="false">
      <c r="A44779" s="0" t="s">
        <v>16086</v>
      </c>
      <c r="B44779" s="0" t="str">
        <f aca="false">HYPERLINK("https://lindat.mff.cuni.cz/services/teitok/pdtc10/index.php?action=vallex&amp;frame=v-w11198f2", "smažit (v-w11198f2)")</f>
        <v>smažit (v-w11198f2)</v>
      </c>
      <c r="E44779" s="0" t="str">
        <f aca="false">HYPERLINK("https://lindat.mff.cuni.cz/services/SynSemClass40/SynSemClass40.html?veclass=vec01340#vec01340-ces-cm00002", "vec01340")</f>
        <v>vec01340</v>
      </c>
      <c r="F44779" s="0" t="s">
        <v>16087</v>
      </c>
    </row>
    <row r="44780" customFormat="false" ht="12.8" hidden="false" customHeight="false" outlineLevel="0" collapsed="false">
      <c r="B44780" s="0" t="s">
        <v>1</v>
      </c>
      <c r="E44780" s="0" t="s">
        <v>768</v>
      </c>
      <c r="F44780" s="0" t="s">
        <v>16088</v>
      </c>
    </row>
    <row r="44781" customFormat="false" ht="12.8" hidden="false" customHeight="false" outlineLevel="0" collapsed="false">
      <c r="B44781" s="0" t="s">
        <v>8</v>
      </c>
      <c r="C44781" s="0" t="s">
        <v>462</v>
      </c>
      <c r="E44781" s="0" t="s">
        <v>661</v>
      </c>
      <c r="F44781" s="0" t="s">
        <v>5738</v>
      </c>
    </row>
    <row r="44783" customFormat="false" ht="12.8" hidden="false" customHeight="false" outlineLevel="0" collapsed="false">
      <c r="A44783" s="0" t="s">
        <v>16089</v>
      </c>
      <c r="B44783" s="0" t="str">
        <f aca="false">HYPERLINK("https://lindat.mff.cuni.cz/services/teitok/pdtc10/index.php?action=vallex&amp;frame=v-whsa_1508hsa_1509", "smekat (v-whsa_1508hsa_1509)")</f>
        <v>smekat (v-whsa_1508hsa_1509)</v>
      </c>
    </row>
    <row r="44784" customFormat="false" ht="12.8" hidden="false" customHeight="false" outlineLevel="0" collapsed="false">
      <c r="B44784" s="0" t="s">
        <v>1</v>
      </c>
    </row>
    <row r="44785" customFormat="false" ht="12.8" hidden="false" customHeight="false" outlineLevel="0" collapsed="false">
      <c r="B44785" s="0" t="s">
        <v>8</v>
      </c>
    </row>
    <row r="44787" customFormat="false" ht="12.8" hidden="false" customHeight="false" outlineLevel="0" collapsed="false">
      <c r="A44787" s="0" t="s">
        <v>16090</v>
      </c>
      <c r="B44787" s="0" t="str">
        <f aca="false">HYPERLINK("https://lindat.mff.cuni.cz/services/teitok/pdtc10/index.php?action=vallex&amp;frame=v-w6196f2", "smeknout (v-w6196f2)")</f>
        <v>smeknout (v-w6196f2)</v>
      </c>
    </row>
    <row r="44788" customFormat="false" ht="12.8" hidden="false" customHeight="false" outlineLevel="0" collapsed="false">
      <c r="B44788" s="0" t="s">
        <v>1</v>
      </c>
    </row>
    <row r="44789" customFormat="false" ht="12.8" hidden="false" customHeight="false" outlineLevel="0" collapsed="false">
      <c r="B44789" s="0" t="s">
        <v>8</v>
      </c>
    </row>
    <row r="44791" customFormat="false" ht="12.8" hidden="false" customHeight="false" outlineLevel="0" collapsed="false">
      <c r="A44791" s="0" t="s">
        <v>16091</v>
      </c>
      <c r="B44791" s="0" t="str">
        <f aca="false">HYPERLINK("https://lindat.mff.cuni.cz/services/teitok/pdtc10/index.php?action=vallex&amp;frame=v-w6196f1", "smeknout (v-w6196f1)")</f>
        <v>smeknout (v-w6196f1)</v>
      </c>
    </row>
    <row r="44792" customFormat="false" ht="12.8" hidden="false" customHeight="false" outlineLevel="0" collapsed="false">
      <c r="B44792" s="0" t="s">
        <v>1</v>
      </c>
    </row>
    <row r="44793" customFormat="false" ht="12.8" hidden="false" customHeight="false" outlineLevel="0" collapsed="false">
      <c r="B44793" s="0" t="s">
        <v>6877</v>
      </c>
    </row>
    <row r="44795" customFormat="false" ht="12.8" hidden="false" customHeight="false" outlineLevel="0" collapsed="false">
      <c r="A44795" s="0" t="s">
        <v>16092</v>
      </c>
      <c r="B44795" s="0" t="str">
        <f aca="false">HYPERLINK("https://lindat.mff.cuni.cz/services/teitok/pdtc10/index.php?action=vallex&amp;frame=v-w12278_ZUf1_ZU", "smeknout se (v-w12278_ZUf1_ZU)")</f>
        <v>smeknout se (v-w12278_ZUf1_ZU)</v>
      </c>
    </row>
    <row r="44796" customFormat="false" ht="12.8" hidden="false" customHeight="false" outlineLevel="0" collapsed="false">
      <c r="B44796" s="0" t="s">
        <v>1</v>
      </c>
    </row>
    <row r="44798" customFormat="false" ht="12.8" hidden="false" customHeight="false" outlineLevel="0" collapsed="false">
      <c r="A44798" s="0" t="s">
        <v>16093</v>
      </c>
      <c r="B44798" s="0" t="str">
        <f aca="false">HYPERLINK("https://lindat.mff.cuni.cz/services/teitok/pdtc10/index.php?action=vallex&amp;frame=v-whsa_1495hsa_1496", "smilovat se (v-whsa_1495hsa_1496)")</f>
        <v>smilovat se (v-whsa_1495hsa_1496)</v>
      </c>
    </row>
    <row r="44799" customFormat="false" ht="12.8" hidden="false" customHeight="false" outlineLevel="0" collapsed="false">
      <c r="B44799" s="0" t="s">
        <v>1</v>
      </c>
    </row>
    <row r="44800" customFormat="false" ht="12.8" hidden="false" customHeight="false" outlineLevel="0" collapsed="false">
      <c r="B44800" s="0" t="s">
        <v>294</v>
      </c>
    </row>
    <row r="44802" customFormat="false" ht="12.8" hidden="false" customHeight="false" outlineLevel="0" collapsed="false">
      <c r="A44802" s="0" t="s">
        <v>16094</v>
      </c>
      <c r="B44802" s="0" t="str">
        <f aca="false">HYPERLINK("https://lindat.mff.cuni.cz/services/teitok/pdtc10/index.php?action=vallex&amp;frame=v-w6215f1", "smiřovat se (v-w6215f1)")</f>
        <v>smiřovat se (v-w6215f1)</v>
      </c>
      <c r="E44802" s="0" t="str">
        <f aca="false">HYPERLINK("https://lindat.mff.cuni.cz/services/SynSemClass40/SynSemClass40.html?veclass=vec00719#vec00719-ces-cm00009", "vec00719")</f>
        <v>vec00719</v>
      </c>
      <c r="F44802" s="0" t="s">
        <v>16095</v>
      </c>
    </row>
    <row r="44803" customFormat="false" ht="12.8" hidden="false" customHeight="false" outlineLevel="0" collapsed="false">
      <c r="B44803" s="0" t="s">
        <v>1</v>
      </c>
      <c r="C44803" s="0" t="s">
        <v>16096</v>
      </c>
      <c r="E44803" s="0" t="s">
        <v>266</v>
      </c>
      <c r="F44803" s="0" t="s">
        <v>16097</v>
      </c>
    </row>
    <row r="44804" customFormat="false" ht="12.8" hidden="false" customHeight="false" outlineLevel="0" collapsed="false">
      <c r="B44804" s="0" t="s">
        <v>721</v>
      </c>
      <c r="C44804" s="0" t="s">
        <v>16098</v>
      </c>
      <c r="E44804" s="0" t="s">
        <v>532</v>
      </c>
      <c r="F44804" s="0" t="s">
        <v>16099</v>
      </c>
    </row>
    <row r="44806" customFormat="false" ht="12.8" hidden="false" customHeight="false" outlineLevel="0" collapsed="false">
      <c r="A44806" s="0" t="s">
        <v>16100</v>
      </c>
      <c r="B44806" s="0" t="str">
        <f aca="false">HYPERLINK("https://lindat.mff.cuni.cz/services/teitok/pdtc10/index.php?action=vallex&amp;frame=v-w6217f1", "smlouvat (v-w6217f1)")</f>
        <v>smlouvat (v-w6217f1)</v>
      </c>
    </row>
    <row r="44807" customFormat="false" ht="12.8" hidden="false" customHeight="false" outlineLevel="0" collapsed="false">
      <c r="B44807" s="0" t="s">
        <v>1</v>
      </c>
    </row>
    <row r="44808" customFormat="false" ht="12.8" hidden="false" customHeight="false" outlineLevel="0" collapsed="false">
      <c r="B44808" s="0" t="s">
        <v>16101</v>
      </c>
    </row>
    <row r="44809" customFormat="false" ht="12.8" hidden="false" customHeight="false" outlineLevel="0" collapsed="false">
      <c r="B44809" s="0" t="s">
        <v>276</v>
      </c>
    </row>
    <row r="44811" customFormat="false" ht="12.8" hidden="false" customHeight="false" outlineLevel="0" collapsed="false">
      <c r="A44811" s="0" t="s">
        <v>16102</v>
      </c>
      <c r="B44811" s="0" t="str">
        <f aca="false">HYPERLINK("https://lindat.mff.cuni.cz/services/teitok/pdtc10/index.php?action=vallex&amp;frame=v-w6217f2", "smlouvat (v-w6217f2)")</f>
        <v>smlouvat (v-w6217f2)</v>
      </c>
      <c r="E44811" s="0" t="str">
        <f aca="false">HYPERLINK("https://lindat.mff.cuni.cz/services/SynSemClass40/SynSemClass40.html?veclass=vec00019#vec00019-ces-cm00024", "vec00019")</f>
        <v>vec00019</v>
      </c>
      <c r="F44811" s="0" t="s">
        <v>2250</v>
      </c>
      <c r="H44811" s="0" t="str">
        <f aca="false">HYPERLINK("https://lindat.mff.cuni.cz/services/SynSemClass40/SynSemClass40.html?veclass=vec00162#vec00162-ces-cm00053", "vec00162")</f>
        <v>vec00162</v>
      </c>
      <c r="I44811" s="0" t="s">
        <v>1109</v>
      </c>
    </row>
    <row r="44812" customFormat="false" ht="12.8" hidden="false" customHeight="false" outlineLevel="0" collapsed="false">
      <c r="B44812" s="0" t="s">
        <v>1</v>
      </c>
      <c r="C44812" s="0" t="s">
        <v>2743</v>
      </c>
      <c r="E44812" s="0" t="s">
        <v>2251</v>
      </c>
      <c r="F44812" s="0" t="s">
        <v>2252</v>
      </c>
      <c r="H44812" s="0" t="s">
        <v>2241</v>
      </c>
      <c r="I44812" s="0" t="s">
        <v>2242</v>
      </c>
    </row>
    <row r="44813" customFormat="false" ht="12.8" hidden="false" customHeight="false" outlineLevel="0" collapsed="false">
      <c r="B44813" s="0" t="s">
        <v>318</v>
      </c>
      <c r="C44813" s="0" t="s">
        <v>16103</v>
      </c>
      <c r="E44813" s="0" t="s">
        <v>230</v>
      </c>
      <c r="F44813" s="0" t="s">
        <v>2255</v>
      </c>
      <c r="H44813" s="0" t="s">
        <v>209</v>
      </c>
      <c r="I44813" s="0" t="s">
        <v>2245</v>
      </c>
    </row>
    <row r="44814" customFormat="false" ht="12.8" hidden="false" customHeight="false" outlineLevel="0" collapsed="false">
      <c r="B44814" s="0" t="s">
        <v>276</v>
      </c>
      <c r="C44814" s="0" t="s">
        <v>2246</v>
      </c>
      <c r="E44814" s="0" t="s">
        <v>2256</v>
      </c>
      <c r="F44814" s="0" t="s">
        <v>2257</v>
      </c>
      <c r="H44814" s="0" t="s">
        <v>2247</v>
      </c>
      <c r="I44814" s="0" t="s">
        <v>2248</v>
      </c>
    </row>
    <row r="44816" customFormat="false" ht="12.8" hidden="false" customHeight="false" outlineLevel="0" collapsed="false">
      <c r="A44816" s="0" t="s">
        <v>16104</v>
      </c>
      <c r="B44816" s="0" t="str">
        <f aca="false">HYPERLINK("https://lindat.mff.cuni.cz/services/teitok/pdtc10/index.php?action=vallex&amp;frame=v-whsa_623f1_ZU", "smluvit (v-whsa_623f1_ZU)")</f>
        <v>smluvit (v-whsa_623f1_ZU)</v>
      </c>
    </row>
    <row r="44817" customFormat="false" ht="12.8" hidden="false" customHeight="false" outlineLevel="0" collapsed="false">
      <c r="B44817" s="0" t="s">
        <v>1</v>
      </c>
    </row>
    <row r="44818" customFormat="false" ht="12.8" hidden="false" customHeight="false" outlineLevel="0" collapsed="false">
      <c r="B44818" s="0" t="s">
        <v>276</v>
      </c>
    </row>
    <row r="44819" customFormat="false" ht="12.8" hidden="false" customHeight="false" outlineLevel="0" collapsed="false">
      <c r="B44819" s="0" t="s">
        <v>7589</v>
      </c>
    </row>
    <row r="44821" customFormat="false" ht="12.8" hidden="false" customHeight="false" outlineLevel="0" collapsed="false">
      <c r="A44821" s="0" t="s">
        <v>16104</v>
      </c>
      <c r="B44821" s="0" t="str">
        <f aca="false">HYPERLINK("https://lindat.mff.cuni.cz/services/teitok/pdtc10/index.php?action=vallex&amp;frame=v-whsa_623hsa_624", "smluvit (v-whsa_623hsa_624) - substituted with v-whsa_623f1_ZU")</f>
        <v>smluvit (v-whsa_623hsa_624) - substituted with v-whsa_623f1_ZU</v>
      </c>
    </row>
    <row r="44822" customFormat="false" ht="12.8" hidden="false" customHeight="false" outlineLevel="0" collapsed="false">
      <c r="B44822" s="0" t="s">
        <v>1</v>
      </c>
    </row>
    <row r="44823" customFormat="false" ht="12.8" hidden="false" customHeight="false" outlineLevel="0" collapsed="false">
      <c r="B44823" s="0" t="s">
        <v>276</v>
      </c>
    </row>
    <row r="44824" customFormat="false" ht="12.8" hidden="false" customHeight="false" outlineLevel="0" collapsed="false">
      <c r="B44824" s="0" t="s">
        <v>7589</v>
      </c>
    </row>
    <row r="44826" customFormat="false" ht="12.8" hidden="false" customHeight="false" outlineLevel="0" collapsed="false">
      <c r="A44826" s="0" t="s">
        <v>16105</v>
      </c>
      <c r="B44826" s="0" t="str">
        <f aca="false">HYPERLINK("https://lindat.mff.cuni.cz/services/teitok/pdtc10/index.php?action=vallex&amp;frame=v-w6218f1", "smolit (v-w6218f1)")</f>
        <v>smolit (v-w6218f1)</v>
      </c>
    </row>
    <row r="44827" customFormat="false" ht="12.8" hidden="false" customHeight="false" outlineLevel="0" collapsed="false">
      <c r="B44827" s="0" t="s">
        <v>1</v>
      </c>
    </row>
    <row r="44828" customFormat="false" ht="12.8" hidden="false" customHeight="false" outlineLevel="0" collapsed="false">
      <c r="B44828" s="0" t="s">
        <v>8</v>
      </c>
    </row>
    <row r="44830" customFormat="false" ht="12.8" hidden="false" customHeight="false" outlineLevel="0" collapsed="false">
      <c r="A44830" s="0" t="s">
        <v>16106</v>
      </c>
      <c r="B44830" s="0" t="str">
        <f aca="false">HYPERLINK("https://lindat.mff.cuni.cz/services/teitok/pdtc10/index.php?action=vallex&amp;frame=v-w11736_ZUf1_ZU", "smontovat (v-w11736_ZUf1_ZU)")</f>
        <v>smontovat (v-w11736_ZUf1_ZU)</v>
      </c>
    </row>
    <row r="44831" customFormat="false" ht="12.8" hidden="false" customHeight="false" outlineLevel="0" collapsed="false">
      <c r="B44831" s="0" t="s">
        <v>1</v>
      </c>
    </row>
    <row r="44832" customFormat="false" ht="12.8" hidden="false" customHeight="false" outlineLevel="0" collapsed="false">
      <c r="B44832" s="0" t="s">
        <v>8</v>
      </c>
    </row>
    <row r="44833" customFormat="false" ht="12.8" hidden="false" customHeight="false" outlineLevel="0" collapsed="false">
      <c r="B44833" s="0" t="s">
        <v>245</v>
      </c>
    </row>
    <row r="44835" customFormat="false" ht="12.8" hidden="false" customHeight="false" outlineLevel="0" collapsed="false">
      <c r="A44835" s="0" t="s">
        <v>16107</v>
      </c>
      <c r="B44835" s="0" t="str">
        <f aca="false">HYPERLINK("https://lindat.mff.cuni.cz/services/teitok/pdtc10/index.php?action=vallex&amp;frame=v-w12157_ZUf1_ZU", "smotat (v-w12157_ZUf1_ZU)")</f>
        <v>smotat (v-w12157_ZUf1_ZU)</v>
      </c>
    </row>
    <row r="44836" customFormat="false" ht="12.8" hidden="false" customHeight="false" outlineLevel="0" collapsed="false">
      <c r="B44836" s="0" t="s">
        <v>1</v>
      </c>
    </row>
    <row r="44837" customFormat="false" ht="12.8" hidden="false" customHeight="false" outlineLevel="0" collapsed="false">
      <c r="B44837" s="0" t="s">
        <v>8</v>
      </c>
    </row>
    <row r="44838" customFormat="false" ht="12.8" hidden="false" customHeight="false" outlineLevel="0" collapsed="false">
      <c r="B44838" s="0" t="s">
        <v>245</v>
      </c>
    </row>
    <row r="44840" customFormat="false" ht="12.8" hidden="false" customHeight="false" outlineLevel="0" collapsed="false">
      <c r="A44840" s="0" t="s">
        <v>16108</v>
      </c>
      <c r="B44840" s="0" t="str">
        <f aca="false">HYPERLINK("https://lindat.mff.cuni.cz/services/teitok/pdtc10/index.php?action=vallex&amp;frame=v-whsb_1013hsa_1014", "smočit se (v-whsb_1013hsa_1014)")</f>
        <v>smočit se (v-whsb_1013hsa_1014)</v>
      </c>
    </row>
    <row r="44841" customFormat="false" ht="12.8" hidden="false" customHeight="false" outlineLevel="0" collapsed="false">
      <c r="B44841" s="0" t="s">
        <v>1</v>
      </c>
    </row>
    <row r="44843" customFormat="false" ht="12.8" hidden="false" customHeight="false" outlineLevel="0" collapsed="false">
      <c r="A44843" s="0" t="s">
        <v>16109</v>
      </c>
      <c r="B44843" s="0" t="str">
        <f aca="false">HYPERLINK("https://lindat.mff.cuni.cz/services/teitok/pdtc10/index.php?action=vallex&amp;frame=v-w6220f1", "smrdět (v-w6220f1)")</f>
        <v>smrdět (v-w6220f1)</v>
      </c>
      <c r="E44843" s="0" t="str">
        <f aca="false">HYPERLINK("https://lindat.mff.cuni.cz/services/SynSemClass40/SynSemClass40.html?veclass=vec00926#vec00926-ces-cm00001", "vec00926")</f>
        <v>vec00926</v>
      </c>
      <c r="F44843" s="0" t="s">
        <v>13034</v>
      </c>
    </row>
    <row r="44844" customFormat="false" ht="12.8" hidden="false" customHeight="false" outlineLevel="0" collapsed="false">
      <c r="B44844" s="0" t="s">
        <v>1</v>
      </c>
      <c r="C44844" s="0" t="s">
        <v>10</v>
      </c>
      <c r="E44844" s="0" t="s">
        <v>4943</v>
      </c>
      <c r="F44844" s="0" t="s">
        <v>13035</v>
      </c>
    </row>
    <row r="44845" customFormat="false" ht="12.8" hidden="false" customHeight="false" outlineLevel="0" collapsed="false">
      <c r="B44845" s="0" t="s">
        <v>13036</v>
      </c>
      <c r="E44845" s="0" t="s">
        <v>920</v>
      </c>
      <c r="F44845" s="0" t="s">
        <v>13037</v>
      </c>
    </row>
    <row r="44847" customFormat="false" ht="12.8" hidden="false" customHeight="false" outlineLevel="0" collapsed="false">
      <c r="A44847" s="0" t="s">
        <v>16110</v>
      </c>
      <c r="B44847" s="0" t="str">
        <f aca="false">HYPERLINK("https://lindat.mff.cuni.cz/services/teitok/pdtc10/index.php?action=vallex&amp;frame=v-w12311_MMf1_MM", "smrkat (v-w12311_MMf1_MM)")</f>
        <v>smrkat (v-w12311_MMf1_MM)</v>
      </c>
    </row>
    <row r="44848" customFormat="false" ht="12.8" hidden="false" customHeight="false" outlineLevel="0" collapsed="false">
      <c r="B44848" s="0" t="s">
        <v>1</v>
      </c>
    </row>
    <row r="44850" customFormat="false" ht="12.8" hidden="false" customHeight="false" outlineLevel="0" collapsed="false">
      <c r="A44850" s="0" t="s">
        <v>16111</v>
      </c>
      <c r="B44850" s="0" t="str">
        <f aca="false">HYPERLINK("https://lindat.mff.cuni.cz/services/teitok/pdtc10/index.php?action=vallex&amp;frame=v-w11305f1", "smrsknout se (v-w11305f1)")</f>
        <v>smrsknout se (v-w11305f1)</v>
      </c>
      <c r="E44850" s="0" t="str">
        <f aca="false">HYPERLINK("https://lindat.mff.cuni.cz/services/SynSemClass40/SynSemClass40.html?veclass=vec00028#vec00028-ces-cm00119", "vec00028")</f>
        <v>vec00028</v>
      </c>
      <c r="F44850" s="0" t="s">
        <v>5301</v>
      </c>
    </row>
    <row r="44851" customFormat="false" ht="12.8" hidden="false" customHeight="false" outlineLevel="0" collapsed="false">
      <c r="B44851" s="0" t="s">
        <v>1</v>
      </c>
      <c r="C44851" s="0" t="s">
        <v>9964</v>
      </c>
      <c r="E44851" s="0" t="s">
        <v>235</v>
      </c>
      <c r="F44851" s="0" t="s">
        <v>5304</v>
      </c>
    </row>
    <row r="44852" customFormat="false" ht="12.8" hidden="false" customHeight="false" outlineLevel="0" collapsed="false">
      <c r="B44852" s="0" t="s">
        <v>69</v>
      </c>
      <c r="C44852" s="0" t="s">
        <v>9965</v>
      </c>
      <c r="E44852" s="0" t="s">
        <v>5149</v>
      </c>
      <c r="F44852" s="0" t="s">
        <v>5307</v>
      </c>
    </row>
    <row r="44853" customFormat="false" ht="12.8" hidden="false" customHeight="false" outlineLevel="0" collapsed="false">
      <c r="B44853" s="0" t="s">
        <v>36</v>
      </c>
      <c r="C44853" s="0" t="s">
        <v>9966</v>
      </c>
      <c r="E44853" s="0" t="s">
        <v>5152</v>
      </c>
      <c r="F44853" s="0" t="s">
        <v>5311</v>
      </c>
    </row>
    <row r="44855" customFormat="false" ht="12.8" hidden="false" customHeight="false" outlineLevel="0" collapsed="false">
      <c r="A44855" s="0" t="s">
        <v>16112</v>
      </c>
      <c r="B44855" s="0" t="str">
        <f aca="false">HYPERLINK("https://lindat.mff.cuni.cz/services/teitok/pdtc10/index.php?action=vallex&amp;frame=v-w6219f1", "smrákat se (v-w6219f1)")</f>
        <v>smrákat se (v-w6219f1)</v>
      </c>
    </row>
    <row r="44857" customFormat="false" ht="12.8" hidden="false" customHeight="false" outlineLevel="0" collapsed="false">
      <c r="A44857" s="0" t="s">
        <v>16113</v>
      </c>
      <c r="B44857" s="0" t="str">
        <f aca="false">HYPERLINK("https://lindat.mff.cuni.cz/services/teitok/pdtc10/index.php?action=vallex&amp;frame=v-w6221f1", "smrštit se (v-w6221f1)")</f>
        <v>smrštit se (v-w6221f1)</v>
      </c>
      <c r="E44857" s="0" t="str">
        <f aca="false">HYPERLINK("https://lindat.mff.cuni.cz/services/SynSemClass40/SynSemClass40.html?veclass=vec00028#vec00028-ces-cm00137", "vec00028")</f>
        <v>vec00028</v>
      </c>
      <c r="F44857" s="0" t="s">
        <v>5301</v>
      </c>
    </row>
    <row r="44858" customFormat="false" ht="12.8" hidden="false" customHeight="false" outlineLevel="0" collapsed="false">
      <c r="B44858" s="0" t="s">
        <v>1</v>
      </c>
      <c r="C44858" s="0" t="s">
        <v>9964</v>
      </c>
      <c r="E44858" s="0" t="s">
        <v>235</v>
      </c>
      <c r="F44858" s="0" t="s">
        <v>5304</v>
      </c>
    </row>
    <row r="44859" customFormat="false" ht="12.8" hidden="false" customHeight="false" outlineLevel="0" collapsed="false">
      <c r="B44859" s="0" t="s">
        <v>4007</v>
      </c>
      <c r="C44859" s="0" t="s">
        <v>9965</v>
      </c>
      <c r="E44859" s="0" t="s">
        <v>5149</v>
      </c>
      <c r="F44859" s="0" t="s">
        <v>5307</v>
      </c>
    </row>
    <row r="44860" customFormat="false" ht="12.8" hidden="false" customHeight="false" outlineLevel="0" collapsed="false">
      <c r="B44860" s="0" t="s">
        <v>36</v>
      </c>
      <c r="C44860" s="0" t="s">
        <v>9966</v>
      </c>
      <c r="E44860" s="0" t="s">
        <v>5152</v>
      </c>
      <c r="F44860" s="0" t="s">
        <v>5311</v>
      </c>
    </row>
    <row r="44862" customFormat="false" ht="12.8" hidden="false" customHeight="false" outlineLevel="0" collapsed="false">
      <c r="A44862" s="0" t="s">
        <v>16114</v>
      </c>
      <c r="B44862" s="0" t="str">
        <f aca="false">HYPERLINK("https://lindat.mff.cuni.cz/services/teitok/pdtc10/index.php?action=vallex&amp;frame=v-w11127f2", "smršťovat (v-w11127f2)")</f>
        <v>smršťovat (v-w11127f2)</v>
      </c>
    </row>
    <row r="44863" customFormat="false" ht="12.8" hidden="false" customHeight="false" outlineLevel="0" collapsed="false">
      <c r="B44863" s="0" t="s">
        <v>1</v>
      </c>
    </row>
    <row r="44864" customFormat="false" ht="12.8" hidden="false" customHeight="false" outlineLevel="0" collapsed="false">
      <c r="B44864" s="0" t="s">
        <v>8</v>
      </c>
    </row>
    <row r="44865" customFormat="false" ht="12.8" hidden="false" customHeight="false" outlineLevel="0" collapsed="false">
      <c r="B44865" s="0" t="s">
        <v>36</v>
      </c>
    </row>
    <row r="44866" customFormat="false" ht="12.8" hidden="false" customHeight="false" outlineLevel="0" collapsed="false">
      <c r="B44866" s="0" t="s">
        <v>101</v>
      </c>
    </row>
    <row r="44868" customFormat="false" ht="12.8" hidden="false" customHeight="false" outlineLevel="0" collapsed="false">
      <c r="A44868" s="0" t="s">
        <v>16115</v>
      </c>
      <c r="B44868" s="0" t="str">
        <f aca="false">HYPERLINK("https://lindat.mff.cuni.cz/services/teitok/pdtc10/index.php?action=vallex&amp;frame=v-w11592_ZUf1_ZU", "smršťovat se (v-w11592_ZUf1_ZU)")</f>
        <v>smršťovat se (v-w11592_ZUf1_ZU)</v>
      </c>
      <c r="E44868" s="0" t="str">
        <f aca="false">HYPERLINK("https://lindat.mff.cuni.cz/services/SynSemClass40/SynSemClass40.html?veclass=vec00028#vec00028-ces-cm00120", "vec00028")</f>
        <v>vec00028</v>
      </c>
      <c r="F44868" s="0" t="s">
        <v>5301</v>
      </c>
    </row>
    <row r="44869" customFormat="false" ht="12.8" hidden="false" customHeight="false" outlineLevel="0" collapsed="false">
      <c r="B44869" s="0" t="s">
        <v>1</v>
      </c>
      <c r="C44869" s="0" t="s">
        <v>9964</v>
      </c>
      <c r="E44869" s="0" t="s">
        <v>235</v>
      </c>
      <c r="F44869" s="0" t="s">
        <v>5304</v>
      </c>
    </row>
    <row r="44870" customFormat="false" ht="12.8" hidden="false" customHeight="false" outlineLevel="0" collapsed="false">
      <c r="B44870" s="0" t="s">
        <v>4007</v>
      </c>
      <c r="C44870" s="0" t="s">
        <v>9965</v>
      </c>
      <c r="E44870" s="0" t="s">
        <v>5149</v>
      </c>
      <c r="F44870" s="0" t="s">
        <v>5307</v>
      </c>
    </row>
    <row r="44871" customFormat="false" ht="12.8" hidden="false" customHeight="false" outlineLevel="0" collapsed="false">
      <c r="B44871" s="0" t="s">
        <v>36</v>
      </c>
      <c r="C44871" s="0" t="s">
        <v>9966</v>
      </c>
      <c r="E44871" s="0" t="s">
        <v>5152</v>
      </c>
      <c r="F44871" s="0" t="s">
        <v>5311</v>
      </c>
    </row>
    <row r="44873" customFormat="false" ht="12.8" hidden="false" customHeight="false" outlineLevel="0" collapsed="false">
      <c r="A44873" s="0" t="s">
        <v>16116</v>
      </c>
      <c r="B44873" s="0" t="str">
        <f aca="false">HYPERLINK("https://lindat.mff.cuni.cz/services/teitok/pdtc10/index.php?action=vallex&amp;frame=v-w6193f1", "smát se (v-w6193f1)")</f>
        <v>smát se (v-w6193f1)</v>
      </c>
      <c r="E44873" s="0" t="str">
        <f aca="false">HYPERLINK("https://lindat.mff.cuni.cz/services/SynSemClass40/SynSemClass40.html?veclass=vec00717#vec00717-ces-cm00001", "vec00717")</f>
        <v>vec00717</v>
      </c>
      <c r="F44873" s="0" t="s">
        <v>11326</v>
      </c>
    </row>
    <row r="44874" customFormat="false" ht="12.8" hidden="false" customHeight="false" outlineLevel="0" collapsed="false">
      <c r="B44874" s="0" t="s">
        <v>1</v>
      </c>
      <c r="C44874" s="0" t="s">
        <v>3000</v>
      </c>
      <c r="E44874" s="0" t="s">
        <v>155</v>
      </c>
      <c r="F44874" s="0" t="s">
        <v>11327</v>
      </c>
    </row>
    <row r="44875" customFormat="false" ht="12.8" hidden="false" customHeight="false" outlineLevel="0" collapsed="false">
      <c r="B44875" s="0" t="s">
        <v>7759</v>
      </c>
      <c r="C44875" s="0" t="s">
        <v>5643</v>
      </c>
      <c r="E44875" s="0" t="s">
        <v>1389</v>
      </c>
      <c r="F44875" s="0" t="s">
        <v>16117</v>
      </c>
    </row>
    <row r="44877" customFormat="false" ht="12.8" hidden="false" customHeight="false" outlineLevel="0" collapsed="false">
      <c r="A44877" s="0" t="s">
        <v>16118</v>
      </c>
      <c r="B44877" s="0" t="str">
        <f aca="false">HYPERLINK("https://lindat.mff.cuni.cz/services/teitok/pdtc10/index.php?action=vallex&amp;frame=v-w6193f2", "smát se (v-w6193f2)")</f>
        <v>smát se (v-w6193f2)</v>
      </c>
      <c r="E44877" s="0" t="str">
        <f aca="false">HYPERLINK("https://lindat.mff.cuni.cz/services/SynSemClass40/SynSemClass40.html?veclass=vec00718#vec00718-ces-cm00001", "vec00718")</f>
        <v>vec00718</v>
      </c>
      <c r="F44877" s="0" t="s">
        <v>16119</v>
      </c>
    </row>
    <row r="44878" customFormat="false" ht="12.8" hidden="false" customHeight="false" outlineLevel="0" collapsed="false">
      <c r="B44878" s="0" t="s">
        <v>1</v>
      </c>
      <c r="C44878" s="0" t="s">
        <v>825</v>
      </c>
      <c r="E44878" s="0" t="s">
        <v>155</v>
      </c>
      <c r="F44878" s="0" t="s">
        <v>16120</v>
      </c>
    </row>
    <row r="44879" customFormat="false" ht="12.8" hidden="false" customHeight="false" outlineLevel="0" collapsed="false">
      <c r="B44879" s="0" t="s">
        <v>69</v>
      </c>
      <c r="E44879" s="0" t="s">
        <v>4438</v>
      </c>
      <c r="F44879" s="0" t="s">
        <v>10035</v>
      </c>
    </row>
    <row r="44881" customFormat="false" ht="12.8" hidden="false" customHeight="false" outlineLevel="0" collapsed="false">
      <c r="A44881" s="0" t="s">
        <v>16121</v>
      </c>
      <c r="B44881" s="0" t="str">
        <f aca="false">HYPERLINK("https://lindat.mff.cuni.cz/services/teitok/pdtc10/index.php?action=vallex&amp;frame=v-w6207f1", "smést (v-w6207f1)")</f>
        <v>smést (v-w6207f1)</v>
      </c>
      <c r="E44881" s="0" t="str">
        <f aca="false">HYPERLINK("https://lindat.mff.cuni.cz/services/SynSemClass40/SynSemClass40.html?veclass=vec00924#vec00924-ces-cm00001", "vec00924")</f>
        <v>vec00924</v>
      </c>
      <c r="F44881" s="0" t="s">
        <v>8926</v>
      </c>
    </row>
    <row r="44882" customFormat="false" ht="12.8" hidden="false" customHeight="false" outlineLevel="0" collapsed="false">
      <c r="B44882" s="0" t="s">
        <v>1</v>
      </c>
      <c r="C44882" s="0" t="s">
        <v>4695</v>
      </c>
      <c r="E44882" s="0" t="s">
        <v>334</v>
      </c>
      <c r="F44882" s="0" t="s">
        <v>5245</v>
      </c>
    </row>
    <row r="44883" customFormat="false" ht="12.8" hidden="false" customHeight="false" outlineLevel="0" collapsed="false">
      <c r="B44883" s="0" t="s">
        <v>8</v>
      </c>
      <c r="C44883" s="0" t="s">
        <v>798</v>
      </c>
      <c r="E44883" s="0" t="s">
        <v>2648</v>
      </c>
      <c r="F44883" s="0" t="s">
        <v>8927</v>
      </c>
    </row>
    <row r="44884" customFormat="false" ht="12.8" hidden="false" customHeight="false" outlineLevel="0" collapsed="false">
      <c r="B44884" s="0" t="s">
        <v>631</v>
      </c>
      <c r="E44884" s="0" t="s">
        <v>8928</v>
      </c>
      <c r="F44884" s="0" t="s">
        <v>8929</v>
      </c>
    </row>
    <row r="44886" customFormat="false" ht="12.8" hidden="false" customHeight="false" outlineLevel="0" collapsed="false">
      <c r="A44886" s="0" t="s">
        <v>16122</v>
      </c>
      <c r="B44886" s="0" t="str">
        <f aca="false">HYPERLINK("https://lindat.mff.cuni.cz/services/teitok/pdtc10/index.php?action=vallex&amp;frame=v-w6207f3", "smést (v-w6207f3)")</f>
        <v>smést (v-w6207f3)</v>
      </c>
      <c r="E44886" s="0" t="str">
        <f aca="false">HYPERLINK("https://lindat.mff.cuni.cz/services/SynSemClass40/SynSemClass40.html?veclass=vec00380#vec00380-ces-cm00076", "vec00380")</f>
        <v>vec00380</v>
      </c>
      <c r="F44886" s="0" t="s">
        <v>4414</v>
      </c>
    </row>
    <row r="44887" customFormat="false" ht="12.8" hidden="false" customHeight="false" outlineLevel="0" collapsed="false">
      <c r="B44887" s="0" t="s">
        <v>1</v>
      </c>
      <c r="C44887" s="0" t="s">
        <v>4415</v>
      </c>
      <c r="E44887" s="0" t="s">
        <v>4416</v>
      </c>
      <c r="F44887" s="0" t="s">
        <v>4417</v>
      </c>
    </row>
    <row r="44888" customFormat="false" ht="12.8" hidden="false" customHeight="false" outlineLevel="0" collapsed="false">
      <c r="B44888" s="0" t="s">
        <v>8</v>
      </c>
      <c r="C44888" s="0" t="s">
        <v>4418</v>
      </c>
      <c r="E44888" s="0" t="s">
        <v>532</v>
      </c>
      <c r="F44888" s="0" t="s">
        <v>4419</v>
      </c>
    </row>
    <row r="44889" customFormat="false" ht="12.8" hidden="false" customHeight="false" outlineLevel="0" collapsed="false">
      <c r="B44889" s="0" t="s">
        <v>631</v>
      </c>
    </row>
    <row r="44891" customFormat="false" ht="12.8" hidden="false" customHeight="false" outlineLevel="0" collapsed="false">
      <c r="A44891" s="0" t="s">
        <v>16123</v>
      </c>
      <c r="B44891" s="0" t="str">
        <f aca="false">HYPERLINK("https://lindat.mff.cuni.cz/services/teitok/pdtc10/index.php?action=vallex&amp;frame=v-w6207f2", "smést (v-w6207f2)")</f>
        <v>smést (v-w6207f2)</v>
      </c>
    </row>
    <row r="44892" customFormat="false" ht="12.8" hidden="false" customHeight="false" outlineLevel="0" collapsed="false">
      <c r="B44892" s="0" t="s">
        <v>1</v>
      </c>
    </row>
    <row r="44893" customFormat="false" ht="12.8" hidden="false" customHeight="false" outlineLevel="0" collapsed="false">
      <c r="B44893" s="0" t="s">
        <v>8</v>
      </c>
    </row>
    <row r="44895" customFormat="false" ht="12.8" hidden="false" customHeight="false" outlineLevel="0" collapsed="false">
      <c r="A44895" s="0" t="s">
        <v>16124</v>
      </c>
      <c r="B44895" s="0" t="str">
        <f aca="false">HYPERLINK("https://lindat.mff.cuni.cz/services/teitok/pdtc10/index.php?action=vallex&amp;frame=v-w6211f1", "smíchat (v-w6211f1)")</f>
        <v>smíchat (v-w6211f1)</v>
      </c>
    </row>
    <row r="44896" customFormat="false" ht="12.8" hidden="false" customHeight="false" outlineLevel="0" collapsed="false">
      <c r="B44896" s="0" t="s">
        <v>1</v>
      </c>
    </row>
    <row r="44897" customFormat="false" ht="12.8" hidden="false" customHeight="false" outlineLevel="0" collapsed="false">
      <c r="B44897" s="0" t="s">
        <v>8</v>
      </c>
    </row>
    <row r="44898" customFormat="false" ht="12.8" hidden="false" customHeight="false" outlineLevel="0" collapsed="false">
      <c r="B44898" s="0" t="s">
        <v>3537</v>
      </c>
    </row>
    <row r="44900" customFormat="false" ht="12.8" hidden="false" customHeight="false" outlineLevel="0" collapsed="false">
      <c r="A44900" s="0" t="s">
        <v>16125</v>
      </c>
      <c r="B44900" s="0" t="str">
        <f aca="false">HYPERLINK("https://lindat.mff.cuni.cz/services/teitok/pdtc10/index.php?action=vallex&amp;frame=v-w6214f1", "smířit se (v-w6214f1)")</f>
        <v>smířit se (v-w6214f1)</v>
      </c>
      <c r="E44900" s="0" t="str">
        <f aca="false">HYPERLINK("https://lindat.mff.cuni.cz/services/SynSemClass40/SynSemClass40.html?veclass=vec00719#vec00719-ces-cm00001", "vec00719")</f>
        <v>vec00719</v>
      </c>
      <c r="F44900" s="0" t="s">
        <v>16095</v>
      </c>
    </row>
    <row r="44901" customFormat="false" ht="12.8" hidden="false" customHeight="false" outlineLevel="0" collapsed="false">
      <c r="B44901" s="0" t="s">
        <v>1</v>
      </c>
      <c r="C44901" s="0" t="s">
        <v>16096</v>
      </c>
      <c r="E44901" s="0" t="s">
        <v>266</v>
      </c>
      <c r="F44901" s="0" t="s">
        <v>16097</v>
      </c>
    </row>
    <row r="44902" customFormat="false" ht="12.8" hidden="false" customHeight="false" outlineLevel="0" collapsed="false">
      <c r="B44902" s="0" t="s">
        <v>721</v>
      </c>
      <c r="C44902" s="0" t="s">
        <v>16098</v>
      </c>
      <c r="E44902" s="0" t="s">
        <v>532</v>
      </c>
      <c r="F44902" s="0" t="s">
        <v>16099</v>
      </c>
    </row>
    <row r="44904" customFormat="false" ht="12.8" hidden="false" customHeight="false" outlineLevel="0" collapsed="false">
      <c r="A44904" s="0" t="s">
        <v>16126</v>
      </c>
      <c r="B44904" s="0" t="str">
        <f aca="false">HYPERLINK("https://lindat.mff.cuni.cz/services/teitok/pdtc10/index.php?action=vallex&amp;frame=v-w6214f2", "smířit se (v-w6214f2)")</f>
        <v>smířit se (v-w6214f2)</v>
      </c>
    </row>
    <row r="44905" customFormat="false" ht="12.8" hidden="false" customHeight="false" outlineLevel="0" collapsed="false">
      <c r="B44905" s="0" t="s">
        <v>1</v>
      </c>
    </row>
    <row r="44906" customFormat="false" ht="12.8" hidden="false" customHeight="false" outlineLevel="0" collapsed="false">
      <c r="B44906" s="0" t="s">
        <v>721</v>
      </c>
    </row>
    <row r="44908" customFormat="false" ht="12.8" hidden="false" customHeight="false" outlineLevel="0" collapsed="false">
      <c r="A44908" s="0" t="s">
        <v>16127</v>
      </c>
      <c r="B44908" s="0" t="str">
        <f aca="false">HYPERLINK("https://lindat.mff.cuni.cz/services/teitok/pdtc10/index.php?action=vallex&amp;frame=v-w6225f1", "smýkat (v-w6225f1)")</f>
        <v>smýkat (v-w6225f1)</v>
      </c>
      <c r="E44908" s="0" t="str">
        <f aca="false">HYPERLINK("https://lindat.mff.cuni.cz/services/SynSemClass40/SynSemClass40.html?veclass=vec00819#vec00819-ces-cm00013", "vec00819")</f>
        <v>vec00819</v>
      </c>
      <c r="F44908" s="0" t="s">
        <v>4399</v>
      </c>
    </row>
    <row r="44909" customFormat="false" ht="12.8" hidden="false" customHeight="false" outlineLevel="0" collapsed="false">
      <c r="B44909" s="0" t="s">
        <v>1</v>
      </c>
      <c r="C44909" s="0" t="s">
        <v>255</v>
      </c>
      <c r="E44909" s="0" t="s">
        <v>2196</v>
      </c>
      <c r="F44909" s="0" t="s">
        <v>4400</v>
      </c>
    </row>
    <row r="44910" customFormat="false" ht="12.8" hidden="false" customHeight="false" outlineLevel="0" collapsed="false">
      <c r="B44910" s="0" t="s">
        <v>4277</v>
      </c>
      <c r="C44910" s="0" t="s">
        <v>4401</v>
      </c>
      <c r="E44910" s="0" t="s">
        <v>2200</v>
      </c>
      <c r="F44910" s="0" t="s">
        <v>4402</v>
      </c>
    </row>
    <row r="44912" customFormat="false" ht="12.8" hidden="false" customHeight="false" outlineLevel="0" collapsed="false">
      <c r="A44912" s="0" t="s">
        <v>16128</v>
      </c>
      <c r="B44912" s="0" t="str">
        <f aca="false">HYPERLINK("https://lindat.mff.cuni.cz/services/teitok/pdtc10/index.php?action=vallex&amp;frame=v-w6225f2_ZU", "smýkat (v-w6225f2_ZU)")</f>
        <v>smýkat (v-w6225f2_ZU)</v>
      </c>
    </row>
    <row r="44913" customFormat="false" ht="12.8" hidden="false" customHeight="false" outlineLevel="0" collapsed="false">
      <c r="B44913" s="0" t="s">
        <v>1</v>
      </c>
    </row>
    <row r="44914" customFormat="false" ht="12.8" hidden="false" customHeight="false" outlineLevel="0" collapsed="false">
      <c r="B44914" s="0" t="s">
        <v>8</v>
      </c>
    </row>
    <row r="44916" customFormat="false" ht="12.8" hidden="false" customHeight="false" outlineLevel="0" collapsed="false">
      <c r="A44916" s="0" t="s">
        <v>16128</v>
      </c>
      <c r="B44916" s="0" t="str">
        <f aca="false">HYPERLINK("https://lindat.mff.cuni.cz/services/teitok/pdtc10/index.php?action=vallex&amp;frame=v-w6225hsa_199", "smýkat (v-w6225hsa_199) - substituted with v-w6225f2_ZU")</f>
        <v>smýkat (v-w6225hsa_199) - substituted with v-w6225f2_ZU</v>
      </c>
    </row>
    <row r="44917" customFormat="false" ht="12.8" hidden="false" customHeight="false" outlineLevel="0" collapsed="false">
      <c r="B44917" s="0" t="s">
        <v>1</v>
      </c>
    </row>
    <row r="44918" customFormat="false" ht="12.8" hidden="false" customHeight="false" outlineLevel="0" collapsed="false">
      <c r="B44918" s="0" t="s">
        <v>8</v>
      </c>
    </row>
    <row r="44920" customFormat="false" ht="12.8" hidden="false" customHeight="false" outlineLevel="0" collapsed="false">
      <c r="A44920" s="0" t="s">
        <v>16129</v>
      </c>
      <c r="B44920" s="0" t="str">
        <f aca="false">HYPERLINK("https://lindat.mff.cuni.cz/services/teitok/pdtc10/index.php?action=vallex&amp;frame=v-w10146f2", "smýt (v-w10146f2)")</f>
        <v>smýt (v-w10146f2)</v>
      </c>
    </row>
    <row r="44921" customFormat="false" ht="12.8" hidden="false" customHeight="false" outlineLevel="0" collapsed="false">
      <c r="B44921" s="0" t="s">
        <v>1</v>
      </c>
    </row>
    <row r="44922" customFormat="false" ht="12.8" hidden="false" customHeight="false" outlineLevel="0" collapsed="false">
      <c r="B44922" s="0" t="s">
        <v>8</v>
      </c>
    </row>
    <row r="44923" customFormat="false" ht="12.8" hidden="false" customHeight="false" outlineLevel="0" collapsed="false">
      <c r="B44923" s="0" t="s">
        <v>631</v>
      </c>
    </row>
    <row r="44925" customFormat="false" ht="12.8" hidden="false" customHeight="false" outlineLevel="0" collapsed="false">
      <c r="A44925" s="0" t="s">
        <v>16130</v>
      </c>
      <c r="B44925" s="0" t="str">
        <f aca="false">HYPERLINK("https://lindat.mff.cuni.cz/services/teitok/pdtc10/index.php?action=vallex&amp;frame=v-w12226_ZUf1_ZU", "smývat (v-w12226_ZUf1_ZU)")</f>
        <v>smývat (v-w12226_ZUf1_ZU)</v>
      </c>
    </row>
    <row r="44926" customFormat="false" ht="12.8" hidden="false" customHeight="false" outlineLevel="0" collapsed="false">
      <c r="B44926" s="0" t="s">
        <v>1</v>
      </c>
    </row>
    <row r="44927" customFormat="false" ht="12.8" hidden="false" customHeight="false" outlineLevel="0" collapsed="false">
      <c r="B44927" s="0" t="s">
        <v>8</v>
      </c>
    </row>
    <row r="44928" customFormat="false" ht="12.8" hidden="false" customHeight="false" outlineLevel="0" collapsed="false">
      <c r="B44928" s="0" t="s">
        <v>631</v>
      </c>
    </row>
    <row r="44930" customFormat="false" ht="12.8" hidden="false" customHeight="false" outlineLevel="0" collapsed="false">
      <c r="A44930" s="0" t="s">
        <v>16131</v>
      </c>
      <c r="B44930" s="0" t="str">
        <f aca="false">HYPERLINK("https://lindat.mff.cuni.cz/services/teitok/pdtc10/index.php?action=vallex&amp;frame=v-w11004f2", "smýšlet (v-w11004f2)")</f>
        <v>smýšlet (v-w11004f2)</v>
      </c>
    </row>
    <row r="44931" customFormat="false" ht="12.8" hidden="false" customHeight="false" outlineLevel="0" collapsed="false">
      <c r="B44931" s="0" t="s">
        <v>1</v>
      </c>
    </row>
    <row r="44933" customFormat="false" ht="12.8" hidden="false" customHeight="false" outlineLevel="0" collapsed="false">
      <c r="A44933" s="0" t="s">
        <v>16132</v>
      </c>
      <c r="B44933" s="0" t="str">
        <f aca="false">HYPERLINK("https://lindat.mff.cuni.cz/services/teitok/pdtc10/index.php?action=vallex&amp;frame=v-w6198f1", "směnit (v-w6198f1)")</f>
        <v>směnit (v-w6198f1)</v>
      </c>
    </row>
    <row r="44934" customFormat="false" ht="12.8" hidden="false" customHeight="false" outlineLevel="0" collapsed="false">
      <c r="B44934" s="0" t="s">
        <v>1</v>
      </c>
    </row>
    <row r="44935" customFormat="false" ht="12.8" hidden="false" customHeight="false" outlineLevel="0" collapsed="false">
      <c r="B44935" s="0" t="s">
        <v>8</v>
      </c>
    </row>
    <row r="44936" customFormat="false" ht="12.8" hidden="false" customHeight="false" outlineLevel="0" collapsed="false">
      <c r="B44936" s="0" t="s">
        <v>3205</v>
      </c>
    </row>
    <row r="44937" customFormat="false" ht="12.8" hidden="false" customHeight="false" outlineLevel="0" collapsed="false">
      <c r="B44937" s="0" t="s">
        <v>723</v>
      </c>
    </row>
    <row r="44939" customFormat="false" ht="12.8" hidden="false" customHeight="false" outlineLevel="0" collapsed="false">
      <c r="A44939" s="0" t="s">
        <v>16133</v>
      </c>
      <c r="B44939" s="0" t="str">
        <f aca="false">HYPERLINK("https://lindat.mff.cuni.cz/services/teitok/pdtc10/index.php?action=vallex&amp;frame=v-w6198f2", "směnit (v-w6198f2)")</f>
        <v>směnit (v-w6198f2)</v>
      </c>
      <c r="E44939" s="0" t="str">
        <f aca="false">HYPERLINK("https://lindat.mff.cuni.cz/services/SynSemClass40/SynSemClass40.html?veclass=vec00030#vec00030-ces-cm00017", "vec00030")</f>
        <v>vec00030</v>
      </c>
      <c r="F44939" s="0" t="s">
        <v>6942</v>
      </c>
    </row>
    <row r="44940" customFormat="false" ht="12.8" hidden="false" customHeight="false" outlineLevel="0" collapsed="false">
      <c r="B44940" s="0" t="s">
        <v>1</v>
      </c>
      <c r="C44940" s="0" t="s">
        <v>6943</v>
      </c>
      <c r="E44940" s="0" t="s">
        <v>6944</v>
      </c>
      <c r="F44940" s="0" t="s">
        <v>6945</v>
      </c>
    </row>
    <row r="44941" customFormat="false" ht="12.8" hidden="false" customHeight="false" outlineLevel="0" collapsed="false">
      <c r="B44941" s="0" t="s">
        <v>8</v>
      </c>
      <c r="C44941" s="0" t="s">
        <v>16134</v>
      </c>
      <c r="E44941" s="0" t="s">
        <v>12534</v>
      </c>
      <c r="F44941" s="0" t="s">
        <v>16135</v>
      </c>
    </row>
    <row r="44942" customFormat="false" ht="12.8" hidden="false" customHeight="false" outlineLevel="0" collapsed="false">
      <c r="B44942" s="0" t="s">
        <v>36</v>
      </c>
      <c r="C44942" s="0" t="s">
        <v>16136</v>
      </c>
      <c r="E44942" s="0" t="s">
        <v>16137</v>
      </c>
      <c r="F44942" s="0" t="s">
        <v>16138</v>
      </c>
    </row>
    <row r="44943" customFormat="false" ht="12.8" hidden="false" customHeight="false" outlineLevel="0" collapsed="false">
      <c r="B44943" s="0" t="s">
        <v>101</v>
      </c>
      <c r="C44943" s="0" t="s">
        <v>6951</v>
      </c>
      <c r="E44943" s="0" t="s">
        <v>5445</v>
      </c>
      <c r="F44943" s="0" t="s">
        <v>6952</v>
      </c>
    </row>
    <row r="44945" customFormat="false" ht="12.8" hidden="false" customHeight="false" outlineLevel="0" collapsed="false">
      <c r="A44945" s="0" t="s">
        <v>16139</v>
      </c>
      <c r="B44945" s="0" t="str">
        <f aca="false">HYPERLINK("https://lindat.mff.cuni.cz/services/teitok/pdtc10/index.php?action=vallex&amp;frame=v-w6203f1", "směrovat (v-w6203f1)")</f>
        <v>směrovat (v-w6203f1)</v>
      </c>
      <c r="E44945" s="0" t="str">
        <f aca="false">HYPERLINK("https://lindat.mff.cuni.cz/services/SynSemClass40/SynSemClass40.html?veclass=vec00859#vec00859-ces-cm00082", "vec00859")</f>
        <v>vec00859</v>
      </c>
      <c r="F44945" s="0" t="s">
        <v>1728</v>
      </c>
    </row>
    <row r="44946" customFormat="false" ht="12.8" hidden="false" customHeight="false" outlineLevel="0" collapsed="false">
      <c r="B44946" s="0" t="s">
        <v>1</v>
      </c>
      <c r="C44946" s="0" t="s">
        <v>1729</v>
      </c>
      <c r="E44946" s="0" t="s">
        <v>206</v>
      </c>
      <c r="F44946" s="0" t="s">
        <v>1730</v>
      </c>
    </row>
    <row r="44947" customFormat="false" ht="12.8" hidden="false" customHeight="false" outlineLevel="0" collapsed="false">
      <c r="B44947" s="0" t="s">
        <v>8</v>
      </c>
      <c r="C44947" s="0" t="s">
        <v>1731</v>
      </c>
      <c r="E44947" s="0" t="s">
        <v>1732</v>
      </c>
      <c r="F44947" s="0" t="s">
        <v>1733</v>
      </c>
    </row>
    <row r="44948" customFormat="false" ht="12.8" hidden="false" customHeight="false" outlineLevel="0" collapsed="false">
      <c r="B44948" s="0" t="s">
        <v>164</v>
      </c>
      <c r="C44948" s="0" t="s">
        <v>7761</v>
      </c>
      <c r="E44948" s="0" t="s">
        <v>3229</v>
      </c>
      <c r="F44948" s="0" t="s">
        <v>7762</v>
      </c>
    </row>
    <row r="44950" customFormat="false" ht="12.8" hidden="false" customHeight="false" outlineLevel="0" collapsed="false">
      <c r="A44950" s="0" t="s">
        <v>16140</v>
      </c>
      <c r="B44950" s="0" t="str">
        <f aca="false">HYPERLINK("https://lindat.mff.cuni.cz/services/teitok/pdtc10/index.php?action=vallex&amp;frame=v-w6203f2", "směrovat (v-w6203f2)")</f>
        <v>směrovat (v-w6203f2)</v>
      </c>
    </row>
    <row r="44951" customFormat="false" ht="12.8" hidden="false" customHeight="false" outlineLevel="0" collapsed="false">
      <c r="B44951" s="0" t="s">
        <v>1</v>
      </c>
    </row>
    <row r="44952" customFormat="false" ht="12.8" hidden="false" customHeight="false" outlineLevel="0" collapsed="false">
      <c r="B44952" s="0" t="s">
        <v>8</v>
      </c>
    </row>
    <row r="44953" customFormat="false" ht="12.8" hidden="false" customHeight="false" outlineLevel="0" collapsed="false">
      <c r="B44953" s="0" t="s">
        <v>164</v>
      </c>
    </row>
    <row r="44955" customFormat="false" ht="12.8" hidden="false" customHeight="false" outlineLevel="0" collapsed="false">
      <c r="A44955" s="0" t="s">
        <v>16141</v>
      </c>
      <c r="B44955" s="0" t="str">
        <f aca="false">HYPERLINK("https://lindat.mff.cuni.cz/services/teitok/pdtc10/index.php?action=vallex&amp;frame=v-w6208f1", "směstnat (v-w6208f1)")</f>
        <v>směstnat (v-w6208f1)</v>
      </c>
    </row>
    <row r="44956" customFormat="false" ht="12.8" hidden="false" customHeight="false" outlineLevel="0" collapsed="false">
      <c r="B44956" s="0" t="s">
        <v>1</v>
      </c>
    </row>
    <row r="44957" customFormat="false" ht="12.8" hidden="false" customHeight="false" outlineLevel="0" collapsed="false">
      <c r="B44957" s="0" t="s">
        <v>8</v>
      </c>
    </row>
    <row r="44958" customFormat="false" ht="12.8" hidden="false" customHeight="false" outlineLevel="0" collapsed="false">
      <c r="B44958" s="0" t="s">
        <v>5</v>
      </c>
    </row>
    <row r="44960" customFormat="false" ht="12.8" hidden="false" customHeight="false" outlineLevel="0" collapsed="false">
      <c r="A44960" s="0" t="s">
        <v>16142</v>
      </c>
      <c r="B44960" s="0" t="str">
        <f aca="false">HYPERLINK("https://lindat.mff.cuni.cz/services/teitok/pdtc10/index.php?action=vallex&amp;frame=v-w6208f2", "směstnat (v-w6208f2)")</f>
        <v>směstnat (v-w6208f2)</v>
      </c>
    </row>
    <row r="44961" customFormat="false" ht="12.8" hidden="false" customHeight="false" outlineLevel="0" collapsed="false">
      <c r="B44961" s="0" t="s">
        <v>1</v>
      </c>
    </row>
    <row r="44962" customFormat="false" ht="12.8" hidden="false" customHeight="false" outlineLevel="0" collapsed="false">
      <c r="B44962" s="0" t="s">
        <v>8</v>
      </c>
    </row>
    <row r="44963" customFormat="false" ht="12.8" hidden="false" customHeight="false" outlineLevel="0" collapsed="false">
      <c r="B44963" s="0" t="s">
        <v>164</v>
      </c>
    </row>
    <row r="44965" customFormat="false" ht="12.8" hidden="false" customHeight="false" outlineLevel="0" collapsed="false">
      <c r="A44965" s="0" t="s">
        <v>16143</v>
      </c>
      <c r="B44965" s="0" t="str">
        <f aca="false">HYPERLINK("https://lindat.mff.cuni.cz/services/teitok/pdtc10/index.php?action=vallex&amp;frame=v-w11730_ZUf1_ZU", "smět (v-w11730_ZUf1_ZU)")</f>
        <v>smět (v-w11730_ZUf1_ZU)</v>
      </c>
    </row>
    <row r="44966" customFormat="false" ht="12.8" hidden="false" customHeight="false" outlineLevel="0" collapsed="false">
      <c r="B44966" s="0" t="s">
        <v>1</v>
      </c>
    </row>
    <row r="44967" customFormat="false" ht="12.8" hidden="false" customHeight="false" outlineLevel="0" collapsed="false">
      <c r="B44967" s="0" t="s">
        <v>8</v>
      </c>
    </row>
    <row r="44969" customFormat="false" ht="12.8" hidden="false" customHeight="false" outlineLevel="0" collapsed="false">
      <c r="A44969" s="0" t="s">
        <v>16144</v>
      </c>
      <c r="B44969" s="0" t="str">
        <f aca="false">HYPERLINK("https://lindat.mff.cuni.cz/services/teitok/pdtc10/index.php?action=vallex&amp;frame=v-w6200f1", "směňovat (v-w6200f1)")</f>
        <v>směňovat (v-w6200f1)</v>
      </c>
    </row>
    <row r="44970" customFormat="false" ht="12.8" hidden="false" customHeight="false" outlineLevel="0" collapsed="false">
      <c r="B44970" s="0" t="s">
        <v>1</v>
      </c>
    </row>
    <row r="44971" customFormat="false" ht="12.8" hidden="false" customHeight="false" outlineLevel="0" collapsed="false">
      <c r="B44971" s="0" t="s">
        <v>8</v>
      </c>
    </row>
    <row r="44972" customFormat="false" ht="12.8" hidden="false" customHeight="false" outlineLevel="0" collapsed="false">
      <c r="B44972" s="0" t="s">
        <v>3205</v>
      </c>
    </row>
    <row r="44973" customFormat="false" ht="12.8" hidden="false" customHeight="false" outlineLevel="0" collapsed="false">
      <c r="B44973" s="0" t="s">
        <v>723</v>
      </c>
    </row>
    <row r="44975" customFormat="false" ht="12.8" hidden="false" customHeight="false" outlineLevel="0" collapsed="false">
      <c r="A44975" s="0" t="s">
        <v>16145</v>
      </c>
      <c r="B44975" s="0" t="str">
        <f aca="false">HYPERLINK("https://lindat.mff.cuni.cz/services/teitok/pdtc10/index.php?action=vallex&amp;frame=v-w6205f4", "směřovat (v-w6205f4)")</f>
        <v>směřovat (v-w6205f4)</v>
      </c>
      <c r="E44975" s="0" t="str">
        <f aca="false">HYPERLINK("https://lindat.mff.cuni.cz/services/SynSemClass40/SynSemClass40.html?veclass=vec00859#vec00859-ces-cm00017", "vec00859")</f>
        <v>vec00859</v>
      </c>
      <c r="F44975" s="0" t="s">
        <v>1728</v>
      </c>
    </row>
    <row r="44976" customFormat="false" ht="12.8" hidden="false" customHeight="false" outlineLevel="0" collapsed="false">
      <c r="B44976" s="0" t="s">
        <v>1</v>
      </c>
      <c r="C44976" s="0" t="s">
        <v>1729</v>
      </c>
      <c r="E44976" s="0" t="s">
        <v>206</v>
      </c>
      <c r="F44976" s="0" t="s">
        <v>1730</v>
      </c>
    </row>
    <row r="44977" customFormat="false" ht="12.8" hidden="false" customHeight="false" outlineLevel="0" collapsed="false">
      <c r="B44977" s="0" t="s">
        <v>8</v>
      </c>
      <c r="C44977" s="0" t="s">
        <v>1731</v>
      </c>
      <c r="E44977" s="0" t="s">
        <v>1732</v>
      </c>
      <c r="F44977" s="0" t="s">
        <v>1733</v>
      </c>
    </row>
    <row r="44978" customFormat="false" ht="12.8" hidden="false" customHeight="false" outlineLevel="0" collapsed="false">
      <c r="B44978" s="0" t="s">
        <v>164</v>
      </c>
      <c r="C44978" s="0" t="s">
        <v>7761</v>
      </c>
      <c r="E44978" s="0" t="s">
        <v>3229</v>
      </c>
      <c r="F44978" s="0" t="s">
        <v>7762</v>
      </c>
    </row>
    <row r="44980" customFormat="false" ht="12.8" hidden="false" customHeight="false" outlineLevel="0" collapsed="false">
      <c r="A44980" s="0" t="s">
        <v>16146</v>
      </c>
      <c r="B44980" s="0" t="str">
        <f aca="false">HYPERLINK("https://lindat.mff.cuni.cz/services/teitok/pdtc10/index.php?action=vallex&amp;frame=v-w6205f2", "směřovat (v-w6205f2)")</f>
        <v>směřovat (v-w6205f2)</v>
      </c>
      <c r="E44980" s="0" t="str">
        <f aca="false">HYPERLINK("https://lindat.mff.cuni.cz/services/SynSemClass40/SynSemClass40.html?veclass=vec00516#vec00516-ces-cm00001", "vec00516")</f>
        <v>vec00516</v>
      </c>
      <c r="F44980" s="0" t="s">
        <v>4818</v>
      </c>
    </row>
    <row r="44981" customFormat="false" ht="12.8" hidden="false" customHeight="false" outlineLevel="0" collapsed="false">
      <c r="B44981" s="0" t="s">
        <v>1</v>
      </c>
      <c r="C44981" s="0" t="s">
        <v>4819</v>
      </c>
      <c r="E44981" s="0" t="s">
        <v>11</v>
      </c>
      <c r="F44981" s="0" t="s">
        <v>4820</v>
      </c>
    </row>
    <row r="44982" customFormat="false" ht="12.8" hidden="false" customHeight="false" outlineLevel="0" collapsed="false">
      <c r="B44982" s="0" t="s">
        <v>4446</v>
      </c>
      <c r="C44982" s="0" t="s">
        <v>4821</v>
      </c>
      <c r="E44982" s="0" t="s">
        <v>523</v>
      </c>
      <c r="F44982" s="0" t="s">
        <v>4822</v>
      </c>
    </row>
    <row r="44984" customFormat="false" ht="12.8" hidden="false" customHeight="false" outlineLevel="0" collapsed="false">
      <c r="A44984" s="0" t="s">
        <v>16147</v>
      </c>
      <c r="B44984" s="0" t="str">
        <f aca="false">HYPERLINK("https://lindat.mff.cuni.cz/services/teitok/pdtc10/index.php?action=vallex&amp;frame=v-w6205f1", "směřovat (v-w6205f1)")</f>
        <v>směřovat (v-w6205f1)</v>
      </c>
      <c r="E44984" s="0" t="str">
        <f aca="false">HYPERLINK("https://lindat.mff.cuni.cz/services/SynSemClass40/SynSemClass40.html?veclass=vec00434#vec00434-ces-cm00007", "vec00434")</f>
        <v>vec00434</v>
      </c>
      <c r="F44984" s="0" t="s">
        <v>6238</v>
      </c>
    </row>
    <row r="44985" customFormat="false" ht="12.8" hidden="false" customHeight="false" outlineLevel="0" collapsed="false">
      <c r="B44985" s="0" t="s">
        <v>1</v>
      </c>
      <c r="C44985" s="0" t="s">
        <v>6239</v>
      </c>
      <c r="E44985" s="0" t="s">
        <v>11</v>
      </c>
      <c r="F44985" s="0" t="s">
        <v>6240</v>
      </c>
    </row>
    <row r="44986" customFormat="false" ht="12.8" hidden="false" customHeight="false" outlineLevel="0" collapsed="false">
      <c r="B44986" s="0" t="s">
        <v>164</v>
      </c>
      <c r="C44986" s="0" t="s">
        <v>2724</v>
      </c>
      <c r="E44986" s="0" t="s">
        <v>370</v>
      </c>
      <c r="F44986" s="0" t="s">
        <v>2725</v>
      </c>
    </row>
    <row r="44988" customFormat="false" ht="12.8" hidden="false" customHeight="false" outlineLevel="0" collapsed="false">
      <c r="A44988" s="0" t="s">
        <v>16148</v>
      </c>
      <c r="B44988" s="0" t="str">
        <f aca="false">HYPERLINK("https://lindat.mff.cuni.cz/services/teitok/pdtc10/index.php?action=vallex&amp;frame=v-w6205f3", "směřovat (v-w6205f3)")</f>
        <v>směřovat (v-w6205f3)</v>
      </c>
      <c r="E44988" s="0" t="str">
        <f aca="false">HYPERLINK("https://lindat.mff.cuni.cz/services/SynSemClass40/SynSemClass40.html?veclass=vec01319#vec01319-ces-cm00009", "vec01319")</f>
        <v>vec01319</v>
      </c>
      <c r="F44988" s="0" t="s">
        <v>6925</v>
      </c>
    </row>
    <row r="44989" customFormat="false" ht="12.8" hidden="false" customHeight="false" outlineLevel="0" collapsed="false">
      <c r="B44989" s="0" t="s">
        <v>1</v>
      </c>
      <c r="C44989" s="0" t="s">
        <v>6933</v>
      </c>
      <c r="E44989" s="0" t="s">
        <v>957</v>
      </c>
      <c r="F44989" s="0" t="s">
        <v>6927</v>
      </c>
    </row>
    <row r="44990" customFormat="false" ht="12.8" hidden="false" customHeight="false" outlineLevel="0" collapsed="false">
      <c r="B44990" s="0" t="s">
        <v>164</v>
      </c>
      <c r="E44990" s="0" t="s">
        <v>388</v>
      </c>
      <c r="F44990" s="0" t="s">
        <v>389</v>
      </c>
    </row>
    <row r="44992" customFormat="false" ht="12.8" hidden="false" customHeight="false" outlineLevel="0" collapsed="false">
      <c r="A44992" s="0" t="s">
        <v>16149</v>
      </c>
      <c r="B44992" s="0" t="str">
        <f aca="false">HYPERLINK("https://lindat.mff.cuni.cz/services/teitok/pdtc10/index.php?action=vallex&amp;frame=v-w6234f1", "snažit se (v-w6234f1)")</f>
        <v>snažit se (v-w6234f1)</v>
      </c>
      <c r="E44992" s="0" t="str">
        <f aca="false">HYPERLINK("https://lindat.mff.cuni.cz/services/SynSemClass40/SynSemClass40.html?veclass=vec00117#vec00117-ces-cm00001", "vec00117")</f>
        <v>vec00117</v>
      </c>
      <c r="F44992" s="0" t="s">
        <v>517</v>
      </c>
    </row>
    <row r="44993" customFormat="false" ht="12.8" hidden="false" customHeight="false" outlineLevel="0" collapsed="false">
      <c r="B44993" s="0" t="s">
        <v>1</v>
      </c>
      <c r="C44993" s="0" t="s">
        <v>518</v>
      </c>
      <c r="E44993" s="0" t="s">
        <v>519</v>
      </c>
      <c r="F44993" s="0" t="s">
        <v>520</v>
      </c>
    </row>
    <row r="44994" customFormat="false" ht="12.8" hidden="false" customHeight="false" outlineLevel="0" collapsed="false">
      <c r="B44994" s="0" t="s">
        <v>11110</v>
      </c>
      <c r="C44994" s="0" t="s">
        <v>522</v>
      </c>
      <c r="E44994" s="0" t="s">
        <v>523</v>
      </c>
      <c r="F44994" s="0" t="s">
        <v>524</v>
      </c>
    </row>
    <row r="44996" customFormat="false" ht="12.8" hidden="false" customHeight="false" outlineLevel="0" collapsed="false">
      <c r="A44996" s="0" t="s">
        <v>16150</v>
      </c>
      <c r="B44996" s="0" t="str">
        <f aca="false">HYPERLINK("https://lindat.mff.cuni.cz/services/teitok/pdtc10/index.php?action=vallex&amp;frame=v-w6253f1", "snižovat (v-w6253f1)")</f>
        <v>snižovat (v-w6253f1)</v>
      </c>
      <c r="E44996" s="0" t="str">
        <f aca="false">HYPERLINK("https://lindat.mff.cuni.cz/services/SynSemClass40/SynSemClass40.html?veclass=vec00118#vec00118-ces-cm00187", "vec00118")</f>
        <v>vec00118</v>
      </c>
      <c r="F44996" s="0" t="s">
        <v>5784</v>
      </c>
    </row>
    <row r="44997" customFormat="false" ht="12.8" hidden="false" customHeight="false" outlineLevel="0" collapsed="false">
      <c r="B44997" s="0" t="s">
        <v>1</v>
      </c>
      <c r="C44997" s="0" t="s">
        <v>9951</v>
      </c>
      <c r="E44997" s="0" t="s">
        <v>31</v>
      </c>
      <c r="F44997" s="0" t="s">
        <v>5787</v>
      </c>
    </row>
    <row r="44998" customFormat="false" ht="12.8" hidden="false" customHeight="false" outlineLevel="0" collapsed="false">
      <c r="B44998" s="0" t="s">
        <v>8</v>
      </c>
      <c r="C44998" s="0" t="s">
        <v>9952</v>
      </c>
      <c r="E44998" s="0" t="s">
        <v>1569</v>
      </c>
      <c r="F44998" s="0" t="s">
        <v>5790</v>
      </c>
    </row>
    <row r="44999" customFormat="false" ht="12.8" hidden="false" customHeight="false" outlineLevel="0" collapsed="false">
      <c r="B44999" s="0" t="s">
        <v>36</v>
      </c>
      <c r="C44999" s="0" t="s">
        <v>9953</v>
      </c>
      <c r="E44999" s="0" t="s">
        <v>5152</v>
      </c>
      <c r="F44999" s="0" t="s">
        <v>5793</v>
      </c>
    </row>
    <row r="45000" customFormat="false" ht="12.8" hidden="false" customHeight="false" outlineLevel="0" collapsed="false">
      <c r="B45000" s="0" t="s">
        <v>101</v>
      </c>
      <c r="C45000" s="0" t="s">
        <v>9954</v>
      </c>
      <c r="E45000" s="0" t="s">
        <v>5796</v>
      </c>
      <c r="F45000" s="0" t="s">
        <v>5797</v>
      </c>
    </row>
    <row r="45002" customFormat="false" ht="12.8" hidden="false" customHeight="false" outlineLevel="0" collapsed="false">
      <c r="A45002" s="0" t="s">
        <v>16151</v>
      </c>
      <c r="B45002" s="0" t="str">
        <f aca="false">HYPERLINK("https://lindat.mff.cuni.cz/services/teitok/pdtc10/index.php?action=vallex&amp;frame=v-w6254f1", "snižovat se (v-w6254f1)")</f>
        <v>snižovat se (v-w6254f1)</v>
      </c>
      <c r="E45002" s="0" t="str">
        <f aca="false">HYPERLINK("https://lindat.mff.cuni.cz/services/SynSemClass40/SynSemClass40.html?veclass=vec00028#vec00028-ces-cm00067", "vec00028")</f>
        <v>vec00028</v>
      </c>
      <c r="F45002" s="0" t="s">
        <v>5301</v>
      </c>
    </row>
    <row r="45003" customFormat="false" ht="12.8" hidden="false" customHeight="false" outlineLevel="0" collapsed="false">
      <c r="B45003" s="0" t="s">
        <v>1</v>
      </c>
      <c r="C45003" s="0" t="s">
        <v>9964</v>
      </c>
      <c r="E45003" s="0" t="s">
        <v>235</v>
      </c>
      <c r="F45003" s="0" t="s">
        <v>5304</v>
      </c>
    </row>
    <row r="45004" customFormat="false" ht="12.8" hidden="false" customHeight="false" outlineLevel="0" collapsed="false">
      <c r="B45004" s="0" t="s">
        <v>69</v>
      </c>
      <c r="C45004" s="0" t="s">
        <v>9965</v>
      </c>
      <c r="E45004" s="0" t="s">
        <v>5149</v>
      </c>
      <c r="F45004" s="0" t="s">
        <v>5307</v>
      </c>
    </row>
    <row r="45005" customFormat="false" ht="12.8" hidden="false" customHeight="false" outlineLevel="0" collapsed="false">
      <c r="B45005" s="0" t="s">
        <v>36</v>
      </c>
      <c r="C45005" s="0" t="s">
        <v>9966</v>
      </c>
      <c r="E45005" s="0" t="s">
        <v>5152</v>
      </c>
      <c r="F45005" s="0" t="s">
        <v>5311</v>
      </c>
    </row>
    <row r="45007" customFormat="false" ht="12.8" hidden="false" customHeight="false" outlineLevel="0" collapsed="false">
      <c r="A45007" s="0" t="s">
        <v>16152</v>
      </c>
      <c r="B45007" s="0" t="str">
        <f aca="false">HYPERLINK("https://lindat.mff.cuni.cz/services/teitok/pdtc10/index.php?action=vallex&amp;frame=v-w11593_ZUf1_ZU", "snoubit (v-w11593_ZUf1_ZU)")</f>
        <v>snoubit (v-w11593_ZUf1_ZU)</v>
      </c>
    </row>
    <row r="45008" customFormat="false" ht="12.8" hidden="false" customHeight="false" outlineLevel="0" collapsed="false">
      <c r="B45008" s="0" t="s">
        <v>1</v>
      </c>
    </row>
    <row r="45009" customFormat="false" ht="12.8" hidden="false" customHeight="false" outlineLevel="0" collapsed="false">
      <c r="B45009" s="0" t="s">
        <v>8</v>
      </c>
    </row>
    <row r="45010" customFormat="false" ht="12.8" hidden="false" customHeight="false" outlineLevel="0" collapsed="false">
      <c r="B45010" s="0" t="s">
        <v>276</v>
      </c>
    </row>
    <row r="45011" customFormat="false" ht="12.8" hidden="false" customHeight="false" outlineLevel="0" collapsed="false">
      <c r="B45011" s="0" t="s">
        <v>3026</v>
      </c>
    </row>
    <row r="45013" customFormat="false" ht="12.8" hidden="false" customHeight="false" outlineLevel="0" collapsed="false">
      <c r="A45013" s="0" t="s">
        <v>16153</v>
      </c>
      <c r="B45013" s="0" t="str">
        <f aca="false">HYPERLINK("https://lindat.mff.cuni.cz/services/teitok/pdtc10/index.php?action=vallex&amp;frame=v-w6255f1", "snoubit se (v-w6255f1)")</f>
        <v>snoubit se (v-w6255f1)</v>
      </c>
      <c r="E45013" s="0" t="str">
        <f aca="false">HYPERLINK("https://lindat.mff.cuni.cz/services/SynSemClass40/SynSemClass40.html?veclass=vec00318#vec00318-ces-cm00023", "vec00318")</f>
        <v>vec00318</v>
      </c>
      <c r="F45013" s="0" t="s">
        <v>3218</v>
      </c>
    </row>
    <row r="45014" customFormat="false" ht="12.8" hidden="false" customHeight="false" outlineLevel="0" collapsed="false">
      <c r="B45014" s="0" t="s">
        <v>1</v>
      </c>
      <c r="C45014" s="0" t="s">
        <v>3219</v>
      </c>
      <c r="E45014" s="0" t="s">
        <v>2241</v>
      </c>
      <c r="F45014" s="0" t="s">
        <v>3220</v>
      </c>
    </row>
    <row r="45015" customFormat="false" ht="12.8" hidden="false" customHeight="false" outlineLevel="0" collapsed="false">
      <c r="B45015" s="0" t="s">
        <v>721</v>
      </c>
      <c r="C45015" s="0" t="s">
        <v>3221</v>
      </c>
      <c r="E45015" s="0" t="s">
        <v>2665</v>
      </c>
      <c r="F45015" s="0" t="s">
        <v>3222</v>
      </c>
    </row>
    <row r="45016" customFormat="false" ht="12.8" hidden="false" customHeight="false" outlineLevel="0" collapsed="false">
      <c r="B45016" s="0" t="s">
        <v>3026</v>
      </c>
      <c r="C45016" s="0" t="s">
        <v>11056</v>
      </c>
      <c r="E45016" s="0" t="s">
        <v>4858</v>
      </c>
      <c r="F45016" s="0" t="s">
        <v>11057</v>
      </c>
    </row>
    <row r="45018" customFormat="false" ht="12.8" hidden="false" customHeight="false" outlineLevel="0" collapsed="false">
      <c r="A45018" s="0" t="s">
        <v>16154</v>
      </c>
      <c r="B45018" s="0" t="str">
        <f aca="false">HYPERLINK("https://lindat.mff.cuni.cz/services/teitok/pdtc10/index.php?action=vallex&amp;frame=v-w11159f2", "snout (v-w11159f2)")</f>
        <v>snout (v-w11159f2)</v>
      </c>
    </row>
    <row r="45019" customFormat="false" ht="12.8" hidden="false" customHeight="false" outlineLevel="0" collapsed="false">
      <c r="B45019" s="0" t="s">
        <v>1</v>
      </c>
    </row>
    <row r="45020" customFormat="false" ht="12.8" hidden="false" customHeight="false" outlineLevel="0" collapsed="false">
      <c r="B45020" s="0" t="s">
        <v>16155</v>
      </c>
    </row>
    <row r="45022" customFormat="false" ht="12.8" hidden="false" customHeight="false" outlineLevel="0" collapsed="false">
      <c r="A45022" s="0" t="s">
        <v>16156</v>
      </c>
      <c r="B45022" s="0" t="str">
        <f aca="false">HYPERLINK("https://lindat.mff.cuni.cz/services/teitok/pdtc10/index.php?action=vallex&amp;frame=v-w6230f5_ZU", "snášet (v-w6230f5_ZU)")</f>
        <v>snášet (v-w6230f5_ZU)</v>
      </c>
    </row>
    <row r="45023" customFormat="false" ht="12.8" hidden="false" customHeight="false" outlineLevel="0" collapsed="false">
      <c r="B45023" s="0" t="s">
        <v>1</v>
      </c>
    </row>
    <row r="45024" customFormat="false" ht="12.8" hidden="false" customHeight="false" outlineLevel="0" collapsed="false">
      <c r="B45024" s="0" t="s">
        <v>2128</v>
      </c>
    </row>
    <row r="45026" customFormat="false" ht="12.8" hidden="false" customHeight="false" outlineLevel="0" collapsed="false">
      <c r="A45026" s="0" t="s">
        <v>16156</v>
      </c>
      <c r="B45026" s="0" t="str">
        <f aca="false">HYPERLINK("https://lindat.mff.cuni.cz/services/teitok/pdtc10/index.php?action=vallex&amp;frame=v-w6230f1", "snášet (v-w6230f1) - substituted with v-w6230f5_ZU")</f>
        <v>snášet (v-w6230f1) - substituted with v-w6230f5_ZU</v>
      </c>
    </row>
    <row r="45027" customFormat="false" ht="12.8" hidden="false" customHeight="false" outlineLevel="0" collapsed="false">
      <c r="B45027" s="0" t="s">
        <v>1</v>
      </c>
    </row>
    <row r="45028" customFormat="false" ht="12.8" hidden="false" customHeight="false" outlineLevel="0" collapsed="false">
      <c r="B45028" s="0" t="s">
        <v>2128</v>
      </c>
    </row>
    <row r="45030" customFormat="false" ht="12.8" hidden="false" customHeight="false" outlineLevel="0" collapsed="false">
      <c r="A45030" s="0" t="s">
        <v>16156</v>
      </c>
      <c r="B45030" s="0" t="str">
        <f aca="false">HYPERLINK("https://lindat.mff.cuni.cz/services/teitok/pdtc10/index.php?action=vallex&amp;frame=v-w6230hsa_47", "snášet (v-w6230hsa_47) - substituted with v-w6230f5_ZU")</f>
        <v>snášet (v-w6230hsa_47) - substituted with v-w6230f5_ZU</v>
      </c>
      <c r="E45030" s="0" t="str">
        <f aca="false">HYPERLINK("https://lindat.mff.cuni.cz/services/SynSemClass40/SynSemClass40.html?veclass=vec00970#vec00970-ces-cm00034", "vec00970")</f>
        <v>vec00970</v>
      </c>
      <c r="F45030" s="0" t="s">
        <v>11407</v>
      </c>
    </row>
    <row r="45031" customFormat="false" ht="12.8" hidden="false" customHeight="false" outlineLevel="0" collapsed="false">
      <c r="B45031" s="0" t="s">
        <v>1</v>
      </c>
      <c r="C45031" s="0" t="s">
        <v>3000</v>
      </c>
      <c r="E45031" s="0" t="s">
        <v>266</v>
      </c>
      <c r="F45031" s="0" t="s">
        <v>11408</v>
      </c>
    </row>
    <row r="45032" customFormat="false" ht="12.8" hidden="false" customHeight="false" outlineLevel="0" collapsed="false">
      <c r="B45032" s="0" t="s">
        <v>2128</v>
      </c>
      <c r="C45032" s="0" t="s">
        <v>531</v>
      </c>
      <c r="E45032" s="0" t="s">
        <v>532</v>
      </c>
      <c r="F45032" s="0" t="s">
        <v>11409</v>
      </c>
    </row>
    <row r="45034" customFormat="false" ht="12.8" hidden="false" customHeight="false" outlineLevel="0" collapsed="false">
      <c r="A45034" s="0" t="s">
        <v>16157</v>
      </c>
      <c r="B45034" s="0" t="str">
        <f aca="false">HYPERLINK("https://lindat.mff.cuni.cz/services/teitok/pdtc10/index.php?action=vallex&amp;frame=v-w6230f2", "snášet (v-w6230f2)")</f>
        <v>snášet (v-w6230f2)</v>
      </c>
    </row>
    <row r="45035" customFormat="false" ht="12.8" hidden="false" customHeight="false" outlineLevel="0" collapsed="false">
      <c r="B45035" s="0" t="s">
        <v>1</v>
      </c>
    </row>
    <row r="45036" customFormat="false" ht="12.8" hidden="false" customHeight="false" outlineLevel="0" collapsed="false">
      <c r="B45036" s="0" t="s">
        <v>8</v>
      </c>
    </row>
    <row r="45038" customFormat="false" ht="12.8" hidden="false" customHeight="false" outlineLevel="0" collapsed="false">
      <c r="A45038" s="0" t="s">
        <v>16158</v>
      </c>
      <c r="B45038" s="0" t="str">
        <f aca="false">HYPERLINK("https://lindat.mff.cuni.cz/services/teitok/pdtc10/index.php?action=vallex&amp;frame=v-w6230f4", "snášet (v-w6230f4)")</f>
        <v>snášet (v-w6230f4)</v>
      </c>
    </row>
    <row r="45039" customFormat="false" ht="12.8" hidden="false" customHeight="false" outlineLevel="0" collapsed="false">
      <c r="B45039" s="0" t="s">
        <v>1</v>
      </c>
    </row>
    <row r="45040" customFormat="false" ht="12.8" hidden="false" customHeight="false" outlineLevel="0" collapsed="false">
      <c r="B45040" s="0" t="s">
        <v>8</v>
      </c>
    </row>
    <row r="45041" customFormat="false" ht="12.8" hidden="false" customHeight="false" outlineLevel="0" collapsed="false">
      <c r="B45041" s="0" t="s">
        <v>642</v>
      </c>
    </row>
    <row r="45042" customFormat="false" ht="12.8" hidden="false" customHeight="false" outlineLevel="0" collapsed="false">
      <c r="B45042" s="0" t="s">
        <v>648</v>
      </c>
    </row>
    <row r="45043" customFormat="false" ht="12.8" hidden="false" customHeight="false" outlineLevel="0" collapsed="false">
      <c r="B45043" s="0" t="s">
        <v>652</v>
      </c>
    </row>
    <row r="45045" customFormat="false" ht="12.8" hidden="false" customHeight="false" outlineLevel="0" collapsed="false">
      <c r="A45045" s="0" t="s">
        <v>16159</v>
      </c>
      <c r="B45045" s="0" t="str">
        <f aca="false">HYPERLINK("https://lindat.mff.cuni.cz/services/teitok/pdtc10/index.php?action=vallex&amp;frame=v-w6230f3", "snášet (v-w6230f3)")</f>
        <v>snášet (v-w6230f3)</v>
      </c>
    </row>
    <row r="45046" customFormat="false" ht="12.8" hidden="false" customHeight="false" outlineLevel="0" collapsed="false">
      <c r="B45046" s="0" t="s">
        <v>1</v>
      </c>
    </row>
    <row r="45047" customFormat="false" ht="12.8" hidden="false" customHeight="false" outlineLevel="0" collapsed="false">
      <c r="B45047" s="0" t="s">
        <v>8</v>
      </c>
    </row>
    <row r="45049" customFormat="false" ht="12.8" hidden="false" customHeight="false" outlineLevel="0" collapsed="false">
      <c r="A45049" s="0" t="s">
        <v>16160</v>
      </c>
      <c r="B45049" s="0" t="str">
        <f aca="false">HYPERLINK("https://lindat.mff.cuni.cz/services/teitok/pdtc10/index.php?action=vallex&amp;frame=v-whsa_643hsa_644", "snášet se (v-whsa_643hsa_644)")</f>
        <v>snášet se (v-whsa_643hsa_644)</v>
      </c>
    </row>
    <row r="45050" customFormat="false" ht="12.8" hidden="false" customHeight="false" outlineLevel="0" collapsed="false">
      <c r="B45050" s="0" t="s">
        <v>1</v>
      </c>
    </row>
    <row r="45051" customFormat="false" ht="12.8" hidden="false" customHeight="false" outlineLevel="0" collapsed="false">
      <c r="B45051" s="0" t="s">
        <v>721</v>
      </c>
    </row>
    <row r="45053" customFormat="false" ht="12.8" hidden="false" customHeight="false" outlineLevel="0" collapsed="false">
      <c r="A45053" s="0" t="s">
        <v>16161</v>
      </c>
      <c r="B45053" s="0" t="str">
        <f aca="false">HYPERLINK("https://lindat.mff.cuni.cz/services/teitok/pdtc10/index.php?action=vallex&amp;frame=v-w6238f1", "snést (v-w6238f1)")</f>
        <v>snést (v-w6238f1)</v>
      </c>
      <c r="E45053" s="0" t="str">
        <f aca="false">HYPERLINK("https://lindat.mff.cuni.cz/services/SynSemClass40/SynSemClass40.html?veclass=vec00970#vec00970-ces-cm00017", "vec00970")</f>
        <v>vec00970</v>
      </c>
      <c r="F45053" s="0" t="s">
        <v>11407</v>
      </c>
    </row>
    <row r="45054" customFormat="false" ht="12.8" hidden="false" customHeight="false" outlineLevel="0" collapsed="false">
      <c r="B45054" s="0" t="s">
        <v>1</v>
      </c>
      <c r="C45054" s="0" t="s">
        <v>3000</v>
      </c>
      <c r="E45054" s="0" t="s">
        <v>266</v>
      </c>
      <c r="F45054" s="0" t="s">
        <v>11408</v>
      </c>
    </row>
    <row r="45055" customFormat="false" ht="12.8" hidden="false" customHeight="false" outlineLevel="0" collapsed="false">
      <c r="B45055" s="0" t="s">
        <v>5032</v>
      </c>
      <c r="C45055" s="0" t="s">
        <v>531</v>
      </c>
      <c r="E45055" s="0" t="s">
        <v>532</v>
      </c>
      <c r="F45055" s="0" t="s">
        <v>11409</v>
      </c>
    </row>
    <row r="45057" customFormat="false" ht="12.8" hidden="false" customHeight="false" outlineLevel="0" collapsed="false">
      <c r="A45057" s="0" t="s">
        <v>16162</v>
      </c>
      <c r="B45057" s="0" t="str">
        <f aca="false">HYPERLINK("https://lindat.mff.cuni.cz/services/teitok/pdtc10/index.php?action=vallex&amp;frame=v-w6238f2", "snést (v-w6238f2)")</f>
        <v>snést (v-w6238f2)</v>
      </c>
    </row>
    <row r="45058" customFormat="false" ht="12.8" hidden="false" customHeight="false" outlineLevel="0" collapsed="false">
      <c r="B45058" s="0" t="s">
        <v>1</v>
      </c>
    </row>
    <row r="45059" customFormat="false" ht="12.8" hidden="false" customHeight="false" outlineLevel="0" collapsed="false">
      <c r="B45059" s="0" t="s">
        <v>8</v>
      </c>
    </row>
    <row r="45061" customFormat="false" ht="12.8" hidden="false" customHeight="false" outlineLevel="0" collapsed="false">
      <c r="A45061" s="0" t="s">
        <v>16163</v>
      </c>
      <c r="B45061" s="0" t="str">
        <f aca="false">HYPERLINK("https://lindat.mff.cuni.cz/services/teitok/pdtc10/index.php?action=vallex&amp;frame=v-w6239f2", "snést se (v-w6239f2)")</f>
        <v>snést se (v-w6239f2)</v>
      </c>
    </row>
    <row r="45062" customFormat="false" ht="12.8" hidden="false" customHeight="false" outlineLevel="0" collapsed="false">
      <c r="B45062" s="0" t="s">
        <v>1</v>
      </c>
    </row>
    <row r="45063" customFormat="false" ht="12.8" hidden="false" customHeight="false" outlineLevel="0" collapsed="false">
      <c r="B45063" s="0" t="s">
        <v>721</v>
      </c>
    </row>
    <row r="45065" customFormat="false" ht="12.8" hidden="false" customHeight="false" outlineLevel="0" collapsed="false">
      <c r="A45065" s="0" t="s">
        <v>16164</v>
      </c>
      <c r="B45065" s="0" t="str">
        <f aca="false">HYPERLINK("https://lindat.mff.cuni.cz/services/teitok/pdtc10/index.php?action=vallex&amp;frame=v-w6239f1", "snést se (v-w6239f1)")</f>
        <v>snést se (v-w6239f1)</v>
      </c>
    </row>
    <row r="45066" customFormat="false" ht="12.8" hidden="false" customHeight="false" outlineLevel="0" collapsed="false">
      <c r="B45066" s="0" t="s">
        <v>1</v>
      </c>
    </row>
    <row r="45067" customFormat="false" ht="12.8" hidden="false" customHeight="false" outlineLevel="0" collapsed="false">
      <c r="B45067" s="0" t="s">
        <v>164</v>
      </c>
    </row>
    <row r="45069" customFormat="false" ht="12.8" hidden="false" customHeight="false" outlineLevel="0" collapsed="false">
      <c r="A45069" s="0" t="s">
        <v>16165</v>
      </c>
      <c r="B45069" s="0" t="str">
        <f aca="false">HYPERLINK("https://lindat.mff.cuni.cz/services/teitok/pdtc10/index.php?action=vallex&amp;frame=v-whsa_1241f1_ZU", "snídat (v-whsa_1241f1_ZU)")</f>
        <v>snídat (v-whsa_1241f1_ZU)</v>
      </c>
    </row>
    <row r="45070" customFormat="false" ht="12.8" hidden="false" customHeight="false" outlineLevel="0" collapsed="false">
      <c r="B45070" s="0" t="s">
        <v>1</v>
      </c>
    </row>
    <row r="45071" customFormat="false" ht="12.8" hidden="false" customHeight="false" outlineLevel="0" collapsed="false">
      <c r="B45071" s="0" t="s">
        <v>390</v>
      </c>
    </row>
    <row r="45073" customFormat="false" ht="12.8" hidden="false" customHeight="false" outlineLevel="0" collapsed="false">
      <c r="A45073" s="0" t="s">
        <v>16165</v>
      </c>
      <c r="B45073" s="0" t="str">
        <f aca="false">HYPERLINK("https://lindat.mff.cuni.cz/services/teitok/pdtc10/index.php?action=vallex&amp;frame=v-whsa_1241hsa_1242", "snídat (v-whsa_1241hsa_1242) - substituted with v-whsa_1241f1_ZU")</f>
        <v>snídat (v-whsa_1241hsa_1242) - substituted with v-whsa_1241f1_ZU</v>
      </c>
    </row>
    <row r="45074" customFormat="false" ht="12.8" hidden="false" customHeight="false" outlineLevel="0" collapsed="false">
      <c r="B45074" s="0" t="s">
        <v>1</v>
      </c>
    </row>
    <row r="45075" customFormat="false" ht="12.8" hidden="false" customHeight="false" outlineLevel="0" collapsed="false">
      <c r="B45075" s="0" t="s">
        <v>390</v>
      </c>
    </row>
    <row r="45077" customFormat="false" ht="12.8" hidden="false" customHeight="false" outlineLevel="0" collapsed="false">
      <c r="A45077" s="0" t="s">
        <v>16166</v>
      </c>
      <c r="B45077" s="0" t="str">
        <f aca="false">HYPERLINK("https://lindat.mff.cuni.cz/services/teitok/pdtc10/index.php?action=vallex&amp;frame=v-w6243f1", "snímat (v-w6243f1)")</f>
        <v>snímat (v-w6243f1)</v>
      </c>
    </row>
    <row r="45078" customFormat="false" ht="12.8" hidden="false" customHeight="false" outlineLevel="0" collapsed="false">
      <c r="B45078" s="0" t="s">
        <v>1</v>
      </c>
    </row>
    <row r="45079" customFormat="false" ht="12.8" hidden="false" customHeight="false" outlineLevel="0" collapsed="false">
      <c r="B45079" s="0" t="s">
        <v>8</v>
      </c>
    </row>
    <row r="45080" customFormat="false" ht="12.8" hidden="false" customHeight="false" outlineLevel="0" collapsed="false">
      <c r="B45080" s="0" t="s">
        <v>631</v>
      </c>
    </row>
    <row r="45082" customFormat="false" ht="12.8" hidden="false" customHeight="false" outlineLevel="0" collapsed="false">
      <c r="A45082" s="0" t="s">
        <v>16167</v>
      </c>
      <c r="B45082" s="0" t="str">
        <f aca="false">HYPERLINK("https://lindat.mff.cuni.cz/services/teitok/pdtc10/index.php?action=vallex&amp;frame=v-w6243f2_ZU", "snímat (v-w6243f2_ZU)")</f>
        <v>snímat (v-w6243f2_ZU)</v>
      </c>
    </row>
    <row r="45083" customFormat="false" ht="12.8" hidden="false" customHeight="false" outlineLevel="0" collapsed="false">
      <c r="B45083" s="0" t="s">
        <v>1</v>
      </c>
    </row>
    <row r="45084" customFormat="false" ht="12.8" hidden="false" customHeight="false" outlineLevel="0" collapsed="false">
      <c r="B45084" s="0" t="s">
        <v>8</v>
      </c>
    </row>
    <row r="45086" customFormat="false" ht="12.8" hidden="false" customHeight="false" outlineLevel="0" collapsed="false">
      <c r="A45086" s="0" t="s">
        <v>16168</v>
      </c>
      <c r="B45086" s="0" t="str">
        <f aca="false">HYPERLINK("https://lindat.mff.cuni.cz/services/teitok/pdtc10/index.php?action=vallex&amp;frame=v-w6245f1", "sníst (v-w6245f1)")</f>
        <v>sníst (v-w6245f1)</v>
      </c>
      <c r="E45086" s="0" t="str">
        <f aca="false">HYPERLINK("https://lindat.mff.cuni.cz/services/SynSemClass40/SynSemClass40.html?veclass=vec00828#vec00828-ces-cm00008", "vec00828")</f>
        <v>vec00828</v>
      </c>
      <c r="F45086" s="0" t="s">
        <v>4326</v>
      </c>
    </row>
    <row r="45087" customFormat="false" ht="12.8" hidden="false" customHeight="false" outlineLevel="0" collapsed="false">
      <c r="B45087" s="0" t="s">
        <v>1</v>
      </c>
      <c r="C45087" s="0" t="s">
        <v>5031</v>
      </c>
      <c r="E45087" s="0" t="s">
        <v>658</v>
      </c>
      <c r="F45087" s="0" t="s">
        <v>4329</v>
      </c>
    </row>
    <row r="45088" customFormat="false" ht="12.8" hidden="false" customHeight="false" outlineLevel="0" collapsed="false">
      <c r="B45088" s="0" t="s">
        <v>8</v>
      </c>
      <c r="C45088" s="0" t="s">
        <v>1767</v>
      </c>
      <c r="E45088" s="0" t="s">
        <v>661</v>
      </c>
      <c r="F45088" s="0" t="s">
        <v>4332</v>
      </c>
    </row>
    <row r="45090" customFormat="false" ht="12.8" hidden="false" customHeight="false" outlineLevel="0" collapsed="false">
      <c r="A45090" s="0" t="s">
        <v>16169</v>
      </c>
      <c r="B45090" s="0" t="str">
        <f aca="false">HYPERLINK("https://lindat.mff.cuni.cz/services/teitok/pdtc10/index.php?action=vallex&amp;frame=v-w6245f2_ZU", "sníst (v-w6245f2_ZU)")</f>
        <v>sníst (v-w6245f2_ZU)</v>
      </c>
    </row>
    <row r="45091" customFormat="false" ht="12.8" hidden="false" customHeight="false" outlineLevel="0" collapsed="false">
      <c r="B45091" s="0" t="s">
        <v>1</v>
      </c>
    </row>
    <row r="45092" customFormat="false" ht="12.8" hidden="false" customHeight="false" outlineLevel="0" collapsed="false">
      <c r="B45092" s="0" t="s">
        <v>16170</v>
      </c>
    </row>
    <row r="45094" customFormat="false" ht="12.8" hidden="false" customHeight="false" outlineLevel="0" collapsed="false">
      <c r="A45094" s="0" t="s">
        <v>16171</v>
      </c>
      <c r="B45094" s="0" t="str">
        <f aca="false">HYPERLINK("https://lindat.mff.cuni.cz/services/teitok/pdtc10/index.php?action=vallex&amp;frame=v-w6246f1", "snít (v-w6246f1)")</f>
        <v>snít (v-w6246f1)</v>
      </c>
      <c r="E45094" s="0" t="str">
        <f aca="false">HYPERLINK("https://lindat.mff.cuni.cz/services/SynSemClass40/SynSemClass40.html?veclass=vec00877#vec00877-ces-cm00003", "vec00877")</f>
        <v>vec00877</v>
      </c>
      <c r="F45094" s="0" t="s">
        <v>12096</v>
      </c>
    </row>
    <row r="45095" customFormat="false" ht="12.8" hidden="false" customHeight="false" outlineLevel="0" collapsed="false">
      <c r="B45095" s="0" t="s">
        <v>1</v>
      </c>
      <c r="C45095" s="0" t="s">
        <v>106</v>
      </c>
      <c r="E45095" s="0" t="s">
        <v>11</v>
      </c>
      <c r="F45095" s="0" t="s">
        <v>9320</v>
      </c>
    </row>
    <row r="45096" customFormat="false" ht="12.8" hidden="false" customHeight="false" outlineLevel="0" collapsed="false">
      <c r="B45096" s="0" t="s">
        <v>3204</v>
      </c>
      <c r="C45096" s="0" t="s">
        <v>449</v>
      </c>
      <c r="E45096" s="0" t="s">
        <v>6091</v>
      </c>
      <c r="F45096" s="0" t="s">
        <v>12097</v>
      </c>
    </row>
    <row r="45098" customFormat="false" ht="12.8" hidden="false" customHeight="false" outlineLevel="0" collapsed="false">
      <c r="A45098" s="0" t="s">
        <v>16172</v>
      </c>
      <c r="B45098" s="0" t="str">
        <f aca="false">HYPERLINK("https://lindat.mff.cuni.cz/services/teitok/pdtc10/index.php?action=vallex&amp;frame=v-w6246f2", "snít (v-w6246f2)")</f>
        <v>snít (v-w6246f2)</v>
      </c>
    </row>
    <row r="45099" customFormat="false" ht="12.8" hidden="false" customHeight="false" outlineLevel="0" collapsed="false">
      <c r="B45099" s="0" t="s">
        <v>1</v>
      </c>
    </row>
    <row r="45100" customFormat="false" ht="12.8" hidden="false" customHeight="false" outlineLevel="0" collapsed="false">
      <c r="B45100" s="0" t="s">
        <v>390</v>
      </c>
    </row>
    <row r="45102" customFormat="false" ht="12.8" hidden="false" customHeight="false" outlineLevel="0" collapsed="false">
      <c r="A45102" s="0" t="s">
        <v>16173</v>
      </c>
      <c r="B45102" s="0" t="str">
        <f aca="false">HYPERLINK("https://lindat.mff.cuni.cz/services/teitok/pdtc10/index.php?action=vallex&amp;frame=v-w6246f3_ZU", "snít (v-w6246f3_ZU)")</f>
        <v>snít (v-w6246f3_ZU)</v>
      </c>
    </row>
    <row r="45103" customFormat="false" ht="12.8" hidden="false" customHeight="false" outlineLevel="0" collapsed="false">
      <c r="B45103" s="0" t="s">
        <v>1</v>
      </c>
    </row>
    <row r="45104" customFormat="false" ht="12.8" hidden="false" customHeight="false" outlineLevel="0" collapsed="false">
      <c r="B45104" s="0" t="s">
        <v>318</v>
      </c>
    </row>
    <row r="45105" customFormat="false" ht="12.8" hidden="false" customHeight="false" outlineLevel="0" collapsed="false">
      <c r="B45105" s="0" t="s">
        <v>3982</v>
      </c>
    </row>
    <row r="45107" customFormat="false" ht="12.8" hidden="false" customHeight="false" outlineLevel="0" collapsed="false">
      <c r="A45107" s="0" t="s">
        <v>16174</v>
      </c>
      <c r="B45107" s="0" t="str">
        <f aca="false">HYPERLINK("https://lindat.mff.cuni.cz/services/teitok/pdtc10/index.php?action=vallex&amp;frame=v-w6247f1", "snít se (v-w6247f1)")</f>
        <v>snít se (v-w6247f1)</v>
      </c>
    </row>
    <row r="45108" customFormat="false" ht="12.8" hidden="false" customHeight="false" outlineLevel="0" collapsed="false">
      <c r="B45108" s="0" t="s">
        <v>804</v>
      </c>
    </row>
    <row r="45109" customFormat="false" ht="12.8" hidden="false" customHeight="false" outlineLevel="0" collapsed="false">
      <c r="B45109" s="0" t="s">
        <v>14346</v>
      </c>
    </row>
    <row r="45110" customFormat="false" ht="12.8" hidden="false" customHeight="false" outlineLevel="0" collapsed="false">
      <c r="B45110" s="0" t="s">
        <v>16175</v>
      </c>
    </row>
    <row r="45112" customFormat="false" ht="12.8" hidden="false" customHeight="false" outlineLevel="0" collapsed="false">
      <c r="A45112" s="0" t="s">
        <v>16176</v>
      </c>
      <c r="B45112" s="0" t="str">
        <f aca="false">HYPERLINK("https://lindat.mff.cuni.cz/services/teitok/pdtc10/index.php?action=vallex&amp;frame=v-w6248f1", "snít si (v-w6248f1)")</f>
        <v>snít si (v-w6248f1)</v>
      </c>
    </row>
    <row r="45113" customFormat="false" ht="12.8" hidden="false" customHeight="false" outlineLevel="0" collapsed="false">
      <c r="B45113" s="0" t="s">
        <v>1</v>
      </c>
    </row>
    <row r="45114" customFormat="false" ht="12.8" hidden="false" customHeight="false" outlineLevel="0" collapsed="false">
      <c r="B45114" s="0" t="s">
        <v>390</v>
      </c>
    </row>
    <row r="45116" customFormat="false" ht="12.8" hidden="false" customHeight="false" outlineLevel="0" collapsed="false">
      <c r="A45116" s="0" t="s">
        <v>16177</v>
      </c>
      <c r="B45116" s="0" t="str">
        <f aca="false">HYPERLINK("https://lindat.mff.cuni.cz/services/teitok/pdtc10/index.php?action=vallex&amp;frame=v-w6250f1", "snížit (v-w6250f1)")</f>
        <v>snížit (v-w6250f1)</v>
      </c>
      <c r="E45116" s="0" t="str">
        <f aca="false">HYPERLINK("https://lindat.mff.cuni.cz/services/SynSemClass40/SynSemClass40.html?veclass=vec00118#vec00118-ces-cm00001", "vec00118")</f>
        <v>vec00118</v>
      </c>
      <c r="F45116" s="0" t="s">
        <v>5784</v>
      </c>
    </row>
    <row r="45117" customFormat="false" ht="12.8" hidden="false" customHeight="false" outlineLevel="0" collapsed="false">
      <c r="B45117" s="0" t="s">
        <v>1</v>
      </c>
      <c r="C45117" s="0" t="s">
        <v>9951</v>
      </c>
      <c r="E45117" s="0" t="s">
        <v>31</v>
      </c>
      <c r="F45117" s="0" t="s">
        <v>5787</v>
      </c>
    </row>
    <row r="45118" customFormat="false" ht="12.8" hidden="false" customHeight="false" outlineLevel="0" collapsed="false">
      <c r="B45118" s="0" t="s">
        <v>8</v>
      </c>
      <c r="C45118" s="0" t="s">
        <v>9952</v>
      </c>
      <c r="E45118" s="0" t="s">
        <v>1569</v>
      </c>
      <c r="F45118" s="0" t="s">
        <v>5790</v>
      </c>
    </row>
    <row r="45119" customFormat="false" ht="12.8" hidden="false" customHeight="false" outlineLevel="0" collapsed="false">
      <c r="B45119" s="0" t="s">
        <v>36</v>
      </c>
      <c r="C45119" s="0" t="s">
        <v>9953</v>
      </c>
      <c r="E45119" s="0" t="s">
        <v>5152</v>
      </c>
      <c r="F45119" s="0" t="s">
        <v>5793</v>
      </c>
    </row>
    <row r="45120" customFormat="false" ht="12.8" hidden="false" customHeight="false" outlineLevel="0" collapsed="false">
      <c r="B45120" s="0" t="s">
        <v>101</v>
      </c>
      <c r="C45120" s="0" t="s">
        <v>9954</v>
      </c>
      <c r="E45120" s="0" t="s">
        <v>5796</v>
      </c>
      <c r="F45120" s="0" t="s">
        <v>5797</v>
      </c>
    </row>
    <row r="45122" customFormat="false" ht="12.8" hidden="false" customHeight="false" outlineLevel="0" collapsed="false">
      <c r="A45122" s="0" t="s">
        <v>16178</v>
      </c>
      <c r="B45122" s="0" t="str">
        <f aca="false">HYPERLINK("https://lindat.mff.cuni.cz/services/teitok/pdtc10/index.php?action=vallex&amp;frame=v-w6250hsa_1031", "snížit (v-w6250hsa_1031)")</f>
        <v>snížit (v-w6250hsa_1031)</v>
      </c>
    </row>
    <row r="45123" customFormat="false" ht="12.8" hidden="false" customHeight="false" outlineLevel="0" collapsed="false">
      <c r="B45123" s="0" t="s">
        <v>1</v>
      </c>
    </row>
    <row r="45124" customFormat="false" ht="12.8" hidden="false" customHeight="false" outlineLevel="0" collapsed="false">
      <c r="B45124" s="0" t="s">
        <v>69</v>
      </c>
    </row>
    <row r="45125" customFormat="false" ht="12.8" hidden="false" customHeight="false" outlineLevel="0" collapsed="false">
      <c r="B45125" s="0" t="s">
        <v>36</v>
      </c>
    </row>
    <row r="45127" customFormat="false" ht="12.8" hidden="false" customHeight="false" outlineLevel="0" collapsed="false">
      <c r="A45127" s="0" t="s">
        <v>16179</v>
      </c>
      <c r="B45127" s="0" t="str">
        <f aca="false">HYPERLINK("https://lindat.mff.cuni.cz/services/teitok/pdtc10/index.php?action=vallex&amp;frame=v-w6251f1", "snížit se (v-w6251f1)")</f>
        <v>snížit se (v-w6251f1)</v>
      </c>
      <c r="E45127" s="0" t="str">
        <f aca="false">HYPERLINK("https://lindat.mff.cuni.cz/services/SynSemClass40/SynSemClass40.html?veclass=vec00028#vec00028-ces-cm00065", "vec00028")</f>
        <v>vec00028</v>
      </c>
      <c r="F45127" s="0" t="s">
        <v>5301</v>
      </c>
    </row>
    <row r="45128" customFormat="false" ht="12.8" hidden="false" customHeight="false" outlineLevel="0" collapsed="false">
      <c r="B45128" s="0" t="s">
        <v>1</v>
      </c>
      <c r="C45128" s="0" t="s">
        <v>9964</v>
      </c>
      <c r="E45128" s="0" t="s">
        <v>235</v>
      </c>
      <c r="F45128" s="0" t="s">
        <v>5304</v>
      </c>
    </row>
    <row r="45129" customFormat="false" ht="12.8" hidden="false" customHeight="false" outlineLevel="0" collapsed="false">
      <c r="B45129" s="0" t="s">
        <v>69</v>
      </c>
      <c r="C45129" s="0" t="s">
        <v>9965</v>
      </c>
      <c r="E45129" s="0" t="s">
        <v>5149</v>
      </c>
      <c r="F45129" s="0" t="s">
        <v>5307</v>
      </c>
    </row>
    <row r="45130" customFormat="false" ht="12.8" hidden="false" customHeight="false" outlineLevel="0" collapsed="false">
      <c r="B45130" s="0" t="s">
        <v>36</v>
      </c>
      <c r="C45130" s="0" t="s">
        <v>9966</v>
      </c>
      <c r="E45130" s="0" t="s">
        <v>5152</v>
      </c>
      <c r="F45130" s="0" t="s">
        <v>5311</v>
      </c>
    </row>
    <row r="45132" customFormat="false" ht="12.8" hidden="false" customHeight="false" outlineLevel="0" collapsed="false">
      <c r="A45132" s="0" t="s">
        <v>16180</v>
      </c>
      <c r="B45132" s="0" t="str">
        <f aca="false">HYPERLINK("https://lindat.mff.cuni.cz/services/teitok/pdtc10/index.php?action=vallex&amp;frame=v-w6251f2", "snížit se (v-w6251f2)")</f>
        <v>snížit se (v-w6251f2)</v>
      </c>
    </row>
    <row r="45133" customFormat="false" ht="12.8" hidden="false" customHeight="false" outlineLevel="0" collapsed="false">
      <c r="B45133" s="0" t="s">
        <v>1</v>
      </c>
    </row>
    <row r="45134" customFormat="false" ht="12.8" hidden="false" customHeight="false" outlineLevel="0" collapsed="false">
      <c r="B45134" s="0" t="s">
        <v>311</v>
      </c>
    </row>
    <row r="45136" customFormat="false" ht="12.8" hidden="false" customHeight="false" outlineLevel="0" collapsed="false">
      <c r="A45136" s="0" t="s">
        <v>16181</v>
      </c>
      <c r="B45136" s="0" t="str">
        <f aca="false">HYPERLINK("https://lindat.mff.cuni.cz/services/teitok/pdtc10/index.php?action=vallex&amp;frame=v-w6240f2", "sněžit (v-w6240f2)")</f>
        <v>sněžit (v-w6240f2)</v>
      </c>
    </row>
    <row r="45137" customFormat="false" ht="12.8" hidden="false" customHeight="false" outlineLevel="0" collapsed="false">
      <c r="B45137" s="0" t="s">
        <v>1</v>
      </c>
    </row>
    <row r="45139" customFormat="false" ht="12.8" hidden="false" customHeight="false" outlineLevel="0" collapsed="false">
      <c r="A45139" s="0" t="s">
        <v>16182</v>
      </c>
      <c r="B45139" s="0" t="str">
        <f aca="false">HYPERLINK("https://lindat.mff.cuni.cz/services/teitok/pdtc10/index.php?action=vallex&amp;frame=v-w6240f1", "sněžit (v-w6240f1)")</f>
        <v>sněžit (v-w6240f1)</v>
      </c>
    </row>
    <row r="45141" customFormat="false" ht="12.8" hidden="false" customHeight="false" outlineLevel="0" collapsed="false">
      <c r="A45141" s="0" t="s">
        <v>16183</v>
      </c>
      <c r="B45141" s="0" t="str">
        <f aca="false">HYPERLINK("https://lindat.mff.cuni.cz/services/teitok/pdtc10/index.php?action=vallex&amp;frame=v-whsa_1339hsa_1340", "solit (v-whsa_1339hsa_1340)")</f>
        <v>solit (v-whsa_1339hsa_1340)</v>
      </c>
    </row>
    <row r="45142" customFormat="false" ht="12.8" hidden="false" customHeight="false" outlineLevel="0" collapsed="false">
      <c r="B45142" s="0" t="s">
        <v>1</v>
      </c>
    </row>
    <row r="45143" customFormat="false" ht="12.8" hidden="false" customHeight="false" outlineLevel="0" collapsed="false">
      <c r="B45143" s="0" t="s">
        <v>8</v>
      </c>
    </row>
    <row r="45145" customFormat="false" ht="12.8" hidden="false" customHeight="false" outlineLevel="0" collapsed="false">
      <c r="A45145" s="0" t="s">
        <v>16184</v>
      </c>
      <c r="B45145" s="0" t="str">
        <f aca="false">HYPERLINK("https://lindat.mff.cuni.cz/services/teitok/pdtc10/index.php?action=vallex&amp;frame=v-w6261f1", "sondovat (v-w6261f1)")</f>
        <v>sondovat (v-w6261f1)</v>
      </c>
    </row>
    <row r="45146" customFormat="false" ht="12.8" hidden="false" customHeight="false" outlineLevel="0" collapsed="false">
      <c r="B45146" s="0" t="s">
        <v>1</v>
      </c>
    </row>
    <row r="45147" customFormat="false" ht="12.8" hidden="false" customHeight="false" outlineLevel="0" collapsed="false">
      <c r="B45147" s="0" t="s">
        <v>2493</v>
      </c>
    </row>
    <row r="45149" customFormat="false" ht="12.8" hidden="false" customHeight="false" outlineLevel="0" collapsed="false">
      <c r="A45149" s="0" t="s">
        <v>16185</v>
      </c>
      <c r="B45149" s="0" t="str">
        <f aca="false">HYPERLINK("https://lindat.mff.cuni.cz/services/teitok/pdtc10/index.php?action=vallex&amp;frame=v-w10413f2", "soptit (v-w10413f2)")</f>
        <v>soptit (v-w10413f2)</v>
      </c>
    </row>
    <row r="45150" customFormat="false" ht="12.8" hidden="false" customHeight="false" outlineLevel="0" collapsed="false">
      <c r="B45150" s="0" t="s">
        <v>1</v>
      </c>
    </row>
    <row r="45151" customFormat="false" ht="12.8" hidden="false" customHeight="false" outlineLevel="0" collapsed="false">
      <c r="B45151" s="0" t="s">
        <v>45</v>
      </c>
    </row>
    <row r="45153" customFormat="false" ht="12.8" hidden="false" customHeight="false" outlineLevel="0" collapsed="false">
      <c r="A45153" s="0" t="s">
        <v>16186</v>
      </c>
      <c r="B45153" s="0" t="str">
        <f aca="false">HYPERLINK("https://lindat.mff.cuni.cz/services/teitok/pdtc10/index.php?action=vallex&amp;frame=v-w10413f3", "soptit (v-w10413f3)")</f>
        <v>soptit (v-w10413f3)</v>
      </c>
    </row>
    <row r="45154" customFormat="false" ht="12.8" hidden="false" customHeight="false" outlineLevel="0" collapsed="false">
      <c r="B45154" s="0" t="s">
        <v>1</v>
      </c>
    </row>
    <row r="45156" customFormat="false" ht="12.8" hidden="false" customHeight="false" outlineLevel="0" collapsed="false">
      <c r="A45156" s="0" t="s">
        <v>16187</v>
      </c>
      <c r="B45156" s="0" t="str">
        <f aca="false">HYPERLINK("https://lindat.mff.cuni.cz/services/teitok/pdtc10/index.php?action=vallex&amp;frame=v-w10909f2", "soucítit (v-w10909f2)")</f>
        <v>soucítit (v-w10909f2)</v>
      </c>
      <c r="E45156" s="0" t="str">
        <f aca="false">HYPERLINK("https://lindat.mff.cuni.cz/services/SynSemClass40/SynSemClass40.html?veclass=vec01446#vec01446-ces-cm00003", "vec01446")</f>
        <v>vec01446</v>
      </c>
      <c r="F45156" s="0" t="s">
        <v>1645</v>
      </c>
    </row>
    <row r="45157" customFormat="false" ht="12.8" hidden="false" customHeight="false" outlineLevel="0" collapsed="false">
      <c r="B45157" s="0" t="s">
        <v>1</v>
      </c>
      <c r="C45157" s="0" t="s">
        <v>7782</v>
      </c>
      <c r="E45157" s="0" t="s">
        <v>155</v>
      </c>
      <c r="F45157" s="0" t="s">
        <v>1648</v>
      </c>
    </row>
    <row r="45158" customFormat="false" ht="12.8" hidden="false" customHeight="false" outlineLevel="0" collapsed="false">
      <c r="B45158" s="0" t="s">
        <v>721</v>
      </c>
      <c r="C45158" s="0" t="s">
        <v>11385</v>
      </c>
      <c r="E45158" s="0" t="s">
        <v>142</v>
      </c>
      <c r="F45158" s="0" t="s">
        <v>1652</v>
      </c>
    </row>
    <row r="45160" customFormat="false" ht="12.8" hidden="false" customHeight="false" outlineLevel="0" collapsed="false">
      <c r="A45160" s="0" t="s">
        <v>16188</v>
      </c>
      <c r="B45160" s="0" t="str">
        <f aca="false">HYPERLINK("https://lindat.mff.cuni.cz/services/teitok/pdtc10/index.php?action=vallex&amp;frame=v-w6269f2", "soudcovat (v-w6269f2)")</f>
        <v>soudcovat (v-w6269f2)</v>
      </c>
    </row>
    <row r="45161" customFormat="false" ht="12.8" hidden="false" customHeight="false" outlineLevel="0" collapsed="false">
      <c r="B45161" s="0" t="s">
        <v>1</v>
      </c>
    </row>
    <row r="45162" customFormat="false" ht="12.8" hidden="false" customHeight="false" outlineLevel="0" collapsed="false">
      <c r="B45162" s="0" t="s">
        <v>8</v>
      </c>
    </row>
    <row r="45164" customFormat="false" ht="12.8" hidden="false" customHeight="false" outlineLevel="0" collapsed="false">
      <c r="A45164" s="0" t="s">
        <v>16189</v>
      </c>
      <c r="B45164" s="0" t="str">
        <f aca="false">HYPERLINK("https://lindat.mff.cuni.cz/services/teitok/pdtc10/index.php?action=vallex&amp;frame=v-w6269f1", "soudcovat (v-w6269f1)")</f>
        <v>soudcovat (v-w6269f1)</v>
      </c>
    </row>
    <row r="45165" customFormat="false" ht="12.8" hidden="false" customHeight="false" outlineLevel="0" collapsed="false">
      <c r="B45165" s="0" t="s">
        <v>1</v>
      </c>
    </row>
    <row r="45167" customFormat="false" ht="12.8" hidden="false" customHeight="false" outlineLevel="0" collapsed="false">
      <c r="A45167" s="0" t="s">
        <v>16190</v>
      </c>
      <c r="B45167" s="0" t="str">
        <f aca="false">HYPERLINK("https://lindat.mff.cuni.cz/services/teitok/pdtc10/index.php?action=vallex&amp;frame=v-w6270f2", "soudit (v-w6270f2)")</f>
        <v>soudit (v-w6270f2)</v>
      </c>
      <c r="E45167" s="0" t="str">
        <f aca="false">HYPERLINK("https://lindat.mff.cuni.cz/services/SynSemClass40/SynSemClass40.html?veclass=vec00720#vec00720-ces-cm00001", "vec00720")</f>
        <v>vec00720</v>
      </c>
      <c r="F45167" s="0" t="s">
        <v>9272</v>
      </c>
    </row>
    <row r="45168" customFormat="false" ht="12.8" hidden="false" customHeight="false" outlineLevel="0" collapsed="false">
      <c r="B45168" s="0" t="s">
        <v>1</v>
      </c>
      <c r="C45168" s="0" t="s">
        <v>16191</v>
      </c>
      <c r="E45168" s="0" t="s">
        <v>206</v>
      </c>
      <c r="F45168" s="0" t="s">
        <v>9276</v>
      </c>
    </row>
    <row r="45169" customFormat="false" ht="12.8" hidden="false" customHeight="false" outlineLevel="0" collapsed="false">
      <c r="B45169" s="0" t="s">
        <v>8</v>
      </c>
      <c r="C45169" s="0" t="s">
        <v>16192</v>
      </c>
      <c r="E45169" s="0" t="s">
        <v>4259</v>
      </c>
      <c r="F45169" s="0" t="s">
        <v>9281</v>
      </c>
    </row>
    <row r="45171" customFormat="false" ht="12.8" hidden="false" customHeight="false" outlineLevel="0" collapsed="false">
      <c r="A45171" s="0" t="s">
        <v>16193</v>
      </c>
      <c r="B45171" s="0" t="str">
        <f aca="false">HYPERLINK("https://lindat.mff.cuni.cz/services/teitok/pdtc10/index.php?action=vallex&amp;frame=v-w6270f1", "soudit (v-w6270f1)")</f>
        <v>soudit (v-w6270f1)</v>
      </c>
      <c r="E45171" s="0" t="str">
        <f aca="false">HYPERLINK("https://lindat.mff.cuni.cz/services/SynSemClass40/SynSemClass40.html?veclass=vec00032#vec00032-ces-cm00081", "vec00032")</f>
        <v>vec00032</v>
      </c>
      <c r="F45171" s="0" t="s">
        <v>911</v>
      </c>
      <c r="H45171" s="0" t="str">
        <f aca="false">HYPERLINK("https://lindat.mff.cuni.cz/services/SynSemClass40/SynSemClass40.html?veclass=vec01361#vec01361-ces-cm00008", "vec01361")</f>
        <v>vec01361</v>
      </c>
      <c r="I45171" s="0" t="s">
        <v>2781</v>
      </c>
    </row>
    <row r="45172" customFormat="false" ht="12.8" hidden="false" customHeight="false" outlineLevel="0" collapsed="false">
      <c r="B45172" s="0" t="s">
        <v>1</v>
      </c>
      <c r="C45172" s="0" t="s">
        <v>16194</v>
      </c>
      <c r="E45172" s="0" t="s">
        <v>914</v>
      </c>
      <c r="F45172" s="0" t="s">
        <v>915</v>
      </c>
      <c r="H45172" s="0" t="s">
        <v>621</v>
      </c>
      <c r="I45172" s="0" t="s">
        <v>2783</v>
      </c>
    </row>
    <row r="45173" customFormat="false" ht="12.8" hidden="false" customHeight="false" outlineLevel="0" collapsed="false">
      <c r="B45173" s="0" t="s">
        <v>6412</v>
      </c>
      <c r="C45173" s="0" t="s">
        <v>16195</v>
      </c>
      <c r="E45173" s="0" t="s">
        <v>626</v>
      </c>
      <c r="F45173" s="0" t="s">
        <v>2488</v>
      </c>
      <c r="H45173" s="0" t="s">
        <v>15709</v>
      </c>
      <c r="I45173" s="0" t="s">
        <v>16196</v>
      </c>
    </row>
    <row r="45174" customFormat="false" ht="12.8" hidden="false" customHeight="false" outlineLevel="0" collapsed="false">
      <c r="B45174" s="0" t="s">
        <v>496</v>
      </c>
      <c r="C45174" s="0" t="s">
        <v>16197</v>
      </c>
      <c r="E45174" s="0" t="s">
        <v>180</v>
      </c>
      <c r="F45174" s="0" t="s">
        <v>2490</v>
      </c>
      <c r="H45174" s="0" t="s">
        <v>2138</v>
      </c>
      <c r="I45174" s="0" t="s">
        <v>2785</v>
      </c>
    </row>
    <row r="45176" customFormat="false" ht="12.8" hidden="false" customHeight="false" outlineLevel="0" collapsed="false">
      <c r="A45176" s="0" t="s">
        <v>16198</v>
      </c>
      <c r="B45176" s="0" t="str">
        <f aca="false">HYPERLINK("https://lindat.mff.cuni.cz/services/teitok/pdtc10/index.php?action=vallex&amp;frame=v-w6270f3_ZU", "soudit (v-w6270f3_ZU)")</f>
        <v>soudit (v-w6270f3_ZU)</v>
      </c>
    </row>
    <row r="45177" customFormat="false" ht="12.8" hidden="false" customHeight="false" outlineLevel="0" collapsed="false">
      <c r="B45177" s="0" t="s">
        <v>16199</v>
      </c>
    </row>
    <row r="45178" customFormat="false" ht="12.8" hidden="false" customHeight="false" outlineLevel="0" collapsed="false">
      <c r="B45178" s="0" t="s">
        <v>16200</v>
      </c>
    </row>
    <row r="45180" customFormat="false" ht="12.8" hidden="false" customHeight="false" outlineLevel="0" collapsed="false">
      <c r="A45180" s="0" t="s">
        <v>16201</v>
      </c>
      <c r="B45180" s="0" t="str">
        <f aca="false">HYPERLINK("https://lindat.mff.cuni.cz/services/teitok/pdtc10/index.php?action=vallex&amp;frame=v-w6271f1", "soudit se (v-w6271f1)")</f>
        <v>soudit se (v-w6271f1)</v>
      </c>
    </row>
    <row r="45181" customFormat="false" ht="12.8" hidden="false" customHeight="false" outlineLevel="0" collapsed="false">
      <c r="B45181" s="0" t="s">
        <v>1</v>
      </c>
    </row>
    <row r="45182" customFormat="false" ht="12.8" hidden="false" customHeight="false" outlineLevel="0" collapsed="false">
      <c r="B45182" s="0" t="s">
        <v>814</v>
      </c>
    </row>
    <row r="45183" customFormat="false" ht="12.8" hidden="false" customHeight="false" outlineLevel="0" collapsed="false">
      <c r="B45183" s="0" t="s">
        <v>276</v>
      </c>
    </row>
    <row r="45185" customFormat="false" ht="12.8" hidden="false" customHeight="false" outlineLevel="0" collapsed="false">
      <c r="A45185" s="0" t="s">
        <v>16202</v>
      </c>
      <c r="B45185" s="0" t="str">
        <f aca="false">HYPERLINK("https://lindat.mff.cuni.cz/services/teitok/pdtc10/index.php?action=vallex&amp;frame=v-w6275f5_ZU", "souhlasit (v-w6275f5_ZU)")</f>
        <v>souhlasit (v-w6275f5_ZU)</v>
      </c>
      <c r="E45185" s="0" t="str">
        <f aca="false">HYPERLINK("https://lindat.mff.cuni.cz/services/SynSemClass40/SynSemClass40.html?veclass=vec01308#vec01308-ces-cm00013", "vec01308")</f>
        <v>vec01308</v>
      </c>
      <c r="F45185" s="0" t="s">
        <v>14908</v>
      </c>
      <c r="H45185" s="0" t="str">
        <f aca="false">HYPERLINK("https://lindat.mff.cuni.cz/services/SynSemClass40/SynSemClass40.html?veclass=vec01320#vec01320-ces-cm00005", "vec01320")</f>
        <v>vec01320</v>
      </c>
      <c r="I45185" s="0" t="s">
        <v>912</v>
      </c>
    </row>
    <row r="45186" customFormat="false" ht="12.8" hidden="false" customHeight="false" outlineLevel="0" collapsed="false">
      <c r="B45186" s="0" t="s">
        <v>1</v>
      </c>
      <c r="C45186" s="0" t="s">
        <v>14909</v>
      </c>
      <c r="E45186" s="0" t="s">
        <v>2251</v>
      </c>
      <c r="F45186" s="0" t="s">
        <v>14910</v>
      </c>
      <c r="H45186" s="0" t="s">
        <v>155</v>
      </c>
      <c r="I45186" s="0" t="s">
        <v>916</v>
      </c>
    </row>
    <row r="45187" customFormat="false" ht="12.8" hidden="false" customHeight="false" outlineLevel="0" collapsed="false">
      <c r="B45187" s="0" t="s">
        <v>16203</v>
      </c>
      <c r="C45187" s="0" t="s">
        <v>14911</v>
      </c>
      <c r="E45187" s="0" t="s">
        <v>230</v>
      </c>
      <c r="F45187" s="0" t="s">
        <v>14912</v>
      </c>
      <c r="H45187" s="0" t="s">
        <v>922</v>
      </c>
      <c r="I45187" s="0" t="s">
        <v>923</v>
      </c>
    </row>
    <row r="45188" customFormat="false" ht="12.8" hidden="false" customHeight="false" outlineLevel="0" collapsed="false">
      <c r="B45188" s="0" t="s">
        <v>276</v>
      </c>
      <c r="C45188" s="0" t="s">
        <v>14913</v>
      </c>
      <c r="E45188" s="0" t="s">
        <v>2256</v>
      </c>
      <c r="F45188" s="0" t="s">
        <v>14914</v>
      </c>
      <c r="H45188" s="0" t="s">
        <v>221</v>
      </c>
      <c r="I45188" s="0" t="s">
        <v>3501</v>
      </c>
    </row>
    <row r="45190" customFormat="false" ht="12.8" hidden="false" customHeight="false" outlineLevel="0" collapsed="false">
      <c r="A45190" s="0" t="s">
        <v>16202</v>
      </c>
      <c r="B45190" s="0" t="str">
        <f aca="false">HYPERLINK("https://lindat.mff.cuni.cz/services/teitok/pdtc10/index.php?action=vallex&amp;frame=v-w6275f2", "souhlasit (v-w6275f2) - substituted with v-w6275f5_ZU")</f>
        <v>souhlasit (v-w6275f2) - substituted with v-w6275f5_ZU</v>
      </c>
    </row>
    <row r="45191" customFormat="false" ht="12.8" hidden="false" customHeight="false" outlineLevel="0" collapsed="false">
      <c r="B45191" s="0" t="s">
        <v>1</v>
      </c>
    </row>
    <row r="45192" customFormat="false" ht="12.8" hidden="false" customHeight="false" outlineLevel="0" collapsed="false">
      <c r="B45192" s="0" t="s">
        <v>16203</v>
      </c>
    </row>
    <row r="45193" customFormat="false" ht="12.8" hidden="false" customHeight="false" outlineLevel="0" collapsed="false">
      <c r="B45193" s="0" t="s">
        <v>276</v>
      </c>
    </row>
    <row r="45195" customFormat="false" ht="12.8" hidden="false" customHeight="false" outlineLevel="0" collapsed="false">
      <c r="A45195" s="0" t="s">
        <v>16204</v>
      </c>
      <c r="B45195" s="0" t="str">
        <f aca="false">HYPERLINK("https://lindat.mff.cuni.cz/services/teitok/pdtc10/index.php?action=vallex&amp;frame=v-w6275f3", "souhlasit (v-w6275f3)")</f>
        <v>souhlasit (v-w6275f3)</v>
      </c>
      <c r="E45195" s="0" t="str">
        <f aca="false">HYPERLINK("https://lindat.mff.cuni.cz/services/SynSemClass40/SynSemClass40.html?veclass=vec00929#vec00929-ces-cm00001", "vec00929")</f>
        <v>vec00929</v>
      </c>
      <c r="F45195" s="0" t="s">
        <v>5641</v>
      </c>
    </row>
    <row r="45196" customFormat="false" ht="12.8" hidden="false" customHeight="false" outlineLevel="0" collapsed="false">
      <c r="B45196" s="0" t="s">
        <v>1</v>
      </c>
      <c r="C45196" s="0" t="s">
        <v>549</v>
      </c>
      <c r="E45196" s="0" t="s">
        <v>1971</v>
      </c>
      <c r="F45196" s="0" t="s">
        <v>5642</v>
      </c>
    </row>
    <row r="45197" customFormat="false" ht="12.8" hidden="false" customHeight="false" outlineLevel="0" collapsed="false">
      <c r="B45197" s="0" t="s">
        <v>721</v>
      </c>
      <c r="C45197" s="0" t="s">
        <v>5643</v>
      </c>
      <c r="E45197" s="0" t="s">
        <v>1976</v>
      </c>
      <c r="F45197" s="0" t="s">
        <v>5644</v>
      </c>
    </row>
    <row r="45199" customFormat="false" ht="12.8" hidden="false" customHeight="false" outlineLevel="0" collapsed="false">
      <c r="A45199" s="0" t="s">
        <v>16205</v>
      </c>
      <c r="B45199" s="0" t="str">
        <f aca="false">HYPERLINK("https://lindat.mff.cuni.cz/services/teitok/pdtc10/index.php?action=vallex&amp;frame=v-w6275f8_ZU", "souhlasit (v-w6275f8_ZU)")</f>
        <v>souhlasit (v-w6275f8_ZU)</v>
      </c>
      <c r="E45199" s="0" t="str">
        <f aca="false">HYPERLINK("https://lindat.mff.cuni.cz/services/SynSemClass40/SynSemClass40.html?veclass=vec00120#vec00120-ces-cm00001", "vec00120")</f>
        <v>vec00120</v>
      </c>
      <c r="F45199" s="0" t="s">
        <v>61</v>
      </c>
    </row>
    <row r="45200" customFormat="false" ht="12.8" hidden="false" customHeight="false" outlineLevel="0" collapsed="false">
      <c r="B45200" s="0" t="s">
        <v>1</v>
      </c>
      <c r="C45200" s="0" t="s">
        <v>62</v>
      </c>
      <c r="E45200" s="0" t="s">
        <v>63</v>
      </c>
      <c r="F45200" s="0" t="s">
        <v>64</v>
      </c>
    </row>
    <row r="45201" customFormat="false" ht="12.8" hidden="false" customHeight="false" outlineLevel="0" collapsed="false">
      <c r="B45201" s="0" t="s">
        <v>16206</v>
      </c>
      <c r="C45201" s="0" t="s">
        <v>65</v>
      </c>
      <c r="E45201" s="0" t="s">
        <v>66</v>
      </c>
      <c r="F45201" s="0" t="s">
        <v>67</v>
      </c>
    </row>
    <row r="45203" customFormat="false" ht="12.8" hidden="false" customHeight="false" outlineLevel="0" collapsed="false">
      <c r="A45203" s="0" t="s">
        <v>16205</v>
      </c>
      <c r="B45203" s="0" t="str">
        <f aca="false">HYPERLINK("https://lindat.mff.cuni.cz/services/teitok/pdtc10/index.php?action=vallex&amp;frame=v-w6275f1", "souhlasit (v-w6275f1) - substituted with v-w6275f8_ZU")</f>
        <v>souhlasit (v-w6275f1) - substituted with v-w6275f8_ZU</v>
      </c>
    </row>
    <row r="45204" customFormat="false" ht="12.8" hidden="false" customHeight="false" outlineLevel="0" collapsed="false">
      <c r="B45204" s="0" t="s">
        <v>1</v>
      </c>
    </row>
    <row r="45205" customFormat="false" ht="12.8" hidden="false" customHeight="false" outlineLevel="0" collapsed="false">
      <c r="B45205" s="0" t="s">
        <v>16206</v>
      </c>
    </row>
    <row r="45207" customFormat="false" ht="12.8" hidden="false" customHeight="false" outlineLevel="0" collapsed="false">
      <c r="A45207" s="0" t="s">
        <v>16205</v>
      </c>
      <c r="B45207" s="0" t="str">
        <f aca="false">HYPERLINK("https://lindat.mff.cuni.cz/services/teitok/pdtc10/index.php?action=vallex&amp;frame=v-w6275f4_ZU", "souhlasit (v-w6275f4_ZU) - substituted with v-w6275f8_ZU")</f>
        <v>souhlasit (v-w6275f4_ZU) - substituted with v-w6275f8_ZU</v>
      </c>
    </row>
    <row r="45208" customFormat="false" ht="12.8" hidden="false" customHeight="false" outlineLevel="0" collapsed="false">
      <c r="B45208" s="0" t="s">
        <v>1</v>
      </c>
    </row>
    <row r="45209" customFormat="false" ht="12.8" hidden="false" customHeight="false" outlineLevel="0" collapsed="false">
      <c r="B45209" s="0" t="s">
        <v>16206</v>
      </c>
    </row>
    <row r="45211" customFormat="false" ht="12.8" hidden="false" customHeight="false" outlineLevel="0" collapsed="false">
      <c r="A45211" s="0" t="s">
        <v>16205</v>
      </c>
      <c r="B45211" s="0" t="str">
        <f aca="false">HYPERLINK("https://lindat.mff.cuni.cz/services/teitok/pdtc10/index.php?action=vallex&amp;frame=v-w6275f6_ZU", "souhlasit (v-w6275f6_ZU) - substituted with v-w6275f8_ZU")</f>
        <v>souhlasit (v-w6275f6_ZU) - substituted with v-w6275f8_ZU</v>
      </c>
    </row>
    <row r="45212" customFormat="false" ht="12.8" hidden="false" customHeight="false" outlineLevel="0" collapsed="false">
      <c r="B45212" s="0" t="s">
        <v>1</v>
      </c>
    </row>
    <row r="45213" customFormat="false" ht="12.8" hidden="false" customHeight="false" outlineLevel="0" collapsed="false">
      <c r="B45213" s="0" t="s">
        <v>16206</v>
      </c>
    </row>
    <row r="45215" customFormat="false" ht="12.8" hidden="false" customHeight="false" outlineLevel="0" collapsed="false">
      <c r="A45215" s="0" t="s">
        <v>16205</v>
      </c>
      <c r="B45215" s="0" t="str">
        <f aca="false">HYPERLINK("https://lindat.mff.cuni.cz/services/teitok/pdtc10/index.php?action=vallex&amp;frame=v-w6275f7_ZU", "souhlasit (v-w6275f7_ZU) - substituted with v-w6275f8_ZU")</f>
        <v>souhlasit (v-w6275f7_ZU) - substituted with v-w6275f8_ZU</v>
      </c>
    </row>
    <row r="45216" customFormat="false" ht="12.8" hidden="false" customHeight="false" outlineLevel="0" collapsed="false">
      <c r="B45216" s="0" t="s">
        <v>1</v>
      </c>
    </row>
    <row r="45217" customFormat="false" ht="12.8" hidden="false" customHeight="false" outlineLevel="0" collapsed="false">
      <c r="B45217" s="0" t="s">
        <v>16206</v>
      </c>
    </row>
    <row r="45219" customFormat="false" ht="12.8" hidden="false" customHeight="false" outlineLevel="0" collapsed="false">
      <c r="A45219" s="0" t="s">
        <v>16207</v>
      </c>
      <c r="B45219" s="0" t="str">
        <f aca="false">HYPERLINK("https://lindat.mff.cuni.cz/services/teitok/pdtc10/index.php?action=vallex&amp;frame=v-w6275hsa_743", "souhlasit (v-w6275hsa_743)")</f>
        <v>souhlasit (v-w6275hsa_743)</v>
      </c>
    </row>
    <row r="45220" customFormat="false" ht="12.8" hidden="false" customHeight="false" outlineLevel="0" collapsed="false">
      <c r="B45220" s="0" t="s">
        <v>1</v>
      </c>
    </row>
    <row r="45221" customFormat="false" ht="12.8" hidden="false" customHeight="false" outlineLevel="0" collapsed="false">
      <c r="B45221" s="0" t="s">
        <v>5214</v>
      </c>
    </row>
    <row r="45223" customFormat="false" ht="12.8" hidden="false" customHeight="false" outlineLevel="0" collapsed="false">
      <c r="A45223" s="0" t="s">
        <v>16208</v>
      </c>
      <c r="B45223" s="0" t="str">
        <f aca="false">HYPERLINK("https://lindat.mff.cuni.cz/services/teitok/pdtc10/index.php?action=vallex&amp;frame=v-w10846f2", "souložit (v-w10846f2)")</f>
        <v>souložit (v-w10846f2)</v>
      </c>
    </row>
    <row r="45224" customFormat="false" ht="12.8" hidden="false" customHeight="false" outlineLevel="0" collapsed="false">
      <c r="B45224" s="0" t="s">
        <v>1</v>
      </c>
    </row>
    <row r="45225" customFormat="false" ht="12.8" hidden="false" customHeight="false" outlineLevel="0" collapsed="false">
      <c r="B45225" s="0" t="s">
        <v>721</v>
      </c>
    </row>
    <row r="45227" customFormat="false" ht="12.8" hidden="false" customHeight="false" outlineLevel="0" collapsed="false">
      <c r="A45227" s="0" t="s">
        <v>16209</v>
      </c>
      <c r="B45227" s="0" t="str">
        <f aca="false">HYPERLINK("https://lindat.mff.cuni.cz/services/teitok/pdtc10/index.php?action=vallex&amp;frame=v-w6280hsa_1181", "soupeřit (v-w6280hsa_1181)")</f>
        <v>soupeřit (v-w6280hsa_1181)</v>
      </c>
      <c r="E45227" s="0" t="str">
        <f aca="false">HYPERLINK("https://lindat.mff.cuni.cz/services/SynSemClass40/SynSemClass40.html?veclass=vec00121#vec00121-ces-cm00001", "vec00121")</f>
        <v>vec00121</v>
      </c>
      <c r="F45227" s="0" t="s">
        <v>414</v>
      </c>
    </row>
    <row r="45228" customFormat="false" ht="12.8" hidden="false" customHeight="false" outlineLevel="0" collapsed="false">
      <c r="B45228" s="0" t="s">
        <v>1</v>
      </c>
      <c r="C45228" s="0" t="s">
        <v>415</v>
      </c>
      <c r="E45228" s="0" t="s">
        <v>416</v>
      </c>
      <c r="F45228" s="0" t="s">
        <v>417</v>
      </c>
    </row>
    <row r="45229" customFormat="false" ht="12.8" hidden="false" customHeight="false" outlineLevel="0" collapsed="false">
      <c r="B45229" s="0" t="s">
        <v>16210</v>
      </c>
      <c r="C45229" s="0" t="s">
        <v>419</v>
      </c>
      <c r="E45229" s="0" t="s">
        <v>420</v>
      </c>
      <c r="F45229" s="0" t="s">
        <v>421</v>
      </c>
    </row>
    <row r="45230" customFormat="false" ht="12.8" hidden="false" customHeight="false" outlineLevel="0" collapsed="false">
      <c r="B45230" s="0" t="s">
        <v>16211</v>
      </c>
      <c r="C45230" s="0" t="s">
        <v>423</v>
      </c>
      <c r="E45230" s="0" t="s">
        <v>424</v>
      </c>
      <c r="F45230" s="0" t="s">
        <v>425</v>
      </c>
    </row>
    <row r="45232" customFormat="false" ht="12.8" hidden="false" customHeight="false" outlineLevel="0" collapsed="false">
      <c r="A45232" s="0" t="s">
        <v>16209</v>
      </c>
      <c r="B45232" s="0" t="str">
        <f aca="false">HYPERLINK("https://lindat.mff.cuni.cz/services/teitok/pdtc10/index.php?action=vallex&amp;frame=v-w6280f1", "soupeřit (v-w6280f1) - substituted with v-w6280hsa_1181")</f>
        <v>soupeřit (v-w6280f1) - substituted with v-w6280hsa_1181</v>
      </c>
    </row>
    <row r="45233" customFormat="false" ht="12.8" hidden="false" customHeight="false" outlineLevel="0" collapsed="false">
      <c r="B45233" s="0" t="s">
        <v>1</v>
      </c>
    </row>
    <row r="45234" customFormat="false" ht="12.8" hidden="false" customHeight="false" outlineLevel="0" collapsed="false">
      <c r="B45234" s="0" t="s">
        <v>16210</v>
      </c>
    </row>
    <row r="45235" customFormat="false" ht="12.8" hidden="false" customHeight="false" outlineLevel="0" collapsed="false">
      <c r="B45235" s="0" t="s">
        <v>16211</v>
      </c>
    </row>
    <row r="45237" customFormat="false" ht="12.8" hidden="false" customHeight="false" outlineLevel="0" collapsed="false">
      <c r="A45237" s="0" t="s">
        <v>16212</v>
      </c>
      <c r="B45237" s="0" t="str">
        <f aca="false">HYPERLINK("https://lindat.mff.cuni.cz/services/teitok/pdtc10/index.php?action=vallex&amp;frame=v-w6282f1", "sousedit (v-w6282f1)")</f>
        <v>sousedit (v-w6282f1)</v>
      </c>
    </row>
    <row r="45238" customFormat="false" ht="12.8" hidden="false" customHeight="false" outlineLevel="0" collapsed="false">
      <c r="B45238" s="0" t="s">
        <v>1</v>
      </c>
    </row>
    <row r="45239" customFormat="false" ht="12.8" hidden="false" customHeight="false" outlineLevel="0" collapsed="false">
      <c r="B45239" s="0" t="s">
        <v>721</v>
      </c>
    </row>
    <row r="45241" customFormat="false" ht="12.8" hidden="false" customHeight="false" outlineLevel="0" collapsed="false">
      <c r="A45241" s="0" t="s">
        <v>16213</v>
      </c>
      <c r="B45241" s="0" t="str">
        <f aca="false">HYPERLINK("https://lindat.mff.cuni.cz/services/teitok/pdtc10/index.php?action=vallex&amp;frame=v-w6287f1", "soustředit (v-w6287f1)")</f>
        <v>soustředit (v-w6287f1)</v>
      </c>
      <c r="E45241" s="0" t="str">
        <f aca="false">HYPERLINK("https://lindat.mff.cuni.cz/services/SynSemClass40/SynSemClass40.html?veclass=vec00859#vec00859-ces-cm00049", "vec00859")</f>
        <v>vec00859</v>
      </c>
      <c r="F45241" s="0" t="s">
        <v>1728</v>
      </c>
    </row>
    <row r="45242" customFormat="false" ht="12.8" hidden="false" customHeight="false" outlineLevel="0" collapsed="false">
      <c r="B45242" s="0" t="s">
        <v>1</v>
      </c>
      <c r="C45242" s="0" t="s">
        <v>1729</v>
      </c>
      <c r="E45242" s="0" t="s">
        <v>206</v>
      </c>
      <c r="F45242" s="0" t="s">
        <v>1730</v>
      </c>
    </row>
    <row r="45243" customFormat="false" ht="12.8" hidden="false" customHeight="false" outlineLevel="0" collapsed="false">
      <c r="B45243" s="0" t="s">
        <v>8</v>
      </c>
      <c r="C45243" s="0" t="s">
        <v>1731</v>
      </c>
      <c r="E45243" s="0" t="s">
        <v>1732</v>
      </c>
      <c r="F45243" s="0" t="s">
        <v>1733</v>
      </c>
    </row>
    <row r="45244" customFormat="false" ht="12.8" hidden="false" customHeight="false" outlineLevel="0" collapsed="false">
      <c r="B45244" s="0" t="s">
        <v>7627</v>
      </c>
      <c r="C45244" s="0" t="s">
        <v>1735</v>
      </c>
      <c r="E45244" s="0" t="s">
        <v>1736</v>
      </c>
      <c r="F45244" s="0" t="s">
        <v>1737</v>
      </c>
    </row>
    <row r="45246" customFormat="false" ht="12.8" hidden="false" customHeight="false" outlineLevel="0" collapsed="false">
      <c r="A45246" s="0" t="s">
        <v>16214</v>
      </c>
      <c r="B45246" s="0" t="str">
        <f aca="false">HYPERLINK("https://lindat.mff.cuni.cz/services/teitok/pdtc10/index.php?action=vallex&amp;frame=v-w6287f2", "soustředit (v-w6287f2)")</f>
        <v>soustředit (v-w6287f2)</v>
      </c>
    </row>
    <row r="45247" customFormat="false" ht="12.8" hidden="false" customHeight="false" outlineLevel="0" collapsed="false">
      <c r="B45247" s="0" t="s">
        <v>1</v>
      </c>
    </row>
    <row r="45248" customFormat="false" ht="12.8" hidden="false" customHeight="false" outlineLevel="0" collapsed="false">
      <c r="B45248" s="0" t="s">
        <v>8</v>
      </c>
    </row>
    <row r="45249" customFormat="false" ht="12.8" hidden="false" customHeight="false" outlineLevel="0" collapsed="false">
      <c r="B45249" s="0" t="s">
        <v>5</v>
      </c>
    </row>
    <row r="45251" customFormat="false" ht="12.8" hidden="false" customHeight="false" outlineLevel="0" collapsed="false">
      <c r="A45251" s="0" t="s">
        <v>16215</v>
      </c>
      <c r="B45251" s="0" t="str">
        <f aca="false">HYPERLINK("https://lindat.mff.cuni.cz/services/teitok/pdtc10/index.php?action=vallex&amp;frame=v-w6287f3", "soustředit (v-w6287f3)")</f>
        <v>soustředit (v-w6287f3)</v>
      </c>
      <c r="E45251" s="0" t="str">
        <f aca="false">HYPERLINK("https://lindat.mff.cuni.cz/services/SynSemClass40/SynSemClass40.html?veclass=vec00735#vec00735-ces-cm00155", "vec00735")</f>
        <v>vec00735</v>
      </c>
      <c r="F45251" s="0" t="s">
        <v>2719</v>
      </c>
    </row>
    <row r="45252" customFormat="false" ht="12.8" hidden="false" customHeight="false" outlineLevel="0" collapsed="false">
      <c r="B45252" s="0" t="s">
        <v>1</v>
      </c>
      <c r="C45252" s="0" t="s">
        <v>2720</v>
      </c>
      <c r="E45252" s="0" t="s">
        <v>334</v>
      </c>
      <c r="F45252" s="0" t="s">
        <v>2721</v>
      </c>
    </row>
    <row r="45253" customFormat="false" ht="12.8" hidden="false" customHeight="false" outlineLevel="0" collapsed="false">
      <c r="B45253" s="0" t="s">
        <v>8</v>
      </c>
      <c r="C45253" s="0" t="s">
        <v>2722</v>
      </c>
      <c r="E45253" s="0" t="s">
        <v>2648</v>
      </c>
      <c r="F45253" s="0" t="s">
        <v>2723</v>
      </c>
    </row>
    <row r="45254" customFormat="false" ht="12.8" hidden="false" customHeight="false" outlineLevel="0" collapsed="false">
      <c r="B45254" s="0" t="s">
        <v>164</v>
      </c>
      <c r="C45254" s="0" t="s">
        <v>2724</v>
      </c>
      <c r="E45254" s="0" t="s">
        <v>370</v>
      </c>
      <c r="F45254" s="0" t="s">
        <v>2725</v>
      </c>
    </row>
    <row r="45256" customFormat="false" ht="12.8" hidden="false" customHeight="false" outlineLevel="0" collapsed="false">
      <c r="A45256" s="0" t="s">
        <v>16216</v>
      </c>
      <c r="B45256" s="0" t="str">
        <f aca="false">HYPERLINK("https://lindat.mff.cuni.cz/services/teitok/pdtc10/index.php?action=vallex&amp;frame=v-w6288f1", "soustředit se (v-w6288f1)")</f>
        <v>soustředit se (v-w6288f1)</v>
      </c>
      <c r="E45256" s="0" t="str">
        <f aca="false">HYPERLINK("https://lindat.mff.cuni.cz/services/SynSemClass40/SynSemClass40.html?veclass=vec00859#vec00859-ces-cm00052", "vec00859")</f>
        <v>vec00859</v>
      </c>
      <c r="F45256" s="0" t="s">
        <v>1728</v>
      </c>
    </row>
    <row r="45257" customFormat="false" ht="12.8" hidden="false" customHeight="false" outlineLevel="0" collapsed="false">
      <c r="B45257" s="0" t="s">
        <v>1</v>
      </c>
      <c r="C45257" s="0" t="s">
        <v>5493</v>
      </c>
      <c r="E45257" s="0" t="s">
        <v>5494</v>
      </c>
      <c r="F45257" s="0" t="s">
        <v>5495</v>
      </c>
    </row>
    <row r="45258" customFormat="false" ht="12.8" hidden="false" customHeight="false" outlineLevel="0" collapsed="false">
      <c r="B45258" s="0" t="s">
        <v>69</v>
      </c>
      <c r="C45258" s="0" t="s">
        <v>5496</v>
      </c>
      <c r="E45258" s="0" t="s">
        <v>523</v>
      </c>
      <c r="F45258" s="0" t="s">
        <v>5497</v>
      </c>
    </row>
    <row r="45260" customFormat="false" ht="12.8" hidden="false" customHeight="false" outlineLevel="0" collapsed="false">
      <c r="A45260" s="0" t="s">
        <v>16217</v>
      </c>
      <c r="B45260" s="0" t="str">
        <f aca="false">HYPERLINK("https://lindat.mff.cuni.cz/services/teitok/pdtc10/index.php?action=vallex&amp;frame=v-w6288f2", "soustředit se (v-w6288f2)")</f>
        <v>soustředit se (v-w6288f2)</v>
      </c>
    </row>
    <row r="45261" customFormat="false" ht="12.8" hidden="false" customHeight="false" outlineLevel="0" collapsed="false">
      <c r="B45261" s="0" t="s">
        <v>1</v>
      </c>
    </row>
    <row r="45262" customFormat="false" ht="12.8" hidden="false" customHeight="false" outlineLevel="0" collapsed="false">
      <c r="B45262" s="0" t="s">
        <v>5</v>
      </c>
    </row>
    <row r="45264" customFormat="false" ht="12.8" hidden="false" customHeight="false" outlineLevel="0" collapsed="false">
      <c r="A45264" s="0" t="s">
        <v>16218</v>
      </c>
      <c r="B45264" s="0" t="str">
        <f aca="false">HYPERLINK("https://lindat.mff.cuni.cz/services/teitok/pdtc10/index.php?action=vallex&amp;frame=v-w6288f3", "soustředit se (v-w6288f3)")</f>
        <v>soustředit se (v-w6288f3)</v>
      </c>
      <c r="E45264" s="0" t="str">
        <f aca="false">HYPERLINK("https://lindat.mff.cuni.cz/services/SynSemClass40/SynSemClass40.html?veclass=vec00710#vec00710-ces-cm00016", "vec00710")</f>
        <v>vec00710</v>
      </c>
      <c r="F45264" s="0" t="s">
        <v>5499</v>
      </c>
    </row>
    <row r="45265" customFormat="false" ht="12.8" hidden="false" customHeight="false" outlineLevel="0" collapsed="false">
      <c r="B45265" s="0" t="s">
        <v>1</v>
      </c>
      <c r="C45265" s="0" t="s">
        <v>5500</v>
      </c>
      <c r="E45265" s="0" t="s">
        <v>5501</v>
      </c>
      <c r="F45265" s="0" t="s">
        <v>5502</v>
      </c>
    </row>
    <row r="45266" customFormat="false" ht="12.8" hidden="false" customHeight="false" outlineLevel="0" collapsed="false">
      <c r="B45266" s="0" t="s">
        <v>164</v>
      </c>
      <c r="E45266" s="0" t="s">
        <v>370</v>
      </c>
      <c r="F45266" s="0" t="s">
        <v>3041</v>
      </c>
    </row>
    <row r="45268" customFormat="false" ht="12.8" hidden="false" customHeight="false" outlineLevel="0" collapsed="false">
      <c r="A45268" s="0" t="s">
        <v>16219</v>
      </c>
      <c r="B45268" s="0" t="str">
        <f aca="false">HYPERLINK("https://lindat.mff.cuni.cz/services/teitok/pdtc10/index.php?action=vallex&amp;frame=v-w6290f1", "soustřeďovat (v-w6290f1)")</f>
        <v>soustřeďovat (v-w6290f1)</v>
      </c>
    </row>
    <row r="45269" customFormat="false" ht="12.8" hidden="false" customHeight="false" outlineLevel="0" collapsed="false">
      <c r="B45269" s="0" t="s">
        <v>1</v>
      </c>
    </row>
    <row r="45270" customFormat="false" ht="12.8" hidden="false" customHeight="false" outlineLevel="0" collapsed="false">
      <c r="B45270" s="0" t="s">
        <v>8</v>
      </c>
    </row>
    <row r="45272" customFormat="false" ht="12.8" hidden="false" customHeight="false" outlineLevel="0" collapsed="false">
      <c r="A45272" s="0" t="s">
        <v>16220</v>
      </c>
      <c r="B45272" s="0" t="str">
        <f aca="false">HYPERLINK("https://lindat.mff.cuni.cz/services/teitok/pdtc10/index.php?action=vallex&amp;frame=v-w6291f1", "soustřeďovat se (v-w6291f1)")</f>
        <v>soustřeďovat se (v-w6291f1)</v>
      </c>
      <c r="E45272" s="0" t="str">
        <f aca="false">HYPERLINK("https://lindat.mff.cuni.cz/services/SynSemClass40/SynSemClass40.html?veclass=vec00115#vec00115-ces-cm00214", "vec00115")</f>
        <v>vec00115</v>
      </c>
      <c r="F45272" s="0" t="s">
        <v>5568</v>
      </c>
    </row>
    <row r="45273" customFormat="false" ht="12.8" hidden="false" customHeight="false" outlineLevel="0" collapsed="false">
      <c r="B45273" s="0" t="s">
        <v>1</v>
      </c>
      <c r="C45273" s="0" t="s">
        <v>6344</v>
      </c>
      <c r="E45273" s="0" t="s">
        <v>5570</v>
      </c>
      <c r="F45273" s="0" t="s">
        <v>5571</v>
      </c>
    </row>
    <row r="45274" customFormat="false" ht="12.8" hidden="false" customHeight="false" outlineLevel="0" collapsed="false">
      <c r="B45274" s="0" t="s">
        <v>45</v>
      </c>
      <c r="C45274" s="0" t="s">
        <v>6345</v>
      </c>
      <c r="E45274" s="0" t="s">
        <v>180</v>
      </c>
      <c r="F45274" s="0" t="s">
        <v>5573</v>
      </c>
    </row>
    <row r="45276" customFormat="false" ht="12.8" hidden="false" customHeight="false" outlineLevel="0" collapsed="false">
      <c r="A45276" s="0" t="s">
        <v>16221</v>
      </c>
      <c r="B45276" s="0" t="str">
        <f aca="false">HYPERLINK("https://lindat.mff.cuni.cz/services/teitok/pdtc10/index.php?action=vallex&amp;frame=v-w6291f4_ZU", "soustřeďovat se (v-w6291f4_ZU)")</f>
        <v>soustřeďovat se (v-w6291f4_ZU)</v>
      </c>
    </row>
    <row r="45277" customFormat="false" ht="12.8" hidden="false" customHeight="false" outlineLevel="0" collapsed="false">
      <c r="B45277" s="0" t="s">
        <v>1</v>
      </c>
    </row>
    <row r="45278" customFormat="false" ht="12.8" hidden="false" customHeight="false" outlineLevel="0" collapsed="false">
      <c r="B45278" s="0" t="s">
        <v>5</v>
      </c>
    </row>
    <row r="45280" customFormat="false" ht="12.8" hidden="false" customHeight="false" outlineLevel="0" collapsed="false">
      <c r="A45280" s="0" t="s">
        <v>16221</v>
      </c>
      <c r="B45280" s="0" t="str">
        <f aca="false">HYPERLINK("https://lindat.mff.cuni.cz/services/teitok/pdtc10/index.php?action=vallex&amp;frame=v-w6291f2", "soustřeďovat se (v-w6291f2) - substituted with v-w6291f4_ZU")</f>
        <v>soustřeďovat se (v-w6291f2) - substituted with v-w6291f4_ZU</v>
      </c>
      <c r="E45280" s="0" t="str">
        <f aca="false">HYPERLINK("https://lindat.mff.cuni.cz/services/SynSemClass40/SynSemClass40.html?veclass=vec00710#vec00710-ces-cm00017", "vec00710")</f>
        <v>vec00710</v>
      </c>
      <c r="F45280" s="0" t="s">
        <v>5499</v>
      </c>
    </row>
    <row r="45281" customFormat="false" ht="12.8" hidden="false" customHeight="false" outlineLevel="0" collapsed="false">
      <c r="B45281" s="0" t="s">
        <v>1</v>
      </c>
      <c r="C45281" s="0" t="s">
        <v>5500</v>
      </c>
      <c r="E45281" s="0" t="s">
        <v>5501</v>
      </c>
      <c r="F45281" s="0" t="s">
        <v>5502</v>
      </c>
    </row>
    <row r="45282" customFormat="false" ht="12.8" hidden="false" customHeight="false" outlineLevel="0" collapsed="false">
      <c r="B45282" s="0" t="s">
        <v>5</v>
      </c>
      <c r="E45282" s="0" t="s">
        <v>3254</v>
      </c>
      <c r="F45282" s="0" t="s">
        <v>3255</v>
      </c>
    </row>
    <row r="45284" customFormat="false" ht="12.8" hidden="false" customHeight="false" outlineLevel="0" collapsed="false">
      <c r="A45284" s="0" t="s">
        <v>16222</v>
      </c>
      <c r="B45284" s="0" t="str">
        <f aca="false">HYPERLINK("https://lindat.mff.cuni.cz/services/teitok/pdtc10/index.php?action=vallex&amp;frame=v-w6291f3", "soustřeďovat se (v-w6291f3)")</f>
        <v>soustřeďovat se (v-w6291f3)</v>
      </c>
      <c r="E45284" s="0" t="str">
        <f aca="false">HYPERLINK("https://lindat.mff.cuni.cz/services/SynSemClass40/SynSemClass40.html?veclass=vec00710#vec00710-ces-cm00018", "vec00710")</f>
        <v>vec00710</v>
      </c>
      <c r="F45284" s="0" t="s">
        <v>5499</v>
      </c>
    </row>
    <row r="45285" customFormat="false" ht="12.8" hidden="false" customHeight="false" outlineLevel="0" collapsed="false">
      <c r="B45285" s="0" t="s">
        <v>1</v>
      </c>
      <c r="C45285" s="0" t="s">
        <v>5500</v>
      </c>
      <c r="E45285" s="0" t="s">
        <v>5501</v>
      </c>
      <c r="F45285" s="0" t="s">
        <v>5502</v>
      </c>
    </row>
    <row r="45286" customFormat="false" ht="12.8" hidden="false" customHeight="false" outlineLevel="0" collapsed="false">
      <c r="B45286" s="0" t="s">
        <v>164</v>
      </c>
      <c r="E45286" s="0" t="s">
        <v>370</v>
      </c>
      <c r="F45286" s="0" t="s">
        <v>3041</v>
      </c>
    </row>
    <row r="45288" customFormat="false" ht="12.8" hidden="false" customHeight="false" outlineLevel="0" collapsed="false">
      <c r="A45288" s="0" t="s">
        <v>16223</v>
      </c>
      <c r="B45288" s="0" t="str">
        <f aca="false">HYPERLINK("https://lindat.mff.cuni.cz/services/teitok/pdtc10/index.php?action=vallex&amp;frame=v-w6295f1", "soutěžit (v-w6295f1)")</f>
        <v>soutěžit (v-w6295f1)</v>
      </c>
      <c r="E45288" s="0" t="str">
        <f aca="false">HYPERLINK("https://lindat.mff.cuni.cz/services/SynSemClass40/SynSemClass40.html?veclass=vec00121#vec00121-ces-cm00004", "vec00121")</f>
        <v>vec00121</v>
      </c>
      <c r="F45288" s="0" t="s">
        <v>414</v>
      </c>
    </row>
    <row r="45289" customFormat="false" ht="12.8" hidden="false" customHeight="false" outlineLevel="0" collapsed="false">
      <c r="B45289" s="0" t="s">
        <v>1</v>
      </c>
      <c r="C45289" s="0" t="s">
        <v>415</v>
      </c>
      <c r="E45289" s="0" t="s">
        <v>416</v>
      </c>
      <c r="F45289" s="0" t="s">
        <v>417</v>
      </c>
    </row>
    <row r="45290" customFormat="false" ht="12.8" hidden="false" customHeight="false" outlineLevel="0" collapsed="false">
      <c r="B45290" s="0" t="s">
        <v>418</v>
      </c>
      <c r="C45290" s="0" t="s">
        <v>419</v>
      </c>
      <c r="E45290" s="0" t="s">
        <v>420</v>
      </c>
      <c r="F45290" s="0" t="s">
        <v>421</v>
      </c>
    </row>
    <row r="45291" customFormat="false" ht="12.8" hidden="false" customHeight="false" outlineLevel="0" collapsed="false">
      <c r="B45291" s="0" t="s">
        <v>3152</v>
      </c>
      <c r="C45291" s="0" t="s">
        <v>423</v>
      </c>
      <c r="E45291" s="0" t="s">
        <v>424</v>
      </c>
      <c r="F45291" s="0" t="s">
        <v>425</v>
      </c>
    </row>
    <row r="45293" customFormat="false" ht="12.8" hidden="false" customHeight="false" outlineLevel="0" collapsed="false">
      <c r="A45293" s="0" t="s">
        <v>16224</v>
      </c>
      <c r="B45293" s="0" t="str">
        <f aca="false">HYPERLINK("https://lindat.mff.cuni.cz/services/teitok/pdtc10/index.php?action=vallex&amp;frame=v-w6297f1", "souviset (v-w6297f1)")</f>
        <v>souviset (v-w6297f1)</v>
      </c>
      <c r="E45293" s="0" t="str">
        <f aca="false">HYPERLINK("https://lindat.mff.cuni.cz/services/SynSemClass40/SynSemClass40.html?veclass=vec00328#vec00328-ces-cm00038", "vec00328")</f>
        <v>vec00328</v>
      </c>
      <c r="F45293" s="0" t="s">
        <v>3008</v>
      </c>
    </row>
    <row r="45294" customFormat="false" ht="12.8" hidden="false" customHeight="false" outlineLevel="0" collapsed="false">
      <c r="B45294" s="0" t="s">
        <v>1</v>
      </c>
      <c r="C45294" s="0" t="s">
        <v>3044</v>
      </c>
      <c r="E45294" s="0" t="s">
        <v>3010</v>
      </c>
      <c r="F45294" s="0" t="s">
        <v>3012</v>
      </c>
    </row>
    <row r="45295" customFormat="false" ht="12.8" hidden="false" customHeight="false" outlineLevel="0" collapsed="false">
      <c r="B45295" s="0" t="s">
        <v>721</v>
      </c>
      <c r="C45295" s="0" t="s">
        <v>3045</v>
      </c>
      <c r="E45295" s="0" t="s">
        <v>142</v>
      </c>
      <c r="F45295" s="0" t="s">
        <v>3015</v>
      </c>
    </row>
    <row r="45297" customFormat="false" ht="12.8" hidden="false" customHeight="false" outlineLevel="0" collapsed="false">
      <c r="A45297" s="0" t="s">
        <v>16225</v>
      </c>
      <c r="B45297" s="0" t="str">
        <f aca="false">HYPERLINK("https://lindat.mff.cuni.cz/services/teitok/pdtc10/index.php?action=vallex&amp;frame=v-w10277f2", "souznít (v-w10277f2)")</f>
        <v>souznít (v-w10277f2)</v>
      </c>
    </row>
    <row r="45298" customFormat="false" ht="12.8" hidden="false" customHeight="false" outlineLevel="0" collapsed="false">
      <c r="B45298" s="0" t="s">
        <v>1</v>
      </c>
    </row>
    <row r="45299" customFormat="false" ht="12.8" hidden="false" customHeight="false" outlineLevel="0" collapsed="false">
      <c r="B45299" s="0" t="s">
        <v>721</v>
      </c>
    </row>
    <row r="45301" customFormat="false" ht="12.8" hidden="false" customHeight="false" outlineLevel="0" collapsed="false">
      <c r="A45301" s="0" t="s">
        <v>16226</v>
      </c>
      <c r="B45301" s="0" t="str">
        <f aca="false">HYPERLINK("https://lindat.mff.cuni.cz/services/teitok/pdtc10/index.php?action=vallex&amp;frame=v-w11353f1", "soužit (v-w11353f1)")</f>
        <v>soužit (v-w11353f1)</v>
      </c>
    </row>
    <row r="45302" customFormat="false" ht="12.8" hidden="false" customHeight="false" outlineLevel="0" collapsed="false">
      <c r="B45302" s="0" t="s">
        <v>1</v>
      </c>
    </row>
    <row r="45303" customFormat="false" ht="12.8" hidden="false" customHeight="false" outlineLevel="0" collapsed="false">
      <c r="B45303" s="0" t="s">
        <v>8</v>
      </c>
    </row>
    <row r="45305" customFormat="false" ht="12.8" hidden="false" customHeight="false" outlineLevel="0" collapsed="false">
      <c r="A45305" s="0" t="s">
        <v>16227</v>
      </c>
      <c r="B45305" s="0" t="str">
        <f aca="false">HYPERLINK("https://lindat.mff.cuni.cz/services/teitok/pdtc10/index.php?action=vallex&amp;frame=v-w6303f1", "spadat (v-w6303f1)")</f>
        <v>spadat (v-w6303f1)</v>
      </c>
    </row>
    <row r="45306" customFormat="false" ht="12.8" hidden="false" customHeight="false" outlineLevel="0" collapsed="false">
      <c r="B45306" s="0" t="s">
        <v>947</v>
      </c>
    </row>
    <row r="45307" customFormat="false" ht="12.8" hidden="false" customHeight="false" outlineLevel="0" collapsed="false">
      <c r="B45307" s="0" t="s">
        <v>164</v>
      </c>
    </row>
    <row r="45309" customFormat="false" ht="12.8" hidden="false" customHeight="false" outlineLevel="0" collapsed="false">
      <c r="A45309" s="0" t="s">
        <v>16228</v>
      </c>
      <c r="B45309" s="0" t="str">
        <f aca="false">HYPERLINK("https://lindat.mff.cuni.cz/services/teitok/pdtc10/index.php?action=vallex&amp;frame=v-w6303f2_ZU", "spadat (v-w6303f2_ZU)")</f>
        <v>spadat (v-w6303f2_ZU)</v>
      </c>
    </row>
    <row r="45310" customFormat="false" ht="12.8" hidden="false" customHeight="false" outlineLevel="0" collapsed="false">
      <c r="B45310" s="0" t="s">
        <v>1</v>
      </c>
    </row>
    <row r="45311" customFormat="false" ht="12.8" hidden="false" customHeight="false" outlineLevel="0" collapsed="false">
      <c r="B45311" s="0" t="s">
        <v>361</v>
      </c>
    </row>
    <row r="45313" customFormat="false" ht="12.8" hidden="false" customHeight="false" outlineLevel="0" collapsed="false">
      <c r="A45313" s="0" t="s">
        <v>16229</v>
      </c>
      <c r="B45313" s="0" t="str">
        <f aca="false">HYPERLINK("https://lindat.mff.cuni.cz/services/teitok/pdtc10/index.php?action=vallex&amp;frame=v-w6304f4", "spadnout (v-w6304f4)")</f>
        <v>spadnout (v-w6304f4)</v>
      </c>
      <c r="E45313" s="0" t="str">
        <f aca="false">HYPERLINK("https://lindat.mff.cuni.cz/services/SynSemClass40/SynSemClass40.html?veclass=vec00028#vec00028-ces-cm00069", "vec00028")</f>
        <v>vec00028</v>
      </c>
      <c r="F45313" s="0" t="s">
        <v>5301</v>
      </c>
    </row>
    <row r="45314" customFormat="false" ht="12.8" hidden="false" customHeight="false" outlineLevel="0" collapsed="false">
      <c r="B45314" s="0" t="s">
        <v>1</v>
      </c>
      <c r="C45314" s="0" t="s">
        <v>9964</v>
      </c>
      <c r="E45314" s="0" t="s">
        <v>235</v>
      </c>
      <c r="F45314" s="0" t="s">
        <v>5304</v>
      </c>
    </row>
    <row r="45315" customFormat="false" ht="12.8" hidden="false" customHeight="false" outlineLevel="0" collapsed="false">
      <c r="B45315" s="0" t="s">
        <v>69</v>
      </c>
      <c r="C45315" s="0" t="s">
        <v>9965</v>
      </c>
      <c r="E45315" s="0" t="s">
        <v>5149</v>
      </c>
      <c r="F45315" s="0" t="s">
        <v>5307</v>
      </c>
    </row>
    <row r="45316" customFormat="false" ht="12.8" hidden="false" customHeight="false" outlineLevel="0" collapsed="false">
      <c r="B45316" s="0" t="s">
        <v>36</v>
      </c>
      <c r="C45316" s="0" t="s">
        <v>9966</v>
      </c>
      <c r="E45316" s="0" t="s">
        <v>5152</v>
      </c>
      <c r="F45316" s="0" t="s">
        <v>5311</v>
      </c>
    </row>
    <row r="45318" customFormat="false" ht="12.8" hidden="false" customHeight="false" outlineLevel="0" collapsed="false">
      <c r="A45318" s="0" t="s">
        <v>16230</v>
      </c>
      <c r="B45318" s="0" t="str">
        <f aca="false">HYPERLINK("https://lindat.mff.cuni.cz/services/teitok/pdtc10/index.php?action=vallex&amp;frame=v-w6304f2", "spadnout (v-w6304f2)")</f>
        <v>spadnout (v-w6304f2)</v>
      </c>
      <c r="E45318" s="0" t="str">
        <f aca="false">HYPERLINK("https://lindat.mff.cuni.cz/services/SynSemClass40/SynSemClass40.html?veclass=vec00467#vec00467-ces-cm00013", "vec00467")</f>
        <v>vec00467</v>
      </c>
      <c r="F45318" s="0" t="s">
        <v>2536</v>
      </c>
      <c r="H45318" s="0" t="str">
        <f aca="false">HYPERLINK("https://lindat.mff.cuni.cz/services/SynSemClass40/SynSemClass40.html?veclass=vec01533#vec01533-ces-cm00004", "vec01533")</f>
        <v>vec01533</v>
      </c>
      <c r="I45318" s="0" t="s">
        <v>5224</v>
      </c>
    </row>
    <row r="45319" customFormat="false" ht="12.8" hidden="false" customHeight="false" outlineLevel="0" collapsed="false">
      <c r="B45319" s="0" t="s">
        <v>1</v>
      </c>
      <c r="C45319" s="0" t="s">
        <v>2537</v>
      </c>
      <c r="E45319" s="0" t="s">
        <v>2538</v>
      </c>
      <c r="F45319" s="0" t="s">
        <v>2539</v>
      </c>
      <c r="H45319" s="0" t="s">
        <v>5225</v>
      </c>
      <c r="I45319" s="0" t="s">
        <v>5226</v>
      </c>
    </row>
    <row r="45321" customFormat="false" ht="12.8" hidden="false" customHeight="false" outlineLevel="0" collapsed="false">
      <c r="A45321" s="0" t="s">
        <v>16231</v>
      </c>
      <c r="B45321" s="0" t="str">
        <f aca="false">HYPERLINK("https://lindat.mff.cuni.cz/services/teitok/pdtc10/index.php?action=vallex&amp;frame=v-w6304f1", "spadnout (v-w6304f1)")</f>
        <v>spadnout (v-w6304f1)</v>
      </c>
      <c r="E45321" s="0" t="str">
        <f aca="false">HYPERLINK("https://lindat.mff.cuni.cz/services/SynSemClass40/SynSemClass40.html?veclass=vec00467#vec00467-ces-cm00012", "vec00467")</f>
        <v>vec00467</v>
      </c>
      <c r="F45321" s="0" t="s">
        <v>2536</v>
      </c>
    </row>
    <row r="45322" customFormat="false" ht="12.8" hidden="false" customHeight="false" outlineLevel="0" collapsed="false">
      <c r="B45322" s="0" t="s">
        <v>1</v>
      </c>
      <c r="C45322" s="0" t="s">
        <v>2537</v>
      </c>
      <c r="E45322" s="0" t="s">
        <v>2538</v>
      </c>
      <c r="F45322" s="0" t="s">
        <v>2539</v>
      </c>
    </row>
    <row r="45324" customFormat="false" ht="12.8" hidden="false" customHeight="false" outlineLevel="0" collapsed="false">
      <c r="A45324" s="0" t="s">
        <v>16232</v>
      </c>
      <c r="B45324" s="0" t="str">
        <f aca="false">HYPERLINK("https://lindat.mff.cuni.cz/services/teitok/pdtc10/index.php?action=vallex&amp;frame=v-w6304f3", "spadnout (v-w6304f3)")</f>
        <v>spadnout (v-w6304f3)</v>
      </c>
    </row>
    <row r="45325" customFormat="false" ht="12.8" hidden="false" customHeight="false" outlineLevel="0" collapsed="false">
      <c r="B45325" s="0" t="s">
        <v>1</v>
      </c>
    </row>
    <row r="45326" customFormat="false" ht="12.8" hidden="false" customHeight="false" outlineLevel="0" collapsed="false">
      <c r="B45326" s="0" t="s">
        <v>16233</v>
      </c>
    </row>
    <row r="45327" customFormat="false" ht="12.8" hidden="false" customHeight="false" outlineLevel="0" collapsed="false">
      <c r="B45327" s="0" t="s">
        <v>186</v>
      </c>
    </row>
    <row r="45329" customFormat="false" ht="12.8" hidden="false" customHeight="false" outlineLevel="0" collapsed="false">
      <c r="A45329" s="0" t="s">
        <v>16234</v>
      </c>
      <c r="B45329" s="0" t="str">
        <f aca="false">HYPERLINK("https://lindat.mff.cuni.cz/services/teitok/pdtc10/index.php?action=vallex&amp;frame=v-w6304f5", "spadnout (v-w6304f5)")</f>
        <v>spadnout (v-w6304f5)</v>
      </c>
    </row>
    <row r="45330" customFormat="false" ht="12.8" hidden="false" customHeight="false" outlineLevel="0" collapsed="false">
      <c r="B45330" s="0" t="s">
        <v>1</v>
      </c>
    </row>
    <row r="45331" customFormat="false" ht="12.8" hidden="false" customHeight="false" outlineLevel="0" collapsed="false">
      <c r="B45331" s="0" t="s">
        <v>16235</v>
      </c>
    </row>
    <row r="45333" customFormat="false" ht="12.8" hidden="false" customHeight="false" outlineLevel="0" collapsed="false">
      <c r="A45333" s="0" t="s">
        <v>16236</v>
      </c>
      <c r="B45333" s="0" t="str">
        <f aca="false">HYPERLINK("https://lindat.mff.cuni.cz/services/teitok/pdtc10/index.php?action=vallex&amp;frame=v-w6304f6", "spadnout (v-w6304f6)")</f>
        <v>spadnout (v-w6304f6)</v>
      </c>
    </row>
    <row r="45334" customFormat="false" ht="12.8" hidden="false" customHeight="false" outlineLevel="0" collapsed="false">
      <c r="B45334" s="0" t="s">
        <v>1</v>
      </c>
    </row>
    <row r="45335" customFormat="false" ht="12.8" hidden="false" customHeight="false" outlineLevel="0" collapsed="false">
      <c r="B45335" s="0" t="s">
        <v>16237</v>
      </c>
    </row>
    <row r="45337" customFormat="false" ht="12.8" hidden="false" customHeight="false" outlineLevel="0" collapsed="false">
      <c r="A45337" s="0" t="s">
        <v>16238</v>
      </c>
      <c r="B45337" s="0" t="str">
        <f aca="false">HYPERLINK("https://lindat.mff.cuni.cz/services/teitok/pdtc10/index.php?action=vallex&amp;frame=v-w6304f8_ZU", "spadnout (v-w6304f8_ZU)")</f>
        <v>spadnout (v-w6304f8_ZU)</v>
      </c>
      <c r="E45337" s="0" t="str">
        <f aca="false">HYPERLINK("https://lindat.mff.cuni.cz/services/SynSemClass40/SynSemClass40.html?veclass=vec01115#vec01115-ces-cm00019", "vec01115")</f>
        <v>vec01115</v>
      </c>
      <c r="F45337" s="0" t="s">
        <v>1617</v>
      </c>
    </row>
    <row r="45338" customFormat="false" ht="12.8" hidden="false" customHeight="false" outlineLevel="0" collapsed="false">
      <c r="B45338" s="0" t="s">
        <v>1</v>
      </c>
      <c r="C45338" s="0" t="s">
        <v>1618</v>
      </c>
      <c r="E45338" s="0" t="s">
        <v>11</v>
      </c>
      <c r="F45338" s="0" t="s">
        <v>1619</v>
      </c>
    </row>
    <row r="45339" customFormat="false" ht="12.8" hidden="false" customHeight="false" outlineLevel="0" collapsed="false">
      <c r="B45339" s="0" t="s">
        <v>361</v>
      </c>
      <c r="C45339" s="0" t="s">
        <v>1620</v>
      </c>
      <c r="E45339" s="0" t="s">
        <v>363</v>
      </c>
      <c r="F45339" s="0" t="s">
        <v>1621</v>
      </c>
    </row>
    <row r="45341" customFormat="false" ht="12.8" hidden="false" customHeight="false" outlineLevel="0" collapsed="false">
      <c r="A45341" s="0" t="s">
        <v>16238</v>
      </c>
      <c r="B45341" s="0" t="str">
        <f aca="false">HYPERLINK("https://lindat.mff.cuni.cz/services/teitok/pdtc10/index.php?action=vallex&amp;frame=v-w6304f7_ZU", "spadnout (v-w6304f7_ZU) - substituted with v-w6304f8_ZU")</f>
        <v>spadnout (v-w6304f7_ZU) - substituted with v-w6304f8_ZU</v>
      </c>
    </row>
    <row r="45342" customFormat="false" ht="12.8" hidden="false" customHeight="false" outlineLevel="0" collapsed="false">
      <c r="B45342" s="0" t="s">
        <v>1</v>
      </c>
    </row>
    <row r="45343" customFormat="false" ht="12.8" hidden="false" customHeight="false" outlineLevel="0" collapsed="false">
      <c r="B45343" s="0" t="s">
        <v>361</v>
      </c>
    </row>
    <row r="45345" customFormat="false" ht="12.8" hidden="false" customHeight="false" outlineLevel="0" collapsed="false">
      <c r="A45345" s="0" t="s">
        <v>16238</v>
      </c>
      <c r="B45345" s="0" t="str">
        <f aca="false">HYPERLINK("https://lindat.mff.cuni.cz/services/teitok/pdtc10/index.php?action=vallex&amp;frame=v-w6304hsa_264", "spadnout (v-w6304hsa_264) - substituted with v-w6304f8_ZU")</f>
        <v>spadnout (v-w6304hsa_264) - substituted with v-w6304f8_ZU</v>
      </c>
    </row>
    <row r="45346" customFormat="false" ht="12.8" hidden="false" customHeight="false" outlineLevel="0" collapsed="false">
      <c r="B45346" s="0" t="s">
        <v>1</v>
      </c>
    </row>
    <row r="45347" customFormat="false" ht="12.8" hidden="false" customHeight="false" outlineLevel="0" collapsed="false">
      <c r="B45347" s="0" t="s">
        <v>361</v>
      </c>
    </row>
    <row r="45349" customFormat="false" ht="12.8" hidden="false" customHeight="false" outlineLevel="0" collapsed="false">
      <c r="A45349" s="0" t="s">
        <v>16239</v>
      </c>
      <c r="B45349" s="0" t="str">
        <f aca="false">HYPERLINK("https://lindat.mff.cuni.cz/services/teitok/pdtc10/index.php?action=vallex&amp;frame=v-w6304hsa_1319", "spadnout (v-w6304hsa_1319)")</f>
        <v>spadnout (v-w6304hsa_1319)</v>
      </c>
    </row>
    <row r="45350" customFormat="false" ht="12.8" hidden="false" customHeight="false" outlineLevel="0" collapsed="false">
      <c r="B45350" s="0" t="s">
        <v>1</v>
      </c>
    </row>
    <row r="45351" customFormat="false" ht="12.8" hidden="false" customHeight="false" outlineLevel="0" collapsed="false">
      <c r="B45351" s="0" t="s">
        <v>164</v>
      </c>
    </row>
    <row r="45353" customFormat="false" ht="12.8" hidden="false" customHeight="false" outlineLevel="0" collapsed="false">
      <c r="A45353" s="0" t="s">
        <v>16240</v>
      </c>
      <c r="B45353" s="0" t="str">
        <f aca="false">HYPERLINK("https://lindat.mff.cuni.cz/services/teitok/pdtc10/index.php?action=vallex&amp;frame=v-w12369_MMf1_MM", "spakovat (v-w12369_MMf1_MM)")</f>
        <v>spakovat (v-w12369_MMf1_MM)</v>
      </c>
    </row>
    <row r="45354" customFormat="false" ht="12.8" hidden="false" customHeight="false" outlineLevel="0" collapsed="false">
      <c r="B45354" s="0" t="s">
        <v>1</v>
      </c>
    </row>
    <row r="45355" customFormat="false" ht="12.8" hidden="false" customHeight="false" outlineLevel="0" collapsed="false">
      <c r="B45355" s="0" t="s">
        <v>8</v>
      </c>
    </row>
    <row r="45357" customFormat="false" ht="12.8" hidden="false" customHeight="false" outlineLevel="0" collapsed="false">
      <c r="A45357" s="0" t="s">
        <v>16241</v>
      </c>
      <c r="B45357" s="0" t="str">
        <f aca="false">HYPERLINK("https://lindat.mff.cuni.cz/services/teitok/pdtc10/index.php?action=vallex&amp;frame=v-w6312f1", "spalovat (v-w6312f1)")</f>
        <v>spalovat (v-w6312f1)</v>
      </c>
    </row>
    <row r="45358" customFormat="false" ht="12.8" hidden="false" customHeight="false" outlineLevel="0" collapsed="false">
      <c r="B45358" s="0" t="s">
        <v>1</v>
      </c>
    </row>
    <row r="45359" customFormat="false" ht="12.8" hidden="false" customHeight="false" outlineLevel="0" collapsed="false">
      <c r="B45359" s="0" t="s">
        <v>8</v>
      </c>
    </row>
    <row r="45361" customFormat="false" ht="12.8" hidden="false" customHeight="false" outlineLevel="0" collapsed="false">
      <c r="A45361" s="0" t="s">
        <v>16242</v>
      </c>
      <c r="B45361" s="0" t="str">
        <f aca="false">HYPERLINK("https://lindat.mff.cuni.cz/services/teitok/pdtc10/index.php?action=vallex&amp;frame=v-w6312f2", "spalovat (v-w6312f2)")</f>
        <v>spalovat (v-w6312f2)</v>
      </c>
    </row>
    <row r="45362" customFormat="false" ht="12.8" hidden="false" customHeight="false" outlineLevel="0" collapsed="false">
      <c r="B45362" s="0" t="s">
        <v>1</v>
      </c>
    </row>
    <row r="45363" customFormat="false" ht="12.8" hidden="false" customHeight="false" outlineLevel="0" collapsed="false">
      <c r="B45363" s="0" t="s">
        <v>8</v>
      </c>
    </row>
    <row r="45365" customFormat="false" ht="12.8" hidden="false" customHeight="false" outlineLevel="0" collapsed="false">
      <c r="A45365" s="0" t="s">
        <v>16243</v>
      </c>
      <c r="B45365" s="0" t="str">
        <f aca="false">HYPERLINK("https://lindat.mff.cuni.cz/services/teitok/pdtc10/index.php?action=vallex&amp;frame=v-w12265_ZUf1_ZU", "spapat (v-w12265_ZUf1_ZU)")</f>
        <v>spapat (v-w12265_ZUf1_ZU)</v>
      </c>
    </row>
    <row r="45366" customFormat="false" ht="12.8" hidden="false" customHeight="false" outlineLevel="0" collapsed="false">
      <c r="B45366" s="0" t="s">
        <v>1</v>
      </c>
    </row>
    <row r="45367" customFormat="false" ht="12.8" hidden="false" customHeight="false" outlineLevel="0" collapsed="false">
      <c r="B45367" s="0" t="s">
        <v>8</v>
      </c>
    </row>
    <row r="45369" customFormat="false" ht="12.8" hidden="false" customHeight="false" outlineLevel="0" collapsed="false">
      <c r="A45369" s="0" t="s">
        <v>16244</v>
      </c>
      <c r="B45369" s="0" t="str">
        <f aca="false">HYPERLINK("https://lindat.mff.cuni.cz/services/teitok/pdtc10/index.php?action=vallex&amp;frame=v-w6314f1", "spasit (v-w6314f1)")</f>
        <v>spasit (v-w6314f1)</v>
      </c>
      <c r="E45369" s="0" t="str">
        <f aca="false">HYPERLINK("https://lindat.mff.cuni.cz/services/SynSemClass40/SynSemClass40.html?veclass=vec00024#vec00024-ces-cm00046", "vec00024")</f>
        <v>vec00024</v>
      </c>
      <c r="F45369" s="0" t="s">
        <v>580</v>
      </c>
    </row>
    <row r="45370" customFormat="false" ht="12.8" hidden="false" customHeight="false" outlineLevel="0" collapsed="false">
      <c r="B45370" s="0" t="s">
        <v>1</v>
      </c>
      <c r="C45370" s="0" t="s">
        <v>4903</v>
      </c>
      <c r="E45370" s="0" t="s">
        <v>569</v>
      </c>
      <c r="F45370" s="0" t="s">
        <v>1472</v>
      </c>
    </row>
    <row r="45371" customFormat="false" ht="12.8" hidden="false" customHeight="false" outlineLevel="0" collapsed="false">
      <c r="B45371" s="0" t="s">
        <v>8</v>
      </c>
      <c r="C45371" s="0" t="s">
        <v>4904</v>
      </c>
      <c r="E45371" s="0" t="s">
        <v>34</v>
      </c>
      <c r="F45371" s="0" t="s">
        <v>1475</v>
      </c>
    </row>
    <row r="45372" customFormat="false" ht="12.8" hidden="false" customHeight="false" outlineLevel="0" collapsed="false">
      <c r="B45372" s="0" t="s">
        <v>9339</v>
      </c>
      <c r="C45372" s="0" t="s">
        <v>16245</v>
      </c>
      <c r="E45372" s="0" t="s">
        <v>1478</v>
      </c>
      <c r="F45372" s="0" t="s">
        <v>1479</v>
      </c>
    </row>
    <row r="45374" customFormat="false" ht="12.8" hidden="false" customHeight="false" outlineLevel="0" collapsed="false">
      <c r="A45374" s="0" t="s">
        <v>16246</v>
      </c>
      <c r="B45374" s="0" t="str">
        <f aca="false">HYPERLINK("https://lindat.mff.cuni.cz/services/teitok/pdtc10/index.php?action=vallex&amp;frame=v-w6317f4", "spatřit (v-w6317f4)")</f>
        <v>spatřit (v-w6317f4)</v>
      </c>
    </row>
    <row r="45375" customFormat="false" ht="12.8" hidden="false" customHeight="false" outlineLevel="0" collapsed="false">
      <c r="B45375" s="0" t="s">
        <v>1</v>
      </c>
    </row>
    <row r="45376" customFormat="false" ht="12.8" hidden="false" customHeight="false" outlineLevel="0" collapsed="false">
      <c r="B45376" s="0" t="s">
        <v>59</v>
      </c>
    </row>
    <row r="45377" customFormat="false" ht="12.8" hidden="false" customHeight="false" outlineLevel="0" collapsed="false">
      <c r="B45377" s="0" t="s">
        <v>11721</v>
      </c>
    </row>
    <row r="45379" customFormat="false" ht="12.8" hidden="false" customHeight="false" outlineLevel="0" collapsed="false">
      <c r="A45379" s="0" t="s">
        <v>16247</v>
      </c>
      <c r="B45379" s="0" t="str">
        <f aca="false">HYPERLINK("https://lindat.mff.cuni.cz/services/teitok/pdtc10/index.php?action=vallex&amp;frame=v-w6317f3", "spatřit (v-w6317f3)")</f>
        <v>spatřit (v-w6317f3)</v>
      </c>
      <c r="E45379" s="0" t="str">
        <f aca="false">HYPERLINK("https://lindat.mff.cuni.cz/services/SynSemClass40/SynSemClass40.html?veclass=vec00154#vec00154-ces-cm00071", "vec00154")</f>
        <v>vec00154</v>
      </c>
      <c r="F45379" s="0" t="s">
        <v>11901</v>
      </c>
    </row>
    <row r="45380" customFormat="false" ht="12.8" hidden="false" customHeight="false" outlineLevel="0" collapsed="false">
      <c r="B45380" s="0" t="s">
        <v>1</v>
      </c>
      <c r="C45380" s="0" t="s">
        <v>16248</v>
      </c>
      <c r="E45380" s="0" t="s">
        <v>637</v>
      </c>
      <c r="F45380" s="0" t="s">
        <v>11904</v>
      </c>
    </row>
    <row r="45381" customFormat="false" ht="12.8" hidden="false" customHeight="false" outlineLevel="0" collapsed="false">
      <c r="B45381" s="0" t="s">
        <v>8</v>
      </c>
      <c r="C45381" s="0" t="s">
        <v>16249</v>
      </c>
      <c r="E45381" s="0" t="s">
        <v>640</v>
      </c>
      <c r="F45381" s="0" t="s">
        <v>11908</v>
      </c>
    </row>
    <row r="45382" customFormat="false" ht="12.8" hidden="false" customHeight="false" outlineLevel="0" collapsed="false">
      <c r="B45382" s="0" t="s">
        <v>16250</v>
      </c>
    </row>
    <row r="45384" customFormat="false" ht="12.8" hidden="false" customHeight="false" outlineLevel="0" collapsed="false">
      <c r="A45384" s="0" t="s">
        <v>16251</v>
      </c>
      <c r="B45384" s="0" t="str">
        <f aca="false">HYPERLINK("https://lindat.mff.cuni.cz/services/teitok/pdtc10/index.php?action=vallex&amp;frame=v-w6317f1", "spatřit (v-w6317f1)")</f>
        <v>spatřit (v-w6317f1)</v>
      </c>
      <c r="E45384" s="0" t="str">
        <f aca="false">HYPERLINK("https://lindat.mff.cuni.cz/services/SynSemClass40/SynSemClass40.html?veclass=vec00154#vec00154-ces-cm00070", "vec00154")</f>
        <v>vec00154</v>
      </c>
      <c r="F45384" s="0" t="s">
        <v>11901</v>
      </c>
    </row>
    <row r="45385" customFormat="false" ht="12.8" hidden="false" customHeight="false" outlineLevel="0" collapsed="false">
      <c r="B45385" s="0" t="s">
        <v>1</v>
      </c>
      <c r="C45385" s="0" t="s">
        <v>16248</v>
      </c>
      <c r="E45385" s="0" t="s">
        <v>637</v>
      </c>
      <c r="F45385" s="0" t="s">
        <v>11904</v>
      </c>
    </row>
    <row r="45386" customFormat="false" ht="12.8" hidden="false" customHeight="false" outlineLevel="0" collapsed="false">
      <c r="B45386" s="0" t="s">
        <v>15262</v>
      </c>
      <c r="C45386" s="0" t="s">
        <v>16249</v>
      </c>
      <c r="E45386" s="0" t="s">
        <v>640</v>
      </c>
      <c r="F45386" s="0" t="s">
        <v>11908</v>
      </c>
    </row>
    <row r="45388" customFormat="false" ht="12.8" hidden="false" customHeight="false" outlineLevel="0" collapsed="false">
      <c r="A45388" s="0" t="s">
        <v>16252</v>
      </c>
      <c r="B45388" s="0" t="str">
        <f aca="false">HYPERLINK("https://lindat.mff.cuni.cz/services/teitok/pdtc10/index.php?action=vallex&amp;frame=v-w6317f2", "spatřit (v-w6317f2)")</f>
        <v>spatřit (v-w6317f2)</v>
      </c>
    </row>
    <row r="45389" customFormat="false" ht="12.8" hidden="false" customHeight="false" outlineLevel="0" collapsed="false">
      <c r="B45389" s="0" t="s">
        <v>1</v>
      </c>
    </row>
    <row r="45390" customFormat="false" ht="12.8" hidden="false" customHeight="false" outlineLevel="0" collapsed="false">
      <c r="B45390" s="0" t="s">
        <v>16253</v>
      </c>
    </row>
    <row r="45392" customFormat="false" ht="12.8" hidden="false" customHeight="false" outlineLevel="0" collapsed="false">
      <c r="A45392" s="0" t="s">
        <v>16254</v>
      </c>
      <c r="B45392" s="0" t="str">
        <f aca="false">HYPERLINK("https://lindat.mff.cuni.cz/services/teitok/pdtc10/index.php?action=vallex&amp;frame=v-w6318f1", "spatřovat (v-w6318f1)")</f>
        <v>spatřovat (v-w6318f1)</v>
      </c>
    </row>
    <row r="45393" customFormat="false" ht="12.8" hidden="false" customHeight="false" outlineLevel="0" collapsed="false">
      <c r="B45393" s="0" t="s">
        <v>1</v>
      </c>
    </row>
    <row r="45394" customFormat="false" ht="12.8" hidden="false" customHeight="false" outlineLevel="0" collapsed="false">
      <c r="B45394" s="0" t="s">
        <v>59</v>
      </c>
    </row>
    <row r="45395" customFormat="false" ht="12.8" hidden="false" customHeight="false" outlineLevel="0" collapsed="false">
      <c r="B45395" s="0" t="s">
        <v>11721</v>
      </c>
    </row>
    <row r="45397" customFormat="false" ht="12.8" hidden="false" customHeight="false" outlineLevel="0" collapsed="false">
      <c r="A45397" s="0" t="s">
        <v>16255</v>
      </c>
      <c r="B45397" s="0" t="str">
        <f aca="false">HYPERLINK("https://lindat.mff.cuni.cz/services/teitok/pdtc10/index.php?action=vallex&amp;frame=v-w6318f3_ZU", "spatřovat (v-w6318f3_ZU)")</f>
        <v>spatřovat (v-w6318f3_ZU)</v>
      </c>
    </row>
    <row r="45398" customFormat="false" ht="12.8" hidden="false" customHeight="false" outlineLevel="0" collapsed="false">
      <c r="B45398" s="0" t="s">
        <v>1</v>
      </c>
    </row>
    <row r="45399" customFormat="false" ht="12.8" hidden="false" customHeight="false" outlineLevel="0" collapsed="false">
      <c r="B45399" s="0" t="s">
        <v>8</v>
      </c>
    </row>
    <row r="45400" customFormat="false" ht="12.8" hidden="false" customHeight="false" outlineLevel="0" collapsed="false">
      <c r="B45400" s="0" t="s">
        <v>1640</v>
      </c>
    </row>
    <row r="45402" customFormat="false" ht="12.8" hidden="false" customHeight="false" outlineLevel="0" collapsed="false">
      <c r="A45402" s="0" t="s">
        <v>16256</v>
      </c>
      <c r="B45402" s="0" t="str">
        <f aca="false">HYPERLINK("https://lindat.mff.cuni.cz/services/teitok/pdtc10/index.php?action=vallex&amp;frame=v-w6318f2", "spatřovat (v-w6318f2)")</f>
        <v>spatřovat (v-w6318f2)</v>
      </c>
    </row>
    <row r="45403" customFormat="false" ht="12.8" hidden="false" customHeight="false" outlineLevel="0" collapsed="false">
      <c r="B45403" s="0" t="s">
        <v>1</v>
      </c>
    </row>
    <row r="45404" customFormat="false" ht="12.8" hidden="false" customHeight="false" outlineLevel="0" collapsed="false">
      <c r="B45404" s="0" t="s">
        <v>8</v>
      </c>
    </row>
    <row r="45405" customFormat="false" ht="12.8" hidden="false" customHeight="false" outlineLevel="0" collapsed="false">
      <c r="B45405" s="0" t="s">
        <v>5</v>
      </c>
    </row>
    <row r="45407" customFormat="false" ht="12.8" hidden="false" customHeight="false" outlineLevel="0" collapsed="false">
      <c r="A45407" s="0" t="s">
        <v>16257</v>
      </c>
      <c r="B45407" s="0" t="str">
        <f aca="false">HYPERLINK("https://lindat.mff.cuni.cz/services/teitok/pdtc10/index.php?action=vallex&amp;frame=v-w6322f1", "specializovat se (v-w6322f1)")</f>
        <v>specializovat se (v-w6322f1)</v>
      </c>
      <c r="E45407" s="0" t="str">
        <f aca="false">HYPERLINK("https://lindat.mff.cuni.cz/services/SynSemClass40/SynSemClass40.html?veclass=vec00314#vec00314-ces-cm00001", "vec00314")</f>
        <v>vec00314</v>
      </c>
      <c r="F45407" s="0" t="s">
        <v>16258</v>
      </c>
    </row>
    <row r="45408" customFormat="false" ht="12.8" hidden="false" customHeight="false" outlineLevel="0" collapsed="false">
      <c r="B45408" s="0" t="s">
        <v>1</v>
      </c>
      <c r="C45408" s="0" t="s">
        <v>16259</v>
      </c>
      <c r="E45408" s="0" t="s">
        <v>11</v>
      </c>
      <c r="F45408" s="0" t="s">
        <v>16260</v>
      </c>
    </row>
    <row r="45409" customFormat="false" ht="12.8" hidden="false" customHeight="false" outlineLevel="0" collapsed="false">
      <c r="B45409" s="0" t="s">
        <v>45</v>
      </c>
      <c r="C45409" s="0" t="s">
        <v>16261</v>
      </c>
      <c r="E45409" s="0" t="s">
        <v>16262</v>
      </c>
      <c r="F45409" s="0" t="s">
        <v>16263</v>
      </c>
    </row>
    <row r="45411" customFormat="false" ht="12.8" hidden="false" customHeight="false" outlineLevel="0" collapsed="false">
      <c r="A45411" s="0" t="s">
        <v>16264</v>
      </c>
      <c r="B45411" s="0" t="str">
        <f aca="false">HYPERLINK("https://lindat.mff.cuni.cz/services/teitok/pdtc10/index.php?action=vallex&amp;frame=v-w6325f1", "specifikovat (v-w6325f1)")</f>
        <v>specifikovat (v-w6325f1)</v>
      </c>
      <c r="E45411" s="0" t="str">
        <f aca="false">HYPERLINK("https://lindat.mff.cuni.cz/services/SynSemClass40/SynSemClass40.html?veclass=vec00108#vec00108-ces-cm00015", "vec00108")</f>
        <v>vec00108</v>
      </c>
      <c r="F45411" s="0" t="s">
        <v>5537</v>
      </c>
    </row>
    <row r="45412" customFormat="false" ht="12.8" hidden="false" customHeight="false" outlineLevel="0" collapsed="false">
      <c r="B45412" s="0" t="s">
        <v>1</v>
      </c>
      <c r="C45412" s="0" t="s">
        <v>5538</v>
      </c>
      <c r="E45412" s="0" t="s">
        <v>147</v>
      </c>
      <c r="F45412" s="0" t="s">
        <v>5539</v>
      </c>
    </row>
    <row r="45413" customFormat="false" ht="12.8" hidden="false" customHeight="false" outlineLevel="0" collapsed="false">
      <c r="B45413" s="0" t="s">
        <v>3168</v>
      </c>
      <c r="C45413" s="0" t="s">
        <v>198</v>
      </c>
      <c r="E45413" s="0" t="s">
        <v>209</v>
      </c>
      <c r="F45413" s="0" t="s">
        <v>5540</v>
      </c>
    </row>
    <row r="45415" customFormat="false" ht="12.8" hidden="false" customHeight="false" outlineLevel="0" collapsed="false">
      <c r="A45415" s="0" t="s">
        <v>16265</v>
      </c>
      <c r="B45415" s="0" t="str">
        <f aca="false">HYPERLINK("https://lindat.mff.cuni.cz/services/teitok/pdtc10/index.php?action=vallex&amp;frame=v-w6328f1", "spekulovat (v-w6328f1)")</f>
        <v>spekulovat (v-w6328f1)</v>
      </c>
      <c r="E45415" s="0" t="str">
        <f aca="false">HYPERLINK("https://lindat.mff.cuni.cz/services/SynSemClass40/SynSemClass40.html?veclass=vec00149#vec00149-ces-cm00131", "vec00149")</f>
        <v>vec00149</v>
      </c>
      <c r="F45415" s="0" t="s">
        <v>686</v>
      </c>
      <c r="H45415" s="0" t="str">
        <f aca="false">HYPERLINK("https://lindat.mff.cuni.cz/services/SynSemClass40/SynSemClass40.html?veclass=vec01333#vec01333-ces-cm00003", "vec01333")</f>
        <v>vec01333</v>
      </c>
      <c r="I45415" s="0" t="s">
        <v>4133</v>
      </c>
    </row>
    <row r="45416" customFormat="false" ht="12.8" hidden="false" customHeight="false" outlineLevel="0" collapsed="false">
      <c r="B45416" s="0" t="s">
        <v>1</v>
      </c>
      <c r="C45416" s="0" t="s">
        <v>13540</v>
      </c>
      <c r="E45416" s="0" t="s">
        <v>621</v>
      </c>
      <c r="F45416" s="0" t="s">
        <v>688</v>
      </c>
      <c r="H45416" s="0" t="s">
        <v>621</v>
      </c>
      <c r="I45416" s="0" t="s">
        <v>4135</v>
      </c>
    </row>
    <row r="45417" customFormat="false" ht="12.8" hidden="false" customHeight="false" outlineLevel="0" collapsed="false">
      <c r="B45417" s="0" t="s">
        <v>3363</v>
      </c>
      <c r="C45417" s="0" t="s">
        <v>13541</v>
      </c>
      <c r="E45417" s="0" t="s">
        <v>209</v>
      </c>
      <c r="F45417" s="0" t="s">
        <v>691</v>
      </c>
      <c r="H45417" s="0" t="s">
        <v>180</v>
      </c>
      <c r="I45417" s="0" t="s">
        <v>1755</v>
      </c>
    </row>
    <row r="45419" customFormat="false" ht="12.8" hidden="false" customHeight="false" outlineLevel="0" collapsed="false">
      <c r="A45419" s="0" t="s">
        <v>16266</v>
      </c>
      <c r="B45419" s="0" t="str">
        <f aca="false">HYPERLINK("https://lindat.mff.cuni.cz/services/teitok/pdtc10/index.php?action=vallex&amp;frame=v-w6328f2", "spekulovat (v-w6328f2)")</f>
        <v>spekulovat (v-w6328f2)</v>
      </c>
    </row>
    <row r="45420" customFormat="false" ht="12.8" hidden="false" customHeight="false" outlineLevel="0" collapsed="false">
      <c r="B45420" s="0" t="s">
        <v>1</v>
      </c>
    </row>
    <row r="45421" customFormat="false" ht="12.8" hidden="false" customHeight="false" outlineLevel="0" collapsed="false">
      <c r="B45421" s="0" t="s">
        <v>721</v>
      </c>
    </row>
    <row r="45423" customFormat="false" ht="12.8" hidden="false" customHeight="false" outlineLevel="0" collapsed="false">
      <c r="A45423" s="0" t="s">
        <v>16267</v>
      </c>
      <c r="B45423" s="0" t="str">
        <f aca="false">HYPERLINK("https://lindat.mff.cuni.cz/services/teitok/pdtc10/index.php?action=vallex&amp;frame=v-w6329f1", "spelovat (v-w6329f1)")</f>
        <v>spelovat (v-w6329f1)</v>
      </c>
    </row>
    <row r="45424" customFormat="false" ht="12.8" hidden="false" customHeight="false" outlineLevel="0" collapsed="false">
      <c r="B45424" s="0" t="s">
        <v>1</v>
      </c>
    </row>
    <row r="45425" customFormat="false" ht="12.8" hidden="false" customHeight="false" outlineLevel="0" collapsed="false">
      <c r="B45425" s="0" t="s">
        <v>8</v>
      </c>
    </row>
    <row r="45427" customFormat="false" ht="12.8" hidden="false" customHeight="false" outlineLevel="0" collapsed="false">
      <c r="A45427" s="0" t="s">
        <v>16268</v>
      </c>
      <c r="B45427" s="0" t="str">
        <f aca="false">HYPERLINK("https://lindat.mff.cuni.cz/services/teitok/pdtc10/index.php?action=vallex&amp;frame=v-w11441f1", "spiknout se (v-w11441f1)")</f>
        <v>spiknout se (v-w11441f1)</v>
      </c>
    </row>
    <row r="45428" customFormat="false" ht="12.8" hidden="false" customHeight="false" outlineLevel="0" collapsed="false">
      <c r="B45428" s="0" t="s">
        <v>1</v>
      </c>
    </row>
    <row r="45429" customFormat="false" ht="12.8" hidden="false" customHeight="false" outlineLevel="0" collapsed="false">
      <c r="B45429" s="0" t="s">
        <v>276</v>
      </c>
    </row>
    <row r="45430" customFormat="false" ht="12.8" hidden="false" customHeight="false" outlineLevel="0" collapsed="false">
      <c r="B45430" s="0" t="s">
        <v>1909</v>
      </c>
    </row>
    <row r="45432" customFormat="false" ht="12.8" hidden="false" customHeight="false" outlineLevel="0" collapsed="false">
      <c r="A45432" s="0" t="s">
        <v>16269</v>
      </c>
      <c r="B45432" s="0" t="str">
        <f aca="false">HYPERLINK("https://lindat.mff.cuni.cz/services/teitok/pdtc10/index.php?action=vallex&amp;frame=v-whsa_203f1_ZU", "splachovat (v-whsa_203f1_ZU)")</f>
        <v>splachovat (v-whsa_203f1_ZU)</v>
      </c>
    </row>
    <row r="45433" customFormat="false" ht="12.8" hidden="false" customHeight="false" outlineLevel="0" collapsed="false">
      <c r="B45433" s="0" t="s">
        <v>1</v>
      </c>
    </row>
    <row r="45434" customFormat="false" ht="12.8" hidden="false" customHeight="false" outlineLevel="0" collapsed="false">
      <c r="B45434" s="0" t="s">
        <v>8</v>
      </c>
    </row>
    <row r="45435" customFormat="false" ht="12.8" hidden="false" customHeight="false" outlineLevel="0" collapsed="false">
      <c r="B45435" s="0" t="s">
        <v>6273</v>
      </c>
    </row>
    <row r="45437" customFormat="false" ht="12.8" hidden="false" customHeight="false" outlineLevel="0" collapsed="false">
      <c r="A45437" s="0" t="s">
        <v>16270</v>
      </c>
      <c r="B45437" s="0" t="str">
        <f aca="false">HYPERLINK("https://lindat.mff.cuni.cz/services/teitok/pdtc10/index.php?action=vallex&amp;frame=v-whsa_203hsa_204", "splachovat (v-whsa_203hsa_204)")</f>
        <v>splachovat (v-whsa_203hsa_204)</v>
      </c>
    </row>
    <row r="45438" customFormat="false" ht="12.8" hidden="false" customHeight="false" outlineLevel="0" collapsed="false">
      <c r="B45438" s="0" t="s">
        <v>1</v>
      </c>
    </row>
    <row r="45439" customFormat="false" ht="12.8" hidden="false" customHeight="false" outlineLevel="0" collapsed="false">
      <c r="B45439" s="0" t="s">
        <v>8</v>
      </c>
    </row>
    <row r="45441" customFormat="false" ht="12.8" hidden="false" customHeight="false" outlineLevel="0" collapsed="false">
      <c r="A45441" s="0" t="s">
        <v>16271</v>
      </c>
      <c r="B45441" s="0" t="str">
        <f aca="false">HYPERLINK("https://lindat.mff.cuni.cz/services/teitok/pdtc10/index.php?action=vallex&amp;frame=v-w6340f1", "splakat (v-w6340f1)")</f>
        <v>splakat (v-w6340f1)</v>
      </c>
    </row>
    <row r="45442" customFormat="false" ht="12.8" hidden="false" customHeight="false" outlineLevel="0" collapsed="false">
      <c r="B45442" s="0" t="s">
        <v>1</v>
      </c>
    </row>
    <row r="45443" customFormat="false" ht="12.8" hidden="false" customHeight="false" outlineLevel="0" collapsed="false">
      <c r="B45443" s="0" t="s">
        <v>294</v>
      </c>
    </row>
    <row r="45445" customFormat="false" ht="12.8" hidden="false" customHeight="false" outlineLevel="0" collapsed="false">
      <c r="A45445" s="0" t="s">
        <v>16272</v>
      </c>
      <c r="B45445" s="0" t="str">
        <f aca="false">HYPERLINK("https://lindat.mff.cuni.cz/services/teitok/pdtc10/index.php?action=vallex&amp;frame=v-w12051_ZUf1_ZU", "splanýrovat (v-w12051_ZUf1_ZU)")</f>
        <v>splanýrovat (v-w12051_ZUf1_ZU)</v>
      </c>
    </row>
    <row r="45446" customFormat="false" ht="12.8" hidden="false" customHeight="false" outlineLevel="0" collapsed="false">
      <c r="B45446" s="0" t="s">
        <v>1</v>
      </c>
    </row>
    <row r="45447" customFormat="false" ht="12.8" hidden="false" customHeight="false" outlineLevel="0" collapsed="false">
      <c r="B45447" s="0" t="s">
        <v>8</v>
      </c>
    </row>
    <row r="45449" customFormat="false" ht="12.8" hidden="false" customHeight="false" outlineLevel="0" collapsed="false">
      <c r="A45449" s="0" t="s">
        <v>16273</v>
      </c>
      <c r="B45449" s="0" t="str">
        <f aca="false">HYPERLINK("https://lindat.mff.cuni.cz/services/teitok/pdtc10/index.php?action=vallex&amp;frame=v-w6341f1", "splasknout (v-w6341f1)")</f>
        <v>splasknout (v-w6341f1)</v>
      </c>
    </row>
    <row r="45450" customFormat="false" ht="12.8" hidden="false" customHeight="false" outlineLevel="0" collapsed="false">
      <c r="B45450" s="0" t="s">
        <v>1</v>
      </c>
    </row>
    <row r="45452" customFormat="false" ht="12.8" hidden="false" customHeight="false" outlineLevel="0" collapsed="false">
      <c r="A45452" s="0" t="s">
        <v>16274</v>
      </c>
      <c r="B45452" s="0" t="str">
        <f aca="false">HYPERLINK("https://lindat.mff.cuni.cz/services/teitok/pdtc10/index.php?action=vallex&amp;frame=v-w6342f1", "splatit (v-w6342f1)")</f>
        <v>splatit (v-w6342f1)</v>
      </c>
      <c r="E45452" s="0" t="str">
        <f aca="false">HYPERLINK("https://lindat.mff.cuni.cz/services/SynSemClass40/SynSemClass40.html?veclass=vec00125#vec00125-ces-cm00001", "vec00125")</f>
        <v>vec00125</v>
      </c>
      <c r="F45452" s="0" t="s">
        <v>2552</v>
      </c>
    </row>
    <row r="45453" customFormat="false" ht="12.8" hidden="false" customHeight="false" outlineLevel="0" collapsed="false">
      <c r="B45453" s="0" t="s">
        <v>1</v>
      </c>
      <c r="C45453" s="0" t="s">
        <v>2553</v>
      </c>
      <c r="E45453" s="0" t="s">
        <v>2554</v>
      </c>
      <c r="F45453" s="0" t="s">
        <v>2555</v>
      </c>
    </row>
    <row r="45454" customFormat="false" ht="12.8" hidden="false" customHeight="false" outlineLevel="0" collapsed="false">
      <c r="B45454" s="0" t="s">
        <v>8</v>
      </c>
      <c r="C45454" s="0" t="s">
        <v>2556</v>
      </c>
      <c r="E45454" s="0" t="s">
        <v>2557</v>
      </c>
      <c r="F45454" s="0" t="s">
        <v>2558</v>
      </c>
    </row>
    <row r="45455" customFormat="false" ht="12.8" hidden="false" customHeight="false" outlineLevel="0" collapsed="false">
      <c r="B45455" s="0" t="s">
        <v>52</v>
      </c>
      <c r="C45455" s="0" t="s">
        <v>2559</v>
      </c>
      <c r="E45455" s="0" t="s">
        <v>2560</v>
      </c>
      <c r="F45455" s="0" t="s">
        <v>2561</v>
      </c>
    </row>
    <row r="45457" customFormat="false" ht="12.8" hidden="false" customHeight="false" outlineLevel="0" collapsed="false">
      <c r="A45457" s="0" t="s">
        <v>16275</v>
      </c>
      <c r="B45457" s="0" t="str">
        <f aca="false">HYPERLINK("https://lindat.mff.cuni.cz/services/teitok/pdtc10/index.php?action=vallex&amp;frame=v-w6342f2", "splatit (v-w6342f2)")</f>
        <v>splatit (v-w6342f2)</v>
      </c>
    </row>
    <row r="45458" customFormat="false" ht="12.8" hidden="false" customHeight="false" outlineLevel="0" collapsed="false">
      <c r="B45458" s="0" t="s">
        <v>1</v>
      </c>
    </row>
    <row r="45459" customFormat="false" ht="12.8" hidden="false" customHeight="false" outlineLevel="0" collapsed="false">
      <c r="B45459" s="0" t="s">
        <v>8</v>
      </c>
    </row>
    <row r="45460" customFormat="false" ht="12.8" hidden="false" customHeight="false" outlineLevel="0" collapsed="false">
      <c r="B45460" s="0" t="s">
        <v>52</v>
      </c>
    </row>
    <row r="45462" customFormat="false" ht="12.8" hidden="false" customHeight="false" outlineLevel="0" collapsed="false">
      <c r="A45462" s="0" t="s">
        <v>16276</v>
      </c>
      <c r="B45462" s="0" t="str">
        <f aca="false">HYPERLINK("https://lindat.mff.cuni.cz/services/teitok/pdtc10/index.php?action=vallex&amp;frame=v-w12176_ZUf1_ZU", "splavovat (v-w12176_ZUf1_ZU)")</f>
        <v>splavovat (v-w12176_ZUf1_ZU)</v>
      </c>
    </row>
    <row r="45463" customFormat="false" ht="12.8" hidden="false" customHeight="false" outlineLevel="0" collapsed="false">
      <c r="B45463" s="0" t="s">
        <v>1</v>
      </c>
    </row>
    <row r="45464" customFormat="false" ht="12.8" hidden="false" customHeight="false" outlineLevel="0" collapsed="false">
      <c r="B45464" s="0" t="s">
        <v>8</v>
      </c>
    </row>
    <row r="45466" customFormat="false" ht="12.8" hidden="false" customHeight="false" outlineLevel="0" collapsed="false">
      <c r="A45466" s="0" t="s">
        <v>16277</v>
      </c>
      <c r="B45466" s="0" t="str">
        <f aca="false">HYPERLINK("https://lindat.mff.cuni.cz/services/teitok/pdtc10/index.php?action=vallex&amp;frame=v-w12175_ZUf1_ZU", "splašit (v-w12175_ZUf1_ZU)")</f>
        <v>splašit (v-w12175_ZUf1_ZU)</v>
      </c>
    </row>
    <row r="45467" customFormat="false" ht="12.8" hidden="false" customHeight="false" outlineLevel="0" collapsed="false">
      <c r="B45467" s="0" t="s">
        <v>1</v>
      </c>
    </row>
    <row r="45468" customFormat="false" ht="12.8" hidden="false" customHeight="false" outlineLevel="0" collapsed="false">
      <c r="B45468" s="0" t="s">
        <v>8</v>
      </c>
    </row>
    <row r="45470" customFormat="false" ht="12.8" hidden="false" customHeight="false" outlineLevel="0" collapsed="false">
      <c r="A45470" s="0" t="s">
        <v>16278</v>
      </c>
      <c r="B45470" s="0" t="str">
        <f aca="false">HYPERLINK("https://lindat.mff.cuni.cz/services/teitok/pdtc10/index.php?action=vallex&amp;frame=v-whsa_94f1_ZU", "splašit se (v-whsa_94f1_ZU)")</f>
        <v>splašit se (v-whsa_94f1_ZU)</v>
      </c>
    </row>
    <row r="45471" customFormat="false" ht="12.8" hidden="false" customHeight="false" outlineLevel="0" collapsed="false">
      <c r="B45471" s="0" t="s">
        <v>1</v>
      </c>
    </row>
    <row r="45473" customFormat="false" ht="12.8" hidden="false" customHeight="false" outlineLevel="0" collapsed="false">
      <c r="A45473" s="0" t="s">
        <v>16279</v>
      </c>
      <c r="B45473" s="0" t="str">
        <f aca="false">HYPERLINK("https://lindat.mff.cuni.cz/services/teitok/pdtc10/index.php?action=vallex&amp;frame=v-whsa_94hsa_95", "splašit se (v-whsa_94hsa_95)")</f>
        <v>splašit se (v-whsa_94hsa_95)</v>
      </c>
    </row>
    <row r="45474" customFormat="false" ht="12.8" hidden="false" customHeight="false" outlineLevel="0" collapsed="false">
      <c r="B45474" s="0" t="s">
        <v>1</v>
      </c>
    </row>
    <row r="45476" customFormat="false" ht="12.8" hidden="false" customHeight="false" outlineLevel="0" collapsed="false">
      <c r="A45476" s="0" t="s">
        <v>16280</v>
      </c>
      <c r="B45476" s="0" t="str">
        <f aca="false">HYPERLINK("https://lindat.mff.cuni.cz/services/teitok/pdtc10/index.php?action=vallex&amp;frame=v-w6347f1", "splnit (v-w6347f1)")</f>
        <v>splnit (v-w6347f1)</v>
      </c>
      <c r="E45476" s="0" t="str">
        <f aca="false">HYPERLINK("https://lindat.mff.cuni.cz/services/SynSemClass40/SynSemClass40.html?veclass=vec00316#vec00316-ces-cm00001", "vec00316")</f>
        <v>vec00316</v>
      </c>
      <c r="F45476" s="0" t="s">
        <v>2221</v>
      </c>
      <c r="H45476" s="0" t="str">
        <f aca="false">HYPERLINK("https://lindat.mff.cuni.cz/services/SynSemClass40/SynSemClass40.html?veclass=vec01221#vec01221-ces-cm00009", "vec01221")</f>
        <v>vec01221</v>
      </c>
      <c r="I45476" s="0" t="s">
        <v>5845</v>
      </c>
    </row>
    <row r="45477" customFormat="false" ht="12.8" hidden="false" customHeight="false" outlineLevel="0" collapsed="false">
      <c r="B45477" s="0" t="s">
        <v>1</v>
      </c>
      <c r="C45477" s="0" t="s">
        <v>16281</v>
      </c>
      <c r="E45477" s="0" t="s">
        <v>11</v>
      </c>
      <c r="F45477" s="0" t="s">
        <v>2223</v>
      </c>
      <c r="H45477" s="0" t="s">
        <v>5857</v>
      </c>
      <c r="I45477" s="0" t="s">
        <v>5858</v>
      </c>
    </row>
    <row r="45478" customFormat="false" ht="12.8" hidden="false" customHeight="false" outlineLevel="0" collapsed="false">
      <c r="B45478" s="0" t="s">
        <v>305</v>
      </c>
      <c r="C45478" s="0" t="s">
        <v>16282</v>
      </c>
      <c r="E45478" s="0" t="s">
        <v>2225</v>
      </c>
      <c r="F45478" s="0" t="s">
        <v>2226</v>
      </c>
      <c r="H45478" s="0" t="s">
        <v>5055</v>
      </c>
      <c r="I45478" s="0" t="s">
        <v>5850</v>
      </c>
    </row>
    <row r="45480" customFormat="false" ht="12.8" hidden="false" customHeight="false" outlineLevel="0" collapsed="false">
      <c r="A45480" s="0" t="s">
        <v>16283</v>
      </c>
      <c r="B45480" s="0" t="str">
        <f aca="false">HYPERLINK("https://lindat.mff.cuni.cz/services/teitok/pdtc10/index.php?action=vallex&amp;frame=v-w6348f1", "splnit se (v-w6348f1)")</f>
        <v>splnit se (v-w6348f1)</v>
      </c>
    </row>
    <row r="45481" customFormat="false" ht="12.8" hidden="false" customHeight="false" outlineLevel="0" collapsed="false">
      <c r="B45481" s="0" t="s">
        <v>1</v>
      </c>
    </row>
    <row r="45483" customFormat="false" ht="12.8" hidden="false" customHeight="false" outlineLevel="0" collapsed="false">
      <c r="A45483" s="0" t="s">
        <v>16284</v>
      </c>
      <c r="B45483" s="0" t="str">
        <f aca="false">HYPERLINK("https://lindat.mff.cuni.cz/services/teitok/pdtc10/index.php?action=vallex&amp;frame=v-w6351f1", "splynout (v-w6351f1)")</f>
        <v>splynout (v-w6351f1)</v>
      </c>
      <c r="E45483" s="0" t="str">
        <f aca="false">HYPERLINK("https://lindat.mff.cuni.cz/services/SynSemClass40/SynSemClass40.html?veclass=vec00318#vec00318-ces-cm00007", "vec00318")</f>
        <v>vec00318</v>
      </c>
      <c r="F45483" s="0" t="s">
        <v>3218</v>
      </c>
      <c r="H45483" s="0" t="str">
        <f aca="false">HYPERLINK("https://lindat.mff.cuni.cz/services/SynSemClass40/SynSemClass40.html?veclass=vec01296#vec01296-ces-cm00013", "vec01296")</f>
        <v>vec01296</v>
      </c>
      <c r="I45483" s="0" t="s">
        <v>3625</v>
      </c>
    </row>
    <row r="45484" customFormat="false" ht="12.8" hidden="false" customHeight="false" outlineLevel="0" collapsed="false">
      <c r="B45484" s="0" t="s">
        <v>1</v>
      </c>
      <c r="C45484" s="0" t="s">
        <v>3626</v>
      </c>
      <c r="E45484" s="0" t="s">
        <v>2241</v>
      </c>
      <c r="F45484" s="0" t="s">
        <v>3220</v>
      </c>
      <c r="H45484" s="0" t="s">
        <v>2241</v>
      </c>
      <c r="I45484" s="0" t="s">
        <v>3627</v>
      </c>
    </row>
    <row r="45485" customFormat="false" ht="12.8" hidden="false" customHeight="false" outlineLevel="0" collapsed="false">
      <c r="B45485" s="0" t="s">
        <v>721</v>
      </c>
      <c r="C45485" s="0" t="s">
        <v>3628</v>
      </c>
      <c r="E45485" s="0" t="s">
        <v>2665</v>
      </c>
      <c r="F45485" s="0" t="s">
        <v>3222</v>
      </c>
      <c r="H45485" s="0" t="s">
        <v>2665</v>
      </c>
      <c r="I45485" s="0" t="s">
        <v>3629</v>
      </c>
    </row>
    <row r="45486" customFormat="false" ht="12.8" hidden="false" customHeight="false" outlineLevel="0" collapsed="false">
      <c r="B45486" s="0" t="s">
        <v>3026</v>
      </c>
      <c r="C45486" s="0" t="s">
        <v>11056</v>
      </c>
      <c r="E45486" s="0" t="s">
        <v>4858</v>
      </c>
      <c r="F45486" s="0" t="s">
        <v>11057</v>
      </c>
    </row>
    <row r="45488" customFormat="false" ht="12.8" hidden="false" customHeight="false" outlineLevel="0" collapsed="false">
      <c r="A45488" s="0" t="s">
        <v>16285</v>
      </c>
      <c r="B45488" s="0" t="str">
        <f aca="false">HYPERLINK("https://lindat.mff.cuni.cz/services/teitok/pdtc10/index.php?action=vallex&amp;frame=v-whsa_966f1_ZU", "splácat (v-whsa_966f1_ZU)")</f>
        <v>splácat (v-whsa_966f1_ZU)</v>
      </c>
    </row>
    <row r="45489" customFormat="false" ht="12.8" hidden="false" customHeight="false" outlineLevel="0" collapsed="false">
      <c r="B45489" s="0" t="s">
        <v>1</v>
      </c>
    </row>
    <row r="45490" customFormat="false" ht="12.8" hidden="false" customHeight="false" outlineLevel="0" collapsed="false">
      <c r="B45490" s="0" t="s">
        <v>8</v>
      </c>
    </row>
    <row r="45491" customFormat="false" ht="12.8" hidden="false" customHeight="false" outlineLevel="0" collapsed="false">
      <c r="B45491" s="0" t="s">
        <v>3026</v>
      </c>
    </row>
    <row r="45492" customFormat="false" ht="12.8" hidden="false" customHeight="false" outlineLevel="0" collapsed="false">
      <c r="B45492" s="0" t="s">
        <v>36</v>
      </c>
    </row>
    <row r="45494" customFormat="false" ht="12.8" hidden="false" customHeight="false" outlineLevel="0" collapsed="false">
      <c r="A45494" s="0" t="s">
        <v>16285</v>
      </c>
      <c r="B45494" s="0" t="str">
        <f aca="false">HYPERLINK("https://lindat.mff.cuni.cz/services/teitok/pdtc10/index.php?action=vallex&amp;frame=v-whsa_966hsa_967", "splácat (v-whsa_966hsa_967) - substituted with v-whsa_966f1_ZU")</f>
        <v>splácat (v-whsa_966hsa_967) - substituted with v-whsa_966f1_ZU</v>
      </c>
    </row>
    <row r="45495" customFormat="false" ht="12.8" hidden="false" customHeight="false" outlineLevel="0" collapsed="false">
      <c r="B45495" s="0" t="s">
        <v>1</v>
      </c>
    </row>
    <row r="45496" customFormat="false" ht="12.8" hidden="false" customHeight="false" outlineLevel="0" collapsed="false">
      <c r="B45496" s="0" t="s">
        <v>8</v>
      </c>
    </row>
    <row r="45497" customFormat="false" ht="12.8" hidden="false" customHeight="false" outlineLevel="0" collapsed="false">
      <c r="B45497" s="0" t="s">
        <v>3026</v>
      </c>
    </row>
    <row r="45498" customFormat="false" ht="12.8" hidden="false" customHeight="false" outlineLevel="0" collapsed="false">
      <c r="B45498" s="0" t="s">
        <v>36</v>
      </c>
    </row>
    <row r="45500" customFormat="false" ht="12.8" hidden="false" customHeight="false" outlineLevel="0" collapsed="false">
      <c r="A45500" s="0" t="s">
        <v>16286</v>
      </c>
      <c r="B45500" s="0" t="str">
        <f aca="false">HYPERLINK("https://lindat.mff.cuni.cz/services/teitok/pdtc10/index.php?action=vallex&amp;frame=v-w6339f1", "splácet (v-w6339f1)")</f>
        <v>splácet (v-w6339f1)</v>
      </c>
      <c r="E45500" s="0" t="str">
        <f aca="false">HYPERLINK("https://lindat.mff.cuni.cz/services/SynSemClass40/SynSemClass40.html?veclass=vec00125#vec00125-ces-cm00055", "vec00125")</f>
        <v>vec00125</v>
      </c>
      <c r="F45500" s="0" t="s">
        <v>2552</v>
      </c>
    </row>
    <row r="45501" customFormat="false" ht="12.8" hidden="false" customHeight="false" outlineLevel="0" collapsed="false">
      <c r="B45501" s="0" t="s">
        <v>1</v>
      </c>
      <c r="C45501" s="0" t="s">
        <v>2553</v>
      </c>
      <c r="E45501" s="0" t="s">
        <v>2554</v>
      </c>
      <c r="F45501" s="0" t="s">
        <v>2555</v>
      </c>
    </row>
    <row r="45502" customFormat="false" ht="12.8" hidden="false" customHeight="false" outlineLevel="0" collapsed="false">
      <c r="B45502" s="0" t="s">
        <v>8</v>
      </c>
      <c r="C45502" s="0" t="s">
        <v>2556</v>
      </c>
      <c r="E45502" s="0" t="s">
        <v>2557</v>
      </c>
      <c r="F45502" s="0" t="s">
        <v>2558</v>
      </c>
    </row>
    <row r="45503" customFormat="false" ht="12.8" hidden="false" customHeight="false" outlineLevel="0" collapsed="false">
      <c r="B45503" s="0" t="s">
        <v>52</v>
      </c>
      <c r="C45503" s="0" t="s">
        <v>2559</v>
      </c>
      <c r="E45503" s="0" t="s">
        <v>2560</v>
      </c>
      <c r="F45503" s="0" t="s">
        <v>2561</v>
      </c>
    </row>
    <row r="45505" customFormat="false" ht="12.8" hidden="false" customHeight="false" outlineLevel="0" collapsed="false">
      <c r="A45505" s="0" t="s">
        <v>16287</v>
      </c>
      <c r="B45505" s="0" t="str">
        <f aca="false">HYPERLINK("https://lindat.mff.cuni.cz/services/teitok/pdtc10/index.php?action=vallex&amp;frame=v-w6339f2", "splácet (v-w6339f2)")</f>
        <v>splácet (v-w6339f2)</v>
      </c>
    </row>
    <row r="45506" customFormat="false" ht="12.8" hidden="false" customHeight="false" outlineLevel="0" collapsed="false">
      <c r="B45506" s="0" t="s">
        <v>1</v>
      </c>
    </row>
    <row r="45507" customFormat="false" ht="12.8" hidden="false" customHeight="false" outlineLevel="0" collapsed="false">
      <c r="B45507" s="0" t="s">
        <v>8</v>
      </c>
    </row>
    <row r="45508" customFormat="false" ht="12.8" hidden="false" customHeight="false" outlineLevel="0" collapsed="false">
      <c r="B45508" s="0" t="s">
        <v>52</v>
      </c>
    </row>
    <row r="45510" customFormat="false" ht="12.8" hidden="false" customHeight="false" outlineLevel="0" collapsed="false">
      <c r="A45510" s="0" t="s">
        <v>16288</v>
      </c>
      <c r="B45510" s="0" t="str">
        <f aca="false">HYPERLINK("https://lindat.mff.cuni.cz/services/teitok/pdtc10/index.php?action=vallex&amp;frame=v-w6339f3_ZU", "splácet (v-w6339f3_ZU)")</f>
        <v>splácet (v-w6339f3_ZU)</v>
      </c>
    </row>
    <row r="45511" customFormat="false" ht="12.8" hidden="false" customHeight="false" outlineLevel="0" collapsed="false">
      <c r="B45511" s="0" t="s">
        <v>1</v>
      </c>
    </row>
    <row r="45512" customFormat="false" ht="12.8" hidden="false" customHeight="false" outlineLevel="0" collapsed="false">
      <c r="B45512" s="0" t="s">
        <v>8</v>
      </c>
    </row>
    <row r="45514" customFormat="false" ht="12.8" hidden="false" customHeight="false" outlineLevel="0" collapsed="false">
      <c r="A45514" s="0" t="s">
        <v>16289</v>
      </c>
      <c r="B45514" s="0" t="str">
        <f aca="false">HYPERLINK("https://lindat.mff.cuni.cz/services/teitok/pdtc10/index.php?action=vallex&amp;frame=v-w10680f2", "spláchnout (v-w10680f2)")</f>
        <v>spláchnout (v-w10680f2)</v>
      </c>
    </row>
    <row r="45515" customFormat="false" ht="12.8" hidden="false" customHeight="false" outlineLevel="0" collapsed="false">
      <c r="B45515" s="0" t="s">
        <v>1</v>
      </c>
    </row>
    <row r="45516" customFormat="false" ht="12.8" hidden="false" customHeight="false" outlineLevel="0" collapsed="false">
      <c r="B45516" s="0" t="s">
        <v>8</v>
      </c>
    </row>
    <row r="45518" customFormat="false" ht="12.8" hidden="false" customHeight="false" outlineLevel="0" collapsed="false">
      <c r="A45518" s="0" t="s">
        <v>16290</v>
      </c>
      <c r="B45518" s="0" t="str">
        <f aca="false">HYPERLINK("https://lindat.mff.cuni.cz/services/teitok/pdtc10/index.php?action=vallex&amp;frame=v-w10680f3_ZU", "spláchnout (v-w10680f3_ZU)")</f>
        <v>spláchnout (v-w10680f3_ZU)</v>
      </c>
    </row>
    <row r="45519" customFormat="false" ht="12.8" hidden="false" customHeight="false" outlineLevel="0" collapsed="false">
      <c r="B45519" s="0" t="s">
        <v>1</v>
      </c>
    </row>
    <row r="45520" customFormat="false" ht="12.8" hidden="false" customHeight="false" outlineLevel="0" collapsed="false">
      <c r="B45520" s="0" t="s">
        <v>8</v>
      </c>
    </row>
    <row r="45521" customFormat="false" ht="12.8" hidden="false" customHeight="false" outlineLevel="0" collapsed="false">
      <c r="B45521" s="0" t="s">
        <v>631</v>
      </c>
    </row>
    <row r="45523" customFormat="false" ht="12.8" hidden="false" customHeight="false" outlineLevel="0" collapsed="false">
      <c r="A45523" s="0" t="s">
        <v>16291</v>
      </c>
      <c r="B45523" s="0" t="str">
        <f aca="false">HYPERLINK("https://lindat.mff.cuni.cz/services/teitok/pdtc10/index.php?action=vallex&amp;frame=v-whsa_1697f1_ZU", "splést (v-whsa_1697f1_ZU)")</f>
        <v>splést (v-whsa_1697f1_ZU)</v>
      </c>
    </row>
    <row r="45524" customFormat="false" ht="12.8" hidden="false" customHeight="false" outlineLevel="0" collapsed="false">
      <c r="B45524" s="0" t="s">
        <v>1</v>
      </c>
    </row>
    <row r="45525" customFormat="false" ht="12.8" hidden="false" customHeight="false" outlineLevel="0" collapsed="false">
      <c r="B45525" s="0" t="s">
        <v>8</v>
      </c>
    </row>
    <row r="45526" customFormat="false" ht="12.8" hidden="false" customHeight="false" outlineLevel="0" collapsed="false">
      <c r="B45526" s="0" t="s">
        <v>3537</v>
      </c>
    </row>
    <row r="45528" customFormat="false" ht="12.8" hidden="false" customHeight="false" outlineLevel="0" collapsed="false">
      <c r="A45528" s="0" t="s">
        <v>16291</v>
      </c>
      <c r="B45528" s="0" t="str">
        <f aca="false">HYPERLINK("https://lindat.mff.cuni.cz/services/teitok/pdtc10/index.php?action=vallex&amp;frame=v-whsa_1697hsa_1698", "splést (v-whsa_1697hsa_1698) - substituted with v-whsa_1697f1_ZU")</f>
        <v>splést (v-whsa_1697hsa_1698) - substituted with v-whsa_1697f1_ZU</v>
      </c>
    </row>
    <row r="45529" customFormat="false" ht="12.8" hidden="false" customHeight="false" outlineLevel="0" collapsed="false">
      <c r="B45529" s="0" t="s">
        <v>1</v>
      </c>
    </row>
    <row r="45530" customFormat="false" ht="12.8" hidden="false" customHeight="false" outlineLevel="0" collapsed="false">
      <c r="B45530" s="0" t="s">
        <v>8</v>
      </c>
    </row>
    <row r="45531" customFormat="false" ht="12.8" hidden="false" customHeight="false" outlineLevel="0" collapsed="false">
      <c r="B45531" s="0" t="s">
        <v>3537</v>
      </c>
    </row>
    <row r="45533" customFormat="false" ht="12.8" hidden="false" customHeight="false" outlineLevel="0" collapsed="false">
      <c r="A45533" s="0" t="s">
        <v>16292</v>
      </c>
      <c r="B45533" s="0" t="str">
        <f aca="false">HYPERLINK("https://lindat.mff.cuni.cz/services/teitok/pdtc10/index.php?action=vallex&amp;frame=v-w6345f1", "splést se (v-w6345f1)")</f>
        <v>splést se (v-w6345f1)</v>
      </c>
    </row>
    <row r="45534" customFormat="false" ht="12.8" hidden="false" customHeight="false" outlineLevel="0" collapsed="false">
      <c r="B45534" s="0" t="s">
        <v>1</v>
      </c>
    </row>
    <row r="45536" customFormat="false" ht="12.8" hidden="false" customHeight="false" outlineLevel="0" collapsed="false">
      <c r="A45536" s="0" t="s">
        <v>16293</v>
      </c>
      <c r="B45536" s="0" t="str">
        <f aca="false">HYPERLINK("https://lindat.mff.cuni.cz/services/teitok/pdtc10/index.php?action=vallex&amp;frame=v-w12259_ZUf1_ZU", "splétat (v-w12259_ZUf1_ZU)")</f>
        <v>splétat (v-w12259_ZUf1_ZU)</v>
      </c>
    </row>
    <row r="45537" customFormat="false" ht="12.8" hidden="false" customHeight="false" outlineLevel="0" collapsed="false">
      <c r="B45537" s="0" t="s">
        <v>1</v>
      </c>
    </row>
    <row r="45538" customFormat="false" ht="12.8" hidden="false" customHeight="false" outlineLevel="0" collapsed="false">
      <c r="B45538" s="0" t="s">
        <v>8</v>
      </c>
    </row>
    <row r="45539" customFormat="false" ht="12.8" hidden="false" customHeight="false" outlineLevel="0" collapsed="false">
      <c r="B45539" s="0" t="s">
        <v>36</v>
      </c>
    </row>
    <row r="45541" customFormat="false" ht="12.8" hidden="false" customHeight="false" outlineLevel="0" collapsed="false">
      <c r="A45541" s="0" t="s">
        <v>16294</v>
      </c>
      <c r="B45541" s="0" t="str">
        <f aca="false">HYPERLINK("https://lindat.mff.cuni.cz/services/teitok/pdtc10/index.php?action=vallex&amp;frame=v-w6354f1", "splývat (v-w6354f1)")</f>
        <v>splývat (v-w6354f1)</v>
      </c>
      <c r="E45541" s="0" t="str">
        <f aca="false">HYPERLINK("https://lindat.mff.cuni.cz/services/SynSemClass40/SynSemClass40.html?veclass=vec00318#vec00318-ces-cm00018", "vec00318")</f>
        <v>vec00318</v>
      </c>
      <c r="F45541" s="0" t="s">
        <v>3218</v>
      </c>
    </row>
    <row r="45542" customFormat="false" ht="12.8" hidden="false" customHeight="false" outlineLevel="0" collapsed="false">
      <c r="B45542" s="0" t="s">
        <v>1</v>
      </c>
      <c r="C45542" s="0" t="s">
        <v>3219</v>
      </c>
      <c r="E45542" s="0" t="s">
        <v>2241</v>
      </c>
      <c r="F45542" s="0" t="s">
        <v>3220</v>
      </c>
    </row>
    <row r="45543" customFormat="false" ht="12.8" hidden="false" customHeight="false" outlineLevel="0" collapsed="false">
      <c r="B45543" s="0" t="s">
        <v>721</v>
      </c>
      <c r="C45543" s="0" t="s">
        <v>3221</v>
      </c>
      <c r="E45543" s="0" t="s">
        <v>2665</v>
      </c>
      <c r="F45543" s="0" t="s">
        <v>3222</v>
      </c>
    </row>
    <row r="45544" customFormat="false" ht="12.8" hidden="false" customHeight="false" outlineLevel="0" collapsed="false">
      <c r="B45544" s="0" t="s">
        <v>3026</v>
      </c>
      <c r="C45544" s="0" t="s">
        <v>11056</v>
      </c>
      <c r="E45544" s="0" t="s">
        <v>4858</v>
      </c>
      <c r="F45544" s="0" t="s">
        <v>11057</v>
      </c>
    </row>
    <row r="45546" customFormat="false" ht="12.8" hidden="false" customHeight="false" outlineLevel="0" collapsed="false">
      <c r="A45546" s="0" t="s">
        <v>16295</v>
      </c>
      <c r="B45546" s="0" t="str">
        <f aca="false">HYPERLINK("https://lindat.mff.cuni.cz/services/teitok/pdtc10/index.php?action=vallex&amp;frame=v-w6349f1", "splňovat (v-w6349f1)")</f>
        <v>splňovat (v-w6349f1)</v>
      </c>
      <c r="E45546" s="0" t="str">
        <f aca="false">HYPERLINK("https://lindat.mff.cuni.cz/services/SynSemClass40/SynSemClass40.html?veclass=vec00316#vec00316-ces-cm00042", "vec00316")</f>
        <v>vec00316</v>
      </c>
      <c r="F45546" s="0" t="s">
        <v>2221</v>
      </c>
    </row>
    <row r="45547" customFormat="false" ht="12.8" hidden="false" customHeight="false" outlineLevel="0" collapsed="false">
      <c r="B45547" s="0" t="s">
        <v>1</v>
      </c>
      <c r="C45547" s="0" t="s">
        <v>2222</v>
      </c>
      <c r="E45547" s="0" t="s">
        <v>11</v>
      </c>
      <c r="F45547" s="0" t="s">
        <v>2223</v>
      </c>
    </row>
    <row r="45548" customFormat="false" ht="12.8" hidden="false" customHeight="false" outlineLevel="0" collapsed="false">
      <c r="B45548" s="0" t="s">
        <v>305</v>
      </c>
      <c r="C45548" s="0" t="s">
        <v>2224</v>
      </c>
      <c r="E45548" s="0" t="s">
        <v>2225</v>
      </c>
      <c r="F45548" s="0" t="s">
        <v>2226</v>
      </c>
    </row>
    <row r="45550" customFormat="false" ht="12.8" hidden="false" customHeight="false" outlineLevel="0" collapsed="false">
      <c r="A45550" s="0" t="s">
        <v>16296</v>
      </c>
      <c r="B45550" s="0" t="str">
        <f aca="false">HYPERLINK("https://lindat.mff.cuni.cz/services/teitok/pdtc10/index.php?action=vallex&amp;frame=v-w6363f2", "spojit (v-w6363f2)")</f>
        <v>spojit (v-w6363f2)</v>
      </c>
      <c r="E45550" s="0" t="str">
        <f aca="false">HYPERLINK("https://lindat.mff.cuni.cz/services/SynSemClass40/SynSemClass40.html?veclass=vec00723#vec00723-ces-cm00001", "vec00723")</f>
        <v>vec00723</v>
      </c>
      <c r="F45550" s="0" t="s">
        <v>4849</v>
      </c>
    </row>
    <row r="45551" customFormat="false" ht="12.8" hidden="false" customHeight="false" outlineLevel="0" collapsed="false">
      <c r="B45551" s="0" t="s">
        <v>1</v>
      </c>
      <c r="C45551" s="0" t="s">
        <v>106</v>
      </c>
      <c r="E45551" s="0" t="s">
        <v>4850</v>
      </c>
      <c r="F45551" s="0" t="s">
        <v>4851</v>
      </c>
    </row>
    <row r="45552" customFormat="false" ht="12.8" hidden="false" customHeight="false" outlineLevel="0" collapsed="false">
      <c r="B45552" s="0" t="s">
        <v>8</v>
      </c>
      <c r="C45552" s="0" t="s">
        <v>1388</v>
      </c>
      <c r="E45552" s="0" t="s">
        <v>4852</v>
      </c>
      <c r="F45552" s="0" t="s">
        <v>4853</v>
      </c>
    </row>
    <row r="45553" customFormat="false" ht="12.8" hidden="false" customHeight="false" outlineLevel="0" collapsed="false">
      <c r="B45553" s="0" t="s">
        <v>276</v>
      </c>
      <c r="C45553" s="0" t="s">
        <v>4854</v>
      </c>
      <c r="E45553" s="0" t="s">
        <v>4855</v>
      </c>
      <c r="F45553" s="0" t="s">
        <v>4856</v>
      </c>
    </row>
    <row r="45554" customFormat="false" ht="12.8" hidden="false" customHeight="false" outlineLevel="0" collapsed="false">
      <c r="B45554" s="0" t="s">
        <v>3026</v>
      </c>
      <c r="C45554" s="0" t="s">
        <v>4857</v>
      </c>
      <c r="E45554" s="0" t="s">
        <v>4858</v>
      </c>
      <c r="F45554" s="0" t="s">
        <v>4859</v>
      </c>
    </row>
    <row r="45556" customFormat="false" ht="12.8" hidden="false" customHeight="false" outlineLevel="0" collapsed="false">
      <c r="A45556" s="0" t="s">
        <v>16297</v>
      </c>
      <c r="B45556" s="0" t="str">
        <f aca="false">HYPERLINK("https://lindat.mff.cuni.cz/services/teitok/pdtc10/index.php?action=vallex&amp;frame=v-w6363f3", "spojit (v-w6363f3)")</f>
        <v>spojit (v-w6363f3)</v>
      </c>
      <c r="E45556" s="0" t="str">
        <f aca="false">HYPERLINK("https://lindat.mff.cuni.cz/services/SynSemClass40/SynSemClass40.html?veclass=vec00519#vec00519-ces-cm00010", "vec00519")</f>
        <v>vec00519</v>
      </c>
      <c r="F45556" s="0" t="s">
        <v>12231</v>
      </c>
    </row>
    <row r="45557" customFormat="false" ht="12.8" hidden="false" customHeight="false" outlineLevel="0" collapsed="false">
      <c r="B45557" s="0" t="s">
        <v>1</v>
      </c>
      <c r="C45557" s="0" t="s">
        <v>11624</v>
      </c>
      <c r="E45557" s="0" t="s">
        <v>4850</v>
      </c>
      <c r="F45557" s="0" t="s">
        <v>12232</v>
      </c>
    </row>
    <row r="45558" customFormat="false" ht="12.8" hidden="false" customHeight="false" outlineLevel="0" collapsed="false">
      <c r="B45558" s="0" t="s">
        <v>8</v>
      </c>
      <c r="C45558" s="0" t="s">
        <v>12233</v>
      </c>
      <c r="E45558" s="0" t="s">
        <v>4852</v>
      </c>
      <c r="F45558" s="0" t="s">
        <v>12234</v>
      </c>
    </row>
    <row r="45559" customFormat="false" ht="12.8" hidden="false" customHeight="false" outlineLevel="0" collapsed="false">
      <c r="B45559" s="0" t="s">
        <v>276</v>
      </c>
      <c r="C45559" s="0" t="s">
        <v>12632</v>
      </c>
      <c r="E45559" s="0" t="s">
        <v>4855</v>
      </c>
      <c r="F45559" s="0" t="s">
        <v>12628</v>
      </c>
    </row>
    <row r="45561" customFormat="false" ht="12.8" hidden="false" customHeight="false" outlineLevel="0" collapsed="false">
      <c r="A45561" s="0" t="s">
        <v>16298</v>
      </c>
      <c r="B45561" s="0" t="str">
        <f aca="false">HYPERLINK("https://lindat.mff.cuni.cz/services/teitok/pdtc10/index.php?action=vallex&amp;frame=v-w6363f1", "spojit (v-w6363f1)")</f>
        <v>spojit (v-w6363f1)</v>
      </c>
      <c r="E45561" s="0" t="str">
        <f aca="false">HYPERLINK("https://lindat.mff.cuni.cz/services/SynSemClass40/SynSemClass40.html?veclass=vec00407#vec00407-ces-cm00064", "vec00407")</f>
        <v>vec00407</v>
      </c>
      <c r="F45561" s="0" t="s">
        <v>2577</v>
      </c>
    </row>
    <row r="45562" customFormat="false" ht="12.8" hidden="false" customHeight="false" outlineLevel="0" collapsed="false">
      <c r="B45562" s="0" t="s">
        <v>1</v>
      </c>
      <c r="C45562" s="0" t="s">
        <v>2578</v>
      </c>
      <c r="E45562" s="0" t="s">
        <v>31</v>
      </c>
      <c r="F45562" s="0" t="s">
        <v>2579</v>
      </c>
    </row>
    <row r="45563" customFormat="false" ht="12.8" hidden="false" customHeight="false" outlineLevel="0" collapsed="false">
      <c r="B45563" s="0" t="s">
        <v>8</v>
      </c>
      <c r="C45563" s="0" t="s">
        <v>2580</v>
      </c>
      <c r="E45563" s="0" t="s">
        <v>1569</v>
      </c>
      <c r="F45563" s="0" t="s">
        <v>2581</v>
      </c>
    </row>
    <row r="45564" customFormat="false" ht="12.8" hidden="false" customHeight="false" outlineLevel="0" collapsed="false">
      <c r="B45564" s="0" t="s">
        <v>3537</v>
      </c>
      <c r="C45564" s="0" t="s">
        <v>2583</v>
      </c>
      <c r="E45564" s="0" t="s">
        <v>2584</v>
      </c>
      <c r="F45564" s="0" t="s">
        <v>2585</v>
      </c>
    </row>
    <row r="45566" customFormat="false" ht="12.8" hidden="false" customHeight="false" outlineLevel="0" collapsed="false">
      <c r="A45566" s="0" t="s">
        <v>16299</v>
      </c>
      <c r="B45566" s="0" t="str">
        <f aca="false">HYPERLINK("https://lindat.mff.cuni.cz/services/teitok/pdtc10/index.php?action=vallex&amp;frame=v-w6363f4", "spojit (v-w6363f4)")</f>
        <v>spojit (v-w6363f4)</v>
      </c>
    </row>
    <row r="45567" customFormat="false" ht="12.8" hidden="false" customHeight="false" outlineLevel="0" collapsed="false">
      <c r="B45567" s="0" t="s">
        <v>1</v>
      </c>
    </row>
    <row r="45568" customFormat="false" ht="12.8" hidden="false" customHeight="false" outlineLevel="0" collapsed="false">
      <c r="B45568" s="0" t="s">
        <v>8</v>
      </c>
    </row>
    <row r="45570" customFormat="false" ht="12.8" hidden="false" customHeight="false" outlineLevel="0" collapsed="false">
      <c r="A45570" s="0" t="s">
        <v>16300</v>
      </c>
      <c r="B45570" s="0" t="str">
        <f aca="false">HYPERLINK("https://lindat.mff.cuni.cz/services/teitok/pdtc10/index.php?action=vallex&amp;frame=v-w6363hsa_908", "spojit (v-w6363hsa_908)")</f>
        <v>spojit (v-w6363hsa_908)</v>
      </c>
      <c r="E45570" s="0" t="str">
        <f aca="false">HYPERLINK("https://lindat.mff.cuni.cz/services/SynSemClass40/SynSemClass40.html?veclass=vec00519#vec00519-ces-cm00011", "vec00519")</f>
        <v>vec00519</v>
      </c>
      <c r="F45570" s="0" t="s">
        <v>12231</v>
      </c>
    </row>
    <row r="45571" customFormat="false" ht="12.8" hidden="false" customHeight="false" outlineLevel="0" collapsed="false">
      <c r="B45571" s="0" t="s">
        <v>1</v>
      </c>
      <c r="C45571" s="0" t="s">
        <v>11624</v>
      </c>
      <c r="E45571" s="0" t="s">
        <v>4850</v>
      </c>
      <c r="F45571" s="0" t="s">
        <v>12232</v>
      </c>
    </row>
    <row r="45572" customFormat="false" ht="12.8" hidden="false" customHeight="false" outlineLevel="0" collapsed="false">
      <c r="B45572" s="0" t="s">
        <v>8</v>
      </c>
      <c r="C45572" s="0" t="s">
        <v>12233</v>
      </c>
      <c r="E45572" s="0" t="s">
        <v>4852</v>
      </c>
      <c r="F45572" s="0" t="s">
        <v>12234</v>
      </c>
    </row>
    <row r="45573" customFormat="false" ht="12.8" hidden="false" customHeight="false" outlineLevel="0" collapsed="false">
      <c r="B45573" s="0" t="s">
        <v>276</v>
      </c>
      <c r="C45573" s="0" t="s">
        <v>12632</v>
      </c>
      <c r="E45573" s="0" t="s">
        <v>4855</v>
      </c>
      <c r="F45573" s="0" t="s">
        <v>12628</v>
      </c>
    </row>
    <row r="45575" customFormat="false" ht="12.8" hidden="false" customHeight="false" outlineLevel="0" collapsed="false">
      <c r="A45575" s="0" t="s">
        <v>16301</v>
      </c>
      <c r="B45575" s="0" t="str">
        <f aca="false">HYPERLINK("https://lindat.mff.cuni.cz/services/teitok/pdtc10/index.php?action=vallex&amp;frame=v-w6365f1", "spojit se (v-w6365f1)")</f>
        <v>spojit se (v-w6365f1)</v>
      </c>
      <c r="E45575" s="0" t="str">
        <f aca="false">HYPERLINK("https://lindat.mff.cuni.cz/services/SynSemClass40/SynSemClass40.html?veclass=vec00318#vec00318-ces-cm00001", "vec00318")</f>
        <v>vec00318</v>
      </c>
      <c r="F45575" s="0" t="s">
        <v>3218</v>
      </c>
      <c r="H45575" s="0" t="str">
        <f aca="false">HYPERLINK("https://lindat.mff.cuni.cz/services/SynSemClass40/SynSemClass40.html?veclass=vec01296#vec01296-ces-cm00014", "vec01296")</f>
        <v>vec01296</v>
      </c>
      <c r="I45575" s="0" t="s">
        <v>3625</v>
      </c>
    </row>
    <row r="45576" customFormat="false" ht="12.8" hidden="false" customHeight="false" outlineLevel="0" collapsed="false">
      <c r="B45576" s="0" t="s">
        <v>1</v>
      </c>
      <c r="C45576" s="0" t="s">
        <v>3626</v>
      </c>
      <c r="E45576" s="0" t="s">
        <v>2241</v>
      </c>
      <c r="F45576" s="0" t="s">
        <v>3220</v>
      </c>
      <c r="H45576" s="0" t="s">
        <v>2241</v>
      </c>
      <c r="I45576" s="0" t="s">
        <v>3627</v>
      </c>
    </row>
    <row r="45577" customFormat="false" ht="12.8" hidden="false" customHeight="false" outlineLevel="0" collapsed="false">
      <c r="B45577" s="0" t="s">
        <v>721</v>
      </c>
      <c r="C45577" s="0" t="s">
        <v>3628</v>
      </c>
      <c r="E45577" s="0" t="s">
        <v>2665</v>
      </c>
      <c r="F45577" s="0" t="s">
        <v>3222</v>
      </c>
      <c r="H45577" s="0" t="s">
        <v>2665</v>
      </c>
      <c r="I45577" s="0" t="s">
        <v>3629</v>
      </c>
    </row>
    <row r="45578" customFormat="false" ht="12.8" hidden="false" customHeight="false" outlineLevel="0" collapsed="false">
      <c r="B45578" s="0" t="s">
        <v>3026</v>
      </c>
      <c r="C45578" s="0" t="s">
        <v>11056</v>
      </c>
      <c r="E45578" s="0" t="s">
        <v>4858</v>
      </c>
      <c r="F45578" s="0" t="s">
        <v>11057</v>
      </c>
    </row>
    <row r="45580" customFormat="false" ht="12.8" hidden="false" customHeight="false" outlineLevel="0" collapsed="false">
      <c r="A45580" s="0" t="s">
        <v>16302</v>
      </c>
      <c r="B45580" s="0" t="str">
        <f aca="false">HYPERLINK("https://lindat.mff.cuni.cz/services/teitok/pdtc10/index.php?action=vallex&amp;frame=v-w6365f2", "spojit se (v-w6365f2)")</f>
        <v>spojit se (v-w6365f2)</v>
      </c>
    </row>
    <row r="45581" customFormat="false" ht="12.8" hidden="false" customHeight="false" outlineLevel="0" collapsed="false">
      <c r="B45581" s="0" t="s">
        <v>1</v>
      </c>
    </row>
    <row r="45582" customFormat="false" ht="12.8" hidden="false" customHeight="false" outlineLevel="0" collapsed="false">
      <c r="B45582" s="0" t="s">
        <v>721</v>
      </c>
    </row>
    <row r="45584" customFormat="false" ht="12.8" hidden="false" customHeight="false" outlineLevel="0" collapsed="false">
      <c r="A45584" s="0" t="s">
        <v>16303</v>
      </c>
      <c r="B45584" s="0" t="str">
        <f aca="false">HYPERLINK("https://lindat.mff.cuni.cz/services/teitok/pdtc10/index.php?action=vallex&amp;frame=v-w6369f2", "spojovat (v-w6369f2)")</f>
        <v>spojovat (v-w6369f2)</v>
      </c>
      <c r="E45584" s="0" t="str">
        <f aca="false">HYPERLINK("https://lindat.mff.cuni.cz/services/SynSemClass40/SynSemClass40.html?veclass=vec00723#vec00723-ces-cm00077", "vec00723")</f>
        <v>vec00723</v>
      </c>
      <c r="F45584" s="0" t="s">
        <v>4849</v>
      </c>
    </row>
    <row r="45585" customFormat="false" ht="12.8" hidden="false" customHeight="false" outlineLevel="0" collapsed="false">
      <c r="B45585" s="0" t="s">
        <v>1</v>
      </c>
      <c r="C45585" s="0" t="s">
        <v>106</v>
      </c>
      <c r="E45585" s="0" t="s">
        <v>4850</v>
      </c>
      <c r="F45585" s="0" t="s">
        <v>4851</v>
      </c>
    </row>
    <row r="45586" customFormat="false" ht="12.8" hidden="false" customHeight="false" outlineLevel="0" collapsed="false">
      <c r="B45586" s="0" t="s">
        <v>8</v>
      </c>
      <c r="C45586" s="0" t="s">
        <v>1388</v>
      </c>
      <c r="E45586" s="0" t="s">
        <v>4852</v>
      </c>
      <c r="F45586" s="0" t="s">
        <v>4853</v>
      </c>
    </row>
    <row r="45587" customFormat="false" ht="12.8" hidden="false" customHeight="false" outlineLevel="0" collapsed="false">
      <c r="B45587" s="0" t="s">
        <v>276</v>
      </c>
      <c r="C45587" s="0" t="s">
        <v>4854</v>
      </c>
      <c r="E45587" s="0" t="s">
        <v>4855</v>
      </c>
      <c r="F45587" s="0" t="s">
        <v>4856</v>
      </c>
    </row>
    <row r="45588" customFormat="false" ht="12.8" hidden="false" customHeight="false" outlineLevel="0" collapsed="false">
      <c r="B45588" s="0" t="s">
        <v>3026</v>
      </c>
      <c r="C45588" s="0" t="s">
        <v>4857</v>
      </c>
      <c r="E45588" s="0" t="s">
        <v>4858</v>
      </c>
      <c r="F45588" s="0" t="s">
        <v>4859</v>
      </c>
    </row>
    <row r="45590" customFormat="false" ht="12.8" hidden="false" customHeight="false" outlineLevel="0" collapsed="false">
      <c r="A45590" s="0" t="s">
        <v>16304</v>
      </c>
      <c r="B45590" s="0" t="str">
        <f aca="false">HYPERLINK("https://lindat.mff.cuni.cz/services/teitok/pdtc10/index.php?action=vallex&amp;frame=v-w6369f1", "spojovat (v-w6369f1)")</f>
        <v>spojovat (v-w6369f1)</v>
      </c>
      <c r="E45590" s="0" t="str">
        <f aca="false">HYPERLINK("https://lindat.mff.cuni.cz/services/SynSemClass40/SynSemClass40.html?veclass=vec00519#vec00519-ces-cm00001", "vec00519")</f>
        <v>vec00519</v>
      </c>
      <c r="F45590" s="0" t="s">
        <v>12231</v>
      </c>
    </row>
    <row r="45591" customFormat="false" ht="12.8" hidden="false" customHeight="false" outlineLevel="0" collapsed="false">
      <c r="B45591" s="0" t="s">
        <v>1</v>
      </c>
      <c r="C45591" s="0" t="s">
        <v>11624</v>
      </c>
      <c r="E45591" s="0" t="s">
        <v>4850</v>
      </c>
      <c r="F45591" s="0" t="s">
        <v>12232</v>
      </c>
    </row>
    <row r="45592" customFormat="false" ht="12.8" hidden="false" customHeight="false" outlineLevel="0" collapsed="false">
      <c r="B45592" s="0" t="s">
        <v>8</v>
      </c>
      <c r="C45592" s="0" t="s">
        <v>12233</v>
      </c>
      <c r="E45592" s="0" t="s">
        <v>4852</v>
      </c>
      <c r="F45592" s="0" t="s">
        <v>12234</v>
      </c>
    </row>
    <row r="45593" customFormat="false" ht="12.8" hidden="false" customHeight="false" outlineLevel="0" collapsed="false">
      <c r="B45593" s="0" t="s">
        <v>276</v>
      </c>
      <c r="C45593" s="0" t="s">
        <v>12632</v>
      </c>
      <c r="E45593" s="0" t="s">
        <v>4855</v>
      </c>
      <c r="F45593" s="0" t="s">
        <v>12628</v>
      </c>
    </row>
    <row r="45595" customFormat="false" ht="12.8" hidden="false" customHeight="false" outlineLevel="0" collapsed="false">
      <c r="A45595" s="0" t="s">
        <v>16305</v>
      </c>
      <c r="B45595" s="0" t="str">
        <f aca="false">HYPERLINK("https://lindat.mff.cuni.cz/services/teitok/pdtc10/index.php?action=vallex&amp;frame=v-w6369f3", "spojovat (v-w6369f3)")</f>
        <v>spojovat (v-w6369f3)</v>
      </c>
      <c r="E45595" s="0" t="str">
        <f aca="false">HYPERLINK("https://lindat.mff.cuni.cz/services/SynSemClass40/SynSemClass40.html?veclass=vec00407#vec00407-ces-cm00075", "vec00407")</f>
        <v>vec00407</v>
      </c>
      <c r="F45595" s="0" t="s">
        <v>2577</v>
      </c>
    </row>
    <row r="45596" customFormat="false" ht="12.8" hidden="false" customHeight="false" outlineLevel="0" collapsed="false">
      <c r="B45596" s="0" t="s">
        <v>1</v>
      </c>
      <c r="C45596" s="0" t="s">
        <v>2578</v>
      </c>
      <c r="E45596" s="0" t="s">
        <v>31</v>
      </c>
      <c r="F45596" s="0" t="s">
        <v>2579</v>
      </c>
    </row>
    <row r="45597" customFormat="false" ht="12.8" hidden="false" customHeight="false" outlineLevel="0" collapsed="false">
      <c r="B45597" s="0" t="s">
        <v>8</v>
      </c>
      <c r="C45597" s="0" t="s">
        <v>2580</v>
      </c>
      <c r="E45597" s="0" t="s">
        <v>1569</v>
      </c>
      <c r="F45597" s="0" t="s">
        <v>2581</v>
      </c>
    </row>
    <row r="45598" customFormat="false" ht="12.8" hidden="false" customHeight="false" outlineLevel="0" collapsed="false">
      <c r="B45598" s="0" t="s">
        <v>3537</v>
      </c>
      <c r="C45598" s="0" t="s">
        <v>2583</v>
      </c>
      <c r="E45598" s="0" t="s">
        <v>2584</v>
      </c>
      <c r="F45598" s="0" t="s">
        <v>2585</v>
      </c>
    </row>
    <row r="45600" customFormat="false" ht="12.8" hidden="false" customHeight="false" outlineLevel="0" collapsed="false">
      <c r="A45600" s="0" t="s">
        <v>16306</v>
      </c>
      <c r="B45600" s="0" t="str">
        <f aca="false">HYPERLINK("https://lindat.mff.cuni.cz/services/teitok/pdtc10/index.php?action=vallex&amp;frame=v-w6369f4", "spojovat (v-w6369f4)")</f>
        <v>spojovat (v-w6369f4)</v>
      </c>
    </row>
    <row r="45601" customFormat="false" ht="12.8" hidden="false" customHeight="false" outlineLevel="0" collapsed="false">
      <c r="B45601" s="0" t="s">
        <v>1</v>
      </c>
    </row>
    <row r="45602" customFormat="false" ht="12.8" hidden="false" customHeight="false" outlineLevel="0" collapsed="false">
      <c r="B45602" s="0" t="s">
        <v>8</v>
      </c>
    </row>
    <row r="45604" customFormat="false" ht="12.8" hidden="false" customHeight="false" outlineLevel="0" collapsed="false">
      <c r="A45604" s="0" t="s">
        <v>16307</v>
      </c>
      <c r="B45604" s="0" t="str">
        <f aca="false">HYPERLINK("https://lindat.mff.cuni.cz/services/teitok/pdtc10/index.php?action=vallex&amp;frame=v-w6369f6_ZU", "spojovat (v-w6369f6_ZU)")</f>
        <v>spojovat (v-w6369f6_ZU)</v>
      </c>
      <c r="E45604" s="0" t="str">
        <f aca="false">HYPERLINK("https://lindat.mff.cuni.cz/services/SynSemClass40/SynSemClass40.html?veclass=vec00519#vec00519-ces-cm00013", "vec00519")</f>
        <v>vec00519</v>
      </c>
      <c r="F45604" s="0" t="s">
        <v>12231</v>
      </c>
    </row>
    <row r="45605" customFormat="false" ht="12.8" hidden="false" customHeight="false" outlineLevel="0" collapsed="false">
      <c r="B45605" s="0" t="s">
        <v>1</v>
      </c>
      <c r="C45605" s="0" t="s">
        <v>11624</v>
      </c>
      <c r="E45605" s="0" t="s">
        <v>4850</v>
      </c>
      <c r="F45605" s="0" t="s">
        <v>12232</v>
      </c>
    </row>
    <row r="45606" customFormat="false" ht="12.8" hidden="false" customHeight="false" outlineLevel="0" collapsed="false">
      <c r="B45606" s="0" t="s">
        <v>8</v>
      </c>
      <c r="C45606" s="0" t="s">
        <v>12233</v>
      </c>
      <c r="E45606" s="0" t="s">
        <v>4852</v>
      </c>
      <c r="F45606" s="0" t="s">
        <v>12234</v>
      </c>
    </row>
    <row r="45607" customFormat="false" ht="12.8" hidden="false" customHeight="false" outlineLevel="0" collapsed="false">
      <c r="B45607" s="0" t="s">
        <v>276</v>
      </c>
      <c r="C45607" s="0" t="s">
        <v>12632</v>
      </c>
      <c r="E45607" s="0" t="s">
        <v>4855</v>
      </c>
      <c r="F45607" s="0" t="s">
        <v>12628</v>
      </c>
    </row>
    <row r="45609" customFormat="false" ht="12.8" hidden="false" customHeight="false" outlineLevel="0" collapsed="false">
      <c r="A45609" s="0" t="s">
        <v>16307</v>
      </c>
      <c r="B45609" s="0" t="str">
        <f aca="false">HYPERLINK("https://lindat.mff.cuni.cz/services/teitok/pdtc10/index.php?action=vallex&amp;frame=v-w6369f5_ZU", "spojovat (v-w6369f5_ZU) - substituted with v-w6369f6_ZU")</f>
        <v>spojovat (v-w6369f5_ZU) - substituted with v-w6369f6_ZU</v>
      </c>
    </row>
    <row r="45610" customFormat="false" ht="12.8" hidden="false" customHeight="false" outlineLevel="0" collapsed="false">
      <c r="B45610" s="0" t="s">
        <v>1</v>
      </c>
    </row>
    <row r="45611" customFormat="false" ht="12.8" hidden="false" customHeight="false" outlineLevel="0" collapsed="false">
      <c r="B45611" s="0" t="s">
        <v>8</v>
      </c>
    </row>
    <row r="45612" customFormat="false" ht="12.8" hidden="false" customHeight="false" outlineLevel="0" collapsed="false">
      <c r="B45612" s="0" t="s">
        <v>276</v>
      </c>
    </row>
    <row r="45614" customFormat="false" ht="12.8" hidden="false" customHeight="false" outlineLevel="0" collapsed="false">
      <c r="A45614" s="0" t="s">
        <v>16307</v>
      </c>
      <c r="B45614" s="0" t="str">
        <f aca="false">HYPERLINK("https://lindat.mff.cuni.cz/services/teitok/pdtc10/index.php?action=vallex&amp;frame=v-w6369hsa_1017", "spojovat (v-w6369hsa_1017) - substituted with v-w6369f6_ZU")</f>
        <v>spojovat (v-w6369hsa_1017) - substituted with v-w6369f6_ZU</v>
      </c>
    </row>
    <row r="45615" customFormat="false" ht="12.8" hidden="false" customHeight="false" outlineLevel="0" collapsed="false">
      <c r="B45615" s="0" t="s">
        <v>1</v>
      </c>
    </row>
    <row r="45616" customFormat="false" ht="12.8" hidden="false" customHeight="false" outlineLevel="0" collapsed="false">
      <c r="B45616" s="0" t="s">
        <v>8</v>
      </c>
    </row>
    <row r="45617" customFormat="false" ht="12.8" hidden="false" customHeight="false" outlineLevel="0" collapsed="false">
      <c r="B45617" s="0" t="s">
        <v>276</v>
      </c>
    </row>
    <row r="45619" customFormat="false" ht="12.8" hidden="false" customHeight="false" outlineLevel="0" collapsed="false">
      <c r="A45619" s="0" t="s">
        <v>16308</v>
      </c>
      <c r="B45619" s="0" t="str">
        <f aca="false">HYPERLINK("https://lindat.mff.cuni.cz/services/teitok/pdtc10/index.php?action=vallex&amp;frame=v-w6370f4_ZU", "spojovat se (v-w6370f4_ZU)")</f>
        <v>spojovat se (v-w6370f4_ZU)</v>
      </c>
    </row>
    <row r="45620" customFormat="false" ht="12.8" hidden="false" customHeight="false" outlineLevel="0" collapsed="false">
      <c r="B45620" s="0" t="s">
        <v>804</v>
      </c>
    </row>
    <row r="45621" customFormat="false" ht="12.8" hidden="false" customHeight="false" outlineLevel="0" collapsed="false">
      <c r="B45621" s="0" t="s">
        <v>439</v>
      </c>
    </row>
    <row r="45622" customFormat="false" ht="12.8" hidden="false" customHeight="false" outlineLevel="0" collapsed="false">
      <c r="B45622" s="0" t="s">
        <v>3537</v>
      </c>
    </row>
    <row r="45624" customFormat="false" ht="12.8" hidden="false" customHeight="false" outlineLevel="0" collapsed="false">
      <c r="A45624" s="0" t="s">
        <v>16308</v>
      </c>
      <c r="B45624" s="0" t="str">
        <f aca="false">HYPERLINK("https://lindat.mff.cuni.cz/services/teitok/pdtc10/index.php?action=vallex&amp;frame=v-w6370f3_ZU", "spojovat se (v-w6370f3_ZU) - substituted with v-w6370f4_ZU")</f>
        <v>spojovat se (v-w6370f3_ZU) - substituted with v-w6370f4_ZU</v>
      </c>
    </row>
    <row r="45625" customFormat="false" ht="12.8" hidden="false" customHeight="false" outlineLevel="0" collapsed="false">
      <c r="B45625" s="0" t="s">
        <v>804</v>
      </c>
    </row>
    <row r="45626" customFormat="false" ht="12.8" hidden="false" customHeight="false" outlineLevel="0" collapsed="false">
      <c r="B45626" s="0" t="s">
        <v>439</v>
      </c>
    </row>
    <row r="45627" customFormat="false" ht="12.8" hidden="false" customHeight="false" outlineLevel="0" collapsed="false">
      <c r="B45627" s="0" t="s">
        <v>3537</v>
      </c>
    </row>
    <row r="45629" customFormat="false" ht="12.8" hidden="false" customHeight="false" outlineLevel="0" collapsed="false">
      <c r="A45629" s="0" t="s">
        <v>16309</v>
      </c>
      <c r="B45629" s="0" t="str">
        <f aca="false">HYPERLINK("https://lindat.mff.cuni.cz/services/teitok/pdtc10/index.php?action=vallex&amp;frame=v-w6370f1", "spojovat se (v-w6370f1)")</f>
        <v>spojovat se (v-w6370f1)</v>
      </c>
      <c r="E45629" s="0" t="str">
        <f aca="false">HYPERLINK("https://lindat.mff.cuni.cz/services/SynSemClass40/SynSemClass40.html?veclass=vec00318#vec00318-ces-cm00010", "vec00318")</f>
        <v>vec00318</v>
      </c>
      <c r="F45629" s="0" t="s">
        <v>3218</v>
      </c>
    </row>
    <row r="45630" customFormat="false" ht="12.8" hidden="false" customHeight="false" outlineLevel="0" collapsed="false">
      <c r="B45630" s="0" t="s">
        <v>1</v>
      </c>
      <c r="C45630" s="0" t="s">
        <v>3219</v>
      </c>
      <c r="E45630" s="0" t="s">
        <v>2241</v>
      </c>
      <c r="F45630" s="0" t="s">
        <v>3220</v>
      </c>
    </row>
    <row r="45631" customFormat="false" ht="12.8" hidden="false" customHeight="false" outlineLevel="0" collapsed="false">
      <c r="B45631" s="0" t="s">
        <v>721</v>
      </c>
      <c r="C45631" s="0" t="s">
        <v>3221</v>
      </c>
      <c r="E45631" s="0" t="s">
        <v>2665</v>
      </c>
      <c r="F45631" s="0" t="s">
        <v>3222</v>
      </c>
    </row>
    <row r="45632" customFormat="false" ht="12.8" hidden="false" customHeight="false" outlineLevel="0" collapsed="false">
      <c r="B45632" s="0" t="s">
        <v>3026</v>
      </c>
      <c r="C45632" s="0" t="s">
        <v>11056</v>
      </c>
      <c r="E45632" s="0" t="s">
        <v>4858</v>
      </c>
      <c r="F45632" s="0" t="s">
        <v>11057</v>
      </c>
    </row>
    <row r="45634" customFormat="false" ht="12.8" hidden="false" customHeight="false" outlineLevel="0" collapsed="false">
      <c r="A45634" s="0" t="s">
        <v>16310</v>
      </c>
      <c r="B45634" s="0" t="str">
        <f aca="false">HYPERLINK("https://lindat.mff.cuni.cz/services/teitok/pdtc10/index.php?action=vallex&amp;frame=v-w6370f2", "spojovat se (v-w6370f2)")</f>
        <v>spojovat se (v-w6370f2)</v>
      </c>
    </row>
    <row r="45635" customFormat="false" ht="12.8" hidden="false" customHeight="false" outlineLevel="0" collapsed="false">
      <c r="B45635" s="0" t="s">
        <v>1</v>
      </c>
    </row>
    <row r="45636" customFormat="false" ht="12.8" hidden="false" customHeight="false" outlineLevel="0" collapsed="false">
      <c r="B45636" s="0" t="s">
        <v>721</v>
      </c>
    </row>
    <row r="45638" customFormat="false" ht="12.8" hidden="false" customHeight="false" outlineLevel="0" collapsed="false">
      <c r="A45638" s="0" t="s">
        <v>16311</v>
      </c>
      <c r="B45638" s="0" t="str">
        <f aca="false">HYPERLINK("https://lindat.mff.cuni.cz/services/teitok/pdtc10/index.php?action=vallex&amp;frame=v-w6374f1", "spokojit se (v-w6374f1)")</f>
        <v>spokojit se (v-w6374f1)</v>
      </c>
      <c r="E45638" s="0" t="str">
        <f aca="false">HYPERLINK("https://lindat.mff.cuni.cz/services/SynSemClass40/SynSemClass40.html?veclass=vec00724#vec00724-ces-cm00001", "vec00724")</f>
        <v>vec00724</v>
      </c>
      <c r="F45638" s="0" t="s">
        <v>16312</v>
      </c>
    </row>
    <row r="45639" customFormat="false" ht="12.8" hidden="false" customHeight="false" outlineLevel="0" collapsed="false">
      <c r="B45639" s="0" t="s">
        <v>1</v>
      </c>
      <c r="C45639" s="0" t="s">
        <v>512</v>
      </c>
      <c r="E45639" s="0" t="s">
        <v>621</v>
      </c>
      <c r="F45639" s="0" t="s">
        <v>16313</v>
      </c>
    </row>
    <row r="45640" customFormat="false" ht="12.8" hidden="false" customHeight="false" outlineLevel="0" collapsed="false">
      <c r="B45640" s="0" t="s">
        <v>721</v>
      </c>
      <c r="C45640" s="0" t="s">
        <v>7578</v>
      </c>
      <c r="E45640" s="0" t="s">
        <v>12997</v>
      </c>
      <c r="F45640" s="0" t="s">
        <v>16314</v>
      </c>
    </row>
    <row r="45642" customFormat="false" ht="12.8" hidden="false" customHeight="false" outlineLevel="0" collapsed="false">
      <c r="A45642" s="0" t="s">
        <v>16315</v>
      </c>
      <c r="B45642" s="0" t="str">
        <f aca="false">HYPERLINK("https://lindat.mff.cuni.cz/services/teitok/pdtc10/index.php?action=vallex&amp;frame=v-w6375f1", "spokojovat se (v-w6375f1)")</f>
        <v>spokojovat se (v-w6375f1)</v>
      </c>
      <c r="E45642" s="0" t="str">
        <f aca="false">HYPERLINK("https://lindat.mff.cuni.cz/services/SynSemClass40/SynSemClass40.html?veclass=vec00724#vec00724-ces-cm00007", "vec00724")</f>
        <v>vec00724</v>
      </c>
      <c r="F45642" s="0" t="s">
        <v>16312</v>
      </c>
    </row>
    <row r="45643" customFormat="false" ht="12.8" hidden="false" customHeight="false" outlineLevel="0" collapsed="false">
      <c r="B45643" s="0" t="s">
        <v>1</v>
      </c>
      <c r="C45643" s="0" t="s">
        <v>512</v>
      </c>
      <c r="E45643" s="0" t="s">
        <v>621</v>
      </c>
      <c r="F45643" s="0" t="s">
        <v>16313</v>
      </c>
    </row>
    <row r="45644" customFormat="false" ht="12.8" hidden="false" customHeight="false" outlineLevel="0" collapsed="false">
      <c r="B45644" s="0" t="s">
        <v>721</v>
      </c>
      <c r="C45644" s="0" t="s">
        <v>7578</v>
      </c>
      <c r="E45644" s="0" t="s">
        <v>12997</v>
      </c>
      <c r="F45644" s="0" t="s">
        <v>16314</v>
      </c>
    </row>
    <row r="45646" customFormat="false" ht="12.8" hidden="false" customHeight="false" outlineLevel="0" collapsed="false">
      <c r="A45646" s="0" t="s">
        <v>16316</v>
      </c>
      <c r="B45646" s="0" t="str">
        <f aca="false">HYPERLINK("https://lindat.mff.cuni.cz/services/teitok/pdtc10/index.php?action=vallex&amp;frame=v-w6384f2_ZU", "spolehnout se (v-w6384f2_ZU)")</f>
        <v>spolehnout se (v-w6384f2_ZU)</v>
      </c>
      <c r="E45646" s="0" t="str">
        <f aca="false">HYPERLINK("https://lindat.mff.cuni.cz/services/SynSemClass40/SynSemClass40.html?veclass=vec00520#vec00520-ces-cm00007", "vec00520")</f>
        <v>vec00520</v>
      </c>
      <c r="F45646" s="0" t="s">
        <v>9897</v>
      </c>
    </row>
    <row r="45647" customFormat="false" ht="12.8" hidden="false" customHeight="false" outlineLevel="0" collapsed="false">
      <c r="B45647" s="0" t="s">
        <v>1</v>
      </c>
      <c r="C45647" s="0" t="s">
        <v>9898</v>
      </c>
      <c r="E45647" s="0" t="s">
        <v>9899</v>
      </c>
      <c r="F45647" s="0" t="s">
        <v>9900</v>
      </c>
    </row>
    <row r="45648" customFormat="false" ht="12.8" hidden="false" customHeight="false" outlineLevel="0" collapsed="false">
      <c r="B45648" s="0" t="s">
        <v>8939</v>
      </c>
      <c r="C45648" s="0" t="s">
        <v>9901</v>
      </c>
      <c r="E45648" s="0" t="s">
        <v>9902</v>
      </c>
      <c r="F45648" s="0" t="s">
        <v>9903</v>
      </c>
    </row>
    <row r="45650" customFormat="false" ht="12.8" hidden="false" customHeight="false" outlineLevel="0" collapsed="false">
      <c r="A45650" s="0" t="s">
        <v>16316</v>
      </c>
      <c r="B45650" s="0" t="str">
        <f aca="false">HYPERLINK("https://lindat.mff.cuni.cz/services/teitok/pdtc10/index.php?action=vallex&amp;frame=v-w6384f1", "spolehnout se (v-w6384f1) - substituted with v-w6384f2_ZU")</f>
        <v>spolehnout se (v-w6384f1) - substituted with v-w6384f2_ZU</v>
      </c>
    </row>
    <row r="45651" customFormat="false" ht="12.8" hidden="false" customHeight="false" outlineLevel="0" collapsed="false">
      <c r="B45651" s="0" t="s">
        <v>1</v>
      </c>
    </row>
    <row r="45652" customFormat="false" ht="12.8" hidden="false" customHeight="false" outlineLevel="0" collapsed="false">
      <c r="B45652" s="0" t="s">
        <v>8939</v>
      </c>
    </row>
    <row r="45654" customFormat="false" ht="12.8" hidden="false" customHeight="false" outlineLevel="0" collapsed="false">
      <c r="A45654" s="0" t="s">
        <v>16317</v>
      </c>
      <c r="B45654" s="0" t="str">
        <f aca="false">HYPERLINK("https://lindat.mff.cuni.cz/services/teitok/pdtc10/index.php?action=vallex&amp;frame=v-w6384hsa_584", "spolehnout se (v-w6384hsa_584)")</f>
        <v>spolehnout se (v-w6384hsa_584)</v>
      </c>
    </row>
    <row r="45655" customFormat="false" ht="12.8" hidden="false" customHeight="false" outlineLevel="0" collapsed="false">
      <c r="B45655" s="0" t="s">
        <v>1</v>
      </c>
    </row>
    <row r="45656" customFormat="false" ht="12.8" hidden="false" customHeight="false" outlineLevel="0" collapsed="false">
      <c r="B45656" s="0" t="s">
        <v>162</v>
      </c>
    </row>
    <row r="45657" customFormat="false" ht="12.8" hidden="false" customHeight="false" outlineLevel="0" collapsed="false">
      <c r="B45657" s="0" t="s">
        <v>3382</v>
      </c>
    </row>
    <row r="45659" customFormat="false" ht="12.8" hidden="false" customHeight="false" outlineLevel="0" collapsed="false">
      <c r="A45659" s="0" t="s">
        <v>16318</v>
      </c>
      <c r="B45659" s="0" t="str">
        <f aca="false">HYPERLINK("https://lindat.mff.cuni.cz/services/teitok/pdtc10/index.php?action=vallex&amp;frame=v-w6385f1", "spolknout (v-w6385f1)")</f>
        <v>spolknout (v-w6385f1)</v>
      </c>
    </row>
    <row r="45660" customFormat="false" ht="12.8" hidden="false" customHeight="false" outlineLevel="0" collapsed="false">
      <c r="B45660" s="0" t="s">
        <v>1</v>
      </c>
    </row>
    <row r="45661" customFormat="false" ht="12.8" hidden="false" customHeight="false" outlineLevel="0" collapsed="false">
      <c r="B45661" s="0" t="s">
        <v>8</v>
      </c>
    </row>
    <row r="45663" customFormat="false" ht="12.8" hidden="false" customHeight="false" outlineLevel="0" collapsed="false">
      <c r="A45663" s="0" t="s">
        <v>16319</v>
      </c>
      <c r="B45663" s="0" t="str">
        <f aca="false">HYPERLINK("https://lindat.mff.cuni.cz/services/teitok/pdtc10/index.php?action=vallex&amp;frame=v-w6385f2_ZU", "spolknout (v-w6385f2_ZU)")</f>
        <v>spolknout (v-w6385f2_ZU)</v>
      </c>
    </row>
    <row r="45664" customFormat="false" ht="12.8" hidden="false" customHeight="false" outlineLevel="0" collapsed="false">
      <c r="B45664" s="0" t="s">
        <v>1</v>
      </c>
    </row>
    <row r="45665" customFormat="false" ht="12.8" hidden="false" customHeight="false" outlineLevel="0" collapsed="false">
      <c r="B45665" s="0" t="s">
        <v>8</v>
      </c>
    </row>
    <row r="45667" customFormat="false" ht="12.8" hidden="false" customHeight="false" outlineLevel="0" collapsed="false">
      <c r="A45667" s="0" t="s">
        <v>16320</v>
      </c>
      <c r="B45667" s="0" t="str">
        <f aca="false">HYPERLINK("https://lindat.mff.cuni.cz/services/teitok/pdtc10/index.php?action=vallex&amp;frame=v-w6385hsa_1881", "spolknout (v-w6385hsa_1881)")</f>
        <v>spolknout (v-w6385hsa_1881)</v>
      </c>
    </row>
    <row r="45668" customFormat="false" ht="12.8" hidden="false" customHeight="false" outlineLevel="0" collapsed="false">
      <c r="B45668" s="0" t="s">
        <v>1</v>
      </c>
    </row>
    <row r="45669" customFormat="false" ht="12.8" hidden="false" customHeight="false" outlineLevel="0" collapsed="false">
      <c r="B45669" s="0" t="s">
        <v>8</v>
      </c>
    </row>
    <row r="45671" customFormat="false" ht="12.8" hidden="false" customHeight="false" outlineLevel="0" collapsed="false">
      <c r="A45671" s="0" t="s">
        <v>16321</v>
      </c>
      <c r="B45671" s="0" t="str">
        <f aca="false">HYPERLINK("https://lindat.mff.cuni.cz/services/teitok/pdtc10/index.php?action=vallex&amp;frame=v-w6385hsa_1882", "spolknout (v-w6385hsa_1882)")</f>
        <v>spolknout (v-w6385hsa_1882)</v>
      </c>
    </row>
    <row r="45672" customFormat="false" ht="12.8" hidden="false" customHeight="false" outlineLevel="0" collapsed="false">
      <c r="B45672" s="0" t="s">
        <v>1</v>
      </c>
    </row>
    <row r="45673" customFormat="false" ht="12.8" hidden="false" customHeight="false" outlineLevel="0" collapsed="false">
      <c r="B45673" s="0" t="s">
        <v>305</v>
      </c>
    </row>
    <row r="45675" customFormat="false" ht="12.8" hidden="false" customHeight="false" outlineLevel="0" collapsed="false">
      <c r="A45675" s="0" t="s">
        <v>16322</v>
      </c>
      <c r="B45675" s="0" t="str">
        <f aca="false">HYPERLINK("https://lindat.mff.cuni.cz/services/teitok/pdtc10/index.php?action=vallex&amp;frame=v-w6387f1", "spolufinancovat (v-w6387f1)")</f>
        <v>spolufinancovat (v-w6387f1)</v>
      </c>
    </row>
    <row r="45676" customFormat="false" ht="12.8" hidden="false" customHeight="false" outlineLevel="0" collapsed="false">
      <c r="B45676" s="0" t="s">
        <v>1</v>
      </c>
    </row>
    <row r="45677" customFormat="false" ht="12.8" hidden="false" customHeight="false" outlineLevel="0" collapsed="false">
      <c r="B45677" s="0" t="s">
        <v>8</v>
      </c>
    </row>
    <row r="45679" customFormat="false" ht="12.8" hidden="false" customHeight="false" outlineLevel="0" collapsed="false">
      <c r="A45679" s="0" t="s">
        <v>16323</v>
      </c>
      <c r="B45679" s="0" t="str">
        <f aca="false">HYPERLINK("https://lindat.mff.cuni.cz/services/teitok/pdtc10/index.php?action=vallex&amp;frame=v-w6392f1", "spolupodílet se (v-w6392f1)")</f>
        <v>spolupodílet se (v-w6392f1)</v>
      </c>
    </row>
    <row r="45680" customFormat="false" ht="12.8" hidden="false" customHeight="false" outlineLevel="0" collapsed="false">
      <c r="B45680" s="0" t="s">
        <v>1</v>
      </c>
    </row>
    <row r="45681" customFormat="false" ht="12.8" hidden="false" customHeight="false" outlineLevel="0" collapsed="false">
      <c r="B45681" s="0" t="s">
        <v>291</v>
      </c>
    </row>
    <row r="45683" customFormat="false" ht="12.8" hidden="false" customHeight="false" outlineLevel="0" collapsed="false">
      <c r="A45683" s="0" t="s">
        <v>16324</v>
      </c>
      <c r="B45683" s="0" t="str">
        <f aca="false">HYPERLINK("https://lindat.mff.cuni.cz/services/teitok/pdtc10/index.php?action=vallex&amp;frame=v-w6394f1", "spolupracovat (v-w6394f1)")</f>
        <v>spolupracovat (v-w6394f1)</v>
      </c>
      <c r="E45683" s="0" t="str">
        <f aca="false">HYPERLINK("https://lindat.mff.cuni.cz/services/SynSemClass40/SynSemClass40.html?veclass=vec00319#vec00319-ces-cm00001", "vec00319")</f>
        <v>vec00319</v>
      </c>
      <c r="F45683" s="0" t="s">
        <v>5413</v>
      </c>
    </row>
    <row r="45684" customFormat="false" ht="12.8" hidden="false" customHeight="false" outlineLevel="0" collapsed="false">
      <c r="B45684" s="0" t="s">
        <v>1</v>
      </c>
      <c r="C45684" s="0" t="s">
        <v>5414</v>
      </c>
      <c r="E45684" s="0" t="s">
        <v>2241</v>
      </c>
      <c r="F45684" s="0" t="s">
        <v>5415</v>
      </c>
    </row>
    <row r="45685" customFormat="false" ht="12.8" hidden="false" customHeight="false" outlineLevel="0" collapsed="false">
      <c r="B45685" s="0" t="s">
        <v>5416</v>
      </c>
      <c r="C45685" s="0" t="s">
        <v>5417</v>
      </c>
      <c r="E45685" s="0" t="s">
        <v>2247</v>
      </c>
      <c r="F45685" s="0" t="s">
        <v>5418</v>
      </c>
    </row>
    <row r="45686" customFormat="false" ht="12.8" hidden="false" customHeight="false" outlineLevel="0" collapsed="false">
      <c r="B45686" s="0" t="s">
        <v>5419</v>
      </c>
      <c r="C45686" s="0" t="s">
        <v>5420</v>
      </c>
      <c r="E45686" s="0" t="s">
        <v>5421</v>
      </c>
      <c r="F45686" s="0" t="s">
        <v>5422</v>
      </c>
    </row>
    <row r="45688" customFormat="false" ht="12.8" hidden="false" customHeight="false" outlineLevel="0" collapsed="false">
      <c r="A45688" s="0" t="s">
        <v>16325</v>
      </c>
      <c r="B45688" s="0" t="str">
        <f aca="false">HYPERLINK("https://lindat.mff.cuni.cz/services/teitok/pdtc10/index.php?action=vallex&amp;frame=v-w6397f1", "spolupůsobit (v-w6397f1)")</f>
        <v>spolupůsobit (v-w6397f1)</v>
      </c>
    </row>
    <row r="45689" customFormat="false" ht="12.8" hidden="false" customHeight="false" outlineLevel="0" collapsed="false">
      <c r="B45689" s="0" t="s">
        <v>1</v>
      </c>
    </row>
    <row r="45690" customFormat="false" ht="12.8" hidden="false" customHeight="false" outlineLevel="0" collapsed="false">
      <c r="B45690" s="0" t="s">
        <v>5</v>
      </c>
    </row>
    <row r="45692" customFormat="false" ht="12.8" hidden="false" customHeight="false" outlineLevel="0" collapsed="false">
      <c r="A45692" s="0" t="s">
        <v>16326</v>
      </c>
      <c r="B45692" s="0" t="str">
        <f aca="false">HYPERLINK("https://lindat.mff.cuni.cz/services/teitok/pdtc10/index.php?action=vallex&amp;frame=v-w10495f2", "spolusponzorovat (v-w10495f2)")</f>
        <v>spolusponzorovat (v-w10495f2)</v>
      </c>
    </row>
    <row r="45693" customFormat="false" ht="12.8" hidden="false" customHeight="false" outlineLevel="0" collapsed="false">
      <c r="B45693" s="0" t="s">
        <v>1</v>
      </c>
    </row>
    <row r="45694" customFormat="false" ht="12.8" hidden="false" customHeight="false" outlineLevel="0" collapsed="false">
      <c r="B45694" s="0" t="s">
        <v>8</v>
      </c>
    </row>
    <row r="45696" customFormat="false" ht="12.8" hidden="false" customHeight="false" outlineLevel="0" collapsed="false">
      <c r="A45696" s="0" t="s">
        <v>16327</v>
      </c>
      <c r="B45696" s="0" t="str">
        <f aca="false">HYPERLINK("https://lindat.mff.cuni.cz/services/teitok/pdtc10/index.php?action=vallex&amp;frame=v-whsa_1218hsa_1219", "spoluspravovat (v-whsa_1218hsa_1219)")</f>
        <v>spoluspravovat (v-whsa_1218hsa_1219)</v>
      </c>
      <c r="E45696" s="0" t="str">
        <f aca="false">HYPERLINK("https://lindat.mff.cuni.cz/services/SynSemClass40/SynSemClass40.html?veclass=vec00277#vec00277-ces-cm00148", "vec00277")</f>
        <v>vec00277</v>
      </c>
      <c r="F45696" s="0" t="s">
        <v>2025</v>
      </c>
      <c r="H45696" s="0" t="str">
        <f aca="false">HYPERLINK("https://lindat.mff.cuni.cz/services/SynSemClass40/SynSemClass40.html?veclass=vec00302#vec00302-ces-cm00114", "vec00302")</f>
        <v>vec00302</v>
      </c>
      <c r="I45696" s="0" t="s">
        <v>1991</v>
      </c>
    </row>
    <row r="45697" customFormat="false" ht="12.8" hidden="false" customHeight="false" outlineLevel="0" collapsed="false">
      <c r="B45697" s="0" t="s">
        <v>1</v>
      </c>
      <c r="C45697" s="0" t="s">
        <v>16328</v>
      </c>
      <c r="E45697" s="0" t="s">
        <v>2027</v>
      </c>
      <c r="F45697" s="0" t="s">
        <v>2028</v>
      </c>
      <c r="H45697" s="0" t="s">
        <v>206</v>
      </c>
      <c r="I45697" s="0" t="s">
        <v>1993</v>
      </c>
    </row>
    <row r="45698" customFormat="false" ht="12.8" hidden="false" customHeight="false" outlineLevel="0" collapsed="false">
      <c r="B45698" s="0" t="s">
        <v>8</v>
      </c>
      <c r="C45698" s="0" t="s">
        <v>16329</v>
      </c>
      <c r="E45698" s="0" t="s">
        <v>1995</v>
      </c>
      <c r="F45698" s="0" t="s">
        <v>2030</v>
      </c>
      <c r="H45698" s="0" t="s">
        <v>1995</v>
      </c>
      <c r="I45698" s="0" t="s">
        <v>1996</v>
      </c>
    </row>
    <row r="45699" customFormat="false" ht="12.8" hidden="false" customHeight="false" outlineLevel="0" collapsed="false">
      <c r="B45699" s="0" t="s">
        <v>276</v>
      </c>
      <c r="C45699" s="0" t="s">
        <v>16330</v>
      </c>
      <c r="E45699" s="0" t="s">
        <v>16331</v>
      </c>
      <c r="F45699" s="0" t="s">
        <v>16332</v>
      </c>
      <c r="H45699" s="0" t="s">
        <v>8489</v>
      </c>
      <c r="I45699" s="0" t="s">
        <v>16333</v>
      </c>
    </row>
    <row r="45701" customFormat="false" ht="12.8" hidden="false" customHeight="false" outlineLevel="0" collapsed="false">
      <c r="A45701" s="0" t="s">
        <v>16334</v>
      </c>
      <c r="B45701" s="0" t="str">
        <f aca="false">HYPERLINK("https://lindat.mff.cuni.cz/services/teitok/pdtc10/index.php?action=vallex&amp;frame=v-w6403f1", "spoluvytvářet (v-w6403f1)")</f>
        <v>spoluvytvářet (v-w6403f1)</v>
      </c>
    </row>
    <row r="45702" customFormat="false" ht="12.8" hidden="false" customHeight="false" outlineLevel="0" collapsed="false">
      <c r="B45702" s="0" t="s">
        <v>1</v>
      </c>
    </row>
    <row r="45703" customFormat="false" ht="12.8" hidden="false" customHeight="false" outlineLevel="0" collapsed="false">
      <c r="B45703" s="0" t="s">
        <v>8</v>
      </c>
    </row>
    <row r="45704" customFormat="false" ht="12.8" hidden="false" customHeight="false" outlineLevel="0" collapsed="false">
      <c r="B45704" s="0" t="s">
        <v>36</v>
      </c>
    </row>
    <row r="45706" customFormat="false" ht="12.8" hidden="false" customHeight="false" outlineLevel="0" collapsed="false">
      <c r="A45706" s="0" t="s">
        <v>16335</v>
      </c>
      <c r="B45706" s="0" t="str">
        <f aca="false">HYPERLINK("https://lindat.mff.cuni.cz/services/teitok/pdtc10/index.php?action=vallex&amp;frame=v-w6404f1", "spoluzahájit (v-w6404f1)")</f>
        <v>spoluzahájit (v-w6404f1)</v>
      </c>
    </row>
    <row r="45707" customFormat="false" ht="12.8" hidden="false" customHeight="false" outlineLevel="0" collapsed="false">
      <c r="B45707" s="0" t="s">
        <v>1</v>
      </c>
    </row>
    <row r="45708" customFormat="false" ht="12.8" hidden="false" customHeight="false" outlineLevel="0" collapsed="false">
      <c r="B45708" s="0" t="s">
        <v>8</v>
      </c>
    </row>
    <row r="45710" customFormat="false" ht="12.8" hidden="false" customHeight="false" outlineLevel="0" collapsed="false">
      <c r="A45710" s="0" t="s">
        <v>16336</v>
      </c>
      <c r="B45710" s="0" t="str">
        <f aca="false">HYPERLINK("https://lindat.mff.cuni.cz/services/teitok/pdtc10/index.php?action=vallex&amp;frame=v-w10126f2", "spoluzajišťovat (v-w10126f2)")</f>
        <v>spoluzajišťovat (v-w10126f2)</v>
      </c>
      <c r="E45710" s="0" t="str">
        <f aca="false">HYPERLINK("https://lindat.mff.cuni.cz/services/SynSemClass40/SynSemClass40.html?veclass=vec00178#vec00178-ces-cm00127", "vec00178")</f>
        <v>vec00178</v>
      </c>
      <c r="F45710" s="0" t="s">
        <v>8586</v>
      </c>
      <c r="H45710" s="0" t="str">
        <f aca="false">HYPERLINK("https://lindat.mff.cuni.cz/services/SynSemClass40/SynSemClass40.html?veclass=vec00511#vec00511-ces-cm00042", "vec00511")</f>
        <v>vec00511</v>
      </c>
      <c r="I45710" s="0" t="s">
        <v>3726</v>
      </c>
    </row>
    <row r="45711" customFormat="false" ht="12.8" hidden="false" customHeight="false" outlineLevel="0" collapsed="false">
      <c r="B45711" s="0" t="s">
        <v>1</v>
      </c>
      <c r="C45711" s="0" t="s">
        <v>16337</v>
      </c>
      <c r="E45711" s="0" t="s">
        <v>31</v>
      </c>
      <c r="F45711" s="0" t="s">
        <v>8587</v>
      </c>
      <c r="H45711" s="0" t="s">
        <v>206</v>
      </c>
      <c r="I45711" s="0" t="s">
        <v>3728</v>
      </c>
    </row>
    <row r="45712" customFormat="false" ht="12.8" hidden="false" customHeight="false" outlineLevel="0" collapsed="false">
      <c r="B45712" s="0" t="s">
        <v>7589</v>
      </c>
      <c r="C45712" s="0" t="s">
        <v>16338</v>
      </c>
      <c r="E45712" s="0" t="s">
        <v>34</v>
      </c>
      <c r="F45712" s="0" t="s">
        <v>8589</v>
      </c>
      <c r="H45712" s="0" t="s">
        <v>4209</v>
      </c>
      <c r="I45712" s="0" t="s">
        <v>4210</v>
      </c>
    </row>
    <row r="45713" customFormat="false" ht="12.8" hidden="false" customHeight="false" outlineLevel="0" collapsed="false">
      <c r="B45713" s="0" t="s">
        <v>2410</v>
      </c>
      <c r="C45713" s="0" t="s">
        <v>16339</v>
      </c>
      <c r="E45713" s="0" t="s">
        <v>1392</v>
      </c>
      <c r="F45713" s="0" t="s">
        <v>11508</v>
      </c>
      <c r="H45713" s="0" t="s">
        <v>3734</v>
      </c>
      <c r="I45713" s="0" t="s">
        <v>3735</v>
      </c>
    </row>
    <row r="45715" customFormat="false" ht="12.8" hidden="false" customHeight="false" outlineLevel="0" collapsed="false">
      <c r="A45715" s="0" t="s">
        <v>16340</v>
      </c>
      <c r="B45715" s="0" t="str">
        <f aca="false">HYPERLINK("https://lindat.mff.cuni.cz/services/teitok/pdtc10/index.php?action=vallex&amp;frame=v-w10894f2", "spoluzaložit (v-w10894f2)")</f>
        <v>spoluzaložit (v-w10894f2)</v>
      </c>
      <c r="E45715" s="0" t="str">
        <f aca="false">HYPERLINK("https://lindat.mff.cuni.cz/services/SynSemClass40/SynSemClass40.html?veclass=vec00179#vec00179-ces-cm00131", "vec00179")</f>
        <v>vec00179</v>
      </c>
      <c r="F45715" s="0" t="s">
        <v>779</v>
      </c>
    </row>
    <row r="45716" customFormat="false" ht="12.8" hidden="false" customHeight="false" outlineLevel="0" collapsed="false">
      <c r="B45716" s="0" t="s">
        <v>1</v>
      </c>
      <c r="C45716" s="0" t="s">
        <v>14765</v>
      </c>
      <c r="E45716" s="0" t="s">
        <v>768</v>
      </c>
      <c r="F45716" s="0" t="s">
        <v>782</v>
      </c>
    </row>
    <row r="45717" customFormat="false" ht="12.8" hidden="false" customHeight="false" outlineLevel="0" collapsed="false">
      <c r="B45717" s="0" t="s">
        <v>8</v>
      </c>
      <c r="C45717" s="0" t="s">
        <v>14766</v>
      </c>
      <c r="E45717" s="0" t="s">
        <v>771</v>
      </c>
      <c r="F45717" s="0" t="s">
        <v>785</v>
      </c>
    </row>
    <row r="45718" customFormat="false" ht="12.8" hidden="false" customHeight="false" outlineLevel="0" collapsed="false">
      <c r="B45718" s="0" t="s">
        <v>16341</v>
      </c>
      <c r="C45718" s="0" t="s">
        <v>14767</v>
      </c>
      <c r="E45718" s="0" t="s">
        <v>787</v>
      </c>
      <c r="F45718" s="0" t="s">
        <v>789</v>
      </c>
    </row>
    <row r="45720" customFormat="false" ht="12.8" hidden="false" customHeight="false" outlineLevel="0" collapsed="false">
      <c r="A45720" s="0" t="s">
        <v>16342</v>
      </c>
      <c r="B45720" s="0" t="str">
        <f aca="false">HYPERLINK("https://lindat.mff.cuni.cz/services/teitok/pdtc10/index.php?action=vallex&amp;frame=v-w6407f1", "spolužít (v-w6407f1)")</f>
        <v>spolužít (v-w6407f1)</v>
      </c>
    </row>
    <row r="45721" customFormat="false" ht="12.8" hidden="false" customHeight="false" outlineLevel="0" collapsed="false">
      <c r="B45721" s="0" t="s">
        <v>1</v>
      </c>
    </row>
    <row r="45722" customFormat="false" ht="12.8" hidden="false" customHeight="false" outlineLevel="0" collapsed="false">
      <c r="B45722" s="0" t="s">
        <v>721</v>
      </c>
    </row>
    <row r="45724" customFormat="false" ht="12.8" hidden="false" customHeight="false" outlineLevel="0" collapsed="false">
      <c r="A45724" s="0" t="s">
        <v>16343</v>
      </c>
      <c r="B45724" s="0" t="str">
        <f aca="false">HYPERLINK("https://lindat.mff.cuni.cz/services/teitok/pdtc10/index.php?action=vallex&amp;frame=v-w6408f1", "spolykat (v-w6408f1)")</f>
        <v>spolykat (v-w6408f1)</v>
      </c>
    </row>
    <row r="45725" customFormat="false" ht="12.8" hidden="false" customHeight="false" outlineLevel="0" collapsed="false">
      <c r="B45725" s="0" t="s">
        <v>1</v>
      </c>
    </row>
    <row r="45726" customFormat="false" ht="12.8" hidden="false" customHeight="false" outlineLevel="0" collapsed="false">
      <c r="B45726" s="0" t="s">
        <v>8</v>
      </c>
    </row>
    <row r="45728" customFormat="false" ht="12.8" hidden="false" customHeight="false" outlineLevel="0" collapsed="false">
      <c r="A45728" s="0" t="s">
        <v>16344</v>
      </c>
      <c r="B45728" s="0" t="str">
        <f aca="false">HYPERLINK("https://lindat.mff.cuni.cz/services/teitok/pdtc10/index.php?action=vallex&amp;frame=v-w6382f2_ZU", "spoléhat (v-w6382f2_ZU)")</f>
        <v>spoléhat (v-w6382f2_ZU)</v>
      </c>
      <c r="E45728" s="0" t="str">
        <f aca="false">HYPERLINK("https://lindat.mff.cuni.cz/services/SynSemClass40/SynSemClass40.html?veclass=vec00520#vec00520-ces-cm00001", "vec00520")</f>
        <v>vec00520</v>
      </c>
      <c r="F45728" s="0" t="s">
        <v>9897</v>
      </c>
    </row>
    <row r="45729" customFormat="false" ht="12.8" hidden="false" customHeight="false" outlineLevel="0" collapsed="false">
      <c r="B45729" s="0" t="s">
        <v>1</v>
      </c>
      <c r="C45729" s="0" t="s">
        <v>9898</v>
      </c>
      <c r="E45729" s="0" t="s">
        <v>9899</v>
      </c>
      <c r="F45729" s="0" t="s">
        <v>9900</v>
      </c>
    </row>
    <row r="45730" customFormat="false" ht="12.8" hidden="false" customHeight="false" outlineLevel="0" collapsed="false">
      <c r="B45730" s="0" t="s">
        <v>8939</v>
      </c>
      <c r="C45730" s="0" t="s">
        <v>9901</v>
      </c>
      <c r="E45730" s="0" t="s">
        <v>9902</v>
      </c>
      <c r="F45730" s="0" t="s">
        <v>9903</v>
      </c>
    </row>
    <row r="45732" customFormat="false" ht="12.8" hidden="false" customHeight="false" outlineLevel="0" collapsed="false">
      <c r="A45732" s="0" t="s">
        <v>16344</v>
      </c>
      <c r="B45732" s="0" t="str">
        <f aca="false">HYPERLINK("https://lindat.mff.cuni.cz/services/teitok/pdtc10/index.php?action=vallex&amp;frame=v-w6382f1", "spoléhat (v-w6382f1) - substituted with v-w6382f2_ZU")</f>
        <v>spoléhat (v-w6382f1) - substituted with v-w6382f2_ZU</v>
      </c>
    </row>
    <row r="45733" customFormat="false" ht="12.8" hidden="false" customHeight="false" outlineLevel="0" collapsed="false">
      <c r="B45733" s="0" t="s">
        <v>1</v>
      </c>
    </row>
    <row r="45734" customFormat="false" ht="12.8" hidden="false" customHeight="false" outlineLevel="0" collapsed="false">
      <c r="B45734" s="0" t="s">
        <v>8939</v>
      </c>
    </row>
    <row r="45736" customFormat="false" ht="12.8" hidden="false" customHeight="false" outlineLevel="0" collapsed="false">
      <c r="A45736" s="0" t="s">
        <v>16345</v>
      </c>
      <c r="B45736" s="0" t="str">
        <f aca="false">HYPERLINK("https://lindat.mff.cuni.cz/services/teitok/pdtc10/index.php?action=vallex&amp;frame=v-w6383f2_ZU", "spoléhat se (v-w6383f2_ZU)")</f>
        <v>spoléhat se (v-w6383f2_ZU)</v>
      </c>
      <c r="E45736" s="0" t="str">
        <f aca="false">HYPERLINK("https://lindat.mff.cuni.cz/services/SynSemClass40/SynSemClass40.html?veclass=vec00520#vec00520-ces-cm00005", "vec00520")</f>
        <v>vec00520</v>
      </c>
      <c r="F45736" s="0" t="s">
        <v>9897</v>
      </c>
    </row>
    <row r="45737" customFormat="false" ht="12.8" hidden="false" customHeight="false" outlineLevel="0" collapsed="false">
      <c r="B45737" s="0" t="s">
        <v>1</v>
      </c>
      <c r="C45737" s="0" t="s">
        <v>9898</v>
      </c>
      <c r="E45737" s="0" t="s">
        <v>9899</v>
      </c>
      <c r="F45737" s="0" t="s">
        <v>9900</v>
      </c>
    </row>
    <row r="45738" customFormat="false" ht="12.8" hidden="false" customHeight="false" outlineLevel="0" collapsed="false">
      <c r="B45738" s="0" t="s">
        <v>8939</v>
      </c>
      <c r="C45738" s="0" t="s">
        <v>9901</v>
      </c>
      <c r="E45738" s="0" t="s">
        <v>9902</v>
      </c>
      <c r="F45738" s="0" t="s">
        <v>9903</v>
      </c>
    </row>
    <row r="45740" customFormat="false" ht="12.8" hidden="false" customHeight="false" outlineLevel="0" collapsed="false">
      <c r="A45740" s="0" t="s">
        <v>16345</v>
      </c>
      <c r="B45740" s="0" t="str">
        <f aca="false">HYPERLINK("https://lindat.mff.cuni.cz/services/teitok/pdtc10/index.php?action=vallex&amp;frame=v-w6383f1", "spoléhat se (v-w6383f1) - substituted with v-w6383f2_ZU")</f>
        <v>spoléhat se (v-w6383f1) - substituted with v-w6383f2_ZU</v>
      </c>
    </row>
    <row r="45741" customFormat="false" ht="12.8" hidden="false" customHeight="false" outlineLevel="0" collapsed="false">
      <c r="B45741" s="0" t="s">
        <v>1</v>
      </c>
    </row>
    <row r="45742" customFormat="false" ht="12.8" hidden="false" customHeight="false" outlineLevel="0" collapsed="false">
      <c r="B45742" s="0" t="s">
        <v>8939</v>
      </c>
    </row>
    <row r="45744" customFormat="false" ht="12.8" hidden="false" customHeight="false" outlineLevel="0" collapsed="false">
      <c r="A45744" s="0" t="s">
        <v>16346</v>
      </c>
      <c r="B45744" s="0" t="str">
        <f aca="false">HYPERLINK("https://lindat.mff.cuni.cz/services/teitok/pdtc10/index.php?action=vallex&amp;frame=v-w6383hsa_143", "spoléhat se (v-w6383hsa_143)")</f>
        <v>spoléhat se (v-w6383hsa_143)</v>
      </c>
    </row>
    <row r="45745" customFormat="false" ht="12.8" hidden="false" customHeight="false" outlineLevel="0" collapsed="false">
      <c r="B45745" s="0" t="s">
        <v>1</v>
      </c>
    </row>
    <row r="45746" customFormat="false" ht="12.8" hidden="false" customHeight="false" outlineLevel="0" collapsed="false">
      <c r="B45746" s="0" t="s">
        <v>162</v>
      </c>
    </row>
    <row r="45747" customFormat="false" ht="12.8" hidden="false" customHeight="false" outlineLevel="0" collapsed="false">
      <c r="B45747" s="0" t="s">
        <v>3382</v>
      </c>
    </row>
    <row r="45749" customFormat="false" ht="12.8" hidden="false" customHeight="false" outlineLevel="0" collapsed="false">
      <c r="A45749" s="0" t="s">
        <v>16347</v>
      </c>
      <c r="B45749" s="0" t="str">
        <f aca="false">HYPERLINK("https://lindat.mff.cuni.cz/services/teitok/pdtc10/index.php?action=vallex&amp;frame=v-w6377f1", "spolčit se (v-w6377f1)")</f>
        <v>spolčit se (v-w6377f1)</v>
      </c>
    </row>
    <row r="45750" customFormat="false" ht="12.8" hidden="false" customHeight="false" outlineLevel="0" collapsed="false">
      <c r="B45750" s="0" t="s">
        <v>1</v>
      </c>
    </row>
    <row r="45751" customFormat="false" ht="12.8" hidden="false" customHeight="false" outlineLevel="0" collapsed="false">
      <c r="B45751" s="0" t="s">
        <v>276</v>
      </c>
    </row>
    <row r="45752" customFormat="false" ht="12.8" hidden="false" customHeight="false" outlineLevel="0" collapsed="false">
      <c r="B45752" s="0" t="s">
        <v>1909</v>
      </c>
    </row>
    <row r="45754" customFormat="false" ht="12.8" hidden="false" customHeight="false" outlineLevel="0" collapsed="false">
      <c r="A45754" s="0" t="s">
        <v>16348</v>
      </c>
      <c r="B45754" s="0" t="str">
        <f aca="false">HYPERLINK("https://lindat.mff.cuni.cz/services/teitok/pdtc10/index.php?action=vallex&amp;frame=v-w6411f1", "sponzorovat (v-w6411f1)")</f>
        <v>sponzorovat (v-w6411f1)</v>
      </c>
      <c r="E45754" s="0" t="str">
        <f aca="false">HYPERLINK("https://lindat.mff.cuni.cz/services/SynSemClass40/SynSemClass40.html?veclass=vec00410#vec00410-ces-cm00008", "vec00410")</f>
        <v>vec00410</v>
      </c>
      <c r="F45754" s="0" t="s">
        <v>3019</v>
      </c>
    </row>
    <row r="45755" customFormat="false" ht="12.8" hidden="false" customHeight="false" outlineLevel="0" collapsed="false">
      <c r="B45755" s="0" t="s">
        <v>1</v>
      </c>
      <c r="C45755" s="0" t="s">
        <v>3020</v>
      </c>
      <c r="E45755" s="0" t="s">
        <v>3021</v>
      </c>
      <c r="F45755" s="0" t="s">
        <v>3022</v>
      </c>
    </row>
    <row r="45756" customFormat="false" ht="12.8" hidden="false" customHeight="false" outlineLevel="0" collapsed="false">
      <c r="B45756" s="0" t="s">
        <v>8</v>
      </c>
      <c r="C45756" s="0" t="s">
        <v>623</v>
      </c>
      <c r="E45756" s="0" t="s">
        <v>3023</v>
      </c>
      <c r="F45756" s="0" t="s">
        <v>3024</v>
      </c>
    </row>
    <row r="45758" customFormat="false" ht="12.8" hidden="false" customHeight="false" outlineLevel="0" collapsed="false">
      <c r="A45758" s="0" t="s">
        <v>16349</v>
      </c>
      <c r="B45758" s="0" t="str">
        <f aca="false">HYPERLINK("https://lindat.mff.cuni.cz/services/teitok/pdtc10/index.php?action=vallex&amp;frame=v-whsa_46hsa_47", "sportovat (v-whsa_46hsa_47)")</f>
        <v>sportovat (v-whsa_46hsa_47)</v>
      </c>
    </row>
    <row r="45759" customFormat="false" ht="12.8" hidden="false" customHeight="false" outlineLevel="0" collapsed="false">
      <c r="B45759" s="0" t="s">
        <v>1</v>
      </c>
    </row>
    <row r="45761" customFormat="false" ht="12.8" hidden="false" customHeight="false" outlineLevel="0" collapsed="false">
      <c r="A45761" s="0" t="s">
        <v>16350</v>
      </c>
      <c r="B45761" s="0" t="str">
        <f aca="false">HYPERLINK("https://lindat.mff.cuni.cz/services/teitok/pdtc10/index.php?action=vallex&amp;frame=v-w6419f1", "spotřebovat (v-w6419f1)")</f>
        <v>spotřebovat (v-w6419f1)</v>
      </c>
      <c r="E45761" s="0" t="str">
        <f aca="false">HYPERLINK("https://lindat.mff.cuni.cz/services/SynSemClass40/SynSemClass40.html?veclass=vec01323#vec01323-ces-cm00002", "vec01323")</f>
        <v>vec01323</v>
      </c>
      <c r="F45761" s="0" t="s">
        <v>10981</v>
      </c>
    </row>
    <row r="45762" customFormat="false" ht="12.8" hidden="false" customHeight="false" outlineLevel="0" collapsed="false">
      <c r="B45762" s="0" t="s">
        <v>1</v>
      </c>
      <c r="C45762" s="0" t="s">
        <v>16351</v>
      </c>
      <c r="E45762" s="0" t="s">
        <v>10983</v>
      </c>
      <c r="F45762" s="0" t="s">
        <v>10984</v>
      </c>
    </row>
    <row r="45763" customFormat="false" ht="12.8" hidden="false" customHeight="false" outlineLevel="0" collapsed="false">
      <c r="B45763" s="0" t="s">
        <v>8</v>
      </c>
      <c r="C45763" s="0" t="s">
        <v>16352</v>
      </c>
      <c r="E45763" s="0" t="s">
        <v>1702</v>
      </c>
      <c r="F45763" s="0" t="s">
        <v>10986</v>
      </c>
    </row>
    <row r="45765" customFormat="false" ht="12.8" hidden="false" customHeight="false" outlineLevel="0" collapsed="false">
      <c r="A45765" s="0" t="s">
        <v>16353</v>
      </c>
      <c r="B45765" s="0" t="str">
        <f aca="false">HYPERLINK("https://lindat.mff.cuni.cz/services/teitok/pdtc10/index.php?action=vallex&amp;frame=v-w6420f1", "spotřebovávat (v-w6420f1)")</f>
        <v>spotřebovávat (v-w6420f1)</v>
      </c>
      <c r="E45765" s="0" t="str">
        <f aca="false">HYPERLINK("https://lindat.mff.cuni.cz/services/SynSemClass40/SynSemClass40.html?veclass=vec01323#vec01323-ces-cm00003", "vec01323")</f>
        <v>vec01323</v>
      </c>
      <c r="F45765" s="0" t="s">
        <v>10981</v>
      </c>
    </row>
    <row r="45766" customFormat="false" ht="12.8" hidden="false" customHeight="false" outlineLevel="0" collapsed="false">
      <c r="B45766" s="0" t="s">
        <v>1</v>
      </c>
      <c r="C45766" s="0" t="s">
        <v>16351</v>
      </c>
      <c r="E45766" s="0" t="s">
        <v>10983</v>
      </c>
      <c r="F45766" s="0" t="s">
        <v>10984</v>
      </c>
    </row>
    <row r="45767" customFormat="false" ht="12.8" hidden="false" customHeight="false" outlineLevel="0" collapsed="false">
      <c r="B45767" s="0" t="s">
        <v>8</v>
      </c>
      <c r="C45767" s="0" t="s">
        <v>16352</v>
      </c>
      <c r="E45767" s="0" t="s">
        <v>1702</v>
      </c>
      <c r="F45767" s="0" t="s">
        <v>10986</v>
      </c>
    </row>
    <row r="45769" customFormat="false" ht="12.8" hidden="false" customHeight="false" outlineLevel="0" collapsed="false">
      <c r="A45769" s="0" t="s">
        <v>16354</v>
      </c>
      <c r="B45769" s="0" t="str">
        <f aca="false">HYPERLINK("https://lindat.mff.cuni.cz/services/teitok/pdtc10/index.php?action=vallex&amp;frame=v-w6422f1", "spoutat (v-w6422f1)")</f>
        <v>spoutat (v-w6422f1)</v>
      </c>
      <c r="E45769" s="0" t="str">
        <f aca="false">HYPERLINK("https://lindat.mff.cuni.cz/services/SynSemClass40/SynSemClass40.html?veclass=vec00126#vec00126-ces-cm00001", "vec00126")</f>
        <v>vec00126</v>
      </c>
      <c r="F45769" s="0" t="s">
        <v>1572</v>
      </c>
    </row>
    <row r="45770" customFormat="false" ht="12.8" hidden="false" customHeight="false" outlineLevel="0" collapsed="false">
      <c r="B45770" s="0" t="s">
        <v>1</v>
      </c>
      <c r="C45770" s="0" t="s">
        <v>459</v>
      </c>
      <c r="E45770" s="0" t="s">
        <v>1573</v>
      </c>
      <c r="F45770" s="0" t="s">
        <v>1574</v>
      </c>
    </row>
    <row r="45771" customFormat="false" ht="12.8" hidden="false" customHeight="false" outlineLevel="0" collapsed="false">
      <c r="B45771" s="0" t="s">
        <v>8</v>
      </c>
      <c r="C45771" s="0" t="s">
        <v>1575</v>
      </c>
      <c r="E45771" s="0" t="s">
        <v>142</v>
      </c>
      <c r="F45771" s="0" t="s">
        <v>1576</v>
      </c>
    </row>
    <row r="45773" customFormat="false" ht="12.8" hidden="false" customHeight="false" outlineLevel="0" collapsed="false">
      <c r="A45773" s="0" t="s">
        <v>16355</v>
      </c>
      <c r="B45773" s="0" t="str">
        <f aca="false">HYPERLINK("https://lindat.mff.cuni.cz/services/teitok/pdtc10/index.php?action=vallex&amp;frame=v-w6421f1", "spouštět (v-w6421f1)")</f>
        <v>spouštět (v-w6421f1)</v>
      </c>
    </row>
    <row r="45774" customFormat="false" ht="12.8" hidden="false" customHeight="false" outlineLevel="0" collapsed="false">
      <c r="B45774" s="0" t="s">
        <v>1</v>
      </c>
    </row>
    <row r="45775" customFormat="false" ht="12.8" hidden="false" customHeight="false" outlineLevel="0" collapsed="false">
      <c r="B45775" s="0" t="s">
        <v>8</v>
      </c>
    </row>
    <row r="45777" customFormat="false" ht="12.8" hidden="false" customHeight="false" outlineLevel="0" collapsed="false">
      <c r="A45777" s="0" t="s">
        <v>16356</v>
      </c>
      <c r="B45777" s="0" t="str">
        <f aca="false">HYPERLINK("https://lindat.mff.cuni.cz/services/teitok/pdtc10/index.php?action=vallex&amp;frame=v-w6421f2", "spouštět (v-w6421f2)")</f>
        <v>spouštět (v-w6421f2)</v>
      </c>
      <c r="E45777" s="0" t="str">
        <f aca="false">HYPERLINK("https://lindat.mff.cuni.cz/services/SynSemClass40/SynSemClass40.html?veclass=vec00038#vec00038-ces-cm00028", "vec00038")</f>
        <v>vec00038</v>
      </c>
      <c r="F45777" s="0" t="s">
        <v>74</v>
      </c>
    </row>
    <row r="45778" customFormat="false" ht="12.8" hidden="false" customHeight="false" outlineLevel="0" collapsed="false">
      <c r="B45778" s="0" t="s">
        <v>1</v>
      </c>
      <c r="C45778" s="0" t="s">
        <v>75</v>
      </c>
      <c r="E45778" s="0" t="s">
        <v>76</v>
      </c>
      <c r="F45778" s="0" t="s">
        <v>77</v>
      </c>
    </row>
    <row r="45779" customFormat="false" ht="12.8" hidden="false" customHeight="false" outlineLevel="0" collapsed="false">
      <c r="B45779" s="0" t="s">
        <v>8</v>
      </c>
      <c r="C45779" s="0" t="s">
        <v>78</v>
      </c>
      <c r="E45779" s="0" t="s">
        <v>79</v>
      </c>
      <c r="F45779" s="0" t="s">
        <v>80</v>
      </c>
    </row>
    <row r="45781" customFormat="false" ht="12.8" hidden="false" customHeight="false" outlineLevel="0" collapsed="false">
      <c r="A45781" s="0" t="s">
        <v>16357</v>
      </c>
      <c r="B45781" s="0" t="str">
        <f aca="false">HYPERLINK("https://lindat.mff.cuni.cz/services/teitok/pdtc10/index.php?action=vallex&amp;frame=v-w6421f3_ZU", "spouštět (v-w6421f3_ZU)")</f>
        <v>spouštět (v-w6421f3_ZU)</v>
      </c>
    </row>
    <row r="45782" customFormat="false" ht="12.8" hidden="false" customHeight="false" outlineLevel="0" collapsed="false">
      <c r="B45782" s="0" t="s">
        <v>1</v>
      </c>
    </row>
    <row r="45783" customFormat="false" ht="12.8" hidden="false" customHeight="false" outlineLevel="0" collapsed="false">
      <c r="B45783" s="0" t="s">
        <v>8</v>
      </c>
    </row>
    <row r="45785" customFormat="false" ht="12.8" hidden="false" customHeight="false" outlineLevel="0" collapsed="false">
      <c r="A45785" s="0" t="s">
        <v>16357</v>
      </c>
      <c r="B45785" s="0" t="str">
        <f aca="false">HYPERLINK("https://lindat.mff.cuni.cz/services/teitok/pdtc10/index.php?action=vallex&amp;frame=v-w6421hsa_1326", "spouštět (v-w6421hsa_1326) - substituted with v-w6421f3_ZU")</f>
        <v>spouštět (v-w6421hsa_1326) - substituted with v-w6421f3_ZU</v>
      </c>
      <c r="E45785" s="0" t="str">
        <f aca="false">HYPERLINK("https://lindat.mff.cuni.cz/services/SynSemClass40/SynSemClass40.html?veclass=vec00038#vec00038-ces-cm00029", "vec00038")</f>
        <v>vec00038</v>
      </c>
      <c r="F45785" s="0" t="s">
        <v>74</v>
      </c>
    </row>
    <row r="45786" customFormat="false" ht="12.8" hidden="false" customHeight="false" outlineLevel="0" collapsed="false">
      <c r="B45786" s="0" t="s">
        <v>1</v>
      </c>
      <c r="C45786" s="0" t="s">
        <v>75</v>
      </c>
      <c r="E45786" s="0" t="s">
        <v>76</v>
      </c>
      <c r="F45786" s="0" t="s">
        <v>77</v>
      </c>
    </row>
    <row r="45787" customFormat="false" ht="12.8" hidden="false" customHeight="false" outlineLevel="0" collapsed="false">
      <c r="B45787" s="0" t="s">
        <v>8</v>
      </c>
      <c r="C45787" s="0" t="s">
        <v>78</v>
      </c>
      <c r="E45787" s="0" t="s">
        <v>79</v>
      </c>
      <c r="F45787" s="0" t="s">
        <v>80</v>
      </c>
    </row>
    <row r="45789" customFormat="false" ht="12.8" hidden="false" customHeight="false" outlineLevel="0" collapsed="false">
      <c r="A45789" s="0" t="s">
        <v>16358</v>
      </c>
      <c r="B45789" s="0" t="str">
        <f aca="false">HYPERLINK("https://lindat.mff.cuni.cz/services/teitok/pdtc10/index.php?action=vallex&amp;frame=v-whsa_207f1_ZU", "spouštět se (v-whsa_207f1_ZU)")</f>
        <v>spouštět se (v-whsa_207f1_ZU)</v>
      </c>
    </row>
    <row r="45790" customFormat="false" ht="12.8" hidden="false" customHeight="false" outlineLevel="0" collapsed="false">
      <c r="B45790" s="0" t="s">
        <v>1</v>
      </c>
    </row>
    <row r="45792" customFormat="false" ht="12.8" hidden="false" customHeight="false" outlineLevel="0" collapsed="false">
      <c r="A45792" s="0" t="s">
        <v>16358</v>
      </c>
      <c r="B45792" s="0" t="str">
        <f aca="false">HYPERLINK("https://lindat.mff.cuni.cz/services/teitok/pdtc10/index.php?action=vallex&amp;frame=v-whsa_207hsa_208", "spouštět se (v-whsa_207hsa_208) - substituted with v-whsa_207f1_ZU")</f>
        <v>spouštět se (v-whsa_207hsa_208) - substituted with v-whsa_207f1_ZU</v>
      </c>
    </row>
    <row r="45793" customFormat="false" ht="12.8" hidden="false" customHeight="false" outlineLevel="0" collapsed="false">
      <c r="B45793" s="0" t="s">
        <v>1</v>
      </c>
    </row>
    <row r="45795" customFormat="false" ht="12.8" hidden="false" customHeight="false" outlineLevel="0" collapsed="false">
      <c r="A45795" s="0" t="s">
        <v>16359</v>
      </c>
      <c r="B45795" s="0" t="str">
        <f aca="false">HYPERLINK("https://lindat.mff.cuni.cz/services/teitok/pdtc10/index.php?action=vallex&amp;frame=v-w10867f3", "spočinout (v-w10867f3)")</f>
        <v>spočinout (v-w10867f3)</v>
      </c>
    </row>
    <row r="45796" customFormat="false" ht="12.8" hidden="false" customHeight="false" outlineLevel="0" collapsed="false">
      <c r="B45796" s="0" t="s">
        <v>1</v>
      </c>
    </row>
    <row r="45797" customFormat="false" ht="12.8" hidden="false" customHeight="false" outlineLevel="0" collapsed="false">
      <c r="B45797" s="0" t="s">
        <v>5</v>
      </c>
    </row>
    <row r="45799" customFormat="false" ht="12.8" hidden="false" customHeight="false" outlineLevel="0" collapsed="false">
      <c r="A45799" s="0" t="s">
        <v>16360</v>
      </c>
      <c r="B45799" s="0" t="str">
        <f aca="false">HYPERLINK("https://lindat.mff.cuni.cz/services/teitok/pdtc10/index.php?action=vallex&amp;frame=v-w10867f2", "spočinout (v-w10867f2)")</f>
        <v>spočinout (v-w10867f2)</v>
      </c>
    </row>
    <row r="45800" customFormat="false" ht="12.8" hidden="false" customHeight="false" outlineLevel="0" collapsed="false">
      <c r="B45800" s="0" t="s">
        <v>1</v>
      </c>
    </row>
    <row r="45802" customFormat="false" ht="12.8" hidden="false" customHeight="false" outlineLevel="0" collapsed="false">
      <c r="A45802" s="0" t="s">
        <v>16361</v>
      </c>
      <c r="B45802" s="0" t="str">
        <f aca="false">HYPERLINK("https://lindat.mff.cuni.cz/services/teitok/pdtc10/index.php?action=vallex&amp;frame=v-w6355f1", "spočíst (v-w6355f1)")</f>
        <v>spočíst (v-w6355f1)</v>
      </c>
    </row>
    <row r="45803" customFormat="false" ht="12.8" hidden="false" customHeight="false" outlineLevel="0" collapsed="false">
      <c r="B45803" s="0" t="s">
        <v>1</v>
      </c>
    </row>
    <row r="45804" customFormat="false" ht="12.8" hidden="false" customHeight="false" outlineLevel="0" collapsed="false">
      <c r="B45804" s="0" t="s">
        <v>3168</v>
      </c>
    </row>
    <row r="45806" customFormat="false" ht="12.8" hidden="false" customHeight="false" outlineLevel="0" collapsed="false">
      <c r="A45806" s="0" t="s">
        <v>16362</v>
      </c>
      <c r="B45806" s="0" t="str">
        <f aca="false">HYPERLINK("https://lindat.mff.cuni.cz/services/teitok/pdtc10/index.php?action=vallex&amp;frame=v-w6356f2_ZU", "spočítat (v-w6356f2_ZU)")</f>
        <v>spočítat (v-w6356f2_ZU)</v>
      </c>
    </row>
    <row r="45807" customFormat="false" ht="12.8" hidden="false" customHeight="false" outlineLevel="0" collapsed="false">
      <c r="B45807" s="0" t="s">
        <v>1</v>
      </c>
    </row>
    <row r="45808" customFormat="false" ht="12.8" hidden="false" customHeight="false" outlineLevel="0" collapsed="false">
      <c r="B45808" s="0" t="s">
        <v>16363</v>
      </c>
    </row>
    <row r="45810" customFormat="false" ht="12.8" hidden="false" customHeight="false" outlineLevel="0" collapsed="false">
      <c r="A45810" s="0" t="s">
        <v>16362</v>
      </c>
      <c r="B45810" s="0" t="str">
        <f aca="false">HYPERLINK("https://lindat.mff.cuni.cz/services/teitok/pdtc10/index.php?action=vallex&amp;frame=v-w6356f1", "spočítat (v-w6356f1) - substituted with v-w6356f2_ZU")</f>
        <v>spočítat (v-w6356f1) - substituted with v-w6356f2_ZU</v>
      </c>
    </row>
    <row r="45811" customFormat="false" ht="12.8" hidden="false" customHeight="false" outlineLevel="0" collapsed="false">
      <c r="B45811" s="0" t="s">
        <v>1</v>
      </c>
    </row>
    <row r="45812" customFormat="false" ht="12.8" hidden="false" customHeight="false" outlineLevel="0" collapsed="false">
      <c r="B45812" s="0" t="s">
        <v>16363</v>
      </c>
    </row>
    <row r="45814" customFormat="false" ht="12.8" hidden="false" customHeight="false" outlineLevel="0" collapsed="false">
      <c r="A45814" s="0" t="s">
        <v>16362</v>
      </c>
      <c r="B45814" s="0" t="str">
        <f aca="false">HYPERLINK("https://lindat.mff.cuni.cz/services/teitok/pdtc10/index.php?action=vallex&amp;frame=v-w6356hsa_222", "spočítat (v-w6356hsa_222) - substituted with v-w6356f2_ZU")</f>
        <v>spočítat (v-w6356hsa_222) - substituted with v-w6356f2_ZU</v>
      </c>
      <c r="E45814" s="0" t="str">
        <f aca="false">HYPERLINK("https://lindat.mff.cuni.cz/services/SynSemClass40/SynSemClass40.html?veclass=vec00166#vec00166-ces-cm00005", "vec00166")</f>
        <v>vec00166</v>
      </c>
      <c r="F45814" s="0" t="s">
        <v>12005</v>
      </c>
    </row>
    <row r="45815" customFormat="false" ht="12.8" hidden="false" customHeight="false" outlineLevel="0" collapsed="false">
      <c r="B45815" s="0" t="s">
        <v>1</v>
      </c>
      <c r="C45815" s="0" t="s">
        <v>12006</v>
      </c>
      <c r="E45815" s="0" t="s">
        <v>31</v>
      </c>
      <c r="F45815" s="0" t="s">
        <v>12007</v>
      </c>
    </row>
    <row r="45816" customFormat="false" ht="12.8" hidden="false" customHeight="false" outlineLevel="0" collapsed="false">
      <c r="B45816" s="0" t="s">
        <v>16363</v>
      </c>
      <c r="C45816" s="0" t="s">
        <v>2664</v>
      </c>
      <c r="E45816" s="0" t="s">
        <v>1347</v>
      </c>
      <c r="F45816" s="0" t="s">
        <v>12008</v>
      </c>
    </row>
    <row r="45818" customFormat="false" ht="12.8" hidden="false" customHeight="false" outlineLevel="0" collapsed="false">
      <c r="A45818" s="0" t="s">
        <v>16364</v>
      </c>
      <c r="B45818" s="0" t="str">
        <f aca="false">HYPERLINK("https://lindat.mff.cuni.cz/services/teitok/pdtc10/index.php?action=vallex&amp;frame=v-w6357f1", "spočítat si (v-w6357f1)")</f>
        <v>spočítat si (v-w6357f1)</v>
      </c>
      <c r="E45818" s="0" t="str">
        <f aca="false">HYPERLINK("https://lindat.mff.cuni.cz/services/SynSemClass40/SynSemClass40.html?veclass=vec00166#vec00166-ces-cm00024", "vec00166")</f>
        <v>vec00166</v>
      </c>
      <c r="F45818" s="0" t="s">
        <v>12005</v>
      </c>
    </row>
    <row r="45819" customFormat="false" ht="12.8" hidden="false" customHeight="false" outlineLevel="0" collapsed="false">
      <c r="B45819" s="0" t="s">
        <v>1</v>
      </c>
      <c r="C45819" s="0" t="s">
        <v>12006</v>
      </c>
      <c r="E45819" s="0" t="s">
        <v>31</v>
      </c>
      <c r="F45819" s="0" t="s">
        <v>12007</v>
      </c>
    </row>
    <row r="45820" customFormat="false" ht="12.8" hidden="false" customHeight="false" outlineLevel="0" collapsed="false">
      <c r="B45820" s="0" t="s">
        <v>8893</v>
      </c>
      <c r="C45820" s="0" t="s">
        <v>2664</v>
      </c>
      <c r="E45820" s="0" t="s">
        <v>1347</v>
      </c>
      <c r="F45820" s="0" t="s">
        <v>12008</v>
      </c>
    </row>
    <row r="45822" customFormat="false" ht="12.8" hidden="false" customHeight="false" outlineLevel="0" collapsed="false">
      <c r="A45822" s="0" t="s">
        <v>16365</v>
      </c>
      <c r="B45822" s="0" t="str">
        <f aca="false">HYPERLINK("https://lindat.mff.cuni.cz/services/teitok/pdtc10/index.php?action=vallex&amp;frame=v-w6359f2", "spočívat (v-w6359f2)")</f>
        <v>spočívat (v-w6359f2)</v>
      </c>
    </row>
    <row r="45823" customFormat="false" ht="12.8" hidden="false" customHeight="false" outlineLevel="0" collapsed="false">
      <c r="B45823" s="0" t="s">
        <v>1</v>
      </c>
    </row>
    <row r="45824" customFormat="false" ht="12.8" hidden="false" customHeight="false" outlineLevel="0" collapsed="false">
      <c r="B45824" s="0" t="s">
        <v>291</v>
      </c>
    </row>
    <row r="45826" customFormat="false" ht="12.8" hidden="false" customHeight="false" outlineLevel="0" collapsed="false">
      <c r="A45826" s="0" t="s">
        <v>16366</v>
      </c>
      <c r="B45826" s="0" t="str">
        <f aca="false">HYPERLINK("https://lindat.mff.cuni.cz/services/teitok/pdtc10/index.php?action=vallex&amp;frame=v-w6359f3", "spočívat (v-w6359f3)")</f>
        <v>spočívat (v-w6359f3)</v>
      </c>
    </row>
    <row r="45827" customFormat="false" ht="12.8" hidden="false" customHeight="false" outlineLevel="0" collapsed="false">
      <c r="B45827" s="0" t="s">
        <v>1</v>
      </c>
    </row>
    <row r="45828" customFormat="false" ht="12.8" hidden="false" customHeight="false" outlineLevel="0" collapsed="false">
      <c r="B45828" s="0" t="s">
        <v>291</v>
      </c>
    </row>
    <row r="45830" customFormat="false" ht="12.8" hidden="false" customHeight="false" outlineLevel="0" collapsed="false">
      <c r="A45830" s="0" t="s">
        <v>16367</v>
      </c>
      <c r="B45830" s="0" t="str">
        <f aca="false">HYPERLINK("https://lindat.mff.cuni.cz/services/teitok/pdtc10/index.php?action=vallex&amp;frame=v-w6359f1", "spočívat (v-w6359f1)")</f>
        <v>spočívat (v-w6359f1)</v>
      </c>
      <c r="E45830" s="0" t="str">
        <f aca="false">HYPERLINK("https://lindat.mff.cuni.cz/services/SynSemClass40/SynSemClass40.html?veclass=vec00317#vec00317-ces-cm00001", "vec00317")</f>
        <v>vec00317</v>
      </c>
      <c r="F45830" s="0" t="s">
        <v>5998</v>
      </c>
    </row>
    <row r="45831" customFormat="false" ht="12.8" hidden="false" customHeight="false" outlineLevel="0" collapsed="false">
      <c r="B45831" s="0" t="s">
        <v>1</v>
      </c>
      <c r="C45831" s="0" t="s">
        <v>2157</v>
      </c>
      <c r="E45831" s="0" t="s">
        <v>4943</v>
      </c>
      <c r="F45831" s="0" t="s">
        <v>5999</v>
      </c>
    </row>
    <row r="45832" customFormat="false" ht="12.8" hidden="false" customHeight="false" outlineLevel="0" collapsed="false">
      <c r="B45832" s="0" t="s">
        <v>536</v>
      </c>
      <c r="C45832" s="0" t="s">
        <v>6000</v>
      </c>
      <c r="E45832" s="0" t="s">
        <v>6001</v>
      </c>
      <c r="F45832" s="0" t="s">
        <v>6002</v>
      </c>
    </row>
    <row r="45834" customFormat="false" ht="12.8" hidden="false" customHeight="false" outlineLevel="0" collapsed="false">
      <c r="A45834" s="0" t="s">
        <v>16368</v>
      </c>
      <c r="B45834" s="0" t="str">
        <f aca="false">HYPERLINK("https://lindat.mff.cuni.cz/services/teitok/pdtc10/index.php?action=vallex&amp;frame=v-w6359f4", "spočívat (v-w6359f4)")</f>
        <v>spočívat (v-w6359f4)</v>
      </c>
    </row>
    <row r="45835" customFormat="false" ht="12.8" hidden="false" customHeight="false" outlineLevel="0" collapsed="false">
      <c r="B45835" s="0" t="s">
        <v>1</v>
      </c>
    </row>
    <row r="45836" customFormat="false" ht="12.8" hidden="false" customHeight="false" outlineLevel="0" collapsed="false">
      <c r="B45836" s="0" t="s">
        <v>5</v>
      </c>
    </row>
    <row r="45838" customFormat="false" ht="12.8" hidden="false" customHeight="false" outlineLevel="0" collapsed="false">
      <c r="A45838" s="0" t="s">
        <v>16369</v>
      </c>
      <c r="B45838" s="0" t="str">
        <f aca="false">HYPERLINK("https://lindat.mff.cuni.cz/services/teitok/pdtc10/index.php?action=vallex&amp;frame=v-w6416f1", "spořit (v-w6416f1)")</f>
        <v>spořit (v-w6416f1)</v>
      </c>
      <c r="E45838" s="0" t="str">
        <f aca="false">HYPERLINK("https://lindat.mff.cuni.cz/services/SynSemClass40/SynSemClass40.html?veclass=vec01322#vec01322-ces-cm00002", "vec01322")</f>
        <v>vec01322</v>
      </c>
      <c r="F45838" s="0" t="s">
        <v>8079</v>
      </c>
    </row>
    <row r="45839" customFormat="false" ht="12.8" hidden="false" customHeight="false" outlineLevel="0" collapsed="false">
      <c r="B45839" s="0" t="s">
        <v>1</v>
      </c>
      <c r="C45839" s="0" t="s">
        <v>8080</v>
      </c>
      <c r="E45839" s="0" t="s">
        <v>92</v>
      </c>
      <c r="F45839" s="0" t="s">
        <v>8081</v>
      </c>
    </row>
    <row r="45840" customFormat="false" ht="12.8" hidden="false" customHeight="false" outlineLevel="0" collapsed="false">
      <c r="B45840" s="0" t="s">
        <v>8</v>
      </c>
      <c r="C45840" s="0" t="s">
        <v>4770</v>
      </c>
      <c r="E45840" s="0" t="s">
        <v>4565</v>
      </c>
      <c r="F45840" s="0" t="s">
        <v>8082</v>
      </c>
    </row>
    <row r="45842" customFormat="false" ht="12.8" hidden="false" customHeight="false" outlineLevel="0" collapsed="false">
      <c r="A45842" s="0" t="s">
        <v>16370</v>
      </c>
      <c r="B45842" s="0" t="str">
        <f aca="false">HYPERLINK("https://lindat.mff.cuni.cz/services/teitok/pdtc10/index.php?action=vallex&amp;frame=v-w6414f1", "spořádat (v-w6414f1)")</f>
        <v>spořádat (v-w6414f1)</v>
      </c>
    </row>
    <row r="45843" customFormat="false" ht="12.8" hidden="false" customHeight="false" outlineLevel="0" collapsed="false">
      <c r="B45843" s="0" t="s">
        <v>1</v>
      </c>
    </row>
    <row r="45844" customFormat="false" ht="12.8" hidden="false" customHeight="false" outlineLevel="0" collapsed="false">
      <c r="B45844" s="0" t="s">
        <v>8</v>
      </c>
    </row>
    <row r="45846" customFormat="false" ht="12.8" hidden="false" customHeight="false" outlineLevel="0" collapsed="false">
      <c r="A45846" s="0" t="s">
        <v>16371</v>
      </c>
      <c r="B45846" s="0" t="str">
        <f aca="false">HYPERLINK("https://lindat.mff.cuni.cz/services/teitok/pdtc10/index.php?action=vallex&amp;frame=v-w6425f2", "spravit (v-w6425f2)")</f>
        <v>spravit (v-w6425f2)</v>
      </c>
    </row>
    <row r="45847" customFormat="false" ht="12.8" hidden="false" customHeight="false" outlineLevel="0" collapsed="false">
      <c r="B45847" s="0" t="s">
        <v>629</v>
      </c>
    </row>
    <row r="45848" customFormat="false" ht="12.8" hidden="false" customHeight="false" outlineLevel="0" collapsed="false">
      <c r="B45848" s="0" t="s">
        <v>8</v>
      </c>
    </row>
    <row r="45849" customFormat="false" ht="12.8" hidden="false" customHeight="false" outlineLevel="0" collapsed="false">
      <c r="B45849" s="0" t="s">
        <v>52</v>
      </c>
    </row>
    <row r="45851" customFormat="false" ht="12.8" hidden="false" customHeight="false" outlineLevel="0" collapsed="false">
      <c r="A45851" s="0" t="s">
        <v>16372</v>
      </c>
      <c r="B45851" s="0" t="str">
        <f aca="false">HYPERLINK("https://lindat.mff.cuni.cz/services/teitok/pdtc10/index.php?action=vallex&amp;frame=v-w6425f1", "spravit (v-w6425f1)")</f>
        <v>spravit (v-w6425f1)</v>
      </c>
      <c r="E45851" s="0" t="str">
        <f aca="false">HYPERLINK("https://lindat.mff.cuni.cz/services/SynSemClass40/SynSemClass40.html?veclass=vec00462#vec00462-ces-cm00017", "vec00462")</f>
        <v>vec00462</v>
      </c>
      <c r="F45851" s="0" t="s">
        <v>9737</v>
      </c>
    </row>
    <row r="45852" customFormat="false" ht="12.8" hidden="false" customHeight="false" outlineLevel="0" collapsed="false">
      <c r="B45852" s="0" t="s">
        <v>1</v>
      </c>
      <c r="C45852" s="0" t="s">
        <v>106</v>
      </c>
      <c r="E45852" s="0" t="s">
        <v>9738</v>
      </c>
      <c r="F45852" s="0" t="s">
        <v>9739</v>
      </c>
    </row>
    <row r="45853" customFormat="false" ht="12.8" hidden="false" customHeight="false" outlineLevel="0" collapsed="false">
      <c r="B45853" s="0" t="s">
        <v>8</v>
      </c>
      <c r="C45853" s="0" t="s">
        <v>4627</v>
      </c>
      <c r="E45853" s="0" t="s">
        <v>1569</v>
      </c>
      <c r="F45853" s="0" t="s">
        <v>9740</v>
      </c>
    </row>
    <row r="45855" customFormat="false" ht="12.8" hidden="false" customHeight="false" outlineLevel="0" collapsed="false">
      <c r="A45855" s="0" t="s">
        <v>16373</v>
      </c>
      <c r="B45855" s="0" t="str">
        <f aca="false">HYPERLINK("https://lindat.mff.cuni.cz/services/teitok/pdtc10/index.php?action=vallex&amp;frame=v-w6425hsa_40", "spravit (v-w6425hsa_40)")</f>
        <v>spravit (v-w6425hsa_40)</v>
      </c>
    </row>
    <row r="45856" customFormat="false" ht="12.8" hidden="false" customHeight="false" outlineLevel="0" collapsed="false">
      <c r="B45856" s="0" t="s">
        <v>1</v>
      </c>
    </row>
    <row r="45857" customFormat="false" ht="12.8" hidden="false" customHeight="false" outlineLevel="0" collapsed="false">
      <c r="B45857" s="0" t="s">
        <v>8</v>
      </c>
    </row>
    <row r="45859" customFormat="false" ht="12.8" hidden="false" customHeight="false" outlineLevel="0" collapsed="false">
      <c r="A45859" s="0" t="s">
        <v>16374</v>
      </c>
      <c r="B45859" s="0" t="str">
        <f aca="false">HYPERLINK("https://lindat.mff.cuni.cz/services/teitok/pdtc10/index.php?action=vallex&amp;frame=v-whsa_1608hsa_1609", "spravit se (v-whsa_1608hsa_1609)")</f>
        <v>spravit se (v-whsa_1608hsa_1609)</v>
      </c>
    </row>
    <row r="45860" customFormat="false" ht="12.8" hidden="false" customHeight="false" outlineLevel="0" collapsed="false">
      <c r="B45860" s="0" t="s">
        <v>1</v>
      </c>
    </row>
    <row r="45861" customFormat="false" ht="12.8" hidden="false" customHeight="false" outlineLevel="0" collapsed="false">
      <c r="B45861" s="0" t="s">
        <v>69</v>
      </c>
    </row>
    <row r="45862" customFormat="false" ht="12.8" hidden="false" customHeight="false" outlineLevel="0" collapsed="false">
      <c r="B45862" s="0" t="s">
        <v>36</v>
      </c>
    </row>
    <row r="45864" customFormat="false" ht="12.8" hidden="false" customHeight="false" outlineLevel="0" collapsed="false">
      <c r="A45864" s="0" t="s">
        <v>16375</v>
      </c>
      <c r="B45864" s="0" t="str">
        <f aca="false">HYPERLINK("https://lindat.mff.cuni.cz/services/teitok/pdtc10/index.php?action=vallex&amp;frame=v-w6429f1", "spravovat (v-w6429f1)")</f>
        <v>spravovat (v-w6429f1)</v>
      </c>
      <c r="E45864" s="0" t="str">
        <f aca="false">HYPERLINK("https://lindat.mff.cuni.cz/services/SynSemClass40/SynSemClass40.html?veclass=vec00302#vec00302-ces-cm00050", "vec00302")</f>
        <v>vec00302</v>
      </c>
      <c r="F45864" s="0" t="s">
        <v>1991</v>
      </c>
    </row>
    <row r="45865" customFormat="false" ht="12.8" hidden="false" customHeight="false" outlineLevel="0" collapsed="false">
      <c r="B45865" s="0" t="s">
        <v>1</v>
      </c>
      <c r="C45865" s="0" t="s">
        <v>1992</v>
      </c>
      <c r="E45865" s="0" t="s">
        <v>206</v>
      </c>
      <c r="F45865" s="0" t="s">
        <v>1993</v>
      </c>
    </row>
    <row r="45866" customFormat="false" ht="12.8" hidden="false" customHeight="false" outlineLevel="0" collapsed="false">
      <c r="B45866" s="0" t="s">
        <v>8</v>
      </c>
      <c r="C45866" s="0" t="s">
        <v>1994</v>
      </c>
      <c r="E45866" s="0" t="s">
        <v>1995</v>
      </c>
      <c r="F45866" s="0" t="s">
        <v>1996</v>
      </c>
    </row>
    <row r="45868" customFormat="false" ht="12.8" hidden="false" customHeight="false" outlineLevel="0" collapsed="false">
      <c r="A45868" s="0" t="s">
        <v>16376</v>
      </c>
      <c r="B45868" s="0" t="str">
        <f aca="false">HYPERLINK("https://lindat.mff.cuni.cz/services/teitok/pdtc10/index.php?action=vallex&amp;frame=v-w6429f2", "spravovat (v-w6429f2)")</f>
        <v>spravovat (v-w6429f2)</v>
      </c>
    </row>
    <row r="45869" customFormat="false" ht="12.8" hidden="false" customHeight="false" outlineLevel="0" collapsed="false">
      <c r="B45869" s="0" t="s">
        <v>1</v>
      </c>
    </row>
    <row r="45870" customFormat="false" ht="12.8" hidden="false" customHeight="false" outlineLevel="0" collapsed="false">
      <c r="B45870" s="0" t="s">
        <v>8</v>
      </c>
    </row>
    <row r="45872" customFormat="false" ht="12.8" hidden="false" customHeight="false" outlineLevel="0" collapsed="false">
      <c r="A45872" s="0" t="s">
        <v>16377</v>
      </c>
      <c r="B45872" s="0" t="str">
        <f aca="false">HYPERLINK("https://lindat.mff.cuni.cz/services/teitok/pdtc10/index.php?action=vallex&amp;frame=v-w6429f3", "spravovat (v-w6429f3)")</f>
        <v>spravovat (v-w6429f3)</v>
      </c>
      <c r="E45872" s="0" t="str">
        <f aca="false">HYPERLINK("https://lindat.mff.cuni.cz/services/SynSemClass40/SynSemClass40.html?veclass=vec00462#vec00462-ces-cm00015", "vec00462")</f>
        <v>vec00462</v>
      </c>
      <c r="F45872" s="0" t="s">
        <v>9737</v>
      </c>
    </row>
    <row r="45873" customFormat="false" ht="12.8" hidden="false" customHeight="false" outlineLevel="0" collapsed="false">
      <c r="B45873" s="0" t="s">
        <v>1</v>
      </c>
      <c r="C45873" s="0" t="s">
        <v>106</v>
      </c>
      <c r="E45873" s="0" t="s">
        <v>9738</v>
      </c>
      <c r="F45873" s="0" t="s">
        <v>9739</v>
      </c>
    </row>
    <row r="45874" customFormat="false" ht="12.8" hidden="false" customHeight="false" outlineLevel="0" collapsed="false">
      <c r="B45874" s="0" t="s">
        <v>8</v>
      </c>
      <c r="C45874" s="0" t="s">
        <v>4627</v>
      </c>
      <c r="E45874" s="0" t="s">
        <v>1569</v>
      </c>
      <c r="F45874" s="0" t="s">
        <v>9740</v>
      </c>
    </row>
    <row r="45876" customFormat="false" ht="12.8" hidden="false" customHeight="false" outlineLevel="0" collapsed="false">
      <c r="A45876" s="0" t="s">
        <v>16378</v>
      </c>
      <c r="B45876" s="0" t="str">
        <f aca="false">HYPERLINK("https://lindat.mff.cuni.cz/services/teitok/pdtc10/index.php?action=vallex&amp;frame=v-w6430f1", "sprchnout (v-w6430f1)")</f>
        <v>sprchnout (v-w6430f1)</v>
      </c>
      <c r="E45876" s="0" t="str">
        <f aca="false">HYPERLINK("https://lindat.mff.cuni.cz/services/SynSemClass40/SynSemClass40.html?veclass=vec01524#vec01524-ces-cm00030", "vec01524")</f>
        <v>vec01524</v>
      </c>
      <c r="F45876" s="0" t="s">
        <v>12972</v>
      </c>
    </row>
    <row r="45877" customFormat="false" ht="12.8" hidden="false" customHeight="false" outlineLevel="0" collapsed="false">
      <c r="B45877" s="0" t="s">
        <v>1</v>
      </c>
      <c r="C45877" s="0" t="s">
        <v>5344</v>
      </c>
      <c r="E45877" s="0" t="s">
        <v>4943</v>
      </c>
      <c r="F45877" s="0" t="s">
        <v>12973</v>
      </c>
    </row>
    <row r="45879" customFormat="false" ht="12.8" hidden="false" customHeight="false" outlineLevel="0" collapsed="false">
      <c r="A45879" s="0" t="s">
        <v>16379</v>
      </c>
      <c r="B45879" s="0" t="str">
        <f aca="false">HYPERLINK("https://lindat.mff.cuni.cz/services/teitok/pdtc10/index.php?action=vallex&amp;frame=v-w6432f1", "sprchovat (v-w6432f1)")</f>
        <v>sprchovat (v-w6432f1)</v>
      </c>
      <c r="E45879" s="0" t="str">
        <f aca="false">HYPERLINK("https://lindat.mff.cuni.cz/services/SynSemClass40/SynSemClass40.html?veclass=vec01525#vec01525-ces-cm00010", "vec01525")</f>
        <v>vec01525</v>
      </c>
      <c r="F45879" s="0" t="s">
        <v>5689</v>
      </c>
    </row>
    <row r="45880" customFormat="false" ht="12.8" hidden="false" customHeight="false" outlineLevel="0" collapsed="false">
      <c r="B45880" s="0" t="s">
        <v>1</v>
      </c>
      <c r="C45880" s="0" t="s">
        <v>4114</v>
      </c>
      <c r="E45880" s="0" t="s">
        <v>5690</v>
      </c>
      <c r="F45880" s="0" t="s">
        <v>5691</v>
      </c>
    </row>
    <row r="45881" customFormat="false" ht="12.8" hidden="false" customHeight="false" outlineLevel="0" collapsed="false">
      <c r="B45881" s="0" t="s">
        <v>8</v>
      </c>
      <c r="C45881" s="0" t="s">
        <v>5692</v>
      </c>
      <c r="E45881" s="0" t="s">
        <v>5693</v>
      </c>
      <c r="F45881" s="0" t="s">
        <v>5694</v>
      </c>
    </row>
    <row r="45883" customFormat="false" ht="12.8" hidden="false" customHeight="false" outlineLevel="0" collapsed="false">
      <c r="A45883" s="0" t="s">
        <v>16380</v>
      </c>
      <c r="B45883" s="0" t="str">
        <f aca="false">HYPERLINK("https://lindat.mff.cuni.cz/services/teitok/pdtc10/index.php?action=vallex&amp;frame=v-w6433f1", "sprintovat (v-w6433f1)")</f>
        <v>sprintovat (v-w6433f1)</v>
      </c>
    </row>
    <row r="45884" customFormat="false" ht="12.8" hidden="false" customHeight="false" outlineLevel="0" collapsed="false">
      <c r="B45884" s="0" t="s">
        <v>1</v>
      </c>
    </row>
    <row r="45886" customFormat="false" ht="12.8" hidden="false" customHeight="false" outlineLevel="0" collapsed="false">
      <c r="A45886" s="0" t="s">
        <v>16381</v>
      </c>
      <c r="B45886" s="0" t="str">
        <f aca="false">HYPERLINK("https://lindat.mff.cuni.cz/services/teitok/pdtc10/index.php?action=vallex&amp;frame=v-w6434f1", "sprovodit (v-w6434f1)")</f>
        <v>sprovodit (v-w6434f1)</v>
      </c>
      <c r="E45886" s="0" t="str">
        <f aca="false">HYPERLINK("https://lindat.mff.cuni.cz/services/SynSemClass40/SynSemClass40.html?veclass=vec00389#vec00389-ces-cm00018", "vec00389")</f>
        <v>vec00389</v>
      </c>
      <c r="F45886" s="0" t="s">
        <v>1888</v>
      </c>
    </row>
    <row r="45887" customFormat="false" ht="12.8" hidden="false" customHeight="false" outlineLevel="0" collapsed="false">
      <c r="B45887" s="0" t="s">
        <v>1</v>
      </c>
      <c r="C45887" s="0" t="s">
        <v>1889</v>
      </c>
      <c r="E45887" s="0" t="s">
        <v>1890</v>
      </c>
      <c r="F45887" s="0" t="s">
        <v>1891</v>
      </c>
    </row>
    <row r="45888" customFormat="false" ht="12.8" hidden="false" customHeight="false" outlineLevel="0" collapsed="false">
      <c r="B45888" s="0" t="s">
        <v>8</v>
      </c>
      <c r="C45888" s="0" t="s">
        <v>1892</v>
      </c>
      <c r="E45888" s="0" t="s">
        <v>1893</v>
      </c>
      <c r="F45888" s="0" t="s">
        <v>1894</v>
      </c>
    </row>
    <row r="45889" customFormat="false" ht="12.8" hidden="false" customHeight="false" outlineLevel="0" collapsed="false">
      <c r="B45889" s="0" t="s">
        <v>631</v>
      </c>
    </row>
    <row r="45891" customFormat="false" ht="12.8" hidden="false" customHeight="false" outlineLevel="0" collapsed="false">
      <c r="A45891" s="0" t="s">
        <v>16382</v>
      </c>
      <c r="B45891" s="0" t="str">
        <f aca="false">HYPERLINK("https://lindat.mff.cuni.cz/services/teitok/pdtc10/index.php?action=vallex&amp;frame=v-whsa_29f1_ZU", "spráskat (v-whsa_29f1_ZU)")</f>
        <v>spráskat (v-whsa_29f1_ZU)</v>
      </c>
    </row>
    <row r="45892" customFormat="false" ht="12.8" hidden="false" customHeight="false" outlineLevel="0" collapsed="false">
      <c r="B45892" s="0" t="s">
        <v>1</v>
      </c>
    </row>
    <row r="45893" customFormat="false" ht="12.8" hidden="false" customHeight="false" outlineLevel="0" collapsed="false">
      <c r="B45893" s="0" t="s">
        <v>8</v>
      </c>
    </row>
    <row r="45895" customFormat="false" ht="12.8" hidden="false" customHeight="false" outlineLevel="0" collapsed="false">
      <c r="A45895" s="0" t="s">
        <v>16382</v>
      </c>
      <c r="B45895" s="0" t="str">
        <f aca="false">HYPERLINK("https://lindat.mff.cuni.cz/services/teitok/pdtc10/index.php?action=vallex&amp;frame=v-whsa_29hsa_30", "spráskat (v-whsa_29hsa_30) - substituted with v-whsa_29f1_ZU")</f>
        <v>spráskat (v-whsa_29hsa_30) - substituted with v-whsa_29f1_ZU</v>
      </c>
    </row>
    <row r="45896" customFormat="false" ht="12.8" hidden="false" customHeight="false" outlineLevel="0" collapsed="false">
      <c r="B45896" s="0" t="s">
        <v>1</v>
      </c>
    </row>
    <row r="45897" customFormat="false" ht="12.8" hidden="false" customHeight="false" outlineLevel="0" collapsed="false">
      <c r="B45897" s="0" t="s">
        <v>8</v>
      </c>
    </row>
    <row r="45899" customFormat="false" ht="12.8" hidden="false" customHeight="false" outlineLevel="0" collapsed="false">
      <c r="A45899" s="0" t="s">
        <v>16383</v>
      </c>
      <c r="B45899" s="0" t="str">
        <f aca="false">HYPERLINK("https://lindat.mff.cuni.cz/services/teitok/pdtc10/index.php?action=vallex&amp;frame=v-whsa_1201hsa_1202", "správcovat (v-whsa_1201hsa_1202)")</f>
        <v>správcovat (v-whsa_1201hsa_1202)</v>
      </c>
    </row>
    <row r="45900" customFormat="false" ht="12.8" hidden="false" customHeight="false" outlineLevel="0" collapsed="false">
      <c r="B45900" s="0" t="s">
        <v>1</v>
      </c>
    </row>
    <row r="45902" customFormat="false" ht="12.8" hidden="false" customHeight="false" outlineLevel="0" collapsed="false">
      <c r="A45902" s="0" t="s">
        <v>16384</v>
      </c>
      <c r="B45902" s="0" t="str">
        <f aca="false">HYPERLINK("https://lindat.mff.cuni.cz/services/teitok/pdtc10/index.php?action=vallex&amp;frame=v-w6438f2", "spustit (v-w6438f2)")</f>
        <v>spustit (v-w6438f2)</v>
      </c>
    </row>
    <row r="45903" customFormat="false" ht="12.8" hidden="false" customHeight="false" outlineLevel="0" collapsed="false">
      <c r="B45903" s="0" t="s">
        <v>1</v>
      </c>
    </row>
    <row r="45904" customFormat="false" ht="12.8" hidden="false" customHeight="false" outlineLevel="0" collapsed="false">
      <c r="B45904" s="0" t="s">
        <v>8</v>
      </c>
    </row>
    <row r="45905" customFormat="false" ht="12.8" hidden="false" customHeight="false" outlineLevel="0" collapsed="false">
      <c r="B45905" s="0" t="s">
        <v>164</v>
      </c>
    </row>
    <row r="45907" customFormat="false" ht="12.8" hidden="false" customHeight="false" outlineLevel="0" collapsed="false">
      <c r="A45907" s="0" t="s">
        <v>16385</v>
      </c>
      <c r="B45907" s="0" t="str">
        <f aca="false">HYPERLINK("https://lindat.mff.cuni.cz/services/teitok/pdtc10/index.php?action=vallex&amp;frame=v-w6438f1", "spustit (v-w6438f1)")</f>
        <v>spustit (v-w6438f1)</v>
      </c>
      <c r="E45907" s="0" t="str">
        <f aca="false">HYPERLINK("https://lindat.mff.cuni.cz/services/SynSemClass40/SynSemClass40.html?veclass=vec00038#vec00038-ces-cm00030", "vec00038")</f>
        <v>vec00038</v>
      </c>
      <c r="F45907" s="0" t="s">
        <v>74</v>
      </c>
    </row>
    <row r="45908" customFormat="false" ht="12.8" hidden="false" customHeight="false" outlineLevel="0" collapsed="false">
      <c r="B45908" s="0" t="s">
        <v>1</v>
      </c>
      <c r="C45908" s="0" t="s">
        <v>75</v>
      </c>
      <c r="E45908" s="0" t="s">
        <v>76</v>
      </c>
      <c r="F45908" s="0" t="s">
        <v>77</v>
      </c>
    </row>
    <row r="45909" customFormat="false" ht="12.8" hidden="false" customHeight="false" outlineLevel="0" collapsed="false">
      <c r="B45909" s="0" t="s">
        <v>8</v>
      </c>
      <c r="C45909" s="0" t="s">
        <v>78</v>
      </c>
      <c r="E45909" s="0" t="s">
        <v>79</v>
      </c>
      <c r="F45909" s="0" t="s">
        <v>80</v>
      </c>
    </row>
    <row r="45911" customFormat="false" ht="12.8" hidden="false" customHeight="false" outlineLevel="0" collapsed="false">
      <c r="A45911" s="0" t="s">
        <v>16386</v>
      </c>
      <c r="B45911" s="0" t="str">
        <f aca="false">HYPERLINK("https://lindat.mff.cuni.cz/services/teitok/pdtc10/index.php?action=vallex&amp;frame=v-w6438hsa_130", "spustit (v-w6438hsa_130)")</f>
        <v>spustit (v-w6438hsa_130)</v>
      </c>
    </row>
    <row r="45912" customFormat="false" ht="12.8" hidden="false" customHeight="false" outlineLevel="0" collapsed="false">
      <c r="B45912" s="0" t="s">
        <v>1</v>
      </c>
    </row>
    <row r="45914" customFormat="false" ht="12.8" hidden="false" customHeight="false" outlineLevel="0" collapsed="false">
      <c r="A45914" s="0" t="s">
        <v>16387</v>
      </c>
      <c r="B45914" s="0" t="str">
        <f aca="false">HYPERLINK("https://lindat.mff.cuni.cz/services/teitok/pdtc10/index.php?action=vallex&amp;frame=v-w6438hsa_131", "spustit (v-w6438hsa_131)")</f>
        <v>spustit (v-w6438hsa_131)</v>
      </c>
      <c r="E45914" s="0" t="str">
        <f aca="false">HYPERLINK("https://lindat.mff.cuni.cz/services/SynSemClass40/SynSemClass40.html?veclass=vec00038#vec00038-ces-cm00174", "vec00038")</f>
        <v>vec00038</v>
      </c>
      <c r="F45914" s="0" t="s">
        <v>74</v>
      </c>
    </row>
    <row r="45915" customFormat="false" ht="12.8" hidden="false" customHeight="false" outlineLevel="0" collapsed="false">
      <c r="B45915" s="0" t="s">
        <v>1</v>
      </c>
      <c r="C45915" s="0" t="s">
        <v>75</v>
      </c>
      <c r="E45915" s="0" t="s">
        <v>76</v>
      </c>
      <c r="F45915" s="0" t="s">
        <v>77</v>
      </c>
    </row>
    <row r="45916" customFormat="false" ht="12.8" hidden="false" customHeight="false" outlineLevel="0" collapsed="false">
      <c r="B45916" s="0" t="s">
        <v>8</v>
      </c>
      <c r="C45916" s="0" t="s">
        <v>78</v>
      </c>
      <c r="E45916" s="0" t="s">
        <v>79</v>
      </c>
      <c r="F45916" s="0" t="s">
        <v>80</v>
      </c>
    </row>
    <row r="45918" customFormat="false" ht="12.8" hidden="false" customHeight="false" outlineLevel="0" collapsed="false">
      <c r="A45918" s="0" t="s">
        <v>16388</v>
      </c>
      <c r="B45918" s="0" t="str">
        <f aca="false">HYPERLINK("https://lindat.mff.cuni.cz/services/teitok/pdtc10/index.php?action=vallex&amp;frame=v-w6438f3_ZU", "spustit (v-w6438f3_ZU)")</f>
        <v>spustit (v-w6438f3_ZU)</v>
      </c>
    </row>
    <row r="45919" customFormat="false" ht="12.8" hidden="false" customHeight="false" outlineLevel="0" collapsed="false">
      <c r="B45919" s="0" t="s">
        <v>1</v>
      </c>
    </row>
    <row r="45920" customFormat="false" ht="12.8" hidden="false" customHeight="false" outlineLevel="0" collapsed="false">
      <c r="B45920" s="0" t="s">
        <v>16389</v>
      </c>
    </row>
    <row r="45921" customFormat="false" ht="12.8" hidden="false" customHeight="false" outlineLevel="0" collapsed="false">
      <c r="B45921" s="0" t="s">
        <v>298</v>
      </c>
    </row>
    <row r="45923" customFormat="false" ht="12.8" hidden="false" customHeight="false" outlineLevel="0" collapsed="false">
      <c r="A45923" s="0" t="s">
        <v>16388</v>
      </c>
      <c r="B45923" s="0" t="str">
        <f aca="false">HYPERLINK("https://lindat.mff.cuni.cz/services/teitok/pdtc10/index.php?action=vallex&amp;frame=v-w6438hsa_132", "spustit (v-w6438hsa_132) - substituted with v-w6438f3_ZU")</f>
        <v>spustit (v-w6438hsa_132) - substituted with v-w6438f3_ZU</v>
      </c>
    </row>
    <row r="45924" customFormat="false" ht="12.8" hidden="false" customHeight="false" outlineLevel="0" collapsed="false">
      <c r="B45924" s="0" t="s">
        <v>1</v>
      </c>
    </row>
    <row r="45925" customFormat="false" ht="12.8" hidden="false" customHeight="false" outlineLevel="0" collapsed="false">
      <c r="B45925" s="0" t="s">
        <v>16389</v>
      </c>
    </row>
    <row r="45926" customFormat="false" ht="12.8" hidden="false" customHeight="false" outlineLevel="0" collapsed="false">
      <c r="B45926" s="0" t="s">
        <v>298</v>
      </c>
    </row>
    <row r="45928" customFormat="false" ht="12.8" hidden="false" customHeight="false" outlineLevel="0" collapsed="false">
      <c r="A45928" s="0" t="s">
        <v>16390</v>
      </c>
      <c r="B45928" s="0" t="str">
        <f aca="false">HYPERLINK("https://lindat.mff.cuni.cz/services/teitok/pdtc10/index.php?action=vallex&amp;frame=v-w6438f4_ZU", "spustit (v-w6438f4_ZU)")</f>
        <v>spustit (v-w6438f4_ZU)</v>
      </c>
    </row>
    <row r="45929" customFormat="false" ht="12.8" hidden="false" customHeight="false" outlineLevel="0" collapsed="false">
      <c r="B45929" s="0" t="s">
        <v>1</v>
      </c>
    </row>
    <row r="45930" customFormat="false" ht="12.8" hidden="false" customHeight="false" outlineLevel="0" collapsed="false">
      <c r="B45930" s="0" t="s">
        <v>59</v>
      </c>
    </row>
    <row r="45931" customFormat="false" ht="12.8" hidden="false" customHeight="false" outlineLevel="0" collapsed="false">
      <c r="B45931" s="0" t="s">
        <v>4688</v>
      </c>
    </row>
    <row r="45933" customFormat="false" ht="12.8" hidden="false" customHeight="false" outlineLevel="0" collapsed="false">
      <c r="A45933" s="0" t="s">
        <v>16391</v>
      </c>
      <c r="B45933" s="0" t="str">
        <f aca="false">HYPERLINK("https://lindat.mff.cuni.cz/services/teitok/pdtc10/index.php?action=vallex&amp;frame=v-w6439f3", "spustit se (v-w6439f3)")</f>
        <v>spustit se (v-w6439f3)</v>
      </c>
    </row>
    <row r="45934" customFormat="false" ht="12.8" hidden="false" customHeight="false" outlineLevel="0" collapsed="false">
      <c r="B45934" s="0" t="s">
        <v>1</v>
      </c>
    </row>
    <row r="45935" customFormat="false" ht="12.8" hidden="false" customHeight="false" outlineLevel="0" collapsed="false">
      <c r="B45935" s="0" t="s">
        <v>721</v>
      </c>
    </row>
    <row r="45937" customFormat="false" ht="12.8" hidden="false" customHeight="false" outlineLevel="0" collapsed="false">
      <c r="A45937" s="0" t="s">
        <v>16392</v>
      </c>
      <c r="B45937" s="0" t="str">
        <f aca="false">HYPERLINK("https://lindat.mff.cuni.cz/services/teitok/pdtc10/index.php?action=vallex&amp;frame=v-w6439f2", "spustit se (v-w6439f2)")</f>
        <v>spustit se (v-w6439f2)</v>
      </c>
      <c r="E45937" s="0" t="str">
        <f aca="false">HYPERLINK("https://lindat.mff.cuni.cz/services/SynSemClass40/SynSemClass40.html?veclass=vec01318#vec01318-ces-cm00005", "vec01318")</f>
        <v>vec01318</v>
      </c>
      <c r="F45937" s="0" t="s">
        <v>5084</v>
      </c>
    </row>
    <row r="45938" customFormat="false" ht="12.8" hidden="false" customHeight="false" outlineLevel="0" collapsed="false">
      <c r="B45938" s="0" t="s">
        <v>1</v>
      </c>
      <c r="C45938" s="0" t="s">
        <v>15699</v>
      </c>
      <c r="E45938" s="0" t="s">
        <v>334</v>
      </c>
      <c r="F45938" s="0" t="s">
        <v>5086</v>
      </c>
    </row>
    <row r="45939" customFormat="false" ht="12.8" hidden="false" customHeight="false" outlineLevel="0" collapsed="false">
      <c r="B45939" s="0" t="s">
        <v>164</v>
      </c>
      <c r="E45939" s="0" t="s">
        <v>370</v>
      </c>
      <c r="F45939" s="0" t="s">
        <v>3041</v>
      </c>
    </row>
    <row r="45941" customFormat="false" ht="12.8" hidden="false" customHeight="false" outlineLevel="0" collapsed="false">
      <c r="A45941" s="0" t="s">
        <v>16393</v>
      </c>
      <c r="B45941" s="0" t="str">
        <f aca="false">HYPERLINK("https://lindat.mff.cuni.cz/services/teitok/pdtc10/index.php?action=vallex&amp;frame=v-w6439f4_ZU", "spustit se (v-w6439f4_ZU)")</f>
        <v>spustit se (v-w6439f4_ZU)</v>
      </c>
    </row>
    <row r="45942" customFormat="false" ht="12.8" hidden="false" customHeight="false" outlineLevel="0" collapsed="false">
      <c r="B45942" s="0" t="s">
        <v>1</v>
      </c>
    </row>
    <row r="45944" customFormat="false" ht="12.8" hidden="false" customHeight="false" outlineLevel="0" collapsed="false">
      <c r="A45944" s="0" t="s">
        <v>16393</v>
      </c>
      <c r="B45944" s="0" t="str">
        <f aca="false">HYPERLINK("https://lindat.mff.cuni.cz/services/teitok/pdtc10/index.php?action=vallex&amp;frame=v-w6439f1", "spustit se (v-w6439f1) - substituted with v-w6439f4_ZU")</f>
        <v>spustit se (v-w6439f1) - substituted with v-w6439f4_ZU</v>
      </c>
      <c r="E45944" s="0" t="str">
        <f aca="false">HYPERLINK("https://lindat.mff.cuni.cz/services/SynSemClass40/SynSemClass40.html?veclass=vec00097#vec00097-ces-cm00198", "vec00097")</f>
        <v>vec00097</v>
      </c>
      <c r="F45944" s="0" t="s">
        <v>373</v>
      </c>
      <c r="H45944" s="0" t="str">
        <f aca="false">HYPERLINK("https://lindat.mff.cuni.cz/services/SynSemClass40/SynSemClass40.html?veclass=vec00113#vec00113-ces-cm00347", "vec00113")</f>
        <v>vec00113</v>
      </c>
      <c r="I45944" s="0" t="s">
        <v>2122</v>
      </c>
      <c r="K45944" s="0" t="str">
        <f aca="false">HYPERLINK("https://lindat.mff.cuni.cz/services/SynSemClass40/SynSemClass40.html?veclass=vec00861#vec00861-ces-cm00035", "vec00861")</f>
        <v>vec00861</v>
      </c>
      <c r="L45944" s="0" t="s">
        <v>10062</v>
      </c>
    </row>
    <row r="45945" customFormat="false" ht="12.8" hidden="false" customHeight="false" outlineLevel="0" collapsed="false">
      <c r="B45945" s="0" t="s">
        <v>1</v>
      </c>
      <c r="C45945" s="0" t="s">
        <v>16394</v>
      </c>
      <c r="E45945" s="0" t="s">
        <v>375</v>
      </c>
      <c r="F45945" s="0" t="s">
        <v>376</v>
      </c>
      <c r="H45945" s="0" t="s">
        <v>1084</v>
      </c>
      <c r="I45945" s="0" t="s">
        <v>2124</v>
      </c>
      <c r="K45945" s="0" t="s">
        <v>10064</v>
      </c>
      <c r="L45945" s="0" t="s">
        <v>10065</v>
      </c>
    </row>
    <row r="45947" customFormat="false" ht="12.8" hidden="false" customHeight="false" outlineLevel="0" collapsed="false">
      <c r="A45947" s="0" t="s">
        <v>16395</v>
      </c>
      <c r="B45947" s="0" t="str">
        <f aca="false">HYPERLINK("https://lindat.mff.cuni.cz/services/teitok/pdtc10/index.php?action=vallex&amp;frame=v-w6308f2", "spáchat (v-w6308f2)")</f>
        <v>spáchat (v-w6308f2)</v>
      </c>
    </row>
    <row r="45948" customFormat="false" ht="12.8" hidden="false" customHeight="false" outlineLevel="0" collapsed="false">
      <c r="B45948" s="0" t="s">
        <v>1</v>
      </c>
    </row>
    <row r="45949" customFormat="false" ht="12.8" hidden="false" customHeight="false" outlineLevel="0" collapsed="false">
      <c r="B45949" s="0" t="s">
        <v>8</v>
      </c>
    </row>
    <row r="45950" customFormat="false" ht="12.8" hidden="false" customHeight="false" outlineLevel="0" collapsed="false">
      <c r="B45950" s="0" t="s">
        <v>52</v>
      </c>
    </row>
    <row r="45952" customFormat="false" ht="12.8" hidden="false" customHeight="false" outlineLevel="0" collapsed="false">
      <c r="A45952" s="0" t="s">
        <v>16396</v>
      </c>
      <c r="B45952" s="0" t="str">
        <f aca="false">HYPERLINK("https://lindat.mff.cuni.cz/services/teitok/pdtc10/index.php?action=vallex&amp;frame=v-w6308f1", "spáchat (v-w6308f1)")</f>
        <v>spáchat (v-w6308f1)</v>
      </c>
      <c r="E45952" s="0" t="str">
        <f aca="false">HYPERLINK("https://lindat.mff.cuni.cz/services/SynSemClass40/SynSemClass40.html?veclass=vec00009#vec00009-ces-cm00081", "vec00009")</f>
        <v>vec00009</v>
      </c>
      <c r="F45952" s="0" t="s">
        <v>2625</v>
      </c>
    </row>
    <row r="45953" customFormat="false" ht="12.8" hidden="false" customHeight="false" outlineLevel="0" collapsed="false">
      <c r="B45953" s="0" t="s">
        <v>1</v>
      </c>
      <c r="C45953" s="0" t="s">
        <v>239</v>
      </c>
      <c r="E45953" s="0" t="s">
        <v>1573</v>
      </c>
      <c r="F45953" s="0" t="s">
        <v>2626</v>
      </c>
    </row>
    <row r="45954" customFormat="false" ht="12.8" hidden="false" customHeight="false" outlineLevel="0" collapsed="false">
      <c r="B45954" s="0" t="s">
        <v>8</v>
      </c>
      <c r="C45954" s="0" t="s">
        <v>2627</v>
      </c>
      <c r="E45954" s="0" t="s">
        <v>2628</v>
      </c>
      <c r="F45954" s="0" t="s">
        <v>2629</v>
      </c>
    </row>
    <row r="45956" customFormat="false" ht="12.8" hidden="false" customHeight="false" outlineLevel="0" collapsed="false">
      <c r="A45956" s="0" t="s">
        <v>16397</v>
      </c>
      <c r="B45956" s="0" t="str">
        <f aca="false">HYPERLINK("https://lindat.mff.cuni.cz/services/teitok/pdtc10/index.php?action=vallex&amp;frame=v-w6310f1", "spálit (v-w6310f1)")</f>
        <v>spálit (v-w6310f1)</v>
      </c>
    </row>
    <row r="45957" customFormat="false" ht="12.8" hidden="false" customHeight="false" outlineLevel="0" collapsed="false">
      <c r="B45957" s="0" t="s">
        <v>1</v>
      </c>
    </row>
    <row r="45958" customFormat="false" ht="12.8" hidden="false" customHeight="false" outlineLevel="0" collapsed="false">
      <c r="B45958" s="0" t="s">
        <v>8</v>
      </c>
    </row>
    <row r="45960" customFormat="false" ht="12.8" hidden="false" customHeight="false" outlineLevel="0" collapsed="false">
      <c r="A45960" s="0" t="s">
        <v>16398</v>
      </c>
      <c r="B45960" s="0" t="str">
        <f aca="false">HYPERLINK("https://lindat.mff.cuni.cz/services/teitok/pdtc10/index.php?action=vallex&amp;frame=v-w6310f3", "spálit (v-w6310f3)")</f>
        <v>spálit (v-w6310f3)</v>
      </c>
    </row>
    <row r="45961" customFormat="false" ht="12.8" hidden="false" customHeight="false" outlineLevel="0" collapsed="false">
      <c r="B45961" s="0" t="s">
        <v>1</v>
      </c>
    </row>
    <row r="45962" customFormat="false" ht="12.8" hidden="false" customHeight="false" outlineLevel="0" collapsed="false">
      <c r="B45962" s="0" t="s">
        <v>8</v>
      </c>
    </row>
    <row r="45964" customFormat="false" ht="12.8" hidden="false" customHeight="false" outlineLevel="0" collapsed="false">
      <c r="A45964" s="0" t="s">
        <v>16399</v>
      </c>
      <c r="B45964" s="0" t="str">
        <f aca="false">HYPERLINK("https://lindat.mff.cuni.cz/services/teitok/pdtc10/index.php?action=vallex&amp;frame=v-w6310f2", "spálit (v-w6310f2)")</f>
        <v>spálit (v-w6310f2)</v>
      </c>
    </row>
    <row r="45965" customFormat="false" ht="12.8" hidden="false" customHeight="false" outlineLevel="0" collapsed="false">
      <c r="B45965" s="0" t="s">
        <v>1</v>
      </c>
    </row>
    <row r="45966" customFormat="false" ht="12.8" hidden="false" customHeight="false" outlineLevel="0" collapsed="false">
      <c r="B45966" s="0" t="s">
        <v>8</v>
      </c>
    </row>
    <row r="45968" customFormat="false" ht="12.8" hidden="false" customHeight="false" outlineLevel="0" collapsed="false">
      <c r="A45968" s="0" t="s">
        <v>16400</v>
      </c>
      <c r="B45968" s="0" t="str">
        <f aca="false">HYPERLINK("https://lindat.mff.cuni.cz/services/teitok/pdtc10/index.php?action=vallex&amp;frame=v-w6310hsa_398", "spálit (v-w6310hsa_398)")</f>
        <v>spálit (v-w6310hsa_398)</v>
      </c>
    </row>
    <row r="45969" customFormat="false" ht="12.8" hidden="false" customHeight="false" outlineLevel="0" collapsed="false">
      <c r="B45969" s="0" t="s">
        <v>1</v>
      </c>
    </row>
    <row r="45970" customFormat="false" ht="12.8" hidden="false" customHeight="false" outlineLevel="0" collapsed="false">
      <c r="B45970" s="0" t="s">
        <v>8</v>
      </c>
    </row>
    <row r="45972" customFormat="false" ht="12.8" hidden="false" customHeight="false" outlineLevel="0" collapsed="false">
      <c r="A45972" s="0" t="s">
        <v>16401</v>
      </c>
      <c r="B45972" s="0" t="str">
        <f aca="false">HYPERLINK("https://lindat.mff.cuni.cz/services/teitok/pdtc10/index.php?action=vallex&amp;frame=v-w11594_ZUf1_ZU", "spálit se (v-w11594_ZUf1_ZU)")</f>
        <v>spálit se (v-w11594_ZUf1_ZU)</v>
      </c>
      <c r="E45972" s="0" t="str">
        <f aca="false">HYPERLINK("https://lindat.mff.cuni.cz/services/SynSemClass40/SynSemClass40.html?veclass=vec00721#vec00721-ces-cm00001", "vec00721")</f>
        <v>vec00721</v>
      </c>
      <c r="F45972" s="0" t="s">
        <v>16402</v>
      </c>
    </row>
    <row r="45973" customFormat="false" ht="12.8" hidden="false" customHeight="false" outlineLevel="0" collapsed="false">
      <c r="B45973" s="0" t="s">
        <v>1</v>
      </c>
      <c r="C45973" s="0" t="s">
        <v>12435</v>
      </c>
      <c r="E45973" s="0" t="s">
        <v>2565</v>
      </c>
      <c r="F45973" s="0" t="s">
        <v>16403</v>
      </c>
    </row>
    <row r="45975" customFormat="false" ht="12.8" hidden="false" customHeight="false" outlineLevel="0" collapsed="false">
      <c r="A45975" s="0" t="s">
        <v>16404</v>
      </c>
      <c r="B45975" s="0" t="str">
        <f aca="false">HYPERLINK("https://lindat.mff.cuni.cz/services/teitok/pdtc10/index.php?action=vallex&amp;frame=v-w11594_ZUhsa_294", "spálit se (v-w11594_ZUhsa_294)")</f>
        <v>spálit se (v-w11594_ZUhsa_294)</v>
      </c>
    </row>
    <row r="45976" customFormat="false" ht="12.8" hidden="false" customHeight="false" outlineLevel="0" collapsed="false">
      <c r="B45976" s="0" t="s">
        <v>1</v>
      </c>
    </row>
    <row r="45978" customFormat="false" ht="12.8" hidden="false" customHeight="false" outlineLevel="0" collapsed="false">
      <c r="A45978" s="0" t="s">
        <v>16405</v>
      </c>
      <c r="B45978" s="0" t="str">
        <f aca="false">HYPERLINK("https://lindat.mff.cuni.cz/services/teitok/pdtc10/index.php?action=vallex&amp;frame=v-whsa_414hsa_415", "spást (v-whsa_414hsa_415)")</f>
        <v>spást (v-whsa_414hsa_415)</v>
      </c>
    </row>
    <row r="45979" customFormat="false" ht="12.8" hidden="false" customHeight="false" outlineLevel="0" collapsed="false">
      <c r="B45979" s="0" t="s">
        <v>1</v>
      </c>
    </row>
    <row r="45980" customFormat="false" ht="12.8" hidden="false" customHeight="false" outlineLevel="0" collapsed="false">
      <c r="B45980" s="0" t="s">
        <v>8</v>
      </c>
    </row>
    <row r="45982" customFormat="false" ht="12.8" hidden="false" customHeight="false" outlineLevel="0" collapsed="false">
      <c r="A45982" s="0" t="s">
        <v>16406</v>
      </c>
      <c r="B45982" s="0" t="str">
        <f aca="false">HYPERLINK("https://lindat.mff.cuni.cz/services/teitok/pdtc10/index.php?action=vallex&amp;frame=v-w6315f2_ZU", "spát (v-w6315f2_ZU)")</f>
        <v>spát (v-w6315f2_ZU)</v>
      </c>
    </row>
    <row r="45983" customFormat="false" ht="12.8" hidden="false" customHeight="false" outlineLevel="0" collapsed="false">
      <c r="B45983" s="0" t="s">
        <v>1</v>
      </c>
    </row>
    <row r="45984" customFormat="false" ht="12.8" hidden="false" customHeight="false" outlineLevel="0" collapsed="false">
      <c r="B45984" s="0" t="s">
        <v>721</v>
      </c>
    </row>
    <row r="45986" customFormat="false" ht="12.8" hidden="false" customHeight="false" outlineLevel="0" collapsed="false">
      <c r="A45986" s="0" t="s">
        <v>16407</v>
      </c>
      <c r="B45986" s="0" t="str">
        <f aca="false">HYPERLINK("https://lindat.mff.cuni.cz/services/teitok/pdtc10/index.php?action=vallex&amp;frame=v-w6315f1", "spát (v-w6315f1)")</f>
        <v>spát (v-w6315f1)</v>
      </c>
      <c r="E45986" s="0" t="str">
        <f aca="false">HYPERLINK("https://lindat.mff.cuni.cz/services/SynSemClass40/SynSemClass40.html?veclass=vec00518#vec00518-ces-cm00001", "vec00518")</f>
        <v>vec00518</v>
      </c>
      <c r="F45986" s="0" t="s">
        <v>16408</v>
      </c>
    </row>
    <row r="45987" customFormat="false" ht="12.8" hidden="false" customHeight="false" outlineLevel="0" collapsed="false">
      <c r="B45987" s="0" t="s">
        <v>1</v>
      </c>
      <c r="C45987" s="0" t="s">
        <v>106</v>
      </c>
      <c r="E45987" s="0" t="s">
        <v>11</v>
      </c>
      <c r="F45987" s="0" t="s">
        <v>9320</v>
      </c>
    </row>
    <row r="45989" customFormat="false" ht="12.8" hidden="false" customHeight="false" outlineLevel="0" collapsed="false">
      <c r="A45989" s="0" t="s">
        <v>16409</v>
      </c>
      <c r="B45989" s="0" t="str">
        <f aca="false">HYPERLINK("https://lindat.mff.cuni.cz/services/teitok/pdtc10/index.php?action=vallex&amp;frame=v-whsa_1818f1_ZU", "spávat (v-whsa_1818f1_ZU)")</f>
        <v>spávat (v-whsa_1818f1_ZU)</v>
      </c>
    </row>
    <row r="45990" customFormat="false" ht="12.8" hidden="false" customHeight="false" outlineLevel="0" collapsed="false">
      <c r="B45990" s="0" t="s">
        <v>1</v>
      </c>
    </row>
    <row r="45992" customFormat="false" ht="12.8" hidden="false" customHeight="false" outlineLevel="0" collapsed="false">
      <c r="A45992" s="0" t="s">
        <v>16409</v>
      </c>
      <c r="B45992" s="0" t="str">
        <f aca="false">HYPERLINK("https://lindat.mff.cuni.cz/services/teitok/pdtc10/index.php?action=vallex&amp;frame=v-whsa_1818hsa_1819", "spávat (v-whsa_1818hsa_1819) - substituted with v-whsa_1818f1_ZU")</f>
        <v>spávat (v-whsa_1818hsa_1819) - substituted with v-whsa_1818f1_ZU</v>
      </c>
    </row>
    <row r="45993" customFormat="false" ht="12.8" hidden="false" customHeight="false" outlineLevel="0" collapsed="false">
      <c r="B45993" s="0" t="s">
        <v>1</v>
      </c>
    </row>
    <row r="45995" customFormat="false" ht="12.8" hidden="false" customHeight="false" outlineLevel="0" collapsed="false">
      <c r="A45995" s="0" t="s">
        <v>16410</v>
      </c>
      <c r="B45995" s="0" t="str">
        <f aca="false">HYPERLINK("https://lindat.mff.cuni.cz/services/teitok/pdtc10/index.php?action=vallex&amp;frame=v-w10379f3", "spářit (v-w10379f3)")</f>
        <v>spářit (v-w10379f3)</v>
      </c>
    </row>
    <row r="45996" customFormat="false" ht="12.8" hidden="false" customHeight="false" outlineLevel="0" collapsed="false">
      <c r="B45996" s="0" t="s">
        <v>1</v>
      </c>
    </row>
    <row r="45997" customFormat="false" ht="12.8" hidden="false" customHeight="false" outlineLevel="0" collapsed="false">
      <c r="B45997" s="0" t="s">
        <v>8</v>
      </c>
    </row>
    <row r="45999" customFormat="false" ht="12.8" hidden="false" customHeight="false" outlineLevel="0" collapsed="false">
      <c r="A45999" s="0" t="s">
        <v>16411</v>
      </c>
      <c r="B45999" s="0" t="str">
        <f aca="false">HYPERLINK("https://lindat.mff.cuni.cz/services/teitok/pdtc10/index.php?action=vallex&amp;frame=v-w6331f1", "spíchnout (v-w6331f1)")</f>
        <v>spíchnout (v-w6331f1)</v>
      </c>
    </row>
    <row r="46000" customFormat="false" ht="12.8" hidden="false" customHeight="false" outlineLevel="0" collapsed="false">
      <c r="B46000" s="0" t="s">
        <v>1</v>
      </c>
    </row>
    <row r="46001" customFormat="false" ht="12.8" hidden="false" customHeight="false" outlineLevel="0" collapsed="false">
      <c r="B46001" s="0" t="s">
        <v>8</v>
      </c>
    </row>
    <row r="46002" customFormat="false" ht="12.8" hidden="false" customHeight="false" outlineLevel="0" collapsed="false">
      <c r="B46002" s="0" t="s">
        <v>36</v>
      </c>
    </row>
    <row r="46004" customFormat="false" ht="12.8" hidden="false" customHeight="false" outlineLevel="0" collapsed="false">
      <c r="A46004" s="0" t="s">
        <v>16412</v>
      </c>
      <c r="B46004" s="0" t="str">
        <f aca="false">HYPERLINK("https://lindat.mff.cuni.cz/services/teitok/pdtc10/index.php?action=vallex&amp;frame=v-w6331f2", "spíchnout (v-w6331f2)")</f>
        <v>spíchnout (v-w6331f2)</v>
      </c>
    </row>
    <row r="46005" customFormat="false" ht="12.8" hidden="false" customHeight="false" outlineLevel="0" collapsed="false">
      <c r="B46005" s="0" t="s">
        <v>1</v>
      </c>
    </row>
    <row r="46006" customFormat="false" ht="12.8" hidden="false" customHeight="false" outlineLevel="0" collapsed="false">
      <c r="B46006" s="0" t="s">
        <v>8</v>
      </c>
    </row>
    <row r="46007" customFormat="false" ht="12.8" hidden="false" customHeight="false" outlineLevel="0" collapsed="false">
      <c r="B46007" s="0" t="s">
        <v>36</v>
      </c>
    </row>
    <row r="46009" customFormat="false" ht="12.8" hidden="false" customHeight="false" outlineLevel="0" collapsed="false">
      <c r="A46009" s="0" t="s">
        <v>16413</v>
      </c>
      <c r="B46009" s="0" t="str">
        <f aca="false">HYPERLINK("https://lindat.mff.cuni.cz/services/teitok/pdtc10/index.php?action=vallex&amp;frame=v-w6333f1", "spílat (v-w6333f1)")</f>
        <v>spílat (v-w6333f1)</v>
      </c>
      <c r="E46009" s="0" t="str">
        <f aca="false">HYPERLINK("https://lindat.mff.cuni.cz/services/SynSemClass40/SynSemClass40.html?veclass=vec00620#vec00620-ces-cm00018", "vec00620")</f>
        <v>vec00620</v>
      </c>
      <c r="F46009" s="0" t="s">
        <v>4262</v>
      </c>
      <c r="H46009" s="0" t="str">
        <f aca="false">HYPERLINK("https://lindat.mff.cuni.cz/services/SynSemClass40/SynSemClass40.html?veclass=vec00633#vec00633-ces-cm00004", "vec00633")</f>
        <v>vec00633</v>
      </c>
      <c r="I46009" s="0" t="s">
        <v>528</v>
      </c>
      <c r="K46009" s="0" t="str">
        <f aca="false">HYPERLINK("https://lindat.mff.cuni.cz/services/SynSemClass40/SynSemClass40.html?veclass=vec00958#vec00958-ces-cm00003", "vec00958")</f>
        <v>vec00958</v>
      </c>
      <c r="L46009" s="0" t="s">
        <v>8464</v>
      </c>
    </row>
    <row r="46010" customFormat="false" ht="12.8" hidden="false" customHeight="false" outlineLevel="0" collapsed="false">
      <c r="B46010" s="0" t="s">
        <v>1</v>
      </c>
      <c r="C46010" s="0" t="s">
        <v>8644</v>
      </c>
      <c r="E46010" s="0" t="s">
        <v>31</v>
      </c>
      <c r="F46010" s="0" t="s">
        <v>4265</v>
      </c>
      <c r="H46010" s="0" t="s">
        <v>147</v>
      </c>
      <c r="I46010" s="0" t="s">
        <v>529</v>
      </c>
      <c r="K46010" s="0" t="s">
        <v>206</v>
      </c>
      <c r="L46010" s="0" t="s">
        <v>1365</v>
      </c>
    </row>
    <row r="46011" customFormat="false" ht="12.8" hidden="false" customHeight="false" outlineLevel="0" collapsed="false">
      <c r="B46011" s="0" t="s">
        <v>52</v>
      </c>
      <c r="C46011" s="0" t="s">
        <v>16414</v>
      </c>
      <c r="E46011" s="0" t="s">
        <v>2287</v>
      </c>
      <c r="F46011" s="0" t="s">
        <v>16415</v>
      </c>
      <c r="H46011" s="0" t="s">
        <v>16416</v>
      </c>
      <c r="I46011" s="0" t="s">
        <v>16417</v>
      </c>
      <c r="K46011" s="0" t="s">
        <v>3701</v>
      </c>
      <c r="L46011" s="0" t="s">
        <v>16418</v>
      </c>
    </row>
    <row r="46012" customFormat="false" ht="12.8" hidden="false" customHeight="false" outlineLevel="0" collapsed="false">
      <c r="B46012" s="0" t="s">
        <v>16419</v>
      </c>
      <c r="C46012" s="0" t="s">
        <v>16420</v>
      </c>
      <c r="E46012" s="0" t="s">
        <v>532</v>
      </c>
      <c r="F46012" s="0" t="s">
        <v>16421</v>
      </c>
    </row>
    <row r="46014" customFormat="false" ht="12.8" hidden="false" customHeight="false" outlineLevel="0" collapsed="false">
      <c r="A46014" s="0" t="s">
        <v>16422</v>
      </c>
      <c r="B46014" s="0" t="str">
        <f aca="false">HYPERLINK("https://lindat.mff.cuni.cz/services/teitok/pdtc10/index.php?action=vallex&amp;frame=v-w6326f4_MM", "spěchat (v-w6326f4_MM)")</f>
        <v>spěchat (v-w6326f4_MM)</v>
      </c>
    </row>
    <row r="46015" customFormat="false" ht="12.8" hidden="false" customHeight="false" outlineLevel="0" collapsed="false">
      <c r="B46015" s="0" t="s">
        <v>1</v>
      </c>
    </row>
    <row r="46016" customFormat="false" ht="12.8" hidden="false" customHeight="false" outlineLevel="0" collapsed="false">
      <c r="B46016" s="0" t="s">
        <v>16423</v>
      </c>
    </row>
    <row r="46018" customFormat="false" ht="12.8" hidden="false" customHeight="false" outlineLevel="0" collapsed="false">
      <c r="A46018" s="0" t="s">
        <v>16422</v>
      </c>
      <c r="B46018" s="0" t="str">
        <f aca="false">HYPERLINK("https://lindat.mff.cuni.cz/services/teitok/pdtc10/index.php?action=vallex&amp;frame=v-w6326f2", "spěchat (v-w6326f2) - substituted with v-w6326f4_MM")</f>
        <v>spěchat (v-w6326f2) - substituted with v-w6326f4_MM</v>
      </c>
    </row>
    <row r="46019" customFormat="false" ht="12.8" hidden="false" customHeight="false" outlineLevel="0" collapsed="false">
      <c r="B46019" s="0" t="s">
        <v>1</v>
      </c>
    </row>
    <row r="46020" customFormat="false" ht="12.8" hidden="false" customHeight="false" outlineLevel="0" collapsed="false">
      <c r="B46020" s="0" t="s">
        <v>16423</v>
      </c>
    </row>
    <row r="46022" customFormat="false" ht="12.8" hidden="false" customHeight="false" outlineLevel="0" collapsed="false">
      <c r="A46022" s="0" t="s">
        <v>16422</v>
      </c>
      <c r="B46022" s="0" t="str">
        <f aca="false">HYPERLINK("https://lindat.mff.cuni.cz/services/teitok/pdtc10/index.php?action=vallex&amp;frame=v-w6326hsa_1016", "spěchat (v-w6326hsa_1016) - substituted with v-w6326f4_MM")</f>
        <v>spěchat (v-w6326hsa_1016) - substituted with v-w6326f4_MM</v>
      </c>
      <c r="E46022" s="0" t="str">
        <f aca="false">HYPERLINK("https://lindat.mff.cuni.cz/services/SynSemClass40/SynSemClass40.html?veclass=vec00610#vec00610-ces-cm00011", "vec00610")</f>
        <v>vec00610</v>
      </c>
      <c r="F46022" s="0" t="s">
        <v>3225</v>
      </c>
    </row>
    <row r="46023" customFormat="false" ht="12.8" hidden="false" customHeight="false" outlineLevel="0" collapsed="false">
      <c r="B46023" s="0" t="s">
        <v>1</v>
      </c>
      <c r="C46023" s="0" t="s">
        <v>4387</v>
      </c>
      <c r="E46023" s="0" t="s">
        <v>11</v>
      </c>
      <c r="F46023" s="0" t="s">
        <v>3227</v>
      </c>
    </row>
    <row r="46024" customFormat="false" ht="12.8" hidden="false" customHeight="false" outlineLevel="0" collapsed="false">
      <c r="B46024" s="0" t="s">
        <v>16423</v>
      </c>
      <c r="C46024" s="0" t="s">
        <v>4392</v>
      </c>
      <c r="E46024" s="0" t="s">
        <v>523</v>
      </c>
      <c r="F46024" s="0" t="s">
        <v>4393</v>
      </c>
    </row>
    <row r="46026" customFormat="false" ht="12.8" hidden="false" customHeight="false" outlineLevel="0" collapsed="false">
      <c r="A46026" s="0" t="s">
        <v>16424</v>
      </c>
      <c r="B46026" s="0" t="str">
        <f aca="false">HYPERLINK("https://lindat.mff.cuni.cz/services/teitok/pdtc10/index.php?action=vallex&amp;frame=v-w6326f1", "spěchat (v-w6326f1)")</f>
        <v>spěchat (v-w6326f1)</v>
      </c>
      <c r="E46026" s="0" t="str">
        <f aca="false">HYPERLINK("https://lindat.mff.cuni.cz/services/SynSemClass40/SynSemClass40.html?veclass=vec00722#vec00722-ces-cm00001", "vec00722")</f>
        <v>vec00722</v>
      </c>
      <c r="F46026" s="0" t="s">
        <v>11557</v>
      </c>
    </row>
    <row r="46027" customFormat="false" ht="12.8" hidden="false" customHeight="false" outlineLevel="0" collapsed="false">
      <c r="B46027" s="0" t="s">
        <v>1</v>
      </c>
      <c r="C46027" s="0" t="s">
        <v>1507</v>
      </c>
      <c r="E46027" s="0" t="s">
        <v>334</v>
      </c>
      <c r="F46027" s="0" t="s">
        <v>11558</v>
      </c>
    </row>
    <row r="46028" customFormat="false" ht="12.8" hidden="false" customHeight="false" outlineLevel="0" collapsed="false">
      <c r="B46028" s="0" t="s">
        <v>164</v>
      </c>
      <c r="E46028" s="0" t="s">
        <v>370</v>
      </c>
      <c r="F46028" s="0" t="s">
        <v>3041</v>
      </c>
    </row>
    <row r="46030" customFormat="false" ht="12.8" hidden="false" customHeight="false" outlineLevel="0" collapsed="false">
      <c r="A46030" s="0" t="s">
        <v>16425</v>
      </c>
      <c r="B46030" s="0" t="str">
        <f aca="false">HYPERLINK("https://lindat.mff.cuni.cz/services/teitok/pdtc10/index.php?action=vallex&amp;frame=v-w6326f3", "spěchat (v-w6326f3)")</f>
        <v>spěchat (v-w6326f3)</v>
      </c>
    </row>
    <row r="46031" customFormat="false" ht="12.8" hidden="false" customHeight="false" outlineLevel="0" collapsed="false">
      <c r="B46031" s="0" t="s">
        <v>1</v>
      </c>
    </row>
    <row r="46033" customFormat="false" ht="12.8" hidden="false" customHeight="false" outlineLevel="0" collapsed="false">
      <c r="A46033" s="0" t="s">
        <v>16426</v>
      </c>
      <c r="B46033" s="0" t="str">
        <f aca="false">HYPERLINK("https://lindat.mff.cuni.cz/services/teitok/pdtc10/index.php?action=vallex&amp;frame=v-w10264f2", "spěchávat (v-w10264f2)")</f>
        <v>spěchávat (v-w10264f2)</v>
      </c>
      <c r="E46033" s="0" t="str">
        <f aca="false">HYPERLINK("https://lindat.mff.cuni.cz/services/SynSemClass40/SynSemClass40.html?veclass=vec00722#vec00722-ces-cm00019", "vec00722")</f>
        <v>vec00722</v>
      </c>
      <c r="F46033" s="0" t="s">
        <v>11557</v>
      </c>
    </row>
    <row r="46034" customFormat="false" ht="12.8" hidden="false" customHeight="false" outlineLevel="0" collapsed="false">
      <c r="B46034" s="0" t="s">
        <v>1</v>
      </c>
      <c r="C46034" s="0" t="s">
        <v>1507</v>
      </c>
      <c r="E46034" s="0" t="s">
        <v>334</v>
      </c>
      <c r="F46034" s="0" t="s">
        <v>11558</v>
      </c>
    </row>
    <row r="46035" customFormat="false" ht="12.8" hidden="false" customHeight="false" outlineLevel="0" collapsed="false">
      <c r="B46035" s="0" t="s">
        <v>164</v>
      </c>
      <c r="E46035" s="0" t="s">
        <v>370</v>
      </c>
      <c r="F46035" s="0" t="s">
        <v>3041</v>
      </c>
    </row>
    <row r="46037" customFormat="false" ht="12.8" hidden="false" customHeight="false" outlineLevel="0" collapsed="false">
      <c r="A46037" s="0" t="s">
        <v>16427</v>
      </c>
      <c r="B46037" s="0" t="str">
        <f aca="false">HYPERLINK("https://lindat.mff.cuni.cz/services/teitok/pdtc10/index.php?action=vallex&amp;frame=v-w6330f1", "spět (v-w6330f1)")</f>
        <v>spět (v-w6330f1)</v>
      </c>
      <c r="E46037" s="0" t="str">
        <f aca="false">HYPERLINK("https://lindat.mff.cuni.cz/services/SynSemClass40/SynSemClass40.html?veclass=vec00516#vec00516-ces-cm00041", "vec00516")</f>
        <v>vec00516</v>
      </c>
      <c r="F46037" s="0" t="s">
        <v>4818</v>
      </c>
      <c r="H46037" s="0" t="str">
        <f aca="false">HYPERLINK("https://lindat.mff.cuni.cz/services/SynSemClass40/SynSemClass40.html?veclass=vec01201#vec01201-ces-cm00006", "vec01201")</f>
        <v>vec01201</v>
      </c>
      <c r="I46037" s="0" t="s">
        <v>344</v>
      </c>
    </row>
    <row r="46038" customFormat="false" ht="12.8" hidden="false" customHeight="false" outlineLevel="0" collapsed="false">
      <c r="B46038" s="0" t="s">
        <v>1</v>
      </c>
      <c r="C46038" s="0" t="s">
        <v>16428</v>
      </c>
      <c r="E46038" s="0" t="s">
        <v>11</v>
      </c>
      <c r="F46038" s="0" t="s">
        <v>4820</v>
      </c>
      <c r="H46038" s="0" t="s">
        <v>235</v>
      </c>
      <c r="I46038" s="0" t="s">
        <v>349</v>
      </c>
    </row>
    <row r="46039" customFormat="false" ht="12.8" hidden="false" customHeight="false" outlineLevel="0" collapsed="false">
      <c r="B46039" s="0" t="s">
        <v>311</v>
      </c>
      <c r="C46039" s="0" t="s">
        <v>16429</v>
      </c>
      <c r="E46039" s="0" t="s">
        <v>523</v>
      </c>
      <c r="F46039" s="0" t="s">
        <v>4822</v>
      </c>
      <c r="H46039" s="0" t="s">
        <v>354</v>
      </c>
      <c r="I46039" s="0" t="s">
        <v>355</v>
      </c>
    </row>
    <row r="46041" customFormat="false" ht="12.8" hidden="false" customHeight="false" outlineLevel="0" collapsed="false">
      <c r="A46041" s="0" t="s">
        <v>16430</v>
      </c>
      <c r="B46041" s="0" t="str">
        <f aca="false">HYPERLINK("https://lindat.mff.cuni.cz/services/teitok/pdtc10/index.php?action=vallex&amp;frame=v-w6330f2", "spět (v-w6330f2)")</f>
        <v>spět (v-w6330f2)</v>
      </c>
    </row>
    <row r="46042" customFormat="false" ht="12.8" hidden="false" customHeight="false" outlineLevel="0" collapsed="false">
      <c r="B46042" s="0" t="s">
        <v>1</v>
      </c>
    </row>
    <row r="46043" customFormat="false" ht="12.8" hidden="false" customHeight="false" outlineLevel="0" collapsed="false">
      <c r="B46043" s="0" t="s">
        <v>164</v>
      </c>
    </row>
    <row r="46045" customFormat="false" ht="12.8" hidden="false" customHeight="false" outlineLevel="0" collapsed="false">
      <c r="A46045" s="0" t="s">
        <v>16431</v>
      </c>
      <c r="B46045" s="0" t="str">
        <f aca="false">HYPERLINK("https://lindat.mff.cuni.cz/services/teitok/pdtc10/index.php?action=vallex&amp;frame=v-w6435f2", "spřádat (v-w6435f2)")</f>
        <v>spřádat (v-w6435f2)</v>
      </c>
    </row>
    <row r="46046" customFormat="false" ht="12.8" hidden="false" customHeight="false" outlineLevel="0" collapsed="false">
      <c r="B46046" s="0" t="s">
        <v>1</v>
      </c>
    </row>
    <row r="46047" customFormat="false" ht="12.8" hidden="false" customHeight="false" outlineLevel="0" collapsed="false">
      <c r="B46047" s="0" t="s">
        <v>8</v>
      </c>
    </row>
    <row r="46049" customFormat="false" ht="12.8" hidden="false" customHeight="false" outlineLevel="0" collapsed="false">
      <c r="A46049" s="0" t="s">
        <v>16432</v>
      </c>
      <c r="B46049" s="0" t="str">
        <f aca="false">HYPERLINK("https://lindat.mff.cuni.cz/services/teitok/pdtc10/index.php?action=vallex&amp;frame=v-w6435f3", "spřádat (v-w6435f3)")</f>
        <v>spřádat (v-w6435f3)</v>
      </c>
    </row>
    <row r="46050" customFormat="false" ht="12.8" hidden="false" customHeight="false" outlineLevel="0" collapsed="false">
      <c r="B46050" s="0" t="s">
        <v>1</v>
      </c>
    </row>
    <row r="46051" customFormat="false" ht="12.8" hidden="false" customHeight="false" outlineLevel="0" collapsed="false">
      <c r="B46051" s="0" t="s">
        <v>16433</v>
      </c>
    </row>
    <row r="46053" customFormat="false" ht="12.8" hidden="false" customHeight="false" outlineLevel="0" collapsed="false">
      <c r="A46053" s="0" t="s">
        <v>16432</v>
      </c>
      <c r="B46053" s="0" t="str">
        <f aca="false">HYPERLINK("https://lindat.mff.cuni.cz/services/teitok/pdtc10/index.php?action=vallex&amp;frame=v-w6435f1", "spřádat (v-w6435f1) - substituted with v-w6435f3")</f>
        <v>spřádat (v-w6435f1) - substituted with v-w6435f3</v>
      </c>
    </row>
    <row r="46054" customFormat="false" ht="12.8" hidden="false" customHeight="false" outlineLevel="0" collapsed="false">
      <c r="B46054" s="0" t="s">
        <v>1</v>
      </c>
    </row>
    <row r="46055" customFormat="false" ht="12.8" hidden="false" customHeight="false" outlineLevel="0" collapsed="false">
      <c r="B46055" s="0" t="s">
        <v>16433</v>
      </c>
    </row>
    <row r="46057" customFormat="false" ht="12.8" hidden="false" customHeight="false" outlineLevel="0" collapsed="false">
      <c r="A46057" s="0" t="s">
        <v>16434</v>
      </c>
      <c r="B46057" s="0" t="str">
        <f aca="false">HYPERLINK("https://lindat.mff.cuni.cz/services/teitok/pdtc10/index.php?action=vallex&amp;frame=v-w11300f1", "spřáhnout se (v-w11300f1)")</f>
        <v>spřáhnout se (v-w11300f1)</v>
      </c>
      <c r="E46057" s="0" t="str">
        <f aca="false">HYPERLINK("https://lindat.mff.cuni.cz/services/SynSemClass40/SynSemClass40.html?veclass=vec00318#vec00318-ces-cm00011", "vec00318")</f>
        <v>vec00318</v>
      </c>
      <c r="F46057" s="0" t="s">
        <v>3218</v>
      </c>
    </row>
    <row r="46058" customFormat="false" ht="12.8" hidden="false" customHeight="false" outlineLevel="0" collapsed="false">
      <c r="B46058" s="0" t="s">
        <v>1</v>
      </c>
      <c r="C46058" s="0" t="s">
        <v>3219</v>
      </c>
      <c r="E46058" s="0" t="s">
        <v>2241</v>
      </c>
      <c r="F46058" s="0" t="s">
        <v>3220</v>
      </c>
    </row>
    <row r="46059" customFormat="false" ht="12.8" hidden="false" customHeight="false" outlineLevel="0" collapsed="false">
      <c r="B46059" s="0" t="s">
        <v>721</v>
      </c>
      <c r="C46059" s="0" t="s">
        <v>3221</v>
      </c>
      <c r="E46059" s="0" t="s">
        <v>2665</v>
      </c>
      <c r="F46059" s="0" t="s">
        <v>3222</v>
      </c>
    </row>
    <row r="46060" customFormat="false" ht="12.8" hidden="false" customHeight="false" outlineLevel="0" collapsed="false">
      <c r="B46060" s="0" t="s">
        <v>3026</v>
      </c>
      <c r="C46060" s="0" t="s">
        <v>11056</v>
      </c>
      <c r="E46060" s="0" t="s">
        <v>4858</v>
      </c>
      <c r="F46060" s="0" t="s">
        <v>11057</v>
      </c>
    </row>
    <row r="46062" customFormat="false" ht="12.8" hidden="false" customHeight="false" outlineLevel="0" collapsed="false">
      <c r="A46062" s="0" t="s">
        <v>16435</v>
      </c>
      <c r="B46062" s="0" t="str">
        <f aca="false">HYPERLINK("https://lindat.mff.cuni.cz/services/teitok/pdtc10/index.php?action=vallex&amp;frame=v-w6436f1", "spřátelit se (v-w6436f1)")</f>
        <v>spřátelit se (v-w6436f1)</v>
      </c>
    </row>
    <row r="46063" customFormat="false" ht="12.8" hidden="false" customHeight="false" outlineLevel="0" collapsed="false">
      <c r="B46063" s="0" t="s">
        <v>1</v>
      </c>
    </row>
    <row r="46064" customFormat="false" ht="12.8" hidden="false" customHeight="false" outlineLevel="0" collapsed="false">
      <c r="B46064" s="0" t="s">
        <v>721</v>
      </c>
    </row>
    <row r="46066" customFormat="false" ht="12.8" hidden="false" customHeight="false" outlineLevel="0" collapsed="false">
      <c r="A46066" s="0" t="s">
        <v>16436</v>
      </c>
      <c r="B46066" s="0" t="str">
        <f aca="false">HYPERLINK("https://lindat.mff.cuni.cz/services/teitok/pdtc10/index.php?action=vallex&amp;frame=v-w6442f3_ZU", "srazit (v-w6442f3_ZU)")</f>
        <v>srazit (v-w6442f3_ZU)</v>
      </c>
      <c r="E46066" s="0" t="str">
        <f aca="false">HYPERLINK("https://lindat.mff.cuni.cz/services/SynSemClass40/SynSemClass40.html?veclass=vec00118#vec00118-ces-cm00193", "vec00118")</f>
        <v>vec00118</v>
      </c>
      <c r="F46066" s="0" t="s">
        <v>5784</v>
      </c>
    </row>
    <row r="46067" customFormat="false" ht="12.8" hidden="false" customHeight="false" outlineLevel="0" collapsed="false">
      <c r="B46067" s="0" t="s">
        <v>1</v>
      </c>
      <c r="C46067" s="0" t="s">
        <v>9951</v>
      </c>
      <c r="E46067" s="0" t="s">
        <v>31</v>
      </c>
      <c r="F46067" s="0" t="s">
        <v>5787</v>
      </c>
    </row>
    <row r="46068" customFormat="false" ht="12.8" hidden="false" customHeight="false" outlineLevel="0" collapsed="false">
      <c r="B46068" s="0" t="s">
        <v>8</v>
      </c>
      <c r="C46068" s="0" t="s">
        <v>9952</v>
      </c>
      <c r="E46068" s="0" t="s">
        <v>1569</v>
      </c>
      <c r="F46068" s="0" t="s">
        <v>5790</v>
      </c>
    </row>
    <row r="46069" customFormat="false" ht="12.8" hidden="false" customHeight="false" outlineLevel="0" collapsed="false">
      <c r="B46069" s="0" t="s">
        <v>36</v>
      </c>
      <c r="C46069" s="0" t="s">
        <v>9953</v>
      </c>
      <c r="E46069" s="0" t="s">
        <v>5152</v>
      </c>
      <c r="F46069" s="0" t="s">
        <v>5793</v>
      </c>
    </row>
    <row r="46070" customFormat="false" ht="12.8" hidden="false" customHeight="false" outlineLevel="0" collapsed="false">
      <c r="B46070" s="0" t="s">
        <v>101</v>
      </c>
      <c r="C46070" s="0" t="s">
        <v>9954</v>
      </c>
      <c r="E46070" s="0" t="s">
        <v>5796</v>
      </c>
      <c r="F46070" s="0" t="s">
        <v>5797</v>
      </c>
    </row>
    <row r="46072" customFormat="false" ht="12.8" hidden="false" customHeight="false" outlineLevel="0" collapsed="false">
      <c r="A46072" s="0" t="s">
        <v>16437</v>
      </c>
      <c r="B46072" s="0" t="str">
        <f aca="false">HYPERLINK("https://lindat.mff.cuni.cz/services/teitok/pdtc10/index.php?action=vallex&amp;frame=v-w6442f4_ZU", "srazit (v-w6442f4_ZU)")</f>
        <v>srazit (v-w6442f4_ZU)</v>
      </c>
      <c r="E46072" s="0" t="str">
        <f aca="false">HYPERLINK("https://lindat.mff.cuni.cz/services/SynSemClass40/SynSemClass40.html?veclass=vec01325#vec01325-ces-cm00003", "vec01325")</f>
        <v>vec01325</v>
      </c>
      <c r="F46072" s="0" t="s">
        <v>16438</v>
      </c>
    </row>
    <row r="46073" customFormat="false" ht="12.8" hidden="false" customHeight="false" outlineLevel="0" collapsed="false">
      <c r="B46073" s="0" t="s">
        <v>1</v>
      </c>
      <c r="C46073" s="0" t="s">
        <v>4695</v>
      </c>
      <c r="E46073" s="0" t="s">
        <v>3010</v>
      </c>
      <c r="F46073" s="0" t="s">
        <v>11378</v>
      </c>
    </row>
    <row r="46074" customFormat="false" ht="12.8" hidden="false" customHeight="false" outlineLevel="0" collapsed="false">
      <c r="B46074" s="0" t="s">
        <v>8</v>
      </c>
      <c r="C46074" s="0" t="s">
        <v>462</v>
      </c>
      <c r="E46074" s="0" t="s">
        <v>142</v>
      </c>
      <c r="F46074" s="0" t="s">
        <v>8814</v>
      </c>
    </row>
    <row r="46075" customFormat="false" ht="12.8" hidden="false" customHeight="false" outlineLevel="0" collapsed="false">
      <c r="B46075" s="0" t="s">
        <v>6273</v>
      </c>
      <c r="E46075" s="0" t="s">
        <v>16439</v>
      </c>
      <c r="F46075" s="0" t="s">
        <v>16440</v>
      </c>
    </row>
    <row r="46077" customFormat="false" ht="12.8" hidden="false" customHeight="false" outlineLevel="0" collapsed="false">
      <c r="A46077" s="0" t="s">
        <v>16441</v>
      </c>
      <c r="B46077" s="0" t="str">
        <f aca="false">HYPERLINK("https://lindat.mff.cuni.cz/services/teitok/pdtc10/index.php?action=vallex&amp;frame=v-w6442f1", "srazit (v-w6442f1)")</f>
        <v>srazit (v-w6442f1)</v>
      </c>
      <c r="E46077" s="0" t="str">
        <f aca="false">HYPERLINK("https://lindat.mff.cuni.cz/services/SynSemClass40/SynSemClass40.html?veclass=vec00930#vec00930-ces-cm00001", "vec00930")</f>
        <v>vec00930</v>
      </c>
      <c r="F46077" s="0" t="s">
        <v>16442</v>
      </c>
    </row>
    <row r="46078" customFormat="false" ht="12.8" hidden="false" customHeight="false" outlineLevel="0" collapsed="false">
      <c r="B46078" s="0" t="s">
        <v>1</v>
      </c>
      <c r="E46078" s="0" t="s">
        <v>196</v>
      </c>
      <c r="F46078" s="0" t="s">
        <v>16443</v>
      </c>
    </row>
    <row r="46079" customFormat="false" ht="12.8" hidden="false" customHeight="false" outlineLevel="0" collapsed="false">
      <c r="B46079" s="0" t="s">
        <v>8</v>
      </c>
      <c r="E46079" s="0" t="s">
        <v>199</v>
      </c>
      <c r="F46079" s="0" t="s">
        <v>16444</v>
      </c>
    </row>
    <row r="46081" customFormat="false" ht="12.8" hidden="false" customHeight="false" outlineLevel="0" collapsed="false">
      <c r="A46081" s="0" t="s">
        <v>16445</v>
      </c>
      <c r="B46081" s="0" t="str">
        <f aca="false">HYPERLINK("https://lindat.mff.cuni.cz/services/teitok/pdtc10/index.php?action=vallex&amp;frame=v-w6442f2", "srazit (v-w6442f2)")</f>
        <v>srazit (v-w6442f2)</v>
      </c>
    </row>
    <row r="46082" customFormat="false" ht="12.8" hidden="false" customHeight="false" outlineLevel="0" collapsed="false">
      <c r="B46082" s="0" t="s">
        <v>1</v>
      </c>
    </row>
    <row r="46083" customFormat="false" ht="12.8" hidden="false" customHeight="false" outlineLevel="0" collapsed="false">
      <c r="B46083" s="0" t="s">
        <v>16446</v>
      </c>
    </row>
    <row r="46084" customFormat="false" ht="12.8" hidden="false" customHeight="false" outlineLevel="0" collapsed="false">
      <c r="B46084" s="0" t="s">
        <v>8</v>
      </c>
    </row>
    <row r="46086" customFormat="false" ht="12.8" hidden="false" customHeight="false" outlineLevel="0" collapsed="false">
      <c r="A46086" s="0" t="s">
        <v>16447</v>
      </c>
      <c r="B46086" s="0" t="str">
        <f aca="false">HYPERLINK("https://lindat.mff.cuni.cz/services/teitok/pdtc10/index.php?action=vallex&amp;frame=v-w6442f5_ZU", "srazit (v-w6442f5_ZU)")</f>
        <v>srazit (v-w6442f5_ZU)</v>
      </c>
    </row>
    <row r="46087" customFormat="false" ht="12.8" hidden="false" customHeight="false" outlineLevel="0" collapsed="false">
      <c r="B46087" s="0" t="s">
        <v>1</v>
      </c>
    </row>
    <row r="46088" customFormat="false" ht="12.8" hidden="false" customHeight="false" outlineLevel="0" collapsed="false">
      <c r="B46088" s="0" t="s">
        <v>8</v>
      </c>
    </row>
    <row r="46089" customFormat="false" ht="12.8" hidden="false" customHeight="false" outlineLevel="0" collapsed="false">
      <c r="B46089" s="0" t="s">
        <v>36</v>
      </c>
    </row>
    <row r="46090" customFormat="false" ht="12.8" hidden="false" customHeight="false" outlineLevel="0" collapsed="false">
      <c r="B46090" s="0" t="s">
        <v>101</v>
      </c>
    </row>
    <row r="46092" customFormat="false" ht="12.8" hidden="false" customHeight="false" outlineLevel="0" collapsed="false">
      <c r="A46092" s="0" t="s">
        <v>16447</v>
      </c>
      <c r="B46092" s="0" t="str">
        <f aca="false">HYPERLINK("https://lindat.mff.cuni.cz/services/teitok/pdtc10/index.php?action=vallex&amp;frame=v-w6442hsa_1584", "srazit (v-w6442hsa_1584) - substituted with v-w6442f5_ZU")</f>
        <v>srazit (v-w6442hsa_1584) - substituted with v-w6442f5_ZU</v>
      </c>
    </row>
    <row r="46093" customFormat="false" ht="12.8" hidden="false" customHeight="false" outlineLevel="0" collapsed="false">
      <c r="B46093" s="0" t="s">
        <v>1</v>
      </c>
    </row>
    <row r="46094" customFormat="false" ht="12.8" hidden="false" customHeight="false" outlineLevel="0" collapsed="false">
      <c r="B46094" s="0" t="s">
        <v>8</v>
      </c>
    </row>
    <row r="46095" customFormat="false" ht="12.8" hidden="false" customHeight="false" outlineLevel="0" collapsed="false">
      <c r="B46095" s="0" t="s">
        <v>36</v>
      </c>
    </row>
    <row r="46096" customFormat="false" ht="12.8" hidden="false" customHeight="false" outlineLevel="0" collapsed="false">
      <c r="B46096" s="0" t="s">
        <v>101</v>
      </c>
    </row>
    <row r="46098" customFormat="false" ht="12.8" hidden="false" customHeight="false" outlineLevel="0" collapsed="false">
      <c r="A46098" s="0" t="s">
        <v>16448</v>
      </c>
      <c r="B46098" s="0" t="str">
        <f aca="false">HYPERLINK("https://lindat.mff.cuni.cz/services/teitok/pdtc10/index.php?action=vallex&amp;frame=v-w6443f1", "srazit se (v-w6443f1)")</f>
        <v>srazit se (v-w6443f1)</v>
      </c>
    </row>
    <row r="46099" customFormat="false" ht="12.8" hidden="false" customHeight="false" outlineLevel="0" collapsed="false">
      <c r="B46099" s="0" t="s">
        <v>1</v>
      </c>
    </row>
    <row r="46100" customFormat="false" ht="12.8" hidden="false" customHeight="false" outlineLevel="0" collapsed="false">
      <c r="B46100" s="0" t="s">
        <v>721</v>
      </c>
    </row>
    <row r="46102" customFormat="false" ht="12.8" hidden="false" customHeight="false" outlineLevel="0" collapsed="false">
      <c r="A46102" s="0" t="s">
        <v>16449</v>
      </c>
      <c r="B46102" s="0" t="str">
        <f aca="false">HYPERLINK("https://lindat.mff.cuni.cz/services/teitok/pdtc10/index.php?action=vallex&amp;frame=v-w11121f2", "srkat (v-w11121f2)")</f>
        <v>srkat (v-w11121f2)</v>
      </c>
    </row>
    <row r="46103" customFormat="false" ht="12.8" hidden="false" customHeight="false" outlineLevel="0" collapsed="false">
      <c r="B46103" s="0" t="s">
        <v>1</v>
      </c>
    </row>
    <row r="46104" customFormat="false" ht="12.8" hidden="false" customHeight="false" outlineLevel="0" collapsed="false">
      <c r="B46104" s="0" t="s">
        <v>8</v>
      </c>
    </row>
    <row r="46106" customFormat="false" ht="12.8" hidden="false" customHeight="false" outlineLevel="0" collapsed="false">
      <c r="A46106" s="0" t="s">
        <v>16450</v>
      </c>
      <c r="B46106" s="0" t="str">
        <f aca="false">HYPERLINK("https://lindat.mff.cuni.cz/services/teitok/pdtc10/index.php?action=vallex&amp;frame=v-whsa_808hsa_809", "srocovat se (v-whsa_808hsa_809)")</f>
        <v>srocovat se (v-whsa_808hsa_809)</v>
      </c>
    </row>
    <row r="46107" customFormat="false" ht="12.8" hidden="false" customHeight="false" outlineLevel="0" collapsed="false">
      <c r="B46107" s="0" t="s">
        <v>1</v>
      </c>
    </row>
    <row r="46109" customFormat="false" ht="12.8" hidden="false" customHeight="false" outlineLevel="0" collapsed="false">
      <c r="A46109" s="0" t="s">
        <v>16451</v>
      </c>
      <c r="B46109" s="0" t="str">
        <f aca="false">HYPERLINK("https://lindat.mff.cuni.cz/services/teitok/pdtc10/index.php?action=vallex&amp;frame=v-w6447f2", "srovnat (v-w6447f2)")</f>
        <v>srovnat (v-w6447f2)</v>
      </c>
    </row>
    <row r="46110" customFormat="false" ht="12.8" hidden="false" customHeight="false" outlineLevel="0" collapsed="false">
      <c r="B46110" s="0" t="s">
        <v>1</v>
      </c>
    </row>
    <row r="46111" customFormat="false" ht="12.8" hidden="false" customHeight="false" outlineLevel="0" collapsed="false">
      <c r="B46111" s="0" t="s">
        <v>8</v>
      </c>
    </row>
    <row r="46112" customFormat="false" ht="12.8" hidden="false" customHeight="false" outlineLevel="0" collapsed="false">
      <c r="B46112" s="0" t="s">
        <v>36</v>
      </c>
    </row>
    <row r="46113" customFormat="false" ht="12.8" hidden="false" customHeight="false" outlineLevel="0" collapsed="false">
      <c r="B46113" s="0" t="s">
        <v>101</v>
      </c>
    </row>
    <row r="46115" customFormat="false" ht="12.8" hidden="false" customHeight="false" outlineLevel="0" collapsed="false">
      <c r="A46115" s="0" t="s">
        <v>16452</v>
      </c>
      <c r="B46115" s="0" t="str">
        <f aca="false">HYPERLINK("https://lindat.mff.cuni.cz/services/teitok/pdtc10/index.php?action=vallex&amp;frame=v-w6447f1", "srovnat (v-w6447f1)")</f>
        <v>srovnat (v-w6447f1)</v>
      </c>
      <c r="E46115" s="0" t="str">
        <f aca="false">HYPERLINK("https://lindat.mff.cuni.cz/services/SynSemClass40/SynSemClass40.html?veclass=vec00480#vec00480-ces-cm00006", "vec00480")</f>
        <v>vec00480</v>
      </c>
      <c r="F46115" s="0" t="s">
        <v>11422</v>
      </c>
    </row>
    <row r="46116" customFormat="false" ht="12.8" hidden="false" customHeight="false" outlineLevel="0" collapsed="false">
      <c r="B46116" s="0" t="s">
        <v>1</v>
      </c>
      <c r="C46116" s="0" t="s">
        <v>657</v>
      </c>
      <c r="E46116" s="0" t="s">
        <v>5529</v>
      </c>
      <c r="F46116" s="0" t="s">
        <v>11423</v>
      </c>
    </row>
    <row r="46117" customFormat="false" ht="12.8" hidden="false" customHeight="false" outlineLevel="0" collapsed="false">
      <c r="B46117" s="0" t="s">
        <v>305</v>
      </c>
      <c r="C46117" s="0" t="s">
        <v>1437</v>
      </c>
      <c r="E46117" s="0" t="s">
        <v>5531</v>
      </c>
      <c r="F46117" s="0" t="s">
        <v>11424</v>
      </c>
    </row>
    <row r="46118" customFormat="false" ht="12.8" hidden="false" customHeight="false" outlineLevel="0" collapsed="false">
      <c r="B46118" s="0" t="s">
        <v>3537</v>
      </c>
      <c r="C46118" s="0" t="s">
        <v>11425</v>
      </c>
      <c r="E46118" s="0" t="s">
        <v>5534</v>
      </c>
      <c r="F46118" s="0" t="s">
        <v>11426</v>
      </c>
    </row>
    <row r="46120" customFormat="false" ht="12.8" hidden="false" customHeight="false" outlineLevel="0" collapsed="false">
      <c r="A46120" s="0" t="s">
        <v>16453</v>
      </c>
      <c r="B46120" s="0" t="str">
        <f aca="false">HYPERLINK("https://lindat.mff.cuni.cz/services/teitok/pdtc10/index.php?action=vallex&amp;frame=v-w6447f4", "srovnat (v-w6447f4)")</f>
        <v>srovnat (v-w6447f4)</v>
      </c>
    </row>
    <row r="46121" customFormat="false" ht="12.8" hidden="false" customHeight="false" outlineLevel="0" collapsed="false">
      <c r="B46121" s="0" t="s">
        <v>1</v>
      </c>
    </row>
    <row r="46122" customFormat="false" ht="12.8" hidden="false" customHeight="false" outlineLevel="0" collapsed="false">
      <c r="B46122" s="0" t="s">
        <v>8</v>
      </c>
    </row>
    <row r="46123" customFormat="false" ht="12.8" hidden="false" customHeight="false" outlineLevel="0" collapsed="false">
      <c r="B46123" s="0" t="s">
        <v>40</v>
      </c>
    </row>
    <row r="46125" customFormat="false" ht="12.8" hidden="false" customHeight="false" outlineLevel="0" collapsed="false">
      <c r="A46125" s="0" t="s">
        <v>16454</v>
      </c>
      <c r="B46125" s="0" t="str">
        <f aca="false">HYPERLINK("https://lindat.mff.cuni.cz/services/teitok/pdtc10/index.php?action=vallex&amp;frame=v-w6447f6", "srovnat (v-w6447f6)")</f>
        <v>srovnat (v-w6447f6)</v>
      </c>
    </row>
    <row r="46126" customFormat="false" ht="12.8" hidden="false" customHeight="false" outlineLevel="0" collapsed="false">
      <c r="B46126" s="0" t="s">
        <v>1</v>
      </c>
    </row>
    <row r="46127" customFormat="false" ht="12.8" hidden="false" customHeight="false" outlineLevel="0" collapsed="false">
      <c r="B46127" s="0" t="s">
        <v>8</v>
      </c>
    </row>
    <row r="46129" customFormat="false" ht="12.8" hidden="false" customHeight="false" outlineLevel="0" collapsed="false">
      <c r="A46129" s="0" t="s">
        <v>16455</v>
      </c>
      <c r="B46129" s="0" t="str">
        <f aca="false">HYPERLINK("https://lindat.mff.cuni.cz/services/teitok/pdtc10/index.php?action=vallex&amp;frame=v-w6447f5", "srovnat (v-w6447f5)")</f>
        <v>srovnat (v-w6447f5)</v>
      </c>
      <c r="E46129" s="0" t="str">
        <f aca="false">HYPERLINK("https://lindat.mff.cuni.cz/services/SynSemClass40/SynSemClass40.html?veclass=vec01468#vec01468-ces-cm00001", "vec01468")</f>
        <v>vec01468</v>
      </c>
      <c r="F46129" s="0" t="s">
        <v>2308</v>
      </c>
    </row>
    <row r="46130" customFormat="false" ht="12.8" hidden="false" customHeight="false" outlineLevel="0" collapsed="false">
      <c r="B46130" s="0" t="s">
        <v>1</v>
      </c>
      <c r="C46130" s="0" t="s">
        <v>16456</v>
      </c>
      <c r="E46130" s="0" t="s">
        <v>2251</v>
      </c>
      <c r="F46130" s="0" t="s">
        <v>2310</v>
      </c>
    </row>
    <row r="46131" customFormat="false" ht="12.8" hidden="false" customHeight="false" outlineLevel="0" collapsed="false">
      <c r="B46131" s="0" t="s">
        <v>8</v>
      </c>
      <c r="C46131" s="0" t="s">
        <v>16457</v>
      </c>
      <c r="E46131" s="0" t="s">
        <v>230</v>
      </c>
      <c r="F46131" s="0" t="s">
        <v>2313</v>
      </c>
    </row>
    <row r="46133" customFormat="false" ht="12.8" hidden="false" customHeight="false" outlineLevel="0" collapsed="false">
      <c r="A46133" s="0" t="s">
        <v>16458</v>
      </c>
      <c r="B46133" s="0" t="str">
        <f aca="false">HYPERLINK("https://lindat.mff.cuni.cz/services/teitok/pdtc10/index.php?action=vallex&amp;frame=v-w6447f3", "srovnat (v-w6447f3)")</f>
        <v>srovnat (v-w6447f3)</v>
      </c>
      <c r="E46133" s="0" t="str">
        <f aca="false">HYPERLINK("https://lindat.mff.cuni.cz/services/SynSemClass40/SynSemClass40.html?veclass=vec00725#vec00725-ces-cm00001", "vec00725")</f>
        <v>vec00725</v>
      </c>
      <c r="F46133" s="0" t="s">
        <v>16459</v>
      </c>
    </row>
    <row r="46134" customFormat="false" ht="12.8" hidden="false" customHeight="false" outlineLevel="0" collapsed="false">
      <c r="B46134" s="0" t="s">
        <v>1</v>
      </c>
      <c r="E46134" s="0" t="s">
        <v>1890</v>
      </c>
      <c r="F46134" s="0" t="s">
        <v>8978</v>
      </c>
    </row>
    <row r="46135" customFormat="false" ht="12.8" hidden="false" customHeight="false" outlineLevel="0" collapsed="false">
      <c r="B46135" s="0" t="s">
        <v>16460</v>
      </c>
    </row>
    <row r="46136" customFormat="false" ht="12.8" hidden="false" customHeight="false" outlineLevel="0" collapsed="false">
      <c r="B46136" s="0" t="s">
        <v>8</v>
      </c>
      <c r="C46136" s="0" t="s">
        <v>744</v>
      </c>
      <c r="E46136" s="0" t="s">
        <v>1893</v>
      </c>
      <c r="F46136" s="0" t="s">
        <v>16461</v>
      </c>
    </row>
    <row r="46138" customFormat="false" ht="12.8" hidden="false" customHeight="false" outlineLevel="0" collapsed="false">
      <c r="A46138" s="0" t="s">
        <v>16462</v>
      </c>
      <c r="B46138" s="0" t="str">
        <f aca="false">HYPERLINK("https://lindat.mff.cuni.cz/services/teitok/pdtc10/index.php?action=vallex&amp;frame=v-w6447f7_ZU", "srovnat (v-w6447f7_ZU)")</f>
        <v>srovnat (v-w6447f7_ZU)</v>
      </c>
    </row>
    <row r="46139" customFormat="false" ht="12.8" hidden="false" customHeight="false" outlineLevel="0" collapsed="false">
      <c r="B46139" s="0" t="s">
        <v>1</v>
      </c>
    </row>
    <row r="46140" customFormat="false" ht="12.8" hidden="false" customHeight="false" outlineLevel="0" collapsed="false">
      <c r="B46140" s="0" t="s">
        <v>3290</v>
      </c>
    </row>
    <row r="46141" customFormat="false" ht="12.8" hidden="false" customHeight="false" outlineLevel="0" collapsed="false">
      <c r="B46141" s="0" t="s">
        <v>721</v>
      </c>
    </row>
    <row r="46143" customFormat="false" ht="12.8" hidden="false" customHeight="false" outlineLevel="0" collapsed="false">
      <c r="A46143" s="0" t="s">
        <v>16463</v>
      </c>
      <c r="B46143" s="0" t="str">
        <f aca="false">HYPERLINK("https://lindat.mff.cuni.cz/services/teitok/pdtc10/index.php?action=vallex&amp;frame=v-whsa_995hsa_996", "srovnat se (v-whsa_995hsa_996)")</f>
        <v>srovnat se (v-whsa_995hsa_996)</v>
      </c>
      <c r="E46143" s="0" t="str">
        <f aca="false">HYPERLINK("https://lindat.mff.cuni.cz/services/SynSemClass40/SynSemClass40.html?veclass=vec01128#vec01128-ces-cm00003", "vec01128")</f>
        <v>vec01128</v>
      </c>
      <c r="F46143" s="0" t="s">
        <v>16464</v>
      </c>
    </row>
    <row r="46144" customFormat="false" ht="12.8" hidden="false" customHeight="false" outlineLevel="0" collapsed="false">
      <c r="B46144" s="0" t="s">
        <v>1</v>
      </c>
      <c r="C46144" s="0" t="s">
        <v>239</v>
      </c>
      <c r="E46144" s="0" t="s">
        <v>11</v>
      </c>
      <c r="F46144" s="0" t="s">
        <v>15517</v>
      </c>
    </row>
    <row r="46145" customFormat="false" ht="12.8" hidden="false" customHeight="false" outlineLevel="0" collapsed="false">
      <c r="B46145" s="0" t="s">
        <v>721</v>
      </c>
      <c r="C46145" s="0" t="s">
        <v>4105</v>
      </c>
      <c r="E46145" s="0" t="s">
        <v>532</v>
      </c>
      <c r="F46145" s="0" t="s">
        <v>16465</v>
      </c>
    </row>
    <row r="46147" customFormat="false" ht="12.8" hidden="false" customHeight="false" outlineLevel="0" collapsed="false">
      <c r="A46147" s="0" t="s">
        <v>16466</v>
      </c>
      <c r="B46147" s="0" t="str">
        <f aca="false">HYPERLINK("https://lindat.mff.cuni.cz/services/teitok/pdtc10/index.php?action=vallex&amp;frame=v-whsa_995f2_ZU", "srovnat se (v-whsa_995f2_ZU)")</f>
        <v>srovnat se (v-whsa_995f2_ZU)</v>
      </c>
    </row>
    <row r="46148" customFormat="false" ht="12.8" hidden="false" customHeight="false" outlineLevel="0" collapsed="false">
      <c r="B46148" s="0" t="s">
        <v>1</v>
      </c>
    </row>
    <row r="46149" customFormat="false" ht="12.8" hidden="false" customHeight="false" outlineLevel="0" collapsed="false">
      <c r="B46149" s="0" t="s">
        <v>69</v>
      </c>
    </row>
    <row r="46151" customFormat="false" ht="12.8" hidden="false" customHeight="false" outlineLevel="0" collapsed="false">
      <c r="A46151" s="0" t="s">
        <v>16466</v>
      </c>
      <c r="B46151" s="0" t="str">
        <f aca="false">HYPERLINK("https://lindat.mff.cuni.cz/services/teitok/pdtc10/index.php?action=vallex&amp;frame=v-whsa_995f1_ZU", "srovnat se (v-whsa_995f1_ZU) - substituted with v-whsa_995f2_ZU")</f>
        <v>srovnat se (v-whsa_995f1_ZU) - substituted with v-whsa_995f2_ZU</v>
      </c>
    </row>
    <row r="46152" customFormat="false" ht="12.8" hidden="false" customHeight="false" outlineLevel="0" collapsed="false">
      <c r="B46152" s="0" t="s">
        <v>1</v>
      </c>
    </row>
    <row r="46153" customFormat="false" ht="12.8" hidden="false" customHeight="false" outlineLevel="0" collapsed="false">
      <c r="B46153" s="0" t="s">
        <v>69</v>
      </c>
    </row>
    <row r="46155" customFormat="false" ht="12.8" hidden="false" customHeight="false" outlineLevel="0" collapsed="false">
      <c r="A46155" s="0" t="s">
        <v>16467</v>
      </c>
      <c r="B46155" s="0" t="str">
        <f aca="false">HYPERLINK("https://lindat.mff.cuni.cz/services/teitok/pdtc10/index.php?action=vallex&amp;frame=v-w6450f1", "srovnat si (v-w6450f1)")</f>
        <v>srovnat si (v-w6450f1)</v>
      </c>
    </row>
    <row r="46156" customFormat="false" ht="12.8" hidden="false" customHeight="false" outlineLevel="0" collapsed="false">
      <c r="B46156" s="0" t="s">
        <v>1</v>
      </c>
    </row>
    <row r="46157" customFormat="false" ht="12.8" hidden="false" customHeight="false" outlineLevel="0" collapsed="false">
      <c r="B46157" s="0" t="s">
        <v>1838</v>
      </c>
    </row>
    <row r="46159" customFormat="false" ht="12.8" hidden="false" customHeight="false" outlineLevel="0" collapsed="false">
      <c r="A46159" s="0" t="s">
        <v>16468</v>
      </c>
      <c r="B46159" s="0" t="str">
        <f aca="false">HYPERLINK("https://lindat.mff.cuni.cz/services/teitok/pdtc10/index.php?action=vallex&amp;frame=v-w6452f4", "srovnávat (v-w6452f4)")</f>
        <v>srovnávat (v-w6452f4)</v>
      </c>
    </row>
    <row r="46160" customFormat="false" ht="12.8" hidden="false" customHeight="false" outlineLevel="0" collapsed="false">
      <c r="B46160" s="0" t="s">
        <v>1</v>
      </c>
    </row>
    <row r="46161" customFormat="false" ht="12.8" hidden="false" customHeight="false" outlineLevel="0" collapsed="false">
      <c r="B46161" s="0" t="s">
        <v>8</v>
      </c>
    </row>
    <row r="46162" customFormat="false" ht="12.8" hidden="false" customHeight="false" outlineLevel="0" collapsed="false">
      <c r="B46162" s="0" t="s">
        <v>36</v>
      </c>
    </row>
    <row r="46163" customFormat="false" ht="12.8" hidden="false" customHeight="false" outlineLevel="0" collapsed="false">
      <c r="B46163" s="0" t="s">
        <v>101</v>
      </c>
    </row>
    <row r="46165" customFormat="false" ht="12.8" hidden="false" customHeight="false" outlineLevel="0" collapsed="false">
      <c r="A46165" s="0" t="s">
        <v>16469</v>
      </c>
      <c r="B46165" s="0" t="str">
        <f aca="false">HYPERLINK("https://lindat.mff.cuni.cz/services/teitok/pdtc10/index.php?action=vallex&amp;frame=v-w6452f1", "srovnávat (v-w6452f1)")</f>
        <v>srovnávat (v-w6452f1)</v>
      </c>
      <c r="E46165" s="0" t="str">
        <f aca="false">HYPERLINK("https://lindat.mff.cuni.cz/services/SynSemClass40/SynSemClass40.html?veclass=vec00480#vec00480-ces-cm00008", "vec00480")</f>
        <v>vec00480</v>
      </c>
      <c r="F46165" s="0" t="s">
        <v>11422</v>
      </c>
    </row>
    <row r="46166" customFormat="false" ht="12.8" hidden="false" customHeight="false" outlineLevel="0" collapsed="false">
      <c r="B46166" s="0" t="s">
        <v>1</v>
      </c>
      <c r="C46166" s="0" t="s">
        <v>657</v>
      </c>
      <c r="E46166" s="0" t="s">
        <v>5529</v>
      </c>
      <c r="F46166" s="0" t="s">
        <v>11423</v>
      </c>
    </row>
    <row r="46167" customFormat="false" ht="12.8" hidden="false" customHeight="false" outlineLevel="0" collapsed="false">
      <c r="B46167" s="0" t="s">
        <v>8</v>
      </c>
      <c r="C46167" s="0" t="s">
        <v>1437</v>
      </c>
      <c r="E46167" s="0" t="s">
        <v>5531</v>
      </c>
      <c r="F46167" s="0" t="s">
        <v>11424</v>
      </c>
    </row>
    <row r="46168" customFormat="false" ht="12.8" hidden="false" customHeight="false" outlineLevel="0" collapsed="false">
      <c r="B46168" s="0" t="s">
        <v>3537</v>
      </c>
      <c r="C46168" s="0" t="s">
        <v>11425</v>
      </c>
      <c r="E46168" s="0" t="s">
        <v>5534</v>
      </c>
      <c r="F46168" s="0" t="s">
        <v>11426</v>
      </c>
    </row>
    <row r="46170" customFormat="false" ht="12.8" hidden="false" customHeight="false" outlineLevel="0" collapsed="false">
      <c r="A46170" s="0" t="s">
        <v>16470</v>
      </c>
      <c r="B46170" s="0" t="str">
        <f aca="false">HYPERLINK("https://lindat.mff.cuni.cz/services/teitok/pdtc10/index.php?action=vallex&amp;frame=v-w6452f3", "srovnávat (v-w6452f3)")</f>
        <v>srovnávat (v-w6452f3)</v>
      </c>
    </row>
    <row r="46171" customFormat="false" ht="12.8" hidden="false" customHeight="false" outlineLevel="0" collapsed="false">
      <c r="B46171" s="0" t="s">
        <v>1</v>
      </c>
    </row>
    <row r="46172" customFormat="false" ht="12.8" hidden="false" customHeight="false" outlineLevel="0" collapsed="false">
      <c r="B46172" s="0" t="s">
        <v>8</v>
      </c>
    </row>
    <row r="46173" customFormat="false" ht="12.8" hidden="false" customHeight="false" outlineLevel="0" collapsed="false">
      <c r="B46173" s="0" t="s">
        <v>40</v>
      </c>
    </row>
    <row r="46175" customFormat="false" ht="12.8" hidden="false" customHeight="false" outlineLevel="0" collapsed="false">
      <c r="A46175" s="0" t="s">
        <v>16471</v>
      </c>
      <c r="B46175" s="0" t="str">
        <f aca="false">HYPERLINK("https://lindat.mff.cuni.cz/services/teitok/pdtc10/index.php?action=vallex&amp;frame=v-w6452f2", "srovnávat (v-w6452f2)")</f>
        <v>srovnávat (v-w6452f2)</v>
      </c>
    </row>
    <row r="46176" customFormat="false" ht="12.8" hidden="false" customHeight="false" outlineLevel="0" collapsed="false">
      <c r="B46176" s="0" t="s">
        <v>1</v>
      </c>
    </row>
    <row r="46177" customFormat="false" ht="12.8" hidden="false" customHeight="false" outlineLevel="0" collapsed="false">
      <c r="B46177" s="0" t="s">
        <v>8</v>
      </c>
    </row>
    <row r="46179" customFormat="false" ht="12.8" hidden="false" customHeight="false" outlineLevel="0" collapsed="false">
      <c r="A46179" s="0" t="s">
        <v>16472</v>
      </c>
      <c r="B46179" s="0" t="str">
        <f aca="false">HYPERLINK("https://lindat.mff.cuni.cz/services/teitok/pdtc10/index.php?action=vallex&amp;frame=v-whsa_904hsa_905", "srát (v-whsa_904hsa_905)")</f>
        <v>srát (v-whsa_904hsa_905)</v>
      </c>
    </row>
    <row r="46180" customFormat="false" ht="12.8" hidden="false" customHeight="false" outlineLevel="0" collapsed="false">
      <c r="B46180" s="0" t="s">
        <v>1</v>
      </c>
    </row>
    <row r="46181" customFormat="false" ht="12.8" hidden="false" customHeight="false" outlineLevel="0" collapsed="false">
      <c r="B46181" s="0" t="s">
        <v>45</v>
      </c>
    </row>
    <row r="46183" customFormat="false" ht="12.8" hidden="false" customHeight="false" outlineLevel="0" collapsed="false">
      <c r="A46183" s="0" t="s">
        <v>16473</v>
      </c>
      <c r="B46183" s="0" t="str">
        <f aca="false">HYPERLINK("https://lindat.mff.cuni.cz/services/teitok/pdtc10/index.php?action=vallex&amp;frame=v-w6444f1", "srážet (v-w6444f1)")</f>
        <v>srážet (v-w6444f1)</v>
      </c>
    </row>
    <row r="46184" customFormat="false" ht="12.8" hidden="false" customHeight="false" outlineLevel="0" collapsed="false">
      <c r="B46184" s="0" t="s">
        <v>1</v>
      </c>
    </row>
    <row r="46185" customFormat="false" ht="12.8" hidden="false" customHeight="false" outlineLevel="0" collapsed="false">
      <c r="B46185" s="0" t="s">
        <v>8</v>
      </c>
    </row>
    <row r="46186" customFormat="false" ht="12.8" hidden="false" customHeight="false" outlineLevel="0" collapsed="false">
      <c r="B46186" s="0" t="s">
        <v>52</v>
      </c>
    </row>
    <row r="46188" customFormat="false" ht="12.8" hidden="false" customHeight="false" outlineLevel="0" collapsed="false">
      <c r="A46188" s="0" t="s">
        <v>16474</v>
      </c>
      <c r="B46188" s="0" t="str">
        <f aca="false">HYPERLINK("https://lindat.mff.cuni.cz/services/teitok/pdtc10/index.php?action=vallex&amp;frame=v-w6444f2", "srážet (v-w6444f2)")</f>
        <v>srážet (v-w6444f2)</v>
      </c>
      <c r="E46188" s="0" t="str">
        <f aca="false">HYPERLINK("https://lindat.mff.cuni.cz/services/SynSemClass40/SynSemClass40.html?veclass=vec00118#vec00118-ces-cm00331", "vec00118")</f>
        <v>vec00118</v>
      </c>
      <c r="F46188" s="0" t="s">
        <v>5784</v>
      </c>
    </row>
    <row r="46189" customFormat="false" ht="12.8" hidden="false" customHeight="false" outlineLevel="0" collapsed="false">
      <c r="B46189" s="0" t="s">
        <v>1</v>
      </c>
      <c r="C46189" s="0" t="s">
        <v>9951</v>
      </c>
      <c r="E46189" s="0" t="s">
        <v>31</v>
      </c>
      <c r="F46189" s="0" t="s">
        <v>5787</v>
      </c>
    </row>
    <row r="46190" customFormat="false" ht="12.8" hidden="false" customHeight="false" outlineLevel="0" collapsed="false">
      <c r="B46190" s="0" t="s">
        <v>8</v>
      </c>
      <c r="C46190" s="0" t="s">
        <v>9952</v>
      </c>
      <c r="E46190" s="0" t="s">
        <v>1569</v>
      </c>
      <c r="F46190" s="0" t="s">
        <v>5790</v>
      </c>
    </row>
    <row r="46191" customFormat="false" ht="12.8" hidden="false" customHeight="false" outlineLevel="0" collapsed="false">
      <c r="B46191" s="0" t="s">
        <v>36</v>
      </c>
      <c r="C46191" s="0" t="s">
        <v>9953</v>
      </c>
      <c r="E46191" s="0" t="s">
        <v>5152</v>
      </c>
      <c r="F46191" s="0" t="s">
        <v>5793</v>
      </c>
    </row>
    <row r="46192" customFormat="false" ht="12.8" hidden="false" customHeight="false" outlineLevel="0" collapsed="false">
      <c r="B46192" s="0" t="s">
        <v>101</v>
      </c>
      <c r="C46192" s="0" t="s">
        <v>9954</v>
      </c>
      <c r="E46192" s="0" t="s">
        <v>5796</v>
      </c>
      <c r="F46192" s="0" t="s">
        <v>5797</v>
      </c>
    </row>
    <row r="46194" customFormat="false" ht="12.8" hidden="false" customHeight="false" outlineLevel="0" collapsed="false">
      <c r="A46194" s="0" t="s">
        <v>16475</v>
      </c>
      <c r="B46194" s="0" t="str">
        <f aca="false">HYPERLINK("https://lindat.mff.cuni.cz/services/teitok/pdtc10/index.php?action=vallex&amp;frame=v-whsb_44hsa_45", "srážet se (v-whsb_44hsa_45)")</f>
        <v>srážet se (v-whsb_44hsa_45)</v>
      </c>
    </row>
    <row r="46195" customFormat="false" ht="12.8" hidden="false" customHeight="false" outlineLevel="0" collapsed="false">
      <c r="B46195" s="0" t="s">
        <v>1</v>
      </c>
    </row>
    <row r="46197" customFormat="false" ht="12.8" hidden="false" customHeight="false" outlineLevel="0" collapsed="false">
      <c r="A46197" s="0" t="s">
        <v>16476</v>
      </c>
      <c r="B46197" s="0" t="str">
        <f aca="false">HYPERLINK("https://lindat.mff.cuni.cz/services/teitok/pdtc10/index.php?action=vallex&amp;frame=v-w6455f1", "srůst (v-w6455f1)")</f>
        <v>srůst (v-w6455f1)</v>
      </c>
    </row>
    <row r="46198" customFormat="false" ht="12.8" hidden="false" customHeight="false" outlineLevel="0" collapsed="false">
      <c r="B46198" s="0" t="s">
        <v>1</v>
      </c>
    </row>
    <row r="46199" customFormat="false" ht="12.8" hidden="false" customHeight="false" outlineLevel="0" collapsed="false">
      <c r="B46199" s="0" t="s">
        <v>721</v>
      </c>
    </row>
    <row r="46200" customFormat="false" ht="12.8" hidden="false" customHeight="false" outlineLevel="0" collapsed="false">
      <c r="B46200" s="0" t="s">
        <v>3026</v>
      </c>
    </row>
    <row r="46202" customFormat="false" ht="12.8" hidden="false" customHeight="false" outlineLevel="0" collapsed="false">
      <c r="A46202" s="0" t="s">
        <v>16477</v>
      </c>
      <c r="B46202" s="0" t="str">
        <f aca="false">HYPERLINK("https://lindat.mff.cuni.cz/services/teitok/pdtc10/index.php?action=vallex&amp;frame=v-w6458f1", "stabilizovat (v-w6458f1)")</f>
        <v>stabilizovat (v-w6458f1)</v>
      </c>
      <c r="E46202" s="0" t="str">
        <f aca="false">HYPERLINK("https://lindat.mff.cuni.cz/services/SynSemClass40/SynSemClass40.html?veclass=vec00521#vec00521-ces-cm00001", "vec00521")</f>
        <v>vec00521</v>
      </c>
      <c r="F46202" s="0" t="s">
        <v>8198</v>
      </c>
    </row>
    <row r="46203" customFormat="false" ht="12.8" hidden="false" customHeight="false" outlineLevel="0" collapsed="false">
      <c r="B46203" s="0" t="s">
        <v>1</v>
      </c>
      <c r="C46203" s="0" t="s">
        <v>447</v>
      </c>
      <c r="E46203" s="0" t="s">
        <v>8199</v>
      </c>
      <c r="F46203" s="0" t="s">
        <v>8200</v>
      </c>
    </row>
    <row r="46204" customFormat="false" ht="12.8" hidden="false" customHeight="false" outlineLevel="0" collapsed="false">
      <c r="B46204" s="0" t="s">
        <v>8</v>
      </c>
      <c r="C46204" s="0" t="s">
        <v>4770</v>
      </c>
      <c r="E46204" s="0" t="s">
        <v>142</v>
      </c>
      <c r="F46204" s="0" t="s">
        <v>4771</v>
      </c>
    </row>
    <row r="46206" customFormat="false" ht="12.8" hidden="false" customHeight="false" outlineLevel="0" collapsed="false">
      <c r="A46206" s="0" t="s">
        <v>16478</v>
      </c>
      <c r="B46206" s="0" t="str">
        <f aca="false">HYPERLINK("https://lindat.mff.cuni.cz/services/teitok/pdtc10/index.php?action=vallex&amp;frame=v-w6459f1", "stabilizovat se (v-w6459f1)")</f>
        <v>stabilizovat se (v-w6459f1)</v>
      </c>
      <c r="E46206" s="0" t="str">
        <f aca="false">HYPERLINK("https://lindat.mff.cuni.cz/services/SynSemClass40/SynSemClass40.html?veclass=vec00522#vec00522-ces-cm00001", "vec00522")</f>
        <v>vec00522</v>
      </c>
      <c r="F46206" s="0" t="s">
        <v>16479</v>
      </c>
      <c r="H46206" s="0" t="str">
        <f aca="false">HYPERLINK("https://lindat.mff.cuni.cz/services/SynSemClass40/SynSemClass40.html?veclass=vec01232#vec01232-ces-cm00005", "vec01232")</f>
        <v>vec01232</v>
      </c>
      <c r="I46206" s="0" t="s">
        <v>7664</v>
      </c>
    </row>
    <row r="46207" customFormat="false" ht="12.8" hidden="false" customHeight="false" outlineLevel="0" collapsed="false">
      <c r="B46207" s="0" t="s">
        <v>1</v>
      </c>
      <c r="C46207" s="0" t="s">
        <v>16480</v>
      </c>
      <c r="E46207" s="0" t="s">
        <v>8199</v>
      </c>
      <c r="F46207" s="0" t="s">
        <v>16481</v>
      </c>
      <c r="H46207" s="0" t="s">
        <v>1597</v>
      </c>
      <c r="I46207" s="0" t="s">
        <v>7666</v>
      </c>
    </row>
    <row r="46209" customFormat="false" ht="12.8" hidden="false" customHeight="false" outlineLevel="0" collapsed="false">
      <c r="A46209" s="0" t="s">
        <v>16482</v>
      </c>
      <c r="B46209" s="0" t="str">
        <f aca="false">HYPERLINK("https://lindat.mff.cuni.cz/services/teitok/pdtc10/index.php?action=vallex&amp;frame=v-w6465f1", "stagnovat (v-w6465f1)")</f>
        <v>stagnovat (v-w6465f1)</v>
      </c>
      <c r="E46209" s="0" t="str">
        <f aca="false">HYPERLINK("https://lindat.mff.cuni.cz/services/SynSemClass40/SynSemClass40.html?veclass=vec00199#vec00199-ces-cm00318", "vec00199")</f>
        <v>vec00199</v>
      </c>
      <c r="F46209" s="0" t="s">
        <v>1248</v>
      </c>
      <c r="H46209" s="0" t="str">
        <f aca="false">HYPERLINK("https://lindat.mff.cuni.cz/services/SynSemClass40/SynSemClass40.html?veclass=vec01369#vec01369-ces-cm00028", "vec01369")</f>
        <v>vec01369</v>
      </c>
      <c r="I46209" s="0" t="s">
        <v>16483</v>
      </c>
    </row>
    <row r="46210" customFormat="false" ht="12.8" hidden="false" customHeight="false" outlineLevel="0" collapsed="false">
      <c r="B46210" s="0" t="s">
        <v>1</v>
      </c>
      <c r="C46210" s="0" t="s">
        <v>16484</v>
      </c>
      <c r="E46210" s="0" t="s">
        <v>957</v>
      </c>
      <c r="F46210" s="0" t="s">
        <v>1251</v>
      </c>
      <c r="H46210" s="0" t="s">
        <v>1086</v>
      </c>
      <c r="I46210" s="0" t="s">
        <v>16485</v>
      </c>
    </row>
    <row r="46212" customFormat="false" ht="12.8" hidden="false" customHeight="false" outlineLevel="0" collapsed="false">
      <c r="A46212" s="0" t="s">
        <v>16486</v>
      </c>
      <c r="B46212" s="0" t="str">
        <f aca="false">HYPERLINK("https://lindat.mff.cuni.cz/services/teitok/pdtc10/index.php?action=vallex&amp;frame=v-w6471f1", "stahovat (v-w6471f1)")</f>
        <v>stahovat (v-w6471f1)</v>
      </c>
      <c r="E46212" s="0" t="str">
        <f aca="false">HYPERLINK("https://lindat.mff.cuni.cz/services/SynSemClass40/SynSemClass40.html?veclass=vec00321#vec00321-ces-cm00028", "vec00321")</f>
        <v>vec00321</v>
      </c>
      <c r="F46212" s="0" t="s">
        <v>9354</v>
      </c>
    </row>
    <row r="46213" customFormat="false" ht="12.8" hidden="false" customHeight="false" outlineLevel="0" collapsed="false">
      <c r="B46213" s="0" t="s">
        <v>1</v>
      </c>
      <c r="C46213" s="0" t="s">
        <v>4134</v>
      </c>
      <c r="E46213" s="0" t="s">
        <v>76</v>
      </c>
      <c r="F46213" s="0" t="s">
        <v>9355</v>
      </c>
    </row>
    <row r="46214" customFormat="false" ht="12.8" hidden="false" customHeight="false" outlineLevel="0" collapsed="false">
      <c r="B46214" s="0" t="s">
        <v>8</v>
      </c>
      <c r="C46214" s="0" t="s">
        <v>9356</v>
      </c>
      <c r="E46214" s="0" t="s">
        <v>2648</v>
      </c>
      <c r="F46214" s="0" t="s">
        <v>9357</v>
      </c>
    </row>
    <row r="46215" customFormat="false" ht="12.8" hidden="false" customHeight="false" outlineLevel="0" collapsed="false">
      <c r="B46215" s="0" t="s">
        <v>631</v>
      </c>
      <c r="E46215" s="0" t="s">
        <v>1924</v>
      </c>
      <c r="F46215" s="0" t="s">
        <v>9358</v>
      </c>
    </row>
    <row r="46217" customFormat="false" ht="12.8" hidden="false" customHeight="false" outlineLevel="0" collapsed="false">
      <c r="A46217" s="0" t="s">
        <v>16487</v>
      </c>
      <c r="B46217" s="0" t="str">
        <f aca="false">HYPERLINK("https://lindat.mff.cuni.cz/services/teitok/pdtc10/index.php?action=vallex&amp;frame=v-w6471f2", "stahovat (v-w6471f2)")</f>
        <v>stahovat (v-w6471f2)</v>
      </c>
    </row>
    <row r="46218" customFormat="false" ht="12.8" hidden="false" customHeight="false" outlineLevel="0" collapsed="false">
      <c r="B46218" s="0" t="s">
        <v>1</v>
      </c>
    </row>
    <row r="46219" customFormat="false" ht="12.8" hidden="false" customHeight="false" outlineLevel="0" collapsed="false">
      <c r="B46219" s="0" t="s">
        <v>8</v>
      </c>
    </row>
    <row r="46221" customFormat="false" ht="12.8" hidden="false" customHeight="false" outlineLevel="0" collapsed="false">
      <c r="A46221" s="0" t="s">
        <v>16488</v>
      </c>
      <c r="B46221" s="0" t="str">
        <f aca="false">HYPERLINK("https://lindat.mff.cuni.cz/services/teitok/pdtc10/index.php?action=vallex&amp;frame=v-w6471f3_ZU", "stahovat (v-w6471f3_ZU)")</f>
        <v>stahovat (v-w6471f3_ZU)</v>
      </c>
      <c r="E46221" s="0" t="str">
        <f aca="false">HYPERLINK("https://lindat.mff.cuni.cz/services/SynSemClass40/SynSemClass40.html?veclass=vec00198#vec00198-ces-cm00190", "vec00198")</f>
        <v>vec00198</v>
      </c>
      <c r="F46221" s="0" t="s">
        <v>134</v>
      </c>
    </row>
    <row r="46222" customFormat="false" ht="12.8" hidden="false" customHeight="false" outlineLevel="0" collapsed="false">
      <c r="B46222" s="0" t="s">
        <v>1</v>
      </c>
      <c r="C46222" s="0" t="s">
        <v>8126</v>
      </c>
      <c r="E46222" s="0" t="s">
        <v>31</v>
      </c>
      <c r="F46222" s="0" t="s">
        <v>137</v>
      </c>
    </row>
    <row r="46223" customFormat="false" ht="12.8" hidden="false" customHeight="false" outlineLevel="0" collapsed="false">
      <c r="B46223" s="0" t="s">
        <v>8</v>
      </c>
      <c r="C46223" s="0" t="s">
        <v>8127</v>
      </c>
      <c r="E46223" s="0" t="s">
        <v>140</v>
      </c>
      <c r="F46223" s="0" t="s">
        <v>141</v>
      </c>
    </row>
    <row r="46225" customFormat="false" ht="12.8" hidden="false" customHeight="false" outlineLevel="0" collapsed="false">
      <c r="A46225" s="0" t="s">
        <v>16489</v>
      </c>
      <c r="B46225" s="0" t="str">
        <f aca="false">HYPERLINK("https://lindat.mff.cuni.cz/services/teitok/pdtc10/index.php?action=vallex&amp;frame=v-w6471f4_ZU", "stahovat (v-w6471f4_ZU)")</f>
        <v>stahovat (v-w6471f4_ZU)</v>
      </c>
    </row>
    <row r="46226" customFormat="false" ht="12.8" hidden="false" customHeight="false" outlineLevel="0" collapsed="false">
      <c r="B46226" s="0" t="s">
        <v>1</v>
      </c>
    </row>
    <row r="46227" customFormat="false" ht="12.8" hidden="false" customHeight="false" outlineLevel="0" collapsed="false">
      <c r="B46227" s="0" t="s">
        <v>16490</v>
      </c>
    </row>
    <row r="46229" customFormat="false" ht="12.8" hidden="false" customHeight="false" outlineLevel="0" collapsed="false">
      <c r="A46229" s="0" t="s">
        <v>16489</v>
      </c>
      <c r="B46229" s="0" t="str">
        <f aca="false">HYPERLINK("https://lindat.mff.cuni.cz/services/teitok/pdtc10/index.php?action=vallex&amp;frame=v-w6471hsa_474", "stahovat (v-w6471hsa_474) - substituted with v-w6471f4_ZU")</f>
        <v>stahovat (v-w6471hsa_474) - substituted with v-w6471f4_ZU</v>
      </c>
    </row>
    <row r="46230" customFormat="false" ht="12.8" hidden="false" customHeight="false" outlineLevel="0" collapsed="false">
      <c r="B46230" s="0" t="s">
        <v>1</v>
      </c>
    </row>
    <row r="46231" customFormat="false" ht="12.8" hidden="false" customHeight="false" outlineLevel="0" collapsed="false">
      <c r="B46231" s="0" t="s">
        <v>16490</v>
      </c>
    </row>
    <row r="46233" customFormat="false" ht="12.8" hidden="false" customHeight="false" outlineLevel="0" collapsed="false">
      <c r="A46233" s="0" t="s">
        <v>16491</v>
      </c>
      <c r="B46233" s="0" t="str">
        <f aca="false">HYPERLINK("https://lindat.mff.cuni.cz/services/teitok/pdtc10/index.php?action=vallex&amp;frame=v-w6471f5_ZU", "stahovat (v-w6471f5_ZU)")</f>
        <v>stahovat (v-w6471f5_ZU)</v>
      </c>
    </row>
    <row r="46234" customFormat="false" ht="12.8" hidden="false" customHeight="false" outlineLevel="0" collapsed="false">
      <c r="B46234" s="0" t="s">
        <v>1</v>
      </c>
    </row>
    <row r="46235" customFormat="false" ht="12.8" hidden="false" customHeight="false" outlineLevel="0" collapsed="false">
      <c r="B46235" s="0" t="s">
        <v>8</v>
      </c>
    </row>
    <row r="46237" customFormat="false" ht="12.8" hidden="false" customHeight="false" outlineLevel="0" collapsed="false">
      <c r="A46237" s="0" t="s">
        <v>16492</v>
      </c>
      <c r="B46237" s="0" t="str">
        <f aca="false">HYPERLINK("https://lindat.mff.cuni.cz/services/teitok/pdtc10/index.php?action=vallex&amp;frame=v-w6471f6_MM", "stahovat (v-w6471f6_MM)")</f>
        <v>stahovat (v-w6471f6_MM)</v>
      </c>
    </row>
    <row r="46238" customFormat="false" ht="12.8" hidden="false" customHeight="false" outlineLevel="0" collapsed="false">
      <c r="B46238" s="0" t="s">
        <v>1</v>
      </c>
    </row>
    <row r="46239" customFormat="false" ht="12.8" hidden="false" customHeight="false" outlineLevel="0" collapsed="false">
      <c r="B46239" s="0" t="s">
        <v>8</v>
      </c>
    </row>
    <row r="46241" customFormat="false" ht="12.8" hidden="false" customHeight="false" outlineLevel="0" collapsed="false">
      <c r="A46241" s="0" t="s">
        <v>16493</v>
      </c>
      <c r="B46241" s="0" t="str">
        <f aca="false">HYPERLINK("https://lindat.mff.cuni.cz/services/teitok/pdtc10/index.php?action=vallex&amp;frame=v-w6472f3_ZU", "stahovat se (v-w6472f3_ZU)")</f>
        <v>stahovat se (v-w6472f3_ZU)</v>
      </c>
      <c r="E46241" s="0" t="str">
        <f aca="false">HYPERLINK("https://lindat.mff.cuni.cz/services/SynSemClass40/SynSemClass40.html?veclass=vec00048#vec00048-ces-cm00111", "vec00048")</f>
        <v>vec00048</v>
      </c>
      <c r="F46241" s="0" t="s">
        <v>1945</v>
      </c>
    </row>
    <row r="46242" customFormat="false" ht="12.8" hidden="false" customHeight="false" outlineLevel="0" collapsed="false">
      <c r="B46242" s="0" t="s">
        <v>1</v>
      </c>
      <c r="C46242" s="0" t="s">
        <v>1946</v>
      </c>
      <c r="E46242" s="0" t="s">
        <v>334</v>
      </c>
      <c r="F46242" s="0" t="s">
        <v>1947</v>
      </c>
    </row>
    <row r="46243" customFormat="false" ht="12.8" hidden="false" customHeight="false" outlineLevel="0" collapsed="false">
      <c r="B46243" s="0" t="s">
        <v>6273</v>
      </c>
      <c r="C46243" s="0" t="s">
        <v>1948</v>
      </c>
      <c r="E46243" s="0" t="s">
        <v>1949</v>
      </c>
      <c r="F46243" s="0" t="s">
        <v>1950</v>
      </c>
    </row>
    <row r="46245" customFormat="false" ht="12.8" hidden="false" customHeight="false" outlineLevel="0" collapsed="false">
      <c r="A46245" s="0" t="s">
        <v>16494</v>
      </c>
      <c r="B46245" s="0" t="str">
        <f aca="false">HYPERLINK("https://lindat.mff.cuni.cz/services/teitok/pdtc10/index.php?action=vallex&amp;frame=v-w6472f2", "stahovat se (v-w6472f2)")</f>
        <v>stahovat se (v-w6472f2)</v>
      </c>
    </row>
    <row r="46246" customFormat="false" ht="12.8" hidden="false" customHeight="false" outlineLevel="0" collapsed="false">
      <c r="B46246" s="0" t="s">
        <v>1</v>
      </c>
    </row>
    <row r="46247" customFormat="false" ht="12.8" hidden="false" customHeight="false" outlineLevel="0" collapsed="false">
      <c r="B46247" s="0" t="s">
        <v>164</v>
      </c>
    </row>
    <row r="46249" customFormat="false" ht="12.8" hidden="false" customHeight="false" outlineLevel="0" collapsed="false">
      <c r="A46249" s="0" t="s">
        <v>16495</v>
      </c>
      <c r="B46249" s="0" t="str">
        <f aca="false">HYPERLINK("https://lindat.mff.cuni.cz/services/teitok/pdtc10/index.php?action=vallex&amp;frame=v-w6472f1", "stahovat se (v-w6472f1)")</f>
        <v>stahovat se (v-w6472f1)</v>
      </c>
    </row>
    <row r="46250" customFormat="false" ht="12.8" hidden="false" customHeight="false" outlineLevel="0" collapsed="false">
      <c r="B46250" s="0" t="s">
        <v>16496</v>
      </c>
    </row>
    <row r="46251" customFormat="false" ht="12.8" hidden="false" customHeight="false" outlineLevel="0" collapsed="false">
      <c r="B46251" s="0" t="s">
        <v>16497</v>
      </c>
    </row>
    <row r="46253" customFormat="false" ht="12.8" hidden="false" customHeight="false" outlineLevel="0" collapsed="false">
      <c r="A46253" s="0" t="s">
        <v>16498</v>
      </c>
      <c r="B46253" s="0" t="str">
        <f aca="false">HYPERLINK("https://lindat.mff.cuni.cz/services/teitok/pdtc10/index.php?action=vallex&amp;frame=v-w11067f2", "standardizovat (v-w11067f2)")</f>
        <v>standardizovat (v-w11067f2)</v>
      </c>
      <c r="E46253" s="0" t="str">
        <f aca="false">HYPERLINK("https://lindat.mff.cuni.cz/services/SynSemClass40/SynSemClass40.html?veclass=vec01117#vec01117-ces-cm00001", "vec01117")</f>
        <v>vec01117</v>
      </c>
      <c r="F46253" s="0" t="s">
        <v>5398</v>
      </c>
    </row>
    <row r="46254" customFormat="false" ht="12.8" hidden="false" customHeight="false" outlineLevel="0" collapsed="false">
      <c r="B46254" s="0" t="s">
        <v>1</v>
      </c>
      <c r="C46254" s="0" t="s">
        <v>6035</v>
      </c>
      <c r="E46254" s="0" t="s">
        <v>5401</v>
      </c>
      <c r="F46254" s="0" t="s">
        <v>5402</v>
      </c>
    </row>
    <row r="46255" customFormat="false" ht="12.8" hidden="false" customHeight="false" outlineLevel="0" collapsed="false">
      <c r="B46255" s="0" t="s">
        <v>8</v>
      </c>
      <c r="C46255" s="0" t="s">
        <v>827</v>
      </c>
      <c r="E46255" s="0" t="s">
        <v>5405</v>
      </c>
      <c r="F46255" s="0" t="s">
        <v>5406</v>
      </c>
    </row>
    <row r="46257" customFormat="false" ht="12.8" hidden="false" customHeight="false" outlineLevel="0" collapsed="false">
      <c r="A46257" s="0" t="s">
        <v>16499</v>
      </c>
      <c r="B46257" s="0" t="str">
        <f aca="false">HYPERLINK("https://lindat.mff.cuni.cz/services/teitok/pdtc10/index.php?action=vallex&amp;frame=v-w6475f2", "stanout (v-w6475f2)")</f>
        <v>stanout (v-w6475f2)</v>
      </c>
    </row>
    <row r="46258" customFormat="false" ht="12.8" hidden="false" customHeight="false" outlineLevel="0" collapsed="false">
      <c r="B46258" s="0" t="s">
        <v>1</v>
      </c>
    </row>
    <row r="46259" customFormat="false" ht="12.8" hidden="false" customHeight="false" outlineLevel="0" collapsed="false">
      <c r="B46259" s="0" t="s">
        <v>3245</v>
      </c>
    </row>
    <row r="46261" customFormat="false" ht="12.8" hidden="false" customHeight="false" outlineLevel="0" collapsed="false">
      <c r="A46261" s="0" t="s">
        <v>16500</v>
      </c>
      <c r="B46261" s="0" t="str">
        <f aca="false">HYPERLINK("https://lindat.mff.cuni.cz/services/teitok/pdtc10/index.php?action=vallex&amp;frame=v-w6475f1", "stanout (v-w6475f1)")</f>
        <v>stanout (v-w6475f1)</v>
      </c>
      <c r="E46261" s="0" t="str">
        <f aca="false">HYPERLINK("https://lindat.mff.cuni.cz/services/SynSemClass40/SynSemClass40.html?veclass=vec00323#vec00323-ces-cm00013", "vec00323")</f>
        <v>vec00323</v>
      </c>
      <c r="F46261" s="0" t="s">
        <v>16501</v>
      </c>
    </row>
    <row r="46262" customFormat="false" ht="12.8" hidden="false" customHeight="false" outlineLevel="0" collapsed="false">
      <c r="B46262" s="0" t="s">
        <v>1</v>
      </c>
      <c r="C46262" s="0" t="s">
        <v>16502</v>
      </c>
      <c r="E46262" s="0" t="s">
        <v>11</v>
      </c>
      <c r="F46262" s="0" t="s">
        <v>16503</v>
      </c>
    </row>
    <row r="46263" customFormat="false" ht="12.8" hidden="false" customHeight="false" outlineLevel="0" collapsed="false">
      <c r="B46263" s="0" t="s">
        <v>5</v>
      </c>
      <c r="C46263" s="0" t="s">
        <v>16504</v>
      </c>
      <c r="E46263" s="0" t="s">
        <v>3254</v>
      </c>
      <c r="F46263" s="0" t="s">
        <v>16505</v>
      </c>
    </row>
    <row r="46265" customFormat="false" ht="12.8" hidden="false" customHeight="false" outlineLevel="0" collapsed="false">
      <c r="A46265" s="0" t="s">
        <v>16506</v>
      </c>
      <c r="B46265" s="0" t="str">
        <f aca="false">HYPERLINK("https://lindat.mff.cuni.cz/services/teitok/pdtc10/index.php?action=vallex&amp;frame=v-whsa_1788hsa_1789", "stanovat (v-whsa_1788hsa_1789)")</f>
        <v>stanovat (v-whsa_1788hsa_1789)</v>
      </c>
    </row>
    <row r="46266" customFormat="false" ht="12.8" hidden="false" customHeight="false" outlineLevel="0" collapsed="false">
      <c r="B46266" s="0" t="s">
        <v>1</v>
      </c>
    </row>
    <row r="46267" customFormat="false" ht="12.8" hidden="false" customHeight="false" outlineLevel="0" collapsed="false">
      <c r="B46267" s="0" t="s">
        <v>5</v>
      </c>
    </row>
    <row r="46269" customFormat="false" ht="12.8" hidden="false" customHeight="false" outlineLevel="0" collapsed="false">
      <c r="A46269" s="0" t="s">
        <v>16507</v>
      </c>
      <c r="B46269" s="0" t="str">
        <f aca="false">HYPERLINK("https://lindat.mff.cuni.cz/services/teitok/pdtc10/index.php?action=vallex&amp;frame=v-w6480f2", "stanovit (v-w6480f2)")</f>
        <v>stanovit (v-w6480f2)</v>
      </c>
      <c r="E46269" s="0" t="str">
        <f aca="false">HYPERLINK("https://lindat.mff.cuni.cz/services/SynSemClass40/SynSemClass40.html?veclass=vec00743#vec00743-ces-cm00010", "vec00743")</f>
        <v>vec00743</v>
      </c>
      <c r="F46269" s="0" t="s">
        <v>10875</v>
      </c>
      <c r="H46269" s="0" t="str">
        <f aca="false">HYPERLINK("https://lindat.mff.cuni.cz/services/SynSemClass40/SynSemClass40.html?veclass=vec01407#vec01407-ces-cm00004", "vec01407")</f>
        <v>vec01407</v>
      </c>
      <c r="I46269" s="0" t="s">
        <v>3394</v>
      </c>
    </row>
    <row r="46270" customFormat="false" ht="12.8" hidden="false" customHeight="false" outlineLevel="0" collapsed="false">
      <c r="B46270" s="0" t="s">
        <v>1</v>
      </c>
      <c r="C46270" s="0" t="s">
        <v>16508</v>
      </c>
      <c r="E46270" s="0" t="s">
        <v>31</v>
      </c>
      <c r="F46270" s="0" t="s">
        <v>10877</v>
      </c>
      <c r="H46270" s="0" t="s">
        <v>206</v>
      </c>
      <c r="I46270" s="0" t="s">
        <v>3396</v>
      </c>
    </row>
    <row r="46271" customFormat="false" ht="12.8" hidden="false" customHeight="false" outlineLevel="0" collapsed="false">
      <c r="B46271" s="0" t="s">
        <v>8</v>
      </c>
      <c r="C46271" s="0" t="s">
        <v>16509</v>
      </c>
      <c r="E46271" s="0" t="s">
        <v>532</v>
      </c>
      <c r="F46271" s="0" t="s">
        <v>10879</v>
      </c>
      <c r="H46271" s="0" t="s">
        <v>1871</v>
      </c>
      <c r="I46271" s="0" t="s">
        <v>3398</v>
      </c>
    </row>
    <row r="46272" customFormat="false" ht="12.8" hidden="false" customHeight="false" outlineLevel="0" collapsed="false">
      <c r="B46272" s="0" t="s">
        <v>132</v>
      </c>
      <c r="C46272" s="0" t="s">
        <v>16510</v>
      </c>
      <c r="E46272" s="0" t="s">
        <v>53</v>
      </c>
      <c r="F46272" s="0" t="s">
        <v>10881</v>
      </c>
      <c r="H46272" s="0" t="s">
        <v>2287</v>
      </c>
      <c r="I46272" s="0" t="s">
        <v>3400</v>
      </c>
    </row>
    <row r="46273" customFormat="false" ht="12.8" hidden="false" customHeight="false" outlineLevel="0" collapsed="false">
      <c r="B46273" s="0" t="s">
        <v>3406</v>
      </c>
      <c r="C46273" s="0" t="s">
        <v>3402</v>
      </c>
      <c r="H46273" s="0" t="s">
        <v>3403</v>
      </c>
      <c r="I46273" s="0" t="s">
        <v>3404</v>
      </c>
    </row>
    <row r="46275" customFormat="false" ht="12.8" hidden="false" customHeight="false" outlineLevel="0" collapsed="false">
      <c r="A46275" s="0" t="s">
        <v>16511</v>
      </c>
      <c r="B46275" s="0" t="str">
        <f aca="false">HYPERLINK("https://lindat.mff.cuni.cz/services/teitok/pdtc10/index.php?action=vallex&amp;frame=v-w6480f4", "stanovit (v-w6480f4)")</f>
        <v>stanovit (v-w6480f4)</v>
      </c>
    </row>
    <row r="46276" customFormat="false" ht="12.8" hidden="false" customHeight="false" outlineLevel="0" collapsed="false">
      <c r="B46276" s="0" t="s">
        <v>1</v>
      </c>
    </row>
    <row r="46277" customFormat="false" ht="12.8" hidden="false" customHeight="false" outlineLevel="0" collapsed="false">
      <c r="B46277" s="0" t="s">
        <v>8</v>
      </c>
    </row>
    <row r="46278" customFormat="false" ht="12.8" hidden="false" customHeight="false" outlineLevel="0" collapsed="false">
      <c r="B46278" s="0" t="s">
        <v>16512</v>
      </c>
    </row>
    <row r="46280" customFormat="false" ht="12.8" hidden="false" customHeight="false" outlineLevel="0" collapsed="false">
      <c r="A46280" s="0" t="s">
        <v>16513</v>
      </c>
      <c r="B46280" s="0" t="str">
        <f aca="false">HYPERLINK("https://lindat.mff.cuni.cz/services/teitok/pdtc10/index.php?action=vallex&amp;frame=v-w6480f3", "stanovit (v-w6480f3)")</f>
        <v>stanovit (v-w6480f3)</v>
      </c>
      <c r="E46280" s="0" t="str">
        <f aca="false">HYPERLINK("https://lindat.mff.cuni.cz/services/SynSemClass40/SynSemClass40.html?veclass=vec00322#vec00322-ces-cm00001", "vec00322")</f>
        <v>vec00322</v>
      </c>
      <c r="F46280" s="0" t="s">
        <v>1343</v>
      </c>
    </row>
    <row r="46281" customFormat="false" ht="12.8" hidden="false" customHeight="false" outlineLevel="0" collapsed="false">
      <c r="B46281" s="0" t="s">
        <v>1</v>
      </c>
      <c r="C46281" s="0" t="s">
        <v>1344</v>
      </c>
      <c r="E46281" s="0" t="s">
        <v>206</v>
      </c>
      <c r="F46281" s="0" t="s">
        <v>1345</v>
      </c>
    </row>
    <row r="46282" customFormat="false" ht="12.8" hidden="false" customHeight="false" outlineLevel="0" collapsed="false">
      <c r="B46282" s="0" t="s">
        <v>59</v>
      </c>
      <c r="C46282" s="0" t="s">
        <v>1346</v>
      </c>
      <c r="E46282" s="0" t="s">
        <v>1347</v>
      </c>
      <c r="F46282" s="0" t="s">
        <v>1348</v>
      </c>
    </row>
    <row r="46283" customFormat="false" ht="12.8" hidden="false" customHeight="false" outlineLevel="0" collapsed="false">
      <c r="B46283" s="0" t="s">
        <v>101</v>
      </c>
      <c r="C46283" s="0" t="s">
        <v>1349</v>
      </c>
      <c r="E46283" s="0" t="s">
        <v>1350</v>
      </c>
      <c r="F46283" s="0" t="s">
        <v>1351</v>
      </c>
    </row>
    <row r="46285" customFormat="false" ht="12.8" hidden="false" customHeight="false" outlineLevel="0" collapsed="false">
      <c r="A46285" s="0" t="s">
        <v>16514</v>
      </c>
      <c r="B46285" s="0" t="str">
        <f aca="false">HYPERLINK("https://lindat.mff.cuni.cz/services/teitok/pdtc10/index.php?action=vallex&amp;frame=v-w6480f5_ZU", "stanovit (v-w6480f5_ZU)")</f>
        <v>stanovit (v-w6480f5_ZU)</v>
      </c>
      <c r="E46285" s="0" t="str">
        <f aca="false">HYPERLINK("https://lindat.mff.cuni.cz/services/SynSemClass40/SynSemClass40.html?veclass=vec00127#vec00127-ces-cm00001", "vec00127")</f>
        <v>vec00127</v>
      </c>
      <c r="F46285" s="0" t="s">
        <v>1835</v>
      </c>
      <c r="H46285" s="0" t="str">
        <f aca="false">HYPERLINK("https://lindat.mff.cuni.cz/services/SynSemClass40/SynSemClass40.html?veclass=vec00166#vec00166-ces-cm00014", "vec00166")</f>
        <v>vec00166</v>
      </c>
      <c r="I46285" s="0" t="s">
        <v>12005</v>
      </c>
    </row>
    <row r="46286" customFormat="false" ht="12.8" hidden="false" customHeight="false" outlineLevel="0" collapsed="false">
      <c r="B46286" s="0" t="s">
        <v>1</v>
      </c>
      <c r="C46286" s="0" t="s">
        <v>12087</v>
      </c>
      <c r="E46286" s="0" t="s">
        <v>11</v>
      </c>
      <c r="F46286" s="0" t="s">
        <v>1837</v>
      </c>
      <c r="H46286" s="0" t="s">
        <v>31</v>
      </c>
      <c r="I46286" s="0" t="s">
        <v>12007</v>
      </c>
    </row>
    <row r="46287" customFormat="false" ht="12.8" hidden="false" customHeight="false" outlineLevel="0" collapsed="false">
      <c r="B46287" s="0" t="s">
        <v>8893</v>
      </c>
      <c r="C46287" s="0" t="s">
        <v>16515</v>
      </c>
      <c r="E46287" s="0" t="s">
        <v>1840</v>
      </c>
      <c r="F46287" s="0" t="s">
        <v>1841</v>
      </c>
      <c r="H46287" s="0" t="s">
        <v>1347</v>
      </c>
      <c r="I46287" s="0" t="s">
        <v>12008</v>
      </c>
    </row>
    <row r="46289" customFormat="false" ht="12.8" hidden="false" customHeight="false" outlineLevel="0" collapsed="false">
      <c r="A46289" s="0" t="s">
        <v>16514</v>
      </c>
      <c r="B46289" s="0" t="str">
        <f aca="false">HYPERLINK("https://lindat.mff.cuni.cz/services/teitok/pdtc10/index.php?action=vallex&amp;frame=v-w6480f1", "stanovit (v-w6480f1) - substituted with v-w6480f5_ZU")</f>
        <v>stanovit (v-w6480f1) - substituted with v-w6480f5_ZU</v>
      </c>
    </row>
    <row r="46290" customFormat="false" ht="12.8" hidden="false" customHeight="false" outlineLevel="0" collapsed="false">
      <c r="B46290" s="0" t="s">
        <v>1</v>
      </c>
    </row>
    <row r="46291" customFormat="false" ht="12.8" hidden="false" customHeight="false" outlineLevel="0" collapsed="false">
      <c r="B46291" s="0" t="s">
        <v>8893</v>
      </c>
    </row>
    <row r="46293" customFormat="false" ht="12.8" hidden="false" customHeight="false" outlineLevel="0" collapsed="false">
      <c r="A46293" s="0" t="s">
        <v>16516</v>
      </c>
      <c r="B46293" s="0" t="str">
        <f aca="false">HYPERLINK("https://lindat.mff.cuni.cz/services/teitok/pdtc10/index.php?action=vallex&amp;frame=v-w6482f3", "stanovovat (v-w6482f3)")</f>
        <v>stanovovat (v-w6482f3)</v>
      </c>
      <c r="E46293" s="0" t="str">
        <f aca="false">HYPERLINK("https://lindat.mff.cuni.cz/services/SynSemClass40/SynSemClass40.html?veclass=vec00743#vec00743-ces-cm00028", "vec00743")</f>
        <v>vec00743</v>
      </c>
      <c r="F46293" s="0" t="s">
        <v>10875</v>
      </c>
    </row>
    <row r="46294" customFormat="false" ht="12.8" hidden="false" customHeight="false" outlineLevel="0" collapsed="false">
      <c r="B46294" s="0" t="s">
        <v>1</v>
      </c>
      <c r="C46294" s="0" t="s">
        <v>10876</v>
      </c>
      <c r="E46294" s="0" t="s">
        <v>31</v>
      </c>
      <c r="F46294" s="0" t="s">
        <v>10877</v>
      </c>
    </row>
    <row r="46295" customFormat="false" ht="12.8" hidden="false" customHeight="false" outlineLevel="0" collapsed="false">
      <c r="B46295" s="0" t="s">
        <v>6631</v>
      </c>
      <c r="C46295" s="0" t="s">
        <v>10878</v>
      </c>
      <c r="E46295" s="0" t="s">
        <v>532</v>
      </c>
      <c r="F46295" s="0" t="s">
        <v>10879</v>
      </c>
    </row>
    <row r="46296" customFormat="false" ht="12.8" hidden="false" customHeight="false" outlineLevel="0" collapsed="false">
      <c r="B46296" s="0" t="s">
        <v>132</v>
      </c>
      <c r="C46296" s="0" t="s">
        <v>10880</v>
      </c>
      <c r="E46296" s="0" t="s">
        <v>53</v>
      </c>
      <c r="F46296" s="0" t="s">
        <v>10881</v>
      </c>
    </row>
    <row r="46297" customFormat="false" ht="12.8" hidden="false" customHeight="false" outlineLevel="0" collapsed="false">
      <c r="B46297" s="0" t="s">
        <v>3406</v>
      </c>
    </row>
    <row r="46299" customFormat="false" ht="12.8" hidden="false" customHeight="false" outlineLevel="0" collapsed="false">
      <c r="A46299" s="0" t="s">
        <v>16517</v>
      </c>
      <c r="B46299" s="0" t="str">
        <f aca="false">HYPERLINK("https://lindat.mff.cuni.cz/services/teitok/pdtc10/index.php?action=vallex&amp;frame=v-w6482f2", "stanovovat (v-w6482f2)")</f>
        <v>stanovovat (v-w6482f2)</v>
      </c>
      <c r="E46299" s="0" t="str">
        <f aca="false">HYPERLINK("https://lindat.mff.cuni.cz/services/SynSemClass40/SynSemClass40.html?veclass=vec00322#vec00322-ces-cm00016", "vec00322")</f>
        <v>vec00322</v>
      </c>
      <c r="F46299" s="0" t="s">
        <v>1343</v>
      </c>
    </row>
    <row r="46300" customFormat="false" ht="12.8" hidden="false" customHeight="false" outlineLevel="0" collapsed="false">
      <c r="B46300" s="0" t="s">
        <v>1</v>
      </c>
      <c r="C46300" s="0" t="s">
        <v>1344</v>
      </c>
      <c r="E46300" s="0" t="s">
        <v>206</v>
      </c>
      <c r="F46300" s="0" t="s">
        <v>1345</v>
      </c>
    </row>
    <row r="46301" customFormat="false" ht="12.8" hidden="false" customHeight="false" outlineLevel="0" collapsed="false">
      <c r="B46301" s="0" t="s">
        <v>59</v>
      </c>
      <c r="C46301" s="0" t="s">
        <v>1346</v>
      </c>
      <c r="E46301" s="0" t="s">
        <v>1347</v>
      </c>
      <c r="F46301" s="0" t="s">
        <v>1348</v>
      </c>
    </row>
    <row r="46302" customFormat="false" ht="12.8" hidden="false" customHeight="false" outlineLevel="0" collapsed="false">
      <c r="B46302" s="0" t="s">
        <v>101</v>
      </c>
      <c r="C46302" s="0" t="s">
        <v>1349</v>
      </c>
      <c r="E46302" s="0" t="s">
        <v>1350</v>
      </c>
      <c r="F46302" s="0" t="s">
        <v>1351</v>
      </c>
    </row>
    <row r="46304" customFormat="false" ht="12.8" hidden="false" customHeight="false" outlineLevel="0" collapsed="false">
      <c r="A46304" s="0" t="s">
        <v>16518</v>
      </c>
      <c r="B46304" s="0" t="str">
        <f aca="false">HYPERLINK("https://lindat.mff.cuni.cz/services/teitok/pdtc10/index.php?action=vallex&amp;frame=v-w6482f1", "stanovovat (v-w6482f1)")</f>
        <v>stanovovat (v-w6482f1)</v>
      </c>
      <c r="E46304" s="0" t="str">
        <f aca="false">HYPERLINK("https://lindat.mff.cuni.cz/services/SynSemClass40/SynSemClass40.html?veclass=vec00127#vec00127-ces-cm00045", "vec00127")</f>
        <v>vec00127</v>
      </c>
      <c r="F46304" s="0" t="s">
        <v>1835</v>
      </c>
      <c r="H46304" s="0" t="str">
        <f aca="false">HYPERLINK("https://lindat.mff.cuni.cz/services/SynSemClass40/SynSemClass40.html?veclass=vec00166#vec00166-ces-cm00015", "vec00166")</f>
        <v>vec00166</v>
      </c>
      <c r="I46304" s="0" t="s">
        <v>12005</v>
      </c>
    </row>
    <row r="46305" customFormat="false" ht="12.8" hidden="false" customHeight="false" outlineLevel="0" collapsed="false">
      <c r="B46305" s="0" t="s">
        <v>1</v>
      </c>
      <c r="C46305" s="0" t="s">
        <v>12087</v>
      </c>
      <c r="E46305" s="0" t="s">
        <v>11</v>
      </c>
      <c r="F46305" s="0" t="s">
        <v>1837</v>
      </c>
      <c r="H46305" s="0" t="s">
        <v>31</v>
      </c>
      <c r="I46305" s="0" t="s">
        <v>12007</v>
      </c>
    </row>
    <row r="46306" customFormat="false" ht="12.8" hidden="false" customHeight="false" outlineLevel="0" collapsed="false">
      <c r="B46306" s="0" t="s">
        <v>8</v>
      </c>
      <c r="C46306" s="0" t="s">
        <v>16515</v>
      </c>
      <c r="E46306" s="0" t="s">
        <v>1840</v>
      </c>
      <c r="F46306" s="0" t="s">
        <v>1841</v>
      </c>
      <c r="H46306" s="0" t="s">
        <v>1347</v>
      </c>
      <c r="I46306" s="0" t="s">
        <v>12008</v>
      </c>
    </row>
    <row r="46308" customFormat="false" ht="12.8" hidden="false" customHeight="false" outlineLevel="0" collapsed="false">
      <c r="A46308" s="0" t="s">
        <v>16519</v>
      </c>
      <c r="B46308" s="0" t="str">
        <f aca="false">HYPERLINK("https://lindat.mff.cuni.cz/services/teitok/pdtc10/index.php?action=vallex&amp;frame=v-w6483f1", "starat se (v-w6483f1)")</f>
        <v>starat se (v-w6483f1)</v>
      </c>
      <c r="E46308" s="0" t="str">
        <f aca="false">HYPERLINK("https://lindat.mff.cuni.cz/services/SynSemClass40/SynSemClass40.html?veclass=vec00574#vec00574-ces-cm00014", "vec00574")</f>
        <v>vec00574</v>
      </c>
      <c r="F46308" s="0" t="s">
        <v>5067</v>
      </c>
    </row>
    <row r="46309" customFormat="false" ht="12.8" hidden="false" customHeight="false" outlineLevel="0" collapsed="false">
      <c r="B46309" s="0" t="s">
        <v>1</v>
      </c>
      <c r="C46309" s="0" t="s">
        <v>5068</v>
      </c>
      <c r="E46309" s="0" t="s">
        <v>621</v>
      </c>
      <c r="F46309" s="0" t="s">
        <v>5069</v>
      </c>
    </row>
    <row r="46310" customFormat="false" ht="12.8" hidden="false" customHeight="false" outlineLevel="0" collapsed="false">
      <c r="B46310" s="0" t="s">
        <v>11560</v>
      </c>
      <c r="C46310" s="0" t="s">
        <v>5070</v>
      </c>
      <c r="E46310" s="0" t="s">
        <v>1732</v>
      </c>
      <c r="F46310" s="0" t="s">
        <v>5071</v>
      </c>
    </row>
    <row r="46312" customFormat="false" ht="12.8" hidden="false" customHeight="false" outlineLevel="0" collapsed="false">
      <c r="A46312" s="0" t="s">
        <v>16520</v>
      </c>
      <c r="B46312" s="0" t="str">
        <f aca="false">HYPERLINK("https://lindat.mff.cuni.cz/services/teitok/pdtc10/index.php?action=vallex&amp;frame=v-w6490f3", "startovat (v-w6490f3)")</f>
        <v>startovat (v-w6490f3)</v>
      </c>
    </row>
    <row r="46313" customFormat="false" ht="12.8" hidden="false" customHeight="false" outlineLevel="0" collapsed="false">
      <c r="B46313" s="0" t="s">
        <v>1</v>
      </c>
    </row>
    <row r="46314" customFormat="false" ht="12.8" hidden="false" customHeight="false" outlineLevel="0" collapsed="false">
      <c r="B46314" s="0" t="s">
        <v>8</v>
      </c>
    </row>
    <row r="46316" customFormat="false" ht="12.8" hidden="false" customHeight="false" outlineLevel="0" collapsed="false">
      <c r="A46316" s="0" t="s">
        <v>16521</v>
      </c>
      <c r="B46316" s="0" t="str">
        <f aca="false">HYPERLINK("https://lindat.mff.cuni.cz/services/teitok/pdtc10/index.php?action=vallex&amp;frame=v-w6490f1", "startovat (v-w6490f1)")</f>
        <v>startovat (v-w6490f1)</v>
      </c>
    </row>
    <row r="46317" customFormat="false" ht="12.8" hidden="false" customHeight="false" outlineLevel="0" collapsed="false">
      <c r="B46317" s="0" t="s">
        <v>1</v>
      </c>
    </row>
    <row r="46319" customFormat="false" ht="12.8" hidden="false" customHeight="false" outlineLevel="0" collapsed="false">
      <c r="A46319" s="0" t="s">
        <v>16522</v>
      </c>
      <c r="B46319" s="0" t="str">
        <f aca="false">HYPERLINK("https://lindat.mff.cuni.cz/services/teitok/pdtc10/index.php?action=vallex&amp;frame=v-w6490f2", "startovat (v-w6490f2)")</f>
        <v>startovat (v-w6490f2)</v>
      </c>
    </row>
    <row r="46320" customFormat="false" ht="12.8" hidden="false" customHeight="false" outlineLevel="0" collapsed="false">
      <c r="B46320" s="0" t="s">
        <v>1</v>
      </c>
    </row>
    <row r="46322" customFormat="false" ht="12.8" hidden="false" customHeight="false" outlineLevel="0" collapsed="false">
      <c r="A46322" s="0" t="s">
        <v>16523</v>
      </c>
      <c r="B46322" s="0" t="str">
        <f aca="false">HYPERLINK("https://lindat.mff.cuni.cz/services/teitok/pdtc10/index.php?action=vallex&amp;frame=v-w6490hsa_1188", "startovat (v-w6490hsa_1188)")</f>
        <v>startovat (v-w6490hsa_1188)</v>
      </c>
    </row>
    <row r="46323" customFormat="false" ht="12.8" hidden="false" customHeight="false" outlineLevel="0" collapsed="false">
      <c r="B46323" s="0" t="s">
        <v>1</v>
      </c>
    </row>
    <row r="46324" customFormat="false" ht="12.8" hidden="false" customHeight="false" outlineLevel="0" collapsed="false">
      <c r="B46324" s="0" t="s">
        <v>8</v>
      </c>
    </row>
    <row r="46326" customFormat="false" ht="12.8" hidden="false" customHeight="false" outlineLevel="0" collapsed="false">
      <c r="A46326" s="0" t="s">
        <v>16524</v>
      </c>
      <c r="B46326" s="0" t="str">
        <f aca="false">HYPERLINK("https://lindat.mff.cuni.cz/services/teitok/pdtc10/index.php?action=vallex&amp;frame=v-w6507f2", "stavit (v-w6507f2)")</f>
        <v>stavit (v-w6507f2)</v>
      </c>
      <c r="E46326" s="0" t="str">
        <f aca="false">HYPERLINK("https://lindat.mff.cuni.cz/services/SynSemClass40/SynSemClass40.html?veclass=vec00084#vec00084-ces-cm00045", "vec00084")</f>
        <v>vec00084</v>
      </c>
      <c r="F46326" s="0" t="s">
        <v>778</v>
      </c>
    </row>
    <row r="46327" customFormat="false" ht="12.8" hidden="false" customHeight="false" outlineLevel="0" collapsed="false">
      <c r="B46327" s="0" t="s">
        <v>1</v>
      </c>
      <c r="C46327" s="0" t="s">
        <v>5557</v>
      </c>
      <c r="E46327" s="0" t="s">
        <v>31</v>
      </c>
      <c r="F46327" s="0" t="s">
        <v>781</v>
      </c>
    </row>
    <row r="46328" customFormat="false" ht="12.8" hidden="false" customHeight="false" outlineLevel="0" collapsed="false">
      <c r="B46328" s="0" t="s">
        <v>8</v>
      </c>
      <c r="C46328" s="0" t="s">
        <v>5558</v>
      </c>
      <c r="E46328" s="0" t="s">
        <v>771</v>
      </c>
      <c r="F46328" s="0" t="s">
        <v>784</v>
      </c>
    </row>
    <row r="46329" customFormat="false" ht="12.8" hidden="false" customHeight="false" outlineLevel="0" collapsed="false">
      <c r="B46329" s="0" t="s">
        <v>773</v>
      </c>
      <c r="C46329" s="0" t="s">
        <v>6350</v>
      </c>
      <c r="E46329" s="0" t="s">
        <v>787</v>
      </c>
      <c r="F46329" s="0" t="s">
        <v>788</v>
      </c>
    </row>
    <row r="46331" customFormat="false" ht="12.8" hidden="false" customHeight="false" outlineLevel="0" collapsed="false">
      <c r="A46331" s="0" t="s">
        <v>16525</v>
      </c>
      <c r="B46331" s="0" t="str">
        <f aca="false">HYPERLINK("https://lindat.mff.cuni.cz/services/teitok/pdtc10/index.php?action=vallex&amp;frame=v-w6507f1", "stavit (v-w6507f1)")</f>
        <v>stavit (v-w6507f1)</v>
      </c>
    </row>
    <row r="46332" customFormat="false" ht="12.8" hidden="false" customHeight="false" outlineLevel="0" collapsed="false">
      <c r="B46332" s="0" t="s">
        <v>1</v>
      </c>
    </row>
    <row r="46333" customFormat="false" ht="12.8" hidden="false" customHeight="false" outlineLevel="0" collapsed="false">
      <c r="B46333" s="0" t="s">
        <v>8</v>
      </c>
    </row>
    <row r="46334" customFormat="false" ht="12.8" hidden="false" customHeight="false" outlineLevel="0" collapsed="false">
      <c r="B46334" s="0" t="s">
        <v>361</v>
      </c>
    </row>
    <row r="46336" customFormat="false" ht="12.8" hidden="false" customHeight="false" outlineLevel="0" collapsed="false">
      <c r="A46336" s="0" t="s">
        <v>16526</v>
      </c>
      <c r="B46336" s="0" t="str">
        <f aca="false">HYPERLINK("https://lindat.mff.cuni.cz/services/teitok/pdtc10/index.php?action=vallex&amp;frame=v-w6507f3_ZU", "stavit (v-w6507f3_ZU)")</f>
        <v>stavit (v-w6507f3_ZU)</v>
      </c>
    </row>
    <row r="46337" customFormat="false" ht="12.8" hidden="false" customHeight="false" outlineLevel="0" collapsed="false">
      <c r="B46337" s="0" t="s">
        <v>1</v>
      </c>
    </row>
    <row r="46338" customFormat="false" ht="12.8" hidden="false" customHeight="false" outlineLevel="0" collapsed="false">
      <c r="B46338" s="0" t="s">
        <v>8</v>
      </c>
    </row>
    <row r="46339" customFormat="false" ht="12.8" hidden="false" customHeight="false" outlineLevel="0" collapsed="false">
      <c r="B46339" s="0" t="s">
        <v>36</v>
      </c>
    </row>
    <row r="46341" customFormat="false" ht="12.8" hidden="false" customHeight="false" outlineLevel="0" collapsed="false">
      <c r="A46341" s="0" t="s">
        <v>16526</v>
      </c>
      <c r="B46341" s="0" t="str">
        <f aca="false">HYPERLINK("https://lindat.mff.cuni.cz/services/teitok/pdtc10/index.php?action=vallex&amp;frame=v-w6507hsa_564", "stavit (v-w6507hsa_564) - substituted with v-w6507f3_ZU")</f>
        <v>stavit (v-w6507hsa_564) - substituted with v-w6507f3_ZU</v>
      </c>
    </row>
    <row r="46342" customFormat="false" ht="12.8" hidden="false" customHeight="false" outlineLevel="0" collapsed="false">
      <c r="B46342" s="0" t="s">
        <v>1</v>
      </c>
    </row>
    <row r="46343" customFormat="false" ht="12.8" hidden="false" customHeight="false" outlineLevel="0" collapsed="false">
      <c r="B46343" s="0" t="s">
        <v>8</v>
      </c>
    </row>
    <row r="46344" customFormat="false" ht="12.8" hidden="false" customHeight="false" outlineLevel="0" collapsed="false">
      <c r="B46344" s="0" t="s">
        <v>36</v>
      </c>
    </row>
    <row r="46346" customFormat="false" ht="12.8" hidden="false" customHeight="false" outlineLevel="0" collapsed="false">
      <c r="A46346" s="0" t="s">
        <v>16527</v>
      </c>
      <c r="B46346" s="0" t="str">
        <f aca="false">HYPERLINK("https://lindat.mff.cuni.cz/services/teitok/pdtc10/index.php?action=vallex&amp;frame=v-w6509f1", "stavit se (v-w6509f1)")</f>
        <v>stavit se (v-w6509f1)</v>
      </c>
      <c r="E46346" s="0" t="str">
        <f aca="false">HYPERLINK("https://lindat.mff.cuni.cz/services/SynSemClass40/SynSemClass40.html?veclass=vec00069#vec00069-ces-cm00189", "vec00069")</f>
        <v>vec00069</v>
      </c>
      <c r="F46346" s="0" t="s">
        <v>4300</v>
      </c>
      <c r="H46346" s="0" t="str">
        <f aca="false">HYPERLINK("https://lindat.mff.cuni.cz/services/SynSemClass40/SynSemClass40.html?veclass=vec00461#vec00461-ces-cm00014", "vec00461")</f>
        <v>vec00461</v>
      </c>
      <c r="I46346" s="0" t="s">
        <v>476</v>
      </c>
    </row>
    <row r="46347" customFormat="false" ht="12.8" hidden="false" customHeight="false" outlineLevel="0" collapsed="false">
      <c r="B46347" s="0" t="s">
        <v>1</v>
      </c>
      <c r="C46347" s="0" t="s">
        <v>4301</v>
      </c>
      <c r="E46347" s="0" t="s">
        <v>3021</v>
      </c>
      <c r="F46347" s="0" t="s">
        <v>4302</v>
      </c>
      <c r="H46347" s="0" t="s">
        <v>478</v>
      </c>
      <c r="I46347" s="0" t="s">
        <v>479</v>
      </c>
    </row>
    <row r="46348" customFormat="false" ht="12.8" hidden="false" customHeight="false" outlineLevel="0" collapsed="false">
      <c r="B46348" s="0" t="s">
        <v>16528</v>
      </c>
      <c r="C46348" s="0" t="s">
        <v>4304</v>
      </c>
      <c r="E46348" s="0" t="s">
        <v>3023</v>
      </c>
      <c r="F46348" s="0" t="s">
        <v>4305</v>
      </c>
      <c r="H46348" s="0" t="s">
        <v>4306</v>
      </c>
      <c r="I46348" s="0" t="s">
        <v>4307</v>
      </c>
    </row>
    <row r="46350" customFormat="false" ht="12.8" hidden="false" customHeight="false" outlineLevel="0" collapsed="false">
      <c r="A46350" s="0" t="s">
        <v>16529</v>
      </c>
      <c r="B46350" s="0" t="str">
        <f aca="false">HYPERLINK("https://lindat.mff.cuni.cz/services/teitok/pdtc10/index.php?action=vallex&amp;frame=v-w6509f2", "stavit se (v-w6509f2)")</f>
        <v>stavit se (v-w6509f2)</v>
      </c>
    </row>
    <row r="46351" customFormat="false" ht="12.8" hidden="false" customHeight="false" outlineLevel="0" collapsed="false">
      <c r="B46351" s="0" t="s">
        <v>1</v>
      </c>
    </row>
    <row r="46352" customFormat="false" ht="12.8" hidden="false" customHeight="false" outlineLevel="0" collapsed="false">
      <c r="B46352" s="0" t="s">
        <v>5</v>
      </c>
    </row>
    <row r="46354" customFormat="false" ht="12.8" hidden="false" customHeight="false" outlineLevel="0" collapsed="false">
      <c r="A46354" s="0" t="s">
        <v>16530</v>
      </c>
      <c r="B46354" s="0" t="str">
        <f aca="false">HYPERLINK("https://lindat.mff.cuni.cz/services/teitok/pdtc10/index.php?action=vallex&amp;frame=v-w12385_MMf1_MM", "stavovat se (v-w12385_MMf1_MM)")</f>
        <v>stavovat se (v-w12385_MMf1_MM)</v>
      </c>
    </row>
    <row r="46355" customFormat="false" ht="12.8" hidden="false" customHeight="false" outlineLevel="0" collapsed="false">
      <c r="B46355" s="0" t="s">
        <v>1</v>
      </c>
    </row>
    <row r="46356" customFormat="false" ht="12.8" hidden="false" customHeight="false" outlineLevel="0" collapsed="false">
      <c r="B46356" s="0" t="s">
        <v>5</v>
      </c>
    </row>
    <row r="46358" customFormat="false" ht="12.8" hidden="false" customHeight="false" outlineLevel="0" collapsed="false">
      <c r="A46358" s="0" t="s">
        <v>16531</v>
      </c>
      <c r="B46358" s="0" t="str">
        <f aca="false">HYPERLINK("https://lindat.mff.cuni.cz/services/teitok/pdtc10/index.php?action=vallex&amp;frame=v-whsa_1887hsa_1888", "stavívat se (v-whsa_1887hsa_1888)")</f>
        <v>stavívat se (v-whsa_1887hsa_1888)</v>
      </c>
    </row>
    <row r="46359" customFormat="false" ht="12.8" hidden="false" customHeight="false" outlineLevel="0" collapsed="false">
      <c r="B46359" s="0" t="s">
        <v>1</v>
      </c>
    </row>
    <row r="46360" customFormat="false" ht="12.8" hidden="false" customHeight="false" outlineLevel="0" collapsed="false">
      <c r="B46360" s="0" t="s">
        <v>5</v>
      </c>
    </row>
    <row r="46362" customFormat="false" ht="12.8" hidden="false" customHeight="false" outlineLevel="0" collapsed="false">
      <c r="A46362" s="0" t="s">
        <v>16532</v>
      </c>
      <c r="B46362" s="0" t="str">
        <f aca="false">HYPERLINK("https://lindat.mff.cuni.cz/services/teitok/pdtc10/index.php?action=vallex&amp;frame=v-w6505f2", "stavět (v-w6505f2)")</f>
        <v>stavět (v-w6505f2)</v>
      </c>
      <c r="E46362" s="0" t="str">
        <f aca="false">HYPERLINK("https://lindat.mff.cuni.cz/services/SynSemClass40/SynSemClass40.html?veclass=vec01118#vec01118-ces-cm00001", "vec01118")</f>
        <v>vec01118</v>
      </c>
      <c r="F46362" s="0" t="s">
        <v>766</v>
      </c>
    </row>
    <row r="46363" customFormat="false" ht="12.8" hidden="false" customHeight="false" outlineLevel="0" collapsed="false">
      <c r="B46363" s="0" t="s">
        <v>1</v>
      </c>
      <c r="C46363" s="0" t="s">
        <v>767</v>
      </c>
      <c r="E46363" s="0" t="s">
        <v>768</v>
      </c>
      <c r="F46363" s="0" t="s">
        <v>769</v>
      </c>
    </row>
    <row r="46364" customFormat="false" ht="12.8" hidden="false" customHeight="false" outlineLevel="0" collapsed="false">
      <c r="B46364" s="0" t="s">
        <v>8</v>
      </c>
      <c r="C46364" s="0" t="s">
        <v>770</v>
      </c>
      <c r="E46364" s="0" t="s">
        <v>771</v>
      </c>
      <c r="F46364" s="0" t="s">
        <v>772</v>
      </c>
    </row>
    <row r="46365" customFormat="false" ht="12.8" hidden="false" customHeight="false" outlineLevel="0" collapsed="false">
      <c r="B46365" s="0" t="s">
        <v>773</v>
      </c>
      <c r="C46365" s="0" t="s">
        <v>774</v>
      </c>
      <c r="E46365" s="0" t="s">
        <v>775</v>
      </c>
      <c r="F46365" s="0" t="s">
        <v>776</v>
      </c>
    </row>
    <row r="46367" customFormat="false" ht="12.8" hidden="false" customHeight="false" outlineLevel="0" collapsed="false">
      <c r="A46367" s="0" t="s">
        <v>16533</v>
      </c>
      <c r="B46367" s="0" t="str">
        <f aca="false">HYPERLINK("https://lindat.mff.cuni.cz/services/teitok/pdtc10/index.php?action=vallex&amp;frame=v-w6505f1", "stavět (v-w6505f1)")</f>
        <v>stavět (v-w6505f1)</v>
      </c>
      <c r="E46367" s="0" t="str">
        <f aca="false">HYPERLINK("https://lindat.mff.cuni.cz/services/SynSemClass40/SynSemClass40.html?veclass=vec00084#vec00084-ces-cm00043", "vec00084")</f>
        <v>vec00084</v>
      </c>
      <c r="F46367" s="0" t="s">
        <v>778</v>
      </c>
    </row>
    <row r="46368" customFormat="false" ht="12.8" hidden="false" customHeight="false" outlineLevel="0" collapsed="false">
      <c r="B46368" s="0" t="s">
        <v>1</v>
      </c>
      <c r="C46368" s="0" t="s">
        <v>5557</v>
      </c>
      <c r="E46368" s="0" t="s">
        <v>31</v>
      </c>
      <c r="F46368" s="0" t="s">
        <v>781</v>
      </c>
    </row>
    <row r="46369" customFormat="false" ht="12.8" hidden="false" customHeight="false" outlineLevel="0" collapsed="false">
      <c r="B46369" s="0" t="s">
        <v>8</v>
      </c>
      <c r="C46369" s="0" t="s">
        <v>5558</v>
      </c>
      <c r="E46369" s="0" t="s">
        <v>771</v>
      </c>
      <c r="F46369" s="0" t="s">
        <v>784</v>
      </c>
    </row>
    <row r="46370" customFormat="false" ht="12.8" hidden="false" customHeight="false" outlineLevel="0" collapsed="false">
      <c r="B46370" s="0" t="s">
        <v>36</v>
      </c>
      <c r="C46370" s="0" t="s">
        <v>6350</v>
      </c>
      <c r="E46370" s="0" t="s">
        <v>787</v>
      </c>
      <c r="F46370" s="0" t="s">
        <v>788</v>
      </c>
    </row>
    <row r="46372" customFormat="false" ht="12.8" hidden="false" customHeight="false" outlineLevel="0" collapsed="false">
      <c r="A46372" s="0" t="s">
        <v>16534</v>
      </c>
      <c r="B46372" s="0" t="str">
        <f aca="false">HYPERLINK("https://lindat.mff.cuni.cz/services/teitok/pdtc10/index.php?action=vallex&amp;frame=v-w6505f7", "stavět (v-w6505f7)")</f>
        <v>stavět (v-w6505f7)</v>
      </c>
    </row>
    <row r="46373" customFormat="false" ht="12.8" hidden="false" customHeight="false" outlineLevel="0" collapsed="false">
      <c r="B46373" s="0" t="s">
        <v>1</v>
      </c>
    </row>
    <row r="46374" customFormat="false" ht="12.8" hidden="false" customHeight="false" outlineLevel="0" collapsed="false">
      <c r="B46374" s="0" t="s">
        <v>8</v>
      </c>
    </row>
    <row r="46375" customFormat="false" ht="12.8" hidden="false" customHeight="false" outlineLevel="0" collapsed="false">
      <c r="B46375" s="0" t="s">
        <v>16535</v>
      </c>
    </row>
    <row r="46377" customFormat="false" ht="12.8" hidden="false" customHeight="false" outlineLevel="0" collapsed="false">
      <c r="A46377" s="0" t="s">
        <v>16536</v>
      </c>
      <c r="B46377" s="0" t="str">
        <f aca="false">HYPERLINK("https://lindat.mff.cuni.cz/services/teitok/pdtc10/index.php?action=vallex&amp;frame=v-w6505f8", "stavět (v-w6505f8)")</f>
        <v>stavět (v-w6505f8)</v>
      </c>
    </row>
    <row r="46378" customFormat="false" ht="12.8" hidden="false" customHeight="false" outlineLevel="0" collapsed="false">
      <c r="B46378" s="0" t="s">
        <v>1</v>
      </c>
    </row>
    <row r="46379" customFormat="false" ht="12.8" hidden="false" customHeight="false" outlineLevel="0" collapsed="false">
      <c r="B46379" s="0" t="s">
        <v>8</v>
      </c>
    </row>
    <row r="46380" customFormat="false" ht="12.8" hidden="false" customHeight="false" outlineLevel="0" collapsed="false">
      <c r="B46380" s="0" t="s">
        <v>361</v>
      </c>
    </row>
    <row r="46382" customFormat="false" ht="12.8" hidden="false" customHeight="false" outlineLevel="0" collapsed="false">
      <c r="A46382" s="0" t="s">
        <v>16537</v>
      </c>
      <c r="B46382" s="0" t="str">
        <f aca="false">HYPERLINK("https://lindat.mff.cuni.cz/services/teitok/pdtc10/index.php?action=vallex&amp;frame=v-w6505f3", "stavět (v-w6505f3)")</f>
        <v>stavět (v-w6505f3)</v>
      </c>
      <c r="E46382" s="0" t="str">
        <f aca="false">HYPERLINK("https://lindat.mff.cuni.cz/services/SynSemClass40/SynSemClass40.html?veclass=vec00322#vec00322-ces-cm00145", "vec00322")</f>
        <v>vec00322</v>
      </c>
      <c r="F46382" s="0" t="s">
        <v>1343</v>
      </c>
      <c r="H46382" s="0" t="str">
        <f aca="false">HYPERLINK("https://lindat.mff.cuni.cz/services/SynSemClass40/SynSemClass40.html?veclass=vec00735#vec00735-ces-cm00036", "vec00735")</f>
        <v>vec00735</v>
      </c>
      <c r="I46382" s="0" t="s">
        <v>2719</v>
      </c>
      <c r="K46382" s="0" t="str">
        <f aca="false">HYPERLINK("https://lindat.mff.cuni.cz/services/SynSemClass40/SynSemClass40.html?veclass=vec00812#vec00812-ces-cm00305", "vec00812")</f>
        <v>vec00812</v>
      </c>
      <c r="L46382" s="0" t="s">
        <v>2822</v>
      </c>
    </row>
    <row r="46383" customFormat="false" ht="12.8" hidden="false" customHeight="false" outlineLevel="0" collapsed="false">
      <c r="B46383" s="0" t="s">
        <v>1</v>
      </c>
      <c r="C46383" s="0" t="s">
        <v>16538</v>
      </c>
      <c r="E46383" s="0" t="s">
        <v>206</v>
      </c>
      <c r="F46383" s="0" t="s">
        <v>1345</v>
      </c>
      <c r="H46383" s="0" t="s">
        <v>334</v>
      </c>
      <c r="I46383" s="0" t="s">
        <v>2721</v>
      </c>
      <c r="K46383" s="0" t="s">
        <v>1103</v>
      </c>
      <c r="L46383" s="0" t="s">
        <v>2824</v>
      </c>
    </row>
    <row r="46384" customFormat="false" ht="12.8" hidden="false" customHeight="false" outlineLevel="0" collapsed="false">
      <c r="B46384" s="0" t="s">
        <v>8</v>
      </c>
      <c r="C46384" s="0" t="s">
        <v>16539</v>
      </c>
      <c r="E46384" s="0" t="s">
        <v>1347</v>
      </c>
      <c r="F46384" s="0" t="s">
        <v>1348</v>
      </c>
      <c r="H46384" s="0" t="s">
        <v>2648</v>
      </c>
      <c r="I46384" s="0" t="s">
        <v>2723</v>
      </c>
      <c r="K46384" s="0" t="s">
        <v>142</v>
      </c>
      <c r="L46384" s="0" t="s">
        <v>2825</v>
      </c>
    </row>
    <row r="46385" customFormat="false" ht="12.8" hidden="false" customHeight="false" outlineLevel="0" collapsed="false">
      <c r="B46385" s="0" t="s">
        <v>164</v>
      </c>
      <c r="C46385" s="0" t="s">
        <v>16540</v>
      </c>
      <c r="E46385" s="0" t="s">
        <v>16541</v>
      </c>
      <c r="F46385" s="0" t="s">
        <v>16542</v>
      </c>
      <c r="H46385" s="0" t="s">
        <v>370</v>
      </c>
      <c r="I46385" s="0" t="s">
        <v>2725</v>
      </c>
      <c r="K46385" s="0" t="s">
        <v>3114</v>
      </c>
      <c r="L46385" s="0" t="s">
        <v>3115</v>
      </c>
    </row>
    <row r="46387" customFormat="false" ht="12.8" hidden="false" customHeight="false" outlineLevel="0" collapsed="false">
      <c r="A46387" s="0" t="s">
        <v>16543</v>
      </c>
      <c r="B46387" s="0" t="str">
        <f aca="false">HYPERLINK("https://lindat.mff.cuni.cz/services/teitok/pdtc10/index.php?action=vallex&amp;frame=v-w6505f4", "stavět (v-w6505f4)")</f>
        <v>stavět (v-w6505f4)</v>
      </c>
    </row>
    <row r="46388" customFormat="false" ht="12.8" hidden="false" customHeight="false" outlineLevel="0" collapsed="false">
      <c r="B46388" s="0" t="s">
        <v>1</v>
      </c>
    </row>
    <row r="46390" customFormat="false" ht="12.8" hidden="false" customHeight="false" outlineLevel="0" collapsed="false">
      <c r="A46390" s="0" t="s">
        <v>16544</v>
      </c>
      <c r="B46390" s="0" t="str">
        <f aca="false">HYPERLINK("https://lindat.mff.cuni.cz/services/teitok/pdtc10/index.php?action=vallex&amp;frame=v-w6505f5", "stavět (v-w6505f5)")</f>
        <v>stavět (v-w6505f5)</v>
      </c>
    </row>
    <row r="46391" customFormat="false" ht="12.8" hidden="false" customHeight="false" outlineLevel="0" collapsed="false">
      <c r="B46391" s="0" t="s">
        <v>1</v>
      </c>
    </row>
    <row r="46392" customFormat="false" ht="12.8" hidden="false" customHeight="false" outlineLevel="0" collapsed="false">
      <c r="B46392" s="0" t="s">
        <v>16545</v>
      </c>
    </row>
    <row r="46393" customFormat="false" ht="12.8" hidden="false" customHeight="false" outlineLevel="0" collapsed="false">
      <c r="B46393" s="0" t="s">
        <v>132</v>
      </c>
    </row>
    <row r="46395" customFormat="false" ht="12.8" hidden="false" customHeight="false" outlineLevel="0" collapsed="false">
      <c r="A46395" s="0" t="s">
        <v>16546</v>
      </c>
      <c r="B46395" s="0" t="str">
        <f aca="false">HYPERLINK("https://lindat.mff.cuni.cz/services/teitok/pdtc10/index.php?action=vallex&amp;frame=v-w6505f6", "stavět (v-w6505f6)")</f>
        <v>stavět (v-w6505f6)</v>
      </c>
    </row>
    <row r="46396" customFormat="false" ht="12.8" hidden="false" customHeight="false" outlineLevel="0" collapsed="false">
      <c r="B46396" s="0" t="s">
        <v>1</v>
      </c>
    </row>
    <row r="46397" customFormat="false" ht="12.8" hidden="false" customHeight="false" outlineLevel="0" collapsed="false">
      <c r="B46397" s="0" t="s">
        <v>16547</v>
      </c>
    </row>
    <row r="46398" customFormat="false" ht="12.8" hidden="false" customHeight="false" outlineLevel="0" collapsed="false">
      <c r="B46398" s="0" t="s">
        <v>132</v>
      </c>
    </row>
    <row r="46400" customFormat="false" ht="12.8" hidden="false" customHeight="false" outlineLevel="0" collapsed="false">
      <c r="A46400" s="0" t="s">
        <v>16548</v>
      </c>
      <c r="B46400" s="0" t="str">
        <f aca="false">HYPERLINK("https://lindat.mff.cuni.cz/services/teitok/pdtc10/index.php?action=vallex&amp;frame=v-w6506hsa_954", "stavět se (v-w6506hsa_954)")</f>
        <v>stavět se (v-w6506hsa_954)</v>
      </c>
    </row>
    <row r="46401" customFormat="false" ht="12.8" hidden="false" customHeight="false" outlineLevel="0" collapsed="false">
      <c r="B46401" s="0" t="s">
        <v>1</v>
      </c>
    </row>
    <row r="46402" customFormat="false" ht="12.8" hidden="false" customHeight="false" outlineLevel="0" collapsed="false">
      <c r="B46402" s="0" t="s">
        <v>16549</v>
      </c>
    </row>
    <row r="46403" customFormat="false" ht="12.8" hidden="false" customHeight="false" outlineLevel="0" collapsed="false">
      <c r="B46403" s="0" t="s">
        <v>642</v>
      </c>
    </row>
    <row r="46404" customFormat="false" ht="12.8" hidden="false" customHeight="false" outlineLevel="0" collapsed="false">
      <c r="B46404" s="0" t="s">
        <v>648</v>
      </c>
    </row>
    <row r="46405" customFormat="false" ht="12.8" hidden="false" customHeight="false" outlineLevel="0" collapsed="false">
      <c r="B46405" s="0" t="s">
        <v>650</v>
      </c>
    </row>
    <row r="46406" customFormat="false" ht="12.8" hidden="false" customHeight="false" outlineLevel="0" collapsed="false">
      <c r="B46406" s="0" t="s">
        <v>652</v>
      </c>
    </row>
    <row r="46408" customFormat="false" ht="12.8" hidden="false" customHeight="false" outlineLevel="0" collapsed="false">
      <c r="A46408" s="0" t="s">
        <v>16548</v>
      </c>
      <c r="B46408" s="0" t="str">
        <f aca="false">HYPERLINK("https://lindat.mff.cuni.cz/services/teitok/pdtc10/index.php?action=vallex&amp;frame=v-w6506f1", "stavět se (v-w6506f1) - substituted with v-w6506hsa_954")</f>
        <v>stavět se (v-w6506f1) - substituted with v-w6506hsa_954</v>
      </c>
    </row>
    <row r="46409" customFormat="false" ht="12.8" hidden="false" customHeight="false" outlineLevel="0" collapsed="false">
      <c r="B46409" s="0" t="s">
        <v>1</v>
      </c>
    </row>
    <row r="46410" customFormat="false" ht="12.8" hidden="false" customHeight="false" outlineLevel="0" collapsed="false">
      <c r="B46410" s="0" t="s">
        <v>16549</v>
      </c>
    </row>
    <row r="46411" customFormat="false" ht="12.8" hidden="false" customHeight="false" outlineLevel="0" collapsed="false">
      <c r="B46411" s="0" t="s">
        <v>642</v>
      </c>
    </row>
    <row r="46412" customFormat="false" ht="12.8" hidden="false" customHeight="false" outlineLevel="0" collapsed="false">
      <c r="B46412" s="0" t="s">
        <v>648</v>
      </c>
    </row>
    <row r="46413" customFormat="false" ht="12.8" hidden="false" customHeight="false" outlineLevel="0" collapsed="false">
      <c r="B46413" s="0" t="s">
        <v>650</v>
      </c>
    </row>
    <row r="46414" customFormat="false" ht="12.8" hidden="false" customHeight="false" outlineLevel="0" collapsed="false">
      <c r="B46414" s="0" t="s">
        <v>652</v>
      </c>
    </row>
    <row r="46416" customFormat="false" ht="12.8" hidden="false" customHeight="false" outlineLevel="0" collapsed="false">
      <c r="A46416" s="0" t="s">
        <v>16550</v>
      </c>
      <c r="B46416" s="0" t="str">
        <f aca="false">HYPERLINK("https://lindat.mff.cuni.cz/services/teitok/pdtc10/index.php?action=vallex&amp;frame=v-w6506f2", "stavět se (v-w6506f2)")</f>
        <v>stavět se (v-w6506f2)</v>
      </c>
      <c r="E46416" s="0" t="str">
        <f aca="false">HYPERLINK("https://lindat.mff.cuni.cz/services/SynSemClass40/SynSemClass40.html?veclass=vec00069#vec00069-ces-cm00077", "vec00069")</f>
        <v>vec00069</v>
      </c>
      <c r="F46416" s="0" t="s">
        <v>4300</v>
      </c>
      <c r="H46416" s="0" t="str">
        <f aca="false">HYPERLINK("https://lindat.mff.cuni.cz/services/SynSemClass40/SynSemClass40.html?veclass=vec00461#vec00461-ces-cm00013", "vec00461")</f>
        <v>vec00461</v>
      </c>
      <c r="I46416" s="0" t="s">
        <v>476</v>
      </c>
    </row>
    <row r="46417" customFormat="false" ht="12.8" hidden="false" customHeight="false" outlineLevel="0" collapsed="false">
      <c r="B46417" s="0" t="s">
        <v>1</v>
      </c>
      <c r="C46417" s="0" t="s">
        <v>4301</v>
      </c>
      <c r="E46417" s="0" t="s">
        <v>3021</v>
      </c>
      <c r="F46417" s="0" t="s">
        <v>4302</v>
      </c>
      <c r="H46417" s="0" t="s">
        <v>478</v>
      </c>
      <c r="I46417" s="0" t="s">
        <v>479</v>
      </c>
    </row>
    <row r="46418" customFormat="false" ht="12.8" hidden="false" customHeight="false" outlineLevel="0" collapsed="false">
      <c r="B46418" s="0" t="s">
        <v>16551</v>
      </c>
      <c r="C46418" s="0" t="s">
        <v>4304</v>
      </c>
      <c r="E46418" s="0" t="s">
        <v>3023</v>
      </c>
      <c r="F46418" s="0" t="s">
        <v>4305</v>
      </c>
      <c r="H46418" s="0" t="s">
        <v>4306</v>
      </c>
      <c r="I46418" s="0" t="s">
        <v>4307</v>
      </c>
    </row>
    <row r="46420" customFormat="false" ht="12.8" hidden="false" customHeight="false" outlineLevel="0" collapsed="false">
      <c r="A46420" s="0" t="s">
        <v>16552</v>
      </c>
      <c r="B46420" s="0" t="str">
        <f aca="false">HYPERLINK("https://lindat.mff.cuni.cz/services/teitok/pdtc10/index.php?action=vallex&amp;frame=v-w6506f5", "stavět se (v-w6506f5)")</f>
        <v>stavět se (v-w6506f5)</v>
      </c>
    </row>
    <row r="46421" customFormat="false" ht="12.8" hidden="false" customHeight="false" outlineLevel="0" collapsed="false">
      <c r="B46421" s="0" t="s">
        <v>1</v>
      </c>
    </row>
    <row r="46422" customFormat="false" ht="12.8" hidden="false" customHeight="false" outlineLevel="0" collapsed="false">
      <c r="B46422" s="0" t="s">
        <v>5</v>
      </c>
    </row>
    <row r="46424" customFormat="false" ht="12.8" hidden="false" customHeight="false" outlineLevel="0" collapsed="false">
      <c r="A46424" s="0" t="s">
        <v>16553</v>
      </c>
      <c r="B46424" s="0" t="str">
        <f aca="false">HYPERLINK("https://lindat.mff.cuni.cz/services/teitok/pdtc10/index.php?action=vallex&amp;frame=v-w6506f3", "stavět se (v-w6506f3)")</f>
        <v>stavět se (v-w6506f3)</v>
      </c>
    </row>
    <row r="46425" customFormat="false" ht="12.8" hidden="false" customHeight="false" outlineLevel="0" collapsed="false">
      <c r="B46425" s="0" t="s">
        <v>1</v>
      </c>
    </row>
    <row r="46426" customFormat="false" ht="12.8" hidden="false" customHeight="false" outlineLevel="0" collapsed="false">
      <c r="B46426" s="0" t="s">
        <v>361</v>
      </c>
    </row>
    <row r="46428" customFormat="false" ht="12.8" hidden="false" customHeight="false" outlineLevel="0" collapsed="false">
      <c r="A46428" s="0" t="s">
        <v>16554</v>
      </c>
      <c r="B46428" s="0" t="str">
        <f aca="false">HYPERLINK("https://lindat.mff.cuni.cz/services/teitok/pdtc10/index.php?action=vallex&amp;frame=v-w6506f6_ZU", "stavět se (v-w6506f6_ZU)")</f>
        <v>stavět se (v-w6506f6_ZU)</v>
      </c>
    </row>
    <row r="46429" customFormat="false" ht="12.8" hidden="false" customHeight="false" outlineLevel="0" collapsed="false">
      <c r="B46429" s="0" t="s">
        <v>1</v>
      </c>
    </row>
    <row r="46430" customFormat="false" ht="12.8" hidden="false" customHeight="false" outlineLevel="0" collapsed="false">
      <c r="B46430" s="0" t="s">
        <v>16555</v>
      </c>
    </row>
    <row r="46431" customFormat="false" ht="12.8" hidden="false" customHeight="false" outlineLevel="0" collapsed="false">
      <c r="B46431" s="0" t="s">
        <v>186</v>
      </c>
    </row>
    <row r="46433" customFormat="false" ht="12.8" hidden="false" customHeight="false" outlineLevel="0" collapsed="false">
      <c r="A46433" s="0" t="s">
        <v>16554</v>
      </c>
      <c r="B46433" s="0" t="str">
        <f aca="false">HYPERLINK("https://lindat.mff.cuni.cz/services/teitok/pdtc10/index.php?action=vallex&amp;frame=v-w6506f4", "stavět se (v-w6506f4) - substituted with v-w6506f6_ZU")</f>
        <v>stavět se (v-w6506f4) - substituted with v-w6506f6_ZU</v>
      </c>
    </row>
    <row r="46434" customFormat="false" ht="12.8" hidden="false" customHeight="false" outlineLevel="0" collapsed="false">
      <c r="B46434" s="0" t="s">
        <v>1</v>
      </c>
    </row>
    <row r="46435" customFormat="false" ht="12.8" hidden="false" customHeight="false" outlineLevel="0" collapsed="false">
      <c r="B46435" s="0" t="s">
        <v>16555</v>
      </c>
    </row>
    <row r="46436" customFormat="false" ht="12.8" hidden="false" customHeight="false" outlineLevel="0" collapsed="false">
      <c r="B46436" s="0" t="s">
        <v>186</v>
      </c>
    </row>
    <row r="46438" customFormat="false" ht="12.8" hidden="false" customHeight="false" outlineLevel="0" collapsed="false">
      <c r="A46438" s="0" t="s">
        <v>16556</v>
      </c>
      <c r="B46438" s="0" t="str">
        <f aca="false">HYPERLINK("https://lindat.mff.cuni.cz/services/teitok/pdtc10/index.php?action=vallex&amp;frame=v-w6506f7_ZU", "stavět se (v-w6506f7_ZU)")</f>
        <v>stavět se (v-w6506f7_ZU)</v>
      </c>
      <c r="E46438" s="0" t="str">
        <f aca="false">HYPERLINK("https://lindat.mff.cuni.cz/services/SynSemClass40/SynSemClass40.html?veclass=vec00131#vec00131-ces-cm00001", "vec00131")</f>
        <v>vec00131</v>
      </c>
      <c r="F46438" s="0" t="s">
        <v>16557</v>
      </c>
    </row>
    <row r="46439" customFormat="false" ht="12.8" hidden="false" customHeight="false" outlineLevel="0" collapsed="false">
      <c r="B46439" s="0" t="s">
        <v>1</v>
      </c>
      <c r="E46439" s="0" t="s">
        <v>11</v>
      </c>
      <c r="F46439" s="0" t="s">
        <v>959</v>
      </c>
    </row>
    <row r="46440" customFormat="false" ht="12.8" hidden="false" customHeight="false" outlineLevel="0" collapsed="false">
      <c r="B46440" s="0" t="s">
        <v>11578</v>
      </c>
      <c r="E46440" s="0" t="s">
        <v>16558</v>
      </c>
      <c r="F46440" s="0" t="s">
        <v>16559</v>
      </c>
    </row>
    <row r="46442" customFormat="false" ht="12.8" hidden="false" customHeight="false" outlineLevel="0" collapsed="false">
      <c r="A46442" s="0" t="s">
        <v>16560</v>
      </c>
      <c r="B46442" s="0" t="str">
        <f aca="false">HYPERLINK("https://lindat.mff.cuni.cz/services/teitok/pdtc10/index.php?action=vallex&amp;frame=v-w6506f8_ZU", "stavět se (v-w6506f8_ZU)")</f>
        <v>stavět se (v-w6506f8_ZU)</v>
      </c>
    </row>
    <row r="46443" customFormat="false" ht="12.8" hidden="false" customHeight="false" outlineLevel="0" collapsed="false">
      <c r="B46443" s="0" t="s">
        <v>1</v>
      </c>
    </row>
    <row r="46444" customFormat="false" ht="12.8" hidden="false" customHeight="false" outlineLevel="0" collapsed="false">
      <c r="B46444" s="0" t="s">
        <v>11599</v>
      </c>
    </row>
    <row r="46446" customFormat="false" ht="12.8" hidden="false" customHeight="false" outlineLevel="0" collapsed="false">
      <c r="A46446" s="0" t="s">
        <v>16560</v>
      </c>
      <c r="B46446" s="0" t="str">
        <f aca="false">HYPERLINK("https://lindat.mff.cuni.cz/services/teitok/pdtc10/index.php?action=vallex&amp;frame=v-w6506hsa_955", "stavět se (v-w6506hsa_955) - substituted with v-w6506f8_ZU")</f>
        <v>stavět se (v-w6506hsa_955) - substituted with v-w6506f8_ZU</v>
      </c>
    </row>
    <row r="46447" customFormat="false" ht="12.8" hidden="false" customHeight="false" outlineLevel="0" collapsed="false">
      <c r="B46447" s="0" t="s">
        <v>1</v>
      </c>
    </row>
    <row r="46448" customFormat="false" ht="12.8" hidden="false" customHeight="false" outlineLevel="0" collapsed="false">
      <c r="B46448" s="0" t="s">
        <v>11599</v>
      </c>
    </row>
    <row r="46450" customFormat="false" ht="12.8" hidden="false" customHeight="false" outlineLevel="0" collapsed="false">
      <c r="A46450" s="0" t="s">
        <v>16561</v>
      </c>
      <c r="B46450" s="0" t="str">
        <f aca="false">HYPERLINK("https://lindat.mff.cuni.cz/services/teitok/pdtc10/index.php?action=vallex&amp;frame=v-w6462f4", "stačit (v-w6462f4)")</f>
        <v>stačit (v-w6462f4)</v>
      </c>
      <c r="E46450" s="0" t="str">
        <f aca="false">HYPERLINK("https://lindat.mff.cuni.cz/services/SynSemClass40/SynSemClass40.html?veclass=vec00412#vec00412-ces-cm00008", "vec00412")</f>
        <v>vec00412</v>
      </c>
      <c r="F46450" s="0" t="s">
        <v>3287</v>
      </c>
    </row>
    <row r="46451" customFormat="false" ht="12.8" hidden="false" customHeight="false" outlineLevel="0" collapsed="false">
      <c r="B46451" s="0" t="s">
        <v>1</v>
      </c>
      <c r="C46451" s="0" t="s">
        <v>3288</v>
      </c>
      <c r="E46451" s="0" t="s">
        <v>2241</v>
      </c>
      <c r="F46451" s="0" t="s">
        <v>3289</v>
      </c>
    </row>
    <row r="46452" customFormat="false" ht="12.8" hidden="false" customHeight="false" outlineLevel="0" collapsed="false">
      <c r="B46452" s="0" t="s">
        <v>186</v>
      </c>
      <c r="C46452" s="0" t="s">
        <v>3291</v>
      </c>
      <c r="E46452" s="0" t="s">
        <v>2665</v>
      </c>
      <c r="F46452" s="0" t="s">
        <v>3292</v>
      </c>
    </row>
    <row r="46453" customFormat="false" ht="12.8" hidden="false" customHeight="false" outlineLevel="0" collapsed="false">
      <c r="B46453" s="0" t="s">
        <v>16562</v>
      </c>
    </row>
    <row r="46455" customFormat="false" ht="12.8" hidden="false" customHeight="false" outlineLevel="0" collapsed="false">
      <c r="A46455" s="0" t="s">
        <v>16563</v>
      </c>
      <c r="B46455" s="0" t="str">
        <f aca="false">HYPERLINK("https://lindat.mff.cuni.cz/services/teitok/pdtc10/index.php?action=vallex&amp;frame=v-w6462f7_ZU", "stačit (v-w6462f7_ZU)")</f>
        <v>stačit (v-w6462f7_ZU)</v>
      </c>
    </row>
    <row r="46456" customFormat="false" ht="12.8" hidden="false" customHeight="false" outlineLevel="0" collapsed="false">
      <c r="B46456" s="0" t="s">
        <v>345</v>
      </c>
    </row>
    <row r="46457" customFormat="false" ht="12.8" hidden="false" customHeight="false" outlineLevel="0" collapsed="false">
      <c r="B46457" s="0" t="s">
        <v>16564</v>
      </c>
    </row>
    <row r="46459" customFormat="false" ht="12.8" hidden="false" customHeight="false" outlineLevel="0" collapsed="false">
      <c r="A46459" s="0" t="s">
        <v>16563</v>
      </c>
      <c r="B46459" s="0" t="str">
        <f aca="false">HYPERLINK("https://lindat.mff.cuni.cz/services/teitok/pdtc10/index.php?action=vallex&amp;frame=v-w6462f3", "stačit (v-w6462f3) - substituted with v-w6462f7_ZU")</f>
        <v>stačit (v-w6462f3) - substituted with v-w6462f7_ZU</v>
      </c>
    </row>
    <row r="46460" customFormat="false" ht="12.8" hidden="false" customHeight="false" outlineLevel="0" collapsed="false">
      <c r="B46460" s="0" t="s">
        <v>345</v>
      </c>
    </row>
    <row r="46461" customFormat="false" ht="12.8" hidden="false" customHeight="false" outlineLevel="0" collapsed="false">
      <c r="B46461" s="0" t="s">
        <v>16564</v>
      </c>
    </row>
    <row r="46463" customFormat="false" ht="12.8" hidden="false" customHeight="false" outlineLevel="0" collapsed="false">
      <c r="A46463" s="0" t="s">
        <v>16563</v>
      </c>
      <c r="B46463" s="0" t="str">
        <f aca="false">HYPERLINK("https://lindat.mff.cuni.cz/services/teitok/pdtc10/index.php?action=vallex&amp;frame=v-w6462hsa_1248", "stačit (v-w6462hsa_1248) - substituted with v-w6462f7_ZU")</f>
        <v>stačit (v-w6462hsa_1248) - substituted with v-w6462f7_ZU</v>
      </c>
    </row>
    <row r="46464" customFormat="false" ht="12.8" hidden="false" customHeight="false" outlineLevel="0" collapsed="false">
      <c r="B46464" s="0" t="s">
        <v>345</v>
      </c>
    </row>
    <row r="46465" customFormat="false" ht="12.8" hidden="false" customHeight="false" outlineLevel="0" collapsed="false">
      <c r="B46465" s="0" t="s">
        <v>16564</v>
      </c>
    </row>
    <row r="46467" customFormat="false" ht="12.8" hidden="false" customHeight="false" outlineLevel="0" collapsed="false">
      <c r="A46467" s="0" t="s">
        <v>16563</v>
      </c>
      <c r="B46467" s="0" t="str">
        <f aca="false">HYPERLINK("https://lindat.mff.cuni.cz/services/teitok/pdtc10/index.php?action=vallex&amp;frame=v-w6462hsa_2022", "stačit (v-w6462hsa_2022) - substituted with v-w6462f7_ZU")</f>
        <v>stačit (v-w6462hsa_2022) - substituted with v-w6462f7_ZU</v>
      </c>
    </row>
    <row r="46468" customFormat="false" ht="12.8" hidden="false" customHeight="false" outlineLevel="0" collapsed="false">
      <c r="B46468" s="0" t="s">
        <v>345</v>
      </c>
    </row>
    <row r="46469" customFormat="false" ht="12.8" hidden="false" customHeight="false" outlineLevel="0" collapsed="false">
      <c r="B46469" s="0" t="s">
        <v>16564</v>
      </c>
    </row>
    <row r="46471" customFormat="false" ht="12.8" hidden="false" customHeight="false" outlineLevel="0" collapsed="false">
      <c r="A46471" s="0" t="s">
        <v>16565</v>
      </c>
      <c r="B46471" s="0" t="str">
        <f aca="false">HYPERLINK("https://lindat.mff.cuni.cz/services/teitok/pdtc10/index.php?action=vallex&amp;frame=v-w6462f2", "stačit (v-w6462f2)")</f>
        <v>stačit (v-w6462f2)</v>
      </c>
      <c r="E46471" s="0" t="str">
        <f aca="false">HYPERLINK("https://lindat.mff.cuni.cz/services/SynSemClass40/SynSemClass40.html?veclass=vec01328#vec01328-ces-cm00002", "vec01328")</f>
        <v>vec01328</v>
      </c>
      <c r="F46471" s="0" t="s">
        <v>16566</v>
      </c>
    </row>
    <row r="46472" customFormat="false" ht="12.8" hidden="false" customHeight="false" outlineLevel="0" collapsed="false">
      <c r="B46472" s="0" t="s">
        <v>1</v>
      </c>
      <c r="C46472" s="0" t="s">
        <v>6252</v>
      </c>
      <c r="E46472" s="0" t="s">
        <v>11</v>
      </c>
      <c r="F46472" s="0" t="s">
        <v>16567</v>
      </c>
    </row>
    <row r="46473" customFormat="false" ht="12.8" hidden="false" customHeight="false" outlineLevel="0" collapsed="false">
      <c r="B46473" s="0" t="s">
        <v>402</v>
      </c>
      <c r="C46473" s="0" t="s">
        <v>6424</v>
      </c>
      <c r="E46473" s="0" t="s">
        <v>6091</v>
      </c>
      <c r="F46473" s="0" t="s">
        <v>16568</v>
      </c>
    </row>
    <row r="46475" customFormat="false" ht="12.8" hidden="false" customHeight="false" outlineLevel="0" collapsed="false">
      <c r="A46475" s="0" t="s">
        <v>16569</v>
      </c>
      <c r="B46475" s="0" t="str">
        <f aca="false">HYPERLINK("https://lindat.mff.cuni.cz/services/teitok/pdtc10/index.php?action=vallex&amp;frame=v-w6462f6", "stačit (v-w6462f6)")</f>
        <v>stačit (v-w6462f6)</v>
      </c>
    </row>
    <row r="46476" customFormat="false" ht="12.8" hidden="false" customHeight="false" outlineLevel="0" collapsed="false">
      <c r="B46476" s="0" t="s">
        <v>1</v>
      </c>
    </row>
    <row r="46477" customFormat="false" ht="12.8" hidden="false" customHeight="false" outlineLevel="0" collapsed="false">
      <c r="B46477" s="0" t="s">
        <v>721</v>
      </c>
    </row>
    <row r="46479" customFormat="false" ht="12.8" hidden="false" customHeight="false" outlineLevel="0" collapsed="false">
      <c r="A46479" s="0" t="s">
        <v>16570</v>
      </c>
      <c r="B46479" s="0" t="str">
        <f aca="false">HYPERLINK("https://lindat.mff.cuni.cz/services/teitok/pdtc10/index.php?action=vallex&amp;frame=v-w6462f8_ZU", "stačit (v-w6462f8_ZU)")</f>
        <v>stačit (v-w6462f8_ZU)</v>
      </c>
    </row>
    <row r="46480" customFormat="false" ht="12.8" hidden="false" customHeight="false" outlineLevel="0" collapsed="false">
      <c r="B46480" s="0" t="s">
        <v>16571</v>
      </c>
    </row>
    <row r="46481" customFormat="false" ht="12.8" hidden="false" customHeight="false" outlineLevel="0" collapsed="false">
      <c r="B46481" s="0" t="s">
        <v>16572</v>
      </c>
    </row>
    <row r="46483" customFormat="false" ht="12.8" hidden="false" customHeight="false" outlineLevel="0" collapsed="false">
      <c r="A46483" s="0" t="s">
        <v>16570</v>
      </c>
      <c r="B46483" s="0" t="str">
        <f aca="false">HYPERLINK("https://lindat.mff.cuni.cz/services/teitok/pdtc10/index.php?action=vallex&amp;frame=v-w6462f1", "stačit (v-w6462f1) - substituted with v-w6462f8_ZU")</f>
        <v>stačit (v-w6462f1) - substituted with v-w6462f8_ZU</v>
      </c>
    </row>
    <row r="46484" customFormat="false" ht="12.8" hidden="false" customHeight="false" outlineLevel="0" collapsed="false">
      <c r="B46484" s="0" t="s">
        <v>16571</v>
      </c>
    </row>
    <row r="46485" customFormat="false" ht="12.8" hidden="false" customHeight="false" outlineLevel="0" collapsed="false">
      <c r="B46485" s="0" t="s">
        <v>16572</v>
      </c>
    </row>
    <row r="46487" customFormat="false" ht="12.8" hidden="false" customHeight="false" outlineLevel="0" collapsed="false">
      <c r="A46487" s="0" t="s">
        <v>16570</v>
      </c>
      <c r="B46487" s="0" t="str">
        <f aca="false">HYPERLINK("https://lindat.mff.cuni.cz/services/teitok/pdtc10/index.php?action=vallex&amp;frame=v-w6462hsa_1249", "stačit (v-w6462hsa_1249) - substituted with v-w6462f8_ZU")</f>
        <v>stačit (v-w6462hsa_1249) - substituted with v-w6462f8_ZU</v>
      </c>
    </row>
    <row r="46488" customFormat="false" ht="12.8" hidden="false" customHeight="false" outlineLevel="0" collapsed="false">
      <c r="B46488" s="0" t="s">
        <v>16571</v>
      </c>
    </row>
    <row r="46489" customFormat="false" ht="12.8" hidden="false" customHeight="false" outlineLevel="0" collapsed="false">
      <c r="B46489" s="0" t="s">
        <v>16572</v>
      </c>
    </row>
    <row r="46491" customFormat="false" ht="12.8" hidden="false" customHeight="false" outlineLevel="0" collapsed="false">
      <c r="A46491" s="0" t="s">
        <v>16570</v>
      </c>
      <c r="B46491" s="0" t="str">
        <f aca="false">HYPERLINK("https://lindat.mff.cuni.cz/services/teitok/pdtc10/index.php?action=vallex&amp;frame=v-w6462hsa_2021", "stačit (v-w6462hsa_2021) - substituted with v-w6462f8_ZU")</f>
        <v>stačit (v-w6462hsa_2021) - substituted with v-w6462f8_ZU</v>
      </c>
    </row>
    <row r="46492" customFormat="false" ht="12.8" hidden="false" customHeight="false" outlineLevel="0" collapsed="false">
      <c r="B46492" s="0" t="s">
        <v>16571</v>
      </c>
    </row>
    <row r="46493" customFormat="false" ht="12.8" hidden="false" customHeight="false" outlineLevel="0" collapsed="false">
      <c r="B46493" s="0" t="s">
        <v>16572</v>
      </c>
    </row>
    <row r="46495" customFormat="false" ht="12.8" hidden="false" customHeight="false" outlineLevel="0" collapsed="false">
      <c r="A46495" s="0" t="s">
        <v>16573</v>
      </c>
      <c r="B46495" s="0" t="str">
        <f aca="false">HYPERLINK("https://lindat.mff.cuni.cz/services/teitok/pdtc10/index.php?action=vallex&amp;frame=v-w6462f5", "stačit (v-w6462f5)")</f>
        <v>stačit (v-w6462f5)</v>
      </c>
    </row>
    <row r="46496" customFormat="false" ht="12.8" hidden="false" customHeight="false" outlineLevel="0" collapsed="false">
      <c r="B46496" s="0" t="s">
        <v>1</v>
      </c>
    </row>
    <row r="46497" customFormat="false" ht="12.8" hidden="false" customHeight="false" outlineLevel="0" collapsed="false">
      <c r="B46497" s="0" t="s">
        <v>5</v>
      </c>
    </row>
    <row r="46499" customFormat="false" ht="12.8" hidden="false" customHeight="false" outlineLevel="0" collapsed="false">
      <c r="A46499" s="0" t="s">
        <v>16574</v>
      </c>
      <c r="B46499" s="0" t="str">
        <f aca="false">HYPERLINK("https://lindat.mff.cuni.cz/services/teitok/pdtc10/index.php?action=vallex&amp;frame=v-w6462f9_MM", "stačit (v-w6462f9_MM)")</f>
        <v>stačit (v-w6462f9_MM)</v>
      </c>
    </row>
    <row r="46500" customFormat="false" ht="12.8" hidden="false" customHeight="false" outlineLevel="0" collapsed="false">
      <c r="B46500" s="0" t="s">
        <v>804</v>
      </c>
    </row>
    <row r="46501" customFormat="false" ht="12.8" hidden="false" customHeight="false" outlineLevel="0" collapsed="false">
      <c r="B46501" s="0" t="s">
        <v>16575</v>
      </c>
    </row>
    <row r="46503" customFormat="false" ht="12.8" hidden="false" customHeight="false" outlineLevel="0" collapsed="false">
      <c r="A46503" s="0" t="s">
        <v>16576</v>
      </c>
      <c r="B46503" s="0" t="str">
        <f aca="false">HYPERLINK("https://lindat.mff.cuni.cz/services/teitok/pdtc10/index.php?action=vallex&amp;frame=v-whsa_1006hsa_1007", "stepovat (v-whsa_1006hsa_1007)")</f>
        <v>stepovat (v-whsa_1006hsa_1007)</v>
      </c>
    </row>
    <row r="46504" customFormat="false" ht="12.8" hidden="false" customHeight="false" outlineLevel="0" collapsed="false">
      <c r="B46504" s="0" t="s">
        <v>1</v>
      </c>
    </row>
    <row r="46506" customFormat="false" ht="12.8" hidden="false" customHeight="false" outlineLevel="0" collapsed="false">
      <c r="A46506" s="0" t="s">
        <v>16577</v>
      </c>
      <c r="B46506" s="0" t="str">
        <f aca="false">HYPERLINK("https://lindat.mff.cuni.cz/services/teitok/pdtc10/index.php?action=vallex&amp;frame=v-w6519f1", "sterilizovat (v-w6519f1)")</f>
        <v>sterilizovat (v-w6519f1)</v>
      </c>
      <c r="E46506" s="0" t="str">
        <f aca="false">HYPERLINK("https://lindat.mff.cuni.cz/services/SynSemClass40/SynSemClass40.html?veclass=vec00552#vec00552-ces-cm00019", "vec00552")</f>
        <v>vec00552</v>
      </c>
      <c r="F46506" s="0" t="s">
        <v>5992</v>
      </c>
    </row>
    <row r="46507" customFormat="false" ht="12.8" hidden="false" customHeight="false" outlineLevel="0" collapsed="false">
      <c r="B46507" s="0" t="s">
        <v>1</v>
      </c>
      <c r="C46507" s="0" t="s">
        <v>239</v>
      </c>
      <c r="E46507" s="0" t="s">
        <v>31</v>
      </c>
      <c r="F46507" s="0" t="s">
        <v>5993</v>
      </c>
    </row>
    <row r="46508" customFormat="false" ht="12.8" hidden="false" customHeight="false" outlineLevel="0" collapsed="false">
      <c r="B46508" s="0" t="s">
        <v>8</v>
      </c>
      <c r="C46508" s="0" t="s">
        <v>5994</v>
      </c>
      <c r="E46508" s="0" t="s">
        <v>34</v>
      </c>
      <c r="F46508" s="0" t="s">
        <v>5995</v>
      </c>
    </row>
    <row r="46510" customFormat="false" ht="12.8" hidden="false" customHeight="false" outlineLevel="0" collapsed="false">
      <c r="A46510" s="0" t="s">
        <v>16578</v>
      </c>
      <c r="B46510" s="0" t="str">
        <f aca="false">HYPERLINK("https://lindat.mff.cuni.cz/services/teitok/pdtc10/index.php?action=vallex&amp;frame=v-w11908_ZUf1_ZU", "sterilovat (v-w11908_ZUf1_ZU)")</f>
        <v>sterilovat (v-w11908_ZUf1_ZU)</v>
      </c>
    </row>
    <row r="46511" customFormat="false" ht="12.8" hidden="false" customHeight="false" outlineLevel="0" collapsed="false">
      <c r="B46511" s="0" t="s">
        <v>1</v>
      </c>
    </row>
    <row r="46512" customFormat="false" ht="12.8" hidden="false" customHeight="false" outlineLevel="0" collapsed="false">
      <c r="B46512" s="0" t="s">
        <v>8</v>
      </c>
    </row>
    <row r="46514" customFormat="false" ht="12.8" hidden="false" customHeight="false" outlineLevel="0" collapsed="false">
      <c r="A46514" s="0" t="s">
        <v>16579</v>
      </c>
      <c r="B46514" s="0" t="str">
        <f aca="false">HYPERLINK("https://lindat.mff.cuni.cz/services/teitok/pdtc10/index.php?action=vallex&amp;frame=v-w6524f1", "stihnout (v-w6524f1)")</f>
        <v>stihnout (v-w6524f1)</v>
      </c>
      <c r="E46514" s="0" t="str">
        <f aca="false">HYPERLINK("https://lindat.mff.cuni.cz/services/SynSemClass40/SynSemClass40.html?veclass=vec01328#vec01328-ces-cm00003", "vec01328")</f>
        <v>vec01328</v>
      </c>
      <c r="F46514" s="0" t="s">
        <v>16566</v>
      </c>
      <c r="H46514" s="0" t="str">
        <f aca="false">HYPERLINK("https://lindat.mff.cuni.cz/services/SynSemClass40/SynSemClass40.html?veclass=vec01430#vec01430-ces-cm00004", "vec01430")</f>
        <v>vec01430</v>
      </c>
      <c r="I46514" s="0" t="s">
        <v>12506</v>
      </c>
    </row>
    <row r="46515" customFormat="false" ht="12.8" hidden="false" customHeight="false" outlineLevel="0" collapsed="false">
      <c r="B46515" s="0" t="s">
        <v>1</v>
      </c>
      <c r="C46515" s="0" t="s">
        <v>16580</v>
      </c>
      <c r="E46515" s="0" t="s">
        <v>11</v>
      </c>
      <c r="F46515" s="0" t="s">
        <v>16567</v>
      </c>
      <c r="H46515" s="0" t="s">
        <v>11</v>
      </c>
      <c r="I46515" s="0" t="s">
        <v>12508</v>
      </c>
    </row>
    <row r="46516" customFormat="false" ht="12.8" hidden="false" customHeight="false" outlineLevel="0" collapsed="false">
      <c r="B46516" s="0" t="s">
        <v>402</v>
      </c>
      <c r="C46516" s="0" t="s">
        <v>16581</v>
      </c>
      <c r="E46516" s="0" t="s">
        <v>6091</v>
      </c>
      <c r="F46516" s="0" t="s">
        <v>16568</v>
      </c>
      <c r="H46516" s="0" t="s">
        <v>6091</v>
      </c>
      <c r="I46516" s="0" t="s">
        <v>12510</v>
      </c>
    </row>
    <row r="46518" customFormat="false" ht="12.8" hidden="false" customHeight="false" outlineLevel="0" collapsed="false">
      <c r="A46518" s="0" t="s">
        <v>16582</v>
      </c>
      <c r="B46518" s="0" t="str">
        <f aca="false">HYPERLINK("https://lindat.mff.cuni.cz/services/teitok/pdtc10/index.php?action=vallex&amp;frame=v-w6524f2", "stihnout (v-w6524f2)")</f>
        <v>stihnout (v-w6524f2)</v>
      </c>
    </row>
    <row r="46519" customFormat="false" ht="12.8" hidden="false" customHeight="false" outlineLevel="0" collapsed="false">
      <c r="B46519" s="0" t="s">
        <v>1</v>
      </c>
    </row>
    <row r="46520" customFormat="false" ht="12.8" hidden="false" customHeight="false" outlineLevel="0" collapsed="false">
      <c r="B46520" s="0" t="s">
        <v>8</v>
      </c>
    </row>
    <row r="46522" customFormat="false" ht="12.8" hidden="false" customHeight="false" outlineLevel="0" collapsed="false">
      <c r="A46522" s="0" t="s">
        <v>16583</v>
      </c>
      <c r="B46522" s="0" t="str">
        <f aca="false">HYPERLINK("https://lindat.mff.cuni.cz/services/teitok/pdtc10/index.php?action=vallex&amp;frame=v-w6526f2", "stimulovat (v-w6526f2)")</f>
        <v>stimulovat (v-w6526f2)</v>
      </c>
    </row>
    <row r="46523" customFormat="false" ht="12.8" hidden="false" customHeight="false" outlineLevel="0" collapsed="false">
      <c r="B46523" s="0" t="s">
        <v>1</v>
      </c>
    </row>
    <row r="46524" customFormat="false" ht="12.8" hidden="false" customHeight="false" outlineLevel="0" collapsed="false">
      <c r="B46524" s="0" t="s">
        <v>10823</v>
      </c>
    </row>
    <row r="46525" customFormat="false" ht="12.8" hidden="false" customHeight="false" outlineLevel="0" collapsed="false">
      <c r="B46525" s="0" t="s">
        <v>98</v>
      </c>
    </row>
    <row r="46527" customFormat="false" ht="12.8" hidden="false" customHeight="false" outlineLevel="0" collapsed="false">
      <c r="A46527" s="0" t="s">
        <v>16584</v>
      </c>
      <c r="B46527" s="0" t="str">
        <f aca="false">HYPERLINK("https://lindat.mff.cuni.cz/services/teitok/pdtc10/index.php?action=vallex&amp;frame=v-w6526f1", "stimulovat (v-w6526f1)")</f>
        <v>stimulovat (v-w6526f1)</v>
      </c>
      <c r="E46527" s="0" t="str">
        <f aca="false">HYPERLINK("https://lindat.mff.cuni.cz/services/SynSemClass40/SynSemClass40.html?veclass=vec00069#vec00069-ces-cm00078", "vec00069")</f>
        <v>vec00069</v>
      </c>
      <c r="F46527" s="0" t="s">
        <v>4300</v>
      </c>
    </row>
    <row r="46528" customFormat="false" ht="12.8" hidden="false" customHeight="false" outlineLevel="0" collapsed="false">
      <c r="B46528" s="0" t="s">
        <v>1</v>
      </c>
      <c r="C46528" s="0" t="s">
        <v>7530</v>
      </c>
      <c r="E46528" s="0" t="s">
        <v>3021</v>
      </c>
      <c r="F46528" s="0" t="s">
        <v>4302</v>
      </c>
    </row>
    <row r="46529" customFormat="false" ht="12.8" hidden="false" customHeight="false" outlineLevel="0" collapsed="false">
      <c r="B46529" s="0" t="s">
        <v>8</v>
      </c>
      <c r="C46529" s="0" t="s">
        <v>7531</v>
      </c>
      <c r="E46529" s="0" t="s">
        <v>3023</v>
      </c>
      <c r="F46529" s="0" t="s">
        <v>4305</v>
      </c>
    </row>
    <row r="46531" customFormat="false" ht="12.8" hidden="false" customHeight="false" outlineLevel="0" collapsed="false">
      <c r="A46531" s="0" t="s">
        <v>16585</v>
      </c>
      <c r="B46531" s="0" t="str">
        <f aca="false">HYPERLINK("https://lindat.mff.cuni.cz/services/teitok/pdtc10/index.php?action=vallex&amp;frame=v-w10187f2", "stisknout (v-w10187f2)")</f>
        <v>stisknout (v-w10187f2)</v>
      </c>
      <c r="E46531" s="0" t="str">
        <f aca="false">HYPERLINK("https://lindat.mff.cuni.cz/services/SynSemClass40/SynSemClass40.html?veclass=vec00728#vec00728-ces-cm00001", "vec00728")</f>
        <v>vec00728</v>
      </c>
      <c r="F46531" s="0" t="s">
        <v>11084</v>
      </c>
    </row>
    <row r="46532" customFormat="false" ht="12.8" hidden="false" customHeight="false" outlineLevel="0" collapsed="false">
      <c r="B46532" s="0" t="s">
        <v>1</v>
      </c>
      <c r="C46532" s="0" t="s">
        <v>333</v>
      </c>
      <c r="E46532" s="0" t="s">
        <v>4581</v>
      </c>
      <c r="F46532" s="0" t="s">
        <v>11085</v>
      </c>
    </row>
    <row r="46533" customFormat="false" ht="12.8" hidden="false" customHeight="false" outlineLevel="0" collapsed="false">
      <c r="B46533" s="0" t="s">
        <v>8</v>
      </c>
      <c r="C46533" s="0" t="s">
        <v>8799</v>
      </c>
      <c r="E46533" s="0" t="s">
        <v>34</v>
      </c>
      <c r="F46533" s="0" t="s">
        <v>15757</v>
      </c>
    </row>
    <row r="46535" customFormat="false" ht="12.8" hidden="false" customHeight="false" outlineLevel="0" collapsed="false">
      <c r="A46535" s="0" t="s">
        <v>16586</v>
      </c>
      <c r="B46535" s="0" t="str">
        <f aca="false">HYPERLINK("https://lindat.mff.cuni.cz/services/teitok/pdtc10/index.php?action=vallex&amp;frame=v-w6534f1", "stlačit (v-w6534f1)")</f>
        <v>stlačit (v-w6534f1)</v>
      </c>
      <c r="E46535" s="0" t="str">
        <f aca="false">HYPERLINK("https://lindat.mff.cuni.cz/services/SynSemClass40/SynSemClass40.html?veclass=vec00118#vec00118-ces-cm00204", "vec00118")</f>
        <v>vec00118</v>
      </c>
      <c r="F46535" s="0" t="s">
        <v>5784</v>
      </c>
    </row>
    <row r="46536" customFormat="false" ht="12.8" hidden="false" customHeight="false" outlineLevel="0" collapsed="false">
      <c r="B46536" s="0" t="s">
        <v>1</v>
      </c>
      <c r="C46536" s="0" t="s">
        <v>9951</v>
      </c>
      <c r="E46536" s="0" t="s">
        <v>31</v>
      </c>
      <c r="F46536" s="0" t="s">
        <v>5787</v>
      </c>
    </row>
    <row r="46537" customFormat="false" ht="12.8" hidden="false" customHeight="false" outlineLevel="0" collapsed="false">
      <c r="B46537" s="0" t="s">
        <v>8</v>
      </c>
      <c r="C46537" s="0" t="s">
        <v>9952</v>
      </c>
      <c r="E46537" s="0" t="s">
        <v>1569</v>
      </c>
      <c r="F46537" s="0" t="s">
        <v>5790</v>
      </c>
    </row>
    <row r="46538" customFormat="false" ht="12.8" hidden="false" customHeight="false" outlineLevel="0" collapsed="false">
      <c r="B46538" s="0" t="s">
        <v>36</v>
      </c>
      <c r="C46538" s="0" t="s">
        <v>9953</v>
      </c>
      <c r="E46538" s="0" t="s">
        <v>5152</v>
      </c>
      <c r="F46538" s="0" t="s">
        <v>5793</v>
      </c>
    </row>
    <row r="46539" customFormat="false" ht="12.8" hidden="false" customHeight="false" outlineLevel="0" collapsed="false">
      <c r="B46539" s="0" t="s">
        <v>101</v>
      </c>
      <c r="C46539" s="0" t="s">
        <v>9954</v>
      </c>
      <c r="E46539" s="0" t="s">
        <v>5796</v>
      </c>
      <c r="F46539" s="0" t="s">
        <v>5797</v>
      </c>
    </row>
    <row r="46541" customFormat="false" ht="12.8" hidden="false" customHeight="false" outlineLevel="0" collapsed="false">
      <c r="A46541" s="0" t="s">
        <v>16587</v>
      </c>
      <c r="B46541" s="0" t="str">
        <f aca="false">HYPERLINK("https://lindat.mff.cuni.cz/services/teitok/pdtc10/index.php?action=vallex&amp;frame=v-w6534f2", "stlačit (v-w6534f2)")</f>
        <v>stlačit (v-w6534f2)</v>
      </c>
    </row>
    <row r="46542" customFormat="false" ht="12.8" hidden="false" customHeight="false" outlineLevel="0" collapsed="false">
      <c r="B46542" s="0" t="s">
        <v>1</v>
      </c>
    </row>
    <row r="46543" customFormat="false" ht="12.8" hidden="false" customHeight="false" outlineLevel="0" collapsed="false">
      <c r="B46543" s="0" t="s">
        <v>8</v>
      </c>
    </row>
    <row r="46545" customFormat="false" ht="12.8" hidden="false" customHeight="false" outlineLevel="0" collapsed="false">
      <c r="A46545" s="0" t="s">
        <v>16588</v>
      </c>
      <c r="B46545" s="0" t="str">
        <f aca="false">HYPERLINK("https://lindat.mff.cuni.cz/services/teitok/pdtc10/index.php?action=vallex&amp;frame=v-w6534hsa_60", "stlačit (v-w6534hsa_60)")</f>
        <v>stlačit (v-w6534hsa_60)</v>
      </c>
    </row>
    <row r="46546" customFormat="false" ht="12.8" hidden="false" customHeight="false" outlineLevel="0" collapsed="false">
      <c r="B46546" s="0" t="s">
        <v>1</v>
      </c>
    </row>
    <row r="46547" customFormat="false" ht="12.8" hidden="false" customHeight="false" outlineLevel="0" collapsed="false">
      <c r="B46547" s="0" t="s">
        <v>186</v>
      </c>
    </row>
    <row r="46548" customFormat="false" ht="12.8" hidden="false" customHeight="false" outlineLevel="0" collapsed="false">
      <c r="B46548" s="0" t="s">
        <v>164</v>
      </c>
    </row>
    <row r="46550" customFormat="false" ht="12.8" hidden="false" customHeight="false" outlineLevel="0" collapsed="false">
      <c r="A46550" s="0" t="s">
        <v>16589</v>
      </c>
      <c r="B46550" s="0" t="str">
        <f aca="false">HYPERLINK("https://lindat.mff.cuni.cz/services/teitok/pdtc10/index.php?action=vallex&amp;frame=v-w6535f1", "stlačovat (v-w6535f1)")</f>
        <v>stlačovat (v-w6535f1)</v>
      </c>
      <c r="E46550" s="0" t="str">
        <f aca="false">HYPERLINK("https://lindat.mff.cuni.cz/services/SynSemClass40/SynSemClass40.html?veclass=vec00118#vec00118-ces-cm00206", "vec00118")</f>
        <v>vec00118</v>
      </c>
      <c r="F46550" s="0" t="s">
        <v>5784</v>
      </c>
    </row>
    <row r="46551" customFormat="false" ht="12.8" hidden="false" customHeight="false" outlineLevel="0" collapsed="false">
      <c r="B46551" s="0" t="s">
        <v>1</v>
      </c>
      <c r="C46551" s="0" t="s">
        <v>9951</v>
      </c>
      <c r="E46551" s="0" t="s">
        <v>31</v>
      </c>
      <c r="F46551" s="0" t="s">
        <v>5787</v>
      </c>
    </row>
    <row r="46552" customFormat="false" ht="12.8" hidden="false" customHeight="false" outlineLevel="0" collapsed="false">
      <c r="B46552" s="0" t="s">
        <v>8</v>
      </c>
      <c r="C46552" s="0" t="s">
        <v>9952</v>
      </c>
      <c r="E46552" s="0" t="s">
        <v>1569</v>
      </c>
      <c r="F46552" s="0" t="s">
        <v>5790</v>
      </c>
    </row>
    <row r="46553" customFormat="false" ht="12.8" hidden="false" customHeight="false" outlineLevel="0" collapsed="false">
      <c r="B46553" s="0" t="s">
        <v>36</v>
      </c>
      <c r="C46553" s="0" t="s">
        <v>9953</v>
      </c>
      <c r="E46553" s="0" t="s">
        <v>5152</v>
      </c>
      <c r="F46553" s="0" t="s">
        <v>5793</v>
      </c>
    </row>
    <row r="46554" customFormat="false" ht="12.8" hidden="false" customHeight="false" outlineLevel="0" collapsed="false">
      <c r="B46554" s="0" t="s">
        <v>101</v>
      </c>
      <c r="C46554" s="0" t="s">
        <v>9954</v>
      </c>
      <c r="E46554" s="0" t="s">
        <v>5796</v>
      </c>
      <c r="F46554" s="0" t="s">
        <v>5797</v>
      </c>
    </row>
    <row r="46556" customFormat="false" ht="12.8" hidden="false" customHeight="false" outlineLevel="0" collapsed="false">
      <c r="A46556" s="0" t="s">
        <v>16590</v>
      </c>
      <c r="B46556" s="0" t="str">
        <f aca="false">HYPERLINK("https://lindat.mff.cuni.cz/services/teitok/pdtc10/index.php?action=vallex&amp;frame=v-w6535f2", "stlačovat (v-w6535f2)")</f>
        <v>stlačovat (v-w6535f2)</v>
      </c>
    </row>
    <row r="46557" customFormat="false" ht="12.8" hidden="false" customHeight="false" outlineLevel="0" collapsed="false">
      <c r="B46557" s="0" t="s">
        <v>1</v>
      </c>
    </row>
    <row r="46558" customFormat="false" ht="12.8" hidden="false" customHeight="false" outlineLevel="0" collapsed="false">
      <c r="B46558" s="0" t="s">
        <v>8</v>
      </c>
    </row>
    <row r="46560" customFormat="false" ht="12.8" hidden="false" customHeight="false" outlineLevel="0" collapsed="false">
      <c r="A46560" s="0" t="s">
        <v>16591</v>
      </c>
      <c r="B46560" s="0" t="str">
        <f aca="false">HYPERLINK("https://lindat.mff.cuni.cz/services/teitok/pdtc10/index.php?action=vallex&amp;frame=v-whsa_131f1_ZU", "stlouci (v-whsa_131f1_ZU)")</f>
        <v>stlouci (v-whsa_131f1_ZU)</v>
      </c>
    </row>
    <row r="46561" customFormat="false" ht="12.8" hidden="false" customHeight="false" outlineLevel="0" collapsed="false">
      <c r="B46561" s="0" t="s">
        <v>1</v>
      </c>
    </row>
    <row r="46562" customFormat="false" ht="12.8" hidden="false" customHeight="false" outlineLevel="0" collapsed="false">
      <c r="B46562" s="0" t="s">
        <v>8</v>
      </c>
    </row>
    <row r="46563" customFormat="false" ht="12.8" hidden="false" customHeight="false" outlineLevel="0" collapsed="false">
      <c r="B46563" s="0" t="s">
        <v>276</v>
      </c>
    </row>
    <row r="46565" customFormat="false" ht="12.8" hidden="false" customHeight="false" outlineLevel="0" collapsed="false">
      <c r="A46565" s="0" t="s">
        <v>16591</v>
      </c>
      <c r="B46565" s="0" t="str">
        <f aca="false">HYPERLINK("https://lindat.mff.cuni.cz/services/teitok/pdtc10/index.php?action=vallex&amp;frame=v-whsa_131hsa_132", "stlouci (v-whsa_131hsa_132) - substituted with v-whsa_131f1_ZU")</f>
        <v>stlouci (v-whsa_131hsa_132) - substituted with v-whsa_131f1_ZU</v>
      </c>
    </row>
    <row r="46566" customFormat="false" ht="12.8" hidden="false" customHeight="false" outlineLevel="0" collapsed="false">
      <c r="B46566" s="0" t="s">
        <v>1</v>
      </c>
    </row>
    <row r="46567" customFormat="false" ht="12.8" hidden="false" customHeight="false" outlineLevel="0" collapsed="false">
      <c r="B46567" s="0" t="s">
        <v>8</v>
      </c>
    </row>
    <row r="46568" customFormat="false" ht="12.8" hidden="false" customHeight="false" outlineLevel="0" collapsed="false">
      <c r="B46568" s="0" t="s">
        <v>276</v>
      </c>
    </row>
    <row r="46570" customFormat="false" ht="12.8" hidden="false" customHeight="false" outlineLevel="0" collapsed="false">
      <c r="A46570" s="0" t="s">
        <v>16592</v>
      </c>
      <c r="B46570" s="0" t="str">
        <f aca="false">HYPERLINK("https://lindat.mff.cuni.cz/services/teitok/pdtc10/index.php?action=vallex&amp;frame=v-whsa_1547hsa_1548", "stlát (v-whsa_1547hsa_1548)")</f>
        <v>stlát (v-whsa_1547hsa_1548)</v>
      </c>
    </row>
    <row r="46571" customFormat="false" ht="12.8" hidden="false" customHeight="false" outlineLevel="0" collapsed="false">
      <c r="B46571" s="0" t="s">
        <v>1</v>
      </c>
    </row>
    <row r="46572" customFormat="false" ht="12.8" hidden="false" customHeight="false" outlineLevel="0" collapsed="false">
      <c r="B46572" s="0" t="s">
        <v>8</v>
      </c>
    </row>
    <row r="46574" customFormat="false" ht="12.8" hidden="false" customHeight="false" outlineLevel="0" collapsed="false">
      <c r="A46574" s="0" t="s">
        <v>16593</v>
      </c>
      <c r="B46574" s="0" t="str">
        <f aca="false">HYPERLINK("https://lindat.mff.cuni.cz/services/teitok/pdtc10/index.php?action=vallex&amp;frame=v-w6537f2", "stmelit (v-w6537f2)")</f>
        <v>stmelit (v-w6537f2)</v>
      </c>
    </row>
    <row r="46575" customFormat="false" ht="12.8" hidden="false" customHeight="false" outlineLevel="0" collapsed="false">
      <c r="B46575" s="0" t="s">
        <v>1</v>
      </c>
    </row>
    <row r="46576" customFormat="false" ht="12.8" hidden="false" customHeight="false" outlineLevel="0" collapsed="false">
      <c r="B46576" s="0" t="s">
        <v>8</v>
      </c>
    </row>
    <row r="46577" customFormat="false" ht="12.8" hidden="false" customHeight="false" outlineLevel="0" collapsed="false">
      <c r="B46577" s="0" t="s">
        <v>276</v>
      </c>
    </row>
    <row r="46578" customFormat="false" ht="12.8" hidden="false" customHeight="false" outlineLevel="0" collapsed="false">
      <c r="B46578" s="0" t="s">
        <v>3026</v>
      </c>
    </row>
    <row r="46580" customFormat="false" ht="12.8" hidden="false" customHeight="false" outlineLevel="0" collapsed="false">
      <c r="A46580" s="0" t="s">
        <v>16594</v>
      </c>
      <c r="B46580" s="0" t="str">
        <f aca="false">HYPERLINK("https://lindat.mff.cuni.cz/services/teitok/pdtc10/index.php?action=vallex&amp;frame=v-w6537f1", "stmelit (v-w6537f1)")</f>
        <v>stmelit (v-w6537f1)</v>
      </c>
      <c r="E46580" s="0" t="str">
        <f aca="false">HYPERLINK("https://lindat.mff.cuni.cz/services/SynSemClass40/SynSemClass40.html?veclass=vec00723#vec00723-ces-cm00120", "vec00723")</f>
        <v>vec00723</v>
      </c>
      <c r="F46580" s="0" t="s">
        <v>4849</v>
      </c>
    </row>
    <row r="46581" customFormat="false" ht="12.8" hidden="false" customHeight="false" outlineLevel="0" collapsed="false">
      <c r="B46581" s="0" t="s">
        <v>1</v>
      </c>
      <c r="C46581" s="0" t="s">
        <v>106</v>
      </c>
      <c r="E46581" s="0" t="s">
        <v>4850</v>
      </c>
      <c r="F46581" s="0" t="s">
        <v>4851</v>
      </c>
    </row>
    <row r="46582" customFormat="false" ht="12.8" hidden="false" customHeight="false" outlineLevel="0" collapsed="false">
      <c r="B46582" s="0" t="s">
        <v>8</v>
      </c>
      <c r="C46582" s="0" t="s">
        <v>1388</v>
      </c>
      <c r="E46582" s="0" t="s">
        <v>4852</v>
      </c>
      <c r="F46582" s="0" t="s">
        <v>4853</v>
      </c>
    </row>
    <row r="46583" customFormat="false" ht="12.8" hidden="false" customHeight="false" outlineLevel="0" collapsed="false">
      <c r="B46583" s="0" t="s">
        <v>3026</v>
      </c>
      <c r="C46583" s="0" t="s">
        <v>4857</v>
      </c>
      <c r="E46583" s="0" t="s">
        <v>4858</v>
      </c>
      <c r="F46583" s="0" t="s">
        <v>4859</v>
      </c>
    </row>
    <row r="46585" customFormat="false" ht="12.8" hidden="false" customHeight="false" outlineLevel="0" collapsed="false">
      <c r="A46585" s="0" t="s">
        <v>16595</v>
      </c>
      <c r="B46585" s="0" t="str">
        <f aca="false">HYPERLINK("https://lindat.mff.cuni.cz/services/teitok/pdtc10/index.php?action=vallex&amp;frame=v-w11815_ZUf1_ZU", "stmelit se (v-w11815_ZUf1_ZU)")</f>
        <v>stmelit se (v-w11815_ZUf1_ZU)</v>
      </c>
    </row>
    <row r="46586" customFormat="false" ht="12.8" hidden="false" customHeight="false" outlineLevel="0" collapsed="false">
      <c r="B46586" s="0" t="s">
        <v>1</v>
      </c>
    </row>
    <row r="46587" customFormat="false" ht="12.8" hidden="false" customHeight="false" outlineLevel="0" collapsed="false">
      <c r="B46587" s="0" t="s">
        <v>721</v>
      </c>
    </row>
    <row r="46588" customFormat="false" ht="12.8" hidden="false" customHeight="false" outlineLevel="0" collapsed="false">
      <c r="B46588" s="0" t="s">
        <v>3026</v>
      </c>
    </row>
    <row r="46590" customFormat="false" ht="12.8" hidden="false" customHeight="false" outlineLevel="0" collapsed="false">
      <c r="A46590" s="0" t="s">
        <v>16596</v>
      </c>
      <c r="B46590" s="0" t="str">
        <f aca="false">HYPERLINK("https://lindat.mff.cuni.cz/services/teitok/pdtc10/index.php?action=vallex&amp;frame=v-w11815_ZUf2_ZU", "stmelit se (v-w11815_ZUf2_ZU)")</f>
        <v>stmelit se (v-w11815_ZUf2_ZU)</v>
      </c>
    </row>
    <row r="46591" customFormat="false" ht="12.8" hidden="false" customHeight="false" outlineLevel="0" collapsed="false">
      <c r="B46591" s="0" t="s">
        <v>1</v>
      </c>
    </row>
    <row r="46593" customFormat="false" ht="12.8" hidden="false" customHeight="false" outlineLevel="0" collapsed="false">
      <c r="A46593" s="0" t="s">
        <v>16597</v>
      </c>
      <c r="B46593" s="0" t="str">
        <f aca="false">HYPERLINK("https://lindat.mff.cuni.cz/services/teitok/pdtc10/index.php?action=vallex&amp;frame=v-w6538f1", "stmívat se (v-w6538f1)")</f>
        <v>stmívat se (v-w6538f1)</v>
      </c>
    </row>
    <row r="46595" customFormat="false" ht="12.8" hidden="false" customHeight="false" outlineLevel="0" collapsed="false">
      <c r="A46595" s="0" t="s">
        <v>16598</v>
      </c>
      <c r="B46595" s="0" t="str">
        <f aca="false">HYPERLINK("https://lindat.mff.cuni.cz/services/teitok/pdtc10/index.php?action=vallex&amp;frame=v-whsa_1615hsa_1616", "stonat (v-whsa_1615hsa_1616)")</f>
        <v>stonat (v-whsa_1615hsa_1616)</v>
      </c>
    </row>
    <row r="46596" customFormat="false" ht="12.8" hidden="false" customHeight="false" outlineLevel="0" collapsed="false">
      <c r="B46596" s="0" t="s">
        <v>1</v>
      </c>
    </row>
    <row r="46597" customFormat="false" ht="12.8" hidden="false" customHeight="false" outlineLevel="0" collapsed="false">
      <c r="B46597" s="0" t="s">
        <v>3321</v>
      </c>
    </row>
    <row r="46599" customFormat="false" ht="12.8" hidden="false" customHeight="false" outlineLevel="0" collapsed="false">
      <c r="A46599" s="0" t="s">
        <v>16599</v>
      </c>
      <c r="B46599" s="0" t="str">
        <f aca="false">HYPERLINK("https://lindat.mff.cuni.cz/services/teitok/pdtc10/index.php?action=vallex&amp;frame=v-w12389_MMf2_MM", "stopnout (v-w12389_MMf2_MM)")</f>
        <v>stopnout (v-w12389_MMf2_MM)</v>
      </c>
    </row>
    <row r="46600" customFormat="false" ht="12.8" hidden="false" customHeight="false" outlineLevel="0" collapsed="false">
      <c r="B46600" s="0" t="s">
        <v>1</v>
      </c>
    </row>
    <row r="46601" customFormat="false" ht="12.8" hidden="false" customHeight="false" outlineLevel="0" collapsed="false">
      <c r="B46601" s="0" t="s">
        <v>8</v>
      </c>
    </row>
    <row r="46603" customFormat="false" ht="12.8" hidden="false" customHeight="false" outlineLevel="0" collapsed="false">
      <c r="A46603" s="0" t="s">
        <v>16599</v>
      </c>
      <c r="B46603" s="0" t="str">
        <f aca="false">HYPERLINK("https://lindat.mff.cuni.cz/services/teitok/pdtc10/index.php?action=vallex&amp;frame=v-w12389_MMf1_MM", "stopnout (v-w12389_MMf1_MM) - substituted with v-w12389_MMf2_MM")</f>
        <v>stopnout (v-w12389_MMf1_MM) - substituted with v-w12389_MMf2_MM</v>
      </c>
    </row>
    <row r="46604" customFormat="false" ht="12.8" hidden="false" customHeight="false" outlineLevel="0" collapsed="false">
      <c r="B46604" s="0" t="s">
        <v>1</v>
      </c>
    </row>
    <row r="46605" customFormat="false" ht="12.8" hidden="false" customHeight="false" outlineLevel="0" collapsed="false">
      <c r="B46605" s="0" t="s">
        <v>8</v>
      </c>
    </row>
    <row r="46607" customFormat="false" ht="12.8" hidden="false" customHeight="false" outlineLevel="0" collapsed="false">
      <c r="A46607" s="0" t="s">
        <v>16600</v>
      </c>
      <c r="B46607" s="0" t="str">
        <f aca="false">HYPERLINK("https://lindat.mff.cuni.cz/services/teitok/pdtc10/index.php?action=vallex&amp;frame=v-w6544f1", "stopovat (v-w6544f1)")</f>
        <v>stopovat (v-w6544f1)</v>
      </c>
    </row>
    <row r="46608" customFormat="false" ht="12.8" hidden="false" customHeight="false" outlineLevel="0" collapsed="false">
      <c r="B46608" s="0" t="s">
        <v>1</v>
      </c>
    </row>
    <row r="46609" customFormat="false" ht="12.8" hidden="false" customHeight="false" outlineLevel="0" collapsed="false">
      <c r="B46609" s="0" t="s">
        <v>8</v>
      </c>
    </row>
    <row r="46611" customFormat="false" ht="12.8" hidden="false" customHeight="false" outlineLevel="0" collapsed="false">
      <c r="A46611" s="0" t="s">
        <v>16601</v>
      </c>
      <c r="B46611" s="0" t="str">
        <f aca="false">HYPERLINK("https://lindat.mff.cuni.cz/services/teitok/pdtc10/index.php?action=vallex&amp;frame=v-w6545f1", "stornovat (v-w6545f1)")</f>
        <v>stornovat (v-w6545f1)</v>
      </c>
      <c r="E46611" s="0" t="str">
        <f aca="false">HYPERLINK("https://lindat.mff.cuni.cz/services/SynSemClass40/SynSemClass40.html?veclass=vec00198#vec00198-ces-cm00084", "vec00198")</f>
        <v>vec00198</v>
      </c>
      <c r="F46611" s="0" t="s">
        <v>134</v>
      </c>
    </row>
    <row r="46612" customFormat="false" ht="12.8" hidden="false" customHeight="false" outlineLevel="0" collapsed="false">
      <c r="B46612" s="0" t="s">
        <v>1</v>
      </c>
      <c r="C46612" s="0" t="s">
        <v>8126</v>
      </c>
      <c r="E46612" s="0" t="s">
        <v>31</v>
      </c>
      <c r="F46612" s="0" t="s">
        <v>137</v>
      </c>
    </row>
    <row r="46613" customFormat="false" ht="12.8" hidden="false" customHeight="false" outlineLevel="0" collapsed="false">
      <c r="B46613" s="0" t="s">
        <v>8</v>
      </c>
      <c r="C46613" s="0" t="s">
        <v>8127</v>
      </c>
      <c r="E46613" s="0" t="s">
        <v>140</v>
      </c>
      <c r="F46613" s="0" t="s">
        <v>141</v>
      </c>
    </row>
    <row r="46615" customFormat="false" ht="12.8" hidden="false" customHeight="false" outlineLevel="0" collapsed="false">
      <c r="A46615" s="0" t="s">
        <v>16602</v>
      </c>
      <c r="B46615" s="0" t="str">
        <f aca="false">HYPERLINK("https://lindat.mff.cuni.cz/services/teitok/pdtc10/index.php?action=vallex&amp;frame=v-w6548f3_ZU", "stoupat (v-w6548f3_ZU)")</f>
        <v>stoupat (v-w6548f3_ZU)</v>
      </c>
      <c r="E46615" s="0" t="str">
        <f aca="false">HYPERLINK("https://lindat.mff.cuni.cz/services/SynSemClass40/SynSemClass40.html?veclass=vec00109#vec00109-ces-cm00037", "vec00109")</f>
        <v>vec00109</v>
      </c>
      <c r="F46615" s="0" t="s">
        <v>5143</v>
      </c>
    </row>
    <row r="46616" customFormat="false" ht="12.8" hidden="false" customHeight="false" outlineLevel="0" collapsed="false">
      <c r="B46616" s="0" t="s">
        <v>1</v>
      </c>
      <c r="C46616" s="0" t="s">
        <v>7017</v>
      </c>
      <c r="E46616" s="0" t="s">
        <v>235</v>
      </c>
      <c r="F46616" s="0" t="s">
        <v>5146</v>
      </c>
    </row>
    <row r="46617" customFormat="false" ht="12.8" hidden="false" customHeight="false" outlineLevel="0" collapsed="false">
      <c r="B46617" s="0" t="s">
        <v>2683</v>
      </c>
      <c r="C46617" s="0" t="s">
        <v>5148</v>
      </c>
      <c r="E46617" s="0" t="s">
        <v>5149</v>
      </c>
      <c r="F46617" s="0" t="s">
        <v>5150</v>
      </c>
    </row>
    <row r="46618" customFormat="false" ht="12.8" hidden="false" customHeight="false" outlineLevel="0" collapsed="false">
      <c r="B46618" s="0" t="s">
        <v>36</v>
      </c>
      <c r="C46618" s="0" t="s">
        <v>5151</v>
      </c>
      <c r="E46618" s="0" t="s">
        <v>5152</v>
      </c>
      <c r="F46618" s="0" t="s">
        <v>5153</v>
      </c>
    </row>
    <row r="46620" customFormat="false" ht="12.8" hidden="false" customHeight="false" outlineLevel="0" collapsed="false">
      <c r="A46620" s="0" t="s">
        <v>16602</v>
      </c>
      <c r="B46620" s="0" t="str">
        <f aca="false">HYPERLINK("https://lindat.mff.cuni.cz/services/teitok/pdtc10/index.php?action=vallex&amp;frame=v-w6548f1", "stoupat (v-w6548f1) - substituted with v-w6548f3_ZU")</f>
        <v>stoupat (v-w6548f1) - substituted with v-w6548f3_ZU</v>
      </c>
    </row>
    <row r="46621" customFormat="false" ht="12.8" hidden="false" customHeight="false" outlineLevel="0" collapsed="false">
      <c r="B46621" s="0" t="s">
        <v>1</v>
      </c>
    </row>
    <row r="46622" customFormat="false" ht="12.8" hidden="false" customHeight="false" outlineLevel="0" collapsed="false">
      <c r="B46622" s="0" t="s">
        <v>2683</v>
      </c>
    </row>
    <row r="46623" customFormat="false" ht="12.8" hidden="false" customHeight="false" outlineLevel="0" collapsed="false">
      <c r="B46623" s="0" t="s">
        <v>36</v>
      </c>
    </row>
    <row r="46625" customFormat="false" ht="12.8" hidden="false" customHeight="false" outlineLevel="0" collapsed="false">
      <c r="A46625" s="0" t="s">
        <v>16603</v>
      </c>
      <c r="B46625" s="0" t="str">
        <f aca="false">HYPERLINK("https://lindat.mff.cuni.cz/services/teitok/pdtc10/index.php?action=vallex&amp;frame=v-w6548f2_ZU", "stoupat (v-w6548f2_ZU)")</f>
        <v>stoupat (v-w6548f2_ZU)</v>
      </c>
    </row>
    <row r="46626" customFormat="false" ht="12.8" hidden="false" customHeight="false" outlineLevel="0" collapsed="false">
      <c r="B46626" s="0" t="s">
        <v>1</v>
      </c>
    </row>
    <row r="46628" customFormat="false" ht="12.8" hidden="false" customHeight="false" outlineLevel="0" collapsed="false">
      <c r="A46628" s="0" t="s">
        <v>16604</v>
      </c>
      <c r="B46628" s="0" t="str">
        <f aca="false">HYPERLINK("https://lindat.mff.cuni.cz/services/teitok/pdtc10/index.php?action=vallex&amp;frame=v-w6548f4_ZU", "stoupat (v-w6548f4_ZU)")</f>
        <v>stoupat (v-w6548f4_ZU)</v>
      </c>
    </row>
    <row r="46629" customFormat="false" ht="12.8" hidden="false" customHeight="false" outlineLevel="0" collapsed="false">
      <c r="B46629" s="0" t="s">
        <v>1</v>
      </c>
    </row>
    <row r="46630" customFormat="false" ht="12.8" hidden="false" customHeight="false" outlineLevel="0" collapsed="false">
      <c r="B46630" s="0" t="s">
        <v>454</v>
      </c>
    </row>
    <row r="46632" customFormat="false" ht="12.8" hidden="false" customHeight="false" outlineLevel="0" collapsed="false">
      <c r="A46632" s="0" t="s">
        <v>16605</v>
      </c>
      <c r="B46632" s="0" t="str">
        <f aca="false">HYPERLINK("https://lindat.mff.cuni.cz/services/teitok/pdtc10/index.php?action=vallex&amp;frame=v-w6548f5_MM", "stoupat (v-w6548f5_MM)")</f>
        <v>stoupat (v-w6548f5_MM)</v>
      </c>
    </row>
    <row r="46633" customFormat="false" ht="12.8" hidden="false" customHeight="false" outlineLevel="0" collapsed="false">
      <c r="B46633" s="0" t="s">
        <v>1</v>
      </c>
    </row>
    <row r="46634" customFormat="false" ht="12.8" hidden="false" customHeight="false" outlineLevel="0" collapsed="false">
      <c r="B46634" s="0" t="s">
        <v>164</v>
      </c>
    </row>
    <row r="46636" customFormat="false" ht="12.8" hidden="false" customHeight="false" outlineLevel="0" collapsed="false">
      <c r="A46636" s="0" t="s">
        <v>16606</v>
      </c>
      <c r="B46636" s="0" t="str">
        <f aca="false">HYPERLINK("https://lindat.mff.cuni.cz/services/teitok/pdtc10/index.php?action=vallex&amp;frame=v-w6551f1", "stoupnout (v-w6551f1)")</f>
        <v>stoupnout (v-w6551f1)</v>
      </c>
      <c r="E46636" s="0" t="str">
        <f aca="false">HYPERLINK("https://lindat.mff.cuni.cz/services/SynSemClass40/SynSemClass40.html?veclass=vec00109#vec00109-ces-cm00038", "vec00109")</f>
        <v>vec00109</v>
      </c>
      <c r="F46636" s="0" t="s">
        <v>5143</v>
      </c>
    </row>
    <row r="46637" customFormat="false" ht="12.8" hidden="false" customHeight="false" outlineLevel="0" collapsed="false">
      <c r="B46637" s="0" t="s">
        <v>1</v>
      </c>
      <c r="C46637" s="0" t="s">
        <v>7017</v>
      </c>
      <c r="E46637" s="0" t="s">
        <v>235</v>
      </c>
      <c r="F46637" s="0" t="s">
        <v>5146</v>
      </c>
    </row>
    <row r="46638" customFormat="false" ht="12.8" hidden="false" customHeight="false" outlineLevel="0" collapsed="false">
      <c r="B46638" s="0" t="s">
        <v>69</v>
      </c>
      <c r="C46638" s="0" t="s">
        <v>5148</v>
      </c>
      <c r="E46638" s="0" t="s">
        <v>5149</v>
      </c>
      <c r="F46638" s="0" t="s">
        <v>5150</v>
      </c>
    </row>
    <row r="46639" customFormat="false" ht="12.8" hidden="false" customHeight="false" outlineLevel="0" collapsed="false">
      <c r="B46639" s="0" t="s">
        <v>36</v>
      </c>
      <c r="C46639" s="0" t="s">
        <v>5151</v>
      </c>
      <c r="E46639" s="0" t="s">
        <v>5152</v>
      </c>
      <c r="F46639" s="0" t="s">
        <v>5153</v>
      </c>
    </row>
    <row r="46641" customFormat="false" ht="12.8" hidden="false" customHeight="false" outlineLevel="0" collapsed="false">
      <c r="A46641" s="0" t="s">
        <v>16607</v>
      </c>
      <c r="B46641" s="0" t="str">
        <f aca="false">HYPERLINK("https://lindat.mff.cuni.cz/services/teitok/pdtc10/index.php?action=vallex&amp;frame=v-w6551f2_ZU", "stoupnout (v-w6551f2_ZU)")</f>
        <v>stoupnout (v-w6551f2_ZU)</v>
      </c>
    </row>
    <row r="46642" customFormat="false" ht="12.8" hidden="false" customHeight="false" outlineLevel="0" collapsed="false">
      <c r="B46642" s="0" t="s">
        <v>1</v>
      </c>
    </row>
    <row r="46643" customFormat="false" ht="12.8" hidden="false" customHeight="false" outlineLevel="0" collapsed="false">
      <c r="B46643" s="0" t="s">
        <v>16608</v>
      </c>
    </row>
    <row r="46644" customFormat="false" ht="12.8" hidden="false" customHeight="false" outlineLevel="0" collapsed="false">
      <c r="B46644" s="0" t="s">
        <v>186</v>
      </c>
    </row>
    <row r="46646" customFormat="false" ht="12.8" hidden="false" customHeight="false" outlineLevel="0" collapsed="false">
      <c r="A46646" s="0" t="s">
        <v>16607</v>
      </c>
      <c r="B46646" s="0" t="str">
        <f aca="false">HYPERLINK("https://lindat.mff.cuni.cz/services/teitok/pdtc10/index.php?action=vallex&amp;frame=v-w6551hsa_762", "stoupnout (v-w6551hsa_762) - substituted with v-w6551f2_ZU")</f>
        <v>stoupnout (v-w6551hsa_762) - substituted with v-w6551f2_ZU</v>
      </c>
    </row>
    <row r="46647" customFormat="false" ht="12.8" hidden="false" customHeight="false" outlineLevel="0" collapsed="false">
      <c r="B46647" s="0" t="s">
        <v>1</v>
      </c>
    </row>
    <row r="46648" customFormat="false" ht="12.8" hidden="false" customHeight="false" outlineLevel="0" collapsed="false">
      <c r="B46648" s="0" t="s">
        <v>16608</v>
      </c>
    </row>
    <row r="46649" customFormat="false" ht="12.8" hidden="false" customHeight="false" outlineLevel="0" collapsed="false">
      <c r="B46649" s="0" t="s">
        <v>186</v>
      </c>
    </row>
    <row r="46651" customFormat="false" ht="12.8" hidden="false" customHeight="false" outlineLevel="0" collapsed="false">
      <c r="A46651" s="0" t="s">
        <v>16609</v>
      </c>
      <c r="B46651" s="0" t="str">
        <f aca="false">HYPERLINK("https://lindat.mff.cuni.cz/services/teitok/pdtc10/index.php?action=vallex&amp;frame=v-w6551f3_MM", "stoupnout (v-w6551f3_MM)")</f>
        <v>stoupnout (v-w6551f3_MM)</v>
      </c>
    </row>
    <row r="46652" customFormat="false" ht="12.8" hidden="false" customHeight="false" outlineLevel="0" collapsed="false">
      <c r="B46652" s="0" t="s">
        <v>1</v>
      </c>
    </row>
    <row r="46653" customFormat="false" ht="12.8" hidden="false" customHeight="false" outlineLevel="0" collapsed="false">
      <c r="B46653" s="0" t="s">
        <v>454</v>
      </c>
    </row>
    <row r="46655" customFormat="false" ht="12.8" hidden="false" customHeight="false" outlineLevel="0" collapsed="false">
      <c r="A46655" s="0" t="s">
        <v>16610</v>
      </c>
      <c r="B46655" s="0" t="str">
        <f aca="false">HYPERLINK("https://lindat.mff.cuni.cz/services/teitok/pdtc10/index.php?action=vallex&amp;frame=v-w6551hsa_763", "stoupnout (v-w6551hsa_763)")</f>
        <v>stoupnout (v-w6551hsa_763)</v>
      </c>
    </row>
    <row r="46656" customFormat="false" ht="12.8" hidden="false" customHeight="false" outlineLevel="0" collapsed="false">
      <c r="B46656" s="0" t="s">
        <v>1</v>
      </c>
    </row>
    <row r="46657" customFormat="false" ht="12.8" hidden="false" customHeight="false" outlineLevel="0" collapsed="false">
      <c r="B46657" s="0" t="s">
        <v>186</v>
      </c>
    </row>
    <row r="46658" customFormat="false" ht="12.8" hidden="false" customHeight="false" outlineLevel="0" collapsed="false">
      <c r="B46658" s="0" t="s">
        <v>164</v>
      </c>
    </row>
    <row r="46660" customFormat="false" ht="12.8" hidden="false" customHeight="false" outlineLevel="0" collapsed="false">
      <c r="A46660" s="0" t="s">
        <v>16611</v>
      </c>
      <c r="B46660" s="0" t="str">
        <f aca="false">HYPERLINK("https://lindat.mff.cuni.cz/services/teitok/pdtc10/index.php?action=vallex&amp;frame=v-w11597_ZUf1_ZU", "stoupnout si (v-w11597_ZUf1_ZU)")</f>
        <v>stoupnout si (v-w11597_ZUf1_ZU)</v>
      </c>
    </row>
    <row r="46661" customFormat="false" ht="12.8" hidden="false" customHeight="false" outlineLevel="0" collapsed="false">
      <c r="B46661" s="0" t="s">
        <v>1</v>
      </c>
    </row>
    <row r="46663" customFormat="false" ht="12.8" hidden="false" customHeight="false" outlineLevel="0" collapsed="false">
      <c r="A46663" s="0" t="s">
        <v>16612</v>
      </c>
      <c r="B46663" s="0" t="str">
        <f aca="false">HYPERLINK("https://lindat.mff.cuni.cz/services/teitok/pdtc10/index.php?action=vallex&amp;frame=v-w11597_ZUhsa_768", "stoupnout si (v-w11597_ZUhsa_768)")</f>
        <v>stoupnout si (v-w11597_ZUhsa_768)</v>
      </c>
    </row>
    <row r="46664" customFormat="false" ht="12.8" hidden="false" customHeight="false" outlineLevel="0" collapsed="false">
      <c r="B46664" s="0" t="s">
        <v>1</v>
      </c>
    </row>
    <row r="46665" customFormat="false" ht="12.8" hidden="false" customHeight="false" outlineLevel="0" collapsed="false">
      <c r="B46665" s="0" t="s">
        <v>164</v>
      </c>
    </row>
    <row r="46667" customFormat="false" ht="12.8" hidden="false" customHeight="false" outlineLevel="0" collapsed="false">
      <c r="A46667" s="0" t="s">
        <v>16613</v>
      </c>
      <c r="B46667" s="0" t="str">
        <f aca="false">HYPERLINK("https://lindat.mff.cuni.cz/services/teitok/pdtc10/index.php?action=vallex&amp;frame=v-w6539f1", "stočit (v-w6539f1)")</f>
        <v>stočit (v-w6539f1)</v>
      </c>
    </row>
    <row r="46668" customFormat="false" ht="12.8" hidden="false" customHeight="false" outlineLevel="0" collapsed="false">
      <c r="B46668" s="0" t="s">
        <v>1</v>
      </c>
    </row>
    <row r="46669" customFormat="false" ht="12.8" hidden="false" customHeight="false" outlineLevel="0" collapsed="false">
      <c r="B46669" s="0" t="s">
        <v>8</v>
      </c>
    </row>
    <row r="46671" customFormat="false" ht="12.8" hidden="false" customHeight="false" outlineLevel="0" collapsed="false">
      <c r="A46671" s="0" t="s">
        <v>16614</v>
      </c>
      <c r="B46671" s="0" t="str">
        <f aca="false">HYPERLINK("https://lindat.mff.cuni.cz/services/teitok/pdtc10/index.php?action=vallex&amp;frame=v-w6539f2_ZU", "stočit (v-w6539f2_ZU)")</f>
        <v>stočit (v-w6539f2_ZU)</v>
      </c>
    </row>
    <row r="46672" customFormat="false" ht="12.8" hidden="false" customHeight="false" outlineLevel="0" collapsed="false">
      <c r="B46672" s="0" t="s">
        <v>1</v>
      </c>
    </row>
    <row r="46673" customFormat="false" ht="12.8" hidden="false" customHeight="false" outlineLevel="0" collapsed="false">
      <c r="B46673" s="0" t="s">
        <v>8</v>
      </c>
    </row>
    <row r="46674" customFormat="false" ht="12.8" hidden="false" customHeight="false" outlineLevel="0" collapsed="false">
      <c r="B46674" s="0" t="s">
        <v>245</v>
      </c>
    </row>
    <row r="46676" customFormat="false" ht="12.8" hidden="false" customHeight="false" outlineLevel="0" collapsed="false">
      <c r="A46676" s="0" t="s">
        <v>16614</v>
      </c>
      <c r="B46676" s="0" t="str">
        <f aca="false">HYPERLINK("https://lindat.mff.cuni.cz/services/teitok/pdtc10/index.php?action=vallex&amp;frame=v-w6539hsa_1893", "stočit (v-w6539hsa_1893) - substituted with v-w6539f2_ZU")</f>
        <v>stočit (v-w6539hsa_1893) - substituted with v-w6539f2_ZU</v>
      </c>
    </row>
    <row r="46677" customFormat="false" ht="12.8" hidden="false" customHeight="false" outlineLevel="0" collapsed="false">
      <c r="B46677" s="0" t="s">
        <v>1</v>
      </c>
    </row>
    <row r="46678" customFormat="false" ht="12.8" hidden="false" customHeight="false" outlineLevel="0" collapsed="false">
      <c r="B46678" s="0" t="s">
        <v>8</v>
      </c>
    </row>
    <row r="46679" customFormat="false" ht="12.8" hidden="false" customHeight="false" outlineLevel="0" collapsed="false">
      <c r="B46679" s="0" t="s">
        <v>245</v>
      </c>
    </row>
    <row r="46681" customFormat="false" ht="12.8" hidden="false" customHeight="false" outlineLevel="0" collapsed="false">
      <c r="A46681" s="0" t="s">
        <v>16615</v>
      </c>
      <c r="B46681" s="0" t="str">
        <f aca="false">HYPERLINK("https://lindat.mff.cuni.cz/services/teitok/pdtc10/index.php?action=vallex&amp;frame=v-w11304f2", "stočit se (v-w11304f2)")</f>
        <v>stočit se (v-w11304f2)</v>
      </c>
      <c r="E46681" s="0" t="str">
        <f aca="false">HYPERLINK("https://lindat.mff.cuni.cz/services/SynSemClass40/SynSemClass40.html?veclass=vec00931#vec00931-ces-cm00001", "vec00931")</f>
        <v>vec00931</v>
      </c>
      <c r="F46681" s="0" t="s">
        <v>8713</v>
      </c>
    </row>
    <row r="46682" customFormat="false" ht="12.8" hidden="false" customHeight="false" outlineLevel="0" collapsed="false">
      <c r="B46682" s="0" t="s">
        <v>1</v>
      </c>
      <c r="C46682" s="0" t="s">
        <v>8714</v>
      </c>
      <c r="E46682" s="0" t="s">
        <v>334</v>
      </c>
      <c r="F46682" s="0" t="s">
        <v>8715</v>
      </c>
    </row>
    <row r="46684" customFormat="false" ht="12.8" hidden="false" customHeight="false" outlineLevel="0" collapsed="false">
      <c r="A46684" s="0" t="s">
        <v>16616</v>
      </c>
      <c r="B46684" s="0" t="str">
        <f aca="false">HYPERLINK("https://lindat.mff.cuni.cz/services/teitok/pdtc10/index.php?action=vallex&amp;frame=v-w6555f2", "strachovat se (v-w6555f2)")</f>
        <v>strachovat se (v-w6555f2)</v>
      </c>
      <c r="E46684" s="0" t="str">
        <f aca="false">HYPERLINK("https://lindat.mff.cuni.cz/services/SynSemClass40/SynSemClass40.html?veclass=vec00243#vec00243-ces-cm00005", "vec00243")</f>
        <v>vec00243</v>
      </c>
      <c r="F46684" s="0" t="s">
        <v>816</v>
      </c>
    </row>
    <row r="46685" customFormat="false" ht="12.8" hidden="false" customHeight="false" outlineLevel="0" collapsed="false">
      <c r="B46685" s="0" t="s">
        <v>1</v>
      </c>
      <c r="C46685" s="0" t="s">
        <v>817</v>
      </c>
      <c r="E46685" s="0" t="s">
        <v>155</v>
      </c>
      <c r="F46685" s="0" t="s">
        <v>818</v>
      </c>
    </row>
    <row r="46686" customFormat="false" ht="12.8" hidden="false" customHeight="false" outlineLevel="0" collapsed="false">
      <c r="B46686" s="0" t="s">
        <v>16617</v>
      </c>
      <c r="C46686" s="0" t="s">
        <v>820</v>
      </c>
      <c r="E46686" s="0" t="s">
        <v>821</v>
      </c>
      <c r="F46686" s="0" t="s">
        <v>822</v>
      </c>
    </row>
    <row r="46688" customFormat="false" ht="12.8" hidden="false" customHeight="false" outlineLevel="0" collapsed="false">
      <c r="A46688" s="0" t="s">
        <v>16616</v>
      </c>
      <c r="B46688" s="0" t="str">
        <f aca="false">HYPERLINK("https://lindat.mff.cuni.cz/services/teitok/pdtc10/index.php?action=vallex&amp;frame=v-w6555f1", "strachovat se (v-w6555f1) - substituted with v-w6555f2")</f>
        <v>strachovat se (v-w6555f1) - substituted with v-w6555f2</v>
      </c>
    </row>
    <row r="46689" customFormat="false" ht="12.8" hidden="false" customHeight="false" outlineLevel="0" collapsed="false">
      <c r="B46689" s="0" t="s">
        <v>1</v>
      </c>
    </row>
    <row r="46690" customFormat="false" ht="12.8" hidden="false" customHeight="false" outlineLevel="0" collapsed="false">
      <c r="B46690" s="0" t="s">
        <v>16617</v>
      </c>
    </row>
    <row r="46692" customFormat="false" ht="12.8" hidden="false" customHeight="false" outlineLevel="0" collapsed="false">
      <c r="A46692" s="0" t="s">
        <v>16618</v>
      </c>
      <c r="B46692" s="0" t="str">
        <f aca="false">HYPERLINK("https://lindat.mff.cuni.cz/services/teitok/pdtc10/index.php?action=vallex&amp;frame=v-w6556f1", "stranit (v-w6556f1)")</f>
        <v>stranit (v-w6556f1)</v>
      </c>
      <c r="E46692" s="0" t="str">
        <f aca="false">HYPERLINK("https://lindat.mff.cuni.cz/services/SynSemClass40/SynSemClass40.html?veclass=vec00069#vec00069-ces-cm00079", "vec00069")</f>
        <v>vec00069</v>
      </c>
      <c r="F46692" s="0" t="s">
        <v>4300</v>
      </c>
    </row>
    <row r="46693" customFormat="false" ht="12.8" hidden="false" customHeight="false" outlineLevel="0" collapsed="false">
      <c r="B46693" s="0" t="s">
        <v>1</v>
      </c>
      <c r="C46693" s="0" t="s">
        <v>7530</v>
      </c>
      <c r="E46693" s="0" t="s">
        <v>3021</v>
      </c>
      <c r="F46693" s="0" t="s">
        <v>4302</v>
      </c>
    </row>
    <row r="46694" customFormat="false" ht="12.8" hidden="false" customHeight="false" outlineLevel="0" collapsed="false">
      <c r="B46694" s="0" t="s">
        <v>186</v>
      </c>
      <c r="C46694" s="0" t="s">
        <v>7531</v>
      </c>
      <c r="E46694" s="0" t="s">
        <v>3023</v>
      </c>
      <c r="F46694" s="0" t="s">
        <v>4305</v>
      </c>
    </row>
    <row r="46696" customFormat="false" ht="12.8" hidden="false" customHeight="false" outlineLevel="0" collapsed="false">
      <c r="A46696" s="0" t="s">
        <v>16619</v>
      </c>
      <c r="B46696" s="0" t="str">
        <f aca="false">HYPERLINK("https://lindat.mff.cuni.cz/services/teitok/pdtc10/index.php?action=vallex&amp;frame=v-w11307f1", "stranit se (v-w11307f1)")</f>
        <v>stranit se (v-w11307f1)</v>
      </c>
    </row>
    <row r="46697" customFormat="false" ht="12.8" hidden="false" customHeight="false" outlineLevel="0" collapsed="false">
      <c r="B46697" s="0" t="s">
        <v>1</v>
      </c>
    </row>
    <row r="46698" customFormat="false" ht="12.8" hidden="false" customHeight="false" outlineLevel="0" collapsed="false">
      <c r="B46698" s="0" t="s">
        <v>1289</v>
      </c>
    </row>
    <row r="46700" customFormat="false" ht="12.8" hidden="false" customHeight="false" outlineLevel="0" collapsed="false">
      <c r="A46700" s="0" t="s">
        <v>16620</v>
      </c>
      <c r="B46700" s="0" t="str">
        <f aca="false">HYPERLINK("https://lindat.mff.cuni.cz/services/teitok/pdtc10/index.php?action=vallex&amp;frame=v-w6562f1", "stravovat se (v-w6562f1)")</f>
        <v>stravovat se (v-w6562f1)</v>
      </c>
    </row>
    <row r="46701" customFormat="false" ht="12.8" hidden="false" customHeight="false" outlineLevel="0" collapsed="false">
      <c r="B46701" s="0" t="s">
        <v>1</v>
      </c>
    </row>
    <row r="46702" customFormat="false" ht="12.8" hidden="false" customHeight="false" outlineLevel="0" collapsed="false">
      <c r="B46702" s="0" t="s">
        <v>763</v>
      </c>
    </row>
    <row r="46704" customFormat="false" ht="12.8" hidden="false" customHeight="false" outlineLevel="0" collapsed="false">
      <c r="A46704" s="0" t="s">
        <v>16621</v>
      </c>
      <c r="B46704" s="0" t="str">
        <f aca="false">HYPERLINK("https://lindat.mff.cuni.cz/services/teitok/pdtc10/index.php?action=vallex&amp;frame=v-w6558f4_ZU", "strašit (v-w6558f4_ZU)")</f>
        <v>strašit (v-w6558f4_ZU)</v>
      </c>
    </row>
    <row r="46705" customFormat="false" ht="12.8" hidden="false" customHeight="false" outlineLevel="0" collapsed="false">
      <c r="B46705" s="0" t="s">
        <v>1</v>
      </c>
    </row>
    <row r="46706" customFormat="false" ht="12.8" hidden="false" customHeight="false" outlineLevel="0" collapsed="false">
      <c r="B46706" s="0" t="s">
        <v>59</v>
      </c>
    </row>
    <row r="46708" customFormat="false" ht="12.8" hidden="false" customHeight="false" outlineLevel="0" collapsed="false">
      <c r="A46708" s="0" t="s">
        <v>16621</v>
      </c>
      <c r="B46708" s="0" t="str">
        <f aca="false">HYPERLINK("https://lindat.mff.cuni.cz/services/teitok/pdtc10/index.php?action=vallex&amp;frame=v-w6558f1", "strašit (v-w6558f1) - substituted with v-w6558f4_ZU")</f>
        <v>strašit (v-w6558f1) - substituted with v-w6558f4_ZU</v>
      </c>
      <c r="E46708" s="0" t="str">
        <f aca="false">HYPERLINK("https://lindat.mff.cuni.cz/services/SynSemClass40/SynSemClass40.html?veclass=vec00761#vec00761-ces-cm00005", "vec00761")</f>
        <v>vec00761</v>
      </c>
      <c r="F46708" s="0" t="s">
        <v>4014</v>
      </c>
    </row>
    <row r="46709" customFormat="false" ht="12.8" hidden="false" customHeight="false" outlineLevel="0" collapsed="false">
      <c r="B46709" s="0" t="s">
        <v>1</v>
      </c>
      <c r="C46709" s="0" t="s">
        <v>4015</v>
      </c>
      <c r="E46709" s="0" t="s">
        <v>1103</v>
      </c>
      <c r="F46709" s="0" t="s">
        <v>4016</v>
      </c>
    </row>
    <row r="46710" customFormat="false" ht="12.8" hidden="false" customHeight="false" outlineLevel="0" collapsed="false">
      <c r="B46710" s="0" t="s">
        <v>59</v>
      </c>
      <c r="C46710" s="0" t="s">
        <v>4017</v>
      </c>
      <c r="E46710" s="0" t="s">
        <v>199</v>
      </c>
      <c r="F46710" s="0" t="s">
        <v>4018</v>
      </c>
    </row>
    <row r="46712" customFormat="false" ht="12.8" hidden="false" customHeight="false" outlineLevel="0" collapsed="false">
      <c r="A46712" s="0" t="s">
        <v>16622</v>
      </c>
      <c r="B46712" s="0" t="str">
        <f aca="false">HYPERLINK("https://lindat.mff.cuni.cz/services/teitok/pdtc10/index.php?action=vallex&amp;frame=v-w6558f2", "strašit (v-w6558f2)")</f>
        <v>strašit (v-w6558f2)</v>
      </c>
    </row>
    <row r="46713" customFormat="false" ht="12.8" hidden="false" customHeight="false" outlineLevel="0" collapsed="false">
      <c r="B46713" s="0" t="s">
        <v>5</v>
      </c>
    </row>
    <row r="46715" customFormat="false" ht="12.8" hidden="false" customHeight="false" outlineLevel="0" collapsed="false">
      <c r="A46715" s="0" t="s">
        <v>16623</v>
      </c>
      <c r="B46715" s="0" t="str">
        <f aca="false">HYPERLINK("https://lindat.mff.cuni.cz/services/teitok/pdtc10/index.php?action=vallex&amp;frame=v-w6558f3_ZU", "strašit (v-w6558f3_ZU)")</f>
        <v>strašit (v-w6558f3_ZU)</v>
      </c>
    </row>
    <row r="46716" customFormat="false" ht="12.8" hidden="false" customHeight="false" outlineLevel="0" collapsed="false">
      <c r="B46716" s="0" t="s">
        <v>1</v>
      </c>
    </row>
    <row r="46718" customFormat="false" ht="12.8" hidden="false" customHeight="false" outlineLevel="0" collapsed="false">
      <c r="A46718" s="0" t="s">
        <v>16624</v>
      </c>
      <c r="B46718" s="0" t="str">
        <f aca="false">HYPERLINK("https://lindat.mff.cuni.cz/services/teitok/pdtc10/index.php?action=vallex&amp;frame=v-w11794_ZUf1_ZU", "strefit se (v-w11794_ZUf1_ZU)")</f>
        <v>strefit se (v-w11794_ZUf1_ZU)</v>
      </c>
    </row>
    <row r="46719" customFormat="false" ht="12.8" hidden="false" customHeight="false" outlineLevel="0" collapsed="false">
      <c r="B46719" s="0" t="s">
        <v>1</v>
      </c>
    </row>
    <row r="46720" customFormat="false" ht="12.8" hidden="false" customHeight="false" outlineLevel="0" collapsed="false">
      <c r="B46720" s="0" t="s">
        <v>454</v>
      </c>
    </row>
    <row r="46722" customFormat="false" ht="12.8" hidden="false" customHeight="false" outlineLevel="0" collapsed="false">
      <c r="A46722" s="0" t="s">
        <v>16625</v>
      </c>
      <c r="B46722" s="0" t="str">
        <f aca="false">HYPERLINK("https://lindat.mff.cuni.cz/services/teitok/pdtc10/index.php?action=vallex&amp;frame=v-w11383f1", "strefovat se (v-w11383f1)")</f>
        <v>strefovat se (v-w11383f1)</v>
      </c>
    </row>
    <row r="46723" customFormat="false" ht="12.8" hidden="false" customHeight="false" outlineLevel="0" collapsed="false">
      <c r="B46723" s="0" t="s">
        <v>1</v>
      </c>
    </row>
    <row r="46724" customFormat="false" ht="12.8" hidden="false" customHeight="false" outlineLevel="0" collapsed="false">
      <c r="B46724" s="0" t="s">
        <v>1187</v>
      </c>
    </row>
    <row r="46726" customFormat="false" ht="12.8" hidden="false" customHeight="false" outlineLevel="0" collapsed="false">
      <c r="A46726" s="0" t="s">
        <v>16626</v>
      </c>
      <c r="B46726" s="0" t="str">
        <f aca="false">HYPERLINK("https://lindat.mff.cuni.cz/services/teitok/pdtc10/index.php?action=vallex&amp;frame=v-w11383f2", "strefovat se (v-w11383f2)")</f>
        <v>strefovat se (v-w11383f2)</v>
      </c>
    </row>
    <row r="46727" customFormat="false" ht="12.8" hidden="false" customHeight="false" outlineLevel="0" collapsed="false">
      <c r="B46727" s="0" t="s">
        <v>1</v>
      </c>
    </row>
    <row r="46728" customFormat="false" ht="12.8" hidden="false" customHeight="false" outlineLevel="0" collapsed="false">
      <c r="B46728" s="0" t="s">
        <v>16627</v>
      </c>
    </row>
    <row r="46730" customFormat="false" ht="12.8" hidden="false" customHeight="false" outlineLevel="0" collapsed="false">
      <c r="A46730" s="0" t="s">
        <v>16628</v>
      </c>
      <c r="B46730" s="0" t="str">
        <f aca="false">HYPERLINK("https://lindat.mff.cuni.cz/services/teitok/pdtc10/index.php?action=vallex&amp;frame=v-w6567f1", "strhat (v-w6567f1)")</f>
        <v>strhat (v-w6567f1)</v>
      </c>
    </row>
    <row r="46731" customFormat="false" ht="12.8" hidden="false" customHeight="false" outlineLevel="0" collapsed="false">
      <c r="B46731" s="0" t="s">
        <v>1</v>
      </c>
    </row>
    <row r="46732" customFormat="false" ht="12.8" hidden="false" customHeight="false" outlineLevel="0" collapsed="false">
      <c r="B46732" s="0" t="s">
        <v>8</v>
      </c>
    </row>
    <row r="46734" customFormat="false" ht="12.8" hidden="false" customHeight="false" outlineLevel="0" collapsed="false">
      <c r="A46734" s="0" t="s">
        <v>16629</v>
      </c>
      <c r="B46734" s="0" t="str">
        <f aca="false">HYPERLINK("https://lindat.mff.cuni.cz/services/teitok/pdtc10/index.php?action=vallex&amp;frame=v-w6570f5", "strhnout (v-w6570f5)")</f>
        <v>strhnout (v-w6570f5)</v>
      </c>
    </row>
    <row r="46735" customFormat="false" ht="12.8" hidden="false" customHeight="false" outlineLevel="0" collapsed="false">
      <c r="B46735" s="0" t="s">
        <v>1</v>
      </c>
    </row>
    <row r="46736" customFormat="false" ht="12.8" hidden="false" customHeight="false" outlineLevel="0" collapsed="false">
      <c r="B46736" s="0" t="s">
        <v>8</v>
      </c>
    </row>
    <row r="46737" customFormat="false" ht="12.8" hidden="false" customHeight="false" outlineLevel="0" collapsed="false">
      <c r="B46737" s="0" t="s">
        <v>52</v>
      </c>
    </row>
    <row r="46739" customFormat="false" ht="12.8" hidden="false" customHeight="false" outlineLevel="0" collapsed="false">
      <c r="A46739" s="0" t="s">
        <v>16630</v>
      </c>
      <c r="B46739" s="0" t="str">
        <f aca="false">HYPERLINK("https://lindat.mff.cuni.cz/services/teitok/pdtc10/index.php?action=vallex&amp;frame=v-w6570f2", "strhnout (v-w6570f2)")</f>
        <v>strhnout (v-w6570f2)</v>
      </c>
      <c r="E46739" s="0" t="str">
        <f aca="false">HYPERLINK("https://lindat.mff.cuni.cz/services/SynSemClass40/SynSemClass40.html?veclass=vec00903#vec00903-ces-cm00015", "vec00903")</f>
        <v>vec00903</v>
      </c>
      <c r="F46739" s="0" t="s">
        <v>8059</v>
      </c>
    </row>
    <row r="46740" customFormat="false" ht="12.8" hidden="false" customHeight="false" outlineLevel="0" collapsed="false">
      <c r="B46740" s="0" t="s">
        <v>1</v>
      </c>
      <c r="C46740" s="0" t="s">
        <v>3241</v>
      </c>
      <c r="E46740" s="0" t="s">
        <v>1890</v>
      </c>
      <c r="F46740" s="0" t="s">
        <v>8061</v>
      </c>
    </row>
    <row r="46741" customFormat="false" ht="12.8" hidden="false" customHeight="false" outlineLevel="0" collapsed="false">
      <c r="B46741" s="0" t="s">
        <v>8</v>
      </c>
      <c r="C46741" s="0" t="s">
        <v>4776</v>
      </c>
      <c r="E46741" s="0" t="s">
        <v>1893</v>
      </c>
      <c r="F46741" s="0" t="s">
        <v>8063</v>
      </c>
    </row>
    <row r="46742" customFormat="false" ht="12.8" hidden="false" customHeight="false" outlineLevel="0" collapsed="false">
      <c r="B46742" s="0" t="s">
        <v>101</v>
      </c>
      <c r="C46742" s="0" t="s">
        <v>13627</v>
      </c>
      <c r="E46742" s="0" t="s">
        <v>2584</v>
      </c>
      <c r="F46742" s="0" t="s">
        <v>8065</v>
      </c>
    </row>
    <row r="46744" customFormat="false" ht="12.8" hidden="false" customHeight="false" outlineLevel="0" collapsed="false">
      <c r="A46744" s="0" t="s">
        <v>16631</v>
      </c>
      <c r="B46744" s="0" t="str">
        <f aca="false">HYPERLINK("https://lindat.mff.cuni.cz/services/teitok/pdtc10/index.php?action=vallex&amp;frame=v-w6570f1", "strhnout (v-w6570f1)")</f>
        <v>strhnout (v-w6570f1)</v>
      </c>
      <c r="E46744" s="0" t="str">
        <f aca="false">HYPERLINK("https://lindat.mff.cuni.cz/services/SynSemClass40/SynSemClass40.html?veclass=vec00854#vec00854-ces-cm00006", "vec00854")</f>
        <v>vec00854</v>
      </c>
      <c r="F46744" s="0" t="s">
        <v>9436</v>
      </c>
    </row>
    <row r="46745" customFormat="false" ht="12.8" hidden="false" customHeight="false" outlineLevel="0" collapsed="false">
      <c r="B46745" s="0" t="s">
        <v>1</v>
      </c>
      <c r="C46745" s="0" t="s">
        <v>106</v>
      </c>
      <c r="E46745" s="0" t="s">
        <v>4726</v>
      </c>
      <c r="F46745" s="0" t="s">
        <v>9437</v>
      </c>
    </row>
    <row r="46746" customFormat="false" ht="12.8" hidden="false" customHeight="false" outlineLevel="0" collapsed="false">
      <c r="B46746" s="0" t="s">
        <v>8</v>
      </c>
      <c r="C46746" s="0" t="s">
        <v>1940</v>
      </c>
      <c r="E46746" s="0" t="s">
        <v>1732</v>
      </c>
      <c r="F46746" s="0" t="s">
        <v>9463</v>
      </c>
    </row>
    <row r="46747" customFormat="false" ht="12.8" hidden="false" customHeight="false" outlineLevel="0" collapsed="false">
      <c r="B46747" s="0" t="s">
        <v>164</v>
      </c>
      <c r="E46747" s="0" t="s">
        <v>16632</v>
      </c>
      <c r="F46747" s="0" t="s">
        <v>16633</v>
      </c>
    </row>
    <row r="46749" customFormat="false" ht="12.8" hidden="false" customHeight="false" outlineLevel="0" collapsed="false">
      <c r="A46749" s="0" t="s">
        <v>16634</v>
      </c>
      <c r="B46749" s="0" t="str">
        <f aca="false">HYPERLINK("https://lindat.mff.cuni.cz/services/teitok/pdtc10/index.php?action=vallex&amp;frame=v-w6570f4", "strhnout (v-w6570f4)")</f>
        <v>strhnout (v-w6570f4)</v>
      </c>
    </row>
    <row r="46750" customFormat="false" ht="12.8" hidden="false" customHeight="false" outlineLevel="0" collapsed="false">
      <c r="B46750" s="0" t="s">
        <v>1</v>
      </c>
    </row>
    <row r="46751" customFormat="false" ht="12.8" hidden="false" customHeight="false" outlineLevel="0" collapsed="false">
      <c r="B46751" s="0" t="s">
        <v>8</v>
      </c>
    </row>
    <row r="46753" customFormat="false" ht="12.8" hidden="false" customHeight="false" outlineLevel="0" collapsed="false">
      <c r="A46753" s="0" t="s">
        <v>16635</v>
      </c>
      <c r="B46753" s="0" t="str">
        <f aca="false">HYPERLINK("https://lindat.mff.cuni.cz/services/teitok/pdtc10/index.php?action=vallex&amp;frame=v-w6570f3", "strhnout (v-w6570f3)")</f>
        <v>strhnout (v-w6570f3)</v>
      </c>
    </row>
    <row r="46754" customFormat="false" ht="12.8" hidden="false" customHeight="false" outlineLevel="0" collapsed="false">
      <c r="B46754" s="0" t="s">
        <v>1</v>
      </c>
    </row>
    <row r="46755" customFormat="false" ht="12.8" hidden="false" customHeight="false" outlineLevel="0" collapsed="false">
      <c r="B46755" s="0" t="s">
        <v>98</v>
      </c>
    </row>
    <row r="46756" customFormat="false" ht="12.8" hidden="false" customHeight="false" outlineLevel="0" collapsed="false">
      <c r="B46756" s="0" t="s">
        <v>16636</v>
      </c>
    </row>
    <row r="46758" customFormat="false" ht="12.8" hidden="false" customHeight="false" outlineLevel="0" collapsed="false">
      <c r="A46758" s="0" t="s">
        <v>16637</v>
      </c>
      <c r="B46758" s="0" t="str">
        <f aca="false">HYPERLINK("https://lindat.mff.cuni.cz/services/teitok/pdtc10/index.php?action=vallex&amp;frame=v-w6570f6_ZU", "strhnout (v-w6570f6_ZU)")</f>
        <v>strhnout (v-w6570f6_ZU)</v>
      </c>
    </row>
    <row r="46759" customFormat="false" ht="12.8" hidden="false" customHeight="false" outlineLevel="0" collapsed="false">
      <c r="B46759" s="0" t="s">
        <v>1</v>
      </c>
    </row>
    <row r="46760" customFormat="false" ht="12.8" hidden="false" customHeight="false" outlineLevel="0" collapsed="false">
      <c r="B46760" s="0" t="s">
        <v>8</v>
      </c>
    </row>
    <row r="46762" customFormat="false" ht="12.8" hidden="false" customHeight="false" outlineLevel="0" collapsed="false">
      <c r="A46762" s="0" t="s">
        <v>16638</v>
      </c>
      <c r="B46762" s="0" t="str">
        <f aca="false">HYPERLINK("https://lindat.mff.cuni.cz/services/teitok/pdtc10/index.php?action=vallex&amp;frame=v-w6570f7_MM", "strhnout (v-w6570f7_MM)")</f>
        <v>strhnout (v-w6570f7_MM)</v>
      </c>
    </row>
    <row r="46763" customFormat="false" ht="12.8" hidden="false" customHeight="false" outlineLevel="0" collapsed="false">
      <c r="B46763" s="0" t="s">
        <v>1</v>
      </c>
    </row>
    <row r="46764" customFormat="false" ht="12.8" hidden="false" customHeight="false" outlineLevel="0" collapsed="false">
      <c r="B46764" s="0" t="s">
        <v>8</v>
      </c>
    </row>
    <row r="46766" customFormat="false" ht="12.8" hidden="false" customHeight="false" outlineLevel="0" collapsed="false">
      <c r="A46766" s="0" t="s">
        <v>16639</v>
      </c>
      <c r="B46766" s="0" t="str">
        <f aca="false">HYPERLINK("https://lindat.mff.cuni.cz/services/teitok/pdtc10/index.php?action=vallex&amp;frame=v-w6570f8_MM", "strhnout (v-w6570f8_MM)")</f>
        <v>strhnout (v-w6570f8_MM)</v>
      </c>
    </row>
    <row r="46767" customFormat="false" ht="12.8" hidden="false" customHeight="false" outlineLevel="0" collapsed="false">
      <c r="B46767" s="0" t="s">
        <v>1</v>
      </c>
    </row>
    <row r="46768" customFormat="false" ht="12.8" hidden="false" customHeight="false" outlineLevel="0" collapsed="false">
      <c r="B46768" s="0" t="s">
        <v>8</v>
      </c>
    </row>
    <row r="46769" customFormat="false" ht="12.8" hidden="false" customHeight="false" outlineLevel="0" collapsed="false">
      <c r="B46769" s="0" t="s">
        <v>631</v>
      </c>
    </row>
    <row r="46771" customFormat="false" ht="12.8" hidden="false" customHeight="false" outlineLevel="0" collapsed="false">
      <c r="A46771" s="0" t="s">
        <v>16640</v>
      </c>
      <c r="B46771" s="0" t="str">
        <f aca="false">HYPERLINK("https://lindat.mff.cuni.cz/services/teitok/pdtc10/index.php?action=vallex&amp;frame=v-w6571f1", "strhnout se (v-w6571f1)")</f>
        <v>strhnout se (v-w6571f1)</v>
      </c>
    </row>
    <row r="46772" customFormat="false" ht="12.8" hidden="false" customHeight="false" outlineLevel="0" collapsed="false">
      <c r="B46772" s="0" t="s">
        <v>1</v>
      </c>
    </row>
    <row r="46774" customFormat="false" ht="12.8" hidden="false" customHeight="false" outlineLevel="0" collapsed="false">
      <c r="A46774" s="0" t="s">
        <v>16641</v>
      </c>
      <c r="B46774" s="0" t="str">
        <f aca="false">HYPERLINK("https://lindat.mff.cuni.cz/services/teitok/pdtc10/index.php?action=vallex&amp;frame=v-w11598_ZUf1_ZU", "strhovat (v-w11598_ZUf1_ZU)")</f>
        <v>strhovat (v-w11598_ZUf1_ZU)</v>
      </c>
    </row>
    <row r="46775" customFormat="false" ht="12.8" hidden="false" customHeight="false" outlineLevel="0" collapsed="false">
      <c r="B46775" s="0" t="s">
        <v>1</v>
      </c>
    </row>
    <row r="46776" customFormat="false" ht="12.8" hidden="false" customHeight="false" outlineLevel="0" collapsed="false">
      <c r="B46776" s="0" t="s">
        <v>8</v>
      </c>
    </row>
    <row r="46777" customFormat="false" ht="12.8" hidden="false" customHeight="false" outlineLevel="0" collapsed="false">
      <c r="B46777" s="0" t="s">
        <v>361</v>
      </c>
    </row>
    <row r="46779" customFormat="false" ht="12.8" hidden="false" customHeight="false" outlineLevel="0" collapsed="false">
      <c r="A46779" s="0" t="s">
        <v>16642</v>
      </c>
      <c r="B46779" s="0" t="str">
        <f aca="false">HYPERLINK("https://lindat.mff.cuni.cz/services/teitok/pdtc10/index.php?action=vallex&amp;frame=v-w6568f1", "strhávat (v-w6568f1)")</f>
        <v>strhávat (v-w6568f1)</v>
      </c>
    </row>
    <row r="46780" customFormat="false" ht="12.8" hidden="false" customHeight="false" outlineLevel="0" collapsed="false">
      <c r="B46780" s="0" t="s">
        <v>1</v>
      </c>
    </row>
    <row r="46781" customFormat="false" ht="12.8" hidden="false" customHeight="false" outlineLevel="0" collapsed="false">
      <c r="B46781" s="0" t="s">
        <v>8</v>
      </c>
    </row>
    <row r="46782" customFormat="false" ht="12.8" hidden="false" customHeight="false" outlineLevel="0" collapsed="false">
      <c r="B46782" s="0" t="s">
        <v>52</v>
      </c>
    </row>
    <row r="46784" customFormat="false" ht="12.8" hidden="false" customHeight="false" outlineLevel="0" collapsed="false">
      <c r="A46784" s="0" t="s">
        <v>16643</v>
      </c>
      <c r="B46784" s="0" t="str">
        <f aca="false">HYPERLINK("https://lindat.mff.cuni.cz/services/teitok/pdtc10/index.php?action=vallex&amp;frame=v-w6568f2", "strhávat (v-w6568f2)")</f>
        <v>strhávat (v-w6568f2)</v>
      </c>
    </row>
    <row r="46785" customFormat="false" ht="12.8" hidden="false" customHeight="false" outlineLevel="0" collapsed="false">
      <c r="B46785" s="0" t="s">
        <v>1</v>
      </c>
    </row>
    <row r="46786" customFormat="false" ht="12.8" hidden="false" customHeight="false" outlineLevel="0" collapsed="false">
      <c r="B46786" s="0" t="s">
        <v>305</v>
      </c>
    </row>
    <row r="46787" customFormat="false" ht="12.8" hidden="false" customHeight="false" outlineLevel="0" collapsed="false">
      <c r="B46787" s="0" t="s">
        <v>101</v>
      </c>
    </row>
    <row r="46789" customFormat="false" ht="12.8" hidden="false" customHeight="false" outlineLevel="0" collapsed="false">
      <c r="A46789" s="0" t="s">
        <v>16644</v>
      </c>
      <c r="B46789" s="0" t="str">
        <f aca="false">HYPERLINK("https://lindat.mff.cuni.cz/services/teitok/pdtc10/index.php?action=vallex&amp;frame=v-w6568f3_MM", "strhávat (v-w6568f3_MM)")</f>
        <v>strhávat (v-w6568f3_MM)</v>
      </c>
    </row>
    <row r="46790" customFormat="false" ht="12.8" hidden="false" customHeight="false" outlineLevel="0" collapsed="false">
      <c r="B46790" s="0" t="s">
        <v>1</v>
      </c>
    </row>
    <row r="46791" customFormat="false" ht="12.8" hidden="false" customHeight="false" outlineLevel="0" collapsed="false">
      <c r="B46791" s="0" t="s">
        <v>8</v>
      </c>
    </row>
    <row r="46792" customFormat="false" ht="12.8" hidden="false" customHeight="false" outlineLevel="0" collapsed="false">
      <c r="B46792" s="0" t="s">
        <v>631</v>
      </c>
    </row>
    <row r="46794" customFormat="false" ht="12.8" hidden="false" customHeight="false" outlineLevel="0" collapsed="false">
      <c r="A46794" s="0" t="s">
        <v>16644</v>
      </c>
      <c r="B46794" s="0" t="str">
        <f aca="false">HYPERLINK("https://lindat.mff.cuni.cz/services/teitok/pdtc10/index.php?action=vallex&amp;frame=v-w6568hsa_734", "strhávat (v-w6568hsa_734) - substituted with v-w6568f3_MM")</f>
        <v>strhávat (v-w6568hsa_734) - substituted with v-w6568f3_MM</v>
      </c>
      <c r="E46794" s="0" t="str">
        <f aca="false">HYPERLINK("https://lindat.mff.cuni.cz/services/SynSemClass40/SynSemClass40.html?veclass=vec01106#vec01106-ces-cm00006", "vec01106")</f>
        <v>vec01106</v>
      </c>
      <c r="F46794" s="0" t="s">
        <v>13814</v>
      </c>
    </row>
    <row r="46795" customFormat="false" ht="12.8" hidden="false" customHeight="false" outlineLevel="0" collapsed="false">
      <c r="B46795" s="0" t="s">
        <v>1</v>
      </c>
      <c r="C46795" s="0" t="s">
        <v>459</v>
      </c>
      <c r="E46795" s="0" t="s">
        <v>2196</v>
      </c>
      <c r="F46795" s="0" t="s">
        <v>13815</v>
      </c>
    </row>
    <row r="46796" customFormat="false" ht="12.8" hidden="false" customHeight="false" outlineLevel="0" collapsed="false">
      <c r="B46796" s="0" t="s">
        <v>8</v>
      </c>
      <c r="C46796" s="0" t="s">
        <v>744</v>
      </c>
      <c r="E46796" s="0" t="s">
        <v>2200</v>
      </c>
      <c r="F46796" s="0" t="s">
        <v>13816</v>
      </c>
    </row>
    <row r="46797" customFormat="false" ht="12.8" hidden="false" customHeight="false" outlineLevel="0" collapsed="false">
      <c r="B46797" s="0" t="s">
        <v>631</v>
      </c>
      <c r="E46797" s="0" t="s">
        <v>1949</v>
      </c>
      <c r="F46797" s="0" t="s">
        <v>2896</v>
      </c>
    </row>
    <row r="46799" customFormat="false" ht="12.8" hidden="false" customHeight="false" outlineLevel="0" collapsed="false">
      <c r="A46799" s="0" t="s">
        <v>16645</v>
      </c>
      <c r="B46799" s="0" t="str">
        <f aca="false">HYPERLINK("https://lindat.mff.cuni.cz/services/teitok/pdtc10/index.php?action=vallex&amp;frame=v-w6569f1", "strhávat si (v-w6569f1)")</f>
        <v>strhávat si (v-w6569f1)</v>
      </c>
    </row>
    <row r="46800" customFormat="false" ht="12.8" hidden="false" customHeight="false" outlineLevel="0" collapsed="false">
      <c r="B46800" s="0" t="s">
        <v>1</v>
      </c>
    </row>
    <row r="46801" customFormat="false" ht="12.8" hidden="false" customHeight="false" outlineLevel="0" collapsed="false">
      <c r="B46801" s="0" t="s">
        <v>8</v>
      </c>
    </row>
    <row r="46803" customFormat="false" ht="12.8" hidden="false" customHeight="false" outlineLevel="0" collapsed="false">
      <c r="A46803" s="0" t="s">
        <v>16646</v>
      </c>
      <c r="B46803" s="0" t="str">
        <f aca="false">HYPERLINK("https://lindat.mff.cuni.cz/services/teitok/pdtc10/index.php?action=vallex&amp;frame=v-w11483f1", "strkat (v-w11483f1)")</f>
        <v>strkat (v-w11483f1)</v>
      </c>
      <c r="E46803" s="0" t="str">
        <f aca="false">HYPERLINK("https://lindat.mff.cuni.cz/services/SynSemClass40/SynSemClass40.html?veclass=vec00932#vec00932-ces-cm00006", "vec00932")</f>
        <v>vec00932</v>
      </c>
      <c r="F46803" s="0" t="s">
        <v>4723</v>
      </c>
    </row>
    <row r="46804" customFormat="false" ht="12.8" hidden="false" customHeight="false" outlineLevel="0" collapsed="false">
      <c r="B46804" s="0" t="s">
        <v>1</v>
      </c>
      <c r="C46804" s="0" t="s">
        <v>3000</v>
      </c>
      <c r="E46804" s="0" t="s">
        <v>4726</v>
      </c>
      <c r="F46804" s="0" t="s">
        <v>4727</v>
      </c>
    </row>
    <row r="46805" customFormat="false" ht="12.8" hidden="false" customHeight="false" outlineLevel="0" collapsed="false">
      <c r="B46805" s="0" t="s">
        <v>8</v>
      </c>
      <c r="C46805" s="0" t="s">
        <v>639</v>
      </c>
      <c r="E46805" s="0" t="s">
        <v>514</v>
      </c>
      <c r="F46805" s="0" t="s">
        <v>4730</v>
      </c>
    </row>
    <row r="46806" customFormat="false" ht="12.8" hidden="false" customHeight="false" outlineLevel="0" collapsed="false">
      <c r="B46806" s="0" t="s">
        <v>164</v>
      </c>
      <c r="E46806" s="0" t="s">
        <v>370</v>
      </c>
      <c r="F46806" s="0" t="s">
        <v>3041</v>
      </c>
    </row>
    <row r="46808" customFormat="false" ht="12.8" hidden="false" customHeight="false" outlineLevel="0" collapsed="false">
      <c r="A46808" s="0" t="s">
        <v>16647</v>
      </c>
      <c r="B46808" s="0" t="str">
        <f aca="false">HYPERLINK("https://lindat.mff.cuni.cz/services/teitok/pdtc10/index.php?action=vallex&amp;frame=v-w11483f2", "strkat (v-w11483f2)")</f>
        <v>strkat (v-w11483f2)</v>
      </c>
    </row>
    <row r="46809" customFormat="false" ht="12.8" hidden="false" customHeight="false" outlineLevel="0" collapsed="false">
      <c r="B46809" s="0" t="s">
        <v>1</v>
      </c>
    </row>
    <row r="46810" customFormat="false" ht="12.8" hidden="false" customHeight="false" outlineLevel="0" collapsed="false">
      <c r="B46810" s="0" t="s">
        <v>9616</v>
      </c>
    </row>
    <row r="46811" customFormat="false" ht="12.8" hidden="false" customHeight="false" outlineLevel="0" collapsed="false">
      <c r="B46811" s="0" t="s">
        <v>1187</v>
      </c>
    </row>
    <row r="46813" customFormat="false" ht="12.8" hidden="false" customHeight="false" outlineLevel="0" collapsed="false">
      <c r="A46813" s="0" t="s">
        <v>16648</v>
      </c>
      <c r="B46813" s="0" t="str">
        <f aca="false">HYPERLINK("https://lindat.mff.cuni.cz/services/teitok/pdtc10/index.php?action=vallex&amp;frame=v-w11483f3_ZU", "strkat (v-w11483f3_ZU)")</f>
        <v>strkat (v-w11483f3_ZU)</v>
      </c>
    </row>
    <row r="46814" customFormat="false" ht="12.8" hidden="false" customHeight="false" outlineLevel="0" collapsed="false">
      <c r="B46814" s="0" t="s">
        <v>1</v>
      </c>
    </row>
    <row r="46815" customFormat="false" ht="12.8" hidden="false" customHeight="false" outlineLevel="0" collapsed="false">
      <c r="B46815" s="0" t="s">
        <v>8</v>
      </c>
    </row>
    <row r="46816" customFormat="false" ht="12.8" hidden="false" customHeight="false" outlineLevel="0" collapsed="false">
      <c r="B46816" s="0" t="s">
        <v>52</v>
      </c>
    </row>
    <row r="46818" customFormat="false" ht="12.8" hidden="false" customHeight="false" outlineLevel="0" collapsed="false">
      <c r="A46818" s="0" t="s">
        <v>16649</v>
      </c>
      <c r="B46818" s="0" t="str">
        <f aca="false">HYPERLINK("https://lindat.mff.cuni.cz/services/teitok/pdtc10/index.php?action=vallex&amp;frame=v-w6572f1", "strkat se (v-w6572f1)")</f>
        <v>strkat se (v-w6572f1)</v>
      </c>
    </row>
    <row r="46819" customFormat="false" ht="12.8" hidden="false" customHeight="false" outlineLevel="0" collapsed="false">
      <c r="B46819" s="0" t="s">
        <v>1</v>
      </c>
    </row>
    <row r="46820" customFormat="false" ht="12.8" hidden="false" customHeight="false" outlineLevel="0" collapsed="false">
      <c r="B46820" s="0" t="s">
        <v>276</v>
      </c>
    </row>
    <row r="46821" customFormat="false" ht="12.8" hidden="false" customHeight="false" outlineLevel="0" collapsed="false">
      <c r="B46821" s="0" t="s">
        <v>3152</v>
      </c>
    </row>
    <row r="46823" customFormat="false" ht="12.8" hidden="false" customHeight="false" outlineLevel="0" collapsed="false">
      <c r="A46823" s="0" t="s">
        <v>16650</v>
      </c>
      <c r="B46823" s="0" t="str">
        <f aca="false">HYPERLINK("https://lindat.mff.cuni.cz/services/teitok/pdtc10/index.php?action=vallex&amp;frame=v-w6573f1", "strnout (v-w6573f1)")</f>
        <v>strnout (v-w6573f1)</v>
      </c>
      <c r="E46823" s="0" t="str">
        <f aca="false">HYPERLINK("https://lindat.mff.cuni.cz/services/SynSemClass40/SynSemClass40.html?veclass=vec01369#vec01369-ces-cm00047", "vec01369")</f>
        <v>vec01369</v>
      </c>
      <c r="F46823" s="0" t="s">
        <v>16483</v>
      </c>
    </row>
    <row r="46824" customFormat="false" ht="12.8" hidden="false" customHeight="false" outlineLevel="0" collapsed="false">
      <c r="B46824" s="0" t="s">
        <v>1</v>
      </c>
      <c r="C46824" s="0" t="s">
        <v>16651</v>
      </c>
      <c r="E46824" s="0" t="s">
        <v>1086</v>
      </c>
      <c r="F46824" s="0" t="s">
        <v>16485</v>
      </c>
    </row>
    <row r="46826" customFormat="false" ht="12.8" hidden="false" customHeight="false" outlineLevel="0" collapsed="false">
      <c r="A46826" s="0" t="s">
        <v>16652</v>
      </c>
      <c r="B46826" s="0" t="str">
        <f aca="false">HYPERLINK("https://lindat.mff.cuni.cz/services/teitok/pdtc10/index.php?action=vallex&amp;frame=v-whsa_1487f1_MM", "strojit (v-whsa_1487f1_MM)")</f>
        <v>strojit (v-whsa_1487f1_MM)</v>
      </c>
    </row>
    <row r="46827" customFormat="false" ht="12.8" hidden="false" customHeight="false" outlineLevel="0" collapsed="false">
      <c r="B46827" s="0" t="s">
        <v>1</v>
      </c>
    </row>
    <row r="46828" customFormat="false" ht="12.8" hidden="false" customHeight="false" outlineLevel="0" collapsed="false">
      <c r="B46828" s="0" t="s">
        <v>8</v>
      </c>
    </row>
    <row r="46829" customFormat="false" ht="12.8" hidden="false" customHeight="false" outlineLevel="0" collapsed="false">
      <c r="B46829" s="0" t="s">
        <v>245</v>
      </c>
    </row>
    <row r="46831" customFormat="false" ht="12.8" hidden="false" customHeight="false" outlineLevel="0" collapsed="false">
      <c r="A46831" s="0" t="s">
        <v>16653</v>
      </c>
      <c r="B46831" s="0" t="str">
        <f aca="false">HYPERLINK("https://lindat.mff.cuni.cz/services/teitok/pdtc10/index.php?action=vallex&amp;frame=v-whsa_1487hsa_1488", "strojit (v-whsa_1487hsa_1488)")</f>
        <v>strojit (v-whsa_1487hsa_1488)</v>
      </c>
    </row>
    <row r="46832" customFormat="false" ht="12.8" hidden="false" customHeight="false" outlineLevel="0" collapsed="false">
      <c r="B46832" s="0" t="s">
        <v>1</v>
      </c>
    </row>
    <row r="46833" customFormat="false" ht="12.8" hidden="false" customHeight="false" outlineLevel="0" collapsed="false">
      <c r="B46833" s="0" t="s">
        <v>8</v>
      </c>
    </row>
    <row r="46835" customFormat="false" ht="12.8" hidden="false" customHeight="false" outlineLevel="0" collapsed="false">
      <c r="A46835" s="0" t="s">
        <v>16654</v>
      </c>
      <c r="B46835" s="0" t="str">
        <f aca="false">HYPERLINK("https://lindat.mff.cuni.cz/services/teitok/pdtc10/index.php?action=vallex&amp;frame=v-w6576f2", "strpět (v-w6576f2)")</f>
        <v>strpět (v-w6576f2)</v>
      </c>
    </row>
    <row r="46836" customFormat="false" ht="12.8" hidden="false" customHeight="false" outlineLevel="0" collapsed="false">
      <c r="B46836" s="0" t="s">
        <v>1</v>
      </c>
    </row>
    <row r="46837" customFormat="false" ht="12.8" hidden="false" customHeight="false" outlineLevel="0" collapsed="false">
      <c r="B46837" s="0" t="s">
        <v>228</v>
      </c>
    </row>
    <row r="46838" customFormat="false" ht="12.8" hidden="false" customHeight="false" outlineLevel="0" collapsed="false">
      <c r="B46838" s="0" t="s">
        <v>132</v>
      </c>
    </row>
    <row r="46840" customFormat="false" ht="12.8" hidden="false" customHeight="false" outlineLevel="0" collapsed="false">
      <c r="A46840" s="0" t="s">
        <v>16655</v>
      </c>
      <c r="B46840" s="0" t="str">
        <f aca="false">HYPERLINK("https://lindat.mff.cuni.cz/services/teitok/pdtc10/index.php?action=vallex&amp;frame=v-w6576f1", "strpět (v-w6576f1)")</f>
        <v>strpět (v-w6576f1)</v>
      </c>
      <c r="E46840" s="0" t="str">
        <f aca="false">HYPERLINK("https://lindat.mff.cuni.cz/services/SynSemClass40/SynSemClass40.html?veclass=vec00491#vec00491-ces-cm00016", "vec00491")</f>
        <v>vec00491</v>
      </c>
      <c r="F46840" s="0" t="s">
        <v>12803</v>
      </c>
    </row>
    <row r="46841" customFormat="false" ht="12.8" hidden="false" customHeight="false" outlineLevel="0" collapsed="false">
      <c r="B46841" s="0" t="s">
        <v>1</v>
      </c>
      <c r="C46841" s="0" t="s">
        <v>12804</v>
      </c>
      <c r="E46841" s="0" t="s">
        <v>12805</v>
      </c>
      <c r="F46841" s="0" t="s">
        <v>12806</v>
      </c>
    </row>
    <row r="46842" customFormat="false" ht="12.8" hidden="false" customHeight="false" outlineLevel="0" collapsed="false">
      <c r="B46842" s="0" t="s">
        <v>8</v>
      </c>
      <c r="C46842" s="0" t="s">
        <v>12807</v>
      </c>
      <c r="E46842" s="0" t="s">
        <v>2885</v>
      </c>
      <c r="F46842" s="0" t="s">
        <v>12808</v>
      </c>
    </row>
    <row r="46844" customFormat="false" ht="12.8" hidden="false" customHeight="false" outlineLevel="0" collapsed="false">
      <c r="A46844" s="0" t="s">
        <v>16656</v>
      </c>
      <c r="B46844" s="0" t="str">
        <f aca="false">HYPERLINK("https://lindat.mff.cuni.cz/services/teitok/pdtc10/index.php?action=vallex&amp;frame=v-w6580f1", "strukturovat (v-w6580f1)")</f>
        <v>strukturovat (v-w6580f1)</v>
      </c>
      <c r="E46844" s="0" t="str">
        <f aca="false">HYPERLINK("https://lindat.mff.cuni.cz/services/SynSemClass40/SynSemClass40.html?veclass=vec00526#vec00526-ces-cm00001", "vec00526")</f>
        <v>vec00526</v>
      </c>
      <c r="F46844" s="0" t="s">
        <v>11571</v>
      </c>
    </row>
    <row r="46845" customFormat="false" ht="12.8" hidden="false" customHeight="false" outlineLevel="0" collapsed="false">
      <c r="B46845" s="0" t="s">
        <v>1</v>
      </c>
      <c r="C46845" s="0" t="s">
        <v>4695</v>
      </c>
      <c r="E46845" s="0" t="s">
        <v>11</v>
      </c>
      <c r="F46845" s="0" t="s">
        <v>5950</v>
      </c>
    </row>
    <row r="46846" customFormat="false" ht="12.8" hidden="false" customHeight="false" outlineLevel="0" collapsed="false">
      <c r="B46846" s="0" t="s">
        <v>8</v>
      </c>
      <c r="C46846" s="0" t="s">
        <v>827</v>
      </c>
      <c r="E46846" s="0" t="s">
        <v>1569</v>
      </c>
      <c r="F46846" s="0" t="s">
        <v>5638</v>
      </c>
    </row>
    <row r="46848" customFormat="false" ht="12.8" hidden="false" customHeight="false" outlineLevel="0" collapsed="false">
      <c r="A46848" s="0" t="s">
        <v>16657</v>
      </c>
      <c r="B46848" s="0" t="str">
        <f aca="false">HYPERLINK("https://lindat.mff.cuni.cz/services/teitok/pdtc10/index.php?action=vallex&amp;frame=v-w6553f1", "strádat (v-w6553f1)")</f>
        <v>strádat (v-w6553f1)</v>
      </c>
      <c r="E46848" s="0" t="str">
        <f aca="false">HYPERLINK("https://lindat.mff.cuni.cz/services/SynSemClass40/SynSemClass40.html?veclass=vec00740#vec00740-ces-cm00022", "vec00740")</f>
        <v>vec00740</v>
      </c>
      <c r="F46848" s="0" t="s">
        <v>2563</v>
      </c>
    </row>
    <row r="46849" customFormat="false" ht="12.8" hidden="false" customHeight="false" outlineLevel="0" collapsed="false">
      <c r="B46849" s="0" t="s">
        <v>1</v>
      </c>
      <c r="C46849" s="0" t="s">
        <v>2564</v>
      </c>
      <c r="E46849" s="0" t="s">
        <v>2565</v>
      </c>
      <c r="F46849" s="0" t="s">
        <v>2566</v>
      </c>
    </row>
    <row r="46851" customFormat="false" ht="12.8" hidden="false" customHeight="false" outlineLevel="0" collapsed="false">
      <c r="A46851" s="0" t="s">
        <v>16658</v>
      </c>
      <c r="B46851" s="0" t="str">
        <f aca="false">HYPERLINK("https://lindat.mff.cuni.cz/services/teitok/pdtc10/index.php?action=vallex&amp;frame=v-w6560f1", "strávit (v-w6560f1)")</f>
        <v>strávit (v-w6560f1)</v>
      </c>
      <c r="E46851" s="0" t="str">
        <f aca="false">HYPERLINK("https://lindat.mff.cuni.cz/services/SynSemClass40/SynSemClass40.html?veclass=vec00325#vec00325-ces-cm00002", "vec00325")</f>
        <v>vec00325</v>
      </c>
      <c r="F46851" s="0" t="s">
        <v>16659</v>
      </c>
    </row>
    <row r="46852" customFormat="false" ht="12.8" hidden="false" customHeight="false" outlineLevel="0" collapsed="false">
      <c r="B46852" s="0" t="s">
        <v>1</v>
      </c>
      <c r="C46852" s="0" t="s">
        <v>2114</v>
      </c>
      <c r="E46852" s="0" t="s">
        <v>11</v>
      </c>
      <c r="F46852" s="0" t="s">
        <v>16660</v>
      </c>
    </row>
    <row r="46853" customFormat="false" ht="12.8" hidden="false" customHeight="false" outlineLevel="0" collapsed="false">
      <c r="B46853" s="0" t="s">
        <v>8</v>
      </c>
      <c r="C46853" s="0" t="s">
        <v>5070</v>
      </c>
      <c r="E46853" s="0" t="s">
        <v>7980</v>
      </c>
      <c r="F46853" s="0" t="s">
        <v>16661</v>
      </c>
    </row>
    <row r="46854" customFormat="false" ht="12.8" hidden="false" customHeight="false" outlineLevel="0" collapsed="false">
      <c r="B46854" s="0" t="s">
        <v>5</v>
      </c>
      <c r="C46854" s="0" t="s">
        <v>16662</v>
      </c>
      <c r="E46854" s="0" t="s">
        <v>16663</v>
      </c>
      <c r="F46854" s="0" t="s">
        <v>16664</v>
      </c>
    </row>
    <row r="46856" customFormat="false" ht="12.8" hidden="false" customHeight="false" outlineLevel="0" collapsed="false">
      <c r="A46856" s="0" t="s">
        <v>16665</v>
      </c>
      <c r="B46856" s="0" t="str">
        <f aca="false">HYPERLINK("https://lindat.mff.cuni.cz/services/teitok/pdtc10/index.php?action=vallex&amp;frame=v-w6560f2", "strávit (v-w6560f2)")</f>
        <v>strávit (v-w6560f2)</v>
      </c>
      <c r="E46856" s="0" t="str">
        <f aca="false">HYPERLINK("https://lindat.mff.cuni.cz/services/SynSemClass40/SynSemClass40.html?veclass=vec00325#vec00325-ces-cm00001", "vec00325")</f>
        <v>vec00325</v>
      </c>
      <c r="F46856" s="0" t="s">
        <v>16659</v>
      </c>
    </row>
    <row r="46857" customFormat="false" ht="12.8" hidden="false" customHeight="false" outlineLevel="0" collapsed="false">
      <c r="B46857" s="0" t="s">
        <v>1</v>
      </c>
      <c r="C46857" s="0" t="s">
        <v>2114</v>
      </c>
      <c r="E46857" s="0" t="s">
        <v>11</v>
      </c>
      <c r="F46857" s="0" t="s">
        <v>16660</v>
      </c>
    </row>
    <row r="46858" customFormat="false" ht="12.8" hidden="false" customHeight="false" outlineLevel="0" collapsed="false">
      <c r="B46858" s="0" t="s">
        <v>8</v>
      </c>
      <c r="C46858" s="0" t="s">
        <v>5070</v>
      </c>
      <c r="E46858" s="0" t="s">
        <v>7980</v>
      </c>
      <c r="F46858" s="0" t="s">
        <v>16661</v>
      </c>
    </row>
    <row r="46859" customFormat="false" ht="12.8" hidden="false" customHeight="false" outlineLevel="0" collapsed="false">
      <c r="B46859" s="0" t="s">
        <v>725</v>
      </c>
      <c r="C46859" s="0" t="s">
        <v>16666</v>
      </c>
      <c r="E46859" s="0" t="s">
        <v>11635</v>
      </c>
      <c r="F46859" s="0" t="s">
        <v>16667</v>
      </c>
    </row>
    <row r="46860" customFormat="false" ht="12.8" hidden="false" customHeight="false" outlineLevel="0" collapsed="false">
      <c r="B46860" s="0" t="s">
        <v>6510</v>
      </c>
      <c r="C46860" s="0" t="s">
        <v>16662</v>
      </c>
      <c r="E46860" s="0" t="s">
        <v>11635</v>
      </c>
      <c r="F46860" s="0" t="s">
        <v>16667</v>
      </c>
    </row>
    <row r="46861" customFormat="false" ht="12.8" hidden="false" customHeight="false" outlineLevel="0" collapsed="false">
      <c r="B46861" s="0" t="s">
        <v>642</v>
      </c>
      <c r="C46861" s="0" t="s">
        <v>16668</v>
      </c>
      <c r="E46861" s="0" t="s">
        <v>11635</v>
      </c>
      <c r="F46861" s="0" t="s">
        <v>16667</v>
      </c>
    </row>
    <row r="46862" customFormat="false" ht="12.8" hidden="false" customHeight="false" outlineLevel="0" collapsed="false">
      <c r="B46862" s="0" t="s">
        <v>646</v>
      </c>
      <c r="C46862" s="0" t="s">
        <v>16669</v>
      </c>
      <c r="E46862" s="0" t="s">
        <v>11635</v>
      </c>
      <c r="F46862" s="0" t="s">
        <v>16667</v>
      </c>
    </row>
    <row r="46863" customFormat="false" ht="12.8" hidden="false" customHeight="false" outlineLevel="0" collapsed="false">
      <c r="B46863" s="0" t="s">
        <v>648</v>
      </c>
      <c r="C46863" s="0" t="s">
        <v>16670</v>
      </c>
      <c r="E46863" s="0" t="s">
        <v>11635</v>
      </c>
      <c r="F46863" s="0" t="s">
        <v>16667</v>
      </c>
    </row>
    <row r="46864" customFormat="false" ht="12.8" hidden="false" customHeight="false" outlineLevel="0" collapsed="false">
      <c r="B46864" s="0" t="s">
        <v>650</v>
      </c>
      <c r="C46864" s="0" t="s">
        <v>16671</v>
      </c>
      <c r="E46864" s="0" t="s">
        <v>11635</v>
      </c>
      <c r="F46864" s="0" t="s">
        <v>16667</v>
      </c>
    </row>
    <row r="46865" customFormat="false" ht="12.8" hidden="false" customHeight="false" outlineLevel="0" collapsed="false">
      <c r="B46865" s="0" t="s">
        <v>652</v>
      </c>
      <c r="C46865" s="0" t="s">
        <v>16672</v>
      </c>
      <c r="E46865" s="0" t="s">
        <v>11635</v>
      </c>
      <c r="F46865" s="0" t="s">
        <v>16667</v>
      </c>
    </row>
    <row r="46867" customFormat="false" ht="12.8" hidden="false" customHeight="false" outlineLevel="0" collapsed="false">
      <c r="A46867" s="0" t="s">
        <v>16673</v>
      </c>
      <c r="B46867" s="0" t="str">
        <f aca="false">HYPERLINK("https://lindat.mff.cuni.cz/services/teitok/pdtc10/index.php?action=vallex&amp;frame=v-w6560f3", "strávit (v-w6560f3)")</f>
        <v>strávit (v-w6560f3)</v>
      </c>
    </row>
    <row r="46868" customFormat="false" ht="12.8" hidden="false" customHeight="false" outlineLevel="0" collapsed="false">
      <c r="B46868" s="0" t="s">
        <v>1</v>
      </c>
    </row>
    <row r="46869" customFormat="false" ht="12.8" hidden="false" customHeight="false" outlineLevel="0" collapsed="false">
      <c r="B46869" s="0" t="s">
        <v>8</v>
      </c>
    </row>
    <row r="46871" customFormat="false" ht="12.8" hidden="false" customHeight="false" outlineLevel="0" collapsed="false">
      <c r="A46871" s="0" t="s">
        <v>16674</v>
      </c>
      <c r="B46871" s="0" t="str">
        <f aca="false">HYPERLINK("https://lindat.mff.cuni.cz/services/teitok/pdtc10/index.php?action=vallex&amp;frame=v-w6566f1", "strčit (v-w6566f1)")</f>
        <v>strčit (v-w6566f1)</v>
      </c>
      <c r="E46871" s="0" t="str">
        <f aca="false">HYPERLINK("https://lindat.mff.cuni.cz/services/SynSemClass40/SynSemClass40.html?veclass=vec00932#vec00932-ces-cm00001", "vec00932")</f>
        <v>vec00932</v>
      </c>
      <c r="F46871" s="0" t="s">
        <v>4723</v>
      </c>
    </row>
    <row r="46872" customFormat="false" ht="12.8" hidden="false" customHeight="false" outlineLevel="0" collapsed="false">
      <c r="B46872" s="0" t="s">
        <v>1</v>
      </c>
      <c r="C46872" s="0" t="s">
        <v>3000</v>
      </c>
      <c r="E46872" s="0" t="s">
        <v>4726</v>
      </c>
      <c r="F46872" s="0" t="s">
        <v>4727</v>
      </c>
    </row>
    <row r="46873" customFormat="false" ht="12.8" hidden="false" customHeight="false" outlineLevel="0" collapsed="false">
      <c r="B46873" s="0" t="s">
        <v>8</v>
      </c>
      <c r="C46873" s="0" t="s">
        <v>639</v>
      </c>
      <c r="E46873" s="0" t="s">
        <v>514</v>
      </c>
      <c r="F46873" s="0" t="s">
        <v>4730</v>
      </c>
    </row>
    <row r="46874" customFormat="false" ht="12.8" hidden="false" customHeight="false" outlineLevel="0" collapsed="false">
      <c r="B46874" s="0" t="s">
        <v>164</v>
      </c>
      <c r="E46874" s="0" t="s">
        <v>370</v>
      </c>
      <c r="F46874" s="0" t="s">
        <v>3041</v>
      </c>
    </row>
    <row r="46876" customFormat="false" ht="12.8" hidden="false" customHeight="false" outlineLevel="0" collapsed="false">
      <c r="A46876" s="0" t="s">
        <v>16675</v>
      </c>
      <c r="B46876" s="0" t="str">
        <f aca="false">HYPERLINK("https://lindat.mff.cuni.cz/services/teitok/pdtc10/index.php?action=vallex&amp;frame=v-w6566f3_ZU", "strčit (v-w6566f3_ZU)")</f>
        <v>strčit (v-w6566f3_ZU)</v>
      </c>
    </row>
    <row r="46877" customFormat="false" ht="12.8" hidden="false" customHeight="false" outlineLevel="0" collapsed="false">
      <c r="B46877" s="0" t="s">
        <v>1</v>
      </c>
    </row>
    <row r="46878" customFormat="false" ht="12.8" hidden="false" customHeight="false" outlineLevel="0" collapsed="false">
      <c r="B46878" s="0" t="s">
        <v>98</v>
      </c>
    </row>
    <row r="46879" customFormat="false" ht="12.8" hidden="false" customHeight="false" outlineLevel="0" collapsed="false">
      <c r="B46879" s="0" t="s">
        <v>1187</v>
      </c>
    </row>
    <row r="46881" customFormat="false" ht="12.8" hidden="false" customHeight="false" outlineLevel="0" collapsed="false">
      <c r="A46881" s="0" t="s">
        <v>16676</v>
      </c>
      <c r="B46881" s="0" t="str">
        <f aca="false">HYPERLINK("https://lindat.mff.cuni.cz/services/teitok/pdtc10/index.php?action=vallex&amp;frame=v-w6566f4_ZU", "strčit (v-w6566f4_ZU)")</f>
        <v>strčit (v-w6566f4_ZU)</v>
      </c>
    </row>
    <row r="46882" customFormat="false" ht="12.8" hidden="false" customHeight="false" outlineLevel="0" collapsed="false">
      <c r="B46882" s="0" t="s">
        <v>1</v>
      </c>
    </row>
    <row r="46883" customFormat="false" ht="12.8" hidden="false" customHeight="false" outlineLevel="0" collapsed="false">
      <c r="B46883" s="0" t="s">
        <v>52</v>
      </c>
    </row>
    <row r="46884" customFormat="false" ht="12.8" hidden="false" customHeight="false" outlineLevel="0" collapsed="false">
      <c r="B46884" s="0" t="s">
        <v>8</v>
      </c>
    </row>
    <row r="46886" customFormat="false" ht="12.8" hidden="false" customHeight="false" outlineLevel="0" collapsed="false">
      <c r="A46886" s="0" t="s">
        <v>16677</v>
      </c>
      <c r="B46886" s="0" t="str">
        <f aca="false">HYPERLINK("https://lindat.mff.cuni.cz/services/teitok/pdtc10/index.php?action=vallex&amp;frame=v-w6566f5_ZU", "strčit (v-w6566f5_ZU)")</f>
        <v>strčit (v-w6566f5_ZU)</v>
      </c>
    </row>
    <row r="46887" customFormat="false" ht="12.8" hidden="false" customHeight="false" outlineLevel="0" collapsed="false">
      <c r="B46887" s="0" t="s">
        <v>1</v>
      </c>
    </row>
    <row r="46888" customFormat="false" ht="12.8" hidden="false" customHeight="false" outlineLevel="0" collapsed="false">
      <c r="B46888" s="0" t="s">
        <v>8</v>
      </c>
    </row>
    <row r="46889" customFormat="false" ht="12.8" hidden="false" customHeight="false" outlineLevel="0" collapsed="false">
      <c r="B46889" s="0" t="s">
        <v>52</v>
      </c>
    </row>
    <row r="46891" customFormat="false" ht="12.8" hidden="false" customHeight="false" outlineLevel="0" collapsed="false">
      <c r="A46891" s="0" t="s">
        <v>16677</v>
      </c>
      <c r="B46891" s="0" t="str">
        <f aca="false">HYPERLINK("https://lindat.mff.cuni.cz/services/teitok/pdtc10/index.php?action=vallex&amp;frame=v-w6566f2_ZU", "strčit (v-w6566f2_ZU) - substituted with v-w6566f5_ZU")</f>
        <v>strčit (v-w6566f2_ZU) - substituted with v-w6566f5_ZU</v>
      </c>
    </row>
    <row r="46892" customFormat="false" ht="12.8" hidden="false" customHeight="false" outlineLevel="0" collapsed="false">
      <c r="B46892" s="0" t="s">
        <v>1</v>
      </c>
    </row>
    <row r="46893" customFormat="false" ht="12.8" hidden="false" customHeight="false" outlineLevel="0" collapsed="false">
      <c r="B46893" s="0" t="s">
        <v>8</v>
      </c>
    </row>
    <row r="46894" customFormat="false" ht="12.8" hidden="false" customHeight="false" outlineLevel="0" collapsed="false">
      <c r="B46894" s="0" t="s">
        <v>52</v>
      </c>
    </row>
    <row r="46896" customFormat="false" ht="12.8" hidden="false" customHeight="false" outlineLevel="0" collapsed="false">
      <c r="A46896" s="0" t="s">
        <v>16678</v>
      </c>
      <c r="B46896" s="0" t="str">
        <f aca="false">HYPERLINK("https://lindat.mff.cuni.cz/services/teitok/pdtc10/index.php?action=vallex&amp;frame=v-w6566hsa_1505", "strčit (v-w6566hsa_1505)")</f>
        <v>strčit (v-w6566hsa_1505)</v>
      </c>
    </row>
    <row r="46897" customFormat="false" ht="12.8" hidden="false" customHeight="false" outlineLevel="0" collapsed="false">
      <c r="B46897" s="0" t="s">
        <v>1</v>
      </c>
    </row>
    <row r="46898" customFormat="false" ht="12.8" hidden="false" customHeight="false" outlineLevel="0" collapsed="false">
      <c r="B46898" s="0" t="s">
        <v>8</v>
      </c>
    </row>
    <row r="46899" customFormat="false" ht="12.8" hidden="false" customHeight="false" outlineLevel="0" collapsed="false">
      <c r="B46899" s="0" t="s">
        <v>52</v>
      </c>
    </row>
    <row r="46901" customFormat="false" ht="12.8" hidden="false" customHeight="false" outlineLevel="0" collapsed="false">
      <c r="A46901" s="0" t="s">
        <v>16679</v>
      </c>
      <c r="B46901" s="0" t="str">
        <f aca="false">HYPERLINK("https://lindat.mff.cuni.cz/services/teitok/pdtc10/index.php?action=vallex&amp;frame=v-w6606f1", "studovat (v-w6606f1)")</f>
        <v>studovat (v-w6606f1)</v>
      </c>
      <c r="E46901" s="0" t="str">
        <f aca="false">HYPERLINK("https://lindat.mff.cuni.cz/services/SynSemClass40/SynSemClass40.html?veclass=vec00527#vec00527-ces-cm00001", "vec00527")</f>
        <v>vec00527</v>
      </c>
      <c r="F46901" s="0" t="s">
        <v>16680</v>
      </c>
    </row>
    <row r="46902" customFormat="false" ht="12.8" hidden="false" customHeight="false" outlineLevel="0" collapsed="false">
      <c r="B46902" s="0" t="s">
        <v>1</v>
      </c>
      <c r="C46902" s="0" t="s">
        <v>16681</v>
      </c>
      <c r="E46902" s="0" t="s">
        <v>621</v>
      </c>
      <c r="F46902" s="0" t="s">
        <v>16682</v>
      </c>
    </row>
    <row r="46903" customFormat="false" ht="12.8" hidden="false" customHeight="false" outlineLevel="0" collapsed="false">
      <c r="B46903" s="0" t="s">
        <v>8</v>
      </c>
      <c r="C46903" s="0" t="s">
        <v>16683</v>
      </c>
      <c r="E46903" s="0" t="s">
        <v>16262</v>
      </c>
      <c r="F46903" s="0" t="s">
        <v>16684</v>
      </c>
    </row>
    <row r="46905" customFormat="false" ht="12.8" hidden="false" customHeight="false" outlineLevel="0" collapsed="false">
      <c r="A46905" s="0" t="s">
        <v>16685</v>
      </c>
      <c r="B46905" s="0" t="str">
        <f aca="false">HYPERLINK("https://lindat.mff.cuni.cz/services/teitok/pdtc10/index.php?action=vallex&amp;frame=v-w6606f3_ZU", "studovat (v-w6606f3_ZU)")</f>
        <v>studovat (v-w6606f3_ZU)</v>
      </c>
    </row>
    <row r="46906" customFormat="false" ht="12.8" hidden="false" customHeight="false" outlineLevel="0" collapsed="false">
      <c r="B46906" s="0" t="s">
        <v>1</v>
      </c>
    </row>
    <row r="46907" customFormat="false" ht="12.8" hidden="false" customHeight="false" outlineLevel="0" collapsed="false">
      <c r="B46907" s="0" t="s">
        <v>305</v>
      </c>
    </row>
    <row r="46909" customFormat="false" ht="12.8" hidden="false" customHeight="false" outlineLevel="0" collapsed="false">
      <c r="A46909" s="0" t="s">
        <v>16685</v>
      </c>
      <c r="B46909" s="0" t="str">
        <f aca="false">HYPERLINK("https://lindat.mff.cuni.cz/services/teitok/pdtc10/index.php?action=vallex&amp;frame=v-w6606f2_ZU", "studovat (v-w6606f2_ZU) - substituted with v-w6606f3_ZU")</f>
        <v>studovat (v-w6606f2_ZU) - substituted with v-w6606f3_ZU</v>
      </c>
    </row>
    <row r="46910" customFormat="false" ht="12.8" hidden="false" customHeight="false" outlineLevel="0" collapsed="false">
      <c r="B46910" s="0" t="s">
        <v>1</v>
      </c>
    </row>
    <row r="46911" customFormat="false" ht="12.8" hidden="false" customHeight="false" outlineLevel="0" collapsed="false">
      <c r="B46911" s="0" t="s">
        <v>305</v>
      </c>
    </row>
    <row r="46913" customFormat="false" ht="12.8" hidden="false" customHeight="false" outlineLevel="0" collapsed="false">
      <c r="A46913" s="0" t="s">
        <v>16685</v>
      </c>
      <c r="B46913" s="0" t="str">
        <f aca="false">HYPERLINK("https://lindat.mff.cuni.cz/services/teitok/pdtc10/index.php?action=vallex&amp;frame=v-w6606hsa_815", "studovat (v-w6606hsa_815) - substituted with v-w6606f3_ZU")</f>
        <v>studovat (v-w6606hsa_815) - substituted with v-w6606f3_ZU</v>
      </c>
      <c r="E46913" s="0" t="str">
        <f aca="false">HYPERLINK("https://lindat.mff.cuni.cz/services/SynSemClass40/SynSemClass40.html?veclass=vec00090#vec00090-ces-cm00030", "vec00090")</f>
        <v>vec00090</v>
      </c>
      <c r="F46913" s="0" t="s">
        <v>113</v>
      </c>
    </row>
    <row r="46914" customFormat="false" ht="12.8" hidden="false" customHeight="false" outlineLevel="0" collapsed="false">
      <c r="B46914" s="0" t="s">
        <v>1</v>
      </c>
      <c r="C46914" s="0" t="s">
        <v>114</v>
      </c>
      <c r="E46914" s="0" t="s">
        <v>115</v>
      </c>
      <c r="F46914" s="0" t="s">
        <v>116</v>
      </c>
    </row>
    <row r="46915" customFormat="false" ht="12.8" hidden="false" customHeight="false" outlineLevel="0" collapsed="false">
      <c r="B46915" s="0" t="s">
        <v>305</v>
      </c>
      <c r="C46915" s="0" t="s">
        <v>118</v>
      </c>
      <c r="E46915" s="0" t="s">
        <v>119</v>
      </c>
      <c r="F46915" s="0" t="s">
        <v>120</v>
      </c>
    </row>
    <row r="46917" customFormat="false" ht="12.8" hidden="false" customHeight="false" outlineLevel="0" collapsed="false">
      <c r="A46917" s="0" t="s">
        <v>16686</v>
      </c>
      <c r="B46917" s="0" t="str">
        <f aca="false">HYPERLINK("https://lindat.mff.cuni.cz/services/teitok/pdtc10/index.php?action=vallex&amp;frame=v-w6606hsa_1762", "studovat (v-w6606hsa_1762)")</f>
        <v>studovat (v-w6606hsa_1762)</v>
      </c>
    </row>
    <row r="46918" customFormat="false" ht="12.8" hidden="false" customHeight="false" outlineLevel="0" collapsed="false">
      <c r="B46918" s="0" t="s">
        <v>1</v>
      </c>
    </row>
    <row r="46919" customFormat="false" ht="12.8" hidden="false" customHeight="false" outlineLevel="0" collapsed="false">
      <c r="B46919" s="0" t="s">
        <v>45</v>
      </c>
    </row>
    <row r="46921" customFormat="false" ht="12.8" hidden="false" customHeight="false" outlineLevel="0" collapsed="false">
      <c r="A46921" s="0" t="s">
        <v>16687</v>
      </c>
      <c r="B46921" s="0" t="str">
        <f aca="false">HYPERLINK("https://lindat.mff.cuni.cz/services/teitok/pdtc10/index.php?action=vallex&amp;frame=v-w6607f1", "stupňovat (v-w6607f1)")</f>
        <v>stupňovat (v-w6607f1)</v>
      </c>
      <c r="E46921" s="0" t="str">
        <f aca="false">HYPERLINK("https://lindat.mff.cuni.cz/services/SynSemClass40/SynSemClass40.html?veclass=vec00298#vec00298-ces-cm00033", "vec00298")</f>
        <v>vec00298</v>
      </c>
      <c r="F46921" s="0" t="s">
        <v>7194</v>
      </c>
    </row>
    <row r="46922" customFormat="false" ht="12.8" hidden="false" customHeight="false" outlineLevel="0" collapsed="false">
      <c r="B46922" s="0" t="s">
        <v>1</v>
      </c>
      <c r="C46922" s="0" t="s">
        <v>7195</v>
      </c>
      <c r="E46922" s="0" t="s">
        <v>31</v>
      </c>
      <c r="F46922" s="0" t="s">
        <v>7196</v>
      </c>
    </row>
    <row r="46923" customFormat="false" ht="12.8" hidden="false" customHeight="false" outlineLevel="0" collapsed="false">
      <c r="B46923" s="0" t="s">
        <v>8</v>
      </c>
      <c r="C46923" s="0" t="s">
        <v>7197</v>
      </c>
      <c r="E46923" s="0" t="s">
        <v>1569</v>
      </c>
      <c r="F46923" s="0" t="s">
        <v>7198</v>
      </c>
    </row>
    <row r="46925" customFormat="false" ht="12.8" hidden="false" customHeight="false" outlineLevel="0" collapsed="false">
      <c r="A46925" s="0" t="s">
        <v>16688</v>
      </c>
      <c r="B46925" s="0" t="str">
        <f aca="false">HYPERLINK("https://lindat.mff.cuni.cz/services/teitok/pdtc10/index.php?action=vallex&amp;frame=v-w6608f1", "stupňovat se (v-w6608f1)")</f>
        <v>stupňovat se (v-w6608f1)</v>
      </c>
      <c r="E46925" s="0" t="str">
        <f aca="false">HYPERLINK("https://lindat.mff.cuni.cz/services/SynSemClass40/SynSemClass40.html?veclass=vec00730#vec00730-ces-cm00001", "vec00730")</f>
        <v>vec00730</v>
      </c>
      <c r="F46925" s="0" t="s">
        <v>5144</v>
      </c>
      <c r="H46925" s="0" t="str">
        <f aca="false">HYPERLINK("https://lindat.mff.cuni.cz/services/SynSemClass40/SynSemClass40.html?veclass=vec01498#vec01498-ces-cm00004", "vec01498")</f>
        <v>vec01498</v>
      </c>
      <c r="I46925" s="0" t="s">
        <v>7511</v>
      </c>
    </row>
    <row r="46926" customFormat="false" ht="12.8" hidden="false" customHeight="false" outlineLevel="0" collapsed="false">
      <c r="B46926" s="0" t="s">
        <v>1</v>
      </c>
      <c r="C46926" s="0" t="s">
        <v>16689</v>
      </c>
      <c r="E46926" s="0" t="s">
        <v>4943</v>
      </c>
      <c r="F46926" s="0" t="s">
        <v>5147</v>
      </c>
      <c r="H46926" s="0" t="s">
        <v>84</v>
      </c>
      <c r="I46926" s="0" t="s">
        <v>7513</v>
      </c>
    </row>
    <row r="46928" customFormat="false" ht="12.8" hidden="false" customHeight="false" outlineLevel="0" collapsed="false">
      <c r="A46928" s="0" t="s">
        <v>16690</v>
      </c>
      <c r="B46928" s="0" t="str">
        <f aca="false">HYPERLINK("https://lindat.mff.cuni.cz/services/teitok/pdtc10/index.php?action=vallex&amp;frame=v-w6610f1", "stvořit (v-w6610f1)")</f>
        <v>stvořit (v-w6610f1)</v>
      </c>
      <c r="E46928" s="0" t="str">
        <f aca="false">HYPERLINK("https://lindat.mff.cuni.cz/services/SynSemClass40/SynSemClass40.html?veclass=vec00084#vec00084-ces-cm00093", "vec00084")</f>
        <v>vec00084</v>
      </c>
      <c r="F46928" s="0" t="s">
        <v>778</v>
      </c>
      <c r="H46928" s="0" t="str">
        <f aca="false">HYPERLINK("https://lindat.mff.cuni.cz/services/SynSemClass40/SynSemClass40.html?veclass=vec01490#vec01490-ces-cm00014", "vec01490")</f>
        <v>vec01490</v>
      </c>
      <c r="I46928" s="0" t="s">
        <v>2391</v>
      </c>
    </row>
    <row r="46929" customFormat="false" ht="12.8" hidden="false" customHeight="false" outlineLevel="0" collapsed="false">
      <c r="B46929" s="0" t="s">
        <v>1</v>
      </c>
      <c r="C46929" s="0" t="s">
        <v>15713</v>
      </c>
      <c r="E46929" s="0" t="s">
        <v>31</v>
      </c>
      <c r="F46929" s="0" t="s">
        <v>781</v>
      </c>
      <c r="H46929" s="0" t="s">
        <v>768</v>
      </c>
      <c r="I46929" s="0" t="s">
        <v>2393</v>
      </c>
    </row>
    <row r="46930" customFormat="false" ht="12.8" hidden="false" customHeight="false" outlineLevel="0" collapsed="false">
      <c r="B46930" s="0" t="s">
        <v>8</v>
      </c>
      <c r="C46930" s="0" t="s">
        <v>15714</v>
      </c>
      <c r="E46930" s="0" t="s">
        <v>771</v>
      </c>
      <c r="F46930" s="0" t="s">
        <v>784</v>
      </c>
      <c r="H46930" s="0" t="s">
        <v>771</v>
      </c>
      <c r="I46930" s="0" t="s">
        <v>2395</v>
      </c>
    </row>
    <row r="46931" customFormat="false" ht="12.8" hidden="false" customHeight="false" outlineLevel="0" collapsed="false">
      <c r="B46931" s="0" t="s">
        <v>36</v>
      </c>
      <c r="C46931" s="0" t="s">
        <v>15715</v>
      </c>
      <c r="E46931" s="0" t="s">
        <v>787</v>
      </c>
      <c r="F46931" s="0" t="s">
        <v>788</v>
      </c>
      <c r="H46931" s="0" t="s">
        <v>38</v>
      </c>
      <c r="I46931" s="0" t="s">
        <v>2397</v>
      </c>
    </row>
    <row r="46933" customFormat="false" ht="12.8" hidden="false" customHeight="false" outlineLevel="0" collapsed="false">
      <c r="A46933" s="0" t="s">
        <v>16691</v>
      </c>
      <c r="B46933" s="0" t="str">
        <f aca="false">HYPERLINK("https://lindat.mff.cuni.cz/services/teitok/pdtc10/index.php?action=vallex&amp;frame=v-w10598f2", "stvrdit (v-w10598f2)")</f>
        <v>stvrdit (v-w10598f2)</v>
      </c>
      <c r="E46933" s="0" t="str">
        <f aca="false">HYPERLINK("https://lindat.mff.cuni.cz/services/SynSemClass40/SynSemClass40.html?veclass=vec00078#vec00078-ces-cm00022", "vec00078")</f>
        <v>vec00078</v>
      </c>
      <c r="F46933" s="0" t="s">
        <v>204</v>
      </c>
    </row>
    <row r="46934" customFormat="false" ht="12.8" hidden="false" customHeight="false" outlineLevel="0" collapsed="false">
      <c r="B46934" s="0" t="s">
        <v>1</v>
      </c>
      <c r="C46934" s="0" t="s">
        <v>205</v>
      </c>
      <c r="E46934" s="0" t="s">
        <v>206</v>
      </c>
      <c r="F46934" s="0" t="s">
        <v>207</v>
      </c>
    </row>
    <row r="46935" customFormat="false" ht="12.8" hidden="false" customHeight="false" outlineLevel="0" collapsed="false">
      <c r="B46935" s="0" t="s">
        <v>3028</v>
      </c>
      <c r="C46935" s="0" t="s">
        <v>208</v>
      </c>
      <c r="E46935" s="0" t="s">
        <v>209</v>
      </c>
      <c r="F46935" s="0" t="s">
        <v>210</v>
      </c>
    </row>
    <row r="46936" customFormat="false" ht="12.8" hidden="false" customHeight="false" outlineLevel="0" collapsed="false">
      <c r="B46936" s="0" t="s">
        <v>132</v>
      </c>
      <c r="C46936" s="0" t="s">
        <v>2304</v>
      </c>
      <c r="E46936" s="0" t="s">
        <v>2305</v>
      </c>
      <c r="F46936" s="0" t="s">
        <v>2306</v>
      </c>
    </row>
    <row r="46938" customFormat="false" ht="12.8" hidden="false" customHeight="false" outlineLevel="0" collapsed="false">
      <c r="A46938" s="0" t="s">
        <v>16692</v>
      </c>
      <c r="B46938" s="0" t="str">
        <f aca="false">HYPERLINK("https://lindat.mff.cuni.cz/services/teitok/pdtc10/index.php?action=vallex&amp;frame=v-w6612f1", "stvrzovat (v-w6612f1)")</f>
        <v>stvrzovat (v-w6612f1)</v>
      </c>
      <c r="E46938" s="0" t="str">
        <f aca="false">HYPERLINK("https://lindat.mff.cuni.cz/services/SynSemClass40/SynSemClass40.html?veclass=vec00078#vec00078-ces-cm00113", "vec00078")</f>
        <v>vec00078</v>
      </c>
      <c r="F46938" s="0" t="s">
        <v>204</v>
      </c>
    </row>
    <row r="46939" customFormat="false" ht="12.8" hidden="false" customHeight="false" outlineLevel="0" collapsed="false">
      <c r="B46939" s="0" t="s">
        <v>1</v>
      </c>
      <c r="C46939" s="0" t="s">
        <v>205</v>
      </c>
      <c r="E46939" s="0" t="s">
        <v>206</v>
      </c>
      <c r="F46939" s="0" t="s">
        <v>207</v>
      </c>
    </row>
    <row r="46940" customFormat="false" ht="12.8" hidden="false" customHeight="false" outlineLevel="0" collapsed="false">
      <c r="B46940" s="0" t="s">
        <v>3028</v>
      </c>
      <c r="C46940" s="0" t="s">
        <v>208</v>
      </c>
      <c r="E46940" s="0" t="s">
        <v>209</v>
      </c>
      <c r="F46940" s="0" t="s">
        <v>210</v>
      </c>
    </row>
    <row r="46941" customFormat="false" ht="12.8" hidden="false" customHeight="false" outlineLevel="0" collapsed="false">
      <c r="B46941" s="0" t="s">
        <v>132</v>
      </c>
      <c r="C46941" s="0" t="s">
        <v>2304</v>
      </c>
      <c r="E46941" s="0" t="s">
        <v>2305</v>
      </c>
      <c r="F46941" s="0" t="s">
        <v>2306</v>
      </c>
    </row>
    <row r="46943" customFormat="false" ht="12.8" hidden="false" customHeight="false" outlineLevel="0" collapsed="false">
      <c r="A46943" s="0" t="s">
        <v>16693</v>
      </c>
      <c r="B46943" s="0" t="str">
        <f aca="false">HYPERLINK("https://lindat.mff.cuni.cz/services/teitok/pdtc10/index.php?action=vallex&amp;frame=v-w6613f2_ZU", "stydět se (v-w6613f2_ZU)")</f>
        <v>stydět se (v-w6613f2_ZU)</v>
      </c>
    </row>
    <row r="46944" customFormat="false" ht="12.8" hidden="false" customHeight="false" outlineLevel="0" collapsed="false">
      <c r="B46944" s="0" t="s">
        <v>1</v>
      </c>
    </row>
    <row r="46945" customFormat="false" ht="12.8" hidden="false" customHeight="false" outlineLevel="0" collapsed="false">
      <c r="B46945" s="0" t="s">
        <v>16694</v>
      </c>
    </row>
    <row r="46947" customFormat="false" ht="12.8" hidden="false" customHeight="false" outlineLevel="0" collapsed="false">
      <c r="A46947" s="0" t="s">
        <v>16693</v>
      </c>
      <c r="B46947" s="0" t="str">
        <f aca="false">HYPERLINK("https://lindat.mff.cuni.cz/services/teitok/pdtc10/index.php?action=vallex&amp;frame=v-w6613f1", "stydět se (v-w6613f1) - substituted with v-w6613f2_ZU")</f>
        <v>stydět se (v-w6613f1) - substituted with v-w6613f2_ZU</v>
      </c>
    </row>
    <row r="46948" customFormat="false" ht="12.8" hidden="false" customHeight="false" outlineLevel="0" collapsed="false">
      <c r="B46948" s="0" t="s">
        <v>1</v>
      </c>
    </row>
    <row r="46949" customFormat="false" ht="12.8" hidden="false" customHeight="false" outlineLevel="0" collapsed="false">
      <c r="B46949" s="0" t="s">
        <v>16694</v>
      </c>
    </row>
    <row r="46951" customFormat="false" ht="12.8" hidden="false" customHeight="false" outlineLevel="0" collapsed="false">
      <c r="A46951" s="0" t="s">
        <v>16695</v>
      </c>
      <c r="B46951" s="0" t="str">
        <f aca="false">HYPERLINK("https://lindat.mff.cuni.cz/services/teitok/pdtc10/index.php?action=vallex&amp;frame=v-w6466f4_ZU", "stáhnout (v-w6466f4_ZU)")</f>
        <v>stáhnout (v-w6466f4_ZU)</v>
      </c>
    </row>
    <row r="46952" customFormat="false" ht="12.8" hidden="false" customHeight="false" outlineLevel="0" collapsed="false">
      <c r="B46952" s="0" t="s">
        <v>1</v>
      </c>
    </row>
    <row r="46953" customFormat="false" ht="12.8" hidden="false" customHeight="false" outlineLevel="0" collapsed="false">
      <c r="B46953" s="0" t="s">
        <v>8</v>
      </c>
    </row>
    <row r="46954" customFormat="false" ht="12.8" hidden="false" customHeight="false" outlineLevel="0" collapsed="false">
      <c r="B46954" s="0" t="s">
        <v>36</v>
      </c>
    </row>
    <row r="46955" customFormat="false" ht="12.8" hidden="false" customHeight="false" outlineLevel="0" collapsed="false">
      <c r="B46955" s="0" t="s">
        <v>101</v>
      </c>
    </row>
    <row r="46957" customFormat="false" ht="12.8" hidden="false" customHeight="false" outlineLevel="0" collapsed="false">
      <c r="A46957" s="0" t="s">
        <v>16696</v>
      </c>
      <c r="B46957" s="0" t="str">
        <f aca="false">HYPERLINK("https://lindat.mff.cuni.cz/services/teitok/pdtc10/index.php?action=vallex&amp;frame=v-w6466f1", "stáhnout (v-w6466f1)")</f>
        <v>stáhnout (v-w6466f1)</v>
      </c>
      <c r="E46957" s="0" t="str">
        <f aca="false">HYPERLINK("https://lindat.mff.cuni.cz/services/SynSemClass40/SynSemClass40.html?veclass=vec00321#vec00321-ces-cm00001", "vec00321")</f>
        <v>vec00321</v>
      </c>
      <c r="F46957" s="0" t="s">
        <v>9354</v>
      </c>
    </row>
    <row r="46958" customFormat="false" ht="12.8" hidden="false" customHeight="false" outlineLevel="0" collapsed="false">
      <c r="B46958" s="0" t="s">
        <v>1</v>
      </c>
      <c r="C46958" s="0" t="s">
        <v>4134</v>
      </c>
      <c r="E46958" s="0" t="s">
        <v>76</v>
      </c>
      <c r="F46958" s="0" t="s">
        <v>9355</v>
      </c>
    </row>
    <row r="46959" customFormat="false" ht="12.8" hidden="false" customHeight="false" outlineLevel="0" collapsed="false">
      <c r="B46959" s="0" t="s">
        <v>8</v>
      </c>
      <c r="C46959" s="0" t="s">
        <v>9356</v>
      </c>
      <c r="E46959" s="0" t="s">
        <v>2648</v>
      </c>
      <c r="F46959" s="0" t="s">
        <v>9357</v>
      </c>
    </row>
    <row r="46960" customFormat="false" ht="12.8" hidden="false" customHeight="false" outlineLevel="0" collapsed="false">
      <c r="B46960" s="0" t="s">
        <v>631</v>
      </c>
      <c r="E46960" s="0" t="s">
        <v>1924</v>
      </c>
      <c r="F46960" s="0" t="s">
        <v>9358</v>
      </c>
    </row>
    <row r="46962" customFormat="false" ht="12.8" hidden="false" customHeight="false" outlineLevel="0" collapsed="false">
      <c r="A46962" s="0" t="s">
        <v>16697</v>
      </c>
      <c r="B46962" s="0" t="str">
        <f aca="false">HYPERLINK("https://lindat.mff.cuni.cz/services/teitok/pdtc10/index.php?action=vallex&amp;frame=v-w6466f3_ZU", "stáhnout (v-w6466f3_ZU)")</f>
        <v>stáhnout (v-w6466f3_ZU)</v>
      </c>
    </row>
    <row r="46963" customFormat="false" ht="12.8" hidden="false" customHeight="false" outlineLevel="0" collapsed="false">
      <c r="B46963" s="0" t="s">
        <v>1</v>
      </c>
    </row>
    <row r="46964" customFormat="false" ht="12.8" hidden="false" customHeight="false" outlineLevel="0" collapsed="false">
      <c r="B46964" s="0" t="s">
        <v>8</v>
      </c>
    </row>
    <row r="46965" customFormat="false" ht="12.8" hidden="false" customHeight="false" outlineLevel="0" collapsed="false">
      <c r="B46965" s="0" t="s">
        <v>361</v>
      </c>
    </row>
    <row r="46967" customFormat="false" ht="12.8" hidden="false" customHeight="false" outlineLevel="0" collapsed="false">
      <c r="A46967" s="0" t="s">
        <v>16698</v>
      </c>
      <c r="B46967" s="0" t="str">
        <f aca="false">HYPERLINK("https://lindat.mff.cuni.cz/services/teitok/pdtc10/index.php?action=vallex&amp;frame=v-w6466f5_ZU", "stáhnout (v-w6466f5_ZU)")</f>
        <v>stáhnout (v-w6466f5_ZU)</v>
      </c>
    </row>
    <row r="46968" customFormat="false" ht="12.8" hidden="false" customHeight="false" outlineLevel="0" collapsed="false">
      <c r="B46968" s="0" t="s">
        <v>1</v>
      </c>
    </row>
    <row r="46969" customFormat="false" ht="12.8" hidden="false" customHeight="false" outlineLevel="0" collapsed="false">
      <c r="B46969" s="0" t="s">
        <v>8</v>
      </c>
    </row>
    <row r="46970" customFormat="false" ht="12.8" hidden="false" customHeight="false" outlineLevel="0" collapsed="false">
      <c r="B46970" s="0" t="s">
        <v>454</v>
      </c>
    </row>
    <row r="46972" customFormat="false" ht="12.8" hidden="false" customHeight="false" outlineLevel="0" collapsed="false">
      <c r="A46972" s="0" t="s">
        <v>16699</v>
      </c>
      <c r="B46972" s="0" t="str">
        <f aca="false">HYPERLINK("https://lindat.mff.cuni.cz/services/teitok/pdtc10/index.php?action=vallex&amp;frame=v-w6466f6_ZU", "stáhnout (v-w6466f6_ZU)")</f>
        <v>stáhnout (v-w6466f6_ZU)</v>
      </c>
      <c r="E46972" s="0" t="str">
        <f aca="false">HYPERLINK("https://lindat.mff.cuni.cz/services/SynSemClass40/SynSemClass40.html?veclass=vec00198#vec00198-ces-cm00080", "vec00198")</f>
        <v>vec00198</v>
      </c>
      <c r="F46972" s="0" t="s">
        <v>134</v>
      </c>
    </row>
    <row r="46973" customFormat="false" ht="12.8" hidden="false" customHeight="false" outlineLevel="0" collapsed="false">
      <c r="B46973" s="0" t="s">
        <v>1</v>
      </c>
      <c r="C46973" s="0" t="s">
        <v>8126</v>
      </c>
      <c r="E46973" s="0" t="s">
        <v>31</v>
      </c>
      <c r="F46973" s="0" t="s">
        <v>137</v>
      </c>
    </row>
    <row r="46974" customFormat="false" ht="12.8" hidden="false" customHeight="false" outlineLevel="0" collapsed="false">
      <c r="B46974" s="0" t="s">
        <v>8</v>
      </c>
      <c r="C46974" s="0" t="s">
        <v>8127</v>
      </c>
      <c r="E46974" s="0" t="s">
        <v>140</v>
      </c>
      <c r="F46974" s="0" t="s">
        <v>141</v>
      </c>
    </row>
    <row r="46976" customFormat="false" ht="12.8" hidden="false" customHeight="false" outlineLevel="0" collapsed="false">
      <c r="A46976" s="0" t="s">
        <v>16699</v>
      </c>
      <c r="B46976" s="0" t="str">
        <f aca="false">HYPERLINK("https://lindat.mff.cuni.cz/services/teitok/pdtc10/index.php?action=vallex&amp;frame=v-w6466f2_ZU", "stáhnout (v-w6466f2_ZU) - substituted with v-w6466f6_ZU")</f>
        <v>stáhnout (v-w6466f2_ZU) - substituted with v-w6466f6_ZU</v>
      </c>
    </row>
    <row r="46977" customFormat="false" ht="12.8" hidden="false" customHeight="false" outlineLevel="0" collapsed="false">
      <c r="B46977" s="0" t="s">
        <v>1</v>
      </c>
    </row>
    <row r="46978" customFormat="false" ht="12.8" hidden="false" customHeight="false" outlineLevel="0" collapsed="false">
      <c r="B46978" s="0" t="s">
        <v>8</v>
      </c>
    </row>
    <row r="46980" customFormat="false" ht="12.8" hidden="false" customHeight="false" outlineLevel="0" collapsed="false">
      <c r="A46980" s="0" t="s">
        <v>16700</v>
      </c>
      <c r="B46980" s="0" t="str">
        <f aca="false">HYPERLINK("https://lindat.mff.cuni.cz/services/teitok/pdtc10/index.php?action=vallex&amp;frame=v-w6466hsa_496", "stáhnout (v-w6466hsa_496)")</f>
        <v>stáhnout (v-w6466hsa_496)</v>
      </c>
      <c r="E46980" s="0" t="str">
        <f aca="false">HYPERLINK("https://lindat.mff.cuni.cz/services/SynSemClass40/SynSemClass40.html?veclass=vec01327#vec01327-ces-cm00003", "vec01327")</f>
        <v>vec01327</v>
      </c>
      <c r="F46980" s="0" t="s">
        <v>16701</v>
      </c>
    </row>
    <row r="46981" customFormat="false" ht="12.8" hidden="false" customHeight="false" outlineLevel="0" collapsed="false">
      <c r="B46981" s="0" t="s">
        <v>1</v>
      </c>
      <c r="C46981" s="0" t="s">
        <v>4695</v>
      </c>
      <c r="E46981" s="0" t="s">
        <v>31</v>
      </c>
      <c r="F46981" s="0" t="s">
        <v>460</v>
      </c>
    </row>
    <row r="46982" customFormat="false" ht="12.8" hidden="false" customHeight="false" outlineLevel="0" collapsed="false">
      <c r="B46982" s="0" t="s">
        <v>8</v>
      </c>
      <c r="C46982" s="0" t="s">
        <v>462</v>
      </c>
      <c r="E46982" s="0" t="s">
        <v>142</v>
      </c>
      <c r="F46982" s="0" t="s">
        <v>8814</v>
      </c>
    </row>
    <row r="46984" customFormat="false" ht="12.8" hidden="false" customHeight="false" outlineLevel="0" collapsed="false">
      <c r="A46984" s="0" t="s">
        <v>16702</v>
      </c>
      <c r="B46984" s="0" t="str">
        <f aca="false">HYPERLINK("https://lindat.mff.cuni.cz/services/teitok/pdtc10/index.php?action=vallex&amp;frame=v-w6466f7_ZU", "stáhnout (v-w6466f7_ZU)")</f>
        <v>stáhnout (v-w6466f7_ZU)</v>
      </c>
    </row>
    <row r="46985" customFormat="false" ht="12.8" hidden="false" customHeight="false" outlineLevel="0" collapsed="false">
      <c r="B46985" s="0" t="s">
        <v>1</v>
      </c>
    </row>
    <row r="46986" customFormat="false" ht="12.8" hidden="false" customHeight="false" outlineLevel="0" collapsed="false">
      <c r="B46986" s="0" t="s">
        <v>8</v>
      </c>
    </row>
    <row r="46987" customFormat="false" ht="12.8" hidden="false" customHeight="false" outlineLevel="0" collapsed="false">
      <c r="B46987" s="0" t="s">
        <v>16703</v>
      </c>
    </row>
    <row r="46989" customFormat="false" ht="12.8" hidden="false" customHeight="false" outlineLevel="0" collapsed="false">
      <c r="A46989" s="0" t="s">
        <v>16702</v>
      </c>
      <c r="B46989" s="0" t="str">
        <f aca="false">HYPERLINK("https://lindat.mff.cuni.cz/services/teitok/pdtc10/index.php?action=vallex&amp;frame=v-w6466hsa_497", "stáhnout (v-w6466hsa_497) - substituted with v-w6466f7_ZU")</f>
        <v>stáhnout (v-w6466hsa_497) - substituted with v-w6466f7_ZU</v>
      </c>
    </row>
    <row r="46990" customFormat="false" ht="12.8" hidden="false" customHeight="false" outlineLevel="0" collapsed="false">
      <c r="B46990" s="0" t="s">
        <v>1</v>
      </c>
    </row>
    <row r="46991" customFormat="false" ht="12.8" hidden="false" customHeight="false" outlineLevel="0" collapsed="false">
      <c r="B46991" s="0" t="s">
        <v>8</v>
      </c>
    </row>
    <row r="46992" customFormat="false" ht="12.8" hidden="false" customHeight="false" outlineLevel="0" collapsed="false">
      <c r="B46992" s="0" t="s">
        <v>16703</v>
      </c>
    </row>
    <row r="46994" customFormat="false" ht="12.8" hidden="false" customHeight="false" outlineLevel="0" collapsed="false">
      <c r="A46994" s="0" t="s">
        <v>16704</v>
      </c>
      <c r="B46994" s="0" t="str">
        <f aca="false">HYPERLINK("https://lindat.mff.cuni.cz/services/teitok/pdtc10/index.php?action=vallex&amp;frame=v-w6466f8_ZU", "stáhnout (v-w6466f8_ZU)")</f>
        <v>stáhnout (v-w6466f8_ZU)</v>
      </c>
    </row>
    <row r="46995" customFormat="false" ht="12.8" hidden="false" customHeight="false" outlineLevel="0" collapsed="false">
      <c r="B46995" s="0" t="s">
        <v>1</v>
      </c>
    </row>
    <row r="46996" customFormat="false" ht="12.8" hidden="false" customHeight="false" outlineLevel="0" collapsed="false">
      <c r="B46996" s="0" t="s">
        <v>8</v>
      </c>
    </row>
    <row r="46997" customFormat="false" ht="12.8" hidden="false" customHeight="false" outlineLevel="0" collapsed="false">
      <c r="B46997" s="0" t="s">
        <v>36</v>
      </c>
    </row>
    <row r="46999" customFormat="false" ht="12.8" hidden="false" customHeight="false" outlineLevel="0" collapsed="false">
      <c r="A46999" s="0" t="s">
        <v>16705</v>
      </c>
      <c r="B46999" s="0" t="str">
        <f aca="false">HYPERLINK("https://lindat.mff.cuni.cz/services/teitok/pdtc10/index.php?action=vallex&amp;frame=v-w6466f9_ZU", "stáhnout (v-w6466f9_ZU)")</f>
        <v>stáhnout (v-w6466f9_ZU)</v>
      </c>
    </row>
    <row r="47000" customFormat="false" ht="12.8" hidden="false" customHeight="false" outlineLevel="0" collapsed="false">
      <c r="B47000" s="0" t="s">
        <v>1</v>
      </c>
    </row>
    <row r="47001" customFormat="false" ht="12.8" hidden="false" customHeight="false" outlineLevel="0" collapsed="false">
      <c r="B47001" s="0" t="s">
        <v>8</v>
      </c>
    </row>
    <row r="47002" customFormat="false" ht="12.8" hidden="false" customHeight="false" outlineLevel="0" collapsed="false">
      <c r="B47002" s="0" t="s">
        <v>6273</v>
      </c>
    </row>
    <row r="47004" customFormat="false" ht="12.8" hidden="false" customHeight="false" outlineLevel="0" collapsed="false">
      <c r="A47004" s="0" t="s">
        <v>16706</v>
      </c>
      <c r="B47004" s="0" t="str">
        <f aca="false">HYPERLINK("https://lindat.mff.cuni.cz/services/teitok/pdtc10/index.php?action=vallex&amp;frame=v-w6467f1", "stáhnout se (v-w6467f1)")</f>
        <v>stáhnout se (v-w6467f1)</v>
      </c>
      <c r="E47004" s="0" t="str">
        <f aca="false">HYPERLINK("https://lindat.mff.cuni.cz/services/SynSemClass40/SynSemClass40.html?veclass=vec00048#vec00048-ces-cm00191", "vec00048")</f>
        <v>vec00048</v>
      </c>
      <c r="F47004" s="0" t="s">
        <v>1945</v>
      </c>
    </row>
    <row r="47005" customFormat="false" ht="12.8" hidden="false" customHeight="false" outlineLevel="0" collapsed="false">
      <c r="B47005" s="0" t="s">
        <v>1</v>
      </c>
      <c r="C47005" s="0" t="s">
        <v>1946</v>
      </c>
      <c r="E47005" s="0" t="s">
        <v>334</v>
      </c>
      <c r="F47005" s="0" t="s">
        <v>1947</v>
      </c>
    </row>
    <row r="47006" customFormat="false" ht="12.8" hidden="false" customHeight="false" outlineLevel="0" collapsed="false">
      <c r="B47006" s="0" t="s">
        <v>631</v>
      </c>
      <c r="C47006" s="0" t="s">
        <v>1948</v>
      </c>
      <c r="E47006" s="0" t="s">
        <v>1949</v>
      </c>
      <c r="F47006" s="0" t="s">
        <v>1950</v>
      </c>
    </row>
    <row r="47008" customFormat="false" ht="12.8" hidden="false" customHeight="false" outlineLevel="0" collapsed="false">
      <c r="A47008" s="0" t="s">
        <v>16707</v>
      </c>
      <c r="B47008" s="0" t="str">
        <f aca="false">HYPERLINK("https://lindat.mff.cuni.cz/services/teitok/pdtc10/index.php?action=vallex&amp;frame=v-w6467f2", "stáhnout se (v-w6467f2)")</f>
        <v>stáhnout se (v-w6467f2)</v>
      </c>
    </row>
    <row r="47009" customFormat="false" ht="12.8" hidden="false" customHeight="false" outlineLevel="0" collapsed="false">
      <c r="B47009" s="0" t="s">
        <v>1</v>
      </c>
    </row>
    <row r="47010" customFormat="false" ht="12.8" hidden="false" customHeight="false" outlineLevel="0" collapsed="false">
      <c r="B47010" s="0" t="s">
        <v>164</v>
      </c>
    </row>
    <row r="47012" customFormat="false" ht="12.8" hidden="false" customHeight="false" outlineLevel="0" collapsed="false">
      <c r="A47012" s="0" t="s">
        <v>16708</v>
      </c>
      <c r="B47012" s="0" t="str">
        <f aca="false">HYPERLINK("https://lindat.mff.cuni.cz/services/teitok/pdtc10/index.php?action=vallex&amp;frame=v-w6467f3_ZU", "stáhnout se (v-w6467f3_ZU)")</f>
        <v>stáhnout se (v-w6467f3_ZU)</v>
      </c>
    </row>
    <row r="47013" customFormat="false" ht="12.8" hidden="false" customHeight="false" outlineLevel="0" collapsed="false">
      <c r="B47013" s="0" t="s">
        <v>1</v>
      </c>
    </row>
    <row r="47015" customFormat="false" ht="12.8" hidden="false" customHeight="false" outlineLevel="0" collapsed="false">
      <c r="A47015" s="0" t="s">
        <v>16709</v>
      </c>
      <c r="B47015" s="0" t="str">
        <f aca="false">HYPERLINK("https://lindat.mff.cuni.cz/services/teitok/pdtc10/index.php?action=vallex&amp;frame=v-w6484f1", "stárnout (v-w6484f1)")</f>
        <v>stárnout (v-w6484f1)</v>
      </c>
      <c r="E47015" s="0" t="str">
        <f aca="false">HYPERLINK("https://lindat.mff.cuni.cz/services/SynSemClass40/SynSemClass40.html?veclass=vec01380#vec01380-ces-cm00003", "vec01380")</f>
        <v>vec01380</v>
      </c>
      <c r="F47015" s="0" t="s">
        <v>2774</v>
      </c>
    </row>
    <row r="47016" customFormat="false" ht="12.8" hidden="false" customHeight="false" outlineLevel="0" collapsed="false">
      <c r="B47016" s="0" t="s">
        <v>1</v>
      </c>
      <c r="C47016" s="0" t="s">
        <v>9248</v>
      </c>
      <c r="E47016" s="0" t="s">
        <v>84</v>
      </c>
      <c r="F47016" s="0" t="s">
        <v>2778</v>
      </c>
    </row>
    <row r="47018" customFormat="false" ht="12.8" hidden="false" customHeight="false" outlineLevel="0" collapsed="false">
      <c r="A47018" s="0" t="s">
        <v>16710</v>
      </c>
      <c r="B47018" s="0" t="str">
        <f aca="false">HYPERLINK("https://lindat.mff.cuni.cz/services/teitok/pdtc10/index.php?action=vallex&amp;frame=v-w6492f3", "stát (v-w6492f3)")</f>
        <v>stát (v-w6492f3)</v>
      </c>
      <c r="E47018" s="0" t="str">
        <f aca="false">HYPERLINK("https://lindat.mff.cuni.cz/services/SynSemClass40/SynSemClass40.html?veclass=vec00128#vec00128-ces-cm00158", "vec00128")</f>
        <v>vec00128</v>
      </c>
      <c r="F47018" s="0" t="s">
        <v>13958</v>
      </c>
    </row>
    <row r="47019" customFormat="false" ht="12.8" hidden="false" customHeight="false" outlineLevel="0" collapsed="false">
      <c r="B47019" s="0" t="s">
        <v>345</v>
      </c>
      <c r="C47019" s="0" t="s">
        <v>13959</v>
      </c>
      <c r="E47019" s="0" t="s">
        <v>235</v>
      </c>
      <c r="F47019" s="0" t="s">
        <v>13960</v>
      </c>
    </row>
    <row r="47020" customFormat="false" ht="12.8" hidden="false" customHeight="false" outlineLevel="0" collapsed="false">
      <c r="B47020" s="0" t="s">
        <v>8</v>
      </c>
      <c r="C47020" s="0" t="s">
        <v>13961</v>
      </c>
      <c r="E47020" s="0" t="s">
        <v>2732</v>
      </c>
      <c r="F47020" s="0" t="s">
        <v>16711</v>
      </c>
    </row>
    <row r="47021" customFormat="false" ht="12.8" hidden="false" customHeight="false" outlineLevel="0" collapsed="false">
      <c r="B47021" s="0" t="s">
        <v>3067</v>
      </c>
      <c r="C47021" s="0" t="s">
        <v>13964</v>
      </c>
      <c r="E47021" s="0" t="s">
        <v>2287</v>
      </c>
      <c r="F47021" s="0" t="s">
        <v>13965</v>
      </c>
    </row>
    <row r="47023" customFormat="false" ht="12.8" hidden="false" customHeight="false" outlineLevel="0" collapsed="false">
      <c r="A47023" s="0" t="s">
        <v>16712</v>
      </c>
      <c r="B47023" s="0" t="str">
        <f aca="false">HYPERLINK("https://lindat.mff.cuni.cz/services/teitok/pdtc10/index.php?action=vallex&amp;frame=v-w6492f4", "stát (v-w6492f4)")</f>
        <v>stát (v-w6492f4)</v>
      </c>
    </row>
    <row r="47024" customFormat="false" ht="12.8" hidden="false" customHeight="false" outlineLevel="0" collapsed="false">
      <c r="B47024" s="0" t="s">
        <v>16713</v>
      </c>
    </row>
    <row r="47025" customFormat="false" ht="12.8" hidden="false" customHeight="false" outlineLevel="0" collapsed="false">
      <c r="B47025" s="0" t="s">
        <v>665</v>
      </c>
    </row>
    <row r="47026" customFormat="false" ht="12.8" hidden="false" customHeight="false" outlineLevel="0" collapsed="false">
      <c r="B47026" s="0" t="s">
        <v>132</v>
      </c>
    </row>
    <row r="47028" customFormat="false" ht="12.8" hidden="false" customHeight="false" outlineLevel="0" collapsed="false">
      <c r="A47028" s="0" t="s">
        <v>16714</v>
      </c>
      <c r="B47028" s="0" t="str">
        <f aca="false">HYPERLINK("https://lindat.mff.cuni.cz/services/teitok/pdtc10/index.php?action=vallex&amp;frame=v-w6492f15", "stát (v-w6492f15)")</f>
        <v>stát (v-w6492f15)</v>
      </c>
    </row>
    <row r="47029" customFormat="false" ht="12.8" hidden="false" customHeight="false" outlineLevel="0" collapsed="false">
      <c r="B47029" s="0" t="s">
        <v>1</v>
      </c>
    </row>
    <row r="47030" customFormat="false" ht="12.8" hidden="false" customHeight="false" outlineLevel="0" collapsed="false">
      <c r="B47030" s="0" t="s">
        <v>8</v>
      </c>
    </row>
    <row r="47032" customFormat="false" ht="12.8" hidden="false" customHeight="false" outlineLevel="0" collapsed="false">
      <c r="A47032" s="0" t="s">
        <v>16715</v>
      </c>
      <c r="B47032" s="0" t="str">
        <f aca="false">HYPERLINK("https://lindat.mff.cuni.cz/services/teitok/pdtc10/index.php?action=vallex&amp;frame=v-w6492f9", "stát (v-w6492f9)")</f>
        <v>stát (v-w6492f9)</v>
      </c>
    </row>
    <row r="47033" customFormat="false" ht="12.8" hidden="false" customHeight="false" outlineLevel="0" collapsed="false">
      <c r="B47033" s="0" t="s">
        <v>1</v>
      </c>
    </row>
    <row r="47034" customFormat="false" ht="12.8" hidden="false" customHeight="false" outlineLevel="0" collapsed="false">
      <c r="B47034" s="0" t="s">
        <v>291</v>
      </c>
    </row>
    <row r="47036" customFormat="false" ht="12.8" hidden="false" customHeight="false" outlineLevel="0" collapsed="false">
      <c r="A47036" s="0" t="s">
        <v>16716</v>
      </c>
      <c r="B47036" s="0" t="str">
        <f aca="false">HYPERLINK("https://lindat.mff.cuni.cz/services/teitok/pdtc10/index.php?action=vallex&amp;frame=v-w6492f13", "stát (v-w6492f13)")</f>
        <v>stát (v-w6492f13)</v>
      </c>
      <c r="E47036" s="0" t="str">
        <f aca="false">HYPERLINK("https://lindat.mff.cuni.cz/services/SynSemClass40/SynSemClass40.html?veclass=vec00317#vec00317-ces-cm00019", "vec00317")</f>
        <v>vec00317</v>
      </c>
      <c r="F47036" s="0" t="s">
        <v>5998</v>
      </c>
    </row>
    <row r="47037" customFormat="false" ht="12.8" hidden="false" customHeight="false" outlineLevel="0" collapsed="false">
      <c r="B47037" s="0" t="s">
        <v>1</v>
      </c>
      <c r="C47037" s="0" t="s">
        <v>2157</v>
      </c>
      <c r="E47037" s="0" t="s">
        <v>4943</v>
      </c>
      <c r="F47037" s="0" t="s">
        <v>5999</v>
      </c>
    </row>
    <row r="47038" customFormat="false" ht="12.8" hidden="false" customHeight="false" outlineLevel="0" collapsed="false">
      <c r="B47038" s="0" t="s">
        <v>291</v>
      </c>
      <c r="C47038" s="0" t="s">
        <v>6000</v>
      </c>
      <c r="E47038" s="0" t="s">
        <v>6001</v>
      </c>
      <c r="F47038" s="0" t="s">
        <v>6002</v>
      </c>
    </row>
    <row r="47040" customFormat="false" ht="12.8" hidden="false" customHeight="false" outlineLevel="0" collapsed="false">
      <c r="A47040" s="0" t="s">
        <v>16717</v>
      </c>
      <c r="B47040" s="0" t="str">
        <f aca="false">HYPERLINK("https://lindat.mff.cuni.cz/services/teitok/pdtc10/index.php?action=vallex&amp;frame=v-w6492f8", "stát (v-w6492f8)")</f>
        <v>stát (v-w6492f8)</v>
      </c>
    </row>
    <row r="47041" customFormat="false" ht="12.8" hidden="false" customHeight="false" outlineLevel="0" collapsed="false">
      <c r="B47041" s="0" t="s">
        <v>1</v>
      </c>
    </row>
    <row r="47042" customFormat="false" ht="12.8" hidden="false" customHeight="false" outlineLevel="0" collapsed="false">
      <c r="B47042" s="0" t="s">
        <v>814</v>
      </c>
    </row>
    <row r="47044" customFormat="false" ht="12.8" hidden="false" customHeight="false" outlineLevel="0" collapsed="false">
      <c r="A47044" s="0" t="s">
        <v>16718</v>
      </c>
      <c r="B47044" s="0" t="str">
        <f aca="false">HYPERLINK("https://lindat.mff.cuni.cz/services/teitok/pdtc10/index.php?action=vallex&amp;frame=v-w6492f12", "stát (v-w6492f12)")</f>
        <v>stát (v-w6492f12)</v>
      </c>
      <c r="E47044" s="0" t="str">
        <f aca="false">HYPERLINK("https://lindat.mff.cuni.cz/services/SynSemClass40/SynSemClass40.html?veclass=vec00205#vec00205-ces-cm00032", "vec00205")</f>
        <v>vec00205</v>
      </c>
      <c r="F47044" s="0" t="s">
        <v>406</v>
      </c>
    </row>
    <row r="47045" customFormat="false" ht="12.8" hidden="false" customHeight="false" outlineLevel="0" collapsed="false">
      <c r="B47045" s="0" t="s">
        <v>1</v>
      </c>
      <c r="C47045" s="0" t="s">
        <v>407</v>
      </c>
      <c r="E47045" s="0" t="s">
        <v>11</v>
      </c>
      <c r="F47045" s="0" t="s">
        <v>408</v>
      </c>
    </row>
    <row r="47046" customFormat="false" ht="12.8" hidden="false" customHeight="false" outlineLevel="0" collapsed="false">
      <c r="B47046" s="0" t="s">
        <v>6877</v>
      </c>
      <c r="C47046" s="0" t="s">
        <v>410</v>
      </c>
      <c r="E47046" s="0" t="s">
        <v>411</v>
      </c>
      <c r="F47046" s="0" t="s">
        <v>412</v>
      </c>
    </row>
    <row r="47048" customFormat="false" ht="12.8" hidden="false" customHeight="false" outlineLevel="0" collapsed="false">
      <c r="A47048" s="0" t="s">
        <v>16719</v>
      </c>
      <c r="B47048" s="0" t="str">
        <f aca="false">HYPERLINK("https://lindat.mff.cuni.cz/services/teitok/pdtc10/index.php?action=vallex&amp;frame=v-w6492f14", "stát (v-w6492f14)")</f>
        <v>stát (v-w6492f14)</v>
      </c>
    </row>
    <row r="47049" customFormat="false" ht="12.8" hidden="false" customHeight="false" outlineLevel="0" collapsed="false">
      <c r="B47049" s="0" t="s">
        <v>1</v>
      </c>
    </row>
    <row r="47050" customFormat="false" ht="12.8" hidden="false" customHeight="false" outlineLevel="0" collapsed="false">
      <c r="B47050" s="0" t="s">
        <v>721</v>
      </c>
    </row>
    <row r="47052" customFormat="false" ht="12.8" hidden="false" customHeight="false" outlineLevel="0" collapsed="false">
      <c r="A47052" s="0" t="s">
        <v>16720</v>
      </c>
      <c r="B47052" s="0" t="str">
        <f aca="false">HYPERLINK("https://lindat.mff.cuni.cz/services/teitok/pdtc10/index.php?action=vallex&amp;frame=v-w6492hsa_77", "stát (v-w6492hsa_77)")</f>
        <v>stát (v-w6492hsa_77)</v>
      </c>
      <c r="E47052" s="0" t="str">
        <f aca="false">HYPERLINK("https://lindat.mff.cuni.cz/services/SynSemClass40/SynSemClass40.html?veclass=vec00326#vec00326-ces-cm00004", "vec00326")</f>
        <v>vec00326</v>
      </c>
      <c r="F47052" s="0" t="s">
        <v>16721</v>
      </c>
      <c r="H47052" s="0" t="str">
        <f aca="false">HYPERLINK("https://lindat.mff.cuni.cz/services/SynSemClass40/SynSemClass40.html?veclass=vec01313#vec01313-ces-cm00015", "vec01313")</f>
        <v>vec01313</v>
      </c>
      <c r="I47052" s="0" t="s">
        <v>15743</v>
      </c>
    </row>
    <row r="47053" customFormat="false" ht="12.8" hidden="false" customHeight="false" outlineLevel="0" collapsed="false">
      <c r="B47053" s="0" t="s">
        <v>1</v>
      </c>
      <c r="C47053" s="0" t="s">
        <v>16722</v>
      </c>
      <c r="E47053" s="0" t="s">
        <v>11</v>
      </c>
      <c r="F47053" s="0" t="s">
        <v>16723</v>
      </c>
      <c r="H47053" s="0" t="s">
        <v>155</v>
      </c>
      <c r="I47053" s="0" t="s">
        <v>15745</v>
      </c>
    </row>
    <row r="47054" customFormat="false" ht="12.8" hidden="false" customHeight="false" outlineLevel="0" collapsed="false">
      <c r="B47054" s="0" t="s">
        <v>16724</v>
      </c>
      <c r="C47054" s="0" t="s">
        <v>16725</v>
      </c>
      <c r="E47054" s="0" t="s">
        <v>6494</v>
      </c>
      <c r="F47054" s="0" t="s">
        <v>16726</v>
      </c>
      <c r="H47054" s="0" t="s">
        <v>15747</v>
      </c>
      <c r="I47054" s="0" t="s">
        <v>15748</v>
      </c>
    </row>
    <row r="47056" customFormat="false" ht="12.8" hidden="false" customHeight="false" outlineLevel="0" collapsed="false">
      <c r="A47056" s="0" t="s">
        <v>16720</v>
      </c>
      <c r="B47056" s="0" t="str">
        <f aca="false">HYPERLINK("https://lindat.mff.cuni.cz/services/teitok/pdtc10/index.php?action=vallex&amp;frame=v-w6492f7", "stát (v-w6492f7) - substituted with v-w6492hsa_77")</f>
        <v>stát (v-w6492f7) - substituted with v-w6492hsa_77</v>
      </c>
    </row>
    <row r="47057" customFormat="false" ht="12.8" hidden="false" customHeight="false" outlineLevel="0" collapsed="false">
      <c r="B47057" s="0" t="s">
        <v>1</v>
      </c>
    </row>
    <row r="47058" customFormat="false" ht="12.8" hidden="false" customHeight="false" outlineLevel="0" collapsed="false">
      <c r="B47058" s="0" t="s">
        <v>16724</v>
      </c>
    </row>
    <row r="47060" customFormat="false" ht="12.8" hidden="false" customHeight="false" outlineLevel="0" collapsed="false">
      <c r="A47060" s="0" t="s">
        <v>16727</v>
      </c>
      <c r="B47060" s="0" t="str">
        <f aca="false">HYPERLINK("https://lindat.mff.cuni.cz/services/teitok/pdtc10/index.php?action=vallex&amp;frame=v-w6492f17_ZU", "stát (v-w6492f17_ZU)")</f>
        <v>stát (v-w6492f17_ZU)</v>
      </c>
    </row>
    <row r="47061" customFormat="false" ht="12.8" hidden="false" customHeight="false" outlineLevel="0" collapsed="false">
      <c r="B47061" s="0" t="s">
        <v>1</v>
      </c>
    </row>
    <row r="47062" customFormat="false" ht="12.8" hidden="false" customHeight="false" outlineLevel="0" collapsed="false">
      <c r="B47062" s="0" t="s">
        <v>4480</v>
      </c>
    </row>
    <row r="47064" customFormat="false" ht="12.8" hidden="false" customHeight="false" outlineLevel="0" collapsed="false">
      <c r="A47064" s="0" t="s">
        <v>16728</v>
      </c>
      <c r="B47064" s="0" t="str">
        <f aca="false">HYPERLINK("https://lindat.mff.cuni.cz/services/teitok/pdtc10/index.php?action=vallex&amp;frame=v-w6492f6", "stát (v-w6492f6)")</f>
        <v>stát (v-w6492f6)</v>
      </c>
      <c r="E47064" s="0" t="str">
        <f aca="false">HYPERLINK("https://lindat.mff.cuni.cz/services/SynSemClass40/SynSemClass40.html?veclass=vec00323#vec00323-ces-cm00015", "vec00323")</f>
        <v>vec00323</v>
      </c>
      <c r="F47064" s="0" t="s">
        <v>16501</v>
      </c>
    </row>
    <row r="47065" customFormat="false" ht="12.8" hidden="false" customHeight="false" outlineLevel="0" collapsed="false">
      <c r="B47065" s="0" t="s">
        <v>16729</v>
      </c>
      <c r="C47065" s="0" t="s">
        <v>16502</v>
      </c>
      <c r="E47065" s="0" t="s">
        <v>11</v>
      </c>
      <c r="F47065" s="0" t="s">
        <v>16503</v>
      </c>
    </row>
    <row r="47066" customFormat="false" ht="12.8" hidden="false" customHeight="false" outlineLevel="0" collapsed="false">
      <c r="B47066" s="0" t="s">
        <v>5</v>
      </c>
      <c r="C47066" s="0" t="s">
        <v>16504</v>
      </c>
      <c r="E47066" s="0" t="s">
        <v>3254</v>
      </c>
      <c r="F47066" s="0" t="s">
        <v>16505</v>
      </c>
    </row>
    <row r="47068" customFormat="false" ht="12.8" hidden="false" customHeight="false" outlineLevel="0" collapsed="false">
      <c r="A47068" s="0" t="s">
        <v>16730</v>
      </c>
      <c r="B47068" s="0" t="str">
        <f aca="false">HYPERLINK("https://lindat.mff.cuni.cz/services/teitok/pdtc10/index.php?action=vallex&amp;frame=v-w6492f11", "stát (v-w6492f11)")</f>
        <v>stát (v-w6492f11)</v>
      </c>
      <c r="E47068" s="0" t="str">
        <f aca="false">HYPERLINK("https://lindat.mff.cuni.cz/services/SynSemClass40/SynSemClass40.html?veclass=vec00323#vec00323-ces-cm00008", "vec00323")</f>
        <v>vec00323</v>
      </c>
      <c r="F47068" s="0" t="s">
        <v>16501</v>
      </c>
    </row>
    <row r="47069" customFormat="false" ht="12.8" hidden="false" customHeight="false" outlineLevel="0" collapsed="false">
      <c r="B47069" s="0" t="s">
        <v>1</v>
      </c>
      <c r="C47069" s="0" t="s">
        <v>16502</v>
      </c>
      <c r="E47069" s="0" t="s">
        <v>11</v>
      </c>
      <c r="F47069" s="0" t="s">
        <v>16503</v>
      </c>
    </row>
    <row r="47070" customFormat="false" ht="12.8" hidden="false" customHeight="false" outlineLevel="0" collapsed="false">
      <c r="B47070" s="0" t="s">
        <v>3245</v>
      </c>
      <c r="C47070" s="0" t="s">
        <v>16504</v>
      </c>
      <c r="E47070" s="0" t="s">
        <v>3254</v>
      </c>
      <c r="F47070" s="0" t="s">
        <v>16505</v>
      </c>
    </row>
    <row r="47072" customFormat="false" ht="12.8" hidden="false" customHeight="false" outlineLevel="0" collapsed="false">
      <c r="A47072" s="0" t="s">
        <v>16731</v>
      </c>
      <c r="B47072" s="0" t="str">
        <f aca="false">HYPERLINK("https://lindat.mff.cuni.cz/services/teitok/pdtc10/index.php?action=vallex&amp;frame=v-w6492f10", "stát (v-w6492f10)")</f>
        <v>stát (v-w6492f10)</v>
      </c>
      <c r="E47072" s="0" t="str">
        <f aca="false">HYPERLINK("https://lindat.mff.cuni.cz/services/SynSemClass40/SynSemClass40.html?veclass=vec00323#vec00323-ces-cm00001", "vec00323")</f>
        <v>vec00323</v>
      </c>
      <c r="F47072" s="0" t="s">
        <v>16501</v>
      </c>
    </row>
    <row r="47073" customFormat="false" ht="12.8" hidden="false" customHeight="false" outlineLevel="0" collapsed="false">
      <c r="B47073" s="0" t="s">
        <v>1</v>
      </c>
      <c r="C47073" s="0" t="s">
        <v>16502</v>
      </c>
      <c r="E47073" s="0" t="s">
        <v>11</v>
      </c>
      <c r="F47073" s="0" t="s">
        <v>16503</v>
      </c>
    </row>
    <row r="47074" customFormat="false" ht="12.8" hidden="false" customHeight="false" outlineLevel="0" collapsed="false">
      <c r="B47074" s="0" t="s">
        <v>5</v>
      </c>
      <c r="C47074" s="0" t="s">
        <v>16504</v>
      </c>
      <c r="E47074" s="0" t="s">
        <v>3254</v>
      </c>
      <c r="F47074" s="0" t="s">
        <v>16505</v>
      </c>
    </row>
    <row r="47076" customFormat="false" ht="12.8" hidden="false" customHeight="false" outlineLevel="0" collapsed="false">
      <c r="A47076" s="0" t="s">
        <v>16732</v>
      </c>
      <c r="B47076" s="0" t="str">
        <f aca="false">HYPERLINK("https://lindat.mff.cuni.cz/services/teitok/pdtc10/index.php?action=vallex&amp;frame=v-w6492f1", "stát (v-w6492f1)")</f>
        <v>stát (v-w6492f1)</v>
      </c>
      <c r="E47076" s="0" t="str">
        <f aca="false">HYPERLINK("https://lindat.mff.cuni.cz/services/SynSemClass40/SynSemClass40.html?veclass=vec00128#vec00128-ces-cm00001", "vec00128")</f>
        <v>vec00128</v>
      </c>
      <c r="F47076" s="0" t="s">
        <v>13958</v>
      </c>
      <c r="H47076" s="0" t="str">
        <f aca="false">HYPERLINK("https://lindat.mff.cuni.cz/services/SynSemClass40/SynSemClass40.html?veclass=vec00206#vec00206-ces-cm00015", "vec00206")</f>
        <v>vec00206</v>
      </c>
      <c r="I47076" s="0" t="s">
        <v>2728</v>
      </c>
    </row>
    <row r="47077" customFormat="false" ht="12.8" hidden="false" customHeight="false" outlineLevel="0" collapsed="false">
      <c r="B47077" s="0" t="s">
        <v>1</v>
      </c>
      <c r="C47077" s="0" t="s">
        <v>16733</v>
      </c>
      <c r="E47077" s="0" t="s">
        <v>235</v>
      </c>
      <c r="F47077" s="0" t="s">
        <v>13960</v>
      </c>
      <c r="H47077" s="0" t="s">
        <v>235</v>
      </c>
      <c r="I47077" s="0" t="s">
        <v>2730</v>
      </c>
    </row>
    <row r="47078" customFormat="false" ht="12.8" hidden="false" customHeight="false" outlineLevel="0" collapsed="false">
      <c r="B47078" s="0" t="s">
        <v>865</v>
      </c>
      <c r="C47078" s="0" t="s">
        <v>16734</v>
      </c>
      <c r="E47078" s="0" t="s">
        <v>6992</v>
      </c>
      <c r="F47078" s="0" t="s">
        <v>16735</v>
      </c>
      <c r="H47078" s="0" t="s">
        <v>6992</v>
      </c>
      <c r="I47078" s="0" t="s">
        <v>6993</v>
      </c>
    </row>
    <row r="47079" customFormat="false" ht="12.8" hidden="false" customHeight="false" outlineLevel="0" collapsed="false">
      <c r="B47079" s="0" t="s">
        <v>390</v>
      </c>
      <c r="C47079" s="0" t="s">
        <v>16736</v>
      </c>
      <c r="E47079" s="0" t="s">
        <v>142</v>
      </c>
      <c r="F47079" s="0" t="s">
        <v>16737</v>
      </c>
    </row>
    <row r="47081" customFormat="false" ht="12.8" hidden="false" customHeight="false" outlineLevel="0" collapsed="false">
      <c r="A47081" s="0" t="s">
        <v>16738</v>
      </c>
      <c r="B47081" s="0" t="str">
        <f aca="false">HYPERLINK("https://lindat.mff.cuni.cz/services/teitok/pdtc10/index.php?action=vallex&amp;frame=v-w6492f2", "stát (v-w6492f2)")</f>
        <v>stát (v-w6492f2)</v>
      </c>
    </row>
    <row r="47082" customFormat="false" ht="12.8" hidden="false" customHeight="false" outlineLevel="0" collapsed="false">
      <c r="B47082" s="0" t="s">
        <v>1</v>
      </c>
    </row>
    <row r="47084" customFormat="false" ht="12.8" hidden="false" customHeight="false" outlineLevel="0" collapsed="false">
      <c r="A47084" s="0" t="s">
        <v>16739</v>
      </c>
      <c r="B47084" s="0" t="str">
        <f aca="false">HYPERLINK("https://lindat.mff.cuni.cz/services/teitok/pdtc10/index.php?action=vallex&amp;frame=v-w6492f5", "stát (v-w6492f5)")</f>
        <v>stát (v-w6492f5)</v>
      </c>
    </row>
    <row r="47085" customFormat="false" ht="12.8" hidden="false" customHeight="false" outlineLevel="0" collapsed="false">
      <c r="B47085" s="0" t="s">
        <v>1</v>
      </c>
    </row>
    <row r="47087" customFormat="false" ht="12.8" hidden="false" customHeight="false" outlineLevel="0" collapsed="false">
      <c r="A47087" s="0" t="s">
        <v>16740</v>
      </c>
      <c r="B47087" s="0" t="str">
        <f aca="false">HYPERLINK("https://lindat.mff.cuni.cz/services/teitok/pdtc10/index.php?action=vallex&amp;frame=v-w6492f16", "stát (v-w6492f16)")</f>
        <v>stát (v-w6492f16)</v>
      </c>
    </row>
    <row r="47088" customFormat="false" ht="12.8" hidden="false" customHeight="false" outlineLevel="0" collapsed="false">
      <c r="B47088" s="0" t="s">
        <v>16741</v>
      </c>
    </row>
    <row r="47090" customFormat="false" ht="12.8" hidden="false" customHeight="false" outlineLevel="0" collapsed="false">
      <c r="A47090" s="0" t="s">
        <v>16742</v>
      </c>
      <c r="B47090" s="0" t="str">
        <f aca="false">HYPERLINK("https://lindat.mff.cuni.cz/services/teitok/pdtc10/index.php?action=vallex&amp;frame=v-w6492f18_ZU", "stát (v-w6492f18_ZU)")</f>
        <v>stát (v-w6492f18_ZU)</v>
      </c>
    </row>
    <row r="47091" customFormat="false" ht="12.8" hidden="false" customHeight="false" outlineLevel="0" collapsed="false">
      <c r="B47091" s="0" t="s">
        <v>1</v>
      </c>
    </row>
    <row r="47092" customFormat="false" ht="12.8" hidden="false" customHeight="false" outlineLevel="0" collapsed="false">
      <c r="B47092" s="0" t="s">
        <v>16743</v>
      </c>
    </row>
    <row r="47094" customFormat="false" ht="12.8" hidden="false" customHeight="false" outlineLevel="0" collapsed="false">
      <c r="A47094" s="0" t="s">
        <v>16742</v>
      </c>
      <c r="B47094" s="0" t="str">
        <f aca="false">HYPERLINK("https://lindat.mff.cuni.cz/services/teitok/pdtc10/index.php?action=vallex&amp;frame=v-w6492hsa_78", "stát (v-w6492hsa_78) - substituted with v-w6492f18_ZU")</f>
        <v>stát (v-w6492hsa_78) - substituted with v-w6492f18_ZU</v>
      </c>
    </row>
    <row r="47095" customFormat="false" ht="12.8" hidden="false" customHeight="false" outlineLevel="0" collapsed="false">
      <c r="B47095" s="0" t="s">
        <v>1</v>
      </c>
    </row>
    <row r="47096" customFormat="false" ht="12.8" hidden="false" customHeight="false" outlineLevel="0" collapsed="false">
      <c r="B47096" s="0" t="s">
        <v>16743</v>
      </c>
    </row>
    <row r="47098" customFormat="false" ht="12.8" hidden="false" customHeight="false" outlineLevel="0" collapsed="false">
      <c r="A47098" s="0" t="s">
        <v>16744</v>
      </c>
      <c r="B47098" s="0" t="str">
        <f aca="false">HYPERLINK("https://lindat.mff.cuni.cz/services/teitok/pdtc10/index.php?action=vallex&amp;frame=v-w6492f20_ZU", "stát (v-w6492f20_ZU)")</f>
        <v>stát (v-w6492f20_ZU)</v>
      </c>
    </row>
    <row r="47099" customFormat="false" ht="12.8" hidden="false" customHeight="false" outlineLevel="0" collapsed="false">
      <c r="B47099" s="0" t="s">
        <v>1</v>
      </c>
    </row>
    <row r="47100" customFormat="false" ht="12.8" hidden="false" customHeight="false" outlineLevel="0" collapsed="false">
      <c r="B47100" s="0" t="s">
        <v>16745</v>
      </c>
    </row>
    <row r="47101" customFormat="false" ht="12.8" hidden="false" customHeight="false" outlineLevel="0" collapsed="false">
      <c r="B47101" s="0" t="s">
        <v>52</v>
      </c>
    </row>
    <row r="47102" customFormat="false" ht="12.8" hidden="false" customHeight="false" outlineLevel="0" collapsed="false">
      <c r="B47102" s="0" t="s">
        <v>2219</v>
      </c>
    </row>
    <row r="47104" customFormat="false" ht="12.8" hidden="false" customHeight="false" outlineLevel="0" collapsed="false">
      <c r="A47104" s="0" t="s">
        <v>16744</v>
      </c>
      <c r="B47104" s="0" t="str">
        <f aca="false">HYPERLINK("https://lindat.mff.cuni.cz/services/teitok/pdtc10/index.php?action=vallex&amp;frame=v-w6492f19_ZU", "stát (v-w6492f19_ZU) - substituted with v-w6492f20_ZU")</f>
        <v>stát (v-w6492f19_ZU) - substituted with v-w6492f20_ZU</v>
      </c>
    </row>
    <row r="47105" customFormat="false" ht="12.8" hidden="false" customHeight="false" outlineLevel="0" collapsed="false">
      <c r="B47105" s="0" t="s">
        <v>1</v>
      </c>
    </row>
    <row r="47106" customFormat="false" ht="12.8" hidden="false" customHeight="false" outlineLevel="0" collapsed="false">
      <c r="B47106" s="0" t="s">
        <v>16745</v>
      </c>
    </row>
    <row r="47107" customFormat="false" ht="12.8" hidden="false" customHeight="false" outlineLevel="0" collapsed="false">
      <c r="B47107" s="0" t="s">
        <v>52</v>
      </c>
    </row>
    <row r="47108" customFormat="false" ht="12.8" hidden="false" customHeight="false" outlineLevel="0" collapsed="false">
      <c r="B47108" s="0" t="s">
        <v>2219</v>
      </c>
    </row>
    <row r="47110" customFormat="false" ht="12.8" hidden="false" customHeight="false" outlineLevel="0" collapsed="false">
      <c r="A47110" s="0" t="s">
        <v>16744</v>
      </c>
      <c r="B47110" s="0" t="str">
        <f aca="false">HYPERLINK("https://lindat.mff.cuni.cz/services/teitok/pdtc10/index.php?action=vallex&amp;frame=v-w6492hsa_79", "stát (v-w6492hsa_79) - substituted with v-w6492f20_ZU")</f>
        <v>stát (v-w6492hsa_79) - substituted with v-w6492f20_ZU</v>
      </c>
    </row>
    <row r="47111" customFormat="false" ht="12.8" hidden="false" customHeight="false" outlineLevel="0" collapsed="false">
      <c r="B47111" s="0" t="s">
        <v>1</v>
      </c>
    </row>
    <row r="47112" customFormat="false" ht="12.8" hidden="false" customHeight="false" outlineLevel="0" collapsed="false">
      <c r="B47112" s="0" t="s">
        <v>16745</v>
      </c>
    </row>
    <row r="47113" customFormat="false" ht="12.8" hidden="false" customHeight="false" outlineLevel="0" collapsed="false">
      <c r="B47113" s="0" t="s">
        <v>52</v>
      </c>
    </row>
    <row r="47114" customFormat="false" ht="12.8" hidden="false" customHeight="false" outlineLevel="0" collapsed="false">
      <c r="B47114" s="0" t="s">
        <v>2219</v>
      </c>
    </row>
    <row r="47116" customFormat="false" ht="12.8" hidden="false" customHeight="false" outlineLevel="0" collapsed="false">
      <c r="A47116" s="0" t="s">
        <v>16746</v>
      </c>
      <c r="B47116" s="0" t="str">
        <f aca="false">HYPERLINK("https://lindat.mff.cuni.cz/services/teitok/pdtc10/index.php?action=vallex&amp;frame=v-w6492f21_ZU", "stát (v-w6492f21_ZU)")</f>
        <v>stát (v-w6492f21_ZU)</v>
      </c>
    </row>
    <row r="47117" customFormat="false" ht="12.8" hidden="false" customHeight="false" outlineLevel="0" collapsed="false">
      <c r="B47117" s="0" t="s">
        <v>1</v>
      </c>
    </row>
    <row r="47118" customFormat="false" ht="12.8" hidden="false" customHeight="false" outlineLevel="0" collapsed="false">
      <c r="B47118" s="0" t="s">
        <v>16745</v>
      </c>
    </row>
    <row r="47119" customFormat="false" ht="12.8" hidden="false" customHeight="false" outlineLevel="0" collapsed="false">
      <c r="B47119" s="0" t="s">
        <v>186</v>
      </c>
    </row>
    <row r="47121" customFormat="false" ht="12.8" hidden="false" customHeight="false" outlineLevel="0" collapsed="false">
      <c r="A47121" s="0" t="s">
        <v>16747</v>
      </c>
      <c r="B47121" s="0" t="str">
        <f aca="false">HYPERLINK("https://lindat.mff.cuni.cz/services/teitok/pdtc10/index.php?action=vallex&amp;frame=v-w6492f22_ZU", "stát (v-w6492f22_ZU)")</f>
        <v>stát (v-w6492f22_ZU)</v>
      </c>
    </row>
    <row r="47122" customFormat="false" ht="12.8" hidden="false" customHeight="false" outlineLevel="0" collapsed="false">
      <c r="B47122" s="0" t="s">
        <v>1</v>
      </c>
    </row>
    <row r="47124" customFormat="false" ht="12.8" hidden="false" customHeight="false" outlineLevel="0" collapsed="false">
      <c r="A47124" s="0" t="s">
        <v>16748</v>
      </c>
      <c r="B47124" s="0" t="str">
        <f aca="false">HYPERLINK("https://lindat.mff.cuni.cz/services/teitok/pdtc10/index.php?action=vallex&amp;frame=v-w6492f23_ZU", "stát (v-w6492f23_ZU)")</f>
        <v>stát (v-w6492f23_ZU)</v>
      </c>
    </row>
    <row r="47125" customFormat="false" ht="12.8" hidden="false" customHeight="false" outlineLevel="0" collapsed="false">
      <c r="B47125" s="0" t="s">
        <v>1</v>
      </c>
    </row>
    <row r="47127" customFormat="false" ht="12.8" hidden="false" customHeight="false" outlineLevel="0" collapsed="false">
      <c r="A47127" s="0" t="s">
        <v>16749</v>
      </c>
      <c r="B47127" s="0" t="str">
        <f aca="false">HYPERLINK("https://lindat.mff.cuni.cz/services/teitok/pdtc10/index.php?action=vallex&amp;frame=v-w6496f1", "stát se (v-w6496f1)")</f>
        <v>stát se (v-w6496f1)</v>
      </c>
      <c r="E47127" s="0" t="str">
        <f aca="false">HYPERLINK("https://lindat.mff.cuni.cz/services/SynSemClass40/SynSemClass40.html?veclass=vec01132#vec01132-ces-cm00018", "vec01132")</f>
        <v>vec01132</v>
      </c>
      <c r="F47127" s="0" t="s">
        <v>6967</v>
      </c>
    </row>
    <row r="47128" customFormat="false" ht="12.8" hidden="false" customHeight="false" outlineLevel="0" collapsed="false">
      <c r="B47128" s="0" t="s">
        <v>1</v>
      </c>
      <c r="C47128" s="0" t="s">
        <v>6968</v>
      </c>
      <c r="E47128" s="0" t="s">
        <v>84</v>
      </c>
      <c r="F47128" s="0" t="s">
        <v>6969</v>
      </c>
    </row>
    <row r="47129" customFormat="false" ht="12.8" hidden="false" customHeight="false" outlineLevel="0" collapsed="false">
      <c r="B47129" s="0" t="s">
        <v>16750</v>
      </c>
      <c r="C47129" s="0" t="s">
        <v>6971</v>
      </c>
      <c r="E47129" s="0" t="s">
        <v>1592</v>
      </c>
      <c r="F47129" s="0" t="s">
        <v>6972</v>
      </c>
    </row>
    <row r="47130" customFormat="false" ht="12.8" hidden="false" customHeight="false" outlineLevel="0" collapsed="false">
      <c r="B47130" s="0" t="s">
        <v>36</v>
      </c>
      <c r="C47130" s="0" t="s">
        <v>6973</v>
      </c>
      <c r="E47130" s="0" t="s">
        <v>38</v>
      </c>
      <c r="F47130" s="0" t="s">
        <v>6974</v>
      </c>
    </row>
    <row r="47132" customFormat="false" ht="12.8" hidden="false" customHeight="false" outlineLevel="0" collapsed="false">
      <c r="A47132" s="0" t="s">
        <v>16751</v>
      </c>
      <c r="B47132" s="0" t="str">
        <f aca="false">HYPERLINK("https://lindat.mff.cuni.cz/services/teitok/pdtc10/index.php?action=vallex&amp;frame=v-w6496f6_ZU", "stát se (v-w6496f6_ZU)")</f>
        <v>stát se (v-w6496f6_ZU)</v>
      </c>
    </row>
    <row r="47133" customFormat="false" ht="12.8" hidden="false" customHeight="false" outlineLevel="0" collapsed="false">
      <c r="B47133" s="0" t="s">
        <v>16752</v>
      </c>
    </row>
    <row r="47134" customFormat="false" ht="12.8" hidden="false" customHeight="false" outlineLevel="0" collapsed="false">
      <c r="B47134" s="0" t="s">
        <v>721</v>
      </c>
    </row>
    <row r="47136" customFormat="false" ht="12.8" hidden="false" customHeight="false" outlineLevel="0" collapsed="false">
      <c r="A47136" s="0" t="s">
        <v>16751</v>
      </c>
      <c r="B47136" s="0" t="str">
        <f aca="false">HYPERLINK("https://lindat.mff.cuni.cz/services/teitok/pdtc10/index.php?action=vallex&amp;frame=v-w6496f5", "stát se (v-w6496f5) - substituted with v-w6496f6_ZU")</f>
        <v>stát se (v-w6496f5) - substituted with v-w6496f6_ZU</v>
      </c>
      <c r="E47136" s="0" t="str">
        <f aca="false">HYPERLINK("https://lindat.mff.cuni.cz/services/SynSemClass40/SynSemClass40.html?veclass=vec00006#vec00006-ces-cm00060", "vec00006")</f>
        <v>vec00006</v>
      </c>
      <c r="F47136" s="0" t="s">
        <v>3828</v>
      </c>
    </row>
    <row r="47137" customFormat="false" ht="12.8" hidden="false" customHeight="false" outlineLevel="0" collapsed="false">
      <c r="B47137" s="0" t="s">
        <v>16752</v>
      </c>
      <c r="C47137" s="0" t="s">
        <v>3829</v>
      </c>
      <c r="E47137" s="0" t="s">
        <v>375</v>
      </c>
      <c r="F47137" s="0" t="s">
        <v>3830</v>
      </c>
    </row>
    <row r="47138" customFormat="false" ht="12.8" hidden="false" customHeight="false" outlineLevel="0" collapsed="false">
      <c r="B47138" s="0" t="s">
        <v>721</v>
      </c>
      <c r="C47138" s="0" t="s">
        <v>3831</v>
      </c>
      <c r="E47138" s="0" t="s">
        <v>3832</v>
      </c>
      <c r="F47138" s="0" t="s">
        <v>3833</v>
      </c>
    </row>
    <row r="47140" customFormat="false" ht="12.8" hidden="false" customHeight="false" outlineLevel="0" collapsed="false">
      <c r="A47140" s="0" t="s">
        <v>16753</v>
      </c>
      <c r="B47140" s="0" t="str">
        <f aca="false">HYPERLINK("https://lindat.mff.cuni.cz/services/teitok/pdtc10/index.php?action=vallex&amp;frame=v-w6496f4", "stát se (v-w6496f4)")</f>
        <v>stát se (v-w6496f4)</v>
      </c>
      <c r="E47140" s="0" t="str">
        <f aca="false">HYPERLINK("https://lindat.mff.cuni.cz/services/SynSemClass40/SynSemClass40.html?veclass=vec00524#vec00524-ces-cm00001", "vec00524")</f>
        <v>vec00524</v>
      </c>
      <c r="F47140" s="0" t="s">
        <v>16754</v>
      </c>
    </row>
    <row r="47141" customFormat="false" ht="12.8" hidden="false" customHeight="false" outlineLevel="0" collapsed="false">
      <c r="B47141" s="0" t="s">
        <v>1</v>
      </c>
      <c r="C47141" s="0" t="s">
        <v>16755</v>
      </c>
      <c r="E47141" s="0" t="s">
        <v>16756</v>
      </c>
      <c r="F47141" s="0" t="s">
        <v>16757</v>
      </c>
    </row>
    <row r="47142" customFormat="false" ht="12.8" hidden="false" customHeight="false" outlineLevel="0" collapsed="false">
      <c r="B47142" s="0" t="s">
        <v>298</v>
      </c>
      <c r="C47142" s="0" t="s">
        <v>16758</v>
      </c>
      <c r="E47142" s="0" t="s">
        <v>7962</v>
      </c>
      <c r="F47142" s="0" t="s">
        <v>16759</v>
      </c>
    </row>
    <row r="47144" customFormat="false" ht="12.8" hidden="false" customHeight="false" outlineLevel="0" collapsed="false">
      <c r="A47144" s="0" t="s">
        <v>16760</v>
      </c>
      <c r="B47144" s="0" t="str">
        <f aca="false">HYPERLINK("https://lindat.mff.cuni.cz/services/teitok/pdtc10/index.php?action=vallex&amp;frame=v-w6496f2", "stát se (v-w6496f2)")</f>
        <v>stát se (v-w6496f2)</v>
      </c>
      <c r="E47144" s="0" t="str">
        <f aca="false">HYPERLINK("https://lindat.mff.cuni.cz/services/SynSemClass40/SynSemClass40.html?veclass=vec00006#vec00006-ces-cm00058", "vec00006")</f>
        <v>vec00006</v>
      </c>
      <c r="F47144" s="0" t="s">
        <v>3828</v>
      </c>
    </row>
    <row r="47145" customFormat="false" ht="12.8" hidden="false" customHeight="false" outlineLevel="0" collapsed="false">
      <c r="B47145" s="0" t="s">
        <v>16761</v>
      </c>
      <c r="C47145" s="0" t="s">
        <v>3829</v>
      </c>
      <c r="E47145" s="0" t="s">
        <v>375</v>
      </c>
      <c r="F47145" s="0" t="s">
        <v>3830</v>
      </c>
    </row>
    <row r="47146" customFormat="false" ht="12.8" hidden="false" customHeight="false" outlineLevel="0" collapsed="false">
      <c r="B47146" s="0" t="s">
        <v>157</v>
      </c>
      <c r="C47146" s="0" t="s">
        <v>3831</v>
      </c>
      <c r="E47146" s="0" t="s">
        <v>3832</v>
      </c>
      <c r="F47146" s="0" t="s">
        <v>3833</v>
      </c>
    </row>
    <row r="47148" customFormat="false" ht="12.8" hidden="false" customHeight="false" outlineLevel="0" collapsed="false">
      <c r="A47148" s="0" t="s">
        <v>16762</v>
      </c>
      <c r="B47148" s="0" t="str">
        <f aca="false">HYPERLINK("https://lindat.mff.cuni.cz/services/teitok/pdtc10/index.php?action=vallex&amp;frame=v-w6496f7_ZU", "stát se (v-w6496f7_ZU)")</f>
        <v>stát se (v-w6496f7_ZU)</v>
      </c>
    </row>
    <row r="47149" customFormat="false" ht="12.8" hidden="false" customHeight="false" outlineLevel="0" collapsed="false">
      <c r="B47149" s="0" t="s">
        <v>16763</v>
      </c>
    </row>
    <row r="47151" customFormat="false" ht="12.8" hidden="false" customHeight="false" outlineLevel="0" collapsed="false">
      <c r="A47151" s="0" t="s">
        <v>16762</v>
      </c>
      <c r="B47151" s="0" t="str">
        <f aca="false">HYPERLINK("https://lindat.mff.cuni.cz/services/teitok/pdtc10/index.php?action=vallex&amp;frame=v-w6496f3", "stát se (v-w6496f3) - substituted with v-w6496f7_ZU")</f>
        <v>stát se (v-w6496f3) - substituted with v-w6496f7_ZU</v>
      </c>
      <c r="E47151" s="0" t="str">
        <f aca="false">HYPERLINK("https://lindat.mff.cuni.cz/services/SynSemClass40/SynSemClass40.html?veclass=vec00097#vec00097-ces-cm00133", "vec00097")</f>
        <v>vec00097</v>
      </c>
      <c r="F47151" s="0" t="s">
        <v>373</v>
      </c>
    </row>
    <row r="47152" customFormat="false" ht="12.8" hidden="false" customHeight="false" outlineLevel="0" collapsed="false">
      <c r="B47152" s="0" t="s">
        <v>16763</v>
      </c>
      <c r="C47152" s="0" t="s">
        <v>374</v>
      </c>
      <c r="E47152" s="0" t="s">
        <v>375</v>
      </c>
      <c r="F47152" s="0" t="s">
        <v>376</v>
      </c>
    </row>
    <row r="47154" customFormat="false" ht="12.8" hidden="false" customHeight="false" outlineLevel="0" collapsed="false">
      <c r="A47154" s="0" t="s">
        <v>16764</v>
      </c>
      <c r="B47154" s="0" t="str">
        <f aca="false">HYPERLINK("https://lindat.mff.cuni.cz/services/teitok/pdtc10/index.php?action=vallex&amp;frame=v-w6496f8_ZU", "stát se (v-w6496f8_ZU)")</f>
        <v>stát se (v-w6496f8_ZU)</v>
      </c>
    </row>
    <row r="47155" customFormat="false" ht="12.8" hidden="false" customHeight="false" outlineLevel="0" collapsed="false">
      <c r="B47155" s="0" t="s">
        <v>1</v>
      </c>
    </row>
    <row r="47156" customFormat="false" ht="12.8" hidden="false" customHeight="false" outlineLevel="0" collapsed="false">
      <c r="B47156" s="0" t="s">
        <v>16765</v>
      </c>
    </row>
    <row r="47158" customFormat="false" ht="12.8" hidden="false" customHeight="false" outlineLevel="0" collapsed="false">
      <c r="A47158" s="0" t="s">
        <v>16764</v>
      </c>
      <c r="B47158" s="0" t="str">
        <f aca="false">HYPERLINK("https://lindat.mff.cuni.cz/services/teitok/pdtc10/index.php?action=vallex&amp;frame=v-w6496hsa_681", "stát se (v-w6496hsa_681) - substituted with v-w6496f8_ZU")</f>
        <v>stát se (v-w6496hsa_681) - substituted with v-w6496f8_ZU</v>
      </c>
    </row>
    <row r="47159" customFormat="false" ht="12.8" hidden="false" customHeight="false" outlineLevel="0" collapsed="false">
      <c r="B47159" s="0" t="s">
        <v>1</v>
      </c>
    </row>
    <row r="47160" customFormat="false" ht="12.8" hidden="false" customHeight="false" outlineLevel="0" collapsed="false">
      <c r="B47160" s="0" t="s">
        <v>16765</v>
      </c>
    </row>
    <row r="47162" customFormat="false" ht="12.8" hidden="false" customHeight="false" outlineLevel="0" collapsed="false">
      <c r="A47162" s="0" t="s">
        <v>16766</v>
      </c>
      <c r="B47162" s="0" t="str">
        <f aca="false">HYPERLINK("https://lindat.mff.cuni.cz/services/teitok/pdtc10/index.php?action=vallex&amp;frame=v-w6497f2", "stát si (v-w6497f2)")</f>
        <v>stát si (v-w6497f2)</v>
      </c>
      <c r="E47162" s="0" t="str">
        <f aca="false">HYPERLINK("https://lindat.mff.cuni.cz/services/SynSemClass40/SynSemClass40.html?veclass=vec00678#vec00678-ces-cm00003", "vec00678")</f>
        <v>vec00678</v>
      </c>
      <c r="F47162" s="0" t="s">
        <v>11587</v>
      </c>
      <c r="H47162" s="0" t="str">
        <f aca="false">HYPERLINK("https://lindat.mff.cuni.cz/services/SynSemClass40/SynSemClass40.html?veclass=vec01313#vec01313-ces-cm00016", "vec01313")</f>
        <v>vec01313</v>
      </c>
      <c r="I47162" s="0" t="s">
        <v>15743</v>
      </c>
      <c r="K47162" s="0" t="str">
        <f aca="false">HYPERLINK("https://lindat.mff.cuni.cz/services/SynSemClass40/SynSemClass40.html?veclass=vec01534#vec01534-ces-cm00009", "vec01534")</f>
        <v>vec01534</v>
      </c>
      <c r="L47162" s="0" t="s">
        <v>6088</v>
      </c>
    </row>
    <row r="47163" customFormat="false" ht="12.8" hidden="false" customHeight="false" outlineLevel="0" collapsed="false">
      <c r="B47163" s="0" t="s">
        <v>1</v>
      </c>
      <c r="C47163" s="0" t="s">
        <v>16767</v>
      </c>
      <c r="E47163" s="0" t="s">
        <v>569</v>
      </c>
      <c r="F47163" s="0" t="s">
        <v>11588</v>
      </c>
      <c r="H47163" s="0" t="s">
        <v>155</v>
      </c>
      <c r="I47163" s="0" t="s">
        <v>15745</v>
      </c>
      <c r="K47163" s="0" t="s">
        <v>155</v>
      </c>
      <c r="L47163" s="0" t="s">
        <v>6090</v>
      </c>
    </row>
    <row r="47164" customFormat="false" ht="12.8" hidden="false" customHeight="false" outlineLevel="0" collapsed="false">
      <c r="B47164" s="0" t="s">
        <v>16768</v>
      </c>
      <c r="C47164" s="0" t="s">
        <v>1892</v>
      </c>
      <c r="E47164" s="0" t="s">
        <v>572</v>
      </c>
      <c r="F47164" s="0" t="s">
        <v>11589</v>
      </c>
      <c r="H47164" s="0" t="s">
        <v>15747</v>
      </c>
      <c r="I47164" s="0" t="s">
        <v>15748</v>
      </c>
      <c r="K47164" s="0" t="s">
        <v>1823</v>
      </c>
      <c r="L47164" s="0" t="s">
        <v>6093</v>
      </c>
    </row>
    <row r="47166" customFormat="false" ht="12.8" hidden="false" customHeight="false" outlineLevel="0" collapsed="false">
      <c r="A47166" s="0" t="s">
        <v>16769</v>
      </c>
      <c r="B47166" s="0" t="str">
        <f aca="false">HYPERLINK("https://lindat.mff.cuni.cz/services/teitok/pdtc10/index.php?action=vallex&amp;frame=v-w6497f1", "stát si (v-w6497f1)")</f>
        <v>stát si (v-w6497f1)</v>
      </c>
      <c r="E47166" s="0" t="str">
        <f aca="false">HYPERLINK("https://lindat.mff.cuni.cz/services/SynSemClass40/SynSemClass40.html?veclass=vec00153#vec00153-ces-cm00024", "vec00153")</f>
        <v>vec00153</v>
      </c>
      <c r="F47166" s="0" t="s">
        <v>925</v>
      </c>
    </row>
    <row r="47167" customFormat="false" ht="12.8" hidden="false" customHeight="false" outlineLevel="0" collapsed="false">
      <c r="B47167" s="0" t="s">
        <v>1</v>
      </c>
      <c r="C47167" s="0" t="s">
        <v>926</v>
      </c>
      <c r="E47167" s="0" t="s">
        <v>11</v>
      </c>
      <c r="F47167" s="0" t="s">
        <v>927</v>
      </c>
    </row>
    <row r="47168" customFormat="false" ht="12.8" hidden="false" customHeight="false" outlineLevel="0" collapsed="false">
      <c r="B47168" s="0" t="s">
        <v>852</v>
      </c>
      <c r="C47168" s="0" t="s">
        <v>929</v>
      </c>
      <c r="E47168" s="0" t="s">
        <v>930</v>
      </c>
      <c r="F47168" s="0" t="s">
        <v>931</v>
      </c>
    </row>
    <row r="47170" customFormat="false" ht="12.8" hidden="false" customHeight="false" outlineLevel="0" collapsed="false">
      <c r="A47170" s="0" t="s">
        <v>16770</v>
      </c>
      <c r="B47170" s="0" t="str">
        <f aca="false">HYPERLINK("https://lindat.mff.cuni.cz/services/teitok/pdtc10/index.php?action=vallex&amp;frame=v-w6499f1", "stávat (v-w6499f1)")</f>
        <v>stávat (v-w6499f1)</v>
      </c>
      <c r="E47170" s="0" t="str">
        <f aca="false">HYPERLINK("https://lindat.mff.cuni.cz/services/SynSemClass40/SynSemClass40.html?veclass=vec00323#vec00323-ces-cm00016", "vec00323")</f>
        <v>vec00323</v>
      </c>
      <c r="F47170" s="0" t="s">
        <v>16501</v>
      </c>
    </row>
    <row r="47171" customFormat="false" ht="12.8" hidden="false" customHeight="false" outlineLevel="0" collapsed="false">
      <c r="B47171" s="0" t="s">
        <v>1</v>
      </c>
      <c r="C47171" s="0" t="s">
        <v>16502</v>
      </c>
      <c r="E47171" s="0" t="s">
        <v>11</v>
      </c>
      <c r="F47171" s="0" t="s">
        <v>16503</v>
      </c>
    </row>
    <row r="47172" customFormat="false" ht="12.8" hidden="false" customHeight="false" outlineLevel="0" collapsed="false">
      <c r="B47172" s="0" t="s">
        <v>5</v>
      </c>
      <c r="C47172" s="0" t="s">
        <v>16504</v>
      </c>
      <c r="E47172" s="0" t="s">
        <v>3254</v>
      </c>
      <c r="F47172" s="0" t="s">
        <v>16505</v>
      </c>
    </row>
    <row r="47174" customFormat="false" ht="12.8" hidden="false" customHeight="false" outlineLevel="0" collapsed="false">
      <c r="A47174" s="0" t="s">
        <v>16771</v>
      </c>
      <c r="B47174" s="0" t="str">
        <f aca="false">HYPERLINK("https://lindat.mff.cuni.cz/services/teitok/pdtc10/index.php?action=vallex&amp;frame=v-w6499f2_ZU", "stávat (v-w6499f2_ZU)")</f>
        <v>stávat (v-w6499f2_ZU)</v>
      </c>
      <c r="E47174" s="0" t="str">
        <f aca="false">HYPERLINK("https://lindat.mff.cuni.cz/services/SynSemClass40/SynSemClass40.html?veclass=vec00128#vec00128-ces-cm00244", "vec00128")</f>
        <v>vec00128</v>
      </c>
      <c r="F47174" s="0" t="s">
        <v>13958</v>
      </c>
      <c r="H47174" s="0" t="str">
        <f aca="false">HYPERLINK("https://lindat.mff.cuni.cz/services/SynSemClass40/SynSemClass40.html?veclass=vec00206#vec00206-ces-cm00044", "vec00206")</f>
        <v>vec00206</v>
      </c>
      <c r="I47174" s="0" t="s">
        <v>2728</v>
      </c>
    </row>
    <row r="47175" customFormat="false" ht="12.8" hidden="false" customHeight="false" outlineLevel="0" collapsed="false">
      <c r="B47175" s="0" t="s">
        <v>1</v>
      </c>
      <c r="C47175" s="0" t="s">
        <v>16733</v>
      </c>
      <c r="E47175" s="0" t="s">
        <v>235</v>
      </c>
      <c r="F47175" s="0" t="s">
        <v>13960</v>
      </c>
      <c r="H47175" s="0" t="s">
        <v>235</v>
      </c>
      <c r="I47175" s="0" t="s">
        <v>2730</v>
      </c>
    </row>
    <row r="47176" customFormat="false" ht="12.8" hidden="false" customHeight="false" outlineLevel="0" collapsed="false">
      <c r="B47176" s="0" t="s">
        <v>865</v>
      </c>
      <c r="C47176" s="0" t="s">
        <v>16734</v>
      </c>
      <c r="E47176" s="0" t="s">
        <v>6992</v>
      </c>
      <c r="F47176" s="0" t="s">
        <v>16735</v>
      </c>
      <c r="H47176" s="0" t="s">
        <v>6992</v>
      </c>
      <c r="I47176" s="0" t="s">
        <v>6993</v>
      </c>
    </row>
    <row r="47177" customFormat="false" ht="12.8" hidden="false" customHeight="false" outlineLevel="0" collapsed="false">
      <c r="B47177" s="0" t="s">
        <v>390</v>
      </c>
      <c r="C47177" s="0" t="s">
        <v>16736</v>
      </c>
      <c r="E47177" s="0" t="s">
        <v>142</v>
      </c>
      <c r="F47177" s="0" t="s">
        <v>16737</v>
      </c>
    </row>
    <row r="47179" customFormat="false" ht="12.8" hidden="false" customHeight="false" outlineLevel="0" collapsed="false">
      <c r="A47179" s="0" t="s">
        <v>16772</v>
      </c>
      <c r="B47179" s="0" t="str">
        <f aca="false">HYPERLINK("https://lindat.mff.cuni.cz/services/teitok/pdtc10/index.php?action=vallex&amp;frame=v-w6500f1", "stávat se (v-w6500f1)")</f>
        <v>stávat se (v-w6500f1)</v>
      </c>
      <c r="E47179" s="0" t="str">
        <f aca="false">HYPERLINK("https://lindat.mff.cuni.cz/services/SynSemClass40/SynSemClass40.html?veclass=vec01132#vec01132-ces-cm00024", "vec01132")</f>
        <v>vec01132</v>
      </c>
      <c r="F47179" s="0" t="s">
        <v>6967</v>
      </c>
    </row>
    <row r="47180" customFormat="false" ht="12.8" hidden="false" customHeight="false" outlineLevel="0" collapsed="false">
      <c r="B47180" s="0" t="s">
        <v>1</v>
      </c>
      <c r="C47180" s="0" t="s">
        <v>6968</v>
      </c>
      <c r="E47180" s="0" t="s">
        <v>84</v>
      </c>
      <c r="F47180" s="0" t="s">
        <v>6969</v>
      </c>
    </row>
    <row r="47181" customFormat="false" ht="12.8" hidden="false" customHeight="false" outlineLevel="0" collapsed="false">
      <c r="B47181" s="0" t="s">
        <v>16750</v>
      </c>
      <c r="C47181" s="0" t="s">
        <v>6971</v>
      </c>
      <c r="E47181" s="0" t="s">
        <v>1592</v>
      </c>
      <c r="F47181" s="0" t="s">
        <v>6972</v>
      </c>
    </row>
    <row r="47182" customFormat="false" ht="12.8" hidden="false" customHeight="false" outlineLevel="0" collapsed="false">
      <c r="B47182" s="0" t="s">
        <v>36</v>
      </c>
      <c r="C47182" s="0" t="s">
        <v>6973</v>
      </c>
      <c r="E47182" s="0" t="s">
        <v>38</v>
      </c>
      <c r="F47182" s="0" t="s">
        <v>6974</v>
      </c>
    </row>
    <row r="47184" customFormat="false" ht="12.8" hidden="false" customHeight="false" outlineLevel="0" collapsed="false">
      <c r="A47184" s="0" t="s">
        <v>16773</v>
      </c>
      <c r="B47184" s="0" t="str">
        <f aca="false">HYPERLINK("https://lindat.mff.cuni.cz/services/teitok/pdtc10/index.php?action=vallex&amp;frame=v-w6500f3", "stávat se (v-w6500f3)")</f>
        <v>stávat se (v-w6500f3)</v>
      </c>
      <c r="E47184" s="0" t="str">
        <f aca="false">HYPERLINK("https://lindat.mff.cuni.cz/services/SynSemClass40/SynSemClass40.html?veclass=vec00524#vec00524-ces-cm00034", "vec00524")</f>
        <v>vec00524</v>
      </c>
      <c r="F47184" s="0" t="s">
        <v>16754</v>
      </c>
    </row>
    <row r="47185" customFormat="false" ht="12.8" hidden="false" customHeight="false" outlineLevel="0" collapsed="false">
      <c r="B47185" s="0" t="s">
        <v>1</v>
      </c>
      <c r="C47185" s="0" t="s">
        <v>16755</v>
      </c>
      <c r="E47185" s="0" t="s">
        <v>16756</v>
      </c>
      <c r="F47185" s="0" t="s">
        <v>16757</v>
      </c>
    </row>
    <row r="47186" customFormat="false" ht="12.8" hidden="false" customHeight="false" outlineLevel="0" collapsed="false">
      <c r="B47186" s="0" t="s">
        <v>298</v>
      </c>
      <c r="C47186" s="0" t="s">
        <v>16758</v>
      </c>
      <c r="E47186" s="0" t="s">
        <v>7962</v>
      </c>
      <c r="F47186" s="0" t="s">
        <v>16759</v>
      </c>
    </row>
    <row r="47188" customFormat="false" ht="12.8" hidden="false" customHeight="false" outlineLevel="0" collapsed="false">
      <c r="A47188" s="0" t="s">
        <v>16774</v>
      </c>
      <c r="B47188" s="0" t="str">
        <f aca="false">HYPERLINK("https://lindat.mff.cuni.cz/services/teitok/pdtc10/index.php?action=vallex&amp;frame=v-w6500f4_ZU", "stávat se (v-w6500f4_ZU)")</f>
        <v>stávat se (v-w6500f4_ZU)</v>
      </c>
      <c r="E47188" s="0" t="str">
        <f aca="false">HYPERLINK("https://lindat.mff.cuni.cz/services/SynSemClass40/SynSemClass40.html?veclass=vec00006#vec00006-ces-cm00061", "vec00006")</f>
        <v>vec00006</v>
      </c>
      <c r="F47188" s="0" t="s">
        <v>3828</v>
      </c>
    </row>
    <row r="47189" customFormat="false" ht="12.8" hidden="false" customHeight="false" outlineLevel="0" collapsed="false">
      <c r="B47189" s="0" t="s">
        <v>843</v>
      </c>
      <c r="C47189" s="0" t="s">
        <v>3829</v>
      </c>
      <c r="E47189" s="0" t="s">
        <v>375</v>
      </c>
      <c r="F47189" s="0" t="s">
        <v>3830</v>
      </c>
    </row>
    <row r="47190" customFormat="false" ht="12.8" hidden="false" customHeight="false" outlineLevel="0" collapsed="false">
      <c r="B47190" s="0" t="s">
        <v>157</v>
      </c>
      <c r="C47190" s="0" t="s">
        <v>3831</v>
      </c>
      <c r="E47190" s="0" t="s">
        <v>3832</v>
      </c>
      <c r="F47190" s="0" t="s">
        <v>3833</v>
      </c>
    </row>
    <row r="47192" customFormat="false" ht="12.8" hidden="false" customHeight="false" outlineLevel="0" collapsed="false">
      <c r="A47192" s="0" t="s">
        <v>16774</v>
      </c>
      <c r="B47192" s="0" t="str">
        <f aca="false">HYPERLINK("https://lindat.mff.cuni.cz/services/teitok/pdtc10/index.php?action=vallex&amp;frame=v-w6500f2", "stávat se (v-w6500f2) - substituted with v-w6500f4_ZU")</f>
        <v>stávat se (v-w6500f2) - substituted with v-w6500f4_ZU</v>
      </c>
    </row>
    <row r="47193" customFormat="false" ht="12.8" hidden="false" customHeight="false" outlineLevel="0" collapsed="false">
      <c r="B47193" s="0" t="s">
        <v>843</v>
      </c>
    </row>
    <row r="47194" customFormat="false" ht="12.8" hidden="false" customHeight="false" outlineLevel="0" collapsed="false">
      <c r="B47194" s="0" t="s">
        <v>157</v>
      </c>
    </row>
    <row r="47196" customFormat="false" ht="12.8" hidden="false" customHeight="false" outlineLevel="0" collapsed="false">
      <c r="A47196" s="0" t="s">
        <v>16775</v>
      </c>
      <c r="B47196" s="0" t="str">
        <f aca="false">HYPERLINK("https://lindat.mff.cuni.cz/services/teitok/pdtc10/index.php?action=vallex&amp;frame=v-w6511f1", "stávkovat (v-w6511f1)")</f>
        <v>stávkovat (v-w6511f1)</v>
      </c>
      <c r="E47196" s="0" t="str">
        <f aca="false">HYPERLINK("https://lindat.mff.cuni.cz/services/SynSemClass40/SynSemClass40.html?veclass=vec00727#vec00727-ces-cm00001", "vec00727")</f>
        <v>vec00727</v>
      </c>
      <c r="F47196" s="0" t="s">
        <v>1905</v>
      </c>
    </row>
    <row r="47197" customFormat="false" ht="12.8" hidden="false" customHeight="false" outlineLevel="0" collapsed="false">
      <c r="B47197" s="0" t="s">
        <v>1</v>
      </c>
      <c r="C47197" s="0" t="s">
        <v>1906</v>
      </c>
      <c r="E47197" s="0" t="s">
        <v>1907</v>
      </c>
      <c r="F47197" s="0" t="s">
        <v>1908</v>
      </c>
    </row>
    <row r="47199" customFormat="false" ht="12.8" hidden="false" customHeight="false" outlineLevel="0" collapsed="false">
      <c r="A47199" s="0" t="s">
        <v>16776</v>
      </c>
      <c r="B47199" s="0" t="str">
        <f aca="false">HYPERLINK("https://lindat.mff.cuni.cz/services/teitok/pdtc10/index.php?action=vallex&amp;frame=v-w6461f1", "stáčet (v-w6461f1)")</f>
        <v>stáčet (v-w6461f1)</v>
      </c>
    </row>
    <row r="47200" customFormat="false" ht="12.8" hidden="false" customHeight="false" outlineLevel="0" collapsed="false">
      <c r="B47200" s="0" t="s">
        <v>1</v>
      </c>
    </row>
    <row r="47201" customFormat="false" ht="12.8" hidden="false" customHeight="false" outlineLevel="0" collapsed="false">
      <c r="B47201" s="0" t="s">
        <v>8</v>
      </c>
    </row>
    <row r="47203" customFormat="false" ht="12.8" hidden="false" customHeight="false" outlineLevel="0" collapsed="false">
      <c r="A47203" s="0" t="s">
        <v>16777</v>
      </c>
      <c r="B47203" s="0" t="str">
        <f aca="false">HYPERLINK("https://lindat.mff.cuni.cz/services/teitok/pdtc10/index.php?action=vallex&amp;frame=v-w6461hsa_475", "stáčet (v-w6461hsa_475)")</f>
        <v>stáčet (v-w6461hsa_475)</v>
      </c>
      <c r="E47203" s="0" t="str">
        <f aca="false">HYPERLINK("https://lindat.mff.cuni.cz/services/SynSemClass40/SynSemClass40.html?veclass=vec01326#vec01326-ces-cm00003", "vec01326")</f>
        <v>vec01326</v>
      </c>
      <c r="F47203" s="0" t="s">
        <v>16778</v>
      </c>
    </row>
    <row r="47204" customFormat="false" ht="12.8" hidden="false" customHeight="false" outlineLevel="0" collapsed="false">
      <c r="B47204" s="0" t="s">
        <v>1</v>
      </c>
      <c r="E47204" s="0" t="s">
        <v>147</v>
      </c>
      <c r="F47204" s="0" t="s">
        <v>5874</v>
      </c>
    </row>
    <row r="47205" customFormat="false" ht="12.8" hidden="false" customHeight="false" outlineLevel="0" collapsed="false">
      <c r="B47205" s="0" t="s">
        <v>8</v>
      </c>
      <c r="E47205" s="0" t="s">
        <v>218</v>
      </c>
      <c r="F47205" s="0" t="s">
        <v>12586</v>
      </c>
    </row>
    <row r="47206" customFormat="false" ht="12.8" hidden="false" customHeight="false" outlineLevel="0" collapsed="false">
      <c r="B47206" s="0" t="s">
        <v>841</v>
      </c>
      <c r="E47206" s="0" t="s">
        <v>42</v>
      </c>
      <c r="F47206" s="0" t="s">
        <v>13432</v>
      </c>
    </row>
    <row r="47208" customFormat="false" ht="12.8" hidden="false" customHeight="false" outlineLevel="0" collapsed="false">
      <c r="A47208" s="0" t="s">
        <v>16779</v>
      </c>
      <c r="B47208" s="0" t="str">
        <f aca="false">HYPERLINK("https://lindat.mff.cuni.cz/services/teitok/pdtc10/index.php?action=vallex&amp;frame=v-whsa_279hsa_280", "stáčet se (v-whsa_279hsa_280)")</f>
        <v>stáčet se (v-whsa_279hsa_280)</v>
      </c>
      <c r="E47208" s="0" t="str">
        <f aca="false">HYPERLINK("https://lindat.mff.cuni.cz/services/SynSemClass40/SynSemClass40.html?veclass=vec00931#vec00931-ces-cm00004", "vec00931")</f>
        <v>vec00931</v>
      </c>
      <c r="F47208" s="0" t="s">
        <v>8713</v>
      </c>
    </row>
    <row r="47209" customFormat="false" ht="12.8" hidden="false" customHeight="false" outlineLevel="0" collapsed="false">
      <c r="B47209" s="0" t="s">
        <v>1</v>
      </c>
      <c r="C47209" s="0" t="s">
        <v>8714</v>
      </c>
      <c r="E47209" s="0" t="s">
        <v>334</v>
      </c>
      <c r="F47209" s="0" t="s">
        <v>8715</v>
      </c>
    </row>
    <row r="47210" customFormat="false" ht="12.8" hidden="false" customHeight="false" outlineLevel="0" collapsed="false">
      <c r="B47210" s="0" t="s">
        <v>164</v>
      </c>
      <c r="E47210" s="0" t="s">
        <v>3229</v>
      </c>
      <c r="F47210" s="0" t="s">
        <v>8716</v>
      </c>
    </row>
    <row r="47212" customFormat="false" ht="12.8" hidden="false" customHeight="false" outlineLevel="0" collapsed="false">
      <c r="A47212" s="0" t="s">
        <v>16780</v>
      </c>
      <c r="B47212" s="0" t="str">
        <f aca="false">HYPERLINK("https://lindat.mff.cuni.cz/services/teitok/pdtc10/index.php?action=vallex&amp;frame=v-whsa_277hsa_278", "stáčet se (v-whsa_277hsa_278)")</f>
        <v>stáčet se (v-whsa_277hsa_278)</v>
      </c>
    </row>
    <row r="47213" customFormat="false" ht="12.8" hidden="false" customHeight="false" outlineLevel="0" collapsed="false">
      <c r="B47213" s="0" t="s">
        <v>1</v>
      </c>
    </row>
    <row r="47214" customFormat="false" ht="12.8" hidden="false" customHeight="false" outlineLevel="0" collapsed="false">
      <c r="B47214" s="0" t="s">
        <v>5</v>
      </c>
    </row>
    <row r="47216" customFormat="false" ht="12.8" hidden="false" customHeight="false" outlineLevel="0" collapsed="false">
      <c r="A47216" s="0" t="s">
        <v>16781</v>
      </c>
      <c r="B47216" s="0" t="str">
        <f aca="false">HYPERLINK("https://lindat.mff.cuni.cz/services/teitok/pdtc10/index.php?action=vallex&amp;frame=v-whsa_279f1_ZU", "stáčet se (v-whsa_279f1_ZU)")</f>
        <v>stáčet se (v-whsa_279f1_ZU)</v>
      </c>
    </row>
    <row r="47217" customFormat="false" ht="12.8" hidden="false" customHeight="false" outlineLevel="0" collapsed="false">
      <c r="B47217" s="0" t="s">
        <v>1</v>
      </c>
    </row>
    <row r="47218" customFormat="false" ht="12.8" hidden="false" customHeight="false" outlineLevel="0" collapsed="false">
      <c r="B47218" s="0" t="s">
        <v>5</v>
      </c>
    </row>
    <row r="47220" customFormat="false" ht="12.8" hidden="false" customHeight="false" outlineLevel="0" collapsed="false">
      <c r="A47220" s="0" t="s">
        <v>16782</v>
      </c>
      <c r="B47220" s="0" t="str">
        <f aca="false">HYPERLINK("https://lindat.mff.cuni.cz/services/teitok/pdtc10/index.php?action=vallex&amp;frame=v-whsa_1890hsa_1891", "stékat (v-whsa_1890hsa_1891)")</f>
        <v>stékat (v-whsa_1890hsa_1891)</v>
      </c>
    </row>
    <row r="47221" customFormat="false" ht="12.8" hidden="false" customHeight="false" outlineLevel="0" collapsed="false">
      <c r="B47221" s="0" t="s">
        <v>1</v>
      </c>
    </row>
    <row r="47222" customFormat="false" ht="12.8" hidden="false" customHeight="false" outlineLevel="0" collapsed="false">
      <c r="B47222" s="0" t="s">
        <v>631</v>
      </c>
    </row>
    <row r="47224" customFormat="false" ht="12.8" hidden="false" customHeight="false" outlineLevel="0" collapsed="false">
      <c r="A47224" s="0" t="s">
        <v>16783</v>
      </c>
      <c r="B47224" s="0" t="str">
        <f aca="false">HYPERLINK("https://lindat.mff.cuni.cz/services/teitok/pdtc10/index.php?action=vallex&amp;frame=v-w10285f2", "sténat (v-w10285f2)")</f>
        <v>sténat (v-w10285f2)</v>
      </c>
      <c r="E47224" s="0" t="str">
        <f aca="false">HYPERLINK("https://lindat.mff.cuni.cz/services/SynSemClass40/SynSemClass40.html?veclass=vec00867#vec00867-ces-cm00007", "vec00867")</f>
        <v>vec00867</v>
      </c>
      <c r="F47224" s="0" t="s">
        <v>1294</v>
      </c>
    </row>
    <row r="47225" customFormat="false" ht="12.8" hidden="false" customHeight="false" outlineLevel="0" collapsed="false">
      <c r="B47225" s="0" t="s">
        <v>1</v>
      </c>
      <c r="C47225" s="0" t="s">
        <v>9802</v>
      </c>
      <c r="E47225" s="0" t="s">
        <v>266</v>
      </c>
      <c r="F47225" s="0" t="s">
        <v>1296</v>
      </c>
    </row>
    <row r="47227" customFormat="false" ht="12.8" hidden="false" customHeight="false" outlineLevel="0" collapsed="false">
      <c r="A47227" s="0" t="s">
        <v>16784</v>
      </c>
      <c r="B47227" s="0" t="str">
        <f aca="false">HYPERLINK("https://lindat.mff.cuni.cz/services/teitok/pdtc10/index.php?action=vallex&amp;frame=v-w6523f1", "stíhat (v-w6523f1)")</f>
        <v>stíhat (v-w6523f1)</v>
      </c>
      <c r="E47227" s="0" t="str">
        <f aca="false">HYPERLINK("https://lindat.mff.cuni.cz/services/SynSemClass40/SynSemClass40.html?veclass=vec01119#vec01119-ces-cm00001", "vec01119")</f>
        <v>vec01119</v>
      </c>
      <c r="F47227" s="0" t="s">
        <v>5748</v>
      </c>
    </row>
    <row r="47228" customFormat="false" ht="12.8" hidden="false" customHeight="false" outlineLevel="0" collapsed="false">
      <c r="B47228" s="0" t="s">
        <v>1</v>
      </c>
      <c r="C47228" s="0" t="s">
        <v>447</v>
      </c>
      <c r="E47228" s="0" t="s">
        <v>206</v>
      </c>
      <c r="F47228" s="0" t="s">
        <v>2075</v>
      </c>
    </row>
    <row r="47229" customFormat="false" ht="12.8" hidden="false" customHeight="false" outlineLevel="0" collapsed="false">
      <c r="B47229" s="0" t="s">
        <v>8</v>
      </c>
      <c r="C47229" s="0" t="s">
        <v>4473</v>
      </c>
      <c r="E47229" s="0" t="s">
        <v>5749</v>
      </c>
      <c r="F47229" s="0" t="s">
        <v>5750</v>
      </c>
    </row>
    <row r="47231" customFormat="false" ht="12.8" hidden="false" customHeight="false" outlineLevel="0" collapsed="false">
      <c r="A47231" s="0" t="s">
        <v>16785</v>
      </c>
      <c r="B47231" s="0" t="str">
        <f aca="false">HYPERLINK("https://lindat.mff.cuni.cz/services/teitok/pdtc10/index.php?action=vallex&amp;frame=v-w6523hsa_1293", "stíhat (v-w6523hsa_1293)")</f>
        <v>stíhat (v-w6523hsa_1293)</v>
      </c>
    </row>
    <row r="47232" customFormat="false" ht="12.8" hidden="false" customHeight="false" outlineLevel="0" collapsed="false">
      <c r="B47232" s="0" t="s">
        <v>1</v>
      </c>
    </row>
    <row r="47233" customFormat="false" ht="12.8" hidden="false" customHeight="false" outlineLevel="0" collapsed="false">
      <c r="B47233" s="0" t="s">
        <v>8</v>
      </c>
    </row>
    <row r="47235" customFormat="false" ht="12.8" hidden="false" customHeight="false" outlineLevel="0" collapsed="false">
      <c r="A47235" s="0" t="s">
        <v>16786</v>
      </c>
      <c r="B47235" s="0" t="str">
        <f aca="false">HYPERLINK("https://lindat.mff.cuni.cz/services/teitok/pdtc10/index.php?action=vallex&amp;frame=v-w6523hsa_1294", "stíhat (v-w6523hsa_1294)")</f>
        <v>stíhat (v-w6523hsa_1294)</v>
      </c>
    </row>
    <row r="47236" customFormat="false" ht="12.8" hidden="false" customHeight="false" outlineLevel="0" collapsed="false">
      <c r="B47236" s="0" t="s">
        <v>1</v>
      </c>
    </row>
    <row r="47237" customFormat="false" ht="12.8" hidden="false" customHeight="false" outlineLevel="0" collapsed="false">
      <c r="B47237" s="0" t="s">
        <v>402</v>
      </c>
    </row>
    <row r="47239" customFormat="false" ht="12.8" hidden="false" customHeight="false" outlineLevel="0" collapsed="false">
      <c r="A47239" s="0" t="s">
        <v>16787</v>
      </c>
      <c r="B47239" s="0" t="str">
        <f aca="false">HYPERLINK("https://lindat.mff.cuni.cz/services/teitok/pdtc10/index.php?action=vallex&amp;frame=v-w10086f3_ZU", "stínit (v-w10086f3_ZU)")</f>
        <v>stínit (v-w10086f3_ZU)</v>
      </c>
    </row>
    <row r="47240" customFormat="false" ht="12.8" hidden="false" customHeight="false" outlineLevel="0" collapsed="false">
      <c r="B47240" s="0" t="s">
        <v>1</v>
      </c>
    </row>
    <row r="47241" customFormat="false" ht="12.8" hidden="false" customHeight="false" outlineLevel="0" collapsed="false">
      <c r="B47241" s="0" t="s">
        <v>186</v>
      </c>
    </row>
    <row r="47243" customFormat="false" ht="12.8" hidden="false" customHeight="false" outlineLevel="0" collapsed="false">
      <c r="A47243" s="0" t="s">
        <v>16787</v>
      </c>
      <c r="B47243" s="0" t="str">
        <f aca="false">HYPERLINK("https://lindat.mff.cuni.cz/services/teitok/pdtc10/index.php?action=vallex&amp;frame=v-w10086f2", "stínit (v-w10086f2) - substituted with v-w10086f3_ZU")</f>
        <v>stínit (v-w10086f2) - substituted with v-w10086f3_ZU</v>
      </c>
    </row>
    <row r="47244" customFormat="false" ht="12.8" hidden="false" customHeight="false" outlineLevel="0" collapsed="false">
      <c r="B47244" s="0" t="s">
        <v>1</v>
      </c>
    </row>
    <row r="47245" customFormat="false" ht="12.8" hidden="false" customHeight="false" outlineLevel="0" collapsed="false">
      <c r="B47245" s="0" t="s">
        <v>186</v>
      </c>
    </row>
    <row r="47247" customFormat="false" ht="12.8" hidden="false" customHeight="false" outlineLevel="0" collapsed="false">
      <c r="A47247" s="0" t="s">
        <v>16788</v>
      </c>
      <c r="B47247" s="0" t="str">
        <f aca="false">HYPERLINK("https://lindat.mff.cuni.cz/services/teitok/pdtc10/index.php?action=vallex&amp;frame=v-w10403f2", "stínovat (v-w10403f2)")</f>
        <v>stínovat (v-w10403f2)</v>
      </c>
    </row>
    <row r="47248" customFormat="false" ht="12.8" hidden="false" customHeight="false" outlineLevel="0" collapsed="false">
      <c r="B47248" s="0" t="s">
        <v>1</v>
      </c>
    </row>
    <row r="47249" customFormat="false" ht="12.8" hidden="false" customHeight="false" outlineLevel="0" collapsed="false">
      <c r="B47249" s="0" t="s">
        <v>8</v>
      </c>
    </row>
    <row r="47251" customFormat="false" ht="12.8" hidden="false" customHeight="false" outlineLevel="0" collapsed="false">
      <c r="A47251" s="0" t="s">
        <v>16789</v>
      </c>
      <c r="B47251" s="0" t="str">
        <f aca="false">HYPERLINK("https://lindat.mff.cuni.cz/services/teitok/pdtc10/index.php?action=vallex&amp;frame=v-w11596_ZUf1_ZU", "stírat (v-w11596_ZUf1_ZU)")</f>
        <v>stírat (v-w11596_ZUf1_ZU)</v>
      </c>
      <c r="E47251" s="0" t="str">
        <f aca="false">HYPERLINK("https://lindat.mff.cuni.cz/services/SynSemClass40/SynSemClass40.html?veclass=vec00923#vec00923-ces-cm00097", "vec00923")</f>
        <v>vec00923</v>
      </c>
      <c r="F47251" s="0" t="s">
        <v>9307</v>
      </c>
    </row>
    <row r="47252" customFormat="false" ht="12.8" hidden="false" customHeight="false" outlineLevel="0" collapsed="false">
      <c r="B47252" s="0" t="s">
        <v>1</v>
      </c>
      <c r="C47252" s="0" t="s">
        <v>459</v>
      </c>
      <c r="E47252" s="0" t="s">
        <v>76</v>
      </c>
      <c r="F47252" s="0" t="s">
        <v>743</v>
      </c>
    </row>
    <row r="47253" customFormat="false" ht="12.8" hidden="false" customHeight="false" outlineLevel="0" collapsed="false">
      <c r="B47253" s="0" t="s">
        <v>8</v>
      </c>
      <c r="C47253" s="0" t="s">
        <v>3252</v>
      </c>
      <c r="E47253" s="0" t="s">
        <v>4094</v>
      </c>
      <c r="F47253" s="0" t="s">
        <v>9308</v>
      </c>
    </row>
    <row r="47255" customFormat="false" ht="12.8" hidden="false" customHeight="false" outlineLevel="0" collapsed="false">
      <c r="A47255" s="0" t="s">
        <v>16790</v>
      </c>
      <c r="B47255" s="0" t="str">
        <f aca="false">HYPERLINK("https://lindat.mff.cuni.cz/services/teitok/pdtc10/index.php?action=vallex&amp;frame=v-w6531f1", "stísnit se (v-w6531f1)")</f>
        <v>stísnit se (v-w6531f1)</v>
      </c>
    </row>
    <row r="47256" customFormat="false" ht="12.8" hidden="false" customHeight="false" outlineLevel="0" collapsed="false">
      <c r="B47256" s="0" t="s">
        <v>1</v>
      </c>
    </row>
    <row r="47257" customFormat="false" ht="12.8" hidden="false" customHeight="false" outlineLevel="0" collapsed="false">
      <c r="B47257" s="0" t="s">
        <v>5</v>
      </c>
    </row>
    <row r="47259" customFormat="false" ht="12.8" hidden="false" customHeight="false" outlineLevel="0" collapsed="false">
      <c r="A47259" s="0" t="s">
        <v>16791</v>
      </c>
      <c r="B47259" s="0" t="str">
        <f aca="false">HYPERLINK("https://lindat.mff.cuni.cz/services/teitok/pdtc10/index.php?action=vallex&amp;frame=v-w6531f2", "stísnit se (v-w6531f2)")</f>
        <v>stísnit se (v-w6531f2)</v>
      </c>
    </row>
    <row r="47260" customFormat="false" ht="12.8" hidden="false" customHeight="false" outlineLevel="0" collapsed="false">
      <c r="B47260" s="0" t="s">
        <v>1</v>
      </c>
    </row>
    <row r="47261" customFormat="false" ht="12.8" hidden="false" customHeight="false" outlineLevel="0" collapsed="false">
      <c r="B47261" s="0" t="s">
        <v>164</v>
      </c>
    </row>
    <row r="47263" customFormat="false" ht="12.8" hidden="false" customHeight="false" outlineLevel="0" collapsed="false">
      <c r="A47263" s="0" t="s">
        <v>16792</v>
      </c>
      <c r="B47263" s="0" t="str">
        <f aca="false">HYPERLINK("https://lindat.mff.cuni.cz/services/teitok/pdtc10/index.php?action=vallex&amp;frame=v-w6615f1", "stýkat se (v-w6615f1)")</f>
        <v>stýkat se (v-w6615f1)</v>
      </c>
      <c r="E47263" s="0" t="str">
        <f aca="false">HYPERLINK("https://lindat.mff.cuni.cz/services/SynSemClass40/SynSemClass40.html?veclass=vec00307#vec00307-ces-cm00086", "vec00307")</f>
        <v>vec00307</v>
      </c>
      <c r="F47263" s="0" t="s">
        <v>11687</v>
      </c>
    </row>
    <row r="47264" customFormat="false" ht="12.8" hidden="false" customHeight="false" outlineLevel="0" collapsed="false">
      <c r="B47264" s="0" t="s">
        <v>1</v>
      </c>
      <c r="C47264" s="0" t="s">
        <v>11688</v>
      </c>
      <c r="E47264" s="0" t="s">
        <v>2241</v>
      </c>
      <c r="F47264" s="0" t="s">
        <v>11689</v>
      </c>
    </row>
    <row r="47265" customFormat="false" ht="12.8" hidden="false" customHeight="false" outlineLevel="0" collapsed="false">
      <c r="B47265" s="0" t="s">
        <v>721</v>
      </c>
      <c r="C47265" s="0" t="s">
        <v>4776</v>
      </c>
      <c r="E47265" s="0" t="s">
        <v>2665</v>
      </c>
      <c r="F47265" s="0" t="s">
        <v>11690</v>
      </c>
    </row>
    <row r="47267" customFormat="false" ht="12.8" hidden="false" customHeight="false" outlineLevel="0" collapsed="false">
      <c r="A47267" s="0" t="s">
        <v>16793</v>
      </c>
      <c r="B47267" s="0" t="str">
        <f aca="false">HYPERLINK("https://lindat.mff.cuni.cz/services/teitok/pdtc10/index.php?action=vallex&amp;frame=v-w6615hsa_352", "stýkat se (v-w6615hsa_352)")</f>
        <v>stýkat se (v-w6615hsa_352)</v>
      </c>
    </row>
    <row r="47268" customFormat="false" ht="12.8" hidden="false" customHeight="false" outlineLevel="0" collapsed="false">
      <c r="B47268" s="0" t="s">
        <v>1</v>
      </c>
    </row>
    <row r="47269" customFormat="false" ht="12.8" hidden="false" customHeight="false" outlineLevel="0" collapsed="false">
      <c r="B47269" s="0" t="s">
        <v>721</v>
      </c>
    </row>
    <row r="47271" customFormat="false" ht="12.8" hidden="false" customHeight="false" outlineLevel="0" collapsed="false">
      <c r="A47271" s="0" t="s">
        <v>16794</v>
      </c>
      <c r="B47271" s="0" t="str">
        <f aca="false">HYPERLINK("https://lindat.mff.cuni.cz/services/teitok/pdtc10/index.php?action=vallex&amp;frame=v-w6618f1", "stýskat se (v-w6618f1)")</f>
        <v>stýskat se (v-w6618f1)</v>
      </c>
    </row>
    <row r="47272" customFormat="false" ht="12.8" hidden="false" customHeight="false" outlineLevel="0" collapsed="false">
      <c r="B47272" s="0" t="s">
        <v>804</v>
      </c>
    </row>
    <row r="47273" customFormat="false" ht="12.8" hidden="false" customHeight="false" outlineLevel="0" collapsed="false">
      <c r="B47273" s="0" t="s">
        <v>1510</v>
      </c>
    </row>
    <row r="47275" customFormat="false" ht="12.8" hidden="false" customHeight="false" outlineLevel="0" collapsed="false">
      <c r="A47275" s="0" t="s">
        <v>16795</v>
      </c>
      <c r="B47275" s="0" t="str">
        <f aca="false">HYPERLINK("https://lindat.mff.cuni.cz/services/teitok/pdtc10/index.php?action=vallex&amp;frame=v-w6516f1", "stěhovat (v-w6516f1)")</f>
        <v>stěhovat (v-w6516f1)</v>
      </c>
      <c r="E47275" s="0" t="str">
        <f aca="false">HYPERLINK("https://lindat.mff.cuni.cz/services/SynSemClass40/SynSemClass40.html?veclass=vec00283#vec00283-ces-cm00031", "vec00283")</f>
        <v>vec00283</v>
      </c>
      <c r="F47275" s="0" t="s">
        <v>8946</v>
      </c>
    </row>
    <row r="47276" customFormat="false" ht="12.8" hidden="false" customHeight="false" outlineLevel="0" collapsed="false">
      <c r="B47276" s="0" t="s">
        <v>1</v>
      </c>
      <c r="C47276" s="0" t="s">
        <v>7911</v>
      </c>
      <c r="E47276" s="0" t="s">
        <v>2196</v>
      </c>
      <c r="F47276" s="0" t="s">
        <v>8947</v>
      </c>
    </row>
    <row r="47277" customFormat="false" ht="12.8" hidden="false" customHeight="false" outlineLevel="0" collapsed="false">
      <c r="B47277" s="0" t="s">
        <v>8</v>
      </c>
      <c r="C47277" s="0" t="s">
        <v>8948</v>
      </c>
      <c r="E47277" s="0" t="s">
        <v>2200</v>
      </c>
      <c r="F47277" s="0" t="s">
        <v>8949</v>
      </c>
    </row>
    <row r="47279" customFormat="false" ht="12.8" hidden="false" customHeight="false" outlineLevel="0" collapsed="false">
      <c r="A47279" s="0" t="s">
        <v>16796</v>
      </c>
      <c r="B47279" s="0" t="str">
        <f aca="false">HYPERLINK("https://lindat.mff.cuni.cz/services/teitok/pdtc10/index.php?action=vallex&amp;frame=v-w6516f2", "stěhovat (v-w6516f2)")</f>
        <v>stěhovat (v-w6516f2)</v>
      </c>
    </row>
    <row r="47280" customFormat="false" ht="12.8" hidden="false" customHeight="false" outlineLevel="0" collapsed="false">
      <c r="B47280" s="0" t="s">
        <v>1</v>
      </c>
    </row>
    <row r="47281" customFormat="false" ht="12.8" hidden="false" customHeight="false" outlineLevel="0" collapsed="false">
      <c r="B47281" s="0" t="s">
        <v>8</v>
      </c>
    </row>
    <row r="47283" customFormat="false" ht="12.8" hidden="false" customHeight="false" outlineLevel="0" collapsed="false">
      <c r="A47283" s="0" t="s">
        <v>16797</v>
      </c>
      <c r="B47283" s="0" t="str">
        <f aca="false">HYPERLINK("https://lindat.mff.cuni.cz/services/teitok/pdtc10/index.php?action=vallex&amp;frame=v-w6517f1", "stěhovat se (v-w6517f1)")</f>
        <v>stěhovat se (v-w6517f1)</v>
      </c>
      <c r="E47283" s="0" t="str">
        <f aca="false">HYPERLINK("https://lindat.mff.cuni.cz/services/SynSemClass40/SynSemClass40.html?veclass=vec00048#vec00048-ces-cm00192", "vec00048")</f>
        <v>vec00048</v>
      </c>
      <c r="F47283" s="0" t="s">
        <v>1945</v>
      </c>
    </row>
    <row r="47284" customFormat="false" ht="12.8" hidden="false" customHeight="false" outlineLevel="0" collapsed="false">
      <c r="B47284" s="0" t="s">
        <v>1</v>
      </c>
      <c r="C47284" s="0" t="s">
        <v>1946</v>
      </c>
      <c r="E47284" s="0" t="s">
        <v>334</v>
      </c>
      <c r="F47284" s="0" t="s">
        <v>1947</v>
      </c>
    </row>
    <row r="47285" customFormat="false" ht="12.8" hidden="false" customHeight="false" outlineLevel="0" collapsed="false">
      <c r="B47285" s="0" t="s">
        <v>164</v>
      </c>
      <c r="E47285" s="0" t="s">
        <v>1315</v>
      </c>
      <c r="F47285" s="0" t="s">
        <v>1316</v>
      </c>
    </row>
    <row r="47287" customFormat="false" ht="12.8" hidden="false" customHeight="false" outlineLevel="0" collapsed="false">
      <c r="A47287" s="0" t="s">
        <v>16798</v>
      </c>
      <c r="B47287" s="0" t="str">
        <f aca="false">HYPERLINK("https://lindat.mff.cuni.cz/services/teitok/pdtc10/index.php?action=vallex&amp;frame=v-w12312_MMf1_MM", "stěsnat (v-w12312_MMf1_MM)")</f>
        <v>stěsnat (v-w12312_MMf1_MM)</v>
      </c>
    </row>
    <row r="47288" customFormat="false" ht="12.8" hidden="false" customHeight="false" outlineLevel="0" collapsed="false">
      <c r="B47288" s="0" t="s">
        <v>1</v>
      </c>
    </row>
    <row r="47289" customFormat="false" ht="12.8" hidden="false" customHeight="false" outlineLevel="0" collapsed="false">
      <c r="B47289" s="0" t="s">
        <v>8</v>
      </c>
    </row>
    <row r="47290" customFormat="false" ht="12.8" hidden="false" customHeight="false" outlineLevel="0" collapsed="false">
      <c r="B47290" s="0" t="s">
        <v>164</v>
      </c>
    </row>
    <row r="47292" customFormat="false" ht="12.8" hidden="false" customHeight="false" outlineLevel="0" collapsed="false">
      <c r="A47292" s="0" t="s">
        <v>16799</v>
      </c>
      <c r="B47292" s="0" t="str">
        <f aca="false">HYPERLINK("https://lindat.mff.cuni.cz/services/teitok/pdtc10/index.php?action=vallex&amp;frame=v-w6521f1", "stěžovat si (v-w6521f1)")</f>
        <v>stěžovat si (v-w6521f1)</v>
      </c>
      <c r="E47292" s="0" t="str">
        <f aca="false">HYPERLINK("https://lindat.mff.cuni.cz/services/SynSemClass40/SynSemClass40.html?veclass=vec00132#vec00132-ces-cm00001", "vec00132")</f>
        <v>vec00132</v>
      </c>
      <c r="F47292" s="0" t="s">
        <v>484</v>
      </c>
    </row>
    <row r="47293" customFormat="false" ht="12.8" hidden="false" customHeight="false" outlineLevel="0" collapsed="false">
      <c r="B47293" s="0" t="s">
        <v>1</v>
      </c>
      <c r="C47293" s="0" t="s">
        <v>5883</v>
      </c>
      <c r="E47293" s="0" t="s">
        <v>63</v>
      </c>
      <c r="F47293" s="0" t="s">
        <v>487</v>
      </c>
    </row>
    <row r="47294" customFormat="false" ht="12.8" hidden="false" customHeight="false" outlineLevel="0" collapsed="false">
      <c r="B47294" s="0" t="s">
        <v>16800</v>
      </c>
      <c r="C47294" s="0" t="s">
        <v>11642</v>
      </c>
      <c r="E47294" s="0" t="s">
        <v>230</v>
      </c>
      <c r="F47294" s="0" t="s">
        <v>491</v>
      </c>
    </row>
    <row r="47295" customFormat="false" ht="12.8" hidden="false" customHeight="false" outlineLevel="0" collapsed="false">
      <c r="B47295" s="0" t="s">
        <v>132</v>
      </c>
      <c r="C47295" s="0" t="s">
        <v>8303</v>
      </c>
      <c r="E47295" s="0" t="s">
        <v>2287</v>
      </c>
      <c r="F47295" s="0" t="s">
        <v>11643</v>
      </c>
    </row>
    <row r="47297" customFormat="false" ht="12.8" hidden="false" customHeight="false" outlineLevel="0" collapsed="false">
      <c r="A47297" s="0" t="s">
        <v>16801</v>
      </c>
      <c r="B47297" s="0" t="str">
        <f aca="false">HYPERLINK("https://lindat.mff.cuni.cz/services/teitok/pdtc10/index.php?action=vallex&amp;frame=v-w6521f2", "stěžovat si (v-w6521f2)")</f>
        <v>stěžovat si (v-w6521f2)</v>
      </c>
      <c r="E47297" s="0" t="str">
        <f aca="false">HYPERLINK("https://lindat.mff.cuni.cz/services/SynSemClass40/SynSemClass40.html?veclass=vec00132#vec00132-ces-cm00006", "vec00132")</f>
        <v>vec00132</v>
      </c>
      <c r="F47297" s="0" t="s">
        <v>484</v>
      </c>
    </row>
    <row r="47298" customFormat="false" ht="12.8" hidden="false" customHeight="false" outlineLevel="0" collapsed="false">
      <c r="B47298" s="0" t="s">
        <v>1</v>
      </c>
      <c r="C47298" s="0" t="s">
        <v>5883</v>
      </c>
      <c r="E47298" s="0" t="s">
        <v>63</v>
      </c>
      <c r="F47298" s="0" t="s">
        <v>487</v>
      </c>
    </row>
    <row r="47299" customFormat="false" ht="12.8" hidden="false" customHeight="false" outlineLevel="0" collapsed="false">
      <c r="B47299" s="0" t="s">
        <v>52</v>
      </c>
      <c r="C47299" s="0" t="s">
        <v>8303</v>
      </c>
      <c r="E47299" s="0" t="s">
        <v>2287</v>
      </c>
      <c r="F47299" s="0" t="s">
        <v>11643</v>
      </c>
    </row>
    <row r="47300" customFormat="false" ht="12.8" hidden="false" customHeight="false" outlineLevel="0" collapsed="false">
      <c r="B47300" s="0" t="s">
        <v>16802</v>
      </c>
      <c r="C47300" s="0" t="s">
        <v>11849</v>
      </c>
      <c r="E47300" s="0" t="s">
        <v>11850</v>
      </c>
      <c r="F47300" s="0" t="s">
        <v>11851</v>
      </c>
    </row>
    <row r="47301" customFormat="false" ht="12.8" hidden="false" customHeight="false" outlineLevel="0" collapsed="false">
      <c r="B47301" s="0" t="s">
        <v>69</v>
      </c>
      <c r="C47301" s="0" t="s">
        <v>11642</v>
      </c>
      <c r="E47301" s="0" t="s">
        <v>230</v>
      </c>
      <c r="F47301" s="0" t="s">
        <v>491</v>
      </c>
    </row>
    <row r="47303" customFormat="false" ht="12.8" hidden="false" customHeight="false" outlineLevel="0" collapsed="false">
      <c r="A47303" s="0" t="s">
        <v>16803</v>
      </c>
      <c r="B47303" s="0" t="str">
        <f aca="false">HYPERLINK("https://lindat.mff.cuni.cz/services/teitok/pdtc10/index.php?action=vallex&amp;frame=v-w11595_ZUf1_ZU", "stěžovávat si (v-w11595_ZUf1_ZU)")</f>
        <v>stěžovávat si (v-w11595_ZUf1_ZU)</v>
      </c>
      <c r="E47303" s="0" t="str">
        <f aca="false">HYPERLINK("https://lindat.mff.cuni.cz/services/SynSemClass40/SynSemClass40.html?veclass=vec00132#vec00132-ces-cm00018", "vec00132")</f>
        <v>vec00132</v>
      </c>
      <c r="F47303" s="0" t="s">
        <v>484</v>
      </c>
    </row>
    <row r="47304" customFormat="false" ht="12.8" hidden="false" customHeight="false" outlineLevel="0" collapsed="false">
      <c r="B47304" s="0" t="s">
        <v>1</v>
      </c>
      <c r="C47304" s="0" t="s">
        <v>5883</v>
      </c>
      <c r="E47304" s="0" t="s">
        <v>63</v>
      </c>
      <c r="F47304" s="0" t="s">
        <v>487</v>
      </c>
    </row>
    <row r="47305" customFormat="false" ht="12.8" hidden="false" customHeight="false" outlineLevel="0" collapsed="false">
      <c r="B47305" s="0" t="s">
        <v>16800</v>
      </c>
      <c r="C47305" s="0" t="s">
        <v>11642</v>
      </c>
      <c r="E47305" s="0" t="s">
        <v>230</v>
      </c>
      <c r="F47305" s="0" t="s">
        <v>491</v>
      </c>
    </row>
    <row r="47306" customFormat="false" ht="12.8" hidden="false" customHeight="false" outlineLevel="0" collapsed="false">
      <c r="B47306" s="0" t="s">
        <v>132</v>
      </c>
      <c r="C47306" s="0" t="s">
        <v>8303</v>
      </c>
      <c r="E47306" s="0" t="s">
        <v>2287</v>
      </c>
      <c r="F47306" s="0" t="s">
        <v>11643</v>
      </c>
    </row>
    <row r="47308" customFormat="false" ht="12.8" hidden="false" customHeight="false" outlineLevel="0" collapsed="false">
      <c r="A47308" s="0" t="s">
        <v>16804</v>
      </c>
      <c r="B47308" s="0" t="str">
        <f aca="false">HYPERLINK("https://lindat.mff.cuni.cz/services/teitok/pdtc10/index.php?action=vallex&amp;frame=v-w6587f4", "střelit (v-w6587f4)")</f>
        <v>střelit (v-w6587f4)</v>
      </c>
    </row>
    <row r="47309" customFormat="false" ht="12.8" hidden="false" customHeight="false" outlineLevel="0" collapsed="false">
      <c r="B47309" s="0" t="s">
        <v>1</v>
      </c>
    </row>
    <row r="47310" customFormat="false" ht="12.8" hidden="false" customHeight="false" outlineLevel="0" collapsed="false">
      <c r="B47310" s="0" t="s">
        <v>8</v>
      </c>
    </row>
    <row r="47311" customFormat="false" ht="12.8" hidden="false" customHeight="false" outlineLevel="0" collapsed="false">
      <c r="B47311" s="0" t="s">
        <v>132</v>
      </c>
    </row>
    <row r="47313" customFormat="false" ht="12.8" hidden="false" customHeight="false" outlineLevel="0" collapsed="false">
      <c r="A47313" s="0" t="s">
        <v>16805</v>
      </c>
      <c r="B47313" s="0" t="str">
        <f aca="false">HYPERLINK("https://lindat.mff.cuni.cz/services/teitok/pdtc10/index.php?action=vallex&amp;frame=v-w6587f5", "střelit (v-w6587f5)")</f>
        <v>střelit (v-w6587f5)</v>
      </c>
    </row>
    <row r="47314" customFormat="false" ht="12.8" hidden="false" customHeight="false" outlineLevel="0" collapsed="false">
      <c r="B47314" s="0" t="s">
        <v>1</v>
      </c>
    </row>
    <row r="47315" customFormat="false" ht="12.8" hidden="false" customHeight="false" outlineLevel="0" collapsed="false">
      <c r="B47315" s="0" t="s">
        <v>8</v>
      </c>
    </row>
    <row r="47316" customFormat="false" ht="12.8" hidden="false" customHeight="false" outlineLevel="0" collapsed="false">
      <c r="B47316" s="0" t="s">
        <v>164</v>
      </c>
    </row>
    <row r="47318" customFormat="false" ht="12.8" hidden="false" customHeight="false" outlineLevel="0" collapsed="false">
      <c r="A47318" s="0" t="s">
        <v>16806</v>
      </c>
      <c r="B47318" s="0" t="str">
        <f aca="false">HYPERLINK("https://lindat.mff.cuni.cz/services/teitok/pdtc10/index.php?action=vallex&amp;frame=v-w6587f3", "střelit (v-w6587f3)")</f>
        <v>střelit (v-w6587f3)</v>
      </c>
      <c r="E47318" s="0" t="str">
        <f aca="false">HYPERLINK("https://lindat.mff.cuni.cz/services/SynSemClass40/SynSemClass40.html?veclass=vec00365#vec00365-ces-cm00032", "vec00365")</f>
        <v>vec00365</v>
      </c>
      <c r="F47318" s="0" t="s">
        <v>8975</v>
      </c>
    </row>
    <row r="47319" customFormat="false" ht="12.8" hidden="false" customHeight="false" outlineLevel="0" collapsed="false">
      <c r="B47319" s="0" t="s">
        <v>1</v>
      </c>
      <c r="C47319" s="0" t="s">
        <v>5883</v>
      </c>
      <c r="E47319" s="0" t="s">
        <v>76</v>
      </c>
      <c r="F47319" s="0" t="s">
        <v>8977</v>
      </c>
    </row>
    <row r="47320" customFormat="false" ht="12.8" hidden="false" customHeight="false" outlineLevel="0" collapsed="false">
      <c r="B47320" s="0" t="s">
        <v>8</v>
      </c>
      <c r="C47320" s="0" t="s">
        <v>8979</v>
      </c>
      <c r="E47320" s="0" t="s">
        <v>199</v>
      </c>
      <c r="F47320" s="0" t="s">
        <v>8980</v>
      </c>
    </row>
    <row r="47322" customFormat="false" ht="12.8" hidden="false" customHeight="false" outlineLevel="0" collapsed="false">
      <c r="A47322" s="0" t="s">
        <v>16807</v>
      </c>
      <c r="B47322" s="0" t="str">
        <f aca="false">HYPERLINK("https://lindat.mff.cuni.cz/services/teitok/pdtc10/index.php?action=vallex&amp;frame=v-w6587f2", "střelit (v-w6587f2)")</f>
        <v>střelit (v-w6587f2)</v>
      </c>
      <c r="E47322" s="0" t="str">
        <f aca="false">HYPERLINK("https://lindat.mff.cuni.cz/services/SynSemClass40/SynSemClass40.html?veclass=vec00729#vec00729-ces-cm00007", "vec00729")</f>
        <v>vec00729</v>
      </c>
      <c r="F47322" s="0" t="s">
        <v>16808</v>
      </c>
    </row>
    <row r="47323" customFormat="false" ht="12.8" hidden="false" customHeight="false" outlineLevel="0" collapsed="false">
      <c r="B47323" s="0" t="s">
        <v>1</v>
      </c>
      <c r="C47323" s="0" t="s">
        <v>512</v>
      </c>
      <c r="E47323" s="0" t="s">
        <v>16809</v>
      </c>
      <c r="F47323" s="0" t="s">
        <v>16810</v>
      </c>
    </row>
    <row r="47324" customFormat="false" ht="12.8" hidden="false" customHeight="false" outlineLevel="0" collapsed="false">
      <c r="B47324" s="0" t="s">
        <v>8</v>
      </c>
      <c r="C47324" s="0" t="s">
        <v>798</v>
      </c>
      <c r="E47324" s="0" t="s">
        <v>16811</v>
      </c>
      <c r="F47324" s="0" t="s">
        <v>16812</v>
      </c>
    </row>
    <row r="47326" customFormat="false" ht="12.8" hidden="false" customHeight="false" outlineLevel="0" collapsed="false">
      <c r="A47326" s="0" t="s">
        <v>16813</v>
      </c>
      <c r="B47326" s="0" t="str">
        <f aca="false">HYPERLINK("https://lindat.mff.cuni.cz/services/teitok/pdtc10/index.php?action=vallex&amp;frame=v-w6587f1", "střelit (v-w6587f1)")</f>
        <v>střelit (v-w6587f1)</v>
      </c>
      <c r="E47326" s="0" t="str">
        <f aca="false">HYPERLINK("https://lindat.mff.cuni.cz/services/SynSemClass40/SynSemClass40.html?veclass=vec00729#vec00729-ces-cm00006", "vec00729")</f>
        <v>vec00729</v>
      </c>
      <c r="F47326" s="0" t="s">
        <v>16808</v>
      </c>
    </row>
    <row r="47327" customFormat="false" ht="12.8" hidden="false" customHeight="false" outlineLevel="0" collapsed="false">
      <c r="B47327" s="0" t="s">
        <v>1</v>
      </c>
      <c r="C47327" s="0" t="s">
        <v>512</v>
      </c>
      <c r="E47327" s="0" t="s">
        <v>16809</v>
      </c>
      <c r="F47327" s="0" t="s">
        <v>16810</v>
      </c>
    </row>
    <row r="47328" customFormat="false" ht="12.8" hidden="false" customHeight="false" outlineLevel="0" collapsed="false">
      <c r="B47328" s="0" t="s">
        <v>390</v>
      </c>
      <c r="C47328" s="0" t="s">
        <v>798</v>
      </c>
      <c r="E47328" s="0" t="s">
        <v>16811</v>
      </c>
      <c r="F47328" s="0" t="s">
        <v>16812</v>
      </c>
    </row>
    <row r="47330" customFormat="false" ht="12.8" hidden="false" customHeight="false" outlineLevel="0" collapsed="false">
      <c r="A47330" s="0" t="s">
        <v>16814</v>
      </c>
      <c r="B47330" s="0" t="str">
        <f aca="false">HYPERLINK("https://lindat.mff.cuni.cz/services/teitok/pdtc10/index.php?action=vallex&amp;frame=v-w6587f6", "střelit (v-w6587f6)")</f>
        <v>střelit (v-w6587f6)</v>
      </c>
    </row>
    <row r="47331" customFormat="false" ht="12.8" hidden="false" customHeight="false" outlineLevel="0" collapsed="false">
      <c r="B47331" s="0" t="s">
        <v>1</v>
      </c>
    </row>
    <row r="47332" customFormat="false" ht="12.8" hidden="false" customHeight="false" outlineLevel="0" collapsed="false">
      <c r="B47332" s="0" t="s">
        <v>16815</v>
      </c>
    </row>
    <row r="47333" customFormat="false" ht="12.8" hidden="false" customHeight="false" outlineLevel="0" collapsed="false">
      <c r="B47333" s="0" t="s">
        <v>1659</v>
      </c>
    </row>
    <row r="47335" customFormat="false" ht="12.8" hidden="false" customHeight="false" outlineLevel="0" collapsed="false">
      <c r="A47335" s="0" t="s">
        <v>16816</v>
      </c>
      <c r="B47335" s="0" t="str">
        <f aca="false">HYPERLINK("https://lindat.mff.cuni.cz/services/teitok/pdtc10/index.php?action=vallex&amp;frame=v-w6591f1", "střetnout (v-w6591f1)")</f>
        <v>střetnout (v-w6591f1)</v>
      </c>
    </row>
    <row r="47336" customFormat="false" ht="12.8" hidden="false" customHeight="false" outlineLevel="0" collapsed="false">
      <c r="B47336" s="0" t="s">
        <v>1</v>
      </c>
    </row>
    <row r="47337" customFormat="false" ht="12.8" hidden="false" customHeight="false" outlineLevel="0" collapsed="false">
      <c r="B47337" s="0" t="s">
        <v>721</v>
      </c>
    </row>
    <row r="47338" customFormat="false" ht="12.8" hidden="false" customHeight="false" outlineLevel="0" collapsed="false">
      <c r="B47338" s="0" t="s">
        <v>1502</v>
      </c>
    </row>
    <row r="47340" customFormat="false" ht="12.8" hidden="false" customHeight="false" outlineLevel="0" collapsed="false">
      <c r="A47340" s="0" t="s">
        <v>16817</v>
      </c>
      <c r="B47340" s="0" t="str">
        <f aca="false">HYPERLINK("https://lindat.mff.cuni.cz/services/teitok/pdtc10/index.php?action=vallex&amp;frame=v-w6591f2", "střetnout (v-w6591f2)")</f>
        <v>střetnout (v-w6591f2)</v>
      </c>
    </row>
    <row r="47341" customFormat="false" ht="12.8" hidden="false" customHeight="false" outlineLevel="0" collapsed="false">
      <c r="B47341" s="0" t="s">
        <v>1</v>
      </c>
    </row>
    <row r="47342" customFormat="false" ht="12.8" hidden="false" customHeight="false" outlineLevel="0" collapsed="false">
      <c r="B47342" s="0" t="s">
        <v>8</v>
      </c>
    </row>
    <row r="47344" customFormat="false" ht="12.8" hidden="false" customHeight="false" outlineLevel="0" collapsed="false">
      <c r="A47344" s="0" t="s">
        <v>16818</v>
      </c>
      <c r="B47344" s="0" t="str">
        <f aca="false">HYPERLINK("https://lindat.mff.cuni.cz/services/teitok/pdtc10/index.php?action=vallex&amp;frame=v-w6592f1", "střetnout se (v-w6592f1)")</f>
        <v>střetnout se (v-w6592f1)</v>
      </c>
      <c r="E47344" s="0" t="str">
        <f aca="false">HYPERLINK("https://lindat.mff.cuni.cz/services/SynSemClass40/SynSemClass40.html?veclass=vec00121#vec00121-ces-cm00025", "vec00121")</f>
        <v>vec00121</v>
      </c>
      <c r="F47344" s="0" t="s">
        <v>414</v>
      </c>
    </row>
    <row r="47345" customFormat="false" ht="12.8" hidden="false" customHeight="false" outlineLevel="0" collapsed="false">
      <c r="B47345" s="0" t="s">
        <v>1</v>
      </c>
      <c r="C47345" s="0" t="s">
        <v>415</v>
      </c>
      <c r="E47345" s="0" t="s">
        <v>416</v>
      </c>
      <c r="F47345" s="0" t="s">
        <v>417</v>
      </c>
    </row>
    <row r="47346" customFormat="false" ht="12.8" hidden="false" customHeight="false" outlineLevel="0" collapsed="false">
      <c r="B47346" s="0" t="s">
        <v>276</v>
      </c>
      <c r="C47346" s="0" t="s">
        <v>419</v>
      </c>
      <c r="E47346" s="0" t="s">
        <v>420</v>
      </c>
      <c r="F47346" s="0" t="s">
        <v>421</v>
      </c>
    </row>
    <row r="47347" customFormat="false" ht="12.8" hidden="false" customHeight="false" outlineLevel="0" collapsed="false">
      <c r="B47347" s="0" t="s">
        <v>3152</v>
      </c>
      <c r="C47347" s="0" t="s">
        <v>423</v>
      </c>
      <c r="E47347" s="0" t="s">
        <v>424</v>
      </c>
      <c r="F47347" s="0" t="s">
        <v>425</v>
      </c>
    </row>
    <row r="47349" customFormat="false" ht="12.8" hidden="false" customHeight="false" outlineLevel="0" collapsed="false">
      <c r="A47349" s="0" t="s">
        <v>16819</v>
      </c>
      <c r="B47349" s="0" t="str">
        <f aca="false">HYPERLINK("https://lindat.mff.cuni.cz/services/teitok/pdtc10/index.php?action=vallex&amp;frame=v-w6592f2_ZU", "střetnout se (v-w6592f2_ZU)")</f>
        <v>střetnout se (v-w6592f2_ZU)</v>
      </c>
    </row>
    <row r="47350" customFormat="false" ht="12.8" hidden="false" customHeight="false" outlineLevel="0" collapsed="false">
      <c r="B47350" s="0" t="s">
        <v>1</v>
      </c>
    </row>
    <row r="47351" customFormat="false" ht="12.8" hidden="false" customHeight="false" outlineLevel="0" collapsed="false">
      <c r="B47351" s="0" t="s">
        <v>721</v>
      </c>
    </row>
    <row r="47353" customFormat="false" ht="12.8" hidden="false" customHeight="false" outlineLevel="0" collapsed="false">
      <c r="A47353" s="0" t="s">
        <v>16820</v>
      </c>
      <c r="B47353" s="0" t="str">
        <f aca="false">HYPERLINK("https://lindat.mff.cuni.cz/services/teitok/pdtc10/index.php?action=vallex&amp;frame=v-w6589f1", "střetávat (v-w6589f1)")</f>
        <v>střetávat (v-w6589f1)</v>
      </c>
    </row>
    <row r="47354" customFormat="false" ht="12.8" hidden="false" customHeight="false" outlineLevel="0" collapsed="false">
      <c r="B47354" s="0" t="s">
        <v>1</v>
      </c>
    </row>
    <row r="47355" customFormat="false" ht="12.8" hidden="false" customHeight="false" outlineLevel="0" collapsed="false">
      <c r="B47355" s="0" t="s">
        <v>721</v>
      </c>
    </row>
    <row r="47356" customFormat="false" ht="12.8" hidden="false" customHeight="false" outlineLevel="0" collapsed="false">
      <c r="B47356" s="0" t="s">
        <v>1502</v>
      </c>
    </row>
    <row r="47358" customFormat="false" ht="12.8" hidden="false" customHeight="false" outlineLevel="0" collapsed="false">
      <c r="A47358" s="0" t="s">
        <v>16821</v>
      </c>
      <c r="B47358" s="0" t="str">
        <f aca="false">HYPERLINK("https://lindat.mff.cuni.cz/services/teitok/pdtc10/index.php?action=vallex&amp;frame=v-w6589f2", "střetávat (v-w6589f2)")</f>
        <v>střetávat (v-w6589f2)</v>
      </c>
    </row>
    <row r="47359" customFormat="false" ht="12.8" hidden="false" customHeight="false" outlineLevel="0" collapsed="false">
      <c r="B47359" s="0" t="s">
        <v>1</v>
      </c>
    </row>
    <row r="47360" customFormat="false" ht="12.8" hidden="false" customHeight="false" outlineLevel="0" collapsed="false">
      <c r="B47360" s="0" t="s">
        <v>8</v>
      </c>
    </row>
    <row r="47362" customFormat="false" ht="12.8" hidden="false" customHeight="false" outlineLevel="0" collapsed="false">
      <c r="A47362" s="0" t="s">
        <v>16822</v>
      </c>
      <c r="B47362" s="0" t="str">
        <f aca="false">HYPERLINK("https://lindat.mff.cuni.cz/services/teitok/pdtc10/index.php?action=vallex&amp;frame=v-w6590f1", "střetávat se (v-w6590f1)")</f>
        <v>střetávat se (v-w6590f1)</v>
      </c>
    </row>
    <row r="47363" customFormat="false" ht="12.8" hidden="false" customHeight="false" outlineLevel="0" collapsed="false">
      <c r="B47363" s="0" t="s">
        <v>1</v>
      </c>
    </row>
    <row r="47364" customFormat="false" ht="12.8" hidden="false" customHeight="false" outlineLevel="0" collapsed="false">
      <c r="B47364" s="0" t="s">
        <v>721</v>
      </c>
    </row>
    <row r="47366" customFormat="false" ht="12.8" hidden="false" customHeight="false" outlineLevel="0" collapsed="false">
      <c r="A47366" s="0" t="s">
        <v>16823</v>
      </c>
      <c r="B47366" s="0" t="str">
        <f aca="false">HYPERLINK("https://lindat.mff.cuni.cz/services/teitok/pdtc10/index.php?action=vallex&amp;frame=v-w6590f2", "střetávat se (v-w6590f2)")</f>
        <v>střetávat se (v-w6590f2)</v>
      </c>
    </row>
    <row r="47367" customFormat="false" ht="12.8" hidden="false" customHeight="false" outlineLevel="0" collapsed="false">
      <c r="B47367" s="0" t="s">
        <v>1</v>
      </c>
    </row>
    <row r="47368" customFormat="false" ht="12.8" hidden="false" customHeight="false" outlineLevel="0" collapsed="false">
      <c r="B47368" s="0" t="s">
        <v>276</v>
      </c>
    </row>
    <row r="47369" customFormat="false" ht="12.8" hidden="false" customHeight="false" outlineLevel="0" collapsed="false">
      <c r="B47369" s="0" t="s">
        <v>3152</v>
      </c>
    </row>
    <row r="47371" customFormat="false" ht="12.8" hidden="false" customHeight="false" outlineLevel="0" collapsed="false">
      <c r="A47371" s="0" t="s">
        <v>16824</v>
      </c>
      <c r="B47371" s="0" t="str">
        <f aca="false">HYPERLINK("https://lindat.mff.cuni.cz/services/teitok/pdtc10/index.php?action=vallex&amp;frame=v-w6595f1", "střežit (v-w6595f1)")</f>
        <v>střežit (v-w6595f1)</v>
      </c>
      <c r="E47371" s="0" t="str">
        <f aca="false">HYPERLINK("https://lindat.mff.cuni.cz/services/SynSemClass40/SynSemClass40.html?veclass=vec00820#vec00820-ces-cm00066", "vec00820")</f>
        <v>vec00820</v>
      </c>
      <c r="F47371" s="0" t="s">
        <v>4364</v>
      </c>
    </row>
    <row r="47372" customFormat="false" ht="12.8" hidden="false" customHeight="false" outlineLevel="0" collapsed="false">
      <c r="B47372" s="0" t="s">
        <v>1</v>
      </c>
      <c r="C47372" s="0" t="s">
        <v>3000</v>
      </c>
      <c r="E47372" s="0" t="s">
        <v>3840</v>
      </c>
      <c r="F47372" s="0" t="s">
        <v>4365</v>
      </c>
    </row>
    <row r="47373" customFormat="false" ht="12.8" hidden="false" customHeight="false" outlineLevel="0" collapsed="false">
      <c r="B47373" s="0" t="s">
        <v>2493</v>
      </c>
      <c r="C47373" s="0" t="s">
        <v>1940</v>
      </c>
      <c r="E47373" s="0" t="s">
        <v>4366</v>
      </c>
      <c r="F47373" s="0" t="s">
        <v>4367</v>
      </c>
    </row>
    <row r="47375" customFormat="false" ht="12.8" hidden="false" customHeight="false" outlineLevel="0" collapsed="false">
      <c r="A47375" s="0" t="s">
        <v>16825</v>
      </c>
      <c r="B47375" s="0" t="str">
        <f aca="false">HYPERLINK("https://lindat.mff.cuni.cz/services/teitok/pdtc10/index.php?action=vallex&amp;frame=v-w11599_ZUf1_ZU", "střihnout si (v-w11599_ZUf1_ZU)")</f>
        <v>střihnout si (v-w11599_ZUf1_ZU)</v>
      </c>
    </row>
    <row r="47376" customFormat="false" ht="12.8" hidden="false" customHeight="false" outlineLevel="0" collapsed="false">
      <c r="B47376" s="0" t="s">
        <v>1</v>
      </c>
    </row>
    <row r="47377" customFormat="false" ht="12.8" hidden="false" customHeight="false" outlineLevel="0" collapsed="false">
      <c r="B47377" s="0" t="s">
        <v>8</v>
      </c>
    </row>
    <row r="47379" customFormat="false" ht="12.8" hidden="false" customHeight="false" outlineLevel="0" collapsed="false">
      <c r="A47379" s="0" t="s">
        <v>16826</v>
      </c>
      <c r="B47379" s="0" t="str">
        <f aca="false">HYPERLINK("https://lindat.mff.cuni.cz/services/teitok/pdtc10/index.php?action=vallex&amp;frame=v-w6582f1", "střádat (v-w6582f1)")</f>
        <v>střádat (v-w6582f1)</v>
      </c>
    </row>
    <row r="47380" customFormat="false" ht="12.8" hidden="false" customHeight="false" outlineLevel="0" collapsed="false">
      <c r="B47380" s="0" t="s">
        <v>1</v>
      </c>
    </row>
    <row r="47381" customFormat="false" ht="12.8" hidden="false" customHeight="false" outlineLevel="0" collapsed="false">
      <c r="B47381" s="0" t="s">
        <v>8</v>
      </c>
    </row>
    <row r="47383" customFormat="false" ht="12.8" hidden="false" customHeight="false" outlineLevel="0" collapsed="false">
      <c r="A47383" s="0" t="s">
        <v>16827</v>
      </c>
      <c r="B47383" s="0" t="str">
        <f aca="false">HYPERLINK("https://lindat.mff.cuni.cz/services/teitok/pdtc10/index.php?action=vallex&amp;frame=v-w6598f1", "střídat (v-w6598f1)")</f>
        <v>střídat (v-w6598f1)</v>
      </c>
      <c r="E47383" s="0" t="str">
        <f aca="false">HYPERLINK("https://lindat.mff.cuni.cz/services/SynSemClass40/SynSemClass40.html?veclass=vec00429#vec00429-ces-cm00011", "vec00429")</f>
        <v>vec00429</v>
      </c>
      <c r="F47383" s="0" t="s">
        <v>6957</v>
      </c>
    </row>
    <row r="47384" customFormat="false" ht="12.8" hidden="false" customHeight="false" outlineLevel="0" collapsed="false">
      <c r="B47384" s="0" t="s">
        <v>1</v>
      </c>
      <c r="C47384" s="0" t="s">
        <v>6958</v>
      </c>
      <c r="E47384" s="0" t="s">
        <v>31</v>
      </c>
      <c r="F47384" s="0" t="s">
        <v>6959</v>
      </c>
    </row>
    <row r="47385" customFormat="false" ht="12.8" hidden="false" customHeight="false" outlineLevel="0" collapsed="false">
      <c r="B47385" s="0" t="s">
        <v>8</v>
      </c>
      <c r="C47385" s="0" t="s">
        <v>6960</v>
      </c>
      <c r="E47385" s="0" t="s">
        <v>6961</v>
      </c>
      <c r="F47385" s="0" t="s">
        <v>6962</v>
      </c>
    </row>
    <row r="47386" customFormat="false" ht="12.8" hidden="false" customHeight="false" outlineLevel="0" collapsed="false">
      <c r="B47386" s="0" t="s">
        <v>16828</v>
      </c>
      <c r="C47386" s="0" t="s">
        <v>6963</v>
      </c>
      <c r="E47386" s="0" t="s">
        <v>6964</v>
      </c>
      <c r="F47386" s="0" t="s">
        <v>6965</v>
      </c>
    </row>
    <row r="47388" customFormat="false" ht="12.8" hidden="false" customHeight="false" outlineLevel="0" collapsed="false">
      <c r="A47388" s="0" t="s">
        <v>16829</v>
      </c>
      <c r="B47388" s="0" t="str">
        <f aca="false">HYPERLINK("https://lindat.mff.cuni.cz/services/teitok/pdtc10/index.php?action=vallex&amp;frame=v-w6598f2", "střídat (v-w6598f2)")</f>
        <v>střídat (v-w6598f2)</v>
      </c>
      <c r="E47388" s="0" t="str">
        <f aca="false">HYPERLINK("https://lindat.mff.cuni.cz/services/SynSemClass40/SynSemClass40.html?veclass=vec00565#vec00565-ces-cm00013", "vec00565")</f>
        <v>vec00565</v>
      </c>
      <c r="F47388" s="0" t="s">
        <v>7244</v>
      </c>
    </row>
    <row r="47389" customFormat="false" ht="12.8" hidden="false" customHeight="false" outlineLevel="0" collapsed="false">
      <c r="B47389" s="0" t="s">
        <v>1</v>
      </c>
      <c r="C47389" s="0" t="s">
        <v>7245</v>
      </c>
      <c r="E47389" s="0" t="s">
        <v>7246</v>
      </c>
      <c r="F47389" s="0" t="s">
        <v>7247</v>
      </c>
    </row>
    <row r="47390" customFormat="false" ht="12.8" hidden="false" customHeight="false" outlineLevel="0" collapsed="false">
      <c r="B47390" s="0" t="s">
        <v>8</v>
      </c>
      <c r="C47390" s="0" t="s">
        <v>7248</v>
      </c>
      <c r="E47390" s="0" t="s">
        <v>6961</v>
      </c>
      <c r="F47390" s="0" t="s">
        <v>7249</v>
      </c>
    </row>
    <row r="47392" customFormat="false" ht="12.8" hidden="false" customHeight="false" outlineLevel="0" collapsed="false">
      <c r="A47392" s="0" t="s">
        <v>16830</v>
      </c>
      <c r="B47392" s="0" t="str">
        <f aca="false">HYPERLINK("https://lindat.mff.cuni.cz/services/teitok/pdtc10/index.php?action=vallex&amp;frame=v-w6599f2_ZU", "střídat se (v-w6599f2_ZU)")</f>
        <v>střídat se (v-w6599f2_ZU)</v>
      </c>
    </row>
    <row r="47393" customFormat="false" ht="12.8" hidden="false" customHeight="false" outlineLevel="0" collapsed="false">
      <c r="B47393" s="0" t="s">
        <v>1</v>
      </c>
    </row>
    <row r="47394" customFormat="false" ht="12.8" hidden="false" customHeight="false" outlineLevel="0" collapsed="false">
      <c r="B47394" s="0" t="s">
        <v>721</v>
      </c>
    </row>
    <row r="47396" customFormat="false" ht="12.8" hidden="false" customHeight="false" outlineLevel="0" collapsed="false">
      <c r="A47396" s="0" t="s">
        <v>16830</v>
      </c>
      <c r="B47396" s="0" t="str">
        <f aca="false">HYPERLINK("https://lindat.mff.cuni.cz/services/teitok/pdtc10/index.php?action=vallex&amp;frame=v-w6599f1", "střídat se (v-w6599f1) - substituted with v-w6599f2_ZU")</f>
        <v>střídat se (v-w6599f1) - substituted with v-w6599f2_ZU</v>
      </c>
    </row>
    <row r="47397" customFormat="false" ht="12.8" hidden="false" customHeight="false" outlineLevel="0" collapsed="false">
      <c r="B47397" s="0" t="s">
        <v>1</v>
      </c>
    </row>
    <row r="47398" customFormat="false" ht="12.8" hidden="false" customHeight="false" outlineLevel="0" collapsed="false">
      <c r="B47398" s="0" t="s">
        <v>721</v>
      </c>
    </row>
    <row r="47400" customFormat="false" ht="12.8" hidden="false" customHeight="false" outlineLevel="0" collapsed="false">
      <c r="A47400" s="0" t="s">
        <v>16831</v>
      </c>
      <c r="B47400" s="0" t="str">
        <f aca="false">HYPERLINK("https://lindat.mff.cuni.cz/services/teitok/pdtc10/index.php?action=vallex&amp;frame=v-w10231f2", "stříhat (v-w10231f2)")</f>
        <v>stříhat (v-w10231f2)</v>
      </c>
      <c r="E47400" s="0" t="str">
        <f aca="false">HYPERLINK("https://lindat.mff.cuni.cz/services/SynSemClass40/SynSemClass40.html?veclass=vec01449#vec01449-ces-cm00009", "vec01449")</f>
        <v>vec01449</v>
      </c>
      <c r="F47400" s="0" t="s">
        <v>5718</v>
      </c>
    </row>
    <row r="47401" customFormat="false" ht="12.8" hidden="false" customHeight="false" outlineLevel="0" collapsed="false">
      <c r="B47401" s="0" t="s">
        <v>1</v>
      </c>
      <c r="C47401" s="0" t="s">
        <v>5719</v>
      </c>
      <c r="E47401" s="0" t="s">
        <v>11</v>
      </c>
      <c r="F47401" s="0" t="s">
        <v>5720</v>
      </c>
    </row>
    <row r="47402" customFormat="false" ht="12.8" hidden="false" customHeight="false" outlineLevel="0" collapsed="false">
      <c r="B47402" s="0" t="s">
        <v>8</v>
      </c>
      <c r="C47402" s="0" t="s">
        <v>5721</v>
      </c>
      <c r="E47402" s="0" t="s">
        <v>5279</v>
      </c>
      <c r="F47402" s="0" t="s">
        <v>5722</v>
      </c>
    </row>
    <row r="47403" customFormat="false" ht="12.8" hidden="false" customHeight="false" outlineLevel="0" collapsed="false">
      <c r="B47403" s="0" t="s">
        <v>5779</v>
      </c>
      <c r="C47403" s="0" t="s">
        <v>5723</v>
      </c>
      <c r="E47403" s="0" t="s">
        <v>2584</v>
      </c>
      <c r="F47403" s="0" t="s">
        <v>5724</v>
      </c>
    </row>
    <row r="47405" customFormat="false" ht="12.8" hidden="false" customHeight="false" outlineLevel="0" collapsed="false">
      <c r="A47405" s="0" t="s">
        <v>16832</v>
      </c>
      <c r="B47405" s="0" t="str">
        <f aca="false">HYPERLINK("https://lindat.mff.cuni.cz/services/teitok/pdtc10/index.php?action=vallex&amp;frame=v-w6600f1", "stříkat (v-w6600f1)")</f>
        <v>stříkat (v-w6600f1)</v>
      </c>
    </row>
    <row r="47406" customFormat="false" ht="12.8" hidden="false" customHeight="false" outlineLevel="0" collapsed="false">
      <c r="B47406" s="0" t="s">
        <v>1</v>
      </c>
    </row>
    <row r="47407" customFormat="false" ht="12.8" hidden="false" customHeight="false" outlineLevel="0" collapsed="false">
      <c r="B47407" s="0" t="s">
        <v>8</v>
      </c>
    </row>
    <row r="47409" customFormat="false" ht="12.8" hidden="false" customHeight="false" outlineLevel="0" collapsed="false">
      <c r="A47409" s="0" t="s">
        <v>16833</v>
      </c>
      <c r="B47409" s="0" t="str">
        <f aca="false">HYPERLINK("https://lindat.mff.cuni.cz/services/teitok/pdtc10/index.php?action=vallex&amp;frame=v-w6600f2", "stříkat (v-w6600f2)")</f>
        <v>stříkat (v-w6600f2)</v>
      </c>
    </row>
    <row r="47411" customFormat="false" ht="12.8" hidden="false" customHeight="false" outlineLevel="0" collapsed="false">
      <c r="A47411" s="0" t="s">
        <v>16834</v>
      </c>
      <c r="B47411" s="0" t="str">
        <f aca="false">HYPERLINK("https://lindat.mff.cuni.cz/services/teitok/pdtc10/index.php?action=vallex&amp;frame=v-w6600f3_ZU", "stříkat (v-w6600f3_ZU)")</f>
        <v>stříkat (v-w6600f3_ZU)</v>
      </c>
    </row>
    <row r="47412" customFormat="false" ht="12.8" hidden="false" customHeight="false" outlineLevel="0" collapsed="false">
      <c r="B47412" s="0" t="s">
        <v>1</v>
      </c>
    </row>
    <row r="47413" customFormat="false" ht="12.8" hidden="false" customHeight="false" outlineLevel="0" collapsed="false">
      <c r="B47413" s="0" t="s">
        <v>8</v>
      </c>
    </row>
    <row r="47415" customFormat="false" ht="12.8" hidden="false" customHeight="false" outlineLevel="0" collapsed="false">
      <c r="A47415" s="0" t="s">
        <v>16835</v>
      </c>
      <c r="B47415" s="0" t="str">
        <f aca="false">HYPERLINK("https://lindat.mff.cuni.cz/services/teitok/pdtc10/index.php?action=vallex&amp;frame=v-w6600f4_ZU", "stříkat (v-w6600f4_ZU)")</f>
        <v>stříkat (v-w6600f4_ZU)</v>
      </c>
    </row>
    <row r="47416" customFormat="false" ht="12.8" hidden="false" customHeight="false" outlineLevel="0" collapsed="false">
      <c r="B47416" s="0" t="s">
        <v>1</v>
      </c>
    </row>
    <row r="47418" customFormat="false" ht="12.8" hidden="false" customHeight="false" outlineLevel="0" collapsed="false">
      <c r="A47418" s="0" t="s">
        <v>16836</v>
      </c>
      <c r="B47418" s="0" t="str">
        <f aca="false">HYPERLINK("https://lindat.mff.cuni.cz/services/teitok/pdtc10/index.php?action=vallex&amp;frame=v-w6602f2", "střílet (v-w6602f2)")</f>
        <v>střílet (v-w6602f2)</v>
      </c>
    </row>
    <row r="47419" customFormat="false" ht="12.8" hidden="false" customHeight="false" outlineLevel="0" collapsed="false">
      <c r="B47419" s="0" t="s">
        <v>1</v>
      </c>
    </row>
    <row r="47420" customFormat="false" ht="12.8" hidden="false" customHeight="false" outlineLevel="0" collapsed="false">
      <c r="B47420" s="0" t="s">
        <v>8</v>
      </c>
    </row>
    <row r="47422" customFormat="false" ht="12.8" hidden="false" customHeight="false" outlineLevel="0" collapsed="false">
      <c r="A47422" s="0" t="s">
        <v>16837</v>
      </c>
      <c r="B47422" s="0" t="str">
        <f aca="false">HYPERLINK("https://lindat.mff.cuni.cz/services/teitok/pdtc10/index.php?action=vallex&amp;frame=v-w6602f3", "střílet (v-w6602f3)")</f>
        <v>střílet (v-w6602f3)</v>
      </c>
      <c r="E47422" s="0" t="str">
        <f aca="false">HYPERLINK("https://lindat.mff.cuni.cz/services/SynSemClass40/SynSemClass40.html?veclass=vec00729#vec00729-ces-cm00008", "vec00729")</f>
        <v>vec00729</v>
      </c>
      <c r="F47422" s="0" t="s">
        <v>16808</v>
      </c>
    </row>
    <row r="47423" customFormat="false" ht="12.8" hidden="false" customHeight="false" outlineLevel="0" collapsed="false">
      <c r="B47423" s="0" t="s">
        <v>1</v>
      </c>
      <c r="C47423" s="0" t="s">
        <v>512</v>
      </c>
      <c r="E47423" s="0" t="s">
        <v>16809</v>
      </c>
      <c r="F47423" s="0" t="s">
        <v>16810</v>
      </c>
    </row>
    <row r="47424" customFormat="false" ht="12.8" hidden="false" customHeight="false" outlineLevel="0" collapsed="false">
      <c r="B47424" s="0" t="s">
        <v>8</v>
      </c>
      <c r="C47424" s="0" t="s">
        <v>798</v>
      </c>
      <c r="E47424" s="0" t="s">
        <v>16811</v>
      </c>
      <c r="F47424" s="0" t="s">
        <v>16812</v>
      </c>
    </row>
    <row r="47426" customFormat="false" ht="12.8" hidden="false" customHeight="false" outlineLevel="0" collapsed="false">
      <c r="A47426" s="0" t="s">
        <v>16838</v>
      </c>
      <c r="B47426" s="0" t="str">
        <f aca="false">HYPERLINK("https://lindat.mff.cuni.cz/services/teitok/pdtc10/index.php?action=vallex&amp;frame=v-w6602f1", "střílet (v-w6602f1)")</f>
        <v>střílet (v-w6602f1)</v>
      </c>
      <c r="E47426" s="0" t="str">
        <f aca="false">HYPERLINK("https://lindat.mff.cuni.cz/services/SynSemClass40/SynSemClass40.html?veclass=vec00729#vec00729-ces-cm00001", "vec00729")</f>
        <v>vec00729</v>
      </c>
      <c r="F47426" s="0" t="s">
        <v>16808</v>
      </c>
    </row>
    <row r="47427" customFormat="false" ht="12.8" hidden="false" customHeight="false" outlineLevel="0" collapsed="false">
      <c r="B47427" s="0" t="s">
        <v>1</v>
      </c>
      <c r="C47427" s="0" t="s">
        <v>512</v>
      </c>
      <c r="E47427" s="0" t="s">
        <v>16809</v>
      </c>
      <c r="F47427" s="0" t="s">
        <v>16810</v>
      </c>
    </row>
    <row r="47428" customFormat="false" ht="12.8" hidden="false" customHeight="false" outlineLevel="0" collapsed="false">
      <c r="B47428" s="0" t="s">
        <v>390</v>
      </c>
      <c r="C47428" s="0" t="s">
        <v>798</v>
      </c>
      <c r="E47428" s="0" t="s">
        <v>16811</v>
      </c>
      <c r="F47428" s="0" t="s">
        <v>16812</v>
      </c>
    </row>
    <row r="47430" customFormat="false" ht="12.8" hidden="false" customHeight="false" outlineLevel="0" collapsed="false">
      <c r="A47430" s="0" t="s">
        <v>16839</v>
      </c>
      <c r="B47430" s="0" t="str">
        <f aca="false">HYPERLINK("https://lindat.mff.cuni.cz/services/teitok/pdtc10/index.php?action=vallex&amp;frame=v-w6620f1", "subvencovat (v-w6620f1)")</f>
        <v>subvencovat (v-w6620f1)</v>
      </c>
      <c r="E47430" s="0" t="str">
        <f aca="false">HYPERLINK("https://lindat.mff.cuni.cz/services/SynSemClass40/SynSemClass40.html?veclass=vec00410#vec00410-ces-cm00004", "vec00410")</f>
        <v>vec00410</v>
      </c>
      <c r="F47430" s="0" t="s">
        <v>3019</v>
      </c>
    </row>
    <row r="47431" customFormat="false" ht="12.8" hidden="false" customHeight="false" outlineLevel="0" collapsed="false">
      <c r="B47431" s="0" t="s">
        <v>1</v>
      </c>
      <c r="C47431" s="0" t="s">
        <v>3020</v>
      </c>
      <c r="E47431" s="0" t="s">
        <v>3021</v>
      </c>
      <c r="F47431" s="0" t="s">
        <v>3022</v>
      </c>
    </row>
    <row r="47432" customFormat="false" ht="12.8" hidden="false" customHeight="false" outlineLevel="0" collapsed="false">
      <c r="B47432" s="0" t="s">
        <v>8</v>
      </c>
      <c r="C47432" s="0" t="s">
        <v>623</v>
      </c>
      <c r="E47432" s="0" t="s">
        <v>3023</v>
      </c>
      <c r="F47432" s="0" t="s">
        <v>3024</v>
      </c>
    </row>
    <row r="47434" customFormat="false" ht="12.8" hidden="false" customHeight="false" outlineLevel="0" collapsed="false">
      <c r="A47434" s="0" t="s">
        <v>16840</v>
      </c>
      <c r="B47434" s="0" t="str">
        <f aca="false">HYPERLINK("https://lindat.mff.cuni.cz/services/teitok/pdtc10/index.php?action=vallex&amp;frame=v-w6621f1", "sugerovat (v-w6621f1)")</f>
        <v>sugerovat (v-w6621f1)</v>
      </c>
    </row>
    <row r="47435" customFormat="false" ht="12.8" hidden="false" customHeight="false" outlineLevel="0" collapsed="false">
      <c r="B47435" s="0" t="s">
        <v>1</v>
      </c>
    </row>
    <row r="47436" customFormat="false" ht="12.8" hidden="false" customHeight="false" outlineLevel="0" collapsed="false">
      <c r="B47436" s="0" t="s">
        <v>228</v>
      </c>
    </row>
    <row r="47437" customFormat="false" ht="12.8" hidden="false" customHeight="false" outlineLevel="0" collapsed="false">
      <c r="B47437" s="0" t="s">
        <v>52</v>
      </c>
    </row>
    <row r="47439" customFormat="false" ht="12.8" hidden="false" customHeight="false" outlineLevel="0" collapsed="false">
      <c r="A47439" s="0" t="s">
        <v>16841</v>
      </c>
      <c r="B47439" s="0" t="str">
        <f aca="false">HYPERLINK("https://lindat.mff.cuni.cz/services/teitok/pdtc10/index.php?action=vallex&amp;frame=v-w6622f1", "sumarizovat (v-w6622f1)")</f>
        <v>sumarizovat (v-w6622f1)</v>
      </c>
      <c r="E47439" s="0" t="str">
        <f aca="false">HYPERLINK("https://lindat.mff.cuni.cz/services/SynSemClass40/SynSemClass40.html?veclass=vec00709#vec00709-ces-cm00002", "vec00709")</f>
        <v>vec00709</v>
      </c>
      <c r="F47439" s="0" t="s">
        <v>15704</v>
      </c>
    </row>
    <row r="47440" customFormat="false" ht="12.8" hidden="false" customHeight="false" outlineLevel="0" collapsed="false">
      <c r="B47440" s="0" t="s">
        <v>1</v>
      </c>
      <c r="C47440" s="0" t="s">
        <v>15705</v>
      </c>
      <c r="E47440" s="0" t="s">
        <v>63</v>
      </c>
      <c r="F47440" s="0" t="s">
        <v>15706</v>
      </c>
    </row>
    <row r="47441" customFormat="false" ht="12.8" hidden="false" customHeight="false" outlineLevel="0" collapsed="false">
      <c r="B47441" s="0" t="s">
        <v>15832</v>
      </c>
      <c r="C47441" s="0" t="s">
        <v>15707</v>
      </c>
      <c r="E47441" s="0" t="s">
        <v>218</v>
      </c>
      <c r="F47441" s="0" t="s">
        <v>15708</v>
      </c>
    </row>
    <row r="47442" customFormat="false" ht="12.8" hidden="false" customHeight="false" outlineLevel="0" collapsed="false">
      <c r="B47442" s="0" t="s">
        <v>3026</v>
      </c>
      <c r="C47442" s="0" t="s">
        <v>2590</v>
      </c>
      <c r="E47442" s="0" t="s">
        <v>15709</v>
      </c>
      <c r="F47442" s="0" t="s">
        <v>15710</v>
      </c>
    </row>
    <row r="47444" customFormat="false" ht="12.8" hidden="false" customHeight="false" outlineLevel="0" collapsed="false">
      <c r="A47444" s="0" t="s">
        <v>16842</v>
      </c>
      <c r="B47444" s="0" t="str">
        <f aca="false">HYPERLINK("https://lindat.mff.cuni.cz/services/teitok/pdtc10/index.php?action=vallex&amp;frame=v-w6624f1", "sundat (v-w6624f1)")</f>
        <v>sundat (v-w6624f1)</v>
      </c>
    </row>
    <row r="47445" customFormat="false" ht="12.8" hidden="false" customHeight="false" outlineLevel="0" collapsed="false">
      <c r="B47445" s="0" t="s">
        <v>1</v>
      </c>
    </row>
    <row r="47446" customFormat="false" ht="12.8" hidden="false" customHeight="false" outlineLevel="0" collapsed="false">
      <c r="B47446" s="0" t="s">
        <v>8</v>
      </c>
    </row>
    <row r="47447" customFormat="false" ht="12.8" hidden="false" customHeight="false" outlineLevel="0" collapsed="false">
      <c r="B47447" s="0" t="s">
        <v>631</v>
      </c>
    </row>
    <row r="47449" customFormat="false" ht="12.8" hidden="false" customHeight="false" outlineLevel="0" collapsed="false">
      <c r="A47449" s="0" t="s">
        <v>16843</v>
      </c>
      <c r="B47449" s="0" t="str">
        <f aca="false">HYPERLINK("https://lindat.mff.cuni.cz/services/teitok/pdtc10/index.php?action=vallex&amp;frame=v-w6624f2", "sundat (v-w6624f2)")</f>
        <v>sundat (v-w6624f2)</v>
      </c>
    </row>
    <row r="47450" customFormat="false" ht="12.8" hidden="false" customHeight="false" outlineLevel="0" collapsed="false">
      <c r="B47450" s="0" t="s">
        <v>1</v>
      </c>
    </row>
    <row r="47451" customFormat="false" ht="12.8" hidden="false" customHeight="false" outlineLevel="0" collapsed="false">
      <c r="B47451" s="0" t="s">
        <v>8</v>
      </c>
    </row>
    <row r="47453" customFormat="false" ht="12.8" hidden="false" customHeight="false" outlineLevel="0" collapsed="false">
      <c r="A47453" s="0" t="s">
        <v>16844</v>
      </c>
      <c r="B47453" s="0" t="str">
        <f aca="false">HYPERLINK("https://lindat.mff.cuni.cz/services/teitok/pdtc10/index.php?action=vallex&amp;frame=v-w6625f1", "sundávat (v-w6625f1)")</f>
        <v>sundávat (v-w6625f1)</v>
      </c>
    </row>
    <row r="47454" customFormat="false" ht="12.8" hidden="false" customHeight="false" outlineLevel="0" collapsed="false">
      <c r="B47454" s="0" t="s">
        <v>1</v>
      </c>
    </row>
    <row r="47455" customFormat="false" ht="12.8" hidden="false" customHeight="false" outlineLevel="0" collapsed="false">
      <c r="B47455" s="0" t="s">
        <v>8</v>
      </c>
    </row>
    <row r="47457" customFormat="false" ht="12.8" hidden="false" customHeight="false" outlineLevel="0" collapsed="false">
      <c r="A47457" s="0" t="s">
        <v>16845</v>
      </c>
      <c r="B47457" s="0" t="str">
        <f aca="false">HYPERLINK("https://lindat.mff.cuni.cz/services/teitok/pdtc10/index.php?action=vallex&amp;frame=v-w6626f2", "sunout se (v-w6626f2)")</f>
        <v>sunout se (v-w6626f2)</v>
      </c>
    </row>
    <row r="47458" customFormat="false" ht="12.8" hidden="false" customHeight="false" outlineLevel="0" collapsed="false">
      <c r="B47458" s="0" t="s">
        <v>1</v>
      </c>
    </row>
    <row r="47459" customFormat="false" ht="12.8" hidden="false" customHeight="false" outlineLevel="0" collapsed="false">
      <c r="B47459" s="0" t="s">
        <v>361</v>
      </c>
    </row>
    <row r="47461" customFormat="false" ht="12.8" hidden="false" customHeight="false" outlineLevel="0" collapsed="false">
      <c r="A47461" s="0" t="s">
        <v>16846</v>
      </c>
      <c r="B47461" s="0" t="str">
        <f aca="false">HYPERLINK("https://lindat.mff.cuni.cz/services/teitok/pdtc10/index.php?action=vallex&amp;frame=v-w6626f1", "sunout se (v-w6626f1)")</f>
        <v>sunout se (v-w6626f1)</v>
      </c>
    </row>
    <row r="47462" customFormat="false" ht="12.8" hidden="false" customHeight="false" outlineLevel="0" collapsed="false">
      <c r="B47462" s="0" t="s">
        <v>1</v>
      </c>
    </row>
    <row r="47463" customFormat="false" ht="12.8" hidden="false" customHeight="false" outlineLevel="0" collapsed="false">
      <c r="B47463" s="0" t="s">
        <v>164</v>
      </c>
    </row>
    <row r="47465" customFormat="false" ht="12.8" hidden="false" customHeight="false" outlineLevel="0" collapsed="false">
      <c r="A47465" s="0" t="s">
        <v>16847</v>
      </c>
      <c r="B47465" s="0" t="str">
        <f aca="false">HYPERLINK("https://lindat.mff.cuni.cz/services/teitok/pdtc10/index.php?action=vallex&amp;frame=v-w10750f2", "supervidovat (v-w10750f2)")</f>
        <v>supervidovat (v-w10750f2)</v>
      </c>
    </row>
    <row r="47466" customFormat="false" ht="12.8" hidden="false" customHeight="false" outlineLevel="0" collapsed="false">
      <c r="B47466" s="0" t="s">
        <v>1</v>
      </c>
    </row>
    <row r="47467" customFormat="false" ht="12.8" hidden="false" customHeight="false" outlineLevel="0" collapsed="false">
      <c r="B47467" s="0" t="s">
        <v>8</v>
      </c>
    </row>
    <row r="47469" customFormat="false" ht="12.8" hidden="false" customHeight="false" outlineLevel="0" collapsed="false">
      <c r="A47469" s="0" t="s">
        <v>16848</v>
      </c>
      <c r="B47469" s="0" t="str">
        <f aca="false">HYPERLINK("https://lindat.mff.cuni.cz/services/teitok/pdtc10/index.php?action=vallex&amp;frame=v-whsa_488f1_ZU", "suplovat (v-whsa_488f1_ZU)")</f>
        <v>suplovat (v-whsa_488f1_ZU)</v>
      </c>
    </row>
    <row r="47470" customFormat="false" ht="12.8" hidden="false" customHeight="false" outlineLevel="0" collapsed="false">
      <c r="B47470" s="0" t="s">
        <v>1</v>
      </c>
    </row>
    <row r="47471" customFormat="false" ht="12.8" hidden="false" customHeight="false" outlineLevel="0" collapsed="false">
      <c r="B47471" s="0" t="s">
        <v>8</v>
      </c>
    </row>
    <row r="47472" customFormat="false" ht="12.8" hidden="false" customHeight="false" outlineLevel="0" collapsed="false">
      <c r="B47472" s="0" t="s">
        <v>723</v>
      </c>
    </row>
    <row r="47474" customFormat="false" ht="12.8" hidden="false" customHeight="false" outlineLevel="0" collapsed="false">
      <c r="A47474" s="0" t="s">
        <v>16848</v>
      </c>
      <c r="B47474" s="0" t="str">
        <f aca="false">HYPERLINK("https://lindat.mff.cuni.cz/services/teitok/pdtc10/index.php?action=vallex&amp;frame=v-whsa_488hsa_489", "suplovat (v-whsa_488hsa_489) - substituted with v-whsa_488f1_ZU")</f>
        <v>suplovat (v-whsa_488hsa_489) - substituted with v-whsa_488f1_ZU</v>
      </c>
    </row>
    <row r="47475" customFormat="false" ht="12.8" hidden="false" customHeight="false" outlineLevel="0" collapsed="false">
      <c r="B47475" s="0" t="s">
        <v>1</v>
      </c>
    </row>
    <row r="47476" customFormat="false" ht="12.8" hidden="false" customHeight="false" outlineLevel="0" collapsed="false">
      <c r="B47476" s="0" t="s">
        <v>8</v>
      </c>
    </row>
    <row r="47477" customFormat="false" ht="12.8" hidden="false" customHeight="false" outlineLevel="0" collapsed="false">
      <c r="B47477" s="0" t="s">
        <v>723</v>
      </c>
    </row>
    <row r="47479" customFormat="false" ht="12.8" hidden="false" customHeight="false" outlineLevel="0" collapsed="false">
      <c r="A47479" s="0" t="s">
        <v>16849</v>
      </c>
      <c r="B47479" s="0" t="str">
        <f aca="false">HYPERLINK("https://lindat.mff.cuni.cz/services/teitok/pdtc10/index.php?action=vallex&amp;frame=v-whsa_488f2_ZU", "suplovat (v-whsa_488f2_ZU)")</f>
        <v>suplovat (v-whsa_488f2_ZU)</v>
      </c>
    </row>
    <row r="47480" customFormat="false" ht="12.8" hidden="false" customHeight="false" outlineLevel="0" collapsed="false">
      <c r="B47480" s="0" t="s">
        <v>1</v>
      </c>
    </row>
    <row r="47481" customFormat="false" ht="12.8" hidden="false" customHeight="false" outlineLevel="0" collapsed="false">
      <c r="B47481" s="0" t="s">
        <v>8</v>
      </c>
    </row>
    <row r="47483" customFormat="false" ht="12.8" hidden="false" customHeight="false" outlineLevel="0" collapsed="false">
      <c r="A47483" s="0" t="s">
        <v>16850</v>
      </c>
      <c r="B47483" s="0" t="str">
        <f aca="false">HYPERLINK("https://lindat.mff.cuni.cz/services/teitok/pdtc10/index.php?action=vallex&amp;frame=v-w6628f1", "surfovat (v-w6628f1)")</f>
        <v>surfovat (v-w6628f1)</v>
      </c>
    </row>
    <row r="47484" customFormat="false" ht="12.8" hidden="false" customHeight="false" outlineLevel="0" collapsed="false">
      <c r="B47484" s="0" t="s">
        <v>1</v>
      </c>
    </row>
    <row r="47486" customFormat="false" ht="12.8" hidden="false" customHeight="false" outlineLevel="0" collapsed="false">
      <c r="A47486" s="0" t="s">
        <v>16851</v>
      </c>
      <c r="B47486" s="0" t="str">
        <f aca="false">HYPERLINK("https://lindat.mff.cuni.cz/services/teitok/pdtc10/index.php?action=vallex&amp;frame=v-w6628f2_ZU", "surfovat (v-w6628f2_ZU)")</f>
        <v>surfovat (v-w6628f2_ZU)</v>
      </c>
    </row>
    <row r="47487" customFormat="false" ht="12.8" hidden="false" customHeight="false" outlineLevel="0" collapsed="false">
      <c r="B47487" s="0" t="s">
        <v>1</v>
      </c>
    </row>
    <row r="47489" customFormat="false" ht="12.8" hidden="false" customHeight="false" outlineLevel="0" collapsed="false">
      <c r="A47489" s="0" t="s">
        <v>16852</v>
      </c>
      <c r="B47489" s="0" t="str">
        <f aca="false">HYPERLINK("https://lindat.mff.cuni.cz/services/teitok/pdtc10/index.php?action=vallex&amp;frame=v-w6629f1", "suspendovat (v-w6629f1)")</f>
        <v>suspendovat (v-w6629f1)</v>
      </c>
    </row>
    <row r="47490" customFormat="false" ht="12.8" hidden="false" customHeight="false" outlineLevel="0" collapsed="false">
      <c r="B47490" s="0" t="s">
        <v>1</v>
      </c>
    </row>
    <row r="47491" customFormat="false" ht="12.8" hidden="false" customHeight="false" outlineLevel="0" collapsed="false">
      <c r="B47491" s="0" t="s">
        <v>8</v>
      </c>
    </row>
    <row r="47493" customFormat="false" ht="12.8" hidden="false" customHeight="false" outlineLevel="0" collapsed="false">
      <c r="A47493" s="0" t="s">
        <v>16853</v>
      </c>
      <c r="B47493" s="0" t="str">
        <f aca="false">HYPERLINK("https://lindat.mff.cuni.cz/services/teitok/pdtc10/index.php?action=vallex&amp;frame=v-whsa_819hsa_820", "sušit (v-whsa_819hsa_820)")</f>
        <v>sušit (v-whsa_819hsa_820)</v>
      </c>
    </row>
    <row r="47494" customFormat="false" ht="12.8" hidden="false" customHeight="false" outlineLevel="0" collapsed="false">
      <c r="B47494" s="0" t="s">
        <v>1</v>
      </c>
    </row>
    <row r="47495" customFormat="false" ht="12.8" hidden="false" customHeight="false" outlineLevel="0" collapsed="false">
      <c r="B47495" s="0" t="s">
        <v>8</v>
      </c>
    </row>
    <row r="47497" customFormat="false" ht="12.8" hidden="false" customHeight="false" outlineLevel="0" collapsed="false">
      <c r="A47497" s="0" t="s">
        <v>16854</v>
      </c>
      <c r="B47497" s="0" t="str">
        <f aca="false">HYPERLINK("https://lindat.mff.cuni.cz/services/teitok/pdtc10/index.php?action=vallex&amp;frame=v-w6632f1", "sužovat (v-w6632f1)")</f>
        <v>sužovat (v-w6632f1)</v>
      </c>
      <c r="E47497" s="0" t="str">
        <f aca="false">HYPERLINK("https://lindat.mff.cuni.cz/services/SynSemClass40/SynSemClass40.html?veclass=vec00740#vec00740-ces-cm00049", "vec00740")</f>
        <v>vec00740</v>
      </c>
      <c r="F47497" s="0" t="s">
        <v>2563</v>
      </c>
    </row>
    <row r="47498" customFormat="false" ht="12.8" hidden="false" customHeight="false" outlineLevel="0" collapsed="false">
      <c r="B47498" s="0" t="s">
        <v>1</v>
      </c>
      <c r="C47498" s="0" t="s">
        <v>16855</v>
      </c>
      <c r="E47498" s="0" t="s">
        <v>76</v>
      </c>
      <c r="F47498" s="0" t="s">
        <v>16856</v>
      </c>
    </row>
    <row r="47499" customFormat="false" ht="12.8" hidden="false" customHeight="false" outlineLevel="0" collapsed="false">
      <c r="B47499" s="0" t="s">
        <v>8</v>
      </c>
      <c r="C47499" s="0" t="s">
        <v>16857</v>
      </c>
      <c r="E47499" s="0" t="s">
        <v>199</v>
      </c>
      <c r="F47499" s="0" t="s">
        <v>16858</v>
      </c>
    </row>
    <row r="47501" customFormat="false" ht="12.8" hidden="false" customHeight="false" outlineLevel="0" collapsed="false">
      <c r="A47501" s="0" t="s">
        <v>16859</v>
      </c>
      <c r="B47501" s="0" t="str">
        <f aca="false">HYPERLINK("https://lindat.mff.cuni.cz/services/teitok/pdtc10/index.php?action=vallex&amp;frame=v-w11220f3", "svalit (v-w11220f3)")</f>
        <v>svalit (v-w11220f3)</v>
      </c>
    </row>
    <row r="47502" customFormat="false" ht="12.8" hidden="false" customHeight="false" outlineLevel="0" collapsed="false">
      <c r="B47502" s="0" t="s">
        <v>1</v>
      </c>
    </row>
    <row r="47503" customFormat="false" ht="12.8" hidden="false" customHeight="false" outlineLevel="0" collapsed="false">
      <c r="B47503" s="0" t="s">
        <v>8</v>
      </c>
    </row>
    <row r="47504" customFormat="false" ht="12.8" hidden="false" customHeight="false" outlineLevel="0" collapsed="false">
      <c r="B47504" s="0" t="s">
        <v>162</v>
      </c>
    </row>
    <row r="47506" customFormat="false" ht="12.8" hidden="false" customHeight="false" outlineLevel="0" collapsed="false">
      <c r="A47506" s="0" t="s">
        <v>16860</v>
      </c>
      <c r="B47506" s="0" t="str">
        <f aca="false">HYPERLINK("https://lindat.mff.cuni.cz/services/teitok/pdtc10/index.php?action=vallex&amp;frame=v-w11501f1", "svalit se (v-w11501f1)")</f>
        <v>svalit se (v-w11501f1)</v>
      </c>
    </row>
    <row r="47507" customFormat="false" ht="12.8" hidden="false" customHeight="false" outlineLevel="0" collapsed="false">
      <c r="B47507" s="0" t="s">
        <v>1</v>
      </c>
    </row>
    <row r="47508" customFormat="false" ht="12.8" hidden="false" customHeight="false" outlineLevel="0" collapsed="false">
      <c r="B47508" s="0" t="s">
        <v>164</v>
      </c>
    </row>
    <row r="47510" customFormat="false" ht="12.8" hidden="false" customHeight="false" outlineLevel="0" collapsed="false">
      <c r="A47510" s="0" t="s">
        <v>16861</v>
      </c>
      <c r="B47510" s="0" t="str">
        <f aca="false">HYPERLINK("https://lindat.mff.cuni.cz/services/teitok/pdtc10/index.php?action=vallex&amp;frame=v-w11223f2", "svalovat (v-w11223f2)")</f>
        <v>svalovat (v-w11223f2)</v>
      </c>
      <c r="E47510" s="0" t="str">
        <f aca="false">HYPERLINK("https://lindat.mff.cuni.cz/services/SynSemClass40/SynSemClass40.html?veclass=vec00291#vec00291-ces-cm00018", "vec00291")</f>
        <v>vec00291</v>
      </c>
      <c r="F47510" s="0" t="s">
        <v>10760</v>
      </c>
      <c r="H47510" s="0" t="str">
        <f aca="false">HYPERLINK("https://lindat.mff.cuni.cz/services/SynSemClass40/SynSemClass40.html?veclass=vec00347#vec00347-ces-cm00012", "vec00347")</f>
        <v>vec00347</v>
      </c>
      <c r="I47510" s="0" t="s">
        <v>3748</v>
      </c>
    </row>
    <row r="47511" customFormat="false" ht="12.8" hidden="false" customHeight="false" outlineLevel="0" collapsed="false">
      <c r="B47511" s="0" t="s">
        <v>1</v>
      </c>
      <c r="C47511" s="0" t="s">
        <v>16862</v>
      </c>
      <c r="E47511" s="0" t="s">
        <v>10761</v>
      </c>
      <c r="F47511" s="0" t="s">
        <v>10762</v>
      </c>
      <c r="H47511" s="0" t="s">
        <v>3750</v>
      </c>
      <c r="I47511" s="0" t="s">
        <v>3751</v>
      </c>
    </row>
    <row r="47512" customFormat="false" ht="12.8" hidden="false" customHeight="false" outlineLevel="0" collapsed="false">
      <c r="B47512" s="0" t="s">
        <v>8</v>
      </c>
      <c r="C47512" s="0" t="s">
        <v>16863</v>
      </c>
      <c r="E47512" s="0" t="s">
        <v>1544</v>
      </c>
      <c r="F47512" s="0" t="s">
        <v>10764</v>
      </c>
      <c r="H47512" s="0" t="s">
        <v>2568</v>
      </c>
      <c r="I47512" s="0" t="s">
        <v>3754</v>
      </c>
    </row>
    <row r="47513" customFormat="false" ht="12.8" hidden="false" customHeight="false" outlineLevel="0" collapsed="false">
      <c r="B47513" s="0" t="s">
        <v>162</v>
      </c>
      <c r="C47513" s="0" t="s">
        <v>16864</v>
      </c>
      <c r="E47513" s="0" t="s">
        <v>53</v>
      </c>
      <c r="F47513" s="0" t="s">
        <v>10766</v>
      </c>
      <c r="H47513" s="0" t="s">
        <v>3756</v>
      </c>
      <c r="I47513" s="0" t="s">
        <v>3757</v>
      </c>
    </row>
    <row r="47515" customFormat="false" ht="12.8" hidden="false" customHeight="false" outlineLevel="0" collapsed="false">
      <c r="A47515" s="0" t="s">
        <v>16865</v>
      </c>
      <c r="B47515" s="0" t="str">
        <f aca="false">HYPERLINK("https://lindat.mff.cuni.cz/services/teitok/pdtc10/index.php?action=vallex&amp;frame=v-w6642f1", "svatořečit (v-w6642f1)")</f>
        <v>svatořečit (v-w6642f1)</v>
      </c>
      <c r="E47515" s="0" t="str">
        <f aca="false">HYPERLINK("https://lindat.mff.cuni.cz/services/SynSemClass40/SynSemClass40.html?veclass=vec01526#vec01526-ces-cm00008", "vec01526")</f>
        <v>vec01526</v>
      </c>
      <c r="F47515" s="0" t="s">
        <v>12290</v>
      </c>
    </row>
    <row r="47516" customFormat="false" ht="12.8" hidden="false" customHeight="false" outlineLevel="0" collapsed="false">
      <c r="B47516" s="0" t="s">
        <v>1</v>
      </c>
      <c r="C47516" s="0" t="s">
        <v>825</v>
      </c>
      <c r="E47516" s="0" t="s">
        <v>206</v>
      </c>
      <c r="F47516" s="0" t="s">
        <v>12292</v>
      </c>
    </row>
    <row r="47517" customFormat="false" ht="12.8" hidden="false" customHeight="false" outlineLevel="0" collapsed="false">
      <c r="B47517" s="0" t="s">
        <v>8</v>
      </c>
      <c r="C47517" s="0" t="s">
        <v>1767</v>
      </c>
      <c r="E47517" s="0" t="s">
        <v>4297</v>
      </c>
      <c r="F47517" s="0" t="s">
        <v>12295</v>
      </c>
    </row>
    <row r="47519" customFormat="false" ht="12.8" hidden="false" customHeight="false" outlineLevel="0" collapsed="false">
      <c r="A47519" s="0" t="s">
        <v>16866</v>
      </c>
      <c r="B47519" s="0" t="str">
        <f aca="false">HYPERLINK("https://lindat.mff.cuni.cz/services/teitok/pdtc10/index.php?action=vallex&amp;frame=v-w6647f1", "svazovat (v-w6647f1)")</f>
        <v>svazovat (v-w6647f1)</v>
      </c>
      <c r="E47519" s="0" t="str">
        <f aca="false">HYPERLINK("https://lindat.mff.cuni.cz/services/SynSemClass40/SynSemClass40.html?veclass=vec00519#vec00519-ces-cm00037", "vec00519")</f>
        <v>vec00519</v>
      </c>
      <c r="F47519" s="0" t="s">
        <v>12231</v>
      </c>
    </row>
    <row r="47520" customFormat="false" ht="12.8" hidden="false" customHeight="false" outlineLevel="0" collapsed="false">
      <c r="B47520" s="0" t="s">
        <v>1</v>
      </c>
      <c r="C47520" s="0" t="s">
        <v>11624</v>
      </c>
      <c r="E47520" s="0" t="s">
        <v>4850</v>
      </c>
      <c r="F47520" s="0" t="s">
        <v>12232</v>
      </c>
    </row>
    <row r="47521" customFormat="false" ht="12.8" hidden="false" customHeight="false" outlineLevel="0" collapsed="false">
      <c r="B47521" s="0" t="s">
        <v>8</v>
      </c>
      <c r="C47521" s="0" t="s">
        <v>12233</v>
      </c>
      <c r="E47521" s="0" t="s">
        <v>4852</v>
      </c>
      <c r="F47521" s="0" t="s">
        <v>12234</v>
      </c>
    </row>
    <row r="47522" customFormat="false" ht="12.8" hidden="false" customHeight="false" outlineLevel="0" collapsed="false">
      <c r="B47522" s="0" t="s">
        <v>276</v>
      </c>
      <c r="C47522" s="0" t="s">
        <v>12632</v>
      </c>
      <c r="E47522" s="0" t="s">
        <v>4855</v>
      </c>
      <c r="F47522" s="0" t="s">
        <v>12628</v>
      </c>
    </row>
    <row r="47524" customFormat="false" ht="12.8" hidden="false" customHeight="false" outlineLevel="0" collapsed="false">
      <c r="A47524" s="0" t="s">
        <v>16867</v>
      </c>
      <c r="B47524" s="0" t="str">
        <f aca="false">HYPERLINK("https://lindat.mff.cuni.cz/services/teitok/pdtc10/index.php?action=vallex&amp;frame=v-w6647f2", "svazovat (v-w6647f2)")</f>
        <v>svazovat (v-w6647f2)</v>
      </c>
    </row>
    <row r="47525" customFormat="false" ht="12.8" hidden="false" customHeight="false" outlineLevel="0" collapsed="false">
      <c r="B47525" s="0" t="s">
        <v>1</v>
      </c>
    </row>
    <row r="47526" customFormat="false" ht="12.8" hidden="false" customHeight="false" outlineLevel="0" collapsed="false">
      <c r="B47526" s="0" t="s">
        <v>8</v>
      </c>
    </row>
    <row r="47528" customFormat="false" ht="12.8" hidden="false" customHeight="false" outlineLevel="0" collapsed="false">
      <c r="A47528" s="0" t="s">
        <v>16868</v>
      </c>
      <c r="B47528" s="0" t="str">
        <f aca="false">HYPERLINK("https://lindat.mff.cuni.cz/services/teitok/pdtc10/index.php?action=vallex&amp;frame=v-w6647f3_ZU", "svazovat (v-w6647f3_ZU)")</f>
        <v>svazovat (v-w6647f3_ZU)</v>
      </c>
    </row>
    <row r="47529" customFormat="false" ht="12.8" hidden="false" customHeight="false" outlineLevel="0" collapsed="false">
      <c r="B47529" s="0" t="s">
        <v>1</v>
      </c>
    </row>
    <row r="47530" customFormat="false" ht="12.8" hidden="false" customHeight="false" outlineLevel="0" collapsed="false">
      <c r="B47530" s="0" t="s">
        <v>8</v>
      </c>
    </row>
    <row r="47531" customFormat="false" ht="12.8" hidden="false" customHeight="false" outlineLevel="0" collapsed="false">
      <c r="B47531" s="0" t="s">
        <v>36</v>
      </c>
    </row>
    <row r="47532" customFormat="false" ht="12.8" hidden="false" customHeight="false" outlineLevel="0" collapsed="false">
      <c r="B47532" s="0" t="s">
        <v>245</v>
      </c>
    </row>
    <row r="47534" customFormat="false" ht="12.8" hidden="false" customHeight="false" outlineLevel="0" collapsed="false">
      <c r="A47534" s="0" t="s">
        <v>16868</v>
      </c>
      <c r="B47534" s="0" t="str">
        <f aca="false">HYPERLINK("https://lindat.mff.cuni.cz/services/teitok/pdtc10/index.php?action=vallex&amp;frame=v-w6647hsa_1824", "svazovat (v-w6647hsa_1824) - substituted with v-w6647f3_ZU")</f>
        <v>svazovat (v-w6647hsa_1824) - substituted with v-w6647f3_ZU</v>
      </c>
    </row>
    <row r="47535" customFormat="false" ht="12.8" hidden="false" customHeight="false" outlineLevel="0" collapsed="false">
      <c r="B47535" s="0" t="s">
        <v>1</v>
      </c>
    </row>
    <row r="47536" customFormat="false" ht="12.8" hidden="false" customHeight="false" outlineLevel="0" collapsed="false">
      <c r="B47536" s="0" t="s">
        <v>8</v>
      </c>
    </row>
    <row r="47537" customFormat="false" ht="12.8" hidden="false" customHeight="false" outlineLevel="0" collapsed="false">
      <c r="B47537" s="0" t="s">
        <v>36</v>
      </c>
    </row>
    <row r="47538" customFormat="false" ht="12.8" hidden="false" customHeight="false" outlineLevel="0" collapsed="false">
      <c r="B47538" s="0" t="s">
        <v>245</v>
      </c>
    </row>
    <row r="47540" customFormat="false" ht="12.8" hidden="false" customHeight="false" outlineLevel="0" collapsed="false">
      <c r="A47540" s="0" t="s">
        <v>16869</v>
      </c>
      <c r="B47540" s="0" t="str">
        <f aca="false">HYPERLINK("https://lindat.mff.cuni.cz/services/teitok/pdtc10/index.php?action=vallex&amp;frame=v-w11882_ZUf1_ZU", "svačit (v-w11882_ZUf1_ZU)")</f>
        <v>svačit (v-w11882_ZUf1_ZU)</v>
      </c>
    </row>
    <row r="47541" customFormat="false" ht="12.8" hidden="false" customHeight="false" outlineLevel="0" collapsed="false">
      <c r="B47541" s="0" t="s">
        <v>1</v>
      </c>
    </row>
    <row r="47542" customFormat="false" ht="12.8" hidden="false" customHeight="false" outlineLevel="0" collapsed="false">
      <c r="B47542" s="0" t="s">
        <v>8</v>
      </c>
    </row>
    <row r="47544" customFormat="false" ht="12.8" hidden="false" customHeight="false" outlineLevel="0" collapsed="false">
      <c r="A47544" s="0" t="s">
        <v>16870</v>
      </c>
      <c r="B47544" s="0" t="str">
        <f aca="false">HYPERLINK("https://lindat.mff.cuni.cz/services/teitok/pdtc10/index.php?action=vallex&amp;frame=v-whsa_1909f1_ZU", "svařit (v-whsa_1909f1_ZU)")</f>
        <v>svařit (v-whsa_1909f1_ZU)</v>
      </c>
    </row>
    <row r="47545" customFormat="false" ht="12.8" hidden="false" customHeight="false" outlineLevel="0" collapsed="false">
      <c r="B47545" s="0" t="s">
        <v>1</v>
      </c>
    </row>
    <row r="47546" customFormat="false" ht="12.8" hidden="false" customHeight="false" outlineLevel="0" collapsed="false">
      <c r="B47546" s="0" t="s">
        <v>8</v>
      </c>
    </row>
    <row r="47548" customFormat="false" ht="12.8" hidden="false" customHeight="false" outlineLevel="0" collapsed="false">
      <c r="A47548" s="0" t="s">
        <v>16870</v>
      </c>
      <c r="B47548" s="0" t="str">
        <f aca="false">HYPERLINK("https://lindat.mff.cuni.cz/services/teitok/pdtc10/index.php?action=vallex&amp;frame=v-whsa_1909hsa_1910", "svařit (v-whsa_1909hsa_1910) - substituted with v-whsa_1909f1_ZU")</f>
        <v>svařit (v-whsa_1909hsa_1910) - substituted with v-whsa_1909f1_ZU</v>
      </c>
    </row>
    <row r="47549" customFormat="false" ht="12.8" hidden="false" customHeight="false" outlineLevel="0" collapsed="false">
      <c r="B47549" s="0" t="s">
        <v>1</v>
      </c>
    </row>
    <row r="47550" customFormat="false" ht="12.8" hidden="false" customHeight="false" outlineLevel="0" collapsed="false">
      <c r="B47550" s="0" t="s">
        <v>8</v>
      </c>
    </row>
    <row r="47552" customFormat="false" ht="12.8" hidden="false" customHeight="false" outlineLevel="0" collapsed="false">
      <c r="A47552" s="0" t="s">
        <v>16871</v>
      </c>
      <c r="B47552" s="0" t="str">
        <f aca="false">HYPERLINK("https://lindat.mff.cuni.cz/services/teitok/pdtc10/index.php?action=vallex&amp;frame=v-w6639f1", "svařovat (v-w6639f1)")</f>
        <v>svařovat (v-w6639f1)</v>
      </c>
    </row>
    <row r="47553" customFormat="false" ht="12.8" hidden="false" customHeight="false" outlineLevel="0" collapsed="false">
      <c r="B47553" s="0" t="s">
        <v>1</v>
      </c>
    </row>
    <row r="47554" customFormat="false" ht="12.8" hidden="false" customHeight="false" outlineLevel="0" collapsed="false">
      <c r="B47554" s="0" t="s">
        <v>8</v>
      </c>
    </row>
    <row r="47556" customFormat="false" ht="12.8" hidden="false" customHeight="false" outlineLevel="0" collapsed="false">
      <c r="A47556" s="0" t="s">
        <v>16872</v>
      </c>
      <c r="B47556" s="0" t="str">
        <f aca="false">HYPERLINK("https://lindat.mff.cuni.cz/services/teitok/pdtc10/index.php?action=vallex&amp;frame=v-w6650f1", "svažovat se (v-w6650f1)")</f>
        <v>svažovat se (v-w6650f1)</v>
      </c>
    </row>
    <row r="47557" customFormat="false" ht="12.8" hidden="false" customHeight="false" outlineLevel="0" collapsed="false">
      <c r="B47557" s="0" t="s">
        <v>1</v>
      </c>
    </row>
    <row r="47558" customFormat="false" ht="12.8" hidden="false" customHeight="false" outlineLevel="0" collapsed="false">
      <c r="B47558" s="0" t="s">
        <v>164</v>
      </c>
    </row>
    <row r="47560" customFormat="false" ht="12.8" hidden="false" customHeight="false" outlineLevel="0" collapsed="false">
      <c r="A47560" s="0" t="s">
        <v>16873</v>
      </c>
      <c r="B47560" s="0" t="str">
        <f aca="false">HYPERLINK("https://lindat.mff.cuni.cz/services/teitok/pdtc10/index.php?action=vallex&amp;frame=v-w6671f2", "svitnout (v-w6671f2)")</f>
        <v>svitnout (v-w6671f2)</v>
      </c>
    </row>
    <row r="47561" customFormat="false" ht="12.8" hidden="false" customHeight="false" outlineLevel="0" collapsed="false">
      <c r="B47561" s="0" t="s">
        <v>804</v>
      </c>
    </row>
    <row r="47562" customFormat="false" ht="12.8" hidden="false" customHeight="false" outlineLevel="0" collapsed="false">
      <c r="B47562" s="0" t="s">
        <v>2141</v>
      </c>
    </row>
    <row r="47564" customFormat="false" ht="12.8" hidden="false" customHeight="false" outlineLevel="0" collapsed="false">
      <c r="A47564" s="0" t="s">
        <v>16874</v>
      </c>
      <c r="B47564" s="0" t="str">
        <f aca="false">HYPERLINK("https://lindat.mff.cuni.cz/services/teitok/pdtc10/index.php?action=vallex&amp;frame=v-w6671f1", "svitnout (v-w6671f1)")</f>
        <v>svitnout (v-w6671f1)</v>
      </c>
    </row>
    <row r="47565" customFormat="false" ht="12.8" hidden="false" customHeight="false" outlineLevel="0" collapsed="false">
      <c r="B47565" s="0" t="s">
        <v>1</v>
      </c>
    </row>
    <row r="47567" customFormat="false" ht="12.8" hidden="false" customHeight="false" outlineLevel="0" collapsed="false">
      <c r="A47567" s="0" t="s">
        <v>16875</v>
      </c>
      <c r="B47567" s="0" t="str">
        <f aca="false">HYPERLINK("https://lindat.mff.cuni.cz/services/teitok/pdtc10/index.php?action=vallex&amp;frame=v-w6668f1", "svištět (v-w6668f1)")</f>
        <v>svištět (v-w6668f1)</v>
      </c>
      <c r="E47567" s="0" t="str">
        <f aca="false">HYPERLINK("https://lindat.mff.cuni.cz/services/SynSemClass40/SynSemClass40.html?veclass=vec00949#vec00949-ces-cm00018", "vec00949")</f>
        <v>vec00949</v>
      </c>
      <c r="F47567" s="0" t="s">
        <v>2086</v>
      </c>
    </row>
    <row r="47568" customFormat="false" ht="12.8" hidden="false" customHeight="false" outlineLevel="0" collapsed="false">
      <c r="B47568" s="0" t="s">
        <v>1</v>
      </c>
      <c r="C47568" s="0" t="s">
        <v>2087</v>
      </c>
      <c r="E47568" s="0" t="s">
        <v>334</v>
      </c>
      <c r="F47568" s="0" t="s">
        <v>2088</v>
      </c>
    </row>
    <row r="47570" customFormat="false" ht="12.8" hidden="false" customHeight="false" outlineLevel="0" collapsed="false">
      <c r="A47570" s="0" t="s">
        <v>16876</v>
      </c>
      <c r="B47570" s="0" t="str">
        <f aca="false">HYPERLINK("https://lindat.mff.cuni.cz/services/teitok/pdtc10/index.php?action=vallex&amp;frame=v-w6668hsa_1072", "svištět (v-w6668hsa_1072)")</f>
        <v>svištět (v-w6668hsa_1072)</v>
      </c>
    </row>
    <row r="47571" customFormat="false" ht="12.8" hidden="false" customHeight="false" outlineLevel="0" collapsed="false">
      <c r="B47571" s="0" t="s">
        <v>1</v>
      </c>
    </row>
    <row r="47573" customFormat="false" ht="12.8" hidden="false" customHeight="false" outlineLevel="0" collapsed="false">
      <c r="A47573" s="0" t="s">
        <v>16877</v>
      </c>
      <c r="B47573" s="0" t="str">
        <f aca="false">HYPERLINK("https://lindat.mff.cuni.cz/services/teitok/pdtc10/index.php?action=vallex&amp;frame=v-w6672f1", "svlékat (v-w6672f1)")</f>
        <v>svlékat (v-w6672f1)</v>
      </c>
    </row>
    <row r="47574" customFormat="false" ht="12.8" hidden="false" customHeight="false" outlineLevel="0" collapsed="false">
      <c r="B47574" s="0" t="s">
        <v>1</v>
      </c>
    </row>
    <row r="47575" customFormat="false" ht="12.8" hidden="false" customHeight="false" outlineLevel="0" collapsed="false">
      <c r="B47575" s="0" t="s">
        <v>8</v>
      </c>
    </row>
    <row r="47577" customFormat="false" ht="12.8" hidden="false" customHeight="false" outlineLevel="0" collapsed="false">
      <c r="A47577" s="0" t="s">
        <v>16878</v>
      </c>
      <c r="B47577" s="0" t="str">
        <f aca="false">HYPERLINK("https://lindat.mff.cuni.cz/services/teitok/pdtc10/index.php?action=vallex&amp;frame=v-w6672f3", "svlékat (v-w6672f3)")</f>
        <v>svlékat (v-w6672f3)</v>
      </c>
    </row>
    <row r="47578" customFormat="false" ht="12.8" hidden="false" customHeight="false" outlineLevel="0" collapsed="false">
      <c r="B47578" s="0" t="s">
        <v>1</v>
      </c>
    </row>
    <row r="47579" customFormat="false" ht="12.8" hidden="false" customHeight="false" outlineLevel="0" collapsed="false">
      <c r="B47579" s="0" t="s">
        <v>8</v>
      </c>
    </row>
    <row r="47581" customFormat="false" ht="12.8" hidden="false" customHeight="false" outlineLevel="0" collapsed="false">
      <c r="A47581" s="0" t="s">
        <v>16879</v>
      </c>
      <c r="B47581" s="0" t="str">
        <f aca="false">HYPERLINK("https://lindat.mff.cuni.cz/services/teitok/pdtc10/index.php?action=vallex&amp;frame=v-w6673f3_ZU", "svléknout (v-w6673f3_ZU)")</f>
        <v>svléknout (v-w6673f3_ZU)</v>
      </c>
    </row>
    <row r="47582" customFormat="false" ht="12.8" hidden="false" customHeight="false" outlineLevel="0" collapsed="false">
      <c r="B47582" s="0" t="s">
        <v>1</v>
      </c>
    </row>
    <row r="47583" customFormat="false" ht="12.8" hidden="false" customHeight="false" outlineLevel="0" collapsed="false">
      <c r="B47583" s="0" t="s">
        <v>8</v>
      </c>
    </row>
    <row r="47585" customFormat="false" ht="12.8" hidden="false" customHeight="false" outlineLevel="0" collapsed="false">
      <c r="A47585" s="0" t="s">
        <v>16879</v>
      </c>
      <c r="B47585" s="0" t="str">
        <f aca="false">HYPERLINK("https://lindat.mff.cuni.cz/services/teitok/pdtc10/index.php?action=vallex&amp;frame=v-w6673f1", "svléknout (v-w6673f1) - substituted with v-w6673f3_ZU")</f>
        <v>svléknout (v-w6673f1) - substituted with v-w6673f3_ZU</v>
      </c>
    </row>
    <row r="47586" customFormat="false" ht="12.8" hidden="false" customHeight="false" outlineLevel="0" collapsed="false">
      <c r="B47586" s="0" t="s">
        <v>1</v>
      </c>
    </row>
    <row r="47587" customFormat="false" ht="12.8" hidden="false" customHeight="false" outlineLevel="0" collapsed="false">
      <c r="B47587" s="0" t="s">
        <v>8</v>
      </c>
    </row>
    <row r="47589" customFormat="false" ht="12.8" hidden="false" customHeight="false" outlineLevel="0" collapsed="false">
      <c r="A47589" s="0" t="s">
        <v>16879</v>
      </c>
      <c r="B47589" s="0" t="str">
        <f aca="false">HYPERLINK("https://lindat.mff.cuni.cz/services/teitok/pdtc10/index.php?action=vallex&amp;frame=v-w6673f2", "svléknout (v-w6673f2) - substituted with v-w6673f3_ZU")</f>
        <v>svléknout (v-w6673f2) - substituted with v-w6673f3_ZU</v>
      </c>
    </row>
    <row r="47590" customFormat="false" ht="12.8" hidden="false" customHeight="false" outlineLevel="0" collapsed="false">
      <c r="B47590" s="0" t="s">
        <v>1</v>
      </c>
    </row>
    <row r="47591" customFormat="false" ht="12.8" hidden="false" customHeight="false" outlineLevel="0" collapsed="false">
      <c r="B47591" s="0" t="s">
        <v>8</v>
      </c>
    </row>
    <row r="47593" customFormat="false" ht="12.8" hidden="false" customHeight="false" outlineLevel="0" collapsed="false">
      <c r="A47593" s="0" t="s">
        <v>16880</v>
      </c>
      <c r="B47593" s="0" t="str">
        <f aca="false">HYPERLINK("https://lindat.mff.cuni.cz/services/teitok/pdtc10/index.php?action=vallex&amp;frame=v-w6673f4_ZU", "svléknout (v-w6673f4_ZU)")</f>
        <v>svléknout (v-w6673f4_ZU)</v>
      </c>
    </row>
    <row r="47594" customFormat="false" ht="12.8" hidden="false" customHeight="false" outlineLevel="0" collapsed="false">
      <c r="B47594" s="0" t="s">
        <v>1</v>
      </c>
    </row>
    <row r="47595" customFormat="false" ht="12.8" hidden="false" customHeight="false" outlineLevel="0" collapsed="false">
      <c r="B47595" s="0" t="s">
        <v>8</v>
      </c>
    </row>
    <row r="47596" customFormat="false" ht="12.8" hidden="false" customHeight="false" outlineLevel="0" collapsed="false">
      <c r="B47596" s="0" t="s">
        <v>245</v>
      </c>
    </row>
    <row r="47598" customFormat="false" ht="12.8" hidden="false" customHeight="false" outlineLevel="0" collapsed="false">
      <c r="A47598" s="0" t="s">
        <v>16881</v>
      </c>
      <c r="B47598" s="0" t="str">
        <f aca="false">HYPERLINK("https://lindat.mff.cuni.cz/services/teitok/pdtc10/index.php?action=vallex&amp;frame=v-whsb_1251hsa_1252", "svlíkat se (v-whsb_1251hsa_1252)")</f>
        <v>svlíkat se (v-whsb_1251hsa_1252)</v>
      </c>
    </row>
    <row r="47599" customFormat="false" ht="12.8" hidden="false" customHeight="false" outlineLevel="0" collapsed="false">
      <c r="B47599" s="0" t="s">
        <v>1</v>
      </c>
    </row>
    <row r="47600" customFormat="false" ht="12.8" hidden="false" customHeight="false" outlineLevel="0" collapsed="false">
      <c r="B47600" s="0" t="s">
        <v>4250</v>
      </c>
    </row>
    <row r="47602" customFormat="false" ht="12.8" hidden="false" customHeight="false" outlineLevel="0" collapsed="false">
      <c r="A47602" s="0" t="s">
        <v>16882</v>
      </c>
      <c r="B47602" s="0" t="str">
        <f aca="false">HYPERLINK("https://lindat.mff.cuni.cz/services/teitok/pdtc10/index.php?action=vallex&amp;frame=v-w6677f1", "svolat (v-w6677f1)")</f>
        <v>svolat (v-w6677f1)</v>
      </c>
      <c r="E47602" s="0" t="str">
        <f aca="false">HYPERLINK("https://lindat.mff.cuni.cz/services/SynSemClass40/SynSemClass40.html?veclass=vec01330#vec01330-ces-cm00003", "vec01330")</f>
        <v>vec01330</v>
      </c>
      <c r="F47602" s="0" t="s">
        <v>12025</v>
      </c>
    </row>
    <row r="47603" customFormat="false" ht="12.8" hidden="false" customHeight="false" outlineLevel="0" collapsed="false">
      <c r="B47603" s="0" t="s">
        <v>1</v>
      </c>
      <c r="C47603" s="0" t="s">
        <v>16883</v>
      </c>
      <c r="E47603" s="0" t="s">
        <v>4501</v>
      </c>
      <c r="F47603" s="0" t="s">
        <v>12027</v>
      </c>
    </row>
    <row r="47604" customFormat="false" ht="12.8" hidden="false" customHeight="false" outlineLevel="0" collapsed="false">
      <c r="B47604" s="0" t="s">
        <v>8</v>
      </c>
      <c r="C47604" s="0" t="s">
        <v>16884</v>
      </c>
      <c r="E47604" s="0" t="s">
        <v>188</v>
      </c>
      <c r="F47604" s="0" t="s">
        <v>12029</v>
      </c>
    </row>
    <row r="47606" customFormat="false" ht="12.8" hidden="false" customHeight="false" outlineLevel="0" collapsed="false">
      <c r="A47606" s="0" t="s">
        <v>16885</v>
      </c>
      <c r="B47606" s="0" t="str">
        <f aca="false">HYPERLINK("https://lindat.mff.cuni.cz/services/teitok/pdtc10/index.php?action=vallex&amp;frame=v-w6679f1", "svolit (v-w6679f1)")</f>
        <v>svolit (v-w6679f1)</v>
      </c>
    </row>
    <row r="47607" customFormat="false" ht="12.8" hidden="false" customHeight="false" outlineLevel="0" collapsed="false">
      <c r="B47607" s="0" t="s">
        <v>1</v>
      </c>
    </row>
    <row r="47608" customFormat="false" ht="12.8" hidden="false" customHeight="false" outlineLevel="0" collapsed="false">
      <c r="B47608" s="0" t="s">
        <v>9857</v>
      </c>
    </row>
    <row r="47610" customFormat="false" ht="12.8" hidden="false" customHeight="false" outlineLevel="0" collapsed="false">
      <c r="A47610" s="0" t="s">
        <v>16886</v>
      </c>
      <c r="B47610" s="0" t="str">
        <f aca="false">HYPERLINK("https://lindat.mff.cuni.cz/services/teitok/pdtc10/index.php?action=vallex&amp;frame=v-w10320f2", "svolovat (v-w10320f2)")</f>
        <v>svolovat (v-w10320f2)</v>
      </c>
    </row>
    <row r="47611" customFormat="false" ht="12.8" hidden="false" customHeight="false" outlineLevel="0" collapsed="false">
      <c r="B47611" s="0" t="s">
        <v>1</v>
      </c>
    </row>
    <row r="47612" customFormat="false" ht="12.8" hidden="false" customHeight="false" outlineLevel="0" collapsed="false">
      <c r="B47612" s="0" t="s">
        <v>9857</v>
      </c>
    </row>
    <row r="47614" customFormat="false" ht="12.8" hidden="false" customHeight="false" outlineLevel="0" collapsed="false">
      <c r="A47614" s="0" t="s">
        <v>16887</v>
      </c>
      <c r="B47614" s="0" t="str">
        <f aca="false">HYPERLINK("https://lindat.mff.cuni.cz/services/teitok/pdtc10/index.php?action=vallex&amp;frame=v-w6678f1", "svolávat (v-w6678f1)")</f>
        <v>svolávat (v-w6678f1)</v>
      </c>
      <c r="E47614" s="0" t="str">
        <f aca="false">HYPERLINK("https://lindat.mff.cuni.cz/services/SynSemClass40/SynSemClass40.html?veclass=vec01330#vec01330-ces-cm00004", "vec01330")</f>
        <v>vec01330</v>
      </c>
      <c r="F47614" s="0" t="s">
        <v>12025</v>
      </c>
    </row>
    <row r="47615" customFormat="false" ht="12.8" hidden="false" customHeight="false" outlineLevel="0" collapsed="false">
      <c r="B47615" s="0" t="s">
        <v>1</v>
      </c>
      <c r="C47615" s="0" t="s">
        <v>16883</v>
      </c>
      <c r="E47615" s="0" t="s">
        <v>4501</v>
      </c>
      <c r="F47615" s="0" t="s">
        <v>12027</v>
      </c>
    </row>
    <row r="47616" customFormat="false" ht="12.8" hidden="false" customHeight="false" outlineLevel="0" collapsed="false">
      <c r="B47616" s="0" t="s">
        <v>8</v>
      </c>
      <c r="C47616" s="0" t="s">
        <v>16884</v>
      </c>
      <c r="E47616" s="0" t="s">
        <v>188</v>
      </c>
      <c r="F47616" s="0" t="s">
        <v>12029</v>
      </c>
    </row>
    <row r="47618" customFormat="false" ht="12.8" hidden="false" customHeight="false" outlineLevel="0" collapsed="false">
      <c r="A47618" s="0" t="s">
        <v>16888</v>
      </c>
      <c r="B47618" s="0" t="str">
        <f aca="false">HYPERLINK("https://lindat.mff.cuni.cz/services/teitok/pdtc10/index.php?action=vallex&amp;frame=v-w6678f2", "svolávat (v-w6678f2)")</f>
        <v>svolávat (v-w6678f2)</v>
      </c>
      <c r="E47618" s="0" t="str">
        <f aca="false">HYPERLINK("https://lindat.mff.cuni.cz/services/SynSemClass40/SynSemClass40.html?veclass=vec00485#vec00485-ces-cm00032", "vec00485")</f>
        <v>vec00485</v>
      </c>
      <c r="F47618" s="0" t="s">
        <v>6309</v>
      </c>
    </row>
    <row r="47619" customFormat="false" ht="12.8" hidden="false" customHeight="false" outlineLevel="0" collapsed="false">
      <c r="B47619" s="0" t="s">
        <v>1</v>
      </c>
      <c r="C47619" s="0" t="s">
        <v>6310</v>
      </c>
      <c r="E47619" s="0" t="s">
        <v>206</v>
      </c>
      <c r="F47619" s="0" t="s">
        <v>6311</v>
      </c>
    </row>
    <row r="47620" customFormat="false" ht="12.8" hidden="false" customHeight="false" outlineLevel="0" collapsed="false">
      <c r="B47620" s="0" t="s">
        <v>8</v>
      </c>
      <c r="C47620" s="0" t="s">
        <v>6312</v>
      </c>
      <c r="E47620" s="0" t="s">
        <v>3832</v>
      </c>
      <c r="F47620" s="0" t="s">
        <v>6313</v>
      </c>
    </row>
    <row r="47622" customFormat="false" ht="12.8" hidden="false" customHeight="false" outlineLevel="0" collapsed="false">
      <c r="A47622" s="0" t="s">
        <v>16889</v>
      </c>
      <c r="B47622" s="0" t="str">
        <f aca="false">HYPERLINK("https://lindat.mff.cuni.cz/services/teitok/pdtc10/index.php?action=vallex&amp;frame=v-w10290f2", "svraštět (v-w10290f2)")</f>
        <v>svraštět (v-w10290f2)</v>
      </c>
    </row>
    <row r="47623" customFormat="false" ht="12.8" hidden="false" customHeight="false" outlineLevel="0" collapsed="false">
      <c r="B47623" s="0" t="s">
        <v>1</v>
      </c>
    </row>
    <row r="47624" customFormat="false" ht="12.8" hidden="false" customHeight="false" outlineLevel="0" collapsed="false">
      <c r="B47624" s="0" t="s">
        <v>8</v>
      </c>
    </row>
    <row r="47626" customFormat="false" ht="12.8" hidden="false" customHeight="false" outlineLevel="0" collapsed="false">
      <c r="A47626" s="0" t="s">
        <v>16890</v>
      </c>
      <c r="B47626" s="0" t="str">
        <f aca="false">HYPERLINK("https://lindat.mff.cuni.cz/services/teitok/pdtc10/index.php?action=vallex&amp;frame=v-w6681f1", "svrbit (v-w6681f1)")</f>
        <v>svrbit (v-w6681f1)</v>
      </c>
    </row>
    <row r="47627" customFormat="false" ht="12.8" hidden="false" customHeight="false" outlineLevel="0" collapsed="false">
      <c r="B47627" s="0" t="s">
        <v>264</v>
      </c>
    </row>
    <row r="47628" customFormat="false" ht="12.8" hidden="false" customHeight="false" outlineLevel="0" collapsed="false">
      <c r="B47628" s="0" t="s">
        <v>439</v>
      </c>
    </row>
    <row r="47630" customFormat="false" ht="12.8" hidden="false" customHeight="false" outlineLevel="0" collapsed="false">
      <c r="A47630" s="0" t="s">
        <v>16891</v>
      </c>
      <c r="B47630" s="0" t="str">
        <f aca="false">HYPERLINK("https://lindat.mff.cuni.cz/services/teitok/pdtc10/index.php?action=vallex&amp;frame=v-w6681f2", "svrbit (v-w6681f2)")</f>
        <v>svrbit (v-w6681f2)</v>
      </c>
    </row>
    <row r="47631" customFormat="false" ht="12.8" hidden="false" customHeight="false" outlineLevel="0" collapsed="false">
      <c r="B47631" s="0" t="s">
        <v>264</v>
      </c>
    </row>
    <row r="47632" customFormat="false" ht="12.8" hidden="false" customHeight="false" outlineLevel="0" collapsed="false">
      <c r="B47632" s="0" t="s">
        <v>5</v>
      </c>
    </row>
    <row r="47634" customFormat="false" ht="12.8" hidden="false" customHeight="false" outlineLevel="0" collapsed="false">
      <c r="A47634" s="0" t="s">
        <v>16892</v>
      </c>
      <c r="B47634" s="0" t="str">
        <f aca="false">HYPERLINK("https://lindat.mff.cuni.cz/services/teitok/pdtc10/index.php?action=vallex&amp;frame=v-w6680f1", "svrbět (v-w6680f1)")</f>
        <v>svrbět (v-w6680f1)</v>
      </c>
    </row>
    <row r="47635" customFormat="false" ht="12.8" hidden="false" customHeight="false" outlineLevel="0" collapsed="false">
      <c r="B47635" s="0" t="s">
        <v>264</v>
      </c>
    </row>
    <row r="47636" customFormat="false" ht="12.8" hidden="false" customHeight="false" outlineLevel="0" collapsed="false">
      <c r="B47636" s="0" t="s">
        <v>439</v>
      </c>
    </row>
    <row r="47638" customFormat="false" ht="12.8" hidden="false" customHeight="false" outlineLevel="0" collapsed="false">
      <c r="A47638" s="0" t="s">
        <v>16893</v>
      </c>
      <c r="B47638" s="0" t="str">
        <f aca="false">HYPERLINK("https://lindat.mff.cuni.cz/services/teitok/pdtc10/index.php?action=vallex&amp;frame=v-w6680f2", "svrbět (v-w6680f2)")</f>
        <v>svrbět (v-w6680f2)</v>
      </c>
    </row>
    <row r="47639" customFormat="false" ht="12.8" hidden="false" customHeight="false" outlineLevel="0" collapsed="false">
      <c r="B47639" s="0" t="s">
        <v>264</v>
      </c>
    </row>
    <row r="47640" customFormat="false" ht="12.8" hidden="false" customHeight="false" outlineLevel="0" collapsed="false">
      <c r="B47640" s="0" t="s">
        <v>5</v>
      </c>
    </row>
    <row r="47642" customFormat="false" ht="12.8" hidden="false" customHeight="false" outlineLevel="0" collapsed="false">
      <c r="A47642" s="0" t="s">
        <v>16894</v>
      </c>
      <c r="B47642" s="0" t="str">
        <f aca="false">HYPERLINK("https://lindat.mff.cuni.cz/services/teitok/pdtc10/index.php?action=vallex&amp;frame=v-w6682f1", "svrhnout (v-w6682f1)")</f>
        <v>svrhnout (v-w6682f1)</v>
      </c>
      <c r="E47642" s="0" t="str">
        <f aca="false">HYPERLINK("https://lindat.mff.cuni.cz/services/SynSemClass40/SynSemClass40.html?veclass=vec00380#vec00380-ces-cm00077", "vec00380")</f>
        <v>vec00380</v>
      </c>
      <c r="F47642" s="0" t="s">
        <v>4414</v>
      </c>
    </row>
    <row r="47643" customFormat="false" ht="12.8" hidden="false" customHeight="false" outlineLevel="0" collapsed="false">
      <c r="B47643" s="0" t="s">
        <v>1</v>
      </c>
      <c r="C47643" s="0" t="s">
        <v>4415</v>
      </c>
      <c r="E47643" s="0" t="s">
        <v>4416</v>
      </c>
      <c r="F47643" s="0" t="s">
        <v>4417</v>
      </c>
    </row>
    <row r="47644" customFormat="false" ht="12.8" hidden="false" customHeight="false" outlineLevel="0" collapsed="false">
      <c r="B47644" s="0" t="s">
        <v>8</v>
      </c>
      <c r="C47644" s="0" t="s">
        <v>4418</v>
      </c>
      <c r="E47644" s="0" t="s">
        <v>532</v>
      </c>
      <c r="F47644" s="0" t="s">
        <v>4419</v>
      </c>
    </row>
    <row r="47646" customFormat="false" ht="12.8" hidden="false" customHeight="false" outlineLevel="0" collapsed="false">
      <c r="A47646" s="0" t="s">
        <v>16895</v>
      </c>
      <c r="B47646" s="0" t="str">
        <f aca="false">HYPERLINK("https://lindat.mff.cuni.cz/services/teitok/pdtc10/index.php?action=vallex&amp;frame=v-w6634f3", "svádět (v-w6634f3)")</f>
        <v>svádět (v-w6634f3)</v>
      </c>
    </row>
    <row r="47647" customFormat="false" ht="12.8" hidden="false" customHeight="false" outlineLevel="0" collapsed="false">
      <c r="B47647" s="0" t="s">
        <v>1</v>
      </c>
    </row>
    <row r="47648" customFormat="false" ht="12.8" hidden="false" customHeight="false" outlineLevel="0" collapsed="false">
      <c r="B47648" s="0" t="s">
        <v>8</v>
      </c>
    </row>
    <row r="47649" customFormat="false" ht="12.8" hidden="false" customHeight="false" outlineLevel="0" collapsed="false">
      <c r="B47649" s="0" t="s">
        <v>276</v>
      </c>
    </row>
    <row r="47651" customFormat="false" ht="12.8" hidden="false" customHeight="false" outlineLevel="0" collapsed="false">
      <c r="A47651" s="0" t="s">
        <v>16896</v>
      </c>
      <c r="B47651" s="0" t="str">
        <f aca="false">HYPERLINK("https://lindat.mff.cuni.cz/services/teitok/pdtc10/index.php?action=vallex&amp;frame=v-w6634f2", "svádět (v-w6634f2)")</f>
        <v>svádět (v-w6634f2)</v>
      </c>
      <c r="E47651" s="0" t="str">
        <f aca="false">HYPERLINK("https://lindat.mff.cuni.cz/services/SynSemClass40/SynSemClass40.html?veclass=vec00291#vec00291-ces-cm00020", "vec00291")</f>
        <v>vec00291</v>
      </c>
      <c r="F47651" s="0" t="s">
        <v>10760</v>
      </c>
      <c r="H47651" s="0" t="str">
        <f aca="false">HYPERLINK("https://lindat.mff.cuni.cz/services/SynSemClass40/SynSemClass40.html?veclass=vec00347#vec00347-ces-cm00011", "vec00347")</f>
        <v>vec00347</v>
      </c>
      <c r="I47651" s="0" t="s">
        <v>3748</v>
      </c>
    </row>
    <row r="47652" customFormat="false" ht="12.8" hidden="false" customHeight="false" outlineLevel="0" collapsed="false">
      <c r="B47652" s="0" t="s">
        <v>1</v>
      </c>
      <c r="C47652" s="0" t="s">
        <v>16862</v>
      </c>
      <c r="E47652" s="0" t="s">
        <v>10761</v>
      </c>
      <c r="F47652" s="0" t="s">
        <v>10762</v>
      </c>
      <c r="H47652" s="0" t="s">
        <v>3750</v>
      </c>
      <c r="I47652" s="0" t="s">
        <v>3751</v>
      </c>
    </row>
    <row r="47653" customFormat="false" ht="12.8" hidden="false" customHeight="false" outlineLevel="0" collapsed="false">
      <c r="B47653" s="0" t="s">
        <v>8</v>
      </c>
      <c r="C47653" s="0" t="s">
        <v>16863</v>
      </c>
      <c r="E47653" s="0" t="s">
        <v>1544</v>
      </c>
      <c r="F47653" s="0" t="s">
        <v>10764</v>
      </c>
      <c r="H47653" s="0" t="s">
        <v>2568</v>
      </c>
      <c r="I47653" s="0" t="s">
        <v>3754</v>
      </c>
    </row>
    <row r="47654" customFormat="false" ht="12.8" hidden="false" customHeight="false" outlineLevel="0" collapsed="false">
      <c r="B47654" s="0" t="s">
        <v>2207</v>
      </c>
      <c r="C47654" s="0" t="s">
        <v>16897</v>
      </c>
      <c r="E47654" s="0" t="s">
        <v>16898</v>
      </c>
      <c r="F47654" s="0" t="s">
        <v>16899</v>
      </c>
      <c r="H47654" s="0" t="s">
        <v>16900</v>
      </c>
      <c r="I47654" s="0" t="s">
        <v>16901</v>
      </c>
    </row>
    <row r="47656" customFormat="false" ht="12.8" hidden="false" customHeight="false" outlineLevel="0" collapsed="false">
      <c r="A47656" s="0" t="s">
        <v>16902</v>
      </c>
      <c r="B47656" s="0" t="str">
        <f aca="false">HYPERLINK("https://lindat.mff.cuni.cz/services/teitok/pdtc10/index.php?action=vallex&amp;frame=v-w6634hsa_1316", "svádět (v-w6634hsa_1316)")</f>
        <v>svádět (v-w6634hsa_1316)</v>
      </c>
    </row>
    <row r="47657" customFormat="false" ht="12.8" hidden="false" customHeight="false" outlineLevel="0" collapsed="false">
      <c r="B47657" s="0" t="s">
        <v>1</v>
      </c>
    </row>
    <row r="47658" customFormat="false" ht="12.8" hidden="false" customHeight="false" outlineLevel="0" collapsed="false">
      <c r="B47658" s="0" t="s">
        <v>98</v>
      </c>
    </row>
    <row r="47659" customFormat="false" ht="12.8" hidden="false" customHeight="false" outlineLevel="0" collapsed="false">
      <c r="B47659" s="0" t="s">
        <v>16903</v>
      </c>
    </row>
    <row r="47661" customFormat="false" ht="12.8" hidden="false" customHeight="false" outlineLevel="0" collapsed="false">
      <c r="A47661" s="0" t="s">
        <v>16902</v>
      </c>
      <c r="B47661" s="0" t="str">
        <f aca="false">HYPERLINK("https://lindat.mff.cuni.cz/services/teitok/pdtc10/index.php?action=vallex&amp;frame=v-w6634f1", "svádět (v-w6634f1) - substituted with v-w6634hsa_1316")</f>
        <v>svádět (v-w6634f1) - substituted with v-w6634hsa_1316</v>
      </c>
    </row>
    <row r="47662" customFormat="false" ht="12.8" hidden="false" customHeight="false" outlineLevel="0" collapsed="false">
      <c r="B47662" s="0" t="s">
        <v>1</v>
      </c>
    </row>
    <row r="47663" customFormat="false" ht="12.8" hidden="false" customHeight="false" outlineLevel="0" collapsed="false">
      <c r="B47663" s="0" t="s">
        <v>98</v>
      </c>
    </row>
    <row r="47664" customFormat="false" ht="12.8" hidden="false" customHeight="false" outlineLevel="0" collapsed="false">
      <c r="B47664" s="0" t="s">
        <v>16903</v>
      </c>
    </row>
    <row r="47666" customFormat="false" ht="12.8" hidden="false" customHeight="false" outlineLevel="0" collapsed="false">
      <c r="A47666" s="0" t="s">
        <v>16904</v>
      </c>
      <c r="B47666" s="0" t="str">
        <f aca="false">HYPERLINK("https://lindat.mff.cuni.cz/services/teitok/pdtc10/index.php?action=vallex&amp;frame=v-w6645f2", "svázat (v-w6645f2)")</f>
        <v>svázat (v-w6645f2)</v>
      </c>
      <c r="E47666" s="0" t="str">
        <f aca="false">HYPERLINK("https://lindat.mff.cuni.cz/services/SynSemClass40/SynSemClass40.html?veclass=vec00519#vec00519-ces-cm00015", "vec00519")</f>
        <v>vec00519</v>
      </c>
      <c r="F47666" s="0" t="s">
        <v>12231</v>
      </c>
    </row>
    <row r="47667" customFormat="false" ht="12.8" hidden="false" customHeight="false" outlineLevel="0" collapsed="false">
      <c r="B47667" s="0" t="s">
        <v>1</v>
      </c>
      <c r="C47667" s="0" t="s">
        <v>11624</v>
      </c>
      <c r="E47667" s="0" t="s">
        <v>4850</v>
      </c>
      <c r="F47667" s="0" t="s">
        <v>12232</v>
      </c>
    </row>
    <row r="47668" customFormat="false" ht="12.8" hidden="false" customHeight="false" outlineLevel="0" collapsed="false">
      <c r="B47668" s="0" t="s">
        <v>8</v>
      </c>
      <c r="C47668" s="0" t="s">
        <v>12233</v>
      </c>
      <c r="E47668" s="0" t="s">
        <v>4852</v>
      </c>
      <c r="F47668" s="0" t="s">
        <v>12234</v>
      </c>
    </row>
    <row r="47669" customFormat="false" ht="12.8" hidden="false" customHeight="false" outlineLevel="0" collapsed="false">
      <c r="B47669" s="0" t="s">
        <v>276</v>
      </c>
      <c r="C47669" s="0" t="s">
        <v>12632</v>
      </c>
      <c r="E47669" s="0" t="s">
        <v>4855</v>
      </c>
      <c r="F47669" s="0" t="s">
        <v>12628</v>
      </c>
    </row>
    <row r="47671" customFormat="false" ht="12.8" hidden="false" customHeight="false" outlineLevel="0" collapsed="false">
      <c r="A47671" s="0" t="s">
        <v>16905</v>
      </c>
      <c r="B47671" s="0" t="str">
        <f aca="false">HYPERLINK("https://lindat.mff.cuni.cz/services/teitok/pdtc10/index.php?action=vallex&amp;frame=v-w6645f1", "svázat (v-w6645f1)")</f>
        <v>svázat (v-w6645f1)</v>
      </c>
    </row>
    <row r="47672" customFormat="false" ht="12.8" hidden="false" customHeight="false" outlineLevel="0" collapsed="false">
      <c r="B47672" s="0" t="s">
        <v>1</v>
      </c>
    </row>
    <row r="47673" customFormat="false" ht="12.8" hidden="false" customHeight="false" outlineLevel="0" collapsed="false">
      <c r="B47673" s="0" t="s">
        <v>8</v>
      </c>
    </row>
    <row r="47675" customFormat="false" ht="12.8" hidden="false" customHeight="false" outlineLevel="0" collapsed="false">
      <c r="A47675" s="0" t="s">
        <v>16906</v>
      </c>
      <c r="B47675" s="0" t="str">
        <f aca="false">HYPERLINK("https://lindat.mff.cuni.cz/services/teitok/pdtc10/index.php?action=vallex&amp;frame=v-w6645f3", "svázat (v-w6645f3)")</f>
        <v>svázat (v-w6645f3)</v>
      </c>
      <c r="E47675" s="0" t="str">
        <f aca="false">HYPERLINK("https://lindat.mff.cuni.cz/services/SynSemClass40/SynSemClass40.html?veclass=vec00519#vec00519-ces-cm00040", "vec00519")</f>
        <v>vec00519</v>
      </c>
      <c r="F47675" s="0" t="s">
        <v>12231</v>
      </c>
    </row>
    <row r="47676" customFormat="false" ht="12.8" hidden="false" customHeight="false" outlineLevel="0" collapsed="false">
      <c r="B47676" s="0" t="s">
        <v>1</v>
      </c>
      <c r="C47676" s="0" t="s">
        <v>11624</v>
      </c>
      <c r="E47676" s="0" t="s">
        <v>4850</v>
      </c>
      <c r="F47676" s="0" t="s">
        <v>12232</v>
      </c>
    </row>
    <row r="47677" customFormat="false" ht="12.8" hidden="false" customHeight="false" outlineLevel="0" collapsed="false">
      <c r="B47677" s="0" t="s">
        <v>8</v>
      </c>
      <c r="C47677" s="0" t="s">
        <v>12233</v>
      </c>
      <c r="E47677" s="0" t="s">
        <v>4852</v>
      </c>
      <c r="F47677" s="0" t="s">
        <v>12234</v>
      </c>
    </row>
    <row r="47679" customFormat="false" ht="12.8" hidden="false" customHeight="false" outlineLevel="0" collapsed="false">
      <c r="A47679" s="0" t="s">
        <v>16907</v>
      </c>
      <c r="B47679" s="0" t="str">
        <f aca="false">HYPERLINK("https://lindat.mff.cuni.cz/services/teitok/pdtc10/index.php?action=vallex&amp;frame=v-w6645f4_MM", "svázat (v-w6645f4_MM)")</f>
        <v>svázat (v-w6645f4_MM)</v>
      </c>
    </row>
    <row r="47680" customFormat="false" ht="12.8" hidden="false" customHeight="false" outlineLevel="0" collapsed="false">
      <c r="B47680" s="0" t="s">
        <v>1</v>
      </c>
    </row>
    <row r="47681" customFormat="false" ht="12.8" hidden="false" customHeight="false" outlineLevel="0" collapsed="false">
      <c r="B47681" s="0" t="s">
        <v>8</v>
      </c>
    </row>
    <row r="47682" customFormat="false" ht="12.8" hidden="false" customHeight="false" outlineLevel="0" collapsed="false">
      <c r="B47682" s="0" t="s">
        <v>36</v>
      </c>
    </row>
    <row r="47684" customFormat="false" ht="12.8" hidden="false" customHeight="false" outlineLevel="0" collapsed="false">
      <c r="A47684" s="0" t="s">
        <v>16908</v>
      </c>
      <c r="B47684" s="0" t="str">
        <f aca="false">HYPERLINK("https://lindat.mff.cuni.cz/services/teitok/pdtc10/index.php?action=vallex&amp;frame=v-w6638f1", "svářet (v-w6638f1)")</f>
        <v>svářet (v-w6638f1)</v>
      </c>
    </row>
    <row r="47685" customFormat="false" ht="12.8" hidden="false" customHeight="false" outlineLevel="0" collapsed="false">
      <c r="B47685" s="0" t="s">
        <v>1</v>
      </c>
    </row>
    <row r="47686" customFormat="false" ht="12.8" hidden="false" customHeight="false" outlineLevel="0" collapsed="false">
      <c r="B47686" s="0" t="s">
        <v>8</v>
      </c>
    </row>
    <row r="47688" customFormat="false" ht="12.8" hidden="false" customHeight="false" outlineLevel="0" collapsed="false">
      <c r="A47688" s="0" t="s">
        <v>16909</v>
      </c>
      <c r="B47688" s="0" t="str">
        <f aca="false">HYPERLINK("https://lindat.mff.cuni.cz/services/teitok/pdtc10/index.php?action=vallex&amp;frame=v-w6649f1", "svážet (v-w6649f1)")</f>
        <v>svážet (v-w6649f1)</v>
      </c>
    </row>
    <row r="47689" customFormat="false" ht="12.8" hidden="false" customHeight="false" outlineLevel="0" collapsed="false">
      <c r="B47689" s="0" t="s">
        <v>1</v>
      </c>
    </row>
    <row r="47690" customFormat="false" ht="12.8" hidden="false" customHeight="false" outlineLevel="0" collapsed="false">
      <c r="B47690" s="0" t="s">
        <v>8</v>
      </c>
    </row>
    <row r="47691" customFormat="false" ht="12.8" hidden="false" customHeight="false" outlineLevel="0" collapsed="false">
      <c r="B47691" s="0" t="s">
        <v>164</v>
      </c>
    </row>
    <row r="47693" customFormat="false" ht="12.8" hidden="false" customHeight="false" outlineLevel="0" collapsed="false">
      <c r="A47693" s="0" t="s">
        <v>16910</v>
      </c>
      <c r="B47693" s="0" t="str">
        <f aca="false">HYPERLINK("https://lindat.mff.cuni.cz/services/teitok/pdtc10/index.php?action=vallex&amp;frame=v-w6663f2", "svést (v-w6663f2)")</f>
        <v>svést (v-w6663f2)</v>
      </c>
    </row>
    <row r="47694" customFormat="false" ht="12.8" hidden="false" customHeight="false" outlineLevel="0" collapsed="false">
      <c r="B47694" s="0" t="s">
        <v>1</v>
      </c>
    </row>
    <row r="47695" customFormat="false" ht="12.8" hidden="false" customHeight="false" outlineLevel="0" collapsed="false">
      <c r="B47695" s="0" t="s">
        <v>8</v>
      </c>
    </row>
    <row r="47696" customFormat="false" ht="12.8" hidden="false" customHeight="false" outlineLevel="0" collapsed="false">
      <c r="B47696" s="0" t="s">
        <v>162</v>
      </c>
    </row>
    <row r="47698" customFormat="false" ht="12.8" hidden="false" customHeight="false" outlineLevel="0" collapsed="false">
      <c r="A47698" s="0" t="s">
        <v>16911</v>
      </c>
      <c r="B47698" s="0" t="str">
        <f aca="false">HYPERLINK("https://lindat.mff.cuni.cz/services/teitok/pdtc10/index.php?action=vallex&amp;frame=v-w6663f4", "svést (v-w6663f4)")</f>
        <v>svést (v-w6663f4)</v>
      </c>
    </row>
    <row r="47699" customFormat="false" ht="12.8" hidden="false" customHeight="false" outlineLevel="0" collapsed="false">
      <c r="B47699" s="0" t="s">
        <v>1</v>
      </c>
    </row>
    <row r="47700" customFormat="false" ht="12.8" hidden="false" customHeight="false" outlineLevel="0" collapsed="false">
      <c r="B47700" s="0" t="s">
        <v>8</v>
      </c>
    </row>
    <row r="47701" customFormat="false" ht="12.8" hidden="false" customHeight="false" outlineLevel="0" collapsed="false">
      <c r="B47701" s="0" t="s">
        <v>276</v>
      </c>
    </row>
    <row r="47703" customFormat="false" ht="12.8" hidden="false" customHeight="false" outlineLevel="0" collapsed="false">
      <c r="A47703" s="0" t="s">
        <v>16912</v>
      </c>
      <c r="B47703" s="0" t="str">
        <f aca="false">HYPERLINK("https://lindat.mff.cuni.cz/services/teitok/pdtc10/index.php?action=vallex&amp;frame=v-w6663f1", "svést (v-w6663f1)")</f>
        <v>svést (v-w6663f1)</v>
      </c>
    </row>
    <row r="47704" customFormat="false" ht="12.8" hidden="false" customHeight="false" outlineLevel="0" collapsed="false">
      <c r="B47704" s="0" t="s">
        <v>1</v>
      </c>
    </row>
    <row r="47705" customFormat="false" ht="12.8" hidden="false" customHeight="false" outlineLevel="0" collapsed="false">
      <c r="B47705" s="0" t="s">
        <v>1501</v>
      </c>
    </row>
    <row r="47707" customFormat="false" ht="12.8" hidden="false" customHeight="false" outlineLevel="0" collapsed="false">
      <c r="A47707" s="0" t="s">
        <v>16913</v>
      </c>
      <c r="B47707" s="0" t="str">
        <f aca="false">HYPERLINK("https://lindat.mff.cuni.cz/services/teitok/pdtc10/index.php?action=vallex&amp;frame=v-w6663f3", "svést (v-w6663f3)")</f>
        <v>svést (v-w6663f3)</v>
      </c>
      <c r="E47707" s="0" t="str">
        <f aca="false">HYPERLINK("https://lindat.mff.cuni.cz/services/SynSemClass40/SynSemClass40.html?veclass=vec00286#vec00286-ces-cm00045", "vec00286")</f>
        <v>vec00286</v>
      </c>
      <c r="F47707" s="0" t="s">
        <v>6106</v>
      </c>
    </row>
    <row r="47708" customFormat="false" ht="12.8" hidden="false" customHeight="false" outlineLevel="0" collapsed="false">
      <c r="B47708" s="0" t="s">
        <v>1</v>
      </c>
      <c r="C47708" s="0" t="s">
        <v>6107</v>
      </c>
      <c r="E47708" s="0" t="s">
        <v>6108</v>
      </c>
      <c r="F47708" s="0" t="s">
        <v>6109</v>
      </c>
    </row>
    <row r="47709" customFormat="false" ht="12.8" hidden="false" customHeight="false" outlineLevel="0" collapsed="false">
      <c r="B47709" s="0" t="s">
        <v>98</v>
      </c>
      <c r="C47709" s="0" t="s">
        <v>6110</v>
      </c>
      <c r="E47709" s="0" t="s">
        <v>6111</v>
      </c>
      <c r="F47709" s="0" t="s">
        <v>6112</v>
      </c>
    </row>
    <row r="47710" customFormat="false" ht="12.8" hidden="false" customHeight="false" outlineLevel="0" collapsed="false">
      <c r="B47710" s="0" t="s">
        <v>99</v>
      </c>
      <c r="C47710" s="0" t="s">
        <v>6113</v>
      </c>
      <c r="E47710" s="0" t="s">
        <v>523</v>
      </c>
      <c r="F47710" s="0" t="s">
        <v>6114</v>
      </c>
    </row>
    <row r="47712" customFormat="false" ht="12.8" hidden="false" customHeight="false" outlineLevel="0" collapsed="false">
      <c r="A47712" s="0" t="s">
        <v>16914</v>
      </c>
      <c r="B47712" s="0" t="str">
        <f aca="false">HYPERLINK("https://lindat.mff.cuni.cz/services/teitok/pdtc10/index.php?action=vallex&amp;frame=v-w6663hsa_770", "svést (v-w6663hsa_770)")</f>
        <v>svést (v-w6663hsa_770)</v>
      </c>
    </row>
    <row r="47713" customFormat="false" ht="12.8" hidden="false" customHeight="false" outlineLevel="0" collapsed="false">
      <c r="B47713" s="0" t="s">
        <v>1</v>
      </c>
    </row>
    <row r="47714" customFormat="false" ht="12.8" hidden="false" customHeight="false" outlineLevel="0" collapsed="false">
      <c r="B47714" s="0" t="s">
        <v>8</v>
      </c>
    </row>
    <row r="47715" customFormat="false" ht="12.8" hidden="false" customHeight="false" outlineLevel="0" collapsed="false">
      <c r="B47715" s="0" t="s">
        <v>164</v>
      </c>
    </row>
    <row r="47717" customFormat="false" ht="12.8" hidden="false" customHeight="false" outlineLevel="0" collapsed="false">
      <c r="A47717" s="0" t="s">
        <v>16915</v>
      </c>
      <c r="B47717" s="0" t="str">
        <f aca="false">HYPERLINK("https://lindat.mff.cuni.cz/services/teitok/pdtc10/index.php?action=vallex&amp;frame=v-w6665f1", "svézt (v-w6665f1)")</f>
        <v>svézt (v-w6665f1)</v>
      </c>
    </row>
    <row r="47718" customFormat="false" ht="12.8" hidden="false" customHeight="false" outlineLevel="0" collapsed="false">
      <c r="B47718" s="0" t="s">
        <v>1</v>
      </c>
    </row>
    <row r="47719" customFormat="false" ht="12.8" hidden="false" customHeight="false" outlineLevel="0" collapsed="false">
      <c r="B47719" s="0" t="s">
        <v>8</v>
      </c>
    </row>
    <row r="47720" customFormat="false" ht="12.8" hidden="false" customHeight="false" outlineLevel="0" collapsed="false">
      <c r="B47720" s="0" t="s">
        <v>164</v>
      </c>
    </row>
    <row r="47722" customFormat="false" ht="12.8" hidden="false" customHeight="false" outlineLevel="0" collapsed="false">
      <c r="A47722" s="0" t="s">
        <v>16916</v>
      </c>
      <c r="B47722" s="0" t="str">
        <f aca="false">HYPERLINK("https://lindat.mff.cuni.cz/services/teitok/pdtc10/index.php?action=vallex&amp;frame=v-w6665hsa_421", "svézt (v-w6665hsa_421)")</f>
        <v>svézt (v-w6665hsa_421)</v>
      </c>
    </row>
    <row r="47723" customFormat="false" ht="12.8" hidden="false" customHeight="false" outlineLevel="0" collapsed="false">
      <c r="B47723" s="0" t="s">
        <v>1</v>
      </c>
    </row>
    <row r="47724" customFormat="false" ht="12.8" hidden="false" customHeight="false" outlineLevel="0" collapsed="false">
      <c r="B47724" s="0" t="s">
        <v>8</v>
      </c>
    </row>
    <row r="47726" customFormat="false" ht="12.8" hidden="false" customHeight="false" outlineLevel="0" collapsed="false">
      <c r="A47726" s="0" t="s">
        <v>16917</v>
      </c>
      <c r="B47726" s="0" t="str">
        <f aca="false">HYPERLINK("https://lindat.mff.cuni.cz/services/teitok/pdtc10/index.php?action=vallex&amp;frame=v-w6665hsa_422", "svézt (v-w6665hsa_422)")</f>
        <v>svézt (v-w6665hsa_422)</v>
      </c>
    </row>
    <row r="47727" customFormat="false" ht="12.8" hidden="false" customHeight="false" outlineLevel="0" collapsed="false">
      <c r="B47727" s="0" t="s">
        <v>1</v>
      </c>
    </row>
    <row r="47728" customFormat="false" ht="12.8" hidden="false" customHeight="false" outlineLevel="0" collapsed="false">
      <c r="B47728" s="0" t="s">
        <v>8</v>
      </c>
    </row>
    <row r="47729" customFormat="false" ht="12.8" hidden="false" customHeight="false" outlineLevel="0" collapsed="false">
      <c r="B47729" s="0" t="s">
        <v>162</v>
      </c>
    </row>
    <row r="47731" customFormat="false" ht="12.8" hidden="false" customHeight="false" outlineLevel="0" collapsed="false">
      <c r="A47731" s="0" t="s">
        <v>16918</v>
      </c>
      <c r="B47731" s="0" t="str">
        <f aca="false">HYPERLINK("https://lindat.mff.cuni.cz/services/teitok/pdtc10/index.php?action=vallex&amp;frame=v-w6666f2", "svézt se (v-w6666f2)")</f>
        <v>svézt se (v-w6666f2)</v>
      </c>
    </row>
    <row r="47732" customFormat="false" ht="12.8" hidden="false" customHeight="false" outlineLevel="0" collapsed="false">
      <c r="B47732" s="0" t="s">
        <v>1</v>
      </c>
    </row>
    <row r="47733" customFormat="false" ht="12.8" hidden="false" customHeight="false" outlineLevel="0" collapsed="false">
      <c r="B47733" s="0" t="s">
        <v>721</v>
      </c>
    </row>
    <row r="47735" customFormat="false" ht="12.8" hidden="false" customHeight="false" outlineLevel="0" collapsed="false">
      <c r="A47735" s="0" t="s">
        <v>16919</v>
      </c>
      <c r="B47735" s="0" t="str">
        <f aca="false">HYPERLINK("https://lindat.mff.cuni.cz/services/teitok/pdtc10/index.php?action=vallex&amp;frame=v-w6666f1", "svézt se (v-w6666f1)")</f>
        <v>svézt se (v-w6666f1)</v>
      </c>
    </row>
    <row r="47736" customFormat="false" ht="12.8" hidden="false" customHeight="false" outlineLevel="0" collapsed="false">
      <c r="B47736" s="0" t="s">
        <v>1</v>
      </c>
    </row>
    <row r="47738" customFormat="false" ht="12.8" hidden="false" customHeight="false" outlineLevel="0" collapsed="false">
      <c r="A47738" s="0" t="s">
        <v>16920</v>
      </c>
      <c r="B47738" s="0" t="str">
        <f aca="false">HYPERLINK("https://lindat.mff.cuni.cz/services/teitok/pdtc10/index.php?action=vallex&amp;frame=v-w11348f1", "svíjet se (v-w11348f1)")</f>
        <v>svíjet se (v-w11348f1)</v>
      </c>
    </row>
    <row r="47739" customFormat="false" ht="12.8" hidden="false" customHeight="false" outlineLevel="0" collapsed="false">
      <c r="B47739" s="0" t="s">
        <v>1</v>
      </c>
    </row>
    <row r="47741" customFormat="false" ht="12.8" hidden="false" customHeight="false" outlineLevel="0" collapsed="false">
      <c r="A47741" s="0" t="s">
        <v>16921</v>
      </c>
      <c r="B47741" s="0" t="str">
        <f aca="false">HYPERLINK("https://lindat.mff.cuni.cz/services/teitok/pdtc10/index.php?action=vallex&amp;frame=v-w6667f2", "svírat (v-w6667f2)")</f>
        <v>svírat (v-w6667f2)</v>
      </c>
    </row>
    <row r="47742" customFormat="false" ht="12.8" hidden="false" customHeight="false" outlineLevel="0" collapsed="false">
      <c r="B47742" s="0" t="s">
        <v>1</v>
      </c>
    </row>
    <row r="47743" customFormat="false" ht="12.8" hidden="false" customHeight="false" outlineLevel="0" collapsed="false">
      <c r="B47743" s="0" t="s">
        <v>8</v>
      </c>
    </row>
    <row r="47745" customFormat="false" ht="12.8" hidden="false" customHeight="false" outlineLevel="0" collapsed="false">
      <c r="A47745" s="0" t="s">
        <v>16922</v>
      </c>
      <c r="B47745" s="0" t="str">
        <f aca="false">HYPERLINK("https://lindat.mff.cuni.cz/services/teitok/pdtc10/index.php?action=vallex&amp;frame=v-w6667f1", "svírat (v-w6667f1)")</f>
        <v>svírat (v-w6667f1)</v>
      </c>
      <c r="E47745" s="0" t="str">
        <f aca="false">HYPERLINK("https://lindat.mff.cuni.cz/services/SynSemClass40/SynSemClass40.html?veclass=vec00728#vec00728-ces-cm00024", "vec00728")</f>
        <v>vec00728</v>
      </c>
      <c r="F47745" s="0" t="s">
        <v>11084</v>
      </c>
      <c r="H47745" s="0" t="str">
        <f aca="false">HYPERLINK("https://lindat.mff.cuni.cz/services/SynSemClass40/SynSemClass40.html?veclass=vec01396#vec01396-ces-cm00006", "vec01396")</f>
        <v>vec01396</v>
      </c>
      <c r="I47745" s="0" t="s">
        <v>3257</v>
      </c>
      <c r="K47745" s="0" t="str">
        <f aca="false">HYPERLINK("https://lindat.mff.cuni.cz/services/SynSemClass40/SynSemClass40.html?veclass=vec01409#vec01409-ces-cm00004", "vec01409")</f>
        <v>vec01409</v>
      </c>
      <c r="L47745" s="0" t="s">
        <v>8333</v>
      </c>
    </row>
    <row r="47746" customFormat="false" ht="12.8" hidden="false" customHeight="false" outlineLevel="0" collapsed="false">
      <c r="B47746" s="0" t="s">
        <v>1</v>
      </c>
      <c r="C47746" s="0" t="s">
        <v>15755</v>
      </c>
      <c r="E47746" s="0" t="s">
        <v>4581</v>
      </c>
      <c r="F47746" s="0" t="s">
        <v>11085</v>
      </c>
      <c r="H47746" s="0" t="s">
        <v>11</v>
      </c>
      <c r="I47746" s="0" t="s">
        <v>3259</v>
      </c>
      <c r="K47746" s="0" t="s">
        <v>31</v>
      </c>
      <c r="L47746" s="0" t="s">
        <v>2437</v>
      </c>
    </row>
    <row r="47747" customFormat="false" ht="12.8" hidden="false" customHeight="false" outlineLevel="0" collapsed="false">
      <c r="B47747" s="0" t="s">
        <v>8</v>
      </c>
      <c r="C47747" s="0" t="s">
        <v>15756</v>
      </c>
      <c r="E47747" s="0" t="s">
        <v>34</v>
      </c>
      <c r="F47747" s="0" t="s">
        <v>15757</v>
      </c>
      <c r="H47747" s="0" t="s">
        <v>514</v>
      </c>
      <c r="I47747" s="0" t="s">
        <v>3261</v>
      </c>
      <c r="K47747" s="0" t="s">
        <v>142</v>
      </c>
      <c r="L47747" s="0" t="s">
        <v>8334</v>
      </c>
    </row>
    <row r="47749" customFormat="false" ht="12.8" hidden="false" customHeight="false" outlineLevel="0" collapsed="false">
      <c r="A47749" s="0" t="s">
        <v>16923</v>
      </c>
      <c r="B47749" s="0" t="str">
        <f aca="false">HYPERLINK("https://lindat.mff.cuni.cz/services/teitok/pdtc10/index.php?action=vallex&amp;frame=v-w6667f3_ZU", "svírat (v-w6667f3_ZU)")</f>
        <v>svírat (v-w6667f3_ZU)</v>
      </c>
    </row>
    <row r="47750" customFormat="false" ht="12.8" hidden="false" customHeight="false" outlineLevel="0" collapsed="false">
      <c r="B47750" s="0" t="s">
        <v>1</v>
      </c>
    </row>
    <row r="47751" customFormat="false" ht="12.8" hidden="false" customHeight="false" outlineLevel="0" collapsed="false">
      <c r="B47751" s="0" t="s">
        <v>8</v>
      </c>
    </row>
    <row r="47753" customFormat="false" ht="12.8" hidden="false" customHeight="false" outlineLevel="0" collapsed="false">
      <c r="A47753" s="0" t="s">
        <v>16923</v>
      </c>
      <c r="B47753" s="0" t="str">
        <f aca="false">HYPERLINK("https://lindat.mff.cuni.cz/services/teitok/pdtc10/index.php?action=vallex&amp;frame=v-w6667hsa_431", "svírat (v-w6667hsa_431) - substituted with v-w6667f3_ZU")</f>
        <v>svírat (v-w6667hsa_431) - substituted with v-w6667f3_ZU</v>
      </c>
    </row>
    <row r="47754" customFormat="false" ht="12.8" hidden="false" customHeight="false" outlineLevel="0" collapsed="false">
      <c r="B47754" s="0" t="s">
        <v>1</v>
      </c>
    </row>
    <row r="47755" customFormat="false" ht="12.8" hidden="false" customHeight="false" outlineLevel="0" collapsed="false">
      <c r="B47755" s="0" t="s">
        <v>8</v>
      </c>
    </row>
    <row r="47757" customFormat="false" ht="12.8" hidden="false" customHeight="false" outlineLevel="0" collapsed="false">
      <c r="A47757" s="0" t="s">
        <v>16924</v>
      </c>
      <c r="B47757" s="0" t="str">
        <f aca="false">HYPERLINK("https://lindat.mff.cuni.cz/services/teitok/pdtc10/index.php?action=vallex&amp;frame=v-w6669f2", "svítat (v-w6669f2)")</f>
        <v>svítat (v-w6669f2)</v>
      </c>
    </row>
    <row r="47758" customFormat="false" ht="12.8" hidden="false" customHeight="false" outlineLevel="0" collapsed="false">
      <c r="B47758" s="0" t="s">
        <v>1</v>
      </c>
    </row>
    <row r="47760" customFormat="false" ht="12.8" hidden="false" customHeight="false" outlineLevel="0" collapsed="false">
      <c r="A47760" s="0" t="s">
        <v>16925</v>
      </c>
      <c r="B47760" s="0" t="str">
        <f aca="false">HYPERLINK("https://lindat.mff.cuni.cz/services/teitok/pdtc10/index.php?action=vallex&amp;frame=v-w6669f1", "svítat (v-w6669f1)")</f>
        <v>svítat (v-w6669f1)</v>
      </c>
    </row>
    <row r="47762" customFormat="false" ht="12.8" hidden="false" customHeight="false" outlineLevel="0" collapsed="false">
      <c r="A47762" s="0" t="s">
        <v>16926</v>
      </c>
      <c r="B47762" s="0" t="str">
        <f aca="false">HYPERLINK("https://lindat.mff.cuni.cz/services/teitok/pdtc10/index.php?action=vallex&amp;frame=v-w6670f1", "svítit (v-w6670f1)")</f>
        <v>svítit (v-w6670f1)</v>
      </c>
    </row>
    <row r="47763" customFormat="false" ht="12.8" hidden="false" customHeight="false" outlineLevel="0" collapsed="false">
      <c r="B47763" s="0" t="s">
        <v>1</v>
      </c>
    </row>
    <row r="47765" customFormat="false" ht="12.8" hidden="false" customHeight="false" outlineLevel="0" collapsed="false">
      <c r="A47765" s="0" t="s">
        <v>16927</v>
      </c>
      <c r="B47765" s="0" t="str">
        <f aca="false">HYPERLINK("https://lindat.mff.cuni.cz/services/teitok/pdtc10/index.php?action=vallex&amp;frame=v-w6670hsa_129", "svítit (v-w6670hsa_129)")</f>
        <v>svítit (v-w6670hsa_129)</v>
      </c>
    </row>
    <row r="47766" customFormat="false" ht="12.8" hidden="false" customHeight="false" outlineLevel="0" collapsed="false">
      <c r="B47766" s="0" t="s">
        <v>1</v>
      </c>
    </row>
    <row r="47768" customFormat="false" ht="12.8" hidden="false" customHeight="false" outlineLevel="0" collapsed="false">
      <c r="A47768" s="0" t="s">
        <v>16928</v>
      </c>
      <c r="B47768" s="0" t="str">
        <f aca="false">HYPERLINK("https://lindat.mff.cuni.cz/services/teitok/pdtc10/index.php?action=vallex&amp;frame=v-w11758_ZUf2_MM", "svědit (v-w11758_ZUf2_MM)")</f>
        <v>svědit (v-w11758_ZUf2_MM)</v>
      </c>
    </row>
    <row r="47769" customFormat="false" ht="12.8" hidden="false" customHeight="false" outlineLevel="0" collapsed="false">
      <c r="B47769" s="0" t="s">
        <v>264</v>
      </c>
    </row>
    <row r="47770" customFormat="false" ht="12.8" hidden="false" customHeight="false" outlineLevel="0" collapsed="false">
      <c r="B47770" s="0" t="s">
        <v>5</v>
      </c>
    </row>
    <row r="47771" customFormat="false" ht="12.8" hidden="false" customHeight="false" outlineLevel="0" collapsed="false">
      <c r="B47771" s="0" t="s">
        <v>16929</v>
      </c>
    </row>
    <row r="47773" customFormat="false" ht="12.8" hidden="false" customHeight="false" outlineLevel="0" collapsed="false">
      <c r="A47773" s="0" t="s">
        <v>16928</v>
      </c>
      <c r="B47773" s="0" t="str">
        <f aca="false">HYPERLINK("https://lindat.mff.cuni.cz/services/teitok/pdtc10/index.php?action=vallex&amp;frame=v-w11758_ZUf1_ZU", "svědit (v-w11758_ZUf1_ZU) - substituted with v-w11758_ZUf2_MM")</f>
        <v>svědit (v-w11758_ZUf1_ZU) - substituted with v-w11758_ZUf2_MM</v>
      </c>
    </row>
    <row r="47774" customFormat="false" ht="12.8" hidden="false" customHeight="false" outlineLevel="0" collapsed="false">
      <c r="B47774" s="0" t="s">
        <v>264</v>
      </c>
    </row>
    <row r="47775" customFormat="false" ht="12.8" hidden="false" customHeight="false" outlineLevel="0" collapsed="false">
      <c r="B47775" s="0" t="s">
        <v>5</v>
      </c>
    </row>
    <row r="47776" customFormat="false" ht="12.8" hidden="false" customHeight="false" outlineLevel="0" collapsed="false">
      <c r="B47776" s="0" t="s">
        <v>16929</v>
      </c>
    </row>
    <row r="47778" customFormat="false" ht="12.8" hidden="false" customHeight="false" outlineLevel="0" collapsed="false">
      <c r="A47778" s="0" t="s">
        <v>16930</v>
      </c>
      <c r="B47778" s="0" t="str">
        <f aca="false">HYPERLINK("https://lindat.mff.cuni.cz/services/teitok/pdtc10/index.php?action=vallex&amp;frame=v-w6652f2", "svědčit (v-w6652f2)")</f>
        <v>svědčit (v-w6652f2)</v>
      </c>
    </row>
    <row r="47779" customFormat="false" ht="12.8" hidden="false" customHeight="false" outlineLevel="0" collapsed="false">
      <c r="B47779" s="0" t="s">
        <v>1181</v>
      </c>
    </row>
    <row r="47780" customFormat="false" ht="12.8" hidden="false" customHeight="false" outlineLevel="0" collapsed="false">
      <c r="B47780" s="0" t="s">
        <v>186</v>
      </c>
    </row>
    <row r="47782" customFormat="false" ht="12.8" hidden="false" customHeight="false" outlineLevel="0" collapsed="false">
      <c r="A47782" s="0" t="s">
        <v>16931</v>
      </c>
      <c r="B47782" s="0" t="str">
        <f aca="false">HYPERLINK("https://lindat.mff.cuni.cz/services/teitok/pdtc10/index.php?action=vallex&amp;frame=v-w6652f1", "svědčit (v-w6652f1)")</f>
        <v>svědčit (v-w6652f1)</v>
      </c>
    </row>
    <row r="47783" customFormat="false" ht="12.8" hidden="false" customHeight="false" outlineLevel="0" collapsed="false">
      <c r="B47783" s="0" t="s">
        <v>1</v>
      </c>
    </row>
    <row r="47784" customFormat="false" ht="12.8" hidden="false" customHeight="false" outlineLevel="0" collapsed="false">
      <c r="B47784" s="0" t="s">
        <v>318</v>
      </c>
    </row>
    <row r="47786" customFormat="false" ht="12.8" hidden="false" customHeight="false" outlineLevel="0" collapsed="false">
      <c r="A47786" s="0" t="s">
        <v>16932</v>
      </c>
      <c r="B47786" s="0" t="str">
        <f aca="false">HYPERLINK("https://lindat.mff.cuni.cz/services/teitok/pdtc10/index.php?action=vallex&amp;frame=v-w6652f4_ZU", "svědčit (v-w6652f4_ZU)")</f>
        <v>svědčit (v-w6652f4_ZU)</v>
      </c>
      <c r="E47786" s="0" t="str">
        <f aca="false">HYPERLINK("https://lindat.mff.cuni.cz/services/SynSemClass40/SynSemClass40.html?veclass=vec00561#vec00561-ces-cm00004", "vec00561")</f>
        <v>vec00561</v>
      </c>
      <c r="F47786" s="0" t="s">
        <v>4530</v>
      </c>
    </row>
    <row r="47787" customFormat="false" ht="12.8" hidden="false" customHeight="false" outlineLevel="0" collapsed="false">
      <c r="B47787" s="0" t="s">
        <v>1</v>
      </c>
      <c r="C47787" s="0" t="s">
        <v>4471</v>
      </c>
      <c r="E47787" s="0" t="s">
        <v>147</v>
      </c>
      <c r="F47787" s="0" t="s">
        <v>4531</v>
      </c>
    </row>
    <row r="47788" customFormat="false" ht="12.8" hidden="false" customHeight="false" outlineLevel="0" collapsed="false">
      <c r="B47788" s="0" t="s">
        <v>16933</v>
      </c>
      <c r="C47788" s="0" t="s">
        <v>4533</v>
      </c>
      <c r="E47788" s="0" t="s">
        <v>1732</v>
      </c>
      <c r="F47788" s="0" t="s">
        <v>4534</v>
      </c>
    </row>
    <row r="47790" customFormat="false" ht="12.8" hidden="false" customHeight="false" outlineLevel="0" collapsed="false">
      <c r="A47790" s="0" t="s">
        <v>16932</v>
      </c>
      <c r="B47790" s="0" t="str">
        <f aca="false">HYPERLINK("https://lindat.mff.cuni.cz/services/teitok/pdtc10/index.php?action=vallex&amp;frame=v-w6652f3", "svědčit (v-w6652f3) - substituted with v-w6652f4_ZU")</f>
        <v>svědčit (v-w6652f3) - substituted with v-w6652f4_ZU</v>
      </c>
    </row>
    <row r="47791" customFormat="false" ht="12.8" hidden="false" customHeight="false" outlineLevel="0" collapsed="false">
      <c r="B47791" s="0" t="s">
        <v>1</v>
      </c>
    </row>
    <row r="47792" customFormat="false" ht="12.8" hidden="false" customHeight="false" outlineLevel="0" collapsed="false">
      <c r="B47792" s="0" t="s">
        <v>16933</v>
      </c>
    </row>
    <row r="47794" customFormat="false" ht="12.8" hidden="false" customHeight="false" outlineLevel="0" collapsed="false">
      <c r="A47794" s="0" t="s">
        <v>16934</v>
      </c>
      <c r="B47794" s="0" t="str">
        <f aca="false">HYPERLINK("https://lindat.mff.cuni.cz/services/teitok/pdtc10/index.php?action=vallex&amp;frame=v-w6652f5_ZU", "svědčit (v-w6652f5_ZU)")</f>
        <v>svědčit (v-w6652f5_ZU)</v>
      </c>
    </row>
    <row r="47795" customFormat="false" ht="12.8" hidden="false" customHeight="false" outlineLevel="0" collapsed="false">
      <c r="B47795" s="0" t="s">
        <v>1</v>
      </c>
    </row>
    <row r="47796" customFormat="false" ht="12.8" hidden="false" customHeight="false" outlineLevel="0" collapsed="false">
      <c r="B47796" s="0" t="s">
        <v>157</v>
      </c>
    </row>
    <row r="47798" customFormat="false" ht="12.8" hidden="false" customHeight="false" outlineLevel="0" collapsed="false">
      <c r="A47798" s="0" t="s">
        <v>16935</v>
      </c>
      <c r="B47798" s="0" t="str">
        <f aca="false">HYPERLINK("https://lindat.mff.cuni.cz/services/teitok/pdtc10/index.php?action=vallex&amp;frame=v-w6656f1", "svědět (v-w6656f1)")</f>
        <v>svědět (v-w6656f1)</v>
      </c>
    </row>
    <row r="47799" customFormat="false" ht="12.8" hidden="false" customHeight="false" outlineLevel="0" collapsed="false">
      <c r="B47799" s="0" t="s">
        <v>264</v>
      </c>
    </row>
    <row r="47800" customFormat="false" ht="12.8" hidden="false" customHeight="false" outlineLevel="0" collapsed="false">
      <c r="B47800" s="0" t="s">
        <v>439</v>
      </c>
    </row>
    <row r="47802" customFormat="false" ht="12.8" hidden="false" customHeight="false" outlineLevel="0" collapsed="false">
      <c r="A47802" s="0" t="s">
        <v>16936</v>
      </c>
      <c r="B47802" s="0" t="str">
        <f aca="false">HYPERLINK("https://lindat.mff.cuni.cz/services/teitok/pdtc10/index.php?action=vallex&amp;frame=v-w6656f2", "svědět (v-w6656f2)")</f>
        <v>svědět (v-w6656f2)</v>
      </c>
    </row>
    <row r="47803" customFormat="false" ht="12.8" hidden="false" customHeight="false" outlineLevel="0" collapsed="false">
      <c r="B47803" s="0" t="s">
        <v>264</v>
      </c>
    </row>
    <row r="47804" customFormat="false" ht="12.8" hidden="false" customHeight="false" outlineLevel="0" collapsed="false">
      <c r="B47804" s="0" t="s">
        <v>5</v>
      </c>
    </row>
    <row r="47806" customFormat="false" ht="12.8" hidden="false" customHeight="false" outlineLevel="0" collapsed="false">
      <c r="A47806" s="0" t="s">
        <v>16937</v>
      </c>
      <c r="B47806" s="0" t="str">
        <f aca="false">HYPERLINK("https://lindat.mff.cuni.cz/services/teitok/pdtc10/index.php?action=vallex&amp;frame=v-whsa_925f1_ZU", "světit (v-whsa_925f1_ZU)")</f>
        <v>světit (v-whsa_925f1_ZU)</v>
      </c>
    </row>
    <row r="47807" customFormat="false" ht="12.8" hidden="false" customHeight="false" outlineLevel="0" collapsed="false">
      <c r="B47807" s="0" t="s">
        <v>1</v>
      </c>
    </row>
    <row r="47808" customFormat="false" ht="12.8" hidden="false" customHeight="false" outlineLevel="0" collapsed="false">
      <c r="B47808" s="0" t="s">
        <v>8</v>
      </c>
    </row>
    <row r="47810" customFormat="false" ht="12.8" hidden="false" customHeight="false" outlineLevel="0" collapsed="false">
      <c r="A47810" s="0" t="s">
        <v>16937</v>
      </c>
      <c r="B47810" s="0" t="str">
        <f aca="false">HYPERLINK("https://lindat.mff.cuni.cz/services/teitok/pdtc10/index.php?action=vallex&amp;frame=v-whsb_925hsa_926", "světit (v-whsb_925hsa_926) - substituted with v-whsa_925f1_ZU")</f>
        <v>světit (v-whsb_925hsa_926) - substituted with v-whsa_925f1_ZU</v>
      </c>
    </row>
    <row r="47811" customFormat="false" ht="12.8" hidden="false" customHeight="false" outlineLevel="0" collapsed="false">
      <c r="B47811" s="0" t="s">
        <v>1</v>
      </c>
    </row>
    <row r="47812" customFormat="false" ht="12.8" hidden="false" customHeight="false" outlineLevel="0" collapsed="false">
      <c r="B47812" s="0" t="s">
        <v>8</v>
      </c>
    </row>
    <row r="47814" customFormat="false" ht="12.8" hidden="false" customHeight="false" outlineLevel="0" collapsed="false">
      <c r="A47814" s="0" t="s">
        <v>16938</v>
      </c>
      <c r="B47814" s="0" t="str">
        <f aca="false">HYPERLINK("https://lindat.mff.cuni.cz/services/teitok/pdtc10/index.php?action=vallex&amp;frame=v-whsa_925f2_ZU", "světit (v-whsa_925f2_ZU)")</f>
        <v>světit (v-whsa_925f2_ZU)</v>
      </c>
    </row>
    <row r="47815" customFormat="false" ht="12.8" hidden="false" customHeight="false" outlineLevel="0" collapsed="false">
      <c r="B47815" s="0" t="s">
        <v>1</v>
      </c>
    </row>
    <row r="47816" customFormat="false" ht="12.8" hidden="false" customHeight="false" outlineLevel="0" collapsed="false">
      <c r="B47816" s="0" t="s">
        <v>8</v>
      </c>
    </row>
    <row r="47818" customFormat="false" ht="12.8" hidden="false" customHeight="false" outlineLevel="0" collapsed="false">
      <c r="A47818" s="0" t="s">
        <v>16938</v>
      </c>
      <c r="B47818" s="0" t="str">
        <f aca="false">HYPERLINK("https://lindat.mff.cuni.cz/services/teitok/pdtc10/index.php?action=vallex&amp;frame=v-whsa_925hsa_927", "světit (v-whsa_925hsa_927) - substituted with v-whsa_925f2_ZU")</f>
        <v>světit (v-whsa_925hsa_927) - substituted with v-whsa_925f2_ZU</v>
      </c>
    </row>
    <row r="47819" customFormat="false" ht="12.8" hidden="false" customHeight="false" outlineLevel="0" collapsed="false">
      <c r="B47819" s="0" t="s">
        <v>1</v>
      </c>
    </row>
    <row r="47820" customFormat="false" ht="12.8" hidden="false" customHeight="false" outlineLevel="0" collapsed="false">
      <c r="B47820" s="0" t="s">
        <v>8</v>
      </c>
    </row>
    <row r="47822" customFormat="false" ht="12.8" hidden="false" customHeight="false" outlineLevel="0" collapsed="false">
      <c r="A47822" s="0" t="s">
        <v>16939</v>
      </c>
      <c r="B47822" s="0" t="str">
        <f aca="false">HYPERLINK("https://lindat.mff.cuni.cz/services/teitok/pdtc10/index.php?action=vallex&amp;frame=v-w6658f3", "svěřit (v-w6658f3)")</f>
        <v>svěřit (v-w6658f3)</v>
      </c>
      <c r="E47822" s="0" t="str">
        <f aca="false">HYPERLINK("https://lindat.mff.cuni.cz/services/SynSemClass40/SynSemClass40.html?veclass=vec01466#vec01466-ces-cm00005", "vec01466")</f>
        <v>vec01466</v>
      </c>
      <c r="F47822" s="0" t="s">
        <v>16940</v>
      </c>
    </row>
    <row r="47823" customFormat="false" ht="12.8" hidden="false" customHeight="false" outlineLevel="0" collapsed="false">
      <c r="B47823" s="0" t="s">
        <v>1</v>
      </c>
      <c r="C47823" s="0" t="s">
        <v>14372</v>
      </c>
      <c r="E47823" s="0" t="s">
        <v>11</v>
      </c>
      <c r="F47823" s="0" t="s">
        <v>16941</v>
      </c>
    </row>
    <row r="47824" customFormat="false" ht="12.8" hidden="false" customHeight="false" outlineLevel="0" collapsed="false">
      <c r="B47824" s="0" t="s">
        <v>228</v>
      </c>
      <c r="C47824" s="0" t="s">
        <v>660</v>
      </c>
      <c r="E47824" s="0" t="s">
        <v>218</v>
      </c>
      <c r="F47824" s="0" t="s">
        <v>16942</v>
      </c>
    </row>
    <row r="47825" customFormat="false" ht="12.8" hidden="false" customHeight="false" outlineLevel="0" collapsed="false">
      <c r="B47825" s="0" t="s">
        <v>52</v>
      </c>
      <c r="C47825" s="0" t="s">
        <v>16943</v>
      </c>
      <c r="E47825" s="0" t="s">
        <v>221</v>
      </c>
      <c r="F47825" s="0" t="s">
        <v>16944</v>
      </c>
    </row>
    <row r="47827" customFormat="false" ht="12.8" hidden="false" customHeight="false" outlineLevel="0" collapsed="false">
      <c r="A47827" s="0" t="s">
        <v>16945</v>
      </c>
      <c r="B47827" s="0" t="str">
        <f aca="false">HYPERLINK("https://lindat.mff.cuni.cz/services/teitok/pdtc10/index.php?action=vallex&amp;frame=v-w6658f1", "svěřit (v-w6658f1)")</f>
        <v>svěřit (v-w6658f1)</v>
      </c>
      <c r="E47827" s="0" t="str">
        <f aca="false">HYPERLINK("https://lindat.mff.cuni.cz/services/SynSemClass40/SynSemClass40.html?veclass=vec00074#vec00074-ces-cm00179", "vec00074")</f>
        <v>vec00074</v>
      </c>
      <c r="F47827" s="0" t="s">
        <v>1782</v>
      </c>
      <c r="H47827" s="0" t="str">
        <f aca="false">HYPERLINK("https://lindat.mff.cuni.cz/services/SynSemClass40/SynSemClass40.html?veclass=vec00571#vec00571-ces-cm00024", "vec00571")</f>
        <v>vec00571</v>
      </c>
      <c r="I47827" s="0" t="s">
        <v>1861</v>
      </c>
    </row>
    <row r="47828" customFormat="false" ht="12.8" hidden="false" customHeight="false" outlineLevel="0" collapsed="false">
      <c r="B47828" s="0" t="s">
        <v>1</v>
      </c>
      <c r="C47828" s="0" t="s">
        <v>14048</v>
      </c>
      <c r="E47828" s="0" t="s">
        <v>1784</v>
      </c>
      <c r="F47828" s="0" t="s">
        <v>1785</v>
      </c>
      <c r="H47828" s="0" t="s">
        <v>31</v>
      </c>
      <c r="I47828" s="0" t="s">
        <v>1865</v>
      </c>
    </row>
    <row r="47829" customFormat="false" ht="12.8" hidden="false" customHeight="false" outlineLevel="0" collapsed="false">
      <c r="B47829" s="0" t="s">
        <v>59</v>
      </c>
      <c r="C47829" s="0" t="s">
        <v>14049</v>
      </c>
      <c r="E47829" s="0" t="s">
        <v>1787</v>
      </c>
      <c r="F47829" s="0" t="s">
        <v>1788</v>
      </c>
      <c r="H47829" s="0" t="s">
        <v>1871</v>
      </c>
      <c r="I47829" s="0" t="s">
        <v>1872</v>
      </c>
    </row>
    <row r="47830" customFormat="false" ht="12.8" hidden="false" customHeight="false" outlineLevel="0" collapsed="false">
      <c r="B47830" s="0" t="s">
        <v>52</v>
      </c>
      <c r="C47830" s="0" t="s">
        <v>14050</v>
      </c>
      <c r="E47830" s="0" t="s">
        <v>53</v>
      </c>
      <c r="F47830" s="0" t="s">
        <v>1790</v>
      </c>
      <c r="H47830" s="0" t="s">
        <v>564</v>
      </c>
      <c r="I47830" s="0" t="s">
        <v>1878</v>
      </c>
    </row>
    <row r="47832" customFormat="false" ht="12.8" hidden="false" customHeight="false" outlineLevel="0" collapsed="false">
      <c r="A47832" s="0" t="s">
        <v>16946</v>
      </c>
      <c r="B47832" s="0" t="str">
        <f aca="false">HYPERLINK("https://lindat.mff.cuni.cz/services/teitok/pdtc10/index.php?action=vallex&amp;frame=v-w6658f2", "svěřit (v-w6658f2)")</f>
        <v>svěřit (v-w6658f2)</v>
      </c>
      <c r="E47832" s="0" t="str">
        <f aca="false">HYPERLINK("https://lindat.mff.cuni.cz/services/SynSemClass40/SynSemClass40.html?veclass=vec00074#vec00074-ces-cm00180", "vec00074")</f>
        <v>vec00074</v>
      </c>
      <c r="F47832" s="0" t="s">
        <v>1782</v>
      </c>
    </row>
    <row r="47833" customFormat="false" ht="12.8" hidden="false" customHeight="false" outlineLevel="0" collapsed="false">
      <c r="B47833" s="0" t="s">
        <v>1</v>
      </c>
      <c r="C47833" s="0" t="s">
        <v>1783</v>
      </c>
      <c r="E47833" s="0" t="s">
        <v>1784</v>
      </c>
      <c r="F47833" s="0" t="s">
        <v>1785</v>
      </c>
    </row>
    <row r="47834" customFormat="false" ht="12.8" hidden="false" customHeight="false" outlineLevel="0" collapsed="false">
      <c r="B47834" s="0" t="s">
        <v>8</v>
      </c>
      <c r="C47834" s="0" t="s">
        <v>1786</v>
      </c>
      <c r="E47834" s="0" t="s">
        <v>1787</v>
      </c>
      <c r="F47834" s="0" t="s">
        <v>1788</v>
      </c>
    </row>
    <row r="47835" customFormat="false" ht="12.8" hidden="false" customHeight="false" outlineLevel="0" collapsed="false">
      <c r="B47835" s="0" t="s">
        <v>52</v>
      </c>
      <c r="C47835" s="0" t="s">
        <v>1789</v>
      </c>
      <c r="E47835" s="0" t="s">
        <v>53</v>
      </c>
      <c r="F47835" s="0" t="s">
        <v>1790</v>
      </c>
    </row>
    <row r="47837" customFormat="false" ht="12.8" hidden="false" customHeight="false" outlineLevel="0" collapsed="false">
      <c r="A47837" s="0" t="s">
        <v>16947</v>
      </c>
      <c r="B47837" s="0" t="str">
        <f aca="false">HYPERLINK("https://lindat.mff.cuni.cz/services/teitok/pdtc10/index.php?action=vallex&amp;frame=v-w6658f4_ZU", "svěřit (v-w6658f4_ZU)")</f>
        <v>svěřit (v-w6658f4_ZU)</v>
      </c>
    </row>
    <row r="47838" customFormat="false" ht="12.8" hidden="false" customHeight="false" outlineLevel="0" collapsed="false">
      <c r="B47838" s="0" t="s">
        <v>1</v>
      </c>
    </row>
    <row r="47839" customFormat="false" ht="12.8" hidden="false" customHeight="false" outlineLevel="0" collapsed="false">
      <c r="B47839" s="0" t="s">
        <v>8</v>
      </c>
    </row>
    <row r="47840" customFormat="false" ht="12.8" hidden="false" customHeight="false" outlineLevel="0" collapsed="false">
      <c r="B47840" s="0" t="s">
        <v>361</v>
      </c>
    </row>
    <row r="47842" customFormat="false" ht="12.8" hidden="false" customHeight="false" outlineLevel="0" collapsed="false">
      <c r="A47842" s="0" t="s">
        <v>16948</v>
      </c>
      <c r="B47842" s="0" t="str">
        <f aca="false">HYPERLINK("https://lindat.mff.cuni.cz/services/teitok/pdtc10/index.php?action=vallex&amp;frame=v-w6659f1", "svěřit se (v-w6659f1)")</f>
        <v>svěřit se (v-w6659f1)</v>
      </c>
      <c r="E47842" s="0" t="str">
        <f aca="false">HYPERLINK("https://lindat.mff.cuni.cz/services/SynSemClass40/SynSemClass40.html?veclass=vec01466#vec01466-ces-cm00006", "vec01466")</f>
        <v>vec01466</v>
      </c>
      <c r="F47842" s="0" t="s">
        <v>16940</v>
      </c>
    </row>
    <row r="47843" customFormat="false" ht="12.8" hidden="false" customHeight="false" outlineLevel="0" collapsed="false">
      <c r="B47843" s="0" t="s">
        <v>1</v>
      </c>
      <c r="C47843" s="0" t="s">
        <v>14372</v>
      </c>
      <c r="E47843" s="0" t="s">
        <v>11</v>
      </c>
      <c r="F47843" s="0" t="s">
        <v>16941</v>
      </c>
    </row>
    <row r="47844" customFormat="false" ht="12.8" hidden="false" customHeight="false" outlineLevel="0" collapsed="false">
      <c r="B47844" s="0" t="s">
        <v>16949</v>
      </c>
      <c r="C47844" s="0" t="s">
        <v>660</v>
      </c>
      <c r="E47844" s="0" t="s">
        <v>218</v>
      </c>
      <c r="F47844" s="0" t="s">
        <v>16942</v>
      </c>
    </row>
    <row r="47845" customFormat="false" ht="12.8" hidden="false" customHeight="false" outlineLevel="0" collapsed="false">
      <c r="B47845" s="0" t="s">
        <v>52</v>
      </c>
      <c r="C47845" s="0" t="s">
        <v>16943</v>
      </c>
      <c r="E47845" s="0" t="s">
        <v>221</v>
      </c>
      <c r="F47845" s="0" t="s">
        <v>16944</v>
      </c>
    </row>
    <row r="47847" customFormat="false" ht="12.8" hidden="false" customHeight="false" outlineLevel="0" collapsed="false">
      <c r="A47847" s="0" t="s">
        <v>16950</v>
      </c>
      <c r="B47847" s="0" t="str">
        <f aca="false">HYPERLINK("https://lindat.mff.cuni.cz/services/teitok/pdtc10/index.php?action=vallex&amp;frame=v-w6661f1", "svěřovat (v-w6661f1)")</f>
        <v>svěřovat (v-w6661f1)</v>
      </c>
      <c r="E47847" s="0" t="str">
        <f aca="false">HYPERLINK("https://lindat.mff.cuni.cz/services/SynSemClass40/SynSemClass40.html?veclass=vec01466#vec01466-ces-cm00007", "vec01466")</f>
        <v>vec01466</v>
      </c>
      <c r="F47847" s="0" t="s">
        <v>16940</v>
      </c>
    </row>
    <row r="47848" customFormat="false" ht="12.8" hidden="false" customHeight="false" outlineLevel="0" collapsed="false">
      <c r="B47848" s="0" t="s">
        <v>1</v>
      </c>
      <c r="C47848" s="0" t="s">
        <v>14372</v>
      </c>
      <c r="E47848" s="0" t="s">
        <v>11</v>
      </c>
      <c r="F47848" s="0" t="s">
        <v>16941</v>
      </c>
    </row>
    <row r="47849" customFormat="false" ht="12.8" hidden="false" customHeight="false" outlineLevel="0" collapsed="false">
      <c r="B47849" s="0" t="s">
        <v>228</v>
      </c>
      <c r="C47849" s="0" t="s">
        <v>660</v>
      </c>
      <c r="E47849" s="0" t="s">
        <v>218</v>
      </c>
      <c r="F47849" s="0" t="s">
        <v>16942</v>
      </c>
    </row>
    <row r="47850" customFormat="false" ht="12.8" hidden="false" customHeight="false" outlineLevel="0" collapsed="false">
      <c r="B47850" s="0" t="s">
        <v>52</v>
      </c>
      <c r="C47850" s="0" t="s">
        <v>16943</v>
      </c>
      <c r="E47850" s="0" t="s">
        <v>221</v>
      </c>
      <c r="F47850" s="0" t="s">
        <v>16944</v>
      </c>
    </row>
    <row r="47852" customFormat="false" ht="12.8" hidden="false" customHeight="false" outlineLevel="0" collapsed="false">
      <c r="A47852" s="0" t="s">
        <v>16951</v>
      </c>
      <c r="B47852" s="0" t="str">
        <f aca="false">HYPERLINK("https://lindat.mff.cuni.cz/services/teitok/pdtc10/index.php?action=vallex&amp;frame=v-w6661f2", "svěřovat (v-w6661f2)")</f>
        <v>svěřovat (v-w6661f2)</v>
      </c>
      <c r="E47852" s="0" t="str">
        <f aca="false">HYPERLINK("https://lindat.mff.cuni.cz/services/SynSemClass40/SynSemClass40.html?veclass=vec00571#vec00571-ces-cm00081", "vec00571")</f>
        <v>vec00571</v>
      </c>
      <c r="F47852" s="0" t="s">
        <v>1861</v>
      </c>
    </row>
    <row r="47853" customFormat="false" ht="12.8" hidden="false" customHeight="false" outlineLevel="0" collapsed="false">
      <c r="B47853" s="0" t="s">
        <v>1</v>
      </c>
      <c r="C47853" s="0" t="s">
        <v>11897</v>
      </c>
      <c r="E47853" s="0" t="s">
        <v>31</v>
      </c>
      <c r="F47853" s="0" t="s">
        <v>1865</v>
      </c>
    </row>
    <row r="47854" customFormat="false" ht="12.8" hidden="false" customHeight="false" outlineLevel="0" collapsed="false">
      <c r="B47854" s="0" t="s">
        <v>59</v>
      </c>
      <c r="C47854" s="0" t="s">
        <v>5753</v>
      </c>
      <c r="E47854" s="0" t="s">
        <v>1871</v>
      </c>
      <c r="F47854" s="0" t="s">
        <v>1872</v>
      </c>
    </row>
    <row r="47855" customFormat="false" ht="12.8" hidden="false" customHeight="false" outlineLevel="0" collapsed="false">
      <c r="B47855" s="0" t="s">
        <v>52</v>
      </c>
      <c r="C47855" s="0" t="s">
        <v>11899</v>
      </c>
      <c r="E47855" s="0" t="s">
        <v>564</v>
      </c>
      <c r="F47855" s="0" t="s">
        <v>1878</v>
      </c>
    </row>
    <row r="47857" customFormat="false" ht="12.8" hidden="false" customHeight="false" outlineLevel="0" collapsed="false">
      <c r="A47857" s="0" t="s">
        <v>16952</v>
      </c>
      <c r="B47857" s="0" t="str">
        <f aca="false">HYPERLINK("https://lindat.mff.cuni.cz/services/teitok/pdtc10/index.php?action=vallex&amp;frame=v-w6661f3", "svěřovat (v-w6661f3)")</f>
        <v>svěřovat (v-w6661f3)</v>
      </c>
    </row>
    <row r="47858" customFormat="false" ht="12.8" hidden="false" customHeight="false" outlineLevel="0" collapsed="false">
      <c r="B47858" s="0" t="s">
        <v>1</v>
      </c>
    </row>
    <row r="47859" customFormat="false" ht="12.8" hidden="false" customHeight="false" outlineLevel="0" collapsed="false">
      <c r="B47859" s="0" t="s">
        <v>8</v>
      </c>
    </row>
    <row r="47860" customFormat="false" ht="12.8" hidden="false" customHeight="false" outlineLevel="0" collapsed="false">
      <c r="B47860" s="0" t="s">
        <v>52</v>
      </c>
    </row>
    <row r="47862" customFormat="false" ht="12.8" hidden="false" customHeight="false" outlineLevel="0" collapsed="false">
      <c r="A47862" s="0" t="s">
        <v>16953</v>
      </c>
      <c r="B47862" s="0" t="str">
        <f aca="false">HYPERLINK("https://lindat.mff.cuni.cz/services/teitok/pdtc10/index.php?action=vallex&amp;frame=v-w6662f1", "svěřovat se (v-w6662f1)")</f>
        <v>svěřovat se (v-w6662f1)</v>
      </c>
      <c r="E47862" s="0" t="str">
        <f aca="false">HYPERLINK("https://lindat.mff.cuni.cz/services/SynSemClass40/SynSemClass40.html?veclass=vec00503#vec00503-ces-cm00037", "vec00503")</f>
        <v>vec00503</v>
      </c>
      <c r="F47862" s="0" t="s">
        <v>3130</v>
      </c>
      <c r="H47862" s="0" t="str">
        <f aca="false">HYPERLINK("https://lindat.mff.cuni.cz/services/SynSemClass40/SynSemClass40.html?veclass=vec01466#vec01466-ces-cm00008", "vec01466")</f>
        <v>vec01466</v>
      </c>
      <c r="I47862" s="0" t="s">
        <v>16940</v>
      </c>
    </row>
    <row r="47863" customFormat="false" ht="12.8" hidden="false" customHeight="false" outlineLevel="0" collapsed="false">
      <c r="B47863" s="0" t="s">
        <v>1</v>
      </c>
      <c r="C47863" s="0" t="s">
        <v>16954</v>
      </c>
      <c r="E47863" s="0" t="s">
        <v>11</v>
      </c>
      <c r="F47863" s="0" t="s">
        <v>3131</v>
      </c>
      <c r="H47863" s="0" t="s">
        <v>11</v>
      </c>
      <c r="I47863" s="0" t="s">
        <v>16941</v>
      </c>
    </row>
    <row r="47864" customFormat="false" ht="12.8" hidden="false" customHeight="false" outlineLevel="0" collapsed="false">
      <c r="B47864" s="0" t="s">
        <v>16949</v>
      </c>
      <c r="C47864" s="0" t="s">
        <v>16955</v>
      </c>
      <c r="E47864" s="0" t="s">
        <v>3134</v>
      </c>
      <c r="F47864" s="0" t="s">
        <v>3135</v>
      </c>
      <c r="H47864" s="0" t="s">
        <v>218</v>
      </c>
      <c r="I47864" s="0" t="s">
        <v>16942</v>
      </c>
    </row>
    <row r="47865" customFormat="false" ht="12.8" hidden="false" customHeight="false" outlineLevel="0" collapsed="false">
      <c r="B47865" s="0" t="s">
        <v>52</v>
      </c>
      <c r="C47865" s="0" t="s">
        <v>16956</v>
      </c>
      <c r="E47865" s="0" t="s">
        <v>221</v>
      </c>
      <c r="F47865" s="0" t="s">
        <v>3136</v>
      </c>
      <c r="H47865" s="0" t="s">
        <v>221</v>
      </c>
      <c r="I47865" s="0" t="s">
        <v>16944</v>
      </c>
    </row>
    <row r="47867" customFormat="false" ht="12.8" hidden="false" customHeight="false" outlineLevel="0" collapsed="false">
      <c r="A47867" s="0" t="s">
        <v>16957</v>
      </c>
      <c r="B47867" s="0" t="str">
        <f aca="false">HYPERLINK("https://lindat.mff.cuni.cz/services/teitok/pdtc10/index.php?action=vallex&amp;frame=v-w6688f1", "symbolizovat (v-w6688f1)")</f>
        <v>symbolizovat (v-w6688f1)</v>
      </c>
      <c r="E47867" s="0" t="str">
        <f aca="false">HYPERLINK("https://lindat.mff.cuni.cz/services/SynSemClass40/SynSemClass40.html?veclass=vec01121#vec01121-ces-cm00001", "vec01121")</f>
        <v>vec01121</v>
      </c>
      <c r="F47867" s="0" t="s">
        <v>16958</v>
      </c>
    </row>
    <row r="47868" customFormat="false" ht="12.8" hidden="false" customHeight="false" outlineLevel="0" collapsed="false">
      <c r="B47868" s="0" t="s">
        <v>835</v>
      </c>
      <c r="C47868" s="0" t="s">
        <v>1507</v>
      </c>
      <c r="E47868" s="0" t="s">
        <v>10735</v>
      </c>
      <c r="F47868" s="0" t="s">
        <v>16959</v>
      </c>
    </row>
    <row r="47869" customFormat="false" ht="12.8" hidden="false" customHeight="false" outlineLevel="0" collapsed="false">
      <c r="B47869" s="0" t="s">
        <v>59</v>
      </c>
      <c r="C47869" s="0" t="s">
        <v>1511</v>
      </c>
      <c r="E47869" s="0" t="s">
        <v>10738</v>
      </c>
      <c r="F47869" s="0" t="s">
        <v>16960</v>
      </c>
    </row>
    <row r="47871" customFormat="false" ht="12.8" hidden="false" customHeight="false" outlineLevel="0" collapsed="false">
      <c r="A47871" s="0" t="s">
        <v>16961</v>
      </c>
      <c r="B47871" s="0" t="str">
        <f aca="false">HYPERLINK("https://lindat.mff.cuni.cz/services/teitok/pdtc10/index.php?action=vallex&amp;frame=v-w6693f1", "sympatizovat (v-w6693f1)")</f>
        <v>sympatizovat (v-w6693f1)</v>
      </c>
    </row>
    <row r="47872" customFormat="false" ht="12.8" hidden="false" customHeight="false" outlineLevel="0" collapsed="false">
      <c r="B47872" s="0" t="s">
        <v>1</v>
      </c>
    </row>
    <row r="47873" customFormat="false" ht="12.8" hidden="false" customHeight="false" outlineLevel="0" collapsed="false">
      <c r="B47873" s="0" t="s">
        <v>721</v>
      </c>
    </row>
    <row r="47875" customFormat="false" ht="12.8" hidden="false" customHeight="false" outlineLevel="0" collapsed="false">
      <c r="A47875" s="0" t="s">
        <v>16962</v>
      </c>
      <c r="B47875" s="0" t="str">
        <f aca="false">HYPERLINK("https://lindat.mff.cuni.cz/services/teitok/pdtc10/index.php?action=vallex&amp;frame=v-w11600_ZUf1_ZU", "synchronizovat (v-w11600_ZUf1_ZU)")</f>
        <v>synchronizovat (v-w11600_ZUf1_ZU)</v>
      </c>
      <c r="E47875" s="0" t="str">
        <f aca="false">HYPERLINK("https://lindat.mff.cuni.cz/services/SynSemClass40/SynSemClass40.html?veclass=vec00425#vec00425-ces-cm00004", "vec00425")</f>
        <v>vec00425</v>
      </c>
      <c r="F47875" s="0" t="s">
        <v>5616</v>
      </c>
    </row>
    <row r="47876" customFormat="false" ht="12.8" hidden="false" customHeight="false" outlineLevel="0" collapsed="false">
      <c r="B47876" s="0" t="s">
        <v>1</v>
      </c>
      <c r="C47876" s="0" t="s">
        <v>767</v>
      </c>
      <c r="E47876" s="0" t="s">
        <v>31</v>
      </c>
      <c r="F47876" s="0" t="s">
        <v>5617</v>
      </c>
    </row>
    <row r="47877" customFormat="false" ht="12.8" hidden="false" customHeight="false" outlineLevel="0" collapsed="false">
      <c r="B47877" s="0" t="s">
        <v>8</v>
      </c>
      <c r="C47877" s="0" t="s">
        <v>7119</v>
      </c>
      <c r="E47877" s="0" t="s">
        <v>12534</v>
      </c>
      <c r="F47877" s="0" t="s">
        <v>16963</v>
      </c>
    </row>
    <row r="47879" customFormat="false" ht="12.8" hidden="false" customHeight="false" outlineLevel="0" collapsed="false">
      <c r="A47879" s="0" t="s">
        <v>16964</v>
      </c>
      <c r="B47879" s="0" t="str">
        <f aca="false">HYPERLINK("https://lindat.mff.cuni.cz/services/teitok/pdtc10/index.php?action=vallex&amp;frame=v-w6698f4", "sypat (v-w6698f4)")</f>
        <v>sypat (v-w6698f4)</v>
      </c>
    </row>
    <row r="47880" customFormat="false" ht="12.8" hidden="false" customHeight="false" outlineLevel="0" collapsed="false">
      <c r="B47880" s="0" t="s">
        <v>1</v>
      </c>
    </row>
    <row r="47881" customFormat="false" ht="12.8" hidden="false" customHeight="false" outlineLevel="0" collapsed="false">
      <c r="B47881" s="0" t="s">
        <v>8</v>
      </c>
    </row>
    <row r="47882" customFormat="false" ht="12.8" hidden="false" customHeight="false" outlineLevel="0" collapsed="false">
      <c r="B47882" s="0" t="s">
        <v>52</v>
      </c>
    </row>
    <row r="47884" customFormat="false" ht="12.8" hidden="false" customHeight="false" outlineLevel="0" collapsed="false">
      <c r="A47884" s="0" t="s">
        <v>16965</v>
      </c>
      <c r="B47884" s="0" t="str">
        <f aca="false">HYPERLINK("https://lindat.mff.cuni.cz/services/teitok/pdtc10/index.php?action=vallex&amp;frame=v-w6698f6_ZU", "sypat (v-w6698f6_ZU)")</f>
        <v>sypat (v-w6698f6_ZU)</v>
      </c>
    </row>
    <row r="47885" customFormat="false" ht="12.8" hidden="false" customHeight="false" outlineLevel="0" collapsed="false">
      <c r="B47885" s="0" t="s">
        <v>1</v>
      </c>
    </row>
    <row r="47886" customFormat="false" ht="12.8" hidden="false" customHeight="false" outlineLevel="0" collapsed="false">
      <c r="B47886" s="0" t="s">
        <v>8</v>
      </c>
    </row>
    <row r="47887" customFormat="false" ht="12.8" hidden="false" customHeight="false" outlineLevel="0" collapsed="false">
      <c r="B47887" s="0" t="s">
        <v>6273</v>
      </c>
    </row>
    <row r="47889" customFormat="false" ht="12.8" hidden="false" customHeight="false" outlineLevel="0" collapsed="false">
      <c r="A47889" s="0" t="s">
        <v>16966</v>
      </c>
      <c r="B47889" s="0" t="str">
        <f aca="false">HYPERLINK("https://lindat.mff.cuni.cz/services/teitok/pdtc10/index.php?action=vallex&amp;frame=v-w6698f1", "sypat (v-w6698f1)")</f>
        <v>sypat (v-w6698f1)</v>
      </c>
      <c r="E47889" s="0" t="str">
        <f aca="false">HYPERLINK("https://lindat.mff.cuni.cz/services/SynSemClass40/SynSemClass40.html?veclass=vec01358#vec01358-ces-cm00003", "vec01358")</f>
        <v>vec01358</v>
      </c>
      <c r="F47889" s="0" t="s">
        <v>4405</v>
      </c>
    </row>
    <row r="47890" customFormat="false" ht="12.8" hidden="false" customHeight="false" outlineLevel="0" collapsed="false">
      <c r="B47890" s="0" t="s">
        <v>1</v>
      </c>
      <c r="C47890" s="0" t="s">
        <v>1540</v>
      </c>
      <c r="E47890" s="0" t="s">
        <v>334</v>
      </c>
      <c r="F47890" s="0" t="s">
        <v>4406</v>
      </c>
    </row>
    <row r="47891" customFormat="false" ht="12.8" hidden="false" customHeight="false" outlineLevel="0" collapsed="false">
      <c r="B47891" s="0" t="s">
        <v>8</v>
      </c>
      <c r="C47891" s="0" t="s">
        <v>1747</v>
      </c>
      <c r="E47891" s="0" t="s">
        <v>2648</v>
      </c>
      <c r="F47891" s="0" t="s">
        <v>4407</v>
      </c>
    </row>
    <row r="47892" customFormat="false" ht="12.8" hidden="false" customHeight="false" outlineLevel="0" collapsed="false">
      <c r="B47892" s="0" t="s">
        <v>164</v>
      </c>
      <c r="E47892" s="0" t="s">
        <v>4408</v>
      </c>
      <c r="F47892" s="0" t="s">
        <v>4409</v>
      </c>
    </row>
    <row r="47894" customFormat="false" ht="12.8" hidden="false" customHeight="false" outlineLevel="0" collapsed="false">
      <c r="A47894" s="0" t="s">
        <v>16967</v>
      </c>
      <c r="B47894" s="0" t="str">
        <f aca="false">HYPERLINK("https://lindat.mff.cuni.cz/services/teitok/pdtc10/index.php?action=vallex&amp;frame=v-w6698f5", "sypat (v-w6698f5)")</f>
        <v>sypat (v-w6698f5)</v>
      </c>
    </row>
    <row r="47895" customFormat="false" ht="12.8" hidden="false" customHeight="false" outlineLevel="0" collapsed="false">
      <c r="B47895" s="0" t="s">
        <v>1</v>
      </c>
    </row>
    <row r="47896" customFormat="false" ht="12.8" hidden="false" customHeight="false" outlineLevel="0" collapsed="false">
      <c r="B47896" s="0" t="s">
        <v>8</v>
      </c>
    </row>
    <row r="47898" customFormat="false" ht="12.8" hidden="false" customHeight="false" outlineLevel="0" collapsed="false">
      <c r="A47898" s="0" t="s">
        <v>16968</v>
      </c>
      <c r="B47898" s="0" t="str">
        <f aca="false">HYPERLINK("https://lindat.mff.cuni.cz/services/teitok/pdtc10/index.php?action=vallex&amp;frame=v-w6698f3", "sypat (v-w6698f3)")</f>
        <v>sypat (v-w6698f3)</v>
      </c>
    </row>
    <row r="47899" customFormat="false" ht="12.8" hidden="false" customHeight="false" outlineLevel="0" collapsed="false">
      <c r="B47899" s="0" t="s">
        <v>1</v>
      </c>
    </row>
    <row r="47900" customFormat="false" ht="12.8" hidden="false" customHeight="false" outlineLevel="0" collapsed="false">
      <c r="B47900" s="0" t="s">
        <v>164</v>
      </c>
    </row>
    <row r="47902" customFormat="false" ht="12.8" hidden="false" customHeight="false" outlineLevel="0" collapsed="false">
      <c r="A47902" s="0" t="s">
        <v>16969</v>
      </c>
      <c r="B47902" s="0" t="str">
        <f aca="false">HYPERLINK("https://lindat.mff.cuni.cz/services/teitok/pdtc10/index.php?action=vallex&amp;frame=v-w6698f2", "sypat (v-w6698f2)")</f>
        <v>sypat (v-w6698f2)</v>
      </c>
    </row>
    <row r="47903" customFormat="false" ht="12.8" hidden="false" customHeight="false" outlineLevel="0" collapsed="false">
      <c r="B47903" s="0" t="s">
        <v>1</v>
      </c>
    </row>
    <row r="47904" customFormat="false" ht="12.8" hidden="false" customHeight="false" outlineLevel="0" collapsed="false">
      <c r="B47904" s="0" t="s">
        <v>16970</v>
      </c>
    </row>
    <row r="47905" customFormat="false" ht="12.8" hidden="false" customHeight="false" outlineLevel="0" collapsed="false">
      <c r="B47905" s="0" t="s">
        <v>8</v>
      </c>
    </row>
    <row r="47907" customFormat="false" ht="12.8" hidden="false" customHeight="false" outlineLevel="0" collapsed="false">
      <c r="A47907" s="0" t="s">
        <v>16971</v>
      </c>
      <c r="B47907" s="0" t="str">
        <f aca="false">HYPERLINK("https://lindat.mff.cuni.cz/services/teitok/pdtc10/index.php?action=vallex&amp;frame=v-w6699f1", "sypat se (v-w6699f1)")</f>
        <v>sypat se (v-w6699f1)</v>
      </c>
    </row>
    <row r="47908" customFormat="false" ht="12.8" hidden="false" customHeight="false" outlineLevel="0" collapsed="false">
      <c r="B47908" s="0" t="s">
        <v>1</v>
      </c>
    </row>
    <row r="47909" customFormat="false" ht="12.8" hidden="false" customHeight="false" outlineLevel="0" collapsed="false">
      <c r="B47909" s="0" t="s">
        <v>164</v>
      </c>
    </row>
    <row r="47911" customFormat="false" ht="12.8" hidden="false" customHeight="false" outlineLevel="0" collapsed="false">
      <c r="A47911" s="0" t="s">
        <v>16972</v>
      </c>
      <c r="B47911" s="0" t="str">
        <f aca="false">HYPERLINK("https://lindat.mff.cuni.cz/services/teitok/pdtc10/index.php?action=vallex&amp;frame=v-w10834f3", "sytit (v-w10834f3)")</f>
        <v>sytit (v-w10834f3)</v>
      </c>
    </row>
    <row r="47912" customFormat="false" ht="12.8" hidden="false" customHeight="false" outlineLevel="0" collapsed="false">
      <c r="B47912" s="0" t="s">
        <v>1</v>
      </c>
    </row>
    <row r="47913" customFormat="false" ht="12.8" hidden="false" customHeight="false" outlineLevel="0" collapsed="false">
      <c r="B47913" s="0" t="s">
        <v>8</v>
      </c>
    </row>
    <row r="47915" customFormat="false" ht="12.8" hidden="false" customHeight="false" outlineLevel="0" collapsed="false">
      <c r="A47915" s="0" t="s">
        <v>16973</v>
      </c>
      <c r="B47915" s="0" t="str">
        <f aca="false">HYPERLINK("https://lindat.mff.cuni.cz/services/teitok/pdtc10/index.php?action=vallex&amp;frame=v-w10834f2", "sytit (v-w10834f2)")</f>
        <v>sytit (v-w10834f2)</v>
      </c>
    </row>
    <row r="47916" customFormat="false" ht="12.8" hidden="false" customHeight="false" outlineLevel="0" collapsed="false">
      <c r="B47916" s="0" t="s">
        <v>1</v>
      </c>
    </row>
    <row r="47917" customFormat="false" ht="12.8" hidden="false" customHeight="false" outlineLevel="0" collapsed="false">
      <c r="B47917" s="0" t="s">
        <v>8</v>
      </c>
    </row>
    <row r="47919" customFormat="false" ht="12.8" hidden="false" customHeight="false" outlineLevel="0" collapsed="false">
      <c r="A47919" s="0" t="s">
        <v>16974</v>
      </c>
      <c r="B47919" s="0" t="str">
        <f aca="false">HYPERLINK("https://lindat.mff.cuni.cz/services/teitok/pdtc10/index.php?action=vallex&amp;frame=v-w6685f2_ZU", "syčet (v-w6685f2_ZU)")</f>
        <v>syčet (v-w6685f2_ZU)</v>
      </c>
    </row>
    <row r="47920" customFormat="false" ht="12.8" hidden="false" customHeight="false" outlineLevel="0" collapsed="false">
      <c r="B47920" s="0" t="s">
        <v>1</v>
      </c>
    </row>
    <row r="47921" customFormat="false" ht="12.8" hidden="false" customHeight="false" outlineLevel="0" collapsed="false">
      <c r="B47921" s="0" t="s">
        <v>69</v>
      </c>
    </row>
    <row r="47923" customFormat="false" ht="12.8" hidden="false" customHeight="false" outlineLevel="0" collapsed="false">
      <c r="A47923" s="0" t="s">
        <v>16974</v>
      </c>
      <c r="B47923" s="0" t="str">
        <f aca="false">HYPERLINK("https://lindat.mff.cuni.cz/services/teitok/pdtc10/index.php?action=vallex&amp;frame=v-w6685f1", "syčet (v-w6685f1) - substituted with v-w6685f2_ZU")</f>
        <v>syčet (v-w6685f1) - substituted with v-w6685f2_ZU</v>
      </c>
    </row>
    <row r="47924" customFormat="false" ht="12.8" hidden="false" customHeight="false" outlineLevel="0" collapsed="false">
      <c r="B47924" s="0" t="s">
        <v>1</v>
      </c>
    </row>
    <row r="47925" customFormat="false" ht="12.8" hidden="false" customHeight="false" outlineLevel="0" collapsed="false">
      <c r="B47925" s="0" t="s">
        <v>69</v>
      </c>
    </row>
    <row r="47927" customFormat="false" ht="12.8" hidden="false" customHeight="false" outlineLevel="0" collapsed="false">
      <c r="A47927" s="0" t="s">
        <v>16975</v>
      </c>
      <c r="B47927" s="0" t="str">
        <f aca="false">HYPERLINK("https://lindat.mff.cuni.cz/services/teitok/pdtc10/index.php?action=vallex&amp;frame=v-w5891f1", "sáhnout (v-w5891f1)")</f>
        <v>sáhnout (v-w5891f1)</v>
      </c>
    </row>
    <row r="47928" customFormat="false" ht="12.8" hidden="false" customHeight="false" outlineLevel="0" collapsed="false">
      <c r="B47928" s="0" t="s">
        <v>1</v>
      </c>
    </row>
    <row r="47929" customFormat="false" ht="12.8" hidden="false" customHeight="false" outlineLevel="0" collapsed="false">
      <c r="B47929" s="0" t="s">
        <v>15518</v>
      </c>
    </row>
    <row r="47931" customFormat="false" ht="12.8" hidden="false" customHeight="false" outlineLevel="0" collapsed="false">
      <c r="A47931" s="0" t="s">
        <v>16976</v>
      </c>
      <c r="B47931" s="0" t="str">
        <f aca="false">HYPERLINK("https://lindat.mff.cuni.cz/services/teitok/pdtc10/index.php?action=vallex&amp;frame=v-w5891f3", "sáhnout (v-w5891f3)")</f>
        <v>sáhnout (v-w5891f3)</v>
      </c>
    </row>
    <row r="47932" customFormat="false" ht="12.8" hidden="false" customHeight="false" outlineLevel="0" collapsed="false">
      <c r="B47932" s="0" t="s">
        <v>1</v>
      </c>
    </row>
    <row r="47933" customFormat="false" ht="12.8" hidden="false" customHeight="false" outlineLevel="0" collapsed="false">
      <c r="B47933" s="0" t="s">
        <v>45</v>
      </c>
    </row>
    <row r="47935" customFormat="false" ht="12.8" hidden="false" customHeight="false" outlineLevel="0" collapsed="false">
      <c r="A47935" s="0" t="s">
        <v>16977</v>
      </c>
      <c r="B47935" s="0" t="str">
        <f aca="false">HYPERLINK("https://lindat.mff.cuni.cz/services/teitok/pdtc10/index.php?action=vallex&amp;frame=v-w5891f4_ZU", "sáhnout (v-w5891f4_ZU)")</f>
        <v>sáhnout (v-w5891f4_ZU)</v>
      </c>
    </row>
    <row r="47936" customFormat="false" ht="12.8" hidden="false" customHeight="false" outlineLevel="0" collapsed="false">
      <c r="B47936" s="0" t="s">
        <v>1</v>
      </c>
    </row>
    <row r="47937" customFormat="false" ht="12.8" hidden="false" customHeight="false" outlineLevel="0" collapsed="false">
      <c r="B47937" s="0" t="s">
        <v>164</v>
      </c>
    </row>
    <row r="47939" customFormat="false" ht="12.8" hidden="false" customHeight="false" outlineLevel="0" collapsed="false">
      <c r="A47939" s="0" t="s">
        <v>16977</v>
      </c>
      <c r="B47939" s="0" t="str">
        <f aca="false">HYPERLINK("https://lindat.mff.cuni.cz/services/teitok/pdtc10/index.php?action=vallex&amp;frame=v-w5891f2", "sáhnout (v-w5891f2) - substituted with v-w5891f4_ZU")</f>
        <v>sáhnout (v-w5891f2) - substituted with v-w5891f4_ZU</v>
      </c>
      <c r="E47939" s="0" t="str">
        <f aca="false">HYPERLINK("https://lindat.mff.cuni.cz/services/SynSemClass40/SynSemClass40.html?veclass=vec00918#vec00918-ces-cm00001", "vec00918")</f>
        <v>vec00918</v>
      </c>
      <c r="F47939" s="0" t="s">
        <v>2999</v>
      </c>
      <c r="H47939" s="0" t="str">
        <f aca="false">HYPERLINK("https://lindat.mff.cuni.cz/services/SynSemClass40/SynSemClass40.html?veclass=vec01527#vec01527-ces-cm00014", "vec01527")</f>
        <v>vec01527</v>
      </c>
      <c r="I47939" s="0" t="s">
        <v>4556</v>
      </c>
    </row>
    <row r="47940" customFormat="false" ht="12.8" hidden="false" customHeight="false" outlineLevel="0" collapsed="false">
      <c r="B47940" s="0" t="s">
        <v>1</v>
      </c>
      <c r="C47940" s="0" t="s">
        <v>106</v>
      </c>
      <c r="E47940" s="0" t="s">
        <v>31</v>
      </c>
      <c r="F47940" s="0" t="s">
        <v>3001</v>
      </c>
      <c r="H47940" s="0" t="s">
        <v>2263</v>
      </c>
      <c r="I47940" s="0" t="s">
        <v>4557</v>
      </c>
    </row>
    <row r="47941" customFormat="false" ht="12.8" hidden="false" customHeight="false" outlineLevel="0" collapsed="false">
      <c r="B47941" s="0" t="s">
        <v>164</v>
      </c>
      <c r="C47941" s="0" t="s">
        <v>4618</v>
      </c>
      <c r="E47941" s="0" t="s">
        <v>4619</v>
      </c>
      <c r="F47941" s="0" t="s">
        <v>4620</v>
      </c>
      <c r="H47941" s="0" t="s">
        <v>370</v>
      </c>
      <c r="I47941" s="0" t="s">
        <v>4621</v>
      </c>
    </row>
    <row r="47943" customFormat="false" ht="12.8" hidden="false" customHeight="false" outlineLevel="0" collapsed="false">
      <c r="A47943" s="0" t="s">
        <v>16978</v>
      </c>
      <c r="B47943" s="0" t="str">
        <f aca="false">HYPERLINK("https://lindat.mff.cuni.cz/services/teitok/pdtc10/index.php?action=vallex&amp;frame=v-whsa_2f1_ZU", "sáhnout si (v-whsa_2f1_ZU)")</f>
        <v>sáhnout si (v-whsa_2f1_ZU)</v>
      </c>
    </row>
    <row r="47944" customFormat="false" ht="12.8" hidden="false" customHeight="false" outlineLevel="0" collapsed="false">
      <c r="B47944" s="0" t="s">
        <v>1</v>
      </c>
    </row>
    <row r="47945" customFormat="false" ht="12.8" hidden="false" customHeight="false" outlineLevel="0" collapsed="false">
      <c r="B47945" s="0" t="s">
        <v>16979</v>
      </c>
    </row>
    <row r="47947" customFormat="false" ht="12.8" hidden="false" customHeight="false" outlineLevel="0" collapsed="false">
      <c r="A47947" s="0" t="s">
        <v>16978</v>
      </c>
      <c r="B47947" s="0" t="str">
        <f aca="false">HYPERLINK("https://lindat.mff.cuni.cz/services/teitok/pdtc10/index.php?action=vallex&amp;frame=v-whsa_2hsa_3", "sáhnout si (v-whsa_2hsa_3) - substituted with v-whsa_2f1_ZU")</f>
        <v>sáhnout si (v-whsa_2hsa_3) - substituted with v-whsa_2f1_ZU</v>
      </c>
    </row>
    <row r="47948" customFormat="false" ht="12.8" hidden="false" customHeight="false" outlineLevel="0" collapsed="false">
      <c r="B47948" s="0" t="s">
        <v>1</v>
      </c>
    </row>
    <row r="47949" customFormat="false" ht="12.8" hidden="false" customHeight="false" outlineLevel="0" collapsed="false">
      <c r="B47949" s="0" t="s">
        <v>16979</v>
      </c>
    </row>
    <row r="47951" customFormat="false" ht="12.8" hidden="false" customHeight="false" outlineLevel="0" collapsed="false">
      <c r="A47951" s="0" t="s">
        <v>16980</v>
      </c>
      <c r="B47951" s="0" t="str">
        <f aca="false">HYPERLINK("https://lindat.mff.cuni.cz/services/teitok/pdtc10/index.php?action=vallex&amp;frame=v-w12307_MMf1_MM", "sápat se (v-w12307_MMf1_MM)")</f>
        <v>sápat se (v-w12307_MMf1_MM)</v>
      </c>
    </row>
    <row r="47952" customFormat="false" ht="12.8" hidden="false" customHeight="false" outlineLevel="0" collapsed="false">
      <c r="B47952" s="0" t="s">
        <v>1</v>
      </c>
    </row>
    <row r="47953" customFormat="false" ht="12.8" hidden="false" customHeight="false" outlineLevel="0" collapsed="false">
      <c r="B47953" s="0" t="s">
        <v>16981</v>
      </c>
    </row>
    <row r="47955" customFormat="false" ht="12.8" hidden="false" customHeight="false" outlineLevel="0" collapsed="false">
      <c r="A47955" s="0" t="s">
        <v>16982</v>
      </c>
      <c r="B47955" s="0" t="str">
        <f aca="false">HYPERLINK("https://lindat.mff.cuni.cz/services/teitok/pdtc10/index.php?action=vallex&amp;frame=v-whsa_1790hsa_1791", "sát (v-whsa_1790hsa_1791)")</f>
        <v>sát (v-whsa_1790hsa_1791)</v>
      </c>
    </row>
    <row r="47956" customFormat="false" ht="12.8" hidden="false" customHeight="false" outlineLevel="0" collapsed="false">
      <c r="B47956" s="0" t="s">
        <v>1</v>
      </c>
    </row>
    <row r="47957" customFormat="false" ht="12.8" hidden="false" customHeight="false" outlineLevel="0" collapsed="false">
      <c r="B47957" s="0" t="s">
        <v>8</v>
      </c>
    </row>
    <row r="47959" customFormat="false" ht="12.8" hidden="false" customHeight="false" outlineLevel="0" collapsed="false">
      <c r="A47959" s="0" t="s">
        <v>16983</v>
      </c>
      <c r="B47959" s="0" t="str">
        <f aca="false">HYPERLINK("https://lindat.mff.cuni.cz/services/teitok/pdtc10/index.php?action=vallex&amp;frame=v-w5898f3", "sázet (v-w5898f3)")</f>
        <v>sázet (v-w5898f3)</v>
      </c>
    </row>
    <row r="47960" customFormat="false" ht="12.8" hidden="false" customHeight="false" outlineLevel="0" collapsed="false">
      <c r="B47960" s="0" t="s">
        <v>1</v>
      </c>
    </row>
    <row r="47961" customFormat="false" ht="12.8" hidden="false" customHeight="false" outlineLevel="0" collapsed="false">
      <c r="B47961" s="0" t="s">
        <v>8</v>
      </c>
    </row>
    <row r="47962" customFormat="false" ht="12.8" hidden="false" customHeight="false" outlineLevel="0" collapsed="false">
      <c r="B47962" s="0" t="s">
        <v>52</v>
      </c>
    </row>
    <row r="47964" customFormat="false" ht="12.8" hidden="false" customHeight="false" outlineLevel="0" collapsed="false">
      <c r="A47964" s="0" t="s">
        <v>16984</v>
      </c>
      <c r="B47964" s="0" t="str">
        <f aca="false">HYPERLINK("https://lindat.mff.cuni.cz/services/teitok/pdtc10/index.php?action=vallex&amp;frame=v-w5898f2", "sázet (v-w5898f2)")</f>
        <v>sázet (v-w5898f2)</v>
      </c>
      <c r="E47964" s="0" t="str">
        <f aca="false">HYPERLINK("https://lindat.mff.cuni.cz/services/SynSemClass40/SynSemClass40.html?veclass=vec00112#vec00112-ces-cm00006", "vec00112")</f>
        <v>vec00112</v>
      </c>
      <c r="F47964" s="0" t="s">
        <v>16985</v>
      </c>
    </row>
    <row r="47965" customFormat="false" ht="12.8" hidden="false" customHeight="false" outlineLevel="0" collapsed="false">
      <c r="B47965" s="0" t="s">
        <v>1</v>
      </c>
      <c r="C47965" s="0" t="s">
        <v>4264</v>
      </c>
      <c r="E47965" s="0" t="s">
        <v>16986</v>
      </c>
      <c r="F47965" s="0" t="s">
        <v>16987</v>
      </c>
    </row>
    <row r="47966" customFormat="false" ht="12.8" hidden="false" customHeight="false" outlineLevel="0" collapsed="false">
      <c r="B47966" s="0" t="s">
        <v>8</v>
      </c>
      <c r="C47966" s="0" t="s">
        <v>8563</v>
      </c>
      <c r="E47966" s="0" t="s">
        <v>180</v>
      </c>
      <c r="F47966" s="0" t="s">
        <v>16988</v>
      </c>
    </row>
    <row r="47967" customFormat="false" ht="12.8" hidden="false" customHeight="false" outlineLevel="0" collapsed="false">
      <c r="B47967" s="0" t="s">
        <v>101</v>
      </c>
    </row>
    <row r="47969" customFormat="false" ht="12.8" hidden="false" customHeight="false" outlineLevel="0" collapsed="false">
      <c r="A47969" s="0" t="s">
        <v>16989</v>
      </c>
      <c r="B47969" s="0" t="str">
        <f aca="false">HYPERLINK("https://lindat.mff.cuni.cz/services/teitok/pdtc10/index.php?action=vallex&amp;frame=v-w5898f5", "sázet (v-w5898f5)")</f>
        <v>sázet (v-w5898f5)</v>
      </c>
    </row>
    <row r="47970" customFormat="false" ht="12.8" hidden="false" customHeight="false" outlineLevel="0" collapsed="false">
      <c r="B47970" s="0" t="s">
        <v>1</v>
      </c>
    </row>
    <row r="47971" customFormat="false" ht="12.8" hidden="false" customHeight="false" outlineLevel="0" collapsed="false">
      <c r="B47971" s="0" t="s">
        <v>8</v>
      </c>
    </row>
    <row r="47972" customFormat="false" ht="12.8" hidden="false" customHeight="false" outlineLevel="0" collapsed="false">
      <c r="B47972" s="0" t="s">
        <v>164</v>
      </c>
    </row>
    <row r="47974" customFormat="false" ht="12.8" hidden="false" customHeight="false" outlineLevel="0" collapsed="false">
      <c r="A47974" s="0" t="s">
        <v>16990</v>
      </c>
      <c r="B47974" s="0" t="str">
        <f aca="false">HYPERLINK("https://lindat.mff.cuni.cz/services/teitok/pdtc10/index.php?action=vallex&amp;frame=v-w5898f4", "sázet (v-w5898f4)")</f>
        <v>sázet (v-w5898f4)</v>
      </c>
    </row>
    <row r="47975" customFormat="false" ht="12.8" hidden="false" customHeight="false" outlineLevel="0" collapsed="false">
      <c r="B47975" s="0" t="s">
        <v>1</v>
      </c>
    </row>
    <row r="47976" customFormat="false" ht="12.8" hidden="false" customHeight="false" outlineLevel="0" collapsed="false">
      <c r="B47976" s="0" t="s">
        <v>8</v>
      </c>
    </row>
    <row r="47978" customFormat="false" ht="12.8" hidden="false" customHeight="false" outlineLevel="0" collapsed="false">
      <c r="A47978" s="0" t="s">
        <v>16991</v>
      </c>
      <c r="B47978" s="0" t="str">
        <f aca="false">HYPERLINK("https://lindat.mff.cuni.cz/services/teitok/pdtc10/index.php?action=vallex&amp;frame=v-w5898f1", "sázet (v-w5898f1)")</f>
        <v>sázet (v-w5898f1)</v>
      </c>
      <c r="E47978" s="0" t="str">
        <f aca="false">HYPERLINK("https://lindat.mff.cuni.cz/services/SynSemClass40/SynSemClass40.html?veclass=vec00112#vec00112-ces-cm00001", "vec00112")</f>
        <v>vec00112</v>
      </c>
      <c r="F47978" s="0" t="s">
        <v>16985</v>
      </c>
    </row>
    <row r="47979" customFormat="false" ht="12.8" hidden="false" customHeight="false" outlineLevel="0" collapsed="false">
      <c r="B47979" s="0" t="s">
        <v>1</v>
      </c>
      <c r="C47979" s="0" t="s">
        <v>4264</v>
      </c>
      <c r="E47979" s="0" t="s">
        <v>16986</v>
      </c>
      <c r="F47979" s="0" t="s">
        <v>16987</v>
      </c>
    </row>
    <row r="47980" customFormat="false" ht="12.8" hidden="false" customHeight="false" outlineLevel="0" collapsed="false">
      <c r="B47980" s="0" t="s">
        <v>45</v>
      </c>
      <c r="C47980" s="0" t="s">
        <v>8563</v>
      </c>
      <c r="E47980" s="0" t="s">
        <v>180</v>
      </c>
      <c r="F47980" s="0" t="s">
        <v>16988</v>
      </c>
    </row>
    <row r="47982" customFormat="false" ht="12.8" hidden="false" customHeight="false" outlineLevel="0" collapsed="false">
      <c r="A47982" s="0" t="s">
        <v>16992</v>
      </c>
      <c r="B47982" s="0" t="str">
        <f aca="false">HYPERLINK("https://lindat.mff.cuni.cz/services/teitok/pdtc10/index.php?action=vallex&amp;frame=v-w11583_ZUf3_ZU", "sázet se (v-w11583_ZUf3_ZU)")</f>
        <v>sázet se (v-w11583_ZUf3_ZU)</v>
      </c>
      <c r="E47982" s="0" t="str">
        <f aca="false">HYPERLINK("https://lindat.mff.cuni.cz/services/SynSemClass40/SynSemClass40.html?veclass=vec01148#vec01148-ces-cm00003", "vec01148")</f>
        <v>vec01148</v>
      </c>
      <c r="F47982" s="0" t="s">
        <v>16993</v>
      </c>
    </row>
    <row r="47983" customFormat="false" ht="12.8" hidden="false" customHeight="false" outlineLevel="0" collapsed="false">
      <c r="B47983" s="0" t="s">
        <v>1</v>
      </c>
      <c r="C47983" s="0" t="s">
        <v>447</v>
      </c>
      <c r="E47983" s="0" t="s">
        <v>2241</v>
      </c>
      <c r="F47983" s="0" t="s">
        <v>16994</v>
      </c>
    </row>
    <row r="47984" customFormat="false" ht="12.8" hidden="false" customHeight="false" outlineLevel="0" collapsed="false">
      <c r="B47984" s="0" t="s">
        <v>276</v>
      </c>
      <c r="C47984" s="0" t="s">
        <v>16995</v>
      </c>
      <c r="E47984" s="0" t="s">
        <v>2247</v>
      </c>
      <c r="F47984" s="0" t="s">
        <v>16996</v>
      </c>
    </row>
    <row r="47985" customFormat="false" ht="12.8" hidden="false" customHeight="false" outlineLevel="0" collapsed="false">
      <c r="B47985" s="0" t="s">
        <v>16997</v>
      </c>
      <c r="C47985" s="0" t="s">
        <v>2590</v>
      </c>
      <c r="E47985" s="0" t="s">
        <v>15052</v>
      </c>
      <c r="F47985" s="0" t="s">
        <v>16998</v>
      </c>
    </row>
    <row r="47986" customFormat="false" ht="12.8" hidden="false" customHeight="false" outlineLevel="0" collapsed="false">
      <c r="B47986" s="0" t="s">
        <v>3152</v>
      </c>
      <c r="C47986" s="0" t="s">
        <v>16999</v>
      </c>
      <c r="E47986" s="0" t="s">
        <v>424</v>
      </c>
      <c r="F47986" s="0" t="s">
        <v>17000</v>
      </c>
    </row>
    <row r="47988" customFormat="false" ht="12.8" hidden="false" customHeight="false" outlineLevel="0" collapsed="false">
      <c r="A47988" s="0" t="s">
        <v>16992</v>
      </c>
      <c r="B47988" s="0" t="str">
        <f aca="false">HYPERLINK("https://lindat.mff.cuni.cz/services/teitok/pdtc10/index.php?action=vallex&amp;frame=v-w11583_ZUf1_ZU", "sázet se (v-w11583_ZUf1_ZU) - substituted with v-w11583_ZUf3_ZU")</f>
        <v>sázet se (v-w11583_ZUf1_ZU) - substituted with v-w11583_ZUf3_ZU</v>
      </c>
    </row>
    <row r="47989" customFormat="false" ht="12.8" hidden="false" customHeight="false" outlineLevel="0" collapsed="false">
      <c r="B47989" s="0" t="s">
        <v>1</v>
      </c>
    </row>
    <row r="47990" customFormat="false" ht="12.8" hidden="false" customHeight="false" outlineLevel="0" collapsed="false">
      <c r="B47990" s="0" t="s">
        <v>276</v>
      </c>
    </row>
    <row r="47991" customFormat="false" ht="12.8" hidden="false" customHeight="false" outlineLevel="0" collapsed="false">
      <c r="B47991" s="0" t="s">
        <v>16997</v>
      </c>
    </row>
    <row r="47992" customFormat="false" ht="12.8" hidden="false" customHeight="false" outlineLevel="0" collapsed="false">
      <c r="B47992" s="0" t="s">
        <v>3152</v>
      </c>
    </row>
    <row r="47994" customFormat="false" ht="12.8" hidden="false" customHeight="false" outlineLevel="0" collapsed="false">
      <c r="A47994" s="0" t="s">
        <v>16992</v>
      </c>
      <c r="B47994" s="0" t="str">
        <f aca="false">HYPERLINK("https://lindat.mff.cuni.cz/services/teitok/pdtc10/index.php?action=vallex&amp;frame=v-w11583_ZUf2_ZU", "sázet se (v-w11583_ZUf2_ZU) - substituted with v-w11583_ZUf3_ZU")</f>
        <v>sázet se (v-w11583_ZUf2_ZU) - substituted with v-w11583_ZUf3_ZU</v>
      </c>
    </row>
    <row r="47995" customFormat="false" ht="12.8" hidden="false" customHeight="false" outlineLevel="0" collapsed="false">
      <c r="B47995" s="0" t="s">
        <v>1</v>
      </c>
    </row>
    <row r="47996" customFormat="false" ht="12.8" hidden="false" customHeight="false" outlineLevel="0" collapsed="false">
      <c r="B47996" s="0" t="s">
        <v>276</v>
      </c>
    </row>
    <row r="47997" customFormat="false" ht="12.8" hidden="false" customHeight="false" outlineLevel="0" collapsed="false">
      <c r="B47997" s="0" t="s">
        <v>16997</v>
      </c>
    </row>
    <row r="47998" customFormat="false" ht="12.8" hidden="false" customHeight="false" outlineLevel="0" collapsed="false">
      <c r="B47998" s="0" t="s">
        <v>3152</v>
      </c>
    </row>
    <row r="48000" customFormat="false" ht="12.8" hidden="false" customHeight="false" outlineLevel="0" collapsed="false">
      <c r="A48000" s="0" t="s">
        <v>17001</v>
      </c>
      <c r="B48000" s="0" t="str">
        <f aca="false">HYPERLINK("https://lindat.mff.cuni.cz/services/teitok/pdtc10/index.php?action=vallex&amp;frame=v-whsa_1543hsa_1544", "sáňkovat (v-whsa_1543hsa_1544)")</f>
        <v>sáňkovat (v-whsa_1543hsa_1544)</v>
      </c>
    </row>
    <row r="48001" customFormat="false" ht="12.8" hidden="false" customHeight="false" outlineLevel="0" collapsed="false">
      <c r="B48001" s="0" t="s">
        <v>1</v>
      </c>
    </row>
    <row r="48003" customFormat="false" ht="12.8" hidden="false" customHeight="false" outlineLevel="0" collapsed="false">
      <c r="A48003" s="0" t="s">
        <v>17002</v>
      </c>
      <c r="B48003" s="0" t="str">
        <f aca="false">HYPERLINK("https://lindat.mff.cuni.cz/services/teitok/pdtc10/index.php?action=vallex&amp;frame=v-w6061f1", "sídlit (v-w6061f1)")</f>
        <v>sídlit (v-w6061f1)</v>
      </c>
      <c r="E48003" s="0" t="str">
        <f aca="false">HYPERLINK("https://lindat.mff.cuni.cz/services/SynSemClass40/SynSemClass40.html?veclass=vec00308#vec00308-ces-cm00001", "vec00308")</f>
        <v>vec00308</v>
      </c>
      <c r="F48003" s="0" t="s">
        <v>6005</v>
      </c>
    </row>
    <row r="48004" customFormat="false" ht="12.8" hidden="false" customHeight="false" outlineLevel="0" collapsed="false">
      <c r="B48004" s="0" t="s">
        <v>1</v>
      </c>
      <c r="C48004" s="0" t="s">
        <v>6006</v>
      </c>
      <c r="E48004" s="0" t="s">
        <v>6007</v>
      </c>
      <c r="F48004" s="0" t="s">
        <v>6008</v>
      </c>
    </row>
    <row r="48005" customFormat="false" ht="12.8" hidden="false" customHeight="false" outlineLevel="0" collapsed="false">
      <c r="B48005" s="0" t="s">
        <v>5</v>
      </c>
      <c r="C48005" s="0" t="s">
        <v>6009</v>
      </c>
      <c r="E48005" s="0" t="s">
        <v>3254</v>
      </c>
      <c r="F48005" s="0" t="s">
        <v>6010</v>
      </c>
    </row>
    <row r="48007" customFormat="false" ht="12.8" hidden="false" customHeight="false" outlineLevel="0" collapsed="false">
      <c r="A48007" s="0" t="s">
        <v>17003</v>
      </c>
      <c r="B48007" s="0" t="str">
        <f aca="false">HYPERLINK("https://lindat.mff.cuni.cz/services/teitok/pdtc10/index.php?action=vallex&amp;frame=v-w6069f1", "sílit (v-w6069f1)")</f>
        <v>sílit (v-w6069f1)</v>
      </c>
      <c r="E48007" s="0" t="str">
        <f aca="false">HYPERLINK("https://lindat.mff.cuni.cz/services/SynSemClass40/SynSemClass40.html?veclass=vec00510#vec00510-ces-cm00021", "vec00510")</f>
        <v>vec00510</v>
      </c>
      <c r="F48007" s="0" t="s">
        <v>4074</v>
      </c>
    </row>
    <row r="48008" customFormat="false" ht="12.8" hidden="false" customHeight="false" outlineLevel="0" collapsed="false">
      <c r="B48008" s="0" t="s">
        <v>1</v>
      </c>
      <c r="C48008" s="0" t="s">
        <v>5871</v>
      </c>
      <c r="E48008" s="0" t="s">
        <v>84</v>
      </c>
      <c r="F48008" s="0" t="s">
        <v>4077</v>
      </c>
    </row>
    <row r="48010" customFormat="false" ht="12.8" hidden="false" customHeight="false" outlineLevel="0" collapsed="false">
      <c r="A48010" s="0" t="s">
        <v>17004</v>
      </c>
      <c r="B48010" s="0" t="str">
        <f aca="false">HYPERLINK("https://lindat.mff.cuni.cz/services/teitok/pdtc10/index.php?action=vallex&amp;frame=v-w10061f2", "sípat (v-w10061f2)")</f>
        <v>sípat (v-w10061f2)</v>
      </c>
      <c r="E48010" s="0" t="str">
        <f aca="false">HYPERLINK("https://lindat.mff.cuni.cz/services/SynSemClass40/SynSemClass40.html?veclass=vec01110#vec01110-ces-cm00001", "vec01110")</f>
        <v>vec01110</v>
      </c>
      <c r="F48010" s="0" t="s">
        <v>1485</v>
      </c>
    </row>
    <row r="48011" customFormat="false" ht="12.8" hidden="false" customHeight="false" outlineLevel="0" collapsed="false">
      <c r="B48011" s="0" t="s">
        <v>1</v>
      </c>
      <c r="C48011" s="0" t="s">
        <v>459</v>
      </c>
      <c r="E48011" s="0" t="s">
        <v>11</v>
      </c>
      <c r="F48011" s="0" t="s">
        <v>1486</v>
      </c>
    </row>
    <row r="48013" customFormat="false" ht="12.8" hidden="false" customHeight="false" outlineLevel="0" collapsed="false">
      <c r="A48013" s="0" t="s">
        <v>17005</v>
      </c>
      <c r="B48013" s="0" t="str">
        <f aca="false">HYPERLINK("https://lindat.mff.cuni.cz/services/teitok/pdtc10/index.php?action=vallex&amp;frame=v-w10575f2", "sít (v-w10575f2)")</f>
        <v>sít (v-w10575f2)</v>
      </c>
      <c r="E48013" s="0" t="str">
        <f aca="false">HYPERLINK("https://lindat.mff.cuni.cz/services/SynSemClass40/SynSemClass40.html?veclass=vec01111#vec01111-ces-cm00001", "vec01111")</f>
        <v>vec01111</v>
      </c>
      <c r="F48013" s="0" t="s">
        <v>17006</v>
      </c>
    </row>
    <row r="48014" customFormat="false" ht="12.8" hidden="false" customHeight="false" outlineLevel="0" collapsed="false">
      <c r="B48014" s="0" t="s">
        <v>1</v>
      </c>
      <c r="C48014" s="0" t="s">
        <v>447</v>
      </c>
      <c r="E48014" s="0" t="s">
        <v>17007</v>
      </c>
      <c r="F48014" s="0" t="s">
        <v>17008</v>
      </c>
    </row>
    <row r="48015" customFormat="false" ht="12.8" hidden="false" customHeight="false" outlineLevel="0" collapsed="false">
      <c r="B48015" s="0" t="s">
        <v>8</v>
      </c>
      <c r="C48015" s="0" t="s">
        <v>531</v>
      </c>
      <c r="E48015" s="0" t="s">
        <v>17009</v>
      </c>
      <c r="F48015" s="0" t="s">
        <v>17010</v>
      </c>
    </row>
    <row r="48017" customFormat="false" ht="12.8" hidden="false" customHeight="false" outlineLevel="0" collapsed="false">
      <c r="A48017" s="0" t="s">
        <v>17011</v>
      </c>
      <c r="B48017" s="0" t="str">
        <f aca="false">HYPERLINK("https://lindat.mff.cuni.cz/services/teitok/pdtc10/index.php?action=vallex&amp;frame=v-w6686f1", "sýčkovat (v-w6686f1)")</f>
        <v>sýčkovat (v-w6686f1)</v>
      </c>
    </row>
    <row r="48018" customFormat="false" ht="12.8" hidden="false" customHeight="false" outlineLevel="0" collapsed="false">
      <c r="B48018" s="0" t="s">
        <v>1</v>
      </c>
    </row>
    <row r="48019" customFormat="false" ht="12.8" hidden="false" customHeight="false" outlineLevel="0" collapsed="false">
      <c r="B48019" s="0" t="s">
        <v>17012</v>
      </c>
    </row>
    <row r="48020" customFormat="false" ht="12.8" hidden="false" customHeight="false" outlineLevel="0" collapsed="false">
      <c r="B48020" s="0" t="s">
        <v>496</v>
      </c>
    </row>
    <row r="48022" customFormat="false" ht="12.8" hidden="false" customHeight="false" outlineLevel="0" collapsed="false">
      <c r="A48022" s="0" t="s">
        <v>17013</v>
      </c>
      <c r="B48022" s="0" t="str">
        <f aca="false">HYPERLINK("https://lindat.mff.cuni.cz/services/teitok/pdtc10/index.php?action=vallex&amp;frame=v-w5916f1", "sčítat (v-w5916f1)")</f>
        <v>sčítat (v-w5916f1)</v>
      </c>
      <c r="E48022" s="0" t="str">
        <f aca="false">HYPERLINK("https://lindat.mff.cuni.cz/services/SynSemClass40/SynSemClass40.html?veclass=vec00919#vec00919-ces-cm00001", "vec00919")</f>
        <v>vec00919</v>
      </c>
      <c r="F48022" s="0" t="s">
        <v>15775</v>
      </c>
    </row>
    <row r="48023" customFormat="false" ht="12.8" hidden="false" customHeight="false" outlineLevel="0" collapsed="false">
      <c r="B48023" s="0" t="s">
        <v>1</v>
      </c>
      <c r="E48023" s="0" t="s">
        <v>31</v>
      </c>
      <c r="F48023" s="0" t="s">
        <v>49</v>
      </c>
    </row>
    <row r="48024" customFormat="false" ht="12.8" hidden="false" customHeight="false" outlineLevel="0" collapsed="false">
      <c r="B48024" s="0" t="s">
        <v>8</v>
      </c>
      <c r="C48024" s="0" t="s">
        <v>798</v>
      </c>
      <c r="E48024" s="0" t="s">
        <v>110</v>
      </c>
      <c r="F48024" s="0" t="s">
        <v>15776</v>
      </c>
    </row>
    <row r="48026" customFormat="false" ht="12.8" hidden="false" customHeight="false" outlineLevel="0" collapsed="false">
      <c r="A48026" s="0" t="s">
        <v>17014</v>
      </c>
      <c r="B48026" s="0" t="str">
        <f aca="false">HYPERLINK("https://lindat.mff.cuni.cz/services/teitok/pdtc10/index.php?action=vallex&amp;frame=v-whsa_128hsa_129", "sžírat (v-whsa_128hsa_129)")</f>
        <v>sžírat (v-whsa_128hsa_129)</v>
      </c>
    </row>
    <row r="48027" customFormat="false" ht="12.8" hidden="false" customHeight="false" outlineLevel="0" collapsed="false">
      <c r="B48027" s="0" t="s">
        <v>1</v>
      </c>
    </row>
    <row r="48028" customFormat="false" ht="12.8" hidden="false" customHeight="false" outlineLevel="0" collapsed="false">
      <c r="B48028" s="0" t="s">
        <v>8</v>
      </c>
    </row>
    <row r="48030" customFormat="false" ht="12.8" hidden="false" customHeight="false" outlineLevel="0" collapsed="false">
      <c r="A48030" s="0" t="s">
        <v>17015</v>
      </c>
      <c r="B48030" s="0" t="str">
        <f aca="false">HYPERLINK("https://lindat.mff.cuni.cz/services/teitok/pdtc10/index.php?action=vallex&amp;frame=v-w6701f1", "sžít se (v-w6701f1)")</f>
        <v>sžít se (v-w6701f1)</v>
      </c>
    </row>
    <row r="48031" customFormat="false" ht="12.8" hidden="false" customHeight="false" outlineLevel="0" collapsed="false">
      <c r="B48031" s="0" t="s">
        <v>1</v>
      </c>
    </row>
    <row r="48032" customFormat="false" ht="12.8" hidden="false" customHeight="false" outlineLevel="0" collapsed="false">
      <c r="B48032" s="0" t="s">
        <v>721</v>
      </c>
    </row>
    <row r="48034" customFormat="false" ht="12.8" hidden="false" customHeight="false" outlineLevel="0" collapsed="false">
      <c r="A48034" s="0" t="s">
        <v>17016</v>
      </c>
      <c r="B48034" s="0" t="str">
        <f aca="false">HYPERLINK("https://lindat.mff.cuni.cz/services/teitok/pdtc10/index.php?action=vallex&amp;frame=v-w6767f1", "tabuizovat (v-w6767f1)")</f>
        <v>tabuizovat (v-w6767f1)</v>
      </c>
    </row>
    <row r="48035" customFormat="false" ht="12.8" hidden="false" customHeight="false" outlineLevel="0" collapsed="false">
      <c r="B48035" s="0" t="s">
        <v>1</v>
      </c>
    </row>
    <row r="48036" customFormat="false" ht="12.8" hidden="false" customHeight="false" outlineLevel="0" collapsed="false">
      <c r="B48036" s="0" t="s">
        <v>8</v>
      </c>
    </row>
    <row r="48038" customFormat="false" ht="12.8" hidden="false" customHeight="false" outlineLevel="0" collapsed="false">
      <c r="A48038" s="0" t="s">
        <v>17017</v>
      </c>
      <c r="B48038" s="0" t="str">
        <f aca="false">HYPERLINK("https://lindat.mff.cuni.cz/services/teitok/pdtc10/index.php?action=vallex&amp;frame=v-w6770f1", "tahat (v-w6770f1)")</f>
        <v>tahat (v-w6770f1)</v>
      </c>
    </row>
    <row r="48039" customFormat="false" ht="12.8" hidden="false" customHeight="false" outlineLevel="0" collapsed="false">
      <c r="B48039" s="0" t="s">
        <v>1</v>
      </c>
    </row>
    <row r="48040" customFormat="false" ht="12.8" hidden="false" customHeight="false" outlineLevel="0" collapsed="false">
      <c r="B48040" s="0" t="s">
        <v>17018</v>
      </c>
    </row>
    <row r="48042" customFormat="false" ht="12.8" hidden="false" customHeight="false" outlineLevel="0" collapsed="false">
      <c r="A48042" s="0" t="s">
        <v>17019</v>
      </c>
      <c r="B48042" s="0" t="str">
        <f aca="false">HYPERLINK("https://lindat.mff.cuni.cz/services/teitok/pdtc10/index.php?action=vallex&amp;frame=v-w6770f2_ZU", "tahat (v-w6770f2_ZU)")</f>
        <v>tahat (v-w6770f2_ZU)</v>
      </c>
    </row>
    <row r="48043" customFormat="false" ht="12.8" hidden="false" customHeight="false" outlineLevel="0" collapsed="false">
      <c r="B48043" s="0" t="s">
        <v>1</v>
      </c>
    </row>
    <row r="48044" customFormat="false" ht="12.8" hidden="false" customHeight="false" outlineLevel="0" collapsed="false">
      <c r="B48044" s="0" t="s">
        <v>17020</v>
      </c>
    </row>
    <row r="48046" customFormat="false" ht="12.8" hidden="false" customHeight="false" outlineLevel="0" collapsed="false">
      <c r="A48046" s="0" t="s">
        <v>17019</v>
      </c>
      <c r="B48046" s="0" t="str">
        <f aca="false">HYPERLINK("https://lindat.mff.cuni.cz/services/teitok/pdtc10/index.php?action=vallex&amp;frame=v-w6770hsa_215", "tahat (v-w6770hsa_215) - substituted with v-w6770f2_ZU")</f>
        <v>tahat (v-w6770hsa_215) - substituted with v-w6770f2_ZU</v>
      </c>
    </row>
    <row r="48047" customFormat="false" ht="12.8" hidden="false" customHeight="false" outlineLevel="0" collapsed="false">
      <c r="B48047" s="0" t="s">
        <v>1</v>
      </c>
    </row>
    <row r="48048" customFormat="false" ht="12.8" hidden="false" customHeight="false" outlineLevel="0" collapsed="false">
      <c r="B48048" s="0" t="s">
        <v>17020</v>
      </c>
    </row>
    <row r="48050" customFormat="false" ht="12.8" hidden="false" customHeight="false" outlineLevel="0" collapsed="false">
      <c r="A48050" s="0" t="s">
        <v>17021</v>
      </c>
      <c r="B48050" s="0" t="str">
        <f aca="false">HYPERLINK("https://lindat.mff.cuni.cz/services/teitok/pdtc10/index.php?action=vallex&amp;frame=v-w6770hsa_216", "tahat (v-w6770hsa_216)")</f>
        <v>tahat (v-w6770hsa_216)</v>
      </c>
      <c r="E48050" s="0" t="str">
        <f aca="false">HYPERLINK("https://lindat.mff.cuni.cz/services/SynSemClass40/SynSemClass40.html?veclass=vec01146#vec01146-ces-cm00006", "vec01146")</f>
        <v>vec01146</v>
      </c>
      <c r="F48050" s="0" t="s">
        <v>17022</v>
      </c>
    </row>
    <row r="48051" customFormat="false" ht="12.8" hidden="false" customHeight="false" outlineLevel="0" collapsed="false">
      <c r="B48051" s="0" t="s">
        <v>1</v>
      </c>
      <c r="C48051" s="0" t="s">
        <v>447</v>
      </c>
      <c r="E48051" s="0" t="s">
        <v>2196</v>
      </c>
      <c r="F48051" s="0" t="s">
        <v>17023</v>
      </c>
    </row>
    <row r="48052" customFormat="false" ht="12.8" hidden="false" customHeight="false" outlineLevel="0" collapsed="false">
      <c r="B48052" s="0" t="s">
        <v>8</v>
      </c>
      <c r="C48052" s="0" t="s">
        <v>639</v>
      </c>
      <c r="E48052" s="0" t="s">
        <v>2200</v>
      </c>
      <c r="F48052" s="0" t="s">
        <v>17024</v>
      </c>
    </row>
    <row r="48054" customFormat="false" ht="12.8" hidden="false" customHeight="false" outlineLevel="0" collapsed="false">
      <c r="A48054" s="0" t="s">
        <v>17025</v>
      </c>
      <c r="B48054" s="0" t="str">
        <f aca="false">HYPERLINK("https://lindat.mff.cuni.cz/services/teitok/pdtc10/index.php?action=vallex&amp;frame=v-w6770f4_ZU", "tahat (v-w6770f4_ZU)")</f>
        <v>tahat (v-w6770f4_ZU)</v>
      </c>
    </row>
    <row r="48055" customFormat="false" ht="12.8" hidden="false" customHeight="false" outlineLevel="0" collapsed="false">
      <c r="B48055" s="0" t="s">
        <v>1</v>
      </c>
    </row>
    <row r="48056" customFormat="false" ht="12.8" hidden="false" customHeight="false" outlineLevel="0" collapsed="false">
      <c r="B48056" s="0" t="s">
        <v>8</v>
      </c>
    </row>
    <row r="48057" customFormat="false" ht="12.8" hidden="false" customHeight="false" outlineLevel="0" collapsed="false">
      <c r="B48057" s="0" t="s">
        <v>164</v>
      </c>
    </row>
    <row r="48059" customFormat="false" ht="12.8" hidden="false" customHeight="false" outlineLevel="0" collapsed="false">
      <c r="A48059" s="0" t="s">
        <v>17025</v>
      </c>
      <c r="B48059" s="0" t="str">
        <f aca="false">HYPERLINK("https://lindat.mff.cuni.cz/services/teitok/pdtc10/index.php?action=vallex&amp;frame=v-w6770hsa_1275", "tahat (v-w6770hsa_1275) - substituted with v-w6770f4_ZU")</f>
        <v>tahat (v-w6770hsa_1275) - substituted with v-w6770f4_ZU</v>
      </c>
    </row>
    <row r="48060" customFormat="false" ht="12.8" hidden="false" customHeight="false" outlineLevel="0" collapsed="false">
      <c r="B48060" s="0" t="s">
        <v>1</v>
      </c>
    </row>
    <row r="48061" customFormat="false" ht="12.8" hidden="false" customHeight="false" outlineLevel="0" collapsed="false">
      <c r="B48061" s="0" t="s">
        <v>8</v>
      </c>
    </row>
    <row r="48062" customFormat="false" ht="12.8" hidden="false" customHeight="false" outlineLevel="0" collapsed="false">
      <c r="B48062" s="0" t="s">
        <v>164</v>
      </c>
    </row>
    <row r="48064" customFormat="false" ht="12.8" hidden="false" customHeight="false" outlineLevel="0" collapsed="false">
      <c r="A48064" s="0" t="s">
        <v>17026</v>
      </c>
      <c r="B48064" s="0" t="str">
        <f aca="false">HYPERLINK("https://lindat.mff.cuni.cz/services/teitok/pdtc10/index.php?action=vallex&amp;frame=v-w6770f5_ZU", "tahat (v-w6770f5_ZU)")</f>
        <v>tahat (v-w6770f5_ZU)</v>
      </c>
    </row>
    <row r="48065" customFormat="false" ht="12.8" hidden="false" customHeight="false" outlineLevel="0" collapsed="false">
      <c r="B48065" s="0" t="s">
        <v>1</v>
      </c>
    </row>
    <row r="48066" customFormat="false" ht="12.8" hidden="false" customHeight="false" outlineLevel="0" collapsed="false">
      <c r="B48066" s="0" t="s">
        <v>8</v>
      </c>
    </row>
    <row r="48068" customFormat="false" ht="12.8" hidden="false" customHeight="false" outlineLevel="0" collapsed="false">
      <c r="A48068" s="0" t="s">
        <v>17026</v>
      </c>
      <c r="B48068" s="0" t="str">
        <f aca="false">HYPERLINK("https://lindat.mff.cuni.cz/services/teitok/pdtc10/index.php?action=vallex&amp;frame=v-w6770f3_ZU", "tahat (v-w6770f3_ZU) - substituted with v-w6770f5_ZU")</f>
        <v>tahat (v-w6770f3_ZU) - substituted with v-w6770f5_ZU</v>
      </c>
    </row>
    <row r="48069" customFormat="false" ht="12.8" hidden="false" customHeight="false" outlineLevel="0" collapsed="false">
      <c r="B48069" s="0" t="s">
        <v>1</v>
      </c>
    </row>
    <row r="48070" customFormat="false" ht="12.8" hidden="false" customHeight="false" outlineLevel="0" collapsed="false">
      <c r="B48070" s="0" t="s">
        <v>8</v>
      </c>
    </row>
    <row r="48072" customFormat="false" ht="12.8" hidden="false" customHeight="false" outlineLevel="0" collapsed="false">
      <c r="A48072" s="0" t="s">
        <v>17026</v>
      </c>
      <c r="B48072" s="0" t="str">
        <f aca="false">HYPERLINK("https://lindat.mff.cuni.cz/services/teitok/pdtc10/index.php?action=vallex&amp;frame=v-w6770hsa_1274", "tahat (v-w6770hsa_1274) - substituted with v-w6770f5_ZU")</f>
        <v>tahat (v-w6770hsa_1274) - substituted with v-w6770f5_ZU</v>
      </c>
    </row>
    <row r="48073" customFormat="false" ht="12.8" hidden="false" customHeight="false" outlineLevel="0" collapsed="false">
      <c r="B48073" s="0" t="s">
        <v>1</v>
      </c>
    </row>
    <row r="48074" customFormat="false" ht="12.8" hidden="false" customHeight="false" outlineLevel="0" collapsed="false">
      <c r="B48074" s="0" t="s">
        <v>8</v>
      </c>
    </row>
    <row r="48076" customFormat="false" ht="12.8" hidden="false" customHeight="false" outlineLevel="0" collapsed="false">
      <c r="A48076" s="0" t="s">
        <v>17027</v>
      </c>
      <c r="B48076" s="0" t="str">
        <f aca="false">HYPERLINK("https://lindat.mff.cuni.cz/services/teitok/pdtc10/index.php?action=vallex&amp;frame=v-w6770f7_ZU", "tahat (v-w6770f7_ZU)")</f>
        <v>tahat (v-w6770f7_ZU)</v>
      </c>
    </row>
    <row r="48077" customFormat="false" ht="12.8" hidden="false" customHeight="false" outlineLevel="0" collapsed="false">
      <c r="B48077" s="0" t="s">
        <v>1</v>
      </c>
    </row>
    <row r="48078" customFormat="false" ht="12.8" hidden="false" customHeight="false" outlineLevel="0" collapsed="false">
      <c r="B48078" s="0" t="s">
        <v>8</v>
      </c>
    </row>
    <row r="48080" customFormat="false" ht="12.8" hidden="false" customHeight="false" outlineLevel="0" collapsed="false">
      <c r="A48080" s="0" t="s">
        <v>17027</v>
      </c>
      <c r="B48080" s="0" t="str">
        <f aca="false">HYPERLINK("https://lindat.mff.cuni.cz/services/teitok/pdtc10/index.php?action=vallex&amp;frame=v-w6770f6_ZU", "tahat (v-w6770f6_ZU) - substituted with v-w6770f7_ZU")</f>
        <v>tahat (v-w6770f6_ZU) - substituted with v-w6770f7_ZU</v>
      </c>
    </row>
    <row r="48081" customFormat="false" ht="12.8" hidden="false" customHeight="false" outlineLevel="0" collapsed="false">
      <c r="B48081" s="0" t="s">
        <v>1</v>
      </c>
    </row>
    <row r="48082" customFormat="false" ht="12.8" hidden="false" customHeight="false" outlineLevel="0" collapsed="false">
      <c r="B48082" s="0" t="s">
        <v>8</v>
      </c>
    </row>
    <row r="48084" customFormat="false" ht="12.8" hidden="false" customHeight="false" outlineLevel="0" collapsed="false">
      <c r="A48084" s="0" t="s">
        <v>17027</v>
      </c>
      <c r="B48084" s="0" t="str">
        <f aca="false">HYPERLINK("https://lindat.mff.cuni.cz/services/teitok/pdtc10/index.php?action=vallex&amp;frame=v-w6770hsa_1276", "tahat (v-w6770hsa_1276) - substituted with v-w6770f7_ZU")</f>
        <v>tahat (v-w6770hsa_1276) - substituted with v-w6770f7_ZU</v>
      </c>
    </row>
    <row r="48085" customFormat="false" ht="12.8" hidden="false" customHeight="false" outlineLevel="0" collapsed="false">
      <c r="B48085" s="0" t="s">
        <v>1</v>
      </c>
    </row>
    <row r="48086" customFormat="false" ht="12.8" hidden="false" customHeight="false" outlineLevel="0" collapsed="false">
      <c r="B48086" s="0" t="s">
        <v>8</v>
      </c>
    </row>
    <row r="48088" customFormat="false" ht="12.8" hidden="false" customHeight="false" outlineLevel="0" collapsed="false">
      <c r="A48088" s="0" t="s">
        <v>17028</v>
      </c>
      <c r="B48088" s="0" t="str">
        <f aca="false">HYPERLINK("https://lindat.mff.cuni.cz/services/teitok/pdtc10/index.php?action=vallex&amp;frame=v-w6770hsa_1273", "tahat (v-w6770hsa_1273)")</f>
        <v>tahat (v-w6770hsa_1273)</v>
      </c>
    </row>
    <row r="48089" customFormat="false" ht="12.8" hidden="false" customHeight="false" outlineLevel="0" collapsed="false">
      <c r="B48089" s="0" t="s">
        <v>1</v>
      </c>
    </row>
    <row r="48090" customFormat="false" ht="12.8" hidden="false" customHeight="false" outlineLevel="0" collapsed="false">
      <c r="B48090" s="0" t="s">
        <v>8</v>
      </c>
    </row>
    <row r="48092" customFormat="false" ht="12.8" hidden="false" customHeight="false" outlineLevel="0" collapsed="false">
      <c r="A48092" s="0" t="s">
        <v>17029</v>
      </c>
      <c r="B48092" s="0" t="str">
        <f aca="false">HYPERLINK("https://lindat.mff.cuni.cz/services/teitok/pdtc10/index.php?action=vallex&amp;frame=v-w6774f1", "tajit (v-w6774f1)")</f>
        <v>tajit (v-w6774f1)</v>
      </c>
      <c r="E48092" s="0" t="str">
        <f aca="false">HYPERLINK("https://lindat.mff.cuni.cz/services/SynSemClass40/SynSemClass40.html?veclass=vec00514#vec00514-ces-cm00004", "vec00514")</f>
        <v>vec00514</v>
      </c>
      <c r="F48092" s="0" t="s">
        <v>5808</v>
      </c>
    </row>
    <row r="48093" customFormat="false" ht="12.8" hidden="false" customHeight="false" outlineLevel="0" collapsed="false">
      <c r="B48093" s="0" t="s">
        <v>1</v>
      </c>
      <c r="C48093" s="0" t="s">
        <v>5809</v>
      </c>
      <c r="E48093" s="0" t="s">
        <v>4243</v>
      </c>
      <c r="F48093" s="0" t="s">
        <v>5810</v>
      </c>
    </row>
    <row r="48094" customFormat="false" ht="12.8" hidden="false" customHeight="false" outlineLevel="0" collapsed="false">
      <c r="B48094" s="0" t="s">
        <v>4245</v>
      </c>
      <c r="C48094" s="0" t="s">
        <v>5811</v>
      </c>
      <c r="E48094" s="0" t="s">
        <v>4246</v>
      </c>
      <c r="F48094" s="0" t="s">
        <v>5812</v>
      </c>
    </row>
    <row r="48095" customFormat="false" ht="12.8" hidden="false" customHeight="false" outlineLevel="0" collapsed="false">
      <c r="B48095" s="0" t="s">
        <v>381</v>
      </c>
      <c r="C48095" s="0" t="s">
        <v>5813</v>
      </c>
      <c r="E48095" s="0" t="s">
        <v>5814</v>
      </c>
      <c r="F48095" s="0" t="s">
        <v>5815</v>
      </c>
    </row>
    <row r="48097" customFormat="false" ht="12.8" hidden="false" customHeight="false" outlineLevel="0" collapsed="false">
      <c r="A48097" s="0" t="s">
        <v>17030</v>
      </c>
      <c r="B48097" s="0" t="str">
        <f aca="false">HYPERLINK("https://lindat.mff.cuni.cz/services/teitok/pdtc10/index.php?action=vallex&amp;frame=v-w6774f2", "tajit (v-w6774f2)")</f>
        <v>tajit (v-w6774f2)</v>
      </c>
    </row>
    <row r="48098" customFormat="false" ht="12.8" hidden="false" customHeight="false" outlineLevel="0" collapsed="false">
      <c r="B48098" s="0" t="s">
        <v>1</v>
      </c>
    </row>
    <row r="48099" customFormat="false" ht="12.8" hidden="false" customHeight="false" outlineLevel="0" collapsed="false">
      <c r="B48099" s="0" t="s">
        <v>15552</v>
      </c>
    </row>
    <row r="48100" customFormat="false" ht="12.8" hidden="false" customHeight="false" outlineLevel="0" collapsed="false">
      <c r="B48100" s="0" t="s">
        <v>496</v>
      </c>
    </row>
    <row r="48101" customFormat="false" ht="12.8" hidden="false" customHeight="false" outlineLevel="0" collapsed="false">
      <c r="B48101" s="0" t="s">
        <v>4248</v>
      </c>
    </row>
    <row r="48103" customFormat="false" ht="12.8" hidden="false" customHeight="false" outlineLevel="0" collapsed="false">
      <c r="A48103" s="0" t="s">
        <v>17031</v>
      </c>
      <c r="B48103" s="0" t="str">
        <f aca="false">HYPERLINK("https://lindat.mff.cuni.cz/services/teitok/pdtc10/index.php?action=vallex&amp;frame=v-w6775f1", "tajit se (v-w6775f1)")</f>
        <v>tajit se (v-w6775f1)</v>
      </c>
    </row>
    <row r="48104" customFormat="false" ht="12.8" hidden="false" customHeight="false" outlineLevel="0" collapsed="false">
      <c r="B48104" s="0" t="s">
        <v>1</v>
      </c>
    </row>
    <row r="48105" customFormat="false" ht="12.8" hidden="false" customHeight="false" outlineLevel="0" collapsed="false">
      <c r="B48105" s="0" t="s">
        <v>17032</v>
      </c>
    </row>
    <row r="48107" customFormat="false" ht="12.8" hidden="false" customHeight="false" outlineLevel="0" collapsed="false">
      <c r="A48107" s="0" t="s">
        <v>17033</v>
      </c>
      <c r="B48107" s="0" t="str">
        <f aca="false">HYPERLINK("https://lindat.mff.cuni.cz/services/teitok/pdtc10/index.php?action=vallex&amp;frame=v-w11601_ZUf3_ZU", "taktovat (v-w11601_ZUf3_ZU)")</f>
        <v>taktovat (v-w11601_ZUf3_ZU)</v>
      </c>
    </row>
    <row r="48108" customFormat="false" ht="12.8" hidden="false" customHeight="false" outlineLevel="0" collapsed="false">
      <c r="B48108" s="0" t="s">
        <v>1</v>
      </c>
    </row>
    <row r="48109" customFormat="false" ht="12.8" hidden="false" customHeight="false" outlineLevel="0" collapsed="false">
      <c r="B48109" s="0" t="s">
        <v>8</v>
      </c>
    </row>
    <row r="48110" customFormat="false" ht="12.8" hidden="false" customHeight="false" outlineLevel="0" collapsed="false">
      <c r="B48110" s="0" t="s">
        <v>36</v>
      </c>
    </row>
    <row r="48111" customFormat="false" ht="12.8" hidden="false" customHeight="false" outlineLevel="0" collapsed="false">
      <c r="B48111" s="0" t="s">
        <v>101</v>
      </c>
    </row>
    <row r="48113" customFormat="false" ht="12.8" hidden="false" customHeight="false" outlineLevel="0" collapsed="false">
      <c r="A48113" s="0" t="s">
        <v>17033</v>
      </c>
      <c r="B48113" s="0" t="str">
        <f aca="false">HYPERLINK("https://lindat.mff.cuni.cz/services/teitok/pdtc10/index.php?action=vallex&amp;frame=v-w11601_ZUf1_ZU", "taktovat (v-w11601_ZUf1_ZU) - substituted with v-w11601_ZUf3_ZU")</f>
        <v>taktovat (v-w11601_ZUf1_ZU) - substituted with v-w11601_ZUf3_ZU</v>
      </c>
    </row>
    <row r="48114" customFormat="false" ht="12.8" hidden="false" customHeight="false" outlineLevel="0" collapsed="false">
      <c r="B48114" s="0" t="s">
        <v>1</v>
      </c>
    </row>
    <row r="48115" customFormat="false" ht="12.8" hidden="false" customHeight="false" outlineLevel="0" collapsed="false">
      <c r="B48115" s="0" t="s">
        <v>8</v>
      </c>
    </row>
    <row r="48116" customFormat="false" ht="12.8" hidden="false" customHeight="false" outlineLevel="0" collapsed="false">
      <c r="B48116" s="0" t="s">
        <v>36</v>
      </c>
    </row>
    <row r="48117" customFormat="false" ht="12.8" hidden="false" customHeight="false" outlineLevel="0" collapsed="false">
      <c r="B48117" s="0" t="s">
        <v>101</v>
      </c>
    </row>
    <row r="48119" customFormat="false" ht="12.8" hidden="false" customHeight="false" outlineLevel="0" collapsed="false">
      <c r="A48119" s="0" t="s">
        <v>17033</v>
      </c>
      <c r="B48119" s="0" t="str">
        <f aca="false">HYPERLINK("https://lindat.mff.cuni.cz/services/teitok/pdtc10/index.php?action=vallex&amp;frame=v-w11601_ZUf2_ZU", "taktovat (v-w11601_ZUf2_ZU) - substituted with v-w11601_ZUf3_ZU")</f>
        <v>taktovat (v-w11601_ZUf2_ZU) - substituted with v-w11601_ZUf3_ZU</v>
      </c>
    </row>
    <row r="48120" customFormat="false" ht="12.8" hidden="false" customHeight="false" outlineLevel="0" collapsed="false">
      <c r="B48120" s="0" t="s">
        <v>1</v>
      </c>
    </row>
    <row r="48121" customFormat="false" ht="12.8" hidden="false" customHeight="false" outlineLevel="0" collapsed="false">
      <c r="B48121" s="0" t="s">
        <v>8</v>
      </c>
    </row>
    <row r="48122" customFormat="false" ht="12.8" hidden="false" customHeight="false" outlineLevel="0" collapsed="false">
      <c r="B48122" s="0" t="s">
        <v>36</v>
      </c>
    </row>
    <row r="48123" customFormat="false" ht="12.8" hidden="false" customHeight="false" outlineLevel="0" collapsed="false">
      <c r="B48123" s="0" t="s">
        <v>101</v>
      </c>
    </row>
    <row r="48125" customFormat="false" ht="12.8" hidden="false" customHeight="false" outlineLevel="0" collapsed="false">
      <c r="A48125" s="0" t="s">
        <v>17034</v>
      </c>
      <c r="B48125" s="0" t="str">
        <f aca="false">HYPERLINK("https://lindat.mff.cuni.cz/services/teitok/pdtc10/index.php?action=vallex&amp;frame=v-w6777f1", "tancovat (v-w6777f1)")</f>
        <v>tancovat (v-w6777f1)</v>
      </c>
      <c r="E48125" s="0" t="str">
        <f aca="false">HYPERLINK("https://lindat.mff.cuni.cz/services/SynSemClass40/SynSemClass40.html?veclass=vec00934#vec00934-ces-cm00002", "vec00934")</f>
        <v>vec00934</v>
      </c>
      <c r="F48125" s="0" t="s">
        <v>1485</v>
      </c>
    </row>
    <row r="48126" customFormat="false" ht="12.8" hidden="false" customHeight="false" outlineLevel="0" collapsed="false">
      <c r="B48126" s="0" t="s">
        <v>1</v>
      </c>
      <c r="C48126" s="0" t="s">
        <v>459</v>
      </c>
      <c r="E48126" s="0" t="s">
        <v>11</v>
      </c>
      <c r="F48126" s="0" t="s">
        <v>1486</v>
      </c>
    </row>
    <row r="48127" customFormat="false" ht="12.8" hidden="false" customHeight="false" outlineLevel="0" collapsed="false">
      <c r="B48127" s="0" t="s">
        <v>390</v>
      </c>
    </row>
    <row r="48129" customFormat="false" ht="12.8" hidden="false" customHeight="false" outlineLevel="0" collapsed="false">
      <c r="A48129" s="0" t="s">
        <v>17035</v>
      </c>
      <c r="B48129" s="0" t="str">
        <f aca="false">HYPERLINK("https://lindat.mff.cuni.cz/services/teitok/pdtc10/index.php?action=vallex&amp;frame=v-w6782f1", "tankovat (v-w6782f1)")</f>
        <v>tankovat (v-w6782f1)</v>
      </c>
    </row>
    <row r="48130" customFormat="false" ht="12.8" hidden="false" customHeight="false" outlineLevel="0" collapsed="false">
      <c r="B48130" s="0" t="s">
        <v>1</v>
      </c>
    </row>
    <row r="48131" customFormat="false" ht="12.8" hidden="false" customHeight="false" outlineLevel="0" collapsed="false">
      <c r="B48131" s="0" t="s">
        <v>8</v>
      </c>
    </row>
    <row r="48133" customFormat="false" ht="12.8" hidden="false" customHeight="false" outlineLevel="0" collapsed="false">
      <c r="A48133" s="0" t="s">
        <v>17036</v>
      </c>
      <c r="B48133" s="0" t="str">
        <f aca="false">HYPERLINK("https://lindat.mff.cuni.cz/services/teitok/pdtc10/index.php?action=vallex&amp;frame=v-w12224_ZUf1_ZU", "tanout (v-w12224_ZUf1_ZU)")</f>
        <v>tanout (v-w12224_ZUf1_ZU)</v>
      </c>
    </row>
    <row r="48134" customFormat="false" ht="12.8" hidden="false" customHeight="false" outlineLevel="0" collapsed="false">
      <c r="B48134" s="0" t="s">
        <v>1</v>
      </c>
    </row>
    <row r="48135" customFormat="false" ht="12.8" hidden="false" customHeight="false" outlineLevel="0" collapsed="false">
      <c r="B48135" s="0" t="s">
        <v>6626</v>
      </c>
    </row>
    <row r="48136" customFormat="false" ht="12.8" hidden="false" customHeight="false" outlineLevel="0" collapsed="false">
      <c r="B48136" s="0" t="s">
        <v>186</v>
      </c>
    </row>
    <row r="48138" customFormat="false" ht="12.8" hidden="false" customHeight="false" outlineLevel="0" collapsed="false">
      <c r="A48138" s="0" t="s">
        <v>17037</v>
      </c>
      <c r="B48138" s="0" t="str">
        <f aca="false">HYPERLINK("https://lindat.mff.cuni.cz/services/teitok/pdtc10/index.php?action=vallex&amp;frame=v-w6778f1", "tančit (v-w6778f1)")</f>
        <v>tančit (v-w6778f1)</v>
      </c>
      <c r="E48138" s="0" t="str">
        <f aca="false">HYPERLINK("https://lindat.mff.cuni.cz/services/SynSemClass40/SynSemClass40.html?veclass=vec00934#vec00934-ces-cm00001", "vec00934")</f>
        <v>vec00934</v>
      </c>
      <c r="F48138" s="0" t="s">
        <v>1485</v>
      </c>
    </row>
    <row r="48139" customFormat="false" ht="12.8" hidden="false" customHeight="false" outlineLevel="0" collapsed="false">
      <c r="B48139" s="0" t="s">
        <v>1</v>
      </c>
      <c r="C48139" s="0" t="s">
        <v>459</v>
      </c>
      <c r="E48139" s="0" t="s">
        <v>11</v>
      </c>
      <c r="F48139" s="0" t="s">
        <v>1486</v>
      </c>
    </row>
    <row r="48140" customFormat="false" ht="12.8" hidden="false" customHeight="false" outlineLevel="0" collapsed="false">
      <c r="B48140" s="0" t="s">
        <v>390</v>
      </c>
    </row>
    <row r="48142" customFormat="false" ht="12.8" hidden="false" customHeight="false" outlineLevel="0" collapsed="false">
      <c r="A48142" s="0" t="s">
        <v>17038</v>
      </c>
      <c r="B48142" s="0" t="str">
        <f aca="false">HYPERLINK("https://lindat.mff.cuni.cz/services/teitok/pdtc10/index.php?action=vallex&amp;frame=v-w6786f1", "tasit (v-w6786f1)")</f>
        <v>tasit (v-w6786f1)</v>
      </c>
    </row>
    <row r="48143" customFormat="false" ht="12.8" hidden="false" customHeight="false" outlineLevel="0" collapsed="false">
      <c r="B48143" s="0" t="s">
        <v>1</v>
      </c>
    </row>
    <row r="48144" customFormat="false" ht="12.8" hidden="false" customHeight="false" outlineLevel="0" collapsed="false">
      <c r="B48144" s="0" t="s">
        <v>8</v>
      </c>
    </row>
    <row r="48146" customFormat="false" ht="12.8" hidden="false" customHeight="false" outlineLevel="0" collapsed="false">
      <c r="A48146" s="0" t="s">
        <v>17039</v>
      </c>
      <c r="B48146" s="0" t="str">
        <f aca="false">HYPERLINK("https://lindat.mff.cuni.cz/services/teitok/pdtc10/index.php?action=vallex&amp;frame=v-w6786f2", "tasit (v-w6786f2)")</f>
        <v>tasit (v-w6786f2)</v>
      </c>
    </row>
    <row r="48147" customFormat="false" ht="12.8" hidden="false" customHeight="false" outlineLevel="0" collapsed="false">
      <c r="B48147" s="0" t="s">
        <v>1</v>
      </c>
    </row>
    <row r="48148" customFormat="false" ht="12.8" hidden="false" customHeight="false" outlineLevel="0" collapsed="false">
      <c r="B48148" s="0" t="s">
        <v>8</v>
      </c>
    </row>
    <row r="48150" customFormat="false" ht="12.8" hidden="false" customHeight="false" outlineLevel="0" collapsed="false">
      <c r="A48150" s="0" t="s">
        <v>17040</v>
      </c>
      <c r="B48150" s="0" t="str">
        <f aca="false">HYPERLINK("https://lindat.mff.cuni.cz/services/teitok/pdtc10/index.php?action=vallex&amp;frame=v-w6790f1", "taxikařit (v-w6790f1)")</f>
        <v>taxikařit (v-w6790f1)</v>
      </c>
    </row>
    <row r="48151" customFormat="false" ht="12.8" hidden="false" customHeight="false" outlineLevel="0" collapsed="false">
      <c r="B48151" s="0" t="s">
        <v>1</v>
      </c>
    </row>
    <row r="48153" customFormat="false" ht="12.8" hidden="false" customHeight="false" outlineLevel="0" collapsed="false">
      <c r="A48153" s="0" t="s">
        <v>17041</v>
      </c>
      <c r="B48153" s="0" t="str">
        <f aca="false">HYPERLINK("https://lindat.mff.cuni.cz/services/teitok/pdtc10/index.php?action=vallex&amp;frame=v-w6796f1", "tejpovat (v-w6796f1)")</f>
        <v>tejpovat (v-w6796f1)</v>
      </c>
    </row>
    <row r="48154" customFormat="false" ht="12.8" hidden="false" customHeight="false" outlineLevel="0" collapsed="false">
      <c r="B48154" s="0" t="s">
        <v>1</v>
      </c>
    </row>
    <row r="48155" customFormat="false" ht="12.8" hidden="false" customHeight="false" outlineLevel="0" collapsed="false">
      <c r="B48155" s="0" t="s">
        <v>8</v>
      </c>
    </row>
    <row r="48157" customFormat="false" ht="12.8" hidden="false" customHeight="false" outlineLevel="0" collapsed="false">
      <c r="A48157" s="0" t="s">
        <v>17042</v>
      </c>
      <c r="B48157" s="0" t="str">
        <f aca="false">HYPERLINK("https://lindat.mff.cuni.cz/services/teitok/pdtc10/index.php?action=vallex&amp;frame=v-w6800f3", "telefonovat (v-w6800f3)")</f>
        <v>telefonovat (v-w6800f3)</v>
      </c>
      <c r="E48157" s="0" t="str">
        <f aca="false">HYPERLINK("https://lindat.mff.cuni.cz/services/SynSemClass40/SynSemClass40.html?veclass=vec00581#vec00581-ces-cm00012", "vec00581")</f>
        <v>vec00581</v>
      </c>
      <c r="F48157" s="0" t="s">
        <v>10256</v>
      </c>
    </row>
    <row r="48158" customFormat="false" ht="12.8" hidden="false" customHeight="false" outlineLevel="0" collapsed="false">
      <c r="B48158" s="0" t="s">
        <v>1</v>
      </c>
      <c r="C48158" s="0" t="s">
        <v>3241</v>
      </c>
      <c r="E48158" s="0" t="s">
        <v>147</v>
      </c>
      <c r="F48158" s="0" t="s">
        <v>10257</v>
      </c>
    </row>
    <row r="48159" customFormat="false" ht="12.8" hidden="false" customHeight="false" outlineLevel="0" collapsed="false">
      <c r="B48159" s="0" t="s">
        <v>500</v>
      </c>
      <c r="C48159" s="0" t="s">
        <v>9512</v>
      </c>
      <c r="E48159" s="0" t="s">
        <v>218</v>
      </c>
      <c r="F48159" s="0" t="s">
        <v>17043</v>
      </c>
    </row>
    <row r="48160" customFormat="false" ht="12.8" hidden="false" customHeight="false" outlineLevel="0" collapsed="false">
      <c r="B48160" s="0" t="s">
        <v>52</v>
      </c>
      <c r="C48160" s="0" t="s">
        <v>551</v>
      </c>
      <c r="E48160" s="0" t="s">
        <v>221</v>
      </c>
      <c r="F48160" s="0" t="s">
        <v>17044</v>
      </c>
    </row>
    <row r="48162" customFormat="false" ht="12.8" hidden="false" customHeight="false" outlineLevel="0" collapsed="false">
      <c r="A48162" s="0" t="s">
        <v>17045</v>
      </c>
      <c r="B48162" s="0" t="str">
        <f aca="false">HYPERLINK("https://lindat.mff.cuni.cz/services/teitok/pdtc10/index.php?action=vallex&amp;frame=v-w6800f2", "telefonovat (v-w6800f2)")</f>
        <v>telefonovat (v-w6800f2)</v>
      </c>
    </row>
    <row r="48163" customFormat="false" ht="12.8" hidden="false" customHeight="false" outlineLevel="0" collapsed="false">
      <c r="B48163" s="0" t="s">
        <v>1</v>
      </c>
    </row>
    <row r="48164" customFormat="false" ht="12.8" hidden="false" customHeight="false" outlineLevel="0" collapsed="false">
      <c r="B48164" s="0" t="s">
        <v>318</v>
      </c>
    </row>
    <row r="48165" customFormat="false" ht="12.8" hidden="false" customHeight="false" outlineLevel="0" collapsed="false">
      <c r="B48165" s="0" t="s">
        <v>3205</v>
      </c>
    </row>
    <row r="48167" customFormat="false" ht="12.8" hidden="false" customHeight="false" outlineLevel="0" collapsed="false">
      <c r="A48167" s="0" t="s">
        <v>17046</v>
      </c>
      <c r="B48167" s="0" t="str">
        <f aca="false">HYPERLINK("https://lindat.mff.cuni.cz/services/teitok/pdtc10/index.php?action=vallex&amp;frame=v-w6800f4", "telefonovat (v-w6800f4)")</f>
        <v>telefonovat (v-w6800f4)</v>
      </c>
      <c r="E48167" s="0" t="str">
        <f aca="false">HYPERLINK("https://lindat.mff.cuni.cz/services/SynSemClass40/SynSemClass40.html?veclass=vec00581#vec00581-ces-cm00013", "vec00581")</f>
        <v>vec00581</v>
      </c>
      <c r="F48167" s="0" t="s">
        <v>10256</v>
      </c>
    </row>
    <row r="48168" customFormat="false" ht="12.8" hidden="false" customHeight="false" outlineLevel="0" collapsed="false">
      <c r="B48168" s="0" t="s">
        <v>1</v>
      </c>
      <c r="C48168" s="0" t="s">
        <v>3241</v>
      </c>
      <c r="E48168" s="0" t="s">
        <v>147</v>
      </c>
      <c r="F48168" s="0" t="s">
        <v>10257</v>
      </c>
    </row>
    <row r="48169" customFormat="false" ht="12.8" hidden="false" customHeight="false" outlineLevel="0" collapsed="false">
      <c r="B48169" s="0" t="s">
        <v>52</v>
      </c>
      <c r="C48169" s="0" t="s">
        <v>551</v>
      </c>
      <c r="E48169" s="0" t="s">
        <v>221</v>
      </c>
      <c r="F48169" s="0" t="s">
        <v>17044</v>
      </c>
    </row>
    <row r="48170" customFormat="false" ht="12.8" hidden="false" customHeight="false" outlineLevel="0" collapsed="false">
      <c r="B48170" s="0" t="s">
        <v>496</v>
      </c>
      <c r="C48170" s="0" t="s">
        <v>9512</v>
      </c>
      <c r="E48170" s="0" t="s">
        <v>218</v>
      </c>
      <c r="F48170" s="0" t="s">
        <v>17043</v>
      </c>
    </row>
    <row r="48172" customFormat="false" ht="12.8" hidden="false" customHeight="false" outlineLevel="0" collapsed="false">
      <c r="A48172" s="0" t="s">
        <v>17047</v>
      </c>
      <c r="B48172" s="0" t="str">
        <f aca="false">HYPERLINK("https://lindat.mff.cuni.cz/services/teitok/pdtc10/index.php?action=vallex&amp;frame=v-w6800f1", "telefonovat (v-w6800f1)")</f>
        <v>telefonovat (v-w6800f1)</v>
      </c>
    </row>
    <row r="48173" customFormat="false" ht="12.8" hidden="false" customHeight="false" outlineLevel="0" collapsed="false">
      <c r="B48173" s="0" t="s">
        <v>1</v>
      </c>
    </row>
    <row r="48174" customFormat="false" ht="12.8" hidden="false" customHeight="false" outlineLevel="0" collapsed="false">
      <c r="B48174" s="0" t="s">
        <v>52</v>
      </c>
    </row>
    <row r="48175" customFormat="false" ht="12.8" hidden="false" customHeight="false" outlineLevel="0" collapsed="false">
      <c r="B48175" s="0" t="s">
        <v>6407</v>
      </c>
    </row>
    <row r="48176" customFormat="false" ht="12.8" hidden="false" customHeight="false" outlineLevel="0" collapsed="false">
      <c r="B48176" s="0" t="s">
        <v>496</v>
      </c>
    </row>
    <row r="48178" customFormat="false" ht="12.8" hidden="false" customHeight="false" outlineLevel="0" collapsed="false">
      <c r="A48178" s="0" t="s">
        <v>17048</v>
      </c>
      <c r="B48178" s="0" t="str">
        <f aca="false">HYPERLINK("https://lindat.mff.cuni.cz/services/teitok/pdtc10/index.php?action=vallex&amp;frame=v-w6800f5", "telefonovat (v-w6800f5)")</f>
        <v>telefonovat (v-w6800f5)</v>
      </c>
      <c r="E48178" s="0" t="str">
        <f aca="false">HYPERLINK("https://lindat.mff.cuni.cz/services/SynSemClass40/SynSemClass40.html?veclass=vec00581#vec00581-ces-cm00014", "vec00581")</f>
        <v>vec00581</v>
      </c>
      <c r="F48178" s="0" t="s">
        <v>10256</v>
      </c>
    </row>
    <row r="48179" customFormat="false" ht="12.8" hidden="false" customHeight="false" outlineLevel="0" collapsed="false">
      <c r="B48179" s="0" t="s">
        <v>1</v>
      </c>
      <c r="C48179" s="0" t="s">
        <v>3241</v>
      </c>
      <c r="E48179" s="0" t="s">
        <v>147</v>
      </c>
      <c r="F48179" s="0" t="s">
        <v>10257</v>
      </c>
    </row>
    <row r="48180" customFormat="false" ht="12.8" hidden="false" customHeight="false" outlineLevel="0" collapsed="false">
      <c r="B48180" s="0" t="s">
        <v>164</v>
      </c>
      <c r="C48180" s="0" t="s">
        <v>17049</v>
      </c>
      <c r="E48180" s="0" t="s">
        <v>13264</v>
      </c>
      <c r="F48180" s="0" t="s">
        <v>17050</v>
      </c>
    </row>
    <row r="48181" customFormat="false" ht="12.8" hidden="false" customHeight="false" outlineLevel="0" collapsed="false">
      <c r="B48181" s="0" t="s">
        <v>496</v>
      </c>
      <c r="C48181" s="0" t="s">
        <v>9512</v>
      </c>
      <c r="E48181" s="0" t="s">
        <v>218</v>
      </c>
      <c r="F48181" s="0" t="s">
        <v>17043</v>
      </c>
    </row>
    <row r="48183" customFormat="false" ht="12.8" hidden="false" customHeight="false" outlineLevel="0" collapsed="false">
      <c r="A48183" s="0" t="s">
        <v>17051</v>
      </c>
      <c r="B48183" s="0" t="str">
        <f aca="false">HYPERLINK("https://lindat.mff.cuni.cz/services/teitok/pdtc10/index.php?action=vallex&amp;frame=v-w6800hsa_742", "telefonovat (v-w6800hsa_742)")</f>
        <v>telefonovat (v-w6800hsa_742)</v>
      </c>
      <c r="E48183" s="0" t="str">
        <f aca="false">HYPERLINK("https://lindat.mff.cuni.cz/services/SynSemClass40/SynSemClass40.html?veclass=vec00581#vec00581-ces-cm00019", "vec00581")</f>
        <v>vec00581</v>
      </c>
      <c r="F48183" s="0" t="s">
        <v>10256</v>
      </c>
    </row>
    <row r="48184" customFormat="false" ht="12.8" hidden="false" customHeight="false" outlineLevel="0" collapsed="false">
      <c r="B48184" s="0" t="s">
        <v>1</v>
      </c>
      <c r="C48184" s="0" t="s">
        <v>3241</v>
      </c>
      <c r="E48184" s="0" t="s">
        <v>147</v>
      </c>
      <c r="F48184" s="0" t="s">
        <v>10257</v>
      </c>
    </row>
    <row r="48185" customFormat="false" ht="12.8" hidden="false" customHeight="false" outlineLevel="0" collapsed="false">
      <c r="B48185" s="0" t="s">
        <v>8</v>
      </c>
      <c r="C48185" s="0" t="s">
        <v>9512</v>
      </c>
      <c r="E48185" s="0" t="s">
        <v>218</v>
      </c>
      <c r="F48185" s="0" t="s">
        <v>17043</v>
      </c>
    </row>
    <row r="48186" customFormat="false" ht="12.8" hidden="false" customHeight="false" outlineLevel="0" collapsed="false">
      <c r="B48186" s="0" t="s">
        <v>164</v>
      </c>
      <c r="C48186" s="0" t="s">
        <v>17049</v>
      </c>
      <c r="E48186" s="0" t="s">
        <v>13264</v>
      </c>
      <c r="F48186" s="0" t="s">
        <v>17050</v>
      </c>
    </row>
    <row r="48188" customFormat="false" ht="12.8" hidden="false" customHeight="false" outlineLevel="0" collapsed="false">
      <c r="A48188" s="0" t="s">
        <v>17052</v>
      </c>
      <c r="B48188" s="0" t="str">
        <f aca="false">HYPERLINK("https://lindat.mff.cuni.cz/services/teitok/pdtc10/index.php?action=vallex&amp;frame=v-w11602_ZUf1_ZU", "telegrafovat (v-w11602_ZUf1_ZU)")</f>
        <v>telegrafovat (v-w11602_ZUf1_ZU)</v>
      </c>
    </row>
    <row r="48189" customFormat="false" ht="12.8" hidden="false" customHeight="false" outlineLevel="0" collapsed="false">
      <c r="B48189" s="0" t="s">
        <v>1</v>
      </c>
    </row>
    <row r="48190" customFormat="false" ht="12.8" hidden="false" customHeight="false" outlineLevel="0" collapsed="false">
      <c r="B48190" s="0" t="s">
        <v>8</v>
      </c>
    </row>
    <row r="48191" customFormat="false" ht="12.8" hidden="false" customHeight="false" outlineLevel="0" collapsed="false">
      <c r="B48191" s="0" t="s">
        <v>52</v>
      </c>
    </row>
    <row r="48193" customFormat="false" ht="12.8" hidden="false" customHeight="false" outlineLevel="0" collapsed="false">
      <c r="A48193" s="0" t="s">
        <v>17053</v>
      </c>
      <c r="B48193" s="0" t="str">
        <f aca="false">HYPERLINK("https://lindat.mff.cuni.cz/services/teitok/pdtc10/index.php?action=vallex&amp;frame=v-w6802f1", "tematizovat (v-w6802f1)")</f>
        <v>tematizovat (v-w6802f1)</v>
      </c>
    </row>
    <row r="48194" customFormat="false" ht="12.8" hidden="false" customHeight="false" outlineLevel="0" collapsed="false">
      <c r="B48194" s="0" t="s">
        <v>1</v>
      </c>
    </row>
    <row r="48195" customFormat="false" ht="12.8" hidden="false" customHeight="false" outlineLevel="0" collapsed="false">
      <c r="B48195" s="0" t="s">
        <v>8</v>
      </c>
    </row>
    <row r="48197" customFormat="false" ht="12.8" hidden="false" customHeight="false" outlineLevel="0" collapsed="false">
      <c r="A48197" s="0" t="s">
        <v>17054</v>
      </c>
      <c r="B48197" s="0" t="str">
        <f aca="false">HYPERLINK("https://lindat.mff.cuni.cz/services/teitok/pdtc10/index.php?action=vallex&amp;frame=v-w6805f1", "tendovat (v-w6805f1)")</f>
        <v>tendovat (v-w6805f1)</v>
      </c>
    </row>
    <row r="48198" customFormat="false" ht="12.8" hidden="false" customHeight="false" outlineLevel="0" collapsed="false">
      <c r="B48198" s="0" t="s">
        <v>1</v>
      </c>
    </row>
    <row r="48199" customFormat="false" ht="12.8" hidden="false" customHeight="false" outlineLevel="0" collapsed="false">
      <c r="B48199" s="0" t="s">
        <v>311</v>
      </c>
    </row>
    <row r="48201" customFormat="false" ht="12.8" hidden="false" customHeight="false" outlineLevel="0" collapsed="false">
      <c r="A48201" s="0" t="s">
        <v>17055</v>
      </c>
      <c r="B48201" s="0" t="str">
        <f aca="false">HYPERLINK("https://lindat.mff.cuni.cz/services/teitok/pdtc10/index.php?action=vallex&amp;frame=v-w6803f1", "tenčit se (v-w6803f1)")</f>
        <v>tenčit se (v-w6803f1)</v>
      </c>
    </row>
    <row r="48202" customFormat="false" ht="12.8" hidden="false" customHeight="false" outlineLevel="0" collapsed="false">
      <c r="B48202" s="0" t="s">
        <v>1</v>
      </c>
    </row>
    <row r="48203" customFormat="false" ht="12.8" hidden="false" customHeight="false" outlineLevel="0" collapsed="false">
      <c r="B48203" s="0" t="s">
        <v>69</v>
      </c>
    </row>
    <row r="48204" customFormat="false" ht="12.8" hidden="false" customHeight="false" outlineLevel="0" collapsed="false">
      <c r="B48204" s="0" t="s">
        <v>36</v>
      </c>
    </row>
    <row r="48206" customFormat="false" ht="12.8" hidden="false" customHeight="false" outlineLevel="0" collapsed="false">
      <c r="A48206" s="0" t="s">
        <v>17056</v>
      </c>
      <c r="B48206" s="0" t="str">
        <f aca="false">HYPERLINK("https://lindat.mff.cuni.cz/services/teitok/pdtc10/index.php?action=vallex&amp;frame=v-w10592hsa_1107", "teoretizovat (v-w10592hsa_1107)")</f>
        <v>teoretizovat (v-w10592hsa_1107)</v>
      </c>
      <c r="E48206" s="0" t="str">
        <f aca="false">HYPERLINK("https://lindat.mff.cuni.cz/services/SynSemClass40/SynSemClass40.html?veclass=vec01333#vec01333-ces-cm00004", "vec01333")</f>
        <v>vec01333</v>
      </c>
      <c r="F48206" s="0" t="s">
        <v>4133</v>
      </c>
    </row>
    <row r="48207" customFormat="false" ht="12.8" hidden="false" customHeight="false" outlineLevel="0" collapsed="false">
      <c r="B48207" s="0" t="s">
        <v>1</v>
      </c>
      <c r="C48207" s="0" t="s">
        <v>4134</v>
      </c>
      <c r="E48207" s="0" t="s">
        <v>621</v>
      </c>
      <c r="F48207" s="0" t="s">
        <v>4135</v>
      </c>
    </row>
    <row r="48208" customFormat="false" ht="12.8" hidden="false" customHeight="false" outlineLevel="0" collapsed="false">
      <c r="B48208" s="0" t="s">
        <v>17057</v>
      </c>
      <c r="C48208" s="0" t="s">
        <v>744</v>
      </c>
      <c r="E48208" s="0" t="s">
        <v>180</v>
      </c>
      <c r="F48208" s="0" t="s">
        <v>1755</v>
      </c>
    </row>
    <row r="48210" customFormat="false" ht="12.8" hidden="false" customHeight="false" outlineLevel="0" collapsed="false">
      <c r="A48210" s="0" t="s">
        <v>17056</v>
      </c>
      <c r="B48210" s="0" t="str">
        <f aca="false">HYPERLINK("https://lindat.mff.cuni.cz/services/teitok/pdtc10/index.php?action=vallex&amp;frame=v-w10592f2", "teoretizovat (v-w10592f2) - substituted with v-w10592hsa_1107")</f>
        <v>teoretizovat (v-w10592f2) - substituted with v-w10592hsa_1107</v>
      </c>
    </row>
    <row r="48211" customFormat="false" ht="12.8" hidden="false" customHeight="false" outlineLevel="0" collapsed="false">
      <c r="B48211" s="0" t="s">
        <v>1</v>
      </c>
    </row>
    <row r="48212" customFormat="false" ht="12.8" hidden="false" customHeight="false" outlineLevel="0" collapsed="false">
      <c r="B48212" s="0" t="s">
        <v>17057</v>
      </c>
    </row>
    <row r="48214" customFormat="false" ht="12.8" hidden="false" customHeight="false" outlineLevel="0" collapsed="false">
      <c r="A48214" s="0" t="s">
        <v>17058</v>
      </c>
      <c r="B48214" s="0" t="str">
        <f aca="false">HYPERLINK("https://lindat.mff.cuni.cz/services/teitok/pdtc10/index.php?action=vallex&amp;frame=v-w6808f1", "tepat (v-w6808f1)")</f>
        <v>tepat (v-w6808f1)</v>
      </c>
      <c r="E48214" s="0" t="str">
        <f aca="false">HYPERLINK("https://lindat.mff.cuni.cz/services/SynSemClass40/SynSemClass40.html?veclass=vec00230#vec00230-ces-cm00038", "vec00230")</f>
        <v>vec00230</v>
      </c>
      <c r="F48214" s="0" t="s">
        <v>4255</v>
      </c>
    </row>
    <row r="48215" customFormat="false" ht="12.8" hidden="false" customHeight="false" outlineLevel="0" collapsed="false">
      <c r="B48215" s="0" t="s">
        <v>1</v>
      </c>
      <c r="C48215" s="0" t="s">
        <v>5752</v>
      </c>
      <c r="E48215" s="0" t="s">
        <v>3750</v>
      </c>
      <c r="F48215" s="0" t="s">
        <v>4257</v>
      </c>
    </row>
    <row r="48216" customFormat="false" ht="12.8" hidden="false" customHeight="false" outlineLevel="0" collapsed="false">
      <c r="B48216" s="0" t="s">
        <v>8</v>
      </c>
      <c r="C48216" s="0" t="s">
        <v>5753</v>
      </c>
      <c r="E48216" s="0" t="s">
        <v>4259</v>
      </c>
      <c r="F48216" s="0" t="s">
        <v>4260</v>
      </c>
    </row>
    <row r="48218" customFormat="false" ht="12.8" hidden="false" customHeight="false" outlineLevel="0" collapsed="false">
      <c r="A48218" s="0" t="s">
        <v>17059</v>
      </c>
      <c r="B48218" s="0" t="str">
        <f aca="false">HYPERLINK("https://lindat.mff.cuni.cz/services/teitok/pdtc10/index.php?action=vallex&amp;frame=v-w6808f2", "tepat (v-w6808f2)")</f>
        <v>tepat (v-w6808f2)</v>
      </c>
      <c r="E48218" s="0" t="str">
        <f aca="false">HYPERLINK("https://lindat.mff.cuni.cz/services/SynSemClass40/SynSemClass40.html?veclass=vec01531#vec01531-ces-cm00014", "vec01531")</f>
        <v>vec01531</v>
      </c>
      <c r="F48218" s="0" t="s">
        <v>11180</v>
      </c>
    </row>
    <row r="48219" customFormat="false" ht="12.8" hidden="false" customHeight="false" outlineLevel="0" collapsed="false">
      <c r="B48219" s="0" t="s">
        <v>1</v>
      </c>
      <c r="E48219" s="0" t="s">
        <v>334</v>
      </c>
      <c r="F48219" s="0" t="s">
        <v>11032</v>
      </c>
    </row>
    <row r="48221" customFormat="false" ht="12.8" hidden="false" customHeight="false" outlineLevel="0" collapsed="false">
      <c r="A48221" s="0" t="s">
        <v>17060</v>
      </c>
      <c r="B48221" s="0" t="str">
        <f aca="false">HYPERLINK("https://lindat.mff.cuni.cz/services/teitok/pdtc10/index.php?action=vallex&amp;frame=v-w6811f1", "terorizovat (v-w6811f1)")</f>
        <v>terorizovat (v-w6811f1)</v>
      </c>
    </row>
    <row r="48222" customFormat="false" ht="12.8" hidden="false" customHeight="false" outlineLevel="0" collapsed="false">
      <c r="B48222" s="0" t="s">
        <v>1</v>
      </c>
    </row>
    <row r="48223" customFormat="false" ht="12.8" hidden="false" customHeight="false" outlineLevel="0" collapsed="false">
      <c r="B48223" s="0" t="s">
        <v>8</v>
      </c>
    </row>
    <row r="48225" customFormat="false" ht="12.8" hidden="false" customHeight="false" outlineLevel="0" collapsed="false">
      <c r="A48225" s="0" t="s">
        <v>17061</v>
      </c>
      <c r="B48225" s="0" t="str">
        <f aca="false">HYPERLINK("https://lindat.mff.cuni.cz/services/teitok/pdtc10/index.php?action=vallex&amp;frame=v-w6816f1", "testovat (v-w6816f1)")</f>
        <v>testovat (v-w6816f1)</v>
      </c>
      <c r="E48225" s="0" t="str">
        <f aca="false">HYPERLINK("https://lindat.mff.cuni.cz/services/SynSemClass40/SynSemClass40.html?veclass=vec00058#vec00058-ces-cm00006", "vec00058")</f>
        <v>vec00058</v>
      </c>
      <c r="F48225" s="0" t="s">
        <v>8689</v>
      </c>
    </row>
    <row r="48226" customFormat="false" ht="12.8" hidden="false" customHeight="false" outlineLevel="0" collapsed="false">
      <c r="B48226" s="0" t="s">
        <v>1</v>
      </c>
      <c r="C48226" s="0" t="s">
        <v>1322</v>
      </c>
      <c r="E48226" s="0" t="s">
        <v>4455</v>
      </c>
      <c r="F48226" s="0" t="s">
        <v>8690</v>
      </c>
    </row>
    <row r="48227" customFormat="false" ht="12.8" hidden="false" customHeight="false" outlineLevel="0" collapsed="false">
      <c r="B48227" s="0" t="s">
        <v>2493</v>
      </c>
      <c r="C48227" s="0" t="s">
        <v>8691</v>
      </c>
      <c r="E48227" s="0" t="s">
        <v>180</v>
      </c>
      <c r="F48227" s="0" t="s">
        <v>8692</v>
      </c>
    </row>
    <row r="48229" customFormat="false" ht="12.8" hidden="false" customHeight="false" outlineLevel="0" collapsed="false">
      <c r="A48229" s="0" t="s">
        <v>17062</v>
      </c>
      <c r="B48229" s="0" t="str">
        <f aca="false">HYPERLINK("https://lindat.mff.cuni.cz/services/teitok/pdtc10/index.php?action=vallex&amp;frame=v-w6821f1", "tetovat (v-w6821f1)")</f>
        <v>tetovat (v-w6821f1)</v>
      </c>
    </row>
    <row r="48230" customFormat="false" ht="12.8" hidden="false" customHeight="false" outlineLevel="0" collapsed="false">
      <c r="B48230" s="0" t="s">
        <v>1</v>
      </c>
    </row>
    <row r="48231" customFormat="false" ht="12.8" hidden="false" customHeight="false" outlineLevel="0" collapsed="false">
      <c r="B48231" s="0" t="s">
        <v>8</v>
      </c>
    </row>
    <row r="48233" customFormat="false" ht="12.8" hidden="false" customHeight="false" outlineLevel="0" collapsed="false">
      <c r="A48233" s="0" t="s">
        <v>17063</v>
      </c>
      <c r="B48233" s="0" t="str">
        <f aca="false">HYPERLINK("https://lindat.mff.cuni.cz/services/teitok/pdtc10/index.php?action=vallex&amp;frame=v-w6823f1", "textovat (v-w6823f1)")</f>
        <v>textovat (v-w6823f1)</v>
      </c>
    </row>
    <row r="48234" customFormat="false" ht="12.8" hidden="false" customHeight="false" outlineLevel="0" collapsed="false">
      <c r="B48234" s="0" t="s">
        <v>1</v>
      </c>
    </row>
    <row r="48235" customFormat="false" ht="12.8" hidden="false" customHeight="false" outlineLevel="0" collapsed="false">
      <c r="B48235" s="0" t="s">
        <v>8</v>
      </c>
    </row>
    <row r="48237" customFormat="false" ht="12.8" hidden="false" customHeight="false" outlineLevel="0" collapsed="false">
      <c r="A48237" s="0" t="s">
        <v>17064</v>
      </c>
      <c r="B48237" s="0" t="str">
        <f aca="false">HYPERLINK("https://lindat.mff.cuni.cz/services/teitok/pdtc10/index.php?action=vallex&amp;frame=v-w10154f2", "tečkovat (v-w10154f2)")</f>
        <v>tečkovat (v-w10154f2)</v>
      </c>
      <c r="E48237" s="0" t="str">
        <f aca="false">HYPERLINK("https://lindat.mff.cuni.cz/services/SynSemClass40/SynSemClass40.html?veclass=vec01123#vec01123-ces-cm00001", "vec01123")</f>
        <v>vec01123</v>
      </c>
      <c r="F48237" s="0" t="s">
        <v>17065</v>
      </c>
    </row>
    <row r="48238" customFormat="false" ht="12.8" hidden="false" customHeight="false" outlineLevel="0" collapsed="false">
      <c r="B48238" s="0" t="s">
        <v>1</v>
      </c>
      <c r="C48238" s="0" t="s">
        <v>17066</v>
      </c>
      <c r="E48238" s="0" t="s">
        <v>768</v>
      </c>
      <c r="F48238" s="0" t="s">
        <v>17067</v>
      </c>
    </row>
    <row r="48239" customFormat="false" ht="12.8" hidden="false" customHeight="false" outlineLevel="0" collapsed="false">
      <c r="B48239" s="0" t="s">
        <v>8</v>
      </c>
      <c r="C48239" s="0" t="s">
        <v>744</v>
      </c>
      <c r="E48239" s="0" t="s">
        <v>4060</v>
      </c>
      <c r="F48239" s="0" t="s">
        <v>17068</v>
      </c>
    </row>
    <row r="48241" customFormat="false" ht="12.8" hidden="false" customHeight="false" outlineLevel="0" collapsed="false">
      <c r="A48241" s="0" t="s">
        <v>17069</v>
      </c>
      <c r="B48241" s="0" t="str">
        <f aca="false">HYPERLINK("https://lindat.mff.cuni.cz/services/teitok/pdtc10/index.php?action=vallex&amp;frame=v-w6795f1", "tečovat (v-w6795f1)")</f>
        <v>tečovat (v-w6795f1)</v>
      </c>
    </row>
    <row r="48242" customFormat="false" ht="12.8" hidden="false" customHeight="false" outlineLevel="0" collapsed="false">
      <c r="B48242" s="0" t="s">
        <v>1</v>
      </c>
    </row>
    <row r="48243" customFormat="false" ht="12.8" hidden="false" customHeight="false" outlineLevel="0" collapsed="false">
      <c r="B48243" s="0" t="s">
        <v>8</v>
      </c>
    </row>
    <row r="48245" customFormat="false" ht="12.8" hidden="false" customHeight="false" outlineLevel="0" collapsed="false">
      <c r="A48245" s="0" t="s">
        <v>17070</v>
      </c>
      <c r="B48245" s="0" t="str">
        <f aca="false">HYPERLINK("https://lindat.mff.cuni.cz/services/teitok/pdtc10/index.php?action=vallex&amp;frame=v-w11739_ZUf1_ZU", "tikat (v-w11739_ZUf1_ZU)")</f>
        <v>tikat (v-w11739_ZUf1_ZU)</v>
      </c>
    </row>
    <row r="48246" customFormat="false" ht="12.8" hidden="false" customHeight="false" outlineLevel="0" collapsed="false">
      <c r="B48246" s="0" t="s">
        <v>804</v>
      </c>
    </row>
    <row r="48247" customFormat="false" ht="12.8" hidden="false" customHeight="false" outlineLevel="0" collapsed="false">
      <c r="B48247" s="0" t="s">
        <v>17071</v>
      </c>
    </row>
    <row r="48249" customFormat="false" ht="12.8" hidden="false" customHeight="false" outlineLevel="0" collapsed="false">
      <c r="A48249" s="0" t="s">
        <v>17072</v>
      </c>
      <c r="B48249" s="0" t="str">
        <f aca="false">HYPERLINK("https://lindat.mff.cuni.cz/services/teitok/pdtc10/index.php?action=vallex&amp;frame=v-w6831f1", "tipnout (v-w6831f1)")</f>
        <v>tipnout (v-w6831f1)</v>
      </c>
    </row>
    <row r="48250" customFormat="false" ht="12.8" hidden="false" customHeight="false" outlineLevel="0" collapsed="false">
      <c r="B48250" s="0" t="s">
        <v>1</v>
      </c>
    </row>
    <row r="48251" customFormat="false" ht="12.8" hidden="false" customHeight="false" outlineLevel="0" collapsed="false">
      <c r="B48251" s="0" t="s">
        <v>1838</v>
      </c>
    </row>
    <row r="48253" customFormat="false" ht="12.8" hidden="false" customHeight="false" outlineLevel="0" collapsed="false">
      <c r="A48253" s="0" t="s">
        <v>17073</v>
      </c>
      <c r="B48253" s="0" t="str">
        <f aca="false">HYPERLINK("https://lindat.mff.cuni.cz/services/teitok/pdtc10/index.php?action=vallex&amp;frame=v-w6831f2_ZU", "tipnout (v-w6831f2_ZU)")</f>
        <v>tipnout (v-w6831f2_ZU)</v>
      </c>
    </row>
    <row r="48254" customFormat="false" ht="12.8" hidden="false" customHeight="false" outlineLevel="0" collapsed="false">
      <c r="B48254" s="0" t="s">
        <v>1</v>
      </c>
    </row>
    <row r="48255" customFormat="false" ht="12.8" hidden="false" customHeight="false" outlineLevel="0" collapsed="false">
      <c r="B48255" s="0" t="s">
        <v>8</v>
      </c>
    </row>
    <row r="48256" customFormat="false" ht="12.8" hidden="false" customHeight="false" outlineLevel="0" collapsed="false">
      <c r="B48256" s="0" t="s">
        <v>2207</v>
      </c>
    </row>
    <row r="48258" customFormat="false" ht="12.8" hidden="false" customHeight="false" outlineLevel="0" collapsed="false">
      <c r="A48258" s="0" t="s">
        <v>17074</v>
      </c>
      <c r="B48258" s="0" t="str">
        <f aca="false">HYPERLINK("https://lindat.mff.cuni.cz/services/teitok/pdtc10/index.php?action=vallex&amp;frame=v-w6833f3_ZU", "tipovat (v-w6833f3_ZU)")</f>
        <v>tipovat (v-w6833f3_ZU)</v>
      </c>
    </row>
    <row r="48259" customFormat="false" ht="12.8" hidden="false" customHeight="false" outlineLevel="0" collapsed="false">
      <c r="B48259" s="0" t="s">
        <v>1</v>
      </c>
    </row>
    <row r="48260" customFormat="false" ht="12.8" hidden="false" customHeight="false" outlineLevel="0" collapsed="false">
      <c r="B48260" s="0" t="s">
        <v>59</v>
      </c>
    </row>
    <row r="48261" customFormat="false" ht="12.8" hidden="false" customHeight="false" outlineLevel="0" collapsed="false">
      <c r="B48261" s="0" t="s">
        <v>17075</v>
      </c>
    </row>
    <row r="48263" customFormat="false" ht="12.8" hidden="false" customHeight="false" outlineLevel="0" collapsed="false">
      <c r="A48263" s="0" t="s">
        <v>17074</v>
      </c>
      <c r="B48263" s="0" t="str">
        <f aca="false">HYPERLINK("https://lindat.mff.cuni.cz/services/teitok/pdtc10/index.php?action=vallex&amp;frame=v-w6833f2", "tipovat (v-w6833f2) - substituted with v-w6833f3_ZU")</f>
        <v>tipovat (v-w6833f2) - substituted with v-w6833f3_ZU</v>
      </c>
    </row>
    <row r="48264" customFormat="false" ht="12.8" hidden="false" customHeight="false" outlineLevel="0" collapsed="false">
      <c r="B48264" s="0" t="s">
        <v>1</v>
      </c>
    </row>
    <row r="48265" customFormat="false" ht="12.8" hidden="false" customHeight="false" outlineLevel="0" collapsed="false">
      <c r="B48265" s="0" t="s">
        <v>59</v>
      </c>
    </row>
    <row r="48266" customFormat="false" ht="12.8" hidden="false" customHeight="false" outlineLevel="0" collapsed="false">
      <c r="B48266" s="0" t="s">
        <v>17075</v>
      </c>
    </row>
    <row r="48268" customFormat="false" ht="12.8" hidden="false" customHeight="false" outlineLevel="0" collapsed="false">
      <c r="A48268" s="0" t="s">
        <v>17076</v>
      </c>
      <c r="B48268" s="0" t="str">
        <f aca="false">HYPERLINK("https://lindat.mff.cuni.cz/services/teitok/pdtc10/index.php?action=vallex&amp;frame=v-w6833f1", "tipovat (v-w6833f1)")</f>
        <v>tipovat (v-w6833f1)</v>
      </c>
    </row>
    <row r="48269" customFormat="false" ht="12.8" hidden="false" customHeight="false" outlineLevel="0" collapsed="false">
      <c r="B48269" s="0" t="s">
        <v>1</v>
      </c>
    </row>
    <row r="48270" customFormat="false" ht="12.8" hidden="false" customHeight="false" outlineLevel="0" collapsed="false">
      <c r="B48270" s="0" t="s">
        <v>1838</v>
      </c>
    </row>
    <row r="48272" customFormat="false" ht="12.8" hidden="false" customHeight="false" outlineLevel="0" collapsed="false">
      <c r="A48272" s="0" t="s">
        <v>17077</v>
      </c>
      <c r="B48272" s="0" t="str">
        <f aca="false">HYPERLINK("https://lindat.mff.cuni.cz/services/teitok/pdtc10/index.php?action=vallex&amp;frame=v-w6836f1", "tisknout (v-w6836f1)")</f>
        <v>tisknout (v-w6836f1)</v>
      </c>
      <c r="E48272" s="0" t="str">
        <f aca="false">HYPERLINK("https://lindat.mff.cuni.cz/services/SynSemClass40/SynSemClass40.html?veclass=vec00528#vec00528-ces-cm00001", "vec00528")</f>
        <v>vec00528</v>
      </c>
      <c r="F48272" s="0" t="s">
        <v>17078</v>
      </c>
    </row>
    <row r="48273" customFormat="false" ht="12.8" hidden="false" customHeight="false" outlineLevel="0" collapsed="false">
      <c r="B48273" s="0" t="s">
        <v>1</v>
      </c>
      <c r="C48273" s="0" t="s">
        <v>154</v>
      </c>
      <c r="E48273" s="0" t="s">
        <v>768</v>
      </c>
      <c r="F48273" s="0" t="s">
        <v>17079</v>
      </c>
    </row>
    <row r="48274" customFormat="false" ht="12.8" hidden="false" customHeight="false" outlineLevel="0" collapsed="false">
      <c r="B48274" s="0" t="s">
        <v>8</v>
      </c>
      <c r="C48274" s="0" t="s">
        <v>5583</v>
      </c>
      <c r="E48274" s="0" t="s">
        <v>771</v>
      </c>
      <c r="F48274" s="0" t="s">
        <v>7594</v>
      </c>
    </row>
    <row r="48275" customFormat="false" ht="12.8" hidden="false" customHeight="false" outlineLevel="0" collapsed="false">
      <c r="B48275" s="0" t="s">
        <v>36</v>
      </c>
    </row>
    <row r="48277" customFormat="false" ht="12.8" hidden="false" customHeight="false" outlineLevel="0" collapsed="false">
      <c r="A48277" s="0" t="s">
        <v>17080</v>
      </c>
      <c r="B48277" s="0" t="str">
        <f aca="false">HYPERLINK("https://lindat.mff.cuni.cz/services/teitok/pdtc10/index.php?action=vallex&amp;frame=v-w6836f2", "tisknout (v-w6836f2)")</f>
        <v>tisknout (v-w6836f2)</v>
      </c>
    </row>
    <row r="48278" customFormat="false" ht="12.8" hidden="false" customHeight="false" outlineLevel="0" collapsed="false">
      <c r="B48278" s="0" t="s">
        <v>1</v>
      </c>
    </row>
    <row r="48279" customFormat="false" ht="12.8" hidden="false" customHeight="false" outlineLevel="0" collapsed="false">
      <c r="B48279" s="0" t="s">
        <v>8</v>
      </c>
    </row>
    <row r="48281" customFormat="false" ht="12.8" hidden="false" customHeight="false" outlineLevel="0" collapsed="false">
      <c r="A48281" s="0" t="s">
        <v>17081</v>
      </c>
      <c r="B48281" s="0" t="str">
        <f aca="false">HYPERLINK("https://lindat.mff.cuni.cz/services/teitok/pdtc10/index.php?action=vallex&amp;frame=v-w6838f1", "tkvít (v-w6838f1)")</f>
        <v>tkvít (v-w6838f1)</v>
      </c>
      <c r="E48281" s="0" t="str">
        <f aca="false">HYPERLINK("https://lindat.mff.cuni.cz/services/SynSemClass40/SynSemClass40.html?veclass=vec00317#vec00317-ces-cm00013", "vec00317")</f>
        <v>vec00317</v>
      </c>
      <c r="F48281" s="0" t="s">
        <v>5998</v>
      </c>
    </row>
    <row r="48282" customFormat="false" ht="12.8" hidden="false" customHeight="false" outlineLevel="0" collapsed="false">
      <c r="B48282" s="0" t="s">
        <v>1</v>
      </c>
      <c r="C48282" s="0" t="s">
        <v>2157</v>
      </c>
      <c r="E48282" s="0" t="s">
        <v>4943</v>
      </c>
      <c r="F48282" s="0" t="s">
        <v>5999</v>
      </c>
    </row>
    <row r="48283" customFormat="false" ht="12.8" hidden="false" customHeight="false" outlineLevel="0" collapsed="false">
      <c r="B48283" s="0" t="s">
        <v>536</v>
      </c>
      <c r="C48283" s="0" t="s">
        <v>6000</v>
      </c>
      <c r="E48283" s="0" t="s">
        <v>6001</v>
      </c>
      <c r="F48283" s="0" t="s">
        <v>6002</v>
      </c>
    </row>
    <row r="48285" customFormat="false" ht="12.8" hidden="false" customHeight="false" outlineLevel="0" collapsed="false">
      <c r="A48285" s="0" t="s">
        <v>17082</v>
      </c>
      <c r="B48285" s="0" t="str">
        <f aca="false">HYPERLINK("https://lindat.mff.cuni.cz/services/teitok/pdtc10/index.php?action=vallex&amp;frame=v-w6838f2", "tkvít (v-w6838f2)")</f>
        <v>tkvít (v-w6838f2)</v>
      </c>
    </row>
    <row r="48286" customFormat="false" ht="12.8" hidden="false" customHeight="false" outlineLevel="0" collapsed="false">
      <c r="B48286" s="0" t="s">
        <v>1</v>
      </c>
    </row>
    <row r="48287" customFormat="false" ht="12.8" hidden="false" customHeight="false" outlineLevel="0" collapsed="false">
      <c r="B48287" s="0" t="s">
        <v>5</v>
      </c>
    </row>
    <row r="48289" customFormat="false" ht="12.8" hidden="false" customHeight="false" outlineLevel="0" collapsed="false">
      <c r="A48289" s="0" t="s">
        <v>17083</v>
      </c>
      <c r="B48289" s="0" t="str">
        <f aca="false">HYPERLINK("https://lindat.mff.cuni.cz/services/teitok/pdtc10/index.php?action=vallex&amp;frame=v-w6839f11_ZU", "tlačit (v-w6839f11_ZU)")</f>
        <v>tlačit (v-w6839f11_ZU)</v>
      </c>
    </row>
    <row r="48290" customFormat="false" ht="12.8" hidden="false" customHeight="false" outlineLevel="0" collapsed="false">
      <c r="B48290" s="0" t="s">
        <v>1</v>
      </c>
    </row>
    <row r="48291" customFormat="false" ht="12.8" hidden="false" customHeight="false" outlineLevel="0" collapsed="false">
      <c r="B48291" s="0" t="s">
        <v>8</v>
      </c>
    </row>
    <row r="48292" customFormat="false" ht="12.8" hidden="false" customHeight="false" outlineLevel="0" collapsed="false">
      <c r="B48292" s="0" t="s">
        <v>164</v>
      </c>
    </row>
    <row r="48294" customFormat="false" ht="12.8" hidden="false" customHeight="false" outlineLevel="0" collapsed="false">
      <c r="A48294" s="0" t="s">
        <v>17083</v>
      </c>
      <c r="B48294" s="0" t="str">
        <f aca="false">HYPERLINK("https://lindat.mff.cuni.cz/services/teitok/pdtc10/index.php?action=vallex&amp;frame=v-w6839f10_ZU", "tlačit (v-w6839f10_ZU) - substituted with v-w6839f11_ZU")</f>
        <v>tlačit (v-w6839f10_ZU) - substituted with v-w6839f11_ZU</v>
      </c>
    </row>
    <row r="48295" customFormat="false" ht="12.8" hidden="false" customHeight="false" outlineLevel="0" collapsed="false">
      <c r="B48295" s="0" t="s">
        <v>1</v>
      </c>
    </row>
    <row r="48296" customFormat="false" ht="12.8" hidden="false" customHeight="false" outlineLevel="0" collapsed="false">
      <c r="B48296" s="0" t="s">
        <v>8</v>
      </c>
    </row>
    <row r="48297" customFormat="false" ht="12.8" hidden="false" customHeight="false" outlineLevel="0" collapsed="false">
      <c r="B48297" s="0" t="s">
        <v>164</v>
      </c>
    </row>
    <row r="48299" customFormat="false" ht="12.8" hidden="false" customHeight="false" outlineLevel="0" collapsed="false">
      <c r="A48299" s="0" t="s">
        <v>17083</v>
      </c>
      <c r="B48299" s="0" t="str">
        <f aca="false">HYPERLINK("https://lindat.mff.cuni.cz/services/teitok/pdtc10/index.php?action=vallex&amp;frame=v-w6839f2", "tlačit (v-w6839f2) - substituted with v-w6839f11_ZU")</f>
        <v>tlačit (v-w6839f2) - substituted with v-w6839f11_ZU</v>
      </c>
      <c r="E48299" s="0" t="str">
        <f aca="false">HYPERLINK("https://lindat.mff.cuni.cz/services/SynSemClass40/SynSemClass40.html?veclass=vec00812#vec00812-ces-cm00182", "vec00812")</f>
        <v>vec00812</v>
      </c>
      <c r="F48299" s="0" t="s">
        <v>2822</v>
      </c>
      <c r="H48299" s="0" t="str">
        <f aca="false">HYPERLINK("https://lindat.mff.cuni.cz/services/SynSemClass40/SynSemClass40.html?veclass=vec01325#vec01325-ces-cm00005", "vec01325")</f>
        <v>vec01325</v>
      </c>
      <c r="I48299" s="0" t="s">
        <v>16438</v>
      </c>
    </row>
    <row r="48300" customFormat="false" ht="12.8" hidden="false" customHeight="false" outlineLevel="0" collapsed="false">
      <c r="B48300" s="0" t="s">
        <v>1</v>
      </c>
      <c r="C48300" s="0" t="s">
        <v>17084</v>
      </c>
      <c r="E48300" s="0" t="s">
        <v>1103</v>
      </c>
      <c r="F48300" s="0" t="s">
        <v>2824</v>
      </c>
      <c r="H48300" s="0" t="s">
        <v>3010</v>
      </c>
      <c r="I48300" s="0" t="s">
        <v>11378</v>
      </c>
    </row>
    <row r="48301" customFormat="false" ht="12.8" hidden="false" customHeight="false" outlineLevel="0" collapsed="false">
      <c r="B48301" s="0" t="s">
        <v>8</v>
      </c>
      <c r="C48301" s="0" t="s">
        <v>17085</v>
      </c>
      <c r="E48301" s="0" t="s">
        <v>142</v>
      </c>
      <c r="F48301" s="0" t="s">
        <v>2825</v>
      </c>
      <c r="H48301" s="0" t="s">
        <v>142</v>
      </c>
      <c r="I48301" s="0" t="s">
        <v>8814</v>
      </c>
    </row>
    <row r="48302" customFormat="false" ht="12.8" hidden="false" customHeight="false" outlineLevel="0" collapsed="false">
      <c r="B48302" s="0" t="s">
        <v>164</v>
      </c>
      <c r="C48302" s="0" t="s">
        <v>2826</v>
      </c>
      <c r="E48302" s="0" t="s">
        <v>3114</v>
      </c>
      <c r="F48302" s="0" t="s">
        <v>3115</v>
      </c>
      <c r="H48302" s="0" t="s">
        <v>17086</v>
      </c>
      <c r="I48302" s="0" t="s">
        <v>17087</v>
      </c>
    </row>
    <row r="48304" customFormat="false" ht="12.8" hidden="false" customHeight="false" outlineLevel="0" collapsed="false">
      <c r="A48304" s="0" t="s">
        <v>17088</v>
      </c>
      <c r="B48304" s="0" t="str">
        <f aca="false">HYPERLINK("https://lindat.mff.cuni.cz/services/teitok/pdtc10/index.php?action=vallex&amp;frame=v-w6839f3", "tlačit (v-w6839f3)")</f>
        <v>tlačit (v-w6839f3)</v>
      </c>
    </row>
    <row r="48305" customFormat="false" ht="12.8" hidden="false" customHeight="false" outlineLevel="0" collapsed="false">
      <c r="B48305" s="0" t="s">
        <v>1</v>
      </c>
    </row>
    <row r="48306" customFormat="false" ht="12.8" hidden="false" customHeight="false" outlineLevel="0" collapsed="false">
      <c r="B48306" s="0" t="s">
        <v>8</v>
      </c>
    </row>
    <row r="48308" customFormat="false" ht="12.8" hidden="false" customHeight="false" outlineLevel="0" collapsed="false">
      <c r="A48308" s="0" t="s">
        <v>17089</v>
      </c>
      <c r="B48308" s="0" t="str">
        <f aca="false">HYPERLINK("https://lindat.mff.cuni.cz/services/teitok/pdtc10/index.php?action=vallex&amp;frame=v-w6839f5", "tlačit (v-w6839f5)")</f>
        <v>tlačit (v-w6839f5)</v>
      </c>
    </row>
    <row r="48309" customFormat="false" ht="12.8" hidden="false" customHeight="false" outlineLevel="0" collapsed="false">
      <c r="B48309" s="0" t="s">
        <v>1</v>
      </c>
    </row>
    <row r="48310" customFormat="false" ht="12.8" hidden="false" customHeight="false" outlineLevel="0" collapsed="false">
      <c r="B48310" s="0" t="s">
        <v>8</v>
      </c>
    </row>
    <row r="48312" customFormat="false" ht="12.8" hidden="false" customHeight="false" outlineLevel="0" collapsed="false">
      <c r="A48312" s="0" t="s">
        <v>17090</v>
      </c>
      <c r="B48312" s="0" t="str">
        <f aca="false">HYPERLINK("https://lindat.mff.cuni.cz/services/teitok/pdtc10/index.php?action=vallex&amp;frame=v-w6839f4", "tlačit (v-w6839f4)")</f>
        <v>tlačit (v-w6839f4)</v>
      </c>
      <c r="E48312" s="0" t="str">
        <f aca="false">HYPERLINK("https://lindat.mff.cuni.cz/services/SynSemClass40/SynSemClass40.html?veclass=vec00272#vec00272-ces-cm00115", "vec00272")</f>
        <v>vec00272</v>
      </c>
      <c r="F48312" s="0" t="s">
        <v>1490</v>
      </c>
    </row>
    <row r="48313" customFormat="false" ht="12.8" hidden="false" customHeight="false" outlineLevel="0" collapsed="false">
      <c r="B48313" s="0" t="s">
        <v>1</v>
      </c>
      <c r="C48313" s="0" t="s">
        <v>1491</v>
      </c>
      <c r="E48313" s="0" t="s">
        <v>1492</v>
      </c>
      <c r="F48313" s="0" t="s">
        <v>1493</v>
      </c>
    </row>
    <row r="48314" customFormat="false" ht="12.8" hidden="false" customHeight="false" outlineLevel="0" collapsed="false">
      <c r="B48314" s="0" t="s">
        <v>45</v>
      </c>
      <c r="C48314" s="0" t="s">
        <v>1494</v>
      </c>
      <c r="E48314" s="0" t="s">
        <v>1495</v>
      </c>
      <c r="F48314" s="0" t="s">
        <v>1496</v>
      </c>
    </row>
    <row r="48316" customFormat="false" ht="12.8" hidden="false" customHeight="false" outlineLevel="0" collapsed="false">
      <c r="A48316" s="0" t="s">
        <v>17091</v>
      </c>
      <c r="B48316" s="0" t="str">
        <f aca="false">HYPERLINK("https://lindat.mff.cuni.cz/services/teitok/pdtc10/index.php?action=vallex&amp;frame=v-w6839f12_ZU", "tlačit (v-w6839f12_ZU)")</f>
        <v>tlačit (v-w6839f12_ZU)</v>
      </c>
    </row>
    <row r="48317" customFormat="false" ht="12.8" hidden="false" customHeight="false" outlineLevel="0" collapsed="false">
      <c r="B48317" s="0" t="s">
        <v>1</v>
      </c>
    </row>
    <row r="48318" customFormat="false" ht="12.8" hidden="false" customHeight="false" outlineLevel="0" collapsed="false">
      <c r="B48318" s="0" t="s">
        <v>17092</v>
      </c>
    </row>
    <row r="48319" customFormat="false" ht="12.8" hidden="false" customHeight="false" outlineLevel="0" collapsed="false">
      <c r="B48319" s="0" t="s">
        <v>17093</v>
      </c>
    </row>
    <row r="48321" customFormat="false" ht="12.8" hidden="false" customHeight="false" outlineLevel="0" collapsed="false">
      <c r="A48321" s="0" t="s">
        <v>17091</v>
      </c>
      <c r="B48321" s="0" t="str">
        <f aca="false">HYPERLINK("https://lindat.mff.cuni.cz/services/teitok/pdtc10/index.php?action=vallex&amp;frame=v-w6839f1", "tlačit (v-w6839f1) - substituted with v-w6839f12_ZU")</f>
        <v>tlačit (v-w6839f1) - substituted with v-w6839f12_ZU</v>
      </c>
      <c r="E48321" s="0" t="str">
        <f aca="false">HYPERLINK("https://lindat.mff.cuni.cz/services/SynSemClass40/SynSemClass40.html?veclass=vec00098#vec00098-ces-cm00140", "vec00098")</f>
        <v>vec00098</v>
      </c>
      <c r="F48321" s="0" t="s">
        <v>2500</v>
      </c>
      <c r="H48321" s="0" t="str">
        <f aca="false">HYPERLINK("https://lindat.mff.cuni.cz/services/SynSemClass40/SynSemClass40.html?veclass=vec00272#vec00272-ces-cm00067", "vec00272")</f>
        <v>vec00272</v>
      </c>
      <c r="I48321" s="0" t="s">
        <v>1490</v>
      </c>
      <c r="K48321" s="0" t="str">
        <f aca="false">HYPERLINK("https://lindat.mff.cuni.cz/services/SynSemClass40/SynSemClass40.html?veclass=vec00361#vec00361-ces-cm00032", "vec00361")</f>
        <v>vec00361</v>
      </c>
      <c r="L48321" s="0" t="s">
        <v>7548</v>
      </c>
    </row>
    <row r="48322" customFormat="false" ht="12.8" hidden="false" customHeight="false" outlineLevel="0" collapsed="false">
      <c r="B48322" s="0" t="s">
        <v>1</v>
      </c>
      <c r="C48322" s="0" t="s">
        <v>17094</v>
      </c>
      <c r="E48322" s="0" t="s">
        <v>1665</v>
      </c>
      <c r="F48322" s="0" t="s">
        <v>2502</v>
      </c>
      <c r="H48322" s="0" t="s">
        <v>1492</v>
      </c>
      <c r="I48322" s="0" t="s">
        <v>1493</v>
      </c>
      <c r="K48322" s="0" t="s">
        <v>31</v>
      </c>
      <c r="L48322" s="0" t="s">
        <v>7550</v>
      </c>
    </row>
    <row r="48323" customFormat="false" ht="12.8" hidden="false" customHeight="false" outlineLevel="0" collapsed="false">
      <c r="B48323" s="0" t="s">
        <v>17092</v>
      </c>
      <c r="C48323" s="0" t="s">
        <v>17095</v>
      </c>
      <c r="E48323" s="0" t="s">
        <v>2287</v>
      </c>
      <c r="F48323" s="0" t="s">
        <v>2506</v>
      </c>
      <c r="H48323" s="0" t="s">
        <v>564</v>
      </c>
      <c r="I48323" s="0" t="s">
        <v>10698</v>
      </c>
      <c r="K48323" s="0" t="s">
        <v>564</v>
      </c>
      <c r="L48323" s="0" t="s">
        <v>10615</v>
      </c>
    </row>
    <row r="48324" customFormat="false" ht="12.8" hidden="false" customHeight="false" outlineLevel="0" collapsed="false">
      <c r="B48324" s="0" t="s">
        <v>17093</v>
      </c>
      <c r="C48324" s="0" t="s">
        <v>17096</v>
      </c>
      <c r="E48324" s="0" t="s">
        <v>79</v>
      </c>
      <c r="F48324" s="0" t="s">
        <v>2504</v>
      </c>
      <c r="H48324" s="0" t="s">
        <v>1495</v>
      </c>
      <c r="I48324" s="0" t="s">
        <v>1496</v>
      </c>
      <c r="K48324" s="0" t="s">
        <v>523</v>
      </c>
      <c r="L48324" s="0" t="s">
        <v>10613</v>
      </c>
    </row>
    <row r="48326" customFormat="false" ht="12.8" hidden="false" customHeight="false" outlineLevel="0" collapsed="false">
      <c r="A48326" s="0" t="s">
        <v>17097</v>
      </c>
      <c r="B48326" s="0" t="str">
        <f aca="false">HYPERLINK("https://lindat.mff.cuni.cz/services/teitok/pdtc10/index.php?action=vallex&amp;frame=v-w6839f6", "tlačit (v-w6839f6)")</f>
        <v>tlačit (v-w6839f6)</v>
      </c>
    </row>
    <row r="48327" customFormat="false" ht="12.8" hidden="false" customHeight="false" outlineLevel="0" collapsed="false">
      <c r="B48327" s="0" t="s">
        <v>1</v>
      </c>
    </row>
    <row r="48328" customFormat="false" ht="12.8" hidden="false" customHeight="false" outlineLevel="0" collapsed="false">
      <c r="B48328" s="0" t="s">
        <v>164</v>
      </c>
    </row>
    <row r="48330" customFormat="false" ht="12.8" hidden="false" customHeight="false" outlineLevel="0" collapsed="false">
      <c r="A48330" s="0" t="s">
        <v>17098</v>
      </c>
      <c r="B48330" s="0" t="str">
        <f aca="false">HYPERLINK("https://lindat.mff.cuni.cz/services/teitok/pdtc10/index.php?action=vallex&amp;frame=v-w6839f7_ZU", "tlačit (v-w6839f7_ZU)")</f>
        <v>tlačit (v-w6839f7_ZU)</v>
      </c>
      <c r="E48330" s="0" t="str">
        <f aca="false">HYPERLINK("https://lindat.mff.cuni.cz/services/SynSemClass40/SynSemClass40.html?veclass=vec01124#vec01124-ces-cm00001", "vec01124")</f>
        <v>vec01124</v>
      </c>
      <c r="F48330" s="0" t="s">
        <v>17099</v>
      </c>
    </row>
    <row r="48331" customFormat="false" ht="12.8" hidden="false" customHeight="false" outlineLevel="0" collapsed="false">
      <c r="B48331" s="0" t="s">
        <v>1</v>
      </c>
      <c r="C48331" s="0" t="s">
        <v>4114</v>
      </c>
      <c r="E48331" s="0" t="s">
        <v>1665</v>
      </c>
      <c r="F48331" s="0" t="s">
        <v>17100</v>
      </c>
    </row>
    <row r="48332" customFormat="false" ht="12.8" hidden="false" customHeight="false" outlineLevel="0" collapsed="false">
      <c r="B48332" s="0" t="s">
        <v>17101</v>
      </c>
      <c r="E48332" s="0" t="s">
        <v>17102</v>
      </c>
      <c r="F48332" s="0" t="s">
        <v>17103</v>
      </c>
    </row>
    <row r="48333" customFormat="false" ht="12.8" hidden="false" customHeight="false" outlineLevel="0" collapsed="false">
      <c r="B48333" s="0" t="s">
        <v>8</v>
      </c>
      <c r="C48333" s="0" t="s">
        <v>449</v>
      </c>
      <c r="E48333" s="0" t="s">
        <v>142</v>
      </c>
      <c r="F48333" s="0" t="s">
        <v>17104</v>
      </c>
    </row>
    <row r="48335" customFormat="false" ht="12.8" hidden="false" customHeight="false" outlineLevel="0" collapsed="false">
      <c r="A48335" s="0" t="s">
        <v>17098</v>
      </c>
      <c r="B48335" s="0" t="str">
        <f aca="false">HYPERLINK("https://lindat.mff.cuni.cz/services/teitok/pdtc10/index.php?action=vallex&amp;frame=v-w6839hsa_400", "tlačit (v-w6839hsa_400) - substituted with v-w6839f7_ZU")</f>
        <v>tlačit (v-w6839hsa_400) - substituted with v-w6839f7_ZU</v>
      </c>
    </row>
    <row r="48336" customFormat="false" ht="12.8" hidden="false" customHeight="false" outlineLevel="0" collapsed="false">
      <c r="B48336" s="0" t="s">
        <v>1</v>
      </c>
    </row>
    <row r="48337" customFormat="false" ht="12.8" hidden="false" customHeight="false" outlineLevel="0" collapsed="false">
      <c r="B48337" s="0" t="s">
        <v>17101</v>
      </c>
    </row>
    <row r="48338" customFormat="false" ht="12.8" hidden="false" customHeight="false" outlineLevel="0" collapsed="false">
      <c r="B48338" s="0" t="s">
        <v>8</v>
      </c>
    </row>
    <row r="48340" customFormat="false" ht="12.8" hidden="false" customHeight="false" outlineLevel="0" collapsed="false">
      <c r="A48340" s="0" t="s">
        <v>17105</v>
      </c>
      <c r="B48340" s="0" t="str">
        <f aca="false">HYPERLINK("https://lindat.mff.cuni.cz/services/teitok/pdtc10/index.php?action=vallex&amp;frame=v-w6839f8_ZU", "tlačit (v-w6839f8_ZU)")</f>
        <v>tlačit (v-w6839f8_ZU)</v>
      </c>
    </row>
    <row r="48341" customFormat="false" ht="12.8" hidden="false" customHeight="false" outlineLevel="0" collapsed="false">
      <c r="B48341" s="0" t="s">
        <v>1</v>
      </c>
    </row>
    <row r="48342" customFormat="false" ht="12.8" hidden="false" customHeight="false" outlineLevel="0" collapsed="false">
      <c r="B48342" s="0" t="s">
        <v>17106</v>
      </c>
    </row>
    <row r="48344" customFormat="false" ht="12.8" hidden="false" customHeight="false" outlineLevel="0" collapsed="false">
      <c r="A48344" s="0" t="s">
        <v>17105</v>
      </c>
      <c r="B48344" s="0" t="str">
        <f aca="false">HYPERLINK("https://lindat.mff.cuni.cz/services/teitok/pdtc10/index.php?action=vallex&amp;frame=v-w6839hsa_401", "tlačit (v-w6839hsa_401) - substituted with v-w6839f8_ZU")</f>
        <v>tlačit (v-w6839hsa_401) - substituted with v-w6839f8_ZU</v>
      </c>
    </row>
    <row r="48345" customFormat="false" ht="12.8" hidden="false" customHeight="false" outlineLevel="0" collapsed="false">
      <c r="B48345" s="0" t="s">
        <v>1</v>
      </c>
    </row>
    <row r="48346" customFormat="false" ht="12.8" hidden="false" customHeight="false" outlineLevel="0" collapsed="false">
      <c r="B48346" s="0" t="s">
        <v>17106</v>
      </c>
    </row>
    <row r="48348" customFormat="false" ht="12.8" hidden="false" customHeight="false" outlineLevel="0" collapsed="false">
      <c r="A48348" s="0" t="s">
        <v>17107</v>
      </c>
      <c r="B48348" s="0" t="str">
        <f aca="false">HYPERLINK("https://lindat.mff.cuni.cz/services/teitok/pdtc10/index.php?action=vallex&amp;frame=v-w6839f9_ZU", "tlačit (v-w6839f9_ZU)")</f>
        <v>tlačit (v-w6839f9_ZU)</v>
      </c>
    </row>
    <row r="48349" customFormat="false" ht="12.8" hidden="false" customHeight="false" outlineLevel="0" collapsed="false">
      <c r="B48349" s="0" t="s">
        <v>1</v>
      </c>
    </row>
    <row r="48350" customFormat="false" ht="12.8" hidden="false" customHeight="false" outlineLevel="0" collapsed="false">
      <c r="B48350" s="0" t="s">
        <v>8</v>
      </c>
    </row>
    <row r="48351" customFormat="false" ht="12.8" hidden="false" customHeight="false" outlineLevel="0" collapsed="false">
      <c r="B48351" s="0" t="s">
        <v>36</v>
      </c>
    </row>
    <row r="48353" customFormat="false" ht="12.8" hidden="false" customHeight="false" outlineLevel="0" collapsed="false">
      <c r="A48353" s="0" t="s">
        <v>17108</v>
      </c>
      <c r="B48353" s="0" t="str">
        <f aca="false">HYPERLINK("https://lindat.mff.cuni.cz/services/teitok/pdtc10/index.php?action=vallex&amp;frame=v-w6840f3", "tlačit se (v-w6840f3)")</f>
        <v>tlačit se (v-w6840f3)</v>
      </c>
    </row>
    <row r="48354" customFormat="false" ht="12.8" hidden="false" customHeight="false" outlineLevel="0" collapsed="false">
      <c r="B48354" s="0" t="s">
        <v>1</v>
      </c>
    </row>
    <row r="48355" customFormat="false" ht="12.8" hidden="false" customHeight="false" outlineLevel="0" collapsed="false">
      <c r="B48355" s="0" t="s">
        <v>276</v>
      </c>
    </row>
    <row r="48356" customFormat="false" ht="12.8" hidden="false" customHeight="false" outlineLevel="0" collapsed="false">
      <c r="B48356" s="0" t="s">
        <v>3152</v>
      </c>
    </row>
    <row r="48358" customFormat="false" ht="12.8" hidden="false" customHeight="false" outlineLevel="0" collapsed="false">
      <c r="A48358" s="0" t="s">
        <v>17109</v>
      </c>
      <c r="B48358" s="0" t="str">
        <f aca="false">HYPERLINK("https://lindat.mff.cuni.cz/services/teitok/pdtc10/index.php?action=vallex&amp;frame=v-w6840f2", "tlačit se (v-w6840f2)")</f>
        <v>tlačit se (v-w6840f2)</v>
      </c>
      <c r="E48358" s="0" t="str">
        <f aca="false">HYPERLINK("https://lindat.mff.cuni.cz/services/SynSemClass40/SynSemClass40.html?veclass=vec00833#vec00833-ces-cm00007", "vec00833")</f>
        <v>vec00833</v>
      </c>
      <c r="F48358" s="0" t="s">
        <v>6223</v>
      </c>
    </row>
    <row r="48359" customFormat="false" ht="12.8" hidden="false" customHeight="false" outlineLevel="0" collapsed="false">
      <c r="B48359" s="0" t="s">
        <v>1</v>
      </c>
      <c r="C48359" s="0" t="s">
        <v>6224</v>
      </c>
      <c r="E48359" s="0" t="s">
        <v>11</v>
      </c>
      <c r="F48359" s="0" t="s">
        <v>6225</v>
      </c>
    </row>
    <row r="48360" customFormat="false" ht="12.8" hidden="false" customHeight="false" outlineLevel="0" collapsed="false">
      <c r="B48360" s="0" t="s">
        <v>5</v>
      </c>
      <c r="C48360" s="0" t="s">
        <v>6226</v>
      </c>
      <c r="E48360" s="0" t="s">
        <v>3254</v>
      </c>
      <c r="F48360" s="0" t="s">
        <v>6227</v>
      </c>
    </row>
    <row r="48362" customFormat="false" ht="12.8" hidden="false" customHeight="false" outlineLevel="0" collapsed="false">
      <c r="A48362" s="0" t="s">
        <v>17110</v>
      </c>
      <c r="B48362" s="0" t="str">
        <f aca="false">HYPERLINK("https://lindat.mff.cuni.cz/services/teitok/pdtc10/index.php?action=vallex&amp;frame=v-w6840f1", "tlačit se (v-w6840f1)")</f>
        <v>tlačit se (v-w6840f1)</v>
      </c>
    </row>
    <row r="48363" customFormat="false" ht="12.8" hidden="false" customHeight="false" outlineLevel="0" collapsed="false">
      <c r="B48363" s="0" t="s">
        <v>1</v>
      </c>
    </row>
    <row r="48364" customFormat="false" ht="12.8" hidden="false" customHeight="false" outlineLevel="0" collapsed="false">
      <c r="B48364" s="0" t="s">
        <v>164</v>
      </c>
    </row>
    <row r="48366" customFormat="false" ht="12.8" hidden="false" customHeight="false" outlineLevel="0" collapsed="false">
      <c r="A48366" s="0" t="s">
        <v>17111</v>
      </c>
      <c r="B48366" s="0" t="str">
        <f aca="false">HYPERLINK("https://lindat.mff.cuni.cz/services/teitok/pdtc10/index.php?action=vallex&amp;frame=v-w6843f1", "tleskat (v-w6843f1)")</f>
        <v>tleskat (v-w6843f1)</v>
      </c>
      <c r="E48366" s="0" t="str">
        <f aca="false">HYPERLINK("https://lindat.mff.cuni.cz/services/SynSemClass40/SynSemClass40.html?veclass=vec00135#vec00135-ces-cm00001", "vec00135")</f>
        <v>vec00135</v>
      </c>
      <c r="F48366" s="0" t="s">
        <v>153</v>
      </c>
    </row>
    <row r="48367" customFormat="false" ht="12.8" hidden="false" customHeight="false" outlineLevel="0" collapsed="false">
      <c r="B48367" s="0" t="s">
        <v>1</v>
      </c>
      <c r="C48367" s="0" t="s">
        <v>154</v>
      </c>
      <c r="E48367" s="0" t="s">
        <v>155</v>
      </c>
      <c r="F48367" s="0" t="s">
        <v>156</v>
      </c>
    </row>
    <row r="48368" customFormat="false" ht="12.8" hidden="false" customHeight="false" outlineLevel="0" collapsed="false">
      <c r="B48368" s="0" t="s">
        <v>157</v>
      </c>
      <c r="C48368" s="0" t="s">
        <v>158</v>
      </c>
      <c r="E48368" s="0" t="s">
        <v>159</v>
      </c>
      <c r="F48368" s="0" t="s">
        <v>160</v>
      </c>
    </row>
    <row r="48370" customFormat="false" ht="12.8" hidden="false" customHeight="false" outlineLevel="0" collapsed="false">
      <c r="A48370" s="0" t="s">
        <v>17112</v>
      </c>
      <c r="B48370" s="0" t="str">
        <f aca="false">HYPERLINK("https://lindat.mff.cuni.cz/services/teitok/pdtc10/index.php?action=vallex&amp;frame=v-w6844f1", "tlouci (v-w6844f1)")</f>
        <v>tlouci (v-w6844f1)</v>
      </c>
      <c r="E48370" s="0" t="str">
        <f aca="false">HYPERLINK("https://lindat.mff.cuni.cz/services/SynSemClass40/SynSemClass40.html?veclass=vec01488#vec01488-ces-cm00014", "vec01488")</f>
        <v>vec01488</v>
      </c>
      <c r="F48370" s="0" t="s">
        <v>481</v>
      </c>
    </row>
    <row r="48371" customFormat="false" ht="12.8" hidden="false" customHeight="false" outlineLevel="0" collapsed="false">
      <c r="B48371" s="0" t="s">
        <v>1</v>
      </c>
      <c r="C48371" s="0" t="s">
        <v>459</v>
      </c>
      <c r="E48371" s="0" t="s">
        <v>416</v>
      </c>
      <c r="F48371" s="0" t="s">
        <v>482</v>
      </c>
    </row>
    <row r="48372" customFormat="false" ht="12.8" hidden="false" customHeight="false" outlineLevel="0" collapsed="false">
      <c r="B48372" s="0" t="s">
        <v>8</v>
      </c>
      <c r="C48372" s="0" t="s">
        <v>800</v>
      </c>
      <c r="E48372" s="0" t="s">
        <v>801</v>
      </c>
      <c r="F48372" s="0" t="s">
        <v>802</v>
      </c>
    </row>
    <row r="48374" customFormat="false" ht="12.8" hidden="false" customHeight="false" outlineLevel="0" collapsed="false">
      <c r="A48374" s="0" t="s">
        <v>17113</v>
      </c>
      <c r="B48374" s="0" t="str">
        <f aca="false">HYPERLINK("https://lindat.mff.cuni.cz/services/teitok/pdtc10/index.php?action=vallex&amp;frame=v-w6844f2", "tlouci (v-w6844f2)")</f>
        <v>tlouci (v-w6844f2)</v>
      </c>
      <c r="E48374" s="0" t="str">
        <f aca="false">HYPERLINK("https://lindat.mff.cuni.cz/services/SynSemClass40/SynSemClass40.html?veclass=vec01428#vec01428-ces-cm00003", "vec01428")</f>
        <v>vec01428</v>
      </c>
      <c r="F48374" s="0" t="s">
        <v>457</v>
      </c>
    </row>
    <row r="48375" customFormat="false" ht="12.8" hidden="false" customHeight="false" outlineLevel="0" collapsed="false">
      <c r="B48375" s="0" t="s">
        <v>1</v>
      </c>
      <c r="C48375" s="0" t="s">
        <v>4695</v>
      </c>
      <c r="E48375" s="0" t="s">
        <v>31</v>
      </c>
      <c r="F48375" s="0" t="s">
        <v>460</v>
      </c>
    </row>
    <row r="48376" customFormat="false" ht="12.8" hidden="false" customHeight="false" outlineLevel="0" collapsed="false">
      <c r="B48376" s="0" t="s">
        <v>286</v>
      </c>
      <c r="E48376" s="0" t="s">
        <v>170</v>
      </c>
      <c r="F48376" s="0" t="s">
        <v>391</v>
      </c>
    </row>
    <row r="48378" customFormat="false" ht="12.8" hidden="false" customHeight="false" outlineLevel="0" collapsed="false">
      <c r="A48378" s="0" t="s">
        <v>17114</v>
      </c>
      <c r="B48378" s="0" t="str">
        <f aca="false">HYPERLINK("https://lindat.mff.cuni.cz/services/teitok/pdtc10/index.php?action=vallex&amp;frame=v-w6844f3_ZU", "tlouci (v-w6844f3_ZU)")</f>
        <v>tlouci (v-w6844f3_ZU)</v>
      </c>
    </row>
    <row r="48379" customFormat="false" ht="12.8" hidden="false" customHeight="false" outlineLevel="0" collapsed="false">
      <c r="B48379" s="0" t="s">
        <v>1</v>
      </c>
    </row>
    <row r="48380" customFormat="false" ht="12.8" hidden="false" customHeight="false" outlineLevel="0" collapsed="false">
      <c r="B48380" s="0" t="s">
        <v>8</v>
      </c>
    </row>
    <row r="48381" customFormat="false" ht="12.8" hidden="false" customHeight="false" outlineLevel="0" collapsed="false">
      <c r="B48381" s="0" t="s">
        <v>841</v>
      </c>
    </row>
    <row r="48383" customFormat="false" ht="12.8" hidden="false" customHeight="false" outlineLevel="0" collapsed="false">
      <c r="A48383" s="0" t="s">
        <v>17115</v>
      </c>
      <c r="B48383" s="0" t="str">
        <f aca="false">HYPERLINK("https://lindat.mff.cuni.cz/services/teitok/pdtc10/index.php?action=vallex&amp;frame=v-w6844f4_ZU", "tlouci (v-w6844f4_ZU)")</f>
        <v>tlouci (v-w6844f4_ZU)</v>
      </c>
    </row>
    <row r="48384" customFormat="false" ht="12.8" hidden="false" customHeight="false" outlineLevel="0" collapsed="false">
      <c r="B48384" s="0" t="s">
        <v>1</v>
      </c>
    </row>
    <row r="48385" customFormat="false" ht="12.8" hidden="false" customHeight="false" outlineLevel="0" collapsed="false">
      <c r="B48385" s="0" t="s">
        <v>8</v>
      </c>
    </row>
    <row r="48386" customFormat="false" ht="12.8" hidden="false" customHeight="false" outlineLevel="0" collapsed="false">
      <c r="B48386" s="0" t="s">
        <v>36</v>
      </c>
    </row>
    <row r="48388" customFormat="false" ht="12.8" hidden="false" customHeight="false" outlineLevel="0" collapsed="false">
      <c r="A48388" s="0" t="s">
        <v>17116</v>
      </c>
      <c r="B48388" s="0" t="str">
        <f aca="false">HYPERLINK("https://lindat.mff.cuni.cz/services/teitok/pdtc10/index.php?action=vallex&amp;frame=v-whsa_538f1_ZU", "tlouci se (v-whsa_538f1_ZU)")</f>
        <v>tlouci se (v-whsa_538f1_ZU)</v>
      </c>
    </row>
    <row r="48389" customFormat="false" ht="12.8" hidden="false" customHeight="false" outlineLevel="0" collapsed="false">
      <c r="B48389" s="0" t="s">
        <v>1</v>
      </c>
    </row>
    <row r="48390" customFormat="false" ht="12.8" hidden="false" customHeight="false" outlineLevel="0" collapsed="false">
      <c r="B48390" s="0" t="s">
        <v>721</v>
      </c>
    </row>
    <row r="48392" customFormat="false" ht="12.8" hidden="false" customHeight="false" outlineLevel="0" collapsed="false">
      <c r="A48392" s="0" t="s">
        <v>17116</v>
      </c>
      <c r="B48392" s="0" t="str">
        <f aca="false">HYPERLINK("https://lindat.mff.cuni.cz/services/teitok/pdtc10/index.php?action=vallex&amp;frame=v-whsa_538hsa_539", "tlouci se (v-whsa_538hsa_539) - substituted with v-whsa_538f1_ZU")</f>
        <v>tlouci se (v-whsa_538hsa_539) - substituted with v-whsa_538f1_ZU</v>
      </c>
    </row>
    <row r="48393" customFormat="false" ht="12.8" hidden="false" customHeight="false" outlineLevel="0" collapsed="false">
      <c r="B48393" s="0" t="s">
        <v>1</v>
      </c>
    </row>
    <row r="48394" customFormat="false" ht="12.8" hidden="false" customHeight="false" outlineLevel="0" collapsed="false">
      <c r="B48394" s="0" t="s">
        <v>721</v>
      </c>
    </row>
    <row r="48396" customFormat="false" ht="12.8" hidden="false" customHeight="false" outlineLevel="0" collapsed="false">
      <c r="A48396" s="0" t="s">
        <v>17117</v>
      </c>
      <c r="B48396" s="0" t="str">
        <f aca="false">HYPERLINK("https://lindat.mff.cuni.cz/services/teitok/pdtc10/index.php?action=vallex&amp;frame=v-w10078f2", "tloustnout (v-w10078f2)")</f>
        <v>tloustnout (v-w10078f2)</v>
      </c>
    </row>
    <row r="48397" customFormat="false" ht="12.8" hidden="false" customHeight="false" outlineLevel="0" collapsed="false">
      <c r="B48397" s="0" t="s">
        <v>1</v>
      </c>
    </row>
    <row r="48399" customFormat="false" ht="12.8" hidden="false" customHeight="false" outlineLevel="0" collapsed="false">
      <c r="A48399" s="0" t="s">
        <v>17118</v>
      </c>
      <c r="B48399" s="0" t="str">
        <f aca="false">HYPERLINK("https://lindat.mff.cuni.cz/services/teitok/pdtc10/index.php?action=vallex&amp;frame=v-w6846f1", "tlumit (v-w6846f1)")</f>
        <v>tlumit (v-w6846f1)</v>
      </c>
      <c r="E48399" s="0" t="str">
        <f aca="false">HYPERLINK("https://lindat.mff.cuni.cz/services/SynSemClass40/SynSemClass40.html?veclass=vec00815#vec00815-ces-cm00003", "vec00815")</f>
        <v>vec00815</v>
      </c>
      <c r="F48399" s="0" t="s">
        <v>3374</v>
      </c>
    </row>
    <row r="48400" customFormat="false" ht="12.8" hidden="false" customHeight="false" outlineLevel="0" collapsed="false">
      <c r="B48400" s="0" t="s">
        <v>1</v>
      </c>
      <c r="C48400" s="0" t="s">
        <v>3375</v>
      </c>
      <c r="E48400" s="0" t="s">
        <v>76</v>
      </c>
      <c r="F48400" s="0" t="s">
        <v>3376</v>
      </c>
    </row>
    <row r="48401" customFormat="false" ht="12.8" hidden="false" customHeight="false" outlineLevel="0" collapsed="false">
      <c r="B48401" s="0" t="s">
        <v>8</v>
      </c>
      <c r="C48401" s="0" t="s">
        <v>1398</v>
      </c>
      <c r="E48401" s="0" t="s">
        <v>34</v>
      </c>
      <c r="F48401" s="0" t="s">
        <v>3377</v>
      </c>
    </row>
    <row r="48403" customFormat="false" ht="12.8" hidden="false" customHeight="false" outlineLevel="0" collapsed="false">
      <c r="A48403" s="0" t="s">
        <v>17119</v>
      </c>
      <c r="B48403" s="0" t="str">
        <f aca="false">HYPERLINK("https://lindat.mff.cuni.cz/services/teitok/pdtc10/index.php?action=vallex&amp;frame=v-w6846f2", "tlumit (v-w6846f2)")</f>
        <v>tlumit (v-w6846f2)</v>
      </c>
    </row>
    <row r="48404" customFormat="false" ht="12.8" hidden="false" customHeight="false" outlineLevel="0" collapsed="false">
      <c r="B48404" s="0" t="s">
        <v>1</v>
      </c>
    </row>
    <row r="48405" customFormat="false" ht="12.8" hidden="false" customHeight="false" outlineLevel="0" collapsed="false">
      <c r="B48405" s="0" t="s">
        <v>8</v>
      </c>
    </row>
    <row r="48407" customFormat="false" ht="12.8" hidden="false" customHeight="false" outlineLevel="0" collapsed="false">
      <c r="A48407" s="0" t="s">
        <v>17120</v>
      </c>
      <c r="B48407" s="0" t="str">
        <f aca="false">HYPERLINK("https://lindat.mff.cuni.cz/services/teitok/pdtc10/index.php?action=vallex&amp;frame=v-w6848f1", "tlumočit (v-w6848f1)")</f>
        <v>tlumočit (v-w6848f1)</v>
      </c>
    </row>
    <row r="48408" customFormat="false" ht="12.8" hidden="false" customHeight="false" outlineLevel="0" collapsed="false">
      <c r="B48408" s="0" t="s">
        <v>1</v>
      </c>
    </row>
    <row r="48409" customFormat="false" ht="12.8" hidden="false" customHeight="false" outlineLevel="0" collapsed="false">
      <c r="B48409" s="0" t="s">
        <v>500</v>
      </c>
    </row>
    <row r="48410" customFormat="false" ht="12.8" hidden="false" customHeight="false" outlineLevel="0" collapsed="false">
      <c r="B48410" s="0" t="s">
        <v>52</v>
      </c>
    </row>
    <row r="48412" customFormat="false" ht="12.8" hidden="false" customHeight="false" outlineLevel="0" collapsed="false">
      <c r="A48412" s="0" t="s">
        <v>17121</v>
      </c>
      <c r="B48412" s="0" t="str">
        <f aca="false">HYPERLINK("https://lindat.mff.cuni.cz/services/teitok/pdtc10/index.php?action=vallex&amp;frame=v-w6848f2", "tlumočit (v-w6848f2)")</f>
        <v>tlumočit (v-w6848f2)</v>
      </c>
      <c r="E48412" s="0" t="str">
        <f aca="false">HYPERLINK("https://lindat.mff.cuni.cz/services/SynSemClass40/SynSemClass40.html?veclass=vec01516#vec01516-ces-cm00022", "vec01516")</f>
        <v>vec01516</v>
      </c>
      <c r="F48412" s="0" t="s">
        <v>13430</v>
      </c>
    </row>
    <row r="48413" customFormat="false" ht="12.8" hidden="false" customHeight="false" outlineLevel="0" collapsed="false">
      <c r="B48413" s="0" t="s">
        <v>1</v>
      </c>
      <c r="E48413" s="0" t="s">
        <v>147</v>
      </c>
      <c r="F48413" s="0" t="s">
        <v>5874</v>
      </c>
    </row>
    <row r="48414" customFormat="false" ht="12.8" hidden="false" customHeight="false" outlineLevel="0" collapsed="false">
      <c r="B48414" s="0" t="s">
        <v>8</v>
      </c>
      <c r="E48414" s="0" t="s">
        <v>1569</v>
      </c>
      <c r="F48414" s="0" t="s">
        <v>13431</v>
      </c>
    </row>
    <row r="48415" customFormat="false" ht="12.8" hidden="false" customHeight="false" outlineLevel="0" collapsed="false">
      <c r="B48415" s="0" t="s">
        <v>36</v>
      </c>
      <c r="E48415" s="0" t="s">
        <v>38</v>
      </c>
      <c r="F48415" s="0" t="s">
        <v>8255</v>
      </c>
    </row>
    <row r="48416" customFormat="false" ht="12.8" hidden="false" customHeight="false" outlineLevel="0" collapsed="false">
      <c r="B48416" s="0" t="s">
        <v>245</v>
      </c>
      <c r="E48416" s="0" t="s">
        <v>42</v>
      </c>
      <c r="F48416" s="0" t="s">
        <v>13432</v>
      </c>
    </row>
    <row r="48418" customFormat="false" ht="12.8" hidden="false" customHeight="false" outlineLevel="0" collapsed="false">
      <c r="A48418" s="0" t="s">
        <v>17122</v>
      </c>
      <c r="B48418" s="0" t="str">
        <f aca="false">HYPERLINK("https://lindat.mff.cuni.cz/services/teitok/pdtc10/index.php?action=vallex&amp;frame=v-w12345_MMf1_MM", "tmelit (v-w12345_MMf1_MM)")</f>
        <v>tmelit (v-w12345_MMf1_MM)</v>
      </c>
    </row>
    <row r="48419" customFormat="false" ht="12.8" hidden="false" customHeight="false" outlineLevel="0" collapsed="false">
      <c r="B48419" s="0" t="s">
        <v>1</v>
      </c>
    </row>
    <row r="48420" customFormat="false" ht="12.8" hidden="false" customHeight="false" outlineLevel="0" collapsed="false">
      <c r="B48420" s="0" t="s">
        <v>8</v>
      </c>
    </row>
    <row r="48422" customFormat="false" ht="12.8" hidden="false" customHeight="false" outlineLevel="0" collapsed="false">
      <c r="A48422" s="0" t="s">
        <v>17123</v>
      </c>
      <c r="B48422" s="0" t="str">
        <f aca="false">HYPERLINK("https://lindat.mff.cuni.cz/services/teitok/pdtc10/index.php?action=vallex&amp;frame=v-w6855f1", "tolerovat (v-w6855f1)")</f>
        <v>tolerovat (v-w6855f1)</v>
      </c>
      <c r="E48422" s="0" t="str">
        <f aca="false">HYPERLINK("https://lindat.mff.cuni.cz/services/SynSemClass40/SynSemClass40.html?veclass=vec01128#vec01128-ces-cm00001", "vec01128")</f>
        <v>vec01128</v>
      </c>
      <c r="F48422" s="0" t="s">
        <v>16464</v>
      </c>
    </row>
    <row r="48423" customFormat="false" ht="12.8" hidden="false" customHeight="false" outlineLevel="0" collapsed="false">
      <c r="B48423" s="0" t="s">
        <v>1</v>
      </c>
      <c r="C48423" s="0" t="s">
        <v>239</v>
      </c>
      <c r="E48423" s="0" t="s">
        <v>11</v>
      </c>
      <c r="F48423" s="0" t="s">
        <v>15517</v>
      </c>
    </row>
    <row r="48424" customFormat="false" ht="12.8" hidden="false" customHeight="false" outlineLevel="0" collapsed="false">
      <c r="B48424" s="0" t="s">
        <v>228</v>
      </c>
      <c r="C48424" s="0" t="s">
        <v>4105</v>
      </c>
      <c r="E48424" s="0" t="s">
        <v>532</v>
      </c>
      <c r="F48424" s="0" t="s">
        <v>16465</v>
      </c>
    </row>
    <row r="48425" customFormat="false" ht="12.8" hidden="false" customHeight="false" outlineLevel="0" collapsed="false">
      <c r="B48425" s="0" t="s">
        <v>132</v>
      </c>
      <c r="E48425" s="0" t="s">
        <v>17124</v>
      </c>
      <c r="F48425" s="0" t="s">
        <v>17125</v>
      </c>
    </row>
    <row r="48427" customFormat="false" ht="12.8" hidden="false" customHeight="false" outlineLevel="0" collapsed="false">
      <c r="A48427" s="0" t="s">
        <v>17126</v>
      </c>
      <c r="B48427" s="0" t="str">
        <f aca="false">HYPERLINK("https://lindat.mff.cuni.cz/services/teitok/pdtc10/index.php?action=vallex&amp;frame=v-w6855hsa_389", "tolerovat (v-w6855hsa_389)")</f>
        <v>tolerovat (v-w6855hsa_389)</v>
      </c>
      <c r="E48427" s="0" t="str">
        <f aca="false">HYPERLINK("https://lindat.mff.cuni.cz/services/SynSemClass40/SynSemClass40.html?veclass=vec01128#vec01128-ces-cm00004", "vec01128")</f>
        <v>vec01128</v>
      </c>
      <c r="F48427" s="0" t="s">
        <v>16464</v>
      </c>
    </row>
    <row r="48428" customFormat="false" ht="12.8" hidden="false" customHeight="false" outlineLevel="0" collapsed="false">
      <c r="B48428" s="0" t="s">
        <v>1</v>
      </c>
      <c r="C48428" s="0" t="s">
        <v>239</v>
      </c>
      <c r="E48428" s="0" t="s">
        <v>11</v>
      </c>
      <c r="F48428" s="0" t="s">
        <v>15517</v>
      </c>
    </row>
    <row r="48429" customFormat="false" ht="12.8" hidden="false" customHeight="false" outlineLevel="0" collapsed="false">
      <c r="B48429" s="0" t="s">
        <v>8</v>
      </c>
      <c r="C48429" s="0" t="s">
        <v>4105</v>
      </c>
      <c r="E48429" s="0" t="s">
        <v>532</v>
      </c>
      <c r="F48429" s="0" t="s">
        <v>16465</v>
      </c>
    </row>
    <row r="48431" customFormat="false" ht="12.8" hidden="false" customHeight="false" outlineLevel="0" collapsed="false">
      <c r="A48431" s="0" t="s">
        <v>17127</v>
      </c>
      <c r="B48431" s="0" t="str">
        <f aca="false">HYPERLINK("https://lindat.mff.cuni.cz/services/teitok/pdtc10/index.php?action=vallex&amp;frame=v-w6856f1", "tonout (v-w6856f1)")</f>
        <v>tonout (v-w6856f1)</v>
      </c>
    </row>
    <row r="48432" customFormat="false" ht="12.8" hidden="false" customHeight="false" outlineLevel="0" collapsed="false">
      <c r="B48432" s="0" t="s">
        <v>1</v>
      </c>
    </row>
    <row r="48433" customFormat="false" ht="12.8" hidden="false" customHeight="false" outlineLevel="0" collapsed="false">
      <c r="B48433" s="0" t="s">
        <v>3245</v>
      </c>
    </row>
    <row r="48435" customFormat="false" ht="12.8" hidden="false" customHeight="false" outlineLevel="0" collapsed="false">
      <c r="A48435" s="0" t="s">
        <v>17128</v>
      </c>
      <c r="B48435" s="0" t="str">
        <f aca="false">HYPERLINK("https://lindat.mff.cuni.cz/services/teitok/pdtc10/index.php?action=vallex&amp;frame=v-w6856f2", "tonout (v-w6856f2)")</f>
        <v>tonout (v-w6856f2)</v>
      </c>
    </row>
    <row r="48436" customFormat="false" ht="12.8" hidden="false" customHeight="false" outlineLevel="0" collapsed="false">
      <c r="B48436" s="0" t="s">
        <v>1</v>
      </c>
    </row>
    <row r="48438" customFormat="false" ht="12.8" hidden="false" customHeight="false" outlineLevel="0" collapsed="false">
      <c r="A48438" s="0" t="s">
        <v>17129</v>
      </c>
      <c r="B48438" s="0" t="str">
        <f aca="false">HYPERLINK("https://lindat.mff.cuni.cz/services/teitok/pdtc10/index.php?action=vallex&amp;frame=v-w6858f1", "topit (v-w6858f1)")</f>
        <v>topit (v-w6858f1)</v>
      </c>
    </row>
    <row r="48439" customFormat="false" ht="12.8" hidden="false" customHeight="false" outlineLevel="0" collapsed="false">
      <c r="B48439" s="0" t="s">
        <v>1</v>
      </c>
    </row>
    <row r="48441" customFormat="false" ht="12.8" hidden="false" customHeight="false" outlineLevel="0" collapsed="false">
      <c r="A48441" s="0" t="s">
        <v>17130</v>
      </c>
      <c r="B48441" s="0" t="str">
        <f aca="false">HYPERLINK("https://lindat.mff.cuni.cz/services/teitok/pdtc10/index.php?action=vallex&amp;frame=v-w6859f1", "topit se (v-w6859f1)")</f>
        <v>topit se (v-w6859f1)</v>
      </c>
    </row>
    <row r="48442" customFormat="false" ht="12.8" hidden="false" customHeight="false" outlineLevel="0" collapsed="false">
      <c r="B48442" s="0" t="s">
        <v>1</v>
      </c>
    </row>
    <row r="48444" customFormat="false" ht="12.8" hidden="false" customHeight="false" outlineLevel="0" collapsed="false">
      <c r="A48444" s="0" t="s">
        <v>17131</v>
      </c>
      <c r="B48444" s="0" t="str">
        <f aca="false">HYPERLINK("https://lindat.mff.cuni.cz/services/teitok/pdtc10/index.php?action=vallex&amp;frame=v-w6859f2_ZU", "topit se (v-w6859f2_ZU)")</f>
        <v>topit se (v-w6859f2_ZU)</v>
      </c>
      <c r="E48444" s="0" t="str">
        <f aca="false">HYPERLINK("https://lindat.mff.cuni.cz/services/SynSemClass40/SynSemClass40.html?veclass=vec01130#vec01130-ces-cm00001", "vec01130")</f>
        <v>vec01130</v>
      </c>
      <c r="F48444" s="0" t="s">
        <v>17132</v>
      </c>
    </row>
    <row r="48445" customFormat="false" ht="12.8" hidden="false" customHeight="false" outlineLevel="0" collapsed="false">
      <c r="B48445" s="0" t="s">
        <v>1</v>
      </c>
      <c r="C48445" s="0" t="s">
        <v>1752</v>
      </c>
      <c r="E48445" s="0" t="s">
        <v>437</v>
      </c>
      <c r="F48445" s="0" t="s">
        <v>17133</v>
      </c>
    </row>
    <row r="48447" customFormat="false" ht="12.8" hidden="false" customHeight="false" outlineLevel="0" collapsed="false">
      <c r="A48447" s="0" t="s">
        <v>17134</v>
      </c>
      <c r="B48447" s="0" t="str">
        <f aca="false">HYPERLINK("https://lindat.mff.cuni.cz/services/teitok/pdtc10/index.php?action=vallex&amp;frame=v-w6860f1", "torpédovat (v-w6860f1)")</f>
        <v>torpédovat (v-w6860f1)</v>
      </c>
      <c r="E48447" s="0" t="str">
        <f aca="false">HYPERLINK("https://lindat.mff.cuni.cz/services/SynSemClass40/SynSemClass40.html?veclass=vec00174#vec00174-ces-cm00053", "vec00174")</f>
        <v>vec00174</v>
      </c>
      <c r="F48447" s="0" t="s">
        <v>325</v>
      </c>
    </row>
    <row r="48448" customFormat="false" ht="12.8" hidden="false" customHeight="false" outlineLevel="0" collapsed="false">
      <c r="B48448" s="0" t="s">
        <v>1</v>
      </c>
      <c r="C48448" s="0" t="s">
        <v>326</v>
      </c>
      <c r="E48448" s="0" t="s">
        <v>76</v>
      </c>
      <c r="F48448" s="0" t="s">
        <v>327</v>
      </c>
    </row>
    <row r="48449" customFormat="false" ht="12.8" hidden="false" customHeight="false" outlineLevel="0" collapsed="false">
      <c r="B48449" s="0" t="s">
        <v>8</v>
      </c>
      <c r="C48449" s="0" t="s">
        <v>328</v>
      </c>
      <c r="E48449" s="0" t="s">
        <v>188</v>
      </c>
      <c r="F48449" s="0" t="s">
        <v>329</v>
      </c>
    </row>
    <row r="48451" customFormat="false" ht="12.8" hidden="false" customHeight="false" outlineLevel="0" collapsed="false">
      <c r="A48451" s="0" t="s">
        <v>17135</v>
      </c>
      <c r="B48451" s="0" t="str">
        <f aca="false">HYPERLINK("https://lindat.mff.cuni.cz/services/teitok/pdtc10/index.php?action=vallex&amp;frame=v-w6860f2", "torpédovat (v-w6860f2)")</f>
        <v>torpédovat (v-w6860f2)</v>
      </c>
    </row>
    <row r="48452" customFormat="false" ht="12.8" hidden="false" customHeight="false" outlineLevel="0" collapsed="false">
      <c r="B48452" s="0" t="s">
        <v>1</v>
      </c>
    </row>
    <row r="48453" customFormat="false" ht="12.8" hidden="false" customHeight="false" outlineLevel="0" collapsed="false">
      <c r="B48453" s="0" t="s">
        <v>8</v>
      </c>
    </row>
    <row r="48455" customFormat="false" ht="12.8" hidden="false" customHeight="false" outlineLevel="0" collapsed="false">
      <c r="A48455" s="0" t="s">
        <v>17136</v>
      </c>
      <c r="B48455" s="0" t="str">
        <f aca="false">HYPERLINK("https://lindat.mff.cuni.cz/services/teitok/pdtc10/index.php?action=vallex&amp;frame=v-w6864f1", "toulat se (v-w6864f1)")</f>
        <v>toulat se (v-w6864f1)</v>
      </c>
      <c r="E48455" s="0" t="str">
        <f aca="false">HYPERLINK("https://lindat.mff.cuni.cz/services/SynSemClass40/SynSemClass40.html?veclass=vec01131#vec01131-ces-cm00001", "vec01131")</f>
        <v>vec01131</v>
      </c>
      <c r="F48455" s="0" t="s">
        <v>17137</v>
      </c>
    </row>
    <row r="48456" customFormat="false" ht="12.8" hidden="false" customHeight="false" outlineLevel="0" collapsed="false">
      <c r="B48456" s="0" t="s">
        <v>1</v>
      </c>
      <c r="C48456" s="0" t="s">
        <v>512</v>
      </c>
      <c r="E48456" s="0" t="s">
        <v>334</v>
      </c>
      <c r="F48456" s="0" t="s">
        <v>1304</v>
      </c>
    </row>
    <row r="48458" customFormat="false" ht="12.8" hidden="false" customHeight="false" outlineLevel="0" collapsed="false">
      <c r="A48458" s="0" t="s">
        <v>17138</v>
      </c>
      <c r="B48458" s="0" t="str">
        <f aca="false">HYPERLINK("https://lindat.mff.cuni.cz/services/teitok/pdtc10/index.php?action=vallex&amp;frame=v-w6866f2_ZU", "toužit (v-w6866f2_ZU)")</f>
        <v>toužit (v-w6866f2_ZU)</v>
      </c>
    </row>
    <row r="48459" customFormat="false" ht="12.8" hidden="false" customHeight="false" outlineLevel="0" collapsed="false">
      <c r="B48459" s="0" t="s">
        <v>1</v>
      </c>
    </row>
    <row r="48460" customFormat="false" ht="12.8" hidden="false" customHeight="false" outlineLevel="0" collapsed="false">
      <c r="B48460" s="0" t="s">
        <v>17139</v>
      </c>
    </row>
    <row r="48462" customFormat="false" ht="12.8" hidden="false" customHeight="false" outlineLevel="0" collapsed="false">
      <c r="A48462" s="0" t="s">
        <v>17138</v>
      </c>
      <c r="B48462" s="0" t="str">
        <f aca="false">HYPERLINK("https://lindat.mff.cuni.cz/services/teitok/pdtc10/index.php?action=vallex&amp;frame=v-w6866f1", "toužit (v-w6866f1) - substituted with v-w6866f2_ZU")</f>
        <v>toužit (v-w6866f1) - substituted with v-w6866f2_ZU</v>
      </c>
      <c r="E48462" s="0" t="str">
        <f aca="false">HYPERLINK("https://lindat.mff.cuni.cz/services/SynSemClass40/SynSemClass40.html?veclass=vec00877#vec00877-ces-cm00002", "vec00877")</f>
        <v>vec00877</v>
      </c>
      <c r="F48462" s="0" t="s">
        <v>12096</v>
      </c>
      <c r="H48462" s="0" t="str">
        <f aca="false">HYPERLINK("https://lindat.mff.cuni.cz/services/SynSemClass40/SynSemClass40.html?veclass=vec01495#vec01495-ces-cm00031", "vec01495")</f>
        <v>vec01495</v>
      </c>
      <c r="I48462" s="0" t="s">
        <v>6335</v>
      </c>
    </row>
    <row r="48463" customFormat="false" ht="12.8" hidden="false" customHeight="false" outlineLevel="0" collapsed="false">
      <c r="B48463" s="0" t="s">
        <v>1</v>
      </c>
      <c r="C48463" s="0" t="s">
        <v>17140</v>
      </c>
      <c r="E48463" s="0" t="s">
        <v>11</v>
      </c>
      <c r="F48463" s="0" t="s">
        <v>9320</v>
      </c>
      <c r="H48463" s="0" t="s">
        <v>147</v>
      </c>
      <c r="I48463" s="0" t="s">
        <v>6337</v>
      </c>
    </row>
    <row r="48464" customFormat="false" ht="12.8" hidden="false" customHeight="false" outlineLevel="0" collapsed="false">
      <c r="B48464" s="0" t="s">
        <v>17139</v>
      </c>
      <c r="C48464" s="0" t="s">
        <v>17141</v>
      </c>
      <c r="E48464" s="0" t="s">
        <v>6091</v>
      </c>
      <c r="F48464" s="0" t="s">
        <v>12097</v>
      </c>
      <c r="H48464" s="0" t="s">
        <v>50</v>
      </c>
      <c r="I48464" s="0" t="s">
        <v>6339</v>
      </c>
    </row>
    <row r="48466" customFormat="false" ht="12.8" hidden="false" customHeight="false" outlineLevel="0" collapsed="false">
      <c r="A48466" s="0" t="s">
        <v>17142</v>
      </c>
      <c r="B48466" s="0" t="str">
        <f aca="false">HYPERLINK("https://lindat.mff.cuni.cz/services/teitok/pdtc10/index.php?action=vallex&amp;frame=v-w6850f1", "točit (v-w6850f1)")</f>
        <v>točit (v-w6850f1)</v>
      </c>
      <c r="E48466" s="0" t="str">
        <f aca="false">HYPERLINK("https://lindat.mff.cuni.cz/services/SynSemClass40/SynSemClass40.html?veclass=vec00640#vec00640-ces-cm00065", "vec00640")</f>
        <v>vec00640</v>
      </c>
      <c r="F48466" s="0" t="s">
        <v>4128</v>
      </c>
    </row>
    <row r="48467" customFormat="false" ht="12.8" hidden="false" customHeight="false" outlineLevel="0" collapsed="false">
      <c r="B48467" s="0" t="s">
        <v>1</v>
      </c>
      <c r="C48467" s="0" t="s">
        <v>4001</v>
      </c>
      <c r="E48467" s="0" t="s">
        <v>768</v>
      </c>
      <c r="F48467" s="0" t="s">
        <v>4129</v>
      </c>
    </row>
    <row r="48468" customFormat="false" ht="12.8" hidden="false" customHeight="false" outlineLevel="0" collapsed="false">
      <c r="B48468" s="0" t="s">
        <v>8</v>
      </c>
      <c r="C48468" s="0" t="s">
        <v>4130</v>
      </c>
      <c r="E48468" s="0" t="s">
        <v>771</v>
      </c>
      <c r="F48468" s="0" t="s">
        <v>4131</v>
      </c>
    </row>
    <row r="48470" customFormat="false" ht="12.8" hidden="false" customHeight="false" outlineLevel="0" collapsed="false">
      <c r="A48470" s="0" t="s">
        <v>17143</v>
      </c>
      <c r="B48470" s="0" t="str">
        <f aca="false">HYPERLINK("https://lindat.mff.cuni.cz/services/teitok/pdtc10/index.php?action=vallex&amp;frame=v-w6850f2", "točit (v-w6850f2)")</f>
        <v>točit (v-w6850f2)</v>
      </c>
    </row>
    <row r="48471" customFormat="false" ht="12.8" hidden="false" customHeight="false" outlineLevel="0" collapsed="false">
      <c r="B48471" s="0" t="s">
        <v>1</v>
      </c>
    </row>
    <row r="48472" customFormat="false" ht="12.8" hidden="false" customHeight="false" outlineLevel="0" collapsed="false">
      <c r="B48472" s="0" t="s">
        <v>286</v>
      </c>
    </row>
    <row r="48474" customFormat="false" ht="12.8" hidden="false" customHeight="false" outlineLevel="0" collapsed="false">
      <c r="A48474" s="0" t="s">
        <v>17144</v>
      </c>
      <c r="B48474" s="0" t="str">
        <f aca="false">HYPERLINK("https://lindat.mff.cuni.cz/services/teitok/pdtc10/index.php?action=vallex&amp;frame=v-w6850f3_ZU", "točit (v-w6850f3_ZU)")</f>
        <v>točit (v-w6850f3_ZU)</v>
      </c>
    </row>
    <row r="48475" customFormat="false" ht="12.8" hidden="false" customHeight="false" outlineLevel="0" collapsed="false">
      <c r="B48475" s="0" t="s">
        <v>1</v>
      </c>
    </row>
    <row r="48476" customFormat="false" ht="12.8" hidden="false" customHeight="false" outlineLevel="0" collapsed="false">
      <c r="B48476" s="0" t="s">
        <v>8</v>
      </c>
    </row>
    <row r="48478" customFormat="false" ht="12.8" hidden="false" customHeight="false" outlineLevel="0" collapsed="false">
      <c r="A48478" s="0" t="s">
        <v>17144</v>
      </c>
      <c r="B48478" s="0" t="str">
        <f aca="false">HYPERLINK("https://lindat.mff.cuni.cz/services/teitok/pdtc10/index.php?action=vallex&amp;frame=v-w6850hsa_194", "točit (v-w6850hsa_194) - substituted with v-w6850f3_ZU")</f>
        <v>točit (v-w6850hsa_194) - substituted with v-w6850f3_ZU</v>
      </c>
    </row>
    <row r="48479" customFormat="false" ht="12.8" hidden="false" customHeight="false" outlineLevel="0" collapsed="false">
      <c r="B48479" s="0" t="s">
        <v>1</v>
      </c>
    </row>
    <row r="48480" customFormat="false" ht="12.8" hidden="false" customHeight="false" outlineLevel="0" collapsed="false">
      <c r="B48480" s="0" t="s">
        <v>8</v>
      </c>
    </row>
    <row r="48482" customFormat="false" ht="12.8" hidden="false" customHeight="false" outlineLevel="0" collapsed="false">
      <c r="A48482" s="0" t="s">
        <v>17145</v>
      </c>
      <c r="B48482" s="0" t="str">
        <f aca="false">HYPERLINK("https://lindat.mff.cuni.cz/services/teitok/pdtc10/index.php?action=vallex&amp;frame=v-w6850f4_ZU", "točit (v-w6850f4_ZU)")</f>
        <v>točit (v-w6850f4_ZU)</v>
      </c>
    </row>
    <row r="48483" customFormat="false" ht="12.8" hidden="false" customHeight="false" outlineLevel="0" collapsed="false">
      <c r="B48483" s="0" t="s">
        <v>1</v>
      </c>
    </row>
    <row r="48484" customFormat="false" ht="12.8" hidden="false" customHeight="false" outlineLevel="0" collapsed="false">
      <c r="B48484" s="0" t="s">
        <v>8</v>
      </c>
    </row>
    <row r="48486" customFormat="false" ht="12.8" hidden="false" customHeight="false" outlineLevel="0" collapsed="false">
      <c r="A48486" s="0" t="s">
        <v>17146</v>
      </c>
      <c r="B48486" s="0" t="str">
        <f aca="false">HYPERLINK("https://lindat.mff.cuni.cz/services/teitok/pdtc10/index.php?action=vallex&amp;frame=v-w6850hsa_192", "točit (v-w6850hsa_192)")</f>
        <v>točit (v-w6850hsa_192)</v>
      </c>
    </row>
    <row r="48487" customFormat="false" ht="12.8" hidden="false" customHeight="false" outlineLevel="0" collapsed="false">
      <c r="B48487" s="0" t="s">
        <v>1</v>
      </c>
    </row>
    <row r="48488" customFormat="false" ht="12.8" hidden="false" customHeight="false" outlineLevel="0" collapsed="false">
      <c r="B48488" s="0" t="s">
        <v>8</v>
      </c>
    </row>
    <row r="48490" customFormat="false" ht="12.8" hidden="false" customHeight="false" outlineLevel="0" collapsed="false">
      <c r="A48490" s="0" t="s">
        <v>17147</v>
      </c>
      <c r="B48490" s="0" t="str">
        <f aca="false">HYPERLINK("https://lindat.mff.cuni.cz/services/teitok/pdtc10/index.php?action=vallex&amp;frame=v-w6850hsa_193", "točit (v-w6850hsa_193)")</f>
        <v>točit (v-w6850hsa_193)</v>
      </c>
    </row>
    <row r="48491" customFormat="false" ht="12.8" hidden="false" customHeight="false" outlineLevel="0" collapsed="false">
      <c r="B48491" s="0" t="s">
        <v>1</v>
      </c>
    </row>
    <row r="48492" customFormat="false" ht="12.8" hidden="false" customHeight="false" outlineLevel="0" collapsed="false">
      <c r="B48492" s="0" t="s">
        <v>8</v>
      </c>
    </row>
    <row r="48494" customFormat="false" ht="12.8" hidden="false" customHeight="false" outlineLevel="0" collapsed="false">
      <c r="A48494" s="0" t="s">
        <v>17148</v>
      </c>
      <c r="B48494" s="0" t="str">
        <f aca="false">HYPERLINK("https://lindat.mff.cuni.cz/services/teitok/pdtc10/index.php?action=vallex&amp;frame=v-w6851f1", "točit se (v-w6851f1)")</f>
        <v>točit se (v-w6851f1)</v>
      </c>
      <c r="E48494" s="0" t="str">
        <f aca="false">HYPERLINK("https://lindat.mff.cuni.cz/services/SynSemClass40/SynSemClass40.html?veclass=vec01126#vec01126-ces-cm00001", "vec01126")</f>
        <v>vec01126</v>
      </c>
      <c r="F48494" s="0" t="s">
        <v>17149</v>
      </c>
    </row>
    <row r="48495" customFormat="false" ht="12.8" hidden="false" customHeight="false" outlineLevel="0" collapsed="false">
      <c r="B48495" s="0" t="s">
        <v>1</v>
      </c>
      <c r="E48495" s="0" t="s">
        <v>17150</v>
      </c>
      <c r="F48495" s="0" t="s">
        <v>17151</v>
      </c>
    </row>
    <row r="48496" customFormat="false" ht="12.8" hidden="false" customHeight="false" outlineLevel="0" collapsed="false">
      <c r="B48496" s="0" t="s">
        <v>17152</v>
      </c>
      <c r="E48496" s="0" t="s">
        <v>1732</v>
      </c>
      <c r="F48496" s="0" t="s">
        <v>6052</v>
      </c>
    </row>
    <row r="48498" customFormat="false" ht="12.8" hidden="false" customHeight="false" outlineLevel="0" collapsed="false">
      <c r="A48498" s="0" t="s">
        <v>17153</v>
      </c>
      <c r="B48498" s="0" t="str">
        <f aca="false">HYPERLINK("https://lindat.mff.cuni.cz/services/teitok/pdtc10/index.php?action=vallex&amp;frame=v-w6851f2", "točit se (v-w6851f2)")</f>
        <v>točit se (v-w6851f2)</v>
      </c>
    </row>
    <row r="48499" customFormat="false" ht="12.8" hidden="false" customHeight="false" outlineLevel="0" collapsed="false">
      <c r="B48499" s="0" t="s">
        <v>1</v>
      </c>
    </row>
    <row r="48500" customFormat="false" ht="12.8" hidden="false" customHeight="false" outlineLevel="0" collapsed="false">
      <c r="B48500" s="0" t="s">
        <v>5</v>
      </c>
    </row>
    <row r="48502" customFormat="false" ht="12.8" hidden="false" customHeight="false" outlineLevel="0" collapsed="false">
      <c r="A48502" s="0" t="s">
        <v>17154</v>
      </c>
      <c r="B48502" s="0" t="str">
        <f aca="false">HYPERLINK("https://lindat.mff.cuni.cz/services/teitok/pdtc10/index.php?action=vallex&amp;frame=v-w6851f4_ZU", "točit se (v-w6851f4_ZU)")</f>
        <v>točit se (v-w6851f4_ZU)</v>
      </c>
      <c r="E48502" s="0" t="str">
        <f aca="false">HYPERLINK("https://lindat.mff.cuni.cz/services/SynSemClass40/SynSemClass40.html?veclass=vec01127#vec01127-ces-cm00001", "vec01127")</f>
        <v>vec01127</v>
      </c>
      <c r="F48502" s="0" t="s">
        <v>17155</v>
      </c>
    </row>
    <row r="48503" customFormat="false" ht="12.8" hidden="false" customHeight="false" outlineLevel="0" collapsed="false">
      <c r="B48503" s="0" t="s">
        <v>804</v>
      </c>
      <c r="C48503" s="0" t="s">
        <v>1507</v>
      </c>
      <c r="E48503" s="0" t="s">
        <v>266</v>
      </c>
      <c r="F48503" s="0" t="s">
        <v>17156</v>
      </c>
    </row>
    <row r="48504" customFormat="false" ht="12.8" hidden="false" customHeight="false" outlineLevel="0" collapsed="false">
      <c r="B48504" s="0" t="s">
        <v>17157</v>
      </c>
    </row>
    <row r="48506" customFormat="false" ht="12.8" hidden="false" customHeight="false" outlineLevel="0" collapsed="false">
      <c r="A48506" s="0" t="s">
        <v>17154</v>
      </c>
      <c r="B48506" s="0" t="str">
        <f aca="false">HYPERLINK("https://lindat.mff.cuni.cz/services/teitok/pdtc10/index.php?action=vallex&amp;frame=v-w6851hsa_570", "točit se (v-w6851hsa_570) - substituted with v-w6851f4_ZU")</f>
        <v>točit se (v-w6851hsa_570) - substituted with v-w6851f4_ZU</v>
      </c>
    </row>
    <row r="48507" customFormat="false" ht="12.8" hidden="false" customHeight="false" outlineLevel="0" collapsed="false">
      <c r="B48507" s="0" t="s">
        <v>804</v>
      </c>
    </row>
    <row r="48508" customFormat="false" ht="12.8" hidden="false" customHeight="false" outlineLevel="0" collapsed="false">
      <c r="B48508" s="0" t="s">
        <v>17157</v>
      </c>
    </row>
    <row r="48510" customFormat="false" ht="12.8" hidden="false" customHeight="false" outlineLevel="0" collapsed="false">
      <c r="A48510" s="0" t="s">
        <v>17158</v>
      </c>
      <c r="B48510" s="0" t="str">
        <f aca="false">HYPERLINK("https://lindat.mff.cuni.cz/services/teitok/pdtc10/index.php?action=vallex&amp;frame=v-w6851f3_ZU", "točit se (v-w6851f3_ZU)")</f>
        <v>točit se (v-w6851f3_ZU)</v>
      </c>
    </row>
    <row r="48511" customFormat="false" ht="12.8" hidden="false" customHeight="false" outlineLevel="0" collapsed="false">
      <c r="B48511" s="0" t="s">
        <v>1</v>
      </c>
    </row>
    <row r="48512" customFormat="false" ht="12.8" hidden="false" customHeight="false" outlineLevel="0" collapsed="false">
      <c r="B48512" s="0" t="s">
        <v>17159</v>
      </c>
    </row>
    <row r="48513" customFormat="false" ht="12.8" hidden="false" customHeight="false" outlineLevel="0" collapsed="false">
      <c r="B48513" s="0" t="s">
        <v>311</v>
      </c>
    </row>
    <row r="48515" customFormat="false" ht="12.8" hidden="false" customHeight="false" outlineLevel="0" collapsed="false">
      <c r="A48515" s="0" t="s">
        <v>17158</v>
      </c>
      <c r="B48515" s="0" t="str">
        <f aca="false">HYPERLINK("https://lindat.mff.cuni.cz/services/teitok/pdtc10/index.php?action=vallex&amp;frame=v-w6851hsa_571", "točit se (v-w6851hsa_571) - substituted with v-w6851f3_ZU")</f>
        <v>točit se (v-w6851hsa_571) - substituted with v-w6851f3_ZU</v>
      </c>
    </row>
    <row r="48516" customFormat="false" ht="12.8" hidden="false" customHeight="false" outlineLevel="0" collapsed="false">
      <c r="B48516" s="0" t="s">
        <v>1</v>
      </c>
    </row>
    <row r="48517" customFormat="false" ht="12.8" hidden="false" customHeight="false" outlineLevel="0" collapsed="false">
      <c r="B48517" s="0" t="s">
        <v>17159</v>
      </c>
    </row>
    <row r="48518" customFormat="false" ht="12.8" hidden="false" customHeight="false" outlineLevel="0" collapsed="false">
      <c r="B48518" s="0" t="s">
        <v>311</v>
      </c>
    </row>
    <row r="48520" customFormat="false" ht="12.8" hidden="false" customHeight="false" outlineLevel="0" collapsed="false">
      <c r="A48520" s="0" t="s">
        <v>17160</v>
      </c>
      <c r="B48520" s="0" t="str">
        <f aca="false">HYPERLINK("https://lindat.mff.cuni.cz/services/teitok/pdtc10/index.php?action=vallex&amp;frame=v-w6851hsa_482", "točit se (v-w6851hsa_482)")</f>
        <v>točit se (v-w6851hsa_482)</v>
      </c>
    </row>
    <row r="48521" customFormat="false" ht="12.8" hidden="false" customHeight="false" outlineLevel="0" collapsed="false">
      <c r="B48521" s="0" t="s">
        <v>1</v>
      </c>
    </row>
    <row r="48523" customFormat="false" ht="12.8" hidden="false" customHeight="false" outlineLevel="0" collapsed="false">
      <c r="A48523" s="0" t="s">
        <v>17161</v>
      </c>
      <c r="B48523" s="0" t="str">
        <f aca="false">HYPERLINK("https://lindat.mff.cuni.cz/services/teitok/pdtc10/index.php?action=vallex&amp;frame=v-w6868f1", "tradovat (v-w6868f1)")</f>
        <v>tradovat (v-w6868f1)</v>
      </c>
    </row>
    <row r="48524" customFormat="false" ht="12.8" hidden="false" customHeight="false" outlineLevel="0" collapsed="false">
      <c r="B48524" s="0" t="s">
        <v>1</v>
      </c>
    </row>
    <row r="48525" customFormat="false" ht="12.8" hidden="false" customHeight="false" outlineLevel="0" collapsed="false">
      <c r="B48525" s="0" t="s">
        <v>6412</v>
      </c>
    </row>
    <row r="48526" customFormat="false" ht="12.8" hidden="false" customHeight="false" outlineLevel="0" collapsed="false">
      <c r="B48526" s="0" t="s">
        <v>496</v>
      </c>
    </row>
    <row r="48528" customFormat="false" ht="12.8" hidden="false" customHeight="false" outlineLevel="0" collapsed="false">
      <c r="A48528" s="0" t="s">
        <v>17162</v>
      </c>
      <c r="B48528" s="0" t="str">
        <f aca="false">HYPERLINK("https://lindat.mff.cuni.cz/services/teitok/pdtc10/index.php?action=vallex&amp;frame=v-w11880_ZUf1_ZU", "trampovat (v-w11880_ZUf1_ZU)")</f>
        <v>trampovat (v-w11880_ZUf1_ZU)</v>
      </c>
    </row>
    <row r="48529" customFormat="false" ht="12.8" hidden="false" customHeight="false" outlineLevel="0" collapsed="false">
      <c r="B48529" s="0" t="s">
        <v>1</v>
      </c>
    </row>
    <row r="48531" customFormat="false" ht="12.8" hidden="false" customHeight="false" outlineLevel="0" collapsed="false">
      <c r="A48531" s="0" t="s">
        <v>17163</v>
      </c>
      <c r="B48531" s="0" t="str">
        <f aca="false">HYPERLINK("https://lindat.mff.cuni.cz/services/teitok/pdtc10/index.php?action=vallex&amp;frame=v-w6877f1", "transformovat (v-w6877f1)")</f>
        <v>transformovat (v-w6877f1)</v>
      </c>
      <c r="E48531" s="0" t="str">
        <f aca="false">HYPERLINK("https://lindat.mff.cuni.cz/services/SynSemClass40/SynSemClass40.html?veclass=vec00095#vec00095-ces-cm00035", "vec00095")</f>
        <v>vec00095</v>
      </c>
      <c r="F48531" s="0" t="s">
        <v>29</v>
      </c>
    </row>
    <row r="48532" customFormat="false" ht="12.8" hidden="false" customHeight="false" outlineLevel="0" collapsed="false">
      <c r="B48532" s="0" t="s">
        <v>1</v>
      </c>
      <c r="C48532" s="0" t="s">
        <v>30</v>
      </c>
      <c r="E48532" s="0" t="s">
        <v>31</v>
      </c>
      <c r="F48532" s="0" t="s">
        <v>32</v>
      </c>
    </row>
    <row r="48533" customFormat="false" ht="12.8" hidden="false" customHeight="false" outlineLevel="0" collapsed="false">
      <c r="B48533" s="0" t="s">
        <v>8</v>
      </c>
      <c r="C48533" s="0" t="s">
        <v>33</v>
      </c>
      <c r="E48533" s="0" t="s">
        <v>34</v>
      </c>
      <c r="F48533" s="0" t="s">
        <v>35</v>
      </c>
    </row>
    <row r="48534" customFormat="false" ht="12.8" hidden="false" customHeight="false" outlineLevel="0" collapsed="false">
      <c r="B48534" s="0" t="s">
        <v>36</v>
      </c>
      <c r="C48534" s="0" t="s">
        <v>37</v>
      </c>
      <c r="E48534" s="0" t="s">
        <v>38</v>
      </c>
      <c r="F48534" s="0" t="s">
        <v>39</v>
      </c>
    </row>
    <row r="48535" customFormat="false" ht="12.8" hidden="false" customHeight="false" outlineLevel="0" collapsed="false">
      <c r="B48535" s="0" t="s">
        <v>17164</v>
      </c>
      <c r="C48535" s="0" t="s">
        <v>41</v>
      </c>
      <c r="E48535" s="0" t="s">
        <v>42</v>
      </c>
      <c r="F48535" s="0" t="s">
        <v>43</v>
      </c>
    </row>
    <row r="48537" customFormat="false" ht="12.8" hidden="false" customHeight="false" outlineLevel="0" collapsed="false">
      <c r="A48537" s="0" t="s">
        <v>17165</v>
      </c>
      <c r="B48537" s="0" t="str">
        <f aca="false">HYPERLINK("https://lindat.mff.cuni.cz/services/teitok/pdtc10/index.php?action=vallex&amp;frame=v-w6878f1", "transformovat se (v-w6878f1)")</f>
        <v>transformovat se (v-w6878f1)</v>
      </c>
      <c r="E48537" s="0" t="str">
        <f aca="false">HYPERLINK("https://lindat.mff.cuni.cz/services/SynSemClass40/SynSemClass40.html?veclass=vec01132#vec01132-ces-cm00001", "vec01132")</f>
        <v>vec01132</v>
      </c>
      <c r="F48537" s="0" t="s">
        <v>6967</v>
      </c>
    </row>
    <row r="48538" customFormat="false" ht="12.8" hidden="false" customHeight="false" outlineLevel="0" collapsed="false">
      <c r="B48538" s="0" t="s">
        <v>1</v>
      </c>
      <c r="C48538" s="0" t="s">
        <v>6968</v>
      </c>
      <c r="E48538" s="0" t="s">
        <v>84</v>
      </c>
      <c r="F48538" s="0" t="s">
        <v>6969</v>
      </c>
    </row>
    <row r="48539" customFormat="false" ht="12.8" hidden="false" customHeight="false" outlineLevel="0" collapsed="false">
      <c r="B48539" s="0" t="s">
        <v>13400</v>
      </c>
      <c r="C48539" s="0" t="s">
        <v>6971</v>
      </c>
      <c r="E48539" s="0" t="s">
        <v>1592</v>
      </c>
      <c r="F48539" s="0" t="s">
        <v>6972</v>
      </c>
    </row>
    <row r="48540" customFormat="false" ht="12.8" hidden="false" customHeight="false" outlineLevel="0" collapsed="false">
      <c r="B48540" s="0" t="s">
        <v>36</v>
      </c>
      <c r="C48540" s="0" t="s">
        <v>6973</v>
      </c>
      <c r="E48540" s="0" t="s">
        <v>38</v>
      </c>
      <c r="F48540" s="0" t="s">
        <v>6974</v>
      </c>
    </row>
    <row r="48542" customFormat="false" ht="12.8" hidden="false" customHeight="false" outlineLevel="0" collapsed="false">
      <c r="A48542" s="0" t="s">
        <v>17166</v>
      </c>
      <c r="B48542" s="0" t="str">
        <f aca="false">HYPERLINK("https://lindat.mff.cuni.cz/services/teitok/pdtc10/index.php?action=vallex&amp;frame=v-w6883f1", "transplantovat (v-w6883f1)")</f>
        <v>transplantovat (v-w6883f1)</v>
      </c>
    </row>
    <row r="48543" customFormat="false" ht="12.8" hidden="false" customHeight="false" outlineLevel="0" collapsed="false">
      <c r="B48543" s="0" t="s">
        <v>1</v>
      </c>
    </row>
    <row r="48544" customFormat="false" ht="12.8" hidden="false" customHeight="false" outlineLevel="0" collapsed="false">
      <c r="B48544" s="0" t="s">
        <v>8</v>
      </c>
    </row>
    <row r="48545" customFormat="false" ht="12.8" hidden="false" customHeight="false" outlineLevel="0" collapsed="false">
      <c r="B48545" s="0" t="s">
        <v>52</v>
      </c>
    </row>
    <row r="48547" customFormat="false" ht="12.8" hidden="false" customHeight="false" outlineLevel="0" collapsed="false">
      <c r="A48547" s="0" t="s">
        <v>17167</v>
      </c>
      <c r="B48547" s="0" t="str">
        <f aca="false">HYPERLINK("https://lindat.mff.cuni.cz/services/teitok/pdtc10/index.php?action=vallex&amp;frame=v-w6885f1", "transportovat (v-w6885f1)")</f>
        <v>transportovat (v-w6885f1)</v>
      </c>
      <c r="E48547" s="0" t="str">
        <f aca="false">HYPERLINK("https://lindat.mff.cuni.cz/services/SynSemClass40/SynSemClass40.html?veclass=vec00283#vec00283-ces-cm00032", "vec00283")</f>
        <v>vec00283</v>
      </c>
      <c r="F48547" s="0" t="s">
        <v>8946</v>
      </c>
    </row>
    <row r="48548" customFormat="false" ht="12.8" hidden="false" customHeight="false" outlineLevel="0" collapsed="false">
      <c r="B48548" s="0" t="s">
        <v>1</v>
      </c>
      <c r="C48548" s="0" t="s">
        <v>7911</v>
      </c>
      <c r="E48548" s="0" t="s">
        <v>2196</v>
      </c>
      <c r="F48548" s="0" t="s">
        <v>8947</v>
      </c>
    </row>
    <row r="48549" customFormat="false" ht="12.8" hidden="false" customHeight="false" outlineLevel="0" collapsed="false">
      <c r="B48549" s="0" t="s">
        <v>8</v>
      </c>
      <c r="C48549" s="0" t="s">
        <v>8948</v>
      </c>
      <c r="E48549" s="0" t="s">
        <v>2200</v>
      </c>
      <c r="F48549" s="0" t="s">
        <v>8949</v>
      </c>
    </row>
    <row r="48551" customFormat="false" ht="12.8" hidden="false" customHeight="false" outlineLevel="0" collapsed="false">
      <c r="A48551" s="0" t="s">
        <v>17168</v>
      </c>
      <c r="B48551" s="0" t="str">
        <f aca="false">HYPERLINK("https://lindat.mff.cuni.cz/services/teitok/pdtc10/index.php?action=vallex&amp;frame=v-w6891f1", "tratit (v-w6891f1)")</f>
        <v>tratit (v-w6891f1)</v>
      </c>
      <c r="E48551" s="0" t="str">
        <f aca="false">HYPERLINK("https://lindat.mff.cuni.cz/services/SynSemClass40/SynSemClass40.html?veclass=vec01193#vec01193-ces-cm00021", "vec01193")</f>
        <v>vec01193</v>
      </c>
      <c r="F48551" s="0" t="s">
        <v>12265</v>
      </c>
    </row>
    <row r="48552" customFormat="false" ht="12.8" hidden="false" customHeight="false" outlineLevel="0" collapsed="false">
      <c r="B48552" s="0" t="s">
        <v>1</v>
      </c>
      <c r="C48552" s="0" t="s">
        <v>447</v>
      </c>
      <c r="E48552" s="0" t="s">
        <v>10404</v>
      </c>
      <c r="F48552" s="0" t="s">
        <v>12266</v>
      </c>
    </row>
    <row r="48553" customFormat="false" ht="12.8" hidden="false" customHeight="false" outlineLevel="0" collapsed="false">
      <c r="B48553" s="0" t="s">
        <v>8</v>
      </c>
      <c r="C48553" s="0" t="s">
        <v>2082</v>
      </c>
      <c r="E48553" s="0" t="s">
        <v>2732</v>
      </c>
      <c r="F48553" s="0" t="s">
        <v>12267</v>
      </c>
    </row>
    <row r="48554" customFormat="false" ht="12.8" hidden="false" customHeight="false" outlineLevel="0" collapsed="false">
      <c r="B48554" s="0" t="s">
        <v>773</v>
      </c>
      <c r="E48554" s="0" t="s">
        <v>12268</v>
      </c>
      <c r="F48554" s="0" t="s">
        <v>12269</v>
      </c>
    </row>
    <row r="48556" customFormat="false" ht="12.8" hidden="false" customHeight="false" outlineLevel="0" collapsed="false">
      <c r="A48556" s="0" t="s">
        <v>17169</v>
      </c>
      <c r="B48556" s="0" t="str">
        <f aca="false">HYPERLINK("https://lindat.mff.cuni.cz/services/teitok/pdtc10/index.php?action=vallex&amp;frame=v-w10245f2", "traumatizovat (v-w10245f2)")</f>
        <v>traumatizovat (v-w10245f2)</v>
      </c>
      <c r="E48556" s="0" t="str">
        <f aca="false">HYPERLINK("https://lindat.mff.cuni.cz/services/SynSemClass40/SynSemClass40.html?veclass=vec00372#vec00372-ces-cm00130", "vec00372")</f>
        <v>vec00372</v>
      </c>
      <c r="F48556" s="0" t="s">
        <v>2524</v>
      </c>
    </row>
    <row r="48557" customFormat="false" ht="12.8" hidden="false" customHeight="false" outlineLevel="0" collapsed="false">
      <c r="B48557" s="0" t="s">
        <v>1</v>
      </c>
      <c r="C48557" s="0" t="s">
        <v>2525</v>
      </c>
      <c r="E48557" s="0" t="s">
        <v>2526</v>
      </c>
      <c r="F48557" s="0" t="s">
        <v>2527</v>
      </c>
    </row>
    <row r="48558" customFormat="false" ht="12.8" hidden="false" customHeight="false" outlineLevel="0" collapsed="false">
      <c r="B48558" s="0" t="s">
        <v>8</v>
      </c>
      <c r="C48558" s="0" t="s">
        <v>2528</v>
      </c>
      <c r="E48558" s="0" t="s">
        <v>142</v>
      </c>
      <c r="F48558" s="0" t="s">
        <v>2529</v>
      </c>
    </row>
    <row r="48560" customFormat="false" ht="12.8" hidden="false" customHeight="false" outlineLevel="0" collapsed="false">
      <c r="A48560" s="0" t="s">
        <v>17170</v>
      </c>
      <c r="B48560" s="0" t="str">
        <f aca="false">HYPERLINK("https://lindat.mff.cuni.cz/services/teitok/pdtc10/index.php?action=vallex&amp;frame=v-w6896f1", "trefit (v-w6896f1)")</f>
        <v>trefit (v-w6896f1)</v>
      </c>
    </row>
    <row r="48561" customFormat="false" ht="12.8" hidden="false" customHeight="false" outlineLevel="0" collapsed="false">
      <c r="B48561" s="0" t="s">
        <v>1</v>
      </c>
    </row>
    <row r="48562" customFormat="false" ht="12.8" hidden="false" customHeight="false" outlineLevel="0" collapsed="false">
      <c r="B48562" s="0" t="s">
        <v>8</v>
      </c>
    </row>
    <row r="48564" customFormat="false" ht="12.8" hidden="false" customHeight="false" outlineLevel="0" collapsed="false">
      <c r="A48564" s="0" t="s">
        <v>17171</v>
      </c>
      <c r="B48564" s="0" t="str">
        <f aca="false">HYPERLINK("https://lindat.mff.cuni.cz/services/teitok/pdtc10/index.php?action=vallex&amp;frame=v-w6896f6", "trefit (v-w6896f6)")</f>
        <v>trefit (v-w6896f6)</v>
      </c>
    </row>
    <row r="48565" customFormat="false" ht="12.8" hidden="false" customHeight="false" outlineLevel="0" collapsed="false">
      <c r="B48565" s="0" t="s">
        <v>1</v>
      </c>
    </row>
    <row r="48566" customFormat="false" ht="12.8" hidden="false" customHeight="false" outlineLevel="0" collapsed="false">
      <c r="B48566" s="0" t="s">
        <v>8</v>
      </c>
    </row>
    <row r="48568" customFormat="false" ht="12.8" hidden="false" customHeight="false" outlineLevel="0" collapsed="false">
      <c r="A48568" s="0" t="s">
        <v>17172</v>
      </c>
      <c r="B48568" s="0" t="str">
        <f aca="false">HYPERLINK("https://lindat.mff.cuni.cz/services/teitok/pdtc10/index.php?action=vallex&amp;frame=v-w6896f5", "trefit (v-w6896f5)")</f>
        <v>trefit (v-w6896f5)</v>
      </c>
    </row>
    <row r="48569" customFormat="false" ht="12.8" hidden="false" customHeight="false" outlineLevel="0" collapsed="false">
      <c r="B48569" s="0" t="s">
        <v>1</v>
      </c>
    </row>
    <row r="48570" customFormat="false" ht="12.8" hidden="false" customHeight="false" outlineLevel="0" collapsed="false">
      <c r="B48570" s="0" t="s">
        <v>45</v>
      </c>
    </row>
    <row r="48572" customFormat="false" ht="12.8" hidden="false" customHeight="false" outlineLevel="0" collapsed="false">
      <c r="A48572" s="0" t="s">
        <v>17173</v>
      </c>
      <c r="B48572" s="0" t="str">
        <f aca="false">HYPERLINK("https://lindat.mff.cuni.cz/services/teitok/pdtc10/index.php?action=vallex&amp;frame=v-w6896f4", "trefit (v-w6896f4)")</f>
        <v>trefit (v-w6896f4)</v>
      </c>
    </row>
    <row r="48573" customFormat="false" ht="12.8" hidden="false" customHeight="false" outlineLevel="0" collapsed="false">
      <c r="B48573" s="0" t="s">
        <v>1</v>
      </c>
    </row>
    <row r="48574" customFormat="false" ht="12.8" hidden="false" customHeight="false" outlineLevel="0" collapsed="false">
      <c r="B48574" s="0" t="s">
        <v>164</v>
      </c>
    </row>
    <row r="48576" customFormat="false" ht="12.8" hidden="false" customHeight="false" outlineLevel="0" collapsed="false">
      <c r="A48576" s="0" t="s">
        <v>17174</v>
      </c>
      <c r="B48576" s="0" t="str">
        <f aca="false">HYPERLINK("https://lindat.mff.cuni.cz/services/teitok/pdtc10/index.php?action=vallex&amp;frame=v-w6896f2", "trefit (v-w6896f2)")</f>
        <v>trefit (v-w6896f2)</v>
      </c>
    </row>
    <row r="48577" customFormat="false" ht="12.8" hidden="false" customHeight="false" outlineLevel="0" collapsed="false">
      <c r="B48577" s="0" t="s">
        <v>1</v>
      </c>
    </row>
    <row r="48578" customFormat="false" ht="12.8" hidden="false" customHeight="false" outlineLevel="0" collapsed="false">
      <c r="B48578" s="0" t="s">
        <v>17175</v>
      </c>
    </row>
    <row r="48580" customFormat="false" ht="12.8" hidden="false" customHeight="false" outlineLevel="0" collapsed="false">
      <c r="A48580" s="0" t="s">
        <v>17176</v>
      </c>
      <c r="B48580" s="0" t="str">
        <f aca="false">HYPERLINK("https://lindat.mff.cuni.cz/services/teitok/pdtc10/index.php?action=vallex&amp;frame=v-w6896f3", "trefit (v-w6896f3)")</f>
        <v>trefit (v-w6896f3)</v>
      </c>
    </row>
    <row r="48581" customFormat="false" ht="12.8" hidden="false" customHeight="false" outlineLevel="0" collapsed="false">
      <c r="B48581" s="0" t="s">
        <v>1</v>
      </c>
    </row>
    <row r="48582" customFormat="false" ht="12.8" hidden="false" customHeight="false" outlineLevel="0" collapsed="false">
      <c r="B48582" s="0" t="s">
        <v>17177</v>
      </c>
    </row>
    <row r="48584" customFormat="false" ht="12.8" hidden="false" customHeight="false" outlineLevel="0" collapsed="false">
      <c r="A48584" s="0" t="s">
        <v>17178</v>
      </c>
      <c r="B48584" s="0" t="str">
        <f aca="false">HYPERLINK("https://lindat.mff.cuni.cz/services/teitok/pdtc10/index.php?action=vallex&amp;frame=v-w6897f1", "trefit se (v-w6897f1)")</f>
        <v>trefit se (v-w6897f1)</v>
      </c>
    </row>
    <row r="48585" customFormat="false" ht="12.8" hidden="false" customHeight="false" outlineLevel="0" collapsed="false">
      <c r="B48585" s="0" t="s">
        <v>1</v>
      </c>
    </row>
    <row r="48586" customFormat="false" ht="12.8" hidden="false" customHeight="false" outlineLevel="0" collapsed="false">
      <c r="B48586" s="0" t="s">
        <v>164</v>
      </c>
    </row>
    <row r="48588" customFormat="false" ht="12.8" hidden="false" customHeight="false" outlineLevel="0" collapsed="false">
      <c r="A48588" s="0" t="s">
        <v>17179</v>
      </c>
      <c r="B48588" s="0" t="str">
        <f aca="false">HYPERLINK("https://lindat.mff.cuni.cz/services/teitok/pdtc10/index.php?action=vallex&amp;frame=v-w6897hsa_189", "trefit se (v-w6897hsa_189)")</f>
        <v>trefit se (v-w6897hsa_189)</v>
      </c>
    </row>
    <row r="48589" customFormat="false" ht="12.8" hidden="false" customHeight="false" outlineLevel="0" collapsed="false">
      <c r="B48589" s="0" t="s">
        <v>1</v>
      </c>
    </row>
    <row r="48591" customFormat="false" ht="12.8" hidden="false" customHeight="false" outlineLevel="0" collapsed="false">
      <c r="A48591" s="0" t="s">
        <v>17180</v>
      </c>
      <c r="B48591" s="0" t="str">
        <f aca="false">HYPERLINK("https://lindat.mff.cuni.cz/services/teitok/pdtc10/index.php?action=vallex&amp;frame=v-w6897f2_ZU", "trefit se (v-w6897f2_ZU)")</f>
        <v>trefit se (v-w6897f2_ZU)</v>
      </c>
    </row>
    <row r="48592" customFormat="false" ht="12.8" hidden="false" customHeight="false" outlineLevel="0" collapsed="false">
      <c r="B48592" s="0" t="s">
        <v>1</v>
      </c>
    </row>
    <row r="48593" customFormat="false" ht="12.8" hidden="false" customHeight="false" outlineLevel="0" collapsed="false">
      <c r="B48593" s="0" t="s">
        <v>454</v>
      </c>
    </row>
    <row r="48595" customFormat="false" ht="12.8" hidden="false" customHeight="false" outlineLevel="0" collapsed="false">
      <c r="A48595" s="0" t="s">
        <v>17181</v>
      </c>
      <c r="B48595" s="0" t="str">
        <f aca="false">HYPERLINK("https://lindat.mff.cuni.cz/services/teitok/pdtc10/index.php?action=vallex&amp;frame=v-w11797_ZUf1_ZU", "trefovat se (v-w11797_ZUf1_ZU)")</f>
        <v>trefovat se (v-w11797_ZUf1_ZU)</v>
      </c>
    </row>
    <row r="48596" customFormat="false" ht="12.8" hidden="false" customHeight="false" outlineLevel="0" collapsed="false">
      <c r="B48596" s="0" t="s">
        <v>1</v>
      </c>
    </row>
    <row r="48598" customFormat="false" ht="12.8" hidden="false" customHeight="false" outlineLevel="0" collapsed="false">
      <c r="A48598" s="0" t="s">
        <v>17182</v>
      </c>
      <c r="B48598" s="0" t="str">
        <f aca="false">HYPERLINK("https://lindat.mff.cuni.cz/services/teitok/pdtc10/index.php?action=vallex&amp;frame=v-w6907f1", "trestat (v-w6907f1)")</f>
        <v>trestat (v-w6907f1)</v>
      </c>
      <c r="E48598" s="0" t="str">
        <f aca="false">HYPERLINK("https://lindat.mff.cuni.cz/services/SynSemClass40/SynSemClass40.html?veclass=vec00484#vec00484-ces-cm00003", "vec00484")</f>
        <v>vec00484</v>
      </c>
      <c r="F48598" s="0" t="s">
        <v>10474</v>
      </c>
    </row>
    <row r="48599" customFormat="false" ht="12.8" hidden="false" customHeight="false" outlineLevel="0" collapsed="false">
      <c r="B48599" s="0" t="s">
        <v>1</v>
      </c>
      <c r="C48599" s="0" t="s">
        <v>333</v>
      </c>
      <c r="E48599" s="0" t="s">
        <v>206</v>
      </c>
      <c r="F48599" s="0" t="s">
        <v>10475</v>
      </c>
    </row>
    <row r="48600" customFormat="false" ht="12.8" hidden="false" customHeight="false" outlineLevel="0" collapsed="false">
      <c r="B48600" s="0" t="s">
        <v>8</v>
      </c>
      <c r="C48600" s="0" t="s">
        <v>10476</v>
      </c>
      <c r="E48600" s="0" t="s">
        <v>9278</v>
      </c>
      <c r="F48600" s="0" t="s">
        <v>10477</v>
      </c>
    </row>
    <row r="48602" customFormat="false" ht="12.8" hidden="false" customHeight="false" outlineLevel="0" collapsed="false">
      <c r="A48602" s="0" t="s">
        <v>17183</v>
      </c>
      <c r="B48602" s="0" t="str">
        <f aca="false">HYPERLINK("https://lindat.mff.cuni.cz/services/teitok/pdtc10/index.php?action=vallex&amp;frame=v-w6909f1", "trhat (v-w6909f1)")</f>
        <v>trhat (v-w6909f1)</v>
      </c>
      <c r="E48602" s="0" t="str">
        <f aca="false">HYPERLINK("https://lindat.mff.cuni.cz/services/SynSemClass40/SynSemClass40.html?veclass=vec00903#vec00903-ces-cm00017", "vec00903")</f>
        <v>vec00903</v>
      </c>
      <c r="F48602" s="0" t="s">
        <v>8059</v>
      </c>
    </row>
    <row r="48603" customFormat="false" ht="12.8" hidden="false" customHeight="false" outlineLevel="0" collapsed="false">
      <c r="B48603" s="0" t="s">
        <v>1</v>
      </c>
      <c r="C48603" s="0" t="s">
        <v>3241</v>
      </c>
      <c r="E48603" s="0" t="s">
        <v>1890</v>
      </c>
      <c r="F48603" s="0" t="s">
        <v>8061</v>
      </c>
    </row>
    <row r="48604" customFormat="false" ht="12.8" hidden="false" customHeight="false" outlineLevel="0" collapsed="false">
      <c r="B48604" s="0" t="s">
        <v>8</v>
      </c>
      <c r="C48604" s="0" t="s">
        <v>4776</v>
      </c>
      <c r="E48604" s="0" t="s">
        <v>1893</v>
      </c>
      <c r="F48604" s="0" t="s">
        <v>8063</v>
      </c>
    </row>
    <row r="48605" customFormat="false" ht="12.8" hidden="false" customHeight="false" outlineLevel="0" collapsed="false">
      <c r="B48605" s="0" t="s">
        <v>101</v>
      </c>
      <c r="C48605" s="0" t="s">
        <v>13627</v>
      </c>
      <c r="E48605" s="0" t="s">
        <v>2584</v>
      </c>
      <c r="F48605" s="0" t="s">
        <v>8065</v>
      </c>
    </row>
    <row r="48607" customFormat="false" ht="12.8" hidden="false" customHeight="false" outlineLevel="0" collapsed="false">
      <c r="A48607" s="0" t="s">
        <v>17184</v>
      </c>
      <c r="B48607" s="0" t="str">
        <f aca="false">HYPERLINK("https://lindat.mff.cuni.cz/services/teitok/pdtc10/index.php?action=vallex&amp;frame=v-w6909f2_ZU", "trhat (v-w6909f2_ZU)")</f>
        <v>trhat (v-w6909f2_ZU)</v>
      </c>
    </row>
    <row r="48608" customFormat="false" ht="12.8" hidden="false" customHeight="false" outlineLevel="0" collapsed="false">
      <c r="B48608" s="0" t="s">
        <v>1</v>
      </c>
    </row>
    <row r="48610" customFormat="false" ht="12.8" hidden="false" customHeight="false" outlineLevel="0" collapsed="false">
      <c r="A48610" s="0" t="s">
        <v>17185</v>
      </c>
      <c r="B48610" s="0" t="str">
        <f aca="false">HYPERLINK("https://lindat.mff.cuni.cz/services/teitok/pdtc10/index.php?action=vallex&amp;frame=v-w6909f3_ZU", "trhat (v-w6909f3_ZU)")</f>
        <v>trhat (v-w6909f3_ZU)</v>
      </c>
    </row>
    <row r="48611" customFormat="false" ht="12.8" hidden="false" customHeight="false" outlineLevel="0" collapsed="false">
      <c r="B48611" s="0" t="s">
        <v>1</v>
      </c>
    </row>
    <row r="48612" customFormat="false" ht="12.8" hidden="false" customHeight="false" outlineLevel="0" collapsed="false">
      <c r="B48612" s="0" t="s">
        <v>8</v>
      </c>
    </row>
    <row r="48614" customFormat="false" ht="12.8" hidden="false" customHeight="false" outlineLevel="0" collapsed="false">
      <c r="A48614" s="0" t="s">
        <v>17185</v>
      </c>
      <c r="B48614" s="0" t="str">
        <f aca="false">HYPERLINK("https://lindat.mff.cuni.cz/services/teitok/pdtc10/index.php?action=vallex&amp;frame=v-w6909hsa_1900", "trhat (v-w6909hsa_1900) - substituted with v-w6909f3_ZU")</f>
        <v>trhat (v-w6909hsa_1900) - substituted with v-w6909f3_ZU</v>
      </c>
    </row>
    <row r="48615" customFormat="false" ht="12.8" hidden="false" customHeight="false" outlineLevel="0" collapsed="false">
      <c r="B48615" s="0" t="s">
        <v>1</v>
      </c>
    </row>
    <row r="48616" customFormat="false" ht="12.8" hidden="false" customHeight="false" outlineLevel="0" collapsed="false">
      <c r="B48616" s="0" t="s">
        <v>8</v>
      </c>
    </row>
    <row r="48618" customFormat="false" ht="12.8" hidden="false" customHeight="false" outlineLevel="0" collapsed="false">
      <c r="A48618" s="0" t="s">
        <v>17186</v>
      </c>
      <c r="B48618" s="0" t="str">
        <f aca="false">HYPERLINK("https://lindat.mff.cuni.cz/services/teitok/pdtc10/index.php?action=vallex&amp;frame=v-w12333_MMf1_MM", "trhat se (v-w12333_MMf1_MM)")</f>
        <v>trhat se (v-w12333_MMf1_MM)</v>
      </c>
    </row>
    <row r="48619" customFormat="false" ht="12.8" hidden="false" customHeight="false" outlineLevel="0" collapsed="false">
      <c r="B48619" s="0" t="s">
        <v>1</v>
      </c>
    </row>
    <row r="48620" customFormat="false" ht="12.8" hidden="false" customHeight="false" outlineLevel="0" collapsed="false">
      <c r="B48620" s="0" t="s">
        <v>631</v>
      </c>
    </row>
    <row r="48622" customFormat="false" ht="12.8" hidden="false" customHeight="false" outlineLevel="0" collapsed="false">
      <c r="A48622" s="0" t="s">
        <v>17187</v>
      </c>
      <c r="B48622" s="0" t="str">
        <f aca="false">HYPERLINK("https://lindat.mff.cuni.cz/services/teitok/pdtc10/index.php?action=vallex&amp;frame=v-w12371_MMf1_MM", "trhnout (v-w12371_MMf1_MM)")</f>
        <v>trhnout (v-w12371_MMf1_MM)</v>
      </c>
    </row>
    <row r="48623" customFormat="false" ht="12.8" hidden="false" customHeight="false" outlineLevel="0" collapsed="false">
      <c r="B48623" s="0" t="s">
        <v>1</v>
      </c>
    </row>
    <row r="48624" customFormat="false" ht="12.8" hidden="false" customHeight="false" outlineLevel="0" collapsed="false">
      <c r="B48624" s="0" t="s">
        <v>10555</v>
      </c>
    </row>
    <row r="48626" customFormat="false" ht="12.8" hidden="false" customHeight="false" outlineLevel="0" collapsed="false">
      <c r="A48626" s="0" t="s">
        <v>17188</v>
      </c>
      <c r="B48626" s="0" t="str">
        <f aca="false">HYPERLINK("https://lindat.mff.cuni.cz/services/teitok/pdtc10/index.php?action=vallex&amp;frame=v-w12092_ZUf1_ZU", "trhnout se (v-w12092_ZUf1_ZU)")</f>
        <v>trhnout se (v-w12092_ZUf1_ZU)</v>
      </c>
    </row>
    <row r="48627" customFormat="false" ht="12.8" hidden="false" customHeight="false" outlineLevel="0" collapsed="false">
      <c r="B48627" s="0" t="s">
        <v>1</v>
      </c>
    </row>
    <row r="48628" customFormat="false" ht="12.8" hidden="false" customHeight="false" outlineLevel="0" collapsed="false">
      <c r="B48628" s="0" t="s">
        <v>6273</v>
      </c>
    </row>
    <row r="48630" customFormat="false" ht="12.8" hidden="false" customHeight="false" outlineLevel="0" collapsed="false">
      <c r="A48630" s="0" t="s">
        <v>17189</v>
      </c>
      <c r="B48630" s="0" t="str">
        <f aca="false">HYPERLINK("https://lindat.mff.cuni.cz/services/teitok/pdtc10/index.php?action=vallex&amp;frame=v-w12092_ZUf2_ZU", "trhnout se (v-w12092_ZUf2_ZU)")</f>
        <v>trhnout se (v-w12092_ZUf2_ZU)</v>
      </c>
    </row>
    <row r="48631" customFormat="false" ht="12.8" hidden="false" customHeight="false" outlineLevel="0" collapsed="false">
      <c r="B48631" s="0" t="s">
        <v>1</v>
      </c>
    </row>
    <row r="48632" customFormat="false" ht="12.8" hidden="false" customHeight="false" outlineLevel="0" collapsed="false">
      <c r="B48632" s="0" t="s">
        <v>26</v>
      </c>
    </row>
    <row r="48634" customFormat="false" ht="12.8" hidden="false" customHeight="false" outlineLevel="0" collapsed="false">
      <c r="A48634" s="0" t="s">
        <v>17190</v>
      </c>
      <c r="B48634" s="0" t="str">
        <f aca="false">HYPERLINK("https://lindat.mff.cuni.cz/services/teitok/pdtc10/index.php?action=vallex&amp;frame=v-w6913f1", "triumfovat (v-w6913f1)")</f>
        <v>triumfovat (v-w6913f1)</v>
      </c>
    </row>
    <row r="48635" customFormat="false" ht="12.8" hidden="false" customHeight="false" outlineLevel="0" collapsed="false">
      <c r="B48635" s="0" t="s">
        <v>1</v>
      </c>
    </row>
    <row r="48636" customFormat="false" ht="12.8" hidden="false" customHeight="false" outlineLevel="0" collapsed="false">
      <c r="B48636" s="0" t="s">
        <v>294</v>
      </c>
    </row>
    <row r="48638" customFormat="false" ht="12.8" hidden="false" customHeight="false" outlineLevel="0" collapsed="false">
      <c r="A48638" s="0" t="s">
        <v>17191</v>
      </c>
      <c r="B48638" s="0" t="str">
        <f aca="false">HYPERLINK("https://lindat.mff.cuni.cz/services/teitok/pdtc10/index.php?action=vallex&amp;frame=v-w10279f2", "trivializovat (v-w10279f2)")</f>
        <v>trivializovat (v-w10279f2)</v>
      </c>
      <c r="E48638" s="0" t="str">
        <f aca="false">HYPERLINK("https://lindat.mff.cuni.cz/services/SynSemClass40/SynSemClass40.html?veclass=vec00801#vec00801-ces-cm00010", "vec00801")</f>
        <v>vec00801</v>
      </c>
      <c r="F48638" s="0" t="s">
        <v>225</v>
      </c>
    </row>
    <row r="48639" customFormat="false" ht="12.8" hidden="false" customHeight="false" outlineLevel="0" collapsed="false">
      <c r="B48639" s="0" t="s">
        <v>1</v>
      </c>
      <c r="C48639" s="0" t="s">
        <v>226</v>
      </c>
      <c r="E48639" s="0" t="s">
        <v>31</v>
      </c>
      <c r="F48639" s="0" t="s">
        <v>227</v>
      </c>
    </row>
    <row r="48640" customFormat="false" ht="12.8" hidden="false" customHeight="false" outlineLevel="0" collapsed="false">
      <c r="B48640" s="0" t="s">
        <v>8</v>
      </c>
      <c r="C48640" s="0" t="s">
        <v>229</v>
      </c>
      <c r="E48640" s="0" t="s">
        <v>230</v>
      </c>
      <c r="F48640" s="0" t="s">
        <v>231</v>
      </c>
    </row>
    <row r="48642" customFormat="false" ht="12.8" hidden="false" customHeight="false" outlineLevel="0" collapsed="false">
      <c r="A48642" s="0" t="s">
        <v>17192</v>
      </c>
      <c r="B48642" s="0" t="str">
        <f aca="false">HYPERLINK("https://lindat.mff.cuni.cz/services/teitok/pdtc10/index.php?action=vallex&amp;frame=v-w11604_ZUf1_ZU", "trmácet se (v-w11604_ZUf1_ZU)")</f>
        <v>trmácet se (v-w11604_ZUf1_ZU)</v>
      </c>
    </row>
    <row r="48643" customFormat="false" ht="12.8" hidden="false" customHeight="false" outlineLevel="0" collapsed="false">
      <c r="B48643" s="0" t="s">
        <v>1</v>
      </c>
    </row>
    <row r="48645" customFormat="false" ht="12.8" hidden="false" customHeight="false" outlineLevel="0" collapsed="false">
      <c r="A48645" s="0" t="s">
        <v>17193</v>
      </c>
      <c r="B48645" s="0" t="str">
        <f aca="false">HYPERLINK("https://lindat.mff.cuni.cz/services/teitok/pdtc10/index.php?action=vallex&amp;frame=v-whsa_1248hsa_1249", "trnout (v-whsa_1248hsa_1249)")</f>
        <v>trnout (v-whsa_1248hsa_1249)</v>
      </c>
    </row>
    <row r="48646" customFormat="false" ht="12.8" hidden="false" customHeight="false" outlineLevel="0" collapsed="false">
      <c r="B48646" s="0" t="s">
        <v>1</v>
      </c>
    </row>
    <row r="48647" customFormat="false" ht="12.8" hidden="false" customHeight="false" outlineLevel="0" collapsed="false">
      <c r="B48647" s="0" t="s">
        <v>17194</v>
      </c>
    </row>
    <row r="48649" customFormat="false" ht="12.8" hidden="false" customHeight="false" outlineLevel="0" collapsed="false">
      <c r="A48649" s="0" t="s">
        <v>17195</v>
      </c>
      <c r="B48649" s="0" t="str">
        <f aca="false">HYPERLINK("https://lindat.mff.cuni.cz/services/teitok/pdtc10/index.php?action=vallex&amp;frame=v-w6914f1", "tropit (v-w6914f1)")</f>
        <v>tropit (v-w6914f1)</v>
      </c>
      <c r="E48649" s="0" t="str">
        <f aca="false">HYPERLINK("https://lindat.mff.cuni.cz/services/SynSemClass40/SynSemClass40.html?veclass=vec00196#vec00196-ces-cm00344", "vec00196")</f>
        <v>vec00196</v>
      </c>
      <c r="F48649" s="0" t="s">
        <v>749</v>
      </c>
    </row>
    <row r="48650" customFormat="false" ht="12.8" hidden="false" customHeight="false" outlineLevel="0" collapsed="false">
      <c r="B48650" s="0" t="s">
        <v>1</v>
      </c>
      <c r="C48650" s="0" t="s">
        <v>750</v>
      </c>
      <c r="E48650" s="0" t="s">
        <v>76</v>
      </c>
      <c r="F48650" s="0" t="s">
        <v>751</v>
      </c>
    </row>
    <row r="48651" customFormat="false" ht="12.8" hidden="false" customHeight="false" outlineLevel="0" collapsed="false">
      <c r="B48651" s="0" t="s">
        <v>8</v>
      </c>
      <c r="C48651" s="0" t="s">
        <v>6686</v>
      </c>
      <c r="E48651" s="0" t="s">
        <v>6358</v>
      </c>
      <c r="F48651" s="0" t="s">
        <v>6645</v>
      </c>
    </row>
    <row r="48652" customFormat="false" ht="12.8" hidden="false" customHeight="false" outlineLevel="0" collapsed="false">
      <c r="B48652" s="0" t="s">
        <v>52</v>
      </c>
      <c r="C48652" s="0" t="s">
        <v>7175</v>
      </c>
      <c r="E48652" s="0" t="s">
        <v>2287</v>
      </c>
      <c r="F48652" s="0" t="s">
        <v>7176</v>
      </c>
    </row>
    <row r="48654" customFormat="false" ht="12.8" hidden="false" customHeight="false" outlineLevel="0" collapsed="false">
      <c r="A48654" s="0" t="s">
        <v>17196</v>
      </c>
      <c r="B48654" s="0" t="str">
        <f aca="false">HYPERLINK("https://lindat.mff.cuni.cz/services/teitok/pdtc10/index.php?action=vallex&amp;frame=v-w10945f4", "troubit (v-w10945f4)")</f>
        <v>troubit (v-w10945f4)</v>
      </c>
    </row>
    <row r="48655" customFormat="false" ht="12.8" hidden="false" customHeight="false" outlineLevel="0" collapsed="false">
      <c r="B48655" s="0" t="s">
        <v>1</v>
      </c>
    </row>
    <row r="48657" customFormat="false" ht="12.8" hidden="false" customHeight="false" outlineLevel="0" collapsed="false">
      <c r="A48657" s="0" t="s">
        <v>17197</v>
      </c>
      <c r="B48657" s="0" t="str">
        <f aca="false">HYPERLINK("https://lindat.mff.cuni.cz/services/teitok/pdtc10/index.php?action=vallex&amp;frame=v-w10945f6_ZU", "troubit (v-w10945f6_ZU)")</f>
        <v>troubit (v-w10945f6_ZU)</v>
      </c>
    </row>
    <row r="48658" customFormat="false" ht="12.8" hidden="false" customHeight="false" outlineLevel="0" collapsed="false">
      <c r="B48658" s="0" t="s">
        <v>1</v>
      </c>
    </row>
    <row r="48659" customFormat="false" ht="12.8" hidden="false" customHeight="false" outlineLevel="0" collapsed="false">
      <c r="B48659" s="0" t="s">
        <v>69</v>
      </c>
    </row>
    <row r="48661" customFormat="false" ht="12.8" hidden="false" customHeight="false" outlineLevel="0" collapsed="false">
      <c r="A48661" s="0" t="s">
        <v>17197</v>
      </c>
      <c r="B48661" s="0" t="str">
        <f aca="false">HYPERLINK("https://lindat.mff.cuni.cz/services/teitok/pdtc10/index.php?action=vallex&amp;frame=v-w10945f5", "troubit (v-w10945f5) - substituted with v-w10945f6_ZU")</f>
        <v>troubit (v-w10945f5) - substituted with v-w10945f6_ZU</v>
      </c>
    </row>
    <row r="48662" customFormat="false" ht="12.8" hidden="false" customHeight="false" outlineLevel="0" collapsed="false">
      <c r="B48662" s="0" t="s">
        <v>1</v>
      </c>
    </row>
    <row r="48663" customFormat="false" ht="12.8" hidden="false" customHeight="false" outlineLevel="0" collapsed="false">
      <c r="B48663" s="0" t="s">
        <v>69</v>
      </c>
    </row>
    <row r="48665" customFormat="false" ht="12.8" hidden="false" customHeight="false" outlineLevel="0" collapsed="false">
      <c r="A48665" s="0" t="s">
        <v>17198</v>
      </c>
      <c r="B48665" s="0" t="str">
        <f aca="false">HYPERLINK("https://lindat.mff.cuni.cz/services/teitok/pdtc10/index.php?action=vallex&amp;frame=v-w10945f7_ZU", "troubit (v-w10945f7_ZU)")</f>
        <v>troubit (v-w10945f7_ZU)</v>
      </c>
    </row>
    <row r="48666" customFormat="false" ht="12.8" hidden="false" customHeight="false" outlineLevel="0" collapsed="false">
      <c r="B48666" s="0" t="s">
        <v>1</v>
      </c>
    </row>
    <row r="48668" customFormat="false" ht="12.8" hidden="false" customHeight="false" outlineLevel="0" collapsed="false">
      <c r="A48668" s="0" t="s">
        <v>17199</v>
      </c>
      <c r="B48668" s="0" t="str">
        <f aca="false">HYPERLINK("https://lindat.mff.cuni.cz/services/teitok/pdtc10/index.php?action=vallex&amp;frame=v-w6916f2_ZU", "troufat si (v-w6916f2_ZU)")</f>
        <v>troufat si (v-w6916f2_ZU)</v>
      </c>
    </row>
    <row r="48669" customFormat="false" ht="12.8" hidden="false" customHeight="false" outlineLevel="0" collapsed="false">
      <c r="B48669" s="0" t="s">
        <v>1</v>
      </c>
    </row>
    <row r="48670" customFormat="false" ht="12.8" hidden="false" customHeight="false" outlineLevel="0" collapsed="false">
      <c r="B48670" s="0" t="s">
        <v>16564</v>
      </c>
    </row>
    <row r="48672" customFormat="false" ht="12.8" hidden="false" customHeight="false" outlineLevel="0" collapsed="false">
      <c r="A48672" s="0" t="s">
        <v>17199</v>
      </c>
      <c r="B48672" s="0" t="str">
        <f aca="false">HYPERLINK("https://lindat.mff.cuni.cz/services/teitok/pdtc10/index.php?action=vallex&amp;frame=v-w6916f1", "troufat si (v-w6916f1) - substituted with v-w6916f2_ZU")</f>
        <v>troufat si (v-w6916f1) - substituted with v-w6916f2_ZU</v>
      </c>
    </row>
    <row r="48673" customFormat="false" ht="12.8" hidden="false" customHeight="false" outlineLevel="0" collapsed="false">
      <c r="B48673" s="0" t="s">
        <v>1</v>
      </c>
    </row>
    <row r="48674" customFormat="false" ht="12.8" hidden="false" customHeight="false" outlineLevel="0" collapsed="false">
      <c r="B48674" s="0" t="s">
        <v>16564</v>
      </c>
    </row>
    <row r="48676" customFormat="false" ht="12.8" hidden="false" customHeight="false" outlineLevel="0" collapsed="false">
      <c r="A48676" s="0" t="s">
        <v>17200</v>
      </c>
      <c r="B48676" s="0" t="str">
        <f aca="false">HYPERLINK("https://lindat.mff.cuni.cz/services/teitok/pdtc10/index.php?action=vallex&amp;frame=v-w6917f1", "troufnout si (v-w6917f1)")</f>
        <v>troufnout si (v-w6917f1)</v>
      </c>
      <c r="E48676" s="0" t="str">
        <f aca="false">HYPERLINK("https://lindat.mff.cuni.cz/services/SynSemClass40/SynSemClass40.html?veclass=vec00411#vec00411-ces-cm00005", "vec00411")</f>
        <v>vec00411</v>
      </c>
      <c r="F48676" s="0" t="s">
        <v>3090</v>
      </c>
      <c r="H48676" s="0" t="str">
        <f aca="false">HYPERLINK("https://lindat.mff.cuni.cz/services/SynSemClass40/SynSemClass40.html?veclass=vec01061#vec01061-ces-cm00004", "vec01061")</f>
        <v>vec01061</v>
      </c>
      <c r="I48676" s="0" t="s">
        <v>9397</v>
      </c>
    </row>
    <row r="48677" customFormat="false" ht="12.8" hidden="false" customHeight="false" outlineLevel="0" collapsed="false">
      <c r="B48677" s="0" t="s">
        <v>1</v>
      </c>
      <c r="C48677" s="0" t="s">
        <v>17201</v>
      </c>
      <c r="E48677" s="0" t="s">
        <v>31</v>
      </c>
      <c r="F48677" s="0" t="s">
        <v>3092</v>
      </c>
      <c r="H48677" s="0" t="s">
        <v>11</v>
      </c>
      <c r="I48677" s="0" t="s">
        <v>9399</v>
      </c>
    </row>
    <row r="48678" customFormat="false" ht="12.8" hidden="false" customHeight="false" outlineLevel="0" collapsed="false">
      <c r="B48678" s="0" t="s">
        <v>192</v>
      </c>
      <c r="C48678" s="0" t="s">
        <v>13740</v>
      </c>
      <c r="E48678" s="0" t="s">
        <v>79</v>
      </c>
      <c r="F48678" s="0" t="s">
        <v>3095</v>
      </c>
      <c r="H48678" s="0" t="s">
        <v>79</v>
      </c>
      <c r="I48678" s="0" t="s">
        <v>9402</v>
      </c>
    </row>
    <row r="48680" customFormat="false" ht="12.8" hidden="false" customHeight="false" outlineLevel="0" collapsed="false">
      <c r="A48680" s="0" t="s">
        <v>17202</v>
      </c>
      <c r="B48680" s="0" t="str">
        <f aca="false">HYPERLINK("https://lindat.mff.cuni.cz/services/teitok/pdtc10/index.php?action=vallex&amp;frame=v-w12158_ZUf1_ZU", "trousit se (v-w12158_ZUf1_ZU)")</f>
        <v>trousit se (v-w12158_ZUf1_ZU)</v>
      </c>
    </row>
    <row r="48681" customFormat="false" ht="12.8" hidden="false" customHeight="false" outlineLevel="0" collapsed="false">
      <c r="B48681" s="0" t="s">
        <v>1</v>
      </c>
    </row>
    <row r="48683" customFormat="false" ht="12.8" hidden="false" customHeight="false" outlineLevel="0" collapsed="false">
      <c r="A48683" s="0" t="s">
        <v>17203</v>
      </c>
      <c r="B48683" s="0" t="str">
        <f aca="false">HYPERLINK("https://lindat.mff.cuni.cz/services/teitok/pdtc10/index.php?action=vallex&amp;frame=v-w6918f3", "trpět (v-w6918f3)")</f>
        <v>trpět (v-w6918f3)</v>
      </c>
    </row>
    <row r="48684" customFormat="false" ht="12.8" hidden="false" customHeight="false" outlineLevel="0" collapsed="false">
      <c r="B48684" s="0" t="s">
        <v>1</v>
      </c>
    </row>
    <row r="48685" customFormat="false" ht="12.8" hidden="false" customHeight="false" outlineLevel="0" collapsed="false">
      <c r="B48685" s="0" t="s">
        <v>228</v>
      </c>
    </row>
    <row r="48686" customFormat="false" ht="12.8" hidden="false" customHeight="false" outlineLevel="0" collapsed="false">
      <c r="B48686" s="0" t="s">
        <v>132</v>
      </c>
    </row>
    <row r="48688" customFormat="false" ht="12.8" hidden="false" customHeight="false" outlineLevel="0" collapsed="false">
      <c r="A48688" s="0" t="s">
        <v>17204</v>
      </c>
      <c r="B48688" s="0" t="str">
        <f aca="false">HYPERLINK("https://lindat.mff.cuni.cz/services/teitok/pdtc10/index.php?action=vallex&amp;frame=v-w6918f5_ZU", "trpět (v-w6918f5_ZU)")</f>
        <v>trpět (v-w6918f5_ZU)</v>
      </c>
      <c r="E48688" s="0" t="str">
        <f aca="false">HYPERLINK("https://lindat.mff.cuni.cz/services/SynSemClass40/SynSemClass40.html?veclass=vec00740#vec00740-ces-cm00026", "vec00740")</f>
        <v>vec00740</v>
      </c>
      <c r="F48688" s="0" t="s">
        <v>2563</v>
      </c>
    </row>
    <row r="48689" customFormat="false" ht="12.8" hidden="false" customHeight="false" outlineLevel="0" collapsed="false">
      <c r="B48689" s="0" t="s">
        <v>1</v>
      </c>
      <c r="C48689" s="0" t="s">
        <v>2564</v>
      </c>
      <c r="E48689" s="0" t="s">
        <v>2565</v>
      </c>
      <c r="F48689" s="0" t="s">
        <v>2566</v>
      </c>
    </row>
    <row r="48690" customFormat="false" ht="12.8" hidden="false" customHeight="false" outlineLevel="0" collapsed="false">
      <c r="B48690" s="0" t="s">
        <v>17205</v>
      </c>
      <c r="C48690" s="0" t="s">
        <v>2567</v>
      </c>
      <c r="E48690" s="0" t="s">
        <v>2568</v>
      </c>
      <c r="F48690" s="0" t="s">
        <v>2569</v>
      </c>
    </row>
    <row r="48692" customFormat="false" ht="12.8" hidden="false" customHeight="false" outlineLevel="0" collapsed="false">
      <c r="A48692" s="0" t="s">
        <v>17204</v>
      </c>
      <c r="B48692" s="0" t="str">
        <f aca="false">HYPERLINK("https://lindat.mff.cuni.cz/services/teitok/pdtc10/index.php?action=vallex&amp;frame=v-w6918f1", "trpět (v-w6918f1) - substituted with v-w6918f5_ZU")</f>
        <v>trpět (v-w6918f1) - substituted with v-w6918f5_ZU</v>
      </c>
    </row>
    <row r="48693" customFormat="false" ht="12.8" hidden="false" customHeight="false" outlineLevel="0" collapsed="false">
      <c r="B48693" s="0" t="s">
        <v>1</v>
      </c>
    </row>
    <row r="48694" customFormat="false" ht="12.8" hidden="false" customHeight="false" outlineLevel="0" collapsed="false">
      <c r="B48694" s="0" t="s">
        <v>17205</v>
      </c>
    </row>
    <row r="48696" customFormat="false" ht="12.8" hidden="false" customHeight="false" outlineLevel="0" collapsed="false">
      <c r="A48696" s="0" t="s">
        <v>17206</v>
      </c>
      <c r="B48696" s="0" t="str">
        <f aca="false">HYPERLINK("https://lindat.mff.cuni.cz/services/teitok/pdtc10/index.php?action=vallex&amp;frame=v-w6918f4", "trpět (v-w6918f4)")</f>
        <v>trpět (v-w6918f4)</v>
      </c>
    </row>
    <row r="48697" customFormat="false" ht="12.8" hidden="false" customHeight="false" outlineLevel="0" collapsed="false">
      <c r="B48697" s="0" t="s">
        <v>1</v>
      </c>
    </row>
    <row r="48698" customFormat="false" ht="12.8" hidden="false" customHeight="false" outlineLevel="0" collapsed="false">
      <c r="B48698" s="0" t="s">
        <v>45</v>
      </c>
    </row>
    <row r="48700" customFormat="false" ht="12.8" hidden="false" customHeight="false" outlineLevel="0" collapsed="false">
      <c r="A48700" s="0" t="s">
        <v>17207</v>
      </c>
      <c r="B48700" s="0" t="str">
        <f aca="false">HYPERLINK("https://lindat.mff.cuni.cz/services/teitok/pdtc10/index.php?action=vallex&amp;frame=v-w6918f2", "trpět (v-w6918f2)")</f>
        <v>trpět (v-w6918f2)</v>
      </c>
      <c r="E48700" s="0" t="str">
        <f aca="false">HYPERLINK("https://lindat.mff.cuni.cz/services/SynSemClass40/SynSemClass40.html?veclass=vec00740#vec00740-ces-cm00025", "vec00740")</f>
        <v>vec00740</v>
      </c>
      <c r="F48700" s="0" t="s">
        <v>2563</v>
      </c>
    </row>
    <row r="48701" customFormat="false" ht="12.8" hidden="false" customHeight="false" outlineLevel="0" collapsed="false">
      <c r="B48701" s="0" t="s">
        <v>1</v>
      </c>
      <c r="C48701" s="0" t="s">
        <v>2564</v>
      </c>
      <c r="E48701" s="0" t="s">
        <v>2565</v>
      </c>
      <c r="F48701" s="0" t="s">
        <v>2566</v>
      </c>
    </row>
    <row r="48703" customFormat="false" ht="12.8" hidden="false" customHeight="false" outlineLevel="0" collapsed="false">
      <c r="A48703" s="0" t="s">
        <v>17208</v>
      </c>
      <c r="B48703" s="0" t="str">
        <f aca="false">HYPERLINK("https://lindat.mff.cuni.cz/services/teitok/pdtc10/index.php?action=vallex&amp;frame=v-w10265f2", "truchlit (v-w10265f2)")</f>
        <v>truchlit (v-w10265f2)</v>
      </c>
    </row>
    <row r="48704" customFormat="false" ht="12.8" hidden="false" customHeight="false" outlineLevel="0" collapsed="false">
      <c r="B48704" s="0" t="s">
        <v>1</v>
      </c>
    </row>
    <row r="48705" customFormat="false" ht="12.8" hidden="false" customHeight="false" outlineLevel="0" collapsed="false">
      <c r="B48705" s="0" t="s">
        <v>17209</v>
      </c>
    </row>
    <row r="48707" customFormat="false" ht="12.8" hidden="false" customHeight="false" outlineLevel="0" collapsed="false">
      <c r="A48707" s="0" t="s">
        <v>17210</v>
      </c>
      <c r="B48707" s="0" t="str">
        <f aca="false">HYPERLINK("https://lindat.mff.cuni.cz/services/teitok/pdtc10/index.php?action=vallex&amp;frame=v-w12168_ZUf1_ZU", "trucovat (v-w12168_ZUf1_ZU)")</f>
        <v>trucovat (v-w12168_ZUf1_ZU)</v>
      </c>
    </row>
    <row r="48708" customFormat="false" ht="12.8" hidden="false" customHeight="false" outlineLevel="0" collapsed="false">
      <c r="B48708" s="0" t="s">
        <v>1</v>
      </c>
    </row>
    <row r="48710" customFormat="false" ht="12.8" hidden="false" customHeight="false" outlineLevel="0" collapsed="false">
      <c r="A48710" s="0" t="s">
        <v>17211</v>
      </c>
      <c r="B48710" s="0" t="str">
        <f aca="false">HYPERLINK("https://lindat.mff.cuni.cz/services/teitok/pdtc10/index.php?action=vallex&amp;frame=v-w11086f2", "trumfnout (v-w11086f2)")</f>
        <v>trumfnout (v-w11086f2)</v>
      </c>
    </row>
    <row r="48711" customFormat="false" ht="12.8" hidden="false" customHeight="false" outlineLevel="0" collapsed="false">
      <c r="B48711" s="0" t="s">
        <v>1</v>
      </c>
    </row>
    <row r="48712" customFormat="false" ht="12.8" hidden="false" customHeight="false" outlineLevel="0" collapsed="false">
      <c r="B48712" s="0" t="s">
        <v>8</v>
      </c>
    </row>
    <row r="48714" customFormat="false" ht="12.8" hidden="false" customHeight="false" outlineLevel="0" collapsed="false">
      <c r="A48714" s="0" t="s">
        <v>17212</v>
      </c>
      <c r="B48714" s="0" t="str">
        <f aca="false">HYPERLINK("https://lindat.mff.cuni.cz/services/teitok/pdtc10/index.php?action=vallex&amp;frame=v-w6920f1", "trumfovat (v-w6920f1)")</f>
        <v>trumfovat (v-w6920f1)</v>
      </c>
      <c r="E48714" s="0" t="str">
        <f aca="false">HYPERLINK("https://lindat.mff.cuni.cz/services/SynSemClass40/SynSemClass40.html?veclass=vec00279#vec00279-ces-cm00080", "vec00279")</f>
        <v>vec00279</v>
      </c>
      <c r="F48714" s="0" t="s">
        <v>9067</v>
      </c>
      <c r="H48714" s="0" t="str">
        <f aca="false">HYPERLINK("https://lindat.mff.cuni.cz/services/SynSemClass40/SynSemClass40.html?veclass=vec00352#vec00352-ces-cm00015", "vec00352")</f>
        <v>vec00352</v>
      </c>
      <c r="I48714" s="0" t="s">
        <v>17213</v>
      </c>
    </row>
    <row r="48715" customFormat="false" ht="12.8" hidden="false" customHeight="false" outlineLevel="0" collapsed="false">
      <c r="B48715" s="0" t="s">
        <v>1</v>
      </c>
      <c r="C48715" s="0" t="s">
        <v>17214</v>
      </c>
      <c r="E48715" s="0" t="s">
        <v>11</v>
      </c>
      <c r="F48715" s="0" t="s">
        <v>9069</v>
      </c>
      <c r="H48715" s="0" t="s">
        <v>2106</v>
      </c>
      <c r="I48715" s="0" t="s">
        <v>17215</v>
      </c>
    </row>
    <row r="48716" customFormat="false" ht="12.8" hidden="false" customHeight="false" outlineLevel="0" collapsed="false">
      <c r="B48716" s="0" t="s">
        <v>8</v>
      </c>
      <c r="C48716" s="0" t="s">
        <v>9070</v>
      </c>
      <c r="E48716" s="0" t="s">
        <v>7635</v>
      </c>
      <c r="F48716" s="0" t="s">
        <v>9071</v>
      </c>
      <c r="H48716" s="0" t="s">
        <v>5392</v>
      </c>
      <c r="I48716" s="0" t="s">
        <v>13127</v>
      </c>
    </row>
    <row r="48718" customFormat="false" ht="12.8" hidden="false" customHeight="false" outlineLevel="0" collapsed="false">
      <c r="A48718" s="0" t="s">
        <v>17216</v>
      </c>
      <c r="B48718" s="0" t="str">
        <f aca="false">HYPERLINK("https://lindat.mff.cuni.cz/services/teitok/pdtc10/index.php?action=vallex&amp;frame=v-w6923f3", "trvat (v-w6923f3)")</f>
        <v>trvat (v-w6923f3)</v>
      </c>
      <c r="E48718" s="0" t="str">
        <f aca="false">HYPERLINK("https://lindat.mff.cuni.cz/services/SynSemClass40/SynSemClass40.html?veclass=vec00530#vec00530-ces-cm00001", "vec00530")</f>
        <v>vec00530</v>
      </c>
      <c r="F48718" s="0" t="s">
        <v>17217</v>
      </c>
    </row>
    <row r="48719" customFormat="false" ht="12.8" hidden="false" customHeight="false" outlineLevel="0" collapsed="false">
      <c r="B48719" s="0" t="s">
        <v>17218</v>
      </c>
      <c r="C48719" s="0" t="s">
        <v>17219</v>
      </c>
      <c r="E48719" s="0" t="s">
        <v>1086</v>
      </c>
      <c r="F48719" s="0" t="s">
        <v>17220</v>
      </c>
    </row>
    <row r="48720" customFormat="false" ht="12.8" hidden="false" customHeight="false" outlineLevel="0" collapsed="false">
      <c r="B48720" s="0" t="s">
        <v>186</v>
      </c>
      <c r="E48720" s="0" t="s">
        <v>1847</v>
      </c>
      <c r="F48720" s="0" t="s">
        <v>11720</v>
      </c>
    </row>
    <row r="48722" customFormat="false" ht="12.8" hidden="false" customHeight="false" outlineLevel="0" collapsed="false">
      <c r="A48722" s="0" t="s">
        <v>17221</v>
      </c>
      <c r="B48722" s="0" t="str">
        <f aca="false">HYPERLINK("https://lindat.mff.cuni.cz/services/teitok/pdtc10/index.php?action=vallex&amp;frame=v-w6923f2", "trvat (v-w6923f2)")</f>
        <v>trvat (v-w6923f2)</v>
      </c>
      <c r="E48722" s="0" t="str">
        <f aca="false">HYPERLINK("https://lindat.mff.cuni.cz/services/SynSemClass40/SynSemClass40.html?veclass=vec00326#vec00326-ces-cm00001", "vec00326")</f>
        <v>vec00326</v>
      </c>
      <c r="F48722" s="0" t="s">
        <v>16721</v>
      </c>
      <c r="H48722" s="0" t="str">
        <f aca="false">HYPERLINK("https://lindat.mff.cuni.cz/services/SynSemClass40/SynSemClass40.html?veclass=vec01313#vec01313-ces-cm00002", "vec01313")</f>
        <v>vec01313</v>
      </c>
      <c r="I48722" s="0" t="s">
        <v>15743</v>
      </c>
      <c r="K48722" s="0" t="str">
        <f aca="false">HYPERLINK("https://lindat.mff.cuni.cz/services/SynSemClass40/SynSemClass40.html?veclass=vec01534#vec01534-ces-cm00011", "vec01534")</f>
        <v>vec01534</v>
      </c>
      <c r="L48722" s="0" t="s">
        <v>6088</v>
      </c>
    </row>
    <row r="48723" customFormat="false" ht="12.8" hidden="false" customHeight="false" outlineLevel="0" collapsed="false">
      <c r="B48723" s="0" t="s">
        <v>1</v>
      </c>
      <c r="C48723" s="0" t="s">
        <v>17222</v>
      </c>
      <c r="E48723" s="0" t="s">
        <v>11</v>
      </c>
      <c r="F48723" s="0" t="s">
        <v>16723</v>
      </c>
      <c r="H48723" s="0" t="s">
        <v>155</v>
      </c>
      <c r="I48723" s="0" t="s">
        <v>15745</v>
      </c>
      <c r="K48723" s="0" t="s">
        <v>155</v>
      </c>
      <c r="L48723" s="0" t="s">
        <v>6090</v>
      </c>
    </row>
    <row r="48724" customFormat="false" ht="12.8" hidden="false" customHeight="false" outlineLevel="0" collapsed="false">
      <c r="B48724" s="0" t="s">
        <v>291</v>
      </c>
      <c r="C48724" s="0" t="s">
        <v>17223</v>
      </c>
      <c r="E48724" s="0" t="s">
        <v>6494</v>
      </c>
      <c r="F48724" s="0" t="s">
        <v>16726</v>
      </c>
      <c r="H48724" s="0" t="s">
        <v>15747</v>
      </c>
      <c r="I48724" s="0" t="s">
        <v>15748</v>
      </c>
      <c r="K48724" s="0" t="s">
        <v>1823</v>
      </c>
      <c r="L48724" s="0" t="s">
        <v>6093</v>
      </c>
    </row>
    <row r="48726" customFormat="false" ht="12.8" hidden="false" customHeight="false" outlineLevel="0" collapsed="false">
      <c r="A48726" s="0" t="s">
        <v>17224</v>
      </c>
      <c r="B48726" s="0" t="str">
        <f aca="false">HYPERLINK("https://lindat.mff.cuni.cz/services/teitok/pdtc10/index.php?action=vallex&amp;frame=v-w6923f1", "trvat (v-w6923f1)")</f>
        <v>trvat (v-w6923f1)</v>
      </c>
      <c r="E48726" s="0" t="str">
        <f aca="false">HYPERLINK("https://lindat.mff.cuni.cz/services/SynSemClass40/SynSemClass40.html?veclass=vec00261#vec00261-ces-cm00012", "vec00261")</f>
        <v>vec00261</v>
      </c>
      <c r="F48726" s="0" t="s">
        <v>1318</v>
      </c>
    </row>
    <row r="48727" customFormat="false" ht="12.8" hidden="false" customHeight="false" outlineLevel="0" collapsed="false">
      <c r="B48727" s="0" t="s">
        <v>1</v>
      </c>
      <c r="C48727" s="0" t="s">
        <v>1319</v>
      </c>
      <c r="E48727" s="0" t="s">
        <v>375</v>
      </c>
      <c r="F48727" s="0" t="s">
        <v>1320</v>
      </c>
    </row>
    <row r="48729" customFormat="false" ht="12.8" hidden="false" customHeight="false" outlineLevel="0" collapsed="false">
      <c r="A48729" s="0" t="s">
        <v>17225</v>
      </c>
      <c r="B48729" s="0" t="str">
        <f aca="false">HYPERLINK("https://lindat.mff.cuni.cz/services/teitok/pdtc10/index.php?action=vallex&amp;frame=v-w6923f4", "trvat (v-w6923f4)")</f>
        <v>trvat (v-w6923f4)</v>
      </c>
      <c r="E48729" s="0" t="str">
        <f aca="false">HYPERLINK("https://lindat.mff.cuni.cz/services/SynSemClass40/SynSemClass40.html?veclass=vec01534#vec01534-ces-cm00013", "vec01534")</f>
        <v>vec01534</v>
      </c>
      <c r="F48729" s="0" t="s">
        <v>6088</v>
      </c>
    </row>
    <row r="48730" customFormat="false" ht="12.8" hidden="false" customHeight="false" outlineLevel="0" collapsed="false">
      <c r="B48730" s="0" t="s">
        <v>1</v>
      </c>
      <c r="C48730" s="0" t="s">
        <v>1673</v>
      </c>
      <c r="E48730" s="0" t="s">
        <v>155</v>
      </c>
      <c r="F48730" s="0" t="s">
        <v>6090</v>
      </c>
    </row>
    <row r="48731" customFormat="false" ht="12.8" hidden="false" customHeight="false" outlineLevel="0" collapsed="false">
      <c r="B48731" s="0" t="s">
        <v>17226</v>
      </c>
      <c r="C48731" s="0" t="s">
        <v>17227</v>
      </c>
      <c r="E48731" s="0" t="s">
        <v>17228</v>
      </c>
      <c r="F48731" s="0" t="s">
        <v>17229</v>
      </c>
    </row>
    <row r="48733" customFormat="false" ht="12.8" hidden="false" customHeight="false" outlineLevel="0" collapsed="false">
      <c r="A48733" s="0" t="s">
        <v>17230</v>
      </c>
      <c r="B48733" s="0" t="str">
        <f aca="false">HYPERLINK("https://lindat.mff.cuni.cz/services/teitok/pdtc10/index.php?action=vallex&amp;frame=v-w11200f2", "tryskat (v-w11200f2)")</f>
        <v>tryskat (v-w11200f2)</v>
      </c>
      <c r="E48733" s="0" t="str">
        <f aca="false">HYPERLINK("https://lindat.mff.cuni.cz/services/SynSemClass40/SynSemClass40.html?veclass=vec00258#vec00258-ces-cm00066", "vec00258")</f>
        <v>vec00258</v>
      </c>
      <c r="F48733" s="0" t="s">
        <v>10649</v>
      </c>
    </row>
    <row r="48734" customFormat="false" ht="12.8" hidden="false" customHeight="false" outlineLevel="0" collapsed="false">
      <c r="B48734" s="0" t="s">
        <v>1</v>
      </c>
      <c r="C48734" s="0" t="s">
        <v>10650</v>
      </c>
      <c r="E48734" s="0" t="s">
        <v>957</v>
      </c>
      <c r="F48734" s="0" t="s">
        <v>10651</v>
      </c>
    </row>
    <row r="48735" customFormat="false" ht="12.8" hidden="false" customHeight="false" outlineLevel="0" collapsed="false">
      <c r="B48735" s="0" t="s">
        <v>631</v>
      </c>
      <c r="C48735" s="0" t="s">
        <v>17231</v>
      </c>
      <c r="E48735" s="0" t="s">
        <v>4096</v>
      </c>
      <c r="F48735" s="0" t="s">
        <v>17232</v>
      </c>
    </row>
    <row r="48737" customFormat="false" ht="12.8" hidden="false" customHeight="false" outlineLevel="0" collapsed="false">
      <c r="A48737" s="0" t="s">
        <v>17233</v>
      </c>
      <c r="B48737" s="0" t="str">
        <f aca="false">HYPERLINK("https://lindat.mff.cuni.cz/services/teitok/pdtc10/index.php?action=vallex&amp;frame=v-w6889hsa_458", "trápit (v-w6889hsa_458)")</f>
        <v>trápit (v-w6889hsa_458)</v>
      </c>
      <c r="E48737" s="0" t="str">
        <f aca="false">HYPERLINK("https://lindat.mff.cuni.cz/services/SynSemClass40/SynSemClass40.html?veclass=vec00547#vec00547-ces-cm00017", "vec00547")</f>
        <v>vec00547</v>
      </c>
      <c r="F48737" s="0" t="s">
        <v>435</v>
      </c>
    </row>
    <row r="48738" customFormat="false" ht="12.8" hidden="false" customHeight="false" outlineLevel="0" collapsed="false">
      <c r="B48738" s="0" t="s">
        <v>17234</v>
      </c>
      <c r="C48738" s="0" t="s">
        <v>17235</v>
      </c>
      <c r="E48738" s="0" t="s">
        <v>4609</v>
      </c>
      <c r="F48738" s="0" t="s">
        <v>17236</v>
      </c>
    </row>
    <row r="48739" customFormat="false" ht="12.8" hidden="false" customHeight="false" outlineLevel="0" collapsed="false">
      <c r="B48739" s="0" t="s">
        <v>8</v>
      </c>
      <c r="C48739" s="0" t="s">
        <v>17237</v>
      </c>
      <c r="E48739" s="0" t="s">
        <v>142</v>
      </c>
      <c r="F48739" s="0" t="s">
        <v>17238</v>
      </c>
    </row>
    <row r="48741" customFormat="false" ht="12.8" hidden="false" customHeight="false" outlineLevel="0" collapsed="false">
      <c r="A48741" s="0" t="s">
        <v>17233</v>
      </c>
      <c r="B48741" s="0" t="str">
        <f aca="false">HYPERLINK("https://lindat.mff.cuni.cz/services/teitok/pdtc10/index.php?action=vallex&amp;frame=v-w6889f1", "trápit (v-w6889f1) - substituted with v-w6889hsa_458")</f>
        <v>trápit (v-w6889f1) - substituted with v-w6889hsa_458</v>
      </c>
    </row>
    <row r="48742" customFormat="false" ht="12.8" hidden="false" customHeight="false" outlineLevel="0" collapsed="false">
      <c r="B48742" s="0" t="s">
        <v>17234</v>
      </c>
    </row>
    <row r="48743" customFormat="false" ht="12.8" hidden="false" customHeight="false" outlineLevel="0" collapsed="false">
      <c r="B48743" s="0" t="s">
        <v>8</v>
      </c>
    </row>
    <row r="48745" customFormat="false" ht="12.8" hidden="false" customHeight="false" outlineLevel="0" collapsed="false">
      <c r="A48745" s="0" t="s">
        <v>17239</v>
      </c>
      <c r="B48745" s="0" t="str">
        <f aca="false">HYPERLINK("https://lindat.mff.cuni.cz/services/teitok/pdtc10/index.php?action=vallex&amp;frame=v-w6890f1", "trápit se (v-w6890f1)")</f>
        <v>trápit se (v-w6890f1)</v>
      </c>
    </row>
    <row r="48746" customFormat="false" ht="12.8" hidden="false" customHeight="false" outlineLevel="0" collapsed="false">
      <c r="B48746" s="0" t="s">
        <v>1</v>
      </c>
    </row>
    <row r="48747" customFormat="false" ht="12.8" hidden="false" customHeight="false" outlineLevel="0" collapsed="false">
      <c r="B48747" s="0" t="s">
        <v>17240</v>
      </c>
    </row>
    <row r="48749" customFormat="false" ht="12.8" hidden="false" customHeight="false" outlineLevel="0" collapsed="false">
      <c r="A48749" s="0" t="s">
        <v>17241</v>
      </c>
      <c r="B48749" s="0" t="str">
        <f aca="false">HYPERLINK("https://lindat.mff.cuni.cz/services/teitok/pdtc10/index.php?action=vallex&amp;frame=v-w6890f2", "trápit se (v-w6890f2)")</f>
        <v>trápit se (v-w6890f2)</v>
      </c>
      <c r="E48749" s="0" t="str">
        <f aca="false">HYPERLINK("https://lindat.mff.cuni.cz/services/SynSemClass40/SynSemClass40.html?veclass=vec01133#vec01133-ces-cm00001", "vec01133")</f>
        <v>vec01133</v>
      </c>
      <c r="F48749" s="0" t="s">
        <v>17242</v>
      </c>
    </row>
    <row r="48750" customFormat="false" ht="12.8" hidden="false" customHeight="false" outlineLevel="0" collapsed="false">
      <c r="B48750" s="0" t="s">
        <v>1</v>
      </c>
      <c r="C48750" s="0" t="s">
        <v>2802</v>
      </c>
      <c r="E48750" s="0" t="s">
        <v>266</v>
      </c>
      <c r="F48750" s="0" t="s">
        <v>17243</v>
      </c>
    </row>
    <row r="48752" customFormat="false" ht="12.8" hidden="false" customHeight="false" outlineLevel="0" collapsed="false">
      <c r="A48752" s="0" t="s">
        <v>17244</v>
      </c>
      <c r="B48752" s="0" t="str">
        <f aca="false">HYPERLINK("https://lindat.mff.cuni.cz/services/teitok/pdtc10/index.php?action=vallex&amp;frame=v-w6893f1", "trávit (v-w6893f1)")</f>
        <v>trávit (v-w6893f1)</v>
      </c>
      <c r="E48752" s="0" t="str">
        <f aca="false">HYPERLINK("https://lindat.mff.cuni.cz/services/SynSemClass40/SynSemClass40.html?veclass=vec00325#vec00325-ces-cm00003", "vec00325")</f>
        <v>vec00325</v>
      </c>
      <c r="F48752" s="0" t="s">
        <v>16659</v>
      </c>
    </row>
    <row r="48753" customFormat="false" ht="12.8" hidden="false" customHeight="false" outlineLevel="0" collapsed="false">
      <c r="B48753" s="0" t="s">
        <v>1</v>
      </c>
      <c r="C48753" s="0" t="s">
        <v>2114</v>
      </c>
      <c r="E48753" s="0" t="s">
        <v>11</v>
      </c>
      <c r="F48753" s="0" t="s">
        <v>16660</v>
      </c>
    </row>
    <row r="48754" customFormat="false" ht="12.8" hidden="false" customHeight="false" outlineLevel="0" collapsed="false">
      <c r="B48754" s="0" t="s">
        <v>8</v>
      </c>
      <c r="C48754" s="0" t="s">
        <v>5070</v>
      </c>
      <c r="E48754" s="0" t="s">
        <v>7980</v>
      </c>
      <c r="F48754" s="0" t="s">
        <v>16661</v>
      </c>
    </row>
    <row r="48755" customFormat="false" ht="12.8" hidden="false" customHeight="false" outlineLevel="0" collapsed="false">
      <c r="B48755" s="0" t="s">
        <v>5</v>
      </c>
      <c r="C48755" s="0" t="s">
        <v>16662</v>
      </c>
      <c r="E48755" s="0" t="s">
        <v>16663</v>
      </c>
      <c r="F48755" s="0" t="s">
        <v>16664</v>
      </c>
    </row>
    <row r="48757" customFormat="false" ht="12.8" hidden="false" customHeight="false" outlineLevel="0" collapsed="false">
      <c r="A48757" s="0" t="s">
        <v>17245</v>
      </c>
      <c r="B48757" s="0" t="str">
        <f aca="false">HYPERLINK("https://lindat.mff.cuni.cz/services/teitok/pdtc10/index.php?action=vallex&amp;frame=v-w6893f4_ZU", "trávit (v-w6893f4_ZU)")</f>
        <v>trávit (v-w6893f4_ZU)</v>
      </c>
    </row>
    <row r="48758" customFormat="false" ht="12.8" hidden="false" customHeight="false" outlineLevel="0" collapsed="false">
      <c r="B48758" s="0" t="s">
        <v>1</v>
      </c>
    </row>
    <row r="48759" customFormat="false" ht="12.8" hidden="false" customHeight="false" outlineLevel="0" collapsed="false">
      <c r="B48759" s="0" t="s">
        <v>8</v>
      </c>
    </row>
    <row r="48760" customFormat="false" ht="12.8" hidden="false" customHeight="false" outlineLevel="0" collapsed="false">
      <c r="B48760" s="0" t="s">
        <v>725</v>
      </c>
    </row>
    <row r="48761" customFormat="false" ht="12.8" hidden="false" customHeight="false" outlineLevel="0" collapsed="false">
      <c r="B48761" s="0" t="s">
        <v>6510</v>
      </c>
    </row>
    <row r="48762" customFormat="false" ht="12.8" hidden="false" customHeight="false" outlineLevel="0" collapsed="false">
      <c r="B48762" s="0" t="s">
        <v>642</v>
      </c>
    </row>
    <row r="48763" customFormat="false" ht="12.8" hidden="false" customHeight="false" outlineLevel="0" collapsed="false">
      <c r="B48763" s="0" t="s">
        <v>646</v>
      </c>
    </row>
    <row r="48764" customFormat="false" ht="12.8" hidden="false" customHeight="false" outlineLevel="0" collapsed="false">
      <c r="B48764" s="0" t="s">
        <v>648</v>
      </c>
    </row>
    <row r="48765" customFormat="false" ht="12.8" hidden="false" customHeight="false" outlineLevel="0" collapsed="false">
      <c r="B48765" s="0" t="s">
        <v>650</v>
      </c>
    </row>
    <row r="48766" customFormat="false" ht="12.8" hidden="false" customHeight="false" outlineLevel="0" collapsed="false">
      <c r="B48766" s="0" t="s">
        <v>652</v>
      </c>
    </row>
    <row r="48768" customFormat="false" ht="12.8" hidden="false" customHeight="false" outlineLevel="0" collapsed="false">
      <c r="A48768" s="0" t="s">
        <v>17245</v>
      </c>
      <c r="B48768" s="0" t="str">
        <f aca="false">HYPERLINK("https://lindat.mff.cuni.cz/services/teitok/pdtc10/index.php?action=vallex&amp;frame=v-w6893f2", "trávit (v-w6893f2) - substituted with v-w6893f4_ZU")</f>
        <v>trávit (v-w6893f2) - substituted with v-w6893f4_ZU</v>
      </c>
      <c r="E48768" s="0" t="str">
        <f aca="false">HYPERLINK("https://lindat.mff.cuni.cz/services/SynSemClass40/SynSemClass40.html?veclass=vec00325#vec00325-ces-cm00004", "vec00325")</f>
        <v>vec00325</v>
      </c>
      <c r="F48768" s="0" t="s">
        <v>16659</v>
      </c>
    </row>
    <row r="48769" customFormat="false" ht="12.8" hidden="false" customHeight="false" outlineLevel="0" collapsed="false">
      <c r="B48769" s="0" t="s">
        <v>1</v>
      </c>
      <c r="C48769" s="0" t="s">
        <v>2114</v>
      </c>
      <c r="E48769" s="0" t="s">
        <v>11</v>
      </c>
      <c r="F48769" s="0" t="s">
        <v>16660</v>
      </c>
    </row>
    <row r="48770" customFormat="false" ht="12.8" hidden="false" customHeight="false" outlineLevel="0" collapsed="false">
      <c r="B48770" s="0" t="s">
        <v>8</v>
      </c>
      <c r="C48770" s="0" t="s">
        <v>5070</v>
      </c>
      <c r="E48770" s="0" t="s">
        <v>7980</v>
      </c>
      <c r="F48770" s="0" t="s">
        <v>16661</v>
      </c>
    </row>
    <row r="48771" customFormat="false" ht="12.8" hidden="false" customHeight="false" outlineLevel="0" collapsed="false">
      <c r="B48771" s="0" t="s">
        <v>725</v>
      </c>
      <c r="C48771" s="0" t="s">
        <v>16666</v>
      </c>
      <c r="E48771" s="0" t="s">
        <v>11635</v>
      </c>
      <c r="F48771" s="0" t="s">
        <v>16667</v>
      </c>
    </row>
    <row r="48772" customFormat="false" ht="12.8" hidden="false" customHeight="false" outlineLevel="0" collapsed="false">
      <c r="B48772" s="0" t="s">
        <v>6510</v>
      </c>
      <c r="C48772" s="0" t="s">
        <v>16662</v>
      </c>
      <c r="E48772" s="0" t="s">
        <v>11635</v>
      </c>
      <c r="F48772" s="0" t="s">
        <v>16667</v>
      </c>
    </row>
    <row r="48773" customFormat="false" ht="12.8" hidden="false" customHeight="false" outlineLevel="0" collapsed="false">
      <c r="B48773" s="0" t="s">
        <v>642</v>
      </c>
      <c r="C48773" s="0" t="s">
        <v>16668</v>
      </c>
      <c r="E48773" s="0" t="s">
        <v>11635</v>
      </c>
      <c r="F48773" s="0" t="s">
        <v>16667</v>
      </c>
    </row>
    <row r="48774" customFormat="false" ht="12.8" hidden="false" customHeight="false" outlineLevel="0" collapsed="false">
      <c r="B48774" s="0" t="s">
        <v>646</v>
      </c>
      <c r="C48774" s="0" t="s">
        <v>16669</v>
      </c>
      <c r="E48774" s="0" t="s">
        <v>11635</v>
      </c>
      <c r="F48774" s="0" t="s">
        <v>16667</v>
      </c>
    </row>
    <row r="48775" customFormat="false" ht="12.8" hidden="false" customHeight="false" outlineLevel="0" collapsed="false">
      <c r="B48775" s="0" t="s">
        <v>648</v>
      </c>
      <c r="C48775" s="0" t="s">
        <v>16670</v>
      </c>
      <c r="E48775" s="0" t="s">
        <v>11635</v>
      </c>
      <c r="F48775" s="0" t="s">
        <v>16667</v>
      </c>
    </row>
    <row r="48776" customFormat="false" ht="12.8" hidden="false" customHeight="false" outlineLevel="0" collapsed="false">
      <c r="B48776" s="0" t="s">
        <v>650</v>
      </c>
      <c r="C48776" s="0" t="s">
        <v>16671</v>
      </c>
      <c r="E48776" s="0" t="s">
        <v>11635</v>
      </c>
      <c r="F48776" s="0" t="s">
        <v>16667</v>
      </c>
    </row>
    <row r="48777" customFormat="false" ht="12.8" hidden="false" customHeight="false" outlineLevel="0" collapsed="false">
      <c r="B48777" s="0" t="s">
        <v>652</v>
      </c>
      <c r="C48777" s="0" t="s">
        <v>16672</v>
      </c>
      <c r="E48777" s="0" t="s">
        <v>11635</v>
      </c>
      <c r="F48777" s="0" t="s">
        <v>16667</v>
      </c>
    </row>
    <row r="48779" customFormat="false" ht="12.8" hidden="false" customHeight="false" outlineLevel="0" collapsed="false">
      <c r="A48779" s="0" t="s">
        <v>17245</v>
      </c>
      <c r="B48779" s="0" t="str">
        <f aca="false">HYPERLINK("https://lindat.mff.cuni.cz/services/teitok/pdtc10/index.php?action=vallex&amp;frame=v-w6893f3", "trávit (v-w6893f3) - substituted with v-w6893f4_ZU")</f>
        <v>trávit (v-w6893f3) - substituted with v-w6893f4_ZU</v>
      </c>
      <c r="E48779" s="0" t="str">
        <f aca="false">HYPERLINK("https://lindat.mff.cuni.cz/services/SynSemClass40/SynSemClass40.html?veclass=vec00325#vec00325-ces-cm00005", "vec00325")</f>
        <v>vec00325</v>
      </c>
      <c r="F48779" s="0" t="s">
        <v>16659</v>
      </c>
    </row>
    <row r="48780" customFormat="false" ht="12.8" hidden="false" customHeight="false" outlineLevel="0" collapsed="false">
      <c r="B48780" s="0" t="s">
        <v>1</v>
      </c>
      <c r="C48780" s="0" t="s">
        <v>2114</v>
      </c>
      <c r="E48780" s="0" t="s">
        <v>11</v>
      </c>
      <c r="F48780" s="0" t="s">
        <v>16660</v>
      </c>
    </row>
    <row r="48781" customFormat="false" ht="12.8" hidden="false" customHeight="false" outlineLevel="0" collapsed="false">
      <c r="B48781" s="0" t="s">
        <v>8</v>
      </c>
      <c r="C48781" s="0" t="s">
        <v>5070</v>
      </c>
      <c r="E48781" s="0" t="s">
        <v>7980</v>
      </c>
      <c r="F48781" s="0" t="s">
        <v>16661</v>
      </c>
    </row>
    <row r="48782" customFormat="false" ht="12.8" hidden="false" customHeight="false" outlineLevel="0" collapsed="false">
      <c r="B48782" s="0" t="s">
        <v>725</v>
      </c>
    </row>
    <row r="48783" customFormat="false" ht="12.8" hidden="false" customHeight="false" outlineLevel="0" collapsed="false">
      <c r="B48783" s="0" t="s">
        <v>6510</v>
      </c>
    </row>
    <row r="48784" customFormat="false" ht="12.8" hidden="false" customHeight="false" outlineLevel="0" collapsed="false">
      <c r="B48784" s="0" t="s">
        <v>642</v>
      </c>
    </row>
    <row r="48785" customFormat="false" ht="12.8" hidden="false" customHeight="false" outlineLevel="0" collapsed="false">
      <c r="B48785" s="0" t="s">
        <v>646</v>
      </c>
    </row>
    <row r="48786" customFormat="false" ht="12.8" hidden="false" customHeight="false" outlineLevel="0" collapsed="false">
      <c r="B48786" s="0" t="s">
        <v>648</v>
      </c>
      <c r="C48786" s="0" t="s">
        <v>16670</v>
      </c>
      <c r="E48786" s="0" t="s">
        <v>17246</v>
      </c>
      <c r="F48786" s="0" t="s">
        <v>17247</v>
      </c>
    </row>
    <row r="48787" customFormat="false" ht="12.8" hidden="false" customHeight="false" outlineLevel="0" collapsed="false">
      <c r="B48787" s="0" t="s">
        <v>650</v>
      </c>
    </row>
    <row r="48788" customFormat="false" ht="12.8" hidden="false" customHeight="false" outlineLevel="0" collapsed="false">
      <c r="B48788" s="0" t="s">
        <v>652</v>
      </c>
    </row>
    <row r="48790" customFormat="false" ht="12.8" hidden="false" customHeight="false" outlineLevel="0" collapsed="false">
      <c r="A48790" s="0" t="s">
        <v>17248</v>
      </c>
      <c r="B48790" s="0" t="str">
        <f aca="false">HYPERLINK("https://lindat.mff.cuni.cz/services/teitok/pdtc10/index.php?action=vallex&amp;frame=v-w6902f2", "trénovat (v-w6902f2)")</f>
        <v>trénovat (v-w6902f2)</v>
      </c>
    </row>
    <row r="48791" customFormat="false" ht="12.8" hidden="false" customHeight="false" outlineLevel="0" collapsed="false">
      <c r="B48791" s="0" t="s">
        <v>1</v>
      </c>
    </row>
    <row r="48792" customFormat="false" ht="12.8" hidden="false" customHeight="false" outlineLevel="0" collapsed="false">
      <c r="B48792" s="0" t="s">
        <v>8</v>
      </c>
    </row>
    <row r="48794" customFormat="false" ht="12.8" hidden="false" customHeight="false" outlineLevel="0" collapsed="false">
      <c r="A48794" s="0" t="s">
        <v>17249</v>
      </c>
      <c r="B48794" s="0" t="str">
        <f aca="false">HYPERLINK("https://lindat.mff.cuni.cz/services/teitok/pdtc10/index.php?action=vallex&amp;frame=v-w6902f1", "trénovat (v-w6902f1)")</f>
        <v>trénovat (v-w6902f1)</v>
      </c>
    </row>
    <row r="48795" customFormat="false" ht="12.8" hidden="false" customHeight="false" outlineLevel="0" collapsed="false">
      <c r="B48795" s="0" t="s">
        <v>1</v>
      </c>
    </row>
    <row r="48796" customFormat="false" ht="12.8" hidden="false" customHeight="false" outlineLevel="0" collapsed="false">
      <c r="B48796" s="0" t="s">
        <v>390</v>
      </c>
    </row>
    <row r="48798" customFormat="false" ht="12.8" hidden="false" customHeight="false" outlineLevel="0" collapsed="false">
      <c r="A48798" s="0" t="s">
        <v>17250</v>
      </c>
      <c r="B48798" s="0" t="str">
        <f aca="false">HYPERLINK("https://lindat.mff.cuni.cz/services/teitok/pdtc10/index.php?action=vallex&amp;frame=v-w11605_ZUf2_ZU", "trýznit (v-w11605_ZUf2_ZU)")</f>
        <v>trýznit (v-w11605_ZUf2_ZU)</v>
      </c>
      <c r="E48798" s="0" t="str">
        <f aca="false">HYPERLINK("https://lindat.mff.cuni.cz/services/SynSemClass40/SynSemClass40.html?veclass=vec00608#vec00608-ces-cm00018", "vec00608")</f>
        <v>vec00608</v>
      </c>
      <c r="F48798" s="0" t="s">
        <v>1927</v>
      </c>
    </row>
    <row r="48799" customFormat="false" ht="12.8" hidden="false" customHeight="false" outlineLevel="0" collapsed="false">
      <c r="B48799" s="0" t="s">
        <v>1</v>
      </c>
      <c r="C48799" s="0" t="s">
        <v>657</v>
      </c>
      <c r="E48799" s="0" t="s">
        <v>1103</v>
      </c>
      <c r="F48799" s="0" t="s">
        <v>1928</v>
      </c>
    </row>
    <row r="48800" customFormat="false" ht="12.8" hidden="false" customHeight="false" outlineLevel="0" collapsed="false">
      <c r="B48800" s="0" t="s">
        <v>8</v>
      </c>
      <c r="C48800" s="0" t="s">
        <v>1929</v>
      </c>
      <c r="E48800" s="0" t="s">
        <v>1930</v>
      </c>
      <c r="F48800" s="0" t="s">
        <v>1931</v>
      </c>
    </row>
    <row r="48802" customFormat="false" ht="12.8" hidden="false" customHeight="false" outlineLevel="0" collapsed="false">
      <c r="A48802" s="0" t="s">
        <v>17250</v>
      </c>
      <c r="B48802" s="0" t="str">
        <f aca="false">HYPERLINK("https://lindat.mff.cuni.cz/services/teitok/pdtc10/index.php?action=vallex&amp;frame=v-w11605_ZUf1_ZU", "trýznit (v-w11605_ZUf1_ZU) - substituted with v-w11605_ZUf2_ZU")</f>
        <v>trýznit (v-w11605_ZUf1_ZU) - substituted with v-w11605_ZUf2_ZU</v>
      </c>
    </row>
    <row r="48803" customFormat="false" ht="12.8" hidden="false" customHeight="false" outlineLevel="0" collapsed="false">
      <c r="B48803" s="0" t="s">
        <v>1</v>
      </c>
    </row>
    <row r="48804" customFormat="false" ht="12.8" hidden="false" customHeight="false" outlineLevel="0" collapsed="false">
      <c r="B48804" s="0" t="s">
        <v>8</v>
      </c>
    </row>
    <row r="48806" customFormat="false" ht="12.8" hidden="false" customHeight="false" outlineLevel="0" collapsed="false">
      <c r="A48806" s="0" t="s">
        <v>17251</v>
      </c>
      <c r="B48806" s="0" t="str">
        <f aca="false">HYPERLINK("https://lindat.mff.cuni.cz/services/teitok/pdtc10/index.php?action=vallex&amp;frame=v-w6894f1", "trčet (v-w6894f1)")</f>
        <v>trčet (v-w6894f1)</v>
      </c>
      <c r="E48806" s="0" t="str">
        <f aca="false">HYPERLINK("https://lindat.mff.cuni.cz/services/SynSemClass40/SynSemClass40.html?veclass=vec00394#vec00394-ces-cm00024", "vec00394")</f>
        <v>vec00394</v>
      </c>
      <c r="F48806" s="0" t="s">
        <v>3338</v>
      </c>
    </row>
    <row r="48807" customFormat="false" ht="12.8" hidden="false" customHeight="false" outlineLevel="0" collapsed="false">
      <c r="B48807" s="0" t="s">
        <v>1</v>
      </c>
      <c r="C48807" s="0" t="s">
        <v>3345</v>
      </c>
      <c r="E48807" s="0" t="s">
        <v>11</v>
      </c>
      <c r="F48807" s="0" t="s">
        <v>3340</v>
      </c>
    </row>
    <row r="48808" customFormat="false" ht="12.8" hidden="false" customHeight="false" outlineLevel="0" collapsed="false">
      <c r="B48808" s="0" t="s">
        <v>5</v>
      </c>
      <c r="C48808" s="0" t="s">
        <v>3346</v>
      </c>
      <c r="E48808" s="0" t="s">
        <v>3254</v>
      </c>
      <c r="F48808" s="0" t="s">
        <v>3343</v>
      </c>
    </row>
    <row r="48810" customFormat="false" ht="12.8" hidden="false" customHeight="false" outlineLevel="0" collapsed="false">
      <c r="A48810" s="0" t="s">
        <v>17252</v>
      </c>
      <c r="B48810" s="0" t="str">
        <f aca="false">HYPERLINK("https://lindat.mff.cuni.cz/services/teitok/pdtc10/index.php?action=vallex&amp;frame=v-w6894hsa_1586", "trčet (v-w6894hsa_1586)")</f>
        <v>trčet (v-w6894hsa_1586)</v>
      </c>
    </row>
    <row r="48811" customFormat="false" ht="12.8" hidden="false" customHeight="false" outlineLevel="0" collapsed="false">
      <c r="B48811" s="0" t="s">
        <v>1</v>
      </c>
    </row>
    <row r="48813" customFormat="false" ht="12.8" hidden="false" customHeight="false" outlineLevel="0" collapsed="false">
      <c r="A48813" s="0" t="s">
        <v>17253</v>
      </c>
      <c r="B48813" s="0" t="str">
        <f aca="false">HYPERLINK("https://lindat.mff.cuni.cz/services/teitok/pdtc10/index.php?action=vallex&amp;frame=v-w6937f1", "tuhnout (v-w6937f1)")</f>
        <v>tuhnout (v-w6937f1)</v>
      </c>
    </row>
    <row r="48814" customFormat="false" ht="12.8" hidden="false" customHeight="false" outlineLevel="0" collapsed="false">
      <c r="B48814" s="0" t="s">
        <v>1</v>
      </c>
    </row>
    <row r="48816" customFormat="false" ht="12.8" hidden="false" customHeight="false" outlineLevel="0" collapsed="false">
      <c r="A48816" s="0" t="s">
        <v>17254</v>
      </c>
      <c r="B48816" s="0" t="str">
        <f aca="false">HYPERLINK("https://lindat.mff.cuni.cz/services/teitok/pdtc10/index.php?action=vallex&amp;frame=v-w11980_ZUf1_ZU", "tulit se (v-w11980_ZUf1_ZU)")</f>
        <v>tulit se (v-w11980_ZUf1_ZU)</v>
      </c>
    </row>
    <row r="48817" customFormat="false" ht="12.8" hidden="false" customHeight="false" outlineLevel="0" collapsed="false">
      <c r="B48817" s="0" t="s">
        <v>1</v>
      </c>
    </row>
    <row r="48818" customFormat="false" ht="12.8" hidden="false" customHeight="false" outlineLevel="0" collapsed="false">
      <c r="B48818" s="0" t="s">
        <v>311</v>
      </c>
    </row>
    <row r="48820" customFormat="false" ht="12.8" hidden="false" customHeight="false" outlineLevel="0" collapsed="false">
      <c r="A48820" s="0" t="s">
        <v>17255</v>
      </c>
      <c r="B48820" s="0" t="str">
        <f aca="false">HYPERLINK("https://lindat.mff.cuni.cz/services/teitok/pdtc10/index.php?action=vallex&amp;frame=v-w11679_ZUf1_ZU", "turistovat (v-w11679_ZUf1_ZU)")</f>
        <v>turistovat (v-w11679_ZUf1_ZU)</v>
      </c>
    </row>
    <row r="48821" customFormat="false" ht="12.8" hidden="false" customHeight="false" outlineLevel="0" collapsed="false">
      <c r="B48821" s="0" t="s">
        <v>1</v>
      </c>
    </row>
    <row r="48823" customFormat="false" ht="12.8" hidden="false" customHeight="false" outlineLevel="0" collapsed="false">
      <c r="A48823" s="0" t="s">
        <v>17256</v>
      </c>
      <c r="B48823" s="0" t="str">
        <f aca="false">HYPERLINK("https://lindat.mff.cuni.cz/services/teitok/pdtc10/index.php?action=vallex&amp;frame=v-w6944f1", "tutlat (v-w6944f1)")</f>
        <v>tutlat (v-w6944f1)</v>
      </c>
    </row>
    <row r="48824" customFormat="false" ht="12.8" hidden="false" customHeight="false" outlineLevel="0" collapsed="false">
      <c r="B48824" s="0" t="s">
        <v>1</v>
      </c>
    </row>
    <row r="48825" customFormat="false" ht="12.8" hidden="false" customHeight="false" outlineLevel="0" collapsed="false">
      <c r="B48825" s="0" t="s">
        <v>17257</v>
      </c>
    </row>
    <row r="48826" customFormat="false" ht="12.8" hidden="false" customHeight="false" outlineLevel="0" collapsed="false">
      <c r="B48826" s="0" t="s">
        <v>4248</v>
      </c>
    </row>
    <row r="48828" customFormat="false" ht="12.8" hidden="false" customHeight="false" outlineLevel="0" collapsed="false">
      <c r="A48828" s="0" t="s">
        <v>17258</v>
      </c>
      <c r="B48828" s="0" t="str">
        <f aca="false">HYPERLINK("https://lindat.mff.cuni.cz/services/teitok/pdtc10/index.php?action=vallex&amp;frame=v-w6944f2", "tutlat (v-w6944f2)")</f>
        <v>tutlat (v-w6944f2)</v>
      </c>
    </row>
    <row r="48829" customFormat="false" ht="12.8" hidden="false" customHeight="false" outlineLevel="0" collapsed="false">
      <c r="B48829" s="0" t="s">
        <v>1</v>
      </c>
    </row>
    <row r="48830" customFormat="false" ht="12.8" hidden="false" customHeight="false" outlineLevel="0" collapsed="false">
      <c r="B48830" s="0" t="s">
        <v>15552</v>
      </c>
    </row>
    <row r="48831" customFormat="false" ht="12.8" hidden="false" customHeight="false" outlineLevel="0" collapsed="false">
      <c r="B48831" s="0" t="s">
        <v>496</v>
      </c>
    </row>
    <row r="48832" customFormat="false" ht="12.8" hidden="false" customHeight="false" outlineLevel="0" collapsed="false">
      <c r="B48832" s="0" t="s">
        <v>4248</v>
      </c>
    </row>
    <row r="48834" customFormat="false" ht="12.8" hidden="false" customHeight="false" outlineLevel="0" collapsed="false">
      <c r="A48834" s="0" t="s">
        <v>17259</v>
      </c>
      <c r="B48834" s="0" t="str">
        <f aca="false">HYPERLINK("https://lindat.mff.cuni.cz/services/teitok/pdtc10/index.php?action=vallex&amp;frame=v-w6943f2_ZU", "tušit (v-w6943f2_ZU)")</f>
        <v>tušit (v-w6943f2_ZU)</v>
      </c>
    </row>
    <row r="48835" customFormat="false" ht="12.8" hidden="false" customHeight="false" outlineLevel="0" collapsed="false">
      <c r="B48835" s="0" t="s">
        <v>1</v>
      </c>
    </row>
    <row r="48836" customFormat="false" ht="12.8" hidden="false" customHeight="false" outlineLevel="0" collapsed="false">
      <c r="B48836" s="0" t="s">
        <v>17260</v>
      </c>
    </row>
    <row r="48838" customFormat="false" ht="12.8" hidden="false" customHeight="false" outlineLevel="0" collapsed="false">
      <c r="A48838" s="0" t="s">
        <v>17259</v>
      </c>
      <c r="B48838" s="0" t="str">
        <f aca="false">HYPERLINK("https://lindat.mff.cuni.cz/services/teitok/pdtc10/index.php?action=vallex&amp;frame=v-w6943f1", "tušit (v-w6943f1) - substituted with v-w6943f2_ZU")</f>
        <v>tušit (v-w6943f1) - substituted with v-w6943f2_ZU</v>
      </c>
      <c r="E48838" s="0" t="str">
        <f aca="false">HYPERLINK("https://lindat.mff.cuni.cz/services/SynSemClass40/SynSemClass40.html?veclass=vec00341#vec00341-ces-cm00061", "vec00341")</f>
        <v>vec00341</v>
      </c>
      <c r="F48838" s="0" t="s">
        <v>7465</v>
      </c>
    </row>
    <row r="48839" customFormat="false" ht="12.8" hidden="false" customHeight="false" outlineLevel="0" collapsed="false">
      <c r="B48839" s="0" t="s">
        <v>1</v>
      </c>
      <c r="C48839" s="0" t="s">
        <v>7466</v>
      </c>
      <c r="E48839" s="0" t="s">
        <v>621</v>
      </c>
      <c r="F48839" s="0" t="s">
        <v>7467</v>
      </c>
    </row>
    <row r="48840" customFormat="false" ht="12.8" hidden="false" customHeight="false" outlineLevel="0" collapsed="false">
      <c r="B48840" s="0" t="s">
        <v>17260</v>
      </c>
      <c r="C48840" s="0" t="s">
        <v>7469</v>
      </c>
      <c r="E48840" s="0" t="s">
        <v>180</v>
      </c>
      <c r="F48840" s="0" t="s">
        <v>7470</v>
      </c>
    </row>
    <row r="48842" customFormat="false" ht="12.8" hidden="false" customHeight="false" outlineLevel="0" collapsed="false">
      <c r="A48842" s="0" t="s">
        <v>17261</v>
      </c>
      <c r="B48842" s="0" t="str">
        <f aca="false">HYPERLINK("https://lindat.mff.cuni.cz/services/teitok/pdtc10/index.php?action=vallex&amp;frame=v-w6946f2", "tvarovat (v-w6946f2)")</f>
        <v>tvarovat (v-w6946f2)</v>
      </c>
    </row>
    <row r="48843" customFormat="false" ht="12.8" hidden="false" customHeight="false" outlineLevel="0" collapsed="false">
      <c r="B48843" s="0" t="s">
        <v>1</v>
      </c>
    </row>
    <row r="48844" customFormat="false" ht="12.8" hidden="false" customHeight="false" outlineLevel="0" collapsed="false">
      <c r="B48844" s="0" t="s">
        <v>8</v>
      </c>
    </row>
    <row r="48845" customFormat="false" ht="12.8" hidden="false" customHeight="false" outlineLevel="0" collapsed="false">
      <c r="B48845" s="0" t="s">
        <v>245</v>
      </c>
    </row>
    <row r="48847" customFormat="false" ht="12.8" hidden="false" customHeight="false" outlineLevel="0" collapsed="false">
      <c r="A48847" s="0" t="s">
        <v>17262</v>
      </c>
      <c r="B48847" s="0" t="str">
        <f aca="false">HYPERLINK("https://lindat.mff.cuni.cz/services/teitok/pdtc10/index.php?action=vallex&amp;frame=v-w6946f1", "tvarovat (v-w6946f1)")</f>
        <v>tvarovat (v-w6946f1)</v>
      </c>
    </row>
    <row r="48848" customFormat="false" ht="12.8" hidden="false" customHeight="false" outlineLevel="0" collapsed="false">
      <c r="B48848" s="0" t="s">
        <v>1</v>
      </c>
    </row>
    <row r="48849" customFormat="false" ht="12.8" hidden="false" customHeight="false" outlineLevel="0" collapsed="false">
      <c r="B48849" s="0" t="s">
        <v>8</v>
      </c>
    </row>
    <row r="48851" customFormat="false" ht="12.8" hidden="false" customHeight="false" outlineLevel="0" collapsed="false">
      <c r="A48851" s="0" t="s">
        <v>17263</v>
      </c>
      <c r="B48851" s="0" t="str">
        <f aca="false">HYPERLINK("https://lindat.mff.cuni.cz/services/teitok/pdtc10/index.php?action=vallex&amp;frame=v-w6951f1", "tvořit (v-w6951f1)")</f>
        <v>tvořit (v-w6951f1)</v>
      </c>
      <c r="E48851" s="0" t="str">
        <f aca="false">HYPERLINK("https://lindat.mff.cuni.cz/services/SynSemClass40/SynSemClass40.html?veclass=vec00084#vec00084-ces-cm00048", "vec00084")</f>
        <v>vec00084</v>
      </c>
      <c r="F48851" s="0" t="s">
        <v>778</v>
      </c>
    </row>
    <row r="48852" customFormat="false" ht="12.8" hidden="false" customHeight="false" outlineLevel="0" collapsed="false">
      <c r="B48852" s="0" t="s">
        <v>1</v>
      </c>
      <c r="C48852" s="0" t="s">
        <v>5557</v>
      </c>
      <c r="E48852" s="0" t="s">
        <v>31</v>
      </c>
      <c r="F48852" s="0" t="s">
        <v>781</v>
      </c>
    </row>
    <row r="48853" customFormat="false" ht="12.8" hidden="false" customHeight="false" outlineLevel="0" collapsed="false">
      <c r="B48853" s="0" t="s">
        <v>8</v>
      </c>
      <c r="C48853" s="0" t="s">
        <v>5558</v>
      </c>
      <c r="E48853" s="0" t="s">
        <v>771</v>
      </c>
      <c r="F48853" s="0" t="s">
        <v>784</v>
      </c>
    </row>
    <row r="48854" customFormat="false" ht="12.8" hidden="false" customHeight="false" outlineLevel="0" collapsed="false">
      <c r="B48854" s="0" t="s">
        <v>2410</v>
      </c>
    </row>
    <row r="48855" customFormat="false" ht="12.8" hidden="false" customHeight="false" outlineLevel="0" collapsed="false">
      <c r="B48855" s="0" t="s">
        <v>36</v>
      </c>
      <c r="C48855" s="0" t="s">
        <v>6350</v>
      </c>
      <c r="E48855" s="0" t="s">
        <v>787</v>
      </c>
      <c r="F48855" s="0" t="s">
        <v>788</v>
      </c>
    </row>
    <row r="48857" customFormat="false" ht="12.8" hidden="false" customHeight="false" outlineLevel="0" collapsed="false">
      <c r="A48857" s="0" t="s">
        <v>17264</v>
      </c>
      <c r="B48857" s="0" t="str">
        <f aca="false">HYPERLINK("https://lindat.mff.cuni.cz/services/teitok/pdtc10/index.php?action=vallex&amp;frame=v-w6951f2", "tvořit (v-w6951f2)")</f>
        <v>tvořit (v-w6951f2)</v>
      </c>
      <c r="E48857" s="0" t="str">
        <f aca="false">HYPERLINK("https://lindat.mff.cuni.cz/services/SynSemClass40/SynSemClass40.html?veclass=vec00366#vec00366-ces-cm00050", "vec00366")</f>
        <v>vec00366</v>
      </c>
      <c r="F48857" s="0" t="s">
        <v>8570</v>
      </c>
    </row>
    <row r="48858" customFormat="false" ht="12.8" hidden="false" customHeight="false" outlineLevel="0" collapsed="false">
      <c r="B48858" s="0" t="s">
        <v>1</v>
      </c>
      <c r="C48858" s="0" t="s">
        <v>13252</v>
      </c>
      <c r="E48858" s="0" t="s">
        <v>9375</v>
      </c>
      <c r="F48858" s="0" t="s">
        <v>13253</v>
      </c>
    </row>
    <row r="48859" customFormat="false" ht="12.8" hidden="false" customHeight="false" outlineLevel="0" collapsed="false">
      <c r="B48859" s="0" t="s">
        <v>8</v>
      </c>
      <c r="C48859" s="0" t="s">
        <v>13254</v>
      </c>
      <c r="E48859" s="0" t="s">
        <v>5279</v>
      </c>
      <c r="F48859" s="0" t="s">
        <v>13255</v>
      </c>
    </row>
    <row r="48861" customFormat="false" ht="12.8" hidden="false" customHeight="false" outlineLevel="0" collapsed="false">
      <c r="A48861" s="0" t="s">
        <v>17265</v>
      </c>
      <c r="B48861" s="0" t="str">
        <f aca="false">HYPERLINK("https://lindat.mff.cuni.cz/services/teitok/pdtc10/index.php?action=vallex&amp;frame=v-w6951f3", "tvořit (v-w6951f3)")</f>
        <v>tvořit (v-w6951f3)</v>
      </c>
      <c r="E48861" s="0" t="str">
        <f aca="false">HYPERLINK("https://lindat.mff.cuni.cz/services/SynSemClass40/SynSemClass40.html?veclass=vec00206#vec00206-ces-cm00017", "vec00206")</f>
        <v>vec00206</v>
      </c>
      <c r="F48861" s="0" t="s">
        <v>2728</v>
      </c>
    </row>
    <row r="48862" customFormat="false" ht="12.8" hidden="false" customHeight="false" outlineLevel="0" collapsed="false">
      <c r="B48862" s="0" t="s">
        <v>1</v>
      </c>
      <c r="C48862" s="0" t="s">
        <v>2729</v>
      </c>
      <c r="E48862" s="0" t="s">
        <v>235</v>
      </c>
      <c r="F48862" s="0" t="s">
        <v>2730</v>
      </c>
    </row>
    <row r="48863" customFormat="false" ht="12.8" hidden="false" customHeight="false" outlineLevel="0" collapsed="false">
      <c r="B48863" s="0" t="s">
        <v>865</v>
      </c>
      <c r="C48863" s="0" t="s">
        <v>8454</v>
      </c>
      <c r="E48863" s="0" t="s">
        <v>6992</v>
      </c>
      <c r="F48863" s="0" t="s">
        <v>6993</v>
      </c>
    </row>
    <row r="48865" customFormat="false" ht="12.8" hidden="false" customHeight="false" outlineLevel="0" collapsed="false">
      <c r="A48865" s="0" t="s">
        <v>17266</v>
      </c>
      <c r="B48865" s="0" t="str">
        <f aca="false">HYPERLINK("https://lindat.mff.cuni.cz/services/teitok/pdtc10/index.php?action=vallex&amp;frame=v-w6952f1", "tvořit se (v-w6952f1)")</f>
        <v>tvořit se (v-w6952f1)</v>
      </c>
      <c r="E48865" s="0" t="str">
        <f aca="false">HYPERLINK("https://lindat.mff.cuni.cz/services/SynSemClass40/SynSemClass40.html?veclass=vec00197#vec00197-ces-cm00015", "vec00197")</f>
        <v>vec00197</v>
      </c>
      <c r="F48865" s="0" t="s">
        <v>14862</v>
      </c>
    </row>
    <row r="48866" customFormat="false" ht="12.8" hidden="false" customHeight="false" outlineLevel="0" collapsed="false">
      <c r="B48866" s="0" t="s">
        <v>1</v>
      </c>
      <c r="C48866" s="0" t="s">
        <v>1507</v>
      </c>
      <c r="E48866" s="0" t="s">
        <v>957</v>
      </c>
      <c r="F48866" s="0" t="s">
        <v>10263</v>
      </c>
    </row>
    <row r="48867" customFormat="false" ht="12.8" hidden="false" customHeight="false" outlineLevel="0" collapsed="false">
      <c r="B48867" s="0" t="s">
        <v>763</v>
      </c>
      <c r="C48867" s="0" t="s">
        <v>14863</v>
      </c>
      <c r="E48867" s="0" t="s">
        <v>6001</v>
      </c>
      <c r="F48867" s="0" t="s">
        <v>17267</v>
      </c>
    </row>
    <row r="48869" customFormat="false" ht="12.8" hidden="false" customHeight="false" outlineLevel="0" collapsed="false">
      <c r="A48869" s="0" t="s">
        <v>17268</v>
      </c>
      <c r="B48869" s="0" t="str">
        <f aca="false">HYPERLINK("https://lindat.mff.cuni.cz/services/teitok/pdtc10/index.php?action=vallex&amp;frame=v-w6953f3", "tvrdit (v-w6953f3)")</f>
        <v>tvrdit (v-w6953f3)</v>
      </c>
    </row>
    <row r="48870" customFormat="false" ht="12.8" hidden="false" customHeight="false" outlineLevel="0" collapsed="false">
      <c r="B48870" s="0" t="s">
        <v>1</v>
      </c>
    </row>
    <row r="48871" customFormat="false" ht="12.8" hidden="false" customHeight="false" outlineLevel="0" collapsed="false">
      <c r="B48871" s="0" t="s">
        <v>8</v>
      </c>
    </row>
    <row r="48873" customFormat="false" ht="12.8" hidden="false" customHeight="false" outlineLevel="0" collapsed="false">
      <c r="A48873" s="0" t="s">
        <v>17269</v>
      </c>
      <c r="B48873" s="0" t="str">
        <f aca="false">HYPERLINK("https://lindat.mff.cuni.cz/services/teitok/pdtc10/index.php?action=vallex&amp;frame=v-w6953f4_ZU", "tvrdit (v-w6953f4_ZU)")</f>
        <v>tvrdit (v-w6953f4_ZU)</v>
      </c>
    </row>
    <row r="48874" customFormat="false" ht="12.8" hidden="false" customHeight="false" outlineLevel="0" collapsed="false">
      <c r="B48874" s="0" t="s">
        <v>1</v>
      </c>
    </row>
    <row r="48875" customFormat="false" ht="12.8" hidden="false" customHeight="false" outlineLevel="0" collapsed="false">
      <c r="B48875" s="0" t="s">
        <v>17270</v>
      </c>
    </row>
    <row r="48876" customFormat="false" ht="12.8" hidden="false" customHeight="false" outlineLevel="0" collapsed="false">
      <c r="B48876" s="0" t="s">
        <v>496</v>
      </c>
    </row>
    <row r="48877" customFormat="false" ht="12.8" hidden="false" customHeight="false" outlineLevel="0" collapsed="false">
      <c r="B48877" s="0" t="s">
        <v>132</v>
      </c>
    </row>
    <row r="48879" customFormat="false" ht="12.8" hidden="false" customHeight="false" outlineLevel="0" collapsed="false">
      <c r="A48879" s="0" t="s">
        <v>17269</v>
      </c>
      <c r="B48879" s="0" t="str">
        <f aca="false">HYPERLINK("https://lindat.mff.cuni.cz/services/teitok/pdtc10/index.php?action=vallex&amp;frame=v-w6953f1", "tvrdit (v-w6953f1) - substituted with v-w6953f4_ZU")</f>
        <v>tvrdit (v-w6953f1) - substituted with v-w6953f4_ZU</v>
      </c>
      <c r="E48879" s="0" t="str">
        <f aca="false">HYPERLINK("https://lindat.mff.cuni.cz/services/SynSemClass40/SynSemClass40.html?veclass=vec00060#vec00060-ces-cm00124", "vec00060")</f>
        <v>vec00060</v>
      </c>
      <c r="F48879" s="0" t="s">
        <v>213</v>
      </c>
    </row>
    <row r="48880" customFormat="false" ht="12.8" hidden="false" customHeight="false" outlineLevel="0" collapsed="false">
      <c r="B48880" s="0" t="s">
        <v>1</v>
      </c>
      <c r="C48880" s="0" t="s">
        <v>214</v>
      </c>
      <c r="E48880" s="0" t="s">
        <v>147</v>
      </c>
      <c r="F48880" s="0" t="s">
        <v>215</v>
      </c>
    </row>
    <row r="48881" customFormat="false" ht="12.8" hidden="false" customHeight="false" outlineLevel="0" collapsed="false">
      <c r="B48881" s="0" t="s">
        <v>17270</v>
      </c>
      <c r="C48881" s="0" t="s">
        <v>2216</v>
      </c>
      <c r="E48881" s="0" t="s">
        <v>2217</v>
      </c>
      <c r="F48881" s="0" t="s">
        <v>2218</v>
      </c>
    </row>
    <row r="48882" customFormat="false" ht="12.8" hidden="false" customHeight="false" outlineLevel="0" collapsed="false">
      <c r="B48882" s="0" t="s">
        <v>496</v>
      </c>
      <c r="C48882" s="0" t="s">
        <v>217</v>
      </c>
      <c r="E48882" s="0" t="s">
        <v>218</v>
      </c>
      <c r="F48882" s="0" t="s">
        <v>219</v>
      </c>
    </row>
    <row r="48883" customFormat="false" ht="12.8" hidden="false" customHeight="false" outlineLevel="0" collapsed="false">
      <c r="B48883" s="0" t="s">
        <v>132</v>
      </c>
      <c r="C48883" s="0" t="s">
        <v>220</v>
      </c>
      <c r="E48883" s="0" t="s">
        <v>221</v>
      </c>
      <c r="F48883" s="0" t="s">
        <v>222</v>
      </c>
    </row>
    <row r="48885" customFormat="false" ht="12.8" hidden="false" customHeight="false" outlineLevel="0" collapsed="false">
      <c r="A48885" s="0" t="s">
        <v>17271</v>
      </c>
      <c r="B48885" s="0" t="str">
        <f aca="false">HYPERLINK("https://lindat.mff.cuni.cz/services/teitok/pdtc10/index.php?action=vallex&amp;frame=v-w6953f2", "tvrdit (v-w6953f2)")</f>
        <v>tvrdit (v-w6953f2)</v>
      </c>
    </row>
    <row r="48886" customFormat="false" ht="12.8" hidden="false" customHeight="false" outlineLevel="0" collapsed="false">
      <c r="B48886" s="0" t="s">
        <v>17272</v>
      </c>
    </row>
    <row r="48888" customFormat="false" ht="12.8" hidden="false" customHeight="false" outlineLevel="0" collapsed="false">
      <c r="A48888" s="0" t="s">
        <v>17273</v>
      </c>
      <c r="B48888" s="0" t="str">
        <f aca="false">HYPERLINK("https://lindat.mff.cuni.cz/services/teitok/pdtc10/index.php?action=vallex&amp;frame=v-w6947f1", "tvářit se (v-w6947f1)")</f>
        <v>tvářit se (v-w6947f1)</v>
      </c>
    </row>
    <row r="48889" customFormat="false" ht="12.8" hidden="false" customHeight="false" outlineLevel="0" collapsed="false">
      <c r="B48889" s="0" t="s">
        <v>1</v>
      </c>
    </row>
    <row r="48890" customFormat="false" ht="12.8" hidden="false" customHeight="false" outlineLevel="0" collapsed="false">
      <c r="B48890" s="0" t="s">
        <v>642</v>
      </c>
    </row>
    <row r="48891" customFormat="false" ht="12.8" hidden="false" customHeight="false" outlineLevel="0" collapsed="false">
      <c r="B48891" s="0" t="s">
        <v>648</v>
      </c>
    </row>
    <row r="48892" customFormat="false" ht="12.8" hidden="false" customHeight="false" outlineLevel="0" collapsed="false">
      <c r="B48892" s="0" t="s">
        <v>650</v>
      </c>
    </row>
    <row r="48893" customFormat="false" ht="12.8" hidden="false" customHeight="false" outlineLevel="0" collapsed="false">
      <c r="B48893" s="0" t="s">
        <v>652</v>
      </c>
    </row>
    <row r="48895" customFormat="false" ht="12.8" hidden="false" customHeight="false" outlineLevel="0" collapsed="false">
      <c r="A48895" s="0" t="s">
        <v>17274</v>
      </c>
      <c r="B48895" s="0" t="str">
        <f aca="false">HYPERLINK("https://lindat.mff.cuni.cz/services/teitok/pdtc10/index.php?action=vallex&amp;frame=v-whsa_1512hsa_1513", "tykat (v-whsa_1512hsa_1513)")</f>
        <v>tykat (v-whsa_1512hsa_1513)</v>
      </c>
    </row>
    <row r="48896" customFormat="false" ht="12.8" hidden="false" customHeight="false" outlineLevel="0" collapsed="false">
      <c r="B48896" s="0" t="s">
        <v>1</v>
      </c>
    </row>
    <row r="48897" customFormat="false" ht="12.8" hidden="false" customHeight="false" outlineLevel="0" collapsed="false">
      <c r="B48897" s="0" t="s">
        <v>186</v>
      </c>
    </row>
    <row r="48899" customFormat="false" ht="12.8" hidden="false" customHeight="false" outlineLevel="0" collapsed="false">
      <c r="A48899" s="0" t="s">
        <v>17275</v>
      </c>
      <c r="B48899" s="0" t="str">
        <f aca="false">HYPERLINK("https://lindat.mff.cuni.cz/services/teitok/pdtc10/index.php?action=vallex&amp;frame=v-whsa_1375hsa_1376", "tykat si (v-whsa_1375hsa_1376)")</f>
        <v>tykat si (v-whsa_1375hsa_1376)</v>
      </c>
    </row>
    <row r="48900" customFormat="false" ht="12.8" hidden="false" customHeight="false" outlineLevel="0" collapsed="false">
      <c r="B48900" s="0" t="s">
        <v>1</v>
      </c>
    </row>
    <row r="48901" customFormat="false" ht="12.8" hidden="false" customHeight="false" outlineLevel="0" collapsed="false">
      <c r="B48901" s="0" t="s">
        <v>721</v>
      </c>
    </row>
    <row r="48903" customFormat="false" ht="12.8" hidden="false" customHeight="false" outlineLevel="0" collapsed="false">
      <c r="A48903" s="0" t="s">
        <v>17276</v>
      </c>
      <c r="B48903" s="0" t="str">
        <f aca="false">HYPERLINK("https://lindat.mff.cuni.cz/services/teitok/pdtc10/index.php?action=vallex&amp;frame=v-w6956f1", "tyčit se (v-w6956f1)")</f>
        <v>tyčit se (v-w6956f1)</v>
      </c>
      <c r="E48903" s="0" t="str">
        <f aca="false">HYPERLINK("https://lindat.mff.cuni.cz/services/SynSemClass40/SynSemClass40.html?veclass=vec01336#vec01336-ces-cm00002", "vec01336")</f>
        <v>vec01336</v>
      </c>
      <c r="F48903" s="0" t="s">
        <v>5288</v>
      </c>
    </row>
    <row r="48904" customFormat="false" ht="12.8" hidden="false" customHeight="false" outlineLevel="0" collapsed="false">
      <c r="B48904" s="0" t="s">
        <v>1</v>
      </c>
      <c r="C48904" s="0" t="s">
        <v>4695</v>
      </c>
      <c r="E48904" s="0" t="s">
        <v>957</v>
      </c>
      <c r="F48904" s="0" t="s">
        <v>5289</v>
      </c>
    </row>
    <row r="48906" customFormat="false" ht="12.8" hidden="false" customHeight="false" outlineLevel="0" collapsed="false">
      <c r="A48906" s="0" t="s">
        <v>17277</v>
      </c>
      <c r="B48906" s="0" t="str">
        <f aca="false">HYPERLINK("https://lindat.mff.cuni.cz/services/teitok/pdtc10/index.php?action=vallex&amp;frame=v-w6766f1", "tábořit (v-w6766f1)")</f>
        <v>tábořit (v-w6766f1)</v>
      </c>
    </row>
    <row r="48907" customFormat="false" ht="12.8" hidden="false" customHeight="false" outlineLevel="0" collapsed="false">
      <c r="B48907" s="0" t="s">
        <v>1</v>
      </c>
    </row>
    <row r="48908" customFormat="false" ht="12.8" hidden="false" customHeight="false" outlineLevel="0" collapsed="false">
      <c r="B48908" s="0" t="s">
        <v>5</v>
      </c>
    </row>
    <row r="48910" customFormat="false" ht="12.8" hidden="false" customHeight="false" outlineLevel="0" collapsed="false">
      <c r="A48910" s="0" t="s">
        <v>17278</v>
      </c>
      <c r="B48910" s="0" t="str">
        <f aca="false">HYPERLINK("https://lindat.mff.cuni.cz/services/teitok/pdtc10/index.php?action=vallex&amp;frame=v-w6771f1", "táhnout (v-w6771f1)")</f>
        <v>táhnout (v-w6771f1)</v>
      </c>
      <c r="E48910" s="0" t="str">
        <f aca="false">HYPERLINK("https://lindat.mff.cuni.cz/services/SynSemClass40/SynSemClass40.html?veclass=vec01122#vec01122-ces-cm00001", "vec01122")</f>
        <v>vec01122</v>
      </c>
      <c r="F48910" s="0" t="s">
        <v>17279</v>
      </c>
    </row>
    <row r="48911" customFormat="false" ht="12.8" hidden="false" customHeight="false" outlineLevel="0" collapsed="false">
      <c r="B48911" s="0" t="s">
        <v>1</v>
      </c>
      <c r="E48911" s="0" t="s">
        <v>6108</v>
      </c>
      <c r="F48911" s="0" t="s">
        <v>17280</v>
      </c>
    </row>
    <row r="48912" customFormat="false" ht="12.8" hidden="false" customHeight="false" outlineLevel="0" collapsed="false">
      <c r="B48912" s="0" t="s">
        <v>8</v>
      </c>
      <c r="E48912" s="0" t="s">
        <v>3388</v>
      </c>
      <c r="F48912" s="0" t="s">
        <v>17281</v>
      </c>
    </row>
    <row r="48914" customFormat="false" ht="12.8" hidden="false" customHeight="false" outlineLevel="0" collapsed="false">
      <c r="A48914" s="0" t="s">
        <v>17282</v>
      </c>
      <c r="B48914" s="0" t="str">
        <f aca="false">HYPERLINK("https://lindat.mff.cuni.cz/services/teitok/pdtc10/index.php?action=vallex&amp;frame=v-w6771f5", "táhnout (v-w6771f5)")</f>
        <v>táhnout (v-w6771f5)</v>
      </c>
      <c r="E48914" s="0" t="str">
        <f aca="false">HYPERLINK("https://lindat.mff.cuni.cz/services/SynSemClass40/SynSemClass40.html?veclass=vec00069#vec00069-ces-cm00080", "vec00069")</f>
        <v>vec00069</v>
      </c>
      <c r="F48914" s="0" t="s">
        <v>4300</v>
      </c>
    </row>
    <row r="48915" customFormat="false" ht="12.8" hidden="false" customHeight="false" outlineLevel="0" collapsed="false">
      <c r="B48915" s="0" t="s">
        <v>1</v>
      </c>
      <c r="C48915" s="0" t="s">
        <v>7530</v>
      </c>
      <c r="E48915" s="0" t="s">
        <v>3021</v>
      </c>
      <c r="F48915" s="0" t="s">
        <v>4302</v>
      </c>
    </row>
    <row r="48916" customFormat="false" ht="12.8" hidden="false" customHeight="false" outlineLevel="0" collapsed="false">
      <c r="B48916" s="0" t="s">
        <v>8</v>
      </c>
      <c r="C48916" s="0" t="s">
        <v>7531</v>
      </c>
      <c r="E48916" s="0" t="s">
        <v>3023</v>
      </c>
      <c r="F48916" s="0" t="s">
        <v>4305</v>
      </c>
    </row>
    <row r="48918" customFormat="false" ht="12.8" hidden="false" customHeight="false" outlineLevel="0" collapsed="false">
      <c r="A48918" s="0" t="s">
        <v>17283</v>
      </c>
      <c r="B48918" s="0" t="str">
        <f aca="false">HYPERLINK("https://lindat.mff.cuni.cz/services/teitok/pdtc10/index.php?action=vallex&amp;frame=v-w6771f13_ZU", "táhnout (v-w6771f13_ZU)")</f>
        <v>táhnout (v-w6771f13_ZU)</v>
      </c>
    </row>
    <row r="48919" customFormat="false" ht="12.8" hidden="false" customHeight="false" outlineLevel="0" collapsed="false">
      <c r="B48919" s="0" t="s">
        <v>804</v>
      </c>
    </row>
    <row r="48920" customFormat="false" ht="12.8" hidden="false" customHeight="false" outlineLevel="0" collapsed="false">
      <c r="B48920" s="0" t="s">
        <v>17284</v>
      </c>
    </row>
    <row r="48922" customFormat="false" ht="12.8" hidden="false" customHeight="false" outlineLevel="0" collapsed="false">
      <c r="A48922" s="0" t="s">
        <v>17283</v>
      </c>
      <c r="B48922" s="0" t="str">
        <f aca="false">HYPERLINK("https://lindat.mff.cuni.cz/services/teitok/pdtc10/index.php?action=vallex&amp;frame=v-w6771f6", "táhnout (v-w6771f6) - substituted with v-w6771f13_ZU")</f>
        <v>táhnout (v-w6771f6) - substituted with v-w6771f13_ZU</v>
      </c>
    </row>
    <row r="48923" customFormat="false" ht="12.8" hidden="false" customHeight="false" outlineLevel="0" collapsed="false">
      <c r="B48923" s="0" t="s">
        <v>804</v>
      </c>
    </row>
    <row r="48924" customFormat="false" ht="12.8" hidden="false" customHeight="false" outlineLevel="0" collapsed="false">
      <c r="B48924" s="0" t="s">
        <v>17284</v>
      </c>
    </row>
    <row r="48926" customFormat="false" ht="12.8" hidden="false" customHeight="false" outlineLevel="0" collapsed="false">
      <c r="A48926" s="0" t="s">
        <v>17285</v>
      </c>
      <c r="B48926" s="0" t="str">
        <f aca="false">HYPERLINK("https://lindat.mff.cuni.cz/services/teitok/pdtc10/index.php?action=vallex&amp;frame=v-w6771f4", "táhnout (v-w6771f4)")</f>
        <v>táhnout (v-w6771f4)</v>
      </c>
    </row>
    <row r="48927" customFormat="false" ht="12.8" hidden="false" customHeight="false" outlineLevel="0" collapsed="false">
      <c r="B48927" s="0" t="s">
        <v>264</v>
      </c>
    </row>
    <row r="48928" customFormat="false" ht="12.8" hidden="false" customHeight="false" outlineLevel="0" collapsed="false">
      <c r="B48928" s="0" t="s">
        <v>439</v>
      </c>
    </row>
    <row r="48930" customFormat="false" ht="12.8" hidden="false" customHeight="false" outlineLevel="0" collapsed="false">
      <c r="A48930" s="0" t="s">
        <v>17286</v>
      </c>
      <c r="B48930" s="0" t="str">
        <f aca="false">HYPERLINK("https://lindat.mff.cuni.cz/services/teitok/pdtc10/index.php?action=vallex&amp;frame=v-w6771f12_ZU", "táhnout (v-w6771f12_ZU)")</f>
        <v>táhnout (v-w6771f12_ZU)</v>
      </c>
    </row>
    <row r="48931" customFormat="false" ht="12.8" hidden="false" customHeight="false" outlineLevel="0" collapsed="false">
      <c r="B48931" s="0" t="s">
        <v>1</v>
      </c>
    </row>
    <row r="48932" customFormat="false" ht="12.8" hidden="false" customHeight="false" outlineLevel="0" collapsed="false">
      <c r="B48932" s="0" t="s">
        <v>98</v>
      </c>
    </row>
    <row r="48933" customFormat="false" ht="12.8" hidden="false" customHeight="false" outlineLevel="0" collapsed="false">
      <c r="B48933" s="0" t="s">
        <v>17287</v>
      </c>
    </row>
    <row r="48935" customFormat="false" ht="12.8" hidden="false" customHeight="false" outlineLevel="0" collapsed="false">
      <c r="A48935" s="0" t="s">
        <v>17286</v>
      </c>
      <c r="B48935" s="0" t="str">
        <f aca="false">HYPERLINK("https://lindat.mff.cuni.cz/services/teitok/pdtc10/index.php?action=vallex&amp;frame=v-w6771f7_ZU", "táhnout (v-w6771f7_ZU) - substituted with v-w6771f12_ZU")</f>
        <v>táhnout (v-w6771f7_ZU) - substituted with v-w6771f12_ZU</v>
      </c>
      <c r="E48935" s="0" t="str">
        <f aca="false">HYPERLINK("https://lindat.mff.cuni.cz/services/SynSemClass40/SynSemClass40.html?veclass=vec00286#vec00286-ces-cm00035", "vec00286")</f>
        <v>vec00286</v>
      </c>
      <c r="F48935" s="0" t="s">
        <v>6106</v>
      </c>
    </row>
    <row r="48936" customFormat="false" ht="12.8" hidden="false" customHeight="false" outlineLevel="0" collapsed="false">
      <c r="B48936" s="0" t="s">
        <v>1</v>
      </c>
      <c r="C48936" s="0" t="s">
        <v>6107</v>
      </c>
      <c r="E48936" s="0" t="s">
        <v>6108</v>
      </c>
      <c r="F48936" s="0" t="s">
        <v>6109</v>
      </c>
    </row>
    <row r="48937" customFormat="false" ht="12.8" hidden="false" customHeight="false" outlineLevel="0" collapsed="false">
      <c r="B48937" s="0" t="s">
        <v>98</v>
      </c>
      <c r="C48937" s="0" t="s">
        <v>6110</v>
      </c>
      <c r="E48937" s="0" t="s">
        <v>6111</v>
      </c>
      <c r="F48937" s="0" t="s">
        <v>6112</v>
      </c>
    </row>
    <row r="48938" customFormat="false" ht="12.8" hidden="false" customHeight="false" outlineLevel="0" collapsed="false">
      <c r="B48938" s="0" t="s">
        <v>17287</v>
      </c>
      <c r="C48938" s="0" t="s">
        <v>6113</v>
      </c>
      <c r="E48938" s="0" t="s">
        <v>523</v>
      </c>
      <c r="F48938" s="0" t="s">
        <v>6114</v>
      </c>
    </row>
    <row r="48940" customFormat="false" ht="12.8" hidden="false" customHeight="false" outlineLevel="0" collapsed="false">
      <c r="A48940" s="0" t="s">
        <v>17288</v>
      </c>
      <c r="B48940" s="0" t="str">
        <f aca="false">HYPERLINK("https://lindat.mff.cuni.cz/services/teitok/pdtc10/index.php?action=vallex&amp;frame=v-w6771f2", "táhnout (v-w6771f2)")</f>
        <v>táhnout (v-w6771f2)</v>
      </c>
    </row>
    <row r="48941" customFormat="false" ht="12.8" hidden="false" customHeight="false" outlineLevel="0" collapsed="false">
      <c r="B48941" s="0" t="s">
        <v>1</v>
      </c>
    </row>
    <row r="48942" customFormat="false" ht="12.8" hidden="false" customHeight="false" outlineLevel="0" collapsed="false">
      <c r="B48942" s="0" t="s">
        <v>164</v>
      </c>
    </row>
    <row r="48944" customFormat="false" ht="12.8" hidden="false" customHeight="false" outlineLevel="0" collapsed="false">
      <c r="A48944" s="0" t="s">
        <v>17289</v>
      </c>
      <c r="B48944" s="0" t="str">
        <f aca="false">HYPERLINK("https://lindat.mff.cuni.cz/services/teitok/pdtc10/index.php?action=vallex&amp;frame=v-w6771f3", "táhnout (v-w6771f3)")</f>
        <v>táhnout (v-w6771f3)</v>
      </c>
    </row>
    <row r="48945" customFormat="false" ht="12.8" hidden="false" customHeight="false" outlineLevel="0" collapsed="false">
      <c r="B48945" s="0" t="s">
        <v>17290</v>
      </c>
    </row>
    <row r="48947" customFormat="false" ht="12.8" hidden="false" customHeight="false" outlineLevel="0" collapsed="false">
      <c r="A48947" s="0" t="s">
        <v>17291</v>
      </c>
      <c r="B48947" s="0" t="str">
        <f aca="false">HYPERLINK("https://lindat.mff.cuni.cz/services/teitok/pdtc10/index.php?action=vallex&amp;frame=v-w6771f10_ZU", "táhnout (v-w6771f10_ZU)")</f>
        <v>táhnout (v-w6771f10_ZU)</v>
      </c>
    </row>
    <row r="48948" customFormat="false" ht="12.8" hidden="false" customHeight="false" outlineLevel="0" collapsed="false">
      <c r="B48948" s="0" t="s">
        <v>1</v>
      </c>
    </row>
    <row r="48949" customFormat="false" ht="12.8" hidden="false" customHeight="false" outlineLevel="0" collapsed="false">
      <c r="B48949" s="0" t="s">
        <v>17020</v>
      </c>
    </row>
    <row r="48951" customFormat="false" ht="12.8" hidden="false" customHeight="false" outlineLevel="0" collapsed="false">
      <c r="A48951" s="0" t="s">
        <v>17291</v>
      </c>
      <c r="B48951" s="0" t="str">
        <f aca="false">HYPERLINK("https://lindat.mff.cuni.cz/services/teitok/pdtc10/index.php?action=vallex&amp;frame=v-w6771f8_ZU", "táhnout (v-w6771f8_ZU) - substituted with v-w6771f10_ZU")</f>
        <v>táhnout (v-w6771f8_ZU) - substituted with v-w6771f10_ZU</v>
      </c>
    </row>
    <row r="48952" customFormat="false" ht="12.8" hidden="false" customHeight="false" outlineLevel="0" collapsed="false">
      <c r="B48952" s="0" t="s">
        <v>1</v>
      </c>
    </row>
    <row r="48953" customFormat="false" ht="12.8" hidden="false" customHeight="false" outlineLevel="0" collapsed="false">
      <c r="B48953" s="0" t="s">
        <v>17020</v>
      </c>
    </row>
    <row r="48955" customFormat="false" ht="12.8" hidden="false" customHeight="false" outlineLevel="0" collapsed="false">
      <c r="A48955" s="0" t="s">
        <v>17291</v>
      </c>
      <c r="B48955" s="0" t="str">
        <f aca="false">HYPERLINK("https://lindat.mff.cuni.cz/services/teitok/pdtc10/index.php?action=vallex&amp;frame=v-w6771f9_ZU", "táhnout (v-w6771f9_ZU) - substituted with v-w6771f10_ZU")</f>
        <v>táhnout (v-w6771f9_ZU) - substituted with v-w6771f10_ZU</v>
      </c>
    </row>
    <row r="48956" customFormat="false" ht="12.8" hidden="false" customHeight="false" outlineLevel="0" collapsed="false">
      <c r="B48956" s="0" t="s">
        <v>1</v>
      </c>
    </row>
    <row r="48957" customFormat="false" ht="12.8" hidden="false" customHeight="false" outlineLevel="0" collapsed="false">
      <c r="B48957" s="0" t="s">
        <v>17020</v>
      </c>
    </row>
    <row r="48959" customFormat="false" ht="12.8" hidden="false" customHeight="false" outlineLevel="0" collapsed="false">
      <c r="A48959" s="0" t="s">
        <v>17291</v>
      </c>
      <c r="B48959" s="0" t="str">
        <f aca="false">HYPERLINK("https://lindat.mff.cuni.cz/services/teitok/pdtc10/index.php?action=vallex&amp;frame=v-w6771hsa_407", "táhnout (v-w6771hsa_407) - substituted with v-w6771f10_ZU")</f>
        <v>táhnout (v-w6771hsa_407) - substituted with v-w6771f10_ZU</v>
      </c>
    </row>
    <row r="48960" customFormat="false" ht="12.8" hidden="false" customHeight="false" outlineLevel="0" collapsed="false">
      <c r="B48960" s="0" t="s">
        <v>1</v>
      </c>
    </row>
    <row r="48961" customFormat="false" ht="12.8" hidden="false" customHeight="false" outlineLevel="0" collapsed="false">
      <c r="B48961" s="0" t="s">
        <v>17020</v>
      </c>
    </row>
    <row r="48963" customFormat="false" ht="12.8" hidden="false" customHeight="false" outlineLevel="0" collapsed="false">
      <c r="A48963" s="0" t="s">
        <v>17292</v>
      </c>
      <c r="B48963" s="0" t="str">
        <f aca="false">HYPERLINK("https://lindat.mff.cuni.cz/services/teitok/pdtc10/index.php?action=vallex&amp;frame=v-w6771f11_ZU", "táhnout (v-w6771f11_ZU)")</f>
        <v>táhnout (v-w6771f11_ZU)</v>
      </c>
    </row>
    <row r="48964" customFormat="false" ht="12.8" hidden="false" customHeight="false" outlineLevel="0" collapsed="false">
      <c r="B48964" s="0" t="s">
        <v>1</v>
      </c>
    </row>
    <row r="48965" customFormat="false" ht="12.8" hidden="false" customHeight="false" outlineLevel="0" collapsed="false">
      <c r="B48965" s="0" t="s">
        <v>4287</v>
      </c>
    </row>
    <row r="48967" customFormat="false" ht="12.8" hidden="false" customHeight="false" outlineLevel="0" collapsed="false">
      <c r="A48967" s="0" t="s">
        <v>17292</v>
      </c>
      <c r="B48967" s="0" t="str">
        <f aca="false">HYPERLINK("https://lindat.mff.cuni.cz/services/teitok/pdtc10/index.php?action=vallex&amp;frame=v-w6771hsa_408", "táhnout (v-w6771hsa_408) - substituted with v-w6771f11_ZU")</f>
        <v>táhnout (v-w6771hsa_408) - substituted with v-w6771f11_ZU</v>
      </c>
    </row>
    <row r="48968" customFormat="false" ht="12.8" hidden="false" customHeight="false" outlineLevel="0" collapsed="false">
      <c r="B48968" s="0" t="s">
        <v>1</v>
      </c>
    </row>
    <row r="48969" customFormat="false" ht="12.8" hidden="false" customHeight="false" outlineLevel="0" collapsed="false">
      <c r="B48969" s="0" t="s">
        <v>4287</v>
      </c>
    </row>
    <row r="48971" customFormat="false" ht="12.8" hidden="false" customHeight="false" outlineLevel="0" collapsed="false">
      <c r="A48971" s="0" t="s">
        <v>17293</v>
      </c>
      <c r="B48971" s="0" t="str">
        <f aca="false">HYPERLINK("https://lindat.mff.cuni.cz/services/teitok/pdtc10/index.php?action=vallex&amp;frame=v-w6771hsa_409", "táhnout (v-w6771hsa_409)")</f>
        <v>táhnout (v-w6771hsa_409)</v>
      </c>
    </row>
    <row r="48972" customFormat="false" ht="12.8" hidden="false" customHeight="false" outlineLevel="0" collapsed="false">
      <c r="B48972" s="0" t="s">
        <v>1</v>
      </c>
    </row>
    <row r="48973" customFormat="false" ht="12.8" hidden="false" customHeight="false" outlineLevel="0" collapsed="false">
      <c r="B48973" s="0" t="s">
        <v>8</v>
      </c>
    </row>
    <row r="48975" customFormat="false" ht="12.8" hidden="false" customHeight="false" outlineLevel="0" collapsed="false">
      <c r="A48975" s="0" t="s">
        <v>17294</v>
      </c>
      <c r="B48975" s="0" t="str">
        <f aca="false">HYPERLINK("https://lindat.mff.cuni.cz/services/teitok/pdtc10/index.php?action=vallex&amp;frame=v-w6771f14_ZU", "táhnout (v-w6771f14_ZU)")</f>
        <v>táhnout (v-w6771f14_ZU)</v>
      </c>
    </row>
    <row r="48976" customFormat="false" ht="12.8" hidden="false" customHeight="false" outlineLevel="0" collapsed="false">
      <c r="B48976" s="0" t="s">
        <v>1</v>
      </c>
    </row>
    <row r="48977" customFormat="false" ht="12.8" hidden="false" customHeight="false" outlineLevel="0" collapsed="false">
      <c r="B48977" s="0" t="s">
        <v>4480</v>
      </c>
    </row>
    <row r="48979" customFormat="false" ht="12.8" hidden="false" customHeight="false" outlineLevel="0" collapsed="false">
      <c r="A48979" s="0" t="s">
        <v>17295</v>
      </c>
      <c r="B48979" s="0" t="str">
        <f aca="false">HYPERLINK("https://lindat.mff.cuni.cz/services/teitok/pdtc10/index.php?action=vallex&amp;frame=v-w6771hsa_406", "táhnout (v-w6771hsa_406)")</f>
        <v>táhnout (v-w6771hsa_406)</v>
      </c>
    </row>
    <row r="48980" customFormat="false" ht="12.8" hidden="false" customHeight="false" outlineLevel="0" collapsed="false">
      <c r="B48980" s="0" t="s">
        <v>1</v>
      </c>
    </row>
    <row r="48982" customFormat="false" ht="12.8" hidden="false" customHeight="false" outlineLevel="0" collapsed="false">
      <c r="A48982" s="0" t="s">
        <v>17296</v>
      </c>
      <c r="B48982" s="0" t="str">
        <f aca="false">HYPERLINK("https://lindat.mff.cuni.cz/services/teitok/pdtc10/index.php?action=vallex&amp;frame=v-w6771hsa_1412", "táhnout (v-w6771hsa_1412)")</f>
        <v>táhnout (v-w6771hsa_1412)</v>
      </c>
    </row>
    <row r="48983" customFormat="false" ht="12.8" hidden="false" customHeight="false" outlineLevel="0" collapsed="false">
      <c r="B48983" s="0" t="s">
        <v>1</v>
      </c>
    </row>
    <row r="48984" customFormat="false" ht="12.8" hidden="false" customHeight="false" outlineLevel="0" collapsed="false">
      <c r="B48984" s="0" t="s">
        <v>8</v>
      </c>
    </row>
    <row r="48986" customFormat="false" ht="12.8" hidden="false" customHeight="false" outlineLevel="0" collapsed="false">
      <c r="A48986" s="0" t="s">
        <v>17297</v>
      </c>
      <c r="B48986" s="0" t="str">
        <f aca="false">HYPERLINK("https://lindat.mff.cuni.cz/services/teitok/pdtc10/index.php?action=vallex&amp;frame=v-w6772f2", "táhnout se (v-w6772f2)")</f>
        <v>táhnout se (v-w6772f2)</v>
      </c>
    </row>
    <row r="48987" customFormat="false" ht="12.8" hidden="false" customHeight="false" outlineLevel="0" collapsed="false">
      <c r="B48987" s="0" t="s">
        <v>1</v>
      </c>
    </row>
    <row r="48988" customFormat="false" ht="12.8" hidden="false" customHeight="false" outlineLevel="0" collapsed="false">
      <c r="B48988" s="0" t="s">
        <v>721</v>
      </c>
    </row>
    <row r="48990" customFormat="false" ht="12.8" hidden="false" customHeight="false" outlineLevel="0" collapsed="false">
      <c r="A48990" s="0" t="s">
        <v>17298</v>
      </c>
      <c r="B48990" s="0" t="str">
        <f aca="false">HYPERLINK("https://lindat.mff.cuni.cz/services/teitok/pdtc10/index.php?action=vallex&amp;frame=v-w6772f5_ZU", "táhnout se (v-w6772f5_ZU)")</f>
        <v>táhnout se (v-w6772f5_ZU)</v>
      </c>
      <c r="E48990" s="0" t="str">
        <f aca="false">HYPERLINK("https://lindat.mff.cuni.cz/services/SynSemClass40/SynSemClass40.html?veclass=vec01347#vec01347-ces-cm00004", "vec01347")</f>
        <v>vec01347</v>
      </c>
      <c r="F48990" s="0" t="s">
        <v>5321</v>
      </c>
    </row>
    <row r="48991" customFormat="false" ht="12.8" hidden="false" customHeight="false" outlineLevel="0" collapsed="false">
      <c r="B48991" s="0" t="s">
        <v>1</v>
      </c>
      <c r="C48991" s="0" t="s">
        <v>5322</v>
      </c>
      <c r="E48991" s="0" t="s">
        <v>957</v>
      </c>
      <c r="F48991" s="0" t="s">
        <v>5323</v>
      </c>
    </row>
    <row r="48992" customFormat="false" ht="12.8" hidden="false" customHeight="false" outlineLevel="0" collapsed="false">
      <c r="B48992" s="0" t="s">
        <v>1262</v>
      </c>
      <c r="E48992" s="0" t="s">
        <v>17299</v>
      </c>
      <c r="F48992" s="0" t="s">
        <v>17300</v>
      </c>
    </row>
    <row r="48994" customFormat="false" ht="12.8" hidden="false" customHeight="false" outlineLevel="0" collapsed="false">
      <c r="A48994" s="0" t="s">
        <v>17301</v>
      </c>
      <c r="B48994" s="0" t="str">
        <f aca="false">HYPERLINK("https://lindat.mff.cuni.cz/services/teitok/pdtc10/index.php?action=vallex&amp;frame=v-w6772f4_ZU", "táhnout se (v-w6772f4_ZU)")</f>
        <v>táhnout se (v-w6772f4_ZU)</v>
      </c>
    </row>
    <row r="48995" customFormat="false" ht="12.8" hidden="false" customHeight="false" outlineLevel="0" collapsed="false">
      <c r="B48995" s="0" t="s">
        <v>1</v>
      </c>
    </row>
    <row r="48996" customFormat="false" ht="12.8" hidden="false" customHeight="false" outlineLevel="0" collapsed="false">
      <c r="B48996" s="0" t="s">
        <v>6273</v>
      </c>
    </row>
    <row r="48997" customFormat="false" ht="12.8" hidden="false" customHeight="false" outlineLevel="0" collapsed="false">
      <c r="B48997" s="0" t="s">
        <v>454</v>
      </c>
    </row>
    <row r="48999" customFormat="false" ht="12.8" hidden="false" customHeight="false" outlineLevel="0" collapsed="false">
      <c r="A48999" s="0" t="s">
        <v>17302</v>
      </c>
      <c r="B48999" s="0" t="str">
        <f aca="false">HYPERLINK("https://lindat.mff.cuni.cz/services/teitok/pdtc10/index.php?action=vallex&amp;frame=v-w6772f6_ZU", "táhnout se (v-w6772f6_ZU)")</f>
        <v>táhnout se (v-w6772f6_ZU)</v>
      </c>
    </row>
    <row r="49000" customFormat="false" ht="12.8" hidden="false" customHeight="false" outlineLevel="0" collapsed="false">
      <c r="B49000" s="0" t="s">
        <v>1</v>
      </c>
    </row>
    <row r="49001" customFormat="false" ht="12.8" hidden="false" customHeight="false" outlineLevel="0" collapsed="false">
      <c r="B49001" s="0" t="s">
        <v>164</v>
      </c>
    </row>
    <row r="49003" customFormat="false" ht="12.8" hidden="false" customHeight="false" outlineLevel="0" collapsed="false">
      <c r="A49003" s="0" t="s">
        <v>17302</v>
      </c>
      <c r="B49003" s="0" t="str">
        <f aca="false">HYPERLINK("https://lindat.mff.cuni.cz/services/teitok/pdtc10/index.php?action=vallex&amp;frame=v-w6772f3", "táhnout se (v-w6772f3) - substituted with v-w6772f6_ZU")</f>
        <v>táhnout se (v-w6772f3) - substituted with v-w6772f6_ZU</v>
      </c>
    </row>
    <row r="49004" customFormat="false" ht="12.8" hidden="false" customHeight="false" outlineLevel="0" collapsed="false">
      <c r="B49004" s="0" t="s">
        <v>1</v>
      </c>
    </row>
    <row r="49005" customFormat="false" ht="12.8" hidden="false" customHeight="false" outlineLevel="0" collapsed="false">
      <c r="B49005" s="0" t="s">
        <v>164</v>
      </c>
    </row>
    <row r="49007" customFormat="false" ht="12.8" hidden="false" customHeight="false" outlineLevel="0" collapsed="false">
      <c r="A49007" s="0" t="s">
        <v>17303</v>
      </c>
      <c r="B49007" s="0" t="str">
        <f aca="false">HYPERLINK("https://lindat.mff.cuni.cz/services/teitok/pdtc10/index.php?action=vallex&amp;frame=v-w6772f1", "táhnout se (v-w6772f1)")</f>
        <v>táhnout se (v-w6772f1)</v>
      </c>
      <c r="E49007" s="0" t="str">
        <f aca="false">HYPERLINK("https://lindat.mff.cuni.cz/services/SynSemClass40/SynSemClass40.html?veclass=vec01332#vec01332-ces-cm00003", "vec01332")</f>
        <v>vec01332</v>
      </c>
      <c r="F49007" s="0" t="s">
        <v>12813</v>
      </c>
    </row>
    <row r="49008" customFormat="false" ht="12.8" hidden="false" customHeight="false" outlineLevel="0" collapsed="false">
      <c r="B49008" s="0" t="s">
        <v>1</v>
      </c>
      <c r="C49008" s="0" t="s">
        <v>12814</v>
      </c>
      <c r="E49008" s="0" t="s">
        <v>375</v>
      </c>
      <c r="F49008" s="0" t="s">
        <v>12815</v>
      </c>
    </row>
    <row r="49010" customFormat="false" ht="12.8" hidden="false" customHeight="false" outlineLevel="0" collapsed="false">
      <c r="A49010" s="0" t="s">
        <v>17304</v>
      </c>
      <c r="B49010" s="0" t="str">
        <f aca="false">HYPERLINK("https://lindat.mff.cuni.cz/services/teitok/pdtc10/index.php?action=vallex&amp;frame=v-w6772hsa_706", "táhnout se (v-w6772hsa_706)")</f>
        <v>táhnout se (v-w6772hsa_706)</v>
      </c>
      <c r="E49010" s="0" t="str">
        <f aca="false">HYPERLINK("https://lindat.mff.cuni.cz/services/SynSemClass40/SynSemClass40.html?veclass=vec01347#vec01347-ces-cm00005", "vec01347")</f>
        <v>vec01347</v>
      </c>
      <c r="F49010" s="0" t="s">
        <v>5321</v>
      </c>
    </row>
    <row r="49011" customFormat="false" ht="12.8" hidden="false" customHeight="false" outlineLevel="0" collapsed="false">
      <c r="B49011" s="0" t="s">
        <v>1</v>
      </c>
      <c r="C49011" s="0" t="s">
        <v>5322</v>
      </c>
      <c r="E49011" s="0" t="s">
        <v>957</v>
      </c>
      <c r="F49011" s="0" t="s">
        <v>5323</v>
      </c>
    </row>
    <row r="49012" customFormat="false" ht="12.8" hidden="false" customHeight="false" outlineLevel="0" collapsed="false">
      <c r="B49012" s="0" t="s">
        <v>336</v>
      </c>
      <c r="E49012" s="0" t="s">
        <v>338</v>
      </c>
      <c r="F49012" s="0" t="s">
        <v>12214</v>
      </c>
    </row>
    <row r="49014" customFormat="false" ht="12.8" hidden="false" customHeight="false" outlineLevel="0" collapsed="false">
      <c r="A49014" s="0" t="s">
        <v>17305</v>
      </c>
      <c r="B49014" s="0" t="str">
        <f aca="false">HYPERLINK("https://lindat.mff.cuni.cz/services/teitok/pdtc10/index.php?action=vallex&amp;frame=v-w6783f1", "tápat (v-w6783f1)")</f>
        <v>tápat (v-w6783f1)</v>
      </c>
      <c r="E49014" s="0" t="str">
        <f aca="false">HYPERLINK("https://lindat.mff.cuni.cz/services/SynSemClass40/SynSemClass40.html?veclass=vec00935#vec00935-ces-cm00001", "vec00935")</f>
        <v>vec00935</v>
      </c>
      <c r="F49014" s="0" t="s">
        <v>17306</v>
      </c>
    </row>
    <row r="49015" customFormat="false" ht="12.8" hidden="false" customHeight="false" outlineLevel="0" collapsed="false">
      <c r="B49015" s="0" t="s">
        <v>1</v>
      </c>
      <c r="E49015" s="0" t="s">
        <v>11</v>
      </c>
      <c r="F49015" s="0" t="s">
        <v>959</v>
      </c>
    </row>
    <row r="49017" customFormat="false" ht="12.8" hidden="false" customHeight="false" outlineLevel="0" collapsed="false">
      <c r="A49017" s="0" t="s">
        <v>17307</v>
      </c>
      <c r="B49017" s="0" t="str">
        <f aca="false">HYPERLINK("https://lindat.mff.cuni.cz/services/teitok/pdtc10/index.php?action=vallex&amp;frame=v-w6788f2", "tát (v-w6788f2)")</f>
        <v>tát (v-w6788f2)</v>
      </c>
    </row>
    <row r="49018" customFormat="false" ht="12.8" hidden="false" customHeight="false" outlineLevel="0" collapsed="false">
      <c r="B49018" s="0" t="s">
        <v>1</v>
      </c>
    </row>
    <row r="49020" customFormat="false" ht="12.8" hidden="false" customHeight="false" outlineLevel="0" collapsed="false">
      <c r="A49020" s="0" t="s">
        <v>17308</v>
      </c>
      <c r="B49020" s="0" t="str">
        <f aca="false">HYPERLINK("https://lindat.mff.cuni.cz/services/teitok/pdtc10/index.php?action=vallex&amp;frame=v-w6788f1", "tát (v-w6788f1)")</f>
        <v>tát (v-w6788f1)</v>
      </c>
    </row>
    <row r="49022" customFormat="false" ht="12.8" hidden="false" customHeight="false" outlineLevel="0" collapsed="false">
      <c r="A49022" s="0" t="s">
        <v>17309</v>
      </c>
      <c r="B49022" s="0" t="str">
        <f aca="false">HYPERLINK("https://lindat.mff.cuni.cz/services/teitok/pdtc10/index.php?action=vallex&amp;frame=v-w6788f3_ZU", "tát (v-w6788f3_ZU)")</f>
        <v>tát (v-w6788f3_ZU)</v>
      </c>
    </row>
    <row r="49023" customFormat="false" ht="12.8" hidden="false" customHeight="false" outlineLevel="0" collapsed="false">
      <c r="B49023" s="0" t="s">
        <v>1</v>
      </c>
    </row>
    <row r="49025" customFormat="false" ht="12.8" hidden="false" customHeight="false" outlineLevel="0" collapsed="false">
      <c r="A49025" s="0" t="s">
        <v>17310</v>
      </c>
      <c r="B49025" s="0" t="str">
        <f aca="false">HYPERLINK("https://lindat.mff.cuni.cz/services/teitok/pdtc10/index.php?action=vallex&amp;frame=v-w6792hsa_441", "tázat se (v-w6792hsa_441)")</f>
        <v>tázat se (v-w6792hsa_441)</v>
      </c>
      <c r="E49025" s="0" t="str">
        <f aca="false">HYPERLINK("https://lindat.mff.cuni.cz/services/SynSemClass40/SynSemClass40.html?veclass=vec00384#vec00384-ces-cm00011", "vec00384")</f>
        <v>vec00384</v>
      </c>
      <c r="F49025" s="0" t="s">
        <v>2985</v>
      </c>
    </row>
    <row r="49026" customFormat="false" ht="12.8" hidden="false" customHeight="false" outlineLevel="0" collapsed="false">
      <c r="B49026" s="0" t="s">
        <v>1</v>
      </c>
      <c r="C49026" s="0" t="s">
        <v>2986</v>
      </c>
      <c r="E49026" s="0" t="s">
        <v>147</v>
      </c>
      <c r="F49026" s="0" t="s">
        <v>2987</v>
      </c>
    </row>
    <row r="49027" customFormat="false" ht="12.8" hidden="false" customHeight="false" outlineLevel="0" collapsed="false">
      <c r="B49027" s="0" t="s">
        <v>17311</v>
      </c>
      <c r="C49027" s="0" t="s">
        <v>2989</v>
      </c>
      <c r="E49027" s="0" t="s">
        <v>218</v>
      </c>
      <c r="F49027" s="0" t="s">
        <v>2990</v>
      </c>
    </row>
    <row r="49028" customFormat="false" ht="12.8" hidden="false" customHeight="false" outlineLevel="0" collapsed="false">
      <c r="B49028" s="0" t="s">
        <v>2991</v>
      </c>
      <c r="C49028" s="0" t="s">
        <v>2992</v>
      </c>
      <c r="E49028" s="0" t="s">
        <v>221</v>
      </c>
      <c r="F49028" s="0" t="s">
        <v>2993</v>
      </c>
    </row>
    <row r="49030" customFormat="false" ht="12.8" hidden="false" customHeight="false" outlineLevel="0" collapsed="false">
      <c r="A49030" s="0" t="s">
        <v>17310</v>
      </c>
      <c r="B49030" s="0" t="str">
        <f aca="false">HYPERLINK("https://lindat.mff.cuni.cz/services/teitok/pdtc10/index.php?action=vallex&amp;frame=v-w6792f1", "tázat se (v-w6792f1) - substituted with v-w6792hsa_441")</f>
        <v>tázat se (v-w6792f1) - substituted with v-w6792hsa_441</v>
      </c>
    </row>
    <row r="49031" customFormat="false" ht="12.8" hidden="false" customHeight="false" outlineLevel="0" collapsed="false">
      <c r="B49031" s="0" t="s">
        <v>1</v>
      </c>
    </row>
    <row r="49032" customFormat="false" ht="12.8" hidden="false" customHeight="false" outlineLevel="0" collapsed="false">
      <c r="B49032" s="0" t="s">
        <v>17311</v>
      </c>
    </row>
    <row r="49033" customFormat="false" ht="12.8" hidden="false" customHeight="false" outlineLevel="0" collapsed="false">
      <c r="B49033" s="0" t="s">
        <v>2991</v>
      </c>
    </row>
    <row r="49035" customFormat="false" ht="12.8" hidden="false" customHeight="false" outlineLevel="0" collapsed="false">
      <c r="A49035" s="0" t="s">
        <v>17312</v>
      </c>
      <c r="B49035" s="0" t="str">
        <f aca="false">HYPERLINK("https://lindat.mff.cuni.cz/services/teitok/pdtc10/index.php?action=vallex&amp;frame=v-w6794f4_ZU", "téci (v-w6794f4_ZU)")</f>
        <v>téci (v-w6794f4_ZU)</v>
      </c>
    </row>
    <row r="49036" customFormat="false" ht="12.8" hidden="false" customHeight="false" outlineLevel="0" collapsed="false">
      <c r="B49036" s="0" t="s">
        <v>1</v>
      </c>
    </row>
    <row r="49038" customFormat="false" ht="12.8" hidden="false" customHeight="false" outlineLevel="0" collapsed="false">
      <c r="A49038" s="0" t="s">
        <v>17312</v>
      </c>
      <c r="B49038" s="0" t="str">
        <f aca="false">HYPERLINK("https://lindat.mff.cuni.cz/services/teitok/pdtc10/index.php?action=vallex&amp;frame=v-w6794f1", "téci (v-w6794f1) - substituted with v-w6794f4_ZU")</f>
        <v>téci (v-w6794f1) - substituted with v-w6794f4_ZU</v>
      </c>
      <c r="E49038" s="0" t="str">
        <f aca="false">HYPERLINK("https://lindat.mff.cuni.cz/services/SynSemClass40/SynSemClass40.html?veclass=vec00952#vec00952-ces-cm00006", "vec00952")</f>
        <v>vec00952</v>
      </c>
      <c r="F49038" s="0" t="s">
        <v>3038</v>
      </c>
      <c r="H49038" s="0" t="str">
        <f aca="false">HYPERLINK("https://lindat.mff.cuni.cz/services/SynSemClass40/SynSemClass40.html?veclass=vec01533#vec01533-ces-cm00010", "vec01533")</f>
        <v>vec01533</v>
      </c>
      <c r="I49038" s="0" t="s">
        <v>5224</v>
      </c>
    </row>
    <row r="49039" customFormat="false" ht="12.8" hidden="false" customHeight="false" outlineLevel="0" collapsed="false">
      <c r="B49039" s="0" t="s">
        <v>1</v>
      </c>
      <c r="C49039" s="0" t="s">
        <v>12831</v>
      </c>
      <c r="E49039" s="0" t="s">
        <v>334</v>
      </c>
      <c r="F49039" s="0" t="s">
        <v>3040</v>
      </c>
      <c r="H49039" s="0" t="s">
        <v>5225</v>
      </c>
      <c r="I49039" s="0" t="s">
        <v>5226</v>
      </c>
    </row>
    <row r="49041" customFormat="false" ht="12.8" hidden="false" customHeight="false" outlineLevel="0" collapsed="false">
      <c r="A49041" s="0" t="s">
        <v>17313</v>
      </c>
      <c r="B49041" s="0" t="str">
        <f aca="false">HYPERLINK("https://lindat.mff.cuni.cz/services/teitok/pdtc10/index.php?action=vallex&amp;frame=v-w6794f2", "téci (v-w6794f2)")</f>
        <v>téci (v-w6794f2)</v>
      </c>
      <c r="E49041" s="0" t="str">
        <f aca="false">HYPERLINK("https://lindat.mff.cuni.cz/services/SynSemClass40/SynSemClass40.html?veclass=vec01533#vec01533-ces-cm00011", "vec01533")</f>
        <v>vec01533</v>
      </c>
      <c r="F49041" s="0" t="s">
        <v>5224</v>
      </c>
    </row>
    <row r="49043" customFormat="false" ht="12.8" hidden="false" customHeight="false" outlineLevel="0" collapsed="false">
      <c r="A49043" s="0" t="s">
        <v>17314</v>
      </c>
      <c r="B49043" s="0" t="str">
        <f aca="false">HYPERLINK("https://lindat.mff.cuni.cz/services/teitok/pdtc10/index.php?action=vallex&amp;frame=v-w6794f3_ZU", "téci (v-w6794f3_ZU)")</f>
        <v>téci (v-w6794f3_ZU)</v>
      </c>
    </row>
    <row r="49044" customFormat="false" ht="12.8" hidden="false" customHeight="false" outlineLevel="0" collapsed="false">
      <c r="B49044" s="0" t="s">
        <v>1</v>
      </c>
    </row>
    <row r="49046" customFormat="false" ht="12.8" hidden="false" customHeight="false" outlineLevel="0" collapsed="false">
      <c r="A49046" s="0" t="s">
        <v>17315</v>
      </c>
      <c r="B49046" s="0" t="str">
        <f aca="false">HYPERLINK("https://lindat.mff.cuni.cz/services/teitok/pdtc10/index.php?action=vallex&amp;frame=v-w6794hsa_629", "téci (v-w6794hsa_629)")</f>
        <v>téci (v-w6794hsa_629)</v>
      </c>
    </row>
    <row r="49047" customFormat="false" ht="12.8" hidden="false" customHeight="false" outlineLevel="0" collapsed="false">
      <c r="B49047" s="0" t="s">
        <v>1</v>
      </c>
    </row>
    <row r="49049" customFormat="false" ht="12.8" hidden="false" customHeight="false" outlineLevel="0" collapsed="false">
      <c r="A49049" s="0" t="s">
        <v>17316</v>
      </c>
      <c r="B49049" s="0" t="str">
        <f aca="false">HYPERLINK("https://lindat.mff.cuni.cz/services/teitok/pdtc10/index.php?action=vallex&amp;frame=v-w6829f2_ZU", "tíhnout (v-w6829f2_ZU)")</f>
        <v>tíhnout (v-w6829f2_ZU)</v>
      </c>
    </row>
    <row r="49050" customFormat="false" ht="12.8" hidden="false" customHeight="false" outlineLevel="0" collapsed="false">
      <c r="B49050" s="0" t="s">
        <v>1</v>
      </c>
    </row>
    <row r="49051" customFormat="false" ht="12.8" hidden="false" customHeight="false" outlineLevel="0" collapsed="false">
      <c r="B49051" s="0" t="s">
        <v>4446</v>
      </c>
    </row>
    <row r="49053" customFormat="false" ht="12.8" hidden="false" customHeight="false" outlineLevel="0" collapsed="false">
      <c r="A49053" s="0" t="s">
        <v>17316</v>
      </c>
      <c r="B49053" s="0" t="str">
        <f aca="false">HYPERLINK("https://lindat.mff.cuni.cz/services/teitok/pdtc10/index.php?action=vallex&amp;frame=v-w6829f1", "tíhnout (v-w6829f1) - substituted with v-w6829f2_ZU")</f>
        <v>tíhnout (v-w6829f1) - substituted with v-w6829f2_ZU</v>
      </c>
      <c r="E49053" s="0" t="str">
        <f aca="false">HYPERLINK("https://lindat.mff.cuni.cz/services/SynSemClass40/SynSemClass40.html?veclass=vec00516#vec00516-ces-cm00038", "vec00516")</f>
        <v>vec00516</v>
      </c>
      <c r="F49053" s="0" t="s">
        <v>4818</v>
      </c>
    </row>
    <row r="49054" customFormat="false" ht="12.8" hidden="false" customHeight="false" outlineLevel="0" collapsed="false">
      <c r="B49054" s="0" t="s">
        <v>1</v>
      </c>
      <c r="C49054" s="0" t="s">
        <v>4819</v>
      </c>
      <c r="E49054" s="0" t="s">
        <v>11</v>
      </c>
      <c r="F49054" s="0" t="s">
        <v>4820</v>
      </c>
    </row>
    <row r="49055" customFormat="false" ht="12.8" hidden="false" customHeight="false" outlineLevel="0" collapsed="false">
      <c r="B49055" s="0" t="s">
        <v>4446</v>
      </c>
      <c r="C49055" s="0" t="s">
        <v>4821</v>
      </c>
      <c r="E49055" s="0" t="s">
        <v>523</v>
      </c>
      <c r="F49055" s="0" t="s">
        <v>4822</v>
      </c>
    </row>
    <row r="49057" customFormat="false" ht="12.8" hidden="false" customHeight="false" outlineLevel="0" collapsed="false">
      <c r="A49057" s="0" t="s">
        <v>17317</v>
      </c>
      <c r="B49057" s="0" t="str">
        <f aca="false">HYPERLINK("https://lindat.mff.cuni.cz/services/teitok/pdtc10/index.php?action=vallex&amp;frame=v-w6832f1", "típnout (v-w6832f1)")</f>
        <v>típnout (v-w6832f1)</v>
      </c>
    </row>
    <row r="49058" customFormat="false" ht="12.8" hidden="false" customHeight="false" outlineLevel="0" collapsed="false">
      <c r="B49058" s="0" t="s">
        <v>1</v>
      </c>
    </row>
    <row r="49059" customFormat="false" ht="12.8" hidden="false" customHeight="false" outlineLevel="0" collapsed="false">
      <c r="B49059" s="0" t="s">
        <v>8</v>
      </c>
    </row>
    <row r="49061" customFormat="false" ht="12.8" hidden="false" customHeight="false" outlineLevel="0" collapsed="false">
      <c r="A49061" s="0" t="s">
        <v>17318</v>
      </c>
      <c r="B49061" s="0" t="str">
        <f aca="false">HYPERLINK("https://lindat.mff.cuni.cz/services/teitok/pdtc10/index.php?action=vallex&amp;frame=v-whsa_147f1_ZU", "tísnit se (v-whsa_147f1_ZU)")</f>
        <v>tísnit se (v-whsa_147f1_ZU)</v>
      </c>
      <c r="E49061" s="0" t="str">
        <f aca="false">HYPERLINK("https://lindat.mff.cuni.cz/services/SynSemClass40/SynSemClass40.html?veclass=vec00833#vec00833-ces-cm00005", "vec00833")</f>
        <v>vec00833</v>
      </c>
      <c r="F49061" s="0" t="s">
        <v>6223</v>
      </c>
    </row>
    <row r="49062" customFormat="false" ht="12.8" hidden="false" customHeight="false" outlineLevel="0" collapsed="false">
      <c r="B49062" s="0" t="s">
        <v>1</v>
      </c>
      <c r="C49062" s="0" t="s">
        <v>6224</v>
      </c>
      <c r="E49062" s="0" t="s">
        <v>11</v>
      </c>
      <c r="F49062" s="0" t="s">
        <v>6225</v>
      </c>
    </row>
    <row r="49063" customFormat="false" ht="12.8" hidden="false" customHeight="false" outlineLevel="0" collapsed="false">
      <c r="B49063" s="0" t="s">
        <v>5</v>
      </c>
      <c r="C49063" s="0" t="s">
        <v>6226</v>
      </c>
      <c r="E49063" s="0" t="s">
        <v>3254</v>
      </c>
      <c r="F49063" s="0" t="s">
        <v>6227</v>
      </c>
    </row>
    <row r="49065" customFormat="false" ht="12.8" hidden="false" customHeight="false" outlineLevel="0" collapsed="false">
      <c r="A49065" s="0" t="s">
        <v>17318</v>
      </c>
      <c r="B49065" s="0" t="str">
        <f aca="false">HYPERLINK("https://lindat.mff.cuni.cz/services/teitok/pdtc10/index.php?action=vallex&amp;frame=v-whsa_147hsa_148", "tísnit se (v-whsa_147hsa_148) - substituted with v-whsa_147f1_ZU")</f>
        <v>tísnit se (v-whsa_147hsa_148) - substituted with v-whsa_147f1_ZU</v>
      </c>
    </row>
    <row r="49066" customFormat="false" ht="12.8" hidden="false" customHeight="false" outlineLevel="0" collapsed="false">
      <c r="B49066" s="0" t="s">
        <v>1</v>
      </c>
    </row>
    <row r="49067" customFormat="false" ht="12.8" hidden="false" customHeight="false" outlineLevel="0" collapsed="false">
      <c r="B49067" s="0" t="s">
        <v>5</v>
      </c>
    </row>
    <row r="49069" customFormat="false" ht="12.8" hidden="false" customHeight="false" outlineLevel="0" collapsed="false">
      <c r="A49069" s="0" t="s">
        <v>17319</v>
      </c>
      <c r="B49069" s="0" t="str">
        <f aca="false">HYPERLINK("https://lindat.mff.cuni.cz/services/teitok/pdtc10/index.php?action=vallex&amp;frame=v-w6958f1", "týkat se (v-w6958f1)")</f>
        <v>týkat se (v-w6958f1)</v>
      </c>
      <c r="E49069" s="0" t="str">
        <f aca="false">HYPERLINK("https://lindat.mff.cuni.cz/services/SynSemClass40/SynSemClass40.html?veclass=vec00328#vec00328-ces-cm00001", "vec00328")</f>
        <v>vec00328</v>
      </c>
      <c r="F49069" s="0" t="s">
        <v>3008</v>
      </c>
    </row>
    <row r="49070" customFormat="false" ht="12.8" hidden="false" customHeight="false" outlineLevel="0" collapsed="false">
      <c r="B49070" s="0" t="s">
        <v>843</v>
      </c>
      <c r="C49070" s="0" t="s">
        <v>3044</v>
      </c>
      <c r="E49070" s="0" t="s">
        <v>3010</v>
      </c>
      <c r="F49070" s="0" t="s">
        <v>3012</v>
      </c>
    </row>
    <row r="49071" customFormat="false" ht="12.8" hidden="false" customHeight="false" outlineLevel="0" collapsed="false">
      <c r="B49071" s="0" t="s">
        <v>1289</v>
      </c>
      <c r="C49071" s="0" t="s">
        <v>3045</v>
      </c>
      <c r="E49071" s="0" t="s">
        <v>142</v>
      </c>
      <c r="F49071" s="0" t="s">
        <v>3015</v>
      </c>
    </row>
    <row r="49073" customFormat="false" ht="12.8" hidden="false" customHeight="false" outlineLevel="0" collapsed="false">
      <c r="A49073" s="0" t="s">
        <v>17320</v>
      </c>
      <c r="B49073" s="0" t="str">
        <f aca="false">HYPERLINK("https://lindat.mff.cuni.cz/services/teitok/pdtc10/index.php?action=vallex&amp;frame=v-w11087f2", "týrat (v-w11087f2)")</f>
        <v>týrat (v-w11087f2)</v>
      </c>
      <c r="E49073" s="0" t="str">
        <f aca="false">HYPERLINK("https://lindat.mff.cuni.cz/services/SynSemClass40/SynSemClass40.html?veclass=vec00158#vec00158-ces-cm00004", "vec00158")</f>
        <v>vec00158</v>
      </c>
      <c r="F49073" s="0" t="s">
        <v>6383</v>
      </c>
      <c r="H49073" s="0" t="str">
        <f aca="false">HYPERLINK("https://lindat.mff.cuni.cz/services/SynSemClass40/SynSemClass40.html?veclass=vec00992#vec00992-ces-cm00005", "vec00992")</f>
        <v>vec00992</v>
      </c>
      <c r="I49073" s="0" t="s">
        <v>824</v>
      </c>
    </row>
    <row r="49074" customFormat="false" ht="12.8" hidden="false" customHeight="false" outlineLevel="0" collapsed="false">
      <c r="B49074" s="0" t="s">
        <v>1</v>
      </c>
      <c r="C49074" s="0" t="s">
        <v>106</v>
      </c>
      <c r="E49074" s="0" t="s">
        <v>1573</v>
      </c>
      <c r="F49074" s="0" t="s">
        <v>6384</v>
      </c>
      <c r="H49074" s="0" t="s">
        <v>196</v>
      </c>
      <c r="I49074" s="0" t="s">
        <v>826</v>
      </c>
    </row>
    <row r="49075" customFormat="false" ht="12.8" hidden="false" customHeight="false" outlineLevel="0" collapsed="false">
      <c r="B49075" s="0" t="s">
        <v>8</v>
      </c>
      <c r="C49075" s="0" t="s">
        <v>6385</v>
      </c>
      <c r="E49075" s="0" t="s">
        <v>199</v>
      </c>
      <c r="F49075" s="0" t="s">
        <v>6386</v>
      </c>
      <c r="H49075" s="0" t="s">
        <v>199</v>
      </c>
      <c r="I49075" s="0" t="s">
        <v>828</v>
      </c>
    </row>
    <row r="49077" customFormat="false" ht="12.8" hidden="false" customHeight="false" outlineLevel="0" collapsed="false">
      <c r="A49077" s="0" t="s">
        <v>17321</v>
      </c>
      <c r="B49077" s="0" t="str">
        <f aca="false">HYPERLINK("https://lindat.mff.cuni.cz/services/teitok/pdtc10/index.php?action=vallex&amp;frame=v-whsb_51hsa_52", "těsnit (v-whsb_51hsa_52)")</f>
        <v>těsnit (v-whsb_51hsa_52)</v>
      </c>
    </row>
    <row r="49078" customFormat="false" ht="12.8" hidden="false" customHeight="false" outlineLevel="0" collapsed="false">
      <c r="B49078" s="0" t="s">
        <v>1</v>
      </c>
    </row>
    <row r="49080" customFormat="false" ht="12.8" hidden="false" customHeight="false" outlineLevel="0" collapsed="false">
      <c r="A49080" s="0" t="s">
        <v>17322</v>
      </c>
      <c r="B49080" s="0" t="str">
        <f aca="false">HYPERLINK("https://lindat.mff.cuni.cz/services/teitok/pdtc10/index.php?action=vallex&amp;frame=v-w6818f2", "těšit (v-w6818f2)")</f>
        <v>těšit (v-w6818f2)</v>
      </c>
    </row>
    <row r="49081" customFormat="false" ht="12.8" hidden="false" customHeight="false" outlineLevel="0" collapsed="false">
      <c r="B49081" s="0" t="s">
        <v>1</v>
      </c>
    </row>
    <row r="49082" customFormat="false" ht="12.8" hidden="false" customHeight="false" outlineLevel="0" collapsed="false">
      <c r="B49082" s="0" t="s">
        <v>8</v>
      </c>
    </row>
    <row r="49084" customFormat="false" ht="12.8" hidden="false" customHeight="false" outlineLevel="0" collapsed="false">
      <c r="A49084" s="0" t="s">
        <v>17323</v>
      </c>
      <c r="B49084" s="0" t="str">
        <f aca="false">HYPERLINK("https://lindat.mff.cuni.cz/services/teitok/pdtc10/index.php?action=vallex&amp;frame=v-w6818f1", "těšit (v-w6818f1)")</f>
        <v>těšit (v-w6818f1)</v>
      </c>
    </row>
    <row r="49085" customFormat="false" ht="12.8" hidden="false" customHeight="false" outlineLevel="0" collapsed="false">
      <c r="B49085" s="0" t="s">
        <v>264</v>
      </c>
    </row>
    <row r="49086" customFormat="false" ht="12.8" hidden="false" customHeight="false" outlineLevel="0" collapsed="false">
      <c r="B49086" s="0" t="s">
        <v>5918</v>
      </c>
    </row>
    <row r="49088" customFormat="false" ht="12.8" hidden="false" customHeight="false" outlineLevel="0" collapsed="false">
      <c r="A49088" s="0" t="s">
        <v>17324</v>
      </c>
      <c r="B49088" s="0" t="str">
        <f aca="false">HYPERLINK("https://lindat.mff.cuni.cz/services/teitok/pdtc10/index.php?action=vallex&amp;frame=v-w6819f2", "těšit se (v-w6819f2)")</f>
        <v>těšit se (v-w6819f2)</v>
      </c>
    </row>
    <row r="49089" customFormat="false" ht="12.8" hidden="false" customHeight="false" outlineLevel="0" collapsed="false">
      <c r="B49089" s="0" t="s">
        <v>1</v>
      </c>
    </row>
    <row r="49090" customFormat="false" ht="12.8" hidden="false" customHeight="false" outlineLevel="0" collapsed="false">
      <c r="B49090" s="0" t="s">
        <v>186</v>
      </c>
    </row>
    <row r="49092" customFormat="false" ht="12.8" hidden="false" customHeight="false" outlineLevel="0" collapsed="false">
      <c r="A49092" s="0" t="s">
        <v>17325</v>
      </c>
      <c r="B49092" s="0" t="str">
        <f aca="false">HYPERLINK("https://lindat.mff.cuni.cz/services/teitok/pdtc10/index.php?action=vallex&amp;frame=v-w6819hsa_1787", "těšit se (v-w6819hsa_1787)")</f>
        <v>těšit se (v-w6819hsa_1787)</v>
      </c>
    </row>
    <row r="49093" customFormat="false" ht="12.8" hidden="false" customHeight="false" outlineLevel="0" collapsed="false">
      <c r="B49093" s="0" t="s">
        <v>1</v>
      </c>
    </row>
    <row r="49094" customFormat="false" ht="12.8" hidden="false" customHeight="false" outlineLevel="0" collapsed="false">
      <c r="B49094" s="0" t="s">
        <v>17326</v>
      </c>
    </row>
    <row r="49096" customFormat="false" ht="12.8" hidden="false" customHeight="false" outlineLevel="0" collapsed="false">
      <c r="A49096" s="0" t="s">
        <v>17325</v>
      </c>
      <c r="B49096" s="0" t="str">
        <f aca="false">HYPERLINK("https://lindat.mff.cuni.cz/services/teitok/pdtc10/index.php?action=vallex&amp;frame=v-w6819f1", "těšit se (v-w6819f1) - substituted with v-w6819hsa_1787")</f>
        <v>těšit se (v-w6819f1) - substituted with v-w6819hsa_1787</v>
      </c>
      <c r="E49096" s="0" t="str">
        <f aca="false">HYPERLINK("https://lindat.mff.cuni.cz/services/SynSemClass40/SynSemClass40.html?veclass=vec00003#vec00003-ces-cm00037", "vec00003")</f>
        <v>vec00003</v>
      </c>
      <c r="F49096" s="0" t="s">
        <v>10280</v>
      </c>
    </row>
    <row r="49097" customFormat="false" ht="12.8" hidden="false" customHeight="false" outlineLevel="0" collapsed="false">
      <c r="B49097" s="0" t="s">
        <v>1</v>
      </c>
      <c r="C49097" s="0" t="s">
        <v>10281</v>
      </c>
      <c r="E49097" s="0" t="s">
        <v>11</v>
      </c>
      <c r="F49097" s="0" t="s">
        <v>10282</v>
      </c>
    </row>
    <row r="49098" customFormat="false" ht="12.8" hidden="false" customHeight="false" outlineLevel="0" collapsed="false">
      <c r="B49098" s="0" t="s">
        <v>17326</v>
      </c>
      <c r="C49098" s="0" t="s">
        <v>10284</v>
      </c>
      <c r="E49098" s="0" t="s">
        <v>3054</v>
      </c>
      <c r="F49098" s="0" t="s">
        <v>10285</v>
      </c>
    </row>
    <row r="49100" customFormat="false" ht="12.8" hidden="false" customHeight="false" outlineLevel="0" collapsed="false">
      <c r="A49100" s="0" t="s">
        <v>17325</v>
      </c>
      <c r="B49100" s="0" t="str">
        <f aca="false">HYPERLINK("https://lindat.mff.cuni.cz/services/teitok/pdtc10/index.php?action=vallex&amp;frame=v-w6819hsa_1786", "těšit se (v-w6819hsa_1786) - substituted with v-w6819hsa_1787")</f>
        <v>těšit se (v-w6819hsa_1786) - substituted with v-w6819hsa_1787</v>
      </c>
    </row>
    <row r="49101" customFormat="false" ht="12.8" hidden="false" customHeight="false" outlineLevel="0" collapsed="false">
      <c r="B49101" s="0" t="s">
        <v>1</v>
      </c>
    </row>
    <row r="49102" customFormat="false" ht="12.8" hidden="false" customHeight="false" outlineLevel="0" collapsed="false">
      <c r="B49102" s="0" t="s">
        <v>17326</v>
      </c>
    </row>
    <row r="49104" customFormat="false" ht="12.8" hidden="false" customHeight="false" outlineLevel="0" collapsed="false">
      <c r="A49104" s="0" t="s">
        <v>17327</v>
      </c>
      <c r="B49104" s="0" t="str">
        <f aca="false">HYPERLINK("https://lindat.mff.cuni.cz/services/teitok/pdtc10/index.php?action=vallex&amp;frame=v-w6819f3", "těšit se (v-w6819f3)")</f>
        <v>těšit se (v-w6819f3)</v>
      </c>
      <c r="E49104" s="0" t="str">
        <f aca="false">HYPERLINK("https://lindat.mff.cuni.cz/services/SynSemClass40/SynSemClass40.html?veclass=vec00742#vec00742-ces-cm00013", "vec00742")</f>
        <v>vec00742</v>
      </c>
      <c r="F49104" s="0" t="s">
        <v>2689</v>
      </c>
    </row>
    <row r="49105" customFormat="false" ht="12.8" hidden="false" customHeight="false" outlineLevel="0" collapsed="false">
      <c r="B49105" s="0" t="s">
        <v>1</v>
      </c>
      <c r="C49105" s="0" t="s">
        <v>2690</v>
      </c>
      <c r="E49105" s="0" t="s">
        <v>266</v>
      </c>
      <c r="F49105" s="0" t="s">
        <v>2691</v>
      </c>
    </row>
    <row r="49106" customFormat="false" ht="12.8" hidden="false" customHeight="false" outlineLevel="0" collapsed="false">
      <c r="B49106" s="0" t="s">
        <v>17328</v>
      </c>
      <c r="C49106" s="0" t="s">
        <v>2692</v>
      </c>
      <c r="E49106" s="0" t="s">
        <v>271</v>
      </c>
      <c r="F49106" s="0" t="s">
        <v>2693</v>
      </c>
    </row>
    <row r="49108" customFormat="false" ht="12.8" hidden="false" customHeight="false" outlineLevel="0" collapsed="false">
      <c r="A49108" s="0" t="s">
        <v>17329</v>
      </c>
      <c r="B49108" s="0" t="str">
        <f aca="false">HYPERLINK("https://lindat.mff.cuni.cz/services/teitok/pdtc10/index.php?action=vallex&amp;frame=v-w6819f4", "těšit se (v-w6819f4)")</f>
        <v>těšit se (v-w6819f4)</v>
      </c>
    </row>
    <row r="49109" customFormat="false" ht="12.8" hidden="false" customHeight="false" outlineLevel="0" collapsed="false">
      <c r="B49109" s="0" t="s">
        <v>1</v>
      </c>
    </row>
    <row r="49110" customFormat="false" ht="12.8" hidden="false" customHeight="false" outlineLevel="0" collapsed="false">
      <c r="B49110" s="0" t="s">
        <v>164</v>
      </c>
    </row>
    <row r="49112" customFormat="false" ht="12.8" hidden="false" customHeight="false" outlineLevel="0" collapsed="false">
      <c r="A49112" s="0" t="s">
        <v>17330</v>
      </c>
      <c r="B49112" s="0" t="str">
        <f aca="false">HYPERLINK("https://lindat.mff.cuni.cz/services/teitok/pdtc10/index.php?action=vallex&amp;frame=v-whsa_1751hsa_1752", "těšívat se (v-whsa_1751hsa_1752)")</f>
        <v>těšívat se (v-whsa_1751hsa_1752)</v>
      </c>
    </row>
    <row r="49113" customFormat="false" ht="12.8" hidden="false" customHeight="false" outlineLevel="0" collapsed="false">
      <c r="B49113" s="0" t="s">
        <v>1</v>
      </c>
    </row>
    <row r="49114" customFormat="false" ht="12.8" hidden="false" customHeight="false" outlineLevel="0" collapsed="false">
      <c r="B49114" s="0" t="s">
        <v>45</v>
      </c>
    </row>
    <row r="49116" customFormat="false" ht="12.8" hidden="false" customHeight="false" outlineLevel="0" collapsed="false">
      <c r="A49116" s="0" t="s">
        <v>17331</v>
      </c>
      <c r="B49116" s="0" t="str">
        <f aca="false">HYPERLINK("https://lindat.mff.cuni.cz/services/teitok/pdtc10/index.php?action=vallex&amp;frame=v-w6826f2", "těžit (v-w6826f2)")</f>
        <v>těžit (v-w6826f2)</v>
      </c>
      <c r="E49116" s="0" t="str">
        <f aca="false">HYPERLINK("https://lindat.mff.cuni.cz/services/SynSemClass40/SynSemClass40.html?veclass=vec00732#vec00732-ces-cm00001", "vec00732")</f>
        <v>vec00732</v>
      </c>
      <c r="F49116" s="0" t="s">
        <v>17332</v>
      </c>
    </row>
    <row r="49117" customFormat="false" ht="12.8" hidden="false" customHeight="false" outlineLevel="0" collapsed="false">
      <c r="B49117" s="0" t="s">
        <v>1</v>
      </c>
      <c r="C49117" s="0" t="s">
        <v>459</v>
      </c>
      <c r="E49117" s="0" t="s">
        <v>31</v>
      </c>
      <c r="F49117" s="0" t="s">
        <v>2437</v>
      </c>
    </row>
    <row r="49118" customFormat="false" ht="12.8" hidden="false" customHeight="false" outlineLevel="0" collapsed="false">
      <c r="B49118" s="0" t="s">
        <v>8</v>
      </c>
      <c r="C49118" s="0" t="s">
        <v>2254</v>
      </c>
      <c r="E49118" s="0" t="s">
        <v>2111</v>
      </c>
      <c r="F49118" s="0" t="s">
        <v>17333</v>
      </c>
    </row>
    <row r="49120" customFormat="false" ht="12.8" hidden="false" customHeight="false" outlineLevel="0" collapsed="false">
      <c r="A49120" s="0" t="s">
        <v>17334</v>
      </c>
      <c r="B49120" s="0" t="str">
        <f aca="false">HYPERLINK("https://lindat.mff.cuni.cz/services/teitok/pdtc10/index.php?action=vallex&amp;frame=v-w6826f1", "těžit (v-w6826f1)")</f>
        <v>těžit (v-w6826f1)</v>
      </c>
      <c r="E49120" s="0" t="str">
        <f aca="false">HYPERLINK("https://lindat.mff.cuni.cz/services/SynSemClass40/SynSemClass40.html?veclass=vec00169#vec00169-ces-cm00014", "vec00169")</f>
        <v>vec00169</v>
      </c>
      <c r="F49120" s="0" t="s">
        <v>12277</v>
      </c>
    </row>
    <row r="49121" customFormat="false" ht="12.8" hidden="false" customHeight="false" outlineLevel="0" collapsed="false">
      <c r="B49121" s="0" t="s">
        <v>1</v>
      </c>
      <c r="C49121" s="0" t="s">
        <v>12278</v>
      </c>
      <c r="E49121" s="0" t="s">
        <v>1567</v>
      </c>
      <c r="F49121" s="0" t="s">
        <v>12279</v>
      </c>
    </row>
    <row r="49122" customFormat="false" ht="12.8" hidden="false" customHeight="false" outlineLevel="0" collapsed="false">
      <c r="B49122" s="0" t="s">
        <v>298</v>
      </c>
      <c r="C49122" s="0" t="s">
        <v>12281</v>
      </c>
      <c r="E49122" s="0" t="s">
        <v>6001</v>
      </c>
      <c r="F49122" s="0" t="s">
        <v>12282</v>
      </c>
    </row>
    <row r="49124" customFormat="false" ht="12.8" hidden="false" customHeight="false" outlineLevel="0" collapsed="false">
      <c r="A49124" s="0" t="s">
        <v>17335</v>
      </c>
      <c r="B49124" s="0" t="str">
        <f aca="false">HYPERLINK("https://lindat.mff.cuni.cz/services/teitok/pdtc10/index.php?action=vallex&amp;frame=v-whsa_250hsa_251", "třepat (v-whsa_250hsa_251)")</f>
        <v>třepat (v-whsa_250hsa_251)</v>
      </c>
    </row>
    <row r="49125" customFormat="false" ht="12.8" hidden="false" customHeight="false" outlineLevel="0" collapsed="false">
      <c r="B49125" s="0" t="s">
        <v>1</v>
      </c>
    </row>
    <row r="49126" customFormat="false" ht="12.8" hidden="false" customHeight="false" outlineLevel="0" collapsed="false">
      <c r="B49126" s="0" t="s">
        <v>17336</v>
      </c>
    </row>
    <row r="49128" customFormat="false" ht="12.8" hidden="false" customHeight="false" outlineLevel="0" collapsed="false">
      <c r="A49128" s="0" t="s">
        <v>17337</v>
      </c>
      <c r="B49128" s="0" t="str">
        <f aca="false">HYPERLINK("https://lindat.mff.cuni.cz/services/teitok/pdtc10/index.php?action=vallex&amp;frame=v-w6928f1", "třepetat se (v-w6928f1)")</f>
        <v>třepetat se (v-w6928f1)</v>
      </c>
    </row>
    <row r="49129" customFormat="false" ht="12.8" hidden="false" customHeight="false" outlineLevel="0" collapsed="false">
      <c r="B49129" s="0" t="s">
        <v>1</v>
      </c>
    </row>
    <row r="49131" customFormat="false" ht="12.8" hidden="false" customHeight="false" outlineLevel="0" collapsed="false">
      <c r="A49131" s="0" t="s">
        <v>17338</v>
      </c>
      <c r="B49131" s="0" t="str">
        <f aca="false">HYPERLINK("https://lindat.mff.cuni.cz/services/teitok/pdtc10/index.php?action=vallex&amp;frame=v-w11603_ZUf1_ZU", "třepit se (v-w11603_ZUf1_ZU)")</f>
        <v>třepit se (v-w11603_ZUf1_ZU)</v>
      </c>
      <c r="E49131" s="0" t="str">
        <f aca="false">HYPERLINK("https://lindat.mff.cuni.cz/services/SynSemClass40/SynSemClass40.html?veclass=vec01335#vec01335-ces-cm00003", "vec01335")</f>
        <v>vec01335</v>
      </c>
      <c r="F49131" s="0" t="s">
        <v>17339</v>
      </c>
    </row>
    <row r="49132" customFormat="false" ht="12.8" hidden="false" customHeight="false" outlineLevel="0" collapsed="false">
      <c r="B49132" s="0" t="s">
        <v>1</v>
      </c>
      <c r="E49132" s="0" t="s">
        <v>2017</v>
      </c>
      <c r="F49132" s="0" t="s">
        <v>17340</v>
      </c>
    </row>
    <row r="49133" customFormat="false" ht="12.8" hidden="false" customHeight="false" outlineLevel="0" collapsed="false">
      <c r="B49133" s="0" t="s">
        <v>4007</v>
      </c>
      <c r="E49133" s="0" t="s">
        <v>110</v>
      </c>
      <c r="F49133" s="0" t="s">
        <v>17341</v>
      </c>
    </row>
    <row r="49135" customFormat="false" ht="12.8" hidden="false" customHeight="false" outlineLevel="0" collapsed="false">
      <c r="A49135" s="0" t="s">
        <v>17342</v>
      </c>
      <c r="B49135" s="0" t="str">
        <f aca="false">HYPERLINK("https://lindat.mff.cuni.cz/services/teitok/pdtc10/index.php?action=vallex&amp;frame=v-whsa_1692hsa_1693", "třpytit se (v-whsa_1692hsa_1693)")</f>
        <v>třpytit se (v-whsa_1692hsa_1693)</v>
      </c>
    </row>
    <row r="49136" customFormat="false" ht="12.8" hidden="false" customHeight="false" outlineLevel="0" collapsed="false">
      <c r="B49136" s="0" t="s">
        <v>1</v>
      </c>
    </row>
    <row r="49138" customFormat="false" ht="12.8" hidden="false" customHeight="false" outlineLevel="0" collapsed="false">
      <c r="A49138" s="0" t="s">
        <v>17343</v>
      </c>
      <c r="B49138" s="0" t="str">
        <f aca="false">HYPERLINK("https://lindat.mff.cuni.cz/services/teitok/pdtc10/index.php?action=vallex&amp;frame=v-w6926f2", "třást se (v-w6926f2)")</f>
        <v>třást se (v-w6926f2)</v>
      </c>
    </row>
    <row r="49139" customFormat="false" ht="12.8" hidden="false" customHeight="false" outlineLevel="0" collapsed="false">
      <c r="B49139" s="0" t="s">
        <v>1</v>
      </c>
    </row>
    <row r="49140" customFormat="false" ht="12.8" hidden="false" customHeight="false" outlineLevel="0" collapsed="false">
      <c r="B49140" s="0" t="s">
        <v>45</v>
      </c>
    </row>
    <row r="49142" customFormat="false" ht="12.8" hidden="false" customHeight="false" outlineLevel="0" collapsed="false">
      <c r="A49142" s="0" t="s">
        <v>17344</v>
      </c>
      <c r="B49142" s="0" t="str">
        <f aca="false">HYPERLINK("https://lindat.mff.cuni.cz/services/teitok/pdtc10/index.php?action=vallex&amp;frame=v-w6926f1", "třást se (v-w6926f1)")</f>
        <v>třást se (v-w6926f1)</v>
      </c>
      <c r="E49142" s="0" t="str">
        <f aca="false">HYPERLINK("https://lindat.mff.cuni.cz/services/SynSemClass40/SynSemClass40.html?veclass=vec00937#vec00937-ces-cm00001", "vec00937")</f>
        <v>vec00937</v>
      </c>
      <c r="F49142" s="0" t="s">
        <v>10187</v>
      </c>
    </row>
    <row r="49143" customFormat="false" ht="12.8" hidden="false" customHeight="false" outlineLevel="0" collapsed="false">
      <c r="B49143" s="0" t="s">
        <v>1</v>
      </c>
      <c r="C49143" s="0" t="s">
        <v>10188</v>
      </c>
      <c r="E49143" s="0" t="s">
        <v>266</v>
      </c>
      <c r="F49143" s="0" t="s">
        <v>10189</v>
      </c>
    </row>
    <row r="49145" customFormat="false" ht="12.8" hidden="false" customHeight="false" outlineLevel="0" collapsed="false">
      <c r="A49145" s="0" t="s">
        <v>17345</v>
      </c>
      <c r="B49145" s="0" t="str">
        <f aca="false">HYPERLINK("https://lindat.mff.cuni.cz/services/teitok/pdtc10/index.php?action=vallex&amp;frame=v-whsa_1280hsa_1281", "třást si (v-whsa_1280hsa_1281)")</f>
        <v>třást si (v-whsa_1280hsa_1281)</v>
      </c>
    </row>
    <row r="49146" customFormat="false" ht="12.8" hidden="false" customHeight="false" outlineLevel="0" collapsed="false">
      <c r="B49146" s="0" t="s">
        <v>1</v>
      </c>
    </row>
    <row r="49147" customFormat="false" ht="12.8" hidden="false" customHeight="false" outlineLevel="0" collapsed="false">
      <c r="B49147" s="0" t="s">
        <v>286</v>
      </c>
    </row>
    <row r="49148" customFormat="false" ht="12.8" hidden="false" customHeight="false" outlineLevel="0" collapsed="false">
      <c r="B49148" s="0" t="s">
        <v>276</v>
      </c>
    </row>
    <row r="49150" customFormat="false" ht="12.8" hidden="false" customHeight="false" outlineLevel="0" collapsed="false">
      <c r="A49150" s="0" t="s">
        <v>17346</v>
      </c>
      <c r="B49150" s="0" t="str">
        <f aca="false">HYPERLINK("https://lindat.mff.cuni.cz/services/teitok/pdtc10/index.php?action=vallex&amp;frame=v-w6931f1", "tříbit (v-w6931f1)")</f>
        <v>tříbit (v-w6931f1)</v>
      </c>
    </row>
    <row r="49151" customFormat="false" ht="12.8" hidden="false" customHeight="false" outlineLevel="0" collapsed="false">
      <c r="B49151" s="0" t="s">
        <v>1</v>
      </c>
    </row>
    <row r="49152" customFormat="false" ht="12.8" hidden="false" customHeight="false" outlineLevel="0" collapsed="false">
      <c r="B49152" s="0" t="s">
        <v>8</v>
      </c>
    </row>
    <row r="49154" customFormat="false" ht="12.8" hidden="false" customHeight="false" outlineLevel="0" collapsed="false">
      <c r="A49154" s="0" t="s">
        <v>17347</v>
      </c>
      <c r="B49154" s="0" t="str">
        <f aca="false">HYPERLINK("https://lindat.mff.cuni.cz/services/teitok/pdtc10/index.php?action=vallex&amp;frame=v-w6933f1", "třídit (v-w6933f1)")</f>
        <v>třídit (v-w6933f1)</v>
      </c>
    </row>
    <row r="49155" customFormat="false" ht="12.8" hidden="false" customHeight="false" outlineLevel="0" collapsed="false">
      <c r="B49155" s="0" t="s">
        <v>1</v>
      </c>
    </row>
    <row r="49156" customFormat="false" ht="12.8" hidden="false" customHeight="false" outlineLevel="0" collapsed="false">
      <c r="B49156" s="0" t="s">
        <v>8</v>
      </c>
    </row>
    <row r="49157" customFormat="false" ht="12.8" hidden="false" customHeight="false" outlineLevel="0" collapsed="false">
      <c r="B49157" s="0" t="s">
        <v>3211</v>
      </c>
    </row>
    <row r="49159" customFormat="false" ht="12.8" hidden="false" customHeight="false" outlineLevel="0" collapsed="false">
      <c r="A49159" s="0" t="s">
        <v>17348</v>
      </c>
      <c r="B49159" s="0" t="str">
        <f aca="false">HYPERLINK("https://lindat.mff.cuni.cz/services/teitok/pdtc10/index.php?action=vallex&amp;frame=v-w6933f3_ZU", "třídit (v-w6933f3_ZU)")</f>
        <v>třídit (v-w6933f3_ZU)</v>
      </c>
      <c r="E49159" s="0" t="str">
        <f aca="false">HYPERLINK("https://lindat.mff.cuni.cz/services/SynSemClass40/SynSemClass40.html?veclass=vec00879#vec00879-ces-cm00005", "vec00879")</f>
        <v>vec00879</v>
      </c>
      <c r="F49159" s="0" t="s">
        <v>12158</v>
      </c>
    </row>
    <row r="49160" customFormat="false" ht="12.8" hidden="false" customHeight="false" outlineLevel="0" collapsed="false">
      <c r="B49160" s="0" t="s">
        <v>1</v>
      </c>
      <c r="C49160" s="0" t="s">
        <v>4695</v>
      </c>
      <c r="E49160" s="0" t="s">
        <v>12159</v>
      </c>
      <c r="F49160" s="0" t="s">
        <v>12160</v>
      </c>
    </row>
    <row r="49161" customFormat="false" ht="12.8" hidden="false" customHeight="false" outlineLevel="0" collapsed="false">
      <c r="B49161" s="0" t="s">
        <v>305</v>
      </c>
      <c r="C49161" s="0" t="s">
        <v>1940</v>
      </c>
      <c r="E49161" s="0" t="s">
        <v>12161</v>
      </c>
      <c r="F49161" s="0" t="s">
        <v>12162</v>
      </c>
    </row>
    <row r="49163" customFormat="false" ht="12.8" hidden="false" customHeight="false" outlineLevel="0" collapsed="false">
      <c r="A49163" s="0" t="s">
        <v>17348</v>
      </c>
      <c r="B49163" s="0" t="str">
        <f aca="false">HYPERLINK("https://lindat.mff.cuni.cz/services/teitok/pdtc10/index.php?action=vallex&amp;frame=v-w6933f2", "třídit (v-w6933f2) - substituted with v-w6933f3_ZU")</f>
        <v>třídit (v-w6933f2) - substituted with v-w6933f3_ZU</v>
      </c>
    </row>
    <row r="49164" customFormat="false" ht="12.8" hidden="false" customHeight="false" outlineLevel="0" collapsed="false">
      <c r="B49164" s="0" t="s">
        <v>1</v>
      </c>
    </row>
    <row r="49165" customFormat="false" ht="12.8" hidden="false" customHeight="false" outlineLevel="0" collapsed="false">
      <c r="B49165" s="0" t="s">
        <v>305</v>
      </c>
    </row>
    <row r="49167" customFormat="false" ht="12.8" hidden="false" customHeight="false" outlineLevel="0" collapsed="false">
      <c r="A49167" s="0" t="s">
        <v>17349</v>
      </c>
      <c r="B49167" s="0" t="str">
        <f aca="false">HYPERLINK("https://lindat.mff.cuni.cz/services/teitok/pdtc10/index.php?action=vallex&amp;frame=v-w6934f1", "třímat (v-w6934f1)")</f>
        <v>třímat (v-w6934f1)</v>
      </c>
      <c r="E49167" s="0" t="str">
        <f aca="false">HYPERLINK("https://lindat.mff.cuni.cz/services/SynSemClass40/SynSemClass40.html?veclass=vec01396#vec01396-ces-cm00007", "vec01396")</f>
        <v>vec01396</v>
      </c>
      <c r="F49167" s="0" t="s">
        <v>3257</v>
      </c>
    </row>
    <row r="49168" customFormat="false" ht="12.8" hidden="false" customHeight="false" outlineLevel="0" collapsed="false">
      <c r="B49168" s="0" t="s">
        <v>1</v>
      </c>
      <c r="C49168" s="0" t="s">
        <v>3258</v>
      </c>
      <c r="E49168" s="0" t="s">
        <v>11</v>
      </c>
      <c r="F49168" s="0" t="s">
        <v>3259</v>
      </c>
    </row>
    <row r="49169" customFormat="false" ht="12.8" hidden="false" customHeight="false" outlineLevel="0" collapsed="false">
      <c r="B49169" s="0" t="s">
        <v>8</v>
      </c>
      <c r="C49169" s="0" t="s">
        <v>3260</v>
      </c>
      <c r="E49169" s="0" t="s">
        <v>514</v>
      </c>
      <c r="F49169" s="0" t="s">
        <v>3261</v>
      </c>
    </row>
    <row r="49171" customFormat="false" ht="12.8" hidden="false" customHeight="false" outlineLevel="0" collapsed="false">
      <c r="A49171" s="0" t="s">
        <v>17350</v>
      </c>
      <c r="B49171" s="0" t="str">
        <f aca="false">HYPERLINK("https://lindat.mff.cuni.cz/services/teitok/pdtc10/index.php?action=vallex&amp;frame=v-w6935f1", "třísknout (v-w6935f1)")</f>
        <v>třísknout (v-w6935f1)</v>
      </c>
      <c r="E49171" s="0" t="str">
        <f aca="false">HYPERLINK("https://lindat.mff.cuni.cz/services/SynSemClass40/SynSemClass40.html?veclass=vec01532#vec01532-ces-cm00014", "vec01532")</f>
        <v>vec01532</v>
      </c>
      <c r="F49171" s="0" t="s">
        <v>458</v>
      </c>
    </row>
    <row r="49172" customFormat="false" ht="12.8" hidden="false" customHeight="false" outlineLevel="0" collapsed="false">
      <c r="B49172" s="0" t="s">
        <v>1</v>
      </c>
      <c r="C49172" s="0" t="s">
        <v>4695</v>
      </c>
      <c r="E49172" s="0" t="s">
        <v>196</v>
      </c>
      <c r="F49172" s="0" t="s">
        <v>461</v>
      </c>
    </row>
    <row r="49173" customFormat="false" ht="12.8" hidden="false" customHeight="false" outlineLevel="0" collapsed="false">
      <c r="B49173" s="0" t="s">
        <v>286</v>
      </c>
      <c r="C49173" s="0" t="s">
        <v>462</v>
      </c>
      <c r="E49173" s="0" t="s">
        <v>450</v>
      </c>
      <c r="F49173" s="0" t="s">
        <v>463</v>
      </c>
    </row>
    <row r="49175" customFormat="false" ht="12.8" hidden="false" customHeight="false" outlineLevel="0" collapsed="false">
      <c r="A49175" s="0" t="s">
        <v>17351</v>
      </c>
      <c r="B49175" s="0" t="str">
        <f aca="false">HYPERLINK("https://lindat.mff.cuni.cz/services/teitok/pdtc10/index.php?action=vallex&amp;frame=v-w12125_ZUf1_ZU", "třít (v-w12125_ZUf1_ZU)")</f>
        <v>třít (v-w12125_ZUf1_ZU)</v>
      </c>
    </row>
    <row r="49176" customFormat="false" ht="12.8" hidden="false" customHeight="false" outlineLevel="0" collapsed="false">
      <c r="B49176" s="0" t="s">
        <v>1</v>
      </c>
    </row>
    <row r="49177" customFormat="false" ht="12.8" hidden="false" customHeight="false" outlineLevel="0" collapsed="false">
      <c r="B49177" s="0" t="s">
        <v>8</v>
      </c>
    </row>
    <row r="49179" customFormat="false" ht="12.8" hidden="false" customHeight="false" outlineLevel="0" collapsed="false">
      <c r="A49179" s="0" t="s">
        <v>17352</v>
      </c>
      <c r="B49179" s="0" t="str">
        <f aca="false">HYPERLINK("https://lindat.mff.cuni.cz/services/teitok/pdtc10/index.php?action=vallex&amp;frame=v-w6962f1", "ubezpečit (v-w6962f1)")</f>
        <v>ubezpečit (v-w6962f1)</v>
      </c>
      <c r="E49179" s="0" t="str">
        <f aca="false">HYPERLINK("https://lindat.mff.cuni.cz/services/SynSemClass40/SynSemClass40.html?veclass=vec00535#vec00535-ces-cm00002", "vec00535")</f>
        <v>vec00535</v>
      </c>
      <c r="F49179" s="0" t="s">
        <v>17353</v>
      </c>
    </row>
    <row r="49180" customFormat="false" ht="12.8" hidden="false" customHeight="false" outlineLevel="0" collapsed="false">
      <c r="B49180" s="0" t="s">
        <v>1</v>
      </c>
      <c r="C49180" s="0" t="s">
        <v>3091</v>
      </c>
      <c r="E49180" s="0" t="s">
        <v>63</v>
      </c>
      <c r="F49180" s="0" t="s">
        <v>8911</v>
      </c>
    </row>
    <row r="49181" customFormat="false" ht="12.8" hidden="false" customHeight="false" outlineLevel="0" collapsed="false">
      <c r="B49181" s="0" t="s">
        <v>17354</v>
      </c>
      <c r="C49181" s="0" t="s">
        <v>14410</v>
      </c>
      <c r="E49181" s="0" t="s">
        <v>230</v>
      </c>
      <c r="F49181" s="0" t="s">
        <v>17355</v>
      </c>
    </row>
    <row r="49182" customFormat="false" ht="12.8" hidden="false" customHeight="false" outlineLevel="0" collapsed="false">
      <c r="B49182" s="0" t="s">
        <v>98</v>
      </c>
      <c r="C49182" s="0" t="s">
        <v>17356</v>
      </c>
      <c r="E49182" s="0" t="s">
        <v>221</v>
      </c>
      <c r="F49182" s="0" t="s">
        <v>17357</v>
      </c>
    </row>
    <row r="49184" customFormat="false" ht="12.8" hidden="false" customHeight="false" outlineLevel="0" collapsed="false">
      <c r="A49184" s="0" t="s">
        <v>17358</v>
      </c>
      <c r="B49184" s="0" t="str">
        <f aca="false">HYPERLINK("https://lindat.mff.cuni.cz/services/teitok/pdtc10/index.php?action=vallex&amp;frame=v-w6963f1", "ubezpečovat (v-w6963f1)")</f>
        <v>ubezpečovat (v-w6963f1)</v>
      </c>
      <c r="E49184" s="0" t="str">
        <f aca="false">HYPERLINK("https://lindat.mff.cuni.cz/services/SynSemClass40/SynSemClass40.html?veclass=vec00535#vec00535-ces-cm00006", "vec00535")</f>
        <v>vec00535</v>
      </c>
      <c r="F49184" s="0" t="s">
        <v>17353</v>
      </c>
    </row>
    <row r="49185" customFormat="false" ht="12.8" hidden="false" customHeight="false" outlineLevel="0" collapsed="false">
      <c r="B49185" s="0" t="s">
        <v>1</v>
      </c>
      <c r="C49185" s="0" t="s">
        <v>3091</v>
      </c>
      <c r="E49185" s="0" t="s">
        <v>63</v>
      </c>
      <c r="F49185" s="0" t="s">
        <v>8911</v>
      </c>
    </row>
    <row r="49186" customFormat="false" ht="12.8" hidden="false" customHeight="false" outlineLevel="0" collapsed="false">
      <c r="B49186" s="0" t="s">
        <v>17354</v>
      </c>
      <c r="C49186" s="0" t="s">
        <v>14410</v>
      </c>
      <c r="E49186" s="0" t="s">
        <v>230</v>
      </c>
      <c r="F49186" s="0" t="s">
        <v>17355</v>
      </c>
    </row>
    <row r="49187" customFormat="false" ht="12.8" hidden="false" customHeight="false" outlineLevel="0" collapsed="false">
      <c r="B49187" s="0" t="s">
        <v>98</v>
      </c>
      <c r="C49187" s="0" t="s">
        <v>17356</v>
      </c>
      <c r="E49187" s="0" t="s">
        <v>221</v>
      </c>
      <c r="F49187" s="0" t="s">
        <v>17357</v>
      </c>
    </row>
    <row r="49189" customFormat="false" ht="12.8" hidden="false" customHeight="false" outlineLevel="0" collapsed="false">
      <c r="A49189" s="0" t="s">
        <v>17359</v>
      </c>
      <c r="B49189" s="0" t="str">
        <f aca="false">HYPERLINK("https://lindat.mff.cuni.cz/services/teitok/pdtc10/index.php?action=vallex&amp;frame=v-w6972f1", "ubližovat (v-w6972f1)")</f>
        <v>ubližovat (v-w6972f1)</v>
      </c>
      <c r="E49189" s="0" t="str">
        <f aca="false">HYPERLINK("https://lindat.mff.cuni.cz/services/SynSemClass40/SynSemClass40.html?veclass=vec00372#vec00372-ces-cm00116", "vec00372")</f>
        <v>vec00372</v>
      </c>
      <c r="F49189" s="0" t="s">
        <v>2524</v>
      </c>
    </row>
    <row r="49190" customFormat="false" ht="12.8" hidden="false" customHeight="false" outlineLevel="0" collapsed="false">
      <c r="B49190" s="0" t="s">
        <v>17360</v>
      </c>
      <c r="C49190" s="0" t="s">
        <v>2525</v>
      </c>
      <c r="E49190" s="0" t="s">
        <v>2526</v>
      </c>
      <c r="F49190" s="0" t="s">
        <v>2527</v>
      </c>
    </row>
    <row r="49191" customFormat="false" ht="12.8" hidden="false" customHeight="false" outlineLevel="0" collapsed="false">
      <c r="B49191" s="0" t="s">
        <v>186</v>
      </c>
      <c r="C49191" s="0" t="s">
        <v>2528</v>
      </c>
      <c r="E49191" s="0" t="s">
        <v>142</v>
      </c>
      <c r="F49191" s="0" t="s">
        <v>2529</v>
      </c>
    </row>
    <row r="49193" customFormat="false" ht="12.8" hidden="false" customHeight="false" outlineLevel="0" collapsed="false">
      <c r="A49193" s="0" t="s">
        <v>17361</v>
      </c>
      <c r="B49193" s="0" t="str">
        <f aca="false">HYPERLINK("https://lindat.mff.cuni.cz/services/teitok/pdtc10/index.php?action=vallex&amp;frame=v-w6971f1", "ublížit (v-w6971f1)")</f>
        <v>ublížit (v-w6971f1)</v>
      </c>
      <c r="E49193" s="0" t="str">
        <f aca="false">HYPERLINK("https://lindat.mff.cuni.cz/services/SynSemClass40/SynSemClass40.html?veclass=vec00372#vec00372-ces-cm00047", "vec00372")</f>
        <v>vec00372</v>
      </c>
      <c r="F49193" s="0" t="s">
        <v>2524</v>
      </c>
    </row>
    <row r="49194" customFormat="false" ht="12.8" hidden="false" customHeight="false" outlineLevel="0" collapsed="false">
      <c r="B49194" s="0" t="s">
        <v>17360</v>
      </c>
      <c r="C49194" s="0" t="s">
        <v>2525</v>
      </c>
      <c r="E49194" s="0" t="s">
        <v>2526</v>
      </c>
      <c r="F49194" s="0" t="s">
        <v>2527</v>
      </c>
    </row>
    <row r="49195" customFormat="false" ht="12.8" hidden="false" customHeight="false" outlineLevel="0" collapsed="false">
      <c r="B49195" s="0" t="s">
        <v>186</v>
      </c>
      <c r="C49195" s="0" t="s">
        <v>2528</v>
      </c>
      <c r="E49195" s="0" t="s">
        <v>142</v>
      </c>
      <c r="F49195" s="0" t="s">
        <v>2529</v>
      </c>
    </row>
    <row r="49197" customFormat="false" ht="12.8" hidden="false" customHeight="false" outlineLevel="0" collapsed="false">
      <c r="A49197" s="0" t="s">
        <v>17362</v>
      </c>
      <c r="B49197" s="0" t="str">
        <f aca="false">HYPERLINK("https://lindat.mff.cuni.cz/services/teitok/pdtc10/index.php?action=vallex&amp;frame=v-w6973f1", "ubodat (v-w6973f1)")</f>
        <v>ubodat (v-w6973f1)</v>
      </c>
      <c r="E49197" s="0" t="str">
        <f aca="false">HYPERLINK("https://lindat.mff.cuni.cz/services/SynSemClass40/SynSemClass40.html?veclass=vec00365#vec00365-ces-cm00038", "vec00365")</f>
        <v>vec00365</v>
      </c>
      <c r="F49197" s="0" t="s">
        <v>8975</v>
      </c>
    </row>
    <row r="49198" customFormat="false" ht="12.8" hidden="false" customHeight="false" outlineLevel="0" collapsed="false">
      <c r="B49198" s="0" t="s">
        <v>1</v>
      </c>
      <c r="C49198" s="0" t="s">
        <v>5883</v>
      </c>
      <c r="E49198" s="0" t="s">
        <v>76</v>
      </c>
      <c r="F49198" s="0" t="s">
        <v>8977</v>
      </c>
    </row>
    <row r="49199" customFormat="false" ht="12.8" hidden="false" customHeight="false" outlineLevel="0" collapsed="false">
      <c r="B49199" s="0" t="s">
        <v>8</v>
      </c>
      <c r="C49199" s="0" t="s">
        <v>8979</v>
      </c>
      <c r="E49199" s="0" t="s">
        <v>199</v>
      </c>
      <c r="F49199" s="0" t="s">
        <v>8980</v>
      </c>
    </row>
    <row r="49201" customFormat="false" ht="12.8" hidden="false" customHeight="false" outlineLevel="0" collapsed="false">
      <c r="A49201" s="0" t="s">
        <v>17363</v>
      </c>
      <c r="B49201" s="0" t="str">
        <f aca="false">HYPERLINK("https://lindat.mff.cuni.cz/services/teitok/pdtc10/index.php?action=vallex&amp;frame=v-w11819_ZUf1_ZU", "ubourat (v-w11819_ZUf1_ZU)")</f>
        <v>ubourat (v-w11819_ZUf1_ZU)</v>
      </c>
    </row>
    <row r="49202" customFormat="false" ht="12.8" hidden="false" customHeight="false" outlineLevel="0" collapsed="false">
      <c r="B49202" s="0" t="s">
        <v>1</v>
      </c>
    </row>
    <row r="49203" customFormat="false" ht="12.8" hidden="false" customHeight="false" outlineLevel="0" collapsed="false">
      <c r="B49203" s="0" t="s">
        <v>8</v>
      </c>
    </row>
    <row r="49205" customFormat="false" ht="12.8" hidden="false" customHeight="false" outlineLevel="0" collapsed="false">
      <c r="A49205" s="0" t="s">
        <v>17364</v>
      </c>
      <c r="B49205" s="0" t="str">
        <f aca="false">HYPERLINK("https://lindat.mff.cuni.cz/services/teitok/pdtc10/index.php?action=vallex&amp;frame=v-w6976f2", "ubrat (v-w6976f2)")</f>
        <v>ubrat (v-w6976f2)</v>
      </c>
    </row>
    <row r="49206" customFormat="false" ht="12.8" hidden="false" customHeight="false" outlineLevel="0" collapsed="false">
      <c r="B49206" s="0" t="s">
        <v>1</v>
      </c>
    </row>
    <row r="49207" customFormat="false" ht="12.8" hidden="false" customHeight="false" outlineLevel="0" collapsed="false">
      <c r="B49207" s="0" t="s">
        <v>8</v>
      </c>
    </row>
    <row r="49208" customFormat="false" ht="12.8" hidden="false" customHeight="false" outlineLevel="0" collapsed="false">
      <c r="B49208" s="0" t="s">
        <v>52</v>
      </c>
    </row>
    <row r="49210" customFormat="false" ht="12.8" hidden="false" customHeight="false" outlineLevel="0" collapsed="false">
      <c r="A49210" s="0" t="s">
        <v>17365</v>
      </c>
      <c r="B49210" s="0" t="str">
        <f aca="false">HYPERLINK("https://lindat.mff.cuni.cz/services/teitok/pdtc10/index.php?action=vallex&amp;frame=v-w6976f1", "ubrat (v-w6976f1)")</f>
        <v>ubrat (v-w6976f1)</v>
      </c>
    </row>
    <row r="49211" customFormat="false" ht="12.8" hidden="false" customHeight="false" outlineLevel="0" collapsed="false">
      <c r="B49211" s="0" t="s">
        <v>1</v>
      </c>
    </row>
    <row r="49212" customFormat="false" ht="12.8" hidden="false" customHeight="false" outlineLevel="0" collapsed="false">
      <c r="B49212" s="0" t="s">
        <v>8</v>
      </c>
    </row>
    <row r="49213" customFormat="false" ht="12.8" hidden="false" customHeight="false" outlineLevel="0" collapsed="false">
      <c r="B49213" s="0" t="s">
        <v>36</v>
      </c>
    </row>
    <row r="49214" customFormat="false" ht="12.8" hidden="false" customHeight="false" outlineLevel="0" collapsed="false">
      <c r="B49214" s="0" t="s">
        <v>101</v>
      </c>
    </row>
    <row r="49216" customFormat="false" ht="12.8" hidden="false" customHeight="false" outlineLevel="0" collapsed="false">
      <c r="A49216" s="0" t="s">
        <v>17366</v>
      </c>
      <c r="B49216" s="0" t="str">
        <f aca="false">HYPERLINK("https://lindat.mff.cuni.cz/services/teitok/pdtc10/index.php?action=vallex&amp;frame=v-w6976f3", "ubrat (v-w6976f3)")</f>
        <v>ubrat (v-w6976f3)</v>
      </c>
      <c r="E49216" s="0" t="str">
        <f aca="false">HYPERLINK("https://lindat.mff.cuni.cz/services/SynSemClass40/SynSemClass40.html?veclass=vec00648#vec00648-ces-cm00017", "vec00648")</f>
        <v>vec00648</v>
      </c>
      <c r="F49216" s="0" t="s">
        <v>8797</v>
      </c>
    </row>
    <row r="49217" customFormat="false" ht="12.8" hidden="false" customHeight="false" outlineLevel="0" collapsed="false">
      <c r="B49217" s="0" t="s">
        <v>1</v>
      </c>
      <c r="C49217" s="0" t="s">
        <v>4471</v>
      </c>
      <c r="E49217" s="0" t="s">
        <v>31</v>
      </c>
      <c r="F49217" s="0" t="s">
        <v>8798</v>
      </c>
    </row>
    <row r="49218" customFormat="false" ht="12.8" hidden="false" customHeight="false" outlineLevel="0" collapsed="false">
      <c r="B49218" s="0" t="s">
        <v>8</v>
      </c>
      <c r="C49218" s="0" t="s">
        <v>8799</v>
      </c>
      <c r="E49218" s="0" t="s">
        <v>110</v>
      </c>
      <c r="F49218" s="0" t="s">
        <v>8800</v>
      </c>
    </row>
    <row r="49219" customFormat="false" ht="12.8" hidden="false" customHeight="false" outlineLevel="0" collapsed="false">
      <c r="B49219" s="0" t="s">
        <v>631</v>
      </c>
      <c r="C49219" s="0" t="s">
        <v>8801</v>
      </c>
      <c r="E49219" s="0" t="s">
        <v>8802</v>
      </c>
      <c r="F49219" s="0" t="s">
        <v>8803</v>
      </c>
    </row>
    <row r="49221" customFormat="false" ht="12.8" hidden="false" customHeight="false" outlineLevel="0" collapsed="false">
      <c r="A49221" s="0" t="s">
        <v>17367</v>
      </c>
      <c r="B49221" s="0" t="str">
        <f aca="false">HYPERLINK("https://lindat.mff.cuni.cz/services/teitok/pdtc10/index.php?action=vallex&amp;frame=v-w6976f4", "ubrat (v-w6976f4)")</f>
        <v>ubrat (v-w6976f4)</v>
      </c>
    </row>
    <row r="49222" customFormat="false" ht="12.8" hidden="false" customHeight="false" outlineLevel="0" collapsed="false">
      <c r="B49222" s="0" t="s">
        <v>1</v>
      </c>
    </row>
    <row r="49223" customFormat="false" ht="12.8" hidden="false" customHeight="false" outlineLevel="0" collapsed="false">
      <c r="B49223" s="0" t="s">
        <v>8</v>
      </c>
    </row>
    <row r="49225" customFormat="false" ht="12.8" hidden="false" customHeight="false" outlineLevel="0" collapsed="false">
      <c r="A49225" s="0" t="s">
        <v>17368</v>
      </c>
      <c r="B49225" s="0" t="str">
        <f aca="false">HYPERLINK("https://lindat.mff.cuni.cz/services/teitok/pdtc10/index.php?action=vallex&amp;frame=v-w6976hsa_566", "ubrat (v-w6976hsa_566)")</f>
        <v>ubrat (v-w6976hsa_566)</v>
      </c>
    </row>
    <row r="49226" customFormat="false" ht="12.8" hidden="false" customHeight="false" outlineLevel="0" collapsed="false">
      <c r="B49226" s="0" t="s">
        <v>1</v>
      </c>
    </row>
    <row r="49227" customFormat="false" ht="12.8" hidden="false" customHeight="false" outlineLevel="0" collapsed="false">
      <c r="B49227" s="0" t="s">
        <v>291</v>
      </c>
    </row>
    <row r="49228" customFormat="false" ht="12.8" hidden="false" customHeight="false" outlineLevel="0" collapsed="false">
      <c r="B49228" s="0" t="s">
        <v>52</v>
      </c>
    </row>
    <row r="49230" customFormat="false" ht="12.8" hidden="false" customHeight="false" outlineLevel="0" collapsed="false">
      <c r="A49230" s="0" t="s">
        <v>17369</v>
      </c>
      <c r="B49230" s="0" t="str">
        <f aca="false">HYPERLINK("https://lindat.mff.cuni.cz/services/teitok/pdtc10/index.php?action=vallex&amp;frame=v-w6974f2_ZU", "ubránit (v-w6974f2_ZU)")</f>
        <v>ubránit (v-w6974f2_ZU)</v>
      </c>
      <c r="E49230" s="0" t="str">
        <f aca="false">HYPERLINK("https://lindat.mff.cuni.cz/services/SynSemClass40/SynSemClass40.html?veclass=vec00024#vec00024-ces-cm00047", "vec00024")</f>
        <v>vec00024</v>
      </c>
      <c r="F49230" s="0" t="s">
        <v>580</v>
      </c>
    </row>
    <row r="49231" customFormat="false" ht="12.8" hidden="false" customHeight="false" outlineLevel="0" collapsed="false">
      <c r="B49231" s="0" t="s">
        <v>1</v>
      </c>
      <c r="C49231" s="0" t="s">
        <v>4903</v>
      </c>
      <c r="E49231" s="0" t="s">
        <v>569</v>
      </c>
      <c r="F49231" s="0" t="s">
        <v>1472</v>
      </c>
    </row>
    <row r="49232" customFormat="false" ht="12.8" hidden="false" customHeight="false" outlineLevel="0" collapsed="false">
      <c r="B49232" s="0" t="s">
        <v>8</v>
      </c>
      <c r="C49232" s="0" t="s">
        <v>4904</v>
      </c>
      <c r="E49232" s="0" t="s">
        <v>34</v>
      </c>
      <c r="F49232" s="0" t="s">
        <v>1475</v>
      </c>
    </row>
    <row r="49233" customFormat="false" ht="12.8" hidden="false" customHeight="false" outlineLevel="0" collapsed="false">
      <c r="B49233" s="0" t="s">
        <v>17370</v>
      </c>
      <c r="C49233" s="0" t="s">
        <v>16245</v>
      </c>
      <c r="E49233" s="0" t="s">
        <v>1478</v>
      </c>
      <c r="F49233" s="0" t="s">
        <v>1479</v>
      </c>
    </row>
    <row r="49235" customFormat="false" ht="12.8" hidden="false" customHeight="false" outlineLevel="0" collapsed="false">
      <c r="A49235" s="0" t="s">
        <v>17369</v>
      </c>
      <c r="B49235" s="0" t="str">
        <f aca="false">HYPERLINK("https://lindat.mff.cuni.cz/services/teitok/pdtc10/index.php?action=vallex&amp;frame=v-w6974f1", "ubránit (v-w6974f1) - substituted with v-w6974f2_ZU")</f>
        <v>ubránit (v-w6974f1) - substituted with v-w6974f2_ZU</v>
      </c>
    </row>
    <row r="49236" customFormat="false" ht="12.8" hidden="false" customHeight="false" outlineLevel="0" collapsed="false">
      <c r="B49236" s="0" t="s">
        <v>1</v>
      </c>
    </row>
    <row r="49237" customFormat="false" ht="12.8" hidden="false" customHeight="false" outlineLevel="0" collapsed="false">
      <c r="B49237" s="0" t="s">
        <v>8</v>
      </c>
    </row>
    <row r="49238" customFormat="false" ht="12.8" hidden="false" customHeight="false" outlineLevel="0" collapsed="false">
      <c r="B49238" s="0" t="s">
        <v>17370</v>
      </c>
    </row>
    <row r="49240" customFormat="false" ht="12.8" hidden="false" customHeight="false" outlineLevel="0" collapsed="false">
      <c r="A49240" s="0" t="s">
        <v>17371</v>
      </c>
      <c r="B49240" s="0" t="str">
        <f aca="false">HYPERLINK("https://lindat.mff.cuni.cz/services/teitok/pdtc10/index.php?action=vallex&amp;frame=v-w6975hsa_414", "ubránit se (v-w6975hsa_414)")</f>
        <v>ubránit se (v-w6975hsa_414)</v>
      </c>
      <c r="E49240" s="0" t="str">
        <f aca="false">HYPERLINK("https://lindat.mff.cuni.cz/services/SynSemClass40/SynSemClass40.html?veclass=vec00024#vec00024-ces-cm00048", "vec00024")</f>
        <v>vec00024</v>
      </c>
      <c r="F49240" s="0" t="s">
        <v>580</v>
      </c>
    </row>
    <row r="49241" customFormat="false" ht="12.8" hidden="false" customHeight="false" outlineLevel="0" collapsed="false">
      <c r="B49241" s="0" t="s">
        <v>1</v>
      </c>
      <c r="C49241" s="0" t="s">
        <v>581</v>
      </c>
      <c r="E49241" s="0" t="s">
        <v>582</v>
      </c>
      <c r="F49241" s="0" t="s">
        <v>583</v>
      </c>
    </row>
    <row r="49242" customFormat="false" ht="12.8" hidden="false" customHeight="false" outlineLevel="0" collapsed="false">
      <c r="B49242" s="0" t="s">
        <v>9066</v>
      </c>
      <c r="C49242" s="0" t="s">
        <v>585</v>
      </c>
      <c r="E49242" s="0" t="s">
        <v>532</v>
      </c>
      <c r="F49242" s="0" t="s">
        <v>586</v>
      </c>
    </row>
    <row r="49244" customFormat="false" ht="12.8" hidden="false" customHeight="false" outlineLevel="0" collapsed="false">
      <c r="A49244" s="0" t="s">
        <v>17371</v>
      </c>
      <c r="B49244" s="0" t="str">
        <f aca="false">HYPERLINK("https://lindat.mff.cuni.cz/services/teitok/pdtc10/index.php?action=vallex&amp;frame=v-w6975f1", "ubránit se (v-w6975f1) - substituted with v-w6975hsa_414")</f>
        <v>ubránit se (v-w6975f1) - substituted with v-w6975hsa_414</v>
      </c>
    </row>
    <row r="49245" customFormat="false" ht="12.8" hidden="false" customHeight="false" outlineLevel="0" collapsed="false">
      <c r="B49245" s="0" t="s">
        <v>1</v>
      </c>
    </row>
    <row r="49246" customFormat="false" ht="12.8" hidden="false" customHeight="false" outlineLevel="0" collapsed="false">
      <c r="B49246" s="0" t="s">
        <v>9066</v>
      </c>
    </row>
    <row r="49248" customFormat="false" ht="12.8" hidden="false" customHeight="false" outlineLevel="0" collapsed="false">
      <c r="A49248" s="0" t="s">
        <v>17372</v>
      </c>
      <c r="B49248" s="0" t="str">
        <f aca="false">HYPERLINK("https://lindat.mff.cuni.cz/services/teitok/pdtc10/index.php?action=vallex&amp;frame=v-w6975hsa_415", "ubránit se (v-w6975hsa_415)")</f>
        <v>ubránit se (v-w6975hsa_415)</v>
      </c>
    </row>
    <row r="49249" customFormat="false" ht="12.8" hidden="false" customHeight="false" outlineLevel="0" collapsed="false">
      <c r="B49249" s="0" t="s">
        <v>1</v>
      </c>
    </row>
    <row r="49250" customFormat="false" ht="12.8" hidden="false" customHeight="false" outlineLevel="0" collapsed="false">
      <c r="B49250" s="0" t="s">
        <v>17373</v>
      </c>
    </row>
    <row r="49252" customFormat="false" ht="12.8" hidden="false" customHeight="false" outlineLevel="0" collapsed="false">
      <c r="A49252" s="0" t="s">
        <v>17374</v>
      </c>
      <c r="B49252" s="0" t="str">
        <f aca="false">HYPERLINK("https://lindat.mff.cuni.cz/services/teitok/pdtc10/index.php?action=vallex&amp;frame=v-w6980f1", "ubytovat (v-w6980f1)")</f>
        <v>ubytovat (v-w6980f1)</v>
      </c>
    </row>
    <row r="49253" customFormat="false" ht="12.8" hidden="false" customHeight="false" outlineLevel="0" collapsed="false">
      <c r="B49253" s="0" t="s">
        <v>1</v>
      </c>
    </row>
    <row r="49254" customFormat="false" ht="12.8" hidden="false" customHeight="false" outlineLevel="0" collapsed="false">
      <c r="B49254" s="0" t="s">
        <v>8</v>
      </c>
    </row>
    <row r="49256" customFormat="false" ht="12.8" hidden="false" customHeight="false" outlineLevel="0" collapsed="false">
      <c r="A49256" s="0" t="s">
        <v>17375</v>
      </c>
      <c r="B49256" s="0" t="str">
        <f aca="false">HYPERLINK("https://lindat.mff.cuni.cz/services/teitok/pdtc10/index.php?action=vallex&amp;frame=v-w6981f1", "ubytovat se (v-w6981f1)")</f>
        <v>ubytovat se (v-w6981f1)</v>
      </c>
    </row>
    <row r="49257" customFormat="false" ht="12.8" hidden="false" customHeight="false" outlineLevel="0" collapsed="false">
      <c r="B49257" s="0" t="s">
        <v>1</v>
      </c>
    </row>
    <row r="49259" customFormat="false" ht="12.8" hidden="false" customHeight="false" outlineLevel="0" collapsed="false">
      <c r="A49259" s="0" t="s">
        <v>17376</v>
      </c>
      <c r="B49259" s="0" t="str">
        <f aca="false">HYPERLINK("https://lindat.mff.cuni.cz/services/teitok/pdtc10/index.php?action=vallex&amp;frame=v-w10199f2", "ubytovávat (v-w10199f2)")</f>
        <v>ubytovávat (v-w10199f2)</v>
      </c>
    </row>
    <row r="49260" customFormat="false" ht="12.8" hidden="false" customHeight="false" outlineLevel="0" collapsed="false">
      <c r="B49260" s="0" t="s">
        <v>1</v>
      </c>
    </row>
    <row r="49261" customFormat="false" ht="12.8" hidden="false" customHeight="false" outlineLevel="0" collapsed="false">
      <c r="B49261" s="0" t="s">
        <v>8</v>
      </c>
    </row>
    <row r="49263" customFormat="false" ht="12.8" hidden="false" customHeight="false" outlineLevel="0" collapsed="false">
      <c r="A49263" s="0" t="s">
        <v>17377</v>
      </c>
      <c r="B49263" s="0" t="str">
        <f aca="false">HYPERLINK("https://lindat.mff.cuni.cz/services/teitok/pdtc10/index.php?action=vallex&amp;frame=v-w10199f3_ZU", "ubytovávat (v-w10199f3_ZU)")</f>
        <v>ubytovávat (v-w10199f3_ZU)</v>
      </c>
    </row>
    <row r="49264" customFormat="false" ht="12.8" hidden="false" customHeight="false" outlineLevel="0" collapsed="false">
      <c r="B49264" s="0" t="s">
        <v>1</v>
      </c>
    </row>
    <row r="49266" customFormat="false" ht="12.8" hidden="false" customHeight="false" outlineLevel="0" collapsed="false">
      <c r="A49266" s="0" t="s">
        <v>17378</v>
      </c>
      <c r="B49266" s="0" t="str">
        <f aca="false">HYPERLINK("https://lindat.mff.cuni.cz/services/teitok/pdtc10/index.php?action=vallex&amp;frame=v-whsa_1011f1_ZU", "ubytovávat se (v-whsa_1011f1_ZU)")</f>
        <v>ubytovávat se (v-whsa_1011f1_ZU)</v>
      </c>
    </row>
    <row r="49267" customFormat="false" ht="12.8" hidden="false" customHeight="false" outlineLevel="0" collapsed="false">
      <c r="B49267" s="0" t="s">
        <v>1</v>
      </c>
    </row>
    <row r="49269" customFormat="false" ht="12.8" hidden="false" customHeight="false" outlineLevel="0" collapsed="false">
      <c r="A49269" s="0" t="s">
        <v>17379</v>
      </c>
      <c r="B49269" s="0" t="str">
        <f aca="false">HYPERLINK("https://lindat.mff.cuni.cz/services/teitok/pdtc10/index.php?action=vallex&amp;frame=v-whsb_1011hsa_1012", "ubytovávat se (v-whsb_1011hsa_1012)")</f>
        <v>ubytovávat se (v-whsb_1011hsa_1012)</v>
      </c>
    </row>
    <row r="49270" customFormat="false" ht="12.8" hidden="false" customHeight="false" outlineLevel="0" collapsed="false">
      <c r="B49270" s="0" t="s">
        <v>1</v>
      </c>
    </row>
    <row r="49272" customFormat="false" ht="12.8" hidden="false" customHeight="false" outlineLevel="0" collapsed="false">
      <c r="A49272" s="0" t="s">
        <v>17380</v>
      </c>
      <c r="B49272" s="0" t="str">
        <f aca="false">HYPERLINK("https://lindat.mff.cuni.cz/services/teitok/pdtc10/index.php?action=vallex&amp;frame=v-w10064f2", "ubíhat (v-w10064f2)")</f>
        <v>ubíhat (v-w10064f2)</v>
      </c>
    </row>
    <row r="49273" customFormat="false" ht="12.8" hidden="false" customHeight="false" outlineLevel="0" collapsed="false">
      <c r="B49273" s="0" t="s">
        <v>1</v>
      </c>
    </row>
    <row r="49275" customFormat="false" ht="12.8" hidden="false" customHeight="false" outlineLevel="0" collapsed="false">
      <c r="A49275" s="0" t="s">
        <v>17381</v>
      </c>
      <c r="B49275" s="0" t="str">
        <f aca="false">HYPERLINK("https://lindat.mff.cuni.cz/services/teitok/pdtc10/index.php?action=vallex&amp;frame=v-w6965f1", "ubíjet (v-w6965f1)")</f>
        <v>ubíjet (v-w6965f1)</v>
      </c>
    </row>
    <row r="49276" customFormat="false" ht="12.8" hidden="false" customHeight="false" outlineLevel="0" collapsed="false">
      <c r="B49276" s="0" t="s">
        <v>1</v>
      </c>
    </row>
    <row r="49277" customFormat="false" ht="12.8" hidden="false" customHeight="false" outlineLevel="0" collapsed="false">
      <c r="B49277" s="0" t="s">
        <v>8</v>
      </c>
    </row>
    <row r="49279" customFormat="false" ht="12.8" hidden="false" customHeight="false" outlineLevel="0" collapsed="false">
      <c r="A49279" s="0" t="s">
        <v>17382</v>
      </c>
      <c r="B49279" s="0" t="str">
        <f aca="false">HYPERLINK("https://lindat.mff.cuni.cz/services/teitok/pdtc10/index.php?action=vallex&amp;frame=v-w6966f1", "ubírat (v-w6966f1)")</f>
        <v>ubírat (v-w6966f1)</v>
      </c>
    </row>
    <row r="49280" customFormat="false" ht="12.8" hidden="false" customHeight="false" outlineLevel="0" collapsed="false">
      <c r="B49280" s="0" t="s">
        <v>1</v>
      </c>
    </row>
    <row r="49281" customFormat="false" ht="12.8" hidden="false" customHeight="false" outlineLevel="0" collapsed="false">
      <c r="B49281" s="0" t="s">
        <v>8</v>
      </c>
    </row>
    <row r="49282" customFormat="false" ht="12.8" hidden="false" customHeight="false" outlineLevel="0" collapsed="false">
      <c r="B49282" s="0" t="s">
        <v>52</v>
      </c>
    </row>
    <row r="49284" customFormat="false" ht="12.8" hidden="false" customHeight="false" outlineLevel="0" collapsed="false">
      <c r="A49284" s="0" t="s">
        <v>17383</v>
      </c>
      <c r="B49284" s="0" t="str">
        <f aca="false">HYPERLINK("https://lindat.mff.cuni.cz/services/teitok/pdtc10/index.php?action=vallex&amp;frame=v-w6967f1", "ubírat se (v-w6967f1)")</f>
        <v>ubírat se (v-w6967f1)</v>
      </c>
      <c r="E49284" s="0" t="str">
        <f aca="false">HYPERLINK("https://lindat.mff.cuni.cz/services/SynSemClass40/SynSemClass40.html?veclass=vec00022#vec00022-ces-cm00035", "vec00022")</f>
        <v>vec00022</v>
      </c>
      <c r="F49284" s="0" t="s">
        <v>4377</v>
      </c>
    </row>
    <row r="49285" customFormat="false" ht="12.8" hidden="false" customHeight="false" outlineLevel="0" collapsed="false">
      <c r="B49285" s="0" t="s">
        <v>1</v>
      </c>
      <c r="C49285" s="0" t="s">
        <v>4378</v>
      </c>
      <c r="E49285" s="0" t="s">
        <v>334</v>
      </c>
      <c r="F49285" s="0" t="s">
        <v>4379</v>
      </c>
    </row>
    <row r="49286" customFormat="false" ht="12.8" hidden="false" customHeight="false" outlineLevel="0" collapsed="false">
      <c r="B49286" s="0" t="s">
        <v>336</v>
      </c>
    </row>
    <row r="49288" customFormat="false" ht="12.8" hidden="false" customHeight="false" outlineLevel="0" collapsed="false">
      <c r="A49288" s="0" t="s">
        <v>17384</v>
      </c>
      <c r="B49288" s="0" t="str">
        <f aca="false">HYPERLINK("https://lindat.mff.cuni.cz/services/teitok/pdtc10/index.php?action=vallex&amp;frame=v-w6967f2_ZU", "ubírat se (v-w6967f2_ZU)")</f>
        <v>ubírat se (v-w6967f2_ZU)</v>
      </c>
      <c r="E49288" s="0" t="str">
        <f aca="false">HYPERLINK("https://lindat.mff.cuni.cz/services/SynSemClass40/SynSemClass40.html?veclass=vec00516#vec00516-ces-cm00021", "vec00516")</f>
        <v>vec00516</v>
      </c>
      <c r="F49288" s="0" t="s">
        <v>4818</v>
      </c>
      <c r="H49288" s="0" t="str">
        <f aca="false">HYPERLINK("https://lindat.mff.cuni.cz/services/SynSemClass40/SynSemClass40.html?veclass=vec01319#vec01319-ces-cm00018", "vec01319")</f>
        <v>vec01319</v>
      </c>
      <c r="I49288" s="0" t="s">
        <v>6925</v>
      </c>
    </row>
    <row r="49289" customFormat="false" ht="12.8" hidden="false" customHeight="false" outlineLevel="0" collapsed="false">
      <c r="B49289" s="0" t="s">
        <v>1</v>
      </c>
      <c r="C49289" s="0" t="s">
        <v>17385</v>
      </c>
      <c r="E49289" s="0" t="s">
        <v>11</v>
      </c>
      <c r="F49289" s="0" t="s">
        <v>4820</v>
      </c>
      <c r="H49289" s="0" t="s">
        <v>957</v>
      </c>
      <c r="I49289" s="0" t="s">
        <v>6927</v>
      </c>
    </row>
    <row r="49290" customFormat="false" ht="12.8" hidden="false" customHeight="false" outlineLevel="0" collapsed="false">
      <c r="B49290" s="0" t="s">
        <v>454</v>
      </c>
      <c r="C49290" s="0" t="s">
        <v>17386</v>
      </c>
      <c r="E49290" s="0" t="s">
        <v>3229</v>
      </c>
      <c r="F49290" s="0" t="s">
        <v>17387</v>
      </c>
      <c r="H49290" s="0" t="s">
        <v>388</v>
      </c>
      <c r="I49290" s="0" t="s">
        <v>389</v>
      </c>
    </row>
    <row r="49292" customFormat="false" ht="12.8" hidden="false" customHeight="false" outlineLevel="0" collapsed="false">
      <c r="A49292" s="0" t="s">
        <v>17388</v>
      </c>
      <c r="B49292" s="0" t="str">
        <f aca="false">HYPERLINK("https://lindat.mff.cuni.cz/services/teitok/pdtc10/index.php?action=vallex&amp;frame=v-w6968f1", "ubít (v-w6968f1)")</f>
        <v>ubít (v-w6968f1)</v>
      </c>
      <c r="E49292" s="0" t="str">
        <f aca="false">HYPERLINK("https://lindat.mff.cuni.cz/services/SynSemClass40/SynSemClass40.html?veclass=vec00365#vec00365-ces-cm00008", "vec00365")</f>
        <v>vec00365</v>
      </c>
      <c r="F49292" s="0" t="s">
        <v>8975</v>
      </c>
    </row>
    <row r="49293" customFormat="false" ht="12.8" hidden="false" customHeight="false" outlineLevel="0" collapsed="false">
      <c r="B49293" s="0" t="s">
        <v>1</v>
      </c>
      <c r="C49293" s="0" t="s">
        <v>5883</v>
      </c>
      <c r="E49293" s="0" t="s">
        <v>76</v>
      </c>
      <c r="F49293" s="0" t="s">
        <v>8977</v>
      </c>
    </row>
    <row r="49294" customFormat="false" ht="12.8" hidden="false" customHeight="false" outlineLevel="0" collapsed="false">
      <c r="B49294" s="0" t="s">
        <v>8</v>
      </c>
      <c r="C49294" s="0" t="s">
        <v>8979</v>
      </c>
      <c r="E49294" s="0" t="s">
        <v>199</v>
      </c>
      <c r="F49294" s="0" t="s">
        <v>8980</v>
      </c>
    </row>
    <row r="49296" customFormat="false" ht="12.8" hidden="false" customHeight="false" outlineLevel="0" collapsed="false">
      <c r="A49296" s="0" t="s">
        <v>17389</v>
      </c>
      <c r="B49296" s="0" t="str">
        <f aca="false">HYPERLINK("https://lindat.mff.cuni.cz/services/teitok/pdtc10/index.php?action=vallex&amp;frame=v-w6977f1", "ubýt (v-w6977f1)")</f>
        <v>ubýt (v-w6977f1)</v>
      </c>
    </row>
    <row r="49297" customFormat="false" ht="12.8" hidden="false" customHeight="false" outlineLevel="0" collapsed="false">
      <c r="B49297" s="0" t="s">
        <v>17390</v>
      </c>
    </row>
    <row r="49299" customFormat="false" ht="12.8" hidden="false" customHeight="false" outlineLevel="0" collapsed="false">
      <c r="A49299" s="0" t="s">
        <v>17391</v>
      </c>
      <c r="B49299" s="0" t="str">
        <f aca="false">HYPERLINK("https://lindat.mff.cuni.cz/services/teitok/pdtc10/index.php?action=vallex&amp;frame=v-w6982f1", "ubývat (v-w6982f1)")</f>
        <v>ubývat (v-w6982f1)</v>
      </c>
    </row>
    <row r="49300" customFormat="false" ht="12.8" hidden="false" customHeight="false" outlineLevel="0" collapsed="false">
      <c r="B49300" s="0" t="s">
        <v>17390</v>
      </c>
    </row>
    <row r="49302" customFormat="false" ht="12.8" hidden="false" customHeight="false" outlineLevel="0" collapsed="false">
      <c r="A49302" s="0" t="s">
        <v>17392</v>
      </c>
      <c r="B49302" s="0" t="str">
        <f aca="false">HYPERLINK("https://lindat.mff.cuni.cz/services/teitok/pdtc10/index.php?action=vallex&amp;frame=v-w6961f2", "uběhnout (v-w6961f2)")</f>
        <v>uběhnout (v-w6961f2)</v>
      </c>
    </row>
    <row r="49303" customFormat="false" ht="12.8" hidden="false" customHeight="false" outlineLevel="0" collapsed="false">
      <c r="B49303" s="0" t="s">
        <v>1</v>
      </c>
    </row>
    <row r="49304" customFormat="false" ht="12.8" hidden="false" customHeight="false" outlineLevel="0" collapsed="false">
      <c r="B49304" s="0" t="s">
        <v>8</v>
      </c>
    </row>
    <row r="49306" customFormat="false" ht="12.8" hidden="false" customHeight="false" outlineLevel="0" collapsed="false">
      <c r="A49306" s="0" t="s">
        <v>17393</v>
      </c>
      <c r="B49306" s="0" t="str">
        <f aca="false">HYPERLINK("https://lindat.mff.cuni.cz/services/teitok/pdtc10/index.php?action=vallex&amp;frame=v-w6961f1", "uběhnout (v-w6961f1)")</f>
        <v>uběhnout (v-w6961f1)</v>
      </c>
    </row>
    <row r="49307" customFormat="false" ht="12.8" hidden="false" customHeight="false" outlineLevel="0" collapsed="false">
      <c r="B49307" s="0" t="s">
        <v>1</v>
      </c>
    </row>
    <row r="49309" customFormat="false" ht="12.8" hidden="false" customHeight="false" outlineLevel="0" collapsed="false">
      <c r="A49309" s="0" t="s">
        <v>17394</v>
      </c>
      <c r="B49309" s="0" t="str">
        <f aca="false">HYPERLINK("https://lindat.mff.cuni.cz/services/teitok/pdtc10/index.php?action=vallex&amp;frame=v-whsb_747f1_ZU", "ucelit se (v-whsb_747f1_ZU)")</f>
        <v>ucelit se (v-whsb_747f1_ZU)</v>
      </c>
    </row>
    <row r="49310" customFormat="false" ht="12.8" hidden="false" customHeight="false" outlineLevel="0" collapsed="false">
      <c r="B49310" s="0" t="s">
        <v>1</v>
      </c>
    </row>
    <row r="49311" customFormat="false" ht="12.8" hidden="false" customHeight="false" outlineLevel="0" collapsed="false">
      <c r="B49311" s="0" t="s">
        <v>721</v>
      </c>
    </row>
    <row r="49312" customFormat="false" ht="12.8" hidden="false" customHeight="false" outlineLevel="0" collapsed="false">
      <c r="B49312" s="0" t="s">
        <v>245</v>
      </c>
    </row>
    <row r="49314" customFormat="false" ht="12.8" hidden="false" customHeight="false" outlineLevel="0" collapsed="false">
      <c r="A49314" s="0" t="s">
        <v>17394</v>
      </c>
      <c r="B49314" s="0" t="str">
        <f aca="false">HYPERLINK("https://lindat.mff.cuni.cz/services/teitok/pdtc10/index.php?action=vallex&amp;frame=v-whsb_747hsa_748", "ucelit se (v-whsb_747hsa_748) - substituted with v-whsb_747f1_ZU")</f>
        <v>ucelit se (v-whsb_747hsa_748) - substituted with v-whsb_747f1_ZU</v>
      </c>
    </row>
    <row r="49315" customFormat="false" ht="12.8" hidden="false" customHeight="false" outlineLevel="0" collapsed="false">
      <c r="B49315" s="0" t="s">
        <v>1</v>
      </c>
    </row>
    <row r="49316" customFormat="false" ht="12.8" hidden="false" customHeight="false" outlineLevel="0" collapsed="false">
      <c r="B49316" s="0" t="s">
        <v>721</v>
      </c>
    </row>
    <row r="49317" customFormat="false" ht="12.8" hidden="false" customHeight="false" outlineLevel="0" collapsed="false">
      <c r="B49317" s="0" t="s">
        <v>245</v>
      </c>
    </row>
    <row r="49319" customFormat="false" ht="12.8" hidden="false" customHeight="false" outlineLevel="0" collapsed="false">
      <c r="A49319" s="0" t="s">
        <v>17395</v>
      </c>
      <c r="B49319" s="0" t="str">
        <f aca="false">HYPERLINK("https://lindat.mff.cuni.cz/services/teitok/pdtc10/index.php?action=vallex&amp;frame=v-whsb_827hsa_828", "uchechtávat se (v-whsb_827hsa_828)")</f>
        <v>uchechtávat se (v-whsb_827hsa_828)</v>
      </c>
    </row>
    <row r="49320" customFormat="false" ht="12.8" hidden="false" customHeight="false" outlineLevel="0" collapsed="false">
      <c r="B49320" s="0" t="s">
        <v>1</v>
      </c>
    </row>
    <row r="49321" customFormat="false" ht="12.8" hidden="false" customHeight="false" outlineLevel="0" collapsed="false">
      <c r="B49321" s="0" t="s">
        <v>157</v>
      </c>
    </row>
    <row r="49323" customFormat="false" ht="12.8" hidden="false" customHeight="false" outlineLevel="0" collapsed="false">
      <c r="A49323" s="0" t="s">
        <v>17396</v>
      </c>
      <c r="B49323" s="0" t="str">
        <f aca="false">HYPERLINK("https://lindat.mff.cuni.cz/services/teitok/pdtc10/index.php?action=vallex&amp;frame=v-whsa_218f1_ZU", "uchlácholit (v-whsa_218f1_ZU)")</f>
        <v>uchlácholit (v-whsa_218f1_ZU)</v>
      </c>
      <c r="E49323" s="0" t="str">
        <f aca="false">HYPERLINK("https://lindat.mff.cuni.cz/services/SynSemClass40/SynSemClass40.html?veclass=vec00536#vec00536-ces-cm00003", "vec00536")</f>
        <v>vec00536</v>
      </c>
      <c r="F49323" s="0" t="s">
        <v>1395</v>
      </c>
    </row>
    <row r="49324" customFormat="false" ht="12.8" hidden="false" customHeight="false" outlineLevel="0" collapsed="false">
      <c r="B49324" s="0" t="s">
        <v>1</v>
      </c>
      <c r="C49324" s="0" t="s">
        <v>1396</v>
      </c>
      <c r="E49324" s="0" t="s">
        <v>1103</v>
      </c>
      <c r="F49324" s="0" t="s">
        <v>1397</v>
      </c>
    </row>
    <row r="49325" customFormat="false" ht="12.8" hidden="false" customHeight="false" outlineLevel="0" collapsed="false">
      <c r="B49325" s="0" t="s">
        <v>8</v>
      </c>
      <c r="C49325" s="0" t="s">
        <v>1398</v>
      </c>
      <c r="E49325" s="0" t="s">
        <v>1399</v>
      </c>
      <c r="F49325" s="0" t="s">
        <v>1400</v>
      </c>
    </row>
    <row r="49327" customFormat="false" ht="12.8" hidden="false" customHeight="false" outlineLevel="0" collapsed="false">
      <c r="A49327" s="0" t="s">
        <v>17396</v>
      </c>
      <c r="B49327" s="0" t="str">
        <f aca="false">HYPERLINK("https://lindat.mff.cuni.cz/services/teitok/pdtc10/index.php?action=vallex&amp;frame=v-whsa_218hsa_219", "uchlácholit (v-whsa_218hsa_219) - substituted with v-whsa_218f1_ZU")</f>
        <v>uchlácholit (v-whsa_218hsa_219) - substituted with v-whsa_218f1_ZU</v>
      </c>
    </row>
    <row r="49328" customFormat="false" ht="12.8" hidden="false" customHeight="false" outlineLevel="0" collapsed="false">
      <c r="B49328" s="0" t="s">
        <v>1</v>
      </c>
    </row>
    <row r="49329" customFormat="false" ht="12.8" hidden="false" customHeight="false" outlineLevel="0" collapsed="false">
      <c r="B49329" s="0" t="s">
        <v>8</v>
      </c>
    </row>
    <row r="49331" customFormat="false" ht="12.8" hidden="false" customHeight="false" outlineLevel="0" collapsed="false">
      <c r="A49331" s="0" t="s">
        <v>17397</v>
      </c>
      <c r="B49331" s="0" t="str">
        <f aca="false">HYPERLINK("https://lindat.mff.cuni.cz/services/teitok/pdtc10/index.php?action=vallex&amp;frame=v-w7060f1", "uchopit (v-w7060f1)")</f>
        <v>uchopit (v-w7060f1)</v>
      </c>
    </row>
    <row r="49332" customFormat="false" ht="12.8" hidden="false" customHeight="false" outlineLevel="0" collapsed="false">
      <c r="B49332" s="0" t="s">
        <v>1</v>
      </c>
    </row>
    <row r="49333" customFormat="false" ht="12.8" hidden="false" customHeight="false" outlineLevel="0" collapsed="false">
      <c r="B49333" s="0" t="s">
        <v>8</v>
      </c>
    </row>
    <row r="49335" customFormat="false" ht="12.8" hidden="false" customHeight="false" outlineLevel="0" collapsed="false">
      <c r="A49335" s="0" t="s">
        <v>17398</v>
      </c>
      <c r="B49335" s="0" t="str">
        <f aca="false">HYPERLINK("https://lindat.mff.cuni.cz/services/teitok/pdtc10/index.php?action=vallex&amp;frame=v-w7062f1", "uchovat (v-w7062f1)")</f>
        <v>uchovat (v-w7062f1)</v>
      </c>
    </row>
    <row r="49336" customFormat="false" ht="12.8" hidden="false" customHeight="false" outlineLevel="0" collapsed="false">
      <c r="B49336" s="0" t="s">
        <v>1</v>
      </c>
    </row>
    <row r="49337" customFormat="false" ht="12.8" hidden="false" customHeight="false" outlineLevel="0" collapsed="false">
      <c r="B49337" s="0" t="s">
        <v>8</v>
      </c>
    </row>
    <row r="49338" customFormat="false" ht="12.8" hidden="false" customHeight="false" outlineLevel="0" collapsed="false">
      <c r="B49338" s="0" t="s">
        <v>17399</v>
      </c>
    </row>
    <row r="49340" customFormat="false" ht="12.8" hidden="false" customHeight="false" outlineLevel="0" collapsed="false">
      <c r="A49340" s="0" t="s">
        <v>17400</v>
      </c>
      <c r="B49340" s="0" t="str">
        <f aca="false">HYPERLINK("https://lindat.mff.cuni.cz/services/teitok/pdtc10/index.php?action=vallex&amp;frame=v-w7063f1", "uchovat se (v-w7063f1)")</f>
        <v>uchovat se (v-w7063f1)</v>
      </c>
    </row>
    <row r="49341" customFormat="false" ht="12.8" hidden="false" customHeight="false" outlineLevel="0" collapsed="false">
      <c r="B49341" s="0" t="s">
        <v>1</v>
      </c>
    </row>
    <row r="49343" customFormat="false" ht="12.8" hidden="false" customHeight="false" outlineLevel="0" collapsed="false">
      <c r="A49343" s="0" t="s">
        <v>17401</v>
      </c>
      <c r="B49343" s="0" t="str">
        <f aca="false">HYPERLINK("https://lindat.mff.cuni.cz/services/teitok/pdtc10/index.php?action=vallex&amp;frame=v-w7064f1", "uchovávat (v-w7064f1)")</f>
        <v>uchovávat (v-w7064f1)</v>
      </c>
      <c r="E49343" s="0" t="str">
        <f aca="false">HYPERLINK("https://lindat.mff.cuni.cz/services/SynSemClass40/SynSemClass40.html?veclass=vec00176#vec00176-ces-cm00070", "vec00176")</f>
        <v>vec00176</v>
      </c>
      <c r="F49343" s="0" t="s">
        <v>3272</v>
      </c>
    </row>
    <row r="49344" customFormat="false" ht="12.8" hidden="false" customHeight="false" outlineLevel="0" collapsed="false">
      <c r="B49344" s="0" t="s">
        <v>1</v>
      </c>
      <c r="C49344" s="0" t="s">
        <v>10870</v>
      </c>
      <c r="E49344" s="0" t="s">
        <v>3275</v>
      </c>
      <c r="F49344" s="0" t="s">
        <v>3276</v>
      </c>
    </row>
    <row r="49345" customFormat="false" ht="12.8" hidden="false" customHeight="false" outlineLevel="0" collapsed="false">
      <c r="B49345" s="0" t="s">
        <v>8</v>
      </c>
      <c r="C49345" s="0" t="s">
        <v>10871</v>
      </c>
      <c r="E49345" s="0" t="s">
        <v>3279</v>
      </c>
      <c r="F49345" s="0" t="s">
        <v>3280</v>
      </c>
    </row>
    <row r="49346" customFormat="false" ht="12.8" hidden="false" customHeight="false" outlineLevel="0" collapsed="false">
      <c r="B49346" s="0" t="s">
        <v>17399</v>
      </c>
    </row>
    <row r="49348" customFormat="false" ht="12.8" hidden="false" customHeight="false" outlineLevel="0" collapsed="false">
      <c r="A49348" s="0" t="s">
        <v>17402</v>
      </c>
      <c r="B49348" s="0" t="str">
        <f aca="false">HYPERLINK("https://lindat.mff.cuni.cz/services/teitok/pdtc10/index.php?action=vallex&amp;frame=v-w7065f2_ZU", "uchránit (v-w7065f2_ZU)")</f>
        <v>uchránit (v-w7065f2_ZU)</v>
      </c>
      <c r="E49348" s="0" t="str">
        <f aca="false">HYPERLINK("https://lindat.mff.cuni.cz/services/SynSemClass40/SynSemClass40.html?veclass=vec00024#vec00024-ces-cm00018", "vec00024")</f>
        <v>vec00024</v>
      </c>
      <c r="F49348" s="0" t="s">
        <v>580</v>
      </c>
    </row>
    <row r="49349" customFormat="false" ht="12.8" hidden="false" customHeight="false" outlineLevel="0" collapsed="false">
      <c r="B49349" s="0" t="s">
        <v>1</v>
      </c>
      <c r="C49349" s="0" t="s">
        <v>4903</v>
      </c>
      <c r="E49349" s="0" t="s">
        <v>569</v>
      </c>
      <c r="F49349" s="0" t="s">
        <v>1472</v>
      </c>
    </row>
    <row r="49350" customFormat="false" ht="12.8" hidden="false" customHeight="false" outlineLevel="0" collapsed="false">
      <c r="B49350" s="0" t="s">
        <v>8</v>
      </c>
      <c r="C49350" s="0" t="s">
        <v>4904</v>
      </c>
      <c r="E49350" s="0" t="s">
        <v>34</v>
      </c>
      <c r="F49350" s="0" t="s">
        <v>1475</v>
      </c>
    </row>
    <row r="49351" customFormat="false" ht="12.8" hidden="false" customHeight="false" outlineLevel="0" collapsed="false">
      <c r="B49351" s="0" t="s">
        <v>1469</v>
      </c>
      <c r="C49351" s="0" t="s">
        <v>16245</v>
      </c>
      <c r="E49351" s="0" t="s">
        <v>1478</v>
      </c>
      <c r="F49351" s="0" t="s">
        <v>1479</v>
      </c>
    </row>
    <row r="49353" customFormat="false" ht="12.8" hidden="false" customHeight="false" outlineLevel="0" collapsed="false">
      <c r="A49353" s="0" t="s">
        <v>17402</v>
      </c>
      <c r="B49353" s="0" t="str">
        <f aca="false">HYPERLINK("https://lindat.mff.cuni.cz/services/teitok/pdtc10/index.php?action=vallex&amp;frame=v-w7065f1", "uchránit (v-w7065f1) - substituted with v-w7065f2_ZU")</f>
        <v>uchránit (v-w7065f1) - substituted with v-w7065f2_ZU</v>
      </c>
    </row>
    <row r="49354" customFormat="false" ht="12.8" hidden="false" customHeight="false" outlineLevel="0" collapsed="false">
      <c r="B49354" s="0" t="s">
        <v>1</v>
      </c>
    </row>
    <row r="49355" customFormat="false" ht="12.8" hidden="false" customHeight="false" outlineLevel="0" collapsed="false">
      <c r="B49355" s="0" t="s">
        <v>8</v>
      </c>
    </row>
    <row r="49356" customFormat="false" ht="12.8" hidden="false" customHeight="false" outlineLevel="0" collapsed="false">
      <c r="B49356" s="0" t="s">
        <v>1469</v>
      </c>
    </row>
    <row r="49358" customFormat="false" ht="12.8" hidden="false" customHeight="false" outlineLevel="0" collapsed="false">
      <c r="A49358" s="0" t="s">
        <v>17403</v>
      </c>
      <c r="B49358" s="0" t="str">
        <f aca="false">HYPERLINK("https://lindat.mff.cuni.cz/services/teitok/pdtc10/index.php?action=vallex&amp;frame=v-w7067f1", "uchvacovat (v-w7067f1)")</f>
        <v>uchvacovat (v-w7067f1)</v>
      </c>
    </row>
    <row r="49359" customFormat="false" ht="12.8" hidden="false" customHeight="false" outlineLevel="0" collapsed="false">
      <c r="B49359" s="0" t="s">
        <v>1</v>
      </c>
    </row>
    <row r="49360" customFormat="false" ht="12.8" hidden="false" customHeight="false" outlineLevel="0" collapsed="false">
      <c r="B49360" s="0" t="s">
        <v>8</v>
      </c>
    </row>
    <row r="49362" customFormat="false" ht="12.8" hidden="false" customHeight="false" outlineLevel="0" collapsed="false">
      <c r="A49362" s="0" t="s">
        <v>17404</v>
      </c>
      <c r="B49362" s="0" t="str">
        <f aca="false">HYPERLINK("https://lindat.mff.cuni.cz/services/teitok/pdtc10/index.php?action=vallex&amp;frame=v-w7068f2", "uchvátit (v-w7068f2)")</f>
        <v>uchvátit (v-w7068f2)</v>
      </c>
    </row>
    <row r="49363" customFormat="false" ht="12.8" hidden="false" customHeight="false" outlineLevel="0" collapsed="false">
      <c r="B49363" s="0" t="s">
        <v>944</v>
      </c>
    </row>
    <row r="49364" customFormat="false" ht="12.8" hidden="false" customHeight="false" outlineLevel="0" collapsed="false">
      <c r="B49364" s="0" t="s">
        <v>8</v>
      </c>
    </row>
    <row r="49366" customFormat="false" ht="12.8" hidden="false" customHeight="false" outlineLevel="0" collapsed="false">
      <c r="A49366" s="0" t="s">
        <v>17405</v>
      </c>
      <c r="B49366" s="0" t="str">
        <f aca="false">HYPERLINK("https://lindat.mff.cuni.cz/services/teitok/pdtc10/index.php?action=vallex&amp;frame=v-w7068f1", "uchvátit (v-w7068f1)")</f>
        <v>uchvátit (v-w7068f1)</v>
      </c>
      <c r="E49366" s="0" t="str">
        <f aca="false">HYPERLINK("https://lindat.mff.cuni.cz/services/SynSemClass40/SynSemClass40.html?veclass=vec00708#vec00708-ces-cm00009", "vec00708")</f>
        <v>vec00708</v>
      </c>
      <c r="F49366" s="0" t="s">
        <v>15693</v>
      </c>
    </row>
    <row r="49367" customFormat="false" ht="12.8" hidden="false" customHeight="false" outlineLevel="0" collapsed="false">
      <c r="B49367" s="0" t="s">
        <v>1</v>
      </c>
      <c r="C49367" s="0" t="s">
        <v>333</v>
      </c>
      <c r="E49367" s="0" t="s">
        <v>92</v>
      </c>
      <c r="F49367" s="0" t="s">
        <v>15695</v>
      </c>
    </row>
    <row r="49368" customFormat="false" ht="12.8" hidden="false" customHeight="false" outlineLevel="0" collapsed="false">
      <c r="B49368" s="0" t="s">
        <v>8</v>
      </c>
      <c r="C49368" s="0" t="s">
        <v>1929</v>
      </c>
      <c r="E49368" s="0" t="s">
        <v>95</v>
      </c>
      <c r="F49368" s="0" t="s">
        <v>15696</v>
      </c>
    </row>
    <row r="49370" customFormat="false" ht="12.8" hidden="false" customHeight="false" outlineLevel="0" collapsed="false">
      <c r="A49370" s="0" t="s">
        <v>17406</v>
      </c>
      <c r="B49370" s="0" t="str">
        <f aca="false">HYPERLINK("https://lindat.mff.cuni.cz/services/teitok/pdtc10/index.php?action=vallex&amp;frame=v-w7070f1", "uchylovat se (v-w7070f1)")</f>
        <v>uchylovat se (v-w7070f1)</v>
      </c>
      <c r="E49370" s="0" t="str">
        <f aca="false">HYPERLINK("https://lindat.mff.cuni.cz/services/SynSemClass40/SynSemClass40.html?veclass=vec01136#vec01136-ces-cm00001", "vec01136")</f>
        <v>vec01136</v>
      </c>
      <c r="F49370" s="0" t="s">
        <v>17407</v>
      </c>
    </row>
    <row r="49371" customFormat="false" ht="12.8" hidden="false" customHeight="false" outlineLevel="0" collapsed="false">
      <c r="B49371" s="0" t="s">
        <v>1</v>
      </c>
      <c r="C49371" s="0" t="s">
        <v>512</v>
      </c>
      <c r="E49371" s="0" t="s">
        <v>11</v>
      </c>
      <c r="F49371" s="0" t="s">
        <v>1613</v>
      </c>
    </row>
    <row r="49372" customFormat="false" ht="12.8" hidden="false" customHeight="false" outlineLevel="0" collapsed="false">
      <c r="B49372" s="0" t="s">
        <v>311</v>
      </c>
      <c r="C49372" s="0" t="s">
        <v>800</v>
      </c>
      <c r="E49372" s="0" t="s">
        <v>2628</v>
      </c>
      <c r="F49372" s="0" t="s">
        <v>17408</v>
      </c>
    </row>
    <row r="49374" customFormat="false" ht="12.8" hidden="false" customHeight="false" outlineLevel="0" collapsed="false">
      <c r="A49374" s="0" t="s">
        <v>17409</v>
      </c>
      <c r="B49374" s="0" t="str">
        <f aca="false">HYPERLINK("https://lindat.mff.cuni.cz/services/teitok/pdtc10/index.php?action=vallex&amp;frame=v-w7070f2", "uchylovat se (v-w7070f2)")</f>
        <v>uchylovat se (v-w7070f2)</v>
      </c>
      <c r="E49374" s="0" t="str">
        <f aca="false">HYPERLINK("https://lindat.mff.cuni.cz/services/SynSemClass40/SynSemClass40.html?veclass=vec01337#vec01337-ces-cm00005", "vec01337")</f>
        <v>vec01337</v>
      </c>
      <c r="F49374" s="0" t="s">
        <v>17410</v>
      </c>
    </row>
    <row r="49375" customFormat="false" ht="12.8" hidden="false" customHeight="false" outlineLevel="0" collapsed="false">
      <c r="B49375" s="0" t="s">
        <v>1</v>
      </c>
      <c r="C49375" s="0" t="s">
        <v>17411</v>
      </c>
      <c r="E49375" s="0" t="s">
        <v>334</v>
      </c>
      <c r="F49375" s="0" t="s">
        <v>17412</v>
      </c>
    </row>
    <row r="49376" customFormat="false" ht="12.8" hidden="false" customHeight="false" outlineLevel="0" collapsed="false">
      <c r="B49376" s="0" t="s">
        <v>164</v>
      </c>
      <c r="E49376" s="0" t="s">
        <v>370</v>
      </c>
      <c r="F49376" s="0" t="s">
        <v>3041</v>
      </c>
    </row>
    <row r="49378" customFormat="false" ht="12.8" hidden="false" customHeight="false" outlineLevel="0" collapsed="false">
      <c r="A49378" s="0" t="s">
        <v>17413</v>
      </c>
      <c r="B49378" s="0" t="str">
        <f aca="false">HYPERLINK("https://lindat.mff.cuni.cz/services/teitok/pdtc10/index.php?action=vallex&amp;frame=v-w7071f1", "uchytit se (v-w7071f1)")</f>
        <v>uchytit se (v-w7071f1)</v>
      </c>
    </row>
    <row r="49379" customFormat="false" ht="12.8" hidden="false" customHeight="false" outlineLevel="0" collapsed="false">
      <c r="B49379" s="0" t="s">
        <v>1</v>
      </c>
    </row>
    <row r="49380" customFormat="false" ht="12.8" hidden="false" customHeight="false" outlineLevel="0" collapsed="false">
      <c r="B49380" s="0" t="s">
        <v>5</v>
      </c>
    </row>
    <row r="49382" customFormat="false" ht="12.8" hidden="false" customHeight="false" outlineLevel="0" collapsed="false">
      <c r="A49382" s="0" t="s">
        <v>17414</v>
      </c>
      <c r="B49382" s="0" t="str">
        <f aca="false">HYPERLINK("https://lindat.mff.cuni.cz/services/teitok/pdtc10/index.php?action=vallex&amp;frame=v-w7071f2", "uchytit se (v-w7071f2)")</f>
        <v>uchytit se (v-w7071f2)</v>
      </c>
    </row>
    <row r="49383" customFormat="false" ht="12.8" hidden="false" customHeight="false" outlineLevel="0" collapsed="false">
      <c r="B49383" s="0" t="s">
        <v>1</v>
      </c>
    </row>
    <row r="49385" customFormat="false" ht="12.8" hidden="false" customHeight="false" outlineLevel="0" collapsed="false">
      <c r="A49385" s="0" t="s">
        <v>17415</v>
      </c>
      <c r="B49385" s="0" t="str">
        <f aca="false">HYPERLINK("https://lindat.mff.cuni.cz/services/teitok/pdtc10/index.php?action=vallex&amp;frame=v-w7071f3_ZU", "uchytit se (v-w7071f3_ZU)")</f>
        <v>uchytit se (v-w7071f3_ZU)</v>
      </c>
      <c r="E49385" s="0" t="str">
        <f aca="false">HYPERLINK("https://lindat.mff.cuni.cz/services/SynSemClass40/SynSemClass40.html?veclass=vec00689#vec00689-ces-cm00005", "vec00689")</f>
        <v>vec00689</v>
      </c>
      <c r="F49385" s="0" t="s">
        <v>12694</v>
      </c>
    </row>
    <row r="49386" customFormat="false" ht="12.8" hidden="false" customHeight="false" outlineLevel="0" collapsed="false">
      <c r="B49386" s="0" t="s">
        <v>1</v>
      </c>
      <c r="C49386" s="0" t="s">
        <v>12702</v>
      </c>
      <c r="E49386" s="0" t="s">
        <v>2106</v>
      </c>
      <c r="F49386" s="0" t="s">
        <v>12696</v>
      </c>
    </row>
    <row r="49388" customFormat="false" ht="12.8" hidden="false" customHeight="false" outlineLevel="0" collapsed="false">
      <c r="A49388" s="0" t="s">
        <v>17416</v>
      </c>
      <c r="B49388" s="0" t="str">
        <f aca="false">HYPERLINK("https://lindat.mff.cuni.cz/services/teitok/pdtc10/index.php?action=vallex&amp;frame=v-w12038_ZUf1_ZU", "uchytnout se (v-w12038_ZUf1_ZU)")</f>
        <v>uchytnout se (v-w12038_ZUf1_ZU)</v>
      </c>
    </row>
    <row r="49389" customFormat="false" ht="12.8" hidden="false" customHeight="false" outlineLevel="0" collapsed="false">
      <c r="B49389" s="0" t="s">
        <v>1</v>
      </c>
    </row>
    <row r="49391" customFormat="false" ht="12.8" hidden="false" customHeight="false" outlineLevel="0" collapsed="false">
      <c r="A49391" s="0" t="s">
        <v>17417</v>
      </c>
      <c r="B49391" s="0" t="str">
        <f aca="false">HYPERLINK("https://lindat.mff.cuni.cz/services/teitok/pdtc10/index.php?action=vallex&amp;frame=v-w7058f1", "ucházet se (v-w7058f1)")</f>
        <v>ucházet se (v-w7058f1)</v>
      </c>
      <c r="E49391" s="0" t="str">
        <f aca="false">HYPERLINK("https://lindat.mff.cuni.cz/services/SynSemClass40/SynSemClass40.html?veclass=vec00423#vec00423-ces-cm00002", "vec00423")</f>
        <v>vec00423</v>
      </c>
      <c r="F49391" s="0" t="s">
        <v>5219</v>
      </c>
      <c r="H49391" s="0" t="str">
        <f aca="false">HYPERLINK("https://lindat.mff.cuni.cz/services/SynSemClass40/SynSemClass40.html?veclass=vec01290#vec01290-ces-cm00026", "vec01290")</f>
        <v>vec01290</v>
      </c>
      <c r="I49391" s="0" t="s">
        <v>12066</v>
      </c>
    </row>
    <row r="49392" customFormat="false" ht="12.8" hidden="false" customHeight="false" outlineLevel="0" collapsed="false">
      <c r="B49392" s="0" t="s">
        <v>1</v>
      </c>
      <c r="C49392" s="0" t="s">
        <v>543</v>
      </c>
      <c r="E49392" s="0" t="s">
        <v>429</v>
      </c>
      <c r="F49392" s="0" t="s">
        <v>5220</v>
      </c>
      <c r="H49392" s="0" t="s">
        <v>1492</v>
      </c>
      <c r="I49392" s="0" t="s">
        <v>12068</v>
      </c>
    </row>
    <row r="49393" customFormat="false" ht="12.8" hidden="false" customHeight="false" outlineLevel="0" collapsed="false">
      <c r="B49393" s="0" t="s">
        <v>814</v>
      </c>
      <c r="C49393" s="0" t="s">
        <v>4418</v>
      </c>
      <c r="E49393" s="0" t="s">
        <v>5221</v>
      </c>
      <c r="F49393" s="0" t="s">
        <v>5222</v>
      </c>
      <c r="H49393" s="0" t="s">
        <v>1495</v>
      </c>
      <c r="I49393" s="0" t="s">
        <v>12071</v>
      </c>
    </row>
    <row r="49395" customFormat="false" ht="12.8" hidden="false" customHeight="false" outlineLevel="0" collapsed="false">
      <c r="A49395" s="0" t="s">
        <v>17418</v>
      </c>
      <c r="B49395" s="0" t="str">
        <f aca="false">HYPERLINK("https://lindat.mff.cuni.cz/services/teitok/pdtc10/index.php?action=vallex&amp;frame=v-w7069f2", "uchýlit se (v-w7069f2)")</f>
        <v>uchýlit se (v-w7069f2)</v>
      </c>
      <c r="E49395" s="0" t="str">
        <f aca="false">HYPERLINK("https://lindat.mff.cuni.cz/services/SynSemClass40/SynSemClass40.html?veclass=vec01136#vec01136-ces-cm00002", "vec01136")</f>
        <v>vec01136</v>
      </c>
      <c r="F49395" s="0" t="s">
        <v>17407</v>
      </c>
    </row>
    <row r="49396" customFormat="false" ht="12.8" hidden="false" customHeight="false" outlineLevel="0" collapsed="false">
      <c r="B49396" s="0" t="s">
        <v>1</v>
      </c>
      <c r="C49396" s="0" t="s">
        <v>512</v>
      </c>
      <c r="E49396" s="0" t="s">
        <v>11</v>
      </c>
      <c r="F49396" s="0" t="s">
        <v>1613</v>
      </c>
    </row>
    <row r="49397" customFormat="false" ht="12.8" hidden="false" customHeight="false" outlineLevel="0" collapsed="false">
      <c r="B49397" s="0" t="s">
        <v>311</v>
      </c>
      <c r="C49397" s="0" t="s">
        <v>800</v>
      </c>
      <c r="E49397" s="0" t="s">
        <v>2628</v>
      </c>
      <c r="F49397" s="0" t="s">
        <v>17408</v>
      </c>
    </row>
    <row r="49399" customFormat="false" ht="12.8" hidden="false" customHeight="false" outlineLevel="0" collapsed="false">
      <c r="A49399" s="0" t="s">
        <v>17419</v>
      </c>
      <c r="B49399" s="0" t="str">
        <f aca="false">HYPERLINK("https://lindat.mff.cuni.cz/services/teitok/pdtc10/index.php?action=vallex&amp;frame=v-w7069f1", "uchýlit se (v-w7069f1)")</f>
        <v>uchýlit se (v-w7069f1)</v>
      </c>
      <c r="E49399" s="0" t="str">
        <f aca="false">HYPERLINK("https://lindat.mff.cuni.cz/services/SynSemClass40/SynSemClass40.html?veclass=vec01337#vec01337-ces-cm00004", "vec01337")</f>
        <v>vec01337</v>
      </c>
      <c r="F49399" s="0" t="s">
        <v>17410</v>
      </c>
    </row>
    <row r="49400" customFormat="false" ht="12.8" hidden="false" customHeight="false" outlineLevel="0" collapsed="false">
      <c r="B49400" s="0" t="s">
        <v>1</v>
      </c>
      <c r="C49400" s="0" t="s">
        <v>17411</v>
      </c>
      <c r="E49400" s="0" t="s">
        <v>334</v>
      </c>
      <c r="F49400" s="0" t="s">
        <v>17412</v>
      </c>
    </row>
    <row r="49401" customFormat="false" ht="12.8" hidden="false" customHeight="false" outlineLevel="0" collapsed="false">
      <c r="B49401" s="0" t="s">
        <v>164</v>
      </c>
      <c r="E49401" s="0" t="s">
        <v>370</v>
      </c>
      <c r="F49401" s="0" t="s">
        <v>3041</v>
      </c>
    </row>
    <row r="49403" customFormat="false" ht="12.8" hidden="false" customHeight="false" outlineLevel="0" collapsed="false">
      <c r="A49403" s="0" t="s">
        <v>17420</v>
      </c>
      <c r="B49403" s="0" t="str">
        <f aca="false">HYPERLINK("https://lindat.mff.cuni.cz/services/teitok/pdtc10/index.php?action=vallex&amp;frame=v-w6985f1", "ucpat (v-w6985f1)")</f>
        <v>ucpat (v-w6985f1)</v>
      </c>
    </row>
    <row r="49404" customFormat="false" ht="12.8" hidden="false" customHeight="false" outlineLevel="0" collapsed="false">
      <c r="B49404" s="0" t="s">
        <v>1</v>
      </c>
    </row>
    <row r="49405" customFormat="false" ht="12.8" hidden="false" customHeight="false" outlineLevel="0" collapsed="false">
      <c r="B49405" s="0" t="s">
        <v>8</v>
      </c>
    </row>
    <row r="49407" customFormat="false" ht="12.8" hidden="false" customHeight="false" outlineLevel="0" collapsed="false">
      <c r="A49407" s="0" t="s">
        <v>17421</v>
      </c>
      <c r="B49407" s="0" t="str">
        <f aca="false">HYPERLINK("https://lindat.mff.cuni.cz/services/teitok/pdtc10/index.php?action=vallex&amp;frame=v-w6986f1", "ucpat se (v-w6986f1)")</f>
        <v>ucpat se (v-w6986f1)</v>
      </c>
    </row>
    <row r="49408" customFormat="false" ht="12.8" hidden="false" customHeight="false" outlineLevel="0" collapsed="false">
      <c r="B49408" s="0" t="s">
        <v>1</v>
      </c>
    </row>
    <row r="49410" customFormat="false" ht="12.8" hidden="false" customHeight="false" outlineLevel="0" collapsed="false">
      <c r="A49410" s="0" t="s">
        <v>17422</v>
      </c>
      <c r="B49410" s="0" t="str">
        <f aca="false">HYPERLINK("https://lindat.mff.cuni.cz/services/teitok/pdtc10/index.php?action=vallex&amp;frame=v-w6989f1", "uctít (v-w6989f1)")</f>
        <v>uctít (v-w6989f1)</v>
      </c>
    </row>
    <row r="49411" customFormat="false" ht="12.8" hidden="false" customHeight="false" outlineLevel="0" collapsed="false">
      <c r="B49411" s="0" t="s">
        <v>1</v>
      </c>
    </row>
    <row r="49412" customFormat="false" ht="12.8" hidden="false" customHeight="false" outlineLevel="0" collapsed="false">
      <c r="B49412" s="0" t="s">
        <v>228</v>
      </c>
    </row>
    <row r="49414" customFormat="false" ht="12.8" hidden="false" customHeight="false" outlineLevel="0" collapsed="false">
      <c r="A49414" s="0" t="s">
        <v>17423</v>
      </c>
      <c r="B49414" s="0" t="str">
        <f aca="false">HYPERLINK("https://lindat.mff.cuni.cz/services/teitok/pdtc10/index.php?action=vallex&amp;frame=v-w6989f2", "uctít (v-w6989f2)")</f>
        <v>uctít (v-w6989f2)</v>
      </c>
    </row>
    <row r="49415" customFormat="false" ht="12.8" hidden="false" customHeight="false" outlineLevel="0" collapsed="false">
      <c r="B49415" s="0" t="s">
        <v>1</v>
      </c>
    </row>
    <row r="49416" customFormat="false" ht="12.8" hidden="false" customHeight="false" outlineLevel="0" collapsed="false">
      <c r="B49416" s="0" t="s">
        <v>8</v>
      </c>
    </row>
    <row r="49418" customFormat="false" ht="12.8" hidden="false" customHeight="false" outlineLevel="0" collapsed="false">
      <c r="A49418" s="0" t="s">
        <v>17424</v>
      </c>
      <c r="B49418" s="0" t="str">
        <f aca="false">HYPERLINK("https://lindat.mff.cuni.cz/services/teitok/pdtc10/index.php?action=vallex&amp;frame=v-w6990f1", "uctívat (v-w6990f1)")</f>
        <v>uctívat (v-w6990f1)</v>
      </c>
    </row>
    <row r="49419" customFormat="false" ht="12.8" hidden="false" customHeight="false" outlineLevel="0" collapsed="false">
      <c r="B49419" s="0" t="s">
        <v>1</v>
      </c>
    </row>
    <row r="49420" customFormat="false" ht="12.8" hidden="false" customHeight="false" outlineLevel="0" collapsed="false">
      <c r="B49420" s="0" t="s">
        <v>228</v>
      </c>
    </row>
    <row r="49422" customFormat="false" ht="12.8" hidden="false" customHeight="false" outlineLevel="0" collapsed="false">
      <c r="A49422" s="0" t="s">
        <v>17425</v>
      </c>
      <c r="B49422" s="0" t="str">
        <f aca="false">HYPERLINK("https://lindat.mff.cuni.cz/services/teitok/pdtc10/index.php?action=vallex&amp;frame=v-w12194_ZUf1_ZU", "ucuknout (v-w12194_ZUf1_ZU)")</f>
        <v>ucuknout (v-w12194_ZUf1_ZU)</v>
      </c>
    </row>
    <row r="49423" customFormat="false" ht="12.8" hidden="false" customHeight="false" outlineLevel="0" collapsed="false">
      <c r="B49423" s="0" t="s">
        <v>1</v>
      </c>
    </row>
    <row r="49425" customFormat="false" ht="12.8" hidden="false" customHeight="false" outlineLevel="0" collapsed="false">
      <c r="A49425" s="0" t="s">
        <v>17426</v>
      </c>
      <c r="B49425" s="0" t="str">
        <f aca="false">HYPERLINK("https://lindat.mff.cuni.cz/services/teitok/pdtc10/index.php?action=vallex&amp;frame=v-w11733_ZUf1_ZU", "ucvaknout (v-w11733_ZUf1_ZU)")</f>
        <v>ucvaknout (v-w11733_ZUf1_ZU)</v>
      </c>
    </row>
    <row r="49426" customFormat="false" ht="12.8" hidden="false" customHeight="false" outlineLevel="0" collapsed="false">
      <c r="B49426" s="0" t="s">
        <v>1</v>
      </c>
    </row>
    <row r="49427" customFormat="false" ht="12.8" hidden="false" customHeight="false" outlineLevel="0" collapsed="false">
      <c r="B49427" s="0" t="s">
        <v>8</v>
      </c>
    </row>
    <row r="49429" customFormat="false" ht="12.8" hidden="false" customHeight="false" outlineLevel="0" collapsed="false">
      <c r="A49429" s="0" t="s">
        <v>17427</v>
      </c>
      <c r="B49429" s="0" t="str">
        <f aca="false">HYPERLINK("https://lindat.mff.cuni.cz/services/teitok/pdtc10/index.php?action=vallex&amp;frame=v-w11733_ZUf3_ZU", "ucvaknout (v-w11733_ZUf3_ZU)")</f>
        <v>ucvaknout (v-w11733_ZUf3_ZU)</v>
      </c>
    </row>
    <row r="49430" customFormat="false" ht="12.8" hidden="false" customHeight="false" outlineLevel="0" collapsed="false">
      <c r="B49430" s="0" t="s">
        <v>1</v>
      </c>
    </row>
    <row r="49431" customFormat="false" ht="12.8" hidden="false" customHeight="false" outlineLevel="0" collapsed="false">
      <c r="B49431" s="0" t="s">
        <v>8</v>
      </c>
    </row>
    <row r="49433" customFormat="false" ht="12.8" hidden="false" customHeight="false" outlineLevel="0" collapsed="false">
      <c r="A49433" s="0" t="s">
        <v>17427</v>
      </c>
      <c r="B49433" s="0" t="str">
        <f aca="false">HYPERLINK("https://lindat.mff.cuni.cz/services/teitok/pdtc10/index.php?action=vallex&amp;frame=v-w11733_ZUf2_ZU", "ucvaknout (v-w11733_ZUf2_ZU) - substituted with v-w11733_ZUf3_ZU")</f>
        <v>ucvaknout (v-w11733_ZUf2_ZU) - substituted with v-w11733_ZUf3_ZU</v>
      </c>
    </row>
    <row r="49434" customFormat="false" ht="12.8" hidden="false" customHeight="false" outlineLevel="0" collapsed="false">
      <c r="B49434" s="0" t="s">
        <v>1</v>
      </c>
    </row>
    <row r="49435" customFormat="false" ht="12.8" hidden="false" customHeight="false" outlineLevel="0" collapsed="false">
      <c r="B49435" s="0" t="s">
        <v>8</v>
      </c>
    </row>
    <row r="49437" customFormat="false" ht="12.8" hidden="false" customHeight="false" outlineLevel="0" collapsed="false">
      <c r="A49437" s="0" t="s">
        <v>17428</v>
      </c>
      <c r="B49437" s="0" t="str">
        <f aca="false">HYPERLINK("https://lindat.mff.cuni.cz/services/teitok/pdtc10/index.php?action=vallex&amp;frame=v-w6983f1", "ucítit (v-w6983f1)")</f>
        <v>ucítit (v-w6983f1)</v>
      </c>
      <c r="E49437" s="0" t="str">
        <f aca="false">HYPERLINK("https://lindat.mff.cuni.cz/services/SynSemClass40/SynSemClass40.html?veclass=vec01545#vec01545-ces-cm00014", "vec01545")</f>
        <v>vec01545</v>
      </c>
      <c r="F49437" s="0" t="s">
        <v>11902</v>
      </c>
    </row>
    <row r="49438" customFormat="false" ht="12.8" hidden="false" customHeight="false" outlineLevel="0" collapsed="false">
      <c r="B49438" s="0" t="s">
        <v>1</v>
      </c>
      <c r="C49438" s="0" t="s">
        <v>11624</v>
      </c>
      <c r="E49438" s="0" t="s">
        <v>621</v>
      </c>
      <c r="F49438" s="0" t="s">
        <v>11905</v>
      </c>
    </row>
    <row r="49439" customFormat="false" ht="12.8" hidden="false" customHeight="false" outlineLevel="0" collapsed="false">
      <c r="B49439" s="0" t="s">
        <v>228</v>
      </c>
      <c r="C49439" s="0" t="s">
        <v>7322</v>
      </c>
      <c r="E49439" s="0" t="s">
        <v>271</v>
      </c>
      <c r="F49439" s="0" t="s">
        <v>11909</v>
      </c>
    </row>
    <row r="49441" customFormat="false" ht="12.8" hidden="false" customHeight="false" outlineLevel="0" collapsed="false">
      <c r="A49441" s="0" t="s">
        <v>17429</v>
      </c>
      <c r="B49441" s="0" t="str">
        <f aca="false">HYPERLINK("https://lindat.mff.cuni.cz/services/teitok/pdtc10/index.php?action=vallex&amp;frame=v-w6983f3", "ucítit (v-w6983f3)")</f>
        <v>ucítit (v-w6983f3)</v>
      </c>
      <c r="E49441" s="0" t="str">
        <f aca="false">HYPERLINK("https://lindat.mff.cuni.cz/services/SynSemClass40/SynSemClass40.html?veclass=vec00203#vec00203-ces-cm00002", "vec00203")</f>
        <v>vec00203</v>
      </c>
      <c r="F49441" s="0" t="s">
        <v>1751</v>
      </c>
    </row>
    <row r="49442" customFormat="false" ht="12.8" hidden="false" customHeight="false" outlineLevel="0" collapsed="false">
      <c r="B49442" s="0" t="s">
        <v>1</v>
      </c>
      <c r="C49442" s="0" t="s">
        <v>1752</v>
      </c>
      <c r="E49442" s="0" t="s">
        <v>637</v>
      </c>
      <c r="F49442" s="0" t="s">
        <v>1753</v>
      </c>
    </row>
    <row r="49443" customFormat="false" ht="12.8" hidden="false" customHeight="false" outlineLevel="0" collapsed="false">
      <c r="B49443" s="0" t="s">
        <v>59</v>
      </c>
      <c r="C49443" s="0" t="s">
        <v>744</v>
      </c>
      <c r="E49443" s="0" t="s">
        <v>180</v>
      </c>
      <c r="F49443" s="0" t="s">
        <v>1755</v>
      </c>
    </row>
    <row r="49445" customFormat="false" ht="12.8" hidden="false" customHeight="false" outlineLevel="0" collapsed="false">
      <c r="A49445" s="0" t="s">
        <v>17430</v>
      </c>
      <c r="B49445" s="0" t="str">
        <f aca="false">HYPERLINK("https://lindat.mff.cuni.cz/services/teitok/pdtc10/index.php?action=vallex&amp;frame=v-w6983f2", "ucítit (v-w6983f2)")</f>
        <v>ucítit (v-w6983f2)</v>
      </c>
    </row>
    <row r="49446" customFormat="false" ht="12.8" hidden="false" customHeight="false" outlineLevel="0" collapsed="false">
      <c r="B49446" s="0" t="s">
        <v>1</v>
      </c>
    </row>
    <row r="49447" customFormat="false" ht="12.8" hidden="false" customHeight="false" outlineLevel="0" collapsed="false">
      <c r="B49447" s="0" t="s">
        <v>17431</v>
      </c>
    </row>
    <row r="49449" customFormat="false" ht="12.8" hidden="false" customHeight="false" outlineLevel="0" collapsed="false">
      <c r="A49449" s="0" t="s">
        <v>17432</v>
      </c>
      <c r="B49449" s="0" t="str">
        <f aca="false">HYPERLINK("https://lindat.mff.cuni.cz/services/teitok/pdtc10/index.php?action=vallex&amp;frame=v-w7013f2_ZU", "udat (v-w7013f2_ZU)")</f>
        <v>udat (v-w7013f2_ZU)</v>
      </c>
    </row>
    <row r="49450" customFormat="false" ht="12.8" hidden="false" customHeight="false" outlineLevel="0" collapsed="false">
      <c r="B49450" s="0" t="s">
        <v>1</v>
      </c>
    </row>
    <row r="49451" customFormat="false" ht="12.8" hidden="false" customHeight="false" outlineLevel="0" collapsed="false">
      <c r="B49451" s="0" t="s">
        <v>8</v>
      </c>
    </row>
    <row r="49452" customFormat="false" ht="12.8" hidden="false" customHeight="false" outlineLevel="0" collapsed="false">
      <c r="B49452" s="0" t="s">
        <v>52</v>
      </c>
    </row>
    <row r="49454" customFormat="false" ht="12.8" hidden="false" customHeight="false" outlineLevel="0" collapsed="false">
      <c r="A49454" s="0" t="s">
        <v>17433</v>
      </c>
      <c r="B49454" s="0" t="str">
        <f aca="false">HYPERLINK("https://lindat.mff.cuni.cz/services/teitok/pdtc10/index.php?action=vallex&amp;frame=v-w7013f1", "udat (v-w7013f1)")</f>
        <v>udat (v-w7013f1)</v>
      </c>
      <c r="E49454" s="0" t="str">
        <f aca="false">HYPERLINK("https://lindat.mff.cuni.cz/services/SynSemClass40/SynSemClass40.html?veclass=vec00060#vec00060-ces-cm00125", "vec00060")</f>
        <v>vec00060</v>
      </c>
      <c r="F49454" s="0" t="s">
        <v>213</v>
      </c>
    </row>
    <row r="49455" customFormat="false" ht="12.8" hidden="false" customHeight="false" outlineLevel="0" collapsed="false">
      <c r="B49455" s="0" t="s">
        <v>1</v>
      </c>
      <c r="C49455" s="0" t="s">
        <v>214</v>
      </c>
      <c r="E49455" s="0" t="s">
        <v>147</v>
      </c>
      <c r="F49455" s="0" t="s">
        <v>215</v>
      </c>
    </row>
    <row r="49456" customFormat="false" ht="12.8" hidden="false" customHeight="false" outlineLevel="0" collapsed="false">
      <c r="B49456" s="0" t="s">
        <v>3028</v>
      </c>
      <c r="C49456" s="0" t="s">
        <v>217</v>
      </c>
      <c r="E49456" s="0" t="s">
        <v>218</v>
      </c>
      <c r="F49456" s="0" t="s">
        <v>219</v>
      </c>
    </row>
    <row r="49457" customFormat="false" ht="12.8" hidden="false" customHeight="false" outlineLevel="0" collapsed="false">
      <c r="B49457" s="0" t="s">
        <v>132</v>
      </c>
      <c r="C49457" s="0" t="s">
        <v>220</v>
      </c>
      <c r="E49457" s="0" t="s">
        <v>221</v>
      </c>
      <c r="F49457" s="0" t="s">
        <v>222</v>
      </c>
    </row>
    <row r="49459" customFormat="false" ht="12.8" hidden="false" customHeight="false" outlineLevel="0" collapsed="false">
      <c r="A49459" s="0" t="s">
        <v>17434</v>
      </c>
      <c r="B49459" s="0" t="str">
        <f aca="false">HYPERLINK("https://lindat.mff.cuni.cz/services/teitok/pdtc10/index.php?action=vallex&amp;frame=v-w7013f4_ZU", "udat (v-w7013f4_ZU)")</f>
        <v>udat (v-w7013f4_ZU)</v>
      </c>
    </row>
    <row r="49460" customFormat="false" ht="12.8" hidden="false" customHeight="false" outlineLevel="0" collapsed="false">
      <c r="B49460" s="0" t="s">
        <v>1</v>
      </c>
    </row>
    <row r="49461" customFormat="false" ht="12.8" hidden="false" customHeight="false" outlineLevel="0" collapsed="false">
      <c r="B49461" s="0" t="s">
        <v>8</v>
      </c>
    </row>
    <row r="49462" customFormat="false" ht="12.8" hidden="false" customHeight="false" outlineLevel="0" collapsed="false">
      <c r="B49462" s="0" t="s">
        <v>52</v>
      </c>
    </row>
    <row r="49464" customFormat="false" ht="12.8" hidden="false" customHeight="false" outlineLevel="0" collapsed="false">
      <c r="A49464" s="0" t="s">
        <v>17434</v>
      </c>
      <c r="B49464" s="0" t="str">
        <f aca="false">HYPERLINK("https://lindat.mff.cuni.cz/services/teitok/pdtc10/index.php?action=vallex&amp;frame=v-w7013hsa_641", "udat (v-w7013hsa_641) - substituted with v-w7013f4_ZU")</f>
        <v>udat (v-w7013hsa_641) - substituted with v-w7013f4_ZU</v>
      </c>
    </row>
    <row r="49465" customFormat="false" ht="12.8" hidden="false" customHeight="false" outlineLevel="0" collapsed="false">
      <c r="B49465" s="0" t="s">
        <v>1</v>
      </c>
    </row>
    <row r="49466" customFormat="false" ht="12.8" hidden="false" customHeight="false" outlineLevel="0" collapsed="false">
      <c r="B49466" s="0" t="s">
        <v>8</v>
      </c>
    </row>
    <row r="49467" customFormat="false" ht="12.8" hidden="false" customHeight="false" outlineLevel="0" collapsed="false">
      <c r="B49467" s="0" t="s">
        <v>52</v>
      </c>
    </row>
    <row r="49469" customFormat="false" ht="12.8" hidden="false" customHeight="false" outlineLevel="0" collapsed="false">
      <c r="A49469" s="0" t="s">
        <v>17435</v>
      </c>
      <c r="B49469" s="0" t="str">
        <f aca="false">HYPERLINK("https://lindat.mff.cuni.cz/services/teitok/pdtc10/index.php?action=vallex&amp;frame=v-w7013hsa_642", "udat (v-w7013hsa_642)")</f>
        <v>udat (v-w7013hsa_642)</v>
      </c>
    </row>
    <row r="49470" customFormat="false" ht="12.8" hidden="false" customHeight="false" outlineLevel="0" collapsed="false">
      <c r="B49470" s="0" t="s">
        <v>1</v>
      </c>
    </row>
    <row r="49471" customFormat="false" ht="12.8" hidden="false" customHeight="false" outlineLevel="0" collapsed="false">
      <c r="B49471" s="0" t="s">
        <v>8</v>
      </c>
    </row>
    <row r="49472" customFormat="false" ht="12.8" hidden="false" customHeight="false" outlineLevel="0" collapsed="false">
      <c r="B49472" s="0" t="s">
        <v>5</v>
      </c>
    </row>
    <row r="49474" customFormat="false" ht="12.8" hidden="false" customHeight="false" outlineLevel="0" collapsed="false">
      <c r="A49474" s="0" t="s">
        <v>17436</v>
      </c>
      <c r="B49474" s="0" t="str">
        <f aca="false">HYPERLINK("https://lindat.mff.cuni.cz/services/teitok/pdtc10/index.php?action=vallex&amp;frame=v-w7013f3_ZU", "udat (v-w7013f3_ZU)")</f>
        <v>udat (v-w7013f3_ZU)</v>
      </c>
    </row>
    <row r="49475" customFormat="false" ht="12.8" hidden="false" customHeight="false" outlineLevel="0" collapsed="false">
      <c r="B49475" s="0" t="s">
        <v>1</v>
      </c>
    </row>
    <row r="49476" customFormat="false" ht="12.8" hidden="false" customHeight="false" outlineLevel="0" collapsed="false">
      <c r="B49476" s="0" t="s">
        <v>17437</v>
      </c>
    </row>
    <row r="49477" customFormat="false" ht="12.8" hidden="false" customHeight="false" outlineLevel="0" collapsed="false">
      <c r="B49477" s="0" t="s">
        <v>157</v>
      </c>
    </row>
    <row r="49479" customFormat="false" ht="12.8" hidden="false" customHeight="false" outlineLevel="0" collapsed="false">
      <c r="A49479" s="0" t="s">
        <v>17436</v>
      </c>
      <c r="B49479" s="0" t="str">
        <f aca="false">HYPERLINK("https://lindat.mff.cuni.cz/services/teitok/pdtc10/index.php?action=vallex&amp;frame=v-w7013hsa_643", "udat (v-w7013hsa_643) - substituted with v-w7013f3_ZU")</f>
        <v>udat (v-w7013hsa_643) - substituted with v-w7013f3_ZU</v>
      </c>
    </row>
    <row r="49480" customFormat="false" ht="12.8" hidden="false" customHeight="false" outlineLevel="0" collapsed="false">
      <c r="B49480" s="0" t="s">
        <v>1</v>
      </c>
    </row>
    <row r="49481" customFormat="false" ht="12.8" hidden="false" customHeight="false" outlineLevel="0" collapsed="false">
      <c r="B49481" s="0" t="s">
        <v>17437</v>
      </c>
    </row>
    <row r="49482" customFormat="false" ht="12.8" hidden="false" customHeight="false" outlineLevel="0" collapsed="false">
      <c r="B49482" s="0" t="s">
        <v>157</v>
      </c>
    </row>
    <row r="49484" customFormat="false" ht="12.8" hidden="false" customHeight="false" outlineLevel="0" collapsed="false">
      <c r="A49484" s="0" t="s">
        <v>17438</v>
      </c>
      <c r="B49484" s="0" t="str">
        <f aca="false">HYPERLINK("https://lindat.mff.cuni.cz/services/teitok/pdtc10/index.php?action=vallex&amp;frame=v-w7026f1", "udeřit (v-w7026f1)")</f>
        <v>udeřit (v-w7026f1)</v>
      </c>
      <c r="E49484" s="0" t="str">
        <f aca="false">HYPERLINK("https://lindat.mff.cuni.cz/services/SynSemClass40/SynSemClass40.html?veclass=vec00441#vec00441-ces-cm00016", "vec00441")</f>
        <v>vec00441</v>
      </c>
      <c r="F49484" s="0" t="s">
        <v>194</v>
      </c>
    </row>
    <row r="49485" customFormat="false" ht="12.8" hidden="false" customHeight="false" outlineLevel="0" collapsed="false">
      <c r="B49485" s="0" t="s">
        <v>1</v>
      </c>
      <c r="C49485" s="0" t="s">
        <v>195</v>
      </c>
      <c r="E49485" s="0" t="s">
        <v>196</v>
      </c>
      <c r="F49485" s="0" t="s">
        <v>197</v>
      </c>
    </row>
    <row r="49486" customFormat="false" ht="12.8" hidden="false" customHeight="false" outlineLevel="0" collapsed="false">
      <c r="B49486" s="0" t="s">
        <v>8</v>
      </c>
      <c r="C49486" s="0" t="s">
        <v>198</v>
      </c>
      <c r="E49486" s="0" t="s">
        <v>199</v>
      </c>
      <c r="F49486" s="0" t="s">
        <v>200</v>
      </c>
    </row>
    <row r="49488" customFormat="false" ht="12.8" hidden="false" customHeight="false" outlineLevel="0" collapsed="false">
      <c r="A49488" s="0" t="s">
        <v>17439</v>
      </c>
      <c r="B49488" s="0" t="str">
        <f aca="false">HYPERLINK("https://lindat.mff.cuni.cz/services/teitok/pdtc10/index.php?action=vallex&amp;frame=v-w7026f3", "udeřit (v-w7026f3)")</f>
        <v>udeřit (v-w7026f3)</v>
      </c>
    </row>
    <row r="49489" customFormat="false" ht="12.8" hidden="false" customHeight="false" outlineLevel="0" collapsed="false">
      <c r="B49489" s="0" t="s">
        <v>1</v>
      </c>
    </row>
    <row r="49490" customFormat="false" ht="12.8" hidden="false" customHeight="false" outlineLevel="0" collapsed="false">
      <c r="B49490" s="0" t="s">
        <v>14730</v>
      </c>
    </row>
    <row r="49492" customFormat="false" ht="12.8" hidden="false" customHeight="false" outlineLevel="0" collapsed="false">
      <c r="A49492" s="0" t="s">
        <v>17440</v>
      </c>
      <c r="B49492" s="0" t="str">
        <f aca="false">HYPERLINK("https://lindat.mff.cuni.cz/services/teitok/pdtc10/index.php?action=vallex&amp;frame=v-w7026f2", "udeřit (v-w7026f2)")</f>
        <v>udeřit (v-w7026f2)</v>
      </c>
    </row>
    <row r="49493" customFormat="false" ht="12.8" hidden="false" customHeight="false" outlineLevel="0" collapsed="false">
      <c r="B49493" s="0" t="s">
        <v>1</v>
      </c>
    </row>
    <row r="49494" customFormat="false" ht="12.8" hidden="false" customHeight="false" outlineLevel="0" collapsed="false">
      <c r="B49494" s="0" t="s">
        <v>164</v>
      </c>
    </row>
    <row r="49496" customFormat="false" ht="12.8" hidden="false" customHeight="false" outlineLevel="0" collapsed="false">
      <c r="A49496" s="0" t="s">
        <v>17441</v>
      </c>
      <c r="B49496" s="0" t="str">
        <f aca="false">HYPERLINK("https://lindat.mff.cuni.cz/services/teitok/pdtc10/index.php?action=vallex&amp;frame=v-w7026f7_ZU", "udeřit (v-w7026f7_ZU)")</f>
        <v>udeřit (v-w7026f7_ZU)</v>
      </c>
    </row>
    <row r="49497" customFormat="false" ht="12.8" hidden="false" customHeight="false" outlineLevel="0" collapsed="false">
      <c r="B49497" s="0" t="s">
        <v>1</v>
      </c>
    </row>
    <row r="49499" customFormat="false" ht="12.8" hidden="false" customHeight="false" outlineLevel="0" collapsed="false">
      <c r="A49499" s="0" t="s">
        <v>17441</v>
      </c>
      <c r="B49499" s="0" t="str">
        <f aca="false">HYPERLINK("https://lindat.mff.cuni.cz/services/teitok/pdtc10/index.php?action=vallex&amp;frame=v-w7026f5_ZU", "udeřit (v-w7026f5_ZU) - substituted with v-w7026f7_ZU")</f>
        <v>udeřit (v-w7026f5_ZU) - substituted with v-w7026f7_ZU</v>
      </c>
    </row>
    <row r="49500" customFormat="false" ht="12.8" hidden="false" customHeight="false" outlineLevel="0" collapsed="false">
      <c r="B49500" s="0" t="s">
        <v>1</v>
      </c>
    </row>
    <row r="49502" customFormat="false" ht="12.8" hidden="false" customHeight="false" outlineLevel="0" collapsed="false">
      <c r="A49502" s="0" t="s">
        <v>17441</v>
      </c>
      <c r="B49502" s="0" t="str">
        <f aca="false">HYPERLINK("https://lindat.mff.cuni.cz/services/teitok/pdtc10/index.php?action=vallex&amp;frame=v-w7026f6_ZU", "udeřit (v-w7026f6_ZU) - substituted with v-w7026f7_ZU")</f>
        <v>udeřit (v-w7026f6_ZU) - substituted with v-w7026f7_ZU</v>
      </c>
    </row>
    <row r="49503" customFormat="false" ht="12.8" hidden="false" customHeight="false" outlineLevel="0" collapsed="false">
      <c r="B49503" s="0" t="s">
        <v>1</v>
      </c>
    </row>
    <row r="49505" customFormat="false" ht="12.8" hidden="false" customHeight="false" outlineLevel="0" collapsed="false">
      <c r="A49505" s="0" t="s">
        <v>17442</v>
      </c>
      <c r="B49505" s="0" t="str">
        <f aca="false">HYPERLINK("https://lindat.mff.cuni.cz/services/teitok/pdtc10/index.php?action=vallex&amp;frame=v-w7026f4_ZU", "udeřit (v-w7026f4_ZU)")</f>
        <v>udeřit (v-w7026f4_ZU)</v>
      </c>
    </row>
    <row r="49506" customFormat="false" ht="12.8" hidden="false" customHeight="false" outlineLevel="0" collapsed="false">
      <c r="B49506" s="0" t="s">
        <v>1</v>
      </c>
    </row>
    <row r="49508" customFormat="false" ht="12.8" hidden="false" customHeight="false" outlineLevel="0" collapsed="false">
      <c r="A49508" s="0" t="s">
        <v>17443</v>
      </c>
      <c r="B49508" s="0" t="str">
        <f aca="false">HYPERLINK("https://lindat.mff.cuni.cz/services/teitok/pdtc10/index.php?action=vallex&amp;frame=v-w7027f1", "udeřit se (v-w7027f1)")</f>
        <v>udeřit se (v-w7027f1)</v>
      </c>
    </row>
    <row r="49509" customFormat="false" ht="12.8" hidden="false" customHeight="false" outlineLevel="0" collapsed="false">
      <c r="B49509" s="0" t="s">
        <v>1</v>
      </c>
    </row>
    <row r="49511" customFormat="false" ht="12.8" hidden="false" customHeight="false" outlineLevel="0" collapsed="false">
      <c r="A49511" s="0" t="s">
        <v>17444</v>
      </c>
      <c r="B49511" s="0" t="str">
        <f aca="false">HYPERLINK("https://lindat.mff.cuni.cz/services/teitok/pdtc10/index.php?action=vallex&amp;frame=v-w11021f2", "udit (v-w11021f2)")</f>
        <v>udit (v-w11021f2)</v>
      </c>
    </row>
    <row r="49512" customFormat="false" ht="12.8" hidden="false" customHeight="false" outlineLevel="0" collapsed="false">
      <c r="B49512" s="0" t="s">
        <v>1</v>
      </c>
    </row>
    <row r="49513" customFormat="false" ht="12.8" hidden="false" customHeight="false" outlineLevel="0" collapsed="false">
      <c r="B49513" s="0" t="s">
        <v>8</v>
      </c>
    </row>
    <row r="49515" customFormat="false" ht="12.8" hidden="false" customHeight="false" outlineLevel="0" collapsed="false">
      <c r="A49515" s="0" t="s">
        <v>17445</v>
      </c>
      <c r="B49515" s="0" t="str">
        <f aca="false">HYPERLINK("https://lindat.mff.cuni.cz/services/teitok/pdtc10/index.php?action=vallex&amp;frame=v-w7030f1", "udivit (v-w7030f1)")</f>
        <v>udivit (v-w7030f1)</v>
      </c>
      <c r="E49515" s="0" t="str">
        <f aca="false">HYPERLINK("https://lindat.mff.cuni.cz/services/SynSemClass40/SynSemClass40.html?veclass=vec01209#vec01209-ces-cm00005", "vec01209")</f>
        <v>vec01209</v>
      </c>
      <c r="F49515" s="0" t="s">
        <v>1101</v>
      </c>
      <c r="H49515" s="0" t="str">
        <f aca="false">HYPERLINK("https://lindat.mff.cuni.cz/services/SynSemClass40/SynSemClass40.html?veclass=vec01506#vec01506-ces-cm00013", "vec01506")</f>
        <v>vec01506</v>
      </c>
      <c r="I49515" s="0" t="s">
        <v>5550</v>
      </c>
    </row>
    <row r="49516" customFormat="false" ht="12.8" hidden="false" customHeight="false" outlineLevel="0" collapsed="false">
      <c r="B49516" s="0" t="s">
        <v>944</v>
      </c>
      <c r="C49516" s="0" t="s">
        <v>5551</v>
      </c>
      <c r="E49516" s="0" t="s">
        <v>1103</v>
      </c>
      <c r="F49516" s="0" t="s">
        <v>1104</v>
      </c>
      <c r="H49516" s="0" t="s">
        <v>266</v>
      </c>
      <c r="I49516" s="0" t="s">
        <v>5552</v>
      </c>
    </row>
    <row r="49517" customFormat="false" ht="12.8" hidden="false" customHeight="false" outlineLevel="0" collapsed="false">
      <c r="B49517" s="0" t="s">
        <v>8</v>
      </c>
      <c r="C49517" s="0" t="s">
        <v>5553</v>
      </c>
      <c r="E49517" s="0" t="s">
        <v>1930</v>
      </c>
      <c r="F49517" s="0" t="s">
        <v>17446</v>
      </c>
      <c r="H49517" s="0" t="s">
        <v>271</v>
      </c>
      <c r="I49517" s="0" t="s">
        <v>5554</v>
      </c>
    </row>
    <row r="49519" customFormat="false" ht="12.8" hidden="false" customHeight="false" outlineLevel="0" collapsed="false">
      <c r="A49519" s="0" t="s">
        <v>17447</v>
      </c>
      <c r="B49519" s="0" t="str">
        <f aca="false">HYPERLINK("https://lindat.mff.cuni.cz/services/teitok/pdtc10/index.php?action=vallex&amp;frame=v-w7031f1", "udivovat (v-w7031f1)")</f>
        <v>udivovat (v-w7031f1)</v>
      </c>
      <c r="E49519" s="0" t="str">
        <f aca="false">HYPERLINK("https://lindat.mff.cuni.cz/services/SynSemClass40/SynSemClass40.html?veclass=vec01209#vec01209-ces-cm00006", "vec01209")</f>
        <v>vec01209</v>
      </c>
      <c r="F49519" s="0" t="s">
        <v>1101</v>
      </c>
    </row>
    <row r="49520" customFormat="false" ht="12.8" hidden="false" customHeight="false" outlineLevel="0" collapsed="false">
      <c r="B49520" s="0" t="s">
        <v>944</v>
      </c>
      <c r="E49520" s="0" t="s">
        <v>1103</v>
      </c>
      <c r="F49520" s="0" t="s">
        <v>1104</v>
      </c>
    </row>
    <row r="49521" customFormat="false" ht="12.8" hidden="false" customHeight="false" outlineLevel="0" collapsed="false">
      <c r="B49521" s="0" t="s">
        <v>8</v>
      </c>
      <c r="E49521" s="0" t="s">
        <v>1930</v>
      </c>
      <c r="F49521" s="0" t="s">
        <v>17446</v>
      </c>
    </row>
    <row r="49523" customFormat="false" ht="12.8" hidden="false" customHeight="false" outlineLevel="0" collapsed="false">
      <c r="A49523" s="0" t="s">
        <v>17448</v>
      </c>
      <c r="B49523" s="0" t="str">
        <f aca="false">HYPERLINK("https://lindat.mff.cuni.cz/services/teitok/pdtc10/index.php?action=vallex&amp;frame=v-w12207_ZUf1_ZU", "udobřit se (v-w12207_ZUf1_ZU)")</f>
        <v>udobřit se (v-w12207_ZUf1_ZU)</v>
      </c>
    </row>
    <row r="49524" customFormat="false" ht="12.8" hidden="false" customHeight="false" outlineLevel="0" collapsed="false">
      <c r="B49524" s="0" t="s">
        <v>1</v>
      </c>
    </row>
    <row r="49525" customFormat="false" ht="12.8" hidden="false" customHeight="false" outlineLevel="0" collapsed="false">
      <c r="B49525" s="0" t="s">
        <v>721</v>
      </c>
    </row>
    <row r="49527" customFormat="false" ht="12.8" hidden="false" customHeight="false" outlineLevel="0" collapsed="false">
      <c r="A49527" s="0" t="s">
        <v>17449</v>
      </c>
      <c r="B49527" s="0" t="str">
        <f aca="false">HYPERLINK("https://lindat.mff.cuni.cz/services/teitok/pdtc10/index.php?action=vallex&amp;frame=v-whsa_661hsa_662", "udolat (v-whsa_661hsa_662)")</f>
        <v>udolat (v-whsa_661hsa_662)</v>
      </c>
      <c r="E49527" s="0" t="str">
        <f aca="false">HYPERLINK("https://lindat.mff.cuni.cz/services/SynSemClass40/SynSemClass40.html?veclass=vec00279#vec00279-ces-cm00076", "vec00279")</f>
        <v>vec00279</v>
      </c>
      <c r="F49527" s="0" t="s">
        <v>9067</v>
      </c>
      <c r="H49527" s="0" t="str">
        <f aca="false">HYPERLINK("https://lindat.mff.cuni.cz/services/SynSemClass40/SynSemClass40.html?veclass=vec00389#vec00389-ces-cm00049", "vec00389")</f>
        <v>vec00389</v>
      </c>
      <c r="I49527" s="0" t="s">
        <v>1888</v>
      </c>
    </row>
    <row r="49528" customFormat="false" ht="12.8" hidden="false" customHeight="false" outlineLevel="0" collapsed="false">
      <c r="B49528" s="0" t="s">
        <v>1</v>
      </c>
      <c r="C49528" s="0" t="s">
        <v>17450</v>
      </c>
      <c r="E49528" s="0" t="s">
        <v>11</v>
      </c>
      <c r="F49528" s="0" t="s">
        <v>9069</v>
      </c>
      <c r="H49528" s="0" t="s">
        <v>1890</v>
      </c>
      <c r="I49528" s="0" t="s">
        <v>1891</v>
      </c>
    </row>
    <row r="49529" customFormat="false" ht="12.8" hidden="false" customHeight="false" outlineLevel="0" collapsed="false">
      <c r="B49529" s="0" t="s">
        <v>8</v>
      </c>
      <c r="C49529" s="0" t="s">
        <v>17451</v>
      </c>
      <c r="E49529" s="0" t="s">
        <v>7635</v>
      </c>
      <c r="F49529" s="0" t="s">
        <v>9071</v>
      </c>
      <c r="H49529" s="0" t="s">
        <v>1893</v>
      </c>
      <c r="I49529" s="0" t="s">
        <v>1894</v>
      </c>
    </row>
    <row r="49531" customFormat="false" ht="12.8" hidden="false" customHeight="false" outlineLevel="0" collapsed="false">
      <c r="A49531" s="0" t="s">
        <v>17452</v>
      </c>
      <c r="B49531" s="0" t="str">
        <f aca="false">HYPERLINK("https://lindat.mff.cuni.cz/services/teitok/pdtc10/index.php?action=vallex&amp;frame=v-w7034f9_ZU", "udržet (v-w7034f9_ZU)")</f>
        <v>udržet (v-w7034f9_ZU)</v>
      </c>
      <c r="E49531" s="0" t="str">
        <f aca="false">HYPERLINK("https://lindat.mff.cuni.cz/services/SynSemClass40/SynSemClass40.html?veclass=vec00014#vec00014-ces-cm00026", "vec00014")</f>
        <v>vec00014</v>
      </c>
      <c r="F49531" s="0" t="s">
        <v>3240</v>
      </c>
    </row>
    <row r="49532" customFormat="false" ht="12.8" hidden="false" customHeight="false" outlineLevel="0" collapsed="false">
      <c r="B49532" s="0" t="s">
        <v>1</v>
      </c>
      <c r="C49532" s="0" t="s">
        <v>3241</v>
      </c>
      <c r="E49532" s="0" t="s">
        <v>31</v>
      </c>
      <c r="F49532" s="0" t="s">
        <v>3242</v>
      </c>
    </row>
    <row r="49533" customFormat="false" ht="12.8" hidden="false" customHeight="false" outlineLevel="0" collapsed="false">
      <c r="B49533" s="0" t="s">
        <v>8</v>
      </c>
      <c r="C49533" s="0" t="s">
        <v>3243</v>
      </c>
      <c r="E49533" s="0" t="s">
        <v>34</v>
      </c>
      <c r="F49533" s="0" t="s">
        <v>3244</v>
      </c>
    </row>
    <row r="49534" customFormat="false" ht="12.8" hidden="false" customHeight="false" outlineLevel="0" collapsed="false">
      <c r="B49534" s="0" t="s">
        <v>6918</v>
      </c>
      <c r="C49534" s="0" t="s">
        <v>17453</v>
      </c>
      <c r="E49534" s="0" t="s">
        <v>17454</v>
      </c>
      <c r="F49534" s="0" t="s">
        <v>17455</v>
      </c>
    </row>
    <row r="49536" customFormat="false" ht="12.8" hidden="false" customHeight="false" outlineLevel="0" collapsed="false">
      <c r="A49536" s="0" t="s">
        <v>17452</v>
      </c>
      <c r="B49536" s="0" t="str">
        <f aca="false">HYPERLINK("https://lindat.mff.cuni.cz/services/teitok/pdtc10/index.php?action=vallex&amp;frame=v-w7034f5", "udržet (v-w7034f5) - substituted with v-w7034f9_ZU")</f>
        <v>udržet (v-w7034f5) - substituted with v-w7034f9_ZU</v>
      </c>
    </row>
    <row r="49537" customFormat="false" ht="12.8" hidden="false" customHeight="false" outlineLevel="0" collapsed="false">
      <c r="B49537" s="0" t="s">
        <v>1</v>
      </c>
    </row>
    <row r="49538" customFormat="false" ht="12.8" hidden="false" customHeight="false" outlineLevel="0" collapsed="false">
      <c r="B49538" s="0" t="s">
        <v>8</v>
      </c>
    </row>
    <row r="49539" customFormat="false" ht="12.8" hidden="false" customHeight="false" outlineLevel="0" collapsed="false">
      <c r="B49539" s="0" t="s">
        <v>6918</v>
      </c>
    </row>
    <row r="49541" customFormat="false" ht="12.8" hidden="false" customHeight="false" outlineLevel="0" collapsed="false">
      <c r="A49541" s="0" t="s">
        <v>17456</v>
      </c>
      <c r="B49541" s="0" t="str">
        <f aca="false">HYPERLINK("https://lindat.mff.cuni.cz/services/teitok/pdtc10/index.php?action=vallex&amp;frame=v-w7034f3", "udržet (v-w7034f3)")</f>
        <v>udržet (v-w7034f3)</v>
      </c>
    </row>
    <row r="49542" customFormat="false" ht="12.8" hidden="false" customHeight="false" outlineLevel="0" collapsed="false">
      <c r="B49542" s="0" t="s">
        <v>1</v>
      </c>
    </row>
    <row r="49543" customFormat="false" ht="12.8" hidden="false" customHeight="false" outlineLevel="0" collapsed="false">
      <c r="B49543" s="0" t="s">
        <v>8</v>
      </c>
    </row>
    <row r="49544" customFormat="false" ht="12.8" hidden="false" customHeight="false" outlineLevel="0" collapsed="false">
      <c r="B49544" s="0" t="s">
        <v>5</v>
      </c>
    </row>
    <row r="49546" customFormat="false" ht="12.8" hidden="false" customHeight="false" outlineLevel="0" collapsed="false">
      <c r="A49546" s="0" t="s">
        <v>17457</v>
      </c>
      <c r="B49546" s="0" t="str">
        <f aca="false">HYPERLINK("https://lindat.mff.cuni.cz/services/teitok/pdtc10/index.php?action=vallex&amp;frame=v-w7034f1", "udržet (v-w7034f1)")</f>
        <v>udržet (v-w7034f1)</v>
      </c>
      <c r="E49546" s="0" t="str">
        <f aca="false">HYPERLINK("https://lindat.mff.cuni.cz/services/SynSemClass40/SynSemClass40.html?veclass=vec00176#vec00176-ces-cm00057", "vec00176")</f>
        <v>vec00176</v>
      </c>
      <c r="F49546" s="0" t="s">
        <v>3272</v>
      </c>
    </row>
    <row r="49547" customFormat="false" ht="12.8" hidden="false" customHeight="false" outlineLevel="0" collapsed="false">
      <c r="B49547" s="0" t="s">
        <v>1</v>
      </c>
      <c r="C49547" s="0" t="s">
        <v>10870</v>
      </c>
      <c r="E49547" s="0" t="s">
        <v>3275</v>
      </c>
      <c r="F49547" s="0" t="s">
        <v>3276</v>
      </c>
    </row>
    <row r="49548" customFormat="false" ht="12.8" hidden="false" customHeight="false" outlineLevel="0" collapsed="false">
      <c r="B49548" s="0" t="s">
        <v>8</v>
      </c>
      <c r="C49548" s="0" t="s">
        <v>10871</v>
      </c>
      <c r="E49548" s="0" t="s">
        <v>3279</v>
      </c>
      <c r="F49548" s="0" t="s">
        <v>3280</v>
      </c>
    </row>
    <row r="49550" customFormat="false" ht="12.8" hidden="false" customHeight="false" outlineLevel="0" collapsed="false">
      <c r="A49550" s="0" t="s">
        <v>17458</v>
      </c>
      <c r="B49550" s="0" t="str">
        <f aca="false">HYPERLINK("https://lindat.mff.cuni.cz/services/teitok/pdtc10/index.php?action=vallex&amp;frame=v-w7034f2", "udržet (v-w7034f2)")</f>
        <v>udržet (v-w7034f2)</v>
      </c>
      <c r="E49550" s="0" t="str">
        <f aca="false">HYPERLINK("https://lindat.mff.cuni.cz/services/SynSemClass40/SynSemClass40.html?veclass=vec01396#vec01396-ces-cm00008", "vec01396")</f>
        <v>vec01396</v>
      </c>
      <c r="F49550" s="0" t="s">
        <v>3257</v>
      </c>
    </row>
    <row r="49551" customFormat="false" ht="12.8" hidden="false" customHeight="false" outlineLevel="0" collapsed="false">
      <c r="B49551" s="0" t="s">
        <v>1</v>
      </c>
      <c r="C49551" s="0" t="s">
        <v>3258</v>
      </c>
      <c r="E49551" s="0" t="s">
        <v>11</v>
      </c>
      <c r="F49551" s="0" t="s">
        <v>3259</v>
      </c>
    </row>
    <row r="49552" customFormat="false" ht="12.8" hidden="false" customHeight="false" outlineLevel="0" collapsed="false">
      <c r="B49552" s="0" t="s">
        <v>8</v>
      </c>
      <c r="C49552" s="0" t="s">
        <v>3260</v>
      </c>
      <c r="E49552" s="0" t="s">
        <v>514</v>
      </c>
      <c r="F49552" s="0" t="s">
        <v>3261</v>
      </c>
    </row>
    <row r="49554" customFormat="false" ht="12.8" hidden="false" customHeight="false" outlineLevel="0" collapsed="false">
      <c r="A49554" s="0" t="s">
        <v>17459</v>
      </c>
      <c r="B49554" s="0" t="str">
        <f aca="false">HYPERLINK("https://lindat.mff.cuni.cz/services/teitok/pdtc10/index.php?action=vallex&amp;frame=v-w7034f4", "udržet (v-w7034f4)")</f>
        <v>udržet (v-w7034f4)</v>
      </c>
      <c r="E49554" s="0" t="str">
        <f aca="false">HYPERLINK("https://lindat.mff.cuni.cz/services/SynSemClass40/SynSemClass40.html?veclass=vec00014#vec00014-ces-cm00025", "vec00014")</f>
        <v>vec00014</v>
      </c>
      <c r="F49554" s="0" t="s">
        <v>3240</v>
      </c>
    </row>
    <row r="49555" customFormat="false" ht="12.8" hidden="false" customHeight="false" outlineLevel="0" collapsed="false">
      <c r="B49555" s="0" t="s">
        <v>1</v>
      </c>
      <c r="C49555" s="0" t="s">
        <v>3241</v>
      </c>
      <c r="E49555" s="0" t="s">
        <v>31</v>
      </c>
      <c r="F49555" s="0" t="s">
        <v>3242</v>
      </c>
    </row>
    <row r="49556" customFormat="false" ht="12.8" hidden="false" customHeight="false" outlineLevel="0" collapsed="false">
      <c r="B49556" s="0" t="s">
        <v>8</v>
      </c>
      <c r="C49556" s="0" t="s">
        <v>3243</v>
      </c>
      <c r="E49556" s="0" t="s">
        <v>34</v>
      </c>
      <c r="F49556" s="0" t="s">
        <v>3244</v>
      </c>
    </row>
    <row r="49557" customFormat="false" ht="12.8" hidden="false" customHeight="false" outlineLevel="0" collapsed="false">
      <c r="B49557" s="0" t="s">
        <v>6510</v>
      </c>
      <c r="C49557" s="0" t="s">
        <v>3246</v>
      </c>
      <c r="E49557" s="0" t="s">
        <v>17460</v>
      </c>
      <c r="F49557" s="0" t="s">
        <v>17461</v>
      </c>
    </row>
    <row r="49558" customFormat="false" ht="12.8" hidden="false" customHeight="false" outlineLevel="0" collapsed="false">
      <c r="B49558" s="0" t="s">
        <v>8124</v>
      </c>
      <c r="C49558" s="0" t="s">
        <v>17462</v>
      </c>
      <c r="E49558" s="0" t="s">
        <v>17460</v>
      </c>
      <c r="F49558" s="0" t="s">
        <v>17461</v>
      </c>
    </row>
    <row r="49560" customFormat="false" ht="12.8" hidden="false" customHeight="false" outlineLevel="0" collapsed="false">
      <c r="A49560" s="0" t="s">
        <v>17463</v>
      </c>
      <c r="B49560" s="0" t="str">
        <f aca="false">HYPERLINK("https://lindat.mff.cuni.cz/services/teitok/pdtc10/index.php?action=vallex&amp;frame=v-w7034f6_ZU", "udržet (v-w7034f6_ZU)")</f>
        <v>udržet (v-w7034f6_ZU)</v>
      </c>
      <c r="E49560" s="0" t="str">
        <f aca="false">HYPERLINK("https://lindat.mff.cuni.cz/services/SynSemClass40/SynSemClass40.html?veclass=vec00412#vec00412-ces-cm00011", "vec00412")</f>
        <v>vec00412</v>
      </c>
      <c r="F49560" s="0" t="s">
        <v>3287</v>
      </c>
    </row>
    <row r="49561" customFormat="false" ht="12.8" hidden="false" customHeight="false" outlineLevel="0" collapsed="false">
      <c r="B49561" s="0" t="s">
        <v>1</v>
      </c>
      <c r="C49561" s="0" t="s">
        <v>3288</v>
      </c>
      <c r="E49561" s="0" t="s">
        <v>2241</v>
      </c>
      <c r="F49561" s="0" t="s">
        <v>3289</v>
      </c>
    </row>
    <row r="49562" customFormat="false" ht="12.8" hidden="false" customHeight="false" outlineLevel="0" collapsed="false">
      <c r="B49562" s="0" t="s">
        <v>3290</v>
      </c>
    </row>
    <row r="49563" customFormat="false" ht="12.8" hidden="false" customHeight="false" outlineLevel="0" collapsed="false">
      <c r="B49563" s="0" t="s">
        <v>721</v>
      </c>
      <c r="C49563" s="0" t="s">
        <v>3291</v>
      </c>
      <c r="E49563" s="0" t="s">
        <v>2665</v>
      </c>
      <c r="F49563" s="0" t="s">
        <v>3292</v>
      </c>
    </row>
    <row r="49565" customFormat="false" ht="12.8" hidden="false" customHeight="false" outlineLevel="0" collapsed="false">
      <c r="A49565" s="0" t="s">
        <v>17463</v>
      </c>
      <c r="B49565" s="0" t="str">
        <f aca="false">HYPERLINK("https://lindat.mff.cuni.cz/services/teitok/pdtc10/index.php?action=vallex&amp;frame=v-w7034hsa_207", "udržet (v-w7034hsa_207) - substituted with v-w7034f6_ZU")</f>
        <v>udržet (v-w7034hsa_207) - substituted with v-w7034f6_ZU</v>
      </c>
    </row>
    <row r="49566" customFormat="false" ht="12.8" hidden="false" customHeight="false" outlineLevel="0" collapsed="false">
      <c r="B49566" s="0" t="s">
        <v>1</v>
      </c>
    </row>
    <row r="49567" customFormat="false" ht="12.8" hidden="false" customHeight="false" outlineLevel="0" collapsed="false">
      <c r="B49567" s="0" t="s">
        <v>3290</v>
      </c>
    </row>
    <row r="49568" customFormat="false" ht="12.8" hidden="false" customHeight="false" outlineLevel="0" collapsed="false">
      <c r="B49568" s="0" t="s">
        <v>721</v>
      </c>
    </row>
    <row r="49570" customFormat="false" ht="12.8" hidden="false" customHeight="false" outlineLevel="0" collapsed="false">
      <c r="A49570" s="0" t="s">
        <v>17464</v>
      </c>
      <c r="B49570" s="0" t="str">
        <f aca="false">HYPERLINK("https://lindat.mff.cuni.cz/services/teitok/pdtc10/index.php?action=vallex&amp;frame=v-w7034f7_ZU", "udržet (v-w7034f7_ZU)")</f>
        <v>udržet (v-w7034f7_ZU)</v>
      </c>
    </row>
    <row r="49571" customFormat="false" ht="12.8" hidden="false" customHeight="false" outlineLevel="0" collapsed="false">
      <c r="B49571" s="0" t="s">
        <v>1</v>
      </c>
    </row>
    <row r="49572" customFormat="false" ht="12.8" hidden="false" customHeight="false" outlineLevel="0" collapsed="false">
      <c r="B49572" s="0" t="s">
        <v>3296</v>
      </c>
    </row>
    <row r="49573" customFormat="false" ht="12.8" hidden="false" customHeight="false" outlineLevel="0" collapsed="false">
      <c r="B49573" s="0" t="s">
        <v>8</v>
      </c>
    </row>
    <row r="49575" customFormat="false" ht="12.8" hidden="false" customHeight="false" outlineLevel="0" collapsed="false">
      <c r="A49575" s="0" t="s">
        <v>17464</v>
      </c>
      <c r="B49575" s="0" t="str">
        <f aca="false">HYPERLINK("https://lindat.mff.cuni.cz/services/teitok/pdtc10/index.php?action=vallex&amp;frame=v-w7034hsa_208", "udržet (v-w7034hsa_208) - substituted with v-w7034f7_ZU")</f>
        <v>udržet (v-w7034hsa_208) - substituted with v-w7034f7_ZU</v>
      </c>
    </row>
    <row r="49576" customFormat="false" ht="12.8" hidden="false" customHeight="false" outlineLevel="0" collapsed="false">
      <c r="B49576" s="0" t="s">
        <v>1</v>
      </c>
    </row>
    <row r="49577" customFormat="false" ht="12.8" hidden="false" customHeight="false" outlineLevel="0" collapsed="false">
      <c r="B49577" s="0" t="s">
        <v>3296</v>
      </c>
    </row>
    <row r="49578" customFormat="false" ht="12.8" hidden="false" customHeight="false" outlineLevel="0" collapsed="false">
      <c r="B49578" s="0" t="s">
        <v>8</v>
      </c>
    </row>
    <row r="49580" customFormat="false" ht="12.8" hidden="false" customHeight="false" outlineLevel="0" collapsed="false">
      <c r="A49580" s="0" t="s">
        <v>17465</v>
      </c>
      <c r="B49580" s="0" t="str">
        <f aca="false">HYPERLINK("https://lindat.mff.cuni.cz/services/teitok/pdtc10/index.php?action=vallex&amp;frame=v-w7034f8_ZU", "udržet (v-w7034f8_ZU)")</f>
        <v>udržet (v-w7034f8_ZU)</v>
      </c>
      <c r="E49580" s="0" t="str">
        <f aca="false">HYPERLINK("https://lindat.mff.cuni.cz/services/SynSemClass40/SynSemClass40.html?veclass=vec00412#vec00412-ces-cm00012", "vec00412")</f>
        <v>vec00412</v>
      </c>
      <c r="F49580" s="0" t="s">
        <v>3287</v>
      </c>
    </row>
    <row r="49581" customFormat="false" ht="12.8" hidden="false" customHeight="false" outlineLevel="0" collapsed="false">
      <c r="B49581" s="0" t="s">
        <v>1</v>
      </c>
      <c r="C49581" s="0" t="s">
        <v>3288</v>
      </c>
      <c r="E49581" s="0" t="s">
        <v>2241</v>
      </c>
      <c r="F49581" s="0" t="s">
        <v>3289</v>
      </c>
    </row>
    <row r="49582" customFormat="false" ht="12.8" hidden="false" customHeight="false" outlineLevel="0" collapsed="false">
      <c r="B49582" s="0" t="s">
        <v>17466</v>
      </c>
    </row>
    <row r="49583" customFormat="false" ht="12.8" hidden="false" customHeight="false" outlineLevel="0" collapsed="false">
      <c r="B49583" s="0" t="s">
        <v>721</v>
      </c>
      <c r="C49583" s="0" t="s">
        <v>3291</v>
      </c>
      <c r="E49583" s="0" t="s">
        <v>2665</v>
      </c>
      <c r="F49583" s="0" t="s">
        <v>3292</v>
      </c>
    </row>
    <row r="49585" customFormat="false" ht="12.8" hidden="false" customHeight="false" outlineLevel="0" collapsed="false">
      <c r="A49585" s="0" t="s">
        <v>17465</v>
      </c>
      <c r="B49585" s="0" t="str">
        <f aca="false">HYPERLINK("https://lindat.mff.cuni.cz/services/teitok/pdtc10/index.php?action=vallex&amp;frame=v-w7034hsa_209", "udržet (v-w7034hsa_209) - substituted with v-w7034f8_ZU")</f>
        <v>udržet (v-w7034hsa_209) - substituted with v-w7034f8_ZU</v>
      </c>
    </row>
    <row r="49586" customFormat="false" ht="12.8" hidden="false" customHeight="false" outlineLevel="0" collapsed="false">
      <c r="B49586" s="0" t="s">
        <v>1</v>
      </c>
    </row>
    <row r="49587" customFormat="false" ht="12.8" hidden="false" customHeight="false" outlineLevel="0" collapsed="false">
      <c r="B49587" s="0" t="s">
        <v>17466</v>
      </c>
    </row>
    <row r="49588" customFormat="false" ht="12.8" hidden="false" customHeight="false" outlineLevel="0" collapsed="false">
      <c r="B49588" s="0" t="s">
        <v>721</v>
      </c>
    </row>
    <row r="49590" customFormat="false" ht="12.8" hidden="false" customHeight="false" outlineLevel="0" collapsed="false">
      <c r="A49590" s="0" t="s">
        <v>17467</v>
      </c>
      <c r="B49590" s="0" t="str">
        <f aca="false">HYPERLINK("https://lindat.mff.cuni.cz/services/teitok/pdtc10/index.php?action=vallex&amp;frame=v-w7035f1", "udržet se (v-w7035f1)")</f>
        <v>udržet se (v-w7035f1)</v>
      </c>
      <c r="E49590" s="0" t="str">
        <f aca="false">HYPERLINK("https://lindat.mff.cuni.cz/services/SynSemClass40/SynSemClass40.html?veclass=vec00394#vec00394-ces-cm00063", "vec00394")</f>
        <v>vec00394</v>
      </c>
      <c r="F49590" s="0" t="s">
        <v>3338</v>
      </c>
    </row>
    <row r="49591" customFormat="false" ht="12.8" hidden="false" customHeight="false" outlineLevel="0" collapsed="false">
      <c r="B49591" s="0" t="s">
        <v>1</v>
      </c>
      <c r="C49591" s="0" t="s">
        <v>3345</v>
      </c>
      <c r="E49591" s="0" t="s">
        <v>11</v>
      </c>
      <c r="F49591" s="0" t="s">
        <v>3340</v>
      </c>
    </row>
    <row r="49592" customFormat="false" ht="12.8" hidden="false" customHeight="false" outlineLevel="0" collapsed="false">
      <c r="B49592" s="0" t="s">
        <v>5</v>
      </c>
      <c r="C49592" s="0" t="s">
        <v>3346</v>
      </c>
      <c r="E49592" s="0" t="s">
        <v>3254</v>
      </c>
      <c r="F49592" s="0" t="s">
        <v>3343</v>
      </c>
    </row>
    <row r="49594" customFormat="false" ht="12.8" hidden="false" customHeight="false" outlineLevel="0" collapsed="false">
      <c r="A49594" s="0" t="s">
        <v>17468</v>
      </c>
      <c r="B49594" s="0" t="str">
        <f aca="false">HYPERLINK("https://lindat.mff.cuni.cz/services/teitok/pdtc10/index.php?action=vallex&amp;frame=v-w7035f2", "udržet se (v-w7035f2)")</f>
        <v>udržet se (v-w7035f2)</v>
      </c>
      <c r="E49594" s="0" t="str">
        <f aca="false">HYPERLINK("https://lindat.mff.cuni.cz/services/SynSemClass40/SynSemClass40.html?veclass=vec00394#vec00394-ces-cm00053", "vec00394")</f>
        <v>vec00394</v>
      </c>
      <c r="F49594" s="0" t="s">
        <v>3338</v>
      </c>
    </row>
    <row r="49595" customFormat="false" ht="12.8" hidden="false" customHeight="false" outlineLevel="0" collapsed="false">
      <c r="B49595" s="0" t="s">
        <v>1</v>
      </c>
      <c r="C49595" s="0" t="s">
        <v>3345</v>
      </c>
      <c r="E49595" s="0" t="s">
        <v>11</v>
      </c>
      <c r="F49595" s="0" t="s">
        <v>3340</v>
      </c>
    </row>
    <row r="49597" customFormat="false" ht="12.8" hidden="false" customHeight="false" outlineLevel="0" collapsed="false">
      <c r="A49597" s="0" t="s">
        <v>17469</v>
      </c>
      <c r="B49597" s="0" t="str">
        <f aca="false">HYPERLINK("https://lindat.mff.cuni.cz/services/teitok/pdtc10/index.php?action=vallex&amp;frame=v-w7035f3_ZU", "udržet se (v-w7035f3_ZU)")</f>
        <v>udržet se (v-w7035f3_ZU)</v>
      </c>
      <c r="E49597" s="0" t="str">
        <f aca="false">HYPERLINK("https://lindat.mff.cuni.cz/services/SynSemClass40/SynSemClass40.html?veclass=vec00199#vec00199-ces-cm00312", "vec00199")</f>
        <v>vec00199</v>
      </c>
      <c r="F49597" s="0" t="s">
        <v>1248</v>
      </c>
    </row>
    <row r="49598" customFormat="false" ht="12.8" hidden="false" customHeight="false" outlineLevel="0" collapsed="false">
      <c r="B49598" s="0" t="s">
        <v>1</v>
      </c>
      <c r="C49598" s="0" t="s">
        <v>1250</v>
      </c>
      <c r="E49598" s="0" t="s">
        <v>957</v>
      </c>
      <c r="F49598" s="0" t="s">
        <v>1251</v>
      </c>
    </row>
    <row r="49599" customFormat="false" ht="12.8" hidden="false" customHeight="false" outlineLevel="0" collapsed="false">
      <c r="B49599" s="0" t="s">
        <v>3349</v>
      </c>
      <c r="C49599" s="0" t="s">
        <v>17470</v>
      </c>
      <c r="E49599" s="0" t="s">
        <v>17471</v>
      </c>
      <c r="F49599" s="0" t="s">
        <v>17472</v>
      </c>
    </row>
    <row r="49601" customFormat="false" ht="12.8" hidden="false" customHeight="false" outlineLevel="0" collapsed="false">
      <c r="A49601" s="0" t="s">
        <v>17469</v>
      </c>
      <c r="B49601" s="0" t="str">
        <f aca="false">HYPERLINK("https://lindat.mff.cuni.cz/services/teitok/pdtc10/index.php?action=vallex&amp;frame=v-w7035hsa_1277", "udržet se (v-w7035hsa_1277) - substituted with v-w7035f3_ZU")</f>
        <v>udržet se (v-w7035hsa_1277) - substituted with v-w7035f3_ZU</v>
      </c>
    </row>
    <row r="49602" customFormat="false" ht="12.8" hidden="false" customHeight="false" outlineLevel="0" collapsed="false">
      <c r="B49602" s="0" t="s">
        <v>1</v>
      </c>
    </row>
    <row r="49603" customFormat="false" ht="12.8" hidden="false" customHeight="false" outlineLevel="0" collapsed="false">
      <c r="B49603" s="0" t="s">
        <v>3349</v>
      </c>
    </row>
    <row r="49605" customFormat="false" ht="12.8" hidden="false" customHeight="false" outlineLevel="0" collapsed="false">
      <c r="A49605" s="0" t="s">
        <v>17473</v>
      </c>
      <c r="B49605" s="0" t="str">
        <f aca="false">HYPERLINK("https://lindat.mff.cuni.cz/services/teitok/pdtc10/index.php?action=vallex&amp;frame=v-w7036f1", "udržet si (v-w7036f1)")</f>
        <v>udržet si (v-w7036f1)</v>
      </c>
      <c r="E49605" s="0" t="str">
        <f aca="false">HYPERLINK("https://lindat.mff.cuni.cz/services/SynSemClass40/SynSemClass40.html?veclass=vec00176#vec00176-ces-cm00064", "vec00176")</f>
        <v>vec00176</v>
      </c>
      <c r="F49605" s="0" t="s">
        <v>3272</v>
      </c>
      <c r="H49605" s="0" t="str">
        <f aca="false">HYPERLINK("https://lindat.mff.cuni.cz/services/SynSemClass40/SynSemClass40.html?veclass=vec01477#vec01477-ces-cm00030", "vec01477")</f>
        <v>vec01477</v>
      </c>
      <c r="I49605" s="0" t="s">
        <v>3273</v>
      </c>
    </row>
    <row r="49606" customFormat="false" ht="12.8" hidden="false" customHeight="false" outlineLevel="0" collapsed="false">
      <c r="B49606" s="0" t="s">
        <v>1</v>
      </c>
      <c r="C49606" s="0" t="s">
        <v>3274</v>
      </c>
      <c r="E49606" s="0" t="s">
        <v>3275</v>
      </c>
      <c r="F49606" s="0" t="s">
        <v>3276</v>
      </c>
      <c r="H49606" s="0" t="s">
        <v>11</v>
      </c>
      <c r="I49606" s="0" t="s">
        <v>3277</v>
      </c>
    </row>
    <row r="49607" customFormat="false" ht="12.8" hidden="false" customHeight="false" outlineLevel="0" collapsed="false">
      <c r="B49607" s="0" t="s">
        <v>8</v>
      </c>
      <c r="C49607" s="0" t="s">
        <v>3278</v>
      </c>
      <c r="E49607" s="0" t="s">
        <v>3279</v>
      </c>
      <c r="F49607" s="0" t="s">
        <v>3280</v>
      </c>
      <c r="H49607" s="0" t="s">
        <v>1544</v>
      </c>
      <c r="I49607" s="0" t="s">
        <v>3281</v>
      </c>
    </row>
    <row r="49609" customFormat="false" ht="12.8" hidden="false" customHeight="false" outlineLevel="0" collapsed="false">
      <c r="A49609" s="0" t="s">
        <v>17474</v>
      </c>
      <c r="B49609" s="0" t="str">
        <f aca="false">HYPERLINK("https://lindat.mff.cuni.cz/services/teitok/pdtc10/index.php?action=vallex&amp;frame=v-w7039f2", "udržovat (v-w7039f2)")</f>
        <v>udržovat (v-w7039f2)</v>
      </c>
      <c r="E49609" s="0" t="str">
        <f aca="false">HYPERLINK("https://lindat.mff.cuni.cz/services/SynSemClass40/SynSemClass40.html?veclass=vec00014#vec00014-ces-cm00029", "vec00014")</f>
        <v>vec00014</v>
      </c>
      <c r="F49609" s="0" t="s">
        <v>3240</v>
      </c>
    </row>
    <row r="49610" customFormat="false" ht="12.8" hidden="false" customHeight="false" outlineLevel="0" collapsed="false">
      <c r="B49610" s="0" t="s">
        <v>1</v>
      </c>
      <c r="C49610" s="0" t="s">
        <v>3241</v>
      </c>
      <c r="E49610" s="0" t="s">
        <v>31</v>
      </c>
      <c r="F49610" s="0" t="s">
        <v>3242</v>
      </c>
    </row>
    <row r="49611" customFormat="false" ht="12.8" hidden="false" customHeight="false" outlineLevel="0" collapsed="false">
      <c r="B49611" s="0" t="s">
        <v>8</v>
      </c>
      <c r="C49611" s="0" t="s">
        <v>3243</v>
      </c>
      <c r="E49611" s="0" t="s">
        <v>34</v>
      </c>
      <c r="F49611" s="0" t="s">
        <v>3244</v>
      </c>
    </row>
    <row r="49612" customFormat="false" ht="12.8" hidden="false" customHeight="false" outlineLevel="0" collapsed="false">
      <c r="B49612" s="0" t="s">
        <v>17475</v>
      </c>
      <c r="C49612" s="0" t="s">
        <v>17453</v>
      </c>
      <c r="E49612" s="0" t="s">
        <v>17454</v>
      </c>
      <c r="F49612" s="0" t="s">
        <v>17455</v>
      </c>
    </row>
    <row r="49614" customFormat="false" ht="12.8" hidden="false" customHeight="false" outlineLevel="0" collapsed="false">
      <c r="A49614" s="0" t="s">
        <v>17476</v>
      </c>
      <c r="B49614" s="0" t="str">
        <f aca="false">HYPERLINK("https://lindat.mff.cuni.cz/services/teitok/pdtc10/index.php?action=vallex&amp;frame=v-w7039f3", "udržovat (v-w7039f3)")</f>
        <v>udržovat (v-w7039f3)</v>
      </c>
      <c r="E49614" s="0" t="str">
        <f aca="false">HYPERLINK("https://lindat.mff.cuni.cz/services/SynSemClass40/SynSemClass40.html?veclass=vec00014#vec00014-ces-cm00030", "vec00014")</f>
        <v>vec00014</v>
      </c>
      <c r="F49614" s="0" t="s">
        <v>3240</v>
      </c>
    </row>
    <row r="49615" customFormat="false" ht="12.8" hidden="false" customHeight="false" outlineLevel="0" collapsed="false">
      <c r="B49615" s="0" t="s">
        <v>1</v>
      </c>
      <c r="C49615" s="0" t="s">
        <v>3241</v>
      </c>
      <c r="E49615" s="0" t="s">
        <v>31</v>
      </c>
      <c r="F49615" s="0" t="s">
        <v>3242</v>
      </c>
    </row>
    <row r="49616" customFormat="false" ht="12.8" hidden="false" customHeight="false" outlineLevel="0" collapsed="false">
      <c r="B49616" s="0" t="s">
        <v>8</v>
      </c>
      <c r="C49616" s="0" t="s">
        <v>3243</v>
      </c>
      <c r="E49616" s="0" t="s">
        <v>34</v>
      </c>
      <c r="F49616" s="0" t="s">
        <v>3244</v>
      </c>
    </row>
    <row r="49617" customFormat="false" ht="12.8" hidden="false" customHeight="false" outlineLevel="0" collapsed="false">
      <c r="B49617" s="0" t="s">
        <v>3245</v>
      </c>
      <c r="C49617" s="0" t="s">
        <v>3246</v>
      </c>
      <c r="E49617" s="0" t="s">
        <v>3247</v>
      </c>
      <c r="F49617" s="0" t="s">
        <v>3248</v>
      </c>
    </row>
    <row r="49619" customFormat="false" ht="12.8" hidden="false" customHeight="false" outlineLevel="0" collapsed="false">
      <c r="A49619" s="0" t="s">
        <v>17477</v>
      </c>
      <c r="B49619" s="0" t="str">
        <f aca="false">HYPERLINK("https://lindat.mff.cuni.cz/services/teitok/pdtc10/index.php?action=vallex&amp;frame=v-w7039f1", "udržovat (v-w7039f1)")</f>
        <v>udržovat (v-w7039f1)</v>
      </c>
      <c r="E49619" s="0" t="str">
        <f aca="false">HYPERLINK("https://lindat.mff.cuni.cz/services/SynSemClass40/SynSemClass40.html?veclass=vec00176#vec00176-ces-cm00065", "vec00176")</f>
        <v>vec00176</v>
      </c>
      <c r="F49619" s="0" t="s">
        <v>3272</v>
      </c>
    </row>
    <row r="49620" customFormat="false" ht="12.8" hidden="false" customHeight="false" outlineLevel="0" collapsed="false">
      <c r="B49620" s="0" t="s">
        <v>1</v>
      </c>
      <c r="C49620" s="0" t="s">
        <v>10870</v>
      </c>
      <c r="E49620" s="0" t="s">
        <v>3275</v>
      </c>
      <c r="F49620" s="0" t="s">
        <v>3276</v>
      </c>
    </row>
    <row r="49621" customFormat="false" ht="12.8" hidden="false" customHeight="false" outlineLevel="0" collapsed="false">
      <c r="B49621" s="0" t="s">
        <v>8</v>
      </c>
      <c r="C49621" s="0" t="s">
        <v>10871</v>
      </c>
      <c r="E49621" s="0" t="s">
        <v>3279</v>
      </c>
      <c r="F49621" s="0" t="s">
        <v>3280</v>
      </c>
    </row>
    <row r="49623" customFormat="false" ht="12.8" hidden="false" customHeight="false" outlineLevel="0" collapsed="false">
      <c r="A49623" s="0" t="s">
        <v>17478</v>
      </c>
      <c r="B49623" s="0" t="str">
        <f aca="false">HYPERLINK("https://lindat.mff.cuni.cz/services/teitok/pdtc10/index.php?action=vallex&amp;frame=v-w7039f4_ZU", "udržovat (v-w7039f4_ZU)")</f>
        <v>udržovat (v-w7039f4_ZU)</v>
      </c>
      <c r="E49623" s="0" t="str">
        <f aca="false">HYPERLINK("https://lindat.mff.cuni.cz/services/SynSemClass40/SynSemClass40.html?veclass=vec00014#vec00014-ces-cm00031", "vec00014")</f>
        <v>vec00014</v>
      </c>
      <c r="F49623" s="0" t="s">
        <v>3240</v>
      </c>
    </row>
    <row r="49624" customFormat="false" ht="12.8" hidden="false" customHeight="false" outlineLevel="0" collapsed="false">
      <c r="B49624" s="0" t="s">
        <v>1</v>
      </c>
      <c r="C49624" s="0" t="s">
        <v>3241</v>
      </c>
      <c r="E49624" s="0" t="s">
        <v>31</v>
      </c>
      <c r="F49624" s="0" t="s">
        <v>3242</v>
      </c>
    </row>
    <row r="49625" customFormat="false" ht="12.8" hidden="false" customHeight="false" outlineLevel="0" collapsed="false">
      <c r="B49625" s="0" t="s">
        <v>3285</v>
      </c>
      <c r="C49625" s="0" t="s">
        <v>3297</v>
      </c>
      <c r="E49625" s="0" t="s">
        <v>17479</v>
      </c>
      <c r="F49625" s="0" t="s">
        <v>17480</v>
      </c>
    </row>
    <row r="49626" customFormat="false" ht="12.8" hidden="false" customHeight="false" outlineLevel="0" collapsed="false">
      <c r="B49626" s="0" t="s">
        <v>8</v>
      </c>
      <c r="C49626" s="0" t="s">
        <v>3243</v>
      </c>
      <c r="E49626" s="0" t="s">
        <v>34</v>
      </c>
      <c r="F49626" s="0" t="s">
        <v>3244</v>
      </c>
    </row>
    <row r="49628" customFormat="false" ht="12.8" hidden="false" customHeight="false" outlineLevel="0" collapsed="false">
      <c r="A49628" s="0" t="s">
        <v>17481</v>
      </c>
      <c r="B49628" s="0" t="str">
        <f aca="false">HYPERLINK("https://lindat.mff.cuni.cz/services/teitok/pdtc10/index.php?action=vallex&amp;frame=v-w7039hsa_1048", "udržovat (v-w7039hsa_1048)")</f>
        <v>udržovat (v-w7039hsa_1048)</v>
      </c>
      <c r="E49628" s="0" t="str">
        <f aca="false">HYPERLINK("https://lindat.mff.cuni.cz/services/SynSemClass40/SynSemClass40.html?veclass=vec00813#vec00813-ces-cm00079", "vec00813")</f>
        <v>vec00813</v>
      </c>
      <c r="F49628" s="0" t="s">
        <v>3250</v>
      </c>
    </row>
    <row r="49629" customFormat="false" ht="12.8" hidden="false" customHeight="false" outlineLevel="0" collapsed="false">
      <c r="B49629" s="0" t="s">
        <v>1</v>
      </c>
      <c r="C49629" s="0" t="s">
        <v>512</v>
      </c>
      <c r="E49629" s="0" t="s">
        <v>206</v>
      </c>
      <c r="F49629" s="0" t="s">
        <v>3251</v>
      </c>
    </row>
    <row r="49630" customFormat="false" ht="12.8" hidden="false" customHeight="false" outlineLevel="0" collapsed="false">
      <c r="B49630" s="0" t="s">
        <v>8</v>
      </c>
      <c r="C49630" s="0" t="s">
        <v>3252</v>
      </c>
      <c r="E49630" s="0" t="s">
        <v>3002</v>
      </c>
      <c r="F49630" s="0" t="s">
        <v>3253</v>
      </c>
    </row>
    <row r="49631" customFormat="false" ht="12.8" hidden="false" customHeight="false" outlineLevel="0" collapsed="false">
      <c r="B49631" s="0" t="s">
        <v>5</v>
      </c>
      <c r="E49631" s="0" t="s">
        <v>3254</v>
      </c>
      <c r="F49631" s="0" t="s">
        <v>3255</v>
      </c>
    </row>
    <row r="49633" customFormat="false" ht="12.8" hidden="false" customHeight="false" outlineLevel="0" collapsed="false">
      <c r="A49633" s="0" t="s">
        <v>17482</v>
      </c>
      <c r="B49633" s="0" t="str">
        <f aca="false">HYPERLINK("https://lindat.mff.cuni.cz/services/teitok/pdtc10/index.php?action=vallex&amp;frame=v-w7039f5_ZU", "udržovat (v-w7039f5_ZU)")</f>
        <v>udržovat (v-w7039f5_ZU)</v>
      </c>
    </row>
    <row r="49634" customFormat="false" ht="12.8" hidden="false" customHeight="false" outlineLevel="0" collapsed="false">
      <c r="B49634" s="0" t="s">
        <v>1</v>
      </c>
    </row>
    <row r="49635" customFormat="false" ht="12.8" hidden="false" customHeight="false" outlineLevel="0" collapsed="false">
      <c r="B49635" s="0" t="s">
        <v>17483</v>
      </c>
    </row>
    <row r="49637" customFormat="false" ht="12.8" hidden="false" customHeight="false" outlineLevel="0" collapsed="false">
      <c r="A49637" s="0" t="s">
        <v>17484</v>
      </c>
      <c r="B49637" s="0" t="str">
        <f aca="false">HYPERLINK("https://lindat.mff.cuni.cz/services/teitok/pdtc10/index.php?action=vallex&amp;frame=v-w7039hsa_1901", "udržovat (v-w7039hsa_1901)")</f>
        <v>udržovat (v-w7039hsa_1901)</v>
      </c>
    </row>
    <row r="49638" customFormat="false" ht="12.8" hidden="false" customHeight="false" outlineLevel="0" collapsed="false">
      <c r="B49638" s="0" t="s">
        <v>1</v>
      </c>
    </row>
    <row r="49639" customFormat="false" ht="12.8" hidden="false" customHeight="false" outlineLevel="0" collapsed="false">
      <c r="B49639" s="0" t="s">
        <v>8</v>
      </c>
    </row>
    <row r="49640" customFormat="false" ht="12.8" hidden="false" customHeight="false" outlineLevel="0" collapsed="false">
      <c r="B49640" s="0" t="s">
        <v>5</v>
      </c>
    </row>
    <row r="49642" customFormat="false" ht="12.8" hidden="false" customHeight="false" outlineLevel="0" collapsed="false">
      <c r="A49642" s="0" t="s">
        <v>17485</v>
      </c>
      <c r="B49642" s="0" t="str">
        <f aca="false">HYPERLINK("https://lindat.mff.cuni.cz/services/teitok/pdtc10/index.php?action=vallex&amp;frame=v-w11607_ZUf1_ZU", "udržovat se (v-w11607_ZUf1_ZU)")</f>
        <v>udržovat se (v-w11607_ZUf1_ZU)</v>
      </c>
      <c r="E49642" s="0" t="str">
        <f aca="false">HYPERLINK("https://lindat.mff.cuni.cz/services/SynSemClass40/SynSemClass40.html?veclass=vec00199#vec00199-ces-cm00313", "vec00199")</f>
        <v>vec00199</v>
      </c>
      <c r="F49642" s="0" t="s">
        <v>1248</v>
      </c>
      <c r="H49642" s="0" t="str">
        <f aca="false">HYPERLINK("https://lindat.mff.cuni.cz/services/SynSemClass40/SynSemClass40.html?veclass=vec00394#vec00394-ces-cm00054", "vec00394")</f>
        <v>vec00394</v>
      </c>
      <c r="I49642" s="0" t="s">
        <v>3338</v>
      </c>
    </row>
    <row r="49643" customFormat="false" ht="12.8" hidden="false" customHeight="false" outlineLevel="0" collapsed="false">
      <c r="B49643" s="0" t="s">
        <v>1</v>
      </c>
      <c r="C49643" s="0" t="s">
        <v>3339</v>
      </c>
      <c r="E49643" s="0" t="s">
        <v>957</v>
      </c>
      <c r="F49643" s="0" t="s">
        <v>1251</v>
      </c>
      <c r="H49643" s="0" t="s">
        <v>11</v>
      </c>
      <c r="I49643" s="0" t="s">
        <v>3340</v>
      </c>
    </row>
    <row r="49644" customFormat="false" ht="12.8" hidden="false" customHeight="false" outlineLevel="0" collapsed="false">
      <c r="B49644" s="0" t="s">
        <v>1262</v>
      </c>
      <c r="C49644" s="0" t="s">
        <v>3341</v>
      </c>
      <c r="E49644" s="0" t="s">
        <v>3247</v>
      </c>
      <c r="F49644" s="0" t="s">
        <v>3342</v>
      </c>
      <c r="H49644" s="0" t="s">
        <v>3254</v>
      </c>
      <c r="I49644" s="0" t="s">
        <v>3343</v>
      </c>
    </row>
    <row r="49646" customFormat="false" ht="12.8" hidden="false" customHeight="false" outlineLevel="0" collapsed="false">
      <c r="A49646" s="0" t="s">
        <v>17486</v>
      </c>
      <c r="B49646" s="0" t="str">
        <f aca="false">HYPERLINK("https://lindat.mff.cuni.cz/services/teitok/pdtc10/index.php?action=vallex&amp;frame=v-w11430f1", "udusit (v-w11430f1)")</f>
        <v>udusit (v-w11430f1)</v>
      </c>
    </row>
    <row r="49647" customFormat="false" ht="12.8" hidden="false" customHeight="false" outlineLevel="0" collapsed="false">
      <c r="B49647" s="0" t="s">
        <v>1</v>
      </c>
    </row>
    <row r="49648" customFormat="false" ht="12.8" hidden="false" customHeight="false" outlineLevel="0" collapsed="false">
      <c r="B49648" s="0" t="s">
        <v>8</v>
      </c>
    </row>
    <row r="49650" customFormat="false" ht="12.8" hidden="false" customHeight="false" outlineLevel="0" collapsed="false">
      <c r="A49650" s="0" t="s">
        <v>17487</v>
      </c>
      <c r="B49650" s="0" t="str">
        <f aca="false">HYPERLINK("https://lindat.mff.cuni.cz/services/teitok/pdtc10/index.php?action=vallex&amp;frame=v-w11430f2_ZU", "udusit (v-w11430f2_ZU)")</f>
        <v>udusit (v-w11430f2_ZU)</v>
      </c>
    </row>
    <row r="49651" customFormat="false" ht="12.8" hidden="false" customHeight="false" outlineLevel="0" collapsed="false">
      <c r="B49651" s="0" t="s">
        <v>1</v>
      </c>
    </row>
    <row r="49652" customFormat="false" ht="12.8" hidden="false" customHeight="false" outlineLevel="0" collapsed="false">
      <c r="B49652" s="0" t="s">
        <v>8</v>
      </c>
    </row>
    <row r="49654" customFormat="false" ht="12.8" hidden="false" customHeight="false" outlineLevel="0" collapsed="false">
      <c r="A49654" s="0" t="s">
        <v>17488</v>
      </c>
      <c r="B49654" s="0" t="str">
        <f aca="false">HYPERLINK("https://lindat.mff.cuni.cz/services/teitok/pdtc10/index.php?action=vallex&amp;frame=v-w7040f1", "udusit se (v-w7040f1)")</f>
        <v>udusit se (v-w7040f1)</v>
      </c>
    </row>
    <row r="49655" customFormat="false" ht="12.8" hidden="false" customHeight="false" outlineLevel="0" collapsed="false">
      <c r="B49655" s="0" t="s">
        <v>1</v>
      </c>
    </row>
    <row r="49657" customFormat="false" ht="12.8" hidden="false" customHeight="false" outlineLevel="0" collapsed="false">
      <c r="A49657" s="0" t="s">
        <v>17489</v>
      </c>
      <c r="B49657" s="0" t="str">
        <f aca="false">HYPERLINK("https://lindat.mff.cuni.cz/services/teitok/pdtc10/index.php?action=vallex&amp;frame=v-w7014f1", "udát se (v-w7014f1)")</f>
        <v>udát se (v-w7014f1)</v>
      </c>
    </row>
    <row r="49658" customFormat="false" ht="12.8" hidden="false" customHeight="false" outlineLevel="0" collapsed="false">
      <c r="B49658" s="0" t="s">
        <v>17490</v>
      </c>
    </row>
    <row r="49659" customFormat="false" ht="12.8" hidden="false" customHeight="false" outlineLevel="0" collapsed="false">
      <c r="B49659" s="0" t="s">
        <v>157</v>
      </c>
    </row>
    <row r="49661" customFormat="false" ht="12.8" hidden="false" customHeight="false" outlineLevel="0" collapsed="false">
      <c r="A49661" s="0" t="s">
        <v>17491</v>
      </c>
      <c r="B49661" s="0" t="str">
        <f aca="false">HYPERLINK("https://lindat.mff.cuni.cz/services/teitok/pdtc10/index.php?action=vallex&amp;frame=v-w7014f2", "udát se (v-w7014f2)")</f>
        <v>udát se (v-w7014f2)</v>
      </c>
      <c r="E49661" s="0" t="str">
        <f aca="false">HYPERLINK("https://lindat.mff.cuni.cz/services/SynSemClass40/SynSemClass40.html?veclass=vec00097#vec00097-ces-cm00138", "vec00097")</f>
        <v>vec00097</v>
      </c>
      <c r="F49661" s="0" t="s">
        <v>373</v>
      </c>
    </row>
    <row r="49662" customFormat="false" ht="12.8" hidden="false" customHeight="false" outlineLevel="0" collapsed="false">
      <c r="B49662" s="0" t="s">
        <v>3836</v>
      </c>
      <c r="C49662" s="0" t="s">
        <v>374</v>
      </c>
      <c r="E49662" s="0" t="s">
        <v>375</v>
      </c>
      <c r="F49662" s="0" t="s">
        <v>376</v>
      </c>
    </row>
    <row r="49664" customFormat="false" ht="12.8" hidden="false" customHeight="false" outlineLevel="0" collapsed="false">
      <c r="A49664" s="0" t="s">
        <v>17492</v>
      </c>
      <c r="B49664" s="0" t="str">
        <f aca="false">HYPERLINK("https://lindat.mff.cuni.cz/services/teitok/pdtc10/index.php?action=vallex&amp;frame=v-w7016f7_ZU", "udávat (v-w7016f7_ZU)")</f>
        <v>udávat (v-w7016f7_ZU)</v>
      </c>
      <c r="E49664" s="0" t="str">
        <f aca="false">HYPERLINK("https://lindat.mff.cuni.cz/services/SynSemClass40/SynSemClass40.html?veclass=vec00163#vec00163-ces-cm00173", "vec00163")</f>
        <v>vec00163</v>
      </c>
      <c r="F49664" s="0" t="s">
        <v>12451</v>
      </c>
    </row>
    <row r="49665" customFormat="false" ht="12.8" hidden="false" customHeight="false" outlineLevel="0" collapsed="false">
      <c r="B49665" s="0" t="s">
        <v>1</v>
      </c>
      <c r="C49665" s="0" t="s">
        <v>1436</v>
      </c>
      <c r="E49665" s="0" t="s">
        <v>31</v>
      </c>
      <c r="F49665" s="0" t="s">
        <v>608</v>
      </c>
    </row>
    <row r="49666" customFormat="false" ht="12.8" hidden="false" customHeight="false" outlineLevel="0" collapsed="false">
      <c r="B49666" s="0" t="s">
        <v>3028</v>
      </c>
      <c r="C49666" s="0" t="s">
        <v>1543</v>
      </c>
      <c r="E49666" s="0" t="s">
        <v>1347</v>
      </c>
      <c r="F49666" s="0" t="s">
        <v>12452</v>
      </c>
    </row>
    <row r="49667" customFormat="false" ht="12.8" hidden="false" customHeight="false" outlineLevel="0" collapsed="false">
      <c r="B49667" s="0" t="s">
        <v>132</v>
      </c>
      <c r="E49667" s="0" t="s">
        <v>221</v>
      </c>
      <c r="F49667" s="0" t="s">
        <v>4699</v>
      </c>
    </row>
    <row r="49669" customFormat="false" ht="12.8" hidden="false" customHeight="false" outlineLevel="0" collapsed="false">
      <c r="A49669" s="0" t="s">
        <v>17492</v>
      </c>
      <c r="B49669" s="0" t="str">
        <f aca="false">HYPERLINK("https://lindat.mff.cuni.cz/services/teitok/pdtc10/index.php?action=vallex&amp;frame=v-w7016f1", "udávat (v-w7016f1) - substituted with v-w7016f7_ZU")</f>
        <v>udávat (v-w7016f1) - substituted with v-w7016f7_ZU</v>
      </c>
    </row>
    <row r="49670" customFormat="false" ht="12.8" hidden="false" customHeight="false" outlineLevel="0" collapsed="false">
      <c r="B49670" s="0" t="s">
        <v>1</v>
      </c>
    </row>
    <row r="49671" customFormat="false" ht="12.8" hidden="false" customHeight="false" outlineLevel="0" collapsed="false">
      <c r="B49671" s="0" t="s">
        <v>3028</v>
      </c>
    </row>
    <row r="49672" customFormat="false" ht="12.8" hidden="false" customHeight="false" outlineLevel="0" collapsed="false">
      <c r="B49672" s="0" t="s">
        <v>132</v>
      </c>
    </row>
    <row r="49674" customFormat="false" ht="12.8" hidden="false" customHeight="false" outlineLevel="0" collapsed="false">
      <c r="A49674" s="0" t="s">
        <v>17493</v>
      </c>
      <c r="B49674" s="0" t="str">
        <f aca="false">HYPERLINK("https://lindat.mff.cuni.cz/services/teitok/pdtc10/index.php?action=vallex&amp;frame=v-w7016f8_ZU", "udávat (v-w7016f8_ZU)")</f>
        <v>udávat (v-w7016f8_ZU)</v>
      </c>
    </row>
    <row r="49675" customFormat="false" ht="12.8" hidden="false" customHeight="false" outlineLevel="0" collapsed="false">
      <c r="B49675" s="0" t="s">
        <v>1</v>
      </c>
    </row>
    <row r="49676" customFormat="false" ht="12.8" hidden="false" customHeight="false" outlineLevel="0" collapsed="false">
      <c r="B49676" s="0" t="s">
        <v>8</v>
      </c>
    </row>
    <row r="49677" customFormat="false" ht="12.8" hidden="false" customHeight="false" outlineLevel="0" collapsed="false">
      <c r="B49677" s="0" t="s">
        <v>132</v>
      </c>
    </row>
    <row r="49679" customFormat="false" ht="12.8" hidden="false" customHeight="false" outlineLevel="0" collapsed="false">
      <c r="A49679" s="0" t="s">
        <v>17493</v>
      </c>
      <c r="B49679" s="0" t="str">
        <f aca="false">HYPERLINK("https://lindat.mff.cuni.cz/services/teitok/pdtc10/index.php?action=vallex&amp;frame=v-w7016f3_ZU", "udávat (v-w7016f3_ZU) - substituted with v-w7016f8_ZU")</f>
        <v>udávat (v-w7016f3_ZU) - substituted with v-w7016f8_ZU</v>
      </c>
    </row>
    <row r="49680" customFormat="false" ht="12.8" hidden="false" customHeight="false" outlineLevel="0" collapsed="false">
      <c r="B49680" s="0" t="s">
        <v>1</v>
      </c>
    </row>
    <row r="49681" customFormat="false" ht="12.8" hidden="false" customHeight="false" outlineLevel="0" collapsed="false">
      <c r="B49681" s="0" t="s">
        <v>8</v>
      </c>
    </row>
    <row r="49682" customFormat="false" ht="12.8" hidden="false" customHeight="false" outlineLevel="0" collapsed="false">
      <c r="B49682" s="0" t="s">
        <v>132</v>
      </c>
    </row>
    <row r="49684" customFormat="false" ht="12.8" hidden="false" customHeight="false" outlineLevel="0" collapsed="false">
      <c r="A49684" s="0" t="s">
        <v>17493</v>
      </c>
      <c r="B49684" s="0" t="str">
        <f aca="false">HYPERLINK("https://lindat.mff.cuni.cz/services/teitok/pdtc10/index.php?action=vallex&amp;frame=v-w7016f5_ZU", "udávat (v-w7016f5_ZU) - substituted with v-w7016f8_ZU")</f>
        <v>udávat (v-w7016f5_ZU) - substituted with v-w7016f8_ZU</v>
      </c>
    </row>
    <row r="49685" customFormat="false" ht="12.8" hidden="false" customHeight="false" outlineLevel="0" collapsed="false">
      <c r="B49685" s="0" t="s">
        <v>1</v>
      </c>
    </row>
    <row r="49686" customFormat="false" ht="12.8" hidden="false" customHeight="false" outlineLevel="0" collapsed="false">
      <c r="B49686" s="0" t="s">
        <v>8</v>
      </c>
    </row>
    <row r="49687" customFormat="false" ht="12.8" hidden="false" customHeight="false" outlineLevel="0" collapsed="false">
      <c r="B49687" s="0" t="s">
        <v>132</v>
      </c>
    </row>
    <row r="49689" customFormat="false" ht="12.8" hidden="false" customHeight="false" outlineLevel="0" collapsed="false">
      <c r="A49689" s="0" t="s">
        <v>17494</v>
      </c>
      <c r="B49689" s="0" t="str">
        <f aca="false">HYPERLINK("https://lindat.mff.cuni.cz/services/teitok/pdtc10/index.php?action=vallex&amp;frame=v-w7016f4_ZU", "udávat (v-w7016f4_ZU)")</f>
        <v>udávat (v-w7016f4_ZU)</v>
      </c>
    </row>
    <row r="49690" customFormat="false" ht="12.8" hidden="false" customHeight="false" outlineLevel="0" collapsed="false">
      <c r="B49690" s="0" t="s">
        <v>1</v>
      </c>
    </row>
    <row r="49691" customFormat="false" ht="12.8" hidden="false" customHeight="false" outlineLevel="0" collapsed="false">
      <c r="B49691" s="0" t="s">
        <v>17437</v>
      </c>
    </row>
    <row r="49692" customFormat="false" ht="12.8" hidden="false" customHeight="false" outlineLevel="0" collapsed="false">
      <c r="B49692" s="0" t="s">
        <v>157</v>
      </c>
    </row>
    <row r="49694" customFormat="false" ht="12.8" hidden="false" customHeight="false" outlineLevel="0" collapsed="false">
      <c r="A49694" s="0" t="s">
        <v>17494</v>
      </c>
      <c r="B49694" s="0" t="str">
        <f aca="false">HYPERLINK("https://lindat.mff.cuni.cz/services/teitok/pdtc10/index.php?action=vallex&amp;frame=v-w7016f2_ZU", "udávat (v-w7016f2_ZU) - substituted with v-w7016f4_ZU")</f>
        <v>udávat (v-w7016f2_ZU) - substituted with v-w7016f4_ZU</v>
      </c>
    </row>
    <row r="49695" customFormat="false" ht="12.8" hidden="false" customHeight="false" outlineLevel="0" collapsed="false">
      <c r="B49695" s="0" t="s">
        <v>1</v>
      </c>
    </row>
    <row r="49696" customFormat="false" ht="12.8" hidden="false" customHeight="false" outlineLevel="0" collapsed="false">
      <c r="B49696" s="0" t="s">
        <v>17437</v>
      </c>
    </row>
    <row r="49697" customFormat="false" ht="12.8" hidden="false" customHeight="false" outlineLevel="0" collapsed="false">
      <c r="B49697" s="0" t="s">
        <v>157</v>
      </c>
    </row>
    <row r="49699" customFormat="false" ht="12.8" hidden="false" customHeight="false" outlineLevel="0" collapsed="false">
      <c r="A49699" s="0" t="s">
        <v>17495</v>
      </c>
      <c r="B49699" s="0" t="str">
        <f aca="false">HYPERLINK("https://lindat.mff.cuni.cz/services/teitok/pdtc10/index.php?action=vallex&amp;frame=v-w7016f6_ZU", "udávat (v-w7016f6_ZU)")</f>
        <v>udávat (v-w7016f6_ZU)</v>
      </c>
    </row>
    <row r="49700" customFormat="false" ht="12.8" hidden="false" customHeight="false" outlineLevel="0" collapsed="false">
      <c r="B49700" s="0" t="s">
        <v>1</v>
      </c>
    </row>
    <row r="49701" customFormat="false" ht="12.8" hidden="false" customHeight="false" outlineLevel="0" collapsed="false">
      <c r="B49701" s="0" t="s">
        <v>8</v>
      </c>
    </row>
    <row r="49702" customFormat="false" ht="12.8" hidden="false" customHeight="false" outlineLevel="0" collapsed="false">
      <c r="B49702" s="0" t="s">
        <v>52</v>
      </c>
    </row>
    <row r="49704" customFormat="false" ht="12.8" hidden="false" customHeight="false" outlineLevel="0" collapsed="false">
      <c r="A49704" s="0" t="s">
        <v>17495</v>
      </c>
      <c r="B49704" s="0" t="str">
        <f aca="false">HYPERLINK("https://lindat.mff.cuni.cz/services/teitok/pdtc10/index.php?action=vallex&amp;frame=v-w7016hsa_794", "udávat (v-w7016hsa_794) - substituted with v-w7016f6_ZU")</f>
        <v>udávat (v-w7016hsa_794) - substituted with v-w7016f6_ZU</v>
      </c>
    </row>
    <row r="49705" customFormat="false" ht="12.8" hidden="false" customHeight="false" outlineLevel="0" collapsed="false">
      <c r="B49705" s="0" t="s">
        <v>1</v>
      </c>
    </row>
    <row r="49706" customFormat="false" ht="12.8" hidden="false" customHeight="false" outlineLevel="0" collapsed="false">
      <c r="B49706" s="0" t="s">
        <v>8</v>
      </c>
    </row>
    <row r="49707" customFormat="false" ht="12.8" hidden="false" customHeight="false" outlineLevel="0" collapsed="false">
      <c r="B49707" s="0" t="s">
        <v>52</v>
      </c>
    </row>
    <row r="49709" customFormat="false" ht="12.8" hidden="false" customHeight="false" outlineLevel="0" collapsed="false">
      <c r="A49709" s="0" t="s">
        <v>17496</v>
      </c>
      <c r="B49709" s="0" t="str">
        <f aca="false">HYPERLINK("https://lindat.mff.cuni.cz/services/teitok/pdtc10/index.php?action=vallex&amp;frame=v-w7016f9_ZU", "udávat (v-w7016f9_ZU)")</f>
        <v>udávat (v-w7016f9_ZU)</v>
      </c>
    </row>
    <row r="49710" customFormat="false" ht="12.8" hidden="false" customHeight="false" outlineLevel="0" collapsed="false">
      <c r="B49710" s="0" t="s">
        <v>1</v>
      </c>
    </row>
    <row r="49711" customFormat="false" ht="12.8" hidden="false" customHeight="false" outlineLevel="0" collapsed="false">
      <c r="B49711" s="0" t="s">
        <v>8</v>
      </c>
    </row>
    <row r="49712" customFormat="false" ht="12.8" hidden="false" customHeight="false" outlineLevel="0" collapsed="false">
      <c r="B49712" s="0" t="s">
        <v>5</v>
      </c>
    </row>
    <row r="49714" customFormat="false" ht="12.8" hidden="false" customHeight="false" outlineLevel="0" collapsed="false">
      <c r="A49714" s="0" t="s">
        <v>17496</v>
      </c>
      <c r="B49714" s="0" t="str">
        <f aca="false">HYPERLINK("https://lindat.mff.cuni.cz/services/teitok/pdtc10/index.php?action=vallex&amp;frame=v-w7016hsa_795", "udávat (v-w7016hsa_795) - substituted with v-w7016f9_ZU")</f>
        <v>udávat (v-w7016hsa_795) - substituted with v-w7016f9_ZU</v>
      </c>
    </row>
    <row r="49715" customFormat="false" ht="12.8" hidden="false" customHeight="false" outlineLevel="0" collapsed="false">
      <c r="B49715" s="0" t="s">
        <v>1</v>
      </c>
    </row>
    <row r="49716" customFormat="false" ht="12.8" hidden="false" customHeight="false" outlineLevel="0" collapsed="false">
      <c r="B49716" s="0" t="s">
        <v>8</v>
      </c>
    </row>
    <row r="49717" customFormat="false" ht="12.8" hidden="false" customHeight="false" outlineLevel="0" collapsed="false">
      <c r="B49717" s="0" t="s">
        <v>5</v>
      </c>
    </row>
    <row r="49719" customFormat="false" ht="12.8" hidden="false" customHeight="false" outlineLevel="0" collapsed="false">
      <c r="A49719" s="0" t="s">
        <v>17497</v>
      </c>
      <c r="B49719" s="0" t="str">
        <f aca="false">HYPERLINK("https://lindat.mff.cuni.cz/services/teitok/pdtc10/index.php?action=vallex&amp;frame=v-w7016f10_ZU", "udávat (v-w7016f10_ZU)")</f>
        <v>udávat (v-w7016f10_ZU)</v>
      </c>
    </row>
    <row r="49720" customFormat="false" ht="12.8" hidden="false" customHeight="false" outlineLevel="0" collapsed="false">
      <c r="B49720" s="0" t="s">
        <v>1</v>
      </c>
    </row>
    <row r="49721" customFormat="false" ht="12.8" hidden="false" customHeight="false" outlineLevel="0" collapsed="false">
      <c r="B49721" s="0" t="s">
        <v>8</v>
      </c>
    </row>
    <row r="49722" customFormat="false" ht="12.8" hidden="false" customHeight="false" outlineLevel="0" collapsed="false">
      <c r="B49722" s="0" t="s">
        <v>164</v>
      </c>
    </row>
    <row r="49724" customFormat="false" ht="12.8" hidden="false" customHeight="false" outlineLevel="0" collapsed="false">
      <c r="A49724" s="0" t="s">
        <v>17497</v>
      </c>
      <c r="B49724" s="0" t="str">
        <f aca="false">HYPERLINK("https://lindat.mff.cuni.cz/services/teitok/pdtc10/index.php?action=vallex&amp;frame=v-w7016hsa_796", "udávat (v-w7016hsa_796) - substituted with v-w7016f10_ZU")</f>
        <v>udávat (v-w7016hsa_796) - substituted with v-w7016f10_ZU</v>
      </c>
    </row>
    <row r="49725" customFormat="false" ht="12.8" hidden="false" customHeight="false" outlineLevel="0" collapsed="false">
      <c r="B49725" s="0" t="s">
        <v>1</v>
      </c>
    </row>
    <row r="49726" customFormat="false" ht="12.8" hidden="false" customHeight="false" outlineLevel="0" collapsed="false">
      <c r="B49726" s="0" t="s">
        <v>8</v>
      </c>
    </row>
    <row r="49727" customFormat="false" ht="12.8" hidden="false" customHeight="false" outlineLevel="0" collapsed="false">
      <c r="B49727" s="0" t="s">
        <v>164</v>
      </c>
    </row>
    <row r="49729" customFormat="false" ht="12.8" hidden="false" customHeight="false" outlineLevel="0" collapsed="false">
      <c r="A49729" s="0" t="s">
        <v>17498</v>
      </c>
      <c r="B49729" s="0" t="str">
        <f aca="false">HYPERLINK("https://lindat.mff.cuni.cz/services/teitok/pdtc10/index.php?action=vallex&amp;frame=v-w10068f3", "udílet (v-w10068f3)")</f>
        <v>udílet (v-w10068f3)</v>
      </c>
      <c r="E49729" s="0" t="str">
        <f aca="false">HYPERLINK("https://lindat.mff.cuni.cz/services/SynSemClass40/SynSemClass40.html?veclass=vec01087#vec01087-ces-cm00143", "vec01087")</f>
        <v>vec01087</v>
      </c>
      <c r="F49729" s="0" t="s">
        <v>1863</v>
      </c>
    </row>
    <row r="49730" customFormat="false" ht="12.8" hidden="false" customHeight="false" outlineLevel="0" collapsed="false">
      <c r="B49730" s="0" t="s">
        <v>1</v>
      </c>
      <c r="C49730" s="0" t="s">
        <v>5752</v>
      </c>
      <c r="E49730" s="0" t="s">
        <v>1868</v>
      </c>
      <c r="F49730" s="0" t="s">
        <v>1869</v>
      </c>
    </row>
    <row r="49731" customFormat="false" ht="12.8" hidden="false" customHeight="false" outlineLevel="0" collapsed="false">
      <c r="B49731" s="0" t="s">
        <v>8</v>
      </c>
      <c r="C49731" s="0" t="s">
        <v>8873</v>
      </c>
      <c r="E49731" s="0" t="s">
        <v>1875</v>
      </c>
      <c r="F49731" s="0" t="s">
        <v>1876</v>
      </c>
    </row>
    <row r="49732" customFormat="false" ht="12.8" hidden="false" customHeight="false" outlineLevel="0" collapsed="false">
      <c r="B49732" s="0" t="s">
        <v>52</v>
      </c>
      <c r="C49732" s="0" t="s">
        <v>11615</v>
      </c>
      <c r="E49732" s="0" t="s">
        <v>53</v>
      </c>
      <c r="F49732" s="0" t="s">
        <v>1880</v>
      </c>
    </row>
    <row r="49734" customFormat="false" ht="12.8" hidden="false" customHeight="false" outlineLevel="0" collapsed="false">
      <c r="A49734" s="0" t="s">
        <v>17499</v>
      </c>
      <c r="B49734" s="0" t="str">
        <f aca="false">HYPERLINK("https://lindat.mff.cuni.cz/services/teitok/pdtc10/index.php?action=vallex&amp;frame=v-w10068f2", "udílet (v-w10068f2)")</f>
        <v>udílet (v-w10068f2)</v>
      </c>
    </row>
    <row r="49735" customFormat="false" ht="12.8" hidden="false" customHeight="false" outlineLevel="0" collapsed="false">
      <c r="B49735" s="0" t="s">
        <v>1</v>
      </c>
    </row>
    <row r="49736" customFormat="false" ht="12.8" hidden="false" customHeight="false" outlineLevel="0" collapsed="false">
      <c r="B49736" s="0" t="s">
        <v>8</v>
      </c>
    </row>
    <row r="49738" customFormat="false" ht="12.8" hidden="false" customHeight="false" outlineLevel="0" collapsed="false">
      <c r="A49738" s="0" t="s">
        <v>17500</v>
      </c>
      <c r="B49738" s="0" t="str">
        <f aca="false">HYPERLINK("https://lindat.mff.cuni.cz/services/teitok/pdtc10/index.php?action=vallex&amp;frame=v-whsa_161hsa_162", "udýchat se (v-whsa_161hsa_162)")</f>
        <v>udýchat se (v-whsa_161hsa_162)</v>
      </c>
    </row>
    <row r="49739" customFormat="false" ht="12.8" hidden="false" customHeight="false" outlineLevel="0" collapsed="false">
      <c r="B49739" s="0" t="s">
        <v>1</v>
      </c>
    </row>
    <row r="49741" customFormat="false" ht="12.8" hidden="false" customHeight="false" outlineLevel="0" collapsed="false">
      <c r="A49741" s="0" t="s">
        <v>17501</v>
      </c>
      <c r="B49741" s="0" t="str">
        <f aca="false">HYPERLINK("https://lindat.mff.cuni.cz/services/teitok/pdtc10/index.php?action=vallex&amp;frame=v-w7017f5", "udělat (v-w7017f5)")</f>
        <v>udělat (v-w7017f5)</v>
      </c>
      <c r="E49741" s="0" t="str">
        <f aca="false">HYPERLINK("https://lindat.mff.cuni.cz/services/SynSemClass40/SynSemClass40.html?veclass=vec00196#vec00196-ces-cm00154", "vec00196")</f>
        <v>vec00196</v>
      </c>
      <c r="F49741" s="0" t="s">
        <v>749</v>
      </c>
    </row>
    <row r="49742" customFormat="false" ht="12.8" hidden="false" customHeight="false" outlineLevel="0" collapsed="false">
      <c r="B49742" s="0" t="s">
        <v>1</v>
      </c>
      <c r="C49742" s="0" t="s">
        <v>750</v>
      </c>
      <c r="E49742" s="0" t="s">
        <v>76</v>
      </c>
      <c r="F49742" s="0" t="s">
        <v>751</v>
      </c>
    </row>
    <row r="49743" customFormat="false" ht="12.8" hidden="false" customHeight="false" outlineLevel="0" collapsed="false">
      <c r="B49743" s="0" t="s">
        <v>8</v>
      </c>
      <c r="C49743" s="0" t="s">
        <v>6686</v>
      </c>
      <c r="E49743" s="0" t="s">
        <v>6358</v>
      </c>
      <c r="F49743" s="0" t="s">
        <v>6645</v>
      </c>
    </row>
    <row r="49744" customFormat="false" ht="12.8" hidden="false" customHeight="false" outlineLevel="0" collapsed="false">
      <c r="B49744" s="0" t="s">
        <v>52</v>
      </c>
      <c r="C49744" s="0" t="s">
        <v>7175</v>
      </c>
      <c r="E49744" s="0" t="s">
        <v>2287</v>
      </c>
      <c r="F49744" s="0" t="s">
        <v>7176</v>
      </c>
    </row>
    <row r="49746" customFormat="false" ht="12.8" hidden="false" customHeight="false" outlineLevel="0" collapsed="false">
      <c r="A49746" s="0" t="s">
        <v>17502</v>
      </c>
      <c r="B49746" s="0" t="str">
        <f aca="false">HYPERLINK("https://lindat.mff.cuni.cz/services/teitok/pdtc10/index.php?action=vallex&amp;frame=v-w7017f7", "udělat (v-w7017f7)")</f>
        <v>udělat (v-w7017f7)</v>
      </c>
      <c r="E49746" s="0" t="str">
        <f aca="false">HYPERLINK("https://lindat.mff.cuni.cz/services/SynSemClass40/SynSemClass40.html?veclass=vec00533#vec00533-ces-cm00001", "vec00533")</f>
        <v>vec00533</v>
      </c>
      <c r="F49746" s="0" t="s">
        <v>10808</v>
      </c>
    </row>
    <row r="49747" customFormat="false" ht="12.8" hidden="false" customHeight="false" outlineLevel="0" collapsed="false">
      <c r="B49747" s="0" t="s">
        <v>1</v>
      </c>
      <c r="C49747" s="0" t="s">
        <v>568</v>
      </c>
      <c r="E49747" s="0" t="s">
        <v>31</v>
      </c>
      <c r="F49747" s="0" t="s">
        <v>10810</v>
      </c>
    </row>
    <row r="49748" customFormat="false" ht="12.8" hidden="false" customHeight="false" outlineLevel="0" collapsed="false">
      <c r="B49748" s="0" t="s">
        <v>8</v>
      </c>
      <c r="C49748" s="0" t="s">
        <v>9474</v>
      </c>
      <c r="E49748" s="0" t="s">
        <v>1732</v>
      </c>
      <c r="F49748" s="0" t="s">
        <v>10812</v>
      </c>
    </row>
    <row r="49749" customFormat="false" ht="12.8" hidden="false" customHeight="false" outlineLevel="0" collapsed="false">
      <c r="B49749" s="0" t="s">
        <v>3205</v>
      </c>
      <c r="C49749" s="0" t="s">
        <v>12858</v>
      </c>
      <c r="E49749" s="0" t="s">
        <v>12859</v>
      </c>
      <c r="F49749" s="0" t="s">
        <v>12860</v>
      </c>
    </row>
    <row r="49751" customFormat="false" ht="12.8" hidden="false" customHeight="false" outlineLevel="0" collapsed="false">
      <c r="A49751" s="0" t="s">
        <v>17503</v>
      </c>
      <c r="B49751" s="0" t="str">
        <f aca="false">HYPERLINK("https://lindat.mff.cuni.cz/services/teitok/pdtc10/index.php?action=vallex&amp;frame=v-w7017f37_ZU", "udělat (v-w7017f37_ZU)")</f>
        <v>udělat (v-w7017f37_ZU)</v>
      </c>
    </row>
    <row r="49752" customFormat="false" ht="12.8" hidden="false" customHeight="false" outlineLevel="0" collapsed="false">
      <c r="B49752" s="0" t="s">
        <v>1</v>
      </c>
    </row>
    <row r="49753" customFormat="false" ht="12.8" hidden="false" customHeight="false" outlineLevel="0" collapsed="false">
      <c r="B49753" s="0" t="s">
        <v>8</v>
      </c>
    </row>
    <row r="49754" customFormat="false" ht="12.8" hidden="false" customHeight="false" outlineLevel="0" collapsed="false">
      <c r="B49754" s="0" t="s">
        <v>36</v>
      </c>
    </row>
    <row r="49756" customFormat="false" ht="12.8" hidden="false" customHeight="false" outlineLevel="0" collapsed="false">
      <c r="A49756" s="0" t="s">
        <v>17503</v>
      </c>
      <c r="B49756" s="0" t="str">
        <f aca="false">HYPERLINK("https://lindat.mff.cuni.cz/services/teitok/pdtc10/index.php?action=vallex&amp;frame=v-w7017f2", "udělat (v-w7017f2) - substituted with v-w7017f37_ZU")</f>
        <v>udělat (v-w7017f2) - substituted with v-w7017f37_ZU</v>
      </c>
      <c r="E49756" s="0" t="str">
        <f aca="false">HYPERLINK("https://lindat.mff.cuni.cz/services/SynSemClass40/SynSemClass40.html?veclass=vec00084#vec00084-ces-cm00052", "vec00084")</f>
        <v>vec00084</v>
      </c>
      <c r="F49756" s="0" t="s">
        <v>778</v>
      </c>
      <c r="H49756" s="0" t="str">
        <f aca="false">HYPERLINK("https://lindat.mff.cuni.cz/services/SynSemClass40/SynSemClass40.html?veclass=vec01519#vec01519-ces-cm00026", "vec01519")</f>
        <v>vec01519</v>
      </c>
      <c r="I49756" s="0" t="s">
        <v>6441</v>
      </c>
    </row>
    <row r="49757" customFormat="false" ht="12.8" hidden="false" customHeight="false" outlineLevel="0" collapsed="false">
      <c r="B49757" s="0" t="s">
        <v>1</v>
      </c>
      <c r="C49757" s="0" t="s">
        <v>17504</v>
      </c>
      <c r="E49757" s="0" t="s">
        <v>31</v>
      </c>
      <c r="F49757" s="0" t="s">
        <v>781</v>
      </c>
      <c r="H49757" s="0" t="s">
        <v>768</v>
      </c>
      <c r="I49757" s="0" t="s">
        <v>6443</v>
      </c>
    </row>
    <row r="49758" customFormat="false" ht="12.8" hidden="false" customHeight="false" outlineLevel="0" collapsed="false">
      <c r="B49758" s="0" t="s">
        <v>8</v>
      </c>
      <c r="C49758" s="0" t="s">
        <v>17505</v>
      </c>
      <c r="E49758" s="0" t="s">
        <v>771</v>
      </c>
      <c r="F49758" s="0" t="s">
        <v>784</v>
      </c>
      <c r="H49758" s="0" t="s">
        <v>771</v>
      </c>
      <c r="I49758" s="0" t="s">
        <v>6445</v>
      </c>
    </row>
    <row r="49759" customFormat="false" ht="12.8" hidden="false" customHeight="false" outlineLevel="0" collapsed="false">
      <c r="B49759" s="0" t="s">
        <v>36</v>
      </c>
      <c r="C49759" s="0" t="s">
        <v>17506</v>
      </c>
      <c r="E49759" s="0" t="s">
        <v>787</v>
      </c>
      <c r="F49759" s="0" t="s">
        <v>788</v>
      </c>
      <c r="H49759" s="0" t="s">
        <v>6329</v>
      </c>
      <c r="I49759" s="0" t="s">
        <v>6447</v>
      </c>
    </row>
    <row r="49761" customFormat="false" ht="12.8" hidden="false" customHeight="false" outlineLevel="0" collapsed="false">
      <c r="A49761" s="0" t="s">
        <v>17507</v>
      </c>
      <c r="B49761" s="0" t="str">
        <f aca="false">HYPERLINK("https://lindat.mff.cuni.cz/services/teitok/pdtc10/index.php?action=vallex&amp;frame=v-w7017f38_ZU", "udělat (v-w7017f38_ZU)")</f>
        <v>udělat (v-w7017f38_ZU)</v>
      </c>
    </row>
    <row r="49762" customFormat="false" ht="12.8" hidden="false" customHeight="false" outlineLevel="0" collapsed="false">
      <c r="B49762" s="0" t="s">
        <v>1</v>
      </c>
    </row>
    <row r="49763" customFormat="false" ht="12.8" hidden="false" customHeight="false" outlineLevel="0" collapsed="false">
      <c r="B49763" s="0" t="s">
        <v>8</v>
      </c>
    </row>
    <row r="49764" customFormat="false" ht="12.8" hidden="false" customHeight="false" outlineLevel="0" collapsed="false">
      <c r="B49764" s="0" t="s">
        <v>17508</v>
      </c>
    </row>
    <row r="49766" customFormat="false" ht="12.8" hidden="false" customHeight="false" outlineLevel="0" collapsed="false">
      <c r="A49766" s="0" t="s">
        <v>17507</v>
      </c>
      <c r="B49766" s="0" t="str">
        <f aca="false">HYPERLINK("https://lindat.mff.cuni.cz/services/teitok/pdtc10/index.php?action=vallex&amp;frame=v-w7017f12", "udělat (v-w7017f12) - substituted with v-w7017f38_ZU")</f>
        <v>udělat (v-w7017f12) - substituted with v-w7017f38_ZU</v>
      </c>
    </row>
    <row r="49767" customFormat="false" ht="12.8" hidden="false" customHeight="false" outlineLevel="0" collapsed="false">
      <c r="B49767" s="0" t="s">
        <v>1</v>
      </c>
    </row>
    <row r="49768" customFormat="false" ht="12.8" hidden="false" customHeight="false" outlineLevel="0" collapsed="false">
      <c r="B49768" s="0" t="s">
        <v>8</v>
      </c>
    </row>
    <row r="49769" customFormat="false" ht="12.8" hidden="false" customHeight="false" outlineLevel="0" collapsed="false">
      <c r="B49769" s="0" t="s">
        <v>17508</v>
      </c>
    </row>
    <row r="49771" customFormat="false" ht="12.8" hidden="false" customHeight="false" outlineLevel="0" collapsed="false">
      <c r="A49771" s="0" t="s">
        <v>17509</v>
      </c>
      <c r="B49771" s="0" t="str">
        <f aca="false">HYPERLINK("https://lindat.mff.cuni.cz/services/teitok/pdtc10/index.php?action=vallex&amp;frame=v-w7017f10", "udělat (v-w7017f10)")</f>
        <v>udělat (v-w7017f10)</v>
      </c>
    </row>
    <row r="49772" customFormat="false" ht="12.8" hidden="false" customHeight="false" outlineLevel="0" collapsed="false">
      <c r="B49772" s="0" t="s">
        <v>1</v>
      </c>
    </row>
    <row r="49773" customFormat="false" ht="12.8" hidden="false" customHeight="false" outlineLevel="0" collapsed="false">
      <c r="B49773" s="0" t="s">
        <v>186</v>
      </c>
    </row>
    <row r="49774" customFormat="false" ht="12.8" hidden="false" customHeight="false" outlineLevel="0" collapsed="false">
      <c r="B49774" s="0" t="s">
        <v>852</v>
      </c>
    </row>
    <row r="49776" customFormat="false" ht="12.8" hidden="false" customHeight="false" outlineLevel="0" collapsed="false">
      <c r="A49776" s="0" t="s">
        <v>17510</v>
      </c>
      <c r="B49776" s="0" t="str">
        <f aca="false">HYPERLINK("https://lindat.mff.cuni.cz/services/teitok/pdtc10/index.php?action=vallex&amp;frame=v-w7017f32_ZU", "udělat (v-w7017f32_ZU)")</f>
        <v>udělat (v-w7017f32_ZU)</v>
      </c>
    </row>
    <row r="49777" customFormat="false" ht="12.8" hidden="false" customHeight="false" outlineLevel="0" collapsed="false">
      <c r="B49777" s="0" t="s">
        <v>1</v>
      </c>
    </row>
    <row r="49778" customFormat="false" ht="12.8" hidden="false" customHeight="false" outlineLevel="0" collapsed="false">
      <c r="B49778" s="0" t="s">
        <v>17511</v>
      </c>
    </row>
    <row r="49780" customFormat="false" ht="12.8" hidden="false" customHeight="false" outlineLevel="0" collapsed="false">
      <c r="A49780" s="0" t="s">
        <v>17510</v>
      </c>
      <c r="B49780" s="0" t="str">
        <f aca="false">HYPERLINK("https://lindat.mff.cuni.cz/services/teitok/pdtc10/index.php?action=vallex&amp;frame=v-w7017f1", "udělat (v-w7017f1) - substituted with v-w7017f32_ZU")</f>
        <v>udělat (v-w7017f1) - substituted with v-w7017f32_ZU</v>
      </c>
      <c r="E49780" s="0" t="str">
        <f aca="false">HYPERLINK("https://lindat.mff.cuni.cz/services/SynSemClass40/SynSemClass40.html?veclass=vec00089#vec00089-ces-cm00162", "vec00089")</f>
        <v>vec00089</v>
      </c>
      <c r="F49780" s="0" t="s">
        <v>3959</v>
      </c>
      <c r="H49780" s="0" t="str">
        <f aca="false">HYPERLINK("https://lindat.mff.cuni.cz/services/SynSemClass40/SynSemClass40.html?veclass=vec01414#vec01414-ces-cm00008", "vec01414")</f>
        <v>vec01414</v>
      </c>
      <c r="I49780" s="0" t="s">
        <v>5475</v>
      </c>
    </row>
    <row r="49781" customFormat="false" ht="12.8" hidden="false" customHeight="false" outlineLevel="0" collapsed="false">
      <c r="B49781" s="0" t="s">
        <v>1</v>
      </c>
      <c r="C49781" s="0" t="s">
        <v>17512</v>
      </c>
      <c r="E49781" s="0" t="s">
        <v>31</v>
      </c>
      <c r="F49781" s="0" t="s">
        <v>3960</v>
      </c>
      <c r="H49781" s="0" t="s">
        <v>31</v>
      </c>
      <c r="I49781" s="0" t="s">
        <v>5477</v>
      </c>
    </row>
    <row r="49782" customFormat="false" ht="12.8" hidden="false" customHeight="false" outlineLevel="0" collapsed="false">
      <c r="B49782" s="0" t="s">
        <v>17511</v>
      </c>
      <c r="C49782" s="0" t="s">
        <v>17513</v>
      </c>
      <c r="E49782" s="0" t="s">
        <v>2628</v>
      </c>
      <c r="F49782" s="0" t="s">
        <v>3961</v>
      </c>
      <c r="H49782" s="0" t="s">
        <v>14</v>
      </c>
      <c r="I49782" s="0" t="s">
        <v>5479</v>
      </c>
    </row>
    <row r="49784" customFormat="false" ht="12.8" hidden="false" customHeight="false" outlineLevel="0" collapsed="false">
      <c r="A49784" s="0" t="s">
        <v>17510</v>
      </c>
      <c r="B49784" s="0" t="str">
        <f aca="false">HYPERLINK("https://lindat.mff.cuni.cz/services/teitok/pdtc10/index.php?action=vallex&amp;frame=v-w7017f24_ZU", "udělat (v-w7017f24_ZU) - substituted with v-w7017f32_ZU")</f>
        <v>udělat (v-w7017f24_ZU) - substituted with v-w7017f32_ZU</v>
      </c>
    </row>
    <row r="49785" customFormat="false" ht="12.8" hidden="false" customHeight="false" outlineLevel="0" collapsed="false">
      <c r="B49785" s="0" t="s">
        <v>1</v>
      </c>
    </row>
    <row r="49786" customFormat="false" ht="12.8" hidden="false" customHeight="false" outlineLevel="0" collapsed="false">
      <c r="B49786" s="0" t="s">
        <v>17511</v>
      </c>
    </row>
    <row r="49788" customFormat="false" ht="12.8" hidden="false" customHeight="false" outlineLevel="0" collapsed="false">
      <c r="A49788" s="0" t="s">
        <v>17510</v>
      </c>
      <c r="B49788" s="0" t="str">
        <f aca="false">HYPERLINK("https://lindat.mff.cuni.cz/services/teitok/pdtc10/index.php?action=vallex&amp;frame=v-w7017f29_ZU", "udělat (v-w7017f29_ZU) - substituted with v-w7017f32_ZU")</f>
        <v>udělat (v-w7017f29_ZU) - substituted with v-w7017f32_ZU</v>
      </c>
    </row>
    <row r="49789" customFormat="false" ht="12.8" hidden="false" customHeight="false" outlineLevel="0" collapsed="false">
      <c r="B49789" s="0" t="s">
        <v>1</v>
      </c>
    </row>
    <row r="49790" customFormat="false" ht="12.8" hidden="false" customHeight="false" outlineLevel="0" collapsed="false">
      <c r="B49790" s="0" t="s">
        <v>17511</v>
      </c>
    </row>
    <row r="49792" customFormat="false" ht="12.8" hidden="false" customHeight="false" outlineLevel="0" collapsed="false">
      <c r="A49792" s="0" t="s">
        <v>17510</v>
      </c>
      <c r="B49792" s="0" t="str">
        <f aca="false">HYPERLINK("https://lindat.mff.cuni.cz/services/teitok/pdtc10/index.php?action=vallex&amp;frame=v-w7017f30_ZU", "udělat (v-w7017f30_ZU) - substituted with v-w7017f32_ZU")</f>
        <v>udělat (v-w7017f30_ZU) - substituted with v-w7017f32_ZU</v>
      </c>
    </row>
    <row r="49793" customFormat="false" ht="12.8" hidden="false" customHeight="false" outlineLevel="0" collapsed="false">
      <c r="B49793" s="0" t="s">
        <v>1</v>
      </c>
    </row>
    <row r="49794" customFormat="false" ht="12.8" hidden="false" customHeight="false" outlineLevel="0" collapsed="false">
      <c r="B49794" s="0" t="s">
        <v>17511</v>
      </c>
    </row>
    <row r="49796" customFormat="false" ht="12.8" hidden="false" customHeight="false" outlineLevel="0" collapsed="false">
      <c r="A49796" s="0" t="s">
        <v>17510</v>
      </c>
      <c r="B49796" s="0" t="str">
        <f aca="false">HYPERLINK("https://lindat.mff.cuni.cz/services/teitok/pdtc10/index.php?action=vallex&amp;frame=v-w7017hsa_2047", "udělat (v-w7017hsa_2047) - substituted with v-w7017f32_ZU")</f>
        <v>udělat (v-w7017hsa_2047) - substituted with v-w7017f32_ZU</v>
      </c>
    </row>
    <row r="49797" customFormat="false" ht="12.8" hidden="false" customHeight="false" outlineLevel="0" collapsed="false">
      <c r="B49797" s="0" t="s">
        <v>1</v>
      </c>
    </row>
    <row r="49798" customFormat="false" ht="12.8" hidden="false" customHeight="false" outlineLevel="0" collapsed="false">
      <c r="B49798" s="0" t="s">
        <v>17511</v>
      </c>
    </row>
    <row r="49800" customFormat="false" ht="12.8" hidden="false" customHeight="false" outlineLevel="0" collapsed="false">
      <c r="A49800" s="0" t="s">
        <v>17514</v>
      </c>
      <c r="B49800" s="0" t="str">
        <f aca="false">HYPERLINK("https://lindat.mff.cuni.cz/services/teitok/pdtc10/index.php?action=vallex&amp;frame=v-w7017f4", "udělat (v-w7017f4)")</f>
        <v>udělat (v-w7017f4)</v>
      </c>
      <c r="E49800" s="0" t="str">
        <f aca="false">HYPERLINK("https://lindat.mff.cuni.cz/services/SynSemClass40/SynSemClass40.html?veclass=vec00189#vec00189-ces-cm00259", "vec00189")</f>
        <v>vec00189</v>
      </c>
      <c r="F49800" s="0" t="s">
        <v>2169</v>
      </c>
    </row>
    <row r="49801" customFormat="false" ht="12.8" hidden="false" customHeight="false" outlineLevel="0" collapsed="false">
      <c r="B49801" s="0" t="s">
        <v>1</v>
      </c>
      <c r="C49801" s="0" t="s">
        <v>2170</v>
      </c>
      <c r="E49801" s="0" t="s">
        <v>1567</v>
      </c>
      <c r="F49801" s="0" t="s">
        <v>2171</v>
      </c>
    </row>
    <row r="49802" customFormat="false" ht="12.8" hidden="false" customHeight="false" outlineLevel="0" collapsed="false">
      <c r="B49802" s="0" t="s">
        <v>8</v>
      </c>
      <c r="C49802" s="0" t="s">
        <v>2173</v>
      </c>
      <c r="E49802" s="0" t="s">
        <v>2111</v>
      </c>
      <c r="F49802" s="0" t="s">
        <v>2174</v>
      </c>
    </row>
    <row r="49804" customFormat="false" ht="12.8" hidden="false" customHeight="false" outlineLevel="0" collapsed="false">
      <c r="A49804" s="0" t="s">
        <v>17515</v>
      </c>
      <c r="B49804" s="0" t="str">
        <f aca="false">HYPERLINK("https://lindat.mff.cuni.cz/services/teitok/pdtc10/index.php?action=vallex&amp;frame=v-w7017f9", "udělat (v-w7017f9)")</f>
        <v>udělat (v-w7017f9)</v>
      </c>
    </row>
    <row r="49805" customFormat="false" ht="12.8" hidden="false" customHeight="false" outlineLevel="0" collapsed="false">
      <c r="B49805" s="0" t="s">
        <v>1</v>
      </c>
    </row>
    <row r="49806" customFormat="false" ht="12.8" hidden="false" customHeight="false" outlineLevel="0" collapsed="false">
      <c r="B49806" s="0" t="s">
        <v>8</v>
      </c>
    </row>
    <row r="49808" customFormat="false" ht="12.8" hidden="false" customHeight="false" outlineLevel="0" collapsed="false">
      <c r="A49808" s="0" t="s">
        <v>17516</v>
      </c>
      <c r="B49808" s="0" t="str">
        <f aca="false">HYPERLINK("https://lindat.mff.cuni.cz/services/teitok/pdtc10/index.php?action=vallex&amp;frame=v-w7017f13", "udělat (v-w7017f13)")</f>
        <v>udělat (v-w7017f13)</v>
      </c>
    </row>
    <row r="49809" customFormat="false" ht="12.8" hidden="false" customHeight="false" outlineLevel="0" collapsed="false">
      <c r="B49809" s="0" t="s">
        <v>1</v>
      </c>
    </row>
    <row r="49810" customFormat="false" ht="12.8" hidden="false" customHeight="false" outlineLevel="0" collapsed="false">
      <c r="B49810" s="0" t="s">
        <v>3909</v>
      </c>
    </row>
    <row r="49811" customFormat="false" ht="12.8" hidden="false" customHeight="false" outlineLevel="0" collapsed="false">
      <c r="B49811" s="0" t="s">
        <v>162</v>
      </c>
    </row>
    <row r="49813" customFormat="false" ht="12.8" hidden="false" customHeight="false" outlineLevel="0" collapsed="false">
      <c r="A49813" s="0" t="s">
        <v>17517</v>
      </c>
      <c r="B49813" s="0" t="str">
        <f aca="false">HYPERLINK("https://lindat.mff.cuni.cz/services/teitok/pdtc10/index.php?action=vallex&amp;frame=v-w7017f18_ZU", "udělat (v-w7017f18_ZU)")</f>
        <v>udělat (v-w7017f18_ZU)</v>
      </c>
      <c r="E49813" s="0" t="str">
        <f aca="false">HYPERLINK("https://lindat.mff.cuni.cz/services/SynSemClass40/SynSemClass40.html?veclass=vec00033#vec00033-ces-cm00309", "vec00033")</f>
        <v>vec00033</v>
      </c>
      <c r="F49813" s="0" t="s">
        <v>3408</v>
      </c>
    </row>
    <row r="49814" customFormat="false" ht="12.8" hidden="false" customHeight="false" outlineLevel="0" collapsed="false">
      <c r="B49814" s="0" t="s">
        <v>1</v>
      </c>
      <c r="C49814" s="0" t="s">
        <v>3468</v>
      </c>
      <c r="E49814" s="0" t="s">
        <v>3410</v>
      </c>
      <c r="F49814" s="0" t="s">
        <v>3411</v>
      </c>
    </row>
    <row r="49815" customFormat="false" ht="12.8" hidden="false" customHeight="false" outlineLevel="0" collapsed="false">
      <c r="B49815" s="0" t="s">
        <v>17518</v>
      </c>
      <c r="C49815" s="0" t="s">
        <v>3470</v>
      </c>
      <c r="E49815" s="0" t="s">
        <v>3471</v>
      </c>
      <c r="F49815" s="0" t="s">
        <v>3472</v>
      </c>
    </row>
    <row r="49816" customFormat="false" ht="12.8" hidden="false" customHeight="false" outlineLevel="0" collapsed="false">
      <c r="B49816" s="0" t="s">
        <v>52</v>
      </c>
      <c r="C49816" s="0" t="s">
        <v>3415</v>
      </c>
      <c r="E49816" s="0" t="s">
        <v>53</v>
      </c>
      <c r="F49816" s="0" t="s">
        <v>3416</v>
      </c>
    </row>
    <row r="49818" customFormat="false" ht="12.8" hidden="false" customHeight="false" outlineLevel="0" collapsed="false">
      <c r="A49818" s="0" t="s">
        <v>17517</v>
      </c>
      <c r="B49818" s="0" t="str">
        <f aca="false">HYPERLINK("https://lindat.mff.cuni.cz/services/teitok/pdtc10/index.php?action=vallex&amp;frame=v-w7017f11", "udělat (v-w7017f11) - substituted with v-w7017f18_ZU")</f>
        <v>udělat (v-w7017f11) - substituted with v-w7017f18_ZU</v>
      </c>
    </row>
    <row r="49819" customFormat="false" ht="12.8" hidden="false" customHeight="false" outlineLevel="0" collapsed="false">
      <c r="B49819" s="0" t="s">
        <v>1</v>
      </c>
    </row>
    <row r="49820" customFormat="false" ht="12.8" hidden="false" customHeight="false" outlineLevel="0" collapsed="false">
      <c r="B49820" s="0" t="s">
        <v>17518</v>
      </c>
    </row>
    <row r="49821" customFormat="false" ht="12.8" hidden="false" customHeight="false" outlineLevel="0" collapsed="false">
      <c r="B49821" s="0" t="s">
        <v>52</v>
      </c>
    </row>
    <row r="49823" customFormat="false" ht="12.8" hidden="false" customHeight="false" outlineLevel="0" collapsed="false">
      <c r="A49823" s="0" t="s">
        <v>17519</v>
      </c>
      <c r="B49823" s="0" t="str">
        <f aca="false">HYPERLINK("https://lindat.mff.cuni.cz/services/teitok/pdtc10/index.php?action=vallex&amp;frame=v-w7017f28_ZU", "udělat (v-w7017f28_ZU)")</f>
        <v>udělat (v-w7017f28_ZU)</v>
      </c>
    </row>
    <row r="49824" customFormat="false" ht="12.8" hidden="false" customHeight="false" outlineLevel="0" collapsed="false">
      <c r="B49824" s="0" t="s">
        <v>1</v>
      </c>
    </row>
    <row r="49825" customFormat="false" ht="12.8" hidden="false" customHeight="false" outlineLevel="0" collapsed="false">
      <c r="B49825" s="0" t="s">
        <v>17520</v>
      </c>
    </row>
    <row r="49826" customFormat="false" ht="12.8" hidden="false" customHeight="false" outlineLevel="0" collapsed="false">
      <c r="B49826" s="0" t="s">
        <v>3889</v>
      </c>
    </row>
    <row r="49828" customFormat="false" ht="12.8" hidden="false" customHeight="false" outlineLevel="0" collapsed="false">
      <c r="A49828" s="0" t="s">
        <v>17519</v>
      </c>
      <c r="B49828" s="0" t="str">
        <f aca="false">HYPERLINK("https://lindat.mff.cuni.cz/services/teitok/pdtc10/index.php?action=vallex&amp;frame=v-w7017f14", "udělat (v-w7017f14) - substituted with v-w7017f28_ZU")</f>
        <v>udělat (v-w7017f14) - substituted with v-w7017f28_ZU</v>
      </c>
    </row>
    <row r="49829" customFormat="false" ht="12.8" hidden="false" customHeight="false" outlineLevel="0" collapsed="false">
      <c r="B49829" s="0" t="s">
        <v>1</v>
      </c>
    </row>
    <row r="49830" customFormat="false" ht="12.8" hidden="false" customHeight="false" outlineLevel="0" collapsed="false">
      <c r="B49830" s="0" t="s">
        <v>17520</v>
      </c>
    </row>
    <row r="49831" customFormat="false" ht="12.8" hidden="false" customHeight="false" outlineLevel="0" collapsed="false">
      <c r="B49831" s="0" t="s">
        <v>3889</v>
      </c>
    </row>
    <row r="49833" customFormat="false" ht="12.8" hidden="false" customHeight="false" outlineLevel="0" collapsed="false">
      <c r="A49833" s="0" t="s">
        <v>17521</v>
      </c>
      <c r="B49833" s="0" t="str">
        <f aca="false">HYPERLINK("https://lindat.mff.cuni.cz/services/teitok/pdtc10/index.php?action=vallex&amp;frame=v-w7017f40_MM", "udělat (v-w7017f40_MM)")</f>
        <v>udělat (v-w7017f40_MM)</v>
      </c>
    </row>
    <row r="49834" customFormat="false" ht="12.8" hidden="false" customHeight="false" outlineLevel="0" collapsed="false">
      <c r="B49834" s="0" t="s">
        <v>1</v>
      </c>
    </row>
    <row r="49835" customFormat="false" ht="12.8" hidden="false" customHeight="false" outlineLevel="0" collapsed="false">
      <c r="B49835" s="0" t="s">
        <v>17522</v>
      </c>
    </row>
    <row r="49837" customFormat="false" ht="12.8" hidden="false" customHeight="false" outlineLevel="0" collapsed="false">
      <c r="A49837" s="0" t="s">
        <v>17521</v>
      </c>
      <c r="B49837" s="0" t="str">
        <f aca="false">HYPERLINK("https://lindat.mff.cuni.cz/services/teitok/pdtc10/index.php?action=vallex&amp;frame=v-w7017f16", "udělat (v-w7017f16) - substituted with v-w7017f40_MM")</f>
        <v>udělat (v-w7017f16) - substituted with v-w7017f40_MM</v>
      </c>
    </row>
    <row r="49838" customFormat="false" ht="12.8" hidden="false" customHeight="false" outlineLevel="0" collapsed="false">
      <c r="B49838" s="0" t="s">
        <v>1</v>
      </c>
    </row>
    <row r="49839" customFormat="false" ht="12.8" hidden="false" customHeight="false" outlineLevel="0" collapsed="false">
      <c r="B49839" s="0" t="s">
        <v>17522</v>
      </c>
    </row>
    <row r="49841" customFormat="false" ht="12.8" hidden="false" customHeight="false" outlineLevel="0" collapsed="false">
      <c r="A49841" s="0" t="s">
        <v>17521</v>
      </c>
      <c r="B49841" s="0" t="str">
        <f aca="false">HYPERLINK("https://lindat.mff.cuni.cz/services/teitok/pdtc10/index.php?action=vallex&amp;frame=v-w7017f34_ZU", "udělat (v-w7017f34_ZU) - substituted with v-w7017f40_MM")</f>
        <v>udělat (v-w7017f34_ZU) - substituted with v-w7017f40_MM</v>
      </c>
    </row>
    <row r="49842" customFormat="false" ht="12.8" hidden="false" customHeight="false" outlineLevel="0" collapsed="false">
      <c r="B49842" s="0" t="s">
        <v>1</v>
      </c>
    </row>
    <row r="49843" customFormat="false" ht="12.8" hidden="false" customHeight="false" outlineLevel="0" collapsed="false">
      <c r="B49843" s="0" t="s">
        <v>17522</v>
      </c>
    </row>
    <row r="49845" customFormat="false" ht="12.8" hidden="false" customHeight="false" outlineLevel="0" collapsed="false">
      <c r="A49845" s="0" t="s">
        <v>17521</v>
      </c>
      <c r="B49845" s="0" t="str">
        <f aca="false">HYPERLINK("https://lindat.mff.cuni.cz/services/teitok/pdtc10/index.php?action=vallex&amp;frame=v-w7017f39_MM", "udělat (v-w7017f39_MM) - substituted with v-w7017f40_MM")</f>
        <v>udělat (v-w7017f39_MM) - substituted with v-w7017f40_MM</v>
      </c>
    </row>
    <row r="49846" customFormat="false" ht="12.8" hidden="false" customHeight="false" outlineLevel="0" collapsed="false">
      <c r="B49846" s="0" t="s">
        <v>1</v>
      </c>
    </row>
    <row r="49847" customFormat="false" ht="12.8" hidden="false" customHeight="false" outlineLevel="0" collapsed="false">
      <c r="B49847" s="0" t="s">
        <v>17522</v>
      </c>
    </row>
    <row r="49849" customFormat="false" ht="12.8" hidden="false" customHeight="false" outlineLevel="0" collapsed="false">
      <c r="A49849" s="0" t="s">
        <v>17521</v>
      </c>
      <c r="B49849" s="0" t="str">
        <f aca="false">HYPERLINK("https://lindat.mff.cuni.cz/services/teitok/pdtc10/index.php?action=vallex&amp;frame=v-w7017hsa_2051", "udělat (v-w7017hsa_2051) - substituted with v-w7017f40_MM")</f>
        <v>udělat (v-w7017hsa_2051) - substituted with v-w7017f40_MM</v>
      </c>
    </row>
    <row r="49850" customFormat="false" ht="12.8" hidden="false" customHeight="false" outlineLevel="0" collapsed="false">
      <c r="B49850" s="0" t="s">
        <v>1</v>
      </c>
    </row>
    <row r="49851" customFormat="false" ht="12.8" hidden="false" customHeight="false" outlineLevel="0" collapsed="false">
      <c r="B49851" s="0" t="s">
        <v>17522</v>
      </c>
    </row>
    <row r="49853" customFormat="false" ht="12.8" hidden="false" customHeight="false" outlineLevel="0" collapsed="false">
      <c r="A49853" s="0" t="s">
        <v>17523</v>
      </c>
      <c r="B49853" s="0" t="str">
        <f aca="false">HYPERLINK("https://lindat.mff.cuni.cz/services/teitok/pdtc10/index.php?action=vallex&amp;frame=v-w7017f42_MM", "udělat (v-w7017f42_MM)")</f>
        <v>udělat (v-w7017f42_MM)</v>
      </c>
    </row>
    <row r="49854" customFormat="false" ht="12.8" hidden="false" customHeight="false" outlineLevel="0" collapsed="false">
      <c r="B49854" s="0" t="s">
        <v>1</v>
      </c>
    </row>
    <row r="49855" customFormat="false" ht="12.8" hidden="false" customHeight="false" outlineLevel="0" collapsed="false">
      <c r="B49855" s="0" t="s">
        <v>17524</v>
      </c>
    </row>
    <row r="49857" customFormat="false" ht="12.8" hidden="false" customHeight="false" outlineLevel="0" collapsed="false">
      <c r="A49857" s="0" t="s">
        <v>17523</v>
      </c>
      <c r="B49857" s="0" t="str">
        <f aca="false">HYPERLINK("https://lindat.mff.cuni.cz/services/teitok/pdtc10/index.php?action=vallex&amp;frame=v-w7017f17_ZU", "udělat (v-w7017f17_ZU) - substituted with v-w7017f42_MM")</f>
        <v>udělat (v-w7017f17_ZU) - substituted with v-w7017f42_MM</v>
      </c>
    </row>
    <row r="49858" customFormat="false" ht="12.8" hidden="false" customHeight="false" outlineLevel="0" collapsed="false">
      <c r="B49858" s="0" t="s">
        <v>1</v>
      </c>
    </row>
    <row r="49859" customFormat="false" ht="12.8" hidden="false" customHeight="false" outlineLevel="0" collapsed="false">
      <c r="B49859" s="0" t="s">
        <v>17524</v>
      </c>
    </row>
    <row r="49861" customFormat="false" ht="12.8" hidden="false" customHeight="false" outlineLevel="0" collapsed="false">
      <c r="A49861" s="0" t="s">
        <v>17523</v>
      </c>
      <c r="B49861" s="0" t="str">
        <f aca="false">HYPERLINK("https://lindat.mff.cuni.cz/services/teitok/pdtc10/index.php?action=vallex&amp;frame=v-w7017f21_ZU", "udělat (v-w7017f21_ZU) - substituted with v-w7017f42_MM")</f>
        <v>udělat (v-w7017f21_ZU) - substituted with v-w7017f42_MM</v>
      </c>
    </row>
    <row r="49862" customFormat="false" ht="12.8" hidden="false" customHeight="false" outlineLevel="0" collapsed="false">
      <c r="B49862" s="0" t="s">
        <v>1</v>
      </c>
    </row>
    <row r="49863" customFormat="false" ht="12.8" hidden="false" customHeight="false" outlineLevel="0" collapsed="false">
      <c r="B49863" s="0" t="s">
        <v>17524</v>
      </c>
    </row>
    <row r="49865" customFormat="false" ht="12.8" hidden="false" customHeight="false" outlineLevel="0" collapsed="false">
      <c r="A49865" s="0" t="s">
        <v>17523</v>
      </c>
      <c r="B49865" s="0" t="str">
        <f aca="false">HYPERLINK("https://lindat.mff.cuni.cz/services/teitok/pdtc10/index.php?action=vallex&amp;frame=v-w7017f22_ZU", "udělat (v-w7017f22_ZU) - substituted with v-w7017f42_MM")</f>
        <v>udělat (v-w7017f22_ZU) - substituted with v-w7017f42_MM</v>
      </c>
    </row>
    <row r="49866" customFormat="false" ht="12.8" hidden="false" customHeight="false" outlineLevel="0" collapsed="false">
      <c r="B49866" s="0" t="s">
        <v>1</v>
      </c>
    </row>
    <row r="49867" customFormat="false" ht="12.8" hidden="false" customHeight="false" outlineLevel="0" collapsed="false">
      <c r="B49867" s="0" t="s">
        <v>17524</v>
      </c>
    </row>
    <row r="49869" customFormat="false" ht="12.8" hidden="false" customHeight="false" outlineLevel="0" collapsed="false">
      <c r="A49869" s="0" t="s">
        <v>17523</v>
      </c>
      <c r="B49869" s="0" t="str">
        <f aca="false">HYPERLINK("https://lindat.mff.cuni.cz/services/teitok/pdtc10/index.php?action=vallex&amp;frame=v-w7017f23_ZU", "udělat (v-w7017f23_ZU) - substituted with v-w7017f42_MM")</f>
        <v>udělat (v-w7017f23_ZU) - substituted with v-w7017f42_MM</v>
      </c>
      <c r="E49869" s="0" t="str">
        <f aca="false">HYPERLINK("https://lindat.mff.cuni.cz/services/SynSemClass40/SynSemClass40.html?veclass=vec01188#vec01188-ces-cm00162", "vec01188")</f>
        <v>vec01188</v>
      </c>
      <c r="F49869" s="0" t="s">
        <v>5481</v>
      </c>
    </row>
    <row r="49870" customFormat="false" ht="12.8" hidden="false" customHeight="false" outlineLevel="0" collapsed="false">
      <c r="B49870" s="0" t="s">
        <v>1</v>
      </c>
      <c r="C49870" s="0" t="s">
        <v>10802</v>
      </c>
      <c r="E49870" s="0" t="s">
        <v>31</v>
      </c>
      <c r="F49870" s="0" t="s">
        <v>5483</v>
      </c>
    </row>
    <row r="49871" customFormat="false" ht="12.8" hidden="false" customHeight="false" outlineLevel="0" collapsed="false">
      <c r="B49871" s="0" t="s">
        <v>17524</v>
      </c>
      <c r="C49871" s="0" t="s">
        <v>10804</v>
      </c>
      <c r="E49871" s="0" t="s">
        <v>3478</v>
      </c>
      <c r="F49871" s="0" t="s">
        <v>5488</v>
      </c>
    </row>
    <row r="49873" customFormat="false" ht="12.8" hidden="false" customHeight="false" outlineLevel="0" collapsed="false">
      <c r="A49873" s="0" t="s">
        <v>17523</v>
      </c>
      <c r="B49873" s="0" t="str">
        <f aca="false">HYPERLINK("https://lindat.mff.cuni.cz/services/teitok/pdtc10/index.php?action=vallex&amp;frame=v-w7017f27_ZU", "udělat (v-w7017f27_ZU) - substituted with v-w7017f42_MM")</f>
        <v>udělat (v-w7017f27_ZU) - substituted with v-w7017f42_MM</v>
      </c>
    </row>
    <row r="49874" customFormat="false" ht="12.8" hidden="false" customHeight="false" outlineLevel="0" collapsed="false">
      <c r="B49874" s="0" t="s">
        <v>1</v>
      </c>
    </row>
    <row r="49875" customFormat="false" ht="12.8" hidden="false" customHeight="false" outlineLevel="0" collapsed="false">
      <c r="B49875" s="0" t="s">
        <v>17524</v>
      </c>
    </row>
    <row r="49877" customFormat="false" ht="12.8" hidden="false" customHeight="false" outlineLevel="0" collapsed="false">
      <c r="A49877" s="0" t="s">
        <v>17523</v>
      </c>
      <c r="B49877" s="0" t="str">
        <f aca="false">HYPERLINK("https://lindat.mff.cuni.cz/services/teitok/pdtc10/index.php?action=vallex&amp;frame=v-w7017f3", "udělat (v-w7017f3) - substituted with v-w7017f42_MM")</f>
        <v>udělat (v-w7017f3) - substituted with v-w7017f42_MM</v>
      </c>
    </row>
    <row r="49878" customFormat="false" ht="12.8" hidden="false" customHeight="false" outlineLevel="0" collapsed="false">
      <c r="B49878" s="0" t="s">
        <v>1</v>
      </c>
    </row>
    <row r="49879" customFormat="false" ht="12.8" hidden="false" customHeight="false" outlineLevel="0" collapsed="false">
      <c r="B49879" s="0" t="s">
        <v>17524</v>
      </c>
    </row>
    <row r="49881" customFormat="false" ht="12.8" hidden="false" customHeight="false" outlineLevel="0" collapsed="false">
      <c r="A49881" s="0" t="s">
        <v>17523</v>
      </c>
      <c r="B49881" s="0" t="str">
        <f aca="false">HYPERLINK("https://lindat.mff.cuni.cz/services/teitok/pdtc10/index.php?action=vallex&amp;frame=v-w7017f31_ZU", "udělat (v-w7017f31_ZU) - substituted with v-w7017f42_MM")</f>
        <v>udělat (v-w7017f31_ZU) - substituted with v-w7017f42_MM</v>
      </c>
    </row>
    <row r="49882" customFormat="false" ht="12.8" hidden="false" customHeight="false" outlineLevel="0" collapsed="false">
      <c r="B49882" s="0" t="s">
        <v>1</v>
      </c>
    </row>
    <row r="49883" customFormat="false" ht="12.8" hidden="false" customHeight="false" outlineLevel="0" collapsed="false">
      <c r="B49883" s="0" t="s">
        <v>17524</v>
      </c>
    </row>
    <row r="49885" customFormat="false" ht="12.8" hidden="false" customHeight="false" outlineLevel="0" collapsed="false">
      <c r="A49885" s="0" t="s">
        <v>17523</v>
      </c>
      <c r="B49885" s="0" t="str">
        <f aca="false">HYPERLINK("https://lindat.mff.cuni.cz/services/teitok/pdtc10/index.php?action=vallex&amp;frame=v-w7017f33_ZU", "udělat (v-w7017f33_ZU) - substituted with v-w7017f42_MM")</f>
        <v>udělat (v-w7017f33_ZU) - substituted with v-w7017f42_MM</v>
      </c>
    </row>
    <row r="49886" customFormat="false" ht="12.8" hidden="false" customHeight="false" outlineLevel="0" collapsed="false">
      <c r="B49886" s="0" t="s">
        <v>1</v>
      </c>
    </row>
    <row r="49887" customFormat="false" ht="12.8" hidden="false" customHeight="false" outlineLevel="0" collapsed="false">
      <c r="B49887" s="0" t="s">
        <v>17524</v>
      </c>
    </row>
    <row r="49889" customFormat="false" ht="12.8" hidden="false" customHeight="false" outlineLevel="0" collapsed="false">
      <c r="A49889" s="0" t="s">
        <v>17523</v>
      </c>
      <c r="B49889" s="0" t="str">
        <f aca="false">HYPERLINK("https://lindat.mff.cuni.cz/services/teitok/pdtc10/index.php?action=vallex&amp;frame=v-w7017f41_MM", "udělat (v-w7017f41_MM) - substituted with v-w7017f42_MM")</f>
        <v>udělat (v-w7017f41_MM) - substituted with v-w7017f42_MM</v>
      </c>
    </row>
    <row r="49890" customFormat="false" ht="12.8" hidden="false" customHeight="false" outlineLevel="0" collapsed="false">
      <c r="B49890" s="0" t="s">
        <v>1</v>
      </c>
    </row>
    <row r="49891" customFormat="false" ht="12.8" hidden="false" customHeight="false" outlineLevel="0" collapsed="false">
      <c r="B49891" s="0" t="s">
        <v>17524</v>
      </c>
    </row>
    <row r="49893" customFormat="false" ht="12.8" hidden="false" customHeight="false" outlineLevel="0" collapsed="false">
      <c r="A49893" s="0" t="s">
        <v>17523</v>
      </c>
      <c r="B49893" s="0" t="str">
        <f aca="false">HYPERLINK("https://lindat.mff.cuni.cz/services/teitok/pdtc10/index.php?action=vallex&amp;frame=v-w7017hsa_1303", "udělat (v-w7017hsa_1303) - substituted with v-w7017f42_MM")</f>
        <v>udělat (v-w7017hsa_1303) - substituted with v-w7017f42_MM</v>
      </c>
    </row>
    <row r="49894" customFormat="false" ht="12.8" hidden="false" customHeight="false" outlineLevel="0" collapsed="false">
      <c r="B49894" s="0" t="s">
        <v>1</v>
      </c>
    </row>
    <row r="49895" customFormat="false" ht="12.8" hidden="false" customHeight="false" outlineLevel="0" collapsed="false">
      <c r="B49895" s="0" t="s">
        <v>17524</v>
      </c>
    </row>
    <row r="49897" customFormat="false" ht="12.8" hidden="false" customHeight="false" outlineLevel="0" collapsed="false">
      <c r="A49897" s="0" t="s">
        <v>17523</v>
      </c>
      <c r="B49897" s="0" t="str">
        <f aca="false">HYPERLINK("https://lindat.mff.cuni.cz/services/teitok/pdtc10/index.php?action=vallex&amp;frame=v-w7017hsa_2048", "udělat (v-w7017hsa_2048) - substituted with v-w7017f42_MM")</f>
        <v>udělat (v-w7017hsa_2048) - substituted with v-w7017f42_MM</v>
      </c>
    </row>
    <row r="49898" customFormat="false" ht="12.8" hidden="false" customHeight="false" outlineLevel="0" collapsed="false">
      <c r="B49898" s="0" t="s">
        <v>1</v>
      </c>
    </row>
    <row r="49899" customFormat="false" ht="12.8" hidden="false" customHeight="false" outlineLevel="0" collapsed="false">
      <c r="B49899" s="0" t="s">
        <v>17524</v>
      </c>
    </row>
    <row r="49901" customFormat="false" ht="12.8" hidden="false" customHeight="false" outlineLevel="0" collapsed="false">
      <c r="A49901" s="0" t="s">
        <v>17525</v>
      </c>
      <c r="B49901" s="0" t="str">
        <f aca="false">HYPERLINK("https://lindat.mff.cuni.cz/services/teitok/pdtc10/index.php?action=vallex&amp;frame=v-w7017f15", "udělat (v-w7017f15)")</f>
        <v>udělat (v-w7017f15)</v>
      </c>
    </row>
    <row r="49902" customFormat="false" ht="12.8" hidden="false" customHeight="false" outlineLevel="0" collapsed="false">
      <c r="B49902" s="0" t="s">
        <v>1</v>
      </c>
    </row>
    <row r="49903" customFormat="false" ht="12.8" hidden="false" customHeight="false" outlineLevel="0" collapsed="false">
      <c r="B49903" s="0" t="s">
        <v>17526</v>
      </c>
    </row>
    <row r="49905" customFormat="false" ht="12.8" hidden="false" customHeight="false" outlineLevel="0" collapsed="false">
      <c r="A49905" s="0" t="s">
        <v>17527</v>
      </c>
      <c r="B49905" s="0" t="str">
        <f aca="false">HYPERLINK("https://lindat.mff.cuni.cz/services/teitok/pdtc10/index.php?action=vallex&amp;frame=v-w7017f8", "udělat (v-w7017f8)")</f>
        <v>udělat (v-w7017f8)</v>
      </c>
      <c r="E49905" s="0" t="str">
        <f aca="false">HYPERLINK("https://lindat.mff.cuni.cz/services/SynSemClass40/SynSemClass40.html?veclass=vec00225#vec00225-ces-cm00027", "vec00225")</f>
        <v>vec00225</v>
      </c>
      <c r="F49905" s="0" t="s">
        <v>1453</v>
      </c>
    </row>
    <row r="49906" customFormat="false" ht="12.8" hidden="false" customHeight="false" outlineLevel="0" collapsed="false">
      <c r="B49906" s="0" t="s">
        <v>1</v>
      </c>
      <c r="C49906" s="0" t="s">
        <v>4910</v>
      </c>
      <c r="E49906" s="0" t="s">
        <v>11</v>
      </c>
      <c r="F49906" s="0" t="s">
        <v>1456</v>
      </c>
    </row>
    <row r="49907" customFormat="false" ht="12.8" hidden="false" customHeight="false" outlineLevel="0" collapsed="false">
      <c r="B49907" s="0" t="s">
        <v>17528</v>
      </c>
      <c r="E49907" s="0" t="s">
        <v>17529</v>
      </c>
      <c r="F49907" s="0" t="s">
        <v>17530</v>
      </c>
    </row>
    <row r="49909" customFormat="false" ht="12.8" hidden="false" customHeight="false" outlineLevel="0" collapsed="false">
      <c r="A49909" s="0" t="s">
        <v>17531</v>
      </c>
      <c r="B49909" s="0" t="str">
        <f aca="false">HYPERLINK("https://lindat.mff.cuni.cz/services/teitok/pdtc10/index.php?action=vallex&amp;frame=v-w7017f6", "udělat (v-w7017f6)")</f>
        <v>udělat (v-w7017f6)</v>
      </c>
    </row>
    <row r="49910" customFormat="false" ht="12.8" hidden="false" customHeight="false" outlineLevel="0" collapsed="false">
      <c r="B49910" s="0" t="s">
        <v>1</v>
      </c>
    </row>
    <row r="49911" customFormat="false" ht="12.8" hidden="false" customHeight="false" outlineLevel="0" collapsed="false">
      <c r="B49911" s="0" t="s">
        <v>17532</v>
      </c>
    </row>
    <row r="49913" customFormat="false" ht="12.8" hidden="false" customHeight="false" outlineLevel="0" collapsed="false">
      <c r="A49913" s="0" t="s">
        <v>17533</v>
      </c>
      <c r="B49913" s="0" t="str">
        <f aca="false">HYPERLINK("https://lindat.mff.cuni.cz/services/teitok/pdtc10/index.php?action=vallex&amp;frame=v-w7017hsa_1302", "udělat (v-w7017hsa_1302)")</f>
        <v>udělat (v-w7017hsa_1302)</v>
      </c>
    </row>
    <row r="49914" customFormat="false" ht="12.8" hidden="false" customHeight="false" outlineLevel="0" collapsed="false">
      <c r="B49914" s="0" t="s">
        <v>1</v>
      </c>
    </row>
    <row r="49915" customFormat="false" ht="12.8" hidden="false" customHeight="false" outlineLevel="0" collapsed="false">
      <c r="B49915" s="0" t="s">
        <v>852</v>
      </c>
    </row>
    <row r="49917" customFormat="false" ht="12.8" hidden="false" customHeight="false" outlineLevel="0" collapsed="false">
      <c r="A49917" s="0" t="s">
        <v>17534</v>
      </c>
      <c r="B49917" s="0" t="str">
        <f aca="false">HYPERLINK("https://lindat.mff.cuni.cz/services/teitok/pdtc10/index.php?action=vallex&amp;frame=v-w7017f19_ZU", "udělat (v-w7017f19_ZU)")</f>
        <v>udělat (v-w7017f19_ZU)</v>
      </c>
      <c r="E49917" s="0" t="str">
        <f aca="false">HYPERLINK("https://lindat.mff.cuni.cz/services/SynSemClass40/SynSemClass40.html?veclass=vec00089#vec00089-ces-cm00298", "vec00089")</f>
        <v>vec00089</v>
      </c>
      <c r="F49917" s="0" t="s">
        <v>3959</v>
      </c>
    </row>
    <row r="49918" customFormat="false" ht="12.8" hidden="false" customHeight="false" outlineLevel="0" collapsed="false">
      <c r="B49918" s="0" t="s">
        <v>1</v>
      </c>
      <c r="C49918" s="0" t="s">
        <v>1561</v>
      </c>
      <c r="E49918" s="0" t="s">
        <v>31</v>
      </c>
      <c r="F49918" s="0" t="s">
        <v>3960</v>
      </c>
    </row>
    <row r="49919" customFormat="false" ht="12.8" hidden="false" customHeight="false" outlineLevel="0" collapsed="false">
      <c r="B49919" s="0" t="s">
        <v>17535</v>
      </c>
      <c r="C49919" s="0" t="s">
        <v>17536</v>
      </c>
      <c r="E49919" s="0" t="s">
        <v>17537</v>
      </c>
      <c r="F49919" s="0" t="s">
        <v>17538</v>
      </c>
    </row>
    <row r="49921" customFormat="false" ht="12.8" hidden="false" customHeight="false" outlineLevel="0" collapsed="false">
      <c r="A49921" s="0" t="s">
        <v>17539</v>
      </c>
      <c r="B49921" s="0" t="str">
        <f aca="false">HYPERLINK("https://lindat.mff.cuni.cz/services/teitok/pdtc10/index.php?action=vallex&amp;frame=v-w7017f20_ZU", "udělat (v-w7017f20_ZU)")</f>
        <v>udělat (v-w7017f20_ZU)</v>
      </c>
    </row>
    <row r="49922" customFormat="false" ht="12.8" hidden="false" customHeight="false" outlineLevel="0" collapsed="false">
      <c r="B49922" s="0" t="s">
        <v>1</v>
      </c>
    </row>
    <row r="49923" customFormat="false" ht="12.8" hidden="false" customHeight="false" outlineLevel="0" collapsed="false">
      <c r="B49923" s="0" t="s">
        <v>17540</v>
      </c>
    </row>
    <row r="49925" customFormat="false" ht="12.8" hidden="false" customHeight="false" outlineLevel="0" collapsed="false">
      <c r="A49925" s="0" t="s">
        <v>17541</v>
      </c>
      <c r="B49925" s="0" t="str">
        <f aca="false">HYPERLINK("https://lindat.mff.cuni.cz/services/teitok/pdtc10/index.php?action=vallex&amp;frame=v-w7017f25_ZU", "udělat (v-w7017f25_ZU)")</f>
        <v>udělat (v-w7017f25_ZU)</v>
      </c>
    </row>
    <row r="49926" customFormat="false" ht="12.8" hidden="false" customHeight="false" outlineLevel="0" collapsed="false">
      <c r="B49926" s="0" t="s">
        <v>1</v>
      </c>
    </row>
    <row r="49927" customFormat="false" ht="12.8" hidden="false" customHeight="false" outlineLevel="0" collapsed="false">
      <c r="B49927" s="0" t="s">
        <v>17542</v>
      </c>
    </row>
    <row r="49928" customFormat="false" ht="12.8" hidden="false" customHeight="false" outlineLevel="0" collapsed="false">
      <c r="B49928" s="0" t="s">
        <v>763</v>
      </c>
    </row>
    <row r="49930" customFormat="false" ht="12.8" hidden="false" customHeight="false" outlineLevel="0" collapsed="false">
      <c r="A49930" s="0" t="s">
        <v>17541</v>
      </c>
      <c r="B49930" s="0" t="str">
        <f aca="false">HYPERLINK("https://lindat.mff.cuni.cz/services/teitok/pdtc10/index.php?action=vallex&amp;frame=v-w7017hsa_2049", "udělat (v-w7017hsa_2049) - substituted with v-w7017f25_ZU")</f>
        <v>udělat (v-w7017hsa_2049) - substituted with v-w7017f25_ZU</v>
      </c>
    </row>
    <row r="49931" customFormat="false" ht="12.8" hidden="false" customHeight="false" outlineLevel="0" collapsed="false">
      <c r="B49931" s="0" t="s">
        <v>1</v>
      </c>
    </row>
    <row r="49932" customFormat="false" ht="12.8" hidden="false" customHeight="false" outlineLevel="0" collapsed="false">
      <c r="B49932" s="0" t="s">
        <v>17542</v>
      </c>
    </row>
    <row r="49933" customFormat="false" ht="12.8" hidden="false" customHeight="false" outlineLevel="0" collapsed="false">
      <c r="B49933" s="0" t="s">
        <v>763</v>
      </c>
    </row>
    <row r="49935" customFormat="false" ht="12.8" hidden="false" customHeight="false" outlineLevel="0" collapsed="false">
      <c r="A49935" s="0" t="s">
        <v>17543</v>
      </c>
      <c r="B49935" s="0" t="str">
        <f aca="false">HYPERLINK("https://lindat.mff.cuni.cz/services/teitok/pdtc10/index.php?action=vallex&amp;frame=v-w7017f26_ZU", "udělat (v-w7017f26_ZU)")</f>
        <v>udělat (v-w7017f26_ZU)</v>
      </c>
    </row>
    <row r="49936" customFormat="false" ht="12.8" hidden="false" customHeight="false" outlineLevel="0" collapsed="false">
      <c r="B49936" s="0" t="s">
        <v>1</v>
      </c>
    </row>
    <row r="49937" customFormat="false" ht="12.8" hidden="false" customHeight="false" outlineLevel="0" collapsed="false">
      <c r="B49937" s="0" t="s">
        <v>17544</v>
      </c>
    </row>
    <row r="49939" customFormat="false" ht="12.8" hidden="false" customHeight="false" outlineLevel="0" collapsed="false">
      <c r="A49939" s="0" t="s">
        <v>17543</v>
      </c>
      <c r="B49939" s="0" t="str">
        <f aca="false">HYPERLINK("https://lindat.mff.cuni.cz/services/teitok/pdtc10/index.php?action=vallex&amp;frame=v-w7017hsa_2050", "udělat (v-w7017hsa_2050) - substituted with v-w7017f26_ZU")</f>
        <v>udělat (v-w7017hsa_2050) - substituted with v-w7017f26_ZU</v>
      </c>
    </row>
    <row r="49940" customFormat="false" ht="12.8" hidden="false" customHeight="false" outlineLevel="0" collapsed="false">
      <c r="B49940" s="0" t="s">
        <v>1</v>
      </c>
    </row>
    <row r="49941" customFormat="false" ht="12.8" hidden="false" customHeight="false" outlineLevel="0" collapsed="false">
      <c r="B49941" s="0" t="s">
        <v>17544</v>
      </c>
    </row>
    <row r="49943" customFormat="false" ht="12.8" hidden="false" customHeight="false" outlineLevel="0" collapsed="false">
      <c r="A49943" s="0" t="s">
        <v>17545</v>
      </c>
      <c r="B49943" s="0" t="str">
        <f aca="false">HYPERLINK("https://lindat.mff.cuni.cz/services/teitok/pdtc10/index.php?action=vallex&amp;frame=v-w7017f35_ZU", "udělat (v-w7017f35_ZU)")</f>
        <v>udělat (v-w7017f35_ZU)</v>
      </c>
    </row>
    <row r="49944" customFormat="false" ht="12.8" hidden="false" customHeight="false" outlineLevel="0" collapsed="false">
      <c r="B49944" s="0" t="s">
        <v>1</v>
      </c>
    </row>
    <row r="49945" customFormat="false" ht="12.8" hidden="false" customHeight="false" outlineLevel="0" collapsed="false">
      <c r="B49945" s="0" t="s">
        <v>3919</v>
      </c>
    </row>
    <row r="49947" customFormat="false" ht="12.8" hidden="false" customHeight="false" outlineLevel="0" collapsed="false">
      <c r="A49947" s="0" t="s">
        <v>17546</v>
      </c>
      <c r="B49947" s="0" t="str">
        <f aca="false">HYPERLINK("https://lindat.mff.cuni.cz/services/teitok/pdtc10/index.php?action=vallex&amp;frame=v-w7017f36_ZU", "udělat (v-w7017f36_ZU)")</f>
        <v>udělat (v-w7017f36_ZU)</v>
      </c>
    </row>
    <row r="49948" customFormat="false" ht="12.8" hidden="false" customHeight="false" outlineLevel="0" collapsed="false">
      <c r="B49948" s="0" t="s">
        <v>1</v>
      </c>
    </row>
    <row r="49949" customFormat="false" ht="12.8" hidden="false" customHeight="false" outlineLevel="0" collapsed="false">
      <c r="B49949" s="0" t="s">
        <v>8</v>
      </c>
    </row>
    <row r="49951" customFormat="false" ht="12.8" hidden="false" customHeight="false" outlineLevel="0" collapsed="false">
      <c r="A49951" s="0" t="s">
        <v>17547</v>
      </c>
      <c r="B49951" s="0" t="str">
        <f aca="false">HYPERLINK("https://lindat.mff.cuni.cz/services/teitok/pdtc10/index.php?action=vallex&amp;frame=v-w7018f2", "udělat se (v-w7018f2)")</f>
        <v>udělat se (v-w7018f2)</v>
      </c>
    </row>
    <row r="49952" customFormat="false" ht="12.8" hidden="false" customHeight="false" outlineLevel="0" collapsed="false">
      <c r="B49952" s="0" t="s">
        <v>1</v>
      </c>
    </row>
    <row r="49953" customFormat="false" ht="12.8" hidden="false" customHeight="false" outlineLevel="0" collapsed="false">
      <c r="B49953" s="0" t="s">
        <v>763</v>
      </c>
    </row>
    <row r="49955" customFormat="false" ht="12.8" hidden="false" customHeight="false" outlineLevel="0" collapsed="false">
      <c r="A49955" s="0" t="s">
        <v>17548</v>
      </c>
      <c r="B49955" s="0" t="str">
        <f aca="false">HYPERLINK("https://lindat.mff.cuni.cz/services/teitok/pdtc10/index.php?action=vallex&amp;frame=v-w7018f3", "udělat se (v-w7018f3)")</f>
        <v>udělat se (v-w7018f3)</v>
      </c>
    </row>
    <row r="49956" customFormat="false" ht="12.8" hidden="false" customHeight="false" outlineLevel="0" collapsed="false">
      <c r="B49956" s="0" t="s">
        <v>1</v>
      </c>
    </row>
    <row r="49958" customFormat="false" ht="12.8" hidden="false" customHeight="false" outlineLevel="0" collapsed="false">
      <c r="A49958" s="0" t="s">
        <v>17549</v>
      </c>
      <c r="B49958" s="0" t="str">
        <f aca="false">HYPERLINK("https://lindat.mff.cuni.cz/services/teitok/pdtc10/index.php?action=vallex&amp;frame=v-w7018f1", "udělat se (v-w7018f1)")</f>
        <v>udělat se (v-w7018f1)</v>
      </c>
    </row>
    <row r="49959" customFormat="false" ht="12.8" hidden="false" customHeight="false" outlineLevel="0" collapsed="false">
      <c r="B49959" s="0" t="s">
        <v>725</v>
      </c>
    </row>
    <row r="49960" customFormat="false" ht="12.8" hidden="false" customHeight="false" outlineLevel="0" collapsed="false">
      <c r="B49960" s="0" t="s">
        <v>642</v>
      </c>
    </row>
    <row r="49961" customFormat="false" ht="12.8" hidden="false" customHeight="false" outlineLevel="0" collapsed="false">
      <c r="B49961" s="0" t="s">
        <v>646</v>
      </c>
    </row>
    <row r="49962" customFormat="false" ht="12.8" hidden="false" customHeight="false" outlineLevel="0" collapsed="false">
      <c r="B49962" s="0" t="s">
        <v>648</v>
      </c>
    </row>
    <row r="49963" customFormat="false" ht="12.8" hidden="false" customHeight="false" outlineLevel="0" collapsed="false">
      <c r="B49963" s="0" t="s">
        <v>650</v>
      </c>
    </row>
    <row r="49964" customFormat="false" ht="12.8" hidden="false" customHeight="false" outlineLevel="0" collapsed="false">
      <c r="B49964" s="0" t="s">
        <v>652</v>
      </c>
    </row>
    <row r="49966" customFormat="false" ht="12.8" hidden="false" customHeight="false" outlineLevel="0" collapsed="false">
      <c r="A49966" s="0" t="s">
        <v>17550</v>
      </c>
      <c r="B49966" s="0" t="str">
        <f aca="false">HYPERLINK("https://lindat.mff.cuni.cz/services/teitok/pdtc10/index.php?action=vallex&amp;frame=v-w7018f4_ZU", "udělat se (v-w7018f4_ZU)")</f>
        <v>udělat se (v-w7018f4_ZU)</v>
      </c>
    </row>
    <row r="49967" customFormat="false" ht="12.8" hidden="false" customHeight="false" outlineLevel="0" collapsed="false">
      <c r="B49967" s="0" t="s">
        <v>1</v>
      </c>
    </row>
    <row r="49969" customFormat="false" ht="12.8" hidden="false" customHeight="false" outlineLevel="0" collapsed="false">
      <c r="A49969" s="0" t="s">
        <v>17551</v>
      </c>
      <c r="B49969" s="0" t="str">
        <f aca="false">HYPERLINK("https://lindat.mff.cuni.cz/services/teitok/pdtc10/index.php?action=vallex&amp;frame=v-w7018hsa_583", "udělat se (v-w7018hsa_583)")</f>
        <v>udělat se (v-w7018hsa_583)</v>
      </c>
    </row>
    <row r="49970" customFormat="false" ht="12.8" hidden="false" customHeight="false" outlineLevel="0" collapsed="false">
      <c r="B49970" s="0" t="s">
        <v>804</v>
      </c>
    </row>
    <row r="49971" customFormat="false" ht="12.8" hidden="false" customHeight="false" outlineLevel="0" collapsed="false">
      <c r="B49971" s="0" t="s">
        <v>852</v>
      </c>
    </row>
    <row r="49973" customFormat="false" ht="12.8" hidden="false" customHeight="false" outlineLevel="0" collapsed="false">
      <c r="A49973" s="0" t="s">
        <v>17552</v>
      </c>
      <c r="B49973" s="0" t="str">
        <f aca="false">HYPERLINK("https://lindat.mff.cuni.cz/services/teitok/pdtc10/index.php?action=vallex&amp;frame=v-w7019f3_ZU", "udělat si (v-w7019f3_ZU)")</f>
        <v>udělat si (v-w7019f3_ZU)</v>
      </c>
    </row>
    <row r="49974" customFormat="false" ht="12.8" hidden="false" customHeight="false" outlineLevel="0" collapsed="false">
      <c r="B49974" s="0" t="s">
        <v>1</v>
      </c>
    </row>
    <row r="49975" customFormat="false" ht="12.8" hidden="false" customHeight="false" outlineLevel="0" collapsed="false">
      <c r="B49975" s="0" t="s">
        <v>17553</v>
      </c>
    </row>
    <row r="49977" customFormat="false" ht="12.8" hidden="false" customHeight="false" outlineLevel="0" collapsed="false">
      <c r="A49977" s="0" t="s">
        <v>17552</v>
      </c>
      <c r="B49977" s="0" t="str">
        <f aca="false">HYPERLINK("https://lindat.mff.cuni.cz/services/teitok/pdtc10/index.php?action=vallex&amp;frame=v-w7019f1", "udělat si (v-w7019f1) - substituted with v-w7019f3_ZU")</f>
        <v>udělat si (v-w7019f1) - substituted with v-w7019f3_ZU</v>
      </c>
    </row>
    <row r="49978" customFormat="false" ht="12.8" hidden="false" customHeight="false" outlineLevel="0" collapsed="false">
      <c r="B49978" s="0" t="s">
        <v>1</v>
      </c>
    </row>
    <row r="49979" customFormat="false" ht="12.8" hidden="false" customHeight="false" outlineLevel="0" collapsed="false">
      <c r="B49979" s="0" t="s">
        <v>17553</v>
      </c>
    </row>
    <row r="49981" customFormat="false" ht="12.8" hidden="false" customHeight="false" outlineLevel="0" collapsed="false">
      <c r="A49981" s="0" t="s">
        <v>17552</v>
      </c>
      <c r="B49981" s="0" t="str">
        <f aca="false">HYPERLINK("https://lindat.mff.cuni.cz/services/teitok/pdtc10/index.php?action=vallex&amp;frame=v-w7019hsa_1311", "udělat si (v-w7019hsa_1311) - substituted with v-w7019f3_ZU")</f>
        <v>udělat si (v-w7019hsa_1311) - substituted with v-w7019f3_ZU</v>
      </c>
    </row>
    <row r="49982" customFormat="false" ht="12.8" hidden="false" customHeight="false" outlineLevel="0" collapsed="false">
      <c r="B49982" s="0" t="s">
        <v>1</v>
      </c>
    </row>
    <row r="49983" customFormat="false" ht="12.8" hidden="false" customHeight="false" outlineLevel="0" collapsed="false">
      <c r="B49983" s="0" t="s">
        <v>17553</v>
      </c>
    </row>
    <row r="49985" customFormat="false" ht="12.8" hidden="false" customHeight="false" outlineLevel="0" collapsed="false">
      <c r="A49985" s="0" t="s">
        <v>17552</v>
      </c>
      <c r="B49985" s="0" t="str">
        <f aca="false">HYPERLINK("https://lindat.mff.cuni.cz/services/teitok/pdtc10/index.php?action=vallex&amp;frame=v-w7019hsa_257", "udělat si (v-w7019hsa_257) - substituted with v-w7019f3_ZU")</f>
        <v>udělat si (v-w7019hsa_257) - substituted with v-w7019f3_ZU</v>
      </c>
      <c r="E49985" s="0" t="str">
        <f aca="false">HYPERLINK("https://lindat.mff.cuni.cz/services/SynSemClass40/SynSemClass40.html?veclass=vec00402#vec00402-ces-cm00151", "vec00402")</f>
        <v>vec00402</v>
      </c>
      <c r="F49985" s="0" t="s">
        <v>619</v>
      </c>
    </row>
    <row r="49986" customFormat="false" ht="12.8" hidden="false" customHeight="false" outlineLevel="0" collapsed="false">
      <c r="B49986" s="0" t="s">
        <v>1</v>
      </c>
      <c r="C49986" s="0" t="s">
        <v>620</v>
      </c>
      <c r="E49986" s="0" t="s">
        <v>621</v>
      </c>
      <c r="F49986" s="0" t="s">
        <v>622</v>
      </c>
    </row>
    <row r="49987" customFormat="false" ht="12.8" hidden="false" customHeight="false" outlineLevel="0" collapsed="false">
      <c r="B49987" s="0" t="s">
        <v>17553</v>
      </c>
      <c r="C49987" s="0" t="s">
        <v>17554</v>
      </c>
      <c r="E49987" s="0" t="s">
        <v>17555</v>
      </c>
      <c r="F49987" s="0" t="s">
        <v>17556</v>
      </c>
    </row>
    <row r="49989" customFormat="false" ht="12.8" hidden="false" customHeight="false" outlineLevel="0" collapsed="false">
      <c r="A49989" s="0" t="s">
        <v>17557</v>
      </c>
      <c r="B49989" s="0" t="str">
        <f aca="false">HYPERLINK("https://lindat.mff.cuni.cz/services/teitok/pdtc10/index.php?action=vallex&amp;frame=v-w7019f2_ZU", "udělat si (v-w7019f2_ZU)")</f>
        <v>udělat si (v-w7019f2_ZU)</v>
      </c>
    </row>
    <row r="49990" customFormat="false" ht="12.8" hidden="false" customHeight="false" outlineLevel="0" collapsed="false">
      <c r="B49990" s="0" t="s">
        <v>1</v>
      </c>
    </row>
    <row r="49991" customFormat="false" ht="12.8" hidden="false" customHeight="false" outlineLevel="0" collapsed="false">
      <c r="B49991" s="0" t="s">
        <v>17558</v>
      </c>
    </row>
    <row r="49992" customFormat="false" ht="12.8" hidden="false" customHeight="false" outlineLevel="0" collapsed="false">
      <c r="B49992" s="0" t="s">
        <v>318</v>
      </c>
    </row>
    <row r="49994" customFormat="false" ht="12.8" hidden="false" customHeight="false" outlineLevel="0" collapsed="false">
      <c r="A49994" s="0" t="s">
        <v>17559</v>
      </c>
      <c r="B49994" s="0" t="str">
        <f aca="false">HYPERLINK("https://lindat.mff.cuni.cz/services/teitok/pdtc10/index.php?action=vallex&amp;frame=v-w7019hsa_1310", "udělat si (v-w7019hsa_1310)")</f>
        <v>udělat si (v-w7019hsa_1310)</v>
      </c>
    </row>
    <row r="49995" customFormat="false" ht="12.8" hidden="false" customHeight="false" outlineLevel="0" collapsed="false">
      <c r="B49995" s="0" t="s">
        <v>1</v>
      </c>
    </row>
    <row r="49996" customFormat="false" ht="12.8" hidden="false" customHeight="false" outlineLevel="0" collapsed="false">
      <c r="B49996" s="0" t="s">
        <v>8</v>
      </c>
    </row>
    <row r="49998" customFormat="false" ht="12.8" hidden="false" customHeight="false" outlineLevel="0" collapsed="false">
      <c r="A49998" s="0" t="s">
        <v>17560</v>
      </c>
      <c r="B49998" s="0" t="str">
        <f aca="false">HYPERLINK("https://lindat.mff.cuni.cz/services/teitok/pdtc10/index.php?action=vallex&amp;frame=v-w7022f1", "udělit (v-w7022f1)")</f>
        <v>udělit (v-w7022f1)</v>
      </c>
      <c r="E49998" s="0" t="str">
        <f aca="false">HYPERLINK("https://lindat.mff.cuni.cz/services/SynSemClass40/SynSemClass40.html?veclass=vec00074#vec00074-ces-cm00191", "vec00074")</f>
        <v>vec00074</v>
      </c>
      <c r="F49998" s="0" t="s">
        <v>1782</v>
      </c>
      <c r="H49998" s="0" t="str">
        <f aca="false">HYPERLINK("https://lindat.mff.cuni.cz/services/SynSemClass40/SynSemClass40.html?veclass=vec01087#vec01087-ces-cm00098", "vec01087")</f>
        <v>vec01087</v>
      </c>
      <c r="I49998" s="0" t="s">
        <v>1863</v>
      </c>
    </row>
    <row r="49999" customFormat="false" ht="12.8" hidden="false" customHeight="false" outlineLevel="0" collapsed="false">
      <c r="B49999" s="0" t="s">
        <v>1</v>
      </c>
      <c r="C49999" s="0" t="s">
        <v>12671</v>
      </c>
      <c r="E49999" s="0" t="s">
        <v>1784</v>
      </c>
      <c r="F49999" s="0" t="s">
        <v>1785</v>
      </c>
      <c r="H49999" s="0" t="s">
        <v>1868</v>
      </c>
      <c r="I49999" s="0" t="s">
        <v>1869</v>
      </c>
    </row>
    <row r="50000" customFormat="false" ht="12.8" hidden="false" customHeight="false" outlineLevel="0" collapsed="false">
      <c r="B50000" s="0" t="s">
        <v>8</v>
      </c>
      <c r="C50000" s="0" t="s">
        <v>12672</v>
      </c>
      <c r="E50000" s="0" t="s">
        <v>1787</v>
      </c>
      <c r="F50000" s="0" t="s">
        <v>1788</v>
      </c>
      <c r="H50000" s="0" t="s">
        <v>1875</v>
      </c>
      <c r="I50000" s="0" t="s">
        <v>1876</v>
      </c>
    </row>
    <row r="50001" customFormat="false" ht="12.8" hidden="false" customHeight="false" outlineLevel="0" collapsed="false">
      <c r="B50001" s="0" t="s">
        <v>52</v>
      </c>
      <c r="C50001" s="0" t="s">
        <v>12673</v>
      </c>
      <c r="E50001" s="0" t="s">
        <v>53</v>
      </c>
      <c r="F50001" s="0" t="s">
        <v>1790</v>
      </c>
      <c r="H50001" s="0" t="s">
        <v>53</v>
      </c>
      <c r="I50001" s="0" t="s">
        <v>1880</v>
      </c>
    </row>
    <row r="50003" customFormat="false" ht="12.8" hidden="false" customHeight="false" outlineLevel="0" collapsed="false">
      <c r="A50003" s="0" t="s">
        <v>17561</v>
      </c>
      <c r="B50003" s="0" t="str">
        <f aca="false">HYPERLINK("https://lindat.mff.cuni.cz/services/teitok/pdtc10/index.php?action=vallex&amp;frame=v-w7022f5_ZU", "udělit (v-w7022f5_ZU)")</f>
        <v>udělit (v-w7022f5_ZU)</v>
      </c>
      <c r="E50003" s="0" t="str">
        <f aca="false">HYPERLINK("https://lindat.mff.cuni.cz/services/SynSemClass40/SynSemClass40.html?veclass=vec00074#vec00074-ces-cm00192", "vec00074")</f>
        <v>vec00074</v>
      </c>
      <c r="F50003" s="0" t="s">
        <v>1782</v>
      </c>
      <c r="H50003" s="0" t="str">
        <f aca="false">HYPERLINK("https://lindat.mff.cuni.cz/services/SynSemClass40/SynSemClass40.html?veclass=vec01320#vec01320-ces-cm00008", "vec01320")</f>
        <v>vec01320</v>
      </c>
      <c r="I50003" s="0" t="s">
        <v>912</v>
      </c>
      <c r="K50003" s="0" t="str">
        <f aca="false">HYPERLINK("https://lindat.mff.cuni.cz/services/SynSemClass40/SynSemClass40.html?veclass=vec01419#vec01419-ces-cm00062", "vec01419")</f>
        <v>vec01419</v>
      </c>
      <c r="L50003" s="0" t="s">
        <v>3428</v>
      </c>
    </row>
    <row r="50004" customFormat="false" ht="12.8" hidden="false" customHeight="false" outlineLevel="0" collapsed="false">
      <c r="B50004" s="0" t="s">
        <v>1</v>
      </c>
      <c r="C50004" s="0" t="s">
        <v>17562</v>
      </c>
      <c r="E50004" s="0" t="s">
        <v>1784</v>
      </c>
      <c r="F50004" s="0" t="s">
        <v>1785</v>
      </c>
      <c r="H50004" s="0" t="s">
        <v>155</v>
      </c>
      <c r="I50004" s="0" t="s">
        <v>916</v>
      </c>
      <c r="K50004" s="0" t="s">
        <v>206</v>
      </c>
      <c r="L50004" s="0" t="s">
        <v>3430</v>
      </c>
    </row>
    <row r="50005" customFormat="false" ht="12.8" hidden="false" customHeight="false" outlineLevel="0" collapsed="false">
      <c r="B50005" s="0" t="s">
        <v>17563</v>
      </c>
      <c r="C50005" s="0" t="s">
        <v>17564</v>
      </c>
      <c r="E50005" s="0" t="s">
        <v>17565</v>
      </c>
      <c r="F50005" s="0" t="s">
        <v>17566</v>
      </c>
      <c r="H50005" s="0" t="s">
        <v>3498</v>
      </c>
      <c r="I50005" s="0" t="s">
        <v>3499</v>
      </c>
      <c r="K50005" s="0" t="s">
        <v>3478</v>
      </c>
      <c r="L50005" s="0" t="s">
        <v>3479</v>
      </c>
    </row>
    <row r="50006" customFormat="false" ht="12.8" hidden="false" customHeight="false" outlineLevel="0" collapsed="false">
      <c r="B50006" s="0" t="s">
        <v>52</v>
      </c>
      <c r="C50006" s="0" t="s">
        <v>17567</v>
      </c>
      <c r="E50006" s="0" t="s">
        <v>53</v>
      </c>
      <c r="F50006" s="0" t="s">
        <v>1790</v>
      </c>
      <c r="H50006" s="0" t="s">
        <v>221</v>
      </c>
      <c r="I50006" s="0" t="s">
        <v>3501</v>
      </c>
      <c r="K50006" s="0" t="s">
        <v>2287</v>
      </c>
      <c r="L50006" s="0" t="s">
        <v>3436</v>
      </c>
    </row>
    <row r="50008" customFormat="false" ht="12.8" hidden="false" customHeight="false" outlineLevel="0" collapsed="false">
      <c r="A50008" s="0" t="s">
        <v>17561</v>
      </c>
      <c r="B50008" s="0" t="str">
        <f aca="false">HYPERLINK("https://lindat.mff.cuni.cz/services/teitok/pdtc10/index.php?action=vallex&amp;frame=v-w7022f2", "udělit (v-w7022f2) - substituted with v-w7022f5_ZU")</f>
        <v>udělit (v-w7022f2) - substituted with v-w7022f5_ZU</v>
      </c>
    </row>
    <row r="50009" customFormat="false" ht="12.8" hidden="false" customHeight="false" outlineLevel="0" collapsed="false">
      <c r="B50009" s="0" t="s">
        <v>1</v>
      </c>
    </row>
    <row r="50010" customFormat="false" ht="12.8" hidden="false" customHeight="false" outlineLevel="0" collapsed="false">
      <c r="B50010" s="0" t="s">
        <v>17563</v>
      </c>
    </row>
    <row r="50011" customFormat="false" ht="12.8" hidden="false" customHeight="false" outlineLevel="0" collapsed="false">
      <c r="B50011" s="0" t="s">
        <v>52</v>
      </c>
    </row>
    <row r="50013" customFormat="false" ht="12.8" hidden="false" customHeight="false" outlineLevel="0" collapsed="false">
      <c r="A50013" s="0" t="s">
        <v>17561</v>
      </c>
      <c r="B50013" s="0" t="str">
        <f aca="false">HYPERLINK("https://lindat.mff.cuni.cz/services/teitok/pdtc10/index.php?action=vallex&amp;frame=v-w7022f3_ZU", "udělit (v-w7022f3_ZU) - substituted with v-w7022f5_ZU")</f>
        <v>udělit (v-w7022f3_ZU) - substituted with v-w7022f5_ZU</v>
      </c>
    </row>
    <row r="50014" customFormat="false" ht="12.8" hidden="false" customHeight="false" outlineLevel="0" collapsed="false">
      <c r="B50014" s="0" t="s">
        <v>1</v>
      </c>
    </row>
    <row r="50015" customFormat="false" ht="12.8" hidden="false" customHeight="false" outlineLevel="0" collapsed="false">
      <c r="B50015" s="0" t="s">
        <v>17563</v>
      </c>
    </row>
    <row r="50016" customFormat="false" ht="12.8" hidden="false" customHeight="false" outlineLevel="0" collapsed="false">
      <c r="B50016" s="0" t="s">
        <v>52</v>
      </c>
    </row>
    <row r="50018" customFormat="false" ht="12.8" hidden="false" customHeight="false" outlineLevel="0" collapsed="false">
      <c r="A50018" s="0" t="s">
        <v>17561</v>
      </c>
      <c r="B50018" s="0" t="str">
        <f aca="false">HYPERLINK("https://lindat.mff.cuni.cz/services/teitok/pdtc10/index.php?action=vallex&amp;frame=v-w7022f4_ZU", "udělit (v-w7022f4_ZU) - substituted with v-w7022f5_ZU")</f>
        <v>udělit (v-w7022f4_ZU) - substituted with v-w7022f5_ZU</v>
      </c>
    </row>
    <row r="50019" customFormat="false" ht="12.8" hidden="false" customHeight="false" outlineLevel="0" collapsed="false">
      <c r="B50019" s="0" t="s">
        <v>1</v>
      </c>
    </row>
    <row r="50020" customFormat="false" ht="12.8" hidden="false" customHeight="false" outlineLevel="0" collapsed="false">
      <c r="B50020" s="0" t="s">
        <v>17563</v>
      </c>
    </row>
    <row r="50021" customFormat="false" ht="12.8" hidden="false" customHeight="false" outlineLevel="0" collapsed="false">
      <c r="B50021" s="0" t="s">
        <v>52</v>
      </c>
    </row>
    <row r="50023" customFormat="false" ht="12.8" hidden="false" customHeight="false" outlineLevel="0" collapsed="false">
      <c r="A50023" s="0" t="s">
        <v>17561</v>
      </c>
      <c r="B50023" s="0" t="str">
        <f aca="false">HYPERLINK("https://lindat.mff.cuni.cz/services/teitok/pdtc10/index.php?action=vallex&amp;frame=v-w7022hsa_540", "udělit (v-w7022hsa_540) - substituted with v-w7022f5_ZU")</f>
        <v>udělit (v-w7022hsa_540) - substituted with v-w7022f5_ZU</v>
      </c>
    </row>
    <row r="50024" customFormat="false" ht="12.8" hidden="false" customHeight="false" outlineLevel="0" collapsed="false">
      <c r="B50024" s="0" t="s">
        <v>1</v>
      </c>
    </row>
    <row r="50025" customFormat="false" ht="12.8" hidden="false" customHeight="false" outlineLevel="0" collapsed="false">
      <c r="B50025" s="0" t="s">
        <v>17563</v>
      </c>
    </row>
    <row r="50026" customFormat="false" ht="12.8" hidden="false" customHeight="false" outlineLevel="0" collapsed="false">
      <c r="B50026" s="0" t="s">
        <v>52</v>
      </c>
    </row>
    <row r="50028" customFormat="false" ht="12.8" hidden="false" customHeight="false" outlineLevel="0" collapsed="false">
      <c r="A50028" s="0" t="s">
        <v>17568</v>
      </c>
      <c r="B50028" s="0" t="str">
        <f aca="false">HYPERLINK("https://lindat.mff.cuni.cz/services/teitok/pdtc10/index.php?action=vallex&amp;frame=v-w7024f1", "udělovat (v-w7024f1)")</f>
        <v>udělovat (v-w7024f1)</v>
      </c>
      <c r="E50028" s="0" t="str">
        <f aca="false">HYPERLINK("https://lindat.mff.cuni.cz/services/SynSemClass40/SynSemClass40.html?veclass=vec01087#vec01087-ces-cm00099", "vec01087")</f>
        <v>vec01087</v>
      </c>
      <c r="F50028" s="0" t="s">
        <v>1863</v>
      </c>
    </row>
    <row r="50029" customFormat="false" ht="12.8" hidden="false" customHeight="false" outlineLevel="0" collapsed="false">
      <c r="B50029" s="0" t="s">
        <v>1</v>
      </c>
      <c r="C50029" s="0" t="s">
        <v>5752</v>
      </c>
      <c r="E50029" s="0" t="s">
        <v>1868</v>
      </c>
      <c r="F50029" s="0" t="s">
        <v>1869</v>
      </c>
    </row>
    <row r="50030" customFormat="false" ht="12.8" hidden="false" customHeight="false" outlineLevel="0" collapsed="false">
      <c r="B50030" s="0" t="s">
        <v>8</v>
      </c>
      <c r="C50030" s="0" t="s">
        <v>8873</v>
      </c>
      <c r="E50030" s="0" t="s">
        <v>1875</v>
      </c>
      <c r="F50030" s="0" t="s">
        <v>1876</v>
      </c>
    </row>
    <row r="50031" customFormat="false" ht="12.8" hidden="false" customHeight="false" outlineLevel="0" collapsed="false">
      <c r="B50031" s="0" t="s">
        <v>52</v>
      </c>
      <c r="C50031" s="0" t="s">
        <v>11615</v>
      </c>
      <c r="E50031" s="0" t="s">
        <v>53</v>
      </c>
      <c r="F50031" s="0" t="s">
        <v>1880</v>
      </c>
    </row>
    <row r="50033" customFormat="false" ht="12.8" hidden="false" customHeight="false" outlineLevel="0" collapsed="false">
      <c r="A50033" s="0" t="s">
        <v>17569</v>
      </c>
      <c r="B50033" s="0" t="str">
        <f aca="false">HYPERLINK("https://lindat.mff.cuni.cz/services/teitok/pdtc10/index.php?action=vallex&amp;frame=v-w7024f6_ZU", "udělovat (v-w7024f6_ZU)")</f>
        <v>udělovat (v-w7024f6_ZU)</v>
      </c>
      <c r="E50033" s="0" t="str">
        <f aca="false">HYPERLINK("https://lindat.mff.cuni.cz/services/SynSemClass40/SynSemClass40.html?veclass=vec00074#vec00074-ces-cm00194", "vec00074")</f>
        <v>vec00074</v>
      </c>
      <c r="F50033" s="0" t="s">
        <v>1782</v>
      </c>
      <c r="H50033" s="0" t="str">
        <f aca="false">HYPERLINK("https://lindat.mff.cuni.cz/services/SynSemClass40/SynSemClass40.html?veclass=vec01419#vec01419-ces-cm00063", "vec01419")</f>
        <v>vec01419</v>
      </c>
      <c r="I50033" s="0" t="s">
        <v>3428</v>
      </c>
    </row>
    <row r="50034" customFormat="false" ht="12.8" hidden="false" customHeight="false" outlineLevel="0" collapsed="false">
      <c r="B50034" s="0" t="s">
        <v>1</v>
      </c>
      <c r="C50034" s="0" t="s">
        <v>17570</v>
      </c>
      <c r="E50034" s="0" t="s">
        <v>1784</v>
      </c>
      <c r="F50034" s="0" t="s">
        <v>1785</v>
      </c>
      <c r="H50034" s="0" t="s">
        <v>206</v>
      </c>
      <c r="I50034" s="0" t="s">
        <v>3430</v>
      </c>
    </row>
    <row r="50035" customFormat="false" ht="12.8" hidden="false" customHeight="false" outlineLevel="0" collapsed="false">
      <c r="B50035" s="0" t="s">
        <v>17571</v>
      </c>
      <c r="C50035" s="0" t="s">
        <v>17572</v>
      </c>
      <c r="E50035" s="0" t="s">
        <v>17565</v>
      </c>
      <c r="F50035" s="0" t="s">
        <v>17566</v>
      </c>
      <c r="H50035" s="0" t="s">
        <v>3478</v>
      </c>
      <c r="I50035" s="0" t="s">
        <v>3479</v>
      </c>
    </row>
    <row r="50036" customFormat="false" ht="12.8" hidden="false" customHeight="false" outlineLevel="0" collapsed="false">
      <c r="B50036" s="0" t="s">
        <v>52</v>
      </c>
      <c r="C50036" s="0" t="s">
        <v>17573</v>
      </c>
      <c r="E50036" s="0" t="s">
        <v>53</v>
      </c>
      <c r="F50036" s="0" t="s">
        <v>1790</v>
      </c>
      <c r="H50036" s="0" t="s">
        <v>2287</v>
      </c>
      <c r="I50036" s="0" t="s">
        <v>3436</v>
      </c>
    </row>
    <row r="50038" customFormat="false" ht="12.8" hidden="false" customHeight="false" outlineLevel="0" collapsed="false">
      <c r="A50038" s="0" t="s">
        <v>17569</v>
      </c>
      <c r="B50038" s="0" t="str">
        <f aca="false">HYPERLINK("https://lindat.mff.cuni.cz/services/teitok/pdtc10/index.php?action=vallex&amp;frame=v-w7024f2", "udělovat (v-w7024f2) - substituted with v-w7024f6_ZU")</f>
        <v>udělovat (v-w7024f2) - substituted with v-w7024f6_ZU</v>
      </c>
    </row>
    <row r="50039" customFormat="false" ht="12.8" hidden="false" customHeight="false" outlineLevel="0" collapsed="false">
      <c r="B50039" s="0" t="s">
        <v>1</v>
      </c>
    </row>
    <row r="50040" customFormat="false" ht="12.8" hidden="false" customHeight="false" outlineLevel="0" collapsed="false">
      <c r="B50040" s="0" t="s">
        <v>17571</v>
      </c>
    </row>
    <row r="50041" customFormat="false" ht="12.8" hidden="false" customHeight="false" outlineLevel="0" collapsed="false">
      <c r="B50041" s="0" t="s">
        <v>52</v>
      </c>
    </row>
    <row r="50043" customFormat="false" ht="12.8" hidden="false" customHeight="false" outlineLevel="0" collapsed="false">
      <c r="A50043" s="0" t="s">
        <v>17569</v>
      </c>
      <c r="B50043" s="0" t="str">
        <f aca="false">HYPERLINK("https://lindat.mff.cuni.cz/services/teitok/pdtc10/index.php?action=vallex&amp;frame=v-w7024f3_ZU", "udělovat (v-w7024f3_ZU) - substituted with v-w7024f6_ZU")</f>
        <v>udělovat (v-w7024f3_ZU) - substituted with v-w7024f6_ZU</v>
      </c>
    </row>
    <row r="50044" customFormat="false" ht="12.8" hidden="false" customHeight="false" outlineLevel="0" collapsed="false">
      <c r="B50044" s="0" t="s">
        <v>1</v>
      </c>
    </row>
    <row r="50045" customFormat="false" ht="12.8" hidden="false" customHeight="false" outlineLevel="0" collapsed="false">
      <c r="B50045" s="0" t="s">
        <v>17571</v>
      </c>
    </row>
    <row r="50046" customFormat="false" ht="12.8" hidden="false" customHeight="false" outlineLevel="0" collapsed="false">
      <c r="B50046" s="0" t="s">
        <v>52</v>
      </c>
    </row>
    <row r="50048" customFormat="false" ht="12.8" hidden="false" customHeight="false" outlineLevel="0" collapsed="false">
      <c r="A50048" s="0" t="s">
        <v>17569</v>
      </c>
      <c r="B50048" s="0" t="str">
        <f aca="false">HYPERLINK("https://lindat.mff.cuni.cz/services/teitok/pdtc10/index.php?action=vallex&amp;frame=v-w7024f4_ZU", "udělovat (v-w7024f4_ZU) - substituted with v-w7024f6_ZU")</f>
        <v>udělovat (v-w7024f4_ZU) - substituted with v-w7024f6_ZU</v>
      </c>
    </row>
    <row r="50049" customFormat="false" ht="12.8" hidden="false" customHeight="false" outlineLevel="0" collapsed="false">
      <c r="B50049" s="0" t="s">
        <v>1</v>
      </c>
    </row>
    <row r="50050" customFormat="false" ht="12.8" hidden="false" customHeight="false" outlineLevel="0" collapsed="false">
      <c r="B50050" s="0" t="s">
        <v>17571</v>
      </c>
    </row>
    <row r="50051" customFormat="false" ht="12.8" hidden="false" customHeight="false" outlineLevel="0" collapsed="false">
      <c r="B50051" s="0" t="s">
        <v>52</v>
      </c>
    </row>
    <row r="50053" customFormat="false" ht="12.8" hidden="false" customHeight="false" outlineLevel="0" collapsed="false">
      <c r="A50053" s="0" t="s">
        <v>17569</v>
      </c>
      <c r="B50053" s="0" t="str">
        <f aca="false">HYPERLINK("https://lindat.mff.cuni.cz/services/teitok/pdtc10/index.php?action=vallex&amp;frame=v-w7024f5_ZU", "udělovat (v-w7024f5_ZU) - substituted with v-w7024f6_ZU")</f>
        <v>udělovat (v-w7024f5_ZU) - substituted with v-w7024f6_ZU</v>
      </c>
    </row>
    <row r="50054" customFormat="false" ht="12.8" hidden="false" customHeight="false" outlineLevel="0" collapsed="false">
      <c r="B50054" s="0" t="s">
        <v>1</v>
      </c>
    </row>
    <row r="50055" customFormat="false" ht="12.8" hidden="false" customHeight="false" outlineLevel="0" collapsed="false">
      <c r="B50055" s="0" t="s">
        <v>17571</v>
      </c>
    </row>
    <row r="50056" customFormat="false" ht="12.8" hidden="false" customHeight="false" outlineLevel="0" collapsed="false">
      <c r="B50056" s="0" t="s">
        <v>52</v>
      </c>
    </row>
    <row r="50058" customFormat="false" ht="12.8" hidden="false" customHeight="false" outlineLevel="0" collapsed="false">
      <c r="A50058" s="0" t="s">
        <v>17569</v>
      </c>
      <c r="B50058" s="0" t="str">
        <f aca="false">HYPERLINK("https://lindat.mff.cuni.cz/services/teitok/pdtc10/index.php?action=vallex&amp;frame=v-w7024hsa_1008", "udělovat (v-w7024hsa_1008) - substituted with v-w7024f6_ZU")</f>
        <v>udělovat (v-w7024hsa_1008) - substituted with v-w7024f6_ZU</v>
      </c>
    </row>
    <row r="50059" customFormat="false" ht="12.8" hidden="false" customHeight="false" outlineLevel="0" collapsed="false">
      <c r="B50059" s="0" t="s">
        <v>1</v>
      </c>
    </row>
    <row r="50060" customFormat="false" ht="12.8" hidden="false" customHeight="false" outlineLevel="0" collapsed="false">
      <c r="B50060" s="0" t="s">
        <v>17571</v>
      </c>
    </row>
    <row r="50061" customFormat="false" ht="12.8" hidden="false" customHeight="false" outlineLevel="0" collapsed="false">
      <c r="B50061" s="0" t="s">
        <v>52</v>
      </c>
    </row>
    <row r="50063" customFormat="false" ht="12.8" hidden="false" customHeight="false" outlineLevel="0" collapsed="false">
      <c r="A50063" s="0" t="s">
        <v>17574</v>
      </c>
      <c r="B50063" s="0" t="str">
        <f aca="false">HYPERLINK("https://lindat.mff.cuni.cz/services/teitok/pdtc10/index.php?action=vallex&amp;frame=v-w12252_ZUf1_ZU", "udřít se (v-w12252_ZUf1_ZU)")</f>
        <v>udřít se (v-w12252_ZUf1_ZU)</v>
      </c>
    </row>
    <row r="50064" customFormat="false" ht="12.8" hidden="false" customHeight="false" outlineLevel="0" collapsed="false">
      <c r="B50064" s="0" t="s">
        <v>1</v>
      </c>
    </row>
    <row r="50066" customFormat="false" ht="12.8" hidden="false" customHeight="false" outlineLevel="0" collapsed="false">
      <c r="A50066" s="0" t="s">
        <v>17575</v>
      </c>
      <c r="B50066" s="0" t="str">
        <f aca="false">HYPERLINK("https://lindat.mff.cuni.cz/services/teitok/pdtc10/index.php?action=vallex&amp;frame=v-w7042f1", "uhasit (v-w7042f1)")</f>
        <v>uhasit (v-w7042f1)</v>
      </c>
      <c r="E50066" s="0" t="str">
        <f aca="false">HYPERLINK("https://lindat.mff.cuni.cz/services/SynSemClass40/SynSemClass40.html?veclass=vec00986#vec00986-ces-cm00014", "vec00986")</f>
        <v>vec00986</v>
      </c>
      <c r="F50066" s="0" t="s">
        <v>15327</v>
      </c>
    </row>
    <row r="50067" customFormat="false" ht="12.8" hidden="false" customHeight="false" outlineLevel="0" collapsed="false">
      <c r="B50067" s="0" t="s">
        <v>1</v>
      </c>
      <c r="C50067" s="0" t="s">
        <v>459</v>
      </c>
      <c r="E50067" s="0" t="s">
        <v>15328</v>
      </c>
      <c r="F50067" s="0" t="s">
        <v>15329</v>
      </c>
    </row>
    <row r="50068" customFormat="false" ht="12.8" hidden="false" customHeight="false" outlineLevel="0" collapsed="false">
      <c r="B50068" s="0" t="s">
        <v>8</v>
      </c>
      <c r="C50068" s="0" t="s">
        <v>462</v>
      </c>
      <c r="E50068" s="0" t="s">
        <v>15330</v>
      </c>
      <c r="F50068" s="0" t="s">
        <v>15331</v>
      </c>
    </row>
    <row r="50070" customFormat="false" ht="12.8" hidden="false" customHeight="false" outlineLevel="0" collapsed="false">
      <c r="A50070" s="0" t="s">
        <v>17576</v>
      </c>
      <c r="B50070" s="0" t="str">
        <f aca="false">HYPERLINK("https://lindat.mff.cuni.cz/services/teitok/pdtc10/index.php?action=vallex&amp;frame=v-w7043f1", "uhlídat (v-w7043f1)")</f>
        <v>uhlídat (v-w7043f1)</v>
      </c>
    </row>
    <row r="50071" customFormat="false" ht="12.8" hidden="false" customHeight="false" outlineLevel="0" collapsed="false">
      <c r="B50071" s="0" t="s">
        <v>1</v>
      </c>
    </row>
    <row r="50072" customFormat="false" ht="12.8" hidden="false" customHeight="false" outlineLevel="0" collapsed="false">
      <c r="B50072" s="0" t="s">
        <v>8</v>
      </c>
    </row>
    <row r="50074" customFormat="false" ht="12.8" hidden="false" customHeight="false" outlineLevel="0" collapsed="false">
      <c r="A50074" s="0" t="s">
        <v>17577</v>
      </c>
      <c r="B50074" s="0" t="str">
        <f aca="false">HYPERLINK("https://lindat.mff.cuni.cz/services/teitok/pdtc10/index.php?action=vallex&amp;frame=v-w10176f4", "uhnout (v-w10176f4)")</f>
        <v>uhnout (v-w10176f4)</v>
      </c>
      <c r="E50074" s="0" t="str">
        <f aca="false">HYPERLINK("https://lindat.mff.cuni.cz/services/SynSemClass40/SynSemClass40.html?veclass=vec00045#vec00045-ces-cm00035", "vec00045")</f>
        <v>vec00045</v>
      </c>
      <c r="F50074" s="0" t="s">
        <v>8307</v>
      </c>
    </row>
    <row r="50075" customFormat="false" ht="12.8" hidden="false" customHeight="false" outlineLevel="0" collapsed="false">
      <c r="B50075" s="0" t="s">
        <v>1</v>
      </c>
      <c r="C50075" s="0" t="s">
        <v>6471</v>
      </c>
      <c r="E50075" s="0" t="s">
        <v>2892</v>
      </c>
      <c r="F50075" s="0" t="s">
        <v>8308</v>
      </c>
    </row>
    <row r="50076" customFormat="false" ht="12.8" hidden="false" customHeight="false" outlineLevel="0" collapsed="false">
      <c r="B50076" s="0" t="s">
        <v>17578</v>
      </c>
      <c r="C50076" s="0" t="s">
        <v>8309</v>
      </c>
      <c r="E50076" s="0" t="s">
        <v>411</v>
      </c>
      <c r="F50076" s="0" t="s">
        <v>8310</v>
      </c>
    </row>
    <row r="50078" customFormat="false" ht="12.8" hidden="false" customHeight="false" outlineLevel="0" collapsed="false">
      <c r="A50078" s="0" t="s">
        <v>17579</v>
      </c>
      <c r="B50078" s="0" t="str">
        <f aca="false">HYPERLINK("https://lindat.mff.cuni.cz/services/teitok/pdtc10/index.php?action=vallex&amp;frame=v-w10176f2", "uhnout (v-w10176f2)")</f>
        <v>uhnout (v-w10176f2)</v>
      </c>
    </row>
    <row r="50079" customFormat="false" ht="12.8" hidden="false" customHeight="false" outlineLevel="0" collapsed="false">
      <c r="B50079" s="0" t="s">
        <v>1</v>
      </c>
    </row>
    <row r="50080" customFormat="false" ht="12.8" hidden="false" customHeight="false" outlineLevel="0" collapsed="false">
      <c r="B50080" s="0" t="s">
        <v>631</v>
      </c>
    </row>
    <row r="50082" customFormat="false" ht="12.8" hidden="false" customHeight="false" outlineLevel="0" collapsed="false">
      <c r="A50082" s="0" t="s">
        <v>17580</v>
      </c>
      <c r="B50082" s="0" t="str">
        <f aca="false">HYPERLINK("https://lindat.mff.cuni.cz/services/teitok/pdtc10/index.php?action=vallex&amp;frame=v-w12085_ZUf1_ZU", "uhnít (v-w12085_ZUf1_ZU)")</f>
        <v>uhnít (v-w12085_ZUf1_ZU)</v>
      </c>
    </row>
    <row r="50083" customFormat="false" ht="12.8" hidden="false" customHeight="false" outlineLevel="0" collapsed="false">
      <c r="B50083" s="0" t="s">
        <v>1</v>
      </c>
    </row>
    <row r="50085" customFormat="false" ht="12.8" hidden="false" customHeight="false" outlineLevel="0" collapsed="false">
      <c r="A50085" s="0" t="s">
        <v>17581</v>
      </c>
      <c r="B50085" s="0" t="str">
        <f aca="false">HYPERLINK("https://lindat.mff.cuni.cz/services/teitok/pdtc10/index.php?action=vallex&amp;frame=v-w12086_ZUf1_ZU", "uhnívat (v-w12086_ZUf1_ZU)")</f>
        <v>uhnívat (v-w12086_ZUf1_ZU)</v>
      </c>
    </row>
    <row r="50086" customFormat="false" ht="12.8" hidden="false" customHeight="false" outlineLevel="0" collapsed="false">
      <c r="B50086" s="0" t="s">
        <v>1</v>
      </c>
    </row>
    <row r="50088" customFormat="false" ht="12.8" hidden="false" customHeight="false" outlineLevel="0" collapsed="false">
      <c r="A50088" s="0" t="s">
        <v>17582</v>
      </c>
      <c r="B50088" s="0" t="str">
        <f aca="false">HYPERLINK("https://lindat.mff.cuni.cz/services/teitok/pdtc10/index.php?action=vallex&amp;frame=v-w7044f1", "uhnízdit se (v-w7044f1)")</f>
        <v>uhnízdit se (v-w7044f1)</v>
      </c>
    </row>
    <row r="50089" customFormat="false" ht="12.8" hidden="false" customHeight="false" outlineLevel="0" collapsed="false">
      <c r="B50089" s="0" t="s">
        <v>1</v>
      </c>
    </row>
    <row r="50091" customFormat="false" ht="12.8" hidden="false" customHeight="false" outlineLevel="0" collapsed="false">
      <c r="A50091" s="0" t="s">
        <v>17583</v>
      </c>
      <c r="B50091" s="0" t="str">
        <f aca="false">HYPERLINK("https://lindat.mff.cuni.cz/services/teitok/pdtc10/index.php?action=vallex&amp;frame=v-w7045f2", "uhodit (v-w7045f2)")</f>
        <v>uhodit (v-w7045f2)</v>
      </c>
    </row>
    <row r="50092" customFormat="false" ht="12.8" hidden="false" customHeight="false" outlineLevel="0" collapsed="false">
      <c r="B50092" s="0" t="s">
        <v>1</v>
      </c>
    </row>
    <row r="50093" customFormat="false" ht="12.8" hidden="false" customHeight="false" outlineLevel="0" collapsed="false">
      <c r="B50093" s="0" t="s">
        <v>8</v>
      </c>
    </row>
    <row r="50095" customFormat="false" ht="12.8" hidden="false" customHeight="false" outlineLevel="0" collapsed="false">
      <c r="A50095" s="0" t="s">
        <v>17584</v>
      </c>
      <c r="B50095" s="0" t="str">
        <f aca="false">HYPERLINK("https://lindat.mff.cuni.cz/services/teitok/pdtc10/index.php?action=vallex&amp;frame=v-w7045f3", "uhodit (v-w7045f3)")</f>
        <v>uhodit (v-w7045f3)</v>
      </c>
      <c r="E50095" s="0" t="str">
        <f aca="false">HYPERLINK("https://lindat.mff.cuni.cz/services/SynSemClass40/SynSemClass40.html?veclass=vec00097#vec00097-ces-cm00199", "vec00097")</f>
        <v>vec00097</v>
      </c>
      <c r="F50095" s="0" t="s">
        <v>373</v>
      </c>
    </row>
    <row r="50096" customFormat="false" ht="12.8" hidden="false" customHeight="false" outlineLevel="0" collapsed="false">
      <c r="B50096" s="0" t="s">
        <v>1</v>
      </c>
      <c r="C50096" s="0" t="s">
        <v>374</v>
      </c>
      <c r="E50096" s="0" t="s">
        <v>375</v>
      </c>
      <c r="F50096" s="0" t="s">
        <v>376</v>
      </c>
    </row>
    <row r="50098" customFormat="false" ht="12.8" hidden="false" customHeight="false" outlineLevel="0" collapsed="false">
      <c r="A50098" s="0" t="s">
        <v>17585</v>
      </c>
      <c r="B50098" s="0" t="str">
        <f aca="false">HYPERLINK("https://lindat.mff.cuni.cz/services/teitok/pdtc10/index.php?action=vallex&amp;frame=v-w7045f1", "uhodit (v-w7045f1)")</f>
        <v>uhodit (v-w7045f1)</v>
      </c>
    </row>
    <row r="50100" customFormat="false" ht="12.8" hidden="false" customHeight="false" outlineLevel="0" collapsed="false">
      <c r="A50100" s="0" t="s">
        <v>17586</v>
      </c>
      <c r="B50100" s="0" t="str">
        <f aca="false">HYPERLINK("https://lindat.mff.cuni.cz/services/teitok/pdtc10/index.php?action=vallex&amp;frame=v-w7045f4_ZU", "uhodit (v-w7045f4_ZU)")</f>
        <v>uhodit (v-w7045f4_ZU)</v>
      </c>
    </row>
    <row r="50101" customFormat="false" ht="12.8" hidden="false" customHeight="false" outlineLevel="0" collapsed="false">
      <c r="B50101" s="0" t="s">
        <v>1</v>
      </c>
    </row>
    <row r="50103" customFormat="false" ht="12.8" hidden="false" customHeight="false" outlineLevel="0" collapsed="false">
      <c r="A50103" s="0" t="s">
        <v>17587</v>
      </c>
      <c r="B50103" s="0" t="str">
        <f aca="false">HYPERLINK("https://lindat.mff.cuni.cz/services/teitok/pdtc10/index.php?action=vallex&amp;frame=v-whsa_1499hsa_1500", "uhodit se (v-whsa_1499hsa_1500)")</f>
        <v>uhodit se (v-whsa_1499hsa_1500)</v>
      </c>
    </row>
    <row r="50104" customFormat="false" ht="12.8" hidden="false" customHeight="false" outlineLevel="0" collapsed="false">
      <c r="B50104" s="0" t="s">
        <v>1</v>
      </c>
    </row>
    <row r="50106" customFormat="false" ht="12.8" hidden="false" customHeight="false" outlineLevel="0" collapsed="false">
      <c r="A50106" s="0" t="s">
        <v>17588</v>
      </c>
      <c r="B50106" s="0" t="str">
        <f aca="false">HYPERLINK("https://lindat.mff.cuni.cz/services/teitok/pdtc10/index.php?action=vallex&amp;frame=v-w7046f1", "uhodnout (v-w7046f1)")</f>
        <v>uhodnout (v-w7046f1)</v>
      </c>
    </row>
    <row r="50107" customFormat="false" ht="12.8" hidden="false" customHeight="false" outlineLevel="0" collapsed="false">
      <c r="B50107" s="0" t="s">
        <v>1</v>
      </c>
    </row>
    <row r="50108" customFormat="false" ht="12.8" hidden="false" customHeight="false" outlineLevel="0" collapsed="false">
      <c r="B50108" s="0" t="s">
        <v>1838</v>
      </c>
    </row>
    <row r="50110" customFormat="false" ht="12.8" hidden="false" customHeight="false" outlineLevel="0" collapsed="false">
      <c r="A50110" s="0" t="s">
        <v>17589</v>
      </c>
      <c r="B50110" s="0" t="str">
        <f aca="false">HYPERLINK("https://lindat.mff.cuni.cz/services/teitok/pdtc10/index.php?action=vallex&amp;frame=v-whsa_1301hsa_1302", "uhořet (v-whsa_1301hsa_1302)")</f>
        <v>uhořet (v-whsa_1301hsa_1302)</v>
      </c>
    </row>
    <row r="50111" customFormat="false" ht="12.8" hidden="false" customHeight="false" outlineLevel="0" collapsed="false">
      <c r="B50111" s="0" t="s">
        <v>1</v>
      </c>
    </row>
    <row r="50113" customFormat="false" ht="12.8" hidden="false" customHeight="false" outlineLevel="0" collapsed="false">
      <c r="A50113" s="0" t="s">
        <v>17590</v>
      </c>
      <c r="B50113" s="0" t="str">
        <f aca="false">HYPERLINK("https://lindat.mff.cuni.cz/services/teitok/pdtc10/index.php?action=vallex&amp;frame=v-w11772_ZUf1_ZU", "uhrabat (v-w11772_ZUf1_ZU)")</f>
        <v>uhrabat (v-w11772_ZUf1_ZU)</v>
      </c>
    </row>
    <row r="50114" customFormat="false" ht="12.8" hidden="false" customHeight="false" outlineLevel="0" collapsed="false">
      <c r="B50114" s="0" t="s">
        <v>1</v>
      </c>
    </row>
    <row r="50115" customFormat="false" ht="12.8" hidden="false" customHeight="false" outlineLevel="0" collapsed="false">
      <c r="B50115" s="0" t="s">
        <v>8</v>
      </c>
    </row>
    <row r="50117" customFormat="false" ht="12.8" hidden="false" customHeight="false" outlineLevel="0" collapsed="false">
      <c r="A50117" s="0" t="s">
        <v>17591</v>
      </c>
      <c r="B50117" s="0" t="str">
        <f aca="false">HYPERLINK("https://lindat.mff.cuni.cz/services/teitok/pdtc10/index.php?action=vallex&amp;frame=v-w7048f1", "uhradit (v-w7048f1)")</f>
        <v>uhradit (v-w7048f1)</v>
      </c>
      <c r="E50117" s="0" t="str">
        <f aca="false">HYPERLINK("https://lindat.mff.cuni.cz/services/SynSemClass40/SynSemClass40.html?veclass=vec00125#vec00125-ces-cm00063", "vec00125")</f>
        <v>vec00125</v>
      </c>
      <c r="F50117" s="0" t="s">
        <v>2552</v>
      </c>
      <c r="H50117" s="0" t="str">
        <f aca="false">HYPERLINK("https://lindat.mff.cuni.cz/services/SynSemClass40/SynSemClass40.html?veclass=vec01356#vec01356-ces-cm00020", "vec01356")</f>
        <v>vec01356</v>
      </c>
      <c r="I50117" s="0" t="s">
        <v>4139</v>
      </c>
    </row>
    <row r="50118" customFormat="false" ht="12.8" hidden="false" customHeight="false" outlineLevel="0" collapsed="false">
      <c r="B50118" s="0" t="s">
        <v>1</v>
      </c>
      <c r="C50118" s="0" t="s">
        <v>4563</v>
      </c>
      <c r="E50118" s="0" t="s">
        <v>2554</v>
      </c>
      <c r="F50118" s="0" t="s">
        <v>2555</v>
      </c>
      <c r="H50118" s="0" t="s">
        <v>2554</v>
      </c>
      <c r="I50118" s="0" t="s">
        <v>4141</v>
      </c>
    </row>
    <row r="50119" customFormat="false" ht="12.8" hidden="false" customHeight="false" outlineLevel="0" collapsed="false">
      <c r="B50119" s="0" t="s">
        <v>8</v>
      </c>
      <c r="C50119" s="0" t="s">
        <v>4564</v>
      </c>
      <c r="E50119" s="0" t="s">
        <v>2557</v>
      </c>
      <c r="F50119" s="0" t="s">
        <v>2558</v>
      </c>
      <c r="H50119" s="0" t="s">
        <v>4565</v>
      </c>
      <c r="I50119" s="0" t="s">
        <v>4566</v>
      </c>
    </row>
    <row r="50120" customFormat="false" ht="12.8" hidden="false" customHeight="false" outlineLevel="0" collapsed="false">
      <c r="B50120" s="0" t="s">
        <v>132</v>
      </c>
      <c r="C50120" s="0" t="s">
        <v>4567</v>
      </c>
      <c r="E50120" s="0" t="s">
        <v>2560</v>
      </c>
      <c r="F50120" s="0" t="s">
        <v>2561</v>
      </c>
      <c r="H50120" s="0" t="s">
        <v>2560</v>
      </c>
      <c r="I50120" s="0" t="s">
        <v>4568</v>
      </c>
    </row>
    <row r="50121" customFormat="false" ht="12.8" hidden="false" customHeight="false" outlineLevel="0" collapsed="false">
      <c r="B50121" s="0" t="s">
        <v>723</v>
      </c>
    </row>
    <row r="50123" customFormat="false" ht="12.8" hidden="false" customHeight="false" outlineLevel="0" collapsed="false">
      <c r="A50123" s="0" t="s">
        <v>17592</v>
      </c>
      <c r="B50123" s="0" t="str">
        <f aca="false">HYPERLINK("https://lindat.mff.cuni.cz/services/teitok/pdtc10/index.php?action=vallex&amp;frame=v-w7048f2", "uhradit (v-w7048f2)")</f>
        <v>uhradit (v-w7048f2)</v>
      </c>
      <c r="E50123" s="0" t="str">
        <f aca="false">HYPERLINK("https://lindat.mff.cuni.cz/services/SynSemClass40/SynSemClass40.html?veclass=vec00125#vec00125-ces-cm00199", "vec00125")</f>
        <v>vec00125</v>
      </c>
      <c r="F50123" s="0" t="s">
        <v>2552</v>
      </c>
    </row>
    <row r="50124" customFormat="false" ht="12.8" hidden="false" customHeight="false" outlineLevel="0" collapsed="false">
      <c r="B50124" s="0" t="s">
        <v>1</v>
      </c>
      <c r="C50124" s="0" t="s">
        <v>2553</v>
      </c>
      <c r="E50124" s="0" t="s">
        <v>2554</v>
      </c>
      <c r="F50124" s="0" t="s">
        <v>2555</v>
      </c>
    </row>
    <row r="50125" customFormat="false" ht="12.8" hidden="false" customHeight="false" outlineLevel="0" collapsed="false">
      <c r="B50125" s="0" t="s">
        <v>865</v>
      </c>
      <c r="C50125" s="0" t="s">
        <v>2571</v>
      </c>
      <c r="E50125" s="0" t="s">
        <v>2572</v>
      </c>
      <c r="F50125" s="0" t="s">
        <v>2573</v>
      </c>
    </row>
    <row r="50126" customFormat="false" ht="12.8" hidden="false" customHeight="false" outlineLevel="0" collapsed="false">
      <c r="B50126" s="0" t="s">
        <v>2069</v>
      </c>
    </row>
    <row r="50127" customFormat="false" ht="12.8" hidden="false" customHeight="false" outlineLevel="0" collapsed="false">
      <c r="B50127" s="0" t="s">
        <v>132</v>
      </c>
      <c r="C50127" s="0" t="s">
        <v>2559</v>
      </c>
      <c r="E50127" s="0" t="s">
        <v>2560</v>
      </c>
      <c r="F50127" s="0" t="s">
        <v>2561</v>
      </c>
    </row>
    <row r="50129" customFormat="false" ht="12.8" hidden="false" customHeight="false" outlineLevel="0" collapsed="false">
      <c r="A50129" s="0" t="s">
        <v>17593</v>
      </c>
      <c r="B50129" s="0" t="str">
        <f aca="false">HYPERLINK("https://lindat.mff.cuni.cz/services/teitok/pdtc10/index.php?action=vallex&amp;frame=v-w7051f1", "uhrazovat (v-w7051f1)")</f>
        <v>uhrazovat (v-w7051f1)</v>
      </c>
      <c r="E50129" s="0" t="str">
        <f aca="false">HYPERLINK("https://lindat.mff.cuni.cz/services/SynSemClass40/SynSemClass40.html?veclass=vec00125#vec00125-ces-cm00191", "vec00125")</f>
        <v>vec00125</v>
      </c>
      <c r="F50129" s="0" t="s">
        <v>2552</v>
      </c>
    </row>
    <row r="50130" customFormat="false" ht="12.8" hidden="false" customHeight="false" outlineLevel="0" collapsed="false">
      <c r="B50130" s="0" t="s">
        <v>1</v>
      </c>
      <c r="C50130" s="0" t="s">
        <v>2553</v>
      </c>
      <c r="E50130" s="0" t="s">
        <v>2554</v>
      </c>
      <c r="F50130" s="0" t="s">
        <v>2555</v>
      </c>
    </row>
    <row r="50131" customFormat="false" ht="12.8" hidden="false" customHeight="false" outlineLevel="0" collapsed="false">
      <c r="B50131" s="0" t="s">
        <v>8</v>
      </c>
      <c r="C50131" s="0" t="s">
        <v>2556</v>
      </c>
      <c r="E50131" s="0" t="s">
        <v>2557</v>
      </c>
      <c r="F50131" s="0" t="s">
        <v>2558</v>
      </c>
    </row>
    <row r="50132" customFormat="false" ht="12.8" hidden="false" customHeight="false" outlineLevel="0" collapsed="false">
      <c r="B50132" s="0" t="s">
        <v>132</v>
      </c>
      <c r="C50132" s="0" t="s">
        <v>2559</v>
      </c>
      <c r="E50132" s="0" t="s">
        <v>2560</v>
      </c>
      <c r="F50132" s="0" t="s">
        <v>2561</v>
      </c>
    </row>
    <row r="50133" customFormat="false" ht="12.8" hidden="false" customHeight="false" outlineLevel="0" collapsed="false">
      <c r="B50133" s="0" t="s">
        <v>723</v>
      </c>
    </row>
    <row r="50135" customFormat="false" ht="12.8" hidden="false" customHeight="false" outlineLevel="0" collapsed="false">
      <c r="A50135" s="0" t="s">
        <v>17594</v>
      </c>
      <c r="B50135" s="0" t="str">
        <f aca="false">HYPERLINK("https://lindat.mff.cuni.cz/services/teitok/pdtc10/index.php?action=vallex&amp;frame=v-w7049f1", "uhrát (v-w7049f1)")</f>
        <v>uhrát (v-w7049f1)</v>
      </c>
    </row>
    <row r="50136" customFormat="false" ht="12.8" hidden="false" customHeight="false" outlineLevel="0" collapsed="false">
      <c r="B50136" s="0" t="s">
        <v>1</v>
      </c>
    </row>
    <row r="50137" customFormat="false" ht="12.8" hidden="false" customHeight="false" outlineLevel="0" collapsed="false">
      <c r="B50137" s="0" t="s">
        <v>8</v>
      </c>
    </row>
    <row r="50138" customFormat="false" ht="12.8" hidden="false" customHeight="false" outlineLevel="0" collapsed="false">
      <c r="B50138" s="0" t="s">
        <v>3153</v>
      </c>
    </row>
    <row r="50140" customFormat="false" ht="12.8" hidden="false" customHeight="false" outlineLevel="0" collapsed="false">
      <c r="A50140" s="0" t="s">
        <v>17595</v>
      </c>
      <c r="B50140" s="0" t="str">
        <f aca="false">HYPERLINK("https://lindat.mff.cuni.cz/services/teitok/pdtc10/index.php?action=vallex&amp;frame=v-w7053f1", "uhynout (v-w7053f1)")</f>
        <v>uhynout (v-w7053f1)</v>
      </c>
    </row>
    <row r="50141" customFormat="false" ht="12.8" hidden="false" customHeight="false" outlineLevel="0" collapsed="false">
      <c r="B50141" s="0" t="s">
        <v>1</v>
      </c>
    </row>
    <row r="50143" customFormat="false" ht="12.8" hidden="false" customHeight="false" outlineLevel="0" collapsed="false">
      <c r="A50143" s="0" t="s">
        <v>17596</v>
      </c>
      <c r="B50143" s="0" t="str">
        <f aca="false">HYPERLINK("https://lindat.mff.cuni.cz/services/teitok/pdtc10/index.php?action=vallex&amp;frame=v-w10402f3", "uhádnout (v-w10402f3)")</f>
        <v>uhádnout (v-w10402f3)</v>
      </c>
    </row>
    <row r="50144" customFormat="false" ht="12.8" hidden="false" customHeight="false" outlineLevel="0" collapsed="false">
      <c r="B50144" s="0" t="s">
        <v>1</v>
      </c>
    </row>
    <row r="50145" customFormat="false" ht="12.8" hidden="false" customHeight="false" outlineLevel="0" collapsed="false">
      <c r="B50145" s="0" t="s">
        <v>2493</v>
      </c>
    </row>
    <row r="50147" customFormat="false" ht="12.8" hidden="false" customHeight="false" outlineLevel="0" collapsed="false">
      <c r="A50147" s="0" t="s">
        <v>17597</v>
      </c>
      <c r="B50147" s="0" t="str">
        <f aca="false">HYPERLINK("https://lindat.mff.cuni.cz/services/teitok/pdtc10/index.php?action=vallex&amp;frame=v-w7041f1", "uhájit (v-w7041f1)")</f>
        <v>uhájit (v-w7041f1)</v>
      </c>
    </row>
    <row r="50148" customFormat="false" ht="12.8" hidden="false" customHeight="false" outlineLevel="0" collapsed="false">
      <c r="B50148" s="0" t="s">
        <v>1</v>
      </c>
    </row>
    <row r="50149" customFormat="false" ht="12.8" hidden="false" customHeight="false" outlineLevel="0" collapsed="false">
      <c r="B50149" s="0" t="s">
        <v>59</v>
      </c>
    </row>
    <row r="50151" customFormat="false" ht="12.8" hidden="false" customHeight="false" outlineLevel="0" collapsed="false">
      <c r="A50151" s="0" t="s">
        <v>17598</v>
      </c>
      <c r="B50151" s="0" t="str">
        <f aca="false">HYPERLINK("https://lindat.mff.cuni.cz/services/teitok/pdtc10/index.php?action=vallex&amp;frame=v-w10996f2", "uhánět (v-w10996f2)")</f>
        <v>uhánět (v-w10996f2)</v>
      </c>
      <c r="E50151" s="0" t="str">
        <f aca="false">HYPERLINK("https://lindat.mff.cuni.cz/services/SynSemClass40/SynSemClass40.html?veclass=vec00687#vec00687-ces-cm00018", "vec00687")</f>
        <v>vec00687</v>
      </c>
      <c r="F50151" s="0" t="s">
        <v>4470</v>
      </c>
    </row>
    <row r="50152" customFormat="false" ht="12.8" hidden="false" customHeight="false" outlineLevel="0" collapsed="false">
      <c r="B50152" s="0" t="s">
        <v>1</v>
      </c>
      <c r="C50152" s="0" t="s">
        <v>4471</v>
      </c>
      <c r="E50152" s="0" t="s">
        <v>2291</v>
      </c>
      <c r="F50152" s="0" t="s">
        <v>4472</v>
      </c>
    </row>
    <row r="50153" customFormat="false" ht="12.8" hidden="false" customHeight="false" outlineLevel="0" collapsed="false">
      <c r="B50153" s="0" t="s">
        <v>8</v>
      </c>
      <c r="C50153" s="0" t="s">
        <v>4473</v>
      </c>
      <c r="E50153" s="0" t="s">
        <v>384</v>
      </c>
      <c r="F50153" s="0" t="s">
        <v>4474</v>
      </c>
    </row>
    <row r="50155" customFormat="false" ht="12.8" hidden="false" customHeight="false" outlineLevel="0" collapsed="false">
      <c r="A50155" s="0" t="s">
        <v>17599</v>
      </c>
      <c r="B50155" s="0" t="str">
        <f aca="false">HYPERLINK("https://lindat.mff.cuni.cz/services/teitok/pdtc10/index.php?action=vallex&amp;frame=v-w10996f3_ZU", "uhánět (v-w10996f3_ZU)")</f>
        <v>uhánět (v-w10996f3_ZU)</v>
      </c>
    </row>
    <row r="50156" customFormat="false" ht="12.8" hidden="false" customHeight="false" outlineLevel="0" collapsed="false">
      <c r="B50156" s="0" t="s">
        <v>1</v>
      </c>
    </row>
    <row r="50158" customFormat="false" ht="12.8" hidden="false" customHeight="false" outlineLevel="0" collapsed="false">
      <c r="A50158" s="0" t="s">
        <v>17600</v>
      </c>
      <c r="B50158" s="0" t="str">
        <f aca="false">HYPERLINK("https://lindat.mff.cuni.cz/services/teitok/pdtc10/index.php?action=vallex&amp;frame=v-w10996f4_ZU", "uhánět (v-w10996f4_ZU)")</f>
        <v>uhánět (v-w10996f4_ZU)</v>
      </c>
    </row>
    <row r="50159" customFormat="false" ht="12.8" hidden="false" customHeight="false" outlineLevel="0" collapsed="false">
      <c r="B50159" s="0" t="s">
        <v>1</v>
      </c>
    </row>
    <row r="50161" customFormat="false" ht="12.8" hidden="false" customHeight="false" outlineLevel="0" collapsed="false">
      <c r="A50161" s="0" t="s">
        <v>17601</v>
      </c>
      <c r="B50161" s="0" t="str">
        <f aca="false">HYPERLINK("https://lindat.mff.cuni.cz/services/teitok/pdtc10/index.php?action=vallex&amp;frame=v-w10996f5_ZU", "uhánět (v-w10996f5_ZU)")</f>
        <v>uhánět (v-w10996f5_ZU)</v>
      </c>
    </row>
    <row r="50162" customFormat="false" ht="12.8" hidden="false" customHeight="false" outlineLevel="0" collapsed="false">
      <c r="B50162" s="0" t="s">
        <v>1</v>
      </c>
    </row>
    <row r="50163" customFormat="false" ht="12.8" hidden="false" customHeight="false" outlineLevel="0" collapsed="false">
      <c r="B50163" s="0" t="s">
        <v>8</v>
      </c>
    </row>
    <row r="50165" customFormat="false" ht="12.8" hidden="false" customHeight="false" outlineLevel="0" collapsed="false">
      <c r="A50165" s="0" t="s">
        <v>17602</v>
      </c>
      <c r="B50165" s="0" t="str">
        <f aca="false">HYPERLINK("https://lindat.mff.cuni.cz/services/teitok/pdtc10/index.php?action=vallex&amp;frame=v-w12074_ZUf1_ZU", "uháčkovat (v-w12074_ZUf1_ZU)")</f>
        <v>uháčkovat (v-w12074_ZUf1_ZU)</v>
      </c>
    </row>
    <row r="50166" customFormat="false" ht="12.8" hidden="false" customHeight="false" outlineLevel="0" collapsed="false">
      <c r="B50166" s="0" t="s">
        <v>1</v>
      </c>
    </row>
    <row r="50167" customFormat="false" ht="12.8" hidden="false" customHeight="false" outlineLevel="0" collapsed="false">
      <c r="B50167" s="0" t="s">
        <v>8</v>
      </c>
    </row>
    <row r="50168" customFormat="false" ht="12.8" hidden="false" customHeight="false" outlineLevel="0" collapsed="false">
      <c r="B50168" s="0" t="s">
        <v>36</v>
      </c>
    </row>
    <row r="50170" customFormat="false" ht="12.8" hidden="false" customHeight="false" outlineLevel="0" collapsed="false">
      <c r="A50170" s="0" t="s">
        <v>17603</v>
      </c>
      <c r="B50170" s="0" t="str">
        <f aca="false">HYPERLINK("https://lindat.mff.cuni.cz/services/teitok/pdtc10/index.php?action=vallex&amp;frame=v-w10681f2", "uhýbat (v-w10681f2)")</f>
        <v>uhýbat (v-w10681f2)</v>
      </c>
      <c r="E50170" s="0" t="str">
        <f aca="false">HYPERLINK("https://lindat.mff.cuni.cz/services/SynSemClass40/SynSemClass40.html?veclass=vec00045#vec00045-ces-cm00015", "vec00045")</f>
        <v>vec00045</v>
      </c>
      <c r="F50170" s="0" t="s">
        <v>8307</v>
      </c>
    </row>
    <row r="50171" customFormat="false" ht="12.8" hidden="false" customHeight="false" outlineLevel="0" collapsed="false">
      <c r="B50171" s="0" t="s">
        <v>1</v>
      </c>
      <c r="C50171" s="0" t="s">
        <v>6471</v>
      </c>
      <c r="E50171" s="0" t="s">
        <v>2892</v>
      </c>
      <c r="F50171" s="0" t="s">
        <v>8308</v>
      </c>
    </row>
    <row r="50172" customFormat="false" ht="12.8" hidden="false" customHeight="false" outlineLevel="0" collapsed="false">
      <c r="B50172" s="0" t="s">
        <v>17578</v>
      </c>
      <c r="C50172" s="0" t="s">
        <v>8309</v>
      </c>
      <c r="E50172" s="0" t="s">
        <v>411</v>
      </c>
      <c r="F50172" s="0" t="s">
        <v>8310</v>
      </c>
    </row>
    <row r="50174" customFormat="false" ht="12.8" hidden="false" customHeight="false" outlineLevel="0" collapsed="false">
      <c r="A50174" s="0" t="s">
        <v>17604</v>
      </c>
      <c r="B50174" s="0" t="str">
        <f aca="false">HYPERLINK("https://lindat.mff.cuni.cz/services/teitok/pdtc10/index.php?action=vallex&amp;frame=v-w7072f1", "ujasnit (v-w7072f1)")</f>
        <v>ujasnit (v-w7072f1)</v>
      </c>
    </row>
    <row r="50175" customFormat="false" ht="12.8" hidden="false" customHeight="false" outlineLevel="0" collapsed="false">
      <c r="B50175" s="0" t="s">
        <v>1</v>
      </c>
    </row>
    <row r="50176" customFormat="false" ht="12.8" hidden="false" customHeight="false" outlineLevel="0" collapsed="false">
      <c r="B50176" s="0" t="s">
        <v>3028</v>
      </c>
    </row>
    <row r="50177" customFormat="false" ht="12.8" hidden="false" customHeight="false" outlineLevel="0" collapsed="false">
      <c r="B50177" s="0" t="s">
        <v>52</v>
      </c>
    </row>
    <row r="50179" customFormat="false" ht="12.8" hidden="false" customHeight="false" outlineLevel="0" collapsed="false">
      <c r="A50179" s="0" t="s">
        <v>17605</v>
      </c>
      <c r="B50179" s="0" t="str">
        <f aca="false">HYPERLINK("https://lindat.mff.cuni.cz/services/teitok/pdtc10/index.php?action=vallex&amp;frame=v-w7073f1", "ujasnit si (v-w7073f1)")</f>
        <v>ujasnit si (v-w7073f1)</v>
      </c>
    </row>
    <row r="50180" customFormat="false" ht="12.8" hidden="false" customHeight="false" outlineLevel="0" collapsed="false">
      <c r="B50180" s="0" t="s">
        <v>1</v>
      </c>
    </row>
    <row r="50181" customFormat="false" ht="12.8" hidden="false" customHeight="false" outlineLevel="0" collapsed="false">
      <c r="B50181" s="0" t="s">
        <v>8893</v>
      </c>
    </row>
    <row r="50183" customFormat="false" ht="12.8" hidden="false" customHeight="false" outlineLevel="0" collapsed="false">
      <c r="A50183" s="0" t="s">
        <v>17606</v>
      </c>
      <c r="B50183" s="0" t="str">
        <f aca="false">HYPERLINK("https://lindat.mff.cuni.cz/services/teitok/pdtc10/index.php?action=vallex&amp;frame=v-w7075f1", "ujednat (v-w7075f1)")</f>
        <v>ujednat (v-w7075f1)</v>
      </c>
    </row>
    <row r="50184" customFormat="false" ht="12.8" hidden="false" customHeight="false" outlineLevel="0" collapsed="false">
      <c r="B50184" s="0" t="s">
        <v>1</v>
      </c>
    </row>
    <row r="50185" customFormat="false" ht="12.8" hidden="false" customHeight="false" outlineLevel="0" collapsed="false">
      <c r="B50185" s="0" t="s">
        <v>2329</v>
      </c>
    </row>
    <row r="50186" customFormat="false" ht="12.8" hidden="false" customHeight="false" outlineLevel="0" collapsed="false">
      <c r="B50186" s="0" t="s">
        <v>276</v>
      </c>
    </row>
    <row r="50188" customFormat="false" ht="12.8" hidden="false" customHeight="false" outlineLevel="0" collapsed="false">
      <c r="A50188" s="0" t="s">
        <v>17607</v>
      </c>
      <c r="B50188" s="0" t="str">
        <f aca="false">HYPERLINK("https://lindat.mff.cuni.cz/services/teitok/pdtc10/index.php?action=vallex&amp;frame=v-w10622f2", "ujednávat (v-w10622f2)")</f>
        <v>ujednávat (v-w10622f2)</v>
      </c>
    </row>
    <row r="50189" customFormat="false" ht="12.8" hidden="false" customHeight="false" outlineLevel="0" collapsed="false">
      <c r="B50189" s="0" t="s">
        <v>1</v>
      </c>
    </row>
    <row r="50190" customFormat="false" ht="12.8" hidden="false" customHeight="false" outlineLevel="0" collapsed="false">
      <c r="B50190" s="0" t="s">
        <v>2329</v>
      </c>
    </row>
    <row r="50191" customFormat="false" ht="12.8" hidden="false" customHeight="false" outlineLevel="0" collapsed="false">
      <c r="B50191" s="0" t="s">
        <v>276</v>
      </c>
    </row>
    <row r="50193" customFormat="false" ht="12.8" hidden="false" customHeight="false" outlineLevel="0" collapsed="false">
      <c r="A50193" s="0" t="s">
        <v>17608</v>
      </c>
      <c r="B50193" s="0" t="str">
        <f aca="false">HYPERLINK("https://lindat.mff.cuni.cz/services/teitok/pdtc10/index.php?action=vallex&amp;frame=v-w7076f2", "ujet (v-w7076f2)")</f>
        <v>ujet (v-w7076f2)</v>
      </c>
    </row>
    <row r="50194" customFormat="false" ht="12.8" hidden="false" customHeight="false" outlineLevel="0" collapsed="false">
      <c r="B50194" s="0" t="s">
        <v>1</v>
      </c>
    </row>
    <row r="50195" customFormat="false" ht="12.8" hidden="false" customHeight="false" outlineLevel="0" collapsed="false">
      <c r="B50195" s="0" t="s">
        <v>186</v>
      </c>
    </row>
    <row r="50197" customFormat="false" ht="12.8" hidden="false" customHeight="false" outlineLevel="0" collapsed="false">
      <c r="A50197" s="0" t="s">
        <v>17609</v>
      </c>
      <c r="B50197" s="0" t="str">
        <f aca="false">HYPERLINK("https://lindat.mff.cuni.cz/services/teitok/pdtc10/index.php?action=vallex&amp;frame=v-w7076f3", "ujet (v-w7076f3)")</f>
        <v>ujet (v-w7076f3)</v>
      </c>
    </row>
    <row r="50198" customFormat="false" ht="12.8" hidden="false" customHeight="false" outlineLevel="0" collapsed="false">
      <c r="B50198" s="0" t="s">
        <v>1</v>
      </c>
    </row>
    <row r="50199" customFormat="false" ht="12.8" hidden="false" customHeight="false" outlineLevel="0" collapsed="false">
      <c r="B50199" s="0" t="s">
        <v>8</v>
      </c>
    </row>
    <row r="50201" customFormat="false" ht="12.8" hidden="false" customHeight="false" outlineLevel="0" collapsed="false">
      <c r="A50201" s="0" t="s">
        <v>17610</v>
      </c>
      <c r="B50201" s="0" t="str">
        <f aca="false">HYPERLINK("https://lindat.mff.cuni.cz/services/teitok/pdtc10/index.php?action=vallex&amp;frame=v-w7076f1", "ujet (v-w7076f1)")</f>
        <v>ujet (v-w7076f1)</v>
      </c>
    </row>
    <row r="50202" customFormat="false" ht="12.8" hidden="false" customHeight="false" outlineLevel="0" collapsed="false">
      <c r="B50202" s="0" t="s">
        <v>1</v>
      </c>
    </row>
    <row r="50203" customFormat="false" ht="12.8" hidden="false" customHeight="false" outlineLevel="0" collapsed="false">
      <c r="B50203" s="0" t="s">
        <v>631</v>
      </c>
    </row>
    <row r="50205" customFormat="false" ht="12.8" hidden="false" customHeight="false" outlineLevel="0" collapsed="false">
      <c r="A50205" s="0" t="s">
        <v>17611</v>
      </c>
      <c r="B50205" s="0" t="str">
        <f aca="false">HYPERLINK("https://lindat.mff.cuni.cz/services/teitok/pdtc10/index.php?action=vallex&amp;frame=v-w7076f4", "ujet (v-w7076f4)")</f>
        <v>ujet (v-w7076f4)</v>
      </c>
    </row>
    <row r="50206" customFormat="false" ht="12.8" hidden="false" customHeight="false" outlineLevel="0" collapsed="false">
      <c r="B50206" s="0" t="s">
        <v>1</v>
      </c>
    </row>
    <row r="50208" customFormat="false" ht="12.8" hidden="false" customHeight="false" outlineLevel="0" collapsed="false">
      <c r="A50208" s="0" t="s">
        <v>17612</v>
      </c>
      <c r="B50208" s="0" t="str">
        <f aca="false">HYPERLINK("https://lindat.mff.cuni.cz/services/teitok/pdtc10/index.php?action=vallex&amp;frame=v-w7081f1", "ujistit (v-w7081f1)")</f>
        <v>ujistit (v-w7081f1)</v>
      </c>
      <c r="E50208" s="0" t="str">
        <f aca="false">HYPERLINK("https://lindat.mff.cuni.cz/services/SynSemClass40/SynSemClass40.html?veclass=vec00535#vec00535-ces-cm00001", "vec00535")</f>
        <v>vec00535</v>
      </c>
      <c r="F50208" s="0" t="s">
        <v>17353</v>
      </c>
    </row>
    <row r="50209" customFormat="false" ht="12.8" hidden="false" customHeight="false" outlineLevel="0" collapsed="false">
      <c r="B50209" s="0" t="s">
        <v>1</v>
      </c>
      <c r="C50209" s="0" t="s">
        <v>3091</v>
      </c>
      <c r="E50209" s="0" t="s">
        <v>63</v>
      </c>
      <c r="F50209" s="0" t="s">
        <v>8911</v>
      </c>
    </row>
    <row r="50210" customFormat="false" ht="12.8" hidden="false" customHeight="false" outlineLevel="0" collapsed="false">
      <c r="B50210" s="0" t="s">
        <v>17354</v>
      </c>
      <c r="C50210" s="0" t="s">
        <v>14410</v>
      </c>
      <c r="E50210" s="0" t="s">
        <v>230</v>
      </c>
      <c r="F50210" s="0" t="s">
        <v>17355</v>
      </c>
    </row>
    <row r="50211" customFormat="false" ht="12.8" hidden="false" customHeight="false" outlineLevel="0" collapsed="false">
      <c r="B50211" s="0" t="s">
        <v>98</v>
      </c>
      <c r="C50211" s="0" t="s">
        <v>17356</v>
      </c>
      <c r="E50211" s="0" t="s">
        <v>221</v>
      </c>
      <c r="F50211" s="0" t="s">
        <v>17357</v>
      </c>
    </row>
    <row r="50213" customFormat="false" ht="12.8" hidden="false" customHeight="false" outlineLevel="0" collapsed="false">
      <c r="A50213" s="0" t="s">
        <v>17613</v>
      </c>
      <c r="B50213" s="0" t="str">
        <f aca="false">HYPERLINK("https://lindat.mff.cuni.cz/services/teitok/pdtc10/index.php?action=vallex&amp;frame=v-w7082hsa_1754", "ujistit se (v-w7082hsa_1754)")</f>
        <v>ujistit se (v-w7082hsa_1754)</v>
      </c>
    </row>
    <row r="50214" customFormat="false" ht="12.8" hidden="false" customHeight="false" outlineLevel="0" collapsed="false">
      <c r="B50214" s="0" t="s">
        <v>1</v>
      </c>
    </row>
    <row r="50215" customFormat="false" ht="12.8" hidden="false" customHeight="false" outlineLevel="0" collapsed="false">
      <c r="B50215" s="0" t="s">
        <v>17614</v>
      </c>
    </row>
    <row r="50217" customFormat="false" ht="12.8" hidden="false" customHeight="false" outlineLevel="0" collapsed="false">
      <c r="A50217" s="0" t="s">
        <v>17613</v>
      </c>
      <c r="B50217" s="0" t="str">
        <f aca="false">HYPERLINK("https://lindat.mff.cuni.cz/services/teitok/pdtc10/index.php?action=vallex&amp;frame=v-w7082f1", "ujistit se (v-w7082f1) - substituted with v-w7082hsa_1754")</f>
        <v>ujistit se (v-w7082f1) - substituted with v-w7082hsa_1754</v>
      </c>
      <c r="E50217" s="0" t="str">
        <f aca="false">HYPERLINK("https://lindat.mff.cuni.cz/services/SynSemClass40/SynSemClass40.html?veclass=vec01436#vec01436-ces-cm00006", "vec01436")</f>
        <v>vec01436</v>
      </c>
      <c r="F50217" s="0" t="s">
        <v>10211</v>
      </c>
    </row>
    <row r="50218" customFormat="false" ht="12.8" hidden="false" customHeight="false" outlineLevel="0" collapsed="false">
      <c r="B50218" s="0" t="s">
        <v>1</v>
      </c>
      <c r="C50218" s="0" t="s">
        <v>12335</v>
      </c>
      <c r="E50218" s="0" t="s">
        <v>621</v>
      </c>
      <c r="F50218" s="0" t="s">
        <v>10213</v>
      </c>
    </row>
    <row r="50219" customFormat="false" ht="12.8" hidden="false" customHeight="false" outlineLevel="0" collapsed="false">
      <c r="B50219" s="0" t="s">
        <v>17614</v>
      </c>
      <c r="C50219" s="0" t="s">
        <v>13729</v>
      </c>
      <c r="E50219" s="0" t="s">
        <v>218</v>
      </c>
      <c r="F50219" s="0" t="s">
        <v>10216</v>
      </c>
    </row>
    <row r="50221" customFormat="false" ht="12.8" hidden="false" customHeight="false" outlineLevel="0" collapsed="false">
      <c r="A50221" s="0" t="s">
        <v>17615</v>
      </c>
      <c r="B50221" s="0" t="str">
        <f aca="false">HYPERLINK("https://lindat.mff.cuni.cz/services/teitok/pdtc10/index.php?action=vallex&amp;frame=v-w7084f1", "ujišťovat (v-w7084f1)")</f>
        <v>ujišťovat (v-w7084f1)</v>
      </c>
      <c r="E50221" s="0" t="str">
        <f aca="false">HYPERLINK("https://lindat.mff.cuni.cz/services/SynSemClass40/SynSemClass40.html?veclass=vec00535#vec00535-ces-cm00007", "vec00535")</f>
        <v>vec00535</v>
      </c>
      <c r="F50221" s="0" t="s">
        <v>17353</v>
      </c>
    </row>
    <row r="50222" customFormat="false" ht="12.8" hidden="false" customHeight="false" outlineLevel="0" collapsed="false">
      <c r="B50222" s="0" t="s">
        <v>1</v>
      </c>
      <c r="C50222" s="0" t="s">
        <v>3091</v>
      </c>
      <c r="E50222" s="0" t="s">
        <v>63</v>
      </c>
      <c r="F50222" s="0" t="s">
        <v>8911</v>
      </c>
    </row>
    <row r="50223" customFormat="false" ht="12.8" hidden="false" customHeight="false" outlineLevel="0" collapsed="false">
      <c r="B50223" s="0" t="s">
        <v>17354</v>
      </c>
      <c r="C50223" s="0" t="s">
        <v>14410</v>
      </c>
      <c r="E50223" s="0" t="s">
        <v>230</v>
      </c>
      <c r="F50223" s="0" t="s">
        <v>17355</v>
      </c>
    </row>
    <row r="50224" customFormat="false" ht="12.8" hidden="false" customHeight="false" outlineLevel="0" collapsed="false">
      <c r="B50224" s="0" t="s">
        <v>98</v>
      </c>
      <c r="C50224" s="0" t="s">
        <v>17356</v>
      </c>
      <c r="E50224" s="0" t="s">
        <v>221</v>
      </c>
      <c r="F50224" s="0" t="s">
        <v>17357</v>
      </c>
    </row>
    <row r="50226" customFormat="false" ht="12.8" hidden="false" customHeight="false" outlineLevel="0" collapsed="false">
      <c r="A50226" s="0" t="s">
        <v>17616</v>
      </c>
      <c r="B50226" s="0" t="str">
        <f aca="false">HYPERLINK("https://lindat.mff.cuni.cz/services/teitok/pdtc10/index.php?action=vallex&amp;frame=v-w7088f1", "ujmout se (v-w7088f1)")</f>
        <v>ujmout se (v-w7088f1)</v>
      </c>
      <c r="E50226" s="0" t="str">
        <f aca="false">HYPERLINK("https://lindat.mff.cuni.cz/services/SynSemClass40/SynSemClass40.html?veclass=vec00613#vec00613-ces-cm00082", "vec00613")</f>
        <v>vec00613</v>
      </c>
      <c r="F50226" s="0" t="s">
        <v>604</v>
      </c>
    </row>
    <row r="50227" customFormat="false" ht="12.8" hidden="false" customHeight="false" outlineLevel="0" collapsed="false">
      <c r="B50227" s="0" t="s">
        <v>1</v>
      </c>
      <c r="C50227" s="0" t="s">
        <v>1436</v>
      </c>
      <c r="E50227" s="0" t="s">
        <v>31</v>
      </c>
      <c r="F50227" s="0" t="s">
        <v>608</v>
      </c>
    </row>
    <row r="50228" customFormat="false" ht="12.8" hidden="false" customHeight="false" outlineLevel="0" collapsed="false">
      <c r="B50228" s="0" t="s">
        <v>1289</v>
      </c>
      <c r="C50228" s="0" t="s">
        <v>1437</v>
      </c>
      <c r="E50228" s="0" t="s">
        <v>384</v>
      </c>
      <c r="F50228" s="0" t="s">
        <v>612</v>
      </c>
    </row>
    <row r="50230" customFormat="false" ht="12.8" hidden="false" customHeight="false" outlineLevel="0" collapsed="false">
      <c r="A50230" s="0" t="s">
        <v>17617</v>
      </c>
      <c r="B50230" s="0" t="str">
        <f aca="false">HYPERLINK("https://lindat.mff.cuni.cz/services/teitok/pdtc10/index.php?action=vallex&amp;frame=v-w7088f2", "ujmout se (v-w7088f2)")</f>
        <v>ujmout se (v-w7088f2)</v>
      </c>
      <c r="E50230" s="0" t="str">
        <f aca="false">HYPERLINK("https://lindat.mff.cuni.cz/services/SynSemClass40/SynSemClass40.html?veclass=vec00689#vec00689-ces-cm00009", "vec00689")</f>
        <v>vec00689</v>
      </c>
      <c r="F50230" s="0" t="s">
        <v>12694</v>
      </c>
    </row>
    <row r="50231" customFormat="false" ht="12.8" hidden="false" customHeight="false" outlineLevel="0" collapsed="false">
      <c r="B50231" s="0" t="s">
        <v>1</v>
      </c>
      <c r="C50231" s="0" t="s">
        <v>12702</v>
      </c>
      <c r="E50231" s="0" t="s">
        <v>2106</v>
      </c>
      <c r="F50231" s="0" t="s">
        <v>12696</v>
      </c>
    </row>
    <row r="50233" customFormat="false" ht="12.8" hidden="false" customHeight="false" outlineLevel="0" collapsed="false">
      <c r="A50233" s="0" t="s">
        <v>17618</v>
      </c>
      <c r="B50233" s="0" t="str">
        <f aca="false">HYPERLINK("https://lindat.mff.cuni.cz/services/teitok/pdtc10/index.php?action=vallex&amp;frame=v-w7078f1", "ujídat (v-w7078f1)")</f>
        <v>ujídat (v-w7078f1)</v>
      </c>
      <c r="E50233" s="0" t="str">
        <f aca="false">HYPERLINK("https://lindat.mff.cuni.cz/services/SynSemClass40/SynSemClass40.html?veclass=vec00828#vec00828-ces-cm00010", "vec00828")</f>
        <v>vec00828</v>
      </c>
      <c r="F50233" s="0" t="s">
        <v>4326</v>
      </c>
      <c r="H50233" s="0" t="str">
        <f aca="false">HYPERLINK("https://lindat.mff.cuni.cz/services/SynSemClass40/SynSemClass40.html?veclass=vec00940#vec00940-ces-cm00003", "vec00940")</f>
        <v>vec00940</v>
      </c>
      <c r="I50233" s="0" t="s">
        <v>17619</v>
      </c>
    </row>
    <row r="50234" customFormat="false" ht="12.8" hidden="false" customHeight="false" outlineLevel="0" collapsed="false">
      <c r="B50234" s="0" t="s">
        <v>1</v>
      </c>
      <c r="C50234" s="0" t="s">
        <v>83</v>
      </c>
      <c r="E50234" s="0" t="s">
        <v>658</v>
      </c>
      <c r="F50234" s="0" t="s">
        <v>4329</v>
      </c>
      <c r="H50234" s="0" t="s">
        <v>76</v>
      </c>
      <c r="I50234" s="0" t="s">
        <v>17620</v>
      </c>
    </row>
    <row r="50235" customFormat="false" ht="12.8" hidden="false" customHeight="false" outlineLevel="0" collapsed="false">
      <c r="B50235" s="0" t="s">
        <v>8</v>
      </c>
      <c r="C50235" s="0" t="s">
        <v>5583</v>
      </c>
      <c r="E50235" s="0" t="s">
        <v>661</v>
      </c>
      <c r="F50235" s="0" t="s">
        <v>4332</v>
      </c>
      <c r="H50235" s="0" t="s">
        <v>1702</v>
      </c>
      <c r="I50235" s="0" t="s">
        <v>17621</v>
      </c>
    </row>
    <row r="50237" customFormat="false" ht="12.8" hidden="false" customHeight="false" outlineLevel="0" collapsed="false">
      <c r="A50237" s="0" t="s">
        <v>17622</v>
      </c>
      <c r="B50237" s="0" t="str">
        <f aca="false">HYPERLINK("https://lindat.mff.cuni.cz/services/teitok/pdtc10/index.php?action=vallex&amp;frame=v-w7079f1", "ujímat se (v-w7079f1)")</f>
        <v>ujímat se (v-w7079f1)</v>
      </c>
      <c r="E50237" s="0" t="str">
        <f aca="false">HYPERLINK("https://lindat.mff.cuni.cz/services/SynSemClass40/SynSemClass40.html?veclass=vec00613#vec00613-ces-cm00180", "vec00613")</f>
        <v>vec00613</v>
      </c>
      <c r="F50237" s="0" t="s">
        <v>604</v>
      </c>
    </row>
    <row r="50238" customFormat="false" ht="12.8" hidden="false" customHeight="false" outlineLevel="0" collapsed="false">
      <c r="B50238" s="0" t="s">
        <v>1</v>
      </c>
      <c r="C50238" s="0" t="s">
        <v>1436</v>
      </c>
      <c r="E50238" s="0" t="s">
        <v>31</v>
      </c>
      <c r="F50238" s="0" t="s">
        <v>608</v>
      </c>
    </row>
    <row r="50239" customFormat="false" ht="12.8" hidden="false" customHeight="false" outlineLevel="0" collapsed="false">
      <c r="B50239" s="0" t="s">
        <v>1289</v>
      </c>
      <c r="C50239" s="0" t="s">
        <v>1437</v>
      </c>
      <c r="E50239" s="0" t="s">
        <v>384</v>
      </c>
      <c r="F50239" s="0" t="s">
        <v>612</v>
      </c>
    </row>
    <row r="50241" customFormat="false" ht="12.8" hidden="false" customHeight="false" outlineLevel="0" collapsed="false">
      <c r="A50241" s="0" t="s">
        <v>17623</v>
      </c>
      <c r="B50241" s="0" t="str">
        <f aca="false">HYPERLINK("https://lindat.mff.cuni.cz/services/teitok/pdtc10/index.php?action=vallex&amp;frame=v-w7079hsa_708", "ujímat se (v-w7079hsa_708)")</f>
        <v>ujímat se (v-w7079hsa_708)</v>
      </c>
    </row>
    <row r="50242" customFormat="false" ht="12.8" hidden="false" customHeight="false" outlineLevel="0" collapsed="false">
      <c r="B50242" s="0" t="s">
        <v>1</v>
      </c>
    </row>
    <row r="50244" customFormat="false" ht="12.8" hidden="false" customHeight="false" outlineLevel="0" collapsed="false">
      <c r="A50244" s="0" t="s">
        <v>17624</v>
      </c>
      <c r="B50244" s="0" t="str">
        <f aca="false">HYPERLINK("https://lindat.mff.cuni.cz/services/teitok/pdtc10/index.php?action=vallex&amp;frame=v-w7080f1", "ujíst (v-w7080f1)")</f>
        <v>ujíst (v-w7080f1)</v>
      </c>
      <c r="E50244" s="0" t="str">
        <f aca="false">HYPERLINK("https://lindat.mff.cuni.cz/services/SynSemClass40/SynSemClass40.html?veclass=vec00828#vec00828-ces-cm00013", "vec00828")</f>
        <v>vec00828</v>
      </c>
      <c r="F50244" s="0" t="s">
        <v>4326</v>
      </c>
    </row>
    <row r="50245" customFormat="false" ht="12.8" hidden="false" customHeight="false" outlineLevel="0" collapsed="false">
      <c r="B50245" s="0" t="s">
        <v>1</v>
      </c>
      <c r="C50245" s="0" t="s">
        <v>5031</v>
      </c>
      <c r="E50245" s="0" t="s">
        <v>658</v>
      </c>
      <c r="F50245" s="0" t="s">
        <v>4329</v>
      </c>
    </row>
    <row r="50246" customFormat="false" ht="12.8" hidden="false" customHeight="false" outlineLevel="0" collapsed="false">
      <c r="B50246" s="0" t="s">
        <v>8</v>
      </c>
      <c r="C50246" s="0" t="s">
        <v>1767</v>
      </c>
      <c r="E50246" s="0" t="s">
        <v>661</v>
      </c>
      <c r="F50246" s="0" t="s">
        <v>4332</v>
      </c>
    </row>
    <row r="50248" customFormat="false" ht="12.8" hidden="false" customHeight="false" outlineLevel="0" collapsed="false">
      <c r="A50248" s="0" t="s">
        <v>17625</v>
      </c>
      <c r="B50248" s="0" t="str">
        <f aca="false">HYPERLINK("https://lindat.mff.cuni.cz/services/teitok/pdtc10/index.php?action=vallex&amp;frame=v-w7085f1", "ujít (v-w7085f1)")</f>
        <v>ujít (v-w7085f1)</v>
      </c>
    </row>
    <row r="50249" customFormat="false" ht="12.8" hidden="false" customHeight="false" outlineLevel="0" collapsed="false">
      <c r="B50249" s="0" t="s">
        <v>1</v>
      </c>
    </row>
    <row r="50250" customFormat="false" ht="12.8" hidden="false" customHeight="false" outlineLevel="0" collapsed="false">
      <c r="B50250" s="0" t="s">
        <v>186</v>
      </c>
    </row>
    <row r="50252" customFormat="false" ht="12.8" hidden="false" customHeight="false" outlineLevel="0" collapsed="false">
      <c r="A50252" s="0" t="s">
        <v>17626</v>
      </c>
      <c r="B50252" s="0" t="str">
        <f aca="false">HYPERLINK("https://lindat.mff.cuni.cz/services/teitok/pdtc10/index.php?action=vallex&amp;frame=v-w7085f3", "ujít (v-w7085f3)")</f>
        <v>ujít (v-w7085f3)</v>
      </c>
    </row>
    <row r="50253" customFormat="false" ht="12.8" hidden="false" customHeight="false" outlineLevel="0" collapsed="false">
      <c r="B50253" s="0" t="s">
        <v>1</v>
      </c>
    </row>
    <row r="50254" customFormat="false" ht="12.8" hidden="false" customHeight="false" outlineLevel="0" collapsed="false">
      <c r="B50254" s="0" t="s">
        <v>8</v>
      </c>
    </row>
    <row r="50256" customFormat="false" ht="12.8" hidden="false" customHeight="false" outlineLevel="0" collapsed="false">
      <c r="A50256" s="0" t="s">
        <v>17627</v>
      </c>
      <c r="B50256" s="0" t="str">
        <f aca="false">HYPERLINK("https://lindat.mff.cuni.cz/services/teitok/pdtc10/index.php?action=vallex&amp;frame=v-w7085f4", "ujít (v-w7085f4)")</f>
        <v>ujít (v-w7085f4)</v>
      </c>
      <c r="E50256" s="0" t="str">
        <f aca="false">HYPERLINK("https://lindat.mff.cuni.cz/services/SynSemClass40/SynSemClass40.html?veclass=vec00460#vec00460-ces-cm00025", "vec00460")</f>
        <v>vec00460</v>
      </c>
      <c r="F50256" s="0" t="s">
        <v>4773</v>
      </c>
      <c r="H50256" s="0" t="str">
        <f aca="false">HYPERLINK("https://lindat.mff.cuni.cz/services/SynSemClass40/SynSemClass40.html?veclass=vec01430#vec01430-ces-cm00017", "vec01430")</f>
        <v>vec01430</v>
      </c>
      <c r="I50256" s="0" t="s">
        <v>12506</v>
      </c>
    </row>
    <row r="50257" customFormat="false" ht="12.8" hidden="false" customHeight="false" outlineLevel="0" collapsed="false">
      <c r="B50257" s="0" t="s">
        <v>804</v>
      </c>
      <c r="C50257" s="0" t="s">
        <v>17628</v>
      </c>
      <c r="E50257" s="0" t="s">
        <v>17629</v>
      </c>
      <c r="F50257" s="0" t="s">
        <v>17630</v>
      </c>
      <c r="H50257" s="0" t="s">
        <v>11</v>
      </c>
      <c r="I50257" s="0" t="s">
        <v>12508</v>
      </c>
    </row>
    <row r="50258" customFormat="false" ht="12.8" hidden="false" customHeight="false" outlineLevel="0" collapsed="false">
      <c r="B50258" s="0" t="s">
        <v>17631</v>
      </c>
      <c r="C50258" s="0" t="s">
        <v>17632</v>
      </c>
      <c r="E50258" s="0" t="s">
        <v>17633</v>
      </c>
      <c r="F50258" s="0" t="s">
        <v>17634</v>
      </c>
      <c r="H50258" s="0" t="s">
        <v>6091</v>
      </c>
      <c r="I50258" s="0" t="s">
        <v>12510</v>
      </c>
    </row>
    <row r="50260" customFormat="false" ht="12.8" hidden="false" customHeight="false" outlineLevel="0" collapsed="false">
      <c r="A50260" s="0" t="s">
        <v>17635</v>
      </c>
      <c r="B50260" s="0" t="str">
        <f aca="false">HYPERLINK("https://lindat.mff.cuni.cz/services/teitok/pdtc10/index.php?action=vallex&amp;frame=v-w7085f2", "ujít (v-w7085f2)")</f>
        <v>ujít (v-w7085f2)</v>
      </c>
    </row>
    <row r="50261" customFormat="false" ht="12.8" hidden="false" customHeight="false" outlineLevel="0" collapsed="false">
      <c r="B50261" s="0" t="s">
        <v>1</v>
      </c>
    </row>
    <row r="50263" customFormat="false" ht="12.8" hidden="false" customHeight="false" outlineLevel="0" collapsed="false">
      <c r="A50263" s="0" t="s">
        <v>17636</v>
      </c>
      <c r="B50263" s="0" t="str">
        <f aca="false">HYPERLINK("https://lindat.mff.cuni.cz/services/teitok/pdtc10/index.php?action=vallex&amp;frame=v-w7086f1", "ujíždět (v-w7086f1)")</f>
        <v>ujíždět (v-w7086f1)</v>
      </c>
    </row>
    <row r="50264" customFormat="false" ht="12.8" hidden="false" customHeight="false" outlineLevel="0" collapsed="false">
      <c r="B50264" s="0" t="s">
        <v>1</v>
      </c>
    </row>
    <row r="50265" customFormat="false" ht="12.8" hidden="false" customHeight="false" outlineLevel="0" collapsed="false">
      <c r="B50265" s="0" t="s">
        <v>186</v>
      </c>
    </row>
    <row r="50267" customFormat="false" ht="12.8" hidden="false" customHeight="false" outlineLevel="0" collapsed="false">
      <c r="A50267" s="0" t="s">
        <v>17637</v>
      </c>
      <c r="B50267" s="0" t="str">
        <f aca="false">HYPERLINK("https://lindat.mff.cuni.cz/services/teitok/pdtc10/index.php?action=vallex&amp;frame=v-w7086f2", "ujíždět (v-w7086f2)")</f>
        <v>ujíždět (v-w7086f2)</v>
      </c>
      <c r="E50267" s="0" t="str">
        <f aca="false">HYPERLINK("https://lindat.mff.cuni.cz/services/SynSemClass40/SynSemClass40.html?veclass=vec00811#vec00811-ces-cm00117", "vec00811")</f>
        <v>vec00811</v>
      </c>
      <c r="F50267" s="0" t="s">
        <v>2889</v>
      </c>
    </row>
    <row r="50268" customFormat="false" ht="12.8" hidden="false" customHeight="false" outlineLevel="0" collapsed="false">
      <c r="B50268" s="0" t="s">
        <v>1</v>
      </c>
      <c r="C50268" s="0" t="s">
        <v>5538</v>
      </c>
      <c r="E50268" s="0" t="s">
        <v>2892</v>
      </c>
      <c r="F50268" s="0" t="s">
        <v>2893</v>
      </c>
    </row>
    <row r="50269" customFormat="false" ht="12.8" hidden="false" customHeight="false" outlineLevel="0" collapsed="false">
      <c r="B50269" s="0" t="s">
        <v>631</v>
      </c>
      <c r="E50269" s="0" t="s">
        <v>1949</v>
      </c>
      <c r="F50269" s="0" t="s">
        <v>2896</v>
      </c>
    </row>
    <row r="50271" customFormat="false" ht="12.8" hidden="false" customHeight="false" outlineLevel="0" collapsed="false">
      <c r="A50271" s="0" t="s">
        <v>17638</v>
      </c>
      <c r="B50271" s="0" t="str">
        <f aca="false">HYPERLINK("https://lindat.mff.cuni.cz/services/teitok/pdtc10/index.php?action=vallex&amp;frame=v-w7089f1", "ukamenovat (v-w7089f1)")</f>
        <v>ukamenovat (v-w7089f1)</v>
      </c>
    </row>
    <row r="50272" customFormat="false" ht="12.8" hidden="false" customHeight="false" outlineLevel="0" collapsed="false">
      <c r="B50272" s="0" t="s">
        <v>1</v>
      </c>
    </row>
    <row r="50273" customFormat="false" ht="12.8" hidden="false" customHeight="false" outlineLevel="0" collapsed="false">
      <c r="B50273" s="0" t="s">
        <v>8</v>
      </c>
    </row>
    <row r="50275" customFormat="false" ht="12.8" hidden="false" customHeight="false" outlineLevel="0" collapsed="false">
      <c r="A50275" s="0" t="s">
        <v>17639</v>
      </c>
      <c r="B50275" s="0" t="str">
        <f aca="false">HYPERLINK("https://lindat.mff.cuni.cz/services/teitok/pdtc10/index.php?action=vallex&amp;frame=v-w7090f1", "ukapávat (v-w7090f1)")</f>
        <v>ukapávat (v-w7090f1)</v>
      </c>
      <c r="E50275" s="0" t="str">
        <f aca="false">HYPERLINK("https://lindat.mff.cuni.cz/services/SynSemClass40/SynSemClass40.html?veclass=vec01533#vec01533-ces-cm00012", "vec01533")</f>
        <v>vec01533</v>
      </c>
      <c r="F50275" s="0" t="s">
        <v>5224</v>
      </c>
    </row>
    <row r="50276" customFormat="false" ht="12.8" hidden="false" customHeight="false" outlineLevel="0" collapsed="false">
      <c r="B50276" s="0" t="s">
        <v>1</v>
      </c>
      <c r="E50276" s="0" t="s">
        <v>5225</v>
      </c>
      <c r="F50276" s="0" t="s">
        <v>5226</v>
      </c>
    </row>
    <row r="50277" customFormat="false" ht="12.8" hidden="false" customHeight="false" outlineLevel="0" collapsed="false">
      <c r="B50277" s="0" t="s">
        <v>631</v>
      </c>
      <c r="E50277" s="0" t="s">
        <v>1924</v>
      </c>
      <c r="F50277" s="0" t="s">
        <v>9358</v>
      </c>
    </row>
    <row r="50279" customFormat="false" ht="12.8" hidden="false" customHeight="false" outlineLevel="0" collapsed="false">
      <c r="A50279" s="0" t="s">
        <v>17640</v>
      </c>
      <c r="B50279" s="0" t="str">
        <f aca="false">HYPERLINK("https://lindat.mff.cuni.cz/services/teitok/pdtc10/index.php?action=vallex&amp;frame=v-w7098f9_ZU", "ukazovat (v-w7098f9_ZU)")</f>
        <v>ukazovat (v-w7098f9_ZU)</v>
      </c>
    </row>
    <row r="50280" customFormat="false" ht="12.8" hidden="false" customHeight="false" outlineLevel="0" collapsed="false">
      <c r="B50280" s="0" t="s">
        <v>843</v>
      </c>
    </row>
    <row r="50281" customFormat="false" ht="12.8" hidden="false" customHeight="false" outlineLevel="0" collapsed="false">
      <c r="B50281" s="0" t="s">
        <v>1899</v>
      </c>
    </row>
    <row r="50282" customFormat="false" ht="12.8" hidden="false" customHeight="false" outlineLevel="0" collapsed="false">
      <c r="B50282" s="0" t="s">
        <v>52</v>
      </c>
    </row>
    <row r="50284" customFormat="false" ht="12.8" hidden="false" customHeight="false" outlineLevel="0" collapsed="false">
      <c r="A50284" s="0" t="s">
        <v>17640</v>
      </c>
      <c r="B50284" s="0" t="str">
        <f aca="false">HYPERLINK("https://lindat.mff.cuni.cz/services/teitok/pdtc10/index.php?action=vallex&amp;frame=v-w7098f1", "ukazovat (v-w7098f1) - substituted with v-w7098f9_ZU")</f>
        <v>ukazovat (v-w7098f1) - substituted with v-w7098f9_ZU</v>
      </c>
      <c r="E50284" s="0" t="str">
        <f aca="false">HYPERLINK("https://lindat.mff.cuni.cz/services/SynSemClass40/SynSemClass40.html?veclass=vec00330#vec00330-ces-cm00074", "vec00330")</f>
        <v>vec00330</v>
      </c>
      <c r="F50284" s="0" t="s">
        <v>1896</v>
      </c>
    </row>
    <row r="50285" customFormat="false" ht="12.8" hidden="false" customHeight="false" outlineLevel="0" collapsed="false">
      <c r="B50285" s="0" t="s">
        <v>843</v>
      </c>
      <c r="C50285" s="0" t="s">
        <v>1897</v>
      </c>
      <c r="E50285" s="0" t="s">
        <v>11</v>
      </c>
      <c r="F50285" s="0" t="s">
        <v>1898</v>
      </c>
    </row>
    <row r="50286" customFormat="false" ht="12.8" hidden="false" customHeight="false" outlineLevel="0" collapsed="false">
      <c r="B50286" s="0" t="s">
        <v>1899</v>
      </c>
      <c r="C50286" s="0" t="s">
        <v>1900</v>
      </c>
      <c r="E50286" s="0" t="s">
        <v>180</v>
      </c>
      <c r="F50286" s="0" t="s">
        <v>1901</v>
      </c>
    </row>
    <row r="50287" customFormat="false" ht="12.8" hidden="false" customHeight="false" outlineLevel="0" collapsed="false">
      <c r="B50287" s="0" t="s">
        <v>52</v>
      </c>
      <c r="C50287" s="0" t="s">
        <v>1902</v>
      </c>
      <c r="E50287" s="0" t="s">
        <v>221</v>
      </c>
      <c r="F50287" s="0" t="s">
        <v>1903</v>
      </c>
    </row>
    <row r="50289" customFormat="false" ht="12.8" hidden="false" customHeight="false" outlineLevel="0" collapsed="false">
      <c r="A50289" s="0" t="s">
        <v>17641</v>
      </c>
      <c r="B50289" s="0" t="str">
        <f aca="false">HYPERLINK("https://lindat.mff.cuni.cz/services/teitok/pdtc10/index.php?action=vallex&amp;frame=v-w7098f2", "ukazovat (v-w7098f2)")</f>
        <v>ukazovat (v-w7098f2)</v>
      </c>
      <c r="E50289" s="0" t="str">
        <f aca="false">HYPERLINK("https://lindat.mff.cuni.cz/services/SynSemClass40/SynSemClass40.html?veclass=vec00332#vec00332-ces-cm00028", "vec00332")</f>
        <v>vec00332</v>
      </c>
      <c r="F50289" s="0" t="s">
        <v>3692</v>
      </c>
    </row>
    <row r="50290" customFormat="false" ht="12.8" hidden="false" customHeight="false" outlineLevel="0" collapsed="false">
      <c r="B50290" s="0" t="s">
        <v>345</v>
      </c>
      <c r="C50290" s="0" t="s">
        <v>11762</v>
      </c>
      <c r="E50290" s="0" t="s">
        <v>63</v>
      </c>
      <c r="F50290" s="0" t="s">
        <v>3695</v>
      </c>
    </row>
    <row r="50291" customFormat="false" ht="12.8" hidden="false" customHeight="false" outlineLevel="0" collapsed="false">
      <c r="B50291" s="0" t="s">
        <v>45</v>
      </c>
      <c r="C50291" s="0" t="s">
        <v>11764</v>
      </c>
      <c r="E50291" s="0" t="s">
        <v>180</v>
      </c>
      <c r="F50291" s="0" t="s">
        <v>11765</v>
      </c>
    </row>
    <row r="50292" customFormat="false" ht="12.8" hidden="false" customHeight="false" outlineLevel="0" collapsed="false">
      <c r="B50292" s="0" t="s">
        <v>132</v>
      </c>
      <c r="C50292" s="0" t="s">
        <v>17642</v>
      </c>
      <c r="E50292" s="0" t="s">
        <v>564</v>
      </c>
      <c r="F50292" s="0" t="s">
        <v>3700</v>
      </c>
    </row>
    <row r="50294" customFormat="false" ht="12.8" hidden="false" customHeight="false" outlineLevel="0" collapsed="false">
      <c r="A50294" s="0" t="s">
        <v>17643</v>
      </c>
      <c r="B50294" s="0" t="str">
        <f aca="false">HYPERLINK("https://lindat.mff.cuni.cz/services/teitok/pdtc10/index.php?action=vallex&amp;frame=v-w7098f3", "ukazovat (v-w7098f3)")</f>
        <v>ukazovat (v-w7098f3)</v>
      </c>
      <c r="E50294" s="0" t="str">
        <f aca="false">HYPERLINK("https://lindat.mff.cuni.cz/services/SynSemClass40/SynSemClass40.html?veclass=vec00141#vec00141-ces-cm00001", "vec00141")</f>
        <v>vec00141</v>
      </c>
      <c r="F50294" s="0" t="s">
        <v>4796</v>
      </c>
    </row>
    <row r="50295" customFormat="false" ht="12.8" hidden="false" customHeight="false" outlineLevel="0" collapsed="false">
      <c r="B50295" s="0" t="s">
        <v>1</v>
      </c>
      <c r="C50295" s="0" t="s">
        <v>4797</v>
      </c>
      <c r="E50295" s="0" t="s">
        <v>4798</v>
      </c>
      <c r="F50295" s="0" t="s">
        <v>4799</v>
      </c>
    </row>
    <row r="50296" customFormat="false" ht="12.8" hidden="false" customHeight="false" outlineLevel="0" collapsed="false">
      <c r="B50296" s="0" t="s">
        <v>8</v>
      </c>
      <c r="C50296" s="0" t="s">
        <v>4800</v>
      </c>
      <c r="E50296" s="0" t="s">
        <v>4801</v>
      </c>
      <c r="F50296" s="0" t="s">
        <v>4802</v>
      </c>
    </row>
    <row r="50298" customFormat="false" ht="12.8" hidden="false" customHeight="false" outlineLevel="0" collapsed="false">
      <c r="A50298" s="0" t="s">
        <v>17644</v>
      </c>
      <c r="B50298" s="0" t="str">
        <f aca="false">HYPERLINK("https://lindat.mff.cuni.cz/services/teitok/pdtc10/index.php?action=vallex&amp;frame=v-w7098f4", "ukazovat (v-w7098f4)")</f>
        <v>ukazovat (v-w7098f4)</v>
      </c>
      <c r="E50298" s="0" t="str">
        <f aca="false">HYPERLINK("https://lindat.mff.cuni.cz/services/SynSemClass40/SynSemClass40.html?veclass=vec00087#vec00087-ces-cm00058", "vec00087")</f>
        <v>vec00087</v>
      </c>
      <c r="F50298" s="0" t="s">
        <v>2368</v>
      </c>
    </row>
    <row r="50299" customFormat="false" ht="12.8" hidden="false" customHeight="false" outlineLevel="0" collapsed="false">
      <c r="B50299" s="0" t="s">
        <v>1</v>
      </c>
      <c r="C50299" s="0" t="s">
        <v>2379</v>
      </c>
      <c r="E50299" s="0" t="s">
        <v>2370</v>
      </c>
      <c r="F50299" s="0" t="s">
        <v>2371</v>
      </c>
    </row>
    <row r="50300" customFormat="false" ht="12.8" hidden="false" customHeight="false" outlineLevel="0" collapsed="false">
      <c r="B50300" s="0" t="s">
        <v>6412</v>
      </c>
      <c r="C50300" s="0" t="s">
        <v>17645</v>
      </c>
      <c r="E50300" s="0" t="s">
        <v>17646</v>
      </c>
      <c r="F50300" s="0" t="s">
        <v>17647</v>
      </c>
    </row>
    <row r="50301" customFormat="false" ht="12.8" hidden="false" customHeight="false" outlineLevel="0" collapsed="false">
      <c r="B50301" s="0" t="s">
        <v>496</v>
      </c>
      <c r="C50301" s="0" t="s">
        <v>2380</v>
      </c>
      <c r="E50301" s="0" t="s">
        <v>2373</v>
      </c>
      <c r="F50301" s="0" t="s">
        <v>2374</v>
      </c>
    </row>
    <row r="50302" customFormat="false" ht="12.8" hidden="false" customHeight="false" outlineLevel="0" collapsed="false">
      <c r="B50302" s="0" t="s">
        <v>132</v>
      </c>
      <c r="C50302" s="0" t="s">
        <v>2384</v>
      </c>
      <c r="E50302" s="0" t="s">
        <v>2376</v>
      </c>
      <c r="F50302" s="0" t="s">
        <v>2377</v>
      </c>
    </row>
    <row r="50304" customFormat="false" ht="12.8" hidden="false" customHeight="false" outlineLevel="0" collapsed="false">
      <c r="A50304" s="0" t="s">
        <v>17648</v>
      </c>
      <c r="B50304" s="0" t="str">
        <f aca="false">HYPERLINK("https://lindat.mff.cuni.cz/services/teitok/pdtc10/index.php?action=vallex&amp;frame=v-w7098f5", "ukazovat (v-w7098f5)")</f>
        <v>ukazovat (v-w7098f5)</v>
      </c>
    </row>
    <row r="50305" customFormat="false" ht="12.8" hidden="false" customHeight="false" outlineLevel="0" collapsed="false">
      <c r="B50305" s="0" t="s">
        <v>1</v>
      </c>
    </row>
    <row r="50306" customFormat="false" ht="12.8" hidden="false" customHeight="false" outlineLevel="0" collapsed="false">
      <c r="B50306" s="0" t="s">
        <v>164</v>
      </c>
    </row>
    <row r="50307" customFormat="false" ht="12.8" hidden="false" customHeight="false" outlineLevel="0" collapsed="false">
      <c r="B50307" s="0" t="s">
        <v>157</v>
      </c>
    </row>
    <row r="50309" customFormat="false" ht="12.8" hidden="false" customHeight="false" outlineLevel="0" collapsed="false">
      <c r="A50309" s="0" t="s">
        <v>17649</v>
      </c>
      <c r="B50309" s="0" t="str">
        <f aca="false">HYPERLINK("https://lindat.mff.cuni.cz/services/teitok/pdtc10/index.php?action=vallex&amp;frame=v-w7098f6_ZU", "ukazovat (v-w7098f6_ZU)")</f>
        <v>ukazovat (v-w7098f6_ZU)</v>
      </c>
    </row>
    <row r="50310" customFormat="false" ht="12.8" hidden="false" customHeight="false" outlineLevel="0" collapsed="false">
      <c r="B50310" s="0" t="s">
        <v>1</v>
      </c>
    </row>
    <row r="50311" customFormat="false" ht="12.8" hidden="false" customHeight="false" outlineLevel="0" collapsed="false">
      <c r="B50311" s="0" t="s">
        <v>17650</v>
      </c>
    </row>
    <row r="50312" customFormat="false" ht="12.8" hidden="false" customHeight="false" outlineLevel="0" collapsed="false">
      <c r="B50312" s="0" t="s">
        <v>132</v>
      </c>
    </row>
    <row r="50314" customFormat="false" ht="12.8" hidden="false" customHeight="false" outlineLevel="0" collapsed="false">
      <c r="A50314" s="0" t="s">
        <v>17651</v>
      </c>
      <c r="B50314" s="0" t="str">
        <f aca="false">HYPERLINK("https://lindat.mff.cuni.cz/services/teitok/pdtc10/index.php?action=vallex&amp;frame=v-w7098f8_ZU", "ukazovat (v-w7098f8_ZU)")</f>
        <v>ukazovat (v-w7098f8_ZU)</v>
      </c>
      <c r="E50314" s="0" t="str">
        <f aca="false">HYPERLINK("https://lindat.mff.cuni.cz/services/SynSemClass40/SynSemClass40.html?veclass=vec00330#vec00330-ces-cm00078", "vec00330")</f>
        <v>vec00330</v>
      </c>
      <c r="F50314" s="0" t="s">
        <v>1896</v>
      </c>
    </row>
    <row r="50315" customFormat="false" ht="12.8" hidden="false" customHeight="false" outlineLevel="0" collapsed="false">
      <c r="B50315" s="0" t="s">
        <v>1</v>
      </c>
      <c r="C50315" s="0" t="s">
        <v>1897</v>
      </c>
      <c r="E50315" s="0" t="s">
        <v>11</v>
      </c>
      <c r="F50315" s="0" t="s">
        <v>1898</v>
      </c>
    </row>
    <row r="50316" customFormat="false" ht="12.8" hidden="false" customHeight="false" outlineLevel="0" collapsed="false">
      <c r="B50316" s="0" t="s">
        <v>59</v>
      </c>
      <c r="C50316" s="0" t="s">
        <v>1900</v>
      </c>
      <c r="E50316" s="0" t="s">
        <v>180</v>
      </c>
      <c r="F50316" s="0" t="s">
        <v>1901</v>
      </c>
    </row>
    <row r="50317" customFormat="false" ht="12.8" hidden="false" customHeight="false" outlineLevel="0" collapsed="false">
      <c r="B50317" s="0" t="s">
        <v>132</v>
      </c>
      <c r="C50317" s="0" t="s">
        <v>1902</v>
      </c>
      <c r="E50317" s="0" t="s">
        <v>221</v>
      </c>
      <c r="F50317" s="0" t="s">
        <v>1903</v>
      </c>
    </row>
    <row r="50319" customFormat="false" ht="12.8" hidden="false" customHeight="false" outlineLevel="0" collapsed="false">
      <c r="A50319" s="0" t="s">
        <v>17651</v>
      </c>
      <c r="B50319" s="0" t="str">
        <f aca="false">HYPERLINK("https://lindat.mff.cuni.cz/services/teitok/pdtc10/index.php?action=vallex&amp;frame=v-w7098f7_ZU", "ukazovat (v-w7098f7_ZU) - substituted with v-w7098f8_ZU")</f>
        <v>ukazovat (v-w7098f7_ZU) - substituted with v-w7098f8_ZU</v>
      </c>
    </row>
    <row r="50320" customFormat="false" ht="12.8" hidden="false" customHeight="false" outlineLevel="0" collapsed="false">
      <c r="B50320" s="0" t="s">
        <v>1</v>
      </c>
    </row>
    <row r="50321" customFormat="false" ht="12.8" hidden="false" customHeight="false" outlineLevel="0" collapsed="false">
      <c r="B50321" s="0" t="s">
        <v>59</v>
      </c>
    </row>
    <row r="50322" customFormat="false" ht="12.8" hidden="false" customHeight="false" outlineLevel="0" collapsed="false">
      <c r="B50322" s="0" t="s">
        <v>132</v>
      </c>
    </row>
    <row r="50324" customFormat="false" ht="12.8" hidden="false" customHeight="false" outlineLevel="0" collapsed="false">
      <c r="A50324" s="0" t="s">
        <v>17651</v>
      </c>
      <c r="B50324" s="0" t="str">
        <f aca="false">HYPERLINK("https://lindat.mff.cuni.cz/services/teitok/pdtc10/index.php?action=vallex&amp;frame=v-w7098hsa_814", "ukazovat (v-w7098hsa_814) - substituted with v-w7098f8_ZU")</f>
        <v>ukazovat (v-w7098hsa_814) - substituted with v-w7098f8_ZU</v>
      </c>
    </row>
    <row r="50325" customFormat="false" ht="12.8" hidden="false" customHeight="false" outlineLevel="0" collapsed="false">
      <c r="B50325" s="0" t="s">
        <v>1</v>
      </c>
    </row>
    <row r="50326" customFormat="false" ht="12.8" hidden="false" customHeight="false" outlineLevel="0" collapsed="false">
      <c r="B50326" s="0" t="s">
        <v>59</v>
      </c>
    </row>
    <row r="50327" customFormat="false" ht="12.8" hidden="false" customHeight="false" outlineLevel="0" collapsed="false">
      <c r="B50327" s="0" t="s">
        <v>132</v>
      </c>
    </row>
    <row r="50329" customFormat="false" ht="12.8" hidden="false" customHeight="false" outlineLevel="0" collapsed="false">
      <c r="A50329" s="0" t="s">
        <v>17652</v>
      </c>
      <c r="B50329" s="0" t="str">
        <f aca="false">HYPERLINK("https://lindat.mff.cuni.cz/services/teitok/pdtc10/index.php?action=vallex&amp;frame=v-w7099f2", "ukazovat se (v-w7099f2)")</f>
        <v>ukazovat se (v-w7099f2)</v>
      </c>
      <c r="E50329" s="0" t="str">
        <f aca="false">HYPERLINK("https://lindat.mff.cuni.cz/services/SynSemClass40/SynSemClass40.html?veclass=vec00331#vec00331-ces-cm00047", "vec00331")</f>
        <v>vec00331</v>
      </c>
      <c r="F50329" s="0" t="s">
        <v>17653</v>
      </c>
    </row>
    <row r="50330" customFormat="false" ht="12.8" hidden="false" customHeight="false" outlineLevel="0" collapsed="false">
      <c r="B50330" s="0" t="s">
        <v>843</v>
      </c>
      <c r="C50330" s="0" t="s">
        <v>17654</v>
      </c>
      <c r="E50330" s="0" t="s">
        <v>4943</v>
      </c>
      <c r="F50330" s="0" t="s">
        <v>17655</v>
      </c>
    </row>
    <row r="50331" customFormat="false" ht="12.8" hidden="false" customHeight="false" outlineLevel="0" collapsed="false">
      <c r="B50331" s="0" t="s">
        <v>17656</v>
      </c>
      <c r="C50331" s="0" t="s">
        <v>4017</v>
      </c>
      <c r="E50331" s="0" t="s">
        <v>1544</v>
      </c>
      <c r="F50331" s="0" t="s">
        <v>17657</v>
      </c>
    </row>
    <row r="50333" customFormat="false" ht="12.8" hidden="false" customHeight="false" outlineLevel="0" collapsed="false">
      <c r="A50333" s="0" t="s">
        <v>17658</v>
      </c>
      <c r="B50333" s="0" t="str">
        <f aca="false">HYPERLINK("https://lindat.mff.cuni.cz/services/teitok/pdtc10/index.php?action=vallex&amp;frame=v-w7099f5", "ukazovat se (v-w7099f5)")</f>
        <v>ukazovat se (v-w7099f5)</v>
      </c>
    </row>
    <row r="50334" customFormat="false" ht="12.8" hidden="false" customHeight="false" outlineLevel="0" collapsed="false">
      <c r="B50334" s="0" t="s">
        <v>1</v>
      </c>
    </row>
    <row r="50335" customFormat="false" ht="12.8" hidden="false" customHeight="false" outlineLevel="0" collapsed="false">
      <c r="B50335" s="0" t="s">
        <v>157</v>
      </c>
    </row>
    <row r="50337" customFormat="false" ht="12.8" hidden="false" customHeight="false" outlineLevel="0" collapsed="false">
      <c r="A50337" s="0" t="s">
        <v>17659</v>
      </c>
      <c r="B50337" s="0" t="str">
        <f aca="false">HYPERLINK("https://lindat.mff.cuni.cz/services/teitok/pdtc10/index.php?action=vallex&amp;frame=v-w7099f4", "ukazovat se (v-w7099f4)")</f>
        <v>ukazovat se (v-w7099f4)</v>
      </c>
      <c r="E50337" s="0" t="str">
        <f aca="false">HYPERLINK("https://lindat.mff.cuni.cz/services/SynSemClass40/SynSemClass40.html?veclass=vec00245#vec00245-ces-cm00028", "vec00245")</f>
        <v>vec00245</v>
      </c>
      <c r="F50337" s="0" t="s">
        <v>6245</v>
      </c>
    </row>
    <row r="50338" customFormat="false" ht="12.8" hidden="false" customHeight="false" outlineLevel="0" collapsed="false">
      <c r="B50338" s="0" t="s">
        <v>1</v>
      </c>
      <c r="C50338" s="0" t="s">
        <v>8384</v>
      </c>
      <c r="E50338" s="0" t="s">
        <v>2923</v>
      </c>
      <c r="F50338" s="0" t="s">
        <v>6248</v>
      </c>
    </row>
    <row r="50339" customFormat="false" ht="12.8" hidden="false" customHeight="false" outlineLevel="0" collapsed="false">
      <c r="B50339" s="0" t="s">
        <v>5</v>
      </c>
      <c r="E50339" s="0" t="s">
        <v>3254</v>
      </c>
      <c r="F50339" s="0" t="s">
        <v>3255</v>
      </c>
    </row>
    <row r="50341" customFormat="false" ht="12.8" hidden="false" customHeight="false" outlineLevel="0" collapsed="false">
      <c r="A50341" s="0" t="s">
        <v>17660</v>
      </c>
      <c r="B50341" s="0" t="str">
        <f aca="false">HYPERLINK("https://lindat.mff.cuni.cz/services/teitok/pdtc10/index.php?action=vallex&amp;frame=v-w7099f3", "ukazovat se (v-w7099f3)")</f>
        <v>ukazovat se (v-w7099f3)</v>
      </c>
    </row>
    <row r="50342" customFormat="false" ht="12.8" hidden="false" customHeight="false" outlineLevel="0" collapsed="false">
      <c r="B50342" s="0" t="s">
        <v>1</v>
      </c>
    </row>
    <row r="50343" customFormat="false" ht="12.8" hidden="false" customHeight="false" outlineLevel="0" collapsed="false">
      <c r="B50343" s="0" t="s">
        <v>852</v>
      </c>
    </row>
    <row r="50345" customFormat="false" ht="12.8" hidden="false" customHeight="false" outlineLevel="0" collapsed="false">
      <c r="A50345" s="0" t="s">
        <v>17661</v>
      </c>
      <c r="B50345" s="0" t="str">
        <f aca="false">HYPERLINK("https://lindat.mff.cuni.cz/services/teitok/pdtc10/index.php?action=vallex&amp;frame=v-w7099f1", "ukazovat se (v-w7099f1)")</f>
        <v>ukazovat se (v-w7099f1)</v>
      </c>
      <c r="E50345" s="0" t="str">
        <f aca="false">HYPERLINK("https://lindat.mff.cuni.cz/services/SynSemClass40/SynSemClass40.html?veclass=vec00086#vec00086-ces-cm00075", "vec00086")</f>
        <v>vec00086</v>
      </c>
      <c r="F50345" s="0" t="s">
        <v>12400</v>
      </c>
    </row>
    <row r="50346" customFormat="false" ht="12.8" hidden="false" customHeight="false" outlineLevel="0" collapsed="false">
      <c r="B50346" s="0" t="s">
        <v>17662</v>
      </c>
      <c r="C50346" s="0" t="s">
        <v>2157</v>
      </c>
      <c r="E50346" s="0" t="s">
        <v>4943</v>
      </c>
      <c r="F50346" s="0" t="s">
        <v>5999</v>
      </c>
    </row>
    <row r="50348" customFormat="false" ht="12.8" hidden="false" customHeight="false" outlineLevel="0" collapsed="false">
      <c r="A50348" s="0" t="s">
        <v>17663</v>
      </c>
      <c r="B50348" s="0" t="str">
        <f aca="false">HYPERLINK("https://lindat.mff.cuni.cz/services/teitok/pdtc10/index.php?action=vallex&amp;frame=v-whsa_139hsa_140", "ukecávat (v-whsa_139hsa_140)")</f>
        <v>ukecávat (v-whsa_139hsa_140)</v>
      </c>
    </row>
    <row r="50349" customFormat="false" ht="12.8" hidden="false" customHeight="false" outlineLevel="0" collapsed="false">
      <c r="B50349" s="0" t="s">
        <v>1</v>
      </c>
    </row>
    <row r="50350" customFormat="false" ht="12.8" hidden="false" customHeight="false" outlineLevel="0" collapsed="false">
      <c r="B50350" s="0" t="s">
        <v>98</v>
      </c>
    </row>
    <row r="50351" customFormat="false" ht="12.8" hidden="false" customHeight="false" outlineLevel="0" collapsed="false">
      <c r="B50351" s="0" t="s">
        <v>4320</v>
      </c>
    </row>
    <row r="50353" customFormat="false" ht="12.8" hidden="false" customHeight="false" outlineLevel="0" collapsed="false">
      <c r="A50353" s="0" t="s">
        <v>17664</v>
      </c>
      <c r="B50353" s="0" t="str">
        <f aca="false">HYPERLINK("https://lindat.mff.cuni.cz/services/teitok/pdtc10/index.php?action=vallex&amp;frame=v-w7105f1", "uklidit (v-w7105f1)")</f>
        <v>uklidit (v-w7105f1)</v>
      </c>
    </row>
    <row r="50354" customFormat="false" ht="12.8" hidden="false" customHeight="false" outlineLevel="0" collapsed="false">
      <c r="B50354" s="0" t="s">
        <v>1</v>
      </c>
    </row>
    <row r="50355" customFormat="false" ht="12.8" hidden="false" customHeight="false" outlineLevel="0" collapsed="false">
      <c r="B50355" s="0" t="s">
        <v>8</v>
      </c>
    </row>
    <row r="50357" customFormat="false" ht="12.8" hidden="false" customHeight="false" outlineLevel="0" collapsed="false">
      <c r="A50357" s="0" t="s">
        <v>17665</v>
      </c>
      <c r="B50357" s="0" t="str">
        <f aca="false">HYPERLINK("https://lindat.mff.cuni.cz/services/teitok/pdtc10/index.php?action=vallex&amp;frame=v-w7105f2_ZU", "uklidit (v-w7105f2_ZU)")</f>
        <v>uklidit (v-w7105f2_ZU)</v>
      </c>
    </row>
    <row r="50358" customFormat="false" ht="12.8" hidden="false" customHeight="false" outlineLevel="0" collapsed="false">
      <c r="B50358" s="0" t="s">
        <v>1</v>
      </c>
    </row>
    <row r="50359" customFormat="false" ht="12.8" hidden="false" customHeight="false" outlineLevel="0" collapsed="false">
      <c r="B50359" s="0" t="s">
        <v>17666</v>
      </c>
    </row>
    <row r="50360" customFormat="false" ht="12.8" hidden="false" customHeight="false" outlineLevel="0" collapsed="false">
      <c r="B50360" s="0" t="s">
        <v>8</v>
      </c>
    </row>
    <row r="50362" customFormat="false" ht="12.8" hidden="false" customHeight="false" outlineLevel="0" collapsed="false">
      <c r="A50362" s="0" t="s">
        <v>17667</v>
      </c>
      <c r="B50362" s="0" t="str">
        <f aca="false">HYPERLINK("https://lindat.mff.cuni.cz/services/teitok/pdtc10/index.php?action=vallex&amp;frame=v-w7107f1", "uklidnit (v-w7107f1)")</f>
        <v>uklidnit (v-w7107f1)</v>
      </c>
      <c r="E50362" s="0" t="str">
        <f aca="false">HYPERLINK("https://lindat.mff.cuni.cz/services/SynSemClass40/SynSemClass40.html?veclass=vec00536#vec00536-ces-cm00001", "vec00536")</f>
        <v>vec00536</v>
      </c>
      <c r="F50362" s="0" t="s">
        <v>1395</v>
      </c>
    </row>
    <row r="50363" customFormat="false" ht="12.8" hidden="false" customHeight="false" outlineLevel="0" collapsed="false">
      <c r="B50363" s="0" t="s">
        <v>1</v>
      </c>
      <c r="C50363" s="0" t="s">
        <v>1396</v>
      </c>
      <c r="E50363" s="0" t="s">
        <v>1103</v>
      </c>
      <c r="F50363" s="0" t="s">
        <v>1397</v>
      </c>
    </row>
    <row r="50364" customFormat="false" ht="12.8" hidden="false" customHeight="false" outlineLevel="0" collapsed="false">
      <c r="B50364" s="0" t="s">
        <v>8</v>
      </c>
      <c r="C50364" s="0" t="s">
        <v>1398</v>
      </c>
      <c r="E50364" s="0" t="s">
        <v>1399</v>
      </c>
      <c r="F50364" s="0" t="s">
        <v>1400</v>
      </c>
    </row>
    <row r="50366" customFormat="false" ht="12.8" hidden="false" customHeight="false" outlineLevel="0" collapsed="false">
      <c r="A50366" s="0" t="s">
        <v>17668</v>
      </c>
      <c r="B50366" s="0" t="str">
        <f aca="false">HYPERLINK("https://lindat.mff.cuni.cz/services/teitok/pdtc10/index.php?action=vallex&amp;frame=v-w7108f1", "uklidnit se (v-w7108f1)")</f>
        <v>uklidnit se (v-w7108f1)</v>
      </c>
      <c r="E50366" s="0" t="str">
        <f aca="false">HYPERLINK("https://lindat.mff.cuni.cz/services/SynSemClass40/SynSemClass40.html?veclass=vec00733#vec00733-ces-cm00001", "vec00733")</f>
        <v>vec00733</v>
      </c>
      <c r="F50366" s="0" t="s">
        <v>17669</v>
      </c>
    </row>
    <row r="50367" customFormat="false" ht="12.8" hidden="false" customHeight="false" outlineLevel="0" collapsed="false">
      <c r="B50367" s="0" t="s">
        <v>1</v>
      </c>
      <c r="C50367" s="0" t="s">
        <v>10435</v>
      </c>
      <c r="E50367" s="0" t="s">
        <v>4943</v>
      </c>
      <c r="F50367" s="0" t="s">
        <v>17670</v>
      </c>
    </row>
    <row r="50369" customFormat="false" ht="12.8" hidden="false" customHeight="false" outlineLevel="0" collapsed="false">
      <c r="A50369" s="0" t="s">
        <v>17671</v>
      </c>
      <c r="B50369" s="0" t="str">
        <f aca="false">HYPERLINK("https://lindat.mff.cuni.cz/services/teitok/pdtc10/index.php?action=vallex&amp;frame=v-w11442f1", "uklidňovat (v-w11442f1)")</f>
        <v>uklidňovat (v-w11442f1)</v>
      </c>
      <c r="E50369" s="0" t="str">
        <f aca="false">HYPERLINK("https://lindat.mff.cuni.cz/services/SynSemClass40/SynSemClass40.html?veclass=vec00536#vec00536-ces-cm00004", "vec00536")</f>
        <v>vec00536</v>
      </c>
      <c r="F50369" s="0" t="s">
        <v>1395</v>
      </c>
    </row>
    <row r="50370" customFormat="false" ht="12.8" hidden="false" customHeight="false" outlineLevel="0" collapsed="false">
      <c r="B50370" s="0" t="s">
        <v>1</v>
      </c>
      <c r="C50370" s="0" t="s">
        <v>1396</v>
      </c>
      <c r="E50370" s="0" t="s">
        <v>1103</v>
      </c>
      <c r="F50370" s="0" t="s">
        <v>1397</v>
      </c>
    </row>
    <row r="50371" customFormat="false" ht="12.8" hidden="false" customHeight="false" outlineLevel="0" collapsed="false">
      <c r="B50371" s="0" t="s">
        <v>8</v>
      </c>
      <c r="C50371" s="0" t="s">
        <v>1398</v>
      </c>
      <c r="E50371" s="0" t="s">
        <v>1399</v>
      </c>
      <c r="F50371" s="0" t="s">
        <v>1400</v>
      </c>
    </row>
    <row r="50373" customFormat="false" ht="12.8" hidden="false" customHeight="false" outlineLevel="0" collapsed="false">
      <c r="A50373" s="0" t="s">
        <v>17672</v>
      </c>
      <c r="B50373" s="0" t="str">
        <f aca="false">HYPERLINK("https://lindat.mff.cuni.cz/services/teitok/pdtc10/index.php?action=vallex&amp;frame=v-w7110f2_ZU", "uklidňovat se (v-w7110f2_ZU)")</f>
        <v>uklidňovat se (v-w7110f2_ZU)</v>
      </c>
      <c r="E50373" s="0" t="str">
        <f aca="false">HYPERLINK("https://lindat.mff.cuni.cz/services/SynSemClass40/SynSemClass40.html?veclass=vec00733#vec00733-ces-cm00012", "vec00733")</f>
        <v>vec00733</v>
      </c>
      <c r="F50373" s="0" t="s">
        <v>17669</v>
      </c>
    </row>
    <row r="50374" customFormat="false" ht="12.8" hidden="false" customHeight="false" outlineLevel="0" collapsed="false">
      <c r="B50374" s="0" t="s">
        <v>1</v>
      </c>
      <c r="C50374" s="0" t="s">
        <v>10435</v>
      </c>
      <c r="E50374" s="0" t="s">
        <v>4943</v>
      </c>
      <c r="F50374" s="0" t="s">
        <v>17670</v>
      </c>
    </row>
    <row r="50376" customFormat="false" ht="12.8" hidden="false" customHeight="false" outlineLevel="0" collapsed="false">
      <c r="A50376" s="0" t="s">
        <v>17672</v>
      </c>
      <c r="B50376" s="0" t="str">
        <f aca="false">HYPERLINK("https://lindat.mff.cuni.cz/services/teitok/pdtc10/index.php?action=vallex&amp;frame=v-w7110f1", "uklidňovat se (v-w7110f1) - substituted with v-w7110f2_ZU")</f>
        <v>uklidňovat se (v-w7110f1) - substituted with v-w7110f2_ZU</v>
      </c>
    </row>
    <row r="50377" customFormat="false" ht="12.8" hidden="false" customHeight="false" outlineLevel="0" collapsed="false">
      <c r="B50377" s="0" t="s">
        <v>1</v>
      </c>
    </row>
    <row r="50379" customFormat="false" ht="12.8" hidden="false" customHeight="false" outlineLevel="0" collapsed="false">
      <c r="A50379" s="0" t="s">
        <v>17673</v>
      </c>
      <c r="B50379" s="0" t="str">
        <f aca="false">HYPERLINK("https://lindat.mff.cuni.cz/services/teitok/pdtc10/index.php?action=vallex&amp;frame=v-w7110hsa_413", "uklidňovat se (v-w7110hsa_413)")</f>
        <v>uklidňovat se (v-w7110hsa_413)</v>
      </c>
    </row>
    <row r="50380" customFormat="false" ht="12.8" hidden="false" customHeight="false" outlineLevel="0" collapsed="false">
      <c r="B50380" s="0" t="s">
        <v>1</v>
      </c>
    </row>
    <row r="50382" customFormat="false" ht="12.8" hidden="false" customHeight="false" outlineLevel="0" collapsed="false">
      <c r="A50382" s="0" t="s">
        <v>17674</v>
      </c>
      <c r="B50382" s="0" t="str">
        <f aca="false">HYPERLINK("https://lindat.mff.cuni.cz/services/teitok/pdtc10/index.php?action=vallex&amp;frame=v-w7111f1", "uklouznout (v-w7111f1)")</f>
        <v>uklouznout (v-w7111f1)</v>
      </c>
      <c r="E50382" s="0" t="str">
        <f aca="false">HYPERLINK("https://lindat.mff.cuni.cz/services/SynSemClass40/SynSemClass40.html?veclass=vec00734#vec00734-ces-cm00001", "vec00734")</f>
        <v>vec00734</v>
      </c>
      <c r="F50382" s="0" t="s">
        <v>17675</v>
      </c>
    </row>
    <row r="50383" customFormat="false" ht="12.8" hidden="false" customHeight="false" outlineLevel="0" collapsed="false">
      <c r="B50383" s="0" t="s">
        <v>1</v>
      </c>
      <c r="C50383" s="0" t="s">
        <v>1507</v>
      </c>
      <c r="E50383" s="0" t="s">
        <v>11</v>
      </c>
      <c r="F50383" s="0" t="s">
        <v>17676</v>
      </c>
    </row>
    <row r="50385" customFormat="false" ht="12.8" hidden="false" customHeight="false" outlineLevel="0" collapsed="false">
      <c r="A50385" s="0" t="s">
        <v>17677</v>
      </c>
      <c r="B50385" s="0" t="str">
        <f aca="false">HYPERLINK("https://lindat.mff.cuni.cz/services/teitok/pdtc10/index.php?action=vallex&amp;frame=v-w7102f1", "ukládat (v-w7102f1)")</f>
        <v>ukládat (v-w7102f1)</v>
      </c>
      <c r="E50385" s="0" t="str">
        <f aca="false">HYPERLINK("https://lindat.mff.cuni.cz/services/SynSemClass40/SynSemClass40.html?veclass=vec00743#vec00743-ces-cm00013", "vec00743")</f>
        <v>vec00743</v>
      </c>
      <c r="F50385" s="0" t="s">
        <v>10875</v>
      </c>
    </row>
    <row r="50386" customFormat="false" ht="12.8" hidden="false" customHeight="false" outlineLevel="0" collapsed="false">
      <c r="B50386" s="0" t="s">
        <v>1</v>
      </c>
      <c r="C50386" s="0" t="s">
        <v>10876</v>
      </c>
      <c r="E50386" s="0" t="s">
        <v>31</v>
      </c>
      <c r="F50386" s="0" t="s">
        <v>10877</v>
      </c>
    </row>
    <row r="50387" customFormat="false" ht="12.8" hidden="false" customHeight="false" outlineLevel="0" collapsed="false">
      <c r="B50387" s="0" t="s">
        <v>2811</v>
      </c>
      <c r="C50387" s="0" t="s">
        <v>10878</v>
      </c>
      <c r="E50387" s="0" t="s">
        <v>532</v>
      </c>
      <c r="F50387" s="0" t="s">
        <v>10879</v>
      </c>
    </row>
    <row r="50388" customFormat="false" ht="12.8" hidden="false" customHeight="false" outlineLevel="0" collapsed="false">
      <c r="B50388" s="0" t="s">
        <v>52</v>
      </c>
      <c r="C50388" s="0" t="s">
        <v>10880</v>
      </c>
      <c r="E50388" s="0" t="s">
        <v>53</v>
      </c>
      <c r="F50388" s="0" t="s">
        <v>10881</v>
      </c>
    </row>
    <row r="50389" customFormat="false" ht="12.8" hidden="false" customHeight="false" outlineLevel="0" collapsed="false">
      <c r="B50389" s="0" t="s">
        <v>3401</v>
      </c>
    </row>
    <row r="50391" customFormat="false" ht="12.8" hidden="false" customHeight="false" outlineLevel="0" collapsed="false">
      <c r="A50391" s="0" t="s">
        <v>17678</v>
      </c>
      <c r="B50391" s="0" t="str">
        <f aca="false">HYPERLINK("https://lindat.mff.cuni.cz/services/teitok/pdtc10/index.php?action=vallex&amp;frame=v-w7102f4", "ukládat (v-w7102f4)")</f>
        <v>ukládat (v-w7102f4)</v>
      </c>
    </row>
    <row r="50392" customFormat="false" ht="12.8" hidden="false" customHeight="false" outlineLevel="0" collapsed="false">
      <c r="B50392" s="0" t="s">
        <v>1</v>
      </c>
    </row>
    <row r="50393" customFormat="false" ht="12.8" hidden="false" customHeight="false" outlineLevel="0" collapsed="false">
      <c r="B50393" s="0" t="s">
        <v>886</v>
      </c>
    </row>
    <row r="50394" customFormat="false" ht="12.8" hidden="false" customHeight="false" outlineLevel="0" collapsed="false">
      <c r="B50394" s="0" t="s">
        <v>52</v>
      </c>
    </row>
    <row r="50396" customFormat="false" ht="12.8" hidden="false" customHeight="false" outlineLevel="0" collapsed="false">
      <c r="A50396" s="0" t="s">
        <v>17679</v>
      </c>
      <c r="B50396" s="0" t="str">
        <f aca="false">HYPERLINK("https://lindat.mff.cuni.cz/services/teitok/pdtc10/index.php?action=vallex&amp;frame=v-w7102f5", "ukládat (v-w7102f5)")</f>
        <v>ukládat (v-w7102f5)</v>
      </c>
      <c r="E50396" s="0" t="str">
        <f aca="false">HYPERLINK("https://lindat.mff.cuni.cz/services/SynSemClass40/SynSemClass40.html?veclass=vec00921#vec00921-ces-cm00006", "vec00921")</f>
        <v>vec00921</v>
      </c>
      <c r="F50396" s="0" t="s">
        <v>13123</v>
      </c>
    </row>
    <row r="50397" customFormat="false" ht="12.8" hidden="false" customHeight="false" outlineLevel="0" collapsed="false">
      <c r="B50397" s="0" t="s">
        <v>1</v>
      </c>
      <c r="C50397" s="0" t="s">
        <v>2578</v>
      </c>
      <c r="E50397" s="0" t="s">
        <v>31</v>
      </c>
      <c r="F50397" s="0" t="s">
        <v>2579</v>
      </c>
    </row>
    <row r="50398" customFormat="false" ht="12.8" hidden="false" customHeight="false" outlineLevel="0" collapsed="false">
      <c r="B50398" s="0" t="s">
        <v>8</v>
      </c>
      <c r="C50398" s="0" t="s">
        <v>827</v>
      </c>
      <c r="E50398" s="0" t="s">
        <v>3201</v>
      </c>
      <c r="F50398" s="0" t="s">
        <v>13124</v>
      </c>
    </row>
    <row r="50399" customFormat="false" ht="12.8" hidden="false" customHeight="false" outlineLevel="0" collapsed="false">
      <c r="B50399" s="0" t="s">
        <v>5</v>
      </c>
      <c r="E50399" s="0" t="s">
        <v>3254</v>
      </c>
      <c r="F50399" s="0" t="s">
        <v>3255</v>
      </c>
    </row>
    <row r="50401" customFormat="false" ht="12.8" hidden="false" customHeight="false" outlineLevel="0" collapsed="false">
      <c r="A50401" s="0" t="s">
        <v>17680</v>
      </c>
      <c r="B50401" s="0" t="str">
        <f aca="false">HYPERLINK("https://lindat.mff.cuni.cz/services/teitok/pdtc10/index.php?action=vallex&amp;frame=v-w7102f3", "ukládat (v-w7102f3)")</f>
        <v>ukládat (v-w7102f3)</v>
      </c>
      <c r="E50401" s="0" t="str">
        <f aca="false">HYPERLINK("https://lindat.mff.cuni.cz/services/SynSemClass40/SynSemClass40.html?veclass=vec00921#vec00921-ces-cm00005", "vec00921")</f>
        <v>vec00921</v>
      </c>
      <c r="F50401" s="0" t="s">
        <v>13123</v>
      </c>
    </row>
    <row r="50402" customFormat="false" ht="12.8" hidden="false" customHeight="false" outlineLevel="0" collapsed="false">
      <c r="B50402" s="0" t="s">
        <v>1</v>
      </c>
      <c r="C50402" s="0" t="s">
        <v>2578</v>
      </c>
      <c r="E50402" s="0" t="s">
        <v>31</v>
      </c>
      <c r="F50402" s="0" t="s">
        <v>2579</v>
      </c>
    </row>
    <row r="50403" customFormat="false" ht="12.8" hidden="false" customHeight="false" outlineLevel="0" collapsed="false">
      <c r="B50403" s="0" t="s">
        <v>8</v>
      </c>
      <c r="C50403" s="0" t="s">
        <v>827</v>
      </c>
      <c r="E50403" s="0" t="s">
        <v>3201</v>
      </c>
      <c r="F50403" s="0" t="s">
        <v>13124</v>
      </c>
    </row>
    <row r="50404" customFormat="false" ht="12.8" hidden="false" customHeight="false" outlineLevel="0" collapsed="false">
      <c r="B50404" s="0" t="s">
        <v>164</v>
      </c>
      <c r="E50404" s="0" t="s">
        <v>370</v>
      </c>
      <c r="F50404" s="0" t="s">
        <v>3041</v>
      </c>
    </row>
    <row r="50406" customFormat="false" ht="12.8" hidden="false" customHeight="false" outlineLevel="0" collapsed="false">
      <c r="A50406" s="0" t="s">
        <v>17681</v>
      </c>
      <c r="B50406" s="0" t="str">
        <f aca="false">HYPERLINK("https://lindat.mff.cuni.cz/services/teitok/pdtc10/index.php?action=vallex&amp;frame=v-w7102f6_ZU", "ukládat (v-w7102f6_ZU)")</f>
        <v>ukládat (v-w7102f6_ZU)</v>
      </c>
    </row>
    <row r="50407" customFormat="false" ht="12.8" hidden="false" customHeight="false" outlineLevel="0" collapsed="false">
      <c r="B50407" s="0" t="s">
        <v>1</v>
      </c>
    </row>
    <row r="50408" customFormat="false" ht="12.8" hidden="false" customHeight="false" outlineLevel="0" collapsed="false">
      <c r="B50408" s="0" t="s">
        <v>17682</v>
      </c>
    </row>
    <row r="50409" customFormat="false" ht="12.8" hidden="false" customHeight="false" outlineLevel="0" collapsed="false">
      <c r="B50409" s="0" t="s">
        <v>52</v>
      </c>
    </row>
    <row r="50411" customFormat="false" ht="12.8" hidden="false" customHeight="false" outlineLevel="0" collapsed="false">
      <c r="A50411" s="0" t="s">
        <v>17681</v>
      </c>
      <c r="B50411" s="0" t="str">
        <f aca="false">HYPERLINK("https://lindat.mff.cuni.cz/services/teitok/pdtc10/index.php?action=vallex&amp;frame=v-w7102f2", "ukládat (v-w7102f2) - substituted with v-w7102f6_ZU")</f>
        <v>ukládat (v-w7102f2) - substituted with v-w7102f6_ZU</v>
      </c>
    </row>
    <row r="50412" customFormat="false" ht="12.8" hidden="false" customHeight="false" outlineLevel="0" collapsed="false">
      <c r="B50412" s="0" t="s">
        <v>1</v>
      </c>
    </row>
    <row r="50413" customFormat="false" ht="12.8" hidden="false" customHeight="false" outlineLevel="0" collapsed="false">
      <c r="B50413" s="0" t="s">
        <v>17682</v>
      </c>
    </row>
    <row r="50414" customFormat="false" ht="12.8" hidden="false" customHeight="false" outlineLevel="0" collapsed="false">
      <c r="B50414" s="0" t="s">
        <v>52</v>
      </c>
    </row>
    <row r="50416" customFormat="false" ht="12.8" hidden="false" customHeight="false" outlineLevel="0" collapsed="false">
      <c r="A50416" s="0" t="s">
        <v>17681</v>
      </c>
      <c r="B50416" s="0" t="str">
        <f aca="false">HYPERLINK("https://lindat.mff.cuni.cz/services/teitok/pdtc10/index.php?action=vallex&amp;frame=v-w7102hsa_1250", "ukládat (v-w7102hsa_1250) - substituted with v-w7102f6_ZU")</f>
        <v>ukládat (v-w7102hsa_1250) - substituted with v-w7102f6_ZU</v>
      </c>
    </row>
    <row r="50417" customFormat="false" ht="12.8" hidden="false" customHeight="false" outlineLevel="0" collapsed="false">
      <c r="B50417" s="0" t="s">
        <v>1</v>
      </c>
    </row>
    <row r="50418" customFormat="false" ht="12.8" hidden="false" customHeight="false" outlineLevel="0" collapsed="false">
      <c r="B50418" s="0" t="s">
        <v>17682</v>
      </c>
    </row>
    <row r="50419" customFormat="false" ht="12.8" hidden="false" customHeight="false" outlineLevel="0" collapsed="false">
      <c r="B50419" s="0" t="s">
        <v>52</v>
      </c>
    </row>
    <row r="50421" customFormat="false" ht="12.8" hidden="false" customHeight="false" outlineLevel="0" collapsed="false">
      <c r="A50421" s="0" t="s">
        <v>17683</v>
      </c>
      <c r="B50421" s="0" t="str">
        <f aca="false">HYPERLINK("https://lindat.mff.cuni.cz/services/teitok/pdtc10/index.php?action=vallex&amp;frame=v-w7103f1", "ukládat se (v-w7103f1)")</f>
        <v>ukládat se (v-w7103f1)</v>
      </c>
    </row>
    <row r="50422" customFormat="false" ht="12.8" hidden="false" customHeight="false" outlineLevel="0" collapsed="false">
      <c r="B50422" s="0" t="s">
        <v>1</v>
      </c>
    </row>
    <row r="50423" customFormat="false" ht="12.8" hidden="false" customHeight="false" outlineLevel="0" collapsed="false">
      <c r="B50423" s="0" t="s">
        <v>5</v>
      </c>
    </row>
    <row r="50425" customFormat="false" ht="12.8" hidden="false" customHeight="false" outlineLevel="0" collapsed="false">
      <c r="A50425" s="0" t="s">
        <v>17684</v>
      </c>
      <c r="B50425" s="0" t="str">
        <f aca="false">HYPERLINK("https://lindat.mff.cuni.cz/services/teitok/pdtc10/index.php?action=vallex&amp;frame=v-w10258f2", "uklízet (v-w10258f2)")</f>
        <v>uklízet (v-w10258f2)</v>
      </c>
      <c r="E50425" s="0" t="str">
        <f aca="false">HYPERLINK("https://lindat.mff.cuni.cz/services/SynSemClass40/SynSemClass40.html?veclass=vec00840#vec00840-ces-cm00002", "vec00840")</f>
        <v>vec00840</v>
      </c>
      <c r="F50425" s="0" t="s">
        <v>6937</v>
      </c>
    </row>
    <row r="50426" customFormat="false" ht="12.8" hidden="false" customHeight="false" outlineLevel="0" collapsed="false">
      <c r="B50426" s="0" t="s">
        <v>1</v>
      </c>
      <c r="C50426" s="0" t="s">
        <v>1752</v>
      </c>
      <c r="E50426" s="0" t="s">
        <v>5690</v>
      </c>
      <c r="F50426" s="0" t="s">
        <v>6938</v>
      </c>
    </row>
    <row r="50427" customFormat="false" ht="12.8" hidden="false" customHeight="false" outlineLevel="0" collapsed="false">
      <c r="B50427" s="0" t="s">
        <v>8</v>
      </c>
      <c r="C50427" s="0" t="s">
        <v>639</v>
      </c>
      <c r="E50427" s="0" t="s">
        <v>5693</v>
      </c>
      <c r="F50427" s="0" t="s">
        <v>6940</v>
      </c>
    </row>
    <row r="50429" customFormat="false" ht="12.8" hidden="false" customHeight="false" outlineLevel="0" collapsed="false">
      <c r="A50429" s="0" t="s">
        <v>17685</v>
      </c>
      <c r="B50429" s="0" t="str">
        <f aca="false">HYPERLINK("https://lindat.mff.cuni.cz/services/teitok/pdtc10/index.php?action=vallex&amp;frame=v-w10398f2", "ukojit (v-w10398f2)")</f>
        <v>ukojit (v-w10398f2)</v>
      </c>
    </row>
    <row r="50430" customFormat="false" ht="12.8" hidden="false" customHeight="false" outlineLevel="0" collapsed="false">
      <c r="B50430" s="0" t="s">
        <v>1</v>
      </c>
    </row>
    <row r="50431" customFormat="false" ht="12.8" hidden="false" customHeight="false" outlineLevel="0" collapsed="false">
      <c r="B50431" s="0" t="s">
        <v>8</v>
      </c>
    </row>
    <row r="50433" customFormat="false" ht="12.8" hidden="false" customHeight="false" outlineLevel="0" collapsed="false">
      <c r="A50433" s="0" t="s">
        <v>17686</v>
      </c>
      <c r="B50433" s="0" t="str">
        <f aca="false">HYPERLINK("https://lindat.mff.cuni.cz/services/teitok/pdtc10/index.php?action=vallex&amp;frame=v-w10671f2", "ukolébat (v-w10671f2)")</f>
        <v>ukolébat (v-w10671f2)</v>
      </c>
    </row>
    <row r="50434" customFormat="false" ht="12.8" hidden="false" customHeight="false" outlineLevel="0" collapsed="false">
      <c r="B50434" s="0" t="s">
        <v>1</v>
      </c>
    </row>
    <row r="50435" customFormat="false" ht="12.8" hidden="false" customHeight="false" outlineLevel="0" collapsed="false">
      <c r="B50435" s="0" t="s">
        <v>8</v>
      </c>
    </row>
    <row r="50437" customFormat="false" ht="12.8" hidden="false" customHeight="false" outlineLevel="0" collapsed="false">
      <c r="A50437" s="0" t="s">
        <v>17687</v>
      </c>
      <c r="B50437" s="0" t="str">
        <f aca="false">HYPERLINK("https://lindat.mff.cuni.cz/services/teitok/pdtc10/index.php?action=vallex&amp;frame=v-w10779f2", "ukonejšit (v-w10779f2)")</f>
        <v>ukonejšit (v-w10779f2)</v>
      </c>
    </row>
    <row r="50438" customFormat="false" ht="12.8" hidden="false" customHeight="false" outlineLevel="0" collapsed="false">
      <c r="B50438" s="0" t="s">
        <v>1</v>
      </c>
    </row>
    <row r="50439" customFormat="false" ht="12.8" hidden="false" customHeight="false" outlineLevel="0" collapsed="false">
      <c r="B50439" s="0" t="s">
        <v>8</v>
      </c>
    </row>
    <row r="50441" customFormat="false" ht="12.8" hidden="false" customHeight="false" outlineLevel="0" collapsed="false">
      <c r="A50441" s="0" t="s">
        <v>17688</v>
      </c>
      <c r="B50441" s="0" t="str">
        <f aca="false">HYPERLINK("https://lindat.mff.cuni.cz/services/teitok/pdtc10/index.php?action=vallex&amp;frame=v-w7116f1", "ukončit (v-w7116f1)")</f>
        <v>ukončit (v-w7116f1)</v>
      </c>
      <c r="E50441" s="0" t="str">
        <f aca="false">HYPERLINK("https://lindat.mff.cuni.cz/services/SynSemClass40/SynSemClass40.html?veclass=vec00213#vec00213-ces-cm00017", "vec00213")</f>
        <v>vec00213</v>
      </c>
      <c r="F50441" s="0" t="s">
        <v>2399</v>
      </c>
    </row>
    <row r="50442" customFormat="false" ht="12.8" hidden="false" customHeight="false" outlineLevel="0" collapsed="false">
      <c r="B50442" s="0" t="s">
        <v>1</v>
      </c>
      <c r="C50442" s="0" t="s">
        <v>2400</v>
      </c>
      <c r="E50442" s="0" t="s">
        <v>31</v>
      </c>
      <c r="F50442" s="0" t="s">
        <v>2401</v>
      </c>
    </row>
    <row r="50443" customFormat="false" ht="12.8" hidden="false" customHeight="false" outlineLevel="0" collapsed="false">
      <c r="B50443" s="0" t="s">
        <v>8</v>
      </c>
      <c r="C50443" s="0" t="s">
        <v>2402</v>
      </c>
      <c r="E50443" s="0" t="s">
        <v>2403</v>
      </c>
      <c r="F50443" s="0" t="s">
        <v>2404</v>
      </c>
    </row>
    <row r="50445" customFormat="false" ht="12.8" hidden="false" customHeight="false" outlineLevel="0" collapsed="false">
      <c r="A50445" s="0" t="s">
        <v>17689</v>
      </c>
      <c r="B50445" s="0" t="str">
        <f aca="false">HYPERLINK("https://lindat.mff.cuni.cz/services/teitok/pdtc10/index.php?action=vallex&amp;frame=v-w7116f3_ZU", "ukončit (v-w7116f3_ZU)")</f>
        <v>ukončit (v-w7116f3_ZU)</v>
      </c>
      <c r="E50445" s="0" t="str">
        <f aca="false">HYPERLINK("https://lindat.mff.cuni.cz/services/SynSemClass40/SynSemClass40.html?veclass=vec00309#vec00309-ces-cm00024", "vec00309")</f>
        <v>vec00309</v>
      </c>
      <c r="F50445" s="0" t="s">
        <v>1081</v>
      </c>
      <c r="H50445" s="0" t="str">
        <f aca="false">HYPERLINK("https://lindat.mff.cuni.cz/services/SynSemClass40/SynSemClass40.html?veclass=vec00741#vec00741-ces-cm00014", "vec00741")</f>
        <v>vec00741</v>
      </c>
      <c r="I50445" s="0" t="s">
        <v>5600</v>
      </c>
    </row>
    <row r="50446" customFormat="false" ht="12.8" hidden="false" customHeight="false" outlineLevel="0" collapsed="false">
      <c r="B50446" s="0" t="s">
        <v>1</v>
      </c>
      <c r="C50446" s="0" t="s">
        <v>5601</v>
      </c>
      <c r="E50446" s="0" t="s">
        <v>1084</v>
      </c>
      <c r="F50446" s="0" t="s">
        <v>1085</v>
      </c>
      <c r="H50446" s="0" t="s">
        <v>957</v>
      </c>
      <c r="I50446" s="0" t="s">
        <v>5602</v>
      </c>
    </row>
    <row r="50447" customFormat="false" ht="12.8" hidden="false" customHeight="false" outlineLevel="0" collapsed="false">
      <c r="B50447" s="0" t="s">
        <v>390</v>
      </c>
      <c r="H50447" s="0" t="s">
        <v>2403</v>
      </c>
      <c r="I50447" s="0" t="s">
        <v>15933</v>
      </c>
    </row>
    <row r="50448" customFormat="false" ht="12.8" hidden="false" customHeight="false" outlineLevel="0" collapsed="false">
      <c r="B50448" s="0" t="s">
        <v>1773</v>
      </c>
      <c r="C50448" s="0" t="s">
        <v>5603</v>
      </c>
      <c r="E50448" s="0" t="s">
        <v>5604</v>
      </c>
      <c r="F50448" s="0" t="s">
        <v>5605</v>
      </c>
      <c r="H50448" s="0" t="s">
        <v>17690</v>
      </c>
      <c r="I50448" s="0" t="s">
        <v>17691</v>
      </c>
    </row>
    <row r="50449" customFormat="false" ht="12.8" hidden="false" customHeight="false" outlineLevel="0" collapsed="false">
      <c r="B50449" s="0" t="s">
        <v>642</v>
      </c>
      <c r="C50449" s="0" t="s">
        <v>5608</v>
      </c>
      <c r="E50449" s="0" t="s">
        <v>5604</v>
      </c>
      <c r="F50449" s="0" t="s">
        <v>5605</v>
      </c>
      <c r="H50449" s="0" t="s">
        <v>17690</v>
      </c>
      <c r="I50449" s="0" t="s">
        <v>17691</v>
      </c>
    </row>
    <row r="50450" customFormat="false" ht="12.8" hidden="false" customHeight="false" outlineLevel="0" collapsed="false">
      <c r="B50450" s="0" t="s">
        <v>648</v>
      </c>
      <c r="C50450" s="0" t="s">
        <v>5609</v>
      </c>
      <c r="E50450" s="0" t="s">
        <v>5604</v>
      </c>
      <c r="F50450" s="0" t="s">
        <v>5605</v>
      </c>
      <c r="H50450" s="0" t="s">
        <v>17690</v>
      </c>
      <c r="I50450" s="0" t="s">
        <v>17691</v>
      </c>
    </row>
    <row r="50452" customFormat="false" ht="12.8" hidden="false" customHeight="false" outlineLevel="0" collapsed="false">
      <c r="A50452" s="0" t="s">
        <v>17689</v>
      </c>
      <c r="B50452" s="0" t="str">
        <f aca="false">HYPERLINK("https://lindat.mff.cuni.cz/services/teitok/pdtc10/index.php?action=vallex&amp;frame=v-w7116hsa_380", "ukončit (v-w7116hsa_380) - substituted with v-w7116f3_ZU")</f>
        <v>ukončit (v-w7116hsa_380) - substituted with v-w7116f3_ZU</v>
      </c>
    </row>
    <row r="50453" customFormat="false" ht="12.8" hidden="false" customHeight="false" outlineLevel="0" collapsed="false">
      <c r="B50453" s="0" t="s">
        <v>1</v>
      </c>
    </row>
    <row r="50454" customFormat="false" ht="12.8" hidden="false" customHeight="false" outlineLevel="0" collapsed="false">
      <c r="B50454" s="0" t="s">
        <v>390</v>
      </c>
    </row>
    <row r="50455" customFormat="false" ht="12.8" hidden="false" customHeight="false" outlineLevel="0" collapsed="false">
      <c r="B50455" s="0" t="s">
        <v>1773</v>
      </c>
    </row>
    <row r="50456" customFormat="false" ht="12.8" hidden="false" customHeight="false" outlineLevel="0" collapsed="false">
      <c r="B50456" s="0" t="s">
        <v>642</v>
      </c>
    </row>
    <row r="50457" customFormat="false" ht="12.8" hidden="false" customHeight="false" outlineLevel="0" collapsed="false">
      <c r="B50457" s="0" t="s">
        <v>648</v>
      </c>
    </row>
    <row r="50459" customFormat="false" ht="12.8" hidden="false" customHeight="false" outlineLevel="0" collapsed="false">
      <c r="A50459" s="0" t="s">
        <v>17692</v>
      </c>
      <c r="B50459" s="0" t="str">
        <f aca="false">HYPERLINK("https://lindat.mff.cuni.cz/services/teitok/pdtc10/index.php?action=vallex&amp;frame=v-w7116f2_ZU", "ukončit (v-w7116f2_ZU)")</f>
        <v>ukončit (v-w7116f2_ZU)</v>
      </c>
    </row>
    <row r="50460" customFormat="false" ht="12.8" hidden="false" customHeight="false" outlineLevel="0" collapsed="false">
      <c r="B50460" s="0" t="s">
        <v>1</v>
      </c>
    </row>
    <row r="50461" customFormat="false" ht="12.8" hidden="false" customHeight="false" outlineLevel="0" collapsed="false">
      <c r="B50461" s="0" t="s">
        <v>8</v>
      </c>
    </row>
    <row r="50462" customFormat="false" ht="12.8" hidden="false" customHeight="false" outlineLevel="0" collapsed="false">
      <c r="B50462" s="0" t="s">
        <v>1262</v>
      </c>
    </row>
    <row r="50464" customFormat="false" ht="12.8" hidden="false" customHeight="false" outlineLevel="0" collapsed="false">
      <c r="A50464" s="0" t="s">
        <v>17693</v>
      </c>
      <c r="B50464" s="0" t="str">
        <f aca="false">HYPERLINK("https://lindat.mff.cuni.cz/services/teitok/pdtc10/index.php?action=vallex&amp;frame=v-w7117f1", "ukončovat (v-w7117f1)")</f>
        <v>ukončovat (v-w7117f1)</v>
      </c>
      <c r="E50464" s="0" t="str">
        <f aca="false">HYPERLINK("https://lindat.mff.cuni.cz/services/SynSemClass40/SynSemClass40.html?veclass=vec00213#vec00213-ces-cm00030", "vec00213")</f>
        <v>vec00213</v>
      </c>
      <c r="F50464" s="0" t="s">
        <v>2399</v>
      </c>
    </row>
    <row r="50465" customFormat="false" ht="12.8" hidden="false" customHeight="false" outlineLevel="0" collapsed="false">
      <c r="B50465" s="0" t="s">
        <v>1</v>
      </c>
      <c r="C50465" s="0" t="s">
        <v>2400</v>
      </c>
      <c r="E50465" s="0" t="s">
        <v>31</v>
      </c>
      <c r="F50465" s="0" t="s">
        <v>2401</v>
      </c>
    </row>
    <row r="50466" customFormat="false" ht="12.8" hidden="false" customHeight="false" outlineLevel="0" collapsed="false">
      <c r="B50466" s="0" t="s">
        <v>8</v>
      </c>
      <c r="C50466" s="0" t="s">
        <v>2402</v>
      </c>
      <c r="E50466" s="0" t="s">
        <v>2403</v>
      </c>
      <c r="F50466" s="0" t="s">
        <v>2404</v>
      </c>
    </row>
    <row r="50468" customFormat="false" ht="12.8" hidden="false" customHeight="false" outlineLevel="0" collapsed="false">
      <c r="A50468" s="0" t="s">
        <v>17694</v>
      </c>
      <c r="B50468" s="0" t="str">
        <f aca="false">HYPERLINK("https://lindat.mff.cuni.cz/services/teitok/pdtc10/index.php?action=vallex&amp;frame=v-whsa_1491hsa_1492", "ukopnout (v-whsa_1491hsa_1492)")</f>
        <v>ukopnout (v-whsa_1491hsa_1492)</v>
      </c>
    </row>
    <row r="50469" customFormat="false" ht="12.8" hidden="false" customHeight="false" outlineLevel="0" collapsed="false">
      <c r="B50469" s="0" t="s">
        <v>1</v>
      </c>
    </row>
    <row r="50470" customFormat="false" ht="12.8" hidden="false" customHeight="false" outlineLevel="0" collapsed="false">
      <c r="B50470" s="0" t="s">
        <v>8</v>
      </c>
    </row>
    <row r="50472" customFormat="false" ht="12.8" hidden="false" customHeight="false" outlineLevel="0" collapsed="false">
      <c r="A50472" s="0" t="s">
        <v>17695</v>
      </c>
      <c r="B50472" s="0" t="str">
        <f aca="false">HYPERLINK("https://lindat.mff.cuni.cz/services/teitok/pdtc10/index.php?action=vallex&amp;frame=v-whsa_194hsa_195", "ukotvit (v-whsa_194hsa_195)")</f>
        <v>ukotvit (v-whsa_194hsa_195)</v>
      </c>
      <c r="E50472" s="0" t="str">
        <f aca="false">HYPERLINK("https://lindat.mff.cuni.cz/services/SynSemClass40/SynSemClass40.html?veclass=vec01141#vec01141-ces-cm00002", "vec01141")</f>
        <v>vec01141</v>
      </c>
      <c r="F50472" s="0" t="s">
        <v>17696</v>
      </c>
    </row>
    <row r="50473" customFormat="false" ht="12.8" hidden="false" customHeight="false" outlineLevel="0" collapsed="false">
      <c r="B50473" s="0" t="s">
        <v>1</v>
      </c>
      <c r="C50473" s="0" t="s">
        <v>459</v>
      </c>
      <c r="E50473" s="0" t="s">
        <v>11</v>
      </c>
      <c r="F50473" s="0" t="s">
        <v>1486</v>
      </c>
    </row>
    <row r="50474" customFormat="false" ht="12.8" hidden="false" customHeight="false" outlineLevel="0" collapsed="false">
      <c r="B50474" s="0" t="s">
        <v>8</v>
      </c>
      <c r="C50474" s="0" t="s">
        <v>800</v>
      </c>
      <c r="E50474" s="0" t="s">
        <v>594</v>
      </c>
      <c r="F50474" s="0" t="s">
        <v>17697</v>
      </c>
    </row>
    <row r="50475" customFormat="false" ht="12.8" hidden="false" customHeight="false" outlineLevel="0" collapsed="false">
      <c r="B50475" s="0" t="s">
        <v>5</v>
      </c>
      <c r="C50475" s="0" t="s">
        <v>6068</v>
      </c>
      <c r="E50475" s="0" t="s">
        <v>17698</v>
      </c>
      <c r="F50475" s="0" t="s">
        <v>17699</v>
      </c>
    </row>
    <row r="50477" customFormat="false" ht="12.8" hidden="false" customHeight="false" outlineLevel="0" collapsed="false">
      <c r="A50477" s="0" t="s">
        <v>17700</v>
      </c>
      <c r="B50477" s="0" t="str">
        <f aca="false">HYPERLINK("https://lindat.mff.cuni.cz/services/teitok/pdtc10/index.php?action=vallex&amp;frame=v-w10214f2", "ukousnout (v-w10214f2)")</f>
        <v>ukousnout (v-w10214f2)</v>
      </c>
      <c r="E50477" s="0" t="str">
        <f aca="false">HYPERLINK("https://lindat.mff.cuni.cz/services/SynSemClass40/SynSemClass40.html?veclass=vec00708#vec00708-ces-cm00010", "vec00708")</f>
        <v>vec00708</v>
      </c>
      <c r="F50477" s="0" t="s">
        <v>15693</v>
      </c>
    </row>
    <row r="50478" customFormat="false" ht="12.8" hidden="false" customHeight="false" outlineLevel="0" collapsed="false">
      <c r="B50478" s="0" t="s">
        <v>1</v>
      </c>
      <c r="C50478" s="0" t="s">
        <v>333</v>
      </c>
      <c r="E50478" s="0" t="s">
        <v>92</v>
      </c>
      <c r="F50478" s="0" t="s">
        <v>15695</v>
      </c>
    </row>
    <row r="50479" customFormat="false" ht="12.8" hidden="false" customHeight="false" outlineLevel="0" collapsed="false">
      <c r="B50479" s="0" t="s">
        <v>8</v>
      </c>
      <c r="C50479" s="0" t="s">
        <v>1929</v>
      </c>
      <c r="E50479" s="0" t="s">
        <v>95</v>
      </c>
      <c r="F50479" s="0" t="s">
        <v>15696</v>
      </c>
    </row>
    <row r="50480" customFormat="false" ht="12.8" hidden="false" customHeight="false" outlineLevel="0" collapsed="false">
      <c r="B50480" s="0" t="s">
        <v>631</v>
      </c>
      <c r="C50480" s="0" t="s">
        <v>17701</v>
      </c>
      <c r="E50480" s="0" t="s">
        <v>4096</v>
      </c>
      <c r="F50480" s="0" t="s">
        <v>17702</v>
      </c>
    </row>
    <row r="50482" customFormat="false" ht="12.8" hidden="false" customHeight="false" outlineLevel="0" collapsed="false">
      <c r="A50482" s="0" t="s">
        <v>17703</v>
      </c>
      <c r="B50482" s="0" t="str">
        <f aca="false">HYPERLINK("https://lindat.mff.cuni.cz/services/teitok/pdtc10/index.php?action=vallex&amp;frame=v-w10214f3_MM", "ukousnout (v-w10214f3_MM)")</f>
        <v>ukousnout (v-w10214f3_MM)</v>
      </c>
    </row>
    <row r="50483" customFormat="false" ht="12.8" hidden="false" customHeight="false" outlineLevel="0" collapsed="false">
      <c r="B50483" s="0" t="s">
        <v>1</v>
      </c>
    </row>
    <row r="50484" customFormat="false" ht="12.8" hidden="false" customHeight="false" outlineLevel="0" collapsed="false">
      <c r="B50484" s="0" t="s">
        <v>8</v>
      </c>
    </row>
    <row r="50486" customFormat="false" ht="12.8" hidden="false" customHeight="false" outlineLevel="0" collapsed="false">
      <c r="A50486" s="0" t="s">
        <v>17704</v>
      </c>
      <c r="B50486" s="0" t="str">
        <f aca="false">HYPERLINK("https://lindat.mff.cuni.cz/services/teitok/pdtc10/index.php?action=vallex&amp;frame=v-w10695f2", "ukout (v-w10695f2)")</f>
        <v>ukout (v-w10695f2)</v>
      </c>
    </row>
    <row r="50487" customFormat="false" ht="12.8" hidden="false" customHeight="false" outlineLevel="0" collapsed="false">
      <c r="B50487" s="0" t="s">
        <v>1</v>
      </c>
    </row>
    <row r="50488" customFormat="false" ht="12.8" hidden="false" customHeight="false" outlineLevel="0" collapsed="false">
      <c r="B50488" s="0" t="s">
        <v>8</v>
      </c>
    </row>
    <row r="50490" customFormat="false" ht="12.8" hidden="false" customHeight="false" outlineLevel="0" collapsed="false">
      <c r="A50490" s="0" t="s">
        <v>17705</v>
      </c>
      <c r="B50490" s="0" t="str">
        <f aca="false">HYPERLINK("https://lindat.mff.cuni.cz/services/teitok/pdtc10/index.php?action=vallex&amp;frame=v-w10490f2", "ukovat (v-w10490f2)")</f>
        <v>ukovat (v-w10490f2)</v>
      </c>
      <c r="E50490" s="0" t="str">
        <f aca="false">HYPERLINK("https://lindat.mff.cuni.cz/services/SynSemClass40/SynSemClass40.html?veclass=vec00040#vec00040-ces-cm00050", "vec00040")</f>
        <v>vec00040</v>
      </c>
      <c r="F50490" s="0" t="s">
        <v>5506</v>
      </c>
    </row>
    <row r="50491" customFormat="false" ht="12.8" hidden="false" customHeight="false" outlineLevel="0" collapsed="false">
      <c r="B50491" s="0" t="s">
        <v>1</v>
      </c>
      <c r="C50491" s="0" t="s">
        <v>17706</v>
      </c>
      <c r="E50491" s="0" t="s">
        <v>2619</v>
      </c>
      <c r="F50491" s="0" t="s">
        <v>5509</v>
      </c>
    </row>
    <row r="50492" customFormat="false" ht="12.8" hidden="false" customHeight="false" outlineLevel="0" collapsed="false">
      <c r="B50492" s="0" t="s">
        <v>8</v>
      </c>
      <c r="C50492" s="0" t="s">
        <v>17707</v>
      </c>
      <c r="E50492" s="0" t="s">
        <v>771</v>
      </c>
      <c r="F50492" s="0" t="s">
        <v>5512</v>
      </c>
    </row>
    <row r="50494" customFormat="false" ht="12.8" hidden="false" customHeight="false" outlineLevel="0" collapsed="false">
      <c r="A50494" s="0" t="s">
        <v>17708</v>
      </c>
      <c r="B50494" s="0" t="str">
        <f aca="false">HYPERLINK("https://lindat.mff.cuni.cz/services/teitok/pdtc10/index.php?action=vallex&amp;frame=v-w7113f1", "ukočírovat (v-w7113f1)")</f>
        <v>ukočírovat (v-w7113f1)</v>
      </c>
    </row>
    <row r="50495" customFormat="false" ht="12.8" hidden="false" customHeight="false" outlineLevel="0" collapsed="false">
      <c r="B50495" s="0" t="s">
        <v>1</v>
      </c>
    </row>
    <row r="50496" customFormat="false" ht="12.8" hidden="false" customHeight="false" outlineLevel="0" collapsed="false">
      <c r="B50496" s="0" t="s">
        <v>8</v>
      </c>
    </row>
    <row r="50498" customFormat="false" ht="12.8" hidden="false" customHeight="false" outlineLevel="0" collapsed="false">
      <c r="A50498" s="0" t="s">
        <v>17709</v>
      </c>
      <c r="B50498" s="0" t="str">
        <f aca="false">HYPERLINK("https://lindat.mff.cuni.cz/services/teitok/pdtc10/index.php?action=vallex&amp;frame=v-w11167f2", "ukořistit (v-w11167f2)")</f>
        <v>ukořistit (v-w11167f2)</v>
      </c>
      <c r="E50498" s="0" t="str">
        <f aca="false">HYPERLINK("https://lindat.mff.cuni.cz/services/SynSemClass40/SynSemClass40.html?veclass=vec00613#vec00613-ces-cm00186", "vec00613")</f>
        <v>vec00613</v>
      </c>
      <c r="F50498" s="0" t="s">
        <v>604</v>
      </c>
      <c r="H50498" s="0" t="str">
        <f aca="false">HYPERLINK("https://lindat.mff.cuni.cz/services/SynSemClass40/SynSemClass40.html?veclass=vec00648#vec00648-ces-cm00040", "vec00648")</f>
        <v>vec00648</v>
      </c>
      <c r="I50498" s="0" t="s">
        <v>8797</v>
      </c>
      <c r="K50498" s="0" t="str">
        <f aca="false">HYPERLINK("https://lindat.mff.cuni.cz/services/SynSemClass40/SynSemClass40.html?veclass=vec00704#vec00704-ces-cm00070", "vec00704")</f>
        <v>vec00704</v>
      </c>
      <c r="L50498" s="0" t="s">
        <v>588</v>
      </c>
    </row>
    <row r="50499" customFormat="false" ht="12.8" hidden="false" customHeight="false" outlineLevel="0" collapsed="false">
      <c r="B50499" s="0" t="s">
        <v>1</v>
      </c>
      <c r="C50499" s="0" t="s">
        <v>17710</v>
      </c>
      <c r="E50499" s="0" t="s">
        <v>31</v>
      </c>
      <c r="F50499" s="0" t="s">
        <v>608</v>
      </c>
      <c r="H50499" s="0" t="s">
        <v>31</v>
      </c>
      <c r="I50499" s="0" t="s">
        <v>8798</v>
      </c>
      <c r="K50499" s="0" t="s">
        <v>31</v>
      </c>
      <c r="L50499" s="0" t="s">
        <v>591</v>
      </c>
    </row>
    <row r="50500" customFormat="false" ht="12.8" hidden="false" customHeight="false" outlineLevel="0" collapsed="false">
      <c r="B50500" s="0" t="s">
        <v>8</v>
      </c>
      <c r="C50500" s="0" t="s">
        <v>1892</v>
      </c>
      <c r="E50500" s="0" t="s">
        <v>384</v>
      </c>
      <c r="F50500" s="0" t="s">
        <v>612</v>
      </c>
      <c r="H50500" s="0" t="s">
        <v>110</v>
      </c>
      <c r="I50500" s="0" t="s">
        <v>8800</v>
      </c>
      <c r="K50500" s="0" t="s">
        <v>594</v>
      </c>
      <c r="L50500" s="0" t="s">
        <v>595</v>
      </c>
    </row>
    <row r="50502" customFormat="false" ht="12.8" hidden="false" customHeight="false" outlineLevel="0" collapsed="false">
      <c r="A50502" s="0" t="s">
        <v>17711</v>
      </c>
      <c r="B50502" s="0" t="str">
        <f aca="false">HYPERLINK("https://lindat.mff.cuni.cz/services/teitok/pdtc10/index.php?action=vallex&amp;frame=v-w7120f1", "ukradnout (v-w7120f1)")</f>
        <v>ukradnout (v-w7120f1)</v>
      </c>
      <c r="E50502" s="0" t="str">
        <f aca="false">HYPERLINK("https://lindat.mff.cuni.cz/services/SynSemClass40/SynSemClass40.html?veclass=vec00704#vec00704-ces-cm00063", "vec00704")</f>
        <v>vec00704</v>
      </c>
      <c r="F50502" s="0" t="s">
        <v>588</v>
      </c>
      <c r="H50502" s="0" t="str">
        <f aca="false">HYPERLINK("https://lindat.mff.cuni.cz/services/SynSemClass40/SynSemClass40.html?veclass=vec01425#vec01425-ces-cm00061", "vec01425")</f>
        <v>vec01425</v>
      </c>
      <c r="I50502" s="0" t="s">
        <v>589</v>
      </c>
    </row>
    <row r="50503" customFormat="false" ht="12.8" hidden="false" customHeight="false" outlineLevel="0" collapsed="false">
      <c r="B50503" s="0" t="s">
        <v>1</v>
      </c>
      <c r="C50503" s="0" t="s">
        <v>590</v>
      </c>
      <c r="E50503" s="0" t="s">
        <v>31</v>
      </c>
      <c r="F50503" s="0" t="s">
        <v>591</v>
      </c>
      <c r="H50503" s="0" t="s">
        <v>31</v>
      </c>
      <c r="I50503" s="0" t="s">
        <v>592</v>
      </c>
    </row>
    <row r="50504" customFormat="false" ht="12.8" hidden="false" customHeight="false" outlineLevel="0" collapsed="false">
      <c r="B50504" s="0" t="s">
        <v>8</v>
      </c>
      <c r="C50504" s="0" t="s">
        <v>593</v>
      </c>
      <c r="E50504" s="0" t="s">
        <v>594</v>
      </c>
      <c r="F50504" s="0" t="s">
        <v>595</v>
      </c>
      <c r="H50504" s="0" t="s">
        <v>594</v>
      </c>
      <c r="I50504" s="0" t="s">
        <v>596</v>
      </c>
    </row>
    <row r="50505" customFormat="false" ht="12.8" hidden="false" customHeight="false" outlineLevel="0" collapsed="false">
      <c r="B50505" s="0" t="s">
        <v>52</v>
      </c>
      <c r="C50505" s="0" t="s">
        <v>597</v>
      </c>
      <c r="E50505" s="0" t="s">
        <v>598</v>
      </c>
      <c r="F50505" s="0" t="s">
        <v>599</v>
      </c>
      <c r="H50505" s="0" t="s">
        <v>598</v>
      </c>
      <c r="I50505" s="0" t="s">
        <v>600</v>
      </c>
    </row>
    <row r="50507" customFormat="false" ht="12.8" hidden="false" customHeight="false" outlineLevel="0" collapsed="false">
      <c r="A50507" s="0" t="s">
        <v>17712</v>
      </c>
      <c r="B50507" s="0" t="str">
        <f aca="false">HYPERLINK("https://lindat.mff.cuni.cz/services/teitok/pdtc10/index.php?action=vallex&amp;frame=v-w11101f2", "ukrajovat (v-w11101f2)")</f>
        <v>ukrajovat (v-w11101f2)</v>
      </c>
      <c r="E50507" s="0" t="str">
        <f aca="false">HYPERLINK("https://lindat.mff.cuni.cz/services/SynSemClass40/SynSemClass40.html?veclass=vec00940#vec00940-ces-cm00001", "vec00940")</f>
        <v>vec00940</v>
      </c>
      <c r="F50507" s="0" t="s">
        <v>17619</v>
      </c>
    </row>
    <row r="50508" customFormat="false" ht="12.8" hidden="false" customHeight="false" outlineLevel="0" collapsed="false">
      <c r="B50508" s="0" t="s">
        <v>1</v>
      </c>
      <c r="C50508" s="0" t="s">
        <v>512</v>
      </c>
      <c r="E50508" s="0" t="s">
        <v>76</v>
      </c>
      <c r="F50508" s="0" t="s">
        <v>17620</v>
      </c>
    </row>
    <row r="50509" customFormat="false" ht="12.8" hidden="false" customHeight="false" outlineLevel="0" collapsed="false">
      <c r="B50509" s="0" t="s">
        <v>8</v>
      </c>
      <c r="C50509" s="0" t="s">
        <v>744</v>
      </c>
      <c r="E50509" s="0" t="s">
        <v>1702</v>
      </c>
      <c r="F50509" s="0" t="s">
        <v>17621</v>
      </c>
    </row>
    <row r="50511" customFormat="false" ht="12.8" hidden="false" customHeight="false" outlineLevel="0" collapsed="false">
      <c r="A50511" s="0" t="s">
        <v>17713</v>
      </c>
      <c r="B50511" s="0" t="str">
        <f aca="false">HYPERLINK("https://lindat.mff.cuni.cz/services/teitok/pdtc10/index.php?action=vallex&amp;frame=v-w11101hsa_665", "ukrajovat (v-w11101hsa_665)")</f>
        <v>ukrajovat (v-w11101hsa_665)</v>
      </c>
      <c r="E50511" s="0" t="str">
        <f aca="false">HYPERLINK("https://lindat.mff.cuni.cz/services/SynSemClass40/SynSemClass40.html?veclass=vec00940#vec00940-ces-cm00016", "vec00940")</f>
        <v>vec00940</v>
      </c>
      <c r="F50511" s="0" t="s">
        <v>17619</v>
      </c>
    </row>
    <row r="50512" customFormat="false" ht="12.8" hidden="false" customHeight="false" outlineLevel="0" collapsed="false">
      <c r="B50512" s="0" t="s">
        <v>1</v>
      </c>
      <c r="C50512" s="0" t="s">
        <v>512</v>
      </c>
      <c r="E50512" s="0" t="s">
        <v>76</v>
      </c>
      <c r="F50512" s="0" t="s">
        <v>17620</v>
      </c>
    </row>
    <row r="50513" customFormat="false" ht="12.8" hidden="false" customHeight="false" outlineLevel="0" collapsed="false">
      <c r="B50513" s="0" t="s">
        <v>8</v>
      </c>
      <c r="C50513" s="0" t="s">
        <v>744</v>
      </c>
      <c r="E50513" s="0" t="s">
        <v>1702</v>
      </c>
      <c r="F50513" s="0" t="s">
        <v>17621</v>
      </c>
    </row>
    <row r="50515" customFormat="false" ht="12.8" hidden="false" customHeight="false" outlineLevel="0" collapsed="false">
      <c r="A50515" s="0" t="s">
        <v>17714</v>
      </c>
      <c r="B50515" s="0" t="str">
        <f aca="false">HYPERLINK("https://lindat.mff.cuni.cz/services/teitok/pdtc10/index.php?action=vallex&amp;frame=v-w11608_ZUf1_ZU", "ukrojit (v-w11608_ZUf1_ZU)")</f>
        <v>ukrojit (v-w11608_ZUf1_ZU)</v>
      </c>
      <c r="E50515" s="0" t="str">
        <f aca="false">HYPERLINK("https://lindat.mff.cuni.cz/services/SynSemClass40/SynSemClass40.html?veclass=vec00940#vec00940-ces-cm00017", "vec00940")</f>
        <v>vec00940</v>
      </c>
      <c r="F50515" s="0" t="s">
        <v>17619</v>
      </c>
    </row>
    <row r="50516" customFormat="false" ht="12.8" hidden="false" customHeight="false" outlineLevel="0" collapsed="false">
      <c r="B50516" s="0" t="s">
        <v>1</v>
      </c>
      <c r="C50516" s="0" t="s">
        <v>512</v>
      </c>
      <c r="E50516" s="0" t="s">
        <v>76</v>
      </c>
      <c r="F50516" s="0" t="s">
        <v>17620</v>
      </c>
    </row>
    <row r="50517" customFormat="false" ht="12.8" hidden="false" customHeight="false" outlineLevel="0" collapsed="false">
      <c r="B50517" s="0" t="s">
        <v>8</v>
      </c>
      <c r="C50517" s="0" t="s">
        <v>744</v>
      </c>
      <c r="E50517" s="0" t="s">
        <v>1702</v>
      </c>
      <c r="F50517" s="0" t="s">
        <v>17621</v>
      </c>
    </row>
    <row r="50519" customFormat="false" ht="12.8" hidden="false" customHeight="false" outlineLevel="0" collapsed="false">
      <c r="A50519" s="0" t="s">
        <v>17715</v>
      </c>
      <c r="B50519" s="0" t="str">
        <f aca="false">HYPERLINK("https://lindat.mff.cuni.cz/services/teitok/pdtc10/index.php?action=vallex&amp;frame=v-whsa_0hsa_1", "ukrádat (v-whsa_0hsa_1)")</f>
        <v>ukrádat (v-whsa_0hsa_1)</v>
      </c>
      <c r="E50519" s="0" t="str">
        <f aca="false">HYPERLINK("https://lindat.mff.cuni.cz/services/SynSemClass40/SynSemClass40.html?veclass=vec00704#vec00704-ces-cm00062", "vec00704")</f>
        <v>vec00704</v>
      </c>
      <c r="F50519" s="0" t="s">
        <v>588</v>
      </c>
      <c r="H50519" s="0" t="str">
        <f aca="false">HYPERLINK("https://lindat.mff.cuni.cz/services/SynSemClass40/SynSemClass40.html?veclass=vec01425#vec01425-ces-cm00060", "vec01425")</f>
        <v>vec01425</v>
      </c>
      <c r="I50519" s="0" t="s">
        <v>589</v>
      </c>
    </row>
    <row r="50520" customFormat="false" ht="12.8" hidden="false" customHeight="false" outlineLevel="0" collapsed="false">
      <c r="B50520" s="0" t="s">
        <v>1</v>
      </c>
      <c r="C50520" s="0" t="s">
        <v>590</v>
      </c>
      <c r="E50520" s="0" t="s">
        <v>31</v>
      </c>
      <c r="F50520" s="0" t="s">
        <v>591</v>
      </c>
      <c r="H50520" s="0" t="s">
        <v>31</v>
      </c>
      <c r="I50520" s="0" t="s">
        <v>592</v>
      </c>
    </row>
    <row r="50521" customFormat="false" ht="12.8" hidden="false" customHeight="false" outlineLevel="0" collapsed="false">
      <c r="B50521" s="0" t="s">
        <v>8</v>
      </c>
      <c r="C50521" s="0" t="s">
        <v>593</v>
      </c>
      <c r="E50521" s="0" t="s">
        <v>594</v>
      </c>
      <c r="F50521" s="0" t="s">
        <v>595</v>
      </c>
      <c r="H50521" s="0" t="s">
        <v>594</v>
      </c>
      <c r="I50521" s="0" t="s">
        <v>596</v>
      </c>
    </row>
    <row r="50522" customFormat="false" ht="12.8" hidden="false" customHeight="false" outlineLevel="0" collapsed="false">
      <c r="B50522" s="0" t="s">
        <v>52</v>
      </c>
      <c r="C50522" s="0" t="s">
        <v>597</v>
      </c>
      <c r="E50522" s="0" t="s">
        <v>598</v>
      </c>
      <c r="F50522" s="0" t="s">
        <v>599</v>
      </c>
      <c r="H50522" s="0" t="s">
        <v>598</v>
      </c>
      <c r="I50522" s="0" t="s">
        <v>600</v>
      </c>
    </row>
    <row r="50524" customFormat="false" ht="12.8" hidden="false" customHeight="false" outlineLevel="0" collapsed="false">
      <c r="A50524" s="0" t="s">
        <v>17716</v>
      </c>
      <c r="B50524" s="0" t="str">
        <f aca="false">HYPERLINK("https://lindat.mff.cuni.cz/services/teitok/pdtc10/index.php?action=vallex&amp;frame=v-w7121f1", "ukrást (v-w7121f1)")</f>
        <v>ukrást (v-w7121f1)</v>
      </c>
      <c r="E50524" s="0" t="str">
        <f aca="false">HYPERLINK("https://lindat.mff.cuni.cz/services/SynSemClass40/SynSemClass40.html?veclass=vec00704#vec00704-ces-cm00064", "vec00704")</f>
        <v>vec00704</v>
      </c>
      <c r="F50524" s="0" t="s">
        <v>588</v>
      </c>
      <c r="H50524" s="0" t="str">
        <f aca="false">HYPERLINK("https://lindat.mff.cuni.cz/services/SynSemClass40/SynSemClass40.html?veclass=vec01425#vec01425-ces-cm00014", "vec01425")</f>
        <v>vec01425</v>
      </c>
      <c r="I50524" s="0" t="s">
        <v>589</v>
      </c>
    </row>
    <row r="50525" customFormat="false" ht="12.8" hidden="false" customHeight="false" outlineLevel="0" collapsed="false">
      <c r="B50525" s="0" t="s">
        <v>1</v>
      </c>
      <c r="C50525" s="0" t="s">
        <v>590</v>
      </c>
      <c r="E50525" s="0" t="s">
        <v>31</v>
      </c>
      <c r="F50525" s="0" t="s">
        <v>591</v>
      </c>
      <c r="H50525" s="0" t="s">
        <v>31</v>
      </c>
      <c r="I50525" s="0" t="s">
        <v>592</v>
      </c>
    </row>
    <row r="50526" customFormat="false" ht="12.8" hidden="false" customHeight="false" outlineLevel="0" collapsed="false">
      <c r="B50526" s="0" t="s">
        <v>8</v>
      </c>
      <c r="C50526" s="0" t="s">
        <v>593</v>
      </c>
      <c r="E50526" s="0" t="s">
        <v>594</v>
      </c>
      <c r="F50526" s="0" t="s">
        <v>595</v>
      </c>
      <c r="H50526" s="0" t="s">
        <v>594</v>
      </c>
      <c r="I50526" s="0" t="s">
        <v>596</v>
      </c>
    </row>
    <row r="50527" customFormat="false" ht="12.8" hidden="false" customHeight="false" outlineLevel="0" collapsed="false">
      <c r="B50527" s="0" t="s">
        <v>52</v>
      </c>
      <c r="C50527" s="0" t="s">
        <v>597</v>
      </c>
      <c r="E50527" s="0" t="s">
        <v>598</v>
      </c>
      <c r="F50527" s="0" t="s">
        <v>599</v>
      </c>
      <c r="H50527" s="0" t="s">
        <v>598</v>
      </c>
      <c r="I50527" s="0" t="s">
        <v>600</v>
      </c>
    </row>
    <row r="50529" customFormat="false" ht="12.8" hidden="false" customHeight="false" outlineLevel="0" collapsed="false">
      <c r="A50529" s="0" t="s">
        <v>17717</v>
      </c>
      <c r="B50529" s="0" t="str">
        <f aca="false">HYPERLINK("https://lindat.mff.cuni.cz/services/teitok/pdtc10/index.php?action=vallex&amp;frame=v-w7122f1", "ukrýt (v-w7122f1)")</f>
        <v>ukrýt (v-w7122f1)</v>
      </c>
    </row>
    <row r="50530" customFormat="false" ht="12.8" hidden="false" customHeight="false" outlineLevel="0" collapsed="false">
      <c r="B50530" s="0" t="s">
        <v>1</v>
      </c>
    </row>
    <row r="50531" customFormat="false" ht="12.8" hidden="false" customHeight="false" outlineLevel="0" collapsed="false">
      <c r="B50531" s="0" t="s">
        <v>4245</v>
      </c>
    </row>
    <row r="50532" customFormat="false" ht="12.8" hidden="false" customHeight="false" outlineLevel="0" collapsed="false">
      <c r="B50532" s="0" t="s">
        <v>4248</v>
      </c>
    </row>
    <row r="50534" customFormat="false" ht="12.8" hidden="false" customHeight="false" outlineLevel="0" collapsed="false">
      <c r="A50534" s="0" t="s">
        <v>17718</v>
      </c>
      <c r="B50534" s="0" t="str">
        <f aca="false">HYPERLINK("https://lindat.mff.cuni.cz/services/teitok/pdtc10/index.php?action=vallex&amp;frame=v-w7124f1", "ukrývat (v-w7124f1)")</f>
        <v>ukrývat (v-w7124f1)</v>
      </c>
    </row>
    <row r="50535" customFormat="false" ht="12.8" hidden="false" customHeight="false" outlineLevel="0" collapsed="false">
      <c r="B50535" s="0" t="s">
        <v>1</v>
      </c>
    </row>
    <row r="50536" customFormat="false" ht="12.8" hidden="false" customHeight="false" outlineLevel="0" collapsed="false">
      <c r="B50536" s="0" t="s">
        <v>4245</v>
      </c>
    </row>
    <row r="50537" customFormat="false" ht="12.8" hidden="false" customHeight="false" outlineLevel="0" collapsed="false">
      <c r="B50537" s="0" t="s">
        <v>4248</v>
      </c>
    </row>
    <row r="50539" customFormat="false" ht="12.8" hidden="false" customHeight="false" outlineLevel="0" collapsed="false">
      <c r="A50539" s="0" t="s">
        <v>17719</v>
      </c>
      <c r="B50539" s="0" t="str">
        <f aca="false">HYPERLINK("https://lindat.mff.cuni.cz/services/teitok/pdtc10/index.php?action=vallex&amp;frame=v-whsa_582hsa_583", "ukrývat se (v-whsa_582hsa_583)")</f>
        <v>ukrývat se (v-whsa_582hsa_583)</v>
      </c>
      <c r="E50539" s="0" t="str">
        <f aca="false">HYPERLINK("https://lindat.mff.cuni.cz/services/SynSemClass40/SynSemClass40.html?veclass=vec00714#vec00714-ces-cm00015", "vec00714")</f>
        <v>vec00714</v>
      </c>
      <c r="F50539" s="0" t="s">
        <v>15969</v>
      </c>
    </row>
    <row r="50540" customFormat="false" ht="12.8" hidden="false" customHeight="false" outlineLevel="0" collapsed="false">
      <c r="B50540" s="0" t="s">
        <v>1</v>
      </c>
      <c r="C50540" s="0" t="s">
        <v>549</v>
      </c>
      <c r="E50540" s="0" t="s">
        <v>4243</v>
      </c>
      <c r="F50540" s="0" t="s">
        <v>15970</v>
      </c>
    </row>
    <row r="50541" customFormat="false" ht="12.8" hidden="false" customHeight="false" outlineLevel="0" collapsed="false">
      <c r="B50541" s="0" t="s">
        <v>5</v>
      </c>
      <c r="E50541" s="0" t="s">
        <v>3254</v>
      </c>
      <c r="F50541" s="0" t="s">
        <v>3255</v>
      </c>
    </row>
    <row r="50543" customFormat="false" ht="12.8" hidden="false" customHeight="false" outlineLevel="0" collapsed="false">
      <c r="A50543" s="0" t="s">
        <v>17720</v>
      </c>
      <c r="B50543" s="0" t="str">
        <f aca="false">HYPERLINK("https://lindat.mff.cuni.cz/services/teitok/pdtc10/index.php?action=vallex&amp;frame=v-whsa_364hsa_365", "ukuchtit (v-whsa_364hsa_365)")</f>
        <v>ukuchtit (v-whsa_364hsa_365)</v>
      </c>
    </row>
    <row r="50544" customFormat="false" ht="12.8" hidden="false" customHeight="false" outlineLevel="0" collapsed="false">
      <c r="B50544" s="0" t="s">
        <v>1</v>
      </c>
    </row>
    <row r="50545" customFormat="false" ht="12.8" hidden="false" customHeight="false" outlineLevel="0" collapsed="false">
      <c r="B50545" s="0" t="s">
        <v>8</v>
      </c>
    </row>
    <row r="50546" customFormat="false" ht="12.8" hidden="false" customHeight="false" outlineLevel="0" collapsed="false">
      <c r="B50546" s="0" t="s">
        <v>36</v>
      </c>
    </row>
    <row r="50548" customFormat="false" ht="12.8" hidden="false" customHeight="false" outlineLevel="0" collapsed="false">
      <c r="A50548" s="0" t="s">
        <v>17721</v>
      </c>
      <c r="B50548" s="0" t="str">
        <f aca="false">HYPERLINK("https://lindat.mff.cuni.cz/services/teitok/pdtc10/index.php?action=vallex&amp;frame=v-w7125f1", "ukvapit se (v-w7125f1)")</f>
        <v>ukvapit se (v-w7125f1)</v>
      </c>
    </row>
    <row r="50549" customFormat="false" ht="12.8" hidden="false" customHeight="false" outlineLevel="0" collapsed="false">
      <c r="B50549" s="0" t="s">
        <v>1</v>
      </c>
    </row>
    <row r="50551" customFormat="false" ht="12.8" hidden="false" customHeight="false" outlineLevel="0" collapsed="false">
      <c r="A50551" s="0" t="s">
        <v>17722</v>
      </c>
      <c r="B50551" s="0" t="str">
        <f aca="false">HYPERLINK("https://lindat.mff.cuni.cz/services/teitok/pdtc10/index.php?action=vallex&amp;frame=v-w10355f2", "ukájet (v-w10355f2)")</f>
        <v>ukájet (v-w10355f2)</v>
      </c>
    </row>
    <row r="50552" customFormat="false" ht="12.8" hidden="false" customHeight="false" outlineLevel="0" collapsed="false">
      <c r="B50552" s="0" t="s">
        <v>1</v>
      </c>
    </row>
    <row r="50553" customFormat="false" ht="12.8" hidden="false" customHeight="false" outlineLevel="0" collapsed="false">
      <c r="B50553" s="0" t="s">
        <v>8</v>
      </c>
    </row>
    <row r="50555" customFormat="false" ht="12.8" hidden="false" customHeight="false" outlineLevel="0" collapsed="false">
      <c r="A50555" s="0" t="s">
        <v>17723</v>
      </c>
      <c r="B50555" s="0" t="str">
        <f aca="false">HYPERLINK("https://lindat.mff.cuni.cz/services/teitok/pdtc10/index.php?action=vallex&amp;frame=v-w7092f1", "ukázat (v-w7092f1)")</f>
        <v>ukázat (v-w7092f1)</v>
      </c>
      <c r="E50555" s="0" t="str">
        <f aca="false">HYPERLINK("https://lindat.mff.cuni.cz/services/SynSemClass40/SynSemClass40.html?veclass=vec00330#vec00330-ces-cm00001", "vec00330")</f>
        <v>vec00330</v>
      </c>
      <c r="F50555" s="0" t="s">
        <v>1896</v>
      </c>
    </row>
    <row r="50556" customFormat="false" ht="12.8" hidden="false" customHeight="false" outlineLevel="0" collapsed="false">
      <c r="B50556" s="0" t="s">
        <v>1</v>
      </c>
      <c r="C50556" s="0" t="s">
        <v>1897</v>
      </c>
      <c r="E50556" s="0" t="s">
        <v>11</v>
      </c>
      <c r="F50556" s="0" t="s">
        <v>1898</v>
      </c>
    </row>
    <row r="50557" customFormat="false" ht="12.8" hidden="false" customHeight="false" outlineLevel="0" collapsed="false">
      <c r="B50557" s="0" t="s">
        <v>1899</v>
      </c>
      <c r="C50557" s="0" t="s">
        <v>1900</v>
      </c>
      <c r="E50557" s="0" t="s">
        <v>180</v>
      </c>
      <c r="F50557" s="0" t="s">
        <v>1901</v>
      </c>
    </row>
    <row r="50558" customFormat="false" ht="12.8" hidden="false" customHeight="false" outlineLevel="0" collapsed="false">
      <c r="B50558" s="0" t="s">
        <v>52</v>
      </c>
      <c r="C50558" s="0" t="s">
        <v>1902</v>
      </c>
      <c r="E50558" s="0" t="s">
        <v>221</v>
      </c>
      <c r="F50558" s="0" t="s">
        <v>1903</v>
      </c>
    </row>
    <row r="50560" customFormat="false" ht="12.8" hidden="false" customHeight="false" outlineLevel="0" collapsed="false">
      <c r="A50560" s="0" t="s">
        <v>17724</v>
      </c>
      <c r="B50560" s="0" t="str">
        <f aca="false">HYPERLINK("https://lindat.mff.cuni.cz/services/teitok/pdtc10/index.php?action=vallex&amp;frame=v-w7092f4", "ukázat (v-w7092f4)")</f>
        <v>ukázat (v-w7092f4)</v>
      </c>
      <c r="E50560" s="0" t="str">
        <f aca="false">HYPERLINK("https://lindat.mff.cuni.cz/services/SynSemClass40/SynSemClass40.html?veclass=vec00332#vec00332-ces-cm00031", "vec00332")</f>
        <v>vec00332</v>
      </c>
      <c r="F50560" s="0" t="s">
        <v>3692</v>
      </c>
    </row>
    <row r="50561" customFormat="false" ht="12.8" hidden="false" customHeight="false" outlineLevel="0" collapsed="false">
      <c r="B50561" s="0" t="s">
        <v>345</v>
      </c>
      <c r="C50561" s="0" t="s">
        <v>11762</v>
      </c>
      <c r="E50561" s="0" t="s">
        <v>63</v>
      </c>
      <c r="F50561" s="0" t="s">
        <v>3695</v>
      </c>
    </row>
    <row r="50562" customFormat="false" ht="12.8" hidden="false" customHeight="false" outlineLevel="0" collapsed="false">
      <c r="B50562" s="0" t="s">
        <v>45</v>
      </c>
      <c r="C50562" s="0" t="s">
        <v>11764</v>
      </c>
      <c r="E50562" s="0" t="s">
        <v>180</v>
      </c>
      <c r="F50562" s="0" t="s">
        <v>11765</v>
      </c>
    </row>
    <row r="50563" customFormat="false" ht="12.8" hidden="false" customHeight="false" outlineLevel="0" collapsed="false">
      <c r="B50563" s="0" t="s">
        <v>132</v>
      </c>
      <c r="C50563" s="0" t="s">
        <v>17642</v>
      </c>
      <c r="E50563" s="0" t="s">
        <v>564</v>
      </c>
      <c r="F50563" s="0" t="s">
        <v>3700</v>
      </c>
    </row>
    <row r="50565" customFormat="false" ht="12.8" hidden="false" customHeight="false" outlineLevel="0" collapsed="false">
      <c r="A50565" s="0" t="s">
        <v>17725</v>
      </c>
      <c r="B50565" s="0" t="str">
        <f aca="false">HYPERLINK("https://lindat.mff.cuni.cz/services/teitok/pdtc10/index.php?action=vallex&amp;frame=v-w7092f2", "ukázat (v-w7092f2)")</f>
        <v>ukázat (v-w7092f2)</v>
      </c>
      <c r="E50565" s="0" t="str">
        <f aca="false">HYPERLINK("https://lindat.mff.cuni.cz/services/SynSemClass40/SynSemClass40.html?veclass=vec00087#vec00087-ces-cm00048", "vec00087")</f>
        <v>vec00087</v>
      </c>
      <c r="F50565" s="0" t="s">
        <v>2368</v>
      </c>
    </row>
    <row r="50566" customFormat="false" ht="12.8" hidden="false" customHeight="false" outlineLevel="0" collapsed="false">
      <c r="B50566" s="0" t="s">
        <v>1</v>
      </c>
      <c r="C50566" s="0" t="s">
        <v>2379</v>
      </c>
      <c r="E50566" s="0" t="s">
        <v>2370</v>
      </c>
      <c r="F50566" s="0" t="s">
        <v>2371</v>
      </c>
    </row>
    <row r="50567" customFormat="false" ht="12.8" hidden="false" customHeight="false" outlineLevel="0" collapsed="false">
      <c r="B50567" s="0" t="s">
        <v>6412</v>
      </c>
      <c r="C50567" s="0" t="s">
        <v>17645</v>
      </c>
      <c r="E50567" s="0" t="s">
        <v>17646</v>
      </c>
      <c r="F50567" s="0" t="s">
        <v>17647</v>
      </c>
    </row>
    <row r="50568" customFormat="false" ht="12.8" hidden="false" customHeight="false" outlineLevel="0" collapsed="false">
      <c r="B50568" s="0" t="s">
        <v>496</v>
      </c>
      <c r="C50568" s="0" t="s">
        <v>2380</v>
      </c>
      <c r="E50568" s="0" t="s">
        <v>2373</v>
      </c>
      <c r="F50568" s="0" t="s">
        <v>2374</v>
      </c>
    </row>
    <row r="50569" customFormat="false" ht="12.8" hidden="false" customHeight="false" outlineLevel="0" collapsed="false">
      <c r="B50569" s="0" t="s">
        <v>132</v>
      </c>
      <c r="C50569" s="0" t="s">
        <v>2384</v>
      </c>
      <c r="E50569" s="0" t="s">
        <v>2376</v>
      </c>
      <c r="F50569" s="0" t="s">
        <v>2377</v>
      </c>
    </row>
    <row r="50571" customFormat="false" ht="12.8" hidden="false" customHeight="false" outlineLevel="0" collapsed="false">
      <c r="A50571" s="0" t="s">
        <v>17726</v>
      </c>
      <c r="B50571" s="0" t="str">
        <f aca="false">HYPERLINK("https://lindat.mff.cuni.cz/services/teitok/pdtc10/index.php?action=vallex&amp;frame=v-w7092f3", "ukázat (v-w7092f3)")</f>
        <v>ukázat (v-w7092f3)</v>
      </c>
    </row>
    <row r="50572" customFormat="false" ht="12.8" hidden="false" customHeight="false" outlineLevel="0" collapsed="false">
      <c r="B50572" s="0" t="s">
        <v>1</v>
      </c>
    </row>
    <row r="50573" customFormat="false" ht="12.8" hidden="false" customHeight="false" outlineLevel="0" collapsed="false">
      <c r="B50573" s="0" t="s">
        <v>164</v>
      </c>
    </row>
    <row r="50574" customFormat="false" ht="12.8" hidden="false" customHeight="false" outlineLevel="0" collapsed="false">
      <c r="B50574" s="0" t="s">
        <v>157</v>
      </c>
    </row>
    <row r="50576" customFormat="false" ht="12.8" hidden="false" customHeight="false" outlineLevel="0" collapsed="false">
      <c r="A50576" s="0" t="s">
        <v>17727</v>
      </c>
      <c r="B50576" s="0" t="str">
        <f aca="false">HYPERLINK("https://lindat.mff.cuni.cz/services/teitok/pdtc10/index.php?action=vallex&amp;frame=v-w7092f5_ZU", "ukázat (v-w7092f5_ZU)")</f>
        <v>ukázat (v-w7092f5_ZU)</v>
      </c>
    </row>
    <row r="50577" customFormat="false" ht="12.8" hidden="false" customHeight="false" outlineLevel="0" collapsed="false">
      <c r="B50577" s="0" t="s">
        <v>1</v>
      </c>
    </row>
    <row r="50578" customFormat="false" ht="12.8" hidden="false" customHeight="false" outlineLevel="0" collapsed="false">
      <c r="B50578" s="0" t="s">
        <v>17728</v>
      </c>
    </row>
    <row r="50579" customFormat="false" ht="12.8" hidden="false" customHeight="false" outlineLevel="0" collapsed="false">
      <c r="B50579" s="0" t="s">
        <v>186</v>
      </c>
    </row>
    <row r="50581" customFormat="false" ht="12.8" hidden="false" customHeight="false" outlineLevel="0" collapsed="false">
      <c r="A50581" s="0" t="s">
        <v>17729</v>
      </c>
      <c r="B50581" s="0" t="str">
        <f aca="false">HYPERLINK("https://lindat.mff.cuni.cz/services/teitok/pdtc10/index.php?action=vallex&amp;frame=v-w7092f7_ZU", "ukázat (v-w7092f7_ZU)")</f>
        <v>ukázat (v-w7092f7_ZU)</v>
      </c>
      <c r="E50581" s="0" t="str">
        <f aca="false">HYPERLINK("https://lindat.mff.cuni.cz/services/SynSemClass40/SynSemClass40.html?veclass=vec00141#vec00141-ces-cm00031", "vec00141")</f>
        <v>vec00141</v>
      </c>
      <c r="F50581" s="0" t="s">
        <v>4796</v>
      </c>
    </row>
    <row r="50582" customFormat="false" ht="12.8" hidden="false" customHeight="false" outlineLevel="0" collapsed="false">
      <c r="B50582" s="0" t="s">
        <v>1</v>
      </c>
      <c r="C50582" s="0" t="s">
        <v>4797</v>
      </c>
      <c r="E50582" s="0" t="s">
        <v>4798</v>
      </c>
      <c r="F50582" s="0" t="s">
        <v>4799</v>
      </c>
    </row>
    <row r="50583" customFormat="false" ht="12.8" hidden="false" customHeight="false" outlineLevel="0" collapsed="false">
      <c r="B50583" s="0" t="s">
        <v>8</v>
      </c>
      <c r="C50583" s="0" t="s">
        <v>4800</v>
      </c>
      <c r="E50583" s="0" t="s">
        <v>4801</v>
      </c>
      <c r="F50583" s="0" t="s">
        <v>4802</v>
      </c>
    </row>
    <row r="50584" customFormat="false" ht="12.8" hidden="false" customHeight="false" outlineLevel="0" collapsed="false">
      <c r="B50584" s="0" t="s">
        <v>132</v>
      </c>
    </row>
    <row r="50586" customFormat="false" ht="12.8" hidden="false" customHeight="false" outlineLevel="0" collapsed="false">
      <c r="A50586" s="0" t="s">
        <v>17729</v>
      </c>
      <c r="B50586" s="0" t="str">
        <f aca="false">HYPERLINK("https://lindat.mff.cuni.cz/services/teitok/pdtc10/index.php?action=vallex&amp;frame=v-w7092f6_ZU", "ukázat (v-w7092f6_ZU) - substituted with v-w7092f7_ZU")</f>
        <v>ukázat (v-w7092f6_ZU) - substituted with v-w7092f7_ZU</v>
      </c>
    </row>
    <row r="50587" customFormat="false" ht="12.8" hidden="false" customHeight="false" outlineLevel="0" collapsed="false">
      <c r="B50587" s="0" t="s">
        <v>1</v>
      </c>
    </row>
    <row r="50588" customFormat="false" ht="12.8" hidden="false" customHeight="false" outlineLevel="0" collapsed="false">
      <c r="B50588" s="0" t="s">
        <v>8</v>
      </c>
    </row>
    <row r="50589" customFormat="false" ht="12.8" hidden="false" customHeight="false" outlineLevel="0" collapsed="false">
      <c r="B50589" s="0" t="s">
        <v>132</v>
      </c>
    </row>
    <row r="50591" customFormat="false" ht="12.8" hidden="false" customHeight="false" outlineLevel="0" collapsed="false">
      <c r="A50591" s="0" t="s">
        <v>17729</v>
      </c>
      <c r="B50591" s="0" t="str">
        <f aca="false">HYPERLINK("https://lindat.mff.cuni.cz/services/teitok/pdtc10/index.php?action=vallex&amp;frame=v-w7092hsa_1080", "ukázat (v-w7092hsa_1080) - substituted with v-w7092f7_ZU")</f>
        <v>ukázat (v-w7092hsa_1080) - substituted with v-w7092f7_ZU</v>
      </c>
    </row>
    <row r="50592" customFormat="false" ht="12.8" hidden="false" customHeight="false" outlineLevel="0" collapsed="false">
      <c r="B50592" s="0" t="s">
        <v>1</v>
      </c>
    </row>
    <row r="50593" customFormat="false" ht="12.8" hidden="false" customHeight="false" outlineLevel="0" collapsed="false">
      <c r="B50593" s="0" t="s">
        <v>8</v>
      </c>
    </row>
    <row r="50594" customFormat="false" ht="12.8" hidden="false" customHeight="false" outlineLevel="0" collapsed="false">
      <c r="B50594" s="0" t="s">
        <v>132</v>
      </c>
    </row>
    <row r="50596" customFormat="false" ht="12.8" hidden="false" customHeight="false" outlineLevel="0" collapsed="false">
      <c r="A50596" s="0" t="s">
        <v>17730</v>
      </c>
      <c r="B50596" s="0" t="str">
        <f aca="false">HYPERLINK("https://lindat.mff.cuni.cz/services/teitok/pdtc10/index.php?action=vallex&amp;frame=v-w7094f2", "ukázat se (v-w7094f2)")</f>
        <v>ukázat se (v-w7094f2)</v>
      </c>
      <c r="E50596" s="0" t="str">
        <f aca="false">HYPERLINK("https://lindat.mff.cuni.cz/services/SynSemClass40/SynSemClass40.html?veclass=vec00331#vec00331-ces-cm00001", "vec00331")</f>
        <v>vec00331</v>
      </c>
      <c r="F50596" s="0" t="s">
        <v>17653</v>
      </c>
    </row>
    <row r="50597" customFormat="false" ht="12.8" hidden="false" customHeight="false" outlineLevel="0" collapsed="false">
      <c r="B50597" s="0" t="s">
        <v>843</v>
      </c>
      <c r="C50597" s="0" t="s">
        <v>17654</v>
      </c>
      <c r="E50597" s="0" t="s">
        <v>4943</v>
      </c>
      <c r="F50597" s="0" t="s">
        <v>17655</v>
      </c>
    </row>
    <row r="50598" customFormat="false" ht="12.8" hidden="false" customHeight="false" outlineLevel="0" collapsed="false">
      <c r="B50598" s="0" t="s">
        <v>17731</v>
      </c>
      <c r="C50598" s="0" t="s">
        <v>4017</v>
      </c>
      <c r="E50598" s="0" t="s">
        <v>1544</v>
      </c>
      <c r="F50598" s="0" t="s">
        <v>17657</v>
      </c>
    </row>
    <row r="50600" customFormat="false" ht="12.8" hidden="false" customHeight="false" outlineLevel="0" collapsed="false">
      <c r="A50600" s="0" t="s">
        <v>17732</v>
      </c>
      <c r="B50600" s="0" t="str">
        <f aca="false">HYPERLINK("https://lindat.mff.cuni.cz/services/teitok/pdtc10/index.php?action=vallex&amp;frame=v-w7094f4", "ukázat se (v-w7094f4)")</f>
        <v>ukázat se (v-w7094f4)</v>
      </c>
    </row>
    <row r="50601" customFormat="false" ht="12.8" hidden="false" customHeight="false" outlineLevel="0" collapsed="false">
      <c r="B50601" s="0" t="s">
        <v>1</v>
      </c>
    </row>
    <row r="50602" customFormat="false" ht="12.8" hidden="false" customHeight="false" outlineLevel="0" collapsed="false">
      <c r="B50602" s="0" t="s">
        <v>157</v>
      </c>
    </row>
    <row r="50604" customFormat="false" ht="12.8" hidden="false" customHeight="false" outlineLevel="0" collapsed="false">
      <c r="A50604" s="0" t="s">
        <v>17733</v>
      </c>
      <c r="B50604" s="0" t="str">
        <f aca="false">HYPERLINK("https://lindat.mff.cuni.cz/services/teitok/pdtc10/index.php?action=vallex&amp;frame=v-w7094f3", "ukázat se (v-w7094f3)")</f>
        <v>ukázat se (v-w7094f3)</v>
      </c>
      <c r="E50604" s="0" t="str">
        <f aca="false">HYPERLINK("https://lindat.mff.cuni.cz/services/SynSemClass40/SynSemClass40.html?veclass=vec00245#vec00245-ces-cm00027", "vec00245")</f>
        <v>vec00245</v>
      </c>
      <c r="F50604" s="0" t="s">
        <v>6245</v>
      </c>
    </row>
    <row r="50605" customFormat="false" ht="12.8" hidden="false" customHeight="false" outlineLevel="0" collapsed="false">
      <c r="B50605" s="0" t="s">
        <v>1</v>
      </c>
      <c r="C50605" s="0" t="s">
        <v>8384</v>
      </c>
      <c r="E50605" s="0" t="s">
        <v>2923</v>
      </c>
      <c r="F50605" s="0" t="s">
        <v>6248</v>
      </c>
    </row>
    <row r="50606" customFormat="false" ht="12.8" hidden="false" customHeight="false" outlineLevel="0" collapsed="false">
      <c r="B50606" s="0" t="s">
        <v>5</v>
      </c>
      <c r="E50606" s="0" t="s">
        <v>3254</v>
      </c>
      <c r="F50606" s="0" t="s">
        <v>3255</v>
      </c>
    </row>
    <row r="50608" customFormat="false" ht="12.8" hidden="false" customHeight="false" outlineLevel="0" collapsed="false">
      <c r="A50608" s="0" t="s">
        <v>17734</v>
      </c>
      <c r="B50608" s="0" t="str">
        <f aca="false">HYPERLINK("https://lindat.mff.cuni.cz/services/teitok/pdtc10/index.php?action=vallex&amp;frame=v-w7094f1", "ukázat se (v-w7094f1)")</f>
        <v>ukázat se (v-w7094f1)</v>
      </c>
      <c r="E50608" s="0" t="str">
        <f aca="false">HYPERLINK("https://lindat.mff.cuni.cz/services/SynSemClass40/SynSemClass40.html?veclass=vec00087#vec00087-ces-cm00052", "vec00087")</f>
        <v>vec00087</v>
      </c>
      <c r="F50608" s="0" t="s">
        <v>2368</v>
      </c>
    </row>
    <row r="50609" customFormat="false" ht="12.8" hidden="false" customHeight="false" outlineLevel="0" collapsed="false">
      <c r="B50609" s="0" t="s">
        <v>17735</v>
      </c>
      <c r="C50609" s="0" t="s">
        <v>2379</v>
      </c>
      <c r="E50609" s="0" t="s">
        <v>2370</v>
      </c>
      <c r="F50609" s="0" t="s">
        <v>2371</v>
      </c>
    </row>
    <row r="50611" customFormat="false" ht="12.8" hidden="false" customHeight="false" outlineLevel="0" collapsed="false">
      <c r="A50611" s="0" t="s">
        <v>17736</v>
      </c>
      <c r="B50611" s="0" t="str">
        <f aca="false">HYPERLINK("https://lindat.mff.cuni.cz/services/teitok/pdtc10/index.php?action=vallex&amp;frame=v-w7094hsa_719", "ukázat se (v-w7094hsa_719)")</f>
        <v>ukázat se (v-w7094hsa_719)</v>
      </c>
    </row>
    <row r="50612" customFormat="false" ht="12.8" hidden="false" customHeight="false" outlineLevel="0" collapsed="false">
      <c r="B50612" s="0" t="s">
        <v>1</v>
      </c>
    </row>
    <row r="50613" customFormat="false" ht="12.8" hidden="false" customHeight="false" outlineLevel="0" collapsed="false">
      <c r="B50613" s="0" t="s">
        <v>1689</v>
      </c>
    </row>
    <row r="50615" customFormat="false" ht="12.8" hidden="false" customHeight="false" outlineLevel="0" collapsed="false">
      <c r="A50615" s="0" t="s">
        <v>17737</v>
      </c>
      <c r="B50615" s="0" t="str">
        <f aca="false">HYPERLINK("https://lindat.mff.cuni.cz/services/teitok/pdtc10/index.php?action=vallex&amp;frame=v-w7096f1", "ukáznit (v-w7096f1)")</f>
        <v>ukáznit (v-w7096f1)</v>
      </c>
    </row>
    <row r="50616" customFormat="false" ht="12.8" hidden="false" customHeight="false" outlineLevel="0" collapsed="false">
      <c r="B50616" s="0" t="s">
        <v>1</v>
      </c>
    </row>
    <row r="50617" customFormat="false" ht="12.8" hidden="false" customHeight="false" outlineLevel="0" collapsed="false">
      <c r="B50617" s="0" t="s">
        <v>8</v>
      </c>
    </row>
    <row r="50619" customFormat="false" ht="12.8" hidden="false" customHeight="false" outlineLevel="0" collapsed="false">
      <c r="A50619" s="0" t="s">
        <v>17738</v>
      </c>
      <c r="B50619" s="0" t="str">
        <f aca="false">HYPERLINK("https://lindat.mff.cuni.cz/services/teitok/pdtc10/index.php?action=vallex&amp;frame=v-w7097f1", "ukáznit se (v-w7097f1)")</f>
        <v>ukáznit se (v-w7097f1)</v>
      </c>
    </row>
    <row r="50620" customFormat="false" ht="12.8" hidden="false" customHeight="false" outlineLevel="0" collapsed="false">
      <c r="B50620" s="0" t="s">
        <v>1</v>
      </c>
    </row>
    <row r="50622" customFormat="false" ht="12.8" hidden="false" customHeight="false" outlineLevel="0" collapsed="false">
      <c r="A50622" s="0" t="s">
        <v>17739</v>
      </c>
      <c r="B50622" s="0" t="str">
        <f aca="false">HYPERLINK("https://lindat.mff.cuni.cz/services/teitok/pdtc10/index.php?action=vallex&amp;frame=v-whsa_641f1_ZU", "ukřižovat (v-whsa_641f1_ZU)")</f>
        <v>ukřižovat (v-whsa_641f1_ZU)</v>
      </c>
    </row>
    <row r="50623" customFormat="false" ht="12.8" hidden="false" customHeight="false" outlineLevel="0" collapsed="false">
      <c r="B50623" s="0" t="s">
        <v>1</v>
      </c>
    </row>
    <row r="50624" customFormat="false" ht="12.8" hidden="false" customHeight="false" outlineLevel="0" collapsed="false">
      <c r="B50624" s="0" t="s">
        <v>8</v>
      </c>
    </row>
    <row r="50626" customFormat="false" ht="12.8" hidden="false" customHeight="false" outlineLevel="0" collapsed="false">
      <c r="A50626" s="0" t="s">
        <v>17739</v>
      </c>
      <c r="B50626" s="0" t="str">
        <f aca="false">HYPERLINK("https://lindat.mff.cuni.cz/services/teitok/pdtc10/index.php?action=vallex&amp;frame=v-whsa_641hsa_642", "ukřižovat (v-whsa_641hsa_642) - substituted with v-whsa_641f1_ZU")</f>
        <v>ukřižovat (v-whsa_641hsa_642) - substituted with v-whsa_641f1_ZU</v>
      </c>
    </row>
    <row r="50627" customFormat="false" ht="12.8" hidden="false" customHeight="false" outlineLevel="0" collapsed="false">
      <c r="B50627" s="0" t="s">
        <v>1</v>
      </c>
    </row>
    <row r="50628" customFormat="false" ht="12.8" hidden="false" customHeight="false" outlineLevel="0" collapsed="false">
      <c r="B50628" s="0" t="s">
        <v>8</v>
      </c>
    </row>
    <row r="50630" customFormat="false" ht="12.8" hidden="false" customHeight="false" outlineLevel="0" collapsed="false">
      <c r="A50630" s="0" t="s">
        <v>17740</v>
      </c>
      <c r="B50630" s="0" t="str">
        <f aca="false">HYPERLINK("https://lindat.mff.cuni.cz/services/teitok/pdtc10/index.php?action=vallex&amp;frame=v-w7129f1", "ulehnout (v-w7129f1)")</f>
        <v>ulehnout (v-w7129f1)</v>
      </c>
    </row>
    <row r="50631" customFormat="false" ht="12.8" hidden="false" customHeight="false" outlineLevel="0" collapsed="false">
      <c r="B50631" s="0" t="s">
        <v>1</v>
      </c>
    </row>
    <row r="50633" customFormat="false" ht="12.8" hidden="false" customHeight="false" outlineLevel="0" collapsed="false">
      <c r="A50633" s="0" t="s">
        <v>17741</v>
      </c>
      <c r="B50633" s="0" t="str">
        <f aca="false">HYPERLINK("https://lindat.mff.cuni.cz/services/teitok/pdtc10/index.php?action=vallex&amp;frame=v-w7129hsa_282", "ulehnout (v-w7129hsa_282)")</f>
        <v>ulehnout (v-w7129hsa_282)</v>
      </c>
    </row>
    <row r="50634" customFormat="false" ht="12.8" hidden="false" customHeight="false" outlineLevel="0" collapsed="false">
      <c r="B50634" s="0" t="s">
        <v>1</v>
      </c>
    </row>
    <row r="50636" customFormat="false" ht="12.8" hidden="false" customHeight="false" outlineLevel="0" collapsed="false">
      <c r="A50636" s="0" t="s">
        <v>17742</v>
      </c>
      <c r="B50636" s="0" t="str">
        <f aca="false">HYPERLINK("https://lindat.mff.cuni.cz/services/teitok/pdtc10/index.php?action=vallex&amp;frame=v-w7127f1", "ulehčit (v-w7127f1)")</f>
        <v>ulehčit (v-w7127f1)</v>
      </c>
    </row>
    <row r="50637" customFormat="false" ht="12.8" hidden="false" customHeight="false" outlineLevel="0" collapsed="false">
      <c r="B50637" s="0" t="s">
        <v>1</v>
      </c>
    </row>
    <row r="50638" customFormat="false" ht="12.8" hidden="false" customHeight="false" outlineLevel="0" collapsed="false">
      <c r="B50638" s="0" t="s">
        <v>8</v>
      </c>
    </row>
    <row r="50639" customFormat="false" ht="12.8" hidden="false" customHeight="false" outlineLevel="0" collapsed="false">
      <c r="B50639" s="0" t="s">
        <v>52</v>
      </c>
    </row>
    <row r="50641" customFormat="false" ht="12.8" hidden="false" customHeight="false" outlineLevel="0" collapsed="false">
      <c r="A50641" s="0" t="s">
        <v>17743</v>
      </c>
      <c r="B50641" s="0" t="str">
        <f aca="false">HYPERLINK("https://lindat.mff.cuni.cz/services/teitok/pdtc10/index.php?action=vallex&amp;frame=v-w7128f1", "ulehčovat (v-w7128f1)")</f>
        <v>ulehčovat (v-w7128f1)</v>
      </c>
    </row>
    <row r="50642" customFormat="false" ht="12.8" hidden="false" customHeight="false" outlineLevel="0" collapsed="false">
      <c r="B50642" s="0" t="s">
        <v>1</v>
      </c>
    </row>
    <row r="50643" customFormat="false" ht="12.8" hidden="false" customHeight="false" outlineLevel="0" collapsed="false">
      <c r="B50643" s="0" t="s">
        <v>8</v>
      </c>
    </row>
    <row r="50644" customFormat="false" ht="12.8" hidden="false" customHeight="false" outlineLevel="0" collapsed="false">
      <c r="B50644" s="0" t="s">
        <v>132</v>
      </c>
    </row>
    <row r="50646" customFormat="false" ht="12.8" hidden="false" customHeight="false" outlineLevel="0" collapsed="false">
      <c r="A50646" s="0" t="s">
        <v>17744</v>
      </c>
      <c r="B50646" s="0" t="str">
        <f aca="false">HYPERLINK("https://lindat.mff.cuni.cz/services/teitok/pdtc10/index.php?action=vallex&amp;frame=v-w11775_ZUf1_ZU", "ulejvat se (v-w11775_ZUf1_ZU)")</f>
        <v>ulejvat se (v-w11775_ZUf1_ZU)</v>
      </c>
    </row>
    <row r="50647" customFormat="false" ht="12.8" hidden="false" customHeight="false" outlineLevel="0" collapsed="false">
      <c r="B50647" s="0" t="s">
        <v>1</v>
      </c>
    </row>
    <row r="50649" customFormat="false" ht="12.8" hidden="false" customHeight="false" outlineLevel="0" collapsed="false">
      <c r="A50649" s="0" t="s">
        <v>17745</v>
      </c>
      <c r="B50649" s="0" t="str">
        <f aca="false">HYPERLINK("https://lindat.mff.cuni.cz/services/teitok/pdtc10/index.php?action=vallex&amp;frame=v-whsa_683hsa_684", "uletět (v-whsa_683hsa_684)")</f>
        <v>uletět (v-whsa_683hsa_684)</v>
      </c>
    </row>
    <row r="50650" customFormat="false" ht="12.8" hidden="false" customHeight="false" outlineLevel="0" collapsed="false">
      <c r="B50650" s="0" t="s">
        <v>1</v>
      </c>
    </row>
    <row r="50651" customFormat="false" ht="12.8" hidden="false" customHeight="false" outlineLevel="0" collapsed="false">
      <c r="B50651" s="0" t="s">
        <v>8</v>
      </c>
    </row>
    <row r="50653" customFormat="false" ht="12.8" hidden="false" customHeight="false" outlineLevel="0" collapsed="false">
      <c r="A50653" s="0" t="s">
        <v>17746</v>
      </c>
      <c r="B50653" s="0" t="str">
        <f aca="false">HYPERLINK("https://lindat.mff.cuni.cz/services/teitok/pdtc10/index.php?action=vallex&amp;frame=v-whsa_683f3_ZU", "uletět (v-whsa_683f3_ZU)")</f>
        <v>uletět (v-whsa_683f3_ZU)</v>
      </c>
    </row>
    <row r="50654" customFormat="false" ht="12.8" hidden="false" customHeight="false" outlineLevel="0" collapsed="false">
      <c r="B50654" s="0" t="s">
        <v>1</v>
      </c>
    </row>
    <row r="50655" customFormat="false" ht="12.8" hidden="false" customHeight="false" outlineLevel="0" collapsed="false">
      <c r="B50655" s="0" t="s">
        <v>6273</v>
      </c>
    </row>
    <row r="50657" customFormat="false" ht="12.8" hidden="false" customHeight="false" outlineLevel="0" collapsed="false">
      <c r="A50657" s="0" t="s">
        <v>17746</v>
      </c>
      <c r="B50657" s="0" t="str">
        <f aca="false">HYPERLINK("https://lindat.mff.cuni.cz/services/teitok/pdtc10/index.php?action=vallex&amp;frame=v-whsa_683f1_ZU", "uletět (v-whsa_683f1_ZU) - substituted with v-whsa_683f3_ZU")</f>
        <v>uletět (v-whsa_683f1_ZU) - substituted with v-whsa_683f3_ZU</v>
      </c>
    </row>
    <row r="50658" customFormat="false" ht="12.8" hidden="false" customHeight="false" outlineLevel="0" collapsed="false">
      <c r="B50658" s="0" t="s">
        <v>1</v>
      </c>
    </row>
    <row r="50659" customFormat="false" ht="12.8" hidden="false" customHeight="false" outlineLevel="0" collapsed="false">
      <c r="B50659" s="0" t="s">
        <v>6273</v>
      </c>
    </row>
    <row r="50661" customFormat="false" ht="12.8" hidden="false" customHeight="false" outlineLevel="0" collapsed="false">
      <c r="A50661" s="0" t="s">
        <v>17746</v>
      </c>
      <c r="B50661" s="0" t="str">
        <f aca="false">HYPERLINK("https://lindat.mff.cuni.cz/services/teitok/pdtc10/index.php?action=vallex&amp;frame=v-whsa_683f2_ZU", "uletět (v-whsa_683f2_ZU) - substituted with v-whsa_683f3_ZU")</f>
        <v>uletět (v-whsa_683f2_ZU) - substituted with v-whsa_683f3_ZU</v>
      </c>
    </row>
    <row r="50662" customFormat="false" ht="12.8" hidden="false" customHeight="false" outlineLevel="0" collapsed="false">
      <c r="B50662" s="0" t="s">
        <v>1</v>
      </c>
    </row>
    <row r="50663" customFormat="false" ht="12.8" hidden="false" customHeight="false" outlineLevel="0" collapsed="false">
      <c r="B50663" s="0" t="s">
        <v>6273</v>
      </c>
    </row>
    <row r="50665" customFormat="false" ht="12.8" hidden="false" customHeight="false" outlineLevel="0" collapsed="false">
      <c r="A50665" s="0" t="s">
        <v>17747</v>
      </c>
      <c r="B50665" s="0" t="str">
        <f aca="false">HYPERLINK("https://lindat.mff.cuni.cz/services/teitok/pdtc10/index.php?action=vallex&amp;frame=v-w7131f1", "ulevit (v-w7131f1)")</f>
        <v>ulevit (v-w7131f1)</v>
      </c>
      <c r="E50665" s="0" t="str">
        <f aca="false">HYPERLINK("https://lindat.mff.cuni.cz/services/SynSemClass40/SynSemClass40.html?veclass=vec00545#vec00545-ces-cm00009", "vec00545")</f>
        <v>vec00545</v>
      </c>
      <c r="F50665" s="0" t="s">
        <v>6030</v>
      </c>
      <c r="H50665" s="0" t="str">
        <f aca="false">HYPERLINK("https://lindat.mff.cuni.cz/services/SynSemClass40/SynSemClass40.html?veclass=vec01301#vec01301-ces-cm00035", "vec01301")</f>
        <v>vec01301</v>
      </c>
      <c r="I50665" s="0" t="s">
        <v>6491</v>
      </c>
    </row>
    <row r="50666" customFormat="false" ht="12.8" hidden="false" customHeight="false" outlineLevel="0" collapsed="false">
      <c r="B50666" s="0" t="s">
        <v>1</v>
      </c>
      <c r="C50666" s="0" t="s">
        <v>2026</v>
      </c>
      <c r="E50666" s="0" t="s">
        <v>206</v>
      </c>
      <c r="F50666" s="0" t="s">
        <v>5400</v>
      </c>
      <c r="H50666" s="0" t="s">
        <v>31</v>
      </c>
      <c r="I50666" s="0" t="s">
        <v>6492</v>
      </c>
    </row>
    <row r="50667" customFormat="false" ht="12.8" hidden="false" customHeight="false" outlineLevel="0" collapsed="false">
      <c r="B50667" s="0" t="s">
        <v>186</v>
      </c>
      <c r="C50667" s="0" t="s">
        <v>6493</v>
      </c>
      <c r="E50667" s="0" t="s">
        <v>180</v>
      </c>
      <c r="F50667" s="0" t="s">
        <v>6031</v>
      </c>
      <c r="H50667" s="0" t="s">
        <v>6494</v>
      </c>
      <c r="I50667" s="0" t="s">
        <v>6495</v>
      </c>
    </row>
    <row r="50669" customFormat="false" ht="12.8" hidden="false" customHeight="false" outlineLevel="0" collapsed="false">
      <c r="A50669" s="0" t="s">
        <v>17748</v>
      </c>
      <c r="B50669" s="0" t="str">
        <f aca="false">HYPERLINK("https://lindat.mff.cuni.cz/services/teitok/pdtc10/index.php?action=vallex&amp;frame=v-w7132f2_ZU", "ulevit se (v-w7132f2_ZU)")</f>
        <v>ulevit se (v-w7132f2_ZU)</v>
      </c>
    </row>
    <row r="50670" customFormat="false" ht="12.8" hidden="false" customHeight="false" outlineLevel="0" collapsed="false">
      <c r="B50670" s="0" t="s">
        <v>804</v>
      </c>
    </row>
    <row r="50672" customFormat="false" ht="12.8" hidden="false" customHeight="false" outlineLevel="0" collapsed="false">
      <c r="A50672" s="0" t="s">
        <v>17748</v>
      </c>
      <c r="B50672" s="0" t="str">
        <f aca="false">HYPERLINK("https://lindat.mff.cuni.cz/services/teitok/pdtc10/index.php?action=vallex&amp;frame=v-w7132f1", "ulevit se (v-w7132f1) - substituted with v-w7132f2_ZU")</f>
        <v>ulevit se (v-w7132f1) - substituted with v-w7132f2_ZU</v>
      </c>
    </row>
    <row r="50673" customFormat="false" ht="12.8" hidden="false" customHeight="false" outlineLevel="0" collapsed="false">
      <c r="B50673" s="0" t="s">
        <v>804</v>
      </c>
    </row>
    <row r="50675" customFormat="false" ht="12.8" hidden="false" customHeight="false" outlineLevel="0" collapsed="false">
      <c r="A50675" s="0" t="s">
        <v>17749</v>
      </c>
      <c r="B50675" s="0" t="str">
        <f aca="false">HYPERLINK("https://lindat.mff.cuni.cz/services/teitok/pdtc10/index.php?action=vallex&amp;frame=v-w7132hsa_171", "ulevit se (v-w7132hsa_171)")</f>
        <v>ulevit se (v-w7132hsa_171)</v>
      </c>
    </row>
    <row r="50676" customFormat="false" ht="12.8" hidden="false" customHeight="false" outlineLevel="0" collapsed="false">
      <c r="B50676" s="0" t="s">
        <v>1</v>
      </c>
    </row>
    <row r="50677" customFormat="false" ht="12.8" hidden="false" customHeight="false" outlineLevel="0" collapsed="false">
      <c r="B50677" s="0" t="s">
        <v>3382</v>
      </c>
    </row>
    <row r="50679" customFormat="false" ht="12.8" hidden="false" customHeight="false" outlineLevel="0" collapsed="false">
      <c r="A50679" s="0" t="s">
        <v>17750</v>
      </c>
      <c r="B50679" s="0" t="str">
        <f aca="false">HYPERLINK("https://lindat.mff.cuni.cz/services/teitok/pdtc10/index.php?action=vallex&amp;frame=v-w11609_ZUf1_ZU", "ulevit si (v-w11609_ZUf1_ZU)")</f>
        <v>ulevit si (v-w11609_ZUf1_ZU)</v>
      </c>
    </row>
    <row r="50680" customFormat="false" ht="12.8" hidden="false" customHeight="false" outlineLevel="0" collapsed="false">
      <c r="B50680" s="0" t="s">
        <v>1</v>
      </c>
    </row>
    <row r="50682" customFormat="false" ht="12.8" hidden="false" customHeight="false" outlineLevel="0" collapsed="false">
      <c r="A50682" s="0" t="s">
        <v>17751</v>
      </c>
      <c r="B50682" s="0" t="str">
        <f aca="false">HYPERLINK("https://lindat.mff.cuni.cz/services/teitok/pdtc10/index.php?action=vallex&amp;frame=v-w11842_ZUf1_ZU", "ulomit (v-w11842_ZUf1_ZU)")</f>
        <v>ulomit (v-w11842_ZUf1_ZU)</v>
      </c>
    </row>
    <row r="50683" customFormat="false" ht="12.8" hidden="false" customHeight="false" outlineLevel="0" collapsed="false">
      <c r="B50683" s="0" t="s">
        <v>1</v>
      </c>
    </row>
    <row r="50684" customFormat="false" ht="12.8" hidden="false" customHeight="false" outlineLevel="0" collapsed="false">
      <c r="B50684" s="0" t="s">
        <v>8</v>
      </c>
    </row>
    <row r="50686" customFormat="false" ht="12.8" hidden="false" customHeight="false" outlineLevel="0" collapsed="false">
      <c r="A50686" s="0" t="s">
        <v>17752</v>
      </c>
      <c r="B50686" s="0" t="str">
        <f aca="false">HYPERLINK("https://lindat.mff.cuni.cz/services/teitok/pdtc10/index.php?action=vallex&amp;frame=v-w12380_MMf1_MM", "ulomit se (v-w12380_MMf1_MM)")</f>
        <v>ulomit se (v-w12380_MMf1_MM)</v>
      </c>
    </row>
    <row r="50687" customFormat="false" ht="12.8" hidden="false" customHeight="false" outlineLevel="0" collapsed="false">
      <c r="B50687" s="0" t="s">
        <v>1</v>
      </c>
    </row>
    <row r="50689" customFormat="false" ht="12.8" hidden="false" customHeight="false" outlineLevel="0" collapsed="false">
      <c r="A50689" s="0" t="s">
        <v>17753</v>
      </c>
      <c r="B50689" s="0" t="str">
        <f aca="false">HYPERLINK("https://lindat.mff.cuni.cz/services/teitok/pdtc10/index.php?action=vallex&amp;frame=v-w10127f2", "uloupit (v-w10127f2)")</f>
        <v>uloupit (v-w10127f2)</v>
      </c>
      <c r="E50689" s="0" t="str">
        <f aca="false">HYPERLINK("https://lindat.mff.cuni.cz/services/SynSemClass40/SynSemClass40.html?veclass=vec00704#vec00704-ces-cm00065", "vec00704")</f>
        <v>vec00704</v>
      </c>
      <c r="F50689" s="0" t="s">
        <v>588</v>
      </c>
      <c r="H50689" s="0" t="str">
        <f aca="false">HYPERLINK("https://lindat.mff.cuni.cz/services/SynSemClass40/SynSemClass40.html?veclass=vec01425#vec01425-ces-cm00015", "vec01425")</f>
        <v>vec01425</v>
      </c>
      <c r="I50689" s="0" t="s">
        <v>589</v>
      </c>
    </row>
    <row r="50690" customFormat="false" ht="12.8" hidden="false" customHeight="false" outlineLevel="0" collapsed="false">
      <c r="B50690" s="0" t="s">
        <v>1</v>
      </c>
      <c r="C50690" s="0" t="s">
        <v>590</v>
      </c>
      <c r="E50690" s="0" t="s">
        <v>31</v>
      </c>
      <c r="F50690" s="0" t="s">
        <v>591</v>
      </c>
      <c r="H50690" s="0" t="s">
        <v>31</v>
      </c>
      <c r="I50690" s="0" t="s">
        <v>592</v>
      </c>
    </row>
    <row r="50691" customFormat="false" ht="12.8" hidden="false" customHeight="false" outlineLevel="0" collapsed="false">
      <c r="B50691" s="0" t="s">
        <v>8</v>
      </c>
      <c r="C50691" s="0" t="s">
        <v>593</v>
      </c>
      <c r="E50691" s="0" t="s">
        <v>594</v>
      </c>
      <c r="F50691" s="0" t="s">
        <v>595</v>
      </c>
      <c r="H50691" s="0" t="s">
        <v>594</v>
      </c>
      <c r="I50691" s="0" t="s">
        <v>596</v>
      </c>
    </row>
    <row r="50692" customFormat="false" ht="12.8" hidden="false" customHeight="false" outlineLevel="0" collapsed="false">
      <c r="B50692" s="0" t="s">
        <v>52</v>
      </c>
      <c r="C50692" s="0" t="s">
        <v>597</v>
      </c>
      <c r="E50692" s="0" t="s">
        <v>598</v>
      </c>
      <c r="F50692" s="0" t="s">
        <v>599</v>
      </c>
      <c r="H50692" s="0" t="s">
        <v>598</v>
      </c>
      <c r="I50692" s="0" t="s">
        <v>600</v>
      </c>
    </row>
    <row r="50694" customFormat="false" ht="12.8" hidden="false" customHeight="false" outlineLevel="0" collapsed="false">
      <c r="A50694" s="0" t="s">
        <v>17754</v>
      </c>
      <c r="B50694" s="0" t="str">
        <f aca="false">HYPERLINK("https://lindat.mff.cuni.cz/services/teitok/pdtc10/index.php?action=vallex&amp;frame=v-w7135f1", "uloupnout (v-w7135f1)")</f>
        <v>uloupnout (v-w7135f1)</v>
      </c>
    </row>
    <row r="50695" customFormat="false" ht="12.8" hidden="false" customHeight="false" outlineLevel="0" collapsed="false">
      <c r="B50695" s="0" t="s">
        <v>1</v>
      </c>
    </row>
    <row r="50696" customFormat="false" ht="12.8" hidden="false" customHeight="false" outlineLevel="0" collapsed="false">
      <c r="B50696" s="0" t="s">
        <v>8</v>
      </c>
    </row>
    <row r="50698" customFormat="false" ht="12.8" hidden="false" customHeight="false" outlineLevel="0" collapsed="false">
      <c r="A50698" s="0" t="s">
        <v>17755</v>
      </c>
      <c r="B50698" s="0" t="str">
        <f aca="false">HYPERLINK("https://lindat.mff.cuni.cz/services/teitok/pdtc10/index.php?action=vallex&amp;frame=v-w7137f1", "ulovit (v-w7137f1)")</f>
        <v>ulovit (v-w7137f1)</v>
      </c>
    </row>
    <row r="50699" customFormat="false" ht="12.8" hidden="false" customHeight="false" outlineLevel="0" collapsed="false">
      <c r="B50699" s="0" t="s">
        <v>1</v>
      </c>
    </row>
    <row r="50700" customFormat="false" ht="12.8" hidden="false" customHeight="false" outlineLevel="0" collapsed="false">
      <c r="B50700" s="0" t="s">
        <v>8</v>
      </c>
    </row>
    <row r="50702" customFormat="false" ht="12.8" hidden="false" customHeight="false" outlineLevel="0" collapsed="false">
      <c r="A50702" s="0" t="s">
        <v>17756</v>
      </c>
      <c r="B50702" s="0" t="str">
        <f aca="false">HYPERLINK("https://lindat.mff.cuni.cz/services/teitok/pdtc10/index.php?action=vallex&amp;frame=v-w7137f2", "ulovit (v-w7137f2)")</f>
        <v>ulovit (v-w7137f2)</v>
      </c>
    </row>
    <row r="50703" customFormat="false" ht="12.8" hidden="false" customHeight="false" outlineLevel="0" collapsed="false">
      <c r="B50703" s="0" t="s">
        <v>1</v>
      </c>
    </row>
    <row r="50704" customFormat="false" ht="12.8" hidden="false" customHeight="false" outlineLevel="0" collapsed="false">
      <c r="B50704" s="0" t="s">
        <v>8</v>
      </c>
    </row>
    <row r="50706" customFormat="false" ht="12.8" hidden="false" customHeight="false" outlineLevel="0" collapsed="false">
      <c r="A50706" s="0" t="s">
        <v>17757</v>
      </c>
      <c r="B50706" s="0" t="str">
        <f aca="false">HYPERLINK("https://lindat.mff.cuni.cz/services/teitok/pdtc10/index.php?action=vallex&amp;frame=v-w7140f1", "uložit (v-w7140f1)")</f>
        <v>uložit (v-w7140f1)</v>
      </c>
      <c r="E50706" s="0" t="str">
        <f aca="false">HYPERLINK("https://lindat.mff.cuni.cz/services/SynSemClass40/SynSemClass40.html?veclass=vec01407#vec01407-ces-cm00005", "vec01407")</f>
        <v>vec01407</v>
      </c>
      <c r="F50706" s="0" t="s">
        <v>3394</v>
      </c>
    </row>
    <row r="50707" customFormat="false" ht="12.8" hidden="false" customHeight="false" outlineLevel="0" collapsed="false">
      <c r="B50707" s="0" t="s">
        <v>1</v>
      </c>
      <c r="C50707" s="0" t="s">
        <v>3395</v>
      </c>
      <c r="E50707" s="0" t="s">
        <v>206</v>
      </c>
      <c r="F50707" s="0" t="s">
        <v>3396</v>
      </c>
    </row>
    <row r="50708" customFormat="false" ht="12.8" hidden="false" customHeight="false" outlineLevel="0" collapsed="false">
      <c r="B50708" s="0" t="s">
        <v>2811</v>
      </c>
      <c r="C50708" s="0" t="s">
        <v>3397</v>
      </c>
      <c r="E50708" s="0" t="s">
        <v>1871</v>
      </c>
      <c r="F50708" s="0" t="s">
        <v>3398</v>
      </c>
    </row>
    <row r="50709" customFormat="false" ht="12.8" hidden="false" customHeight="false" outlineLevel="0" collapsed="false">
      <c r="B50709" s="0" t="s">
        <v>52</v>
      </c>
      <c r="C50709" s="0" t="s">
        <v>3399</v>
      </c>
      <c r="E50709" s="0" t="s">
        <v>2287</v>
      </c>
      <c r="F50709" s="0" t="s">
        <v>3400</v>
      </c>
    </row>
    <row r="50710" customFormat="false" ht="12.8" hidden="false" customHeight="false" outlineLevel="0" collapsed="false">
      <c r="B50710" s="0" t="s">
        <v>3401</v>
      </c>
      <c r="C50710" s="0" t="s">
        <v>3402</v>
      </c>
      <c r="E50710" s="0" t="s">
        <v>3403</v>
      </c>
      <c r="F50710" s="0" t="s">
        <v>3404</v>
      </c>
    </row>
    <row r="50712" customFormat="false" ht="12.8" hidden="false" customHeight="false" outlineLevel="0" collapsed="false">
      <c r="A50712" s="0" t="s">
        <v>17758</v>
      </c>
      <c r="B50712" s="0" t="str">
        <f aca="false">HYPERLINK("https://lindat.mff.cuni.cz/services/teitok/pdtc10/index.php?action=vallex&amp;frame=v-w7140f3", "uložit (v-w7140f3)")</f>
        <v>uložit (v-w7140f3)</v>
      </c>
    </row>
    <row r="50713" customFormat="false" ht="12.8" hidden="false" customHeight="false" outlineLevel="0" collapsed="false">
      <c r="B50713" s="0" t="s">
        <v>1</v>
      </c>
    </row>
    <row r="50714" customFormat="false" ht="12.8" hidden="false" customHeight="false" outlineLevel="0" collapsed="false">
      <c r="B50714" s="0" t="s">
        <v>8</v>
      </c>
    </row>
    <row r="50715" customFormat="false" ht="12.8" hidden="false" customHeight="false" outlineLevel="0" collapsed="false">
      <c r="B50715" s="0" t="s">
        <v>5</v>
      </c>
    </row>
    <row r="50717" customFormat="false" ht="12.8" hidden="false" customHeight="false" outlineLevel="0" collapsed="false">
      <c r="A50717" s="0" t="s">
        <v>17759</v>
      </c>
      <c r="B50717" s="0" t="str">
        <f aca="false">HYPERLINK("https://lindat.mff.cuni.cz/services/teitok/pdtc10/index.php?action=vallex&amp;frame=v-w7140f2", "uložit (v-w7140f2)")</f>
        <v>uložit (v-w7140f2)</v>
      </c>
      <c r="E50717" s="0" t="str">
        <f aca="false">HYPERLINK("https://lindat.mff.cuni.cz/services/SynSemClass40/SynSemClass40.html?veclass=vec00921#vec00921-ces-cm00007", "vec00921")</f>
        <v>vec00921</v>
      </c>
      <c r="F50717" s="0" t="s">
        <v>13123</v>
      </c>
    </row>
    <row r="50718" customFormat="false" ht="12.8" hidden="false" customHeight="false" outlineLevel="0" collapsed="false">
      <c r="B50718" s="0" t="s">
        <v>1</v>
      </c>
      <c r="C50718" s="0" t="s">
        <v>2578</v>
      </c>
      <c r="E50718" s="0" t="s">
        <v>31</v>
      </c>
      <c r="F50718" s="0" t="s">
        <v>2579</v>
      </c>
    </row>
    <row r="50719" customFormat="false" ht="12.8" hidden="false" customHeight="false" outlineLevel="0" collapsed="false">
      <c r="B50719" s="0" t="s">
        <v>8</v>
      </c>
      <c r="C50719" s="0" t="s">
        <v>827</v>
      </c>
      <c r="E50719" s="0" t="s">
        <v>3201</v>
      </c>
      <c r="F50719" s="0" t="s">
        <v>13124</v>
      </c>
    </row>
    <row r="50720" customFormat="false" ht="12.8" hidden="false" customHeight="false" outlineLevel="0" collapsed="false">
      <c r="B50720" s="0" t="s">
        <v>164</v>
      </c>
      <c r="E50720" s="0" t="s">
        <v>370</v>
      </c>
      <c r="F50720" s="0" t="s">
        <v>3041</v>
      </c>
    </row>
    <row r="50722" customFormat="false" ht="12.8" hidden="false" customHeight="false" outlineLevel="0" collapsed="false">
      <c r="A50722" s="0" t="s">
        <v>17760</v>
      </c>
      <c r="B50722" s="0" t="str">
        <f aca="false">HYPERLINK("https://lindat.mff.cuni.cz/services/teitok/pdtc10/index.php?action=vallex&amp;frame=v-w7140f4", "uložit (v-w7140f4)")</f>
        <v>uložit (v-w7140f4)</v>
      </c>
    </row>
    <row r="50723" customFormat="false" ht="12.8" hidden="false" customHeight="false" outlineLevel="0" collapsed="false">
      <c r="B50723" s="0" t="s">
        <v>1</v>
      </c>
    </row>
    <row r="50724" customFormat="false" ht="12.8" hidden="false" customHeight="false" outlineLevel="0" collapsed="false">
      <c r="B50724" s="0" t="s">
        <v>17761</v>
      </c>
    </row>
    <row r="50725" customFormat="false" ht="12.8" hidden="false" customHeight="false" outlineLevel="0" collapsed="false">
      <c r="B50725" s="0" t="s">
        <v>52</v>
      </c>
    </row>
    <row r="50727" customFormat="false" ht="12.8" hidden="false" customHeight="false" outlineLevel="0" collapsed="false">
      <c r="A50727" s="0" t="s">
        <v>17762</v>
      </c>
      <c r="B50727" s="0" t="str">
        <f aca="false">HYPERLINK("https://lindat.mff.cuni.cz/services/teitok/pdtc10/index.php?action=vallex&amp;frame=v-w7141f1", "ulpívat (v-w7141f1)")</f>
        <v>ulpívat (v-w7141f1)</v>
      </c>
    </row>
    <row r="50728" customFormat="false" ht="12.8" hidden="false" customHeight="false" outlineLevel="0" collapsed="false">
      <c r="B50728" s="0" t="s">
        <v>1</v>
      </c>
    </row>
    <row r="50729" customFormat="false" ht="12.8" hidden="false" customHeight="false" outlineLevel="0" collapsed="false">
      <c r="B50729" s="0" t="s">
        <v>291</v>
      </c>
    </row>
    <row r="50731" customFormat="false" ht="12.8" hidden="false" customHeight="false" outlineLevel="0" collapsed="false">
      <c r="A50731" s="0" t="s">
        <v>17763</v>
      </c>
      <c r="B50731" s="0" t="str">
        <f aca="false">HYPERLINK("https://lindat.mff.cuni.cz/services/teitok/pdtc10/index.php?action=vallex&amp;frame=v-w7141f2", "ulpívat (v-w7141f2)")</f>
        <v>ulpívat (v-w7141f2)</v>
      </c>
    </row>
    <row r="50732" customFormat="false" ht="12.8" hidden="false" customHeight="false" outlineLevel="0" collapsed="false">
      <c r="B50732" s="0" t="s">
        <v>1</v>
      </c>
    </row>
    <row r="50733" customFormat="false" ht="12.8" hidden="false" customHeight="false" outlineLevel="0" collapsed="false">
      <c r="B50733" s="0" t="s">
        <v>5</v>
      </c>
    </row>
    <row r="50735" customFormat="false" ht="12.8" hidden="false" customHeight="false" outlineLevel="0" collapsed="false">
      <c r="A50735" s="0" t="s">
        <v>17764</v>
      </c>
      <c r="B50735" s="0" t="str">
        <f aca="false">HYPERLINK("https://lindat.mff.cuni.cz/services/teitok/pdtc10/index.php?action=vallex&amp;frame=v-w11186f2", "ulpět (v-w11186f2)")</f>
        <v>ulpět (v-w11186f2)</v>
      </c>
      <c r="E50735" s="0" t="str">
        <f aca="false">HYPERLINK("https://lindat.mff.cuni.cz/services/SynSemClass40/SynSemClass40.html?veclass=vec01534#vec01534-ces-cm00014", "vec01534")</f>
        <v>vec01534</v>
      </c>
      <c r="F50735" s="0" t="s">
        <v>6088</v>
      </c>
    </row>
    <row r="50736" customFormat="false" ht="12.8" hidden="false" customHeight="false" outlineLevel="0" collapsed="false">
      <c r="B50736" s="0" t="s">
        <v>1</v>
      </c>
      <c r="C50736" s="0" t="s">
        <v>1673</v>
      </c>
      <c r="E50736" s="0" t="s">
        <v>155</v>
      </c>
      <c r="F50736" s="0" t="s">
        <v>6090</v>
      </c>
    </row>
    <row r="50737" customFormat="false" ht="12.8" hidden="false" customHeight="false" outlineLevel="0" collapsed="false">
      <c r="B50737" s="0" t="s">
        <v>291</v>
      </c>
      <c r="C50737" s="0" t="s">
        <v>17765</v>
      </c>
      <c r="E50737" s="0" t="s">
        <v>1823</v>
      </c>
      <c r="F50737" s="0" t="s">
        <v>6093</v>
      </c>
    </row>
    <row r="50739" customFormat="false" ht="12.8" hidden="false" customHeight="false" outlineLevel="0" collapsed="false">
      <c r="A50739" s="0" t="s">
        <v>17766</v>
      </c>
      <c r="B50739" s="0" t="str">
        <f aca="false">HYPERLINK("https://lindat.mff.cuni.cz/services/teitok/pdtc10/index.php?action=vallex&amp;frame=v-w11753_ZUf1_ZU", "ulámat se (v-w11753_ZUf1_ZU)")</f>
        <v>ulámat se (v-w11753_ZUf1_ZU)</v>
      </c>
    </row>
    <row r="50740" customFormat="false" ht="12.8" hidden="false" customHeight="false" outlineLevel="0" collapsed="false">
      <c r="B50740" s="0" t="s">
        <v>1</v>
      </c>
    </row>
    <row r="50742" customFormat="false" ht="12.8" hidden="false" customHeight="false" outlineLevel="0" collapsed="false">
      <c r="A50742" s="0" t="s">
        <v>17767</v>
      </c>
      <c r="B50742" s="0" t="str">
        <f aca="false">HYPERLINK("https://lindat.mff.cuni.cz/services/teitok/pdtc10/index.php?action=vallex&amp;frame=v-w10536f2", "ulít (v-w10536f2)")</f>
        <v>ulít (v-w10536f2)</v>
      </c>
      <c r="E50742" s="0" t="str">
        <f aca="false">HYPERLINK("https://lindat.mff.cuni.cz/services/SynSemClass40/SynSemClass40.html?veclass=vec01338#vec01338-ces-cm00003", "vec01338")</f>
        <v>vec01338</v>
      </c>
      <c r="F50742" s="0" t="s">
        <v>17768</v>
      </c>
    </row>
    <row r="50743" customFormat="false" ht="12.8" hidden="false" customHeight="false" outlineLevel="0" collapsed="false">
      <c r="B50743" s="0" t="s">
        <v>1</v>
      </c>
      <c r="E50743" s="0" t="s">
        <v>1573</v>
      </c>
      <c r="F50743" s="0" t="s">
        <v>3191</v>
      </c>
    </row>
    <row r="50744" customFormat="false" ht="12.8" hidden="false" customHeight="false" outlineLevel="0" collapsed="false">
      <c r="B50744" s="0" t="s">
        <v>8</v>
      </c>
      <c r="E50744" s="0" t="s">
        <v>34</v>
      </c>
      <c r="F50744" s="0" t="s">
        <v>2022</v>
      </c>
    </row>
    <row r="50746" customFormat="false" ht="12.8" hidden="false" customHeight="false" outlineLevel="0" collapsed="false">
      <c r="A50746" s="0" t="s">
        <v>17769</v>
      </c>
      <c r="B50746" s="0" t="str">
        <f aca="false">HYPERLINK("https://lindat.mff.cuni.cz/services/teitok/pdtc10/index.php?action=vallex&amp;frame=v-w7143f1", "umanout si (v-w7143f1)")</f>
        <v>umanout si (v-w7143f1)</v>
      </c>
    </row>
    <row r="50747" customFormat="false" ht="12.8" hidden="false" customHeight="false" outlineLevel="0" collapsed="false">
      <c r="B50747" s="0" t="s">
        <v>1</v>
      </c>
    </row>
    <row r="50748" customFormat="false" ht="12.8" hidden="false" customHeight="false" outlineLevel="0" collapsed="false">
      <c r="B50748" s="0" t="s">
        <v>500</v>
      </c>
    </row>
    <row r="50750" customFormat="false" ht="12.8" hidden="false" customHeight="false" outlineLevel="0" collapsed="false">
      <c r="A50750" s="0" t="s">
        <v>17770</v>
      </c>
      <c r="B50750" s="0" t="str">
        <f aca="false">HYPERLINK("https://lindat.mff.cuni.cz/services/teitok/pdtc10/index.php?action=vallex&amp;frame=v-w7154f1", "umisťovat (v-w7154f1)")</f>
        <v>umisťovat (v-w7154f1)</v>
      </c>
      <c r="E50750" s="0" t="str">
        <f aca="false">HYPERLINK("https://lindat.mff.cuni.cz/services/SynSemClass40/SynSemClass40.html?veclass=vec00735#vec00735-ces-cm00146", "vec00735")</f>
        <v>vec00735</v>
      </c>
      <c r="F50750" s="0" t="s">
        <v>2719</v>
      </c>
      <c r="H50750" s="0" t="str">
        <f aca="false">HYPERLINK("https://lindat.mff.cuni.cz/services/SynSemClass40/SynSemClass40.html?veclass=vec01470#vec01470-ces-cm00004", "vec01470")</f>
        <v>vec01470</v>
      </c>
      <c r="I50750" s="0" t="s">
        <v>13291</v>
      </c>
    </row>
    <row r="50751" customFormat="false" ht="12.8" hidden="false" customHeight="false" outlineLevel="0" collapsed="false">
      <c r="B50751" s="0" t="s">
        <v>1</v>
      </c>
      <c r="C50751" s="0" t="s">
        <v>17771</v>
      </c>
      <c r="E50751" s="0" t="s">
        <v>334</v>
      </c>
      <c r="F50751" s="0" t="s">
        <v>2721</v>
      </c>
      <c r="H50751" s="0" t="s">
        <v>31</v>
      </c>
      <c r="I50751" s="0" t="s">
        <v>13293</v>
      </c>
    </row>
    <row r="50752" customFormat="false" ht="12.8" hidden="false" customHeight="false" outlineLevel="0" collapsed="false">
      <c r="B50752" s="0" t="s">
        <v>8</v>
      </c>
      <c r="C50752" s="0" t="s">
        <v>17772</v>
      </c>
      <c r="E50752" s="0" t="s">
        <v>2648</v>
      </c>
      <c r="F50752" s="0" t="s">
        <v>2723</v>
      </c>
      <c r="H50752" s="0" t="s">
        <v>1569</v>
      </c>
      <c r="I50752" s="0" t="s">
        <v>13295</v>
      </c>
    </row>
    <row r="50753" customFormat="false" ht="12.8" hidden="false" customHeight="false" outlineLevel="0" collapsed="false">
      <c r="B50753" s="0" t="s">
        <v>5</v>
      </c>
      <c r="C50753" s="0" t="s">
        <v>6068</v>
      </c>
      <c r="E50753" s="0" t="s">
        <v>3254</v>
      </c>
      <c r="F50753" s="0" t="s">
        <v>6069</v>
      </c>
      <c r="H50753" s="0" t="s">
        <v>3254</v>
      </c>
      <c r="I50753" s="0" t="s">
        <v>3255</v>
      </c>
    </row>
    <row r="50755" customFormat="false" ht="12.8" hidden="false" customHeight="false" outlineLevel="0" collapsed="false">
      <c r="A50755" s="0" t="s">
        <v>17773</v>
      </c>
      <c r="B50755" s="0" t="str">
        <f aca="false">HYPERLINK("https://lindat.mff.cuni.cz/services/teitok/pdtc10/index.php?action=vallex&amp;frame=v-w7154f2", "umisťovat (v-w7154f2)")</f>
        <v>umisťovat (v-w7154f2)</v>
      </c>
      <c r="E50755" s="0" t="str">
        <f aca="false">HYPERLINK("https://lindat.mff.cuni.cz/services/SynSemClass40/SynSemClass40.html?veclass=vec00735#vec00735-ces-cm00147", "vec00735")</f>
        <v>vec00735</v>
      </c>
      <c r="F50755" s="0" t="s">
        <v>2719</v>
      </c>
      <c r="H50755" s="0" t="str">
        <f aca="false">HYPERLINK("https://lindat.mff.cuni.cz/services/SynSemClass40/SynSemClass40.html?veclass=vec01470#vec01470-ces-cm00005", "vec01470")</f>
        <v>vec01470</v>
      </c>
      <c r="I50755" s="0" t="s">
        <v>13291</v>
      </c>
    </row>
    <row r="50756" customFormat="false" ht="12.8" hidden="false" customHeight="false" outlineLevel="0" collapsed="false">
      <c r="B50756" s="0" t="s">
        <v>1</v>
      </c>
      <c r="C50756" s="0" t="s">
        <v>17771</v>
      </c>
      <c r="E50756" s="0" t="s">
        <v>334</v>
      </c>
      <c r="F50756" s="0" t="s">
        <v>2721</v>
      </c>
      <c r="H50756" s="0" t="s">
        <v>31</v>
      </c>
      <c r="I50756" s="0" t="s">
        <v>13293</v>
      </c>
    </row>
    <row r="50757" customFormat="false" ht="12.8" hidden="false" customHeight="false" outlineLevel="0" collapsed="false">
      <c r="B50757" s="0" t="s">
        <v>8</v>
      </c>
      <c r="C50757" s="0" t="s">
        <v>17772</v>
      </c>
      <c r="E50757" s="0" t="s">
        <v>2648</v>
      </c>
      <c r="F50757" s="0" t="s">
        <v>2723</v>
      </c>
      <c r="H50757" s="0" t="s">
        <v>1569</v>
      </c>
      <c r="I50757" s="0" t="s">
        <v>13295</v>
      </c>
    </row>
    <row r="50758" customFormat="false" ht="12.8" hidden="false" customHeight="false" outlineLevel="0" collapsed="false">
      <c r="B50758" s="0" t="s">
        <v>164</v>
      </c>
      <c r="C50758" s="0" t="s">
        <v>2724</v>
      </c>
      <c r="E50758" s="0" t="s">
        <v>370</v>
      </c>
      <c r="F50758" s="0" t="s">
        <v>2725</v>
      </c>
      <c r="H50758" s="0" t="s">
        <v>370</v>
      </c>
      <c r="I50758" s="0" t="s">
        <v>3041</v>
      </c>
    </row>
    <row r="50760" customFormat="false" ht="12.8" hidden="false" customHeight="false" outlineLevel="0" collapsed="false">
      <c r="A50760" s="0" t="s">
        <v>17774</v>
      </c>
      <c r="B50760" s="0" t="str">
        <f aca="false">HYPERLINK("https://lindat.mff.cuni.cz/services/teitok/pdtc10/index.php?action=vallex&amp;frame=v-w11985_ZUf1_ZU", "umisťovat se (v-w11985_ZUf1_ZU)")</f>
        <v>umisťovat se (v-w11985_ZUf1_ZU)</v>
      </c>
    </row>
    <row r="50761" customFormat="false" ht="12.8" hidden="false" customHeight="false" outlineLevel="0" collapsed="false">
      <c r="B50761" s="0" t="s">
        <v>1</v>
      </c>
    </row>
    <row r="50762" customFormat="false" ht="12.8" hidden="false" customHeight="false" outlineLevel="0" collapsed="false">
      <c r="B50762" s="0" t="s">
        <v>1262</v>
      </c>
    </row>
    <row r="50764" customFormat="false" ht="12.8" hidden="false" customHeight="false" outlineLevel="0" collapsed="false">
      <c r="A50764" s="0" t="s">
        <v>17775</v>
      </c>
      <c r="B50764" s="0" t="str">
        <f aca="false">HYPERLINK("https://lindat.mff.cuni.cz/services/teitok/pdtc10/index.php?action=vallex&amp;frame=v-w11077f2", "umlknout (v-w11077f2)")</f>
        <v>umlknout (v-w11077f2)</v>
      </c>
    </row>
    <row r="50765" customFormat="false" ht="12.8" hidden="false" customHeight="false" outlineLevel="0" collapsed="false">
      <c r="B50765" s="0" t="s">
        <v>1</v>
      </c>
    </row>
    <row r="50767" customFormat="false" ht="12.8" hidden="false" customHeight="false" outlineLevel="0" collapsed="false">
      <c r="A50767" s="0" t="s">
        <v>17776</v>
      </c>
      <c r="B50767" s="0" t="str">
        <f aca="false">HYPERLINK("https://lindat.mff.cuni.cz/services/teitok/pdtc10/index.php?action=vallex&amp;frame=v-w11077f3_ZU", "umlknout (v-w11077f3_ZU)")</f>
        <v>umlknout (v-w11077f3_ZU)</v>
      </c>
    </row>
    <row r="50768" customFormat="false" ht="12.8" hidden="false" customHeight="false" outlineLevel="0" collapsed="false">
      <c r="B50768" s="0" t="s">
        <v>1</v>
      </c>
    </row>
    <row r="50770" customFormat="false" ht="12.8" hidden="false" customHeight="false" outlineLevel="0" collapsed="false">
      <c r="A50770" s="0" t="s">
        <v>17777</v>
      </c>
      <c r="B50770" s="0" t="str">
        <f aca="false">HYPERLINK("https://lindat.mff.cuni.cz/services/teitok/pdtc10/index.php?action=vallex&amp;frame=v-w11833_ZUf2_ZU", "umluvit (v-w11833_ZUf2_ZU)")</f>
        <v>umluvit (v-w11833_ZUf2_ZU)</v>
      </c>
    </row>
    <row r="50771" customFormat="false" ht="12.8" hidden="false" customHeight="false" outlineLevel="0" collapsed="false">
      <c r="B50771" s="0" t="s">
        <v>1</v>
      </c>
    </row>
    <row r="50772" customFormat="false" ht="12.8" hidden="false" customHeight="false" outlineLevel="0" collapsed="false">
      <c r="B50772" s="0" t="s">
        <v>98</v>
      </c>
    </row>
    <row r="50773" customFormat="false" ht="12.8" hidden="false" customHeight="false" outlineLevel="0" collapsed="false">
      <c r="B50773" s="0" t="s">
        <v>17778</v>
      </c>
    </row>
    <row r="50775" customFormat="false" ht="12.8" hidden="false" customHeight="false" outlineLevel="0" collapsed="false">
      <c r="A50775" s="0" t="s">
        <v>17777</v>
      </c>
      <c r="B50775" s="0" t="str">
        <f aca="false">HYPERLINK("https://lindat.mff.cuni.cz/services/teitok/pdtc10/index.php?action=vallex&amp;frame=v-w11833_ZUf1_ZU", "umluvit (v-w11833_ZUf1_ZU) - substituted with v-w11833_ZUf2_ZU")</f>
        <v>umluvit (v-w11833_ZUf1_ZU) - substituted with v-w11833_ZUf2_ZU</v>
      </c>
    </row>
    <row r="50776" customFormat="false" ht="12.8" hidden="false" customHeight="false" outlineLevel="0" collapsed="false">
      <c r="B50776" s="0" t="s">
        <v>1</v>
      </c>
    </row>
    <row r="50777" customFormat="false" ht="12.8" hidden="false" customHeight="false" outlineLevel="0" collapsed="false">
      <c r="B50777" s="0" t="s">
        <v>98</v>
      </c>
    </row>
    <row r="50778" customFormat="false" ht="12.8" hidden="false" customHeight="false" outlineLevel="0" collapsed="false">
      <c r="B50778" s="0" t="s">
        <v>17778</v>
      </c>
    </row>
    <row r="50780" customFormat="false" ht="12.8" hidden="false" customHeight="false" outlineLevel="0" collapsed="false">
      <c r="A50780" s="0" t="s">
        <v>17779</v>
      </c>
      <c r="B50780" s="0" t="str">
        <f aca="false">HYPERLINK("https://lindat.mff.cuni.cz/services/teitok/pdtc10/index.php?action=vallex&amp;frame=v-w7157f1", "umlčet (v-w7157f1)")</f>
        <v>umlčet (v-w7157f1)</v>
      </c>
      <c r="E50780" s="0" t="str">
        <f aca="false">HYPERLINK("https://lindat.mff.cuni.cz/services/SynSemClass40/SynSemClass40.html?veclass=vec00091#vec00091-ces-cm00008", "vec00091")</f>
        <v>vec00091</v>
      </c>
      <c r="F50780" s="0" t="s">
        <v>13102</v>
      </c>
    </row>
    <row r="50781" customFormat="false" ht="12.8" hidden="false" customHeight="false" outlineLevel="0" collapsed="false">
      <c r="B50781" s="0" t="s">
        <v>1</v>
      </c>
      <c r="C50781" s="0" t="s">
        <v>447</v>
      </c>
      <c r="E50781" s="0" t="s">
        <v>7246</v>
      </c>
      <c r="F50781" s="0" t="s">
        <v>13103</v>
      </c>
    </row>
    <row r="50782" customFormat="false" ht="12.8" hidden="false" customHeight="false" outlineLevel="0" collapsed="false">
      <c r="B50782" s="0" t="s">
        <v>8</v>
      </c>
      <c r="C50782" s="0" t="s">
        <v>2627</v>
      </c>
      <c r="E50782" s="0" t="s">
        <v>6961</v>
      </c>
      <c r="F50782" s="0" t="s">
        <v>13104</v>
      </c>
    </row>
    <row r="50784" customFormat="false" ht="12.8" hidden="false" customHeight="false" outlineLevel="0" collapsed="false">
      <c r="A50784" s="0" t="s">
        <v>17780</v>
      </c>
      <c r="B50784" s="0" t="str">
        <f aca="false">HYPERLINK("https://lindat.mff.cuni.cz/services/teitok/pdtc10/index.php?action=vallex&amp;frame=v-w7158f1", "umlčovat (v-w7158f1)")</f>
        <v>umlčovat (v-w7158f1)</v>
      </c>
      <c r="E50784" s="0" t="str">
        <f aca="false">HYPERLINK("https://lindat.mff.cuni.cz/services/SynSemClass40/SynSemClass40.html?veclass=vec00091#vec00091-ces-cm00025", "vec00091")</f>
        <v>vec00091</v>
      </c>
      <c r="F50784" s="0" t="s">
        <v>13102</v>
      </c>
    </row>
    <row r="50785" customFormat="false" ht="12.8" hidden="false" customHeight="false" outlineLevel="0" collapsed="false">
      <c r="B50785" s="0" t="s">
        <v>1</v>
      </c>
      <c r="C50785" s="0" t="s">
        <v>447</v>
      </c>
      <c r="E50785" s="0" t="s">
        <v>7246</v>
      </c>
      <c r="F50785" s="0" t="s">
        <v>13103</v>
      </c>
    </row>
    <row r="50786" customFormat="false" ht="12.8" hidden="false" customHeight="false" outlineLevel="0" collapsed="false">
      <c r="B50786" s="0" t="s">
        <v>8</v>
      </c>
      <c r="C50786" s="0" t="s">
        <v>2627</v>
      </c>
      <c r="E50786" s="0" t="s">
        <v>6961</v>
      </c>
      <c r="F50786" s="0" t="s">
        <v>13104</v>
      </c>
    </row>
    <row r="50788" customFormat="false" ht="12.8" hidden="false" customHeight="false" outlineLevel="0" collapsed="false">
      <c r="A50788" s="0" t="s">
        <v>17781</v>
      </c>
      <c r="B50788" s="0" t="str">
        <f aca="false">HYPERLINK("https://lindat.mff.cuni.cz/services/teitok/pdtc10/index.php?action=vallex&amp;frame=v-w7161f1", "umocnit (v-w7161f1)")</f>
        <v>umocnit (v-w7161f1)</v>
      </c>
      <c r="E50788" s="0" t="str">
        <f aca="false">HYPERLINK("https://lindat.mff.cuni.cz/services/SynSemClass40/SynSemClass40.html?veclass=vec00785#vec00785-ces-cm00112", "vec00785")</f>
        <v>vec00785</v>
      </c>
      <c r="F50788" s="0" t="s">
        <v>5463</v>
      </c>
    </row>
    <row r="50789" customFormat="false" ht="12.8" hidden="false" customHeight="false" outlineLevel="0" collapsed="false">
      <c r="B50789" s="0" t="s">
        <v>1</v>
      </c>
      <c r="C50789" s="0" t="s">
        <v>12308</v>
      </c>
      <c r="E50789" s="0" t="s">
        <v>76</v>
      </c>
      <c r="F50789" s="0" t="s">
        <v>5466</v>
      </c>
    </row>
    <row r="50790" customFormat="false" ht="12.8" hidden="false" customHeight="false" outlineLevel="0" collapsed="false">
      <c r="B50790" s="0" t="s">
        <v>8</v>
      </c>
      <c r="C50790" s="0" t="s">
        <v>12309</v>
      </c>
      <c r="E50790" s="0" t="s">
        <v>142</v>
      </c>
      <c r="F50790" s="0" t="s">
        <v>5469</v>
      </c>
    </row>
    <row r="50792" customFormat="false" ht="12.8" hidden="false" customHeight="false" outlineLevel="0" collapsed="false">
      <c r="A50792" s="0" t="s">
        <v>17782</v>
      </c>
      <c r="B50792" s="0" t="str">
        <f aca="false">HYPERLINK("https://lindat.mff.cuni.cz/services/teitok/pdtc10/index.php?action=vallex&amp;frame=v-w7161f2", "umocnit (v-w7161f2)")</f>
        <v>umocnit (v-w7161f2)</v>
      </c>
    </row>
    <row r="50793" customFormat="false" ht="12.8" hidden="false" customHeight="false" outlineLevel="0" collapsed="false">
      <c r="B50793" s="0" t="s">
        <v>1</v>
      </c>
    </row>
    <row r="50794" customFormat="false" ht="12.8" hidden="false" customHeight="false" outlineLevel="0" collapsed="false">
      <c r="B50794" s="0" t="s">
        <v>8</v>
      </c>
    </row>
    <row r="50796" customFormat="false" ht="12.8" hidden="false" customHeight="false" outlineLevel="0" collapsed="false">
      <c r="A50796" s="0" t="s">
        <v>17783</v>
      </c>
      <c r="B50796" s="0" t="str">
        <f aca="false">HYPERLINK("https://lindat.mff.cuni.cz/services/teitok/pdtc10/index.php?action=vallex&amp;frame=v-w7162f1", "umocňovat (v-w7162f1)")</f>
        <v>umocňovat (v-w7162f1)</v>
      </c>
    </row>
    <row r="50797" customFormat="false" ht="12.8" hidden="false" customHeight="false" outlineLevel="0" collapsed="false">
      <c r="B50797" s="0" t="s">
        <v>1</v>
      </c>
    </row>
    <row r="50798" customFormat="false" ht="12.8" hidden="false" customHeight="false" outlineLevel="0" collapsed="false">
      <c r="B50798" s="0" t="s">
        <v>8</v>
      </c>
    </row>
    <row r="50800" customFormat="false" ht="12.8" hidden="false" customHeight="false" outlineLevel="0" collapsed="false">
      <c r="A50800" s="0" t="s">
        <v>17784</v>
      </c>
      <c r="B50800" s="0" t="str">
        <f aca="false">HYPERLINK("https://lindat.mff.cuni.cz/services/teitok/pdtc10/index.php?action=vallex&amp;frame=v-w7162f2", "umocňovat (v-w7162f2)")</f>
        <v>umocňovat (v-w7162f2)</v>
      </c>
    </row>
    <row r="50801" customFormat="false" ht="12.8" hidden="false" customHeight="false" outlineLevel="0" collapsed="false">
      <c r="B50801" s="0" t="s">
        <v>1</v>
      </c>
    </row>
    <row r="50802" customFormat="false" ht="12.8" hidden="false" customHeight="false" outlineLevel="0" collapsed="false">
      <c r="B50802" s="0" t="s">
        <v>8</v>
      </c>
    </row>
    <row r="50804" customFormat="false" ht="12.8" hidden="false" customHeight="false" outlineLevel="0" collapsed="false">
      <c r="A50804" s="0" t="s">
        <v>17785</v>
      </c>
      <c r="B50804" s="0" t="str">
        <f aca="false">HYPERLINK("https://lindat.mff.cuni.cz/services/teitok/pdtc10/index.php?action=vallex&amp;frame=v-w7165f1", "umoudřit se (v-w7165f1)")</f>
        <v>umoudřit se (v-w7165f1)</v>
      </c>
    </row>
    <row r="50805" customFormat="false" ht="12.8" hidden="false" customHeight="false" outlineLevel="0" collapsed="false">
      <c r="B50805" s="0" t="s">
        <v>1</v>
      </c>
    </row>
    <row r="50807" customFormat="false" ht="12.8" hidden="false" customHeight="false" outlineLevel="0" collapsed="false">
      <c r="A50807" s="0" t="s">
        <v>17786</v>
      </c>
      <c r="B50807" s="0" t="str">
        <f aca="false">HYPERLINK("https://lindat.mff.cuni.cz/services/teitok/pdtc10/index.php?action=vallex&amp;frame=v-w7165f2", "umoudřit se (v-w7165f2)")</f>
        <v>umoudřit se (v-w7165f2)</v>
      </c>
    </row>
    <row r="50808" customFormat="false" ht="12.8" hidden="false" customHeight="false" outlineLevel="0" collapsed="false">
      <c r="B50808" s="0" t="s">
        <v>1</v>
      </c>
    </row>
    <row r="50810" customFormat="false" ht="12.8" hidden="false" customHeight="false" outlineLevel="0" collapsed="false">
      <c r="A50810" s="0" t="s">
        <v>17787</v>
      </c>
      <c r="B50810" s="0" t="str">
        <f aca="false">HYPERLINK("https://lindat.mff.cuni.cz/services/teitok/pdtc10/index.php?action=vallex&amp;frame=v-w10952f2", "umořit (v-w10952f2)")</f>
        <v>umořit (v-w10952f2)</v>
      </c>
      <c r="E50810" s="0" t="str">
        <f aca="false">HYPERLINK("https://lindat.mff.cuni.cz/services/SynSemClass40/SynSemClass40.html?veclass=vec00125#vec00125-ces-cm00065", "vec00125")</f>
        <v>vec00125</v>
      </c>
      <c r="F50810" s="0" t="s">
        <v>2552</v>
      </c>
    </row>
    <row r="50811" customFormat="false" ht="12.8" hidden="false" customHeight="false" outlineLevel="0" collapsed="false">
      <c r="B50811" s="0" t="s">
        <v>1</v>
      </c>
      <c r="C50811" s="0" t="s">
        <v>2553</v>
      </c>
      <c r="E50811" s="0" t="s">
        <v>2554</v>
      </c>
      <c r="F50811" s="0" t="s">
        <v>2555</v>
      </c>
    </row>
    <row r="50812" customFormat="false" ht="12.8" hidden="false" customHeight="false" outlineLevel="0" collapsed="false">
      <c r="B50812" s="0" t="s">
        <v>8</v>
      </c>
      <c r="C50812" s="0" t="s">
        <v>2556</v>
      </c>
      <c r="E50812" s="0" t="s">
        <v>2557</v>
      </c>
      <c r="F50812" s="0" t="s">
        <v>2558</v>
      </c>
    </row>
    <row r="50814" customFormat="false" ht="12.8" hidden="false" customHeight="false" outlineLevel="0" collapsed="false">
      <c r="A50814" s="0" t="s">
        <v>17788</v>
      </c>
      <c r="B50814" s="0" t="str">
        <f aca="false">HYPERLINK("https://lindat.mff.cuni.cz/services/teitok/pdtc10/index.php?action=vallex&amp;frame=v-w7164f1", "umořovat (v-w7164f1)")</f>
        <v>umořovat (v-w7164f1)</v>
      </c>
      <c r="E50814" s="0" t="str">
        <f aca="false">HYPERLINK("https://lindat.mff.cuni.cz/services/SynSemClass40/SynSemClass40.html?veclass=vec00125#vec00125-ces-cm00192", "vec00125")</f>
        <v>vec00125</v>
      </c>
      <c r="F50814" s="0" t="s">
        <v>2552</v>
      </c>
    </row>
    <row r="50815" customFormat="false" ht="12.8" hidden="false" customHeight="false" outlineLevel="0" collapsed="false">
      <c r="B50815" s="0" t="s">
        <v>1</v>
      </c>
      <c r="C50815" s="0" t="s">
        <v>2553</v>
      </c>
      <c r="E50815" s="0" t="s">
        <v>2554</v>
      </c>
      <c r="F50815" s="0" t="s">
        <v>2555</v>
      </c>
    </row>
    <row r="50816" customFormat="false" ht="12.8" hidden="false" customHeight="false" outlineLevel="0" collapsed="false">
      <c r="B50816" s="0" t="s">
        <v>8</v>
      </c>
      <c r="C50816" s="0" t="s">
        <v>2556</v>
      </c>
      <c r="E50816" s="0" t="s">
        <v>2557</v>
      </c>
      <c r="F50816" s="0" t="s">
        <v>2558</v>
      </c>
    </row>
    <row r="50818" customFormat="false" ht="12.8" hidden="false" customHeight="false" outlineLevel="0" collapsed="false">
      <c r="A50818" s="0" t="s">
        <v>17789</v>
      </c>
      <c r="B50818" s="0" t="str">
        <f aca="false">HYPERLINK("https://lindat.mff.cuni.cz/services/teitok/pdtc10/index.php?action=vallex&amp;frame=v-w7167f3_ZU", "umožnit (v-w7167f3_ZU)")</f>
        <v>umožnit (v-w7167f3_ZU)</v>
      </c>
      <c r="E50818" s="0" t="str">
        <f aca="false">HYPERLINK("https://lindat.mff.cuni.cz/services/SynSemClass40/SynSemClass40.html?veclass=vec00012#vec00012-ces-cm00041", "vec00012")</f>
        <v>vec00012</v>
      </c>
      <c r="F50818" s="0" t="s">
        <v>3078</v>
      </c>
      <c r="H50818" s="0" t="str">
        <f aca="false">HYPERLINK("https://lindat.mff.cuni.cz/services/SynSemClass40/SynSemClass40.html?veclass=vec01419#vec01419-ces-cm00014", "vec01419")</f>
        <v>vec01419</v>
      </c>
      <c r="I50818" s="0" t="s">
        <v>3428</v>
      </c>
    </row>
    <row r="50819" customFormat="false" ht="12.8" hidden="false" customHeight="false" outlineLevel="0" collapsed="false">
      <c r="B50819" s="0" t="s">
        <v>1</v>
      </c>
      <c r="C50819" s="0" t="s">
        <v>3475</v>
      </c>
      <c r="E50819" s="0" t="s">
        <v>206</v>
      </c>
      <c r="F50819" s="0" t="s">
        <v>3080</v>
      </c>
      <c r="H50819" s="0" t="s">
        <v>206</v>
      </c>
      <c r="I50819" s="0" t="s">
        <v>3430</v>
      </c>
    </row>
    <row r="50820" customFormat="false" ht="12.8" hidden="false" customHeight="false" outlineLevel="0" collapsed="false">
      <c r="B50820" s="0" t="s">
        <v>17790</v>
      </c>
      <c r="C50820" s="0" t="s">
        <v>17791</v>
      </c>
      <c r="E50820" s="0" t="s">
        <v>3083</v>
      </c>
      <c r="F50820" s="0" t="s">
        <v>3084</v>
      </c>
      <c r="H50820" s="0" t="s">
        <v>523</v>
      </c>
      <c r="I50820" s="0" t="s">
        <v>3434</v>
      </c>
    </row>
    <row r="50821" customFormat="false" ht="12.8" hidden="false" customHeight="false" outlineLevel="0" collapsed="false">
      <c r="B50821" s="0" t="s">
        <v>52</v>
      </c>
      <c r="C50821" s="0" t="s">
        <v>3480</v>
      </c>
      <c r="E50821" s="0" t="s">
        <v>2287</v>
      </c>
      <c r="F50821" s="0" t="s">
        <v>3086</v>
      </c>
      <c r="H50821" s="0" t="s">
        <v>2287</v>
      </c>
      <c r="I50821" s="0" t="s">
        <v>3436</v>
      </c>
    </row>
    <row r="50823" customFormat="false" ht="12.8" hidden="false" customHeight="false" outlineLevel="0" collapsed="false">
      <c r="A50823" s="0" t="s">
        <v>17789</v>
      </c>
      <c r="B50823" s="0" t="str">
        <f aca="false">HYPERLINK("https://lindat.mff.cuni.cz/services/teitok/pdtc10/index.php?action=vallex&amp;frame=v-w7167f1", "umožnit (v-w7167f1) - substituted with v-w7167f3_ZU")</f>
        <v>umožnit (v-w7167f1) - substituted with v-w7167f3_ZU</v>
      </c>
    </row>
    <row r="50824" customFormat="false" ht="12.8" hidden="false" customHeight="false" outlineLevel="0" collapsed="false">
      <c r="B50824" s="0" t="s">
        <v>1</v>
      </c>
    </row>
    <row r="50825" customFormat="false" ht="12.8" hidden="false" customHeight="false" outlineLevel="0" collapsed="false">
      <c r="B50825" s="0" t="s">
        <v>17790</v>
      </c>
    </row>
    <row r="50826" customFormat="false" ht="12.8" hidden="false" customHeight="false" outlineLevel="0" collapsed="false">
      <c r="B50826" s="0" t="s">
        <v>52</v>
      </c>
    </row>
    <row r="50828" customFormat="false" ht="12.8" hidden="false" customHeight="false" outlineLevel="0" collapsed="false">
      <c r="A50828" s="0" t="s">
        <v>17789</v>
      </c>
      <c r="B50828" s="0" t="str">
        <f aca="false">HYPERLINK("https://lindat.mff.cuni.cz/services/teitok/pdtc10/index.php?action=vallex&amp;frame=v-w7167hsa_182", "umožnit (v-w7167hsa_182) - substituted with v-w7167f3_ZU")</f>
        <v>umožnit (v-w7167hsa_182) - substituted with v-w7167f3_ZU</v>
      </c>
    </row>
    <row r="50829" customFormat="false" ht="12.8" hidden="false" customHeight="false" outlineLevel="0" collapsed="false">
      <c r="B50829" s="0" t="s">
        <v>1</v>
      </c>
    </row>
    <row r="50830" customFormat="false" ht="12.8" hidden="false" customHeight="false" outlineLevel="0" collapsed="false">
      <c r="B50830" s="0" t="s">
        <v>17790</v>
      </c>
    </row>
    <row r="50831" customFormat="false" ht="12.8" hidden="false" customHeight="false" outlineLevel="0" collapsed="false">
      <c r="B50831" s="0" t="s">
        <v>52</v>
      </c>
    </row>
    <row r="50833" customFormat="false" ht="12.8" hidden="false" customHeight="false" outlineLevel="0" collapsed="false">
      <c r="A50833" s="0" t="s">
        <v>17792</v>
      </c>
      <c r="B50833" s="0" t="str">
        <f aca="false">HYPERLINK("https://lindat.mff.cuni.cz/services/teitok/pdtc10/index.php?action=vallex&amp;frame=v-w7167f2", "umožnit (v-w7167f2)")</f>
        <v>umožnit (v-w7167f2)</v>
      </c>
      <c r="E50833" s="0" t="str">
        <f aca="false">HYPERLINK("https://lindat.mff.cuni.cz/services/SynSemClass40/SynSemClass40.html?veclass=vec00012#vec00012-ces-cm00040", "vec00012")</f>
        <v>vec00012</v>
      </c>
      <c r="F50833" s="0" t="s">
        <v>3078</v>
      </c>
    </row>
    <row r="50834" customFormat="false" ht="12.8" hidden="false" customHeight="false" outlineLevel="0" collapsed="false">
      <c r="B50834" s="0" t="s">
        <v>1</v>
      </c>
      <c r="C50834" s="0" t="s">
        <v>3079</v>
      </c>
      <c r="E50834" s="0" t="s">
        <v>206</v>
      </c>
      <c r="F50834" s="0" t="s">
        <v>3080</v>
      </c>
    </row>
    <row r="50835" customFormat="false" ht="12.8" hidden="false" customHeight="false" outlineLevel="0" collapsed="false">
      <c r="B50835" s="0" t="s">
        <v>8</v>
      </c>
      <c r="C50835" s="0" t="s">
        <v>17793</v>
      </c>
      <c r="E50835" s="0" t="s">
        <v>17794</v>
      </c>
      <c r="F50835" s="0" t="s">
        <v>17795</v>
      </c>
    </row>
    <row r="50837" customFormat="false" ht="12.8" hidden="false" customHeight="false" outlineLevel="0" collapsed="false">
      <c r="A50837" s="0" t="s">
        <v>17796</v>
      </c>
      <c r="B50837" s="0" t="str">
        <f aca="false">HYPERLINK("https://lindat.mff.cuni.cz/services/teitok/pdtc10/index.php?action=vallex&amp;frame=v-w7168f1", "umožňovat (v-w7168f1)")</f>
        <v>umožňovat (v-w7168f1)</v>
      </c>
      <c r="E50837" s="0" t="str">
        <f aca="false">HYPERLINK("https://lindat.mff.cuni.cz/services/SynSemClass40/SynSemClass40.html?veclass=vec00012#vec00012-ces-cm00042", "vec00012")</f>
        <v>vec00012</v>
      </c>
      <c r="F50837" s="0" t="s">
        <v>3078</v>
      </c>
      <c r="H50837" s="0" t="str">
        <f aca="false">HYPERLINK("https://lindat.mff.cuni.cz/services/SynSemClass40/SynSemClass40.html?veclass=vec01419#vec01419-ces-cm00015", "vec01419")</f>
        <v>vec01419</v>
      </c>
      <c r="I50837" s="0" t="s">
        <v>3428</v>
      </c>
    </row>
    <row r="50838" customFormat="false" ht="12.8" hidden="false" customHeight="false" outlineLevel="0" collapsed="false">
      <c r="B50838" s="0" t="s">
        <v>1</v>
      </c>
      <c r="C50838" s="0" t="s">
        <v>3475</v>
      </c>
      <c r="E50838" s="0" t="s">
        <v>206</v>
      </c>
      <c r="F50838" s="0" t="s">
        <v>3080</v>
      </c>
      <c r="H50838" s="0" t="s">
        <v>206</v>
      </c>
      <c r="I50838" s="0" t="s">
        <v>3430</v>
      </c>
    </row>
    <row r="50839" customFormat="false" ht="12.8" hidden="false" customHeight="false" outlineLevel="0" collapsed="false">
      <c r="B50839" s="0" t="s">
        <v>6636</v>
      </c>
      <c r="C50839" s="0" t="s">
        <v>17791</v>
      </c>
      <c r="E50839" s="0" t="s">
        <v>3083</v>
      </c>
      <c r="F50839" s="0" t="s">
        <v>3084</v>
      </c>
      <c r="H50839" s="0" t="s">
        <v>523</v>
      </c>
      <c r="I50839" s="0" t="s">
        <v>3434</v>
      </c>
    </row>
    <row r="50840" customFormat="false" ht="12.8" hidden="false" customHeight="false" outlineLevel="0" collapsed="false">
      <c r="B50840" s="0" t="s">
        <v>52</v>
      </c>
      <c r="C50840" s="0" t="s">
        <v>3480</v>
      </c>
      <c r="E50840" s="0" t="s">
        <v>2287</v>
      </c>
      <c r="F50840" s="0" t="s">
        <v>3086</v>
      </c>
      <c r="H50840" s="0" t="s">
        <v>2287</v>
      </c>
      <c r="I50840" s="0" t="s">
        <v>3436</v>
      </c>
    </row>
    <row r="50842" customFormat="false" ht="12.8" hidden="false" customHeight="false" outlineLevel="0" collapsed="false">
      <c r="A50842" s="0" t="s">
        <v>17797</v>
      </c>
      <c r="B50842" s="0" t="str">
        <f aca="false">HYPERLINK("https://lindat.mff.cuni.cz/services/teitok/pdtc10/index.php?action=vallex&amp;frame=v-w7168f2", "umožňovat (v-w7168f2)")</f>
        <v>umožňovat (v-w7168f2)</v>
      </c>
      <c r="E50842" s="0" t="str">
        <f aca="false">HYPERLINK("https://lindat.mff.cuni.cz/services/SynSemClass40/SynSemClass40.html?veclass=vec00012#vec00012-ces-cm00043", "vec00012")</f>
        <v>vec00012</v>
      </c>
      <c r="F50842" s="0" t="s">
        <v>3078</v>
      </c>
    </row>
    <row r="50843" customFormat="false" ht="12.8" hidden="false" customHeight="false" outlineLevel="0" collapsed="false">
      <c r="B50843" s="0" t="s">
        <v>1</v>
      </c>
      <c r="C50843" s="0" t="s">
        <v>3079</v>
      </c>
      <c r="E50843" s="0" t="s">
        <v>206</v>
      </c>
      <c r="F50843" s="0" t="s">
        <v>3080</v>
      </c>
    </row>
    <row r="50844" customFormat="false" ht="12.8" hidden="false" customHeight="false" outlineLevel="0" collapsed="false">
      <c r="B50844" s="0" t="s">
        <v>4687</v>
      </c>
      <c r="C50844" s="0" t="s">
        <v>17793</v>
      </c>
      <c r="E50844" s="0" t="s">
        <v>17794</v>
      </c>
      <c r="F50844" s="0" t="s">
        <v>17795</v>
      </c>
    </row>
    <row r="50846" customFormat="false" ht="12.8" hidden="false" customHeight="false" outlineLevel="0" collapsed="false">
      <c r="A50846" s="0" t="s">
        <v>17798</v>
      </c>
      <c r="B50846" s="0" t="str">
        <f aca="false">HYPERLINK("https://lindat.mff.cuni.cz/services/teitok/pdtc10/index.php?action=vallex&amp;frame=v-w11765_ZUf1_ZU", "umíchat (v-w11765_ZUf1_ZU)")</f>
        <v>umíchat (v-w11765_ZUf1_ZU)</v>
      </c>
    </row>
    <row r="50847" customFormat="false" ht="12.8" hidden="false" customHeight="false" outlineLevel="0" collapsed="false">
      <c r="B50847" s="0" t="s">
        <v>1</v>
      </c>
    </row>
    <row r="50848" customFormat="false" ht="12.8" hidden="false" customHeight="false" outlineLevel="0" collapsed="false">
      <c r="B50848" s="0" t="s">
        <v>8</v>
      </c>
    </row>
    <row r="50850" customFormat="false" ht="12.8" hidden="false" customHeight="false" outlineLevel="0" collapsed="false">
      <c r="A50850" s="0" t="s">
        <v>17799</v>
      </c>
      <c r="B50850" s="0" t="str">
        <f aca="false">HYPERLINK("https://lindat.mff.cuni.cz/services/teitok/pdtc10/index.php?action=vallex&amp;frame=v-w7147f1", "umínit si (v-w7147f1)")</f>
        <v>umínit si (v-w7147f1)</v>
      </c>
    </row>
    <row r="50851" customFormat="false" ht="12.8" hidden="false" customHeight="false" outlineLevel="0" collapsed="false">
      <c r="B50851" s="0" t="s">
        <v>1</v>
      </c>
    </row>
    <row r="50852" customFormat="false" ht="12.8" hidden="false" customHeight="false" outlineLevel="0" collapsed="false">
      <c r="B50852" s="0" t="s">
        <v>17800</v>
      </c>
    </row>
    <row r="50854" customFormat="false" ht="12.8" hidden="false" customHeight="false" outlineLevel="0" collapsed="false">
      <c r="A50854" s="0" t="s">
        <v>17801</v>
      </c>
      <c r="B50854" s="0" t="str">
        <f aca="false">HYPERLINK("https://lindat.mff.cuni.cz/services/teitok/pdtc10/index.php?action=vallex&amp;frame=v-w7148f1", "umírat (v-w7148f1)")</f>
        <v>umírat (v-w7148f1)</v>
      </c>
      <c r="E50854" s="0" t="str">
        <f aca="false">HYPERLINK("https://lindat.mff.cuni.cz/services/SynSemClass40/SynSemClass40.html?veclass=vec00383#vec00383-ces-cm00005", "vec00383")</f>
        <v>vec00383</v>
      </c>
      <c r="F50854" s="0" t="s">
        <v>10390</v>
      </c>
    </row>
    <row r="50855" customFormat="false" ht="12.8" hidden="false" customHeight="false" outlineLevel="0" collapsed="false">
      <c r="B50855" s="0" t="s">
        <v>1</v>
      </c>
      <c r="C50855" s="0" t="s">
        <v>10391</v>
      </c>
      <c r="E50855" s="0" t="s">
        <v>11</v>
      </c>
      <c r="F50855" s="0" t="s">
        <v>10392</v>
      </c>
    </row>
    <row r="50857" customFormat="false" ht="12.8" hidden="false" customHeight="false" outlineLevel="0" collapsed="false">
      <c r="A50857" s="0" t="s">
        <v>17802</v>
      </c>
      <c r="B50857" s="0" t="str">
        <f aca="false">HYPERLINK("https://lindat.mff.cuni.cz/services/teitok/pdtc10/index.php?action=vallex&amp;frame=v-whsa_687hsa_688", "umírnit (v-whsa_687hsa_688)")</f>
        <v>umírnit (v-whsa_687hsa_688)</v>
      </c>
      <c r="E50857" s="0" t="str">
        <f aca="false">HYPERLINK("https://lindat.mff.cuni.cz/services/SynSemClass40/SynSemClass40.html?veclass=vec00536#vec00536-ces-cm00014", "vec00536")</f>
        <v>vec00536</v>
      </c>
      <c r="F50857" s="0" t="s">
        <v>1395</v>
      </c>
    </row>
    <row r="50858" customFormat="false" ht="12.8" hidden="false" customHeight="false" outlineLevel="0" collapsed="false">
      <c r="B50858" s="0" t="s">
        <v>1</v>
      </c>
      <c r="C50858" s="0" t="s">
        <v>1396</v>
      </c>
      <c r="E50858" s="0" t="s">
        <v>1103</v>
      </c>
      <c r="F50858" s="0" t="s">
        <v>1397</v>
      </c>
    </row>
    <row r="50859" customFormat="false" ht="12.8" hidden="false" customHeight="false" outlineLevel="0" collapsed="false">
      <c r="B50859" s="0" t="s">
        <v>8</v>
      </c>
      <c r="C50859" s="0" t="s">
        <v>1398</v>
      </c>
      <c r="E50859" s="0" t="s">
        <v>1399</v>
      </c>
      <c r="F50859" s="0" t="s">
        <v>1400</v>
      </c>
    </row>
    <row r="50861" customFormat="false" ht="12.8" hidden="false" customHeight="false" outlineLevel="0" collapsed="false">
      <c r="A50861" s="0" t="s">
        <v>17803</v>
      </c>
      <c r="B50861" s="0" t="str">
        <f aca="false">HYPERLINK("https://lindat.mff.cuni.cz/services/teitok/pdtc10/index.php?action=vallex&amp;frame=v-w7150f1", "umístit (v-w7150f1)")</f>
        <v>umístit (v-w7150f1)</v>
      </c>
      <c r="E50861" s="0" t="str">
        <f aca="false">HYPERLINK("https://lindat.mff.cuni.cz/services/SynSemClass40/SynSemClass40.html?veclass=vec00735#vec00735-ces-cm00001", "vec00735")</f>
        <v>vec00735</v>
      </c>
      <c r="F50861" s="0" t="s">
        <v>2719</v>
      </c>
      <c r="H50861" s="0" t="str">
        <f aca="false">HYPERLINK("https://lindat.mff.cuni.cz/services/SynSemClass40/SynSemClass40.html?veclass=vec01470#vec01470-ces-cm00002", "vec01470")</f>
        <v>vec01470</v>
      </c>
      <c r="I50861" s="0" t="s">
        <v>13291</v>
      </c>
    </row>
    <row r="50862" customFormat="false" ht="12.8" hidden="false" customHeight="false" outlineLevel="0" collapsed="false">
      <c r="B50862" s="0" t="s">
        <v>1</v>
      </c>
      <c r="C50862" s="0" t="s">
        <v>17771</v>
      </c>
      <c r="E50862" s="0" t="s">
        <v>334</v>
      </c>
      <c r="F50862" s="0" t="s">
        <v>2721</v>
      </c>
      <c r="H50862" s="0" t="s">
        <v>31</v>
      </c>
      <c r="I50862" s="0" t="s">
        <v>13293</v>
      </c>
    </row>
    <row r="50863" customFormat="false" ht="12.8" hidden="false" customHeight="false" outlineLevel="0" collapsed="false">
      <c r="B50863" s="0" t="s">
        <v>8</v>
      </c>
      <c r="C50863" s="0" t="s">
        <v>17772</v>
      </c>
      <c r="E50863" s="0" t="s">
        <v>2648</v>
      </c>
      <c r="F50863" s="0" t="s">
        <v>2723</v>
      </c>
      <c r="H50863" s="0" t="s">
        <v>1569</v>
      </c>
      <c r="I50863" s="0" t="s">
        <v>13295</v>
      </c>
    </row>
    <row r="50864" customFormat="false" ht="12.8" hidden="false" customHeight="false" outlineLevel="0" collapsed="false">
      <c r="B50864" s="0" t="s">
        <v>5</v>
      </c>
      <c r="C50864" s="0" t="s">
        <v>6068</v>
      </c>
      <c r="E50864" s="0" t="s">
        <v>3254</v>
      </c>
      <c r="F50864" s="0" t="s">
        <v>6069</v>
      </c>
      <c r="H50864" s="0" t="s">
        <v>3254</v>
      </c>
      <c r="I50864" s="0" t="s">
        <v>3255</v>
      </c>
    </row>
    <row r="50866" customFormat="false" ht="12.8" hidden="false" customHeight="false" outlineLevel="0" collapsed="false">
      <c r="A50866" s="0" t="s">
        <v>17804</v>
      </c>
      <c r="B50866" s="0" t="str">
        <f aca="false">HYPERLINK("https://lindat.mff.cuni.cz/services/teitok/pdtc10/index.php?action=vallex&amp;frame=v-w7150f2", "umístit (v-w7150f2)")</f>
        <v>umístit (v-w7150f2)</v>
      </c>
      <c r="E50866" s="0" t="str">
        <f aca="false">HYPERLINK("https://lindat.mff.cuni.cz/services/SynSemClass40/SynSemClass40.html?veclass=vec00735#vec00735-ces-cm00042", "vec00735")</f>
        <v>vec00735</v>
      </c>
      <c r="F50866" s="0" t="s">
        <v>2719</v>
      </c>
      <c r="H50866" s="0" t="str">
        <f aca="false">HYPERLINK("https://lindat.mff.cuni.cz/services/SynSemClass40/SynSemClass40.html?veclass=vec01470#vec01470-ces-cm00003", "vec01470")</f>
        <v>vec01470</v>
      </c>
      <c r="I50866" s="0" t="s">
        <v>13291</v>
      </c>
    </row>
    <row r="50867" customFormat="false" ht="12.8" hidden="false" customHeight="false" outlineLevel="0" collapsed="false">
      <c r="B50867" s="0" t="s">
        <v>1</v>
      </c>
      <c r="C50867" s="0" t="s">
        <v>17771</v>
      </c>
      <c r="E50867" s="0" t="s">
        <v>334</v>
      </c>
      <c r="F50867" s="0" t="s">
        <v>2721</v>
      </c>
      <c r="H50867" s="0" t="s">
        <v>31</v>
      </c>
      <c r="I50867" s="0" t="s">
        <v>13293</v>
      </c>
    </row>
    <row r="50868" customFormat="false" ht="12.8" hidden="false" customHeight="false" outlineLevel="0" collapsed="false">
      <c r="B50868" s="0" t="s">
        <v>8</v>
      </c>
      <c r="C50868" s="0" t="s">
        <v>17772</v>
      </c>
      <c r="E50868" s="0" t="s">
        <v>2648</v>
      </c>
      <c r="F50868" s="0" t="s">
        <v>2723</v>
      </c>
      <c r="H50868" s="0" t="s">
        <v>1569</v>
      </c>
      <c r="I50868" s="0" t="s">
        <v>13295</v>
      </c>
    </row>
    <row r="50869" customFormat="false" ht="12.8" hidden="false" customHeight="false" outlineLevel="0" collapsed="false">
      <c r="B50869" s="0" t="s">
        <v>164</v>
      </c>
      <c r="C50869" s="0" t="s">
        <v>2724</v>
      </c>
      <c r="E50869" s="0" t="s">
        <v>370</v>
      </c>
      <c r="F50869" s="0" t="s">
        <v>2725</v>
      </c>
      <c r="H50869" s="0" t="s">
        <v>370</v>
      </c>
      <c r="I50869" s="0" t="s">
        <v>3041</v>
      </c>
    </row>
    <row r="50871" customFormat="false" ht="12.8" hidden="false" customHeight="false" outlineLevel="0" collapsed="false">
      <c r="A50871" s="0" t="s">
        <v>17805</v>
      </c>
      <c r="B50871" s="0" t="str">
        <f aca="false">HYPERLINK("https://lindat.mff.cuni.cz/services/teitok/pdtc10/index.php?action=vallex&amp;frame=v-w7151f1", "umístit se (v-w7151f1)")</f>
        <v>umístit se (v-w7151f1)</v>
      </c>
    </row>
    <row r="50872" customFormat="false" ht="12.8" hidden="false" customHeight="false" outlineLevel="0" collapsed="false">
      <c r="B50872" s="0" t="s">
        <v>1</v>
      </c>
    </row>
    <row r="50873" customFormat="false" ht="12.8" hidden="false" customHeight="false" outlineLevel="0" collapsed="false">
      <c r="B50873" s="0" t="s">
        <v>5</v>
      </c>
    </row>
    <row r="50875" customFormat="false" ht="12.8" hidden="false" customHeight="false" outlineLevel="0" collapsed="false">
      <c r="A50875" s="0" t="s">
        <v>17806</v>
      </c>
      <c r="B50875" s="0" t="str">
        <f aca="false">HYPERLINK("https://lindat.mff.cuni.cz/services/teitok/pdtc10/index.php?action=vallex&amp;frame=v-w7155f1", "umísťovat (v-w7155f1)")</f>
        <v>umísťovat (v-w7155f1)</v>
      </c>
      <c r="E50875" s="0" t="str">
        <f aca="false">HYPERLINK("https://lindat.mff.cuni.cz/services/SynSemClass40/SynSemClass40.html?veclass=vec00440#vec00440-ces-cm00012", "vec00440")</f>
        <v>vec00440</v>
      </c>
      <c r="F50875" s="0" t="s">
        <v>4833</v>
      </c>
      <c r="H50875" s="0" t="str">
        <f aca="false">HYPERLINK("https://lindat.mff.cuni.cz/services/SynSemClass40/SynSemClass40.html?veclass=vec01470#vec01470-ces-cm00006", "vec01470")</f>
        <v>vec01470</v>
      </c>
      <c r="I50875" s="0" t="s">
        <v>13291</v>
      </c>
    </row>
    <row r="50876" customFormat="false" ht="12.8" hidden="false" customHeight="false" outlineLevel="0" collapsed="false">
      <c r="B50876" s="0" t="s">
        <v>1</v>
      </c>
      <c r="C50876" s="0" t="s">
        <v>2209</v>
      </c>
      <c r="E50876" s="0" t="s">
        <v>31</v>
      </c>
      <c r="F50876" s="0" t="s">
        <v>4835</v>
      </c>
      <c r="H50876" s="0" t="s">
        <v>31</v>
      </c>
      <c r="I50876" s="0" t="s">
        <v>13293</v>
      </c>
    </row>
    <row r="50877" customFormat="false" ht="12.8" hidden="false" customHeight="false" outlineLevel="0" collapsed="false">
      <c r="B50877" s="0" t="s">
        <v>8</v>
      </c>
      <c r="C50877" s="0" t="s">
        <v>17807</v>
      </c>
      <c r="E50877" s="0" t="s">
        <v>1569</v>
      </c>
      <c r="F50877" s="0" t="s">
        <v>4836</v>
      </c>
      <c r="H50877" s="0" t="s">
        <v>1569</v>
      </c>
      <c r="I50877" s="0" t="s">
        <v>13295</v>
      </c>
    </row>
    <row r="50878" customFormat="false" ht="12.8" hidden="false" customHeight="false" outlineLevel="0" collapsed="false">
      <c r="B50878" s="0" t="s">
        <v>5</v>
      </c>
      <c r="C50878" s="0" t="s">
        <v>17808</v>
      </c>
      <c r="E50878" s="0" t="s">
        <v>3254</v>
      </c>
      <c r="F50878" s="0" t="s">
        <v>4561</v>
      </c>
      <c r="H50878" s="0" t="s">
        <v>3254</v>
      </c>
      <c r="I50878" s="0" t="s">
        <v>3255</v>
      </c>
    </row>
    <row r="50880" customFormat="false" ht="12.8" hidden="false" customHeight="false" outlineLevel="0" collapsed="false">
      <c r="A50880" s="0" t="s">
        <v>17809</v>
      </c>
      <c r="B50880" s="0" t="str">
        <f aca="false">HYPERLINK("https://lindat.mff.cuni.cz/services/teitok/pdtc10/index.php?action=vallex&amp;frame=v-w7155f2", "umísťovat (v-w7155f2)")</f>
        <v>umísťovat (v-w7155f2)</v>
      </c>
    </row>
    <row r="50881" customFormat="false" ht="12.8" hidden="false" customHeight="false" outlineLevel="0" collapsed="false">
      <c r="B50881" s="0" t="s">
        <v>1</v>
      </c>
    </row>
    <row r="50882" customFormat="false" ht="12.8" hidden="false" customHeight="false" outlineLevel="0" collapsed="false">
      <c r="B50882" s="0" t="s">
        <v>8</v>
      </c>
    </row>
    <row r="50883" customFormat="false" ht="12.8" hidden="false" customHeight="false" outlineLevel="0" collapsed="false">
      <c r="B50883" s="0" t="s">
        <v>164</v>
      </c>
    </row>
    <row r="50885" customFormat="false" ht="12.8" hidden="false" customHeight="false" outlineLevel="0" collapsed="false">
      <c r="A50885" s="0" t="s">
        <v>17810</v>
      </c>
      <c r="B50885" s="0" t="str">
        <f aca="false">HYPERLINK("https://lindat.mff.cuni.cz/services/teitok/pdtc10/index.php?action=vallex&amp;frame=v-w7156f1", "umísťovat se (v-w7156f1)")</f>
        <v>umísťovat se (v-w7156f1)</v>
      </c>
    </row>
    <row r="50886" customFormat="false" ht="12.8" hidden="false" customHeight="false" outlineLevel="0" collapsed="false">
      <c r="B50886" s="0" t="s">
        <v>1</v>
      </c>
    </row>
    <row r="50887" customFormat="false" ht="12.8" hidden="false" customHeight="false" outlineLevel="0" collapsed="false">
      <c r="B50887" s="0" t="s">
        <v>5</v>
      </c>
    </row>
    <row r="50889" customFormat="false" ht="12.8" hidden="false" customHeight="false" outlineLevel="0" collapsed="false">
      <c r="A50889" s="0" t="s">
        <v>17811</v>
      </c>
      <c r="B50889" s="0" t="str">
        <f aca="false">HYPERLINK("https://lindat.mff.cuni.cz/services/teitok/pdtc10/index.php?action=vallex&amp;frame=v-w7174f1", "umýt (v-w7174f1)")</f>
        <v>umýt (v-w7174f1)</v>
      </c>
      <c r="E50889" s="0" t="str">
        <f aca="false">HYPERLINK("https://lindat.mff.cuni.cz/services/SynSemClass40/SynSemClass40.html?veclass=vec00552#vec00552-ces-cm00020", "vec00552")</f>
        <v>vec00552</v>
      </c>
      <c r="F50889" s="0" t="s">
        <v>5992</v>
      </c>
      <c r="H50889" s="0" t="str">
        <f aca="false">HYPERLINK("https://lindat.mff.cuni.cz/services/SynSemClass40/SynSemClass40.html?veclass=vec01525#vec01525-ces-cm00011", "vec01525")</f>
        <v>vec01525</v>
      </c>
      <c r="I50889" s="0" t="s">
        <v>5689</v>
      </c>
    </row>
    <row r="50890" customFormat="false" ht="12.8" hidden="false" customHeight="false" outlineLevel="0" collapsed="false">
      <c r="B50890" s="0" t="s">
        <v>1</v>
      </c>
      <c r="C50890" s="0" t="s">
        <v>428</v>
      </c>
      <c r="E50890" s="0" t="s">
        <v>31</v>
      </c>
      <c r="F50890" s="0" t="s">
        <v>5993</v>
      </c>
      <c r="H50890" s="0" t="s">
        <v>5690</v>
      </c>
      <c r="I50890" s="0" t="s">
        <v>5691</v>
      </c>
    </row>
    <row r="50891" customFormat="false" ht="12.8" hidden="false" customHeight="false" outlineLevel="0" collapsed="false">
      <c r="B50891" s="0" t="s">
        <v>8</v>
      </c>
      <c r="C50891" s="0" t="s">
        <v>17812</v>
      </c>
      <c r="E50891" s="0" t="s">
        <v>34</v>
      </c>
      <c r="F50891" s="0" t="s">
        <v>5995</v>
      </c>
      <c r="H50891" s="0" t="s">
        <v>5693</v>
      </c>
      <c r="I50891" s="0" t="s">
        <v>5694</v>
      </c>
    </row>
    <row r="50893" customFormat="false" ht="12.8" hidden="false" customHeight="false" outlineLevel="0" collapsed="false">
      <c r="A50893" s="0" t="s">
        <v>17813</v>
      </c>
      <c r="B50893" s="0" t="str">
        <f aca="false">HYPERLINK("https://lindat.mff.cuni.cz/services/teitok/pdtc10/index.php?action=vallex&amp;frame=v-w11282f2", "umýt si (v-w11282f2)")</f>
        <v>umýt si (v-w11282f2)</v>
      </c>
      <c r="E50893" s="0" t="str">
        <f aca="false">HYPERLINK("https://lindat.mff.cuni.cz/services/SynSemClass40/SynSemClass40.html?veclass=vec01137#vec01137-ces-cm00001", "vec01137")</f>
        <v>vec01137</v>
      </c>
      <c r="F50893" s="0" t="s">
        <v>17814</v>
      </c>
    </row>
    <row r="50894" customFormat="false" ht="12.8" hidden="false" customHeight="false" outlineLevel="0" collapsed="false">
      <c r="B50894" s="0" t="s">
        <v>1</v>
      </c>
      <c r="C50894" s="0" t="s">
        <v>459</v>
      </c>
      <c r="E50894" s="0" t="s">
        <v>11</v>
      </c>
      <c r="F50894" s="0" t="s">
        <v>1486</v>
      </c>
    </row>
    <row r="50895" customFormat="false" ht="12.8" hidden="false" customHeight="false" outlineLevel="0" collapsed="false">
      <c r="B50895" s="0" t="s">
        <v>17815</v>
      </c>
    </row>
    <row r="50896" customFormat="false" ht="12.8" hidden="false" customHeight="false" outlineLevel="0" collapsed="false">
      <c r="B50896" s="0" t="s">
        <v>4070</v>
      </c>
      <c r="C50896" s="0" t="s">
        <v>798</v>
      </c>
      <c r="E50896" s="0" t="s">
        <v>532</v>
      </c>
      <c r="F50896" s="0" t="s">
        <v>533</v>
      </c>
    </row>
    <row r="50898" customFormat="false" ht="12.8" hidden="false" customHeight="false" outlineLevel="0" collapsed="false">
      <c r="A50898" s="0" t="s">
        <v>17816</v>
      </c>
      <c r="B50898" s="0" t="str">
        <f aca="false">HYPERLINK("https://lindat.mff.cuni.cz/services/teitok/pdtc10/index.php?action=vallex&amp;frame=v-w11226f2", "umývat (v-w11226f2)")</f>
        <v>umývat (v-w11226f2)</v>
      </c>
      <c r="E50898" s="0" t="str">
        <f aca="false">HYPERLINK("https://lindat.mff.cuni.cz/services/SynSemClass40/SynSemClass40.html?veclass=vec01525#vec01525-ces-cm00013", "vec01525")</f>
        <v>vec01525</v>
      </c>
      <c r="F50898" s="0" t="s">
        <v>5689</v>
      </c>
    </row>
    <row r="50899" customFormat="false" ht="12.8" hidden="false" customHeight="false" outlineLevel="0" collapsed="false">
      <c r="B50899" s="0" t="s">
        <v>1</v>
      </c>
      <c r="C50899" s="0" t="s">
        <v>4114</v>
      </c>
      <c r="E50899" s="0" t="s">
        <v>5690</v>
      </c>
      <c r="F50899" s="0" t="s">
        <v>5691</v>
      </c>
    </row>
    <row r="50900" customFormat="false" ht="12.8" hidden="false" customHeight="false" outlineLevel="0" collapsed="false">
      <c r="B50900" s="0" t="s">
        <v>8</v>
      </c>
      <c r="C50900" s="0" t="s">
        <v>5692</v>
      </c>
      <c r="E50900" s="0" t="s">
        <v>5693</v>
      </c>
      <c r="F50900" s="0" t="s">
        <v>5694</v>
      </c>
    </row>
    <row r="50902" customFormat="false" ht="12.8" hidden="false" customHeight="false" outlineLevel="0" collapsed="false">
      <c r="A50902" s="0" t="s">
        <v>17817</v>
      </c>
      <c r="B50902" s="0" t="str">
        <f aca="false">HYPERLINK("https://lindat.mff.cuni.cz/services/teitok/pdtc10/index.php?action=vallex&amp;frame=v-w7146f1", "umět (v-w7146f1)")</f>
        <v>umět (v-w7146f1)</v>
      </c>
      <c r="E50902" s="0" t="str">
        <f aca="false">HYPERLINK("https://lindat.mff.cuni.cz/services/SynSemClass40/SynSemClass40.html?veclass=vec01455#vec01455-ces-cm00007", "vec01455")</f>
        <v>vec01455</v>
      </c>
      <c r="F50902" s="0" t="s">
        <v>888</v>
      </c>
    </row>
    <row r="50903" customFormat="false" ht="12.8" hidden="false" customHeight="false" outlineLevel="0" collapsed="false">
      <c r="B50903" s="0" t="s">
        <v>1</v>
      </c>
      <c r="C50903" s="0" t="s">
        <v>889</v>
      </c>
      <c r="E50903" s="0" t="s">
        <v>11</v>
      </c>
      <c r="F50903" s="0" t="s">
        <v>890</v>
      </c>
    </row>
    <row r="50904" customFormat="false" ht="12.8" hidden="false" customHeight="false" outlineLevel="0" collapsed="false">
      <c r="B50904" s="0" t="s">
        <v>402</v>
      </c>
      <c r="C50904" s="0" t="s">
        <v>892</v>
      </c>
      <c r="E50904" s="0" t="s">
        <v>893</v>
      </c>
      <c r="F50904" s="0" t="s">
        <v>894</v>
      </c>
    </row>
    <row r="50906" customFormat="false" ht="12.8" hidden="false" customHeight="false" outlineLevel="0" collapsed="false">
      <c r="A50906" s="0" t="s">
        <v>17818</v>
      </c>
      <c r="B50906" s="0" t="str">
        <f aca="false">HYPERLINK("https://lindat.mff.cuni.cz/services/teitok/pdtc10/index.php?action=vallex&amp;frame=v-w7172f1", "umřít (v-w7172f1)")</f>
        <v>umřít (v-w7172f1)</v>
      </c>
      <c r="E50906" s="0" t="str">
        <f aca="false">HYPERLINK("https://lindat.mff.cuni.cz/services/SynSemClass40/SynSemClass40.html?veclass=vec00383#vec00383-ces-cm00009", "vec00383")</f>
        <v>vec00383</v>
      </c>
      <c r="F50906" s="0" t="s">
        <v>10390</v>
      </c>
    </row>
    <row r="50907" customFormat="false" ht="12.8" hidden="false" customHeight="false" outlineLevel="0" collapsed="false">
      <c r="B50907" s="0" t="s">
        <v>1</v>
      </c>
      <c r="C50907" s="0" t="s">
        <v>10391</v>
      </c>
      <c r="E50907" s="0" t="s">
        <v>11</v>
      </c>
      <c r="F50907" s="0" t="s">
        <v>10392</v>
      </c>
    </row>
    <row r="50909" customFormat="false" ht="12.8" hidden="false" customHeight="false" outlineLevel="0" collapsed="false">
      <c r="A50909" s="0" t="s">
        <v>17819</v>
      </c>
      <c r="B50909" s="0" t="str">
        <f aca="false">HYPERLINK("https://lindat.mff.cuni.cz/services/teitok/pdtc10/index.php?action=vallex&amp;frame=v-w7178f1", "unavit (v-w7178f1)")</f>
        <v>unavit (v-w7178f1)</v>
      </c>
    </row>
    <row r="50910" customFormat="false" ht="12.8" hidden="false" customHeight="false" outlineLevel="0" collapsed="false">
      <c r="B50910" s="0" t="s">
        <v>947</v>
      </c>
    </row>
    <row r="50911" customFormat="false" ht="12.8" hidden="false" customHeight="false" outlineLevel="0" collapsed="false">
      <c r="B50911" s="0" t="s">
        <v>8</v>
      </c>
    </row>
    <row r="50913" customFormat="false" ht="12.8" hidden="false" customHeight="false" outlineLevel="0" collapsed="false">
      <c r="A50913" s="0" t="s">
        <v>17820</v>
      </c>
      <c r="B50913" s="0" t="str">
        <f aca="false">HYPERLINK("https://lindat.mff.cuni.cz/services/teitok/pdtc10/index.php?action=vallex&amp;frame=v-w7179f1", "unavit se (v-w7179f1)")</f>
        <v>unavit se (v-w7179f1)</v>
      </c>
      <c r="E50913" s="0" t="str">
        <f aca="false">HYPERLINK("https://lindat.mff.cuni.cz/services/SynSemClass40/SynSemClass40.html?veclass=vec01463#vec01463-ces-cm00001", "vec01463")</f>
        <v>vec01463</v>
      </c>
      <c r="F50913" s="0" t="s">
        <v>17821</v>
      </c>
    </row>
    <row r="50914" customFormat="false" ht="12.8" hidden="false" customHeight="false" outlineLevel="0" collapsed="false">
      <c r="B50914" s="0" t="s">
        <v>1</v>
      </c>
      <c r="C50914" s="0" t="s">
        <v>17822</v>
      </c>
      <c r="E50914" s="0" t="s">
        <v>11</v>
      </c>
      <c r="F50914" s="0" t="s">
        <v>17823</v>
      </c>
    </row>
    <row r="50916" customFormat="false" ht="12.8" hidden="false" customHeight="false" outlineLevel="0" collapsed="false">
      <c r="A50916" s="0" t="s">
        <v>17824</v>
      </c>
      <c r="B50916" s="0" t="str">
        <f aca="false">HYPERLINK("https://lindat.mff.cuni.cz/services/teitok/pdtc10/index.php?action=vallex&amp;frame=v-w7180f1", "unavovat (v-w7180f1)")</f>
        <v>unavovat (v-w7180f1)</v>
      </c>
    </row>
    <row r="50917" customFormat="false" ht="12.8" hidden="false" customHeight="false" outlineLevel="0" collapsed="false">
      <c r="B50917" s="0" t="s">
        <v>947</v>
      </c>
    </row>
    <row r="50918" customFormat="false" ht="12.8" hidden="false" customHeight="false" outlineLevel="0" collapsed="false">
      <c r="B50918" s="0" t="s">
        <v>8</v>
      </c>
    </row>
    <row r="50920" customFormat="false" ht="12.8" hidden="false" customHeight="false" outlineLevel="0" collapsed="false">
      <c r="A50920" s="0" t="s">
        <v>17825</v>
      </c>
      <c r="B50920" s="0" t="str">
        <f aca="false">HYPERLINK("https://lindat.mff.cuni.cz/services/teitok/pdtc10/index.php?action=vallex&amp;frame=v-w7185f2", "unikat (v-w7185f2)")</f>
        <v>unikat (v-w7185f2)</v>
      </c>
    </row>
    <row r="50921" customFormat="false" ht="12.8" hidden="false" customHeight="false" outlineLevel="0" collapsed="false">
      <c r="B50921" s="0" t="s">
        <v>1</v>
      </c>
    </row>
    <row r="50922" customFormat="false" ht="12.8" hidden="false" customHeight="false" outlineLevel="0" collapsed="false">
      <c r="B50922" s="0" t="s">
        <v>186</v>
      </c>
    </row>
    <row r="50924" customFormat="false" ht="12.8" hidden="false" customHeight="false" outlineLevel="0" collapsed="false">
      <c r="A50924" s="0" t="s">
        <v>17826</v>
      </c>
      <c r="B50924" s="0" t="str">
        <f aca="false">HYPERLINK("https://lindat.mff.cuni.cz/services/teitok/pdtc10/index.php?action=vallex&amp;frame=v-w7185f4", "unikat (v-w7185f4)")</f>
        <v>unikat (v-w7185f4)</v>
      </c>
    </row>
    <row r="50925" customFormat="false" ht="12.8" hidden="false" customHeight="false" outlineLevel="0" collapsed="false">
      <c r="B50925" s="0" t="s">
        <v>804</v>
      </c>
    </row>
    <row r="50926" customFormat="false" ht="12.8" hidden="false" customHeight="false" outlineLevel="0" collapsed="false">
      <c r="B50926" s="0" t="s">
        <v>17631</v>
      </c>
    </row>
    <row r="50928" customFormat="false" ht="12.8" hidden="false" customHeight="false" outlineLevel="0" collapsed="false">
      <c r="A50928" s="0" t="s">
        <v>17827</v>
      </c>
      <c r="B50928" s="0" t="str">
        <f aca="false">HYPERLINK("https://lindat.mff.cuni.cz/services/teitok/pdtc10/index.php?action=vallex&amp;frame=v-w7185f1", "unikat (v-w7185f1)")</f>
        <v>unikat (v-w7185f1)</v>
      </c>
    </row>
    <row r="50929" customFormat="false" ht="12.8" hidden="false" customHeight="false" outlineLevel="0" collapsed="false">
      <c r="B50929" s="0" t="s">
        <v>1</v>
      </c>
    </row>
    <row r="50930" customFormat="false" ht="12.8" hidden="false" customHeight="false" outlineLevel="0" collapsed="false">
      <c r="B50930" s="0" t="s">
        <v>12119</v>
      </c>
    </row>
    <row r="50932" customFormat="false" ht="12.8" hidden="false" customHeight="false" outlineLevel="0" collapsed="false">
      <c r="A50932" s="0" t="s">
        <v>17828</v>
      </c>
      <c r="B50932" s="0" t="str">
        <f aca="false">HYPERLINK("https://lindat.mff.cuni.cz/services/teitok/pdtc10/index.php?action=vallex&amp;frame=v-w7185f3", "unikat (v-w7185f3)")</f>
        <v>unikat (v-w7185f3)</v>
      </c>
    </row>
    <row r="50933" customFormat="false" ht="12.8" hidden="false" customHeight="false" outlineLevel="0" collapsed="false">
      <c r="B50933" s="0" t="s">
        <v>1</v>
      </c>
    </row>
    <row r="50934" customFormat="false" ht="12.8" hidden="false" customHeight="false" outlineLevel="0" collapsed="false">
      <c r="B50934" s="0" t="s">
        <v>631</v>
      </c>
    </row>
    <row r="50936" customFormat="false" ht="12.8" hidden="false" customHeight="false" outlineLevel="0" collapsed="false">
      <c r="A50936" s="0" t="s">
        <v>17829</v>
      </c>
      <c r="B50936" s="0" t="str">
        <f aca="false">HYPERLINK("https://lindat.mff.cuni.cz/services/teitok/pdtc10/index.php?action=vallex&amp;frame=v-w7186f2", "uniknout (v-w7186f2)")</f>
        <v>uniknout (v-w7186f2)</v>
      </c>
    </row>
    <row r="50937" customFormat="false" ht="12.8" hidden="false" customHeight="false" outlineLevel="0" collapsed="false">
      <c r="B50937" s="0" t="s">
        <v>1</v>
      </c>
    </row>
    <row r="50938" customFormat="false" ht="12.8" hidden="false" customHeight="false" outlineLevel="0" collapsed="false">
      <c r="B50938" s="0" t="s">
        <v>10104</v>
      </c>
    </row>
    <row r="50940" customFormat="false" ht="12.8" hidden="false" customHeight="false" outlineLevel="0" collapsed="false">
      <c r="A50940" s="0" t="s">
        <v>17830</v>
      </c>
      <c r="B50940" s="0" t="str">
        <f aca="false">HYPERLINK("https://lindat.mff.cuni.cz/services/teitok/pdtc10/index.php?action=vallex&amp;frame=v-w7186f3", "uniknout (v-w7186f3)")</f>
        <v>uniknout (v-w7186f3)</v>
      </c>
    </row>
    <row r="50941" customFormat="false" ht="12.8" hidden="false" customHeight="false" outlineLevel="0" collapsed="false">
      <c r="B50941" s="0" t="s">
        <v>804</v>
      </c>
    </row>
    <row r="50942" customFormat="false" ht="12.8" hidden="false" customHeight="false" outlineLevel="0" collapsed="false">
      <c r="B50942" s="0" t="s">
        <v>17631</v>
      </c>
    </row>
    <row r="50944" customFormat="false" ht="12.8" hidden="false" customHeight="false" outlineLevel="0" collapsed="false">
      <c r="A50944" s="0" t="s">
        <v>17831</v>
      </c>
      <c r="B50944" s="0" t="str">
        <f aca="false">HYPERLINK("https://lindat.mff.cuni.cz/services/teitok/pdtc10/index.php?action=vallex&amp;frame=v-w7186f1", "uniknout (v-w7186f1)")</f>
        <v>uniknout (v-w7186f1)</v>
      </c>
      <c r="E50944" s="0" t="str">
        <f aca="false">HYPERLINK("https://lindat.mff.cuni.cz/services/SynSemClass40/SynSemClass40.html?veclass=vec00048#vec00048-ces-cm00195", "vec00048")</f>
        <v>vec00048</v>
      </c>
      <c r="F50944" s="0" t="s">
        <v>1945</v>
      </c>
    </row>
    <row r="50945" customFormat="false" ht="12.8" hidden="false" customHeight="false" outlineLevel="0" collapsed="false">
      <c r="B50945" s="0" t="s">
        <v>1</v>
      </c>
      <c r="C50945" s="0" t="s">
        <v>1946</v>
      </c>
      <c r="E50945" s="0" t="s">
        <v>334</v>
      </c>
      <c r="F50945" s="0" t="s">
        <v>1947</v>
      </c>
    </row>
    <row r="50946" customFormat="false" ht="12.8" hidden="false" customHeight="false" outlineLevel="0" collapsed="false">
      <c r="B50946" s="0" t="s">
        <v>631</v>
      </c>
      <c r="C50946" s="0" t="s">
        <v>1948</v>
      </c>
      <c r="E50946" s="0" t="s">
        <v>1949</v>
      </c>
      <c r="F50946" s="0" t="s">
        <v>1950</v>
      </c>
    </row>
    <row r="50948" customFormat="false" ht="12.8" hidden="false" customHeight="false" outlineLevel="0" collapsed="false">
      <c r="A50948" s="0" t="s">
        <v>17832</v>
      </c>
      <c r="B50948" s="0" t="str">
        <f aca="false">HYPERLINK("https://lindat.mff.cuni.cz/services/teitok/pdtc10/index.php?action=vallex&amp;frame=v-w7186hsa_520", "uniknout (v-w7186hsa_520)")</f>
        <v>uniknout (v-w7186hsa_520)</v>
      </c>
    </row>
    <row r="50949" customFormat="false" ht="12.8" hidden="false" customHeight="false" outlineLevel="0" collapsed="false">
      <c r="B50949" s="0" t="s">
        <v>1</v>
      </c>
    </row>
    <row r="50950" customFormat="false" ht="12.8" hidden="false" customHeight="false" outlineLevel="0" collapsed="false">
      <c r="B50950" s="0" t="s">
        <v>164</v>
      </c>
    </row>
    <row r="50952" customFormat="false" ht="12.8" hidden="false" customHeight="false" outlineLevel="0" collapsed="false">
      <c r="A50952" s="0" t="s">
        <v>17833</v>
      </c>
      <c r="B50952" s="0" t="str">
        <f aca="false">HYPERLINK("https://lindat.mff.cuni.cz/services/teitok/pdtc10/index.php?action=vallex&amp;frame=v-w7186f4_ZU", "uniknout (v-w7186f4_ZU)")</f>
        <v>uniknout (v-w7186f4_ZU)</v>
      </c>
      <c r="E50952" s="0" t="str">
        <f aca="false">HYPERLINK("https://lindat.mff.cuni.cz/services/SynSemClass40/SynSemClass40.html?veclass=vec01465#vec01465-ces-cm00003", "vec01465")</f>
        <v>vec01465</v>
      </c>
      <c r="F50952" s="0" t="s">
        <v>2890</v>
      </c>
    </row>
    <row r="50953" customFormat="false" ht="12.8" hidden="false" customHeight="false" outlineLevel="0" collapsed="false">
      <c r="B50953" s="0" t="s">
        <v>1</v>
      </c>
      <c r="C50953" s="0" t="s">
        <v>17834</v>
      </c>
      <c r="E50953" s="0" t="s">
        <v>2892</v>
      </c>
      <c r="F50953" s="0" t="s">
        <v>2894</v>
      </c>
    </row>
    <row r="50954" customFormat="false" ht="12.8" hidden="false" customHeight="false" outlineLevel="0" collapsed="false">
      <c r="B50954" s="0" t="s">
        <v>631</v>
      </c>
      <c r="C50954" s="0" t="s">
        <v>2895</v>
      </c>
      <c r="E50954" s="0" t="s">
        <v>2897</v>
      </c>
      <c r="F50954" s="0" t="s">
        <v>2898</v>
      </c>
    </row>
    <row r="50956" customFormat="false" ht="12.8" hidden="false" customHeight="false" outlineLevel="0" collapsed="false">
      <c r="A50956" s="0" t="s">
        <v>17833</v>
      </c>
      <c r="B50956" s="0" t="str">
        <f aca="false">HYPERLINK("https://lindat.mff.cuni.cz/services/teitok/pdtc10/index.php?action=vallex&amp;frame=v-w7186hsa_521", "uniknout (v-w7186hsa_521) - substituted with v-w7186f4_ZU")</f>
        <v>uniknout (v-w7186hsa_521) - substituted with v-w7186f4_ZU</v>
      </c>
    </row>
    <row r="50957" customFormat="false" ht="12.8" hidden="false" customHeight="false" outlineLevel="0" collapsed="false">
      <c r="B50957" s="0" t="s">
        <v>1</v>
      </c>
    </row>
    <row r="50958" customFormat="false" ht="12.8" hidden="false" customHeight="false" outlineLevel="0" collapsed="false">
      <c r="B50958" s="0" t="s">
        <v>631</v>
      </c>
    </row>
    <row r="50960" customFormat="false" ht="12.8" hidden="false" customHeight="false" outlineLevel="0" collapsed="false">
      <c r="A50960" s="0" t="s">
        <v>17835</v>
      </c>
      <c r="B50960" s="0" t="str">
        <f aca="false">HYPERLINK("https://lindat.mff.cuni.cz/services/teitok/pdtc10/index.php?action=vallex&amp;frame=v-w7176f2", "unášet (v-w7176f2)")</f>
        <v>unášet (v-w7176f2)</v>
      </c>
    </row>
    <row r="50961" customFormat="false" ht="12.8" hidden="false" customHeight="false" outlineLevel="0" collapsed="false">
      <c r="B50961" s="0" t="s">
        <v>944</v>
      </c>
    </row>
    <row r="50962" customFormat="false" ht="12.8" hidden="false" customHeight="false" outlineLevel="0" collapsed="false">
      <c r="B50962" s="0" t="s">
        <v>8</v>
      </c>
    </row>
    <row r="50964" customFormat="false" ht="12.8" hidden="false" customHeight="false" outlineLevel="0" collapsed="false">
      <c r="A50964" s="0" t="s">
        <v>17836</v>
      </c>
      <c r="B50964" s="0" t="str">
        <f aca="false">HYPERLINK("https://lindat.mff.cuni.cz/services/teitok/pdtc10/index.php?action=vallex&amp;frame=v-w7176f1", "unášet (v-w7176f1)")</f>
        <v>unášet (v-w7176f1)</v>
      </c>
    </row>
    <row r="50965" customFormat="false" ht="12.8" hidden="false" customHeight="false" outlineLevel="0" collapsed="false">
      <c r="B50965" s="0" t="s">
        <v>1</v>
      </c>
    </row>
    <row r="50966" customFormat="false" ht="12.8" hidden="false" customHeight="false" outlineLevel="0" collapsed="false">
      <c r="B50966" s="0" t="s">
        <v>59</v>
      </c>
    </row>
    <row r="50968" customFormat="false" ht="12.8" hidden="false" customHeight="false" outlineLevel="0" collapsed="false">
      <c r="A50968" s="0" t="s">
        <v>17837</v>
      </c>
      <c r="B50968" s="0" t="str">
        <f aca="false">HYPERLINK("https://lindat.mff.cuni.cz/services/teitok/pdtc10/index.php?action=vallex&amp;frame=v-w7176f3_ZU", "unášet (v-w7176f3_ZU)")</f>
        <v>unášet (v-w7176f3_ZU)</v>
      </c>
    </row>
    <row r="50969" customFormat="false" ht="12.8" hidden="false" customHeight="false" outlineLevel="0" collapsed="false">
      <c r="B50969" s="0" t="s">
        <v>1</v>
      </c>
    </row>
    <row r="50970" customFormat="false" ht="12.8" hidden="false" customHeight="false" outlineLevel="0" collapsed="false">
      <c r="B50970" s="0" t="s">
        <v>8</v>
      </c>
    </row>
    <row r="50972" customFormat="false" ht="12.8" hidden="false" customHeight="false" outlineLevel="0" collapsed="false">
      <c r="A50972" s="0" t="s">
        <v>17838</v>
      </c>
      <c r="B50972" s="0" t="str">
        <f aca="false">HYPERLINK("https://lindat.mff.cuni.cz/services/teitok/pdtc10/index.php?action=vallex&amp;frame=v-w7181f2", "unést (v-w7181f2)")</f>
        <v>unést (v-w7181f2)</v>
      </c>
      <c r="E50972" s="0" t="str">
        <f aca="false">HYPERLINK("https://lindat.mff.cuni.cz/services/SynSemClass40/SynSemClass40.html?veclass=vec01138#vec01138-ces-cm00003", "vec01138")</f>
        <v>vec01138</v>
      </c>
      <c r="F50972" s="0" t="s">
        <v>17839</v>
      </c>
    </row>
    <row r="50973" customFormat="false" ht="12.8" hidden="false" customHeight="false" outlineLevel="0" collapsed="false">
      <c r="B50973" s="0" t="s">
        <v>1</v>
      </c>
      <c r="C50973" s="0" t="s">
        <v>459</v>
      </c>
      <c r="E50973" s="0" t="s">
        <v>1573</v>
      </c>
      <c r="F50973" s="0" t="s">
        <v>1574</v>
      </c>
    </row>
    <row r="50974" customFormat="false" ht="12.8" hidden="false" customHeight="false" outlineLevel="0" collapsed="false">
      <c r="B50974" s="0" t="s">
        <v>8</v>
      </c>
      <c r="C50974" s="0" t="s">
        <v>744</v>
      </c>
      <c r="E50974" s="0" t="s">
        <v>199</v>
      </c>
      <c r="F50974" s="0" t="s">
        <v>5727</v>
      </c>
    </row>
    <row r="50975" customFormat="false" ht="12.8" hidden="false" customHeight="false" outlineLevel="0" collapsed="false">
      <c r="B50975" s="0" t="s">
        <v>132</v>
      </c>
    </row>
    <row r="50977" customFormat="false" ht="12.8" hidden="false" customHeight="false" outlineLevel="0" collapsed="false">
      <c r="A50977" s="0" t="s">
        <v>17840</v>
      </c>
      <c r="B50977" s="0" t="str">
        <f aca="false">HYPERLINK("https://lindat.mff.cuni.cz/services/teitok/pdtc10/index.php?action=vallex&amp;frame=v-w7181f3", "unést (v-w7181f3)")</f>
        <v>unést (v-w7181f3)</v>
      </c>
      <c r="E50977" s="0" t="str">
        <f aca="false">HYPERLINK("https://lindat.mff.cuni.cz/services/SynSemClass40/SynSemClass40.html?veclass=vec01138#vec01138-ces-cm00001", "vec01138")</f>
        <v>vec01138</v>
      </c>
      <c r="F50977" s="0" t="s">
        <v>17839</v>
      </c>
    </row>
    <row r="50978" customFormat="false" ht="12.8" hidden="false" customHeight="false" outlineLevel="0" collapsed="false">
      <c r="B50978" s="0" t="s">
        <v>1</v>
      </c>
      <c r="C50978" s="0" t="s">
        <v>459</v>
      </c>
      <c r="E50978" s="0" t="s">
        <v>1573</v>
      </c>
      <c r="F50978" s="0" t="s">
        <v>1574</v>
      </c>
    </row>
    <row r="50979" customFormat="false" ht="12.8" hidden="false" customHeight="false" outlineLevel="0" collapsed="false">
      <c r="B50979" s="0" t="s">
        <v>8</v>
      </c>
      <c r="C50979" s="0" t="s">
        <v>744</v>
      </c>
      <c r="E50979" s="0" t="s">
        <v>199</v>
      </c>
      <c r="F50979" s="0" t="s">
        <v>5727</v>
      </c>
    </row>
    <row r="50980" customFormat="false" ht="12.8" hidden="false" customHeight="false" outlineLevel="0" collapsed="false">
      <c r="B50980" s="0" t="s">
        <v>631</v>
      </c>
      <c r="E50980" s="0" t="s">
        <v>1949</v>
      </c>
      <c r="F50980" s="0" t="s">
        <v>2896</v>
      </c>
    </row>
    <row r="50982" customFormat="false" ht="12.8" hidden="false" customHeight="false" outlineLevel="0" collapsed="false">
      <c r="A50982" s="0" t="s">
        <v>17841</v>
      </c>
      <c r="B50982" s="0" t="str">
        <f aca="false">HYPERLINK("https://lindat.mff.cuni.cz/services/teitok/pdtc10/index.php?action=vallex&amp;frame=v-w7181f5", "unést (v-w7181f5)")</f>
        <v>unést (v-w7181f5)</v>
      </c>
    </row>
    <row r="50983" customFormat="false" ht="12.8" hidden="false" customHeight="false" outlineLevel="0" collapsed="false">
      <c r="B50983" s="0" t="s">
        <v>944</v>
      </c>
    </row>
    <row r="50984" customFormat="false" ht="12.8" hidden="false" customHeight="false" outlineLevel="0" collapsed="false">
      <c r="B50984" s="0" t="s">
        <v>8</v>
      </c>
    </row>
    <row r="50986" customFormat="false" ht="12.8" hidden="false" customHeight="false" outlineLevel="0" collapsed="false">
      <c r="A50986" s="0" t="s">
        <v>17842</v>
      </c>
      <c r="B50986" s="0" t="str">
        <f aca="false">HYPERLINK("https://lindat.mff.cuni.cz/services/teitok/pdtc10/index.php?action=vallex&amp;frame=v-w7181f1", "unést (v-w7181f1)")</f>
        <v>unést (v-w7181f1)</v>
      </c>
    </row>
    <row r="50987" customFormat="false" ht="12.8" hidden="false" customHeight="false" outlineLevel="0" collapsed="false">
      <c r="B50987" s="0" t="s">
        <v>1</v>
      </c>
    </row>
    <row r="50988" customFormat="false" ht="12.8" hidden="false" customHeight="false" outlineLevel="0" collapsed="false">
      <c r="B50988" s="0" t="s">
        <v>59</v>
      </c>
    </row>
    <row r="50990" customFormat="false" ht="12.8" hidden="false" customHeight="false" outlineLevel="0" collapsed="false">
      <c r="A50990" s="0" t="s">
        <v>17843</v>
      </c>
      <c r="B50990" s="0" t="str">
        <f aca="false">HYPERLINK("https://lindat.mff.cuni.cz/services/teitok/pdtc10/index.php?action=vallex&amp;frame=v-w7181f4", "unést (v-w7181f4)")</f>
        <v>unést (v-w7181f4)</v>
      </c>
    </row>
    <row r="50991" customFormat="false" ht="12.8" hidden="false" customHeight="false" outlineLevel="0" collapsed="false">
      <c r="B50991" s="0" t="s">
        <v>1</v>
      </c>
    </row>
    <row r="50992" customFormat="false" ht="12.8" hidden="false" customHeight="false" outlineLevel="0" collapsed="false">
      <c r="B50992" s="0" t="s">
        <v>8</v>
      </c>
    </row>
    <row r="50994" customFormat="false" ht="12.8" hidden="false" customHeight="false" outlineLevel="0" collapsed="false">
      <c r="A50994" s="0" t="s">
        <v>17844</v>
      </c>
      <c r="B50994" s="0" t="str">
        <f aca="false">HYPERLINK("https://lindat.mff.cuni.cz/services/teitok/pdtc10/index.php?action=vallex&amp;frame=v-w7188f1", "upadat (v-w7188f1)")</f>
        <v>upadat (v-w7188f1)</v>
      </c>
      <c r="E50994" s="0" t="str">
        <f aca="false">HYPERLINK("https://lindat.mff.cuni.cz/services/SynSemClass40/SynSemClass40.html?veclass=vec00113#vec00113-ces-cm00281", "vec00113")</f>
        <v>vec00113</v>
      </c>
      <c r="F50994" s="0" t="s">
        <v>2122</v>
      </c>
      <c r="H50994" s="0" t="str">
        <f aca="false">HYPERLINK("https://lindat.mff.cuni.cz/services/SynSemClass40/SynSemClass40.html?veclass=vec00793#vec00793-ces-cm00059", "vec00793")</f>
        <v>vec00793</v>
      </c>
      <c r="I50994" s="0" t="s">
        <v>8661</v>
      </c>
    </row>
    <row r="50995" customFormat="false" ht="12.8" hidden="false" customHeight="false" outlineLevel="0" collapsed="false">
      <c r="B50995" s="0" t="s">
        <v>1</v>
      </c>
      <c r="C50995" s="0" t="s">
        <v>10975</v>
      </c>
      <c r="E50995" s="0" t="s">
        <v>1084</v>
      </c>
      <c r="F50995" s="0" t="s">
        <v>2124</v>
      </c>
      <c r="H50995" s="0" t="s">
        <v>8663</v>
      </c>
      <c r="I50995" s="0" t="s">
        <v>8664</v>
      </c>
    </row>
    <row r="50997" customFormat="false" ht="12.8" hidden="false" customHeight="false" outlineLevel="0" collapsed="false">
      <c r="A50997" s="0" t="s">
        <v>17845</v>
      </c>
      <c r="B50997" s="0" t="str">
        <f aca="false">HYPERLINK("https://lindat.mff.cuni.cz/services/teitok/pdtc10/index.php?action=vallex&amp;frame=v-w7190f3_ZU", "upadnout (v-w7190f3_ZU)")</f>
        <v>upadnout (v-w7190f3_ZU)</v>
      </c>
    </row>
    <row r="50998" customFormat="false" ht="12.8" hidden="false" customHeight="false" outlineLevel="0" collapsed="false">
      <c r="B50998" s="0" t="s">
        <v>1</v>
      </c>
    </row>
    <row r="50999" customFormat="false" ht="12.8" hidden="false" customHeight="false" outlineLevel="0" collapsed="false">
      <c r="B50999" s="0" t="s">
        <v>69</v>
      </c>
    </row>
    <row r="51000" customFormat="false" ht="12.8" hidden="false" customHeight="false" outlineLevel="0" collapsed="false">
      <c r="B51000" s="0" t="s">
        <v>36</v>
      </c>
    </row>
    <row r="51002" customFormat="false" ht="12.8" hidden="false" customHeight="false" outlineLevel="0" collapsed="false">
      <c r="A51002" s="0" t="s">
        <v>17846</v>
      </c>
      <c r="B51002" s="0" t="str">
        <f aca="false">HYPERLINK("https://lindat.mff.cuni.cz/services/teitok/pdtc10/index.php?action=vallex&amp;frame=v-w7190f2", "upadnout (v-w7190f2)")</f>
        <v>upadnout (v-w7190f2)</v>
      </c>
      <c r="E51002" s="0" t="str">
        <f aca="false">HYPERLINK("https://lindat.mff.cuni.cz/services/SynSemClass40/SynSemClass40.html?veclass=vec01115#vec01115-ces-cm00021", "vec01115")</f>
        <v>vec01115</v>
      </c>
      <c r="F51002" s="0" t="s">
        <v>1617</v>
      </c>
    </row>
    <row r="51003" customFormat="false" ht="12.8" hidden="false" customHeight="false" outlineLevel="0" collapsed="false">
      <c r="B51003" s="0" t="s">
        <v>1</v>
      </c>
      <c r="C51003" s="0" t="s">
        <v>1618</v>
      </c>
      <c r="E51003" s="0" t="s">
        <v>11</v>
      </c>
      <c r="F51003" s="0" t="s">
        <v>1619</v>
      </c>
    </row>
    <row r="51004" customFormat="false" ht="12.8" hidden="false" customHeight="false" outlineLevel="0" collapsed="false">
      <c r="B51004" s="0" t="s">
        <v>361</v>
      </c>
      <c r="C51004" s="0" t="s">
        <v>1620</v>
      </c>
      <c r="E51004" s="0" t="s">
        <v>363</v>
      </c>
      <c r="F51004" s="0" t="s">
        <v>1621</v>
      </c>
    </row>
    <row r="51006" customFormat="false" ht="12.8" hidden="false" customHeight="false" outlineLevel="0" collapsed="false">
      <c r="A51006" s="0" t="s">
        <v>17847</v>
      </c>
      <c r="B51006" s="0" t="str">
        <f aca="false">HYPERLINK("https://lindat.mff.cuni.cz/services/teitok/pdtc10/index.php?action=vallex&amp;frame=v-w7190f1", "upadnout (v-w7190f1)")</f>
        <v>upadnout (v-w7190f1)</v>
      </c>
    </row>
    <row r="51007" customFormat="false" ht="12.8" hidden="false" customHeight="false" outlineLevel="0" collapsed="false">
      <c r="B51007" s="0" t="s">
        <v>1</v>
      </c>
    </row>
    <row r="51009" customFormat="false" ht="12.8" hidden="false" customHeight="false" outlineLevel="0" collapsed="false">
      <c r="A51009" s="0" t="s">
        <v>17848</v>
      </c>
      <c r="B51009" s="0" t="str">
        <f aca="false">HYPERLINK("https://lindat.mff.cuni.cz/services/teitok/pdtc10/index.php?action=vallex&amp;frame=v-w7192f1", "upalovat (v-w7192f1)")</f>
        <v>upalovat (v-w7192f1)</v>
      </c>
    </row>
    <row r="51010" customFormat="false" ht="12.8" hidden="false" customHeight="false" outlineLevel="0" collapsed="false">
      <c r="B51010" s="0" t="s">
        <v>1</v>
      </c>
    </row>
    <row r="51012" customFormat="false" ht="12.8" hidden="false" customHeight="false" outlineLevel="0" collapsed="false">
      <c r="A51012" s="0" t="s">
        <v>17849</v>
      </c>
      <c r="B51012" s="0" t="str">
        <f aca="false">HYPERLINK("https://lindat.mff.cuni.cz/services/teitok/pdtc10/index.php?action=vallex&amp;frame=v-w12376_MMf1_MM", "upamatovat si (v-w12376_MMf1_MM)")</f>
        <v>upamatovat si (v-w12376_MMf1_MM)</v>
      </c>
    </row>
    <row r="51013" customFormat="false" ht="12.8" hidden="false" customHeight="false" outlineLevel="0" collapsed="false">
      <c r="B51013" s="0" t="s">
        <v>1</v>
      </c>
    </row>
    <row r="51014" customFormat="false" ht="12.8" hidden="false" customHeight="false" outlineLevel="0" collapsed="false">
      <c r="B51014" s="0" t="s">
        <v>17850</v>
      </c>
    </row>
    <row r="51016" customFormat="false" ht="12.8" hidden="false" customHeight="false" outlineLevel="0" collapsed="false">
      <c r="A51016" s="0" t="s">
        <v>17851</v>
      </c>
      <c r="B51016" s="0" t="str">
        <f aca="false">HYPERLINK("https://lindat.mff.cuni.cz/services/teitok/pdtc10/index.php?action=vallex&amp;frame=v-w7195f1", "upevnit (v-w7195f1)")</f>
        <v>upevnit (v-w7195f1)</v>
      </c>
      <c r="E51016" s="0" t="str">
        <f aca="false">HYPERLINK("https://lindat.mff.cuni.cz/services/SynSemClass40/SynSemClass40.html?veclass=vec00539#vec00539-ces-cm00001", "vec00539")</f>
        <v>vec00539</v>
      </c>
      <c r="F51016" s="0" t="s">
        <v>11472</v>
      </c>
    </row>
    <row r="51017" customFormat="false" ht="12.8" hidden="false" customHeight="false" outlineLevel="0" collapsed="false">
      <c r="B51017" s="0" t="s">
        <v>1</v>
      </c>
      <c r="C51017" s="0" t="s">
        <v>11473</v>
      </c>
      <c r="E51017" s="0" t="s">
        <v>8199</v>
      </c>
      <c r="F51017" s="0" t="s">
        <v>11474</v>
      </c>
    </row>
    <row r="51018" customFormat="false" ht="12.8" hidden="false" customHeight="false" outlineLevel="0" collapsed="false">
      <c r="B51018" s="0" t="s">
        <v>8</v>
      </c>
      <c r="C51018" s="0" t="s">
        <v>8834</v>
      </c>
      <c r="E51018" s="0" t="s">
        <v>142</v>
      </c>
      <c r="F51018" s="0" t="s">
        <v>11475</v>
      </c>
    </row>
    <row r="51020" customFormat="false" ht="12.8" hidden="false" customHeight="false" outlineLevel="0" collapsed="false">
      <c r="A51020" s="0" t="s">
        <v>17852</v>
      </c>
      <c r="B51020" s="0" t="str">
        <f aca="false">HYPERLINK("https://lindat.mff.cuni.cz/services/teitok/pdtc10/index.php?action=vallex&amp;frame=v-w7195f2", "upevnit (v-w7195f2)")</f>
        <v>upevnit (v-w7195f2)</v>
      </c>
    </row>
    <row r="51021" customFormat="false" ht="12.8" hidden="false" customHeight="false" outlineLevel="0" collapsed="false">
      <c r="B51021" s="0" t="s">
        <v>1</v>
      </c>
    </row>
    <row r="51022" customFormat="false" ht="12.8" hidden="false" customHeight="false" outlineLevel="0" collapsed="false">
      <c r="B51022" s="0" t="s">
        <v>8</v>
      </c>
    </row>
    <row r="51024" customFormat="false" ht="12.8" hidden="false" customHeight="false" outlineLevel="0" collapsed="false">
      <c r="A51024" s="0" t="s">
        <v>17853</v>
      </c>
      <c r="B51024" s="0" t="str">
        <f aca="false">HYPERLINK("https://lindat.mff.cuni.cz/services/teitok/pdtc10/index.php?action=vallex&amp;frame=v-w7195f3", "upevnit (v-w7195f3)")</f>
        <v>upevnit (v-w7195f3)</v>
      </c>
    </row>
    <row r="51025" customFormat="false" ht="12.8" hidden="false" customHeight="false" outlineLevel="0" collapsed="false">
      <c r="B51025" s="0" t="s">
        <v>1</v>
      </c>
    </row>
    <row r="51026" customFormat="false" ht="12.8" hidden="false" customHeight="false" outlineLevel="0" collapsed="false">
      <c r="B51026" s="0" t="s">
        <v>8</v>
      </c>
    </row>
    <row r="51028" customFormat="false" ht="12.8" hidden="false" customHeight="false" outlineLevel="0" collapsed="false">
      <c r="A51028" s="0" t="s">
        <v>17854</v>
      </c>
      <c r="B51028" s="0" t="str">
        <f aca="false">HYPERLINK("https://lindat.mff.cuni.cz/services/teitok/pdtc10/index.php?action=vallex&amp;frame=v-w7195hsa_817", "upevnit (v-w7195hsa_817)")</f>
        <v>upevnit (v-w7195hsa_817)</v>
      </c>
    </row>
    <row r="51029" customFormat="false" ht="12.8" hidden="false" customHeight="false" outlineLevel="0" collapsed="false">
      <c r="B51029" s="0" t="s">
        <v>1</v>
      </c>
    </row>
    <row r="51030" customFormat="false" ht="12.8" hidden="false" customHeight="false" outlineLevel="0" collapsed="false">
      <c r="B51030" s="0" t="s">
        <v>3642</v>
      </c>
    </row>
    <row r="51031" customFormat="false" ht="12.8" hidden="false" customHeight="false" outlineLevel="0" collapsed="false">
      <c r="B51031" s="0" t="s">
        <v>36</v>
      </c>
    </row>
    <row r="51033" customFormat="false" ht="12.8" hidden="false" customHeight="false" outlineLevel="0" collapsed="false">
      <c r="A51033" s="0" t="s">
        <v>17855</v>
      </c>
      <c r="B51033" s="0" t="str">
        <f aca="false">HYPERLINK("https://lindat.mff.cuni.cz/services/teitok/pdtc10/index.php?action=vallex&amp;frame=v-w7196f1", "upevnit se (v-w7196f1)")</f>
        <v>upevnit se (v-w7196f1)</v>
      </c>
      <c r="E51033" s="0" t="str">
        <f aca="false">HYPERLINK("https://lindat.mff.cuni.cz/services/SynSemClass40/SynSemClass40.html?veclass=vec00522#vec00522-ces-cm00014", "vec00522")</f>
        <v>vec00522</v>
      </c>
      <c r="F51033" s="0" t="s">
        <v>16479</v>
      </c>
    </row>
    <row r="51034" customFormat="false" ht="12.8" hidden="false" customHeight="false" outlineLevel="0" collapsed="false">
      <c r="B51034" s="0" t="s">
        <v>1</v>
      </c>
      <c r="C51034" s="0" t="s">
        <v>17856</v>
      </c>
      <c r="E51034" s="0" t="s">
        <v>8199</v>
      </c>
      <c r="F51034" s="0" t="s">
        <v>16481</v>
      </c>
    </row>
    <row r="51036" customFormat="false" ht="12.8" hidden="false" customHeight="false" outlineLevel="0" collapsed="false">
      <c r="A51036" s="0" t="s">
        <v>17857</v>
      </c>
      <c r="B51036" s="0" t="str">
        <f aca="false">HYPERLINK("https://lindat.mff.cuni.cz/services/teitok/pdtc10/index.php?action=vallex&amp;frame=v-w7198f1", "upevňovat (v-w7198f1)")</f>
        <v>upevňovat (v-w7198f1)</v>
      </c>
      <c r="E51036" s="0" t="str">
        <f aca="false">HYPERLINK("https://lindat.mff.cuni.cz/services/SynSemClass40/SynSemClass40.html?veclass=vec00539#vec00539-ces-cm00028", "vec00539")</f>
        <v>vec00539</v>
      </c>
      <c r="F51036" s="0" t="s">
        <v>11472</v>
      </c>
    </row>
    <row r="51037" customFormat="false" ht="12.8" hidden="false" customHeight="false" outlineLevel="0" collapsed="false">
      <c r="B51037" s="0" t="s">
        <v>1</v>
      </c>
      <c r="C51037" s="0" t="s">
        <v>11473</v>
      </c>
      <c r="E51037" s="0" t="s">
        <v>8199</v>
      </c>
      <c r="F51037" s="0" t="s">
        <v>11474</v>
      </c>
    </row>
    <row r="51038" customFormat="false" ht="12.8" hidden="false" customHeight="false" outlineLevel="0" collapsed="false">
      <c r="B51038" s="0" t="s">
        <v>8</v>
      </c>
      <c r="C51038" s="0" t="s">
        <v>8834</v>
      </c>
      <c r="E51038" s="0" t="s">
        <v>142</v>
      </c>
      <c r="F51038" s="0" t="s">
        <v>11475</v>
      </c>
    </row>
    <row r="51040" customFormat="false" ht="12.8" hidden="false" customHeight="false" outlineLevel="0" collapsed="false">
      <c r="A51040" s="0" t="s">
        <v>17858</v>
      </c>
      <c r="B51040" s="0" t="str">
        <f aca="false">HYPERLINK("https://lindat.mff.cuni.cz/services/teitok/pdtc10/index.php?action=vallex&amp;frame=v-whsa_435f1_ZU", "upgradovat (v-whsa_435f1_ZU)")</f>
        <v>upgradovat (v-whsa_435f1_ZU)</v>
      </c>
      <c r="E51040" s="0" t="str">
        <f aca="false">HYPERLINK("https://lindat.mff.cuni.cz/services/SynSemClass40/SynSemClass40.html?veclass=vec00386#vec00386-ces-cm00047", "vec00386")</f>
        <v>vec00386</v>
      </c>
      <c r="F51040" s="0" t="s">
        <v>5835</v>
      </c>
    </row>
    <row r="51041" customFormat="false" ht="12.8" hidden="false" customHeight="false" outlineLevel="0" collapsed="false">
      <c r="B51041" s="0" t="s">
        <v>1</v>
      </c>
      <c r="C51041" s="0" t="s">
        <v>5836</v>
      </c>
      <c r="E51041" s="0" t="s">
        <v>76</v>
      </c>
      <c r="F51041" s="0" t="s">
        <v>5837</v>
      </c>
    </row>
    <row r="51042" customFormat="false" ht="12.8" hidden="false" customHeight="false" outlineLevel="0" collapsed="false">
      <c r="B51042" s="0" t="s">
        <v>8</v>
      </c>
      <c r="C51042" s="0" t="s">
        <v>5838</v>
      </c>
      <c r="E51042" s="0" t="s">
        <v>4782</v>
      </c>
      <c r="F51042" s="0" t="s">
        <v>5839</v>
      </c>
    </row>
    <row r="51043" customFormat="false" ht="12.8" hidden="false" customHeight="false" outlineLevel="0" collapsed="false">
      <c r="B51043" s="0" t="s">
        <v>36</v>
      </c>
      <c r="C51043" s="0" t="s">
        <v>17859</v>
      </c>
      <c r="E51043" s="0" t="s">
        <v>38</v>
      </c>
      <c r="F51043" s="0" t="s">
        <v>17860</v>
      </c>
    </row>
    <row r="51044" customFormat="false" ht="12.8" hidden="false" customHeight="false" outlineLevel="0" collapsed="false">
      <c r="B51044" s="0" t="s">
        <v>101</v>
      </c>
      <c r="C51044" s="0" t="s">
        <v>17861</v>
      </c>
      <c r="E51044" s="0" t="s">
        <v>42</v>
      </c>
      <c r="F51044" s="0" t="s">
        <v>17862</v>
      </c>
    </row>
    <row r="51046" customFormat="false" ht="12.8" hidden="false" customHeight="false" outlineLevel="0" collapsed="false">
      <c r="A51046" s="0" t="s">
        <v>17858</v>
      </c>
      <c r="B51046" s="0" t="str">
        <f aca="false">HYPERLINK("https://lindat.mff.cuni.cz/services/teitok/pdtc10/index.php?action=vallex&amp;frame=v-whsa_435hsa_436", "upgradovat (v-whsa_435hsa_436) - substituted with v-whsa_435f1_ZU")</f>
        <v>upgradovat (v-whsa_435hsa_436) - substituted with v-whsa_435f1_ZU</v>
      </c>
    </row>
    <row r="51047" customFormat="false" ht="12.8" hidden="false" customHeight="false" outlineLevel="0" collapsed="false">
      <c r="B51047" s="0" t="s">
        <v>1</v>
      </c>
    </row>
    <row r="51048" customFormat="false" ht="12.8" hidden="false" customHeight="false" outlineLevel="0" collapsed="false">
      <c r="B51048" s="0" t="s">
        <v>8</v>
      </c>
    </row>
    <row r="51049" customFormat="false" ht="12.8" hidden="false" customHeight="false" outlineLevel="0" collapsed="false">
      <c r="B51049" s="0" t="s">
        <v>36</v>
      </c>
    </row>
    <row r="51050" customFormat="false" ht="12.8" hidden="false" customHeight="false" outlineLevel="0" collapsed="false">
      <c r="B51050" s="0" t="s">
        <v>101</v>
      </c>
    </row>
    <row r="51052" customFormat="false" ht="12.8" hidden="false" customHeight="false" outlineLevel="0" collapsed="false">
      <c r="A51052" s="0" t="s">
        <v>17863</v>
      </c>
      <c r="B51052" s="0" t="str">
        <f aca="false">HYPERLINK("https://lindat.mff.cuni.cz/services/teitok/pdtc10/index.php?action=vallex&amp;frame=v-w11456f1", "upisovat (v-w11456f1)")</f>
        <v>upisovat (v-w11456f1)</v>
      </c>
      <c r="E51052" s="0" t="str">
        <f aca="false">HYPERLINK("https://lindat.mff.cuni.cz/services/SynSemClass40/SynSemClass40.html?veclass=vec00941#vec00941-ces-cm00007", "vec00941")</f>
        <v>vec00941</v>
      </c>
      <c r="F51052" s="0" t="s">
        <v>17864</v>
      </c>
    </row>
    <row r="51053" customFormat="false" ht="12.8" hidden="false" customHeight="false" outlineLevel="0" collapsed="false">
      <c r="B51053" s="0" t="s">
        <v>1</v>
      </c>
      <c r="C51053" s="0" t="s">
        <v>2789</v>
      </c>
      <c r="E51053" s="0" t="s">
        <v>4416</v>
      </c>
      <c r="F51053" s="0" t="s">
        <v>17865</v>
      </c>
    </row>
    <row r="51054" customFormat="false" ht="12.8" hidden="false" customHeight="false" outlineLevel="0" collapsed="false">
      <c r="B51054" s="0" t="s">
        <v>8</v>
      </c>
      <c r="C51054" s="0" t="s">
        <v>17866</v>
      </c>
      <c r="E51054" s="0" t="s">
        <v>594</v>
      </c>
      <c r="F51054" s="0" t="s">
        <v>17867</v>
      </c>
    </row>
    <row r="51056" customFormat="false" ht="12.8" hidden="false" customHeight="false" outlineLevel="0" collapsed="false">
      <c r="A51056" s="0" t="s">
        <v>17868</v>
      </c>
      <c r="B51056" s="0" t="str">
        <f aca="false">HYPERLINK("https://lindat.mff.cuni.cz/services/teitok/pdtc10/index.php?action=vallex&amp;frame=v-w7204f1", "upisovat se (v-w7204f1)")</f>
        <v>upisovat se (v-w7204f1)</v>
      </c>
    </row>
    <row r="51057" customFormat="false" ht="12.8" hidden="false" customHeight="false" outlineLevel="0" collapsed="false">
      <c r="B51057" s="0" t="s">
        <v>1</v>
      </c>
    </row>
    <row r="51058" customFormat="false" ht="12.8" hidden="false" customHeight="false" outlineLevel="0" collapsed="false">
      <c r="B51058" s="0" t="s">
        <v>17869</v>
      </c>
    </row>
    <row r="51059" customFormat="false" ht="12.8" hidden="false" customHeight="false" outlineLevel="0" collapsed="false">
      <c r="B51059" s="0" t="s">
        <v>132</v>
      </c>
    </row>
    <row r="51061" customFormat="false" ht="12.8" hidden="false" customHeight="false" outlineLevel="0" collapsed="false">
      <c r="A51061" s="0" t="s">
        <v>17870</v>
      </c>
      <c r="B51061" s="0" t="str">
        <f aca="false">HYPERLINK("https://lindat.mff.cuni.cz/services/teitok/pdtc10/index.php?action=vallex&amp;frame=v-w7210f1", "uplatit (v-w7210f1)")</f>
        <v>uplatit (v-w7210f1)</v>
      </c>
      <c r="E51061" s="0" t="str">
        <f aca="false">HYPERLINK("https://lindat.mff.cuni.cz/services/SynSemClass40/SynSemClass40.html?veclass=vec01072#vec01072-ces-cm00004", "vec01072")</f>
        <v>vec01072</v>
      </c>
      <c r="F51061" s="0" t="s">
        <v>10839</v>
      </c>
    </row>
    <row r="51062" customFormat="false" ht="12.8" hidden="false" customHeight="false" outlineLevel="0" collapsed="false">
      <c r="B51062" s="0" t="s">
        <v>1</v>
      </c>
      <c r="C51062" s="0" t="s">
        <v>825</v>
      </c>
      <c r="E51062" s="0" t="s">
        <v>2554</v>
      </c>
      <c r="F51062" s="0" t="s">
        <v>10840</v>
      </c>
    </row>
    <row r="51063" customFormat="false" ht="12.8" hidden="false" customHeight="false" outlineLevel="0" collapsed="false">
      <c r="B51063" s="0" t="s">
        <v>8</v>
      </c>
      <c r="C51063" s="0" t="s">
        <v>5391</v>
      </c>
      <c r="E51063" s="0" t="s">
        <v>4143</v>
      </c>
      <c r="F51063" s="0" t="s">
        <v>10841</v>
      </c>
    </row>
    <row r="51065" customFormat="false" ht="12.8" hidden="false" customHeight="false" outlineLevel="0" collapsed="false">
      <c r="A51065" s="0" t="s">
        <v>17871</v>
      </c>
      <c r="B51065" s="0" t="str">
        <f aca="false">HYPERLINK("https://lindat.mff.cuni.cz/services/teitok/pdtc10/index.php?action=vallex&amp;frame=v-w7213f2_ZU", "uplatnit (v-w7213f2_ZU)")</f>
        <v>uplatnit (v-w7213f2_ZU)</v>
      </c>
      <c r="E51065" s="0" t="str">
        <f aca="false">HYPERLINK("https://lindat.mff.cuni.cz/services/SynSemClass40/SynSemClass40.html?veclass=vec00079#vec00079-ces-cm00025", "vec00079")</f>
        <v>vec00079</v>
      </c>
      <c r="F51065" s="0" t="s">
        <v>166</v>
      </c>
    </row>
    <row r="51066" customFormat="false" ht="12.8" hidden="false" customHeight="false" outlineLevel="0" collapsed="false">
      <c r="B51066" s="0" t="s">
        <v>1</v>
      </c>
      <c r="C51066" s="0" t="s">
        <v>17872</v>
      </c>
      <c r="E51066" s="0" t="s">
        <v>17873</v>
      </c>
      <c r="F51066" s="0" t="s">
        <v>17874</v>
      </c>
    </row>
    <row r="51067" customFormat="false" ht="12.8" hidden="false" customHeight="false" outlineLevel="0" collapsed="false">
      <c r="B51067" s="0" t="s">
        <v>8</v>
      </c>
    </row>
    <row r="51068" customFormat="false" ht="12.8" hidden="false" customHeight="false" outlineLevel="0" collapsed="false">
      <c r="B51068" s="0" t="s">
        <v>101</v>
      </c>
    </row>
    <row r="51070" customFormat="false" ht="12.8" hidden="false" customHeight="false" outlineLevel="0" collapsed="false">
      <c r="A51070" s="0" t="s">
        <v>17871</v>
      </c>
      <c r="B51070" s="0" t="str">
        <f aca="false">HYPERLINK("https://lindat.mff.cuni.cz/services/teitok/pdtc10/index.php?action=vallex&amp;frame=v-w7213f1", "uplatnit (v-w7213f1) - substituted with v-w7213f2_ZU")</f>
        <v>uplatnit (v-w7213f1) - substituted with v-w7213f2_ZU</v>
      </c>
    </row>
    <row r="51071" customFormat="false" ht="12.8" hidden="false" customHeight="false" outlineLevel="0" collapsed="false">
      <c r="B51071" s="0" t="s">
        <v>1</v>
      </c>
    </row>
    <row r="51072" customFormat="false" ht="12.8" hidden="false" customHeight="false" outlineLevel="0" collapsed="false">
      <c r="B51072" s="0" t="s">
        <v>8</v>
      </c>
    </row>
    <row r="51073" customFormat="false" ht="12.8" hidden="false" customHeight="false" outlineLevel="0" collapsed="false">
      <c r="B51073" s="0" t="s">
        <v>101</v>
      </c>
    </row>
    <row r="51075" customFormat="false" ht="12.8" hidden="false" customHeight="false" outlineLevel="0" collapsed="false">
      <c r="A51075" s="0" t="s">
        <v>17875</v>
      </c>
      <c r="B51075" s="0" t="str">
        <f aca="false">HYPERLINK("https://lindat.mff.cuni.cz/services/teitok/pdtc10/index.php?action=vallex&amp;frame=v-w7214f1", "uplatnit se (v-w7214f1)")</f>
        <v>uplatnit se (v-w7214f1)</v>
      </c>
    </row>
    <row r="51076" customFormat="false" ht="12.8" hidden="false" customHeight="false" outlineLevel="0" collapsed="false">
      <c r="B51076" s="0" t="s">
        <v>1</v>
      </c>
    </row>
    <row r="51078" customFormat="false" ht="12.8" hidden="false" customHeight="false" outlineLevel="0" collapsed="false">
      <c r="A51078" s="0" t="s">
        <v>17876</v>
      </c>
      <c r="B51078" s="0" t="str">
        <f aca="false">HYPERLINK("https://lindat.mff.cuni.cz/services/teitok/pdtc10/index.php?action=vallex&amp;frame=v-w10043f3", "uplatňovat (v-w10043f3)")</f>
        <v>uplatňovat (v-w10043f3)</v>
      </c>
    </row>
    <row r="51079" customFormat="false" ht="12.8" hidden="false" customHeight="false" outlineLevel="0" collapsed="false">
      <c r="B51079" s="0" t="s">
        <v>1</v>
      </c>
    </row>
    <row r="51080" customFormat="false" ht="12.8" hidden="false" customHeight="false" outlineLevel="0" collapsed="false">
      <c r="B51080" s="0" t="s">
        <v>8</v>
      </c>
    </row>
    <row r="51082" customFormat="false" ht="12.8" hidden="false" customHeight="false" outlineLevel="0" collapsed="false">
      <c r="A51082" s="0" t="s">
        <v>17877</v>
      </c>
      <c r="B51082" s="0" t="str">
        <f aca="false">HYPERLINK("https://lindat.mff.cuni.cz/services/teitok/pdtc10/index.php?action=vallex&amp;frame=v-w7216f1", "uplatňovat (v-w7216f1)")</f>
        <v>uplatňovat (v-w7216f1)</v>
      </c>
      <c r="E51082" s="0" t="str">
        <f aca="false">HYPERLINK("https://lindat.mff.cuni.cz/services/SynSemClass40/SynSemClass40.html?veclass=vec00079#vec00079-ces-cm00026", "vec00079")</f>
        <v>vec00079</v>
      </c>
      <c r="F51082" s="0" t="s">
        <v>166</v>
      </c>
      <c r="H51082" s="0" t="str">
        <f aca="false">HYPERLINK("https://lindat.mff.cuni.cz/services/SynSemClass40/SynSemClass40.html?veclass=vec00117#vec00117-ces-cm00050", "vec00117")</f>
        <v>vec00117</v>
      </c>
      <c r="I51082" s="0" t="s">
        <v>517</v>
      </c>
    </row>
    <row r="51083" customFormat="false" ht="12.8" hidden="false" customHeight="false" outlineLevel="0" collapsed="false">
      <c r="B51083" s="0" t="s">
        <v>1</v>
      </c>
      <c r="C51083" s="0" t="s">
        <v>17878</v>
      </c>
      <c r="E51083" s="0" t="s">
        <v>11</v>
      </c>
      <c r="F51083" s="0" t="s">
        <v>168</v>
      </c>
      <c r="H51083" s="0" t="s">
        <v>519</v>
      </c>
      <c r="I51083" s="0" t="s">
        <v>520</v>
      </c>
    </row>
    <row r="51084" customFormat="false" ht="12.8" hidden="false" customHeight="false" outlineLevel="0" collapsed="false">
      <c r="B51084" s="0" t="s">
        <v>8</v>
      </c>
      <c r="C51084" s="0" t="s">
        <v>17879</v>
      </c>
      <c r="E51084" s="0" t="s">
        <v>170</v>
      </c>
      <c r="F51084" s="0" t="s">
        <v>171</v>
      </c>
      <c r="H51084" s="0" t="s">
        <v>523</v>
      </c>
      <c r="I51084" s="0" t="s">
        <v>524</v>
      </c>
    </row>
    <row r="51086" customFormat="false" ht="12.8" hidden="false" customHeight="false" outlineLevel="0" collapsed="false">
      <c r="A51086" s="0" t="s">
        <v>17880</v>
      </c>
      <c r="B51086" s="0" t="str">
        <f aca="false">HYPERLINK("https://lindat.mff.cuni.cz/services/teitok/pdtc10/index.php?action=vallex&amp;frame=v-w7217f1", "uplatňovat se (v-w7217f1)")</f>
        <v>uplatňovat se (v-w7217f1)</v>
      </c>
    </row>
    <row r="51087" customFormat="false" ht="12.8" hidden="false" customHeight="false" outlineLevel="0" collapsed="false">
      <c r="B51087" s="0" t="s">
        <v>1</v>
      </c>
    </row>
    <row r="51089" customFormat="false" ht="12.8" hidden="false" customHeight="false" outlineLevel="0" collapsed="false">
      <c r="A51089" s="0" t="s">
        <v>17881</v>
      </c>
      <c r="B51089" s="0" t="str">
        <f aca="false">HYPERLINK("https://lindat.mff.cuni.cz/services/teitok/pdtc10/index.php?action=vallex&amp;frame=v-whsa_875f1_ZU", "uplavat (v-whsa_875f1_ZU)")</f>
        <v>uplavat (v-whsa_875f1_ZU)</v>
      </c>
    </row>
    <row r="51090" customFormat="false" ht="12.8" hidden="false" customHeight="false" outlineLevel="0" collapsed="false">
      <c r="B51090" s="0" t="s">
        <v>1</v>
      </c>
    </row>
    <row r="51091" customFormat="false" ht="12.8" hidden="false" customHeight="false" outlineLevel="0" collapsed="false">
      <c r="B51091" s="0" t="s">
        <v>12119</v>
      </c>
    </row>
    <row r="51093" customFormat="false" ht="12.8" hidden="false" customHeight="false" outlineLevel="0" collapsed="false">
      <c r="A51093" s="0" t="s">
        <v>17881</v>
      </c>
      <c r="B51093" s="0" t="str">
        <f aca="false">HYPERLINK("https://lindat.mff.cuni.cz/services/teitok/pdtc10/index.php?action=vallex&amp;frame=v-whsa_875hsa_876", "uplavat (v-whsa_875hsa_876) - substituted with v-whsa_875f1_ZU")</f>
        <v>uplavat (v-whsa_875hsa_876) - substituted with v-whsa_875f1_ZU</v>
      </c>
    </row>
    <row r="51094" customFormat="false" ht="12.8" hidden="false" customHeight="false" outlineLevel="0" collapsed="false">
      <c r="B51094" s="0" t="s">
        <v>1</v>
      </c>
    </row>
    <row r="51095" customFormat="false" ht="12.8" hidden="false" customHeight="false" outlineLevel="0" collapsed="false">
      <c r="B51095" s="0" t="s">
        <v>12119</v>
      </c>
    </row>
    <row r="51097" customFormat="false" ht="12.8" hidden="false" customHeight="false" outlineLevel="0" collapsed="false">
      <c r="A51097" s="0" t="s">
        <v>17882</v>
      </c>
      <c r="B51097" s="0" t="str">
        <f aca="false">HYPERLINK("https://lindat.mff.cuni.cz/services/teitok/pdtc10/index.php?action=vallex&amp;frame=v-whsa_875f2_ZU", "uplavat (v-whsa_875f2_ZU)")</f>
        <v>uplavat (v-whsa_875f2_ZU)</v>
      </c>
    </row>
    <row r="51098" customFormat="false" ht="12.8" hidden="false" customHeight="false" outlineLevel="0" collapsed="false">
      <c r="B51098" s="0" t="s">
        <v>1</v>
      </c>
    </row>
    <row r="51099" customFormat="false" ht="12.8" hidden="false" customHeight="false" outlineLevel="0" collapsed="false">
      <c r="B51099" s="0" t="s">
        <v>157</v>
      </c>
    </row>
    <row r="51101" customFormat="false" ht="12.8" hidden="false" customHeight="false" outlineLevel="0" collapsed="false">
      <c r="A51101" s="0" t="s">
        <v>17883</v>
      </c>
      <c r="B51101" s="0" t="str">
        <f aca="false">HYPERLINK("https://lindat.mff.cuni.cz/services/teitok/pdtc10/index.php?action=vallex&amp;frame=v-w7218f1", "uplynout (v-w7218f1)")</f>
        <v>uplynout (v-w7218f1)</v>
      </c>
    </row>
    <row r="51102" customFormat="false" ht="12.8" hidden="false" customHeight="false" outlineLevel="0" collapsed="false">
      <c r="B51102" s="0" t="s">
        <v>1</v>
      </c>
    </row>
    <row r="51104" customFormat="false" ht="12.8" hidden="false" customHeight="false" outlineLevel="0" collapsed="false">
      <c r="A51104" s="0" t="s">
        <v>17884</v>
      </c>
      <c r="B51104" s="0" t="str">
        <f aca="false">HYPERLINK("https://lindat.mff.cuni.cz/services/teitok/pdtc10/index.php?action=vallex&amp;frame=v-w7207f1", "uplácet (v-w7207f1)")</f>
        <v>uplácet (v-w7207f1)</v>
      </c>
      <c r="E51104" s="0" t="str">
        <f aca="false">HYPERLINK("https://lindat.mff.cuni.cz/services/SynSemClass40/SynSemClass40.html?veclass=vec01072#vec01072-ces-cm00003", "vec01072")</f>
        <v>vec01072</v>
      </c>
      <c r="F51104" s="0" t="s">
        <v>10839</v>
      </c>
    </row>
    <row r="51105" customFormat="false" ht="12.8" hidden="false" customHeight="false" outlineLevel="0" collapsed="false">
      <c r="B51105" s="0" t="s">
        <v>1</v>
      </c>
      <c r="C51105" s="0" t="s">
        <v>825</v>
      </c>
      <c r="E51105" s="0" t="s">
        <v>2554</v>
      </c>
      <c r="F51105" s="0" t="s">
        <v>10840</v>
      </c>
    </row>
    <row r="51106" customFormat="false" ht="12.8" hidden="false" customHeight="false" outlineLevel="0" collapsed="false">
      <c r="B51106" s="0" t="s">
        <v>8</v>
      </c>
      <c r="C51106" s="0" t="s">
        <v>5391</v>
      </c>
      <c r="E51106" s="0" t="s">
        <v>4143</v>
      </c>
      <c r="F51106" s="0" t="s">
        <v>10841</v>
      </c>
    </row>
    <row r="51108" customFormat="false" ht="12.8" hidden="false" customHeight="false" outlineLevel="0" collapsed="false">
      <c r="A51108" s="0" t="s">
        <v>17885</v>
      </c>
      <c r="B51108" s="0" t="str">
        <f aca="false">HYPERLINK("https://lindat.mff.cuni.cz/services/teitok/pdtc10/index.php?action=vallex&amp;frame=v-w11817_ZUf2_ZU", "uplést (v-w11817_ZUf2_ZU)")</f>
        <v>uplést (v-w11817_ZUf2_ZU)</v>
      </c>
    </row>
    <row r="51109" customFormat="false" ht="12.8" hidden="false" customHeight="false" outlineLevel="0" collapsed="false">
      <c r="B51109" s="0" t="s">
        <v>1</v>
      </c>
    </row>
    <row r="51110" customFormat="false" ht="12.8" hidden="false" customHeight="false" outlineLevel="0" collapsed="false">
      <c r="B51110" s="0" t="s">
        <v>8</v>
      </c>
    </row>
    <row r="51111" customFormat="false" ht="12.8" hidden="false" customHeight="false" outlineLevel="0" collapsed="false">
      <c r="B51111" s="0" t="s">
        <v>36</v>
      </c>
    </row>
    <row r="51113" customFormat="false" ht="12.8" hidden="false" customHeight="false" outlineLevel="0" collapsed="false">
      <c r="A51113" s="0" t="s">
        <v>17885</v>
      </c>
      <c r="B51113" s="0" t="str">
        <f aca="false">HYPERLINK("https://lindat.mff.cuni.cz/services/teitok/pdtc10/index.php?action=vallex&amp;frame=v-w11817_ZUf1_ZU", "uplést (v-w11817_ZUf1_ZU) - substituted with v-w11817_ZUf2_ZU")</f>
        <v>uplést (v-w11817_ZUf1_ZU) - substituted with v-w11817_ZUf2_ZU</v>
      </c>
    </row>
    <row r="51114" customFormat="false" ht="12.8" hidden="false" customHeight="false" outlineLevel="0" collapsed="false">
      <c r="B51114" s="0" t="s">
        <v>1</v>
      </c>
    </row>
    <row r="51115" customFormat="false" ht="12.8" hidden="false" customHeight="false" outlineLevel="0" collapsed="false">
      <c r="B51115" s="0" t="s">
        <v>8</v>
      </c>
    </row>
    <row r="51116" customFormat="false" ht="12.8" hidden="false" customHeight="false" outlineLevel="0" collapsed="false">
      <c r="B51116" s="0" t="s">
        <v>36</v>
      </c>
    </row>
    <row r="51118" customFormat="false" ht="12.8" hidden="false" customHeight="false" outlineLevel="0" collapsed="false">
      <c r="A51118" s="0" t="s">
        <v>17886</v>
      </c>
      <c r="B51118" s="0" t="str">
        <f aca="false">HYPERLINK("https://lindat.mff.cuni.cz/services/teitok/pdtc10/index.php?action=vallex&amp;frame=v-w11494f2", "uplést si (v-w11494f2)")</f>
        <v>uplést si (v-w11494f2)</v>
      </c>
    </row>
    <row r="51119" customFormat="false" ht="12.8" hidden="false" customHeight="false" outlineLevel="0" collapsed="false">
      <c r="B51119" s="0" t="s">
        <v>1</v>
      </c>
    </row>
    <row r="51120" customFormat="false" ht="12.8" hidden="false" customHeight="false" outlineLevel="0" collapsed="false">
      <c r="B51120" s="0" t="s">
        <v>17887</v>
      </c>
    </row>
    <row r="51122" customFormat="false" ht="12.8" hidden="false" customHeight="false" outlineLevel="0" collapsed="false">
      <c r="A51122" s="0" t="s">
        <v>17888</v>
      </c>
      <c r="B51122" s="0" t="str">
        <f aca="false">HYPERLINK("https://lindat.mff.cuni.cz/services/teitok/pdtc10/index.php?action=vallex&amp;frame=v-w7220f2", "upnout se (v-w7220f2)")</f>
        <v>upnout se (v-w7220f2)</v>
      </c>
    </row>
    <row r="51123" customFormat="false" ht="12.8" hidden="false" customHeight="false" outlineLevel="0" collapsed="false">
      <c r="B51123" s="0" t="s">
        <v>1</v>
      </c>
    </row>
    <row r="51124" customFormat="false" ht="12.8" hidden="false" customHeight="false" outlineLevel="0" collapsed="false">
      <c r="B51124" s="0" t="s">
        <v>5848</v>
      </c>
    </row>
    <row r="51126" customFormat="false" ht="12.8" hidden="false" customHeight="false" outlineLevel="0" collapsed="false">
      <c r="A51126" s="0" t="s">
        <v>17889</v>
      </c>
      <c r="B51126" s="0" t="str">
        <f aca="false">HYPERLINK("https://lindat.mff.cuni.cz/services/teitok/pdtc10/index.php?action=vallex&amp;frame=v-w7222f1", "upomínat (v-w7222f1)")</f>
        <v>upomínat (v-w7222f1)</v>
      </c>
    </row>
    <row r="51127" customFormat="false" ht="12.8" hidden="false" customHeight="false" outlineLevel="0" collapsed="false">
      <c r="B51127" s="0" t="s">
        <v>1</v>
      </c>
    </row>
    <row r="51128" customFormat="false" ht="12.8" hidden="false" customHeight="false" outlineLevel="0" collapsed="false">
      <c r="B51128" s="0" t="s">
        <v>17890</v>
      </c>
    </row>
    <row r="51129" customFormat="false" ht="12.8" hidden="false" customHeight="false" outlineLevel="0" collapsed="false">
      <c r="B51129" s="0" t="s">
        <v>98</v>
      </c>
    </row>
    <row r="51131" customFormat="false" ht="12.8" hidden="false" customHeight="false" outlineLevel="0" collapsed="false">
      <c r="A51131" s="0" t="s">
        <v>17891</v>
      </c>
      <c r="B51131" s="0" t="str">
        <f aca="false">HYPERLINK("https://lindat.mff.cuni.cz/services/teitok/pdtc10/index.php?action=vallex&amp;frame=v-w7224f1", "uposlechnout (v-w7224f1)")</f>
        <v>uposlechnout (v-w7224f1)</v>
      </c>
      <c r="E51131" s="0" t="str">
        <f aca="false">HYPERLINK("https://lindat.mff.cuni.cz/services/SynSemClass40/SynSemClass40.html?veclass=vec00303#vec00303-ces-cm00060", "vec00303")</f>
        <v>vec00303</v>
      </c>
      <c r="F51131" s="0" t="s">
        <v>1818</v>
      </c>
      <c r="H51131" s="0" t="str">
        <f aca="false">HYPERLINK("https://lindat.mff.cuni.cz/services/SynSemClass40/SynSemClass40.html?veclass=vec00739#vec00739-ces-cm00031", "vec00739")</f>
        <v>vec00739</v>
      </c>
      <c r="I51131" s="0" t="s">
        <v>5232</v>
      </c>
    </row>
    <row r="51132" customFormat="false" ht="12.8" hidden="false" customHeight="false" outlineLevel="0" collapsed="false">
      <c r="B51132" s="0" t="s">
        <v>1</v>
      </c>
      <c r="C51132" s="0" t="s">
        <v>17892</v>
      </c>
      <c r="E51132" s="0" t="s">
        <v>11</v>
      </c>
      <c r="F51132" s="0" t="s">
        <v>1820</v>
      </c>
      <c r="H51132" s="0" t="s">
        <v>5234</v>
      </c>
      <c r="I51132" s="0" t="s">
        <v>5235</v>
      </c>
    </row>
    <row r="51133" customFormat="false" ht="12.8" hidden="false" customHeight="false" outlineLevel="0" collapsed="false">
      <c r="B51133" s="0" t="s">
        <v>5032</v>
      </c>
      <c r="C51133" s="0" t="s">
        <v>17893</v>
      </c>
      <c r="E51133" s="0" t="s">
        <v>1823</v>
      </c>
      <c r="F51133" s="0" t="s">
        <v>1824</v>
      </c>
      <c r="H51133" s="0" t="s">
        <v>5237</v>
      </c>
      <c r="I51133" s="0" t="s">
        <v>5238</v>
      </c>
    </row>
    <row r="51135" customFormat="false" ht="12.8" hidden="false" customHeight="false" outlineLevel="0" collapsed="false">
      <c r="A51135" s="0" t="s">
        <v>17894</v>
      </c>
      <c r="B51135" s="0" t="str">
        <f aca="false">HYPERLINK("https://lindat.mff.cuni.cz/services/teitok/pdtc10/index.php?action=vallex&amp;frame=v-w10219f2", "upotřebit (v-w10219f2)")</f>
        <v>upotřebit (v-w10219f2)</v>
      </c>
    </row>
    <row r="51136" customFormat="false" ht="12.8" hidden="false" customHeight="false" outlineLevel="0" collapsed="false">
      <c r="B51136" s="0" t="s">
        <v>1</v>
      </c>
    </row>
    <row r="51137" customFormat="false" ht="12.8" hidden="false" customHeight="false" outlineLevel="0" collapsed="false">
      <c r="B51137" s="0" t="s">
        <v>1356</v>
      </c>
    </row>
    <row r="51139" customFormat="false" ht="12.8" hidden="false" customHeight="false" outlineLevel="0" collapsed="false">
      <c r="A51139" s="0" t="s">
        <v>17895</v>
      </c>
      <c r="B51139" s="0" t="str">
        <f aca="false">HYPERLINK("https://lindat.mff.cuni.cz/services/teitok/pdtc10/index.php?action=vallex&amp;frame=v-w11770_ZUf1_ZU", "upotřebovat (v-w11770_ZUf1_ZU)")</f>
        <v>upotřebovat (v-w11770_ZUf1_ZU)</v>
      </c>
    </row>
    <row r="51140" customFormat="false" ht="12.8" hidden="false" customHeight="false" outlineLevel="0" collapsed="false">
      <c r="B51140" s="0" t="s">
        <v>1</v>
      </c>
    </row>
    <row r="51141" customFormat="false" ht="12.8" hidden="false" customHeight="false" outlineLevel="0" collapsed="false">
      <c r="B51141" s="0" t="s">
        <v>8</v>
      </c>
    </row>
    <row r="51143" customFormat="false" ht="12.8" hidden="false" customHeight="false" outlineLevel="0" collapsed="false">
      <c r="A51143" s="0" t="s">
        <v>17896</v>
      </c>
      <c r="B51143" s="0" t="str">
        <f aca="false">HYPERLINK("https://lindat.mff.cuni.cz/services/teitok/pdtc10/index.php?action=vallex&amp;frame=v-w7226f1", "upoutat (v-w7226f1)")</f>
        <v>upoutat (v-w7226f1)</v>
      </c>
      <c r="E51143" s="0" t="str">
        <f aca="false">HYPERLINK("https://lindat.mff.cuni.cz/services/SynSemClass40/SynSemClass40.html?veclass=vec00188#vec00188-ces-cm00091", "vec00188")</f>
        <v>vec00188</v>
      </c>
      <c r="F51143" s="0" t="s">
        <v>7128</v>
      </c>
    </row>
    <row r="51144" customFormat="false" ht="12.8" hidden="false" customHeight="false" outlineLevel="0" collapsed="false">
      <c r="B51144" s="0" t="s">
        <v>1</v>
      </c>
      <c r="C51144" s="0" t="s">
        <v>9998</v>
      </c>
      <c r="E51144" s="0" t="s">
        <v>1567</v>
      </c>
      <c r="F51144" s="0" t="s">
        <v>7130</v>
      </c>
    </row>
    <row r="51145" customFormat="false" ht="12.8" hidden="false" customHeight="false" outlineLevel="0" collapsed="false">
      <c r="B51145" s="0" t="s">
        <v>8</v>
      </c>
      <c r="C51145" s="0" t="s">
        <v>1575</v>
      </c>
      <c r="E51145" s="0" t="s">
        <v>3388</v>
      </c>
      <c r="F51145" s="0" t="s">
        <v>7132</v>
      </c>
    </row>
    <row r="51147" customFormat="false" ht="12.8" hidden="false" customHeight="false" outlineLevel="0" collapsed="false">
      <c r="A51147" s="0" t="s">
        <v>17897</v>
      </c>
      <c r="B51147" s="0" t="str">
        <f aca="false">HYPERLINK("https://lindat.mff.cuni.cz/services/teitok/pdtc10/index.php?action=vallex&amp;frame=v-w7226f2", "upoutat (v-w7226f2)")</f>
        <v>upoutat (v-w7226f2)</v>
      </c>
    </row>
    <row r="51148" customFormat="false" ht="12.8" hidden="false" customHeight="false" outlineLevel="0" collapsed="false">
      <c r="B51148" s="0" t="s">
        <v>1</v>
      </c>
    </row>
    <row r="51149" customFormat="false" ht="12.8" hidden="false" customHeight="false" outlineLevel="0" collapsed="false">
      <c r="B51149" s="0" t="s">
        <v>8</v>
      </c>
    </row>
    <row r="51151" customFormat="false" ht="12.8" hidden="false" customHeight="false" outlineLevel="0" collapsed="false">
      <c r="A51151" s="0" t="s">
        <v>17898</v>
      </c>
      <c r="B51151" s="0" t="str">
        <f aca="false">HYPERLINK("https://lindat.mff.cuni.cz/services/teitok/pdtc10/index.php?action=vallex&amp;frame=v-w7226f4_ZU", "upoutat (v-w7226f4_ZU)")</f>
        <v>upoutat (v-w7226f4_ZU)</v>
      </c>
      <c r="E51151" s="0" t="str">
        <f aca="false">HYPERLINK("https://lindat.mff.cuni.cz/services/SynSemClass40/SynSemClass40.html?veclass=vec00286#vec00286-ces-cm00008", "vec00286")</f>
        <v>vec00286</v>
      </c>
      <c r="F51151" s="0" t="s">
        <v>6106</v>
      </c>
    </row>
    <row r="51152" customFormat="false" ht="12.8" hidden="false" customHeight="false" outlineLevel="0" collapsed="false">
      <c r="B51152" s="0" t="s">
        <v>629</v>
      </c>
      <c r="C51152" s="0" t="s">
        <v>6107</v>
      </c>
      <c r="E51152" s="0" t="s">
        <v>6108</v>
      </c>
      <c r="F51152" s="0" t="s">
        <v>6109</v>
      </c>
    </row>
    <row r="51153" customFormat="false" ht="12.8" hidden="false" customHeight="false" outlineLevel="0" collapsed="false">
      <c r="B51153" s="0" t="s">
        <v>17899</v>
      </c>
    </row>
    <row r="51154" customFormat="false" ht="12.8" hidden="false" customHeight="false" outlineLevel="0" collapsed="false">
      <c r="B51154" s="0" t="s">
        <v>12990</v>
      </c>
      <c r="C51154" s="0" t="s">
        <v>6110</v>
      </c>
      <c r="E51154" s="0" t="s">
        <v>6111</v>
      </c>
      <c r="F51154" s="0" t="s">
        <v>6112</v>
      </c>
    </row>
    <row r="51155" customFormat="false" ht="12.8" hidden="false" customHeight="false" outlineLevel="0" collapsed="false">
      <c r="B51155" s="0" t="s">
        <v>69</v>
      </c>
      <c r="C51155" s="0" t="s">
        <v>6113</v>
      </c>
      <c r="E51155" s="0" t="s">
        <v>523</v>
      </c>
      <c r="F51155" s="0" t="s">
        <v>6114</v>
      </c>
    </row>
    <row r="51157" customFormat="false" ht="12.8" hidden="false" customHeight="false" outlineLevel="0" collapsed="false">
      <c r="A51157" s="0" t="s">
        <v>17898</v>
      </c>
      <c r="B51157" s="0" t="str">
        <f aca="false">HYPERLINK("https://lindat.mff.cuni.cz/services/teitok/pdtc10/index.php?action=vallex&amp;frame=v-w7226f3", "upoutat (v-w7226f3) - substituted with v-w7226f4_ZU")</f>
        <v>upoutat (v-w7226f3) - substituted with v-w7226f4_ZU</v>
      </c>
    </row>
    <row r="51158" customFormat="false" ht="12.8" hidden="false" customHeight="false" outlineLevel="0" collapsed="false">
      <c r="B51158" s="0" t="s">
        <v>629</v>
      </c>
    </row>
    <row r="51159" customFormat="false" ht="12.8" hidden="false" customHeight="false" outlineLevel="0" collapsed="false">
      <c r="B51159" s="0" t="s">
        <v>17899</v>
      </c>
    </row>
    <row r="51160" customFormat="false" ht="12.8" hidden="false" customHeight="false" outlineLevel="0" collapsed="false">
      <c r="B51160" s="0" t="s">
        <v>12990</v>
      </c>
    </row>
    <row r="51161" customFormat="false" ht="12.8" hidden="false" customHeight="false" outlineLevel="0" collapsed="false">
      <c r="B51161" s="0" t="s">
        <v>69</v>
      </c>
    </row>
    <row r="51163" customFormat="false" ht="12.8" hidden="false" customHeight="false" outlineLevel="0" collapsed="false">
      <c r="A51163" s="0" t="s">
        <v>17900</v>
      </c>
      <c r="B51163" s="0" t="str">
        <f aca="false">HYPERLINK("https://lindat.mff.cuni.cz/services/teitok/pdtc10/index.php?action=vallex&amp;frame=v-w7226hsa_385", "upoutat (v-w7226hsa_385)")</f>
        <v>upoutat (v-w7226hsa_385)</v>
      </c>
    </row>
    <row r="51164" customFormat="false" ht="12.8" hidden="false" customHeight="false" outlineLevel="0" collapsed="false">
      <c r="B51164" s="0" t="s">
        <v>1</v>
      </c>
    </row>
    <row r="51165" customFormat="false" ht="12.8" hidden="false" customHeight="false" outlineLevel="0" collapsed="false">
      <c r="B51165" s="0" t="s">
        <v>17901</v>
      </c>
    </row>
    <row r="51166" customFormat="false" ht="12.8" hidden="false" customHeight="false" outlineLevel="0" collapsed="false">
      <c r="B51166" s="0" t="s">
        <v>2991</v>
      </c>
    </row>
    <row r="51167" customFormat="false" ht="12.8" hidden="false" customHeight="false" outlineLevel="0" collapsed="false">
      <c r="B51167" s="0" t="s">
        <v>45</v>
      </c>
    </row>
    <row r="51169" customFormat="false" ht="12.8" hidden="false" customHeight="false" outlineLevel="0" collapsed="false">
      <c r="A51169" s="0" t="s">
        <v>17902</v>
      </c>
      <c r="B51169" s="0" t="str">
        <f aca="false">HYPERLINK("https://lindat.mff.cuni.cz/services/teitok/pdtc10/index.php?action=vallex&amp;frame=v-whsa_1103f1_ZU", "upoutávat (v-whsa_1103f1_ZU)")</f>
        <v>upoutávat (v-whsa_1103f1_ZU)</v>
      </c>
    </row>
    <row r="51170" customFormat="false" ht="12.8" hidden="false" customHeight="false" outlineLevel="0" collapsed="false">
      <c r="B51170" s="0" t="s">
        <v>1</v>
      </c>
    </row>
    <row r="51171" customFormat="false" ht="12.8" hidden="false" customHeight="false" outlineLevel="0" collapsed="false">
      <c r="B51171" s="0" t="s">
        <v>17899</v>
      </c>
    </row>
    <row r="51172" customFormat="false" ht="12.8" hidden="false" customHeight="false" outlineLevel="0" collapsed="false">
      <c r="B51172" s="0" t="s">
        <v>12990</v>
      </c>
    </row>
    <row r="51173" customFormat="false" ht="12.8" hidden="false" customHeight="false" outlineLevel="0" collapsed="false">
      <c r="B51173" s="0" t="s">
        <v>69</v>
      </c>
    </row>
    <row r="51175" customFormat="false" ht="12.8" hidden="false" customHeight="false" outlineLevel="0" collapsed="false">
      <c r="A51175" s="0" t="s">
        <v>17902</v>
      </c>
      <c r="B51175" s="0" t="str">
        <f aca="false">HYPERLINK("https://lindat.mff.cuni.cz/services/teitok/pdtc10/index.php?action=vallex&amp;frame=v-whsa_1103hsa_1104", "upoutávat (v-whsa_1103hsa_1104) - substituted with v-whsa_1103f1_ZU")</f>
        <v>upoutávat (v-whsa_1103hsa_1104) - substituted with v-whsa_1103f1_ZU</v>
      </c>
    </row>
    <row r="51176" customFormat="false" ht="12.8" hidden="false" customHeight="false" outlineLevel="0" collapsed="false">
      <c r="B51176" s="0" t="s">
        <v>1</v>
      </c>
    </row>
    <row r="51177" customFormat="false" ht="12.8" hidden="false" customHeight="false" outlineLevel="0" collapsed="false">
      <c r="B51177" s="0" t="s">
        <v>17899</v>
      </c>
    </row>
    <row r="51178" customFormat="false" ht="12.8" hidden="false" customHeight="false" outlineLevel="0" collapsed="false">
      <c r="B51178" s="0" t="s">
        <v>12990</v>
      </c>
    </row>
    <row r="51179" customFormat="false" ht="12.8" hidden="false" customHeight="false" outlineLevel="0" collapsed="false">
      <c r="B51179" s="0" t="s">
        <v>69</v>
      </c>
    </row>
    <row r="51181" customFormat="false" ht="12.8" hidden="false" customHeight="false" outlineLevel="0" collapsed="false">
      <c r="A51181" s="0" t="s">
        <v>17903</v>
      </c>
      <c r="B51181" s="0" t="str">
        <f aca="false">HYPERLINK("https://lindat.mff.cuni.cz/services/teitok/pdtc10/index.php?action=vallex&amp;frame=v-w7225f2", "upouštět (v-w7225f2)")</f>
        <v>upouštět (v-w7225f2)</v>
      </c>
    </row>
    <row r="51182" customFormat="false" ht="12.8" hidden="false" customHeight="false" outlineLevel="0" collapsed="false">
      <c r="B51182" s="0" t="s">
        <v>1</v>
      </c>
    </row>
    <row r="51183" customFormat="false" ht="12.8" hidden="false" customHeight="false" outlineLevel="0" collapsed="false">
      <c r="B51183" s="0" t="s">
        <v>8</v>
      </c>
    </row>
    <row r="51185" customFormat="false" ht="12.8" hidden="false" customHeight="false" outlineLevel="0" collapsed="false">
      <c r="A51185" s="0" t="s">
        <v>17904</v>
      </c>
      <c r="B51185" s="0" t="str">
        <f aca="false">HYPERLINK("https://lindat.mff.cuni.cz/services/teitok/pdtc10/index.php?action=vallex&amp;frame=v-w7225f1", "upouštět (v-w7225f1)")</f>
        <v>upouštět (v-w7225f1)</v>
      </c>
      <c r="E51185" s="0" t="str">
        <f aca="false">HYPERLINK("https://lindat.mff.cuni.cz/services/SynSemClass40/SynSemClass40.html?veclass=vec00942#vec00942-ces-cm00037", "vec00942")</f>
        <v>vec00942</v>
      </c>
      <c r="F51185" s="0" t="s">
        <v>1686</v>
      </c>
    </row>
    <row r="51186" customFormat="false" ht="12.8" hidden="false" customHeight="false" outlineLevel="0" collapsed="false">
      <c r="B51186" s="0" t="s">
        <v>1</v>
      </c>
      <c r="C51186" s="0" t="s">
        <v>1687</v>
      </c>
      <c r="E51186" s="0" t="s">
        <v>11</v>
      </c>
      <c r="F51186" s="0" t="s">
        <v>1688</v>
      </c>
    </row>
    <row r="51187" customFormat="false" ht="12.8" hidden="false" customHeight="false" outlineLevel="0" collapsed="false">
      <c r="B51187" s="0" t="s">
        <v>26</v>
      </c>
      <c r="C51187" s="0" t="s">
        <v>1690</v>
      </c>
      <c r="E51187" s="0" t="s">
        <v>140</v>
      </c>
      <c r="F51187" s="0" t="s">
        <v>1691</v>
      </c>
    </row>
    <row r="51189" customFormat="false" ht="12.8" hidden="false" customHeight="false" outlineLevel="0" collapsed="false">
      <c r="A51189" s="0" t="s">
        <v>17905</v>
      </c>
      <c r="B51189" s="0" t="str">
        <f aca="false">HYPERLINK("https://lindat.mff.cuni.cz/services/teitok/pdtc10/index.php?action=vallex&amp;frame=v-w12353_MMf1_MM", "upozadit (v-w12353_MMf1_MM)")</f>
        <v>upozadit (v-w12353_MMf1_MM)</v>
      </c>
    </row>
    <row r="51190" customFormat="false" ht="12.8" hidden="false" customHeight="false" outlineLevel="0" collapsed="false">
      <c r="B51190" s="0" t="s">
        <v>1</v>
      </c>
    </row>
    <row r="51191" customFormat="false" ht="12.8" hidden="false" customHeight="false" outlineLevel="0" collapsed="false">
      <c r="B51191" s="0" t="s">
        <v>8</v>
      </c>
    </row>
    <row r="51193" customFormat="false" ht="12.8" hidden="false" customHeight="false" outlineLevel="0" collapsed="false">
      <c r="A51193" s="0" t="s">
        <v>17906</v>
      </c>
      <c r="B51193" s="0" t="str">
        <f aca="false">HYPERLINK("https://lindat.mff.cuni.cz/services/teitok/pdtc10/index.php?action=vallex&amp;frame=v-w7228f2_ZU", "upozornit (v-w7228f2_ZU)")</f>
        <v>upozornit (v-w7228f2_ZU)</v>
      </c>
    </row>
    <row r="51194" customFormat="false" ht="12.8" hidden="false" customHeight="false" outlineLevel="0" collapsed="false">
      <c r="B51194" s="0" t="s">
        <v>1</v>
      </c>
    </row>
    <row r="51195" customFormat="false" ht="12.8" hidden="false" customHeight="false" outlineLevel="0" collapsed="false">
      <c r="B51195" s="0" t="s">
        <v>17907</v>
      </c>
    </row>
    <row r="51196" customFormat="false" ht="12.8" hidden="false" customHeight="false" outlineLevel="0" collapsed="false">
      <c r="B51196" s="0" t="s">
        <v>98</v>
      </c>
    </row>
    <row r="51198" customFormat="false" ht="12.8" hidden="false" customHeight="false" outlineLevel="0" collapsed="false">
      <c r="A51198" s="0" t="s">
        <v>17906</v>
      </c>
      <c r="B51198" s="0" t="str">
        <f aca="false">HYPERLINK("https://lindat.mff.cuni.cz/services/teitok/pdtc10/index.php?action=vallex&amp;frame=v-w7228f1", "upozornit (v-w7228f1) - substituted with v-w7228f2_ZU")</f>
        <v>upozornit (v-w7228f1) - substituted with v-w7228f2_ZU</v>
      </c>
      <c r="E51198" s="0" t="str">
        <f aca="false">HYPERLINK("https://lindat.mff.cuni.cz/services/SynSemClass40/SynSemClass40.html?veclass=vec00332#vec00332-ces-cm00001", "vec00332")</f>
        <v>vec00332</v>
      </c>
      <c r="F51198" s="0" t="s">
        <v>3692</v>
      </c>
    </row>
    <row r="51199" customFormat="false" ht="12.8" hidden="false" customHeight="false" outlineLevel="0" collapsed="false">
      <c r="B51199" s="0" t="s">
        <v>1</v>
      </c>
      <c r="C51199" s="0" t="s">
        <v>11762</v>
      </c>
      <c r="E51199" s="0" t="s">
        <v>63</v>
      </c>
      <c r="F51199" s="0" t="s">
        <v>3695</v>
      </c>
    </row>
    <row r="51200" customFormat="false" ht="12.8" hidden="false" customHeight="false" outlineLevel="0" collapsed="false">
      <c r="B51200" s="0" t="s">
        <v>17907</v>
      </c>
      <c r="C51200" s="0" t="s">
        <v>11764</v>
      </c>
      <c r="E51200" s="0" t="s">
        <v>180</v>
      </c>
      <c r="F51200" s="0" t="s">
        <v>11765</v>
      </c>
    </row>
    <row r="51201" customFormat="false" ht="12.8" hidden="false" customHeight="false" outlineLevel="0" collapsed="false">
      <c r="B51201" s="0" t="s">
        <v>98</v>
      </c>
      <c r="C51201" s="0" t="s">
        <v>17642</v>
      </c>
      <c r="E51201" s="0" t="s">
        <v>564</v>
      </c>
      <c r="F51201" s="0" t="s">
        <v>3700</v>
      </c>
    </row>
    <row r="51203" customFormat="false" ht="12.8" hidden="false" customHeight="false" outlineLevel="0" collapsed="false">
      <c r="A51203" s="0" t="s">
        <v>17908</v>
      </c>
      <c r="B51203" s="0" t="str">
        <f aca="false">HYPERLINK("https://lindat.mff.cuni.cz/services/teitok/pdtc10/index.php?action=vallex&amp;frame=v-w7230f1", "upozorňovat (v-w7230f1)")</f>
        <v>upozorňovat (v-w7230f1)</v>
      </c>
      <c r="E51203" s="0" t="str">
        <f aca="false">HYPERLINK("https://lindat.mff.cuni.cz/services/SynSemClass40/SynSemClass40.html?veclass=vec00332#vec00332-ces-cm00010", "vec00332")</f>
        <v>vec00332</v>
      </c>
      <c r="F51203" s="0" t="s">
        <v>3692</v>
      </c>
    </row>
    <row r="51204" customFormat="false" ht="12.8" hidden="false" customHeight="false" outlineLevel="0" collapsed="false">
      <c r="B51204" s="0" t="s">
        <v>1</v>
      </c>
      <c r="C51204" s="0" t="s">
        <v>11762</v>
      </c>
      <c r="E51204" s="0" t="s">
        <v>63</v>
      </c>
      <c r="F51204" s="0" t="s">
        <v>3695</v>
      </c>
    </row>
    <row r="51205" customFormat="false" ht="12.8" hidden="false" customHeight="false" outlineLevel="0" collapsed="false">
      <c r="B51205" s="0" t="s">
        <v>17890</v>
      </c>
      <c r="C51205" s="0" t="s">
        <v>11764</v>
      </c>
      <c r="E51205" s="0" t="s">
        <v>180</v>
      </c>
      <c r="F51205" s="0" t="s">
        <v>11765</v>
      </c>
    </row>
    <row r="51206" customFormat="false" ht="12.8" hidden="false" customHeight="false" outlineLevel="0" collapsed="false">
      <c r="B51206" s="0" t="s">
        <v>98</v>
      </c>
      <c r="C51206" s="0" t="s">
        <v>17642</v>
      </c>
      <c r="E51206" s="0" t="s">
        <v>564</v>
      </c>
      <c r="F51206" s="0" t="s">
        <v>3700</v>
      </c>
    </row>
    <row r="51208" customFormat="false" ht="12.8" hidden="false" customHeight="false" outlineLevel="0" collapsed="false">
      <c r="A51208" s="0" t="s">
        <v>17909</v>
      </c>
      <c r="B51208" s="0" t="str">
        <f aca="false">HYPERLINK("https://lindat.mff.cuni.cz/services/teitok/pdtc10/index.php?action=vallex&amp;frame=v-w7234f1", "upravit (v-w7234f1)")</f>
        <v>upravit (v-w7234f1)</v>
      </c>
      <c r="E51208" s="0" t="str">
        <f aca="false">HYPERLINK("https://lindat.mff.cuni.cz/services/SynSemClass40/SynSemClass40.html?veclass=vec00095#vec00095-ces-cm00057", "vec00095")</f>
        <v>vec00095</v>
      </c>
      <c r="F51208" s="0" t="s">
        <v>29</v>
      </c>
    </row>
    <row r="51209" customFormat="false" ht="12.8" hidden="false" customHeight="false" outlineLevel="0" collapsed="false">
      <c r="B51209" s="0" t="s">
        <v>1</v>
      </c>
      <c r="C51209" s="0" t="s">
        <v>30</v>
      </c>
      <c r="E51209" s="0" t="s">
        <v>31</v>
      </c>
      <c r="F51209" s="0" t="s">
        <v>32</v>
      </c>
    </row>
    <row r="51210" customFormat="false" ht="12.8" hidden="false" customHeight="false" outlineLevel="0" collapsed="false">
      <c r="B51210" s="0" t="s">
        <v>305</v>
      </c>
      <c r="C51210" s="0" t="s">
        <v>33</v>
      </c>
      <c r="E51210" s="0" t="s">
        <v>34</v>
      </c>
      <c r="F51210" s="0" t="s">
        <v>35</v>
      </c>
    </row>
    <row r="51211" customFormat="false" ht="12.8" hidden="false" customHeight="false" outlineLevel="0" collapsed="false">
      <c r="B51211" s="0" t="s">
        <v>36</v>
      </c>
      <c r="C51211" s="0" t="s">
        <v>37</v>
      </c>
      <c r="E51211" s="0" t="s">
        <v>38</v>
      </c>
      <c r="F51211" s="0" t="s">
        <v>39</v>
      </c>
    </row>
    <row r="51212" customFormat="false" ht="12.8" hidden="false" customHeight="false" outlineLevel="0" collapsed="false">
      <c r="B51212" s="0" t="s">
        <v>40</v>
      </c>
      <c r="C51212" s="0" t="s">
        <v>41</v>
      </c>
      <c r="E51212" s="0" t="s">
        <v>42</v>
      </c>
      <c r="F51212" s="0" t="s">
        <v>43</v>
      </c>
    </row>
    <row r="51214" customFormat="false" ht="12.8" hidden="false" customHeight="false" outlineLevel="0" collapsed="false">
      <c r="A51214" s="0" t="s">
        <v>17910</v>
      </c>
      <c r="B51214" s="0" t="str">
        <f aca="false">HYPERLINK("https://lindat.mff.cuni.cz/services/teitok/pdtc10/index.php?action=vallex&amp;frame=v-w7234f2", "upravit (v-w7234f2)")</f>
        <v>upravit (v-w7234f2)</v>
      </c>
      <c r="E51214" s="0" t="str">
        <f aca="false">HYPERLINK("https://lindat.mff.cuni.cz/services/SynSemClass40/SynSemClass40.html?veclass=vec00095#vec00095-ces-cm00038", "vec00095")</f>
        <v>vec00095</v>
      </c>
      <c r="F51214" s="0" t="s">
        <v>29</v>
      </c>
    </row>
    <row r="51215" customFormat="false" ht="12.8" hidden="false" customHeight="false" outlineLevel="0" collapsed="false">
      <c r="B51215" s="0" t="s">
        <v>1</v>
      </c>
      <c r="C51215" s="0" t="s">
        <v>30</v>
      </c>
      <c r="E51215" s="0" t="s">
        <v>31</v>
      </c>
      <c r="F51215" s="0" t="s">
        <v>32</v>
      </c>
    </row>
    <row r="51216" customFormat="false" ht="12.8" hidden="false" customHeight="false" outlineLevel="0" collapsed="false">
      <c r="B51216" s="0" t="s">
        <v>8</v>
      </c>
      <c r="C51216" s="0" t="s">
        <v>33</v>
      </c>
      <c r="E51216" s="0" t="s">
        <v>34</v>
      </c>
      <c r="F51216" s="0" t="s">
        <v>35</v>
      </c>
    </row>
    <row r="51218" customFormat="false" ht="12.8" hidden="false" customHeight="false" outlineLevel="0" collapsed="false">
      <c r="A51218" s="0" t="s">
        <v>17911</v>
      </c>
      <c r="B51218" s="0" t="str">
        <f aca="false">HYPERLINK("https://lindat.mff.cuni.cz/services/teitok/pdtc10/index.php?action=vallex&amp;frame=v-w7234f3_MM", "upravit (v-w7234f3_MM)")</f>
        <v>upravit (v-w7234f3_MM)</v>
      </c>
    </row>
    <row r="51219" customFormat="false" ht="12.8" hidden="false" customHeight="false" outlineLevel="0" collapsed="false">
      <c r="B51219" s="0" t="s">
        <v>1</v>
      </c>
    </row>
    <row r="51220" customFormat="false" ht="12.8" hidden="false" customHeight="false" outlineLevel="0" collapsed="false">
      <c r="B51220" s="0" t="s">
        <v>8</v>
      </c>
    </row>
    <row r="51222" customFormat="false" ht="12.8" hidden="false" customHeight="false" outlineLevel="0" collapsed="false">
      <c r="A51222" s="0" t="s">
        <v>17912</v>
      </c>
      <c r="B51222" s="0" t="str">
        <f aca="false">HYPERLINK("https://lindat.mff.cuni.cz/services/teitok/pdtc10/index.php?action=vallex&amp;frame=v-w7236f1", "upravovat (v-w7236f1)")</f>
        <v>upravovat (v-w7236f1)</v>
      </c>
      <c r="E51222" s="0" t="str">
        <f aca="false">HYPERLINK("https://lindat.mff.cuni.cz/services/SynSemClass40/SynSemClass40.html?veclass=vec00095#vec00095-ces-cm00058", "vec00095")</f>
        <v>vec00095</v>
      </c>
      <c r="F51222" s="0" t="s">
        <v>29</v>
      </c>
    </row>
    <row r="51223" customFormat="false" ht="12.8" hidden="false" customHeight="false" outlineLevel="0" collapsed="false">
      <c r="B51223" s="0" t="s">
        <v>1</v>
      </c>
      <c r="C51223" s="0" t="s">
        <v>30</v>
      </c>
      <c r="E51223" s="0" t="s">
        <v>31</v>
      </c>
      <c r="F51223" s="0" t="s">
        <v>32</v>
      </c>
    </row>
    <row r="51224" customFormat="false" ht="12.8" hidden="false" customHeight="false" outlineLevel="0" collapsed="false">
      <c r="B51224" s="0" t="s">
        <v>305</v>
      </c>
      <c r="C51224" s="0" t="s">
        <v>33</v>
      </c>
      <c r="E51224" s="0" t="s">
        <v>34</v>
      </c>
      <c r="F51224" s="0" t="s">
        <v>35</v>
      </c>
    </row>
    <row r="51225" customFormat="false" ht="12.8" hidden="false" customHeight="false" outlineLevel="0" collapsed="false">
      <c r="B51225" s="0" t="s">
        <v>36</v>
      </c>
      <c r="C51225" s="0" t="s">
        <v>37</v>
      </c>
      <c r="E51225" s="0" t="s">
        <v>38</v>
      </c>
      <c r="F51225" s="0" t="s">
        <v>39</v>
      </c>
    </row>
    <row r="51226" customFormat="false" ht="12.8" hidden="false" customHeight="false" outlineLevel="0" collapsed="false">
      <c r="B51226" s="0" t="s">
        <v>40</v>
      </c>
      <c r="C51226" s="0" t="s">
        <v>41</v>
      </c>
      <c r="E51226" s="0" t="s">
        <v>42</v>
      </c>
      <c r="F51226" s="0" t="s">
        <v>43</v>
      </c>
    </row>
    <row r="51228" customFormat="false" ht="12.8" hidden="false" customHeight="false" outlineLevel="0" collapsed="false">
      <c r="A51228" s="0" t="s">
        <v>17913</v>
      </c>
      <c r="B51228" s="0" t="str">
        <f aca="false">HYPERLINK("https://lindat.mff.cuni.cz/services/teitok/pdtc10/index.php?action=vallex&amp;frame=v-w7236f2", "upravovat (v-w7236f2)")</f>
        <v>upravovat (v-w7236f2)</v>
      </c>
      <c r="E51228" s="0" t="str">
        <f aca="false">HYPERLINK("https://lindat.mff.cuni.cz/services/SynSemClass40/SynSemClass40.html?veclass=vec00127#vec00127-ces-cm00241", "vec00127")</f>
        <v>vec00127</v>
      </c>
      <c r="F51228" s="0" t="s">
        <v>1835</v>
      </c>
    </row>
    <row r="51229" customFormat="false" ht="12.8" hidden="false" customHeight="false" outlineLevel="0" collapsed="false">
      <c r="B51229" s="0" t="s">
        <v>1</v>
      </c>
      <c r="C51229" s="0" t="s">
        <v>3461</v>
      </c>
      <c r="E51229" s="0" t="s">
        <v>11</v>
      </c>
      <c r="F51229" s="0" t="s">
        <v>1837</v>
      </c>
    </row>
    <row r="51230" customFormat="false" ht="12.8" hidden="false" customHeight="false" outlineLevel="0" collapsed="false">
      <c r="B51230" s="0" t="s">
        <v>8</v>
      </c>
      <c r="C51230" s="0" t="s">
        <v>3463</v>
      </c>
      <c r="E51230" s="0" t="s">
        <v>1840</v>
      </c>
      <c r="F51230" s="0" t="s">
        <v>1841</v>
      </c>
    </row>
    <row r="51232" customFormat="false" ht="12.8" hidden="false" customHeight="false" outlineLevel="0" collapsed="false">
      <c r="A51232" s="0" t="s">
        <v>17914</v>
      </c>
      <c r="B51232" s="0" t="str">
        <f aca="false">HYPERLINK("https://lindat.mff.cuni.cz/services/teitok/pdtc10/index.php?action=vallex&amp;frame=v-w7239f1", "uprchnout (v-w7239f1)")</f>
        <v>uprchnout (v-w7239f1)</v>
      </c>
      <c r="E51232" s="0" t="str">
        <f aca="false">HYPERLINK("https://lindat.mff.cuni.cz/services/SynSemClass40/SynSemClass40.html?veclass=vec00146#vec00146-ces-cm00022", "vec00146")</f>
        <v>vec00146</v>
      </c>
      <c r="F51232" s="0" t="s">
        <v>4047</v>
      </c>
    </row>
    <row r="51233" customFormat="false" ht="12.8" hidden="false" customHeight="false" outlineLevel="0" collapsed="false">
      <c r="B51233" s="0" t="s">
        <v>1</v>
      </c>
      <c r="E51233" s="0" t="s">
        <v>2892</v>
      </c>
      <c r="F51233" s="0" t="s">
        <v>4049</v>
      </c>
    </row>
    <row r="51234" customFormat="false" ht="12.8" hidden="false" customHeight="false" outlineLevel="0" collapsed="false">
      <c r="B51234" s="0" t="s">
        <v>12119</v>
      </c>
      <c r="E51234" s="0" t="s">
        <v>532</v>
      </c>
      <c r="F51234" s="0" t="s">
        <v>9183</v>
      </c>
    </row>
    <row r="51236" customFormat="false" ht="12.8" hidden="false" customHeight="false" outlineLevel="0" collapsed="false">
      <c r="A51236" s="0" t="s">
        <v>17915</v>
      </c>
      <c r="B51236" s="0" t="str">
        <f aca="false">HYPERLINK("https://lindat.mff.cuni.cz/services/teitok/pdtc10/index.php?action=vallex&amp;frame=v-whsa_2011hsa_2012", "uprosit (v-whsa_2011hsa_2012)")</f>
        <v>uprosit (v-whsa_2011hsa_2012)</v>
      </c>
    </row>
    <row r="51237" customFormat="false" ht="12.8" hidden="false" customHeight="false" outlineLevel="0" collapsed="false">
      <c r="B51237" s="0" t="s">
        <v>1</v>
      </c>
    </row>
    <row r="51238" customFormat="false" ht="12.8" hidden="false" customHeight="false" outlineLevel="0" collapsed="false">
      <c r="B51238" s="0" t="s">
        <v>8</v>
      </c>
    </row>
    <row r="51240" customFormat="false" ht="12.8" hidden="false" customHeight="false" outlineLevel="0" collapsed="false">
      <c r="A51240" s="0" t="s">
        <v>17916</v>
      </c>
      <c r="B51240" s="0" t="str">
        <f aca="false">HYPERLINK("https://lindat.mff.cuni.cz/services/teitok/pdtc10/index.php?action=vallex&amp;frame=v-w7238f1", "uprázdnit (v-w7238f1)")</f>
        <v>uprázdnit (v-w7238f1)</v>
      </c>
    </row>
    <row r="51241" customFormat="false" ht="12.8" hidden="false" customHeight="false" outlineLevel="0" collapsed="false">
      <c r="B51241" s="0" t="s">
        <v>1</v>
      </c>
    </row>
    <row r="51242" customFormat="false" ht="12.8" hidden="false" customHeight="false" outlineLevel="0" collapsed="false">
      <c r="B51242" s="0" t="s">
        <v>8</v>
      </c>
    </row>
    <row r="51244" customFormat="false" ht="12.8" hidden="false" customHeight="false" outlineLevel="0" collapsed="false">
      <c r="A51244" s="0" t="s">
        <v>17917</v>
      </c>
      <c r="B51244" s="0" t="str">
        <f aca="false">HYPERLINK("https://lindat.mff.cuni.cz/services/teitok/pdtc10/index.php?action=vallex&amp;frame=v-w7246f1", "upsat (v-w7246f1)")</f>
        <v>upsat (v-w7246f1)</v>
      </c>
      <c r="E51244" s="0" t="str">
        <f aca="false">HYPERLINK("https://lindat.mff.cuni.cz/services/SynSemClass40/SynSemClass40.html?veclass=vec00941#vec00941-ces-cm00001", "vec00941")</f>
        <v>vec00941</v>
      </c>
      <c r="F51244" s="0" t="s">
        <v>17864</v>
      </c>
    </row>
    <row r="51245" customFormat="false" ht="12.8" hidden="false" customHeight="false" outlineLevel="0" collapsed="false">
      <c r="B51245" s="0" t="s">
        <v>1</v>
      </c>
      <c r="C51245" s="0" t="s">
        <v>2789</v>
      </c>
      <c r="E51245" s="0" t="s">
        <v>4416</v>
      </c>
      <c r="F51245" s="0" t="s">
        <v>17865</v>
      </c>
    </row>
    <row r="51246" customFormat="false" ht="12.8" hidden="false" customHeight="false" outlineLevel="0" collapsed="false">
      <c r="B51246" s="0" t="s">
        <v>8</v>
      </c>
      <c r="C51246" s="0" t="s">
        <v>17866</v>
      </c>
      <c r="E51246" s="0" t="s">
        <v>594</v>
      </c>
      <c r="F51246" s="0" t="s">
        <v>17867</v>
      </c>
    </row>
    <row r="51247" customFormat="false" ht="12.8" hidden="false" customHeight="false" outlineLevel="0" collapsed="false">
      <c r="B51247" s="0" t="s">
        <v>132</v>
      </c>
      <c r="E51247" s="0" t="s">
        <v>53</v>
      </c>
      <c r="F51247" s="0" t="s">
        <v>54</v>
      </c>
    </row>
    <row r="51249" customFormat="false" ht="12.8" hidden="false" customHeight="false" outlineLevel="0" collapsed="false">
      <c r="A51249" s="0" t="s">
        <v>17918</v>
      </c>
      <c r="B51249" s="0" t="str">
        <f aca="false">HYPERLINK("https://lindat.mff.cuni.cz/services/teitok/pdtc10/index.php?action=vallex&amp;frame=v-w7246hsa_1022", "upsat (v-w7246hsa_1022)")</f>
        <v>upsat (v-w7246hsa_1022)</v>
      </c>
      <c r="E51249" s="0" t="str">
        <f aca="false">HYPERLINK("https://lindat.mff.cuni.cz/services/SynSemClass40/SynSemClass40.html?veclass=vec00322#vec00322-ces-cm00148", "vec00322")</f>
        <v>vec00322</v>
      </c>
      <c r="F51249" s="0" t="s">
        <v>1343</v>
      </c>
    </row>
    <row r="51250" customFormat="false" ht="12.8" hidden="false" customHeight="false" outlineLevel="0" collapsed="false">
      <c r="B51250" s="0" t="s">
        <v>1</v>
      </c>
      <c r="C51250" s="0" t="s">
        <v>1344</v>
      </c>
      <c r="E51250" s="0" t="s">
        <v>206</v>
      </c>
      <c r="F51250" s="0" t="s">
        <v>1345</v>
      </c>
    </row>
    <row r="51251" customFormat="false" ht="12.8" hidden="false" customHeight="false" outlineLevel="0" collapsed="false">
      <c r="B51251" s="0" t="s">
        <v>8</v>
      </c>
      <c r="C51251" s="0" t="s">
        <v>1346</v>
      </c>
      <c r="E51251" s="0" t="s">
        <v>1347</v>
      </c>
      <c r="F51251" s="0" t="s">
        <v>1348</v>
      </c>
    </row>
    <row r="51252" customFormat="false" ht="12.8" hidden="false" customHeight="false" outlineLevel="0" collapsed="false">
      <c r="B51252" s="0" t="s">
        <v>101</v>
      </c>
      <c r="C51252" s="0" t="s">
        <v>1349</v>
      </c>
      <c r="E51252" s="0" t="s">
        <v>1350</v>
      </c>
      <c r="F51252" s="0" t="s">
        <v>1351</v>
      </c>
    </row>
    <row r="51254" customFormat="false" ht="12.8" hidden="false" customHeight="false" outlineLevel="0" collapsed="false">
      <c r="A51254" s="0" t="s">
        <v>17919</v>
      </c>
      <c r="B51254" s="0" t="str">
        <f aca="false">HYPERLINK("https://lindat.mff.cuni.cz/services/teitok/pdtc10/index.php?action=vallex&amp;frame=v-w7247f1", "upsat se (v-w7247f1)")</f>
        <v>upsat se (v-w7247f1)</v>
      </c>
    </row>
    <row r="51255" customFormat="false" ht="12.8" hidden="false" customHeight="false" outlineLevel="0" collapsed="false">
      <c r="B51255" s="0" t="s">
        <v>1</v>
      </c>
    </row>
    <row r="51256" customFormat="false" ht="12.8" hidden="false" customHeight="false" outlineLevel="0" collapsed="false">
      <c r="B51256" s="0" t="s">
        <v>17869</v>
      </c>
    </row>
    <row r="51257" customFormat="false" ht="12.8" hidden="false" customHeight="false" outlineLevel="0" collapsed="false">
      <c r="B51257" s="0" t="s">
        <v>132</v>
      </c>
    </row>
    <row r="51259" customFormat="false" ht="12.8" hidden="false" customHeight="false" outlineLevel="0" collapsed="false">
      <c r="A51259" s="0" t="s">
        <v>17920</v>
      </c>
      <c r="B51259" s="0" t="str">
        <f aca="false">HYPERLINK("https://lindat.mff.cuni.cz/services/teitok/pdtc10/index.php?action=vallex&amp;frame=v-w10600f2", "upustit (v-w10600f2)")</f>
        <v>upustit (v-w10600f2)</v>
      </c>
      <c r="E51259" s="0" t="str">
        <f aca="false">HYPERLINK("https://lindat.mff.cuni.cz/services/SynSemClass40/SynSemClass40.html?veclass=vec00942#vec00942-ces-cm00038", "vec00942")</f>
        <v>vec00942</v>
      </c>
      <c r="F51259" s="0" t="s">
        <v>1686</v>
      </c>
    </row>
    <row r="51260" customFormat="false" ht="12.8" hidden="false" customHeight="false" outlineLevel="0" collapsed="false">
      <c r="B51260" s="0" t="s">
        <v>1</v>
      </c>
      <c r="C51260" s="0" t="s">
        <v>1687</v>
      </c>
      <c r="E51260" s="0" t="s">
        <v>11</v>
      </c>
      <c r="F51260" s="0" t="s">
        <v>1688</v>
      </c>
    </row>
    <row r="51261" customFormat="false" ht="12.8" hidden="false" customHeight="false" outlineLevel="0" collapsed="false">
      <c r="B51261" s="0" t="s">
        <v>26</v>
      </c>
      <c r="C51261" s="0" t="s">
        <v>1690</v>
      </c>
      <c r="E51261" s="0" t="s">
        <v>140</v>
      </c>
      <c r="F51261" s="0" t="s">
        <v>1691</v>
      </c>
    </row>
    <row r="51263" customFormat="false" ht="12.8" hidden="false" customHeight="false" outlineLevel="0" collapsed="false">
      <c r="A51263" s="0" t="s">
        <v>17921</v>
      </c>
      <c r="B51263" s="0" t="str">
        <f aca="false">HYPERLINK("https://lindat.mff.cuni.cz/services/teitok/pdtc10/index.php?action=vallex&amp;frame=v-w10600hsa_240", "upustit (v-w10600hsa_240)")</f>
        <v>upustit (v-w10600hsa_240)</v>
      </c>
    </row>
    <row r="51264" customFormat="false" ht="12.8" hidden="false" customHeight="false" outlineLevel="0" collapsed="false">
      <c r="B51264" s="0" t="s">
        <v>1</v>
      </c>
    </row>
    <row r="51265" customFormat="false" ht="12.8" hidden="false" customHeight="false" outlineLevel="0" collapsed="false">
      <c r="B51265" s="0" t="s">
        <v>8</v>
      </c>
    </row>
    <row r="51267" customFormat="false" ht="12.8" hidden="false" customHeight="false" outlineLevel="0" collapsed="false">
      <c r="A51267" s="0" t="s">
        <v>17922</v>
      </c>
      <c r="B51267" s="0" t="str">
        <f aca="false">HYPERLINK("https://lindat.mff.cuni.cz/services/teitok/pdtc10/index.php?action=vallex&amp;frame=v-w7191f1", "upálit (v-w7191f1)")</f>
        <v>upálit (v-w7191f1)</v>
      </c>
    </row>
    <row r="51268" customFormat="false" ht="12.8" hidden="false" customHeight="false" outlineLevel="0" collapsed="false">
      <c r="B51268" s="0" t="s">
        <v>1</v>
      </c>
    </row>
    <row r="51269" customFormat="false" ht="12.8" hidden="false" customHeight="false" outlineLevel="0" collapsed="false">
      <c r="B51269" s="0" t="s">
        <v>8</v>
      </c>
    </row>
    <row r="51271" customFormat="false" ht="12.8" hidden="false" customHeight="false" outlineLevel="0" collapsed="false">
      <c r="A51271" s="0" t="s">
        <v>17923</v>
      </c>
      <c r="B51271" s="0" t="str">
        <f aca="false">HYPERLINK("https://lindat.mff.cuni.cz/services/teitok/pdtc10/index.php?action=vallex&amp;frame=v-w7193f3_ZU", "upéci (v-w7193f3_ZU)")</f>
        <v>upéci (v-w7193f3_ZU)</v>
      </c>
    </row>
    <row r="51272" customFormat="false" ht="12.8" hidden="false" customHeight="false" outlineLevel="0" collapsed="false">
      <c r="B51272" s="0" t="s">
        <v>1</v>
      </c>
    </row>
    <row r="51273" customFormat="false" ht="12.8" hidden="false" customHeight="false" outlineLevel="0" collapsed="false">
      <c r="B51273" s="0" t="s">
        <v>8</v>
      </c>
    </row>
    <row r="51274" customFormat="false" ht="12.8" hidden="false" customHeight="false" outlineLevel="0" collapsed="false">
      <c r="B51274" s="0" t="s">
        <v>36</v>
      </c>
    </row>
    <row r="51276" customFormat="false" ht="12.8" hidden="false" customHeight="false" outlineLevel="0" collapsed="false">
      <c r="A51276" s="0" t="s">
        <v>17923</v>
      </c>
      <c r="B51276" s="0" t="str">
        <f aca="false">HYPERLINK("https://lindat.mff.cuni.cz/services/teitok/pdtc10/index.php?action=vallex&amp;frame=v-w7193f1", "upéci (v-w7193f1) - substituted with v-w7193f3_ZU")</f>
        <v>upéci (v-w7193f1) - substituted with v-w7193f3_ZU</v>
      </c>
    </row>
    <row r="51277" customFormat="false" ht="12.8" hidden="false" customHeight="false" outlineLevel="0" collapsed="false">
      <c r="B51277" s="0" t="s">
        <v>1</v>
      </c>
    </row>
    <row r="51278" customFormat="false" ht="12.8" hidden="false" customHeight="false" outlineLevel="0" collapsed="false">
      <c r="B51278" s="0" t="s">
        <v>8</v>
      </c>
    </row>
    <row r="51279" customFormat="false" ht="12.8" hidden="false" customHeight="false" outlineLevel="0" collapsed="false">
      <c r="B51279" s="0" t="s">
        <v>36</v>
      </c>
    </row>
    <row r="51281" customFormat="false" ht="12.8" hidden="false" customHeight="false" outlineLevel="0" collapsed="false">
      <c r="A51281" s="0" t="s">
        <v>17924</v>
      </c>
      <c r="B51281" s="0" t="str">
        <f aca="false">HYPERLINK("https://lindat.mff.cuni.cz/services/teitok/pdtc10/index.php?action=vallex&amp;frame=v-w7193f2", "upéci (v-w7193f2)")</f>
        <v>upéci (v-w7193f2)</v>
      </c>
    </row>
    <row r="51282" customFormat="false" ht="12.8" hidden="false" customHeight="false" outlineLevel="0" collapsed="false">
      <c r="B51282" s="0" t="s">
        <v>1</v>
      </c>
    </row>
    <row r="51283" customFormat="false" ht="12.8" hidden="false" customHeight="false" outlineLevel="0" collapsed="false">
      <c r="B51283" s="0" t="s">
        <v>8</v>
      </c>
    </row>
    <row r="51284" customFormat="false" ht="12.8" hidden="false" customHeight="false" outlineLevel="0" collapsed="false">
      <c r="B51284" s="0" t="s">
        <v>36</v>
      </c>
    </row>
    <row r="51286" customFormat="false" ht="12.8" hidden="false" customHeight="false" outlineLevel="0" collapsed="false">
      <c r="A51286" s="0" t="s">
        <v>17925</v>
      </c>
      <c r="B51286" s="0" t="str">
        <f aca="false">HYPERLINK("https://lindat.mff.cuni.cz/services/teitok/pdtc10/index.php?action=vallex&amp;frame=v-whsa_417hsa_418", "upíchnout se (v-whsa_417hsa_418)")</f>
        <v>upíchnout se (v-whsa_417hsa_418)</v>
      </c>
    </row>
    <row r="51287" customFormat="false" ht="12.8" hidden="false" customHeight="false" outlineLevel="0" collapsed="false">
      <c r="B51287" s="0" t="s">
        <v>1</v>
      </c>
    </row>
    <row r="51288" customFormat="false" ht="12.8" hidden="false" customHeight="false" outlineLevel="0" collapsed="false">
      <c r="B51288" s="0" t="s">
        <v>164</v>
      </c>
    </row>
    <row r="51290" customFormat="false" ht="12.8" hidden="false" customHeight="false" outlineLevel="0" collapsed="false">
      <c r="A51290" s="0" t="s">
        <v>17926</v>
      </c>
      <c r="B51290" s="0" t="str">
        <f aca="false">HYPERLINK("https://lindat.mff.cuni.cz/services/teitok/pdtc10/index.php?action=vallex&amp;frame=v-w11060f2", "upíjet (v-w11060f2)")</f>
        <v>upíjet (v-w11060f2)</v>
      </c>
      <c r="E51290" s="0" t="str">
        <f aca="false">HYPERLINK("https://lindat.mff.cuni.cz/services/SynSemClass40/SynSemClass40.html?veclass=vec00866#vec00866-ces-cm00007", "vec00866")</f>
        <v>vec00866</v>
      </c>
      <c r="F51290" s="0" t="s">
        <v>4327</v>
      </c>
    </row>
    <row r="51291" customFormat="false" ht="12.8" hidden="false" customHeight="false" outlineLevel="0" collapsed="false">
      <c r="B51291" s="0" t="s">
        <v>1</v>
      </c>
      <c r="C51291" s="0" t="s">
        <v>106</v>
      </c>
      <c r="E51291" s="0" t="s">
        <v>658</v>
      </c>
      <c r="F51291" s="0" t="s">
        <v>4330</v>
      </c>
    </row>
    <row r="51292" customFormat="false" ht="12.8" hidden="false" customHeight="false" outlineLevel="0" collapsed="false">
      <c r="B51292" s="0" t="s">
        <v>8</v>
      </c>
      <c r="C51292" s="0" t="s">
        <v>449</v>
      </c>
      <c r="E51292" s="0" t="s">
        <v>661</v>
      </c>
      <c r="F51292" s="0" t="s">
        <v>4333</v>
      </c>
    </row>
    <row r="51294" customFormat="false" ht="12.8" hidden="false" customHeight="false" outlineLevel="0" collapsed="false">
      <c r="A51294" s="0" t="s">
        <v>17927</v>
      </c>
      <c r="B51294" s="0" t="str">
        <f aca="false">HYPERLINK("https://lindat.mff.cuni.cz/services/teitok/pdtc10/index.php?action=vallex&amp;frame=v-w7200f1", "upínat se (v-w7200f1)")</f>
        <v>upínat se (v-w7200f1)</v>
      </c>
    </row>
    <row r="51295" customFormat="false" ht="12.8" hidden="false" customHeight="false" outlineLevel="0" collapsed="false">
      <c r="B51295" s="0" t="s">
        <v>1</v>
      </c>
    </row>
    <row r="51296" customFormat="false" ht="12.8" hidden="false" customHeight="false" outlineLevel="0" collapsed="false">
      <c r="B51296" s="0" t="s">
        <v>311</v>
      </c>
    </row>
    <row r="51298" customFormat="false" ht="12.8" hidden="false" customHeight="false" outlineLevel="0" collapsed="false">
      <c r="A51298" s="0" t="s">
        <v>17928</v>
      </c>
      <c r="B51298" s="0" t="str">
        <f aca="false">HYPERLINK("https://lindat.mff.cuni.cz/services/teitok/pdtc10/index.php?action=vallex&amp;frame=v-w7201f1", "upírat (v-w7201f1)")</f>
        <v>upírat (v-w7201f1)</v>
      </c>
    </row>
    <row r="51299" customFormat="false" ht="12.8" hidden="false" customHeight="false" outlineLevel="0" collapsed="false">
      <c r="B51299" s="0" t="s">
        <v>1</v>
      </c>
    </row>
    <row r="51300" customFormat="false" ht="12.8" hidden="false" customHeight="false" outlineLevel="0" collapsed="false">
      <c r="B51300" s="0" t="s">
        <v>6636</v>
      </c>
    </row>
    <row r="51301" customFormat="false" ht="12.8" hidden="false" customHeight="false" outlineLevel="0" collapsed="false">
      <c r="B51301" s="0" t="s">
        <v>52</v>
      </c>
    </row>
    <row r="51303" customFormat="false" ht="12.8" hidden="false" customHeight="false" outlineLevel="0" collapsed="false">
      <c r="A51303" s="0" t="s">
        <v>17929</v>
      </c>
      <c r="B51303" s="0" t="str">
        <f aca="false">HYPERLINK("https://lindat.mff.cuni.cz/services/teitok/pdtc10/index.php?action=vallex&amp;frame=v-w7201f2_ZU", "upírat (v-w7201f2_ZU)")</f>
        <v>upírat (v-w7201f2_ZU)</v>
      </c>
      <c r="E51303" s="0" t="str">
        <f aca="false">HYPERLINK("https://lindat.mff.cuni.cz/services/SynSemClass40/SynSemClass40.html?veclass=vec00859#vec00859-ces-cm00083", "vec00859")</f>
        <v>vec00859</v>
      </c>
      <c r="F51303" s="0" t="s">
        <v>1728</v>
      </c>
    </row>
    <row r="51304" customFormat="false" ht="12.8" hidden="false" customHeight="false" outlineLevel="0" collapsed="false">
      <c r="B51304" s="0" t="s">
        <v>1</v>
      </c>
      <c r="C51304" s="0" t="s">
        <v>1729</v>
      </c>
      <c r="E51304" s="0" t="s">
        <v>206</v>
      </c>
      <c r="F51304" s="0" t="s">
        <v>1730</v>
      </c>
    </row>
    <row r="51305" customFormat="false" ht="12.8" hidden="false" customHeight="false" outlineLevel="0" collapsed="false">
      <c r="B51305" s="0" t="s">
        <v>8</v>
      </c>
      <c r="C51305" s="0" t="s">
        <v>1731</v>
      </c>
      <c r="E51305" s="0" t="s">
        <v>1732</v>
      </c>
      <c r="F51305" s="0" t="s">
        <v>1733</v>
      </c>
    </row>
    <row r="51306" customFormat="false" ht="12.8" hidden="false" customHeight="false" outlineLevel="0" collapsed="false">
      <c r="B51306" s="0" t="s">
        <v>7627</v>
      </c>
      <c r="C51306" s="0" t="s">
        <v>1735</v>
      </c>
      <c r="E51306" s="0" t="s">
        <v>1736</v>
      </c>
      <c r="F51306" s="0" t="s">
        <v>1737</v>
      </c>
    </row>
    <row r="51308" customFormat="false" ht="12.8" hidden="false" customHeight="false" outlineLevel="0" collapsed="false">
      <c r="A51308" s="0" t="s">
        <v>17930</v>
      </c>
      <c r="B51308" s="0" t="str">
        <f aca="false">HYPERLINK("https://lindat.mff.cuni.cz/services/teitok/pdtc10/index.php?action=vallex&amp;frame=v-whsa_1213hsa_1214", "upít (v-whsa_1213hsa_1214)")</f>
        <v>upít (v-whsa_1213hsa_1214)</v>
      </c>
    </row>
    <row r="51309" customFormat="false" ht="12.8" hidden="false" customHeight="false" outlineLevel="0" collapsed="false">
      <c r="B51309" s="0" t="s">
        <v>1</v>
      </c>
    </row>
    <row r="51310" customFormat="false" ht="12.8" hidden="false" customHeight="false" outlineLevel="0" collapsed="false">
      <c r="B51310" s="0" t="s">
        <v>1356</v>
      </c>
    </row>
    <row r="51312" customFormat="false" ht="12.8" hidden="false" customHeight="false" outlineLevel="0" collapsed="false">
      <c r="A51312" s="0" t="s">
        <v>17931</v>
      </c>
      <c r="B51312" s="0" t="str">
        <f aca="false">HYPERLINK("https://lindat.mff.cuni.cz/services/teitok/pdtc10/index.php?action=vallex&amp;frame=v-w7205f1", "upít se (v-w7205f1)")</f>
        <v>upít se (v-w7205f1)</v>
      </c>
    </row>
    <row r="51313" customFormat="false" ht="12.8" hidden="false" customHeight="false" outlineLevel="0" collapsed="false">
      <c r="B51313" s="0" t="s">
        <v>1</v>
      </c>
    </row>
    <row r="51314" customFormat="false" ht="12.8" hidden="false" customHeight="false" outlineLevel="0" collapsed="false">
      <c r="B51314" s="0" t="s">
        <v>2219</v>
      </c>
    </row>
    <row r="51316" customFormat="false" ht="12.8" hidden="false" customHeight="false" outlineLevel="0" collapsed="false">
      <c r="A51316" s="0" t="s">
        <v>17932</v>
      </c>
      <c r="B51316" s="0" t="str">
        <f aca="false">HYPERLINK("https://lindat.mff.cuni.cz/services/teitok/pdtc10/index.php?action=vallex&amp;frame=v-w11081f2", "upřednostnit (v-w11081f2)")</f>
        <v>upřednostnit (v-w11081f2)</v>
      </c>
      <c r="E51316" s="0" t="str">
        <f aca="false">HYPERLINK("https://lindat.mff.cuni.cz/services/SynSemClass40/SynSemClass40.html?veclass=vec00334#vec00334-ces-cm00013", "vec00334")</f>
        <v>vec00334</v>
      </c>
      <c r="F51316" s="0" t="s">
        <v>3508</v>
      </c>
    </row>
    <row r="51317" customFormat="false" ht="12.8" hidden="false" customHeight="false" outlineLevel="0" collapsed="false">
      <c r="B51317" s="0" t="s">
        <v>1</v>
      </c>
      <c r="C51317" s="0" t="s">
        <v>3509</v>
      </c>
      <c r="E51317" s="0" t="s">
        <v>155</v>
      </c>
      <c r="F51317" s="0" t="s">
        <v>3510</v>
      </c>
    </row>
    <row r="51318" customFormat="false" ht="12.8" hidden="false" customHeight="false" outlineLevel="0" collapsed="false">
      <c r="B51318" s="0" t="s">
        <v>402</v>
      </c>
      <c r="C51318" s="0" t="s">
        <v>5327</v>
      </c>
      <c r="E51318" s="0" t="s">
        <v>4852</v>
      </c>
      <c r="F51318" s="0" t="s">
        <v>5328</v>
      </c>
    </row>
    <row r="51319" customFormat="false" ht="12.8" hidden="false" customHeight="false" outlineLevel="0" collapsed="false">
      <c r="B51319" s="0" t="s">
        <v>9339</v>
      </c>
      <c r="C51319" s="0" t="s">
        <v>12125</v>
      </c>
      <c r="E51319" s="0" t="s">
        <v>5445</v>
      </c>
      <c r="F51319" s="0" t="s">
        <v>12126</v>
      </c>
    </row>
    <row r="51321" customFormat="false" ht="12.8" hidden="false" customHeight="false" outlineLevel="0" collapsed="false">
      <c r="A51321" s="0" t="s">
        <v>17933</v>
      </c>
      <c r="B51321" s="0" t="str">
        <f aca="false">HYPERLINK("https://lindat.mff.cuni.cz/services/teitok/pdtc10/index.php?action=vallex&amp;frame=v-w7241f1", "upřednostňovat (v-w7241f1)")</f>
        <v>upřednostňovat (v-w7241f1)</v>
      </c>
      <c r="E51321" s="0" t="str">
        <f aca="false">HYPERLINK("https://lindat.mff.cuni.cz/services/SynSemClass40/SynSemClass40.html?veclass=vec00334#vec00334-ces-cm00001", "vec00334")</f>
        <v>vec00334</v>
      </c>
      <c r="F51321" s="0" t="s">
        <v>3508</v>
      </c>
    </row>
    <row r="51322" customFormat="false" ht="12.8" hidden="false" customHeight="false" outlineLevel="0" collapsed="false">
      <c r="B51322" s="0" t="s">
        <v>1</v>
      </c>
      <c r="C51322" s="0" t="s">
        <v>3509</v>
      </c>
      <c r="E51322" s="0" t="s">
        <v>155</v>
      </c>
      <c r="F51322" s="0" t="s">
        <v>3510</v>
      </c>
    </row>
    <row r="51323" customFormat="false" ht="12.8" hidden="false" customHeight="false" outlineLevel="0" collapsed="false">
      <c r="B51323" s="0" t="s">
        <v>8</v>
      </c>
      <c r="C51323" s="0" t="s">
        <v>5327</v>
      </c>
      <c r="E51323" s="0" t="s">
        <v>4852</v>
      </c>
      <c r="F51323" s="0" t="s">
        <v>5328</v>
      </c>
    </row>
    <row r="51324" customFormat="false" ht="12.8" hidden="false" customHeight="false" outlineLevel="0" collapsed="false">
      <c r="B51324" s="0" t="s">
        <v>9339</v>
      </c>
      <c r="C51324" s="0" t="s">
        <v>12125</v>
      </c>
      <c r="E51324" s="0" t="s">
        <v>5445</v>
      </c>
      <c r="F51324" s="0" t="s">
        <v>12126</v>
      </c>
    </row>
    <row r="51326" customFormat="false" ht="12.8" hidden="false" customHeight="false" outlineLevel="0" collapsed="false">
      <c r="A51326" s="0" t="s">
        <v>17934</v>
      </c>
      <c r="B51326" s="0" t="str">
        <f aca="false">HYPERLINK("https://lindat.mff.cuni.cz/services/teitok/pdtc10/index.php?action=vallex&amp;frame=v-w7243f1", "upřesnit (v-w7243f1)")</f>
        <v>upřesnit (v-w7243f1)</v>
      </c>
      <c r="E51326" s="0" t="str">
        <f aca="false">HYPERLINK("https://lindat.mff.cuni.cz/services/SynSemClass40/SynSemClass40.html?veclass=vec00108#vec00108-ces-cm00011", "vec00108")</f>
        <v>vec00108</v>
      </c>
      <c r="F51326" s="0" t="s">
        <v>5537</v>
      </c>
    </row>
    <row r="51327" customFormat="false" ht="12.8" hidden="false" customHeight="false" outlineLevel="0" collapsed="false">
      <c r="B51327" s="0" t="s">
        <v>1</v>
      </c>
      <c r="C51327" s="0" t="s">
        <v>5538</v>
      </c>
      <c r="E51327" s="0" t="s">
        <v>147</v>
      </c>
      <c r="F51327" s="0" t="s">
        <v>5539</v>
      </c>
    </row>
    <row r="51328" customFormat="false" ht="12.8" hidden="false" customHeight="false" outlineLevel="0" collapsed="false">
      <c r="B51328" s="0" t="s">
        <v>3028</v>
      </c>
      <c r="C51328" s="0" t="s">
        <v>198</v>
      </c>
      <c r="E51328" s="0" t="s">
        <v>209</v>
      </c>
      <c r="F51328" s="0" t="s">
        <v>5540</v>
      </c>
    </row>
    <row r="51330" customFormat="false" ht="12.8" hidden="false" customHeight="false" outlineLevel="0" collapsed="false">
      <c r="A51330" s="0" t="s">
        <v>17935</v>
      </c>
      <c r="B51330" s="0" t="str">
        <f aca="false">HYPERLINK("https://lindat.mff.cuni.cz/services/teitok/pdtc10/index.php?action=vallex&amp;frame=v-w7244f1", "upřesňovat (v-w7244f1)")</f>
        <v>upřesňovat (v-w7244f1)</v>
      </c>
      <c r="E51330" s="0" t="str">
        <f aca="false">HYPERLINK("https://lindat.mff.cuni.cz/services/SynSemClass40/SynSemClass40.html?veclass=vec00108#vec00108-ces-cm00016", "vec00108")</f>
        <v>vec00108</v>
      </c>
      <c r="F51330" s="0" t="s">
        <v>5537</v>
      </c>
    </row>
    <row r="51331" customFormat="false" ht="12.8" hidden="false" customHeight="false" outlineLevel="0" collapsed="false">
      <c r="B51331" s="0" t="s">
        <v>1</v>
      </c>
      <c r="C51331" s="0" t="s">
        <v>5538</v>
      </c>
      <c r="E51331" s="0" t="s">
        <v>147</v>
      </c>
      <c r="F51331" s="0" t="s">
        <v>5539</v>
      </c>
    </row>
    <row r="51332" customFormat="false" ht="12.8" hidden="false" customHeight="false" outlineLevel="0" collapsed="false">
      <c r="B51332" s="0" t="s">
        <v>3028</v>
      </c>
      <c r="C51332" s="0" t="s">
        <v>198</v>
      </c>
      <c r="E51332" s="0" t="s">
        <v>209</v>
      </c>
      <c r="F51332" s="0" t="s">
        <v>5540</v>
      </c>
    </row>
    <row r="51334" customFormat="false" ht="12.8" hidden="false" customHeight="false" outlineLevel="0" collapsed="false">
      <c r="A51334" s="0" t="s">
        <v>17936</v>
      </c>
      <c r="B51334" s="0" t="str">
        <f aca="false">HYPERLINK("https://lindat.mff.cuni.cz/services/teitok/pdtc10/index.php?action=vallex&amp;frame=v-w7245f1", "upřít (v-w7245f1)")</f>
        <v>upřít (v-w7245f1)</v>
      </c>
    </row>
    <row r="51335" customFormat="false" ht="12.8" hidden="false" customHeight="false" outlineLevel="0" collapsed="false">
      <c r="B51335" s="0" t="s">
        <v>1</v>
      </c>
    </row>
    <row r="51336" customFormat="false" ht="12.8" hidden="false" customHeight="false" outlineLevel="0" collapsed="false">
      <c r="B51336" s="0" t="s">
        <v>59</v>
      </c>
    </row>
    <row r="51337" customFormat="false" ht="12.8" hidden="false" customHeight="false" outlineLevel="0" collapsed="false">
      <c r="B51337" s="0" t="s">
        <v>52</v>
      </c>
    </row>
    <row r="51339" customFormat="false" ht="12.8" hidden="false" customHeight="false" outlineLevel="0" collapsed="false">
      <c r="A51339" s="0" t="s">
        <v>17937</v>
      </c>
      <c r="B51339" s="0" t="str">
        <f aca="false">HYPERLINK("https://lindat.mff.cuni.cz/services/teitok/pdtc10/index.php?action=vallex&amp;frame=v-w7245f2", "upřít (v-w7245f2)")</f>
        <v>upřít (v-w7245f2)</v>
      </c>
    </row>
    <row r="51340" customFormat="false" ht="12.8" hidden="false" customHeight="false" outlineLevel="0" collapsed="false">
      <c r="B51340" s="0" t="s">
        <v>1</v>
      </c>
    </row>
    <row r="51341" customFormat="false" ht="12.8" hidden="false" customHeight="false" outlineLevel="0" collapsed="false">
      <c r="B51341" s="0" t="s">
        <v>17938</v>
      </c>
    </row>
    <row r="51342" customFormat="false" ht="12.8" hidden="false" customHeight="false" outlineLevel="0" collapsed="false">
      <c r="B51342" s="0" t="s">
        <v>164</v>
      </c>
    </row>
    <row r="51344" customFormat="false" ht="12.8" hidden="false" customHeight="false" outlineLevel="0" collapsed="false">
      <c r="A51344" s="0" t="s">
        <v>17939</v>
      </c>
      <c r="B51344" s="0" t="str">
        <f aca="false">HYPERLINK("https://lindat.mff.cuni.cz/services/teitok/pdtc10/index.php?action=vallex&amp;frame=v-w7249f1", "urazit (v-w7249f1)")</f>
        <v>urazit (v-w7249f1)</v>
      </c>
      <c r="E51344" s="0" t="str">
        <f aca="false">HYPERLINK("https://lindat.mff.cuni.cz/services/SynSemClass40/SynSemClass40.html?veclass=vec00736#vec00736-ces-cm00001", "vec00736")</f>
        <v>vec00736</v>
      </c>
      <c r="F51344" s="0" t="s">
        <v>17940</v>
      </c>
    </row>
    <row r="51345" customFormat="false" ht="12.8" hidden="false" customHeight="false" outlineLevel="0" collapsed="false">
      <c r="B51345" s="0" t="s">
        <v>1</v>
      </c>
      <c r="C51345" s="0" t="s">
        <v>1752</v>
      </c>
      <c r="E51345" s="0" t="s">
        <v>11</v>
      </c>
      <c r="F51345" s="0" t="s">
        <v>12678</v>
      </c>
    </row>
    <row r="51346" customFormat="false" ht="12.8" hidden="false" customHeight="false" outlineLevel="0" collapsed="false">
      <c r="B51346" s="0" t="s">
        <v>8</v>
      </c>
      <c r="C51346" s="0" t="s">
        <v>449</v>
      </c>
      <c r="E51346" s="0" t="s">
        <v>1399</v>
      </c>
      <c r="F51346" s="0" t="s">
        <v>17941</v>
      </c>
    </row>
    <row r="51348" customFormat="false" ht="12.8" hidden="false" customHeight="false" outlineLevel="0" collapsed="false">
      <c r="A51348" s="0" t="s">
        <v>17942</v>
      </c>
      <c r="B51348" s="0" t="str">
        <f aca="false">HYPERLINK("https://lindat.mff.cuni.cz/services/teitok/pdtc10/index.php?action=vallex&amp;frame=v-w7249f2", "urazit (v-w7249f2)")</f>
        <v>urazit (v-w7249f2)</v>
      </c>
    </row>
    <row r="51349" customFormat="false" ht="12.8" hidden="false" customHeight="false" outlineLevel="0" collapsed="false">
      <c r="B51349" s="0" t="s">
        <v>1</v>
      </c>
    </row>
    <row r="51350" customFormat="false" ht="12.8" hidden="false" customHeight="false" outlineLevel="0" collapsed="false">
      <c r="B51350" s="0" t="s">
        <v>8</v>
      </c>
    </row>
    <row r="51352" customFormat="false" ht="12.8" hidden="false" customHeight="false" outlineLevel="0" collapsed="false">
      <c r="A51352" s="0" t="s">
        <v>17943</v>
      </c>
      <c r="B51352" s="0" t="str">
        <f aca="false">HYPERLINK("https://lindat.mff.cuni.cz/services/teitok/pdtc10/index.php?action=vallex&amp;frame=v-w7249f3", "urazit (v-w7249f3)")</f>
        <v>urazit (v-w7249f3)</v>
      </c>
    </row>
    <row r="51353" customFormat="false" ht="12.8" hidden="false" customHeight="false" outlineLevel="0" collapsed="false">
      <c r="B51353" s="0" t="s">
        <v>1</v>
      </c>
    </row>
    <row r="51354" customFormat="false" ht="12.8" hidden="false" customHeight="false" outlineLevel="0" collapsed="false">
      <c r="B51354" s="0" t="s">
        <v>8</v>
      </c>
    </row>
    <row r="51356" customFormat="false" ht="12.8" hidden="false" customHeight="false" outlineLevel="0" collapsed="false">
      <c r="A51356" s="0" t="s">
        <v>17944</v>
      </c>
      <c r="B51356" s="0" t="str">
        <f aca="false">HYPERLINK("https://lindat.mff.cuni.cz/services/teitok/pdtc10/index.php?action=vallex&amp;frame=v-w7250f1", "urazit se (v-w7250f1)")</f>
        <v>urazit se (v-w7250f1)</v>
      </c>
    </row>
    <row r="51357" customFormat="false" ht="12.8" hidden="false" customHeight="false" outlineLevel="0" collapsed="false">
      <c r="B51357" s="0" t="s">
        <v>1</v>
      </c>
    </row>
    <row r="51359" customFormat="false" ht="12.8" hidden="false" customHeight="false" outlineLevel="0" collapsed="false">
      <c r="A51359" s="0" t="s">
        <v>17945</v>
      </c>
      <c r="B51359" s="0" t="str">
        <f aca="false">HYPERLINK("https://lindat.mff.cuni.cz/services/teitok/pdtc10/index.php?action=vallex&amp;frame=v-w7259f1", "urgovat (v-w7259f1)")</f>
        <v>urgovat (v-w7259f1)</v>
      </c>
      <c r="E51359" s="0" t="str">
        <f aca="false">HYPERLINK("https://lindat.mff.cuni.cz/services/SynSemClass40/SynSemClass40.html?veclass=vec00272#vec00272-ces-cm00146", "vec00272")</f>
        <v>vec00272</v>
      </c>
      <c r="F51359" s="0" t="s">
        <v>1490</v>
      </c>
      <c r="H51359" s="0" t="str">
        <f aca="false">HYPERLINK("https://lindat.mff.cuni.cz/services/SynSemClass40/SynSemClass40.html?veclass=vec00361#vec00361-ces-cm00086", "vec00361")</f>
        <v>vec00361</v>
      </c>
      <c r="I51359" s="0" t="s">
        <v>7548</v>
      </c>
    </row>
    <row r="51360" customFormat="false" ht="12.8" hidden="false" customHeight="false" outlineLevel="0" collapsed="false">
      <c r="B51360" s="0" t="s">
        <v>1</v>
      </c>
      <c r="C51360" s="0" t="s">
        <v>17946</v>
      </c>
      <c r="E51360" s="0" t="s">
        <v>1492</v>
      </c>
      <c r="F51360" s="0" t="s">
        <v>1493</v>
      </c>
      <c r="H51360" s="0" t="s">
        <v>31</v>
      </c>
      <c r="I51360" s="0" t="s">
        <v>7550</v>
      </c>
    </row>
    <row r="51361" customFormat="false" ht="12.8" hidden="false" customHeight="false" outlineLevel="0" collapsed="false">
      <c r="B51361" s="0" t="s">
        <v>8</v>
      </c>
      <c r="C51361" s="0" t="s">
        <v>17947</v>
      </c>
      <c r="E51361" s="0" t="s">
        <v>1495</v>
      </c>
      <c r="F51361" s="0" t="s">
        <v>1496</v>
      </c>
      <c r="H51361" s="0" t="s">
        <v>523</v>
      </c>
      <c r="I51361" s="0" t="s">
        <v>10613</v>
      </c>
    </row>
    <row r="51363" customFormat="false" ht="12.8" hidden="false" customHeight="false" outlineLevel="0" collapsed="false">
      <c r="A51363" s="0" t="s">
        <v>17948</v>
      </c>
      <c r="B51363" s="0" t="str">
        <f aca="false">HYPERLINK("https://lindat.mff.cuni.cz/services/teitok/pdtc10/index.php?action=vallex&amp;frame=v-whsa_390hsa_391", "urodit se (v-whsa_390hsa_391)")</f>
        <v>urodit se (v-whsa_390hsa_391)</v>
      </c>
    </row>
    <row r="51364" customFormat="false" ht="12.8" hidden="false" customHeight="false" outlineLevel="0" collapsed="false">
      <c r="B51364" s="0" t="s">
        <v>1</v>
      </c>
    </row>
    <row r="51366" customFormat="false" ht="12.8" hidden="false" customHeight="false" outlineLevel="0" collapsed="false">
      <c r="A51366" s="0" t="s">
        <v>17949</v>
      </c>
      <c r="B51366" s="0" t="str">
        <f aca="false">HYPERLINK("https://lindat.mff.cuni.cz/services/teitok/pdtc10/index.php?action=vallex&amp;frame=v-whsa_1894f1_ZU", "uronit (v-whsa_1894f1_ZU)")</f>
        <v>uronit (v-whsa_1894f1_ZU)</v>
      </c>
    </row>
    <row r="51367" customFormat="false" ht="12.8" hidden="false" customHeight="false" outlineLevel="0" collapsed="false">
      <c r="B51367" s="0" t="s">
        <v>1</v>
      </c>
    </row>
    <row r="51368" customFormat="false" ht="12.8" hidden="false" customHeight="false" outlineLevel="0" collapsed="false">
      <c r="B51368" s="0" t="s">
        <v>17950</v>
      </c>
    </row>
    <row r="51370" customFormat="false" ht="12.8" hidden="false" customHeight="false" outlineLevel="0" collapsed="false">
      <c r="A51370" s="0" t="s">
        <v>17949</v>
      </c>
      <c r="B51370" s="0" t="str">
        <f aca="false">HYPERLINK("https://lindat.mff.cuni.cz/services/teitok/pdtc10/index.php?action=vallex&amp;frame=v-whsa_1894hsa_1895", "uronit (v-whsa_1894hsa_1895) - substituted with v-whsa_1894f1_ZU")</f>
        <v>uronit (v-whsa_1894hsa_1895) - substituted with v-whsa_1894f1_ZU</v>
      </c>
    </row>
    <row r="51371" customFormat="false" ht="12.8" hidden="false" customHeight="false" outlineLevel="0" collapsed="false">
      <c r="B51371" s="0" t="s">
        <v>1</v>
      </c>
    </row>
    <row r="51372" customFormat="false" ht="12.8" hidden="false" customHeight="false" outlineLevel="0" collapsed="false">
      <c r="B51372" s="0" t="s">
        <v>17950</v>
      </c>
    </row>
    <row r="51374" customFormat="false" ht="12.8" hidden="false" customHeight="false" outlineLevel="0" collapsed="false">
      <c r="A51374" s="0" t="s">
        <v>17951</v>
      </c>
      <c r="B51374" s="0" t="str">
        <f aca="false">HYPERLINK("https://lindat.mff.cuni.cz/services/teitok/pdtc10/index.php?action=vallex&amp;frame=v-w7265f2_ZU", "urovnat (v-w7265f2_ZU)")</f>
        <v>urovnat (v-w7265f2_ZU)</v>
      </c>
      <c r="E51374" s="0" t="str">
        <f aca="false">HYPERLINK("https://lindat.mff.cuni.cz/services/SynSemClass40/SynSemClass40.html?veclass=vec00356#vec00356-ces-cm00017", "vec00356")</f>
        <v>vec00356</v>
      </c>
      <c r="F51374" s="0" t="s">
        <v>5457</v>
      </c>
      <c r="H51374" s="0" t="str">
        <f aca="false">HYPERLINK("https://lindat.mff.cuni.cz/services/SynSemClass40/SynSemClass40.html?veclass=vec01468#vec01468-ces-cm00002", "vec01468")</f>
        <v>vec01468</v>
      </c>
      <c r="I51374" s="0" t="s">
        <v>2308</v>
      </c>
    </row>
    <row r="51375" customFormat="false" ht="12.8" hidden="false" customHeight="false" outlineLevel="0" collapsed="false">
      <c r="B51375" s="0" t="s">
        <v>1</v>
      </c>
      <c r="C51375" s="0" t="s">
        <v>17952</v>
      </c>
      <c r="E51375" s="0" t="s">
        <v>84</v>
      </c>
      <c r="F51375" s="0" t="s">
        <v>5459</v>
      </c>
      <c r="H51375" s="0" t="s">
        <v>2251</v>
      </c>
      <c r="I51375" s="0" t="s">
        <v>2310</v>
      </c>
    </row>
    <row r="51376" customFormat="false" ht="12.8" hidden="false" customHeight="false" outlineLevel="0" collapsed="false">
      <c r="B51376" s="0" t="s">
        <v>8</v>
      </c>
      <c r="C51376" s="0" t="s">
        <v>17953</v>
      </c>
      <c r="E51376" s="0" t="s">
        <v>4852</v>
      </c>
      <c r="F51376" s="0" t="s">
        <v>5461</v>
      </c>
      <c r="H51376" s="0" t="s">
        <v>230</v>
      </c>
      <c r="I51376" s="0" t="s">
        <v>2313</v>
      </c>
    </row>
    <row r="51378" customFormat="false" ht="12.8" hidden="false" customHeight="false" outlineLevel="0" collapsed="false">
      <c r="A51378" s="0" t="s">
        <v>17951</v>
      </c>
      <c r="B51378" s="0" t="str">
        <f aca="false">HYPERLINK("https://lindat.mff.cuni.cz/services/teitok/pdtc10/index.php?action=vallex&amp;frame=v-w7265f1", "urovnat (v-w7265f1) - substituted with v-w7265f2_ZU")</f>
        <v>urovnat (v-w7265f1) - substituted with v-w7265f2_ZU</v>
      </c>
    </row>
    <row r="51379" customFormat="false" ht="12.8" hidden="false" customHeight="false" outlineLevel="0" collapsed="false">
      <c r="B51379" s="0" t="s">
        <v>1</v>
      </c>
    </row>
    <row r="51380" customFormat="false" ht="12.8" hidden="false" customHeight="false" outlineLevel="0" collapsed="false">
      <c r="B51380" s="0" t="s">
        <v>8</v>
      </c>
    </row>
    <row r="51382" customFormat="false" ht="12.8" hidden="false" customHeight="false" outlineLevel="0" collapsed="false">
      <c r="A51382" s="0" t="s">
        <v>17954</v>
      </c>
      <c r="B51382" s="0" t="str">
        <f aca="false">HYPERLINK("https://lindat.mff.cuni.cz/services/teitok/pdtc10/index.php?action=vallex&amp;frame=v-whsa_20hsa_21", "urovnávat (v-whsa_20hsa_21)")</f>
        <v>urovnávat (v-whsa_20hsa_21)</v>
      </c>
      <c r="E51382" s="0" t="str">
        <f aca="false">HYPERLINK("https://lindat.mff.cuni.cz/services/SynSemClass40/SynSemClass40.html?veclass=vec00356#vec00356-ces-cm00018", "vec00356")</f>
        <v>vec00356</v>
      </c>
      <c r="F51382" s="0" t="s">
        <v>5457</v>
      </c>
    </row>
    <row r="51383" customFormat="false" ht="12.8" hidden="false" customHeight="false" outlineLevel="0" collapsed="false">
      <c r="B51383" s="0" t="s">
        <v>1</v>
      </c>
      <c r="C51383" s="0" t="s">
        <v>5458</v>
      </c>
      <c r="E51383" s="0" t="s">
        <v>84</v>
      </c>
      <c r="F51383" s="0" t="s">
        <v>5459</v>
      </c>
    </row>
    <row r="51384" customFormat="false" ht="12.8" hidden="false" customHeight="false" outlineLevel="0" collapsed="false">
      <c r="B51384" s="0" t="s">
        <v>8</v>
      </c>
      <c r="C51384" s="0" t="s">
        <v>5460</v>
      </c>
      <c r="E51384" s="0" t="s">
        <v>4852</v>
      </c>
      <c r="F51384" s="0" t="s">
        <v>5461</v>
      </c>
    </row>
    <row r="51386" customFormat="false" ht="12.8" hidden="false" customHeight="false" outlineLevel="0" collapsed="false">
      <c r="A51386" s="0" t="s">
        <v>17955</v>
      </c>
      <c r="B51386" s="0" t="str">
        <f aca="false">HYPERLINK("https://lindat.mff.cuni.cz/services/teitok/pdtc10/index.php?action=vallex&amp;frame=v-w10481f2", "urvat (v-w10481f2)")</f>
        <v>urvat (v-w10481f2)</v>
      </c>
    </row>
    <row r="51387" customFormat="false" ht="12.8" hidden="false" customHeight="false" outlineLevel="0" collapsed="false">
      <c r="B51387" s="0" t="s">
        <v>1</v>
      </c>
    </row>
    <row r="51388" customFormat="false" ht="12.8" hidden="false" customHeight="false" outlineLevel="0" collapsed="false">
      <c r="B51388" s="0" t="s">
        <v>8</v>
      </c>
    </row>
    <row r="51389" customFormat="false" ht="12.8" hidden="false" customHeight="false" outlineLevel="0" collapsed="false">
      <c r="B51389" s="0" t="s">
        <v>36</v>
      </c>
    </row>
    <row r="51391" customFormat="false" ht="12.8" hidden="false" customHeight="false" outlineLevel="0" collapsed="false">
      <c r="A51391" s="0" t="s">
        <v>17956</v>
      </c>
      <c r="B51391" s="0" t="str">
        <f aca="false">HYPERLINK("https://lindat.mff.cuni.cz/services/teitok/pdtc10/index.php?action=vallex&amp;frame=v-w7267f1", "urychlit (v-w7267f1)")</f>
        <v>urychlit (v-w7267f1)</v>
      </c>
      <c r="E51391" s="0" t="str">
        <f aca="false">HYPERLINK("https://lindat.mff.cuni.cz/services/SynSemClass40/SynSemClass40.html?veclass=vec00337#vec00337-ces-cm00001", "vec00337")</f>
        <v>vec00337</v>
      </c>
      <c r="F51391" s="0" t="s">
        <v>11339</v>
      </c>
    </row>
    <row r="51392" customFormat="false" ht="12.8" hidden="false" customHeight="false" outlineLevel="0" collapsed="false">
      <c r="B51392" s="0" t="s">
        <v>1</v>
      </c>
      <c r="C51392" s="0" t="s">
        <v>11340</v>
      </c>
      <c r="E51392" s="0" t="s">
        <v>31</v>
      </c>
      <c r="F51392" s="0" t="s">
        <v>11341</v>
      </c>
    </row>
    <row r="51393" customFormat="false" ht="12.8" hidden="false" customHeight="false" outlineLevel="0" collapsed="false">
      <c r="B51393" s="0" t="s">
        <v>8</v>
      </c>
      <c r="C51393" s="0" t="s">
        <v>5933</v>
      </c>
      <c r="E51393" s="0" t="s">
        <v>1569</v>
      </c>
      <c r="F51393" s="0" t="s">
        <v>11342</v>
      </c>
    </row>
    <row r="51394" customFormat="false" ht="12.8" hidden="false" customHeight="false" outlineLevel="0" collapsed="false">
      <c r="B51394" s="0" t="s">
        <v>36</v>
      </c>
      <c r="E51394" s="0" t="s">
        <v>5152</v>
      </c>
      <c r="F51394" s="0" t="s">
        <v>17957</v>
      </c>
    </row>
    <row r="51395" customFormat="false" ht="12.8" hidden="false" customHeight="false" outlineLevel="0" collapsed="false">
      <c r="B51395" s="0" t="s">
        <v>101</v>
      </c>
      <c r="E51395" s="0" t="s">
        <v>5796</v>
      </c>
      <c r="F51395" s="0" t="s">
        <v>17958</v>
      </c>
    </row>
    <row r="51397" customFormat="false" ht="12.8" hidden="false" customHeight="false" outlineLevel="0" collapsed="false">
      <c r="A51397" s="0" t="s">
        <v>17959</v>
      </c>
      <c r="B51397" s="0" t="str">
        <f aca="false">HYPERLINK("https://lindat.mff.cuni.cz/services/teitok/pdtc10/index.php?action=vallex&amp;frame=v-w7268f1", "urychlovat (v-w7268f1)")</f>
        <v>urychlovat (v-w7268f1)</v>
      </c>
      <c r="E51397" s="0" t="str">
        <f aca="false">HYPERLINK("https://lindat.mff.cuni.cz/services/SynSemClass40/SynSemClass40.html?veclass=vec00337#vec00337-ces-cm00015", "vec00337")</f>
        <v>vec00337</v>
      </c>
      <c r="F51397" s="0" t="s">
        <v>11339</v>
      </c>
    </row>
    <row r="51398" customFormat="false" ht="12.8" hidden="false" customHeight="false" outlineLevel="0" collapsed="false">
      <c r="B51398" s="0" t="s">
        <v>1</v>
      </c>
      <c r="C51398" s="0" t="s">
        <v>11340</v>
      </c>
      <c r="E51398" s="0" t="s">
        <v>31</v>
      </c>
      <c r="F51398" s="0" t="s">
        <v>11341</v>
      </c>
    </row>
    <row r="51399" customFormat="false" ht="12.8" hidden="false" customHeight="false" outlineLevel="0" collapsed="false">
      <c r="B51399" s="0" t="s">
        <v>8</v>
      </c>
      <c r="C51399" s="0" t="s">
        <v>5933</v>
      </c>
      <c r="E51399" s="0" t="s">
        <v>1569</v>
      </c>
      <c r="F51399" s="0" t="s">
        <v>11342</v>
      </c>
    </row>
    <row r="51400" customFormat="false" ht="12.8" hidden="false" customHeight="false" outlineLevel="0" collapsed="false">
      <c r="B51400" s="0" t="s">
        <v>36</v>
      </c>
      <c r="E51400" s="0" t="s">
        <v>5152</v>
      </c>
      <c r="F51400" s="0" t="s">
        <v>17957</v>
      </c>
    </row>
    <row r="51401" customFormat="false" ht="12.8" hidden="false" customHeight="false" outlineLevel="0" collapsed="false">
      <c r="B51401" s="0" t="s">
        <v>101</v>
      </c>
      <c r="E51401" s="0" t="s">
        <v>5796</v>
      </c>
      <c r="F51401" s="0" t="s">
        <v>17958</v>
      </c>
    </row>
    <row r="51403" customFormat="false" ht="12.8" hidden="false" customHeight="false" outlineLevel="0" collapsed="false">
      <c r="A51403" s="0" t="s">
        <v>17960</v>
      </c>
      <c r="B51403" s="0" t="str">
        <f aca="false">HYPERLINK("https://lindat.mff.cuni.cz/services/teitok/pdtc10/index.php?action=vallex&amp;frame=v-w7251f1", "urážet (v-w7251f1)")</f>
        <v>urážet (v-w7251f1)</v>
      </c>
      <c r="E51403" s="0" t="str">
        <f aca="false">HYPERLINK("https://lindat.mff.cuni.cz/services/SynSemClass40/SynSemClass40.html?veclass=vec00736#vec00736-ces-cm00008", "vec00736")</f>
        <v>vec00736</v>
      </c>
      <c r="F51403" s="0" t="s">
        <v>17940</v>
      </c>
    </row>
    <row r="51404" customFormat="false" ht="12.8" hidden="false" customHeight="false" outlineLevel="0" collapsed="false">
      <c r="B51404" s="0" t="s">
        <v>1</v>
      </c>
      <c r="C51404" s="0" t="s">
        <v>1752</v>
      </c>
      <c r="E51404" s="0" t="s">
        <v>11</v>
      </c>
      <c r="F51404" s="0" t="s">
        <v>12678</v>
      </c>
    </row>
    <row r="51405" customFormat="false" ht="12.8" hidden="false" customHeight="false" outlineLevel="0" collapsed="false">
      <c r="B51405" s="0" t="s">
        <v>8</v>
      </c>
      <c r="C51405" s="0" t="s">
        <v>449</v>
      </c>
      <c r="E51405" s="0" t="s">
        <v>1399</v>
      </c>
      <c r="F51405" s="0" t="s">
        <v>17941</v>
      </c>
    </row>
    <row r="51407" customFormat="false" ht="12.8" hidden="false" customHeight="false" outlineLevel="0" collapsed="false">
      <c r="A51407" s="0" t="s">
        <v>17961</v>
      </c>
      <c r="B51407" s="0" t="str">
        <f aca="false">HYPERLINK("https://lindat.mff.cuni.cz/services/teitok/pdtc10/index.php?action=vallex&amp;frame=v-w7251f2", "urážet (v-w7251f2)")</f>
        <v>urážet (v-w7251f2)</v>
      </c>
    </row>
    <row r="51408" customFormat="false" ht="12.8" hidden="false" customHeight="false" outlineLevel="0" collapsed="false">
      <c r="B51408" s="0" t="s">
        <v>1</v>
      </c>
    </row>
    <row r="51409" customFormat="false" ht="12.8" hidden="false" customHeight="false" outlineLevel="0" collapsed="false">
      <c r="B51409" s="0" t="s">
        <v>8</v>
      </c>
    </row>
    <row r="51411" customFormat="false" ht="12.8" hidden="false" customHeight="false" outlineLevel="0" collapsed="false">
      <c r="A51411" s="0" t="s">
        <v>17962</v>
      </c>
      <c r="B51411" s="0" t="str">
        <f aca="false">HYPERLINK("https://lindat.mff.cuni.cz/services/teitok/pdtc10/index.php?action=vallex&amp;frame=v-w7255f8_ZU", "určit (v-w7255f8_ZU)")</f>
        <v>určit (v-w7255f8_ZU)</v>
      </c>
    </row>
    <row r="51412" customFormat="false" ht="12.8" hidden="false" customHeight="false" outlineLevel="0" collapsed="false">
      <c r="B51412" s="0" t="s">
        <v>1</v>
      </c>
    </row>
    <row r="51413" customFormat="false" ht="12.8" hidden="false" customHeight="false" outlineLevel="0" collapsed="false">
      <c r="B51413" s="0" t="s">
        <v>59</v>
      </c>
    </row>
    <row r="51414" customFormat="false" ht="12.8" hidden="false" customHeight="false" outlineLevel="0" collapsed="false">
      <c r="B51414" s="0" t="s">
        <v>132</v>
      </c>
    </row>
    <row r="51415" customFormat="false" ht="12.8" hidden="false" customHeight="false" outlineLevel="0" collapsed="false">
      <c r="B51415" s="0" t="s">
        <v>3406</v>
      </c>
    </row>
    <row r="51417" customFormat="false" ht="12.8" hidden="false" customHeight="false" outlineLevel="0" collapsed="false">
      <c r="A51417" s="0" t="s">
        <v>17962</v>
      </c>
      <c r="B51417" s="0" t="str">
        <f aca="false">HYPERLINK("https://lindat.mff.cuni.cz/services/teitok/pdtc10/index.php?action=vallex&amp;frame=v-w7255f5", "určit (v-w7255f5) - substituted with v-w7255f8_ZU")</f>
        <v>určit (v-w7255f5) - substituted with v-w7255f8_ZU</v>
      </c>
    </row>
    <row r="51418" customFormat="false" ht="12.8" hidden="false" customHeight="false" outlineLevel="0" collapsed="false">
      <c r="B51418" s="0" t="s">
        <v>1</v>
      </c>
    </row>
    <row r="51419" customFormat="false" ht="12.8" hidden="false" customHeight="false" outlineLevel="0" collapsed="false">
      <c r="B51419" s="0" t="s">
        <v>59</v>
      </c>
    </row>
    <row r="51420" customFormat="false" ht="12.8" hidden="false" customHeight="false" outlineLevel="0" collapsed="false">
      <c r="B51420" s="0" t="s">
        <v>132</v>
      </c>
    </row>
    <row r="51421" customFormat="false" ht="12.8" hidden="false" customHeight="false" outlineLevel="0" collapsed="false">
      <c r="B51421" s="0" t="s">
        <v>3406</v>
      </c>
    </row>
    <row r="51423" customFormat="false" ht="12.8" hidden="false" customHeight="false" outlineLevel="0" collapsed="false">
      <c r="A51423" s="0" t="s">
        <v>17963</v>
      </c>
      <c r="B51423" s="0" t="str">
        <f aca="false">HYPERLINK("https://lindat.mff.cuni.cz/services/teitok/pdtc10/index.php?action=vallex&amp;frame=v-w7255f3", "určit (v-w7255f3)")</f>
        <v>určit (v-w7255f3)</v>
      </c>
      <c r="E51423" s="0" t="str">
        <f aca="false">HYPERLINK("https://lindat.mff.cuni.cz/services/SynSemClass40/SynSemClass40.html?veclass=vec00556#vec00556-ces-cm00050", "vec00556")</f>
        <v>vec00556</v>
      </c>
      <c r="F51423" s="0" t="s">
        <v>17964</v>
      </c>
    </row>
    <row r="51424" customFormat="false" ht="12.8" hidden="false" customHeight="false" outlineLevel="0" collapsed="false">
      <c r="B51424" s="0" t="s">
        <v>1</v>
      </c>
      <c r="C51424" s="0" t="s">
        <v>5782</v>
      </c>
      <c r="E51424" s="0" t="s">
        <v>206</v>
      </c>
      <c r="F51424" s="0" t="s">
        <v>6042</v>
      </c>
    </row>
    <row r="51425" customFormat="false" ht="12.8" hidden="false" customHeight="false" outlineLevel="0" collapsed="false">
      <c r="B51425" s="0" t="s">
        <v>2811</v>
      </c>
      <c r="C51425" s="0" t="s">
        <v>17965</v>
      </c>
      <c r="E51425" s="0" t="s">
        <v>1702</v>
      </c>
      <c r="F51425" s="0" t="s">
        <v>17966</v>
      </c>
    </row>
    <row r="51426" customFormat="false" ht="12.8" hidden="false" customHeight="false" outlineLevel="0" collapsed="false">
      <c r="B51426" s="0" t="s">
        <v>3473</v>
      </c>
      <c r="C51426" s="0" t="s">
        <v>4604</v>
      </c>
      <c r="E51426" s="0" t="s">
        <v>13556</v>
      </c>
      <c r="F51426" s="0" t="s">
        <v>17967</v>
      </c>
    </row>
    <row r="51428" customFormat="false" ht="12.8" hidden="false" customHeight="false" outlineLevel="0" collapsed="false">
      <c r="A51428" s="0" t="s">
        <v>17968</v>
      </c>
      <c r="B51428" s="0" t="str">
        <f aca="false">HYPERLINK("https://lindat.mff.cuni.cz/services/teitok/pdtc10/index.php?action=vallex&amp;frame=v-w7255f6", "určit (v-w7255f6)")</f>
        <v>určit (v-w7255f6)</v>
      </c>
      <c r="E51428" s="0" t="str">
        <f aca="false">HYPERLINK("https://lindat.mff.cuni.cz/services/SynSemClass40/SynSemClass40.html?veclass=vec00859#vec00859-ces-cm00067", "vec00859")</f>
        <v>vec00859</v>
      </c>
      <c r="F51428" s="0" t="s">
        <v>1728</v>
      </c>
    </row>
    <row r="51429" customFormat="false" ht="12.8" hidden="false" customHeight="false" outlineLevel="0" collapsed="false">
      <c r="B51429" s="0" t="s">
        <v>1</v>
      </c>
      <c r="C51429" s="0" t="s">
        <v>1729</v>
      </c>
      <c r="E51429" s="0" t="s">
        <v>206</v>
      </c>
      <c r="F51429" s="0" t="s">
        <v>1730</v>
      </c>
    </row>
    <row r="51430" customFormat="false" ht="12.8" hidden="false" customHeight="false" outlineLevel="0" collapsed="false">
      <c r="B51430" s="0" t="s">
        <v>8</v>
      </c>
      <c r="C51430" s="0" t="s">
        <v>1731</v>
      </c>
      <c r="E51430" s="0" t="s">
        <v>1732</v>
      </c>
      <c r="F51430" s="0" t="s">
        <v>1733</v>
      </c>
    </row>
    <row r="51431" customFormat="false" ht="12.8" hidden="false" customHeight="false" outlineLevel="0" collapsed="false">
      <c r="B51431" s="0" t="s">
        <v>162</v>
      </c>
      <c r="C51431" s="0" t="s">
        <v>8468</v>
      </c>
      <c r="E51431" s="0" t="s">
        <v>8469</v>
      </c>
      <c r="F51431" s="0" t="s">
        <v>8470</v>
      </c>
    </row>
    <row r="51433" customFormat="false" ht="12.8" hidden="false" customHeight="false" outlineLevel="0" collapsed="false">
      <c r="A51433" s="0" t="s">
        <v>17969</v>
      </c>
      <c r="B51433" s="0" t="str">
        <f aca="false">HYPERLINK("https://lindat.mff.cuni.cz/services/teitok/pdtc10/index.php?action=vallex&amp;frame=v-w7255f4", "určit (v-w7255f4)")</f>
        <v>určit (v-w7255f4)</v>
      </c>
    </row>
    <row r="51434" customFormat="false" ht="12.8" hidden="false" customHeight="false" outlineLevel="0" collapsed="false">
      <c r="B51434" s="0" t="s">
        <v>1</v>
      </c>
    </row>
    <row r="51435" customFormat="false" ht="12.8" hidden="false" customHeight="false" outlineLevel="0" collapsed="false">
      <c r="B51435" s="0" t="s">
        <v>8</v>
      </c>
    </row>
    <row r="51436" customFormat="false" ht="12.8" hidden="false" customHeight="false" outlineLevel="0" collapsed="false">
      <c r="B51436" s="0" t="s">
        <v>17970</v>
      </c>
    </row>
    <row r="51438" customFormat="false" ht="12.8" hidden="false" customHeight="false" outlineLevel="0" collapsed="false">
      <c r="A51438" s="0" t="s">
        <v>17971</v>
      </c>
      <c r="B51438" s="0" t="str">
        <f aca="false">HYPERLINK("https://lindat.mff.cuni.cz/services/teitok/pdtc10/index.php?action=vallex&amp;frame=v-w7255f1", "určit (v-w7255f1)")</f>
        <v>určit (v-w7255f1)</v>
      </c>
      <c r="E51438" s="0" t="str">
        <f aca="false">HYPERLINK("https://lindat.mff.cuni.cz/services/SynSemClass40/SynSemClass40.html?veclass=vec00166#vec00166-ces-cm00016", "vec00166")</f>
        <v>vec00166</v>
      </c>
      <c r="F51438" s="0" t="s">
        <v>12005</v>
      </c>
      <c r="H51438" s="0" t="str">
        <f aca="false">HYPERLINK("https://lindat.mff.cuni.cz/services/SynSemClass40/SynSemClass40.html?veclass=vec00322#vec00322-ces-cm00021", "vec00322")</f>
        <v>vec00322</v>
      </c>
      <c r="I51438" s="0" t="s">
        <v>1343</v>
      </c>
    </row>
    <row r="51439" customFormat="false" ht="12.8" hidden="false" customHeight="false" outlineLevel="0" collapsed="false">
      <c r="B51439" s="0" t="s">
        <v>1</v>
      </c>
      <c r="C51439" s="0" t="s">
        <v>17972</v>
      </c>
      <c r="E51439" s="0" t="s">
        <v>31</v>
      </c>
      <c r="F51439" s="0" t="s">
        <v>12007</v>
      </c>
      <c r="H51439" s="0" t="s">
        <v>206</v>
      </c>
      <c r="I51439" s="0" t="s">
        <v>1345</v>
      </c>
    </row>
    <row r="51440" customFormat="false" ht="12.8" hidden="false" customHeight="false" outlineLevel="0" collapsed="false">
      <c r="B51440" s="0" t="s">
        <v>8</v>
      </c>
      <c r="C51440" s="0" t="s">
        <v>17973</v>
      </c>
      <c r="E51440" s="0" t="s">
        <v>1347</v>
      </c>
      <c r="F51440" s="0" t="s">
        <v>12008</v>
      </c>
      <c r="H51440" s="0" t="s">
        <v>1347</v>
      </c>
      <c r="I51440" s="0" t="s">
        <v>1348</v>
      </c>
    </row>
    <row r="51441" customFormat="false" ht="12.8" hidden="false" customHeight="false" outlineLevel="0" collapsed="false">
      <c r="B51441" s="0" t="s">
        <v>101</v>
      </c>
      <c r="C51441" s="0" t="s">
        <v>1349</v>
      </c>
      <c r="H51441" s="0" t="s">
        <v>1350</v>
      </c>
      <c r="I51441" s="0" t="s">
        <v>1351</v>
      </c>
    </row>
    <row r="51443" customFormat="false" ht="12.8" hidden="false" customHeight="false" outlineLevel="0" collapsed="false">
      <c r="A51443" s="0" t="s">
        <v>17974</v>
      </c>
      <c r="B51443" s="0" t="str">
        <f aca="false">HYPERLINK("https://lindat.mff.cuni.cz/services/teitok/pdtc10/index.php?action=vallex&amp;frame=v-w7255f2", "určit (v-w7255f2)")</f>
        <v>určit (v-w7255f2)</v>
      </c>
      <c r="E51443" s="0" t="str">
        <f aca="false">HYPERLINK("https://lindat.mff.cuni.cz/services/SynSemClass40/SynSemClass40.html?veclass=vec00127#vec00127-ces-cm00055", "vec00127")</f>
        <v>vec00127</v>
      </c>
      <c r="F51443" s="0" t="s">
        <v>1835</v>
      </c>
      <c r="H51443" s="0" t="str">
        <f aca="false">HYPERLINK("https://lindat.mff.cuni.cz/services/SynSemClass40/SynSemClass40.html?veclass=vec00509#vec00509-ces-cm00019", "vec00509")</f>
        <v>vec00509</v>
      </c>
      <c r="I51443" s="0" t="s">
        <v>15046</v>
      </c>
    </row>
    <row r="51444" customFormat="false" ht="12.8" hidden="false" customHeight="false" outlineLevel="0" collapsed="false">
      <c r="B51444" s="0" t="s">
        <v>1</v>
      </c>
      <c r="C51444" s="0" t="s">
        <v>17975</v>
      </c>
      <c r="E51444" s="0" t="s">
        <v>11</v>
      </c>
      <c r="F51444" s="0" t="s">
        <v>1837</v>
      </c>
      <c r="H51444" s="0" t="s">
        <v>206</v>
      </c>
      <c r="I51444" s="0" t="s">
        <v>15048</v>
      </c>
    </row>
    <row r="51445" customFormat="false" ht="12.8" hidden="false" customHeight="false" outlineLevel="0" collapsed="false">
      <c r="B51445" s="0" t="s">
        <v>8893</v>
      </c>
      <c r="C51445" s="0" t="s">
        <v>17976</v>
      </c>
      <c r="E51445" s="0" t="s">
        <v>1840</v>
      </c>
      <c r="F51445" s="0" t="s">
        <v>1841</v>
      </c>
      <c r="H51445" s="0" t="s">
        <v>230</v>
      </c>
      <c r="I51445" s="0" t="s">
        <v>15049</v>
      </c>
    </row>
    <row r="51447" customFormat="false" ht="12.8" hidden="false" customHeight="false" outlineLevel="0" collapsed="false">
      <c r="A51447" s="0" t="s">
        <v>17977</v>
      </c>
      <c r="B51447" s="0" t="str">
        <f aca="false">HYPERLINK("https://lindat.mff.cuni.cz/services/teitok/pdtc10/index.php?action=vallex&amp;frame=v-w7255f7_ZU", "určit (v-w7255f7_ZU)")</f>
        <v>určit (v-w7255f7_ZU)</v>
      </c>
      <c r="E51447" s="0" t="str">
        <f aca="false">HYPERLINK("https://lindat.mff.cuni.cz/services/SynSemClass40/SynSemClass40.html?veclass=vec00127#vec00127-ces-cm00057", "vec00127")</f>
        <v>vec00127</v>
      </c>
      <c r="F51447" s="0" t="s">
        <v>1835</v>
      </c>
    </row>
    <row r="51448" customFormat="false" ht="12.8" hidden="false" customHeight="false" outlineLevel="0" collapsed="false">
      <c r="B51448" s="0" t="s">
        <v>1</v>
      </c>
      <c r="C51448" s="0" t="s">
        <v>3461</v>
      </c>
      <c r="E51448" s="0" t="s">
        <v>11</v>
      </c>
      <c r="F51448" s="0" t="s">
        <v>1837</v>
      </c>
    </row>
    <row r="51449" customFormat="false" ht="12.8" hidden="false" customHeight="false" outlineLevel="0" collapsed="false">
      <c r="B51449" s="0" t="s">
        <v>305</v>
      </c>
      <c r="C51449" s="0" t="s">
        <v>3463</v>
      </c>
      <c r="E51449" s="0" t="s">
        <v>1840</v>
      </c>
      <c r="F51449" s="0" t="s">
        <v>1841</v>
      </c>
    </row>
    <row r="51451" customFormat="false" ht="12.8" hidden="false" customHeight="false" outlineLevel="0" collapsed="false">
      <c r="A51451" s="0" t="s">
        <v>17978</v>
      </c>
      <c r="B51451" s="0" t="str">
        <f aca="false">HYPERLINK("https://lindat.mff.cuni.cz/services/teitok/pdtc10/index.php?action=vallex&amp;frame=v-w7257f5", "určovat (v-w7257f5)")</f>
        <v>určovat (v-w7257f5)</v>
      </c>
    </row>
    <row r="51452" customFormat="false" ht="12.8" hidden="false" customHeight="false" outlineLevel="0" collapsed="false">
      <c r="B51452" s="0" t="s">
        <v>1</v>
      </c>
    </row>
    <row r="51453" customFormat="false" ht="12.8" hidden="false" customHeight="false" outlineLevel="0" collapsed="false">
      <c r="B51453" s="0" t="s">
        <v>6631</v>
      </c>
    </row>
    <row r="51454" customFormat="false" ht="12.8" hidden="false" customHeight="false" outlineLevel="0" collapsed="false">
      <c r="B51454" s="0" t="s">
        <v>132</v>
      </c>
    </row>
    <row r="51455" customFormat="false" ht="12.8" hidden="false" customHeight="false" outlineLevel="0" collapsed="false">
      <c r="B51455" s="0" t="s">
        <v>3406</v>
      </c>
    </row>
    <row r="51457" customFormat="false" ht="12.8" hidden="false" customHeight="false" outlineLevel="0" collapsed="false">
      <c r="A51457" s="0" t="s">
        <v>17979</v>
      </c>
      <c r="B51457" s="0" t="str">
        <f aca="false">HYPERLINK("https://lindat.mff.cuni.cz/services/teitok/pdtc10/index.php?action=vallex&amp;frame=v-w7257f2", "určovat (v-w7257f2)")</f>
        <v>určovat (v-w7257f2)</v>
      </c>
      <c r="E51457" s="0" t="str">
        <f aca="false">HYPERLINK("https://lindat.mff.cuni.cz/services/SynSemClass40/SynSemClass40.html?veclass=vec00859#vec00859-ces-cm00069", "vec00859")</f>
        <v>vec00859</v>
      </c>
      <c r="F51457" s="0" t="s">
        <v>1728</v>
      </c>
    </row>
    <row r="51458" customFormat="false" ht="12.8" hidden="false" customHeight="false" outlineLevel="0" collapsed="false">
      <c r="B51458" s="0" t="s">
        <v>1</v>
      </c>
      <c r="C51458" s="0" t="s">
        <v>1729</v>
      </c>
      <c r="E51458" s="0" t="s">
        <v>206</v>
      </c>
      <c r="F51458" s="0" t="s">
        <v>1730</v>
      </c>
    </row>
    <row r="51459" customFormat="false" ht="12.8" hidden="false" customHeight="false" outlineLevel="0" collapsed="false">
      <c r="B51459" s="0" t="s">
        <v>2811</v>
      </c>
      <c r="C51459" s="0" t="s">
        <v>1731</v>
      </c>
      <c r="E51459" s="0" t="s">
        <v>1732</v>
      </c>
      <c r="F51459" s="0" t="s">
        <v>1733</v>
      </c>
    </row>
    <row r="51460" customFormat="false" ht="12.8" hidden="false" customHeight="false" outlineLevel="0" collapsed="false">
      <c r="B51460" s="0" t="s">
        <v>3473</v>
      </c>
      <c r="C51460" s="0" t="s">
        <v>8468</v>
      </c>
      <c r="E51460" s="0" t="s">
        <v>8469</v>
      </c>
      <c r="F51460" s="0" t="s">
        <v>8470</v>
      </c>
    </row>
    <row r="51462" customFormat="false" ht="12.8" hidden="false" customHeight="false" outlineLevel="0" collapsed="false">
      <c r="A51462" s="0" t="s">
        <v>17980</v>
      </c>
      <c r="B51462" s="0" t="str">
        <f aca="false">HYPERLINK("https://lindat.mff.cuni.cz/services/teitok/pdtc10/index.php?action=vallex&amp;frame=v-w7257f3", "určovat (v-w7257f3)")</f>
        <v>určovat (v-w7257f3)</v>
      </c>
    </row>
    <row r="51463" customFormat="false" ht="12.8" hidden="false" customHeight="false" outlineLevel="0" collapsed="false">
      <c r="B51463" s="0" t="s">
        <v>1</v>
      </c>
    </row>
    <row r="51464" customFormat="false" ht="12.8" hidden="false" customHeight="false" outlineLevel="0" collapsed="false">
      <c r="B51464" s="0" t="s">
        <v>8</v>
      </c>
    </row>
    <row r="51465" customFormat="false" ht="12.8" hidden="false" customHeight="false" outlineLevel="0" collapsed="false">
      <c r="B51465" s="0" t="s">
        <v>17970</v>
      </c>
    </row>
    <row r="51467" customFormat="false" ht="12.8" hidden="false" customHeight="false" outlineLevel="0" collapsed="false">
      <c r="A51467" s="0" t="s">
        <v>17981</v>
      </c>
      <c r="B51467" s="0" t="str">
        <f aca="false">HYPERLINK("https://lindat.mff.cuni.cz/services/teitok/pdtc10/index.php?action=vallex&amp;frame=v-w7257f4", "určovat (v-w7257f4)")</f>
        <v>určovat (v-w7257f4)</v>
      </c>
      <c r="E51467" s="0" t="str">
        <f aca="false">HYPERLINK("https://lindat.mff.cuni.cz/services/SynSemClass40/SynSemClass40.html?veclass=vec00166#vec00166-ces-cm00018", "vec00166")</f>
        <v>vec00166</v>
      </c>
      <c r="F51467" s="0" t="s">
        <v>12005</v>
      </c>
      <c r="H51467" s="0" t="str">
        <f aca="false">HYPERLINK("https://lindat.mff.cuni.cz/services/SynSemClass40/SynSemClass40.html?veclass=vec00322#vec00322-ces-cm00065", "vec00322")</f>
        <v>vec00322</v>
      </c>
      <c r="I51467" s="0" t="s">
        <v>1343</v>
      </c>
    </row>
    <row r="51468" customFormat="false" ht="12.8" hidden="false" customHeight="false" outlineLevel="0" collapsed="false">
      <c r="B51468" s="0" t="s">
        <v>1</v>
      </c>
      <c r="C51468" s="0" t="s">
        <v>17972</v>
      </c>
      <c r="E51468" s="0" t="s">
        <v>31</v>
      </c>
      <c r="F51468" s="0" t="s">
        <v>12007</v>
      </c>
      <c r="H51468" s="0" t="s">
        <v>206</v>
      </c>
      <c r="I51468" s="0" t="s">
        <v>1345</v>
      </c>
    </row>
    <row r="51469" customFormat="false" ht="12.8" hidden="false" customHeight="false" outlineLevel="0" collapsed="false">
      <c r="B51469" s="0" t="s">
        <v>8</v>
      </c>
      <c r="C51469" s="0" t="s">
        <v>17973</v>
      </c>
      <c r="E51469" s="0" t="s">
        <v>1347</v>
      </c>
      <c r="F51469" s="0" t="s">
        <v>12008</v>
      </c>
      <c r="H51469" s="0" t="s">
        <v>1347</v>
      </c>
      <c r="I51469" s="0" t="s">
        <v>1348</v>
      </c>
    </row>
    <row r="51470" customFormat="false" ht="12.8" hidden="false" customHeight="false" outlineLevel="0" collapsed="false">
      <c r="B51470" s="0" t="s">
        <v>101</v>
      </c>
      <c r="C51470" s="0" t="s">
        <v>1349</v>
      </c>
      <c r="H51470" s="0" t="s">
        <v>1350</v>
      </c>
      <c r="I51470" s="0" t="s">
        <v>1351</v>
      </c>
    </row>
    <row r="51472" customFormat="false" ht="12.8" hidden="false" customHeight="false" outlineLevel="0" collapsed="false">
      <c r="A51472" s="0" t="s">
        <v>17982</v>
      </c>
      <c r="B51472" s="0" t="str">
        <f aca="false">HYPERLINK("https://lindat.mff.cuni.cz/services/teitok/pdtc10/index.php?action=vallex&amp;frame=v-w7257f1", "určovat (v-w7257f1)")</f>
        <v>určovat (v-w7257f1)</v>
      </c>
      <c r="E51472" s="0" t="str">
        <f aca="false">HYPERLINK("https://lindat.mff.cuni.cz/services/SynSemClass40/SynSemClass40.html?veclass=vec00127#vec00127-ces-cm00058", "vec00127")</f>
        <v>vec00127</v>
      </c>
      <c r="F51472" s="0" t="s">
        <v>1835</v>
      </c>
    </row>
    <row r="51473" customFormat="false" ht="12.8" hidden="false" customHeight="false" outlineLevel="0" collapsed="false">
      <c r="B51473" s="0" t="s">
        <v>1</v>
      </c>
      <c r="C51473" s="0" t="s">
        <v>3461</v>
      </c>
      <c r="E51473" s="0" t="s">
        <v>11</v>
      </c>
      <c r="F51473" s="0" t="s">
        <v>1837</v>
      </c>
    </row>
    <row r="51474" customFormat="false" ht="12.8" hidden="false" customHeight="false" outlineLevel="0" collapsed="false">
      <c r="B51474" s="0" t="s">
        <v>1838</v>
      </c>
      <c r="C51474" s="0" t="s">
        <v>3463</v>
      </c>
      <c r="E51474" s="0" t="s">
        <v>1840</v>
      </c>
      <c r="F51474" s="0" t="s">
        <v>1841</v>
      </c>
    </row>
    <row r="51476" customFormat="false" ht="12.8" hidden="false" customHeight="false" outlineLevel="0" collapsed="false">
      <c r="A51476" s="0" t="s">
        <v>17983</v>
      </c>
      <c r="B51476" s="0" t="str">
        <f aca="false">HYPERLINK("https://lindat.mff.cuni.cz/services/teitok/pdtc10/index.php?action=vallex&amp;frame=v-w7272f1", "usadit (v-w7272f1)")</f>
        <v>usadit (v-w7272f1)</v>
      </c>
    </row>
    <row r="51477" customFormat="false" ht="12.8" hidden="false" customHeight="false" outlineLevel="0" collapsed="false">
      <c r="B51477" s="0" t="s">
        <v>1</v>
      </c>
    </row>
    <row r="51478" customFormat="false" ht="12.8" hidden="false" customHeight="false" outlineLevel="0" collapsed="false">
      <c r="B51478" s="0" t="s">
        <v>8</v>
      </c>
    </row>
    <row r="51480" customFormat="false" ht="12.8" hidden="false" customHeight="false" outlineLevel="0" collapsed="false">
      <c r="A51480" s="0" t="s">
        <v>17984</v>
      </c>
      <c r="B51480" s="0" t="str">
        <f aca="false">HYPERLINK("https://lindat.mff.cuni.cz/services/teitok/pdtc10/index.php?action=vallex&amp;frame=v-w7272f2_ZU", "usadit (v-w7272f2_ZU)")</f>
        <v>usadit (v-w7272f2_ZU)</v>
      </c>
    </row>
    <row r="51481" customFormat="false" ht="12.8" hidden="false" customHeight="false" outlineLevel="0" collapsed="false">
      <c r="B51481" s="0" t="s">
        <v>1</v>
      </c>
    </row>
    <row r="51482" customFormat="false" ht="12.8" hidden="false" customHeight="false" outlineLevel="0" collapsed="false">
      <c r="B51482" s="0" t="s">
        <v>8</v>
      </c>
    </row>
    <row r="51483" customFormat="false" ht="12.8" hidden="false" customHeight="false" outlineLevel="0" collapsed="false">
      <c r="B51483" s="0" t="s">
        <v>454</v>
      </c>
    </row>
    <row r="51485" customFormat="false" ht="12.8" hidden="false" customHeight="false" outlineLevel="0" collapsed="false">
      <c r="A51485" s="0" t="s">
        <v>17985</v>
      </c>
      <c r="B51485" s="0" t="str">
        <f aca="false">HYPERLINK("https://lindat.mff.cuni.cz/services/teitok/pdtc10/index.php?action=vallex&amp;frame=v-w7273f1", "usadit se (v-w7273f1)")</f>
        <v>usadit se (v-w7273f1)</v>
      </c>
      <c r="E51485" s="0" t="str">
        <f aca="false">HYPERLINK("https://lindat.mff.cuni.cz/services/SynSemClass40/SynSemClass40.html?veclass=vec00308#vec00308-ces-cm00008", "vec00308")</f>
        <v>vec00308</v>
      </c>
      <c r="F51485" s="0" t="s">
        <v>6005</v>
      </c>
    </row>
    <row r="51486" customFormat="false" ht="12.8" hidden="false" customHeight="false" outlineLevel="0" collapsed="false">
      <c r="B51486" s="0" t="s">
        <v>1</v>
      </c>
      <c r="C51486" s="0" t="s">
        <v>6006</v>
      </c>
      <c r="E51486" s="0" t="s">
        <v>6007</v>
      </c>
      <c r="F51486" s="0" t="s">
        <v>6008</v>
      </c>
    </row>
    <row r="51487" customFormat="false" ht="12.8" hidden="false" customHeight="false" outlineLevel="0" collapsed="false">
      <c r="B51487" s="0" t="s">
        <v>5</v>
      </c>
      <c r="C51487" s="0" t="s">
        <v>6009</v>
      </c>
      <c r="E51487" s="0" t="s">
        <v>3254</v>
      </c>
      <c r="F51487" s="0" t="s">
        <v>6010</v>
      </c>
    </row>
    <row r="51489" customFormat="false" ht="12.8" hidden="false" customHeight="false" outlineLevel="0" collapsed="false">
      <c r="A51489" s="0" t="s">
        <v>17986</v>
      </c>
      <c r="B51489" s="0" t="str">
        <f aca="false">HYPERLINK("https://lindat.mff.cuni.cz/services/teitok/pdtc10/index.php?action=vallex&amp;frame=v-w7273f3", "usadit se (v-w7273f3)")</f>
        <v>usadit se (v-w7273f3)</v>
      </c>
    </row>
    <row r="51490" customFormat="false" ht="12.8" hidden="false" customHeight="false" outlineLevel="0" collapsed="false">
      <c r="B51490" s="0" t="s">
        <v>1</v>
      </c>
    </row>
    <row r="51491" customFormat="false" ht="12.8" hidden="false" customHeight="false" outlineLevel="0" collapsed="false">
      <c r="B51491" s="0" t="s">
        <v>164</v>
      </c>
    </row>
    <row r="51493" customFormat="false" ht="12.8" hidden="false" customHeight="false" outlineLevel="0" collapsed="false">
      <c r="A51493" s="0" t="s">
        <v>17987</v>
      </c>
      <c r="B51493" s="0" t="str">
        <f aca="false">HYPERLINK("https://lindat.mff.cuni.cz/services/teitok/pdtc10/index.php?action=vallex&amp;frame=v-w7273f2", "usadit se (v-w7273f2)")</f>
        <v>usadit se (v-w7273f2)</v>
      </c>
      <c r="E51493" s="0" t="str">
        <f aca="false">HYPERLINK("https://lindat.mff.cuni.cz/services/SynSemClass40/SynSemClass40.html?veclass=vec00522#vec00522-ces-cm00007", "vec00522")</f>
        <v>vec00522</v>
      </c>
      <c r="F51493" s="0" t="s">
        <v>16479</v>
      </c>
    </row>
    <row r="51494" customFormat="false" ht="12.8" hidden="false" customHeight="false" outlineLevel="0" collapsed="false">
      <c r="B51494" s="0" t="s">
        <v>1</v>
      </c>
      <c r="C51494" s="0" t="s">
        <v>17856</v>
      </c>
      <c r="E51494" s="0" t="s">
        <v>8199</v>
      </c>
      <c r="F51494" s="0" t="s">
        <v>16481</v>
      </c>
    </row>
    <row r="51496" customFormat="false" ht="12.8" hidden="false" customHeight="false" outlineLevel="0" collapsed="false">
      <c r="A51496" s="0" t="s">
        <v>17988</v>
      </c>
      <c r="B51496" s="0" t="str">
        <f aca="false">HYPERLINK("https://lindat.mff.cuni.cz/services/teitok/pdtc10/index.php?action=vallex&amp;frame=v-w7273f4_ZU", "usadit se (v-w7273f4_ZU)")</f>
        <v>usadit se (v-w7273f4_ZU)</v>
      </c>
      <c r="E51496" s="0" t="str">
        <f aca="false">HYPERLINK("https://lindat.mff.cuni.cz/services/SynSemClass40/SynSemClass40.html?veclass=vec00741#vec00741-ces-cm00041", "vec00741")</f>
        <v>vec00741</v>
      </c>
      <c r="F51496" s="0" t="s">
        <v>5600</v>
      </c>
    </row>
    <row r="51497" customFormat="false" ht="12.8" hidden="false" customHeight="false" outlineLevel="0" collapsed="false">
      <c r="B51497" s="0" t="s">
        <v>1</v>
      </c>
      <c r="C51497" s="0" t="s">
        <v>15932</v>
      </c>
      <c r="E51497" s="0" t="s">
        <v>957</v>
      </c>
      <c r="F51497" s="0" t="s">
        <v>5602</v>
      </c>
    </row>
    <row r="51498" customFormat="false" ht="12.8" hidden="false" customHeight="false" outlineLevel="0" collapsed="false">
      <c r="B51498" s="0" t="s">
        <v>5</v>
      </c>
      <c r="C51498" s="0" t="s">
        <v>15934</v>
      </c>
      <c r="E51498" s="0" t="s">
        <v>15935</v>
      </c>
      <c r="F51498" s="0" t="s">
        <v>15936</v>
      </c>
    </row>
    <row r="51500" customFormat="false" ht="12.8" hidden="false" customHeight="false" outlineLevel="0" collapsed="false">
      <c r="A51500" s="0" t="s">
        <v>17988</v>
      </c>
      <c r="B51500" s="0" t="str">
        <f aca="false">HYPERLINK("https://lindat.mff.cuni.cz/services/teitok/pdtc10/index.php?action=vallex&amp;frame=v-w7273hsa_1315", "usadit se (v-w7273hsa_1315) - substituted with v-w7273f4_ZU")</f>
        <v>usadit se (v-w7273hsa_1315) - substituted with v-w7273f4_ZU</v>
      </c>
    </row>
    <row r="51501" customFormat="false" ht="12.8" hidden="false" customHeight="false" outlineLevel="0" collapsed="false">
      <c r="B51501" s="0" t="s">
        <v>1</v>
      </c>
    </row>
    <row r="51502" customFormat="false" ht="12.8" hidden="false" customHeight="false" outlineLevel="0" collapsed="false">
      <c r="B51502" s="0" t="s">
        <v>5</v>
      </c>
    </row>
    <row r="51504" customFormat="false" ht="12.8" hidden="false" customHeight="false" outlineLevel="0" collapsed="false">
      <c r="A51504" s="0" t="s">
        <v>17989</v>
      </c>
      <c r="B51504" s="0" t="str">
        <f aca="false">HYPERLINK("https://lindat.mff.cuni.cz/services/teitok/pdtc10/index.php?action=vallex&amp;frame=v-w7273f5_ZU", "usadit se (v-w7273f5_ZU)")</f>
        <v>usadit se (v-w7273f5_ZU)</v>
      </c>
    </row>
    <row r="51505" customFormat="false" ht="12.8" hidden="false" customHeight="false" outlineLevel="0" collapsed="false">
      <c r="B51505" s="0" t="s">
        <v>1</v>
      </c>
    </row>
    <row r="51507" customFormat="false" ht="12.8" hidden="false" customHeight="false" outlineLevel="0" collapsed="false">
      <c r="A51507" s="0" t="s">
        <v>17990</v>
      </c>
      <c r="B51507" s="0" t="str">
        <f aca="false">HYPERLINK("https://lindat.mff.cuni.cz/services/teitok/pdtc10/index.php?action=vallex&amp;frame=v-whsa_1257hsa_1258", "usazovat (v-whsa_1257hsa_1258)")</f>
        <v>usazovat (v-whsa_1257hsa_1258)</v>
      </c>
    </row>
    <row r="51508" customFormat="false" ht="12.8" hidden="false" customHeight="false" outlineLevel="0" collapsed="false">
      <c r="B51508" s="0" t="s">
        <v>1</v>
      </c>
    </row>
    <row r="51509" customFormat="false" ht="12.8" hidden="false" customHeight="false" outlineLevel="0" collapsed="false">
      <c r="B51509" s="0" t="s">
        <v>8</v>
      </c>
    </row>
    <row r="51510" customFormat="false" ht="12.8" hidden="false" customHeight="false" outlineLevel="0" collapsed="false">
      <c r="B51510" s="0" t="s">
        <v>164</v>
      </c>
    </row>
    <row r="51512" customFormat="false" ht="12.8" hidden="false" customHeight="false" outlineLevel="0" collapsed="false">
      <c r="A51512" s="0" t="s">
        <v>17991</v>
      </c>
      <c r="B51512" s="0" t="str">
        <f aca="false">HYPERLINK("https://lindat.mff.cuni.cz/services/teitok/pdtc10/index.php?action=vallex&amp;frame=v-w7274f1", "usazovat se (v-w7274f1)")</f>
        <v>usazovat se (v-w7274f1)</v>
      </c>
    </row>
    <row r="51513" customFormat="false" ht="12.8" hidden="false" customHeight="false" outlineLevel="0" collapsed="false">
      <c r="B51513" s="0" t="s">
        <v>1</v>
      </c>
    </row>
    <row r="51514" customFormat="false" ht="12.8" hidden="false" customHeight="false" outlineLevel="0" collapsed="false">
      <c r="B51514" s="0" t="s">
        <v>5</v>
      </c>
    </row>
    <row r="51516" customFormat="false" ht="12.8" hidden="false" customHeight="false" outlineLevel="0" collapsed="false">
      <c r="A51516" s="0" t="s">
        <v>17992</v>
      </c>
      <c r="B51516" s="0" t="str">
        <f aca="false">HYPERLINK("https://lindat.mff.cuni.cz/services/teitok/pdtc10/index.php?action=vallex&amp;frame=v-w7274f3", "usazovat se (v-w7274f3)")</f>
        <v>usazovat se (v-w7274f3)</v>
      </c>
    </row>
    <row r="51517" customFormat="false" ht="12.8" hidden="false" customHeight="false" outlineLevel="0" collapsed="false">
      <c r="B51517" s="0" t="s">
        <v>1</v>
      </c>
    </row>
    <row r="51518" customFormat="false" ht="12.8" hidden="false" customHeight="false" outlineLevel="0" collapsed="false">
      <c r="B51518" s="0" t="s">
        <v>164</v>
      </c>
    </row>
    <row r="51520" customFormat="false" ht="12.8" hidden="false" customHeight="false" outlineLevel="0" collapsed="false">
      <c r="A51520" s="0" t="s">
        <v>17993</v>
      </c>
      <c r="B51520" s="0" t="str">
        <f aca="false">HYPERLINK("https://lindat.mff.cuni.cz/services/teitok/pdtc10/index.php?action=vallex&amp;frame=v-w7274f2", "usazovat se (v-w7274f2)")</f>
        <v>usazovat se (v-w7274f2)</v>
      </c>
      <c r="E51520" s="0" t="str">
        <f aca="false">HYPERLINK("https://lindat.mff.cuni.cz/services/SynSemClass40/SynSemClass40.html?veclass=vec00522#vec00522-ces-cm00012", "vec00522")</f>
        <v>vec00522</v>
      </c>
      <c r="F51520" s="0" t="s">
        <v>16479</v>
      </c>
    </row>
    <row r="51521" customFormat="false" ht="12.8" hidden="false" customHeight="false" outlineLevel="0" collapsed="false">
      <c r="B51521" s="0" t="s">
        <v>1</v>
      </c>
      <c r="C51521" s="0" t="s">
        <v>17856</v>
      </c>
      <c r="E51521" s="0" t="s">
        <v>8199</v>
      </c>
      <c r="F51521" s="0" t="s">
        <v>16481</v>
      </c>
    </row>
    <row r="51523" customFormat="false" ht="12.8" hidden="false" customHeight="false" outlineLevel="0" collapsed="false">
      <c r="A51523" s="0" t="s">
        <v>17994</v>
      </c>
      <c r="B51523" s="0" t="str">
        <f aca="false">HYPERLINK("https://lindat.mff.cuni.cz/services/teitok/pdtc10/index.php?action=vallex&amp;frame=v-w12026_ZUf2_ZU", "uschnout (v-w12026_ZUf2_ZU)")</f>
        <v>uschnout (v-w12026_ZUf2_ZU)</v>
      </c>
    </row>
    <row r="51524" customFormat="false" ht="12.8" hidden="false" customHeight="false" outlineLevel="0" collapsed="false">
      <c r="B51524" s="0" t="s">
        <v>1</v>
      </c>
    </row>
    <row r="51526" customFormat="false" ht="12.8" hidden="false" customHeight="false" outlineLevel="0" collapsed="false">
      <c r="A51526" s="0" t="s">
        <v>17994</v>
      </c>
      <c r="B51526" s="0" t="str">
        <f aca="false">HYPERLINK("https://lindat.mff.cuni.cz/services/teitok/pdtc10/index.php?action=vallex&amp;frame=v-w12026_ZUf1_ZU", "uschnout (v-w12026_ZUf1_ZU) - substituted with v-w12026_ZUf2_ZU")</f>
        <v>uschnout (v-w12026_ZUf1_ZU) - substituted with v-w12026_ZUf2_ZU</v>
      </c>
    </row>
    <row r="51527" customFormat="false" ht="12.8" hidden="false" customHeight="false" outlineLevel="0" collapsed="false">
      <c r="B51527" s="0" t="s">
        <v>1</v>
      </c>
    </row>
    <row r="51529" customFormat="false" ht="12.8" hidden="false" customHeight="false" outlineLevel="0" collapsed="false">
      <c r="A51529" s="0" t="s">
        <v>17995</v>
      </c>
      <c r="B51529" s="0" t="str">
        <f aca="false">HYPERLINK("https://lindat.mff.cuni.cz/services/teitok/pdtc10/index.php?action=vallex&amp;frame=v-w7279f1", "uschovat (v-w7279f1)")</f>
        <v>uschovat (v-w7279f1)</v>
      </c>
    </row>
    <row r="51530" customFormat="false" ht="12.8" hidden="false" customHeight="false" outlineLevel="0" collapsed="false">
      <c r="B51530" s="0" t="s">
        <v>1</v>
      </c>
    </row>
    <row r="51531" customFormat="false" ht="12.8" hidden="false" customHeight="false" outlineLevel="0" collapsed="false">
      <c r="B51531" s="0" t="s">
        <v>228</v>
      </c>
    </row>
    <row r="51532" customFormat="false" ht="12.8" hidden="false" customHeight="false" outlineLevel="0" collapsed="false">
      <c r="B51532" s="0" t="s">
        <v>4248</v>
      </c>
    </row>
    <row r="51534" customFormat="false" ht="12.8" hidden="false" customHeight="false" outlineLevel="0" collapsed="false">
      <c r="A51534" s="0" t="s">
        <v>17996</v>
      </c>
      <c r="B51534" s="0" t="str">
        <f aca="false">HYPERLINK("https://lindat.mff.cuni.cz/services/teitok/pdtc10/index.php?action=vallex&amp;frame=v-w7280f1", "uschovávat (v-w7280f1)")</f>
        <v>uschovávat (v-w7280f1)</v>
      </c>
    </row>
    <row r="51535" customFormat="false" ht="12.8" hidden="false" customHeight="false" outlineLevel="0" collapsed="false">
      <c r="B51535" s="0" t="s">
        <v>1</v>
      </c>
    </row>
    <row r="51536" customFormat="false" ht="12.8" hidden="false" customHeight="false" outlineLevel="0" collapsed="false">
      <c r="B51536" s="0" t="s">
        <v>228</v>
      </c>
    </row>
    <row r="51537" customFormat="false" ht="12.8" hidden="false" customHeight="false" outlineLevel="0" collapsed="false">
      <c r="B51537" s="0" t="s">
        <v>4248</v>
      </c>
    </row>
    <row r="51539" customFormat="false" ht="12.8" hidden="false" customHeight="false" outlineLevel="0" collapsed="false">
      <c r="A51539" s="0" t="s">
        <v>17997</v>
      </c>
      <c r="B51539" s="0" t="str">
        <f aca="false">HYPERLINK("https://lindat.mff.cuni.cz/services/teitok/pdtc10/index.php?action=vallex&amp;frame=v-w7276f2", "usedat (v-w7276f2)")</f>
        <v>usedat (v-w7276f2)</v>
      </c>
    </row>
    <row r="51540" customFormat="false" ht="12.8" hidden="false" customHeight="false" outlineLevel="0" collapsed="false">
      <c r="B51540" s="0" t="s">
        <v>1</v>
      </c>
    </row>
    <row r="51541" customFormat="false" ht="12.8" hidden="false" customHeight="false" outlineLevel="0" collapsed="false">
      <c r="B51541" s="0" t="s">
        <v>5</v>
      </c>
    </row>
    <row r="51543" customFormat="false" ht="12.8" hidden="false" customHeight="false" outlineLevel="0" collapsed="false">
      <c r="A51543" s="0" t="s">
        <v>17998</v>
      </c>
      <c r="B51543" s="0" t="str">
        <f aca="false">HYPERLINK("https://lindat.mff.cuni.cz/services/teitok/pdtc10/index.php?action=vallex&amp;frame=v-w7276f1", "usedat (v-w7276f1)")</f>
        <v>usedat (v-w7276f1)</v>
      </c>
    </row>
    <row r="51544" customFormat="false" ht="12.8" hidden="false" customHeight="false" outlineLevel="0" collapsed="false">
      <c r="B51544" s="0" t="s">
        <v>1</v>
      </c>
    </row>
    <row r="51545" customFormat="false" ht="12.8" hidden="false" customHeight="false" outlineLevel="0" collapsed="false">
      <c r="B51545" s="0" t="s">
        <v>164</v>
      </c>
    </row>
    <row r="51547" customFormat="false" ht="12.8" hidden="false" customHeight="false" outlineLevel="0" collapsed="false">
      <c r="A51547" s="0" t="s">
        <v>17999</v>
      </c>
      <c r="B51547" s="0" t="str">
        <f aca="false">HYPERLINK("https://lindat.mff.cuni.cz/services/teitok/pdtc10/index.php?action=vallex&amp;frame=v-w7277f2", "usednout (v-w7277f2)")</f>
        <v>usednout (v-w7277f2)</v>
      </c>
    </row>
    <row r="51548" customFormat="false" ht="12.8" hidden="false" customHeight="false" outlineLevel="0" collapsed="false">
      <c r="B51548" s="0" t="s">
        <v>1</v>
      </c>
    </row>
    <row r="51549" customFormat="false" ht="12.8" hidden="false" customHeight="false" outlineLevel="0" collapsed="false">
      <c r="B51549" s="0" t="s">
        <v>5</v>
      </c>
    </row>
    <row r="51551" customFormat="false" ht="12.8" hidden="false" customHeight="false" outlineLevel="0" collapsed="false">
      <c r="A51551" s="0" t="s">
        <v>18000</v>
      </c>
      <c r="B51551" s="0" t="str">
        <f aca="false">HYPERLINK("https://lindat.mff.cuni.cz/services/teitok/pdtc10/index.php?action=vallex&amp;frame=v-w7277f1", "usednout (v-w7277f1)")</f>
        <v>usednout (v-w7277f1)</v>
      </c>
    </row>
    <row r="51552" customFormat="false" ht="12.8" hidden="false" customHeight="false" outlineLevel="0" collapsed="false">
      <c r="B51552" s="0" t="s">
        <v>1</v>
      </c>
    </row>
    <row r="51553" customFormat="false" ht="12.8" hidden="false" customHeight="false" outlineLevel="0" collapsed="false">
      <c r="B51553" s="0" t="s">
        <v>164</v>
      </c>
    </row>
    <row r="51555" customFormat="false" ht="12.8" hidden="false" customHeight="false" outlineLevel="0" collapsed="false">
      <c r="A51555" s="0" t="s">
        <v>18001</v>
      </c>
      <c r="B51555" s="0" t="str">
        <f aca="false">HYPERLINK("https://lindat.mff.cuni.cz/services/teitok/pdtc10/index.php?action=vallex&amp;frame=v-w11109f2", "useknout (v-w11109f2)")</f>
        <v>useknout (v-w11109f2)</v>
      </c>
    </row>
    <row r="51556" customFormat="false" ht="12.8" hidden="false" customHeight="false" outlineLevel="0" collapsed="false">
      <c r="B51556" s="0" t="s">
        <v>1</v>
      </c>
    </row>
    <row r="51557" customFormat="false" ht="12.8" hidden="false" customHeight="false" outlineLevel="0" collapsed="false">
      <c r="B51557" s="0" t="s">
        <v>8</v>
      </c>
    </row>
    <row r="51559" customFormat="false" ht="12.8" hidden="false" customHeight="false" outlineLevel="0" collapsed="false">
      <c r="A51559" s="0" t="s">
        <v>18002</v>
      </c>
      <c r="B51559" s="0" t="str">
        <f aca="false">HYPERLINK("https://lindat.mff.cuni.cz/services/teitok/pdtc10/index.php?action=vallex&amp;frame=v-w11109hsa_660", "useknout (v-w11109hsa_660)")</f>
        <v>useknout (v-w11109hsa_660)</v>
      </c>
      <c r="E51559" s="0" t="str">
        <f aca="false">HYPERLINK("https://lindat.mff.cuni.cz/services/SynSemClass40/SynSemClass40.html?veclass=vec01456#vec01456-ces-cm00010", "vec01456")</f>
        <v>vec01456</v>
      </c>
      <c r="F51559" s="0" t="s">
        <v>105</v>
      </c>
    </row>
    <row r="51560" customFormat="false" ht="12.8" hidden="false" customHeight="false" outlineLevel="0" collapsed="false">
      <c r="B51560" s="0" t="s">
        <v>1</v>
      </c>
      <c r="C51560" s="0" t="s">
        <v>106</v>
      </c>
      <c r="E51560" s="0" t="s">
        <v>107</v>
      </c>
      <c r="F51560" s="0" t="s">
        <v>108</v>
      </c>
    </row>
    <row r="51561" customFormat="false" ht="12.8" hidden="false" customHeight="false" outlineLevel="0" collapsed="false">
      <c r="B51561" s="0" t="s">
        <v>8</v>
      </c>
      <c r="C51561" s="0" t="s">
        <v>109</v>
      </c>
      <c r="E51561" s="0" t="s">
        <v>110</v>
      </c>
      <c r="F51561" s="0" t="s">
        <v>111</v>
      </c>
    </row>
    <row r="51563" customFormat="false" ht="12.8" hidden="false" customHeight="false" outlineLevel="0" collapsed="false">
      <c r="A51563" s="0" t="s">
        <v>18003</v>
      </c>
      <c r="B51563" s="0" t="str">
        <f aca="false">HYPERLINK("https://lindat.mff.cuni.cz/services/teitok/pdtc10/index.php?action=vallex&amp;frame=v-w7284hsa_1448", "usilovat (v-w7284hsa_1448)")</f>
        <v>usilovat (v-w7284hsa_1448)</v>
      </c>
    </row>
    <row r="51564" customFormat="false" ht="12.8" hidden="false" customHeight="false" outlineLevel="0" collapsed="false">
      <c r="B51564" s="0" t="s">
        <v>1</v>
      </c>
    </row>
    <row r="51565" customFormat="false" ht="12.8" hidden="false" customHeight="false" outlineLevel="0" collapsed="false">
      <c r="B51565" s="0" t="s">
        <v>18004</v>
      </c>
    </row>
    <row r="51567" customFormat="false" ht="12.8" hidden="false" customHeight="false" outlineLevel="0" collapsed="false">
      <c r="A51567" s="0" t="s">
        <v>18003</v>
      </c>
      <c r="B51567" s="0" t="str">
        <f aca="false">HYPERLINK("https://lindat.mff.cuni.cz/services/teitok/pdtc10/index.php?action=vallex&amp;frame=v-w7284f1", "usilovat (v-w7284f1) - substituted with v-w7284hsa_1448")</f>
        <v>usilovat (v-w7284f1) - substituted with v-w7284hsa_1448</v>
      </c>
      <c r="E51567" s="0" t="str">
        <f aca="false">HYPERLINK("https://lindat.mff.cuni.cz/services/SynSemClass40/SynSemClass40.html?veclass=vec00117#vec00117-ces-cm00051", "vec00117")</f>
        <v>vec00117</v>
      </c>
      <c r="F51567" s="0" t="s">
        <v>517</v>
      </c>
      <c r="H51567" s="0" t="str">
        <f aca="false">HYPERLINK("https://lindat.mff.cuni.cz/services/SynSemClass40/SynSemClass40.html?veclass=vec01290#vec01290-ces-cm00027", "vec01290")</f>
        <v>vec01290</v>
      </c>
      <c r="I51567" s="0" t="s">
        <v>12066</v>
      </c>
    </row>
    <row r="51568" customFormat="false" ht="12.8" hidden="false" customHeight="false" outlineLevel="0" collapsed="false">
      <c r="B51568" s="0" t="s">
        <v>1</v>
      </c>
      <c r="C51568" s="0" t="s">
        <v>18005</v>
      </c>
      <c r="E51568" s="0" t="s">
        <v>519</v>
      </c>
      <c r="F51568" s="0" t="s">
        <v>520</v>
      </c>
      <c r="H51568" s="0" t="s">
        <v>1492</v>
      </c>
      <c r="I51568" s="0" t="s">
        <v>12068</v>
      </c>
    </row>
    <row r="51569" customFormat="false" ht="12.8" hidden="false" customHeight="false" outlineLevel="0" collapsed="false">
      <c r="B51569" s="0" t="s">
        <v>18004</v>
      </c>
      <c r="C51569" s="0" t="s">
        <v>18006</v>
      </c>
      <c r="E51569" s="0" t="s">
        <v>523</v>
      </c>
      <c r="F51569" s="0" t="s">
        <v>524</v>
      </c>
      <c r="H51569" s="0" t="s">
        <v>1495</v>
      </c>
      <c r="I51569" s="0" t="s">
        <v>12071</v>
      </c>
    </row>
    <row r="51571" customFormat="false" ht="12.8" hidden="false" customHeight="false" outlineLevel="0" collapsed="false">
      <c r="A51571" s="0" t="s">
        <v>18007</v>
      </c>
      <c r="B51571" s="0" t="str">
        <f aca="false">HYPERLINK("https://lindat.mff.cuni.cz/services/teitok/pdtc10/index.php?action=vallex&amp;frame=v-whsa_761hsa_762", "uskladnit (v-whsa_761hsa_762)")</f>
        <v>uskladnit (v-whsa_761hsa_762)</v>
      </c>
    </row>
    <row r="51572" customFormat="false" ht="12.8" hidden="false" customHeight="false" outlineLevel="0" collapsed="false">
      <c r="B51572" s="0" t="s">
        <v>1</v>
      </c>
    </row>
    <row r="51573" customFormat="false" ht="12.8" hidden="false" customHeight="false" outlineLevel="0" collapsed="false">
      <c r="B51573" s="0" t="s">
        <v>8</v>
      </c>
    </row>
    <row r="51575" customFormat="false" ht="12.8" hidden="false" customHeight="false" outlineLevel="0" collapsed="false">
      <c r="A51575" s="0" t="s">
        <v>18008</v>
      </c>
      <c r="B51575" s="0" t="str">
        <f aca="false">HYPERLINK("https://lindat.mff.cuni.cz/services/teitok/pdtc10/index.php?action=vallex&amp;frame=v-w10117f2", "uskladňovat (v-w10117f2)")</f>
        <v>uskladňovat (v-w10117f2)</v>
      </c>
    </row>
    <row r="51576" customFormat="false" ht="12.8" hidden="false" customHeight="false" outlineLevel="0" collapsed="false">
      <c r="B51576" s="0" t="s">
        <v>1</v>
      </c>
    </row>
    <row r="51577" customFormat="false" ht="12.8" hidden="false" customHeight="false" outlineLevel="0" collapsed="false">
      <c r="B51577" s="0" t="s">
        <v>8</v>
      </c>
    </row>
    <row r="51579" customFormat="false" ht="12.8" hidden="false" customHeight="false" outlineLevel="0" collapsed="false">
      <c r="A51579" s="0" t="s">
        <v>18009</v>
      </c>
      <c r="B51579" s="0" t="str">
        <f aca="false">HYPERLINK("https://lindat.mff.cuni.cz/services/teitok/pdtc10/index.php?action=vallex&amp;frame=v-w12272_ZUf1_ZU", "uskočit (v-w12272_ZUf1_ZU)")</f>
        <v>uskočit (v-w12272_ZUf1_ZU)</v>
      </c>
    </row>
    <row r="51580" customFormat="false" ht="12.8" hidden="false" customHeight="false" outlineLevel="0" collapsed="false">
      <c r="B51580" s="0" t="s">
        <v>1</v>
      </c>
    </row>
    <row r="51581" customFormat="false" ht="12.8" hidden="false" customHeight="false" outlineLevel="0" collapsed="false">
      <c r="B51581" s="0" t="s">
        <v>1689</v>
      </c>
    </row>
    <row r="51583" customFormat="false" ht="12.8" hidden="false" customHeight="false" outlineLevel="0" collapsed="false">
      <c r="A51583" s="0" t="s">
        <v>18010</v>
      </c>
      <c r="B51583" s="0" t="str">
        <f aca="false">HYPERLINK("https://lindat.mff.cuni.cz/services/teitok/pdtc10/index.php?action=vallex&amp;frame=v-w7287f1", "uskromnit se (v-w7287f1)")</f>
        <v>uskromnit se (v-w7287f1)</v>
      </c>
    </row>
    <row r="51584" customFormat="false" ht="12.8" hidden="false" customHeight="false" outlineLevel="0" collapsed="false">
      <c r="B51584" s="0" t="s">
        <v>1</v>
      </c>
    </row>
    <row r="51586" customFormat="false" ht="12.8" hidden="false" customHeight="false" outlineLevel="0" collapsed="false">
      <c r="A51586" s="0" t="s">
        <v>18011</v>
      </c>
      <c r="B51586" s="0" t="str">
        <f aca="false">HYPERLINK("https://lindat.mff.cuni.cz/services/teitok/pdtc10/index.php?action=vallex&amp;frame=v-w7288f1", "uskrovnit se (v-w7288f1)")</f>
        <v>uskrovnit se (v-w7288f1)</v>
      </c>
    </row>
    <row r="51587" customFormat="false" ht="12.8" hidden="false" customHeight="false" outlineLevel="0" collapsed="false">
      <c r="B51587" s="0" t="s">
        <v>1</v>
      </c>
    </row>
    <row r="51589" customFormat="false" ht="12.8" hidden="false" customHeight="false" outlineLevel="0" collapsed="false">
      <c r="A51589" s="0" t="s">
        <v>18012</v>
      </c>
      <c r="B51589" s="0" t="str">
        <f aca="false">HYPERLINK("https://lindat.mff.cuni.cz/services/teitok/pdtc10/index.php?action=vallex&amp;frame=v-w12059_ZUf1_ZU", "uskrovňovat se (v-w12059_ZUf1_ZU)")</f>
        <v>uskrovňovat se (v-w12059_ZUf1_ZU)</v>
      </c>
    </row>
    <row r="51590" customFormat="false" ht="12.8" hidden="false" customHeight="false" outlineLevel="0" collapsed="false">
      <c r="B51590" s="0" t="s">
        <v>1</v>
      </c>
    </row>
    <row r="51592" customFormat="false" ht="12.8" hidden="false" customHeight="false" outlineLevel="0" collapsed="false">
      <c r="A51592" s="0" t="s">
        <v>18013</v>
      </c>
      <c r="B51592" s="0" t="str">
        <f aca="false">HYPERLINK("https://lindat.mff.cuni.cz/services/teitok/pdtc10/index.php?action=vallex&amp;frame=v-w7290f1", "uskutečnit (v-w7290f1)")</f>
        <v>uskutečnit (v-w7290f1)</v>
      </c>
      <c r="E51592" s="0" t="str">
        <f aca="false">HYPERLINK("https://lindat.mff.cuni.cz/services/SynSemClass40/SynSemClass40.html?veclass=vec01188#vec01188-ces-cm00022", "vec01188")</f>
        <v>vec01188</v>
      </c>
      <c r="F51592" s="0" t="s">
        <v>5481</v>
      </c>
    </row>
    <row r="51593" customFormat="false" ht="12.8" hidden="false" customHeight="false" outlineLevel="0" collapsed="false">
      <c r="B51593" s="0" t="s">
        <v>1</v>
      </c>
      <c r="C51593" s="0" t="s">
        <v>10802</v>
      </c>
      <c r="E51593" s="0" t="s">
        <v>31</v>
      </c>
      <c r="F51593" s="0" t="s">
        <v>5483</v>
      </c>
    </row>
    <row r="51594" customFormat="false" ht="12.8" hidden="false" customHeight="false" outlineLevel="0" collapsed="false">
      <c r="B51594" s="0" t="s">
        <v>8</v>
      </c>
      <c r="C51594" s="0" t="s">
        <v>14769</v>
      </c>
      <c r="E51594" s="0" t="s">
        <v>523</v>
      </c>
      <c r="F51594" s="0" t="s">
        <v>10813</v>
      </c>
    </row>
    <row r="51596" customFormat="false" ht="12.8" hidden="false" customHeight="false" outlineLevel="0" collapsed="false">
      <c r="A51596" s="0" t="s">
        <v>18014</v>
      </c>
      <c r="B51596" s="0" t="str">
        <f aca="false">HYPERLINK("https://lindat.mff.cuni.cz/services/teitok/pdtc10/index.php?action=vallex&amp;frame=v-w7290f3_ZU", "uskutečnit (v-w7290f3_ZU)")</f>
        <v>uskutečnit (v-w7290f3_ZU)</v>
      </c>
      <c r="E51596" s="0" t="str">
        <f aca="false">HYPERLINK("https://lindat.mff.cuni.cz/services/SynSemClass40/SynSemClass40.html?veclass=vec01188#vec01188-ces-cm00023", "vec01188")</f>
        <v>vec01188</v>
      </c>
      <c r="F51596" s="0" t="s">
        <v>5481</v>
      </c>
    </row>
    <row r="51597" customFormat="false" ht="12.8" hidden="false" customHeight="false" outlineLevel="0" collapsed="false">
      <c r="B51597" s="0" t="s">
        <v>1</v>
      </c>
      <c r="C51597" s="0" t="s">
        <v>10802</v>
      </c>
      <c r="E51597" s="0" t="s">
        <v>31</v>
      </c>
      <c r="F51597" s="0" t="s">
        <v>5483</v>
      </c>
    </row>
    <row r="51598" customFormat="false" ht="12.8" hidden="false" customHeight="false" outlineLevel="0" collapsed="false">
      <c r="B51598" s="0" t="s">
        <v>18015</v>
      </c>
      <c r="C51598" s="0" t="s">
        <v>10804</v>
      </c>
      <c r="E51598" s="0" t="s">
        <v>3478</v>
      </c>
      <c r="F51598" s="0" t="s">
        <v>5488</v>
      </c>
    </row>
    <row r="51600" customFormat="false" ht="12.8" hidden="false" customHeight="false" outlineLevel="0" collapsed="false">
      <c r="A51600" s="0" t="s">
        <v>18014</v>
      </c>
      <c r="B51600" s="0" t="str">
        <f aca="false">HYPERLINK("https://lindat.mff.cuni.cz/services/teitok/pdtc10/index.php?action=vallex&amp;frame=v-w7290hsa_1029", "uskutečnit (v-w7290hsa_1029) - substituted with v-w7290f3_ZU")</f>
        <v>uskutečnit (v-w7290hsa_1029) - substituted with v-w7290f3_ZU</v>
      </c>
    </row>
    <row r="51601" customFormat="false" ht="12.8" hidden="false" customHeight="false" outlineLevel="0" collapsed="false">
      <c r="B51601" s="0" t="s">
        <v>1</v>
      </c>
    </row>
    <row r="51602" customFormat="false" ht="12.8" hidden="false" customHeight="false" outlineLevel="0" collapsed="false">
      <c r="B51602" s="0" t="s">
        <v>18015</v>
      </c>
    </row>
    <row r="51604" customFormat="false" ht="12.8" hidden="false" customHeight="false" outlineLevel="0" collapsed="false">
      <c r="A51604" s="0" t="s">
        <v>18016</v>
      </c>
      <c r="B51604" s="0" t="str">
        <f aca="false">HYPERLINK("https://lindat.mff.cuni.cz/services/teitok/pdtc10/index.php?action=vallex&amp;frame=v-w7290hsa_1028", "uskutečnit (v-w7290hsa_1028)")</f>
        <v>uskutečnit (v-w7290hsa_1028)</v>
      </c>
    </row>
    <row r="51605" customFormat="false" ht="12.8" hidden="false" customHeight="false" outlineLevel="0" collapsed="false">
      <c r="B51605" s="0" t="s">
        <v>1</v>
      </c>
    </row>
    <row r="51606" customFormat="false" ht="12.8" hidden="false" customHeight="false" outlineLevel="0" collapsed="false">
      <c r="B51606" s="0" t="s">
        <v>18017</v>
      </c>
    </row>
    <row r="51608" customFormat="false" ht="12.8" hidden="false" customHeight="false" outlineLevel="0" collapsed="false">
      <c r="A51608" s="0" t="s">
        <v>18016</v>
      </c>
      <c r="B51608" s="0" t="str">
        <f aca="false">HYPERLINK("https://lindat.mff.cuni.cz/services/teitok/pdtc10/index.php?action=vallex&amp;frame=v-w7290f2_ZU", "uskutečnit (v-w7290f2_ZU) - substituted with v-w7290hsa_1028")</f>
        <v>uskutečnit (v-w7290f2_ZU) - substituted with v-w7290hsa_1028</v>
      </c>
    </row>
    <row r="51609" customFormat="false" ht="12.8" hidden="false" customHeight="false" outlineLevel="0" collapsed="false">
      <c r="B51609" s="0" t="s">
        <v>1</v>
      </c>
    </row>
    <row r="51610" customFormat="false" ht="12.8" hidden="false" customHeight="false" outlineLevel="0" collapsed="false">
      <c r="B51610" s="0" t="s">
        <v>18017</v>
      </c>
    </row>
    <row r="51612" customFormat="false" ht="12.8" hidden="false" customHeight="false" outlineLevel="0" collapsed="false">
      <c r="A51612" s="0" t="s">
        <v>18018</v>
      </c>
      <c r="B51612" s="0" t="str">
        <f aca="false">HYPERLINK("https://lindat.mff.cuni.cz/services/teitok/pdtc10/index.php?action=vallex&amp;frame=v-w7291f1", "uskutečnit se (v-w7291f1)")</f>
        <v>uskutečnit se (v-w7291f1)</v>
      </c>
      <c r="E51612" s="0" t="str">
        <f aca="false">HYPERLINK("https://lindat.mff.cuni.cz/services/SynSemClass40/SynSemClass40.html?veclass=vec00097#vec00097-ces-cm00139", "vec00097")</f>
        <v>vec00097</v>
      </c>
      <c r="F51612" s="0" t="s">
        <v>373</v>
      </c>
    </row>
    <row r="51613" customFormat="false" ht="12.8" hidden="false" customHeight="false" outlineLevel="0" collapsed="false">
      <c r="B51613" s="0" t="s">
        <v>1</v>
      </c>
      <c r="C51613" s="0" t="s">
        <v>374</v>
      </c>
      <c r="E51613" s="0" t="s">
        <v>375</v>
      </c>
      <c r="F51613" s="0" t="s">
        <v>376</v>
      </c>
    </row>
    <row r="51615" customFormat="false" ht="12.8" hidden="false" customHeight="false" outlineLevel="0" collapsed="false">
      <c r="A51615" s="0" t="s">
        <v>18019</v>
      </c>
      <c r="B51615" s="0" t="str">
        <f aca="false">HYPERLINK("https://lindat.mff.cuni.cz/services/teitok/pdtc10/index.php?action=vallex&amp;frame=v-w7293f1", "uskutečňovat (v-w7293f1)")</f>
        <v>uskutečňovat (v-w7293f1)</v>
      </c>
      <c r="E51615" s="0" t="str">
        <f aca="false">HYPERLINK("https://lindat.mff.cuni.cz/services/SynSemClass40/SynSemClass40.html?veclass=vec01188#vec01188-ces-cm00025", "vec01188")</f>
        <v>vec01188</v>
      </c>
      <c r="F51615" s="0" t="s">
        <v>5481</v>
      </c>
    </row>
    <row r="51616" customFormat="false" ht="12.8" hidden="false" customHeight="false" outlineLevel="0" collapsed="false">
      <c r="B51616" s="0" t="s">
        <v>1</v>
      </c>
      <c r="C51616" s="0" t="s">
        <v>10802</v>
      </c>
      <c r="E51616" s="0" t="s">
        <v>31</v>
      </c>
      <c r="F51616" s="0" t="s">
        <v>5483</v>
      </c>
    </row>
    <row r="51617" customFormat="false" ht="12.8" hidden="false" customHeight="false" outlineLevel="0" collapsed="false">
      <c r="B51617" s="0" t="s">
        <v>8</v>
      </c>
      <c r="C51617" s="0" t="s">
        <v>14769</v>
      </c>
      <c r="E51617" s="0" t="s">
        <v>523</v>
      </c>
      <c r="F51617" s="0" t="s">
        <v>10813</v>
      </c>
    </row>
    <row r="51619" customFormat="false" ht="12.8" hidden="false" customHeight="false" outlineLevel="0" collapsed="false">
      <c r="A51619" s="0" t="s">
        <v>18020</v>
      </c>
      <c r="B51619" s="0" t="str">
        <f aca="false">HYPERLINK("https://lindat.mff.cuni.cz/services/teitok/pdtc10/index.php?action=vallex&amp;frame=v-w7294f1", "uskutečňovat se (v-w7294f1)")</f>
        <v>uskutečňovat se (v-w7294f1)</v>
      </c>
      <c r="E51619" s="0" t="str">
        <f aca="false">HYPERLINK("https://lindat.mff.cuni.cz/services/SynSemClass40/SynSemClass40.html?veclass=vec00097#vec00097-ces-cm00191", "vec00097")</f>
        <v>vec00097</v>
      </c>
      <c r="F51619" s="0" t="s">
        <v>373</v>
      </c>
    </row>
    <row r="51620" customFormat="false" ht="12.8" hidden="false" customHeight="false" outlineLevel="0" collapsed="false">
      <c r="B51620" s="0" t="s">
        <v>1</v>
      </c>
      <c r="C51620" s="0" t="s">
        <v>374</v>
      </c>
      <c r="E51620" s="0" t="s">
        <v>375</v>
      </c>
      <c r="F51620" s="0" t="s">
        <v>376</v>
      </c>
    </row>
    <row r="51622" customFormat="false" ht="12.8" hidden="false" customHeight="false" outlineLevel="0" collapsed="false">
      <c r="A51622" s="0" t="s">
        <v>18021</v>
      </c>
      <c r="B51622" s="0" t="str">
        <f aca="false">HYPERLINK("https://lindat.mff.cuni.cz/services/teitok/pdtc10/index.php?action=vallex&amp;frame=v-w7296f3", "uslyšet (v-w7296f3)")</f>
        <v>uslyšet (v-w7296f3)</v>
      </c>
      <c r="E51622" s="0" t="str">
        <f aca="false">HYPERLINK("https://lindat.mff.cuni.cz/services/SynSemClass40/SynSemClass40.html?veclass=vec01264#vec01264-ces-cm00009", "vec01264")</f>
        <v>vec01264</v>
      </c>
      <c r="F51622" s="0" t="s">
        <v>2757</v>
      </c>
    </row>
    <row r="51623" customFormat="false" ht="12.8" hidden="false" customHeight="false" outlineLevel="0" collapsed="false">
      <c r="B51623" s="0" t="s">
        <v>1</v>
      </c>
      <c r="C51623" s="0" t="s">
        <v>11530</v>
      </c>
      <c r="E51623" s="0" t="s">
        <v>621</v>
      </c>
      <c r="F51623" s="0" t="s">
        <v>2759</v>
      </c>
    </row>
    <row r="51624" customFormat="false" ht="12.8" hidden="false" customHeight="false" outlineLevel="0" collapsed="false">
      <c r="B51624" s="0" t="s">
        <v>16053</v>
      </c>
      <c r="C51624" s="0" t="s">
        <v>11532</v>
      </c>
      <c r="E51624" s="0" t="s">
        <v>218</v>
      </c>
      <c r="F51624" s="0" t="s">
        <v>2764</v>
      </c>
    </row>
    <row r="51625" customFormat="false" ht="12.8" hidden="false" customHeight="false" outlineLevel="0" collapsed="false">
      <c r="B51625" s="0" t="s">
        <v>602</v>
      </c>
      <c r="C51625" s="0" t="s">
        <v>11533</v>
      </c>
      <c r="E51625" s="0" t="s">
        <v>2176</v>
      </c>
      <c r="F51625" s="0" t="s">
        <v>2767</v>
      </c>
    </row>
    <row r="51627" customFormat="false" ht="12.8" hidden="false" customHeight="false" outlineLevel="0" collapsed="false">
      <c r="A51627" s="0" t="s">
        <v>18022</v>
      </c>
      <c r="B51627" s="0" t="str">
        <f aca="false">HYPERLINK("https://lindat.mff.cuni.cz/services/teitok/pdtc10/index.php?action=vallex&amp;frame=v-w7296f4", "uslyšet (v-w7296f4)")</f>
        <v>uslyšet (v-w7296f4)</v>
      </c>
    </row>
    <row r="51628" customFormat="false" ht="12.8" hidden="false" customHeight="false" outlineLevel="0" collapsed="false">
      <c r="B51628" s="0" t="s">
        <v>1</v>
      </c>
    </row>
    <row r="51629" customFormat="false" ht="12.8" hidden="false" customHeight="false" outlineLevel="0" collapsed="false">
      <c r="B51629" s="0" t="s">
        <v>8</v>
      </c>
    </row>
    <row r="51630" customFormat="false" ht="12.8" hidden="false" customHeight="false" outlineLevel="0" collapsed="false">
      <c r="B51630" s="0" t="s">
        <v>16250</v>
      </c>
    </row>
    <row r="51632" customFormat="false" ht="12.8" hidden="false" customHeight="false" outlineLevel="0" collapsed="false">
      <c r="A51632" s="0" t="s">
        <v>18023</v>
      </c>
      <c r="B51632" s="0" t="str">
        <f aca="false">HYPERLINK("https://lindat.mff.cuni.cz/services/teitok/pdtc10/index.php?action=vallex&amp;frame=v-w7296f1", "uslyšet (v-w7296f1)")</f>
        <v>uslyšet (v-w7296f1)</v>
      </c>
      <c r="E51632" s="0" t="str">
        <f aca="false">HYPERLINK("https://lindat.mff.cuni.cz/services/SynSemClass40/SynSemClass40.html?veclass=vec00313#vec00313-ces-cm00010", "vec00313")</f>
        <v>vec00313</v>
      </c>
      <c r="F51632" s="0" t="s">
        <v>16056</v>
      </c>
    </row>
    <row r="51633" customFormat="false" ht="12.8" hidden="false" customHeight="false" outlineLevel="0" collapsed="false">
      <c r="B51633" s="0" t="s">
        <v>1</v>
      </c>
      <c r="C51633" s="0" t="s">
        <v>4001</v>
      </c>
      <c r="E51633" s="0" t="s">
        <v>637</v>
      </c>
      <c r="F51633" s="0" t="s">
        <v>16057</v>
      </c>
    </row>
    <row r="51634" customFormat="false" ht="12.8" hidden="false" customHeight="false" outlineLevel="0" collapsed="false">
      <c r="B51634" s="0" t="s">
        <v>15262</v>
      </c>
      <c r="C51634" s="0" t="s">
        <v>16058</v>
      </c>
      <c r="E51634" s="0" t="s">
        <v>180</v>
      </c>
      <c r="F51634" s="0" t="s">
        <v>16059</v>
      </c>
    </row>
    <row r="51636" customFormat="false" ht="12.8" hidden="false" customHeight="false" outlineLevel="0" collapsed="false">
      <c r="A51636" s="0" t="s">
        <v>18024</v>
      </c>
      <c r="B51636" s="0" t="str">
        <f aca="false">HYPERLINK("https://lindat.mff.cuni.cz/services/teitok/pdtc10/index.php?action=vallex&amp;frame=v-w7296f2", "uslyšet (v-w7296f2)")</f>
        <v>uslyšet (v-w7296f2)</v>
      </c>
      <c r="E51636" s="0" t="str">
        <f aca="false">HYPERLINK("https://lindat.mff.cuni.cz/services/SynSemClass40/SynSemClass40.html?veclass=vec00013#vec00013-ces-cm00093", "vec00013")</f>
        <v>vec00013</v>
      </c>
      <c r="F51636" s="0" t="s">
        <v>2742</v>
      </c>
      <c r="H51636" s="0" t="str">
        <f aca="false">HYPERLINK("https://lindat.mff.cuni.cz/services/SynSemClass40/SynSemClass40.html?veclass=vec01264#vec01264-ces-cm00008", "vec01264")</f>
        <v>vec01264</v>
      </c>
      <c r="I51636" s="0" t="s">
        <v>2757</v>
      </c>
    </row>
    <row r="51637" customFormat="false" ht="12.8" hidden="false" customHeight="false" outlineLevel="0" collapsed="false">
      <c r="B51637" s="0" t="s">
        <v>1</v>
      </c>
      <c r="C51637" s="0" t="s">
        <v>2758</v>
      </c>
      <c r="E51637" s="0" t="s">
        <v>621</v>
      </c>
      <c r="F51637" s="0" t="s">
        <v>2744</v>
      </c>
      <c r="H51637" s="0" t="s">
        <v>621</v>
      </c>
      <c r="I51637" s="0" t="s">
        <v>2759</v>
      </c>
    </row>
    <row r="51638" customFormat="false" ht="12.8" hidden="false" customHeight="false" outlineLevel="0" collapsed="false">
      <c r="B51638" s="0" t="s">
        <v>2760</v>
      </c>
      <c r="C51638" s="0" t="s">
        <v>2761</v>
      </c>
      <c r="E51638" s="0" t="s">
        <v>2217</v>
      </c>
      <c r="F51638" s="0" t="s">
        <v>2747</v>
      </c>
      <c r="H51638" s="0" t="s">
        <v>2217</v>
      </c>
      <c r="I51638" s="0" t="s">
        <v>2762</v>
      </c>
    </row>
    <row r="51639" customFormat="false" ht="12.8" hidden="false" customHeight="false" outlineLevel="0" collapsed="false">
      <c r="B51639" s="0" t="s">
        <v>496</v>
      </c>
      <c r="C51639" s="0" t="s">
        <v>2763</v>
      </c>
      <c r="E51639" s="0" t="s">
        <v>218</v>
      </c>
      <c r="F51639" s="0" t="s">
        <v>2749</v>
      </c>
      <c r="H51639" s="0" t="s">
        <v>218</v>
      </c>
      <c r="I51639" s="0" t="s">
        <v>2764</v>
      </c>
    </row>
    <row r="51640" customFormat="false" ht="12.8" hidden="false" customHeight="false" outlineLevel="0" collapsed="false">
      <c r="B51640" s="0" t="s">
        <v>602</v>
      </c>
      <c r="C51640" s="0" t="s">
        <v>2766</v>
      </c>
      <c r="E51640" s="0" t="s">
        <v>2176</v>
      </c>
      <c r="F51640" s="0" t="s">
        <v>2751</v>
      </c>
      <c r="H51640" s="0" t="s">
        <v>2176</v>
      </c>
      <c r="I51640" s="0" t="s">
        <v>2767</v>
      </c>
    </row>
    <row r="51642" customFormat="false" ht="12.8" hidden="false" customHeight="false" outlineLevel="0" collapsed="false">
      <c r="A51642" s="0" t="s">
        <v>18025</v>
      </c>
      <c r="B51642" s="0" t="str">
        <f aca="false">HYPERLINK("https://lindat.mff.cuni.cz/services/teitok/pdtc10/index.php?action=vallex&amp;frame=v-w11610_ZUf1_ZU", "usmažit (v-w11610_ZUf1_ZU)")</f>
        <v>usmažit (v-w11610_ZUf1_ZU)</v>
      </c>
      <c r="E51642" s="0" t="str">
        <f aca="false">HYPERLINK("https://lindat.mff.cuni.cz/services/SynSemClass40/SynSemClass40.html?veclass=vec01340#vec01340-ces-cm00004", "vec01340")</f>
        <v>vec01340</v>
      </c>
      <c r="F51642" s="0" t="s">
        <v>16087</v>
      </c>
    </row>
    <row r="51643" customFormat="false" ht="12.8" hidden="false" customHeight="false" outlineLevel="0" collapsed="false">
      <c r="B51643" s="0" t="s">
        <v>1</v>
      </c>
      <c r="E51643" s="0" t="s">
        <v>768</v>
      </c>
      <c r="F51643" s="0" t="s">
        <v>16088</v>
      </c>
    </row>
    <row r="51644" customFormat="false" ht="12.8" hidden="false" customHeight="false" outlineLevel="0" collapsed="false">
      <c r="B51644" s="0" t="s">
        <v>8</v>
      </c>
      <c r="C51644" s="0" t="s">
        <v>462</v>
      </c>
      <c r="E51644" s="0" t="s">
        <v>661</v>
      </c>
      <c r="F51644" s="0" t="s">
        <v>5738</v>
      </c>
    </row>
    <row r="51646" customFormat="false" ht="12.8" hidden="false" customHeight="false" outlineLevel="0" collapsed="false">
      <c r="A51646" s="0" t="s">
        <v>18026</v>
      </c>
      <c r="B51646" s="0" t="str">
        <f aca="false">HYPERLINK("https://lindat.mff.cuni.cz/services/teitok/pdtc10/index.php?action=vallex&amp;frame=v-w10900f2", "usmlouvat (v-w10900f2)")</f>
        <v>usmlouvat (v-w10900f2)</v>
      </c>
    </row>
    <row r="51647" customFormat="false" ht="12.8" hidden="false" customHeight="false" outlineLevel="0" collapsed="false">
      <c r="B51647" s="0" t="s">
        <v>1</v>
      </c>
    </row>
    <row r="51648" customFormat="false" ht="12.8" hidden="false" customHeight="false" outlineLevel="0" collapsed="false">
      <c r="B51648" s="0" t="s">
        <v>2329</v>
      </c>
    </row>
    <row r="51649" customFormat="false" ht="12.8" hidden="false" customHeight="false" outlineLevel="0" collapsed="false">
      <c r="B51649" s="0" t="s">
        <v>276</v>
      </c>
    </row>
    <row r="51651" customFormat="false" ht="12.8" hidden="false" customHeight="false" outlineLevel="0" collapsed="false">
      <c r="A51651" s="0" t="s">
        <v>18027</v>
      </c>
      <c r="B51651" s="0" t="str">
        <f aca="false">HYPERLINK("https://lindat.mff.cuni.cz/services/teitok/pdtc10/index.php?action=vallex&amp;frame=v-w10679f2", "usmolit (v-w10679f2)")</f>
        <v>usmolit (v-w10679f2)</v>
      </c>
    </row>
    <row r="51652" customFormat="false" ht="12.8" hidden="false" customHeight="false" outlineLevel="0" collapsed="false">
      <c r="B51652" s="0" t="s">
        <v>1</v>
      </c>
    </row>
    <row r="51653" customFormat="false" ht="12.8" hidden="false" customHeight="false" outlineLevel="0" collapsed="false">
      <c r="B51653" s="0" t="s">
        <v>8</v>
      </c>
    </row>
    <row r="51654" customFormat="false" ht="12.8" hidden="false" customHeight="false" outlineLevel="0" collapsed="false">
      <c r="B51654" s="0" t="s">
        <v>2410</v>
      </c>
    </row>
    <row r="51655" customFormat="false" ht="12.8" hidden="false" customHeight="false" outlineLevel="0" collapsed="false">
      <c r="B51655" s="0" t="s">
        <v>36</v>
      </c>
    </row>
    <row r="51657" customFormat="false" ht="12.8" hidden="false" customHeight="false" outlineLevel="0" collapsed="false">
      <c r="A51657" s="0" t="s">
        <v>18028</v>
      </c>
      <c r="B51657" s="0" t="str">
        <f aca="false">HYPERLINK("https://lindat.mff.cuni.cz/services/teitok/pdtc10/index.php?action=vallex&amp;frame=v-w11611_ZUf1_ZU", "usmrcovat (v-w11611_ZUf1_ZU)")</f>
        <v>usmrcovat (v-w11611_ZUf1_ZU)</v>
      </c>
      <c r="E51657" s="0" t="str">
        <f aca="false">HYPERLINK("https://lindat.mff.cuni.cz/services/SynSemClass40/SynSemClass40.html?veclass=vec00365#vec00365-ces-cm00010", "vec00365")</f>
        <v>vec00365</v>
      </c>
      <c r="F51657" s="0" t="s">
        <v>8975</v>
      </c>
    </row>
    <row r="51658" customFormat="false" ht="12.8" hidden="false" customHeight="false" outlineLevel="0" collapsed="false">
      <c r="B51658" s="0" t="s">
        <v>1</v>
      </c>
      <c r="C51658" s="0" t="s">
        <v>5883</v>
      </c>
      <c r="E51658" s="0" t="s">
        <v>76</v>
      </c>
      <c r="F51658" s="0" t="s">
        <v>8977</v>
      </c>
    </row>
    <row r="51659" customFormat="false" ht="12.8" hidden="false" customHeight="false" outlineLevel="0" collapsed="false">
      <c r="B51659" s="0" t="s">
        <v>8</v>
      </c>
      <c r="C51659" s="0" t="s">
        <v>8979</v>
      </c>
      <c r="E51659" s="0" t="s">
        <v>199</v>
      </c>
      <c r="F51659" s="0" t="s">
        <v>8980</v>
      </c>
    </row>
    <row r="51661" customFormat="false" ht="12.8" hidden="false" customHeight="false" outlineLevel="0" collapsed="false">
      <c r="A51661" s="0" t="s">
        <v>18029</v>
      </c>
      <c r="B51661" s="0" t="str">
        <f aca="false">HYPERLINK("https://lindat.mff.cuni.cz/services/teitok/pdtc10/index.php?action=vallex&amp;frame=v-w7307f1", "usmrtit (v-w7307f1)")</f>
        <v>usmrtit (v-w7307f1)</v>
      </c>
      <c r="E51661" s="0" t="str">
        <f aca="false">HYPERLINK("https://lindat.mff.cuni.cz/services/SynSemClass40/SynSemClass40.html?veclass=vec00365#vec00365-ces-cm00011", "vec00365")</f>
        <v>vec00365</v>
      </c>
      <c r="F51661" s="0" t="s">
        <v>8975</v>
      </c>
    </row>
    <row r="51662" customFormat="false" ht="12.8" hidden="false" customHeight="false" outlineLevel="0" collapsed="false">
      <c r="B51662" s="0" t="s">
        <v>1</v>
      </c>
      <c r="C51662" s="0" t="s">
        <v>5883</v>
      </c>
      <c r="E51662" s="0" t="s">
        <v>76</v>
      </c>
      <c r="F51662" s="0" t="s">
        <v>8977</v>
      </c>
    </row>
    <row r="51663" customFormat="false" ht="12.8" hidden="false" customHeight="false" outlineLevel="0" collapsed="false">
      <c r="B51663" s="0" t="s">
        <v>8</v>
      </c>
      <c r="C51663" s="0" t="s">
        <v>8979</v>
      </c>
      <c r="E51663" s="0" t="s">
        <v>199</v>
      </c>
      <c r="F51663" s="0" t="s">
        <v>8980</v>
      </c>
    </row>
    <row r="51665" customFormat="false" ht="12.8" hidden="false" customHeight="false" outlineLevel="0" collapsed="false">
      <c r="A51665" s="0" t="s">
        <v>18030</v>
      </c>
      <c r="B51665" s="0" t="str">
        <f aca="false">HYPERLINK("https://lindat.mff.cuni.cz/services/teitok/pdtc10/index.php?action=vallex&amp;frame=v-w11717_ZUf1_ZU", "usmyslet si (v-w11717_ZUf1_ZU)")</f>
        <v>usmyslet si (v-w11717_ZUf1_ZU)</v>
      </c>
    </row>
    <row r="51666" customFormat="false" ht="12.8" hidden="false" customHeight="false" outlineLevel="0" collapsed="false">
      <c r="B51666" s="0" t="s">
        <v>1</v>
      </c>
    </row>
    <row r="51667" customFormat="false" ht="12.8" hidden="false" customHeight="false" outlineLevel="0" collapsed="false">
      <c r="B51667" s="0" t="s">
        <v>3382</v>
      </c>
    </row>
    <row r="51669" customFormat="false" ht="12.8" hidden="false" customHeight="false" outlineLevel="0" collapsed="false">
      <c r="A51669" s="0" t="s">
        <v>18031</v>
      </c>
      <c r="B51669" s="0" t="str">
        <f aca="false">HYPERLINK("https://lindat.mff.cuni.cz/services/teitok/pdtc10/index.php?action=vallex&amp;frame=v-w7297f1", "usmát se (v-w7297f1)")</f>
        <v>usmát se (v-w7297f1)</v>
      </c>
      <c r="E51669" s="0" t="str">
        <f aca="false">HYPERLINK("https://lindat.mff.cuni.cz/services/SynSemClass40/SynSemClass40.html?veclass=vec00718#vec00718-ces-cm00004", "vec00718")</f>
        <v>vec00718</v>
      </c>
      <c r="F51669" s="0" t="s">
        <v>16119</v>
      </c>
    </row>
    <row r="51670" customFormat="false" ht="12.8" hidden="false" customHeight="false" outlineLevel="0" collapsed="false">
      <c r="B51670" s="0" t="s">
        <v>1</v>
      </c>
      <c r="C51670" s="0" t="s">
        <v>825</v>
      </c>
      <c r="E51670" s="0" t="s">
        <v>155</v>
      </c>
      <c r="F51670" s="0" t="s">
        <v>16120</v>
      </c>
    </row>
    <row r="51671" customFormat="false" ht="12.8" hidden="false" customHeight="false" outlineLevel="0" collapsed="false">
      <c r="B51671" s="0" t="s">
        <v>69</v>
      </c>
      <c r="E51671" s="0" t="s">
        <v>4438</v>
      </c>
      <c r="F51671" s="0" t="s">
        <v>10035</v>
      </c>
    </row>
    <row r="51673" customFormat="false" ht="12.8" hidden="false" customHeight="false" outlineLevel="0" collapsed="false">
      <c r="A51673" s="0" t="s">
        <v>18032</v>
      </c>
      <c r="B51673" s="0" t="str">
        <f aca="false">HYPERLINK("https://lindat.mff.cuni.cz/services/teitok/pdtc10/index.php?action=vallex&amp;frame=v-w7305f1", "usmívat se (v-w7305f1)")</f>
        <v>usmívat se (v-w7305f1)</v>
      </c>
    </row>
    <row r="51674" customFormat="false" ht="12.8" hidden="false" customHeight="false" outlineLevel="0" collapsed="false">
      <c r="B51674" s="0" t="s">
        <v>1</v>
      </c>
    </row>
    <row r="51675" customFormat="false" ht="12.8" hidden="false" customHeight="false" outlineLevel="0" collapsed="false">
      <c r="B51675" s="0" t="s">
        <v>157</v>
      </c>
    </row>
    <row r="51677" customFormat="false" ht="12.8" hidden="false" customHeight="false" outlineLevel="0" collapsed="false">
      <c r="A51677" s="0" t="s">
        <v>18033</v>
      </c>
      <c r="B51677" s="0" t="str">
        <f aca="false">HYPERLINK("https://lindat.mff.cuni.cz/services/teitok/pdtc10/index.php?action=vallex&amp;frame=v-w7305f2", "usmívat se (v-w7305f2)")</f>
        <v>usmívat se (v-w7305f2)</v>
      </c>
      <c r="E51677" s="0" t="str">
        <f aca="false">HYPERLINK("https://lindat.mff.cuni.cz/services/SynSemClass40/SynSemClass40.html?veclass=vec00718#vec00718-ces-cm00006", "vec00718")</f>
        <v>vec00718</v>
      </c>
      <c r="F51677" s="0" t="s">
        <v>16119</v>
      </c>
    </row>
    <row r="51678" customFormat="false" ht="12.8" hidden="false" customHeight="false" outlineLevel="0" collapsed="false">
      <c r="B51678" s="0" t="s">
        <v>1</v>
      </c>
      <c r="C51678" s="0" t="s">
        <v>825</v>
      </c>
      <c r="E51678" s="0" t="s">
        <v>155</v>
      </c>
      <c r="F51678" s="0" t="s">
        <v>16120</v>
      </c>
    </row>
    <row r="51679" customFormat="false" ht="12.8" hidden="false" customHeight="false" outlineLevel="0" collapsed="false">
      <c r="B51679" s="0" t="s">
        <v>69</v>
      </c>
      <c r="E51679" s="0" t="s">
        <v>4438</v>
      </c>
      <c r="F51679" s="0" t="s">
        <v>10035</v>
      </c>
    </row>
    <row r="51681" customFormat="false" ht="12.8" hidden="false" customHeight="false" outlineLevel="0" collapsed="false">
      <c r="A51681" s="0" t="s">
        <v>18034</v>
      </c>
      <c r="B51681" s="0" t="str">
        <f aca="false">HYPERLINK("https://lindat.mff.cuni.cz/services/teitok/pdtc10/index.php?action=vallex&amp;frame=v-w11360f2", "usmířit (v-w11360f2)")</f>
        <v>usmířit (v-w11360f2)</v>
      </c>
    </row>
    <row r="51682" customFormat="false" ht="12.8" hidden="false" customHeight="false" outlineLevel="0" collapsed="false">
      <c r="B51682" s="0" t="s">
        <v>1</v>
      </c>
    </row>
    <row r="51683" customFormat="false" ht="12.8" hidden="false" customHeight="false" outlineLevel="0" collapsed="false">
      <c r="B51683" s="0" t="s">
        <v>8</v>
      </c>
    </row>
    <row r="51684" customFormat="false" ht="12.8" hidden="false" customHeight="false" outlineLevel="0" collapsed="false">
      <c r="B51684" s="0" t="s">
        <v>276</v>
      </c>
    </row>
    <row r="51686" customFormat="false" ht="12.8" hidden="false" customHeight="false" outlineLevel="0" collapsed="false">
      <c r="A51686" s="0" t="s">
        <v>18035</v>
      </c>
      <c r="B51686" s="0" t="str">
        <f aca="false">HYPERLINK("https://lindat.mff.cuni.cz/services/teitok/pdtc10/index.php?action=vallex&amp;frame=v-w11360f1", "usmířit (v-w11360f1)")</f>
        <v>usmířit (v-w11360f1)</v>
      </c>
    </row>
    <row r="51687" customFormat="false" ht="12.8" hidden="false" customHeight="false" outlineLevel="0" collapsed="false">
      <c r="B51687" s="0" t="s">
        <v>1</v>
      </c>
    </row>
    <row r="51688" customFormat="false" ht="12.8" hidden="false" customHeight="false" outlineLevel="0" collapsed="false">
      <c r="B51688" s="0" t="s">
        <v>8</v>
      </c>
    </row>
    <row r="51690" customFormat="false" ht="12.8" hidden="false" customHeight="false" outlineLevel="0" collapsed="false">
      <c r="A51690" s="0" t="s">
        <v>18036</v>
      </c>
      <c r="B51690" s="0" t="str">
        <f aca="false">HYPERLINK("https://lindat.mff.cuni.cz/services/teitok/pdtc10/index.php?action=vallex&amp;frame=v-w7303f1", "usmířit se (v-w7303f1)")</f>
        <v>usmířit se (v-w7303f1)</v>
      </c>
    </row>
    <row r="51691" customFormat="false" ht="12.8" hidden="false" customHeight="false" outlineLevel="0" collapsed="false">
      <c r="B51691" s="0" t="s">
        <v>1</v>
      </c>
    </row>
    <row r="51692" customFormat="false" ht="12.8" hidden="false" customHeight="false" outlineLevel="0" collapsed="false">
      <c r="B51692" s="0" t="s">
        <v>721</v>
      </c>
    </row>
    <row r="51694" customFormat="false" ht="12.8" hidden="false" customHeight="false" outlineLevel="0" collapsed="false">
      <c r="A51694" s="0" t="s">
        <v>18037</v>
      </c>
      <c r="B51694" s="0" t="str">
        <f aca="false">HYPERLINK("https://lindat.mff.cuni.cz/services/teitok/pdtc10/index.php?action=vallex&amp;frame=v-w7298f1", "usměrnit (v-w7298f1)")</f>
        <v>usměrnit (v-w7298f1)</v>
      </c>
      <c r="E51694" s="0" t="str">
        <f aca="false">HYPERLINK("https://lindat.mff.cuni.cz/services/SynSemClass40/SynSemClass40.html?veclass=vec00302#vec00302-ces-cm00111", "vec00302")</f>
        <v>vec00302</v>
      </c>
      <c r="F51694" s="0" t="s">
        <v>1991</v>
      </c>
    </row>
    <row r="51695" customFormat="false" ht="12.8" hidden="false" customHeight="false" outlineLevel="0" collapsed="false">
      <c r="B51695" s="0" t="s">
        <v>1</v>
      </c>
      <c r="C51695" s="0" t="s">
        <v>1992</v>
      </c>
      <c r="E51695" s="0" t="s">
        <v>206</v>
      </c>
      <c r="F51695" s="0" t="s">
        <v>1993</v>
      </c>
    </row>
    <row r="51696" customFormat="false" ht="12.8" hidden="false" customHeight="false" outlineLevel="0" collapsed="false">
      <c r="B51696" s="0" t="s">
        <v>8</v>
      </c>
      <c r="C51696" s="0" t="s">
        <v>1994</v>
      </c>
      <c r="E51696" s="0" t="s">
        <v>1995</v>
      </c>
      <c r="F51696" s="0" t="s">
        <v>1996</v>
      </c>
    </row>
    <row r="51698" customFormat="false" ht="12.8" hidden="false" customHeight="false" outlineLevel="0" collapsed="false">
      <c r="A51698" s="0" t="s">
        <v>18038</v>
      </c>
      <c r="B51698" s="0" t="str">
        <f aca="false">HYPERLINK("https://lindat.mff.cuni.cz/services/teitok/pdtc10/index.php?action=vallex&amp;frame=v-w7301f1", "usměrňovat (v-w7301f1)")</f>
        <v>usměrňovat (v-w7301f1)</v>
      </c>
      <c r="E51698" s="0" t="str">
        <f aca="false">HYPERLINK("https://lindat.mff.cuni.cz/services/SynSemClass40/SynSemClass40.html?veclass=vec00302#vec00302-ces-cm00061", "vec00302")</f>
        <v>vec00302</v>
      </c>
      <c r="F51698" s="0" t="s">
        <v>1991</v>
      </c>
    </row>
    <row r="51699" customFormat="false" ht="12.8" hidden="false" customHeight="false" outlineLevel="0" collapsed="false">
      <c r="B51699" s="0" t="s">
        <v>1</v>
      </c>
      <c r="C51699" s="0" t="s">
        <v>1992</v>
      </c>
      <c r="E51699" s="0" t="s">
        <v>206</v>
      </c>
      <c r="F51699" s="0" t="s">
        <v>1993</v>
      </c>
    </row>
    <row r="51700" customFormat="false" ht="12.8" hidden="false" customHeight="false" outlineLevel="0" collapsed="false">
      <c r="B51700" s="0" t="s">
        <v>8</v>
      </c>
      <c r="C51700" s="0" t="s">
        <v>1994</v>
      </c>
      <c r="E51700" s="0" t="s">
        <v>1995</v>
      </c>
      <c r="F51700" s="0" t="s">
        <v>1996</v>
      </c>
    </row>
    <row r="51702" customFormat="false" ht="12.8" hidden="false" customHeight="false" outlineLevel="0" collapsed="false">
      <c r="A51702" s="0" t="s">
        <v>18039</v>
      </c>
      <c r="B51702" s="0" t="str">
        <f aca="false">HYPERLINK("https://lindat.mff.cuni.cz/services/teitok/pdtc10/index.php?action=vallex&amp;frame=v-w7310f2_ZU", "usnadnit (v-w7310f2_ZU)")</f>
        <v>usnadnit (v-w7310f2_ZU)</v>
      </c>
    </row>
    <row r="51703" customFormat="false" ht="12.8" hidden="false" customHeight="false" outlineLevel="0" collapsed="false">
      <c r="B51703" s="0" t="s">
        <v>1</v>
      </c>
    </row>
    <row r="51704" customFormat="false" ht="12.8" hidden="false" customHeight="false" outlineLevel="0" collapsed="false">
      <c r="B51704" s="0" t="s">
        <v>402</v>
      </c>
    </row>
    <row r="51705" customFormat="false" ht="12.8" hidden="false" customHeight="false" outlineLevel="0" collapsed="false">
      <c r="B51705" s="0" t="s">
        <v>132</v>
      </c>
    </row>
    <row r="51707" customFormat="false" ht="12.8" hidden="false" customHeight="false" outlineLevel="0" collapsed="false">
      <c r="A51707" s="0" t="s">
        <v>18039</v>
      </c>
      <c r="B51707" s="0" t="str">
        <f aca="false">HYPERLINK("https://lindat.mff.cuni.cz/services/teitok/pdtc10/index.php?action=vallex&amp;frame=v-w7310f1", "usnadnit (v-w7310f1) - substituted with v-w7310f2_ZU")</f>
        <v>usnadnit (v-w7310f1) - substituted with v-w7310f2_ZU</v>
      </c>
    </row>
    <row r="51708" customFormat="false" ht="12.8" hidden="false" customHeight="false" outlineLevel="0" collapsed="false">
      <c r="B51708" s="0" t="s">
        <v>1</v>
      </c>
    </row>
    <row r="51709" customFormat="false" ht="12.8" hidden="false" customHeight="false" outlineLevel="0" collapsed="false">
      <c r="B51709" s="0" t="s">
        <v>402</v>
      </c>
    </row>
    <row r="51710" customFormat="false" ht="12.8" hidden="false" customHeight="false" outlineLevel="0" collapsed="false">
      <c r="B51710" s="0" t="s">
        <v>132</v>
      </c>
    </row>
    <row r="51712" customFormat="false" ht="12.8" hidden="false" customHeight="false" outlineLevel="0" collapsed="false">
      <c r="A51712" s="0" t="s">
        <v>18039</v>
      </c>
      <c r="B51712" s="0" t="str">
        <f aca="false">HYPERLINK("https://lindat.mff.cuni.cz/services/teitok/pdtc10/index.php?action=vallex&amp;frame=v-w7310hsa_721", "usnadnit (v-w7310hsa_721) - substituted with v-w7310f2_ZU")</f>
        <v>usnadnit (v-w7310hsa_721) - substituted with v-w7310f2_ZU</v>
      </c>
    </row>
    <row r="51713" customFormat="false" ht="12.8" hidden="false" customHeight="false" outlineLevel="0" collapsed="false">
      <c r="B51713" s="0" t="s">
        <v>1</v>
      </c>
    </row>
    <row r="51714" customFormat="false" ht="12.8" hidden="false" customHeight="false" outlineLevel="0" collapsed="false">
      <c r="B51714" s="0" t="s">
        <v>402</v>
      </c>
    </row>
    <row r="51715" customFormat="false" ht="12.8" hidden="false" customHeight="false" outlineLevel="0" collapsed="false">
      <c r="B51715" s="0" t="s">
        <v>132</v>
      </c>
    </row>
    <row r="51717" customFormat="false" ht="12.8" hidden="false" customHeight="false" outlineLevel="0" collapsed="false">
      <c r="A51717" s="0" t="s">
        <v>18040</v>
      </c>
      <c r="B51717" s="0" t="str">
        <f aca="false">HYPERLINK("https://lindat.mff.cuni.cz/services/teitok/pdtc10/index.php?action=vallex&amp;frame=v-w7311f1", "usnadňovat (v-w7311f1)")</f>
        <v>usnadňovat (v-w7311f1)</v>
      </c>
    </row>
    <row r="51718" customFormat="false" ht="12.8" hidden="false" customHeight="false" outlineLevel="0" collapsed="false">
      <c r="B51718" s="0" t="s">
        <v>1</v>
      </c>
    </row>
    <row r="51719" customFormat="false" ht="12.8" hidden="false" customHeight="false" outlineLevel="0" collapsed="false">
      <c r="B51719" s="0" t="s">
        <v>8</v>
      </c>
    </row>
    <row r="51720" customFormat="false" ht="12.8" hidden="false" customHeight="false" outlineLevel="0" collapsed="false">
      <c r="B51720" s="0" t="s">
        <v>132</v>
      </c>
    </row>
    <row r="51722" customFormat="false" ht="12.8" hidden="false" customHeight="false" outlineLevel="0" collapsed="false">
      <c r="A51722" s="0" t="s">
        <v>18041</v>
      </c>
      <c r="B51722" s="0" t="str">
        <f aca="false">HYPERLINK("https://lindat.mff.cuni.cz/services/teitok/pdtc10/index.php?action=vallex&amp;frame=v-w10432f2", "usnout (v-w10432f2)")</f>
        <v>usnout (v-w10432f2)</v>
      </c>
    </row>
    <row r="51723" customFormat="false" ht="12.8" hidden="false" customHeight="false" outlineLevel="0" collapsed="false">
      <c r="B51723" s="0" t="s">
        <v>1</v>
      </c>
    </row>
    <row r="51725" customFormat="false" ht="12.8" hidden="false" customHeight="false" outlineLevel="0" collapsed="false">
      <c r="A51725" s="0" t="s">
        <v>18042</v>
      </c>
      <c r="B51725" s="0" t="str">
        <f aca="false">HYPERLINK("https://lindat.mff.cuni.cz/services/teitok/pdtc10/index.php?action=vallex&amp;frame=v-w10432hsa_1855", "usnout (v-w10432hsa_1855)")</f>
        <v>usnout (v-w10432hsa_1855)</v>
      </c>
    </row>
    <row r="51726" customFormat="false" ht="12.8" hidden="false" customHeight="false" outlineLevel="0" collapsed="false">
      <c r="B51726" s="0" t="s">
        <v>1</v>
      </c>
    </row>
    <row r="51728" customFormat="false" ht="12.8" hidden="false" customHeight="false" outlineLevel="0" collapsed="false">
      <c r="A51728" s="0" t="s">
        <v>18043</v>
      </c>
      <c r="B51728" s="0" t="str">
        <f aca="false">HYPERLINK("https://lindat.mff.cuni.cz/services/teitok/pdtc10/index.php?action=vallex&amp;frame=v-w7314f1", "usnést se (v-w7314f1)")</f>
        <v>usnést se (v-w7314f1)</v>
      </c>
    </row>
    <row r="51729" customFormat="false" ht="12.8" hidden="false" customHeight="false" outlineLevel="0" collapsed="false">
      <c r="B51729" s="0" t="s">
        <v>1</v>
      </c>
    </row>
    <row r="51730" customFormat="false" ht="12.8" hidden="false" customHeight="false" outlineLevel="0" collapsed="false">
      <c r="B51730" s="0" t="s">
        <v>18044</v>
      </c>
    </row>
    <row r="51732" customFormat="false" ht="12.8" hidden="false" customHeight="false" outlineLevel="0" collapsed="false">
      <c r="A51732" s="0" t="s">
        <v>18045</v>
      </c>
      <c r="B51732" s="0" t="str">
        <f aca="false">HYPERLINK("https://lindat.mff.cuni.cz/services/teitok/pdtc10/index.php?action=vallex&amp;frame=v-w7315f3_ZU", "usoudit (v-w7315f3_ZU)")</f>
        <v>usoudit (v-w7315f3_ZU)</v>
      </c>
    </row>
    <row r="51733" customFormat="false" ht="12.8" hidden="false" customHeight="false" outlineLevel="0" collapsed="false">
      <c r="B51733" s="0" t="s">
        <v>1</v>
      </c>
    </row>
    <row r="51734" customFormat="false" ht="12.8" hidden="false" customHeight="false" outlineLevel="0" collapsed="false">
      <c r="B51734" s="0" t="s">
        <v>228</v>
      </c>
    </row>
    <row r="51736" customFormat="false" ht="12.8" hidden="false" customHeight="false" outlineLevel="0" collapsed="false">
      <c r="A51736" s="0" t="s">
        <v>18045</v>
      </c>
      <c r="B51736" s="0" t="str">
        <f aca="false">HYPERLINK("https://lindat.mff.cuni.cz/services/teitok/pdtc10/index.php?action=vallex&amp;frame=v-w7315f2", "usoudit (v-w7315f2) - substituted with v-w7315f3_ZU")</f>
        <v>usoudit (v-w7315f2) - substituted with v-w7315f3_ZU</v>
      </c>
      <c r="E51736" s="0" t="str">
        <f aca="false">HYPERLINK("https://lindat.mff.cuni.cz/services/SynSemClass40/SynSemClass40.html?veclass=vec00127#vec00127-ces-cm00231", "vec00127")</f>
        <v>vec00127</v>
      </c>
      <c r="F51736" s="0" t="s">
        <v>1835</v>
      </c>
      <c r="H51736" s="0" t="str">
        <f aca="false">HYPERLINK("https://lindat.mff.cuni.cz/services/SynSemClass40/SynSemClass40.html?veclass=vec01361#vec01361-ces-cm00011", "vec01361")</f>
        <v>vec01361</v>
      </c>
      <c r="I51736" s="0" t="s">
        <v>2781</v>
      </c>
    </row>
    <row r="51737" customFormat="false" ht="12.8" hidden="false" customHeight="false" outlineLevel="0" collapsed="false">
      <c r="B51737" s="0" t="s">
        <v>1</v>
      </c>
      <c r="C51737" s="0" t="s">
        <v>18046</v>
      </c>
      <c r="E51737" s="0" t="s">
        <v>11</v>
      </c>
      <c r="F51737" s="0" t="s">
        <v>1837</v>
      </c>
      <c r="H51737" s="0" t="s">
        <v>621</v>
      </c>
      <c r="I51737" s="0" t="s">
        <v>2783</v>
      </c>
    </row>
    <row r="51738" customFormat="false" ht="12.8" hidden="false" customHeight="false" outlineLevel="0" collapsed="false">
      <c r="B51738" s="0" t="s">
        <v>228</v>
      </c>
      <c r="C51738" s="0" t="s">
        <v>18047</v>
      </c>
      <c r="E51738" s="0" t="s">
        <v>1840</v>
      </c>
      <c r="F51738" s="0" t="s">
        <v>1841</v>
      </c>
      <c r="H51738" s="0" t="s">
        <v>2138</v>
      </c>
      <c r="I51738" s="0" t="s">
        <v>2785</v>
      </c>
    </row>
    <row r="51740" customFormat="false" ht="12.8" hidden="false" customHeight="false" outlineLevel="0" collapsed="false">
      <c r="A51740" s="0" t="s">
        <v>18048</v>
      </c>
      <c r="B51740" s="0" t="str">
        <f aca="false">HYPERLINK("https://lindat.mff.cuni.cz/services/teitok/pdtc10/index.php?action=vallex&amp;frame=v-w7315f1", "usoudit (v-w7315f1)")</f>
        <v>usoudit (v-w7315f1)</v>
      </c>
      <c r="E51740" s="0" t="str">
        <f aca="false">HYPERLINK("https://lindat.mff.cuni.cz/services/SynSemClass40/SynSemClass40.html?veclass=vec00032#vec00032-ces-cm00142", "vec00032")</f>
        <v>vec00032</v>
      </c>
      <c r="F51740" s="0" t="s">
        <v>911</v>
      </c>
      <c r="H51740" s="0" t="str">
        <f aca="false">HYPERLINK("https://lindat.mff.cuni.cz/services/SynSemClass40/SynSemClass40.html?veclass=vec01361#vec01361-ces-cm00010", "vec01361")</f>
        <v>vec01361</v>
      </c>
      <c r="I51740" s="0" t="s">
        <v>2781</v>
      </c>
    </row>
    <row r="51741" customFormat="false" ht="12.8" hidden="false" customHeight="false" outlineLevel="0" collapsed="false">
      <c r="B51741" s="0" t="s">
        <v>1</v>
      </c>
      <c r="C51741" s="0" t="s">
        <v>16194</v>
      </c>
      <c r="E51741" s="0" t="s">
        <v>914</v>
      </c>
      <c r="F51741" s="0" t="s">
        <v>915</v>
      </c>
      <c r="H51741" s="0" t="s">
        <v>621</v>
      </c>
      <c r="I51741" s="0" t="s">
        <v>2783</v>
      </c>
    </row>
    <row r="51742" customFormat="false" ht="12.8" hidden="false" customHeight="false" outlineLevel="0" collapsed="false">
      <c r="B51742" s="0" t="s">
        <v>9420</v>
      </c>
      <c r="C51742" s="0" t="s">
        <v>16195</v>
      </c>
      <c r="E51742" s="0" t="s">
        <v>626</v>
      </c>
      <c r="F51742" s="0" t="s">
        <v>2488</v>
      </c>
      <c r="H51742" s="0" t="s">
        <v>15709</v>
      </c>
      <c r="I51742" s="0" t="s">
        <v>16196</v>
      </c>
    </row>
    <row r="51743" customFormat="false" ht="12.8" hidden="false" customHeight="false" outlineLevel="0" collapsed="false">
      <c r="B51743" s="0" t="s">
        <v>496</v>
      </c>
      <c r="C51743" s="0" t="s">
        <v>16197</v>
      </c>
      <c r="E51743" s="0" t="s">
        <v>180</v>
      </c>
      <c r="F51743" s="0" t="s">
        <v>2490</v>
      </c>
      <c r="H51743" s="0" t="s">
        <v>2138</v>
      </c>
      <c r="I51743" s="0" t="s">
        <v>2785</v>
      </c>
    </row>
    <row r="51745" customFormat="false" ht="12.8" hidden="false" customHeight="false" outlineLevel="0" collapsed="false">
      <c r="A51745" s="0" t="s">
        <v>18049</v>
      </c>
      <c r="B51745" s="0" t="str">
        <f aca="false">HYPERLINK("https://lindat.mff.cuni.cz/services/teitok/pdtc10/index.php?action=vallex&amp;frame=v-w7316f1", "usoužit (v-w7316f1)")</f>
        <v>usoužit (v-w7316f1)</v>
      </c>
    </row>
    <row r="51746" customFormat="false" ht="12.8" hidden="false" customHeight="false" outlineLevel="0" collapsed="false">
      <c r="B51746" s="0" t="s">
        <v>1</v>
      </c>
    </row>
    <row r="51747" customFormat="false" ht="12.8" hidden="false" customHeight="false" outlineLevel="0" collapsed="false">
      <c r="B51747" s="0" t="s">
        <v>8</v>
      </c>
    </row>
    <row r="51749" customFormat="false" ht="12.8" hidden="false" customHeight="false" outlineLevel="0" collapsed="false">
      <c r="A51749" s="0" t="s">
        <v>18050</v>
      </c>
      <c r="B51749" s="0" t="str">
        <f aca="false">HYPERLINK("https://lindat.mff.cuni.cz/services/teitok/pdtc10/index.php?action=vallex&amp;frame=v-w11995_ZUf1_ZU", "uspat (v-w11995_ZUf1_ZU)")</f>
        <v>uspat (v-w11995_ZUf1_ZU)</v>
      </c>
    </row>
    <row r="51750" customFormat="false" ht="12.8" hidden="false" customHeight="false" outlineLevel="0" collapsed="false">
      <c r="B51750" s="0" t="s">
        <v>1</v>
      </c>
    </row>
    <row r="51751" customFormat="false" ht="12.8" hidden="false" customHeight="false" outlineLevel="0" collapsed="false">
      <c r="B51751" s="0" t="s">
        <v>8</v>
      </c>
    </row>
    <row r="51753" customFormat="false" ht="12.8" hidden="false" customHeight="false" outlineLevel="0" collapsed="false">
      <c r="A51753" s="0" t="s">
        <v>18051</v>
      </c>
      <c r="B51753" s="0" t="str">
        <f aca="false">HYPERLINK("https://lindat.mff.cuni.cz/services/teitok/pdtc10/index.php?action=vallex&amp;frame=v-w11996_ZUf1_ZU", "uspat se (v-w11996_ZUf1_ZU)")</f>
        <v>uspat se (v-w11996_ZUf1_ZU)</v>
      </c>
    </row>
    <row r="51754" customFormat="false" ht="12.8" hidden="false" customHeight="false" outlineLevel="0" collapsed="false">
      <c r="B51754" s="0" t="s">
        <v>1</v>
      </c>
    </row>
    <row r="51756" customFormat="false" ht="12.8" hidden="false" customHeight="false" outlineLevel="0" collapsed="false">
      <c r="A51756" s="0" t="s">
        <v>18052</v>
      </c>
      <c r="B51756" s="0" t="str">
        <f aca="false">HYPERLINK("https://lindat.mff.cuni.cz/services/teitok/pdtc10/index.php?action=vallex&amp;frame=v-w7324f1", "uspokojit (v-w7324f1)")</f>
        <v>uspokojit (v-w7324f1)</v>
      </c>
      <c r="E51756" s="0" t="str">
        <f aca="false">HYPERLINK("https://lindat.mff.cuni.cz/services/SynSemClass40/SynSemClass40.html?veclass=vec00540#vec00540-ces-cm00001", "vec00540")</f>
        <v>vec00540</v>
      </c>
      <c r="F51756" s="0" t="s">
        <v>7492</v>
      </c>
    </row>
    <row r="51757" customFormat="false" ht="12.8" hidden="false" customHeight="false" outlineLevel="0" collapsed="false">
      <c r="B51757" s="0" t="s">
        <v>15435</v>
      </c>
      <c r="C51757" s="0" t="s">
        <v>7493</v>
      </c>
      <c r="E51757" s="0" t="s">
        <v>11</v>
      </c>
      <c r="F51757" s="0" t="s">
        <v>7494</v>
      </c>
    </row>
    <row r="51758" customFormat="false" ht="12.8" hidden="false" customHeight="false" outlineLevel="0" collapsed="false">
      <c r="B51758" s="0" t="s">
        <v>8</v>
      </c>
      <c r="C51758" s="0" t="s">
        <v>7495</v>
      </c>
      <c r="E51758" s="0" t="s">
        <v>7496</v>
      </c>
      <c r="F51758" s="0" t="s">
        <v>7497</v>
      </c>
    </row>
    <row r="51760" customFormat="false" ht="12.8" hidden="false" customHeight="false" outlineLevel="0" collapsed="false">
      <c r="A51760" s="0" t="s">
        <v>18053</v>
      </c>
      <c r="B51760" s="0" t="str">
        <f aca="false">HYPERLINK("https://lindat.mff.cuni.cz/services/teitok/pdtc10/index.php?action=vallex&amp;frame=v-w7326f1", "uspokojovat (v-w7326f1)")</f>
        <v>uspokojovat (v-w7326f1)</v>
      </c>
      <c r="E51760" s="0" t="str">
        <f aca="false">HYPERLINK("https://lindat.mff.cuni.cz/services/SynSemClass40/SynSemClass40.html?veclass=vec00540#vec00540-ces-cm00036", "vec00540")</f>
        <v>vec00540</v>
      </c>
      <c r="F51760" s="0" t="s">
        <v>7492</v>
      </c>
    </row>
    <row r="51761" customFormat="false" ht="12.8" hidden="false" customHeight="false" outlineLevel="0" collapsed="false">
      <c r="B51761" s="0" t="s">
        <v>1</v>
      </c>
      <c r="C51761" s="0" t="s">
        <v>7493</v>
      </c>
      <c r="E51761" s="0" t="s">
        <v>11</v>
      </c>
      <c r="F51761" s="0" t="s">
        <v>7494</v>
      </c>
    </row>
    <row r="51762" customFormat="false" ht="12.8" hidden="false" customHeight="false" outlineLevel="0" collapsed="false">
      <c r="B51762" s="0" t="s">
        <v>8</v>
      </c>
      <c r="C51762" s="0" t="s">
        <v>7495</v>
      </c>
      <c r="E51762" s="0" t="s">
        <v>7496</v>
      </c>
      <c r="F51762" s="0" t="s">
        <v>7497</v>
      </c>
    </row>
    <row r="51764" customFormat="false" ht="12.8" hidden="false" customHeight="false" outlineLevel="0" collapsed="false">
      <c r="A51764" s="0" t="s">
        <v>18054</v>
      </c>
      <c r="B51764" s="0" t="str">
        <f aca="false">HYPERLINK("https://lindat.mff.cuni.cz/services/teitok/pdtc10/index.php?action=vallex&amp;frame=v-w7331f1", "uspořit (v-w7331f1)")</f>
        <v>uspořit (v-w7331f1)</v>
      </c>
      <c r="E51764" s="0" t="str">
        <f aca="false">HYPERLINK("https://lindat.mff.cuni.cz/services/SynSemClass40/SynSemClass40.html?veclass=vec00144#vec00144-ces-cm00005", "vec00144")</f>
        <v>vec00144</v>
      </c>
      <c r="F51764" s="0" t="s">
        <v>18055</v>
      </c>
      <c r="H51764" s="0" t="str">
        <f aca="false">HYPERLINK("https://lindat.mff.cuni.cz/services/SynSemClass40/SynSemClass40.html?veclass=vec01322#vec01322-ces-cm00005", "vec01322")</f>
        <v>vec01322</v>
      </c>
      <c r="I51764" s="0" t="s">
        <v>8079</v>
      </c>
    </row>
    <row r="51765" customFormat="false" ht="12.8" hidden="false" customHeight="false" outlineLevel="0" collapsed="false">
      <c r="B51765" s="0" t="s">
        <v>1</v>
      </c>
      <c r="C51765" s="0" t="s">
        <v>18056</v>
      </c>
      <c r="E51765" s="0" t="s">
        <v>3265</v>
      </c>
      <c r="F51765" s="0" t="s">
        <v>18057</v>
      </c>
      <c r="H51765" s="0" t="s">
        <v>92</v>
      </c>
      <c r="I51765" s="0" t="s">
        <v>8081</v>
      </c>
    </row>
    <row r="51766" customFormat="false" ht="12.8" hidden="false" customHeight="false" outlineLevel="0" collapsed="false">
      <c r="B51766" s="0" t="s">
        <v>8</v>
      </c>
      <c r="C51766" s="0" t="s">
        <v>18058</v>
      </c>
      <c r="E51766" s="0" t="s">
        <v>594</v>
      </c>
      <c r="F51766" s="0" t="s">
        <v>18059</v>
      </c>
      <c r="H51766" s="0" t="s">
        <v>4565</v>
      </c>
      <c r="I51766" s="0" t="s">
        <v>8082</v>
      </c>
    </row>
    <row r="51768" customFormat="false" ht="12.8" hidden="false" customHeight="false" outlineLevel="0" collapsed="false">
      <c r="A51768" s="0" t="s">
        <v>18060</v>
      </c>
      <c r="B51768" s="0" t="str">
        <f aca="false">HYPERLINK("https://lindat.mff.cuni.cz/services/teitok/pdtc10/index.php?action=vallex&amp;frame=v-w7330f1", "uspořádat (v-w7330f1)")</f>
        <v>uspořádat (v-w7330f1)</v>
      </c>
    </row>
    <row r="51769" customFormat="false" ht="12.8" hidden="false" customHeight="false" outlineLevel="0" collapsed="false">
      <c r="B51769" s="0" t="s">
        <v>1</v>
      </c>
    </row>
    <row r="51770" customFormat="false" ht="12.8" hidden="false" customHeight="false" outlineLevel="0" collapsed="false">
      <c r="B51770" s="0" t="s">
        <v>8</v>
      </c>
    </row>
    <row r="51771" customFormat="false" ht="12.8" hidden="false" customHeight="false" outlineLevel="0" collapsed="false">
      <c r="B51771" s="0" t="s">
        <v>36</v>
      </c>
    </row>
    <row r="51773" customFormat="false" ht="12.8" hidden="false" customHeight="false" outlineLevel="0" collapsed="false">
      <c r="A51773" s="0" t="s">
        <v>18061</v>
      </c>
      <c r="B51773" s="0" t="str">
        <f aca="false">HYPERLINK("https://lindat.mff.cuni.cz/services/teitok/pdtc10/index.php?action=vallex&amp;frame=v-w7330f3", "uspořádat (v-w7330f3)")</f>
        <v>uspořádat (v-w7330f3)</v>
      </c>
      <c r="E51773" s="0" t="str">
        <f aca="false">HYPERLINK("https://lindat.mff.cuni.cz/services/SynSemClass40/SynSemClass40.html?veclass=vec01444#vec01444-ces-cm00012", "vec01444")</f>
        <v>vec01444</v>
      </c>
      <c r="F51773" s="0" t="s">
        <v>7001</v>
      </c>
    </row>
    <row r="51774" customFormat="false" ht="12.8" hidden="false" customHeight="false" outlineLevel="0" collapsed="false">
      <c r="B51774" s="0" t="s">
        <v>1</v>
      </c>
      <c r="C51774" s="0" t="s">
        <v>4695</v>
      </c>
      <c r="E51774" s="0" t="s">
        <v>768</v>
      </c>
      <c r="F51774" s="0" t="s">
        <v>4781</v>
      </c>
    </row>
    <row r="51775" customFormat="false" ht="12.8" hidden="false" customHeight="false" outlineLevel="0" collapsed="false">
      <c r="B51775" s="0" t="s">
        <v>8</v>
      </c>
      <c r="C51775" s="0" t="s">
        <v>462</v>
      </c>
      <c r="E51775" s="0" t="s">
        <v>110</v>
      </c>
      <c r="F51775" s="0" t="s">
        <v>7002</v>
      </c>
    </row>
    <row r="51776" customFormat="false" ht="12.8" hidden="false" customHeight="false" outlineLevel="0" collapsed="false">
      <c r="B51776" s="0" t="s">
        <v>3026</v>
      </c>
      <c r="E51776" s="0" t="s">
        <v>4858</v>
      </c>
      <c r="F51776" s="0" t="s">
        <v>7003</v>
      </c>
    </row>
    <row r="51778" customFormat="false" ht="12.8" hidden="false" customHeight="false" outlineLevel="0" collapsed="false">
      <c r="A51778" s="0" t="s">
        <v>18062</v>
      </c>
      <c r="B51778" s="0" t="str">
        <f aca="false">HYPERLINK("https://lindat.mff.cuni.cz/services/teitok/pdtc10/index.php?action=vallex&amp;frame=v-w7330f2", "uspořádat (v-w7330f2)")</f>
        <v>uspořádat (v-w7330f2)</v>
      </c>
      <c r="E51778" s="0" t="str">
        <f aca="false">HYPERLINK("https://lindat.mff.cuni.cz/services/SynSemClass40/SynSemClass40.html?veclass=vec00502#vec00502-ces-cm00015", "vec00502")</f>
        <v>vec00502</v>
      </c>
      <c r="F51778" s="0" t="s">
        <v>1552</v>
      </c>
      <c r="H51778" s="0" t="str">
        <f aca="false">HYPERLINK("https://lindat.mff.cuni.cz/services/SynSemClass40/SynSemClass40.html?veclass=vec01330#vec01330-ces-cm00054", "vec01330")</f>
        <v>vec01330</v>
      </c>
      <c r="I51778" s="0" t="s">
        <v>12025</v>
      </c>
    </row>
    <row r="51779" customFormat="false" ht="12.8" hidden="false" customHeight="false" outlineLevel="0" collapsed="false">
      <c r="B51779" s="0" t="s">
        <v>1</v>
      </c>
      <c r="C51779" s="0" t="s">
        <v>18063</v>
      </c>
      <c r="E51779" s="0" t="s">
        <v>31</v>
      </c>
      <c r="F51779" s="0" t="s">
        <v>1554</v>
      </c>
      <c r="H51779" s="0" t="s">
        <v>4501</v>
      </c>
      <c r="I51779" s="0" t="s">
        <v>12027</v>
      </c>
    </row>
    <row r="51780" customFormat="false" ht="12.8" hidden="false" customHeight="false" outlineLevel="0" collapsed="false">
      <c r="B51780" s="0" t="s">
        <v>8</v>
      </c>
      <c r="C51780" s="0" t="s">
        <v>18064</v>
      </c>
      <c r="E51780" s="0" t="s">
        <v>1556</v>
      </c>
      <c r="F51780" s="0" t="s">
        <v>1557</v>
      </c>
      <c r="H51780" s="0" t="s">
        <v>188</v>
      </c>
      <c r="I51780" s="0" t="s">
        <v>12029</v>
      </c>
    </row>
    <row r="51782" customFormat="false" ht="12.8" hidden="false" customHeight="false" outlineLevel="0" collapsed="false">
      <c r="A51782" s="0" t="s">
        <v>18065</v>
      </c>
      <c r="B51782" s="0" t="str">
        <f aca="false">HYPERLINK("https://lindat.mff.cuni.cz/services/teitok/pdtc10/index.php?action=vallex&amp;frame=v-w7330hsa_188", "uspořádat (v-w7330hsa_188)")</f>
        <v>uspořádat (v-w7330hsa_188)</v>
      </c>
    </row>
    <row r="51783" customFormat="false" ht="12.8" hidden="false" customHeight="false" outlineLevel="0" collapsed="false">
      <c r="B51783" s="0" t="s">
        <v>1</v>
      </c>
    </row>
    <row r="51784" customFormat="false" ht="12.8" hidden="false" customHeight="false" outlineLevel="0" collapsed="false">
      <c r="B51784" s="0" t="s">
        <v>8</v>
      </c>
    </row>
    <row r="51786" customFormat="false" ht="12.8" hidden="false" customHeight="false" outlineLevel="0" collapsed="false">
      <c r="A51786" s="0" t="s">
        <v>18066</v>
      </c>
      <c r="B51786" s="0" t="str">
        <f aca="false">HYPERLINK("https://lindat.mff.cuni.cz/services/teitok/pdtc10/index.php?action=vallex&amp;frame=v-w11184f2", "uspořádávat (v-w11184f2)")</f>
        <v>uspořádávat (v-w11184f2)</v>
      </c>
      <c r="E51786" s="0" t="str">
        <f aca="false">HYPERLINK("https://lindat.mff.cuni.cz/services/SynSemClass40/SynSemClass40.html?veclass=vec00502#vec00502-ces-cm00039", "vec00502")</f>
        <v>vec00502</v>
      </c>
      <c r="F51786" s="0" t="s">
        <v>1552</v>
      </c>
    </row>
    <row r="51787" customFormat="false" ht="12.8" hidden="false" customHeight="false" outlineLevel="0" collapsed="false">
      <c r="B51787" s="0" t="s">
        <v>1</v>
      </c>
      <c r="C51787" s="0" t="s">
        <v>1553</v>
      </c>
      <c r="E51787" s="0" t="s">
        <v>31</v>
      </c>
      <c r="F51787" s="0" t="s">
        <v>1554</v>
      </c>
    </row>
    <row r="51788" customFormat="false" ht="12.8" hidden="false" customHeight="false" outlineLevel="0" collapsed="false">
      <c r="B51788" s="0" t="s">
        <v>8</v>
      </c>
      <c r="C51788" s="0" t="s">
        <v>1555</v>
      </c>
      <c r="E51788" s="0" t="s">
        <v>1556</v>
      </c>
      <c r="F51788" s="0" t="s">
        <v>1557</v>
      </c>
    </row>
    <row r="51790" customFormat="false" ht="12.8" hidden="false" customHeight="false" outlineLevel="0" collapsed="false">
      <c r="A51790" s="0" t="s">
        <v>18067</v>
      </c>
      <c r="B51790" s="0" t="str">
        <f aca="false">HYPERLINK("https://lindat.mff.cuni.cz/services/teitok/pdtc10/index.php?action=vallex&amp;frame=v-w7322f1", "uspíšit (v-w7322f1)")</f>
        <v>uspíšit (v-w7322f1)</v>
      </c>
      <c r="E51790" s="0" t="str">
        <f aca="false">HYPERLINK("https://lindat.mff.cuni.cz/services/SynSemClass40/SynSemClass40.html?veclass=vec00337#vec00337-ces-cm00016", "vec00337")</f>
        <v>vec00337</v>
      </c>
      <c r="F51790" s="0" t="s">
        <v>11339</v>
      </c>
    </row>
    <row r="51791" customFormat="false" ht="12.8" hidden="false" customHeight="false" outlineLevel="0" collapsed="false">
      <c r="B51791" s="0" t="s">
        <v>1</v>
      </c>
      <c r="C51791" s="0" t="s">
        <v>11340</v>
      </c>
      <c r="E51791" s="0" t="s">
        <v>31</v>
      </c>
      <c r="F51791" s="0" t="s">
        <v>11341</v>
      </c>
    </row>
    <row r="51792" customFormat="false" ht="12.8" hidden="false" customHeight="false" outlineLevel="0" collapsed="false">
      <c r="B51792" s="0" t="s">
        <v>8</v>
      </c>
      <c r="C51792" s="0" t="s">
        <v>5933</v>
      </c>
      <c r="E51792" s="0" t="s">
        <v>1569</v>
      </c>
      <c r="F51792" s="0" t="s">
        <v>11342</v>
      </c>
    </row>
    <row r="51794" customFormat="false" ht="12.8" hidden="false" customHeight="false" outlineLevel="0" collapsed="false">
      <c r="A51794" s="0" t="s">
        <v>18068</v>
      </c>
      <c r="B51794" s="0" t="str">
        <f aca="false">HYPERLINK("https://lindat.mff.cuni.cz/services/teitok/pdtc10/index.php?action=vallex&amp;frame=v-w7318f1", "uspěchat (v-w7318f1)")</f>
        <v>uspěchat (v-w7318f1)</v>
      </c>
    </row>
    <row r="51795" customFormat="false" ht="12.8" hidden="false" customHeight="false" outlineLevel="0" collapsed="false">
      <c r="B51795" s="0" t="s">
        <v>1</v>
      </c>
    </row>
    <row r="51796" customFormat="false" ht="12.8" hidden="false" customHeight="false" outlineLevel="0" collapsed="false">
      <c r="B51796" s="0" t="s">
        <v>8</v>
      </c>
    </row>
    <row r="51798" customFormat="false" ht="12.8" hidden="false" customHeight="false" outlineLevel="0" collapsed="false">
      <c r="A51798" s="0" t="s">
        <v>18069</v>
      </c>
      <c r="B51798" s="0" t="str">
        <f aca="false">HYPERLINK("https://lindat.mff.cuni.cz/services/teitok/pdtc10/index.php?action=vallex&amp;frame=v-w7321f2", "uspět (v-w7321f2)")</f>
        <v>uspět (v-w7321f2)</v>
      </c>
      <c r="E51798" s="0" t="str">
        <f aca="false">HYPERLINK("https://lindat.mff.cuni.cz/services/SynSemClass40/SynSemClass40.html?veclass=vec00338#vec00338-ces-cm00012", "vec00338")</f>
        <v>vec00338</v>
      </c>
      <c r="F51798" s="0" t="s">
        <v>18070</v>
      </c>
    </row>
    <row r="51799" customFormat="false" ht="12.8" hidden="false" customHeight="false" outlineLevel="0" collapsed="false">
      <c r="B51799" s="0" t="s">
        <v>1</v>
      </c>
      <c r="C51799" s="0" t="s">
        <v>18071</v>
      </c>
      <c r="E51799" s="0" t="s">
        <v>11</v>
      </c>
      <c r="F51799" s="0" t="s">
        <v>18072</v>
      </c>
    </row>
    <row r="51800" customFormat="false" ht="12.8" hidden="false" customHeight="false" outlineLevel="0" collapsed="false">
      <c r="B51800" s="0" t="s">
        <v>721</v>
      </c>
      <c r="C51800" s="0" t="s">
        <v>4105</v>
      </c>
      <c r="E51800" s="0" t="s">
        <v>523</v>
      </c>
      <c r="F51800" s="0" t="s">
        <v>18073</v>
      </c>
    </row>
    <row r="51802" customFormat="false" ht="12.8" hidden="false" customHeight="false" outlineLevel="0" collapsed="false">
      <c r="A51802" s="0" t="s">
        <v>18074</v>
      </c>
      <c r="B51802" s="0" t="str">
        <f aca="false">HYPERLINK("https://lindat.mff.cuni.cz/services/teitok/pdtc10/index.php?action=vallex&amp;frame=v-w7321f1", "uspět (v-w7321f1)")</f>
        <v>uspět (v-w7321f1)</v>
      </c>
      <c r="E51802" s="0" t="str">
        <f aca="false">HYPERLINK("https://lindat.mff.cuni.cz/services/SynSemClass40/SynSemClass40.html?veclass=vec00338#vec00338-ces-cm00001", "vec00338")</f>
        <v>vec00338</v>
      </c>
      <c r="F51802" s="0" t="s">
        <v>18070</v>
      </c>
      <c r="H51802" s="0" t="str">
        <f aca="false">HYPERLINK("https://lindat.mff.cuni.cz/services/SynSemClass40/SynSemClass40.html?veclass=vec01272#vec01272-ces-cm00048", "vec01272")</f>
        <v>vec01272</v>
      </c>
      <c r="I51802" s="0" t="s">
        <v>10383</v>
      </c>
    </row>
    <row r="51803" customFormat="false" ht="12.8" hidden="false" customHeight="false" outlineLevel="0" collapsed="false">
      <c r="B51803" s="0" t="s">
        <v>1</v>
      </c>
      <c r="C51803" s="0" t="s">
        <v>18075</v>
      </c>
      <c r="E51803" s="0" t="s">
        <v>11</v>
      </c>
      <c r="F51803" s="0" t="s">
        <v>18072</v>
      </c>
      <c r="H51803" s="0" t="s">
        <v>957</v>
      </c>
      <c r="I51803" s="0" t="s">
        <v>10385</v>
      </c>
    </row>
    <row r="51805" customFormat="false" ht="12.8" hidden="false" customHeight="false" outlineLevel="0" collapsed="false">
      <c r="A51805" s="0" t="s">
        <v>18076</v>
      </c>
      <c r="B51805" s="0" t="str">
        <f aca="false">HYPERLINK("https://lindat.mff.cuni.cz/services/teitok/pdtc10/index.php?action=vallex&amp;frame=v-w11158f2", "usrkávat (v-w11158f2)")</f>
        <v>usrkávat (v-w11158f2)</v>
      </c>
      <c r="E51805" s="0" t="str">
        <f aca="false">HYPERLINK("https://lindat.mff.cuni.cz/services/SynSemClass40/SynSemClass40.html?veclass=vec00866#vec00866-ces-cm00004", "vec00866")</f>
        <v>vec00866</v>
      </c>
      <c r="F51805" s="0" t="s">
        <v>4327</v>
      </c>
    </row>
    <row r="51806" customFormat="false" ht="12.8" hidden="false" customHeight="false" outlineLevel="0" collapsed="false">
      <c r="B51806" s="0" t="s">
        <v>1</v>
      </c>
      <c r="C51806" s="0" t="s">
        <v>106</v>
      </c>
      <c r="E51806" s="0" t="s">
        <v>658</v>
      </c>
      <c r="F51806" s="0" t="s">
        <v>4330</v>
      </c>
    </row>
    <row r="51807" customFormat="false" ht="12.8" hidden="false" customHeight="false" outlineLevel="0" collapsed="false">
      <c r="B51807" s="0" t="s">
        <v>8</v>
      </c>
      <c r="C51807" s="0" t="s">
        <v>449</v>
      </c>
      <c r="E51807" s="0" t="s">
        <v>661</v>
      </c>
      <c r="F51807" s="0" t="s">
        <v>4333</v>
      </c>
    </row>
    <row r="51809" customFormat="false" ht="12.8" hidden="false" customHeight="false" outlineLevel="0" collapsed="false">
      <c r="A51809" s="0" t="s">
        <v>18077</v>
      </c>
      <c r="B51809" s="0" t="str">
        <f aca="false">HYPERLINK("https://lindat.mff.cuni.cz/services/teitok/pdtc10/index.php?action=vallex&amp;frame=v-w11989_ZUf1_ZU", "ustalovat (v-w11989_ZUf1_ZU)")</f>
        <v>ustalovat (v-w11989_ZUf1_ZU)</v>
      </c>
    </row>
    <row r="51810" customFormat="false" ht="12.8" hidden="false" customHeight="false" outlineLevel="0" collapsed="false">
      <c r="B51810" s="0" t="s">
        <v>1</v>
      </c>
    </row>
    <row r="51811" customFormat="false" ht="12.8" hidden="false" customHeight="false" outlineLevel="0" collapsed="false">
      <c r="B51811" s="0" t="s">
        <v>8</v>
      </c>
    </row>
    <row r="51813" customFormat="false" ht="12.8" hidden="false" customHeight="false" outlineLevel="0" collapsed="false">
      <c r="A51813" s="0" t="s">
        <v>18078</v>
      </c>
      <c r="B51813" s="0" t="str">
        <f aca="false">HYPERLINK("https://lindat.mff.cuni.cz/services/teitok/pdtc10/index.php?action=vallex&amp;frame=v-w7333f1", "ustalovat se (v-w7333f1)")</f>
        <v>ustalovat se (v-w7333f1)</v>
      </c>
      <c r="E51813" s="0" t="str">
        <f aca="false">HYPERLINK("https://lindat.mff.cuni.cz/services/SynSemClass40/SynSemClass40.html?veclass=vec00522#vec00522-ces-cm00013", "vec00522")</f>
        <v>vec00522</v>
      </c>
      <c r="F51813" s="0" t="s">
        <v>16479</v>
      </c>
    </row>
    <row r="51814" customFormat="false" ht="12.8" hidden="false" customHeight="false" outlineLevel="0" collapsed="false">
      <c r="B51814" s="0" t="s">
        <v>1</v>
      </c>
      <c r="C51814" s="0" t="s">
        <v>17856</v>
      </c>
      <c r="E51814" s="0" t="s">
        <v>8199</v>
      </c>
      <c r="F51814" s="0" t="s">
        <v>16481</v>
      </c>
    </row>
    <row r="51816" customFormat="false" ht="12.8" hidden="false" customHeight="false" outlineLevel="0" collapsed="false">
      <c r="A51816" s="0" t="s">
        <v>18079</v>
      </c>
      <c r="B51816" s="0" t="str">
        <f aca="false">HYPERLINK("https://lindat.mff.cuni.cz/services/teitok/pdtc10/index.php?action=vallex&amp;frame=v-w7335f1", "ustanovit (v-w7335f1)")</f>
        <v>ustanovit (v-w7335f1)</v>
      </c>
      <c r="E51816" s="0" t="str">
        <f aca="false">HYPERLINK("https://lindat.mff.cuni.cz/services/SynSemClass40/SynSemClass40.html?veclass=vec00179#vec00179-ces-cm00047", "vec00179")</f>
        <v>vec00179</v>
      </c>
      <c r="F51816" s="0" t="s">
        <v>779</v>
      </c>
    </row>
    <row r="51817" customFormat="false" ht="12.8" hidden="false" customHeight="false" outlineLevel="0" collapsed="false">
      <c r="B51817" s="0" t="s">
        <v>1</v>
      </c>
      <c r="C51817" s="0" t="s">
        <v>14765</v>
      </c>
      <c r="E51817" s="0" t="s">
        <v>768</v>
      </c>
      <c r="F51817" s="0" t="s">
        <v>782</v>
      </c>
    </row>
    <row r="51818" customFormat="false" ht="12.8" hidden="false" customHeight="false" outlineLevel="0" collapsed="false">
      <c r="B51818" s="0" t="s">
        <v>59</v>
      </c>
      <c r="C51818" s="0" t="s">
        <v>14766</v>
      </c>
      <c r="E51818" s="0" t="s">
        <v>771</v>
      </c>
      <c r="F51818" s="0" t="s">
        <v>785</v>
      </c>
    </row>
    <row r="51819" customFormat="false" ht="12.8" hidden="false" customHeight="false" outlineLevel="0" collapsed="false">
      <c r="B51819" s="0" t="s">
        <v>36</v>
      </c>
      <c r="C51819" s="0" t="s">
        <v>14767</v>
      </c>
      <c r="E51819" s="0" t="s">
        <v>787</v>
      </c>
      <c r="F51819" s="0" t="s">
        <v>789</v>
      </c>
    </row>
    <row r="51821" customFormat="false" ht="12.8" hidden="false" customHeight="false" outlineLevel="0" collapsed="false">
      <c r="A51821" s="0" t="s">
        <v>18080</v>
      </c>
      <c r="B51821" s="0" t="str">
        <f aca="false">HYPERLINK("https://lindat.mff.cuni.cz/services/teitok/pdtc10/index.php?action=vallex&amp;frame=v-w7335f2", "ustanovit (v-w7335f2)")</f>
        <v>ustanovit (v-w7335f2)</v>
      </c>
    </row>
    <row r="51822" customFormat="false" ht="12.8" hidden="false" customHeight="false" outlineLevel="0" collapsed="false">
      <c r="B51822" s="0" t="s">
        <v>1</v>
      </c>
    </row>
    <row r="51823" customFormat="false" ht="12.8" hidden="false" customHeight="false" outlineLevel="0" collapsed="false">
      <c r="B51823" s="0" t="s">
        <v>8</v>
      </c>
    </row>
    <row r="51824" customFormat="false" ht="12.8" hidden="false" customHeight="false" outlineLevel="0" collapsed="false">
      <c r="B51824" s="0" t="s">
        <v>13273</v>
      </c>
    </row>
    <row r="51826" customFormat="false" ht="12.8" hidden="false" customHeight="false" outlineLevel="0" collapsed="false">
      <c r="A51826" s="0" t="s">
        <v>18081</v>
      </c>
      <c r="B51826" s="0" t="str">
        <f aca="false">HYPERLINK("https://lindat.mff.cuni.cz/services/teitok/pdtc10/index.php?action=vallex&amp;frame=v-w7335hsa_392", "ustanovit (v-w7335hsa_392)")</f>
        <v>ustanovit (v-w7335hsa_392)</v>
      </c>
      <c r="E51826" s="0" t="str">
        <f aca="false">HYPERLINK("https://lindat.mff.cuni.cz/services/SynSemClass40/SynSemClass40.html?veclass=vec00127#vec00127-ces-cm00232", "vec00127")</f>
        <v>vec00127</v>
      </c>
      <c r="F51826" s="0" t="s">
        <v>1835</v>
      </c>
    </row>
    <row r="51827" customFormat="false" ht="12.8" hidden="false" customHeight="false" outlineLevel="0" collapsed="false">
      <c r="B51827" s="0" t="s">
        <v>1</v>
      </c>
      <c r="C51827" s="0" t="s">
        <v>3461</v>
      </c>
      <c r="E51827" s="0" t="s">
        <v>11</v>
      </c>
      <c r="F51827" s="0" t="s">
        <v>1837</v>
      </c>
    </row>
    <row r="51828" customFormat="false" ht="12.8" hidden="false" customHeight="false" outlineLevel="0" collapsed="false">
      <c r="B51828" s="0" t="s">
        <v>228</v>
      </c>
      <c r="C51828" s="0" t="s">
        <v>3463</v>
      </c>
      <c r="E51828" s="0" t="s">
        <v>1840</v>
      </c>
      <c r="F51828" s="0" t="s">
        <v>1841</v>
      </c>
    </row>
    <row r="51830" customFormat="false" ht="12.8" hidden="false" customHeight="false" outlineLevel="0" collapsed="false">
      <c r="A51830" s="0" t="s">
        <v>18082</v>
      </c>
      <c r="B51830" s="0" t="str">
        <f aca="false">HYPERLINK("https://lindat.mff.cuni.cz/services/teitok/pdtc10/index.php?action=vallex&amp;frame=v-w10736f2", "ustanovovat (v-w10736f2)")</f>
        <v>ustanovovat (v-w10736f2)</v>
      </c>
      <c r="E51830" s="0" t="str">
        <f aca="false">HYPERLINK("https://lindat.mff.cuni.cz/services/SynSemClass40/SynSemClass40.html?veclass=vec00322#vec00322-ces-cm00068", "vec00322")</f>
        <v>vec00322</v>
      </c>
      <c r="F51830" s="0" t="s">
        <v>1343</v>
      </c>
    </row>
    <row r="51831" customFormat="false" ht="12.8" hidden="false" customHeight="false" outlineLevel="0" collapsed="false">
      <c r="B51831" s="0" t="s">
        <v>1</v>
      </c>
      <c r="C51831" s="0" t="s">
        <v>1344</v>
      </c>
      <c r="E51831" s="0" t="s">
        <v>206</v>
      </c>
      <c r="F51831" s="0" t="s">
        <v>1345</v>
      </c>
    </row>
    <row r="51832" customFormat="false" ht="12.8" hidden="false" customHeight="false" outlineLevel="0" collapsed="false">
      <c r="B51832" s="0" t="s">
        <v>228</v>
      </c>
      <c r="C51832" s="0" t="s">
        <v>1346</v>
      </c>
      <c r="E51832" s="0" t="s">
        <v>1347</v>
      </c>
      <c r="F51832" s="0" t="s">
        <v>1348</v>
      </c>
    </row>
    <row r="51834" customFormat="false" ht="12.8" hidden="false" customHeight="false" outlineLevel="0" collapsed="false">
      <c r="A51834" s="0" t="s">
        <v>18083</v>
      </c>
      <c r="B51834" s="0" t="str">
        <f aca="false">HYPERLINK("https://lindat.mff.cuni.cz/services/teitok/pdtc10/index.php?action=vallex&amp;frame=v-w7336f2", "ustat (v-w7336f2)")</f>
        <v>ustat (v-w7336f2)</v>
      </c>
    </row>
    <row r="51835" customFormat="false" ht="12.8" hidden="false" customHeight="false" outlineLevel="0" collapsed="false">
      <c r="B51835" s="0" t="s">
        <v>1</v>
      </c>
    </row>
    <row r="51836" customFormat="false" ht="12.8" hidden="false" customHeight="false" outlineLevel="0" collapsed="false">
      <c r="B51836" s="0" t="s">
        <v>11551</v>
      </c>
    </row>
    <row r="51838" customFormat="false" ht="12.8" hidden="false" customHeight="false" outlineLevel="0" collapsed="false">
      <c r="A51838" s="0" t="s">
        <v>18084</v>
      </c>
      <c r="B51838" s="0" t="str">
        <f aca="false">HYPERLINK("https://lindat.mff.cuni.cz/services/teitok/pdtc10/index.php?action=vallex&amp;frame=v-w7336f1", "ustat (v-w7336f1)")</f>
        <v>ustat (v-w7336f1)</v>
      </c>
      <c r="E51838" s="0" t="str">
        <f aca="false">HYPERLINK("https://lindat.mff.cuni.cz/services/SynSemClass40/SynSemClass40.html?veclass=vec00113#vec00113-ces-cm00294", "vec00113")</f>
        <v>vec00113</v>
      </c>
      <c r="F51838" s="0" t="s">
        <v>2122</v>
      </c>
    </row>
    <row r="51839" customFormat="false" ht="12.8" hidden="false" customHeight="false" outlineLevel="0" collapsed="false">
      <c r="B51839" s="0" t="s">
        <v>1</v>
      </c>
      <c r="C51839" s="0" t="s">
        <v>4146</v>
      </c>
      <c r="E51839" s="0" t="s">
        <v>1084</v>
      </c>
      <c r="F51839" s="0" t="s">
        <v>2124</v>
      </c>
    </row>
    <row r="51841" customFormat="false" ht="12.8" hidden="false" customHeight="false" outlineLevel="0" collapsed="false">
      <c r="A51841" s="0" t="s">
        <v>18085</v>
      </c>
      <c r="B51841" s="0" t="str">
        <f aca="false">HYPERLINK("https://lindat.mff.cuni.cz/services/teitok/pdtc10/index.php?action=vallex&amp;frame=v-w7340f1", "ustavit (v-w7340f1)")</f>
        <v>ustavit (v-w7340f1)</v>
      </c>
      <c r="E51841" s="0" t="str">
        <f aca="false">HYPERLINK("https://lindat.mff.cuni.cz/services/SynSemClass40/SynSemClass40.html?veclass=vec00322#vec00322-ces-cm00069", "vec00322")</f>
        <v>vec00322</v>
      </c>
      <c r="F51841" s="0" t="s">
        <v>1343</v>
      </c>
    </row>
    <row r="51842" customFormat="false" ht="12.8" hidden="false" customHeight="false" outlineLevel="0" collapsed="false">
      <c r="B51842" s="0" t="s">
        <v>1</v>
      </c>
      <c r="C51842" s="0" t="s">
        <v>1344</v>
      </c>
      <c r="E51842" s="0" t="s">
        <v>206</v>
      </c>
      <c r="F51842" s="0" t="s">
        <v>1345</v>
      </c>
    </row>
    <row r="51843" customFormat="false" ht="12.8" hidden="false" customHeight="false" outlineLevel="0" collapsed="false">
      <c r="B51843" s="0" t="s">
        <v>59</v>
      </c>
      <c r="C51843" s="0" t="s">
        <v>1346</v>
      </c>
      <c r="E51843" s="0" t="s">
        <v>1347</v>
      </c>
      <c r="F51843" s="0" t="s">
        <v>1348</v>
      </c>
    </row>
    <row r="51845" customFormat="false" ht="12.8" hidden="false" customHeight="false" outlineLevel="0" collapsed="false">
      <c r="A51845" s="0" t="s">
        <v>18086</v>
      </c>
      <c r="B51845" s="0" t="str">
        <f aca="false">HYPERLINK("https://lindat.mff.cuni.cz/services/teitok/pdtc10/index.php?action=vallex&amp;frame=v-w7340f2_ZU", "ustavit (v-w7340f2_ZU)")</f>
        <v>ustavit (v-w7340f2_ZU)</v>
      </c>
    </row>
    <row r="51846" customFormat="false" ht="12.8" hidden="false" customHeight="false" outlineLevel="0" collapsed="false">
      <c r="B51846" s="0" t="s">
        <v>1</v>
      </c>
    </row>
    <row r="51847" customFormat="false" ht="12.8" hidden="false" customHeight="false" outlineLevel="0" collapsed="false">
      <c r="B51847" s="0" t="s">
        <v>8</v>
      </c>
    </row>
    <row r="51848" customFormat="false" ht="12.8" hidden="false" customHeight="false" outlineLevel="0" collapsed="false">
      <c r="B51848" s="0" t="s">
        <v>5005</v>
      </c>
    </row>
    <row r="51850" customFormat="false" ht="12.8" hidden="false" customHeight="false" outlineLevel="0" collapsed="false">
      <c r="A51850" s="0" t="s">
        <v>18087</v>
      </c>
      <c r="B51850" s="0" t="str">
        <f aca="false">HYPERLINK("https://lindat.mff.cuni.cz/services/teitok/pdtc10/index.php?action=vallex&amp;frame=v-w7341f2", "ustavovat (v-w7341f2)")</f>
        <v>ustavovat (v-w7341f2)</v>
      </c>
    </row>
    <row r="51851" customFormat="false" ht="12.8" hidden="false" customHeight="false" outlineLevel="0" collapsed="false">
      <c r="B51851" s="0" t="s">
        <v>1</v>
      </c>
    </row>
    <row r="51852" customFormat="false" ht="12.8" hidden="false" customHeight="false" outlineLevel="0" collapsed="false">
      <c r="B51852" s="0" t="s">
        <v>8</v>
      </c>
    </row>
    <row r="51853" customFormat="false" ht="12.8" hidden="false" customHeight="false" outlineLevel="0" collapsed="false">
      <c r="B51853" s="0" t="s">
        <v>18088</v>
      </c>
    </row>
    <row r="51855" customFormat="false" ht="12.8" hidden="false" customHeight="false" outlineLevel="0" collapsed="false">
      <c r="A51855" s="0" t="s">
        <v>18089</v>
      </c>
      <c r="B51855" s="0" t="str">
        <f aca="false">HYPERLINK("https://lindat.mff.cuni.cz/services/teitok/pdtc10/index.php?action=vallex&amp;frame=v-w7341f1", "ustavovat (v-w7341f1)")</f>
        <v>ustavovat (v-w7341f1)</v>
      </c>
      <c r="E51855" s="0" t="str">
        <f aca="false">HYPERLINK("https://lindat.mff.cuni.cz/services/SynSemClass40/SynSemClass40.html?veclass=vec00179#vec00179-ces-cm00257", "vec00179")</f>
        <v>vec00179</v>
      </c>
      <c r="F51855" s="0" t="s">
        <v>779</v>
      </c>
    </row>
    <row r="51856" customFormat="false" ht="12.8" hidden="false" customHeight="false" outlineLevel="0" collapsed="false">
      <c r="B51856" s="0" t="s">
        <v>1</v>
      </c>
      <c r="C51856" s="0" t="s">
        <v>14765</v>
      </c>
      <c r="E51856" s="0" t="s">
        <v>768</v>
      </c>
      <c r="F51856" s="0" t="s">
        <v>782</v>
      </c>
    </row>
    <row r="51857" customFormat="false" ht="12.8" hidden="false" customHeight="false" outlineLevel="0" collapsed="false">
      <c r="B51857" s="0" t="s">
        <v>59</v>
      </c>
      <c r="C51857" s="0" t="s">
        <v>14766</v>
      </c>
      <c r="E51857" s="0" t="s">
        <v>771</v>
      </c>
      <c r="F51857" s="0" t="s">
        <v>785</v>
      </c>
    </row>
    <row r="51859" customFormat="false" ht="12.8" hidden="false" customHeight="false" outlineLevel="0" collapsed="false">
      <c r="A51859" s="0" t="s">
        <v>18090</v>
      </c>
      <c r="B51859" s="0" t="str">
        <f aca="false">HYPERLINK("https://lindat.mff.cuni.cz/services/teitok/pdtc10/index.php?action=vallex&amp;frame=v-w11612_ZUhsa_2059", "ustlat (v-w11612_ZUhsa_2059)")</f>
        <v>ustlat (v-w11612_ZUhsa_2059)</v>
      </c>
    </row>
    <row r="51860" customFormat="false" ht="12.8" hidden="false" customHeight="false" outlineLevel="0" collapsed="false">
      <c r="B51860" s="0" t="s">
        <v>1</v>
      </c>
    </row>
    <row r="51861" customFormat="false" ht="12.8" hidden="false" customHeight="false" outlineLevel="0" collapsed="false">
      <c r="B51861" s="0" t="s">
        <v>8</v>
      </c>
    </row>
    <row r="51863" customFormat="false" ht="12.8" hidden="false" customHeight="false" outlineLevel="0" collapsed="false">
      <c r="A51863" s="0" t="s">
        <v>18091</v>
      </c>
      <c r="B51863" s="0" t="str">
        <f aca="false">HYPERLINK("https://lindat.mff.cuni.cz/services/teitok/pdtc10/index.php?action=vallex&amp;frame=v-w11613_ZUf1_ZU", "ustlat si (v-w11613_ZUf1_ZU)")</f>
        <v>ustlat si (v-w11613_ZUf1_ZU)</v>
      </c>
      <c r="E51863" s="0" t="str">
        <f aca="false">HYPERLINK("https://lindat.mff.cuni.cz/services/SynSemClass40/SynSemClass40.html?veclass=vec00629#vec00629-ces-cm00005", "vec00629")</f>
        <v>vec00629</v>
      </c>
      <c r="F51863" s="0" t="s">
        <v>5949</v>
      </c>
    </row>
    <row r="51864" customFormat="false" ht="12.8" hidden="false" customHeight="false" outlineLevel="0" collapsed="false">
      <c r="B51864" s="0" t="s">
        <v>1</v>
      </c>
      <c r="C51864" s="0" t="s">
        <v>4695</v>
      </c>
      <c r="E51864" s="0" t="s">
        <v>11</v>
      </c>
      <c r="F51864" s="0" t="s">
        <v>5950</v>
      </c>
    </row>
    <row r="51865" customFormat="false" ht="12.8" hidden="false" customHeight="false" outlineLevel="0" collapsed="false">
      <c r="B51865" s="0" t="s">
        <v>1262</v>
      </c>
      <c r="E51865" s="0" t="s">
        <v>3254</v>
      </c>
      <c r="F51865" s="0" t="s">
        <v>3255</v>
      </c>
    </row>
    <row r="51867" customFormat="false" ht="12.8" hidden="false" customHeight="false" outlineLevel="0" collapsed="false">
      <c r="A51867" s="0" t="s">
        <v>18092</v>
      </c>
      <c r="B51867" s="0" t="str">
        <f aca="false">HYPERLINK("https://lindat.mff.cuni.cz/services/teitok/pdtc10/index.php?action=vallex&amp;frame=v-w7344f1", "ustoupit (v-w7344f1)")</f>
        <v>ustoupit (v-w7344f1)</v>
      </c>
      <c r="E51867" s="0" t="str">
        <f aca="false">HYPERLINK("https://lindat.mff.cuni.cz/services/SynSemClass40/SynSemClass40.html?veclass=vec00739#vec00739-ces-cm00001", "vec00739")</f>
        <v>vec00739</v>
      </c>
      <c r="F51867" s="0" t="s">
        <v>5232</v>
      </c>
    </row>
    <row r="51868" customFormat="false" ht="12.8" hidden="false" customHeight="false" outlineLevel="0" collapsed="false">
      <c r="B51868" s="0" t="s">
        <v>1</v>
      </c>
      <c r="C51868" s="0" t="s">
        <v>5233</v>
      </c>
      <c r="E51868" s="0" t="s">
        <v>5234</v>
      </c>
      <c r="F51868" s="0" t="s">
        <v>5235</v>
      </c>
    </row>
    <row r="51869" customFormat="false" ht="12.8" hidden="false" customHeight="false" outlineLevel="0" collapsed="false">
      <c r="B51869" s="0" t="s">
        <v>186</v>
      </c>
      <c r="C51869" s="0" t="s">
        <v>5236</v>
      </c>
      <c r="E51869" s="0" t="s">
        <v>5237</v>
      </c>
      <c r="F51869" s="0" t="s">
        <v>5238</v>
      </c>
    </row>
    <row r="51871" customFormat="false" ht="12.8" hidden="false" customHeight="false" outlineLevel="0" collapsed="false">
      <c r="A51871" s="0" t="s">
        <v>18093</v>
      </c>
      <c r="B51871" s="0" t="str">
        <f aca="false">HYPERLINK("https://lindat.mff.cuni.cz/services/teitok/pdtc10/index.php?action=vallex&amp;frame=v-w7344f2", "ustoupit (v-w7344f2)")</f>
        <v>ustoupit (v-w7344f2)</v>
      </c>
      <c r="E51871" s="0" t="str">
        <f aca="false">HYPERLINK("https://lindat.mff.cuni.cz/services/SynSemClass40/SynSemClass40.html?veclass=vec00942#vec00942-ces-cm00001", "vec00942")</f>
        <v>vec00942</v>
      </c>
      <c r="F51871" s="0" t="s">
        <v>1686</v>
      </c>
    </row>
    <row r="51872" customFormat="false" ht="12.8" hidden="false" customHeight="false" outlineLevel="0" collapsed="false">
      <c r="B51872" s="0" t="s">
        <v>1</v>
      </c>
      <c r="C51872" s="0" t="s">
        <v>1687</v>
      </c>
      <c r="E51872" s="0" t="s">
        <v>11</v>
      </c>
      <c r="F51872" s="0" t="s">
        <v>1688</v>
      </c>
    </row>
    <row r="51873" customFormat="false" ht="12.8" hidden="false" customHeight="false" outlineLevel="0" collapsed="false">
      <c r="B51873" s="0" t="s">
        <v>26</v>
      </c>
      <c r="C51873" s="0" t="s">
        <v>1690</v>
      </c>
      <c r="E51873" s="0" t="s">
        <v>140</v>
      </c>
      <c r="F51873" s="0" t="s">
        <v>1691</v>
      </c>
    </row>
    <row r="51875" customFormat="false" ht="12.8" hidden="false" customHeight="false" outlineLevel="0" collapsed="false">
      <c r="A51875" s="0" t="s">
        <v>18094</v>
      </c>
      <c r="B51875" s="0" t="str">
        <f aca="false">HYPERLINK("https://lindat.mff.cuni.cz/services/teitok/pdtc10/index.php?action=vallex&amp;frame=v-w7344f3", "ustoupit (v-w7344f3)")</f>
        <v>ustoupit (v-w7344f3)</v>
      </c>
      <c r="E51875" s="0" t="str">
        <f aca="false">HYPERLINK("https://lindat.mff.cuni.cz/services/SynSemClass40/SynSemClass40.html?veclass=vec00048#vec00048-ces-cm00215", "vec00048")</f>
        <v>vec00048</v>
      </c>
      <c r="F51875" s="0" t="s">
        <v>1945</v>
      </c>
      <c r="H51875" s="0" t="str">
        <f aca="false">HYPERLINK("https://lindat.mff.cuni.cz/services/SynSemClass40/SynSemClass40.html?veclass=vec00143#vec00143-ces-cm00014", "vec00143")</f>
        <v>vec00143</v>
      </c>
      <c r="I51875" s="0" t="s">
        <v>18095</v>
      </c>
    </row>
    <row r="51876" customFormat="false" ht="12.8" hidden="false" customHeight="false" outlineLevel="0" collapsed="false">
      <c r="B51876" s="0" t="s">
        <v>1</v>
      </c>
      <c r="C51876" s="0" t="s">
        <v>18096</v>
      </c>
      <c r="E51876" s="0" t="s">
        <v>334</v>
      </c>
      <c r="F51876" s="0" t="s">
        <v>1947</v>
      </c>
      <c r="H51876" s="0" t="s">
        <v>11</v>
      </c>
      <c r="I51876" s="0" t="s">
        <v>1486</v>
      </c>
    </row>
    <row r="51877" customFormat="false" ht="12.8" hidden="false" customHeight="false" outlineLevel="0" collapsed="false">
      <c r="B51877" s="0" t="s">
        <v>631</v>
      </c>
      <c r="C51877" s="0" t="s">
        <v>18097</v>
      </c>
      <c r="E51877" s="0" t="s">
        <v>1949</v>
      </c>
      <c r="F51877" s="0" t="s">
        <v>1950</v>
      </c>
      <c r="H51877" s="0" t="s">
        <v>8928</v>
      </c>
      <c r="I51877" s="0" t="s">
        <v>18098</v>
      </c>
    </row>
    <row r="51879" customFormat="false" ht="12.8" hidden="false" customHeight="false" outlineLevel="0" collapsed="false">
      <c r="A51879" s="0" t="s">
        <v>18099</v>
      </c>
      <c r="B51879" s="0" t="str">
        <f aca="false">HYPERLINK("https://lindat.mff.cuni.cz/services/teitok/pdtc10/index.php?action=vallex&amp;frame=v-w7344f5", "ustoupit (v-w7344f5)")</f>
        <v>ustoupit (v-w7344f5)</v>
      </c>
      <c r="E51879" s="0" t="str">
        <f aca="false">HYPERLINK("https://lindat.mff.cuni.cz/services/SynSemClass40/SynSemClass40.html?veclass=vec00143#vec00143-ces-cm00007", "vec00143")</f>
        <v>vec00143</v>
      </c>
      <c r="F51879" s="0" t="s">
        <v>18095</v>
      </c>
    </row>
    <row r="51880" customFormat="false" ht="12.8" hidden="false" customHeight="false" outlineLevel="0" collapsed="false">
      <c r="B51880" s="0" t="s">
        <v>1</v>
      </c>
      <c r="C51880" s="0" t="s">
        <v>459</v>
      </c>
      <c r="E51880" s="0" t="s">
        <v>11</v>
      </c>
      <c r="F51880" s="0" t="s">
        <v>1486</v>
      </c>
    </row>
    <row r="51881" customFormat="false" ht="12.8" hidden="false" customHeight="false" outlineLevel="0" collapsed="false">
      <c r="B51881" s="0" t="s">
        <v>631</v>
      </c>
      <c r="C51881" s="0" t="s">
        <v>18100</v>
      </c>
      <c r="E51881" s="0" t="s">
        <v>8928</v>
      </c>
      <c r="F51881" s="0" t="s">
        <v>18098</v>
      </c>
    </row>
    <row r="51883" customFormat="false" ht="12.8" hidden="false" customHeight="false" outlineLevel="0" collapsed="false">
      <c r="A51883" s="0" t="s">
        <v>18101</v>
      </c>
      <c r="B51883" s="0" t="str">
        <f aca="false">HYPERLINK("https://lindat.mff.cuni.cz/services/teitok/pdtc10/index.php?action=vallex&amp;frame=v-w7344f4", "ustoupit (v-w7344f4)")</f>
        <v>ustoupit (v-w7344f4)</v>
      </c>
      <c r="E51883" s="0" t="str">
        <f aca="false">HYPERLINK("https://lindat.mff.cuni.cz/services/SynSemClass40/SynSemClass40.html?veclass=vec00793#vec00793-ces-cm00018", "vec00793")</f>
        <v>vec00793</v>
      </c>
      <c r="F51883" s="0" t="s">
        <v>8661</v>
      </c>
    </row>
    <row r="51884" customFormat="false" ht="12.8" hidden="false" customHeight="false" outlineLevel="0" collapsed="false">
      <c r="B51884" s="0" t="s">
        <v>1</v>
      </c>
      <c r="C51884" s="0" t="s">
        <v>8662</v>
      </c>
      <c r="E51884" s="0" t="s">
        <v>8663</v>
      </c>
      <c r="F51884" s="0" t="s">
        <v>8664</v>
      </c>
    </row>
    <row r="51886" customFormat="false" ht="12.8" hidden="false" customHeight="false" outlineLevel="0" collapsed="false">
      <c r="A51886" s="0" t="s">
        <v>18102</v>
      </c>
      <c r="B51886" s="0" t="str">
        <f aca="false">HYPERLINK("https://lindat.mff.cuni.cz/services/teitok/pdtc10/index.php?action=vallex&amp;frame=v-w7344f6_ZU", "ustoupit (v-w7344f6_ZU)")</f>
        <v>ustoupit (v-w7344f6_ZU)</v>
      </c>
      <c r="E51886" s="0" t="str">
        <f aca="false">HYPERLINK("https://lindat.mff.cuni.cz/services/SynSemClass40/SynSemClass40.html?veclass=vec00028#vec00028-ces-cm00076", "vec00028")</f>
        <v>vec00028</v>
      </c>
      <c r="F51886" s="0" t="s">
        <v>5301</v>
      </c>
    </row>
    <row r="51887" customFormat="false" ht="12.8" hidden="false" customHeight="false" outlineLevel="0" collapsed="false">
      <c r="B51887" s="0" t="s">
        <v>1</v>
      </c>
      <c r="C51887" s="0" t="s">
        <v>9964</v>
      </c>
      <c r="E51887" s="0" t="s">
        <v>235</v>
      </c>
      <c r="F51887" s="0" t="s">
        <v>5304</v>
      </c>
    </row>
    <row r="51888" customFormat="false" ht="12.8" hidden="false" customHeight="false" outlineLevel="0" collapsed="false">
      <c r="B51888" s="0" t="s">
        <v>69</v>
      </c>
      <c r="C51888" s="0" t="s">
        <v>9965</v>
      </c>
      <c r="E51888" s="0" t="s">
        <v>5149</v>
      </c>
      <c r="F51888" s="0" t="s">
        <v>5307</v>
      </c>
    </row>
    <row r="51889" customFormat="false" ht="12.8" hidden="false" customHeight="false" outlineLevel="0" collapsed="false">
      <c r="B51889" s="0" t="s">
        <v>36</v>
      </c>
      <c r="C51889" s="0" t="s">
        <v>9966</v>
      </c>
      <c r="E51889" s="0" t="s">
        <v>5152</v>
      </c>
      <c r="F51889" s="0" t="s">
        <v>5311</v>
      </c>
    </row>
    <row r="51891" customFormat="false" ht="12.8" hidden="false" customHeight="false" outlineLevel="0" collapsed="false">
      <c r="A51891" s="0" t="s">
        <v>18102</v>
      </c>
      <c r="B51891" s="0" t="str">
        <f aca="false">HYPERLINK("https://lindat.mff.cuni.cz/services/teitok/pdtc10/index.php?action=vallex&amp;frame=v-w7344hsa_518", "ustoupit (v-w7344hsa_518) - substituted with v-w7344f6_ZU")</f>
        <v>ustoupit (v-w7344hsa_518) - substituted with v-w7344f6_ZU</v>
      </c>
    </row>
    <row r="51892" customFormat="false" ht="12.8" hidden="false" customHeight="false" outlineLevel="0" collapsed="false">
      <c r="B51892" s="0" t="s">
        <v>1</v>
      </c>
    </row>
    <row r="51893" customFormat="false" ht="12.8" hidden="false" customHeight="false" outlineLevel="0" collapsed="false">
      <c r="B51893" s="0" t="s">
        <v>69</v>
      </c>
    </row>
    <row r="51894" customFormat="false" ht="12.8" hidden="false" customHeight="false" outlineLevel="0" collapsed="false">
      <c r="B51894" s="0" t="s">
        <v>36</v>
      </c>
    </row>
    <row r="51896" customFormat="false" ht="12.8" hidden="false" customHeight="false" outlineLevel="0" collapsed="false">
      <c r="A51896" s="0" t="s">
        <v>18103</v>
      </c>
      <c r="B51896" s="0" t="str">
        <f aca="false">HYPERLINK("https://lindat.mff.cuni.cz/services/teitok/pdtc10/index.php?action=vallex&amp;frame=v-w7346f1", "ustrnout (v-w7346f1)")</f>
        <v>ustrnout (v-w7346f1)</v>
      </c>
    </row>
    <row r="51897" customFormat="false" ht="12.8" hidden="false" customHeight="false" outlineLevel="0" collapsed="false">
      <c r="B51897" s="0" t="s">
        <v>1</v>
      </c>
    </row>
    <row r="51899" customFormat="false" ht="12.8" hidden="false" customHeight="false" outlineLevel="0" collapsed="false">
      <c r="A51899" s="0" t="s">
        <v>18104</v>
      </c>
      <c r="B51899" s="0" t="str">
        <f aca="false">HYPERLINK("https://lindat.mff.cuni.cz/services/teitok/pdtc10/index.php?action=vallex&amp;frame=v-w12152_ZUf1_ZU", "ustrojit (v-w12152_ZUf1_ZU)")</f>
        <v>ustrojit (v-w12152_ZUf1_ZU)</v>
      </c>
    </row>
    <row r="51900" customFormat="false" ht="12.8" hidden="false" customHeight="false" outlineLevel="0" collapsed="false">
      <c r="B51900" s="0" t="s">
        <v>1</v>
      </c>
    </row>
    <row r="51901" customFormat="false" ht="12.8" hidden="false" customHeight="false" outlineLevel="0" collapsed="false">
      <c r="B51901" s="0" t="s">
        <v>8</v>
      </c>
    </row>
    <row r="51903" customFormat="false" ht="12.8" hidden="false" customHeight="false" outlineLevel="0" collapsed="false">
      <c r="A51903" s="0" t="s">
        <v>18105</v>
      </c>
      <c r="B51903" s="0" t="str">
        <f aca="false">HYPERLINK("https://lindat.mff.cuni.cz/services/teitok/pdtc10/index.php?action=vallex&amp;frame=v-w11708_ZUf1_ZU", "ustrojit se (v-w11708_ZUf1_ZU)")</f>
        <v>ustrojit se (v-w11708_ZUf1_ZU)</v>
      </c>
    </row>
    <row r="51904" customFormat="false" ht="12.8" hidden="false" customHeight="false" outlineLevel="0" collapsed="false">
      <c r="B51904" s="0" t="s">
        <v>1</v>
      </c>
    </row>
    <row r="51905" customFormat="false" ht="12.8" hidden="false" customHeight="false" outlineLevel="0" collapsed="false">
      <c r="B51905" s="0" t="s">
        <v>4250</v>
      </c>
    </row>
    <row r="51907" customFormat="false" ht="12.8" hidden="false" customHeight="false" outlineLevel="0" collapsed="false">
      <c r="A51907" s="0" t="s">
        <v>18106</v>
      </c>
      <c r="B51907" s="0" t="str">
        <f aca="false">HYPERLINK("https://lindat.mff.cuni.cz/services/teitok/pdtc10/index.php?action=vallex&amp;frame=v-w7350f1", "ustupovat (v-w7350f1)")</f>
        <v>ustupovat (v-w7350f1)</v>
      </c>
      <c r="E51907" s="0" t="str">
        <f aca="false">HYPERLINK("https://lindat.mff.cuni.cz/services/SynSemClass40/SynSemClass40.html?veclass=vec00739#vec00739-ces-cm00026", "vec00739")</f>
        <v>vec00739</v>
      </c>
      <c r="F51907" s="0" t="s">
        <v>5232</v>
      </c>
    </row>
    <row r="51908" customFormat="false" ht="12.8" hidden="false" customHeight="false" outlineLevel="0" collapsed="false">
      <c r="B51908" s="0" t="s">
        <v>1</v>
      </c>
      <c r="C51908" s="0" t="s">
        <v>5233</v>
      </c>
      <c r="E51908" s="0" t="s">
        <v>5234</v>
      </c>
      <c r="F51908" s="0" t="s">
        <v>5235</v>
      </c>
    </row>
    <row r="51909" customFormat="false" ht="12.8" hidden="false" customHeight="false" outlineLevel="0" collapsed="false">
      <c r="B51909" s="0" t="s">
        <v>10104</v>
      </c>
      <c r="C51909" s="0" t="s">
        <v>5236</v>
      </c>
      <c r="E51909" s="0" t="s">
        <v>5237</v>
      </c>
      <c r="F51909" s="0" t="s">
        <v>5238</v>
      </c>
    </row>
    <row r="51911" customFormat="false" ht="12.8" hidden="false" customHeight="false" outlineLevel="0" collapsed="false">
      <c r="A51911" s="0" t="s">
        <v>18107</v>
      </c>
      <c r="B51911" s="0" t="str">
        <f aca="false">HYPERLINK("https://lindat.mff.cuni.cz/services/teitok/pdtc10/index.php?action=vallex&amp;frame=v-w7350f3", "ustupovat (v-w7350f3)")</f>
        <v>ustupovat (v-w7350f3)</v>
      </c>
      <c r="E51911" s="0" t="str">
        <f aca="false">HYPERLINK("https://lindat.mff.cuni.cz/services/SynSemClass40/SynSemClass40.html?veclass=vec00942#vec00942-ces-cm00061", "vec00942")</f>
        <v>vec00942</v>
      </c>
      <c r="F51911" s="0" t="s">
        <v>1686</v>
      </c>
    </row>
    <row r="51912" customFormat="false" ht="12.8" hidden="false" customHeight="false" outlineLevel="0" collapsed="false">
      <c r="B51912" s="0" t="s">
        <v>1</v>
      </c>
      <c r="C51912" s="0" t="s">
        <v>1687</v>
      </c>
      <c r="E51912" s="0" t="s">
        <v>11</v>
      </c>
      <c r="F51912" s="0" t="s">
        <v>1688</v>
      </c>
    </row>
    <row r="51913" customFormat="false" ht="12.8" hidden="false" customHeight="false" outlineLevel="0" collapsed="false">
      <c r="B51913" s="0" t="s">
        <v>26</v>
      </c>
      <c r="C51913" s="0" t="s">
        <v>1690</v>
      </c>
      <c r="E51913" s="0" t="s">
        <v>140</v>
      </c>
      <c r="F51913" s="0" t="s">
        <v>1691</v>
      </c>
    </row>
    <row r="51915" customFormat="false" ht="12.8" hidden="false" customHeight="false" outlineLevel="0" collapsed="false">
      <c r="A51915" s="0" t="s">
        <v>18108</v>
      </c>
      <c r="B51915" s="0" t="str">
        <f aca="false">HYPERLINK("https://lindat.mff.cuni.cz/services/teitok/pdtc10/index.php?action=vallex&amp;frame=v-w7350f2", "ustupovat (v-w7350f2)")</f>
        <v>ustupovat (v-w7350f2)</v>
      </c>
      <c r="E51915" s="0" t="str">
        <f aca="false">HYPERLINK("https://lindat.mff.cuni.cz/services/SynSemClass40/SynSemClass40.html?veclass=vec00143#vec00143-ces-cm00001", "vec00143")</f>
        <v>vec00143</v>
      </c>
      <c r="F51915" s="0" t="s">
        <v>18095</v>
      </c>
    </row>
    <row r="51916" customFormat="false" ht="12.8" hidden="false" customHeight="false" outlineLevel="0" collapsed="false">
      <c r="B51916" s="0" t="s">
        <v>1</v>
      </c>
      <c r="C51916" s="0" t="s">
        <v>459</v>
      </c>
      <c r="E51916" s="0" t="s">
        <v>11</v>
      </c>
      <c r="F51916" s="0" t="s">
        <v>1486</v>
      </c>
    </row>
    <row r="51917" customFormat="false" ht="12.8" hidden="false" customHeight="false" outlineLevel="0" collapsed="false">
      <c r="B51917" s="0" t="s">
        <v>631</v>
      </c>
      <c r="C51917" s="0" t="s">
        <v>18100</v>
      </c>
      <c r="E51917" s="0" t="s">
        <v>8928</v>
      </c>
      <c r="F51917" s="0" t="s">
        <v>18098</v>
      </c>
    </row>
    <row r="51919" customFormat="false" ht="12.8" hidden="false" customHeight="false" outlineLevel="0" collapsed="false">
      <c r="A51919" s="0" t="s">
        <v>18109</v>
      </c>
      <c r="B51919" s="0" t="str">
        <f aca="false">HYPERLINK("https://lindat.mff.cuni.cz/services/teitok/pdtc10/index.php?action=vallex&amp;frame=v-w7350f4", "ustupovat (v-w7350f4)")</f>
        <v>ustupovat (v-w7350f4)</v>
      </c>
      <c r="E51919" s="0" t="str">
        <f aca="false">HYPERLINK("https://lindat.mff.cuni.cz/services/SynSemClass40/SynSemClass40.html?veclass=vec00143#vec00143-ces-cm00010", "vec00143")</f>
        <v>vec00143</v>
      </c>
      <c r="F51919" s="0" t="s">
        <v>18095</v>
      </c>
    </row>
    <row r="51920" customFormat="false" ht="12.8" hidden="false" customHeight="false" outlineLevel="0" collapsed="false">
      <c r="B51920" s="0" t="s">
        <v>1</v>
      </c>
      <c r="C51920" s="0" t="s">
        <v>459</v>
      </c>
      <c r="E51920" s="0" t="s">
        <v>11</v>
      </c>
      <c r="F51920" s="0" t="s">
        <v>1486</v>
      </c>
    </row>
    <row r="51921" customFormat="false" ht="12.8" hidden="false" customHeight="false" outlineLevel="0" collapsed="false">
      <c r="B51921" s="0" t="s">
        <v>631</v>
      </c>
      <c r="C51921" s="0" t="s">
        <v>18100</v>
      </c>
      <c r="E51921" s="0" t="s">
        <v>8928</v>
      </c>
      <c r="F51921" s="0" t="s">
        <v>18098</v>
      </c>
    </row>
    <row r="51923" customFormat="false" ht="12.8" hidden="false" customHeight="false" outlineLevel="0" collapsed="false">
      <c r="A51923" s="0" t="s">
        <v>18110</v>
      </c>
      <c r="B51923" s="0" t="str">
        <f aca="false">HYPERLINK("https://lindat.mff.cuni.cz/services/teitok/pdtc10/index.php?action=vallex&amp;frame=v-w7350f5", "ustupovat (v-w7350f5)")</f>
        <v>ustupovat (v-w7350f5)</v>
      </c>
      <c r="E51923" s="0" t="str">
        <f aca="false">HYPERLINK("https://lindat.mff.cuni.cz/services/SynSemClass40/SynSemClass40.html?veclass=vec00793#vec00793-ces-cm00015", "vec00793")</f>
        <v>vec00793</v>
      </c>
      <c r="F51923" s="0" t="s">
        <v>8661</v>
      </c>
    </row>
    <row r="51924" customFormat="false" ht="12.8" hidden="false" customHeight="false" outlineLevel="0" collapsed="false">
      <c r="B51924" s="0" t="s">
        <v>1</v>
      </c>
      <c r="C51924" s="0" t="s">
        <v>8662</v>
      </c>
      <c r="E51924" s="0" t="s">
        <v>8663</v>
      </c>
      <c r="F51924" s="0" t="s">
        <v>8664</v>
      </c>
    </row>
    <row r="51926" customFormat="false" ht="12.8" hidden="false" customHeight="false" outlineLevel="0" collapsed="false">
      <c r="A51926" s="0" t="s">
        <v>18111</v>
      </c>
      <c r="B51926" s="0" t="str">
        <f aca="false">HYPERLINK("https://lindat.mff.cuni.cz/services/teitok/pdtc10/index.php?action=vallex&amp;frame=v-whsa_905f1_ZU", "ustálit (v-whsa_905f1_ZU)")</f>
        <v>ustálit (v-whsa_905f1_ZU)</v>
      </c>
      <c r="E51926" s="0" t="str">
        <f aca="false">HYPERLINK("https://lindat.mff.cuni.cz/services/SynSemClass40/SynSemClass40.html?veclass=vec00521#vec00521-ces-cm00002", "vec00521")</f>
        <v>vec00521</v>
      </c>
      <c r="F51926" s="0" t="s">
        <v>8198</v>
      </c>
    </row>
    <row r="51927" customFormat="false" ht="12.8" hidden="false" customHeight="false" outlineLevel="0" collapsed="false">
      <c r="B51927" s="0" t="s">
        <v>1</v>
      </c>
      <c r="C51927" s="0" t="s">
        <v>447</v>
      </c>
      <c r="E51927" s="0" t="s">
        <v>8199</v>
      </c>
      <c r="F51927" s="0" t="s">
        <v>8200</v>
      </c>
    </row>
    <row r="51928" customFormat="false" ht="12.8" hidden="false" customHeight="false" outlineLevel="0" collapsed="false">
      <c r="B51928" s="0" t="s">
        <v>8</v>
      </c>
      <c r="C51928" s="0" t="s">
        <v>4770</v>
      </c>
      <c r="E51928" s="0" t="s">
        <v>142</v>
      </c>
      <c r="F51928" s="0" t="s">
        <v>4771</v>
      </c>
    </row>
    <row r="51930" customFormat="false" ht="12.8" hidden="false" customHeight="false" outlineLevel="0" collapsed="false">
      <c r="A51930" s="0" t="s">
        <v>18111</v>
      </c>
      <c r="B51930" s="0" t="str">
        <f aca="false">HYPERLINK("https://lindat.mff.cuni.cz/services/teitok/pdtc10/index.php?action=vallex&amp;frame=v-whsa_905hsa_906", "ustálit (v-whsa_905hsa_906) - substituted with v-whsa_905f1_ZU")</f>
        <v>ustálit (v-whsa_905hsa_906) - substituted with v-whsa_905f1_ZU</v>
      </c>
    </row>
    <row r="51931" customFormat="false" ht="12.8" hidden="false" customHeight="false" outlineLevel="0" collapsed="false">
      <c r="B51931" s="0" t="s">
        <v>1</v>
      </c>
    </row>
    <row r="51932" customFormat="false" ht="12.8" hidden="false" customHeight="false" outlineLevel="0" collapsed="false">
      <c r="B51932" s="0" t="s">
        <v>8</v>
      </c>
    </row>
    <row r="51934" customFormat="false" ht="12.8" hidden="false" customHeight="false" outlineLevel="0" collapsed="false">
      <c r="A51934" s="0" t="s">
        <v>18112</v>
      </c>
      <c r="B51934" s="0" t="str">
        <f aca="false">HYPERLINK("https://lindat.mff.cuni.cz/services/teitok/pdtc10/index.php?action=vallex&amp;frame=v-w7332f1", "ustálit se (v-w7332f1)")</f>
        <v>ustálit se (v-w7332f1)</v>
      </c>
      <c r="E51934" s="0" t="str">
        <f aca="false">HYPERLINK("https://lindat.mff.cuni.cz/services/SynSemClass40/SynSemClass40.html?veclass=vec00522#vec00522-ces-cm00003", "vec00522")</f>
        <v>vec00522</v>
      </c>
      <c r="F51934" s="0" t="s">
        <v>16479</v>
      </c>
      <c r="H51934" s="0" t="str">
        <f aca="false">HYPERLINK("https://lindat.mff.cuni.cz/services/SynSemClass40/SynSemClass40.html?veclass=vec01232#vec01232-ces-cm00003", "vec01232")</f>
        <v>vec01232</v>
      </c>
      <c r="I51934" s="0" t="s">
        <v>7664</v>
      </c>
    </row>
    <row r="51935" customFormat="false" ht="12.8" hidden="false" customHeight="false" outlineLevel="0" collapsed="false">
      <c r="B51935" s="0" t="s">
        <v>1</v>
      </c>
      <c r="C51935" s="0" t="s">
        <v>16480</v>
      </c>
      <c r="E51935" s="0" t="s">
        <v>8199</v>
      </c>
      <c r="F51935" s="0" t="s">
        <v>16481</v>
      </c>
      <c r="H51935" s="0" t="s">
        <v>1597</v>
      </c>
      <c r="I51935" s="0" t="s">
        <v>7666</v>
      </c>
    </row>
    <row r="51937" customFormat="false" ht="12.8" hidden="false" customHeight="false" outlineLevel="0" collapsed="false">
      <c r="A51937" s="0" t="s">
        <v>18113</v>
      </c>
      <c r="B51937" s="0" t="str">
        <f aca="false">HYPERLINK("https://lindat.mff.cuni.cz/services/teitok/pdtc10/index.php?action=vallex&amp;frame=v-w7337f1", "ustát (v-w7337f1)")</f>
        <v>ustát (v-w7337f1)</v>
      </c>
      <c r="E51937" s="0" t="str">
        <f aca="false">HYPERLINK("https://lindat.mff.cuni.cz/services/SynSemClass40/SynSemClass40.html?veclass=vec00970#vec00970-ces-cm00002", "vec00970")</f>
        <v>vec00970</v>
      </c>
      <c r="F51937" s="0" t="s">
        <v>11407</v>
      </c>
    </row>
    <row r="51938" customFormat="false" ht="12.8" hidden="false" customHeight="false" outlineLevel="0" collapsed="false">
      <c r="B51938" s="0" t="s">
        <v>1</v>
      </c>
      <c r="C51938" s="0" t="s">
        <v>3000</v>
      </c>
      <c r="E51938" s="0" t="s">
        <v>266</v>
      </c>
      <c r="F51938" s="0" t="s">
        <v>11408</v>
      </c>
    </row>
    <row r="51939" customFormat="false" ht="12.8" hidden="false" customHeight="false" outlineLevel="0" collapsed="false">
      <c r="B51939" s="0" t="s">
        <v>8</v>
      </c>
      <c r="C51939" s="0" t="s">
        <v>531</v>
      </c>
      <c r="E51939" s="0" t="s">
        <v>532</v>
      </c>
      <c r="F51939" s="0" t="s">
        <v>11409</v>
      </c>
    </row>
    <row r="51941" customFormat="false" ht="12.8" hidden="false" customHeight="false" outlineLevel="0" collapsed="false">
      <c r="A51941" s="0" t="s">
        <v>18114</v>
      </c>
      <c r="B51941" s="0" t="str">
        <f aca="false">HYPERLINK("https://lindat.mff.cuni.cz/services/teitok/pdtc10/index.php?action=vallex&amp;frame=v-w7338f2", "ustávat (v-w7338f2)")</f>
        <v>ustávat (v-w7338f2)</v>
      </c>
    </row>
    <row r="51942" customFormat="false" ht="12.8" hidden="false" customHeight="false" outlineLevel="0" collapsed="false">
      <c r="B51942" s="0" t="s">
        <v>1</v>
      </c>
    </row>
    <row r="51943" customFormat="false" ht="12.8" hidden="false" customHeight="false" outlineLevel="0" collapsed="false">
      <c r="B51943" s="0" t="s">
        <v>11551</v>
      </c>
    </row>
    <row r="51945" customFormat="false" ht="12.8" hidden="false" customHeight="false" outlineLevel="0" collapsed="false">
      <c r="A51945" s="0" t="s">
        <v>18115</v>
      </c>
      <c r="B51945" s="0" t="str">
        <f aca="false">HYPERLINK("https://lindat.mff.cuni.cz/services/teitok/pdtc10/index.php?action=vallex&amp;frame=v-w7338f1", "ustávat (v-w7338f1)")</f>
        <v>ustávat (v-w7338f1)</v>
      </c>
      <c r="E51945" s="0" t="str">
        <f aca="false">HYPERLINK("https://lindat.mff.cuni.cz/services/SynSemClass40/SynSemClass40.html?veclass=vec00463#vec00463-ces-cm00022", "vec00463")</f>
        <v>vec00463</v>
      </c>
      <c r="F51945" s="0" t="s">
        <v>8671</v>
      </c>
    </row>
    <row r="51946" customFormat="false" ht="12.8" hidden="false" customHeight="false" outlineLevel="0" collapsed="false">
      <c r="B51946" s="0" t="s">
        <v>1</v>
      </c>
      <c r="C51946" s="0" t="s">
        <v>9962</v>
      </c>
      <c r="E51946" s="0" t="s">
        <v>8663</v>
      </c>
      <c r="F51946" s="0" t="s">
        <v>8673</v>
      </c>
    </row>
    <row r="51948" customFormat="false" ht="12.8" hidden="false" customHeight="false" outlineLevel="0" collapsed="false">
      <c r="A51948" s="0" t="s">
        <v>18116</v>
      </c>
      <c r="B51948" s="0" t="str">
        <f aca="false">HYPERLINK("https://lindat.mff.cuni.cz/services/teitok/pdtc10/index.php?action=vallex&amp;frame=v-w7352f2", "usuzovat (v-w7352f2)")</f>
        <v>usuzovat (v-w7352f2)</v>
      </c>
      <c r="E51948" s="0" t="str">
        <f aca="false">HYPERLINK("https://lindat.mff.cuni.cz/services/SynSemClass40/SynSemClass40.html?veclass=vec01361#vec01361-ces-cm00012", "vec01361")</f>
        <v>vec01361</v>
      </c>
      <c r="F51948" s="0" t="s">
        <v>2781</v>
      </c>
    </row>
    <row r="51949" customFormat="false" ht="12.8" hidden="false" customHeight="false" outlineLevel="0" collapsed="false">
      <c r="B51949" s="0" t="s">
        <v>1</v>
      </c>
      <c r="C51949" s="0" t="s">
        <v>18117</v>
      </c>
      <c r="E51949" s="0" t="s">
        <v>621</v>
      </c>
      <c r="F51949" s="0" t="s">
        <v>2783</v>
      </c>
    </row>
    <row r="51950" customFormat="false" ht="12.8" hidden="false" customHeight="false" outlineLevel="0" collapsed="false">
      <c r="B51950" s="0" t="s">
        <v>228</v>
      </c>
      <c r="C51950" s="0" t="s">
        <v>18118</v>
      </c>
      <c r="E51950" s="0" t="s">
        <v>2138</v>
      </c>
      <c r="F51950" s="0" t="s">
        <v>2785</v>
      </c>
    </row>
    <row r="51952" customFormat="false" ht="12.8" hidden="false" customHeight="false" outlineLevel="0" collapsed="false">
      <c r="A51952" s="0" t="s">
        <v>18119</v>
      </c>
      <c r="B51952" s="0" t="str">
        <f aca="false">HYPERLINK("https://lindat.mff.cuni.cz/services/teitok/pdtc10/index.php?action=vallex&amp;frame=v-w7352f1", "usuzovat (v-w7352f1)")</f>
        <v>usuzovat (v-w7352f1)</v>
      </c>
      <c r="E51952" s="0" t="str">
        <f aca="false">HYPERLINK("https://lindat.mff.cuni.cz/services/SynSemClass40/SynSemClass40.html?veclass=vec00032#vec00032-ces-cm00089", "vec00032")</f>
        <v>vec00032</v>
      </c>
      <c r="F51952" s="0" t="s">
        <v>911</v>
      </c>
    </row>
    <row r="51953" customFormat="false" ht="12.8" hidden="false" customHeight="false" outlineLevel="0" collapsed="false">
      <c r="B51953" s="0" t="s">
        <v>1</v>
      </c>
      <c r="C51953" s="0" t="s">
        <v>2485</v>
      </c>
      <c r="E51953" s="0" t="s">
        <v>914</v>
      </c>
      <c r="F51953" s="0" t="s">
        <v>915</v>
      </c>
    </row>
    <row r="51954" customFormat="false" ht="12.8" hidden="false" customHeight="false" outlineLevel="0" collapsed="false">
      <c r="B51954" s="0" t="s">
        <v>9420</v>
      </c>
      <c r="C51954" s="0" t="s">
        <v>2487</v>
      </c>
      <c r="E51954" s="0" t="s">
        <v>626</v>
      </c>
      <c r="F51954" s="0" t="s">
        <v>2488</v>
      </c>
    </row>
    <row r="51955" customFormat="false" ht="12.8" hidden="false" customHeight="false" outlineLevel="0" collapsed="false">
      <c r="B51955" s="0" t="s">
        <v>496</v>
      </c>
      <c r="C51955" s="0" t="s">
        <v>2489</v>
      </c>
      <c r="E51955" s="0" t="s">
        <v>180</v>
      </c>
      <c r="F51955" s="0" t="s">
        <v>2490</v>
      </c>
    </row>
    <row r="51956" customFormat="false" ht="12.8" hidden="false" customHeight="false" outlineLevel="0" collapsed="false">
      <c r="B51956" s="0" t="s">
        <v>36</v>
      </c>
    </row>
    <row r="51958" customFormat="false" ht="12.8" hidden="false" customHeight="false" outlineLevel="0" collapsed="false">
      <c r="A51958" s="0" t="s">
        <v>18120</v>
      </c>
      <c r="B51958" s="0" t="str">
        <f aca="false">HYPERLINK("https://lindat.mff.cuni.cz/services/teitok/pdtc10/index.php?action=vallex&amp;frame=v-whsa_1478hsa_1479", "usušit (v-whsa_1478hsa_1479)")</f>
        <v>usušit (v-whsa_1478hsa_1479)</v>
      </c>
    </row>
    <row r="51959" customFormat="false" ht="12.8" hidden="false" customHeight="false" outlineLevel="0" collapsed="false">
      <c r="B51959" s="0" t="s">
        <v>1</v>
      </c>
    </row>
    <row r="51960" customFormat="false" ht="12.8" hidden="false" customHeight="false" outlineLevel="0" collapsed="false">
      <c r="B51960" s="0" t="s">
        <v>8</v>
      </c>
    </row>
    <row r="51962" customFormat="false" ht="12.8" hidden="false" customHeight="false" outlineLevel="0" collapsed="false">
      <c r="A51962" s="0" t="s">
        <v>18121</v>
      </c>
      <c r="B51962" s="0" t="str">
        <f aca="false">HYPERLINK("https://lindat.mff.cuni.cz/services/teitok/pdtc10/index.php?action=vallex&amp;frame=v-w7354f1", "usvědčit (v-w7354f1)")</f>
        <v>usvědčit (v-w7354f1)</v>
      </c>
      <c r="E51962" s="0" t="str">
        <f aca="false">HYPERLINK("https://lindat.mff.cuni.cz/services/SynSemClass40/SynSemClass40.html?veclass=vec00541#vec00541-ces-cm00001", "vec00541")</f>
        <v>vec00541</v>
      </c>
      <c r="F51962" s="0" t="s">
        <v>9270</v>
      </c>
    </row>
    <row r="51963" customFormat="false" ht="12.8" hidden="false" customHeight="false" outlineLevel="0" collapsed="false">
      <c r="B51963" s="0" t="s">
        <v>1</v>
      </c>
      <c r="C51963" s="0" t="s">
        <v>239</v>
      </c>
      <c r="E51963" s="0" t="s">
        <v>206</v>
      </c>
      <c r="F51963" s="0" t="s">
        <v>9274</v>
      </c>
    </row>
    <row r="51964" customFormat="false" ht="12.8" hidden="false" customHeight="false" outlineLevel="0" collapsed="false">
      <c r="B51964" s="0" t="s">
        <v>298</v>
      </c>
      <c r="C51964" s="0" t="s">
        <v>11150</v>
      </c>
      <c r="E51964" s="0" t="s">
        <v>9115</v>
      </c>
      <c r="F51964" s="0" t="s">
        <v>18122</v>
      </c>
    </row>
    <row r="51965" customFormat="false" ht="12.8" hidden="false" customHeight="false" outlineLevel="0" collapsed="false">
      <c r="B51965" s="0" t="s">
        <v>98</v>
      </c>
      <c r="C51965" s="0" t="s">
        <v>18123</v>
      </c>
      <c r="E51965" s="0" t="s">
        <v>17124</v>
      </c>
      <c r="F51965" s="0" t="s">
        <v>18124</v>
      </c>
    </row>
    <row r="51967" customFormat="false" ht="12.8" hidden="false" customHeight="false" outlineLevel="0" collapsed="false">
      <c r="A51967" s="0" t="s">
        <v>18125</v>
      </c>
      <c r="B51967" s="0" t="str">
        <f aca="false">HYPERLINK("https://lindat.mff.cuni.cz/services/teitok/pdtc10/index.php?action=vallex&amp;frame=v-w7354f2", "usvědčit (v-w7354f2)")</f>
        <v>usvědčit (v-w7354f2)</v>
      </c>
    </row>
    <row r="51968" customFormat="false" ht="12.8" hidden="false" customHeight="false" outlineLevel="0" collapsed="false">
      <c r="B51968" s="0" t="s">
        <v>1</v>
      </c>
    </row>
    <row r="51969" customFormat="false" ht="12.8" hidden="false" customHeight="false" outlineLevel="0" collapsed="false">
      <c r="B51969" s="0" t="s">
        <v>8</v>
      </c>
    </row>
    <row r="51970" customFormat="false" ht="12.8" hidden="false" customHeight="false" outlineLevel="0" collapsed="false">
      <c r="B51970" s="0" t="s">
        <v>18126</v>
      </c>
    </row>
    <row r="51972" customFormat="false" ht="12.8" hidden="false" customHeight="false" outlineLevel="0" collapsed="false">
      <c r="A51972" s="0" t="s">
        <v>18127</v>
      </c>
      <c r="B51972" s="0" t="str">
        <f aca="false">HYPERLINK("https://lindat.mff.cuni.cz/services/teitok/pdtc10/index.php?action=vallex&amp;frame=v-w12378_MMf1_MM", "usvědčovat (v-w12378_MMf1_MM)")</f>
        <v>usvědčovat (v-w12378_MMf1_MM)</v>
      </c>
    </row>
    <row r="51973" customFormat="false" ht="12.8" hidden="false" customHeight="false" outlineLevel="0" collapsed="false">
      <c r="B51973" s="0" t="s">
        <v>1</v>
      </c>
    </row>
    <row r="51974" customFormat="false" ht="12.8" hidden="false" customHeight="false" outlineLevel="0" collapsed="false">
      <c r="B51974" s="0" t="s">
        <v>98</v>
      </c>
    </row>
    <row r="51975" customFormat="false" ht="12.8" hidden="false" customHeight="false" outlineLevel="0" collapsed="false">
      <c r="B51975" s="0" t="s">
        <v>18128</v>
      </c>
    </row>
    <row r="51977" customFormat="false" ht="12.8" hidden="false" customHeight="false" outlineLevel="0" collapsed="false">
      <c r="A51977" s="0" t="s">
        <v>18129</v>
      </c>
      <c r="B51977" s="0" t="str">
        <f aca="false">HYPERLINK("https://lindat.mff.cuni.cz/services/teitok/pdtc10/index.php?action=vallex&amp;frame=v-w11740_ZUf1_ZU", "usíci (v-w11740_ZUf1_ZU)")</f>
        <v>usíci (v-w11740_ZUf1_ZU)</v>
      </c>
    </row>
    <row r="51978" customFormat="false" ht="12.8" hidden="false" customHeight="false" outlineLevel="0" collapsed="false">
      <c r="B51978" s="0" t="s">
        <v>1</v>
      </c>
    </row>
    <row r="51979" customFormat="false" ht="12.8" hidden="false" customHeight="false" outlineLevel="0" collapsed="false">
      <c r="B51979" s="0" t="s">
        <v>8</v>
      </c>
    </row>
    <row r="51981" customFormat="false" ht="12.8" hidden="false" customHeight="false" outlineLevel="0" collapsed="false">
      <c r="A51981" s="0" t="s">
        <v>18130</v>
      </c>
      <c r="B51981" s="0" t="str">
        <f aca="false">HYPERLINK("https://lindat.mff.cuni.cz/services/teitok/pdtc10/index.php?action=vallex&amp;frame=v-w7282f1", "usídlit se (v-w7282f1)")</f>
        <v>usídlit se (v-w7282f1)</v>
      </c>
    </row>
    <row r="51982" customFormat="false" ht="12.8" hidden="false" customHeight="false" outlineLevel="0" collapsed="false">
      <c r="B51982" s="0" t="s">
        <v>1</v>
      </c>
    </row>
    <row r="51983" customFormat="false" ht="12.8" hidden="false" customHeight="false" outlineLevel="0" collapsed="false">
      <c r="B51983" s="0" t="s">
        <v>5</v>
      </c>
    </row>
    <row r="51985" customFormat="false" ht="12.8" hidden="false" customHeight="false" outlineLevel="0" collapsed="false">
      <c r="A51985" s="0" t="s">
        <v>18131</v>
      </c>
      <c r="B51985" s="0" t="str">
        <f aca="false">HYPERLINK("https://lindat.mff.cuni.cz/services/teitok/pdtc10/index.php?action=vallex&amp;frame=v-w7282f2", "usídlit se (v-w7282f2)")</f>
        <v>usídlit se (v-w7282f2)</v>
      </c>
    </row>
    <row r="51986" customFormat="false" ht="12.8" hidden="false" customHeight="false" outlineLevel="0" collapsed="false">
      <c r="B51986" s="0" t="s">
        <v>1</v>
      </c>
    </row>
    <row r="51987" customFormat="false" ht="12.8" hidden="false" customHeight="false" outlineLevel="0" collapsed="false">
      <c r="B51987" s="0" t="s">
        <v>164</v>
      </c>
    </row>
    <row r="51989" customFormat="false" ht="12.8" hidden="false" customHeight="false" outlineLevel="0" collapsed="false">
      <c r="A51989" s="0" t="s">
        <v>18132</v>
      </c>
      <c r="B51989" s="0" t="str">
        <f aca="false">HYPERLINK("https://lindat.mff.cuni.cz/services/teitok/pdtc10/index.php?action=vallex&amp;frame=v-w10593f2", "usínat (v-w10593f2)")</f>
        <v>usínat (v-w10593f2)</v>
      </c>
    </row>
    <row r="51990" customFormat="false" ht="12.8" hidden="false" customHeight="false" outlineLevel="0" collapsed="false">
      <c r="B51990" s="0" t="s">
        <v>1</v>
      </c>
    </row>
    <row r="51992" customFormat="false" ht="12.8" hidden="false" customHeight="false" outlineLevel="0" collapsed="false">
      <c r="A51992" s="0" t="s">
        <v>18133</v>
      </c>
      <c r="B51992" s="0" t="str">
        <f aca="false">HYPERLINK("https://lindat.mff.cuni.cz/services/teitok/pdtc10/index.php?action=vallex&amp;frame=v-w11751_ZUf1_ZU", "utahat (v-w11751_ZUf1_ZU)")</f>
        <v>utahat (v-w11751_ZUf1_ZU)</v>
      </c>
    </row>
    <row r="51993" customFormat="false" ht="12.8" hidden="false" customHeight="false" outlineLevel="0" collapsed="false">
      <c r="B51993" s="0" t="s">
        <v>1</v>
      </c>
    </row>
    <row r="51994" customFormat="false" ht="12.8" hidden="false" customHeight="false" outlineLevel="0" collapsed="false">
      <c r="B51994" s="0" t="s">
        <v>8</v>
      </c>
    </row>
    <row r="51996" customFormat="false" ht="12.8" hidden="false" customHeight="false" outlineLevel="0" collapsed="false">
      <c r="A51996" s="0" t="s">
        <v>18134</v>
      </c>
      <c r="B51996" s="0" t="str">
        <f aca="false">HYPERLINK("https://lindat.mff.cuni.cz/services/teitok/pdtc10/index.php?action=vallex&amp;frame=v-w7365f3_ZU", "utahovat (v-w7365f3_ZU)")</f>
        <v>utahovat (v-w7365f3_ZU)</v>
      </c>
      <c r="E51996" s="0" t="str">
        <f aca="false">HYPERLINK("https://lindat.mff.cuni.cz/services/SynSemClass40/SynSemClass40.html?veclass=vec00943#vec00943-ces-cm00004", "vec00943")</f>
        <v>vec00943</v>
      </c>
      <c r="F51996" s="0" t="s">
        <v>18135</v>
      </c>
      <c r="H51996" s="0" t="str">
        <f aca="false">HYPERLINK("https://lindat.mff.cuni.cz/services/SynSemClass40/SynSemClass40.html?veclass=vec01450#vec01450-ces-cm00004", "vec01450")</f>
        <v>vec01450</v>
      </c>
      <c r="I51996" s="0" t="s">
        <v>14671</v>
      </c>
    </row>
    <row r="51997" customFormat="false" ht="12.8" hidden="false" customHeight="false" outlineLevel="0" collapsed="false">
      <c r="B51997" s="0" t="s">
        <v>1</v>
      </c>
      <c r="C51997" s="0" t="s">
        <v>19</v>
      </c>
      <c r="E51997" s="0" t="s">
        <v>4581</v>
      </c>
      <c r="F51997" s="0" t="s">
        <v>18136</v>
      </c>
      <c r="H51997" s="0" t="s">
        <v>4581</v>
      </c>
      <c r="I51997" s="0" t="s">
        <v>14672</v>
      </c>
    </row>
    <row r="51998" customFormat="false" ht="12.8" hidden="false" customHeight="false" outlineLevel="0" collapsed="false">
      <c r="B51998" s="0" t="s">
        <v>8</v>
      </c>
      <c r="C51998" s="0" t="s">
        <v>4627</v>
      </c>
      <c r="E51998" s="0" t="s">
        <v>514</v>
      </c>
      <c r="F51998" s="0" t="s">
        <v>18137</v>
      </c>
      <c r="H51998" s="0" t="s">
        <v>514</v>
      </c>
      <c r="I51998" s="0" t="s">
        <v>14674</v>
      </c>
    </row>
    <row r="52000" customFormat="false" ht="12.8" hidden="false" customHeight="false" outlineLevel="0" collapsed="false">
      <c r="A52000" s="0" t="s">
        <v>18134</v>
      </c>
      <c r="B52000" s="0" t="str">
        <f aca="false">HYPERLINK("https://lindat.mff.cuni.cz/services/teitok/pdtc10/index.php?action=vallex&amp;frame=v-w7365f1", "utahovat (v-w7365f1) - substituted with v-w7365f3_ZU")</f>
        <v>utahovat (v-w7365f1) - substituted with v-w7365f3_ZU</v>
      </c>
    </row>
    <row r="52001" customFormat="false" ht="12.8" hidden="false" customHeight="false" outlineLevel="0" collapsed="false">
      <c r="B52001" s="0" t="s">
        <v>1</v>
      </c>
    </row>
    <row r="52002" customFormat="false" ht="12.8" hidden="false" customHeight="false" outlineLevel="0" collapsed="false">
      <c r="B52002" s="0" t="s">
        <v>8</v>
      </c>
    </row>
    <row r="52004" customFormat="false" ht="12.8" hidden="false" customHeight="false" outlineLevel="0" collapsed="false">
      <c r="A52004" s="0" t="s">
        <v>18138</v>
      </c>
      <c r="B52004" s="0" t="str">
        <f aca="false">HYPERLINK("https://lindat.mff.cuni.cz/services/teitok/pdtc10/index.php?action=vallex&amp;frame=v-w7365f4_ZU", "utahovat (v-w7365f4_ZU)")</f>
        <v>utahovat (v-w7365f4_ZU)</v>
      </c>
    </row>
    <row r="52005" customFormat="false" ht="12.8" hidden="false" customHeight="false" outlineLevel="0" collapsed="false">
      <c r="B52005" s="0" t="s">
        <v>1</v>
      </c>
    </row>
    <row r="52006" customFormat="false" ht="12.8" hidden="false" customHeight="false" outlineLevel="0" collapsed="false">
      <c r="B52006" s="0" t="s">
        <v>18139</v>
      </c>
    </row>
    <row r="52007" customFormat="false" ht="12.8" hidden="false" customHeight="false" outlineLevel="0" collapsed="false">
      <c r="B52007" s="0" t="s">
        <v>157</v>
      </c>
    </row>
    <row r="52009" customFormat="false" ht="12.8" hidden="false" customHeight="false" outlineLevel="0" collapsed="false">
      <c r="A52009" s="0" t="s">
        <v>18138</v>
      </c>
      <c r="B52009" s="0" t="str">
        <f aca="false">HYPERLINK("https://lindat.mff.cuni.cz/services/teitok/pdtc10/index.php?action=vallex&amp;frame=v-w7365f2_ZU", "utahovat (v-w7365f2_ZU) - substituted with v-w7365f4_ZU")</f>
        <v>utahovat (v-w7365f2_ZU) - substituted with v-w7365f4_ZU</v>
      </c>
    </row>
    <row r="52010" customFormat="false" ht="12.8" hidden="false" customHeight="false" outlineLevel="0" collapsed="false">
      <c r="B52010" s="0" t="s">
        <v>1</v>
      </c>
    </row>
    <row r="52011" customFormat="false" ht="12.8" hidden="false" customHeight="false" outlineLevel="0" collapsed="false">
      <c r="B52011" s="0" t="s">
        <v>18139</v>
      </c>
    </row>
    <row r="52012" customFormat="false" ht="12.8" hidden="false" customHeight="false" outlineLevel="0" collapsed="false">
      <c r="B52012" s="0" t="s">
        <v>157</v>
      </c>
    </row>
    <row r="52014" customFormat="false" ht="12.8" hidden="false" customHeight="false" outlineLevel="0" collapsed="false">
      <c r="A52014" s="0" t="s">
        <v>18140</v>
      </c>
      <c r="B52014" s="0" t="str">
        <f aca="false">HYPERLINK("https://lindat.mff.cuni.cz/services/teitok/pdtc10/index.php?action=vallex&amp;frame=v-w7366f1", "utahovat si (v-w7366f1)")</f>
        <v>utahovat si (v-w7366f1)</v>
      </c>
    </row>
    <row r="52015" customFormat="false" ht="12.8" hidden="false" customHeight="false" outlineLevel="0" collapsed="false">
      <c r="B52015" s="0" t="s">
        <v>1</v>
      </c>
    </row>
    <row r="52016" customFormat="false" ht="12.8" hidden="false" customHeight="false" outlineLevel="0" collapsed="false">
      <c r="B52016" s="0" t="s">
        <v>298</v>
      </c>
    </row>
    <row r="52018" customFormat="false" ht="12.8" hidden="false" customHeight="false" outlineLevel="0" collapsed="false">
      <c r="A52018" s="0" t="s">
        <v>18141</v>
      </c>
      <c r="B52018" s="0" t="str">
        <f aca="false">HYPERLINK("https://lindat.mff.cuni.cz/services/teitok/pdtc10/index.php?action=vallex&amp;frame=v-w7366f2_ZU", "utahovat si (v-w7366f2_ZU)")</f>
        <v>utahovat si (v-w7366f2_ZU)</v>
      </c>
    </row>
    <row r="52019" customFormat="false" ht="12.8" hidden="false" customHeight="false" outlineLevel="0" collapsed="false">
      <c r="B52019" s="0" t="s">
        <v>1</v>
      </c>
    </row>
    <row r="52020" customFormat="false" ht="12.8" hidden="false" customHeight="false" outlineLevel="0" collapsed="false">
      <c r="B52020" s="0" t="s">
        <v>18139</v>
      </c>
    </row>
    <row r="52022" customFormat="false" ht="12.8" hidden="false" customHeight="false" outlineLevel="0" collapsed="false">
      <c r="A52022" s="0" t="s">
        <v>18142</v>
      </c>
      <c r="B52022" s="0" t="str">
        <f aca="false">HYPERLINK("https://lindat.mff.cuni.cz/services/teitok/pdtc10/index.php?action=vallex&amp;frame=v-w7368f1", "utajovat (v-w7368f1)")</f>
        <v>utajovat (v-w7368f1)</v>
      </c>
    </row>
    <row r="52023" customFormat="false" ht="12.8" hidden="false" customHeight="false" outlineLevel="0" collapsed="false">
      <c r="B52023" s="0" t="s">
        <v>1</v>
      </c>
    </row>
    <row r="52024" customFormat="false" ht="12.8" hidden="false" customHeight="false" outlineLevel="0" collapsed="false">
      <c r="B52024" s="0" t="s">
        <v>4245</v>
      </c>
    </row>
    <row r="52025" customFormat="false" ht="12.8" hidden="false" customHeight="false" outlineLevel="0" collapsed="false">
      <c r="B52025" s="0" t="s">
        <v>4248</v>
      </c>
    </row>
    <row r="52027" customFormat="false" ht="12.8" hidden="false" customHeight="false" outlineLevel="0" collapsed="false">
      <c r="A52027" s="0" t="s">
        <v>18143</v>
      </c>
      <c r="B52027" s="0" t="str">
        <f aca="false">HYPERLINK("https://lindat.mff.cuni.cz/services/teitok/pdtc10/index.php?action=vallex&amp;frame=v-w10724f2", "utichat (v-w10724f2)")</f>
        <v>utichat (v-w10724f2)</v>
      </c>
    </row>
    <row r="52028" customFormat="false" ht="12.8" hidden="false" customHeight="false" outlineLevel="0" collapsed="false">
      <c r="B52028" s="0" t="s">
        <v>1</v>
      </c>
    </row>
    <row r="52030" customFormat="false" ht="12.8" hidden="false" customHeight="false" outlineLevel="0" collapsed="false">
      <c r="A52030" s="0" t="s">
        <v>18144</v>
      </c>
      <c r="B52030" s="0" t="str">
        <f aca="false">HYPERLINK("https://lindat.mff.cuni.cz/services/teitok/pdtc10/index.php?action=vallex&amp;frame=v-w7375f1", "utichnout (v-w7375f1)")</f>
        <v>utichnout (v-w7375f1)</v>
      </c>
    </row>
    <row r="52031" customFormat="false" ht="12.8" hidden="false" customHeight="false" outlineLevel="0" collapsed="false">
      <c r="B52031" s="0" t="s">
        <v>1</v>
      </c>
    </row>
    <row r="52033" customFormat="false" ht="12.8" hidden="false" customHeight="false" outlineLevel="0" collapsed="false">
      <c r="A52033" s="0" t="s">
        <v>18145</v>
      </c>
      <c r="B52033" s="0" t="str">
        <f aca="false">HYPERLINK("https://lindat.mff.cuni.cz/services/teitok/pdtc10/index.php?action=vallex&amp;frame=v-w10496f2", "utišit (v-w10496f2)")</f>
        <v>utišit (v-w10496f2)</v>
      </c>
      <c r="E52033" s="0" t="str">
        <f aca="false">HYPERLINK("https://lindat.mff.cuni.cz/services/SynSemClass40/SynSemClass40.html?veclass=vec00536#vec00536-ces-cm00006", "vec00536")</f>
        <v>vec00536</v>
      </c>
      <c r="F52033" s="0" t="s">
        <v>1395</v>
      </c>
    </row>
    <row r="52034" customFormat="false" ht="12.8" hidden="false" customHeight="false" outlineLevel="0" collapsed="false">
      <c r="B52034" s="0" t="s">
        <v>1</v>
      </c>
      <c r="C52034" s="0" t="s">
        <v>1396</v>
      </c>
      <c r="E52034" s="0" t="s">
        <v>1103</v>
      </c>
      <c r="F52034" s="0" t="s">
        <v>1397</v>
      </c>
    </row>
    <row r="52035" customFormat="false" ht="12.8" hidden="false" customHeight="false" outlineLevel="0" collapsed="false">
      <c r="B52035" s="0" t="s">
        <v>8</v>
      </c>
      <c r="C52035" s="0" t="s">
        <v>1398</v>
      </c>
      <c r="E52035" s="0" t="s">
        <v>1399</v>
      </c>
      <c r="F52035" s="0" t="s">
        <v>1400</v>
      </c>
    </row>
    <row r="52037" customFormat="false" ht="12.8" hidden="false" customHeight="false" outlineLevel="0" collapsed="false">
      <c r="A52037" s="0" t="s">
        <v>18146</v>
      </c>
      <c r="B52037" s="0" t="str">
        <f aca="false">HYPERLINK("https://lindat.mff.cuni.cz/services/teitok/pdtc10/index.php?action=vallex&amp;frame=v-w10496hsa_217", "utišit (v-w10496hsa_217)")</f>
        <v>utišit (v-w10496hsa_217)</v>
      </c>
      <c r="E52037" s="0" t="str">
        <f aca="false">HYPERLINK("https://lindat.mff.cuni.cz/services/SynSemClass40/SynSemClass40.html?veclass=vec00536#vec00536-ces-cm00011", "vec00536")</f>
        <v>vec00536</v>
      </c>
      <c r="F52037" s="0" t="s">
        <v>1395</v>
      </c>
    </row>
    <row r="52038" customFormat="false" ht="12.8" hidden="false" customHeight="false" outlineLevel="0" collapsed="false">
      <c r="B52038" s="0" t="s">
        <v>1</v>
      </c>
      <c r="C52038" s="0" t="s">
        <v>1396</v>
      </c>
      <c r="E52038" s="0" t="s">
        <v>1103</v>
      </c>
      <c r="F52038" s="0" t="s">
        <v>1397</v>
      </c>
    </row>
    <row r="52039" customFormat="false" ht="12.8" hidden="false" customHeight="false" outlineLevel="0" collapsed="false">
      <c r="B52039" s="0" t="s">
        <v>8</v>
      </c>
      <c r="C52039" s="0" t="s">
        <v>1398</v>
      </c>
      <c r="E52039" s="0" t="s">
        <v>1399</v>
      </c>
      <c r="F52039" s="0" t="s">
        <v>1400</v>
      </c>
    </row>
    <row r="52041" customFormat="false" ht="12.8" hidden="false" customHeight="false" outlineLevel="0" collapsed="false">
      <c r="A52041" s="0" t="s">
        <v>18147</v>
      </c>
      <c r="B52041" s="0" t="str">
        <f aca="false">HYPERLINK("https://lindat.mff.cuni.cz/services/teitok/pdtc10/index.php?action=vallex&amp;frame=v-whsa_210hsa_211", "utišit se (v-whsa_210hsa_211)")</f>
        <v>utišit se (v-whsa_210hsa_211)</v>
      </c>
    </row>
    <row r="52042" customFormat="false" ht="12.8" hidden="false" customHeight="false" outlineLevel="0" collapsed="false">
      <c r="B52042" s="0" t="s">
        <v>1</v>
      </c>
    </row>
    <row r="52044" customFormat="false" ht="12.8" hidden="false" customHeight="false" outlineLevel="0" collapsed="false">
      <c r="A52044" s="0" t="s">
        <v>18148</v>
      </c>
      <c r="B52044" s="0" t="str">
        <f aca="false">HYPERLINK("https://lindat.mff.cuni.cz/services/teitok/pdtc10/index.php?action=vallex&amp;frame=v-w7378f1", "utišovat (v-w7378f1)")</f>
        <v>utišovat (v-w7378f1)</v>
      </c>
      <c r="E52044" s="0" t="str">
        <f aca="false">HYPERLINK("https://lindat.mff.cuni.cz/services/SynSemClass40/SynSemClass40.html?veclass=vec00536#vec00536-ces-cm00013", "vec00536")</f>
        <v>vec00536</v>
      </c>
      <c r="F52044" s="0" t="s">
        <v>1395</v>
      </c>
    </row>
    <row r="52045" customFormat="false" ht="12.8" hidden="false" customHeight="false" outlineLevel="0" collapsed="false">
      <c r="B52045" s="0" t="s">
        <v>1</v>
      </c>
      <c r="C52045" s="0" t="s">
        <v>1396</v>
      </c>
      <c r="E52045" s="0" t="s">
        <v>1103</v>
      </c>
      <c r="F52045" s="0" t="s">
        <v>1397</v>
      </c>
    </row>
    <row r="52046" customFormat="false" ht="12.8" hidden="false" customHeight="false" outlineLevel="0" collapsed="false">
      <c r="B52046" s="0" t="s">
        <v>8</v>
      </c>
      <c r="C52046" s="0" t="s">
        <v>1398</v>
      </c>
      <c r="E52046" s="0" t="s">
        <v>1399</v>
      </c>
      <c r="F52046" s="0" t="s">
        <v>1400</v>
      </c>
    </row>
    <row r="52048" customFormat="false" ht="12.8" hidden="false" customHeight="false" outlineLevel="0" collapsed="false">
      <c r="A52048" s="0" t="s">
        <v>18149</v>
      </c>
      <c r="B52048" s="0" t="str">
        <f aca="false">HYPERLINK("https://lindat.mff.cuni.cz/services/teitok/pdtc10/index.php?action=vallex&amp;frame=v-w7380f2", "utkat se (v-w7380f2)")</f>
        <v>utkat se (v-w7380f2)</v>
      </c>
    </row>
    <row r="52049" customFormat="false" ht="12.8" hidden="false" customHeight="false" outlineLevel="0" collapsed="false">
      <c r="B52049" s="0" t="s">
        <v>1</v>
      </c>
    </row>
    <row r="52050" customFormat="false" ht="12.8" hidden="false" customHeight="false" outlineLevel="0" collapsed="false">
      <c r="B52050" s="0" t="s">
        <v>721</v>
      </c>
    </row>
    <row r="52052" customFormat="false" ht="12.8" hidden="false" customHeight="false" outlineLevel="0" collapsed="false">
      <c r="A52052" s="0" t="s">
        <v>18150</v>
      </c>
      <c r="B52052" s="0" t="str">
        <f aca="false">HYPERLINK("https://lindat.mff.cuni.cz/services/teitok/pdtc10/index.php?action=vallex&amp;frame=v-w7380f1", "utkat se (v-w7380f1)")</f>
        <v>utkat se (v-w7380f1)</v>
      </c>
    </row>
    <row r="52053" customFormat="false" ht="12.8" hidden="false" customHeight="false" outlineLevel="0" collapsed="false">
      <c r="B52053" s="0" t="s">
        <v>1</v>
      </c>
    </row>
    <row r="52054" customFormat="false" ht="12.8" hidden="false" customHeight="false" outlineLevel="0" collapsed="false">
      <c r="B52054" s="0" t="s">
        <v>276</v>
      </c>
    </row>
    <row r="52055" customFormat="false" ht="12.8" hidden="false" customHeight="false" outlineLevel="0" collapsed="false">
      <c r="B52055" s="0" t="s">
        <v>3152</v>
      </c>
    </row>
    <row r="52057" customFormat="false" ht="12.8" hidden="false" customHeight="false" outlineLevel="0" collapsed="false">
      <c r="A52057" s="0" t="s">
        <v>18151</v>
      </c>
      <c r="B52057" s="0" t="str">
        <f aca="false">HYPERLINK("https://lindat.mff.cuni.cz/services/teitok/pdtc10/index.php?action=vallex&amp;frame=v-w7383f1", "utkvít (v-w7383f1)")</f>
        <v>utkvít (v-w7383f1)</v>
      </c>
    </row>
    <row r="52058" customFormat="false" ht="12.8" hidden="false" customHeight="false" outlineLevel="0" collapsed="false">
      <c r="B52058" s="0" t="s">
        <v>944</v>
      </c>
    </row>
    <row r="52059" customFormat="false" ht="12.8" hidden="false" customHeight="false" outlineLevel="0" collapsed="false">
      <c r="B52059" s="0" t="s">
        <v>5</v>
      </c>
    </row>
    <row r="52061" customFormat="false" ht="12.8" hidden="false" customHeight="false" outlineLevel="0" collapsed="false">
      <c r="A52061" s="0" t="s">
        <v>18152</v>
      </c>
      <c r="B52061" s="0" t="str">
        <f aca="false">HYPERLINK("https://lindat.mff.cuni.cz/services/teitok/pdtc10/index.php?action=vallex&amp;frame=v-w7383f2", "utkvít (v-w7383f2)")</f>
        <v>utkvít (v-w7383f2)</v>
      </c>
      <c r="E52061" s="0" t="str">
        <f aca="false">HYPERLINK("https://lindat.mff.cuni.cz/services/SynSemClass40/SynSemClass40.html?veclass=vec00394#vec00394-ces-cm00067", "vec00394")</f>
        <v>vec00394</v>
      </c>
      <c r="F52061" s="0" t="s">
        <v>3338</v>
      </c>
    </row>
    <row r="52062" customFormat="false" ht="12.8" hidden="false" customHeight="false" outlineLevel="0" collapsed="false">
      <c r="B52062" s="0" t="s">
        <v>1</v>
      </c>
      <c r="C52062" s="0" t="s">
        <v>3345</v>
      </c>
      <c r="E52062" s="0" t="s">
        <v>11</v>
      </c>
      <c r="F52062" s="0" t="s">
        <v>3340</v>
      </c>
    </row>
    <row r="52063" customFormat="false" ht="12.8" hidden="false" customHeight="false" outlineLevel="0" collapsed="false">
      <c r="B52063" s="0" t="s">
        <v>5</v>
      </c>
      <c r="C52063" s="0" t="s">
        <v>3346</v>
      </c>
      <c r="E52063" s="0" t="s">
        <v>3254</v>
      </c>
      <c r="F52063" s="0" t="s">
        <v>3343</v>
      </c>
    </row>
    <row r="52065" customFormat="false" ht="12.8" hidden="false" customHeight="false" outlineLevel="0" collapsed="false">
      <c r="A52065" s="0" t="s">
        <v>18153</v>
      </c>
      <c r="B52065" s="0" t="str">
        <f aca="false">HYPERLINK("https://lindat.mff.cuni.cz/services/teitok/pdtc10/index.php?action=vallex&amp;frame=v-w7382f1", "utkvět (v-w7382f1)")</f>
        <v>utkvět (v-w7382f1)</v>
      </c>
      <c r="E52065" s="0" t="str">
        <f aca="false">HYPERLINK("https://lindat.mff.cuni.cz/services/SynSemClass40/SynSemClass40.html?veclass=vec00394#vec00394-ces-cm00070", "vec00394")</f>
        <v>vec00394</v>
      </c>
      <c r="F52065" s="0" t="s">
        <v>3338</v>
      </c>
    </row>
    <row r="52066" customFormat="false" ht="12.8" hidden="false" customHeight="false" outlineLevel="0" collapsed="false">
      <c r="B52066" s="0" t="s">
        <v>18154</v>
      </c>
      <c r="C52066" s="0" t="s">
        <v>3345</v>
      </c>
      <c r="E52066" s="0" t="s">
        <v>11</v>
      </c>
      <c r="F52066" s="0" t="s">
        <v>3340</v>
      </c>
    </row>
    <row r="52067" customFormat="false" ht="12.8" hidden="false" customHeight="false" outlineLevel="0" collapsed="false">
      <c r="B52067" s="0" t="s">
        <v>5</v>
      </c>
      <c r="C52067" s="0" t="s">
        <v>3346</v>
      </c>
      <c r="E52067" s="0" t="s">
        <v>3254</v>
      </c>
      <c r="F52067" s="0" t="s">
        <v>3343</v>
      </c>
    </row>
    <row r="52069" customFormat="false" ht="12.8" hidden="false" customHeight="false" outlineLevel="0" collapsed="false">
      <c r="A52069" s="0" t="s">
        <v>18155</v>
      </c>
      <c r="B52069" s="0" t="str">
        <f aca="false">HYPERLINK("https://lindat.mff.cuni.cz/services/teitok/pdtc10/index.php?action=vallex&amp;frame=v-w7382f2", "utkvět (v-w7382f2)")</f>
        <v>utkvět (v-w7382f2)</v>
      </c>
    </row>
    <row r="52070" customFormat="false" ht="12.8" hidden="false" customHeight="false" outlineLevel="0" collapsed="false">
      <c r="B52070" s="0" t="s">
        <v>1</v>
      </c>
    </row>
    <row r="52071" customFormat="false" ht="12.8" hidden="false" customHeight="false" outlineLevel="0" collapsed="false">
      <c r="B52071" s="0" t="s">
        <v>5</v>
      </c>
    </row>
    <row r="52073" customFormat="false" ht="12.8" hidden="false" customHeight="false" outlineLevel="0" collapsed="false">
      <c r="A52073" s="0" t="s">
        <v>18156</v>
      </c>
      <c r="B52073" s="0" t="str">
        <f aca="false">HYPERLINK("https://lindat.mff.cuni.cz/services/teitok/pdtc10/index.php?action=vallex&amp;frame=v-w7381f2", "utkávat se (v-w7381f2)")</f>
        <v>utkávat se (v-w7381f2)</v>
      </c>
      <c r="E52073" s="0" t="str">
        <f aca="false">HYPERLINK("https://lindat.mff.cuni.cz/services/SynSemClass40/SynSemClass40.html?veclass=vec00205#vec00205-ces-cm00062", "vec00205")</f>
        <v>vec00205</v>
      </c>
      <c r="F52073" s="0" t="s">
        <v>406</v>
      </c>
    </row>
    <row r="52074" customFormat="false" ht="12.8" hidden="false" customHeight="false" outlineLevel="0" collapsed="false">
      <c r="B52074" s="0" t="s">
        <v>1</v>
      </c>
      <c r="C52074" s="0" t="s">
        <v>407</v>
      </c>
      <c r="E52074" s="0" t="s">
        <v>11</v>
      </c>
      <c r="F52074" s="0" t="s">
        <v>408</v>
      </c>
    </row>
    <row r="52075" customFormat="false" ht="12.8" hidden="false" customHeight="false" outlineLevel="0" collapsed="false">
      <c r="B52075" s="0" t="s">
        <v>721</v>
      </c>
      <c r="C52075" s="0" t="s">
        <v>410</v>
      </c>
      <c r="E52075" s="0" t="s">
        <v>411</v>
      </c>
      <c r="F52075" s="0" t="s">
        <v>412</v>
      </c>
    </row>
    <row r="52077" customFormat="false" ht="12.8" hidden="false" customHeight="false" outlineLevel="0" collapsed="false">
      <c r="A52077" s="0" t="s">
        <v>18157</v>
      </c>
      <c r="B52077" s="0" t="str">
        <f aca="false">HYPERLINK("https://lindat.mff.cuni.cz/services/teitok/pdtc10/index.php?action=vallex&amp;frame=v-w7381f1", "utkávat se (v-w7381f1)")</f>
        <v>utkávat se (v-w7381f1)</v>
      </c>
      <c r="E52077" s="0" t="str">
        <f aca="false">HYPERLINK("https://lindat.mff.cuni.cz/services/SynSemClass40/SynSemClass40.html?veclass=vec00121#vec00121-ces-cm00027", "vec00121")</f>
        <v>vec00121</v>
      </c>
      <c r="F52077" s="0" t="s">
        <v>414</v>
      </c>
    </row>
    <row r="52078" customFormat="false" ht="12.8" hidden="false" customHeight="false" outlineLevel="0" collapsed="false">
      <c r="B52078" s="0" t="s">
        <v>1</v>
      </c>
      <c r="C52078" s="0" t="s">
        <v>415</v>
      </c>
      <c r="E52078" s="0" t="s">
        <v>416</v>
      </c>
      <c r="F52078" s="0" t="s">
        <v>417</v>
      </c>
    </row>
    <row r="52079" customFormat="false" ht="12.8" hidden="false" customHeight="false" outlineLevel="0" collapsed="false">
      <c r="B52079" s="0" t="s">
        <v>276</v>
      </c>
      <c r="C52079" s="0" t="s">
        <v>419</v>
      </c>
      <c r="E52079" s="0" t="s">
        <v>420</v>
      </c>
      <c r="F52079" s="0" t="s">
        <v>421</v>
      </c>
    </row>
    <row r="52080" customFormat="false" ht="12.8" hidden="false" customHeight="false" outlineLevel="0" collapsed="false">
      <c r="B52080" s="0" t="s">
        <v>3152</v>
      </c>
      <c r="C52080" s="0" t="s">
        <v>423</v>
      </c>
      <c r="E52080" s="0" t="s">
        <v>424</v>
      </c>
      <c r="F52080" s="0" t="s">
        <v>425</v>
      </c>
    </row>
    <row r="52082" customFormat="false" ht="12.8" hidden="false" customHeight="false" outlineLevel="0" collapsed="false">
      <c r="A52082" s="0" t="s">
        <v>18158</v>
      </c>
      <c r="B52082" s="0" t="str">
        <f aca="false">HYPERLINK("https://lindat.mff.cuni.cz/services/teitok/pdtc10/index.php?action=vallex&amp;frame=v-w10823f2", "utlačovat (v-w10823f2)")</f>
        <v>utlačovat (v-w10823f2)</v>
      </c>
    </row>
    <row r="52083" customFormat="false" ht="12.8" hidden="false" customHeight="false" outlineLevel="0" collapsed="false">
      <c r="B52083" s="0" t="s">
        <v>1</v>
      </c>
    </row>
    <row r="52084" customFormat="false" ht="12.8" hidden="false" customHeight="false" outlineLevel="0" collapsed="false">
      <c r="B52084" s="0" t="s">
        <v>8</v>
      </c>
    </row>
    <row r="52086" customFormat="false" ht="12.8" hidden="false" customHeight="false" outlineLevel="0" collapsed="false">
      <c r="A52086" s="0" t="s">
        <v>18159</v>
      </c>
      <c r="B52086" s="0" t="str">
        <f aca="false">HYPERLINK("https://lindat.mff.cuni.cz/services/teitok/pdtc10/index.php?action=vallex&amp;frame=v-w7385f1", "utlouci (v-w7385f1)")</f>
        <v>utlouci (v-w7385f1)</v>
      </c>
    </row>
    <row r="52087" customFormat="false" ht="12.8" hidden="false" customHeight="false" outlineLevel="0" collapsed="false">
      <c r="B52087" s="0" t="s">
        <v>1</v>
      </c>
    </row>
    <row r="52088" customFormat="false" ht="12.8" hidden="false" customHeight="false" outlineLevel="0" collapsed="false">
      <c r="B52088" s="0" t="s">
        <v>8</v>
      </c>
    </row>
    <row r="52090" customFormat="false" ht="12.8" hidden="false" customHeight="false" outlineLevel="0" collapsed="false">
      <c r="A52090" s="0" t="s">
        <v>18160</v>
      </c>
      <c r="B52090" s="0" t="str">
        <f aca="false">HYPERLINK("https://lindat.mff.cuni.cz/services/teitok/pdtc10/index.php?action=vallex&amp;frame=v-w7386f1", "utloukat (v-w7386f1)")</f>
        <v>utloukat (v-w7386f1)</v>
      </c>
    </row>
    <row r="52091" customFormat="false" ht="12.8" hidden="false" customHeight="false" outlineLevel="0" collapsed="false">
      <c r="B52091" s="0" t="s">
        <v>1</v>
      </c>
    </row>
    <row r="52092" customFormat="false" ht="12.8" hidden="false" customHeight="false" outlineLevel="0" collapsed="false">
      <c r="B52092" s="0" t="s">
        <v>8</v>
      </c>
    </row>
    <row r="52094" customFormat="false" ht="12.8" hidden="false" customHeight="false" outlineLevel="0" collapsed="false">
      <c r="A52094" s="0" t="s">
        <v>18161</v>
      </c>
      <c r="B52094" s="0" t="str">
        <f aca="false">HYPERLINK("https://lindat.mff.cuni.cz/services/teitok/pdtc10/index.php?action=vallex&amp;frame=v-w7389f1", "utlumit (v-w7389f1)")</f>
        <v>utlumit (v-w7389f1)</v>
      </c>
      <c r="E52094" s="0" t="str">
        <f aca="false">HYPERLINK("https://lindat.mff.cuni.cz/services/SynSemClass40/SynSemClass40.html?veclass=vec00055#vec00055-ces-cm00011", "vec00055")</f>
        <v>vec00055</v>
      </c>
      <c r="F52094" s="0" t="s">
        <v>9956</v>
      </c>
    </row>
    <row r="52095" customFormat="false" ht="12.8" hidden="false" customHeight="false" outlineLevel="0" collapsed="false">
      <c r="B52095" s="0" t="s">
        <v>1</v>
      </c>
      <c r="C52095" s="0" t="s">
        <v>7911</v>
      </c>
      <c r="E52095" s="0" t="s">
        <v>76</v>
      </c>
      <c r="F52095" s="0" t="s">
        <v>9958</v>
      </c>
    </row>
    <row r="52096" customFormat="false" ht="12.8" hidden="false" customHeight="false" outlineLevel="0" collapsed="false">
      <c r="B52096" s="0" t="s">
        <v>8</v>
      </c>
      <c r="C52096" s="0" t="s">
        <v>10149</v>
      </c>
      <c r="E52096" s="0" t="s">
        <v>706</v>
      </c>
      <c r="F52096" s="0" t="s">
        <v>9960</v>
      </c>
    </row>
    <row r="52097" customFormat="false" ht="12.8" hidden="false" customHeight="false" outlineLevel="0" collapsed="false">
      <c r="B52097" s="0" t="s">
        <v>36</v>
      </c>
    </row>
    <row r="52098" customFormat="false" ht="12.8" hidden="false" customHeight="false" outlineLevel="0" collapsed="false">
      <c r="B52098" s="0" t="s">
        <v>101</v>
      </c>
    </row>
    <row r="52100" customFormat="false" ht="12.8" hidden="false" customHeight="false" outlineLevel="0" collapsed="false">
      <c r="A52100" s="0" t="s">
        <v>18162</v>
      </c>
      <c r="B52100" s="0" t="str">
        <f aca="false">HYPERLINK("https://lindat.mff.cuni.cz/services/teitok/pdtc10/index.php?action=vallex&amp;frame=v-w7389f2", "utlumit (v-w7389f2)")</f>
        <v>utlumit (v-w7389f2)</v>
      </c>
    </row>
    <row r="52101" customFormat="false" ht="12.8" hidden="false" customHeight="false" outlineLevel="0" collapsed="false">
      <c r="B52101" s="0" t="s">
        <v>1</v>
      </c>
    </row>
    <row r="52102" customFormat="false" ht="12.8" hidden="false" customHeight="false" outlineLevel="0" collapsed="false">
      <c r="B52102" s="0" t="s">
        <v>8</v>
      </c>
    </row>
    <row r="52103" customFormat="false" ht="12.8" hidden="false" customHeight="false" outlineLevel="0" collapsed="false">
      <c r="B52103" s="0" t="s">
        <v>36</v>
      </c>
    </row>
    <row r="52104" customFormat="false" ht="12.8" hidden="false" customHeight="false" outlineLevel="0" collapsed="false">
      <c r="B52104" s="0" t="s">
        <v>101</v>
      </c>
    </row>
    <row r="52106" customFormat="false" ht="12.8" hidden="false" customHeight="false" outlineLevel="0" collapsed="false">
      <c r="A52106" s="0" t="s">
        <v>18163</v>
      </c>
      <c r="B52106" s="0" t="str">
        <f aca="false">HYPERLINK("https://lindat.mff.cuni.cz/services/teitok/pdtc10/index.php?action=vallex&amp;frame=v-whsa_736hsa_737", "utlumit se (v-whsa_736hsa_737)")</f>
        <v>utlumit se (v-whsa_736hsa_737)</v>
      </c>
    </row>
    <row r="52107" customFormat="false" ht="12.8" hidden="false" customHeight="false" outlineLevel="0" collapsed="false">
      <c r="B52107" s="0" t="s">
        <v>1</v>
      </c>
    </row>
    <row r="52109" customFormat="false" ht="12.8" hidden="false" customHeight="false" outlineLevel="0" collapsed="false">
      <c r="A52109" s="0" t="s">
        <v>18164</v>
      </c>
      <c r="B52109" s="0" t="str">
        <f aca="false">HYPERLINK("https://lindat.mff.cuni.cz/services/teitok/pdtc10/index.php?action=vallex&amp;frame=v-w11249f1", "utnout (v-w11249f1)")</f>
        <v>utnout (v-w11249f1)</v>
      </c>
      <c r="E52109" s="0" t="str">
        <f aca="false">HYPERLINK("https://lindat.mff.cuni.cz/services/SynSemClass40/SynSemClass40.html?veclass=vec00198#vec00198-ces-cm00228", "vec00198")</f>
        <v>vec00198</v>
      </c>
      <c r="F52109" s="0" t="s">
        <v>134</v>
      </c>
      <c r="H52109" s="0" t="str">
        <f aca="false">HYPERLINK("https://lindat.mff.cuni.cz/services/SynSemClass40/SynSemClass40.html?veclass=vec00380#vec00380-ces-cm00092", "vec00380")</f>
        <v>vec00380</v>
      </c>
      <c r="I52109" s="0" t="s">
        <v>4414</v>
      </c>
    </row>
    <row r="52110" customFormat="false" ht="12.8" hidden="false" customHeight="false" outlineLevel="0" collapsed="false">
      <c r="B52110" s="0" t="s">
        <v>1</v>
      </c>
      <c r="C52110" s="0" t="s">
        <v>18165</v>
      </c>
      <c r="E52110" s="0" t="s">
        <v>31</v>
      </c>
      <c r="F52110" s="0" t="s">
        <v>137</v>
      </c>
      <c r="H52110" s="0" t="s">
        <v>4416</v>
      </c>
      <c r="I52110" s="0" t="s">
        <v>4417</v>
      </c>
    </row>
    <row r="52111" customFormat="false" ht="12.8" hidden="false" customHeight="false" outlineLevel="0" collapsed="false">
      <c r="B52111" s="0" t="s">
        <v>8</v>
      </c>
      <c r="C52111" s="0" t="s">
        <v>18166</v>
      </c>
      <c r="E52111" s="0" t="s">
        <v>140</v>
      </c>
      <c r="F52111" s="0" t="s">
        <v>141</v>
      </c>
      <c r="H52111" s="0" t="s">
        <v>532</v>
      </c>
      <c r="I52111" s="0" t="s">
        <v>4419</v>
      </c>
    </row>
    <row r="52113" customFormat="false" ht="12.8" hidden="false" customHeight="false" outlineLevel="0" collapsed="false">
      <c r="A52113" s="0" t="s">
        <v>18167</v>
      </c>
      <c r="B52113" s="0" t="str">
        <f aca="false">HYPERLINK("https://lindat.mff.cuni.cz/services/teitok/pdtc10/index.php?action=vallex&amp;frame=v-w7391f1", "utnout se (v-w7391f1)")</f>
        <v>utnout se (v-w7391f1)</v>
      </c>
    </row>
    <row r="52114" customFormat="false" ht="12.8" hidden="false" customHeight="false" outlineLevel="0" collapsed="false">
      <c r="B52114" s="0" t="s">
        <v>18168</v>
      </c>
    </row>
    <row r="52116" customFormat="false" ht="12.8" hidden="false" customHeight="false" outlineLevel="0" collapsed="false">
      <c r="A52116" s="0" t="s">
        <v>18169</v>
      </c>
      <c r="B52116" s="0" t="str">
        <f aca="false">HYPERLINK("https://lindat.mff.cuni.cz/services/teitok/pdtc10/index.php?action=vallex&amp;frame=v-w7395f1", "utonout (v-w7395f1)")</f>
        <v>utonout (v-w7395f1)</v>
      </c>
    </row>
    <row r="52117" customFormat="false" ht="12.8" hidden="false" customHeight="false" outlineLevel="0" collapsed="false">
      <c r="B52117" s="0" t="s">
        <v>1</v>
      </c>
    </row>
    <row r="52119" customFormat="false" ht="12.8" hidden="false" customHeight="false" outlineLevel="0" collapsed="false">
      <c r="A52119" s="0" t="s">
        <v>18170</v>
      </c>
      <c r="B52119" s="0" t="str">
        <f aca="false">HYPERLINK("https://lindat.mff.cuni.cz/services/teitok/pdtc10/index.php?action=vallex&amp;frame=v-w7398f1", "utopit (v-w7398f1)")</f>
        <v>utopit (v-w7398f1)</v>
      </c>
    </row>
    <row r="52120" customFormat="false" ht="12.8" hidden="false" customHeight="false" outlineLevel="0" collapsed="false">
      <c r="B52120" s="0" t="s">
        <v>1</v>
      </c>
    </row>
    <row r="52121" customFormat="false" ht="12.8" hidden="false" customHeight="false" outlineLevel="0" collapsed="false">
      <c r="B52121" s="0" t="s">
        <v>8</v>
      </c>
    </row>
    <row r="52123" customFormat="false" ht="12.8" hidden="false" customHeight="false" outlineLevel="0" collapsed="false">
      <c r="A52123" s="0" t="s">
        <v>18171</v>
      </c>
      <c r="B52123" s="0" t="str">
        <f aca="false">HYPERLINK("https://lindat.mff.cuni.cz/services/teitok/pdtc10/index.php?action=vallex&amp;frame=v-w7398f2_ZU", "utopit (v-w7398f2_ZU)")</f>
        <v>utopit (v-w7398f2_ZU)</v>
      </c>
      <c r="E52123" s="0" t="str">
        <f aca="false">HYPERLINK("https://lindat.mff.cuni.cz/services/SynSemClass40/SynSemClass40.html?veclass=vec00389#vec00389-ces-cm00061", "vec00389")</f>
        <v>vec00389</v>
      </c>
      <c r="F52123" s="0" t="s">
        <v>1888</v>
      </c>
    </row>
    <row r="52124" customFormat="false" ht="12.8" hidden="false" customHeight="false" outlineLevel="0" collapsed="false">
      <c r="B52124" s="0" t="s">
        <v>1</v>
      </c>
      <c r="C52124" s="0" t="s">
        <v>1889</v>
      </c>
      <c r="E52124" s="0" t="s">
        <v>1890</v>
      </c>
      <c r="F52124" s="0" t="s">
        <v>1891</v>
      </c>
    </row>
    <row r="52125" customFormat="false" ht="12.8" hidden="false" customHeight="false" outlineLevel="0" collapsed="false">
      <c r="B52125" s="0" t="s">
        <v>8</v>
      </c>
      <c r="C52125" s="0" t="s">
        <v>1892</v>
      </c>
      <c r="E52125" s="0" t="s">
        <v>1893</v>
      </c>
      <c r="F52125" s="0" t="s">
        <v>1894</v>
      </c>
    </row>
    <row r="52127" customFormat="false" ht="12.8" hidden="false" customHeight="false" outlineLevel="0" collapsed="false">
      <c r="A52127" s="0" t="s">
        <v>18171</v>
      </c>
      <c r="B52127" s="0" t="str">
        <f aca="false">HYPERLINK("https://lindat.mff.cuni.cz/services/teitok/pdtc10/index.php?action=vallex&amp;frame=v-w7398hsa_1213", "utopit (v-w7398hsa_1213) - substituted with v-w7398f2_ZU")</f>
        <v>utopit (v-w7398hsa_1213) - substituted with v-w7398f2_ZU</v>
      </c>
    </row>
    <row r="52128" customFormat="false" ht="12.8" hidden="false" customHeight="false" outlineLevel="0" collapsed="false">
      <c r="B52128" s="0" t="s">
        <v>1</v>
      </c>
    </row>
    <row r="52129" customFormat="false" ht="12.8" hidden="false" customHeight="false" outlineLevel="0" collapsed="false">
      <c r="B52129" s="0" t="s">
        <v>8</v>
      </c>
    </row>
    <row r="52131" customFormat="false" ht="12.8" hidden="false" customHeight="false" outlineLevel="0" collapsed="false">
      <c r="A52131" s="0" t="s">
        <v>18172</v>
      </c>
      <c r="B52131" s="0" t="str">
        <f aca="false">HYPERLINK("https://lindat.mff.cuni.cz/services/teitok/pdtc10/index.php?action=vallex&amp;frame=v-w7399f1", "utopit se (v-w7399f1)")</f>
        <v>utopit se (v-w7399f1)</v>
      </c>
      <c r="E52131" s="0" t="str">
        <f aca="false">HYPERLINK("https://lindat.mff.cuni.cz/services/SynSemClass40/SynSemClass40.html?veclass=vec00383#vec00383-ces-cm00012", "vec00383")</f>
        <v>vec00383</v>
      </c>
      <c r="F52131" s="0" t="s">
        <v>10390</v>
      </c>
    </row>
    <row r="52132" customFormat="false" ht="12.8" hidden="false" customHeight="false" outlineLevel="0" collapsed="false">
      <c r="B52132" s="0" t="s">
        <v>1</v>
      </c>
      <c r="C52132" s="0" t="s">
        <v>10391</v>
      </c>
      <c r="E52132" s="0" t="s">
        <v>11</v>
      </c>
      <c r="F52132" s="0" t="s">
        <v>10392</v>
      </c>
    </row>
    <row r="52134" customFormat="false" ht="12.8" hidden="false" customHeight="false" outlineLevel="0" collapsed="false">
      <c r="A52134" s="0" t="s">
        <v>18173</v>
      </c>
      <c r="B52134" s="0" t="str">
        <f aca="false">HYPERLINK("https://lindat.mff.cuni.cz/services/teitok/pdtc10/index.php?action=vallex&amp;frame=v-w7402f4_ZU", "utratit (v-w7402f4_ZU)")</f>
        <v>utratit (v-w7402f4_ZU)</v>
      </c>
      <c r="E52134" s="0" t="str">
        <f aca="false">HYPERLINK("https://lindat.mff.cuni.cz/services/SynSemClass40/SynSemClass40.html?veclass=vec00147#vec00147-ces-cm00001", "vec00147")</f>
        <v>vec00147</v>
      </c>
      <c r="F52134" s="0" t="s">
        <v>1698</v>
      </c>
    </row>
    <row r="52135" customFormat="false" ht="12.8" hidden="false" customHeight="false" outlineLevel="0" collapsed="false">
      <c r="B52135" s="0" t="s">
        <v>1</v>
      </c>
      <c r="C52135" s="0" t="s">
        <v>1699</v>
      </c>
      <c r="E52135" s="0" t="s">
        <v>11</v>
      </c>
      <c r="F52135" s="0" t="s">
        <v>1700</v>
      </c>
    </row>
    <row r="52136" customFormat="false" ht="12.8" hidden="false" customHeight="false" outlineLevel="0" collapsed="false">
      <c r="B52136" s="0" t="s">
        <v>8</v>
      </c>
      <c r="C52136" s="0" t="s">
        <v>1701</v>
      </c>
      <c r="E52136" s="0" t="s">
        <v>1702</v>
      </c>
      <c r="F52136" s="0" t="s">
        <v>1703</v>
      </c>
    </row>
    <row r="52137" customFormat="false" ht="12.8" hidden="false" customHeight="false" outlineLevel="0" collapsed="false">
      <c r="B52137" s="0" t="s">
        <v>18174</v>
      </c>
      <c r="C52137" s="0" t="s">
        <v>3417</v>
      </c>
      <c r="E52137" s="0" t="s">
        <v>3418</v>
      </c>
      <c r="F52137" s="0" t="s">
        <v>3419</v>
      </c>
    </row>
    <row r="52139" customFormat="false" ht="12.8" hidden="false" customHeight="false" outlineLevel="0" collapsed="false">
      <c r="A52139" s="0" t="s">
        <v>18173</v>
      </c>
      <c r="B52139" s="0" t="str">
        <f aca="false">HYPERLINK("https://lindat.mff.cuni.cz/services/teitok/pdtc10/index.php?action=vallex&amp;frame=v-w7402f1", "utratit (v-w7402f1) - substituted with v-w7402f4_ZU")</f>
        <v>utratit (v-w7402f1) - substituted with v-w7402f4_ZU</v>
      </c>
    </row>
    <row r="52140" customFormat="false" ht="12.8" hidden="false" customHeight="false" outlineLevel="0" collapsed="false">
      <c r="B52140" s="0" t="s">
        <v>1</v>
      </c>
    </row>
    <row r="52141" customFormat="false" ht="12.8" hidden="false" customHeight="false" outlineLevel="0" collapsed="false">
      <c r="B52141" s="0" t="s">
        <v>8</v>
      </c>
    </row>
    <row r="52142" customFormat="false" ht="12.8" hidden="false" customHeight="false" outlineLevel="0" collapsed="false">
      <c r="B52142" s="0" t="s">
        <v>18174</v>
      </c>
    </row>
    <row r="52144" customFormat="false" ht="12.8" hidden="false" customHeight="false" outlineLevel="0" collapsed="false">
      <c r="A52144" s="0" t="s">
        <v>18175</v>
      </c>
      <c r="B52144" s="0" t="str">
        <f aca="false">HYPERLINK("https://lindat.mff.cuni.cz/services/teitok/pdtc10/index.php?action=vallex&amp;frame=v-w7402f2", "utratit (v-w7402f2)")</f>
        <v>utratit (v-w7402f2)</v>
      </c>
      <c r="E52144" s="0" t="str">
        <f aca="false">HYPERLINK("https://lindat.mff.cuni.cz/services/SynSemClass40/SynSemClass40.html?veclass=vec00365#vec00365-ces-cm00048", "vec00365")</f>
        <v>vec00365</v>
      </c>
      <c r="F52144" s="0" t="s">
        <v>8975</v>
      </c>
    </row>
    <row r="52145" customFormat="false" ht="12.8" hidden="false" customHeight="false" outlineLevel="0" collapsed="false">
      <c r="B52145" s="0" t="s">
        <v>1</v>
      </c>
      <c r="C52145" s="0" t="s">
        <v>5883</v>
      </c>
      <c r="E52145" s="0" t="s">
        <v>76</v>
      </c>
      <c r="F52145" s="0" t="s">
        <v>8977</v>
      </c>
    </row>
    <row r="52146" customFormat="false" ht="12.8" hidden="false" customHeight="false" outlineLevel="0" collapsed="false">
      <c r="B52146" s="0" t="s">
        <v>8</v>
      </c>
      <c r="C52146" s="0" t="s">
        <v>8979</v>
      </c>
      <c r="E52146" s="0" t="s">
        <v>199</v>
      </c>
      <c r="F52146" s="0" t="s">
        <v>8980</v>
      </c>
    </row>
    <row r="52148" customFormat="false" ht="12.8" hidden="false" customHeight="false" outlineLevel="0" collapsed="false">
      <c r="A52148" s="0" t="s">
        <v>18176</v>
      </c>
      <c r="B52148" s="0" t="str">
        <f aca="false">HYPERLINK("https://lindat.mff.cuni.cz/services/teitok/pdtc10/index.php?action=vallex&amp;frame=v-w7402hsa_302", "utratit (v-w7402hsa_302)")</f>
        <v>utratit (v-w7402hsa_302)</v>
      </c>
      <c r="E52148" s="0" t="str">
        <f aca="false">HYPERLINK("https://lindat.mff.cuni.cz/services/SynSemClass40/SynSemClass40.html?veclass=vec00147#vec00147-ces-cm00007", "vec00147")</f>
        <v>vec00147</v>
      </c>
      <c r="F52148" s="0" t="s">
        <v>1698</v>
      </c>
    </row>
    <row r="52149" customFormat="false" ht="12.8" hidden="false" customHeight="false" outlineLevel="0" collapsed="false">
      <c r="B52149" s="0" t="s">
        <v>1</v>
      </c>
      <c r="C52149" s="0" t="s">
        <v>1699</v>
      </c>
      <c r="E52149" s="0" t="s">
        <v>11</v>
      </c>
      <c r="F52149" s="0" t="s">
        <v>1700</v>
      </c>
    </row>
    <row r="52150" customFormat="false" ht="12.8" hidden="false" customHeight="false" outlineLevel="0" collapsed="false">
      <c r="B52150" s="0" t="s">
        <v>865</v>
      </c>
      <c r="C52150" s="0" t="s">
        <v>18177</v>
      </c>
      <c r="E52150" s="0" t="s">
        <v>18178</v>
      </c>
      <c r="F52150" s="0" t="s">
        <v>18179</v>
      </c>
    </row>
    <row r="52151" customFormat="false" ht="12.8" hidden="false" customHeight="false" outlineLevel="0" collapsed="false">
      <c r="B52151" s="0" t="s">
        <v>18180</v>
      </c>
    </row>
    <row r="52153" customFormat="false" ht="12.8" hidden="false" customHeight="false" outlineLevel="0" collapsed="false">
      <c r="A52153" s="0" t="s">
        <v>18176</v>
      </c>
      <c r="B52153" s="0" t="str">
        <f aca="false">HYPERLINK("https://lindat.mff.cuni.cz/services/teitok/pdtc10/index.php?action=vallex&amp;frame=v-w7402f3", "utratit (v-w7402f3) - substituted with v-w7402hsa_302")</f>
        <v>utratit (v-w7402f3) - substituted with v-w7402hsa_302</v>
      </c>
    </row>
    <row r="52154" customFormat="false" ht="12.8" hidden="false" customHeight="false" outlineLevel="0" collapsed="false">
      <c r="B52154" s="0" t="s">
        <v>1</v>
      </c>
    </row>
    <row r="52155" customFormat="false" ht="12.8" hidden="false" customHeight="false" outlineLevel="0" collapsed="false">
      <c r="B52155" s="0" t="s">
        <v>865</v>
      </c>
    </row>
    <row r="52156" customFormat="false" ht="12.8" hidden="false" customHeight="false" outlineLevel="0" collapsed="false">
      <c r="B52156" s="0" t="s">
        <v>18180</v>
      </c>
    </row>
    <row r="52158" customFormat="false" ht="12.8" hidden="false" customHeight="false" outlineLevel="0" collapsed="false">
      <c r="A52158" s="0" t="s">
        <v>18181</v>
      </c>
      <c r="B52158" s="0" t="str">
        <f aca="false">HYPERLINK("https://lindat.mff.cuni.cz/services/teitok/pdtc10/index.php?action=vallex&amp;frame=v-w7403f1", "utrhnout (v-w7403f1)")</f>
        <v>utrhnout (v-w7403f1)</v>
      </c>
    </row>
    <row r="52159" customFormat="false" ht="12.8" hidden="false" customHeight="false" outlineLevel="0" collapsed="false">
      <c r="B52159" s="0" t="s">
        <v>1</v>
      </c>
    </row>
    <row r="52160" customFormat="false" ht="12.8" hidden="false" customHeight="false" outlineLevel="0" collapsed="false">
      <c r="B52160" s="0" t="s">
        <v>8</v>
      </c>
    </row>
    <row r="52162" customFormat="false" ht="12.8" hidden="false" customHeight="false" outlineLevel="0" collapsed="false">
      <c r="A52162" s="0" t="s">
        <v>18182</v>
      </c>
      <c r="B52162" s="0" t="str">
        <f aca="false">HYPERLINK("https://lindat.mff.cuni.cz/services/teitok/pdtc10/index.php?action=vallex&amp;frame=v-w7404f2", "utrhnout se (v-w7404f2)")</f>
        <v>utrhnout se (v-w7404f2)</v>
      </c>
    </row>
    <row r="52163" customFormat="false" ht="12.8" hidden="false" customHeight="false" outlineLevel="0" collapsed="false">
      <c r="B52163" s="0" t="s">
        <v>1</v>
      </c>
    </row>
    <row r="52164" customFormat="false" ht="12.8" hidden="false" customHeight="false" outlineLevel="0" collapsed="false">
      <c r="B52164" s="0" t="s">
        <v>45</v>
      </c>
    </row>
    <row r="52166" customFormat="false" ht="12.8" hidden="false" customHeight="false" outlineLevel="0" collapsed="false">
      <c r="A52166" s="0" t="s">
        <v>18183</v>
      </c>
      <c r="B52166" s="0" t="str">
        <f aca="false">HYPERLINK("https://lindat.mff.cuni.cz/services/teitok/pdtc10/index.php?action=vallex&amp;frame=v-w7404f1", "utrhnout se (v-w7404f1)")</f>
        <v>utrhnout se (v-w7404f1)</v>
      </c>
      <c r="E52166" s="0" t="str">
        <f aca="false">HYPERLINK("https://lindat.mff.cuni.cz/services/SynSemClass40/SynSemClass40.html?veclass=vec01413#vec01413-ces-cm00004", "vec01413")</f>
        <v>vec01413</v>
      </c>
      <c r="F52166" s="0" t="s">
        <v>9374</v>
      </c>
    </row>
    <row r="52167" customFormat="false" ht="12.8" hidden="false" customHeight="false" outlineLevel="0" collapsed="false">
      <c r="B52167" s="0" t="s">
        <v>1</v>
      </c>
      <c r="E52167" s="0" t="s">
        <v>9375</v>
      </c>
      <c r="F52167" s="0" t="s">
        <v>9376</v>
      </c>
    </row>
    <row r="52169" customFormat="false" ht="12.8" hidden="false" customHeight="false" outlineLevel="0" collapsed="false">
      <c r="A52169" s="0" t="s">
        <v>18184</v>
      </c>
      <c r="B52169" s="0" t="str">
        <f aca="false">HYPERLINK("https://lindat.mff.cuni.cz/services/teitok/pdtc10/index.php?action=vallex&amp;frame=v-w12280_ZUf1_ZU", "utrhávat (v-w12280_ZUf1_ZU)")</f>
        <v>utrhávat (v-w12280_ZUf1_ZU)</v>
      </c>
    </row>
    <row r="52170" customFormat="false" ht="12.8" hidden="false" customHeight="false" outlineLevel="0" collapsed="false">
      <c r="B52170" s="0" t="s">
        <v>1</v>
      </c>
    </row>
    <row r="52171" customFormat="false" ht="12.8" hidden="false" customHeight="false" outlineLevel="0" collapsed="false">
      <c r="B52171" s="0" t="s">
        <v>8</v>
      </c>
    </row>
    <row r="52173" customFormat="false" ht="12.8" hidden="false" customHeight="false" outlineLevel="0" collapsed="false">
      <c r="A52173" s="0" t="s">
        <v>18185</v>
      </c>
      <c r="B52173" s="0" t="str">
        <f aca="false">HYPERLINK("https://lindat.mff.cuni.cz/services/teitok/pdtc10/index.php?action=vallex&amp;frame=v-w10206f2", "utrousit (v-w10206f2)")</f>
        <v>utrousit (v-w10206f2)</v>
      </c>
    </row>
    <row r="52174" customFormat="false" ht="12.8" hidden="false" customHeight="false" outlineLevel="0" collapsed="false">
      <c r="B52174" s="0" t="s">
        <v>1</v>
      </c>
    </row>
    <row r="52175" customFormat="false" ht="12.8" hidden="false" customHeight="false" outlineLevel="0" collapsed="false">
      <c r="B52175" s="0" t="s">
        <v>8</v>
      </c>
    </row>
    <row r="52176" customFormat="false" ht="12.8" hidden="false" customHeight="false" outlineLevel="0" collapsed="false">
      <c r="B52176" s="0" t="s">
        <v>11006</v>
      </c>
    </row>
    <row r="52178" customFormat="false" ht="12.8" hidden="false" customHeight="false" outlineLevel="0" collapsed="false">
      <c r="A52178" s="0" t="s">
        <v>18186</v>
      </c>
      <c r="B52178" s="0" t="str">
        <f aca="false">HYPERLINK("https://lindat.mff.cuni.cz/services/teitok/pdtc10/index.php?action=vallex&amp;frame=v-w7406f1", "utrpět (v-w7406f1)")</f>
        <v>utrpět (v-w7406f1)</v>
      </c>
      <c r="E52178" s="0" t="str">
        <f aca="false">HYPERLINK("https://lindat.mff.cuni.cz/services/SynSemClass40/SynSemClass40.html?veclass=vec00340#vec00340-ces-cm00001", "vec00340")</f>
        <v>vec00340</v>
      </c>
      <c r="F52178" s="0" t="s">
        <v>18187</v>
      </c>
    </row>
    <row r="52179" customFormat="false" ht="12.8" hidden="false" customHeight="false" outlineLevel="0" collapsed="false">
      <c r="B52179" s="0" t="s">
        <v>1</v>
      </c>
      <c r="C52179" s="0" t="s">
        <v>5752</v>
      </c>
      <c r="E52179" s="0" t="s">
        <v>2565</v>
      </c>
      <c r="F52179" s="0" t="s">
        <v>18188</v>
      </c>
    </row>
    <row r="52180" customFormat="false" ht="12.8" hidden="false" customHeight="false" outlineLevel="0" collapsed="false">
      <c r="B52180" s="0" t="s">
        <v>8</v>
      </c>
      <c r="C52180" s="0" t="s">
        <v>18189</v>
      </c>
      <c r="E52180" s="0" t="s">
        <v>18190</v>
      </c>
      <c r="F52180" s="0" t="s">
        <v>18191</v>
      </c>
    </row>
    <row r="52182" customFormat="false" ht="12.8" hidden="false" customHeight="false" outlineLevel="0" collapsed="false">
      <c r="A52182" s="0" t="s">
        <v>18192</v>
      </c>
      <c r="B52182" s="0" t="str">
        <f aca="false">HYPERLINK("https://lindat.mff.cuni.cz/services/teitok/pdtc10/index.php?action=vallex&amp;frame=v-w7406f2", "utrpět (v-w7406f2)")</f>
        <v>utrpět (v-w7406f2)</v>
      </c>
      <c r="E52182" s="0" t="str">
        <f aca="false">HYPERLINK("https://lindat.mff.cuni.cz/services/SynSemClass40/SynSemClass40.html?veclass=vec00740#vec00740-ces-cm00001", "vec00740")</f>
        <v>vec00740</v>
      </c>
      <c r="F52182" s="0" t="s">
        <v>2563</v>
      </c>
    </row>
    <row r="52183" customFormat="false" ht="12.8" hidden="false" customHeight="false" outlineLevel="0" collapsed="false">
      <c r="B52183" s="0" t="s">
        <v>1</v>
      </c>
      <c r="C52183" s="0" t="s">
        <v>2564</v>
      </c>
      <c r="E52183" s="0" t="s">
        <v>2565</v>
      </c>
      <c r="F52183" s="0" t="s">
        <v>2566</v>
      </c>
    </row>
    <row r="52184" customFormat="false" ht="12.8" hidden="false" customHeight="false" outlineLevel="0" collapsed="false">
      <c r="B52184" s="0" t="s">
        <v>286</v>
      </c>
      <c r="C52184" s="0" t="s">
        <v>2567</v>
      </c>
      <c r="E52184" s="0" t="s">
        <v>2568</v>
      </c>
      <c r="F52184" s="0" t="s">
        <v>2569</v>
      </c>
    </row>
    <row r="52186" customFormat="false" ht="12.8" hidden="false" customHeight="false" outlineLevel="0" collapsed="false">
      <c r="A52186" s="0" t="s">
        <v>18193</v>
      </c>
      <c r="B52186" s="0" t="str">
        <f aca="false">HYPERLINK("https://lindat.mff.cuni.cz/services/teitok/pdtc10/index.php?action=vallex&amp;frame=v-w7401f2_ZU", "utrácet (v-w7401f2_ZU)")</f>
        <v>utrácet (v-w7401f2_ZU)</v>
      </c>
      <c r="E52186" s="0" t="str">
        <f aca="false">HYPERLINK("https://lindat.mff.cuni.cz/services/SynSemClass40/SynSemClass40.html?veclass=vec00147#vec00147-ces-cm00005", "vec00147")</f>
        <v>vec00147</v>
      </c>
      <c r="F52186" s="0" t="s">
        <v>1698</v>
      </c>
    </row>
    <row r="52187" customFormat="false" ht="12.8" hidden="false" customHeight="false" outlineLevel="0" collapsed="false">
      <c r="B52187" s="0" t="s">
        <v>1</v>
      </c>
      <c r="C52187" s="0" t="s">
        <v>1699</v>
      </c>
      <c r="E52187" s="0" t="s">
        <v>11</v>
      </c>
      <c r="F52187" s="0" t="s">
        <v>1700</v>
      </c>
    </row>
    <row r="52188" customFormat="false" ht="12.8" hidden="false" customHeight="false" outlineLevel="0" collapsed="false">
      <c r="B52188" s="0" t="s">
        <v>8</v>
      </c>
      <c r="C52188" s="0" t="s">
        <v>1701</v>
      </c>
      <c r="E52188" s="0" t="s">
        <v>1702</v>
      </c>
      <c r="F52188" s="0" t="s">
        <v>1703</v>
      </c>
    </row>
    <row r="52189" customFormat="false" ht="12.8" hidden="false" customHeight="false" outlineLevel="0" collapsed="false">
      <c r="B52189" s="0" t="s">
        <v>12559</v>
      </c>
      <c r="C52189" s="0" t="s">
        <v>3417</v>
      </c>
      <c r="E52189" s="0" t="s">
        <v>3418</v>
      </c>
      <c r="F52189" s="0" t="s">
        <v>3419</v>
      </c>
    </row>
    <row r="52191" customFormat="false" ht="12.8" hidden="false" customHeight="false" outlineLevel="0" collapsed="false">
      <c r="A52191" s="0" t="s">
        <v>18193</v>
      </c>
      <c r="B52191" s="0" t="str">
        <f aca="false">HYPERLINK("https://lindat.mff.cuni.cz/services/teitok/pdtc10/index.php?action=vallex&amp;frame=v-w7401f1", "utrácet (v-w7401f1) - substituted with v-w7401f2_ZU")</f>
        <v>utrácet (v-w7401f1) - substituted with v-w7401f2_ZU</v>
      </c>
    </row>
    <row r="52192" customFormat="false" ht="12.8" hidden="false" customHeight="false" outlineLevel="0" collapsed="false">
      <c r="B52192" s="0" t="s">
        <v>1</v>
      </c>
    </row>
    <row r="52193" customFormat="false" ht="12.8" hidden="false" customHeight="false" outlineLevel="0" collapsed="false">
      <c r="B52193" s="0" t="s">
        <v>8</v>
      </c>
    </row>
    <row r="52194" customFormat="false" ht="12.8" hidden="false" customHeight="false" outlineLevel="0" collapsed="false">
      <c r="B52194" s="0" t="s">
        <v>12559</v>
      </c>
    </row>
    <row r="52196" customFormat="false" ht="12.8" hidden="false" customHeight="false" outlineLevel="0" collapsed="false">
      <c r="A52196" s="0" t="s">
        <v>18194</v>
      </c>
      <c r="B52196" s="0" t="str">
        <f aca="false">HYPERLINK("https://lindat.mff.cuni.cz/services/teitok/pdtc10/index.php?action=vallex&amp;frame=v-w7401hsa_757", "utrácet (v-w7401hsa_757)")</f>
        <v>utrácet (v-w7401hsa_757)</v>
      </c>
      <c r="E52196" s="0" t="str">
        <f aca="false">HYPERLINK("https://lindat.mff.cuni.cz/services/SynSemClass40/SynSemClass40.html?veclass=vec00147#vec00147-ces-cm00006", "vec00147")</f>
        <v>vec00147</v>
      </c>
      <c r="F52196" s="0" t="s">
        <v>1698</v>
      </c>
    </row>
    <row r="52197" customFormat="false" ht="12.8" hidden="false" customHeight="false" outlineLevel="0" collapsed="false">
      <c r="B52197" s="0" t="s">
        <v>1</v>
      </c>
      <c r="C52197" s="0" t="s">
        <v>1699</v>
      </c>
      <c r="E52197" s="0" t="s">
        <v>11</v>
      </c>
      <c r="F52197" s="0" t="s">
        <v>1700</v>
      </c>
    </row>
    <row r="52198" customFormat="false" ht="12.8" hidden="false" customHeight="false" outlineLevel="0" collapsed="false">
      <c r="B52198" s="0" t="s">
        <v>865</v>
      </c>
      <c r="C52198" s="0" t="s">
        <v>18177</v>
      </c>
      <c r="E52198" s="0" t="s">
        <v>18178</v>
      </c>
      <c r="F52198" s="0" t="s">
        <v>18179</v>
      </c>
    </row>
    <row r="52199" customFormat="false" ht="12.8" hidden="false" customHeight="false" outlineLevel="0" collapsed="false">
      <c r="B52199" s="0" t="s">
        <v>2069</v>
      </c>
    </row>
    <row r="52201" customFormat="false" ht="12.8" hidden="false" customHeight="false" outlineLevel="0" collapsed="false">
      <c r="A52201" s="0" t="s">
        <v>18195</v>
      </c>
      <c r="B52201" s="0" t="str">
        <f aca="false">HYPERLINK("https://lindat.mff.cuni.cz/services/teitok/pdtc10/index.php?action=vallex&amp;frame=v-w7407hsa_1167", "utržit (v-w7407hsa_1167)")</f>
        <v>utržit (v-w7407hsa_1167)</v>
      </c>
      <c r="E52201" s="0" t="str">
        <f aca="false">HYPERLINK("https://lindat.mff.cuni.cz/services/SynSemClass40/SynSemClass40.html?veclass=vec00169#vec00169-ces-cm00015", "vec00169")</f>
        <v>vec00169</v>
      </c>
      <c r="F52201" s="0" t="s">
        <v>12277</v>
      </c>
    </row>
    <row r="52202" customFormat="false" ht="12.8" hidden="false" customHeight="false" outlineLevel="0" collapsed="false">
      <c r="B52202" s="0" t="s">
        <v>1</v>
      </c>
      <c r="C52202" s="0" t="s">
        <v>12278</v>
      </c>
      <c r="E52202" s="0" t="s">
        <v>1567</v>
      </c>
      <c r="F52202" s="0" t="s">
        <v>12279</v>
      </c>
    </row>
    <row r="52203" customFormat="false" ht="12.8" hidden="false" customHeight="false" outlineLevel="0" collapsed="false">
      <c r="B52203" s="0" t="s">
        <v>8</v>
      </c>
      <c r="E52203" s="0" t="s">
        <v>2111</v>
      </c>
      <c r="F52203" s="0" t="s">
        <v>18196</v>
      </c>
    </row>
    <row r="52204" customFormat="false" ht="12.8" hidden="false" customHeight="false" outlineLevel="0" collapsed="false">
      <c r="B52204" s="0" t="s">
        <v>1633</v>
      </c>
      <c r="C52204" s="0" t="s">
        <v>18197</v>
      </c>
      <c r="E52204" s="0" t="s">
        <v>2176</v>
      </c>
      <c r="F52204" s="0" t="s">
        <v>18198</v>
      </c>
    </row>
    <row r="52206" customFormat="false" ht="12.8" hidden="false" customHeight="false" outlineLevel="0" collapsed="false">
      <c r="A52206" s="0" t="s">
        <v>18195</v>
      </c>
      <c r="B52206" s="0" t="str">
        <f aca="false">HYPERLINK("https://lindat.mff.cuni.cz/services/teitok/pdtc10/index.php?action=vallex&amp;frame=v-w7407f1", "utržit (v-w7407f1) - substituted with v-w7407hsa_1167")</f>
        <v>utržit (v-w7407f1) - substituted with v-w7407hsa_1167</v>
      </c>
    </row>
    <row r="52207" customFormat="false" ht="12.8" hidden="false" customHeight="false" outlineLevel="0" collapsed="false">
      <c r="B52207" s="0" t="s">
        <v>1</v>
      </c>
    </row>
    <row r="52208" customFormat="false" ht="12.8" hidden="false" customHeight="false" outlineLevel="0" collapsed="false">
      <c r="B52208" s="0" t="s">
        <v>8</v>
      </c>
    </row>
    <row r="52209" customFormat="false" ht="12.8" hidden="false" customHeight="false" outlineLevel="0" collapsed="false">
      <c r="B52209" s="0" t="s">
        <v>1633</v>
      </c>
    </row>
    <row r="52211" customFormat="false" ht="12.8" hidden="false" customHeight="false" outlineLevel="0" collapsed="false">
      <c r="A52211" s="0" t="s">
        <v>18199</v>
      </c>
      <c r="B52211" s="0" t="str">
        <f aca="false">HYPERLINK("https://lindat.mff.cuni.cz/services/teitok/pdtc10/index.php?action=vallex&amp;frame=v-w7407f2_ZU", "utržit (v-w7407f2_ZU)")</f>
        <v>utržit (v-w7407f2_ZU)</v>
      </c>
    </row>
    <row r="52212" customFormat="false" ht="12.8" hidden="false" customHeight="false" outlineLevel="0" collapsed="false">
      <c r="B52212" s="0" t="s">
        <v>1</v>
      </c>
    </row>
    <row r="52213" customFormat="false" ht="12.8" hidden="false" customHeight="false" outlineLevel="0" collapsed="false">
      <c r="B52213" s="0" t="s">
        <v>8</v>
      </c>
    </row>
    <row r="52215" customFormat="false" ht="12.8" hidden="false" customHeight="false" outlineLevel="0" collapsed="false">
      <c r="A52215" s="0" t="s">
        <v>18199</v>
      </c>
      <c r="B52215" s="0" t="str">
        <f aca="false">HYPERLINK("https://lindat.mff.cuni.cz/services/teitok/pdtc10/index.php?action=vallex&amp;frame=v-w7407hsa_1168", "utržit (v-w7407hsa_1168) - substituted with v-w7407f2_ZU")</f>
        <v>utržit (v-w7407hsa_1168) - substituted with v-w7407f2_ZU</v>
      </c>
    </row>
    <row r="52216" customFormat="false" ht="12.8" hidden="false" customHeight="false" outlineLevel="0" collapsed="false">
      <c r="B52216" s="0" t="s">
        <v>1</v>
      </c>
    </row>
    <row r="52217" customFormat="false" ht="12.8" hidden="false" customHeight="false" outlineLevel="0" collapsed="false">
      <c r="B52217" s="0" t="s">
        <v>8</v>
      </c>
    </row>
    <row r="52219" customFormat="false" ht="12.8" hidden="false" customHeight="false" outlineLevel="0" collapsed="false">
      <c r="A52219" s="0" t="s">
        <v>18200</v>
      </c>
      <c r="B52219" s="0" t="str">
        <f aca="false">HYPERLINK("https://lindat.mff.cuni.cz/services/teitok/pdtc10/index.php?action=vallex&amp;frame=v-w7409f1", "utuchat (v-w7409f1)")</f>
        <v>utuchat (v-w7409f1)</v>
      </c>
    </row>
    <row r="52220" customFormat="false" ht="12.8" hidden="false" customHeight="false" outlineLevel="0" collapsed="false">
      <c r="B52220" s="0" t="s">
        <v>1</v>
      </c>
    </row>
    <row r="52222" customFormat="false" ht="12.8" hidden="false" customHeight="false" outlineLevel="0" collapsed="false">
      <c r="A52222" s="0" t="s">
        <v>18201</v>
      </c>
      <c r="B52222" s="0" t="str">
        <f aca="false">HYPERLINK("https://lindat.mff.cuni.cz/services/teitok/pdtc10/index.php?action=vallex&amp;frame=v-w7410f1", "ututlat (v-w7410f1)")</f>
        <v>ututlat (v-w7410f1)</v>
      </c>
    </row>
    <row r="52223" customFormat="false" ht="12.8" hidden="false" customHeight="false" outlineLevel="0" collapsed="false">
      <c r="B52223" s="0" t="s">
        <v>1</v>
      </c>
    </row>
    <row r="52224" customFormat="false" ht="12.8" hidden="false" customHeight="false" outlineLevel="0" collapsed="false">
      <c r="B52224" s="0" t="s">
        <v>4245</v>
      </c>
    </row>
    <row r="52225" customFormat="false" ht="12.8" hidden="false" customHeight="false" outlineLevel="0" collapsed="false">
      <c r="B52225" s="0" t="s">
        <v>4248</v>
      </c>
    </row>
    <row r="52227" customFormat="false" ht="12.8" hidden="false" customHeight="false" outlineLevel="0" collapsed="false">
      <c r="A52227" s="0" t="s">
        <v>18202</v>
      </c>
      <c r="B52227" s="0" t="str">
        <f aca="false">HYPERLINK("https://lindat.mff.cuni.cz/services/teitok/pdtc10/index.php?action=vallex&amp;frame=v-w10373f3", "utužit (v-w10373f3)")</f>
        <v>utužit (v-w10373f3)</v>
      </c>
      <c r="E52227" s="0" t="str">
        <f aca="false">HYPERLINK("https://lindat.mff.cuni.cz/services/SynSemClass40/SynSemClass40.html?veclass=vec00539#vec00539-ces-cm00011", "vec00539")</f>
        <v>vec00539</v>
      </c>
      <c r="F52227" s="0" t="s">
        <v>11472</v>
      </c>
    </row>
    <row r="52228" customFormat="false" ht="12.8" hidden="false" customHeight="false" outlineLevel="0" collapsed="false">
      <c r="B52228" s="0" t="s">
        <v>1</v>
      </c>
      <c r="C52228" s="0" t="s">
        <v>11473</v>
      </c>
      <c r="E52228" s="0" t="s">
        <v>8199</v>
      </c>
      <c r="F52228" s="0" t="s">
        <v>11474</v>
      </c>
    </row>
    <row r="52229" customFormat="false" ht="12.8" hidden="false" customHeight="false" outlineLevel="0" collapsed="false">
      <c r="B52229" s="0" t="s">
        <v>8</v>
      </c>
      <c r="C52229" s="0" t="s">
        <v>8834</v>
      </c>
      <c r="E52229" s="0" t="s">
        <v>142</v>
      </c>
      <c r="F52229" s="0" t="s">
        <v>11475</v>
      </c>
    </row>
    <row r="52231" customFormat="false" ht="12.8" hidden="false" customHeight="false" outlineLevel="0" collapsed="false">
      <c r="A52231" s="0" t="s">
        <v>18203</v>
      </c>
      <c r="B52231" s="0" t="str">
        <f aca="false">HYPERLINK("https://lindat.mff.cuni.cz/services/teitok/pdtc10/index.php?action=vallex&amp;frame=v-w10374f3", "utužovat (v-w10374f3)")</f>
        <v>utužovat (v-w10374f3)</v>
      </c>
      <c r="E52231" s="0" t="str">
        <f aca="false">HYPERLINK("https://lindat.mff.cuni.cz/services/SynSemClass40/SynSemClass40.html?veclass=vec00539#vec00539-ces-cm00020", "vec00539")</f>
        <v>vec00539</v>
      </c>
      <c r="F52231" s="0" t="s">
        <v>11472</v>
      </c>
    </row>
    <row r="52232" customFormat="false" ht="12.8" hidden="false" customHeight="false" outlineLevel="0" collapsed="false">
      <c r="B52232" s="0" t="s">
        <v>1</v>
      </c>
      <c r="C52232" s="0" t="s">
        <v>11473</v>
      </c>
      <c r="E52232" s="0" t="s">
        <v>8199</v>
      </c>
      <c r="F52232" s="0" t="s">
        <v>11474</v>
      </c>
    </row>
    <row r="52233" customFormat="false" ht="12.8" hidden="false" customHeight="false" outlineLevel="0" collapsed="false">
      <c r="B52233" s="0" t="s">
        <v>8</v>
      </c>
      <c r="C52233" s="0" t="s">
        <v>8834</v>
      </c>
      <c r="E52233" s="0" t="s">
        <v>142</v>
      </c>
      <c r="F52233" s="0" t="s">
        <v>11475</v>
      </c>
    </row>
    <row r="52235" customFormat="false" ht="12.8" hidden="false" customHeight="false" outlineLevel="0" collapsed="false">
      <c r="A52235" s="0" t="s">
        <v>18204</v>
      </c>
      <c r="B52235" s="0" t="str">
        <f aca="false">HYPERLINK("https://lindat.mff.cuni.cz/services/teitok/pdtc10/index.php?action=vallex&amp;frame=v-w7415f1", "utvořit (v-w7415f1)")</f>
        <v>utvořit (v-w7415f1)</v>
      </c>
      <c r="E52235" s="0" t="str">
        <f aca="false">HYPERLINK("https://lindat.mff.cuni.cz/services/SynSemClass40/SynSemClass40.html?veclass=vec00944#vec00944-ces-cm00006", "vec00944")</f>
        <v>vec00944</v>
      </c>
      <c r="F52235" s="0" t="s">
        <v>4164</v>
      </c>
    </row>
    <row r="52236" customFormat="false" ht="12.8" hidden="false" customHeight="false" outlineLevel="0" collapsed="false">
      <c r="B52236" s="0" t="s">
        <v>1</v>
      </c>
      <c r="C52236" s="0" t="s">
        <v>1752</v>
      </c>
      <c r="E52236" s="0" t="s">
        <v>768</v>
      </c>
      <c r="F52236" s="0" t="s">
        <v>4165</v>
      </c>
    </row>
    <row r="52237" customFormat="false" ht="12.8" hidden="false" customHeight="false" outlineLevel="0" collapsed="false">
      <c r="B52237" s="0" t="s">
        <v>8</v>
      </c>
      <c r="C52237" s="0" t="s">
        <v>10577</v>
      </c>
      <c r="E52237" s="0" t="s">
        <v>771</v>
      </c>
      <c r="F52237" s="0" t="s">
        <v>6327</v>
      </c>
    </row>
    <row r="52238" customFormat="false" ht="12.8" hidden="false" customHeight="false" outlineLevel="0" collapsed="false">
      <c r="B52238" s="0" t="s">
        <v>36</v>
      </c>
      <c r="C52238" s="0" t="s">
        <v>18205</v>
      </c>
      <c r="E52238" s="0" t="s">
        <v>6329</v>
      </c>
      <c r="F52238" s="0" t="s">
        <v>6330</v>
      </c>
    </row>
    <row r="52240" customFormat="false" ht="12.8" hidden="false" customHeight="false" outlineLevel="0" collapsed="false">
      <c r="A52240" s="0" t="s">
        <v>18206</v>
      </c>
      <c r="B52240" s="0" t="str">
        <f aca="false">HYPERLINK("https://lindat.mff.cuni.cz/services/teitok/pdtc10/index.php?action=vallex&amp;frame=v-w7415f2_ZU", "utvořit (v-w7415f2_ZU)")</f>
        <v>utvořit (v-w7415f2_ZU)</v>
      </c>
    </row>
    <row r="52241" customFormat="false" ht="12.8" hidden="false" customHeight="false" outlineLevel="0" collapsed="false">
      <c r="B52241" s="0" t="s">
        <v>1</v>
      </c>
    </row>
    <row r="52242" customFormat="false" ht="12.8" hidden="false" customHeight="false" outlineLevel="0" collapsed="false">
      <c r="B52242" s="0" t="s">
        <v>18207</v>
      </c>
    </row>
    <row r="52244" customFormat="false" ht="12.8" hidden="false" customHeight="false" outlineLevel="0" collapsed="false">
      <c r="A52244" s="0" t="s">
        <v>18208</v>
      </c>
      <c r="B52244" s="0" t="str">
        <f aca="false">HYPERLINK("https://lindat.mff.cuni.cz/services/teitok/pdtc10/index.php?action=vallex&amp;frame=v-w11705_ZUf3_ZU", "utvořit se (v-w11705_ZUf3_ZU)")</f>
        <v>utvořit se (v-w11705_ZUf3_ZU)</v>
      </c>
    </row>
    <row r="52245" customFormat="false" ht="12.8" hidden="false" customHeight="false" outlineLevel="0" collapsed="false">
      <c r="B52245" s="0" t="s">
        <v>1</v>
      </c>
    </row>
    <row r="52246" customFormat="false" ht="12.8" hidden="false" customHeight="false" outlineLevel="0" collapsed="false">
      <c r="B52246" s="0" t="s">
        <v>763</v>
      </c>
    </row>
    <row r="52248" customFormat="false" ht="12.8" hidden="false" customHeight="false" outlineLevel="0" collapsed="false">
      <c r="A52248" s="0" t="s">
        <v>18208</v>
      </c>
      <c r="B52248" s="0" t="str">
        <f aca="false">HYPERLINK("https://lindat.mff.cuni.cz/services/teitok/pdtc10/index.php?action=vallex&amp;frame=v-w11705_ZUf1_ZU", "utvořit se (v-w11705_ZUf1_ZU) - substituted with v-w11705_ZUf3_ZU")</f>
        <v>utvořit se (v-w11705_ZUf1_ZU) - substituted with v-w11705_ZUf3_ZU</v>
      </c>
    </row>
    <row r="52249" customFormat="false" ht="12.8" hidden="false" customHeight="false" outlineLevel="0" collapsed="false">
      <c r="B52249" s="0" t="s">
        <v>1</v>
      </c>
    </row>
    <row r="52250" customFormat="false" ht="12.8" hidden="false" customHeight="false" outlineLevel="0" collapsed="false">
      <c r="B52250" s="0" t="s">
        <v>763</v>
      </c>
    </row>
    <row r="52252" customFormat="false" ht="12.8" hidden="false" customHeight="false" outlineLevel="0" collapsed="false">
      <c r="A52252" s="0" t="s">
        <v>18208</v>
      </c>
      <c r="B52252" s="0" t="str">
        <f aca="false">HYPERLINK("https://lindat.mff.cuni.cz/services/teitok/pdtc10/index.php?action=vallex&amp;frame=v-w11705_ZUf2_ZU", "utvořit se (v-w11705_ZUf2_ZU) - substituted with v-w11705_ZUf3_ZU")</f>
        <v>utvořit se (v-w11705_ZUf2_ZU) - substituted with v-w11705_ZUf3_ZU</v>
      </c>
    </row>
    <row r="52253" customFormat="false" ht="12.8" hidden="false" customHeight="false" outlineLevel="0" collapsed="false">
      <c r="B52253" s="0" t="s">
        <v>1</v>
      </c>
    </row>
    <row r="52254" customFormat="false" ht="12.8" hidden="false" customHeight="false" outlineLevel="0" collapsed="false">
      <c r="B52254" s="0" t="s">
        <v>763</v>
      </c>
    </row>
    <row r="52256" customFormat="false" ht="12.8" hidden="false" customHeight="false" outlineLevel="0" collapsed="false">
      <c r="A52256" s="0" t="s">
        <v>18209</v>
      </c>
      <c r="B52256" s="0" t="str">
        <f aca="false">HYPERLINK("https://lindat.mff.cuni.cz/services/teitok/pdtc10/index.php?action=vallex&amp;frame=v-w7416f1", "utvrdit (v-w7416f1)")</f>
        <v>utvrdit (v-w7416f1)</v>
      </c>
      <c r="E52256" s="0" t="str">
        <f aca="false">HYPERLINK("https://lindat.mff.cuni.cz/services/SynSemClass40/SynSemClass40.html?veclass=vec00535#vec00535-ces-cm00008", "vec00535")</f>
        <v>vec00535</v>
      </c>
      <c r="F52256" s="0" t="s">
        <v>17353</v>
      </c>
    </row>
    <row r="52257" customFormat="false" ht="12.8" hidden="false" customHeight="false" outlineLevel="0" collapsed="false">
      <c r="B52257" s="0" t="s">
        <v>1</v>
      </c>
      <c r="C52257" s="0" t="s">
        <v>3091</v>
      </c>
      <c r="E52257" s="0" t="s">
        <v>63</v>
      </c>
      <c r="F52257" s="0" t="s">
        <v>8911</v>
      </c>
    </row>
    <row r="52258" customFormat="false" ht="12.8" hidden="false" customHeight="false" outlineLevel="0" collapsed="false">
      <c r="B52258" s="0" t="s">
        <v>18210</v>
      </c>
      <c r="C52258" s="0" t="s">
        <v>14410</v>
      </c>
      <c r="E52258" s="0" t="s">
        <v>230</v>
      </c>
      <c r="F52258" s="0" t="s">
        <v>17355</v>
      </c>
    </row>
    <row r="52259" customFormat="false" ht="12.8" hidden="false" customHeight="false" outlineLevel="0" collapsed="false">
      <c r="B52259" s="0" t="s">
        <v>98</v>
      </c>
      <c r="C52259" s="0" t="s">
        <v>17356</v>
      </c>
      <c r="E52259" s="0" t="s">
        <v>221</v>
      </c>
      <c r="F52259" s="0" t="s">
        <v>17357</v>
      </c>
    </row>
    <row r="52261" customFormat="false" ht="12.8" hidden="false" customHeight="false" outlineLevel="0" collapsed="false">
      <c r="A52261" s="0" t="s">
        <v>18211</v>
      </c>
      <c r="B52261" s="0" t="str">
        <f aca="false">HYPERLINK("https://lindat.mff.cuni.cz/services/teitok/pdtc10/index.php?action=vallex&amp;frame=v-w7416hsa_174", "utvrdit (v-w7416hsa_174)")</f>
        <v>utvrdit (v-w7416hsa_174)</v>
      </c>
    </row>
    <row r="52262" customFormat="false" ht="12.8" hidden="false" customHeight="false" outlineLevel="0" collapsed="false">
      <c r="B52262" s="0" t="s">
        <v>1</v>
      </c>
    </row>
    <row r="52263" customFormat="false" ht="12.8" hidden="false" customHeight="false" outlineLevel="0" collapsed="false">
      <c r="B52263" s="0" t="s">
        <v>8</v>
      </c>
    </row>
    <row r="52265" customFormat="false" ht="12.8" hidden="false" customHeight="false" outlineLevel="0" collapsed="false">
      <c r="A52265" s="0" t="s">
        <v>18212</v>
      </c>
      <c r="B52265" s="0" t="str">
        <f aca="false">HYPERLINK("https://lindat.mff.cuni.cz/services/teitok/pdtc10/index.php?action=vallex&amp;frame=v-w7417f2", "utvrzovat (v-w7417f2)")</f>
        <v>utvrzovat (v-w7417f2)</v>
      </c>
    </row>
    <row r="52266" customFormat="false" ht="12.8" hidden="false" customHeight="false" outlineLevel="0" collapsed="false">
      <c r="B52266" s="0" t="s">
        <v>1</v>
      </c>
    </row>
    <row r="52267" customFormat="false" ht="12.8" hidden="false" customHeight="false" outlineLevel="0" collapsed="false">
      <c r="B52267" s="0" t="s">
        <v>18213</v>
      </c>
    </row>
    <row r="52268" customFormat="false" ht="12.8" hidden="false" customHeight="false" outlineLevel="0" collapsed="false">
      <c r="B52268" s="0" t="s">
        <v>98</v>
      </c>
    </row>
    <row r="52270" customFormat="false" ht="12.8" hidden="false" customHeight="false" outlineLevel="0" collapsed="false">
      <c r="A52270" s="0" t="s">
        <v>18214</v>
      </c>
      <c r="B52270" s="0" t="str">
        <f aca="false">HYPERLINK("https://lindat.mff.cuni.cz/services/teitok/pdtc10/index.php?action=vallex&amp;frame=v-w7417f1", "utvrzovat (v-w7417f1)")</f>
        <v>utvrzovat (v-w7417f1)</v>
      </c>
    </row>
    <row r="52271" customFormat="false" ht="12.8" hidden="false" customHeight="false" outlineLevel="0" collapsed="false">
      <c r="B52271" s="0" t="s">
        <v>1</v>
      </c>
    </row>
    <row r="52272" customFormat="false" ht="12.8" hidden="false" customHeight="false" outlineLevel="0" collapsed="false">
      <c r="B52272" s="0" t="s">
        <v>3028</v>
      </c>
    </row>
    <row r="52273" customFormat="false" ht="12.8" hidden="false" customHeight="false" outlineLevel="0" collapsed="false">
      <c r="B52273" s="0" t="s">
        <v>132</v>
      </c>
    </row>
    <row r="52275" customFormat="false" ht="12.8" hidden="false" customHeight="false" outlineLevel="0" collapsed="false">
      <c r="A52275" s="0" t="s">
        <v>18215</v>
      </c>
      <c r="B52275" s="0" t="str">
        <f aca="false">HYPERLINK("https://lindat.mff.cuni.cz/services/teitok/pdtc10/index.php?action=vallex&amp;frame=v-w7412f1", "utvářet (v-w7412f1)")</f>
        <v>utvářet (v-w7412f1)</v>
      </c>
      <c r="E52275" s="0" t="str">
        <f aca="false">HYPERLINK("https://lindat.mff.cuni.cz/services/SynSemClass40/SynSemClass40.html?veclass=vec00944#vec00944-ces-cm00001", "vec00944")</f>
        <v>vec00944</v>
      </c>
      <c r="F52275" s="0" t="s">
        <v>4164</v>
      </c>
    </row>
    <row r="52276" customFormat="false" ht="12.8" hidden="false" customHeight="false" outlineLevel="0" collapsed="false">
      <c r="B52276" s="0" t="s">
        <v>1</v>
      </c>
      <c r="C52276" s="0" t="s">
        <v>1752</v>
      </c>
      <c r="E52276" s="0" t="s">
        <v>768</v>
      </c>
      <c r="F52276" s="0" t="s">
        <v>4165</v>
      </c>
    </row>
    <row r="52277" customFormat="false" ht="12.8" hidden="false" customHeight="false" outlineLevel="0" collapsed="false">
      <c r="B52277" s="0" t="s">
        <v>8</v>
      </c>
      <c r="C52277" s="0" t="s">
        <v>10577</v>
      </c>
      <c r="E52277" s="0" t="s">
        <v>771</v>
      </c>
      <c r="F52277" s="0" t="s">
        <v>6327</v>
      </c>
    </row>
    <row r="52278" customFormat="false" ht="12.8" hidden="false" customHeight="false" outlineLevel="0" collapsed="false">
      <c r="B52278" s="0" t="s">
        <v>36</v>
      </c>
      <c r="C52278" s="0" t="s">
        <v>18205</v>
      </c>
      <c r="E52278" s="0" t="s">
        <v>6329</v>
      </c>
      <c r="F52278" s="0" t="s">
        <v>6330</v>
      </c>
    </row>
    <row r="52280" customFormat="false" ht="12.8" hidden="false" customHeight="false" outlineLevel="0" collapsed="false">
      <c r="A52280" s="0" t="s">
        <v>18216</v>
      </c>
      <c r="B52280" s="0" t="str">
        <f aca="false">HYPERLINK("https://lindat.mff.cuni.cz/services/teitok/pdtc10/index.php?action=vallex&amp;frame=v-w7413f1", "utvářet se (v-w7413f1)")</f>
        <v>utvářet se (v-w7413f1)</v>
      </c>
    </row>
    <row r="52281" customFormat="false" ht="12.8" hidden="false" customHeight="false" outlineLevel="0" collapsed="false">
      <c r="B52281" s="0" t="s">
        <v>1</v>
      </c>
    </row>
    <row r="52282" customFormat="false" ht="12.8" hidden="false" customHeight="false" outlineLevel="0" collapsed="false">
      <c r="B52282" s="0" t="s">
        <v>763</v>
      </c>
    </row>
    <row r="52284" customFormat="false" ht="12.8" hidden="false" customHeight="false" outlineLevel="0" collapsed="false">
      <c r="A52284" s="0" t="s">
        <v>18217</v>
      </c>
      <c r="B52284" s="0" t="str">
        <f aca="false">HYPERLINK("https://lindat.mff.cuni.cz/services/teitok/pdtc10/index.php?action=vallex&amp;frame=v-w7362f1", "utábořit se (v-w7362f1)")</f>
        <v>utábořit se (v-w7362f1)</v>
      </c>
    </row>
    <row r="52285" customFormat="false" ht="12.8" hidden="false" customHeight="false" outlineLevel="0" collapsed="false">
      <c r="B52285" s="0" t="s">
        <v>1</v>
      </c>
    </row>
    <row r="52286" customFormat="false" ht="12.8" hidden="false" customHeight="false" outlineLevel="0" collapsed="false">
      <c r="B52286" s="0" t="s">
        <v>5</v>
      </c>
    </row>
    <row r="52288" customFormat="false" ht="12.8" hidden="false" customHeight="false" outlineLevel="0" collapsed="false">
      <c r="A52288" s="0" t="s">
        <v>18218</v>
      </c>
      <c r="B52288" s="0" t="str">
        <f aca="false">HYPERLINK("https://lindat.mff.cuni.cz/services/teitok/pdtc10/index.php?action=vallex&amp;frame=v-w7363f2", "utáhnout (v-w7363f2)")</f>
        <v>utáhnout (v-w7363f2)</v>
      </c>
    </row>
    <row r="52289" customFormat="false" ht="12.8" hidden="false" customHeight="false" outlineLevel="0" collapsed="false">
      <c r="B52289" s="0" t="s">
        <v>1</v>
      </c>
    </row>
    <row r="52290" customFormat="false" ht="12.8" hidden="false" customHeight="false" outlineLevel="0" collapsed="false">
      <c r="B52290" s="0" t="s">
        <v>45</v>
      </c>
    </row>
    <row r="52291" customFormat="false" ht="12.8" hidden="false" customHeight="false" outlineLevel="0" collapsed="false">
      <c r="B52291" s="0" t="s">
        <v>98</v>
      </c>
    </row>
    <row r="52293" customFormat="false" ht="12.8" hidden="false" customHeight="false" outlineLevel="0" collapsed="false">
      <c r="A52293" s="0" t="s">
        <v>18219</v>
      </c>
      <c r="B52293" s="0" t="str">
        <f aca="false">HYPERLINK("https://lindat.mff.cuni.cz/services/teitok/pdtc10/index.php?action=vallex&amp;frame=v-w7363f4_ZU", "utáhnout (v-w7363f4_ZU)")</f>
        <v>utáhnout (v-w7363f4_ZU)</v>
      </c>
    </row>
    <row r="52294" customFormat="false" ht="12.8" hidden="false" customHeight="false" outlineLevel="0" collapsed="false">
      <c r="B52294" s="0" t="s">
        <v>1</v>
      </c>
    </row>
    <row r="52295" customFormat="false" ht="12.8" hidden="false" customHeight="false" outlineLevel="0" collapsed="false">
      <c r="B52295" s="0" t="s">
        <v>8</v>
      </c>
    </row>
    <row r="52296" customFormat="false" ht="12.8" hidden="false" customHeight="false" outlineLevel="0" collapsed="false">
      <c r="B52296" s="0" t="s">
        <v>36</v>
      </c>
    </row>
    <row r="52298" customFormat="false" ht="12.8" hidden="false" customHeight="false" outlineLevel="0" collapsed="false">
      <c r="A52298" s="0" t="s">
        <v>18219</v>
      </c>
      <c r="B52298" s="0" t="str">
        <f aca="false">HYPERLINK("https://lindat.mff.cuni.cz/services/teitok/pdtc10/index.php?action=vallex&amp;frame=v-w7363f3_ZU", "utáhnout (v-w7363f3_ZU) - substituted with v-w7363f4_ZU")</f>
        <v>utáhnout (v-w7363f3_ZU) - substituted with v-w7363f4_ZU</v>
      </c>
    </row>
    <row r="52299" customFormat="false" ht="12.8" hidden="false" customHeight="false" outlineLevel="0" collapsed="false">
      <c r="B52299" s="0" t="s">
        <v>1</v>
      </c>
    </row>
    <row r="52300" customFormat="false" ht="12.8" hidden="false" customHeight="false" outlineLevel="0" collapsed="false">
      <c r="B52300" s="0" t="s">
        <v>8</v>
      </c>
    </row>
    <row r="52301" customFormat="false" ht="12.8" hidden="false" customHeight="false" outlineLevel="0" collapsed="false">
      <c r="B52301" s="0" t="s">
        <v>36</v>
      </c>
    </row>
    <row r="52303" customFormat="false" ht="12.8" hidden="false" customHeight="false" outlineLevel="0" collapsed="false">
      <c r="A52303" s="0" t="s">
        <v>18220</v>
      </c>
      <c r="B52303" s="0" t="str">
        <f aca="false">HYPERLINK("https://lindat.mff.cuni.cz/services/teitok/pdtc10/index.php?action=vallex&amp;frame=v-w7363f1", "utáhnout (v-w7363f1)")</f>
        <v>utáhnout (v-w7363f1)</v>
      </c>
      <c r="E52303" s="0" t="str">
        <f aca="false">HYPERLINK("https://lindat.mff.cuni.cz/services/SynSemClass40/SynSemClass40.html?veclass=vec00943#vec00943-ces-cm00001", "vec00943")</f>
        <v>vec00943</v>
      </c>
      <c r="F52303" s="0" t="s">
        <v>18135</v>
      </c>
      <c r="H52303" s="0" t="str">
        <f aca="false">HYPERLINK("https://lindat.mff.cuni.cz/services/SynSemClass40/SynSemClass40.html?veclass=vec01450#vec01450-ces-cm00003", "vec01450")</f>
        <v>vec01450</v>
      </c>
      <c r="I52303" s="0" t="s">
        <v>14671</v>
      </c>
    </row>
    <row r="52304" customFormat="false" ht="12.8" hidden="false" customHeight="false" outlineLevel="0" collapsed="false">
      <c r="B52304" s="0" t="s">
        <v>1</v>
      </c>
      <c r="C52304" s="0" t="s">
        <v>19</v>
      </c>
      <c r="E52304" s="0" t="s">
        <v>4581</v>
      </c>
      <c r="F52304" s="0" t="s">
        <v>18136</v>
      </c>
      <c r="H52304" s="0" t="s">
        <v>4581</v>
      </c>
      <c r="I52304" s="0" t="s">
        <v>14672</v>
      </c>
    </row>
    <row r="52305" customFormat="false" ht="12.8" hidden="false" customHeight="false" outlineLevel="0" collapsed="false">
      <c r="B52305" s="0" t="s">
        <v>8</v>
      </c>
      <c r="C52305" s="0" t="s">
        <v>4627</v>
      </c>
      <c r="E52305" s="0" t="s">
        <v>514</v>
      </c>
      <c r="F52305" s="0" t="s">
        <v>18137</v>
      </c>
      <c r="H52305" s="0" t="s">
        <v>514</v>
      </c>
      <c r="I52305" s="0" t="s">
        <v>14674</v>
      </c>
    </row>
    <row r="52307" customFormat="false" ht="12.8" hidden="false" customHeight="false" outlineLevel="0" collapsed="false">
      <c r="A52307" s="0" t="s">
        <v>18221</v>
      </c>
      <c r="B52307" s="0" t="str">
        <f aca="false">HYPERLINK("https://lindat.mff.cuni.cz/services/teitok/pdtc10/index.php?action=vallex&amp;frame=v-w11250f1", "utápět se (v-w11250f1)")</f>
        <v>utápět se (v-w11250f1)</v>
      </c>
      <c r="E52307" s="0" t="str">
        <f aca="false">HYPERLINK("https://lindat.mff.cuni.cz/services/SynSemClass40/SynSemClass40.html?veclass=vec01130#vec01130-ces-cm00006", "vec01130")</f>
        <v>vec01130</v>
      </c>
      <c r="F52307" s="0" t="s">
        <v>17132</v>
      </c>
    </row>
    <row r="52308" customFormat="false" ht="12.8" hidden="false" customHeight="false" outlineLevel="0" collapsed="false">
      <c r="B52308" s="0" t="s">
        <v>1</v>
      </c>
      <c r="C52308" s="0" t="s">
        <v>1752</v>
      </c>
      <c r="E52308" s="0" t="s">
        <v>437</v>
      </c>
      <c r="F52308" s="0" t="s">
        <v>17133</v>
      </c>
    </row>
    <row r="52310" customFormat="false" ht="12.8" hidden="false" customHeight="false" outlineLevel="0" collapsed="false">
      <c r="A52310" s="0" t="s">
        <v>18222</v>
      </c>
      <c r="B52310" s="0" t="str">
        <f aca="false">HYPERLINK("https://lindat.mff.cuni.cz/services/teitok/pdtc10/index.php?action=vallex&amp;frame=v-w7370f2", "utéci (v-w7370f2)")</f>
        <v>utéci (v-w7370f2)</v>
      </c>
      <c r="E52310" s="0" t="str">
        <f aca="false">HYPERLINK("https://lindat.mff.cuni.cz/services/SynSemClass40/SynSemClass40.html?veclass=vec01430#vec01430-ces-cm00005", "vec01430")</f>
        <v>vec01430</v>
      </c>
      <c r="F52310" s="0" t="s">
        <v>12506</v>
      </c>
    </row>
    <row r="52311" customFormat="false" ht="12.8" hidden="false" customHeight="false" outlineLevel="0" collapsed="false">
      <c r="B52311" s="0" t="s">
        <v>804</v>
      </c>
      <c r="C52311" s="0" t="s">
        <v>18223</v>
      </c>
      <c r="E52311" s="0" t="s">
        <v>14179</v>
      </c>
      <c r="F52311" s="0" t="s">
        <v>18224</v>
      </c>
    </row>
    <row r="52312" customFormat="false" ht="12.8" hidden="false" customHeight="false" outlineLevel="0" collapsed="false">
      <c r="B52312" s="0" t="s">
        <v>17631</v>
      </c>
      <c r="C52312" s="0" t="s">
        <v>18225</v>
      </c>
      <c r="E52312" s="0" t="s">
        <v>1847</v>
      </c>
      <c r="F52312" s="0" t="s">
        <v>18226</v>
      </c>
    </row>
    <row r="52314" customFormat="false" ht="12.8" hidden="false" customHeight="false" outlineLevel="0" collapsed="false">
      <c r="A52314" s="0" t="s">
        <v>18227</v>
      </c>
      <c r="B52314" s="0" t="str">
        <f aca="false">HYPERLINK("https://lindat.mff.cuni.cz/services/teitok/pdtc10/index.php?action=vallex&amp;frame=v-w7370f1", "utéci (v-w7370f1)")</f>
        <v>utéci (v-w7370f1)</v>
      </c>
      <c r="E52314" s="0" t="str">
        <f aca="false">HYPERLINK("https://lindat.mff.cuni.cz/services/SynSemClass40/SynSemClass40.html?veclass=vec00146#vec00146-ces-cm00001", "vec00146")</f>
        <v>vec00146</v>
      </c>
      <c r="F52314" s="0" t="s">
        <v>4047</v>
      </c>
    </row>
    <row r="52315" customFormat="false" ht="12.8" hidden="false" customHeight="false" outlineLevel="0" collapsed="false">
      <c r="B52315" s="0" t="s">
        <v>1</v>
      </c>
      <c r="E52315" s="0" t="s">
        <v>2892</v>
      </c>
      <c r="F52315" s="0" t="s">
        <v>4049</v>
      </c>
    </row>
    <row r="52316" customFormat="false" ht="12.8" hidden="false" customHeight="false" outlineLevel="0" collapsed="false">
      <c r="B52316" s="0" t="s">
        <v>12119</v>
      </c>
      <c r="E52316" s="0" t="s">
        <v>532</v>
      </c>
      <c r="F52316" s="0" t="s">
        <v>9183</v>
      </c>
    </row>
    <row r="52318" customFormat="false" ht="12.8" hidden="false" customHeight="false" outlineLevel="0" collapsed="false">
      <c r="A52318" s="0" t="s">
        <v>18228</v>
      </c>
      <c r="B52318" s="0" t="str">
        <f aca="false">HYPERLINK("https://lindat.mff.cuni.cz/services/teitok/pdtc10/index.php?action=vallex&amp;frame=v-w7370f3", "utéci (v-w7370f3)")</f>
        <v>utéci (v-w7370f3)</v>
      </c>
    </row>
    <row r="52319" customFormat="false" ht="12.8" hidden="false" customHeight="false" outlineLevel="0" collapsed="false">
      <c r="B52319" s="0" t="s">
        <v>1</v>
      </c>
    </row>
    <row r="52321" customFormat="false" ht="12.8" hidden="false" customHeight="false" outlineLevel="0" collapsed="false">
      <c r="A52321" s="0" t="s">
        <v>18229</v>
      </c>
      <c r="B52321" s="0" t="str">
        <f aca="false">HYPERLINK("https://lindat.mff.cuni.cz/services/teitok/pdtc10/index.php?action=vallex&amp;frame=v-w7371f1", "utéci se (v-w7371f1)")</f>
        <v>utéci se (v-w7371f1)</v>
      </c>
    </row>
    <row r="52322" customFormat="false" ht="12.8" hidden="false" customHeight="false" outlineLevel="0" collapsed="false">
      <c r="B52322" s="0" t="s">
        <v>1</v>
      </c>
    </row>
    <row r="52323" customFormat="false" ht="12.8" hidden="false" customHeight="false" outlineLevel="0" collapsed="false">
      <c r="B52323" s="0" t="s">
        <v>164</v>
      </c>
    </row>
    <row r="52325" customFormat="false" ht="12.8" hidden="false" customHeight="false" outlineLevel="0" collapsed="false">
      <c r="A52325" s="0" t="s">
        <v>18230</v>
      </c>
      <c r="B52325" s="0" t="str">
        <f aca="false">HYPERLINK("https://lindat.mff.cuni.cz/services/teitok/pdtc10/index.php?action=vallex&amp;frame=v-w7376f1", "utíkat (v-w7376f1)")</f>
        <v>utíkat (v-w7376f1)</v>
      </c>
      <c r="E52325" s="0" t="str">
        <f aca="false">HYPERLINK("https://lindat.mff.cuni.cz/services/SynSemClass40/SynSemClass40.html?veclass=vec00146#vec00146-ces-cm00023", "vec00146")</f>
        <v>vec00146</v>
      </c>
      <c r="F52325" s="0" t="s">
        <v>4047</v>
      </c>
    </row>
    <row r="52326" customFormat="false" ht="12.8" hidden="false" customHeight="false" outlineLevel="0" collapsed="false">
      <c r="B52326" s="0" t="s">
        <v>1</v>
      </c>
      <c r="E52326" s="0" t="s">
        <v>2892</v>
      </c>
      <c r="F52326" s="0" t="s">
        <v>4049</v>
      </c>
    </row>
    <row r="52327" customFormat="false" ht="12.8" hidden="false" customHeight="false" outlineLevel="0" collapsed="false">
      <c r="B52327" s="0" t="s">
        <v>12119</v>
      </c>
      <c r="E52327" s="0" t="s">
        <v>532</v>
      </c>
      <c r="F52327" s="0" t="s">
        <v>9183</v>
      </c>
    </row>
    <row r="52329" customFormat="false" ht="12.8" hidden="false" customHeight="false" outlineLevel="0" collapsed="false">
      <c r="A52329" s="0" t="s">
        <v>18231</v>
      </c>
      <c r="B52329" s="0" t="str">
        <f aca="false">HYPERLINK("https://lindat.mff.cuni.cz/services/teitok/pdtc10/index.php?action=vallex&amp;frame=v-w7376f2", "utíkat (v-w7376f2)")</f>
        <v>utíkat (v-w7376f2)</v>
      </c>
    </row>
    <row r="52330" customFormat="false" ht="12.8" hidden="false" customHeight="false" outlineLevel="0" collapsed="false">
      <c r="B52330" s="0" t="s">
        <v>1</v>
      </c>
    </row>
    <row r="52332" customFormat="false" ht="12.8" hidden="false" customHeight="false" outlineLevel="0" collapsed="false">
      <c r="A52332" s="0" t="s">
        <v>18232</v>
      </c>
      <c r="B52332" s="0" t="str">
        <f aca="false">HYPERLINK("https://lindat.mff.cuni.cz/services/teitok/pdtc10/index.php?action=vallex&amp;frame=v-w7376f3_ZU", "utíkat (v-w7376f3_ZU)")</f>
        <v>utíkat (v-w7376f3_ZU)</v>
      </c>
    </row>
    <row r="52333" customFormat="false" ht="12.8" hidden="false" customHeight="false" outlineLevel="0" collapsed="false">
      <c r="B52333" s="0" t="s">
        <v>1</v>
      </c>
    </row>
    <row r="52334" customFormat="false" ht="12.8" hidden="false" customHeight="false" outlineLevel="0" collapsed="false">
      <c r="B52334" s="0" t="s">
        <v>164</v>
      </c>
    </row>
    <row r="52336" customFormat="false" ht="12.8" hidden="false" customHeight="false" outlineLevel="0" collapsed="false">
      <c r="A52336" s="0" t="s">
        <v>18232</v>
      </c>
      <c r="B52336" s="0" t="str">
        <f aca="false">HYPERLINK("https://lindat.mff.cuni.cz/services/teitok/pdtc10/index.php?action=vallex&amp;frame=v-w7376hsa_1694", "utíkat (v-w7376hsa_1694) - substituted with v-w7376f3_ZU")</f>
        <v>utíkat (v-w7376hsa_1694) - substituted with v-w7376f3_ZU</v>
      </c>
    </row>
    <row r="52337" customFormat="false" ht="12.8" hidden="false" customHeight="false" outlineLevel="0" collapsed="false">
      <c r="B52337" s="0" t="s">
        <v>1</v>
      </c>
    </row>
    <row r="52338" customFormat="false" ht="12.8" hidden="false" customHeight="false" outlineLevel="0" collapsed="false">
      <c r="B52338" s="0" t="s">
        <v>164</v>
      </c>
    </row>
    <row r="52340" customFormat="false" ht="12.8" hidden="false" customHeight="false" outlineLevel="0" collapsed="false">
      <c r="A52340" s="0" t="s">
        <v>18233</v>
      </c>
      <c r="B52340" s="0" t="str">
        <f aca="false">HYPERLINK("https://lindat.mff.cuni.cz/services/teitok/pdtc10/index.php?action=vallex&amp;frame=v-w7377f1", "utírat (v-w7377f1)")</f>
        <v>utírat (v-w7377f1)</v>
      </c>
    </row>
    <row r="52341" customFormat="false" ht="12.8" hidden="false" customHeight="false" outlineLevel="0" collapsed="false">
      <c r="B52341" s="0" t="s">
        <v>1</v>
      </c>
    </row>
    <row r="52342" customFormat="false" ht="12.8" hidden="false" customHeight="false" outlineLevel="0" collapsed="false">
      <c r="B52342" s="0" t="s">
        <v>8</v>
      </c>
    </row>
    <row r="52344" customFormat="false" ht="12.8" hidden="false" customHeight="false" outlineLevel="0" collapsed="false">
      <c r="A52344" s="0" t="s">
        <v>18234</v>
      </c>
      <c r="B52344" s="0" t="str">
        <f aca="false">HYPERLINK("https://lindat.mff.cuni.cz/services/teitok/pdtc10/index.php?action=vallex&amp;frame=v-w10583f2", "utěšit (v-w10583f2)")</f>
        <v>utěšit (v-w10583f2)</v>
      </c>
      <c r="E52344" s="0" t="str">
        <f aca="false">HYPERLINK("https://lindat.mff.cuni.cz/services/SynSemClass40/SynSemClass40.html?veclass=vec00536#vec00536-ces-cm00015", "vec00536")</f>
        <v>vec00536</v>
      </c>
      <c r="F52344" s="0" t="s">
        <v>1395</v>
      </c>
    </row>
    <row r="52345" customFormat="false" ht="12.8" hidden="false" customHeight="false" outlineLevel="0" collapsed="false">
      <c r="B52345" s="0" t="s">
        <v>1</v>
      </c>
      <c r="C52345" s="0" t="s">
        <v>1396</v>
      </c>
      <c r="E52345" s="0" t="s">
        <v>1103</v>
      </c>
      <c r="F52345" s="0" t="s">
        <v>1397</v>
      </c>
    </row>
    <row r="52346" customFormat="false" ht="12.8" hidden="false" customHeight="false" outlineLevel="0" collapsed="false">
      <c r="B52346" s="0" t="s">
        <v>8</v>
      </c>
      <c r="C52346" s="0" t="s">
        <v>1398</v>
      </c>
      <c r="E52346" s="0" t="s">
        <v>1399</v>
      </c>
      <c r="F52346" s="0" t="s">
        <v>1400</v>
      </c>
    </row>
    <row r="52348" customFormat="false" ht="12.8" hidden="false" customHeight="false" outlineLevel="0" collapsed="false">
      <c r="A52348" s="0" t="s">
        <v>18235</v>
      </c>
      <c r="B52348" s="0" t="str">
        <f aca="false">HYPERLINK("https://lindat.mff.cuni.cz/services/teitok/pdtc10/index.php?action=vallex&amp;frame=v-w7374f1", "utěšovat (v-w7374f1)")</f>
        <v>utěšovat (v-w7374f1)</v>
      </c>
    </row>
    <row r="52349" customFormat="false" ht="12.8" hidden="false" customHeight="false" outlineLevel="0" collapsed="false">
      <c r="B52349" s="0" t="s">
        <v>1</v>
      </c>
    </row>
    <row r="52350" customFormat="false" ht="12.8" hidden="false" customHeight="false" outlineLevel="0" collapsed="false">
      <c r="B52350" s="0" t="s">
        <v>8</v>
      </c>
    </row>
    <row r="52352" customFormat="false" ht="12.8" hidden="false" customHeight="false" outlineLevel="0" collapsed="false">
      <c r="A52352" s="0" t="s">
        <v>18236</v>
      </c>
      <c r="B52352" s="0" t="str">
        <f aca="false">HYPERLINK("https://lindat.mff.cuni.cz/services/teitok/pdtc10/index.php?action=vallex&amp;frame=v-w7408f1", "utřídit (v-w7408f1)")</f>
        <v>utřídit (v-w7408f1)</v>
      </c>
    </row>
    <row r="52353" customFormat="false" ht="12.8" hidden="false" customHeight="false" outlineLevel="0" collapsed="false">
      <c r="B52353" s="0" t="s">
        <v>1</v>
      </c>
    </row>
    <row r="52354" customFormat="false" ht="12.8" hidden="false" customHeight="false" outlineLevel="0" collapsed="false">
      <c r="B52354" s="0" t="s">
        <v>8</v>
      </c>
    </row>
    <row r="52355" customFormat="false" ht="12.8" hidden="false" customHeight="false" outlineLevel="0" collapsed="false">
      <c r="B52355" s="0" t="s">
        <v>40</v>
      </c>
    </row>
    <row r="52357" customFormat="false" ht="12.8" hidden="false" customHeight="false" outlineLevel="0" collapsed="false">
      <c r="A52357" s="0" t="s">
        <v>18237</v>
      </c>
      <c r="B52357" s="0" t="str">
        <f aca="false">HYPERLINK("https://lindat.mff.cuni.cz/services/teitok/pdtc10/index.php?action=vallex&amp;frame=v-w12317_MMf1_MM", "utřít (v-w12317_MMf1_MM)")</f>
        <v>utřít (v-w12317_MMf1_MM)</v>
      </c>
    </row>
    <row r="52358" customFormat="false" ht="12.8" hidden="false" customHeight="false" outlineLevel="0" collapsed="false">
      <c r="B52358" s="0" t="s">
        <v>1</v>
      </c>
    </row>
    <row r="52359" customFormat="false" ht="12.8" hidden="false" customHeight="false" outlineLevel="0" collapsed="false">
      <c r="B52359" s="0" t="s">
        <v>8</v>
      </c>
    </row>
    <row r="52361" customFormat="false" ht="12.8" hidden="false" customHeight="false" outlineLevel="0" collapsed="false">
      <c r="A52361" s="0" t="s">
        <v>18238</v>
      </c>
      <c r="B52361" s="0" t="str">
        <f aca="false">HYPERLINK("https://lindat.mff.cuni.cz/services/teitok/pdtc10/index.php?action=vallex&amp;frame=v-w10871f2", "uvadnout (v-w10871f2)")</f>
        <v>uvadnout (v-w10871f2)</v>
      </c>
    </row>
    <row r="52362" customFormat="false" ht="12.8" hidden="false" customHeight="false" outlineLevel="0" collapsed="false">
      <c r="B52362" s="0" t="s">
        <v>1</v>
      </c>
    </row>
    <row r="52364" customFormat="false" ht="12.8" hidden="false" customHeight="false" outlineLevel="0" collapsed="false">
      <c r="A52364" s="0" t="s">
        <v>18239</v>
      </c>
      <c r="B52364" s="0" t="str">
        <f aca="false">HYPERLINK("https://lindat.mff.cuni.cz/services/teitok/pdtc10/index.php?action=vallex&amp;frame=v-w10871f3_ZU", "uvadnout (v-w10871f3_ZU)")</f>
        <v>uvadnout (v-w10871f3_ZU)</v>
      </c>
    </row>
    <row r="52365" customFormat="false" ht="12.8" hidden="false" customHeight="false" outlineLevel="0" collapsed="false">
      <c r="B52365" s="0" t="s">
        <v>1</v>
      </c>
    </row>
    <row r="52367" customFormat="false" ht="12.8" hidden="false" customHeight="false" outlineLevel="0" collapsed="false">
      <c r="A52367" s="0" t="s">
        <v>18240</v>
      </c>
      <c r="B52367" s="0" t="str">
        <f aca="false">HYPERLINK("https://lindat.mff.cuni.cz/services/teitok/pdtc10/index.php?action=vallex&amp;frame=v-w7424f5_ZU", "uvalit (v-w7424f5_ZU)")</f>
        <v>uvalit (v-w7424f5_ZU)</v>
      </c>
    </row>
    <row r="52368" customFormat="false" ht="12.8" hidden="false" customHeight="false" outlineLevel="0" collapsed="false">
      <c r="B52368" s="0" t="s">
        <v>843</v>
      </c>
    </row>
    <row r="52369" customFormat="false" ht="12.8" hidden="false" customHeight="false" outlineLevel="0" collapsed="false">
      <c r="B52369" s="0" t="s">
        <v>8</v>
      </c>
    </row>
    <row r="52370" customFormat="false" ht="12.8" hidden="false" customHeight="false" outlineLevel="0" collapsed="false">
      <c r="B52370" s="0" t="s">
        <v>162</v>
      </c>
    </row>
    <row r="52372" customFormat="false" ht="12.8" hidden="false" customHeight="false" outlineLevel="0" collapsed="false">
      <c r="A52372" s="0" t="s">
        <v>18240</v>
      </c>
      <c r="B52372" s="0" t="str">
        <f aca="false">HYPERLINK("https://lindat.mff.cuni.cz/services/teitok/pdtc10/index.php?action=vallex&amp;frame=v-w7424f2", "uvalit (v-w7424f2) - substituted with v-w7424f5_ZU")</f>
        <v>uvalit (v-w7424f2) - substituted with v-w7424f5_ZU</v>
      </c>
    </row>
    <row r="52373" customFormat="false" ht="12.8" hidden="false" customHeight="false" outlineLevel="0" collapsed="false">
      <c r="B52373" s="0" t="s">
        <v>843</v>
      </c>
    </row>
    <row r="52374" customFormat="false" ht="12.8" hidden="false" customHeight="false" outlineLevel="0" collapsed="false">
      <c r="B52374" s="0" t="s">
        <v>8</v>
      </c>
    </row>
    <row r="52375" customFormat="false" ht="12.8" hidden="false" customHeight="false" outlineLevel="0" collapsed="false">
      <c r="B52375" s="0" t="s">
        <v>162</v>
      </c>
    </row>
    <row r="52377" customFormat="false" ht="12.8" hidden="false" customHeight="false" outlineLevel="0" collapsed="false">
      <c r="A52377" s="0" t="s">
        <v>18241</v>
      </c>
      <c r="B52377" s="0" t="str">
        <f aca="false">HYPERLINK("https://lindat.mff.cuni.cz/services/teitok/pdtc10/index.php?action=vallex&amp;frame=v-w7424f6_ZU", "uvalit (v-w7424f6_ZU)")</f>
        <v>uvalit (v-w7424f6_ZU)</v>
      </c>
    </row>
    <row r="52378" customFormat="false" ht="12.8" hidden="false" customHeight="false" outlineLevel="0" collapsed="false">
      <c r="B52378" s="0" t="s">
        <v>1</v>
      </c>
    </row>
    <row r="52379" customFormat="false" ht="12.8" hidden="false" customHeight="false" outlineLevel="0" collapsed="false">
      <c r="B52379" s="0" t="s">
        <v>18242</v>
      </c>
    </row>
    <row r="52380" customFormat="false" ht="12.8" hidden="false" customHeight="false" outlineLevel="0" collapsed="false">
      <c r="B52380" s="0" t="s">
        <v>18243</v>
      </c>
    </row>
    <row r="52382" customFormat="false" ht="12.8" hidden="false" customHeight="false" outlineLevel="0" collapsed="false">
      <c r="A52382" s="0" t="s">
        <v>18241</v>
      </c>
      <c r="B52382" s="0" t="str">
        <f aca="false">HYPERLINK("https://lindat.mff.cuni.cz/services/teitok/pdtc10/index.php?action=vallex&amp;frame=v-w7424f1", "uvalit (v-w7424f1) - substituted with v-w7424f6_ZU")</f>
        <v>uvalit (v-w7424f1) - substituted with v-w7424f6_ZU</v>
      </c>
    </row>
    <row r="52383" customFormat="false" ht="12.8" hidden="false" customHeight="false" outlineLevel="0" collapsed="false">
      <c r="B52383" s="0" t="s">
        <v>1</v>
      </c>
    </row>
    <row r="52384" customFormat="false" ht="12.8" hidden="false" customHeight="false" outlineLevel="0" collapsed="false">
      <c r="B52384" s="0" t="s">
        <v>18242</v>
      </c>
    </row>
    <row r="52385" customFormat="false" ht="12.8" hidden="false" customHeight="false" outlineLevel="0" collapsed="false">
      <c r="B52385" s="0" t="s">
        <v>18243</v>
      </c>
    </row>
    <row r="52387" customFormat="false" ht="12.8" hidden="false" customHeight="false" outlineLevel="0" collapsed="false">
      <c r="A52387" s="0" t="s">
        <v>18241</v>
      </c>
      <c r="B52387" s="0" t="str">
        <f aca="false">HYPERLINK("https://lindat.mff.cuni.cz/services/teitok/pdtc10/index.php?action=vallex&amp;frame=v-w7424f3", "uvalit (v-w7424f3) - substituted with v-w7424f6_ZU")</f>
        <v>uvalit (v-w7424f3) - substituted with v-w7424f6_ZU</v>
      </c>
    </row>
    <row r="52388" customFormat="false" ht="12.8" hidden="false" customHeight="false" outlineLevel="0" collapsed="false">
      <c r="B52388" s="0" t="s">
        <v>1</v>
      </c>
    </row>
    <row r="52389" customFormat="false" ht="12.8" hidden="false" customHeight="false" outlineLevel="0" collapsed="false">
      <c r="B52389" s="0" t="s">
        <v>18242</v>
      </c>
    </row>
    <row r="52390" customFormat="false" ht="12.8" hidden="false" customHeight="false" outlineLevel="0" collapsed="false">
      <c r="B52390" s="0" t="s">
        <v>18243</v>
      </c>
    </row>
    <row r="52392" customFormat="false" ht="12.8" hidden="false" customHeight="false" outlineLevel="0" collapsed="false">
      <c r="A52392" s="0" t="s">
        <v>18241</v>
      </c>
      <c r="B52392" s="0" t="str">
        <f aca="false">HYPERLINK("https://lindat.mff.cuni.cz/services/teitok/pdtc10/index.php?action=vallex&amp;frame=v-w7424f4_ZU", "uvalit (v-w7424f4_ZU) - substituted with v-w7424f6_ZU")</f>
        <v>uvalit (v-w7424f4_ZU) - substituted with v-w7424f6_ZU</v>
      </c>
    </row>
    <row r="52393" customFormat="false" ht="12.8" hidden="false" customHeight="false" outlineLevel="0" collapsed="false">
      <c r="B52393" s="0" t="s">
        <v>1</v>
      </c>
    </row>
    <row r="52394" customFormat="false" ht="12.8" hidden="false" customHeight="false" outlineLevel="0" collapsed="false">
      <c r="B52394" s="0" t="s">
        <v>18242</v>
      </c>
    </row>
    <row r="52395" customFormat="false" ht="12.8" hidden="false" customHeight="false" outlineLevel="0" collapsed="false">
      <c r="B52395" s="0" t="s">
        <v>18243</v>
      </c>
    </row>
    <row r="52397" customFormat="false" ht="12.8" hidden="false" customHeight="false" outlineLevel="0" collapsed="false">
      <c r="A52397" s="0" t="s">
        <v>18241</v>
      </c>
      <c r="B52397" s="0" t="str">
        <f aca="false">HYPERLINK("https://lindat.mff.cuni.cz/services/teitok/pdtc10/index.php?action=vallex&amp;frame=v-w7424hsa_239", "uvalit (v-w7424hsa_239) - substituted with v-w7424f6_ZU")</f>
        <v>uvalit (v-w7424hsa_239) - substituted with v-w7424f6_ZU</v>
      </c>
    </row>
    <row r="52398" customFormat="false" ht="12.8" hidden="false" customHeight="false" outlineLevel="0" collapsed="false">
      <c r="B52398" s="0" t="s">
        <v>1</v>
      </c>
    </row>
    <row r="52399" customFormat="false" ht="12.8" hidden="false" customHeight="false" outlineLevel="0" collapsed="false">
      <c r="B52399" s="0" t="s">
        <v>18242</v>
      </c>
    </row>
    <row r="52400" customFormat="false" ht="12.8" hidden="false" customHeight="false" outlineLevel="0" collapsed="false">
      <c r="B52400" s="0" t="s">
        <v>18243</v>
      </c>
    </row>
    <row r="52402" customFormat="false" ht="12.8" hidden="false" customHeight="false" outlineLevel="0" collapsed="false">
      <c r="A52402" s="0" t="s">
        <v>18244</v>
      </c>
      <c r="B52402" s="0" t="str">
        <f aca="false">HYPERLINK("https://lindat.mff.cuni.cz/services/teitok/pdtc10/index.php?action=vallex&amp;frame=v-w10192f4", "uvalovat (v-w10192f4)")</f>
        <v>uvalovat (v-w10192f4)</v>
      </c>
    </row>
    <row r="52403" customFormat="false" ht="12.8" hidden="false" customHeight="false" outlineLevel="0" collapsed="false">
      <c r="B52403" s="0" t="s">
        <v>843</v>
      </c>
    </row>
    <row r="52404" customFormat="false" ht="12.8" hidden="false" customHeight="false" outlineLevel="0" collapsed="false">
      <c r="B52404" s="0" t="s">
        <v>8</v>
      </c>
    </row>
    <row r="52405" customFormat="false" ht="12.8" hidden="false" customHeight="false" outlineLevel="0" collapsed="false">
      <c r="B52405" s="0" t="s">
        <v>162</v>
      </c>
    </row>
    <row r="52407" customFormat="false" ht="12.8" hidden="false" customHeight="false" outlineLevel="0" collapsed="false">
      <c r="A52407" s="0" t="s">
        <v>18245</v>
      </c>
      <c r="B52407" s="0" t="str">
        <f aca="false">HYPERLINK("https://lindat.mff.cuni.cz/services/teitok/pdtc10/index.php?action=vallex&amp;frame=v-w10192f5", "uvalovat (v-w10192f5)")</f>
        <v>uvalovat (v-w10192f5)</v>
      </c>
    </row>
    <row r="52408" customFormat="false" ht="12.8" hidden="false" customHeight="false" outlineLevel="0" collapsed="false">
      <c r="B52408" s="0" t="s">
        <v>1</v>
      </c>
    </row>
    <row r="52409" customFormat="false" ht="12.8" hidden="false" customHeight="false" outlineLevel="0" collapsed="false">
      <c r="B52409" s="0" t="s">
        <v>18246</v>
      </c>
    </row>
    <row r="52410" customFormat="false" ht="12.8" hidden="false" customHeight="false" outlineLevel="0" collapsed="false">
      <c r="B52410" s="0" t="s">
        <v>18243</v>
      </c>
    </row>
    <row r="52412" customFormat="false" ht="12.8" hidden="false" customHeight="false" outlineLevel="0" collapsed="false">
      <c r="A52412" s="0" t="s">
        <v>18247</v>
      </c>
      <c r="B52412" s="0" t="str">
        <f aca="false">HYPERLINK("https://lindat.mff.cuni.cz/services/teitok/pdtc10/index.php?action=vallex&amp;frame=v-w7426f1", "uvařit (v-w7426f1)")</f>
        <v>uvařit (v-w7426f1)</v>
      </c>
    </row>
    <row r="52413" customFormat="false" ht="12.8" hidden="false" customHeight="false" outlineLevel="0" collapsed="false">
      <c r="B52413" s="0" t="s">
        <v>1</v>
      </c>
    </row>
    <row r="52414" customFormat="false" ht="12.8" hidden="false" customHeight="false" outlineLevel="0" collapsed="false">
      <c r="B52414" s="0" t="s">
        <v>8</v>
      </c>
    </row>
    <row r="52415" customFormat="false" ht="12.8" hidden="false" customHeight="false" outlineLevel="0" collapsed="false">
      <c r="B52415" s="0" t="s">
        <v>36</v>
      </c>
    </row>
    <row r="52417" customFormat="false" ht="12.8" hidden="false" customHeight="false" outlineLevel="0" collapsed="false">
      <c r="A52417" s="0" t="s">
        <v>18248</v>
      </c>
      <c r="B52417" s="0" t="str">
        <f aca="false">HYPERLINK("https://lindat.mff.cuni.cz/services/teitok/pdtc10/index.php?action=vallex&amp;frame=v-w7426f2_ZU", "uvařit (v-w7426f2_ZU)")</f>
        <v>uvařit (v-w7426f2_ZU)</v>
      </c>
    </row>
    <row r="52418" customFormat="false" ht="12.8" hidden="false" customHeight="false" outlineLevel="0" collapsed="false">
      <c r="B52418" s="0" t="s">
        <v>1</v>
      </c>
    </row>
    <row r="52419" customFormat="false" ht="12.8" hidden="false" customHeight="false" outlineLevel="0" collapsed="false">
      <c r="B52419" s="0" t="s">
        <v>8</v>
      </c>
    </row>
    <row r="52421" customFormat="false" ht="12.8" hidden="false" customHeight="false" outlineLevel="0" collapsed="false">
      <c r="A52421" s="0" t="s">
        <v>18248</v>
      </c>
      <c r="B52421" s="0" t="str">
        <f aca="false">HYPERLINK("https://lindat.mff.cuni.cz/services/teitok/pdtc10/index.php?action=vallex&amp;frame=v-w7426hsa_1725", "uvařit (v-w7426hsa_1725) - substituted with v-w7426f2_ZU")</f>
        <v>uvařit (v-w7426hsa_1725) - substituted with v-w7426f2_ZU</v>
      </c>
    </row>
    <row r="52422" customFormat="false" ht="12.8" hidden="false" customHeight="false" outlineLevel="0" collapsed="false">
      <c r="B52422" s="0" t="s">
        <v>1</v>
      </c>
    </row>
    <row r="52423" customFormat="false" ht="12.8" hidden="false" customHeight="false" outlineLevel="0" collapsed="false">
      <c r="B52423" s="0" t="s">
        <v>8</v>
      </c>
    </row>
    <row r="52425" customFormat="false" ht="12.8" hidden="false" customHeight="false" outlineLevel="0" collapsed="false">
      <c r="A52425" s="0" t="s">
        <v>18249</v>
      </c>
      <c r="B52425" s="0" t="str">
        <f aca="false">HYPERLINK("https://lindat.mff.cuni.cz/services/teitok/pdtc10/index.php?action=vallex&amp;frame=v-w7431f3", "uvažovat (v-w7431f3)")</f>
        <v>uvažovat (v-w7431f3)</v>
      </c>
      <c r="E52425" s="0" t="str">
        <f aca="false">HYPERLINK("https://lindat.mff.cuni.cz/services/SynSemClass40/SynSemClass40.html?veclass=vec00149#vec00149-ces-cm00144", "vec00149")</f>
        <v>vec00149</v>
      </c>
      <c r="F52425" s="0" t="s">
        <v>686</v>
      </c>
    </row>
    <row r="52426" customFormat="false" ht="12.8" hidden="false" customHeight="false" outlineLevel="0" collapsed="false">
      <c r="B52426" s="0" t="s">
        <v>1</v>
      </c>
      <c r="C52426" s="0" t="s">
        <v>687</v>
      </c>
      <c r="E52426" s="0" t="s">
        <v>621</v>
      </c>
      <c r="F52426" s="0" t="s">
        <v>688</v>
      </c>
    </row>
    <row r="52427" customFormat="false" ht="12.8" hidden="false" customHeight="false" outlineLevel="0" collapsed="false">
      <c r="B52427" s="0" t="s">
        <v>15191</v>
      </c>
      <c r="C52427" s="0" t="s">
        <v>690</v>
      </c>
      <c r="E52427" s="0" t="s">
        <v>209</v>
      </c>
      <c r="F52427" s="0" t="s">
        <v>691</v>
      </c>
    </row>
    <row r="52429" customFormat="false" ht="12.8" hidden="false" customHeight="false" outlineLevel="0" collapsed="false">
      <c r="A52429" s="0" t="s">
        <v>18250</v>
      </c>
      <c r="B52429" s="0" t="str">
        <f aca="false">HYPERLINK("https://lindat.mff.cuni.cz/services/teitok/pdtc10/index.php?action=vallex&amp;frame=v-w7431f1", "uvažovat (v-w7431f1)")</f>
        <v>uvažovat (v-w7431f1)</v>
      </c>
      <c r="E52429" s="0" t="str">
        <f aca="false">HYPERLINK("https://lindat.mff.cuni.cz/services/SynSemClass40/SynSemClass40.html?veclass=vec00149#vec00149-ces-cm00013", "vec00149")</f>
        <v>vec00149</v>
      </c>
      <c r="F52429" s="0" t="s">
        <v>686</v>
      </c>
    </row>
    <row r="52430" customFormat="false" ht="12.8" hidden="false" customHeight="false" outlineLevel="0" collapsed="false">
      <c r="B52430" s="0" t="s">
        <v>1</v>
      </c>
      <c r="C52430" s="0" t="s">
        <v>687</v>
      </c>
      <c r="E52430" s="0" t="s">
        <v>621</v>
      </c>
      <c r="F52430" s="0" t="s">
        <v>688</v>
      </c>
    </row>
    <row r="52431" customFormat="false" ht="12.8" hidden="false" customHeight="false" outlineLevel="0" collapsed="false">
      <c r="B52431" s="0" t="s">
        <v>18251</v>
      </c>
      <c r="C52431" s="0" t="s">
        <v>690</v>
      </c>
      <c r="E52431" s="0" t="s">
        <v>209</v>
      </c>
      <c r="F52431" s="0" t="s">
        <v>691</v>
      </c>
    </row>
    <row r="52433" customFormat="false" ht="12.8" hidden="false" customHeight="false" outlineLevel="0" collapsed="false">
      <c r="A52433" s="0" t="s">
        <v>18252</v>
      </c>
      <c r="B52433" s="0" t="str">
        <f aca="false">HYPERLINK("https://lindat.mff.cuni.cz/services/teitok/pdtc10/index.php?action=vallex&amp;frame=v-w7431f4", "uvažovat (v-w7431f4)")</f>
        <v>uvažovat (v-w7431f4)</v>
      </c>
    </row>
    <row r="52434" customFormat="false" ht="12.8" hidden="false" customHeight="false" outlineLevel="0" collapsed="false">
      <c r="B52434" s="0" t="s">
        <v>1</v>
      </c>
    </row>
    <row r="52435" customFormat="false" ht="12.8" hidden="false" customHeight="false" outlineLevel="0" collapsed="false">
      <c r="B52435" s="0" t="s">
        <v>721</v>
      </c>
    </row>
    <row r="52437" customFormat="false" ht="12.8" hidden="false" customHeight="false" outlineLevel="0" collapsed="false">
      <c r="A52437" s="0" t="s">
        <v>18253</v>
      </c>
      <c r="B52437" s="0" t="str">
        <f aca="false">HYPERLINK("https://lindat.mff.cuni.cz/services/teitok/pdtc10/index.php?action=vallex&amp;frame=v-w7431f2", "uvažovat (v-w7431f2)")</f>
        <v>uvažovat (v-w7431f2)</v>
      </c>
      <c r="E52437" s="0" t="str">
        <f aca="false">HYPERLINK("https://lindat.mff.cuni.cz/services/SynSemClass40/SynSemClass40.html?veclass=vec01044#vec01044-ces-cm00012", "vec01044")</f>
        <v>vec01044</v>
      </c>
      <c r="F52437" s="0" t="s">
        <v>6397</v>
      </c>
    </row>
    <row r="52438" customFormat="false" ht="12.8" hidden="false" customHeight="false" outlineLevel="0" collapsed="false">
      <c r="B52438" s="0" t="s">
        <v>1</v>
      </c>
      <c r="C52438" s="0" t="s">
        <v>825</v>
      </c>
      <c r="E52438" s="0" t="s">
        <v>914</v>
      </c>
      <c r="F52438" s="0" t="s">
        <v>6398</v>
      </c>
    </row>
    <row r="52440" customFormat="false" ht="12.8" hidden="false" customHeight="false" outlineLevel="0" collapsed="false">
      <c r="A52440" s="0" t="s">
        <v>18254</v>
      </c>
      <c r="B52440" s="0" t="str">
        <f aca="false">HYPERLINK("https://lindat.mff.cuni.cz/services/teitok/pdtc10/index.php?action=vallex&amp;frame=v-w7445f1", "uveřejnit (v-w7445f1)")</f>
        <v>uveřejnit (v-w7445f1)</v>
      </c>
      <c r="E52440" s="0" t="str">
        <f aca="false">HYPERLINK("https://lindat.mff.cuni.cz/services/SynSemClass40/SynSemClass40.html?veclass=vec00351#vec00351-ces-cm00022", "vec00351")</f>
        <v>vec00351</v>
      </c>
      <c r="F52440" s="0" t="s">
        <v>12993</v>
      </c>
    </row>
    <row r="52441" customFormat="false" ht="12.8" hidden="false" customHeight="false" outlineLevel="0" collapsed="false">
      <c r="B52441" s="0" t="s">
        <v>1</v>
      </c>
      <c r="C52441" s="0" t="s">
        <v>12994</v>
      </c>
      <c r="E52441" s="0" t="s">
        <v>768</v>
      </c>
      <c r="F52441" s="0" t="s">
        <v>12995</v>
      </c>
    </row>
    <row r="52442" customFormat="false" ht="12.8" hidden="false" customHeight="false" outlineLevel="0" collapsed="false">
      <c r="B52442" s="0" t="s">
        <v>8</v>
      </c>
      <c r="C52442" s="0" t="s">
        <v>12996</v>
      </c>
      <c r="E52442" s="0" t="s">
        <v>12997</v>
      </c>
      <c r="F52442" s="0" t="s">
        <v>12998</v>
      </c>
    </row>
    <row r="52444" customFormat="false" ht="12.8" hidden="false" customHeight="false" outlineLevel="0" collapsed="false">
      <c r="A52444" s="0" t="s">
        <v>18255</v>
      </c>
      <c r="B52444" s="0" t="str">
        <f aca="false">HYPERLINK("https://lindat.mff.cuni.cz/services/teitok/pdtc10/index.php?action=vallex&amp;frame=v-w7445f2", "uveřejnit (v-w7445f2)")</f>
        <v>uveřejnit (v-w7445f2)</v>
      </c>
    </row>
    <row r="52445" customFormat="false" ht="12.8" hidden="false" customHeight="false" outlineLevel="0" collapsed="false">
      <c r="B52445" s="0" t="s">
        <v>1</v>
      </c>
    </row>
    <row r="52446" customFormat="false" ht="12.8" hidden="false" customHeight="false" outlineLevel="0" collapsed="false">
      <c r="B52446" s="0" t="s">
        <v>6412</v>
      </c>
    </row>
    <row r="52447" customFormat="false" ht="12.8" hidden="false" customHeight="false" outlineLevel="0" collapsed="false">
      <c r="B52447" s="0" t="s">
        <v>496</v>
      </c>
    </row>
    <row r="52449" customFormat="false" ht="12.8" hidden="false" customHeight="false" outlineLevel="0" collapsed="false">
      <c r="A52449" s="0" t="s">
        <v>18256</v>
      </c>
      <c r="B52449" s="0" t="str">
        <f aca="false">HYPERLINK("https://lindat.mff.cuni.cz/services/teitok/pdtc10/index.php?action=vallex&amp;frame=v-w7447f1", "uveřejňovat (v-w7447f1)")</f>
        <v>uveřejňovat (v-w7447f1)</v>
      </c>
      <c r="E52449" s="0" t="str">
        <f aca="false">HYPERLINK("https://lindat.mff.cuni.cz/services/SynSemClass40/SynSemClass40.html?veclass=vec00351#vec00351-ces-cm00023", "vec00351")</f>
        <v>vec00351</v>
      </c>
      <c r="F52449" s="0" t="s">
        <v>12993</v>
      </c>
    </row>
    <row r="52450" customFormat="false" ht="12.8" hidden="false" customHeight="false" outlineLevel="0" collapsed="false">
      <c r="B52450" s="0" t="s">
        <v>1</v>
      </c>
      <c r="C52450" s="0" t="s">
        <v>12994</v>
      </c>
      <c r="E52450" s="0" t="s">
        <v>768</v>
      </c>
      <c r="F52450" s="0" t="s">
        <v>12995</v>
      </c>
    </row>
    <row r="52451" customFormat="false" ht="12.8" hidden="false" customHeight="false" outlineLevel="0" collapsed="false">
      <c r="B52451" s="0" t="s">
        <v>8</v>
      </c>
      <c r="C52451" s="0" t="s">
        <v>12996</v>
      </c>
      <c r="E52451" s="0" t="s">
        <v>12997</v>
      </c>
      <c r="F52451" s="0" t="s">
        <v>12998</v>
      </c>
    </row>
    <row r="52453" customFormat="false" ht="12.8" hidden="false" customHeight="false" outlineLevel="0" collapsed="false">
      <c r="A52453" s="0" t="s">
        <v>18257</v>
      </c>
      <c r="B52453" s="0" t="str">
        <f aca="false">HYPERLINK("https://lindat.mff.cuni.cz/services/teitok/pdtc10/index.php?action=vallex&amp;frame=v-w7447f2", "uveřejňovat (v-w7447f2)")</f>
        <v>uveřejňovat (v-w7447f2)</v>
      </c>
      <c r="E52453" s="0" t="str">
        <f aca="false">HYPERLINK("https://lindat.mff.cuni.cz/services/SynSemClass40/SynSemClass40.html?veclass=vec00351#vec00351-ces-cm00024", "vec00351")</f>
        <v>vec00351</v>
      </c>
      <c r="F52453" s="0" t="s">
        <v>12993</v>
      </c>
    </row>
    <row r="52454" customFormat="false" ht="12.8" hidden="false" customHeight="false" outlineLevel="0" collapsed="false">
      <c r="B52454" s="0" t="s">
        <v>1</v>
      </c>
      <c r="C52454" s="0" t="s">
        <v>12994</v>
      </c>
      <c r="E52454" s="0" t="s">
        <v>768</v>
      </c>
      <c r="F52454" s="0" t="s">
        <v>12995</v>
      </c>
    </row>
    <row r="52455" customFormat="false" ht="12.8" hidden="false" customHeight="false" outlineLevel="0" collapsed="false">
      <c r="B52455" s="0" t="s">
        <v>6412</v>
      </c>
      <c r="C52455" s="0" t="s">
        <v>18258</v>
      </c>
      <c r="E52455" s="0" t="s">
        <v>15052</v>
      </c>
      <c r="F52455" s="0" t="s">
        <v>18259</v>
      </c>
    </row>
    <row r="52456" customFormat="false" ht="12.8" hidden="false" customHeight="false" outlineLevel="0" collapsed="false">
      <c r="B52456" s="0" t="s">
        <v>496</v>
      </c>
    </row>
    <row r="52458" customFormat="false" ht="12.8" hidden="false" customHeight="false" outlineLevel="0" collapsed="false">
      <c r="A52458" s="0" t="s">
        <v>18260</v>
      </c>
      <c r="B52458" s="0" t="str">
        <f aca="false">HYPERLINK("https://lindat.mff.cuni.cz/services/teitok/pdtc10/index.php?action=vallex&amp;frame=v-w7452f2", "uvidět (v-w7452f2)")</f>
        <v>uvidět (v-w7452f2)</v>
      </c>
    </row>
    <row r="52459" customFormat="false" ht="12.8" hidden="false" customHeight="false" outlineLevel="0" collapsed="false">
      <c r="B52459" s="0" t="s">
        <v>1</v>
      </c>
    </row>
    <row r="52460" customFormat="false" ht="12.8" hidden="false" customHeight="false" outlineLevel="0" collapsed="false">
      <c r="B52460" s="0" t="s">
        <v>8</v>
      </c>
    </row>
    <row r="52461" customFormat="false" ht="12.8" hidden="false" customHeight="false" outlineLevel="0" collapsed="false">
      <c r="B52461" s="0" t="s">
        <v>18261</v>
      </c>
    </row>
    <row r="52463" customFormat="false" ht="12.8" hidden="false" customHeight="false" outlineLevel="0" collapsed="false">
      <c r="A52463" s="0" t="s">
        <v>18262</v>
      </c>
      <c r="B52463" s="0" t="str">
        <f aca="false">HYPERLINK("https://lindat.mff.cuni.cz/services/teitok/pdtc10/index.php?action=vallex&amp;frame=v-w7452f1", "uvidět (v-w7452f1)")</f>
        <v>uvidět (v-w7452f1)</v>
      </c>
      <c r="E52463" s="0" t="str">
        <f aca="false">HYPERLINK("https://lindat.mff.cuni.cz/services/SynSemClass40/SynSemClass40.html?veclass=vec00154#vec00154-ces-cm00076", "vec00154")</f>
        <v>vec00154</v>
      </c>
      <c r="F52463" s="0" t="s">
        <v>11901</v>
      </c>
    </row>
    <row r="52464" customFormat="false" ht="12.8" hidden="false" customHeight="false" outlineLevel="0" collapsed="false">
      <c r="B52464" s="0" t="s">
        <v>1</v>
      </c>
      <c r="C52464" s="0" t="s">
        <v>16248</v>
      </c>
      <c r="E52464" s="0" t="s">
        <v>637</v>
      </c>
      <c r="F52464" s="0" t="s">
        <v>11904</v>
      </c>
    </row>
    <row r="52465" customFormat="false" ht="12.8" hidden="false" customHeight="false" outlineLevel="0" collapsed="false">
      <c r="B52465" s="0" t="s">
        <v>3168</v>
      </c>
      <c r="C52465" s="0" t="s">
        <v>16249</v>
      </c>
      <c r="E52465" s="0" t="s">
        <v>640</v>
      </c>
      <c r="F52465" s="0" t="s">
        <v>11908</v>
      </c>
    </row>
    <row r="52467" customFormat="false" ht="12.8" hidden="false" customHeight="false" outlineLevel="0" collapsed="false">
      <c r="A52467" s="0" t="s">
        <v>18263</v>
      </c>
      <c r="B52467" s="0" t="str">
        <f aca="false">HYPERLINK("https://lindat.mff.cuni.cz/services/teitok/pdtc10/index.php?action=vallex&amp;frame=v-w7452f3_ZU", "uvidět (v-w7452f3_ZU)")</f>
        <v>uvidět (v-w7452f3_ZU)</v>
      </c>
    </row>
    <row r="52468" customFormat="false" ht="12.8" hidden="false" customHeight="false" outlineLevel="0" collapsed="false">
      <c r="B52468" s="0" t="s">
        <v>1</v>
      </c>
    </row>
    <row r="52469" customFormat="false" ht="12.8" hidden="false" customHeight="false" outlineLevel="0" collapsed="false">
      <c r="B52469" s="0" t="s">
        <v>721</v>
      </c>
    </row>
    <row r="52470" customFormat="false" ht="12.8" hidden="false" customHeight="false" outlineLevel="0" collapsed="false">
      <c r="B52470" s="0" t="s">
        <v>1502</v>
      </c>
    </row>
    <row r="52472" customFormat="false" ht="12.8" hidden="false" customHeight="false" outlineLevel="0" collapsed="false">
      <c r="A52472" s="0" t="s">
        <v>18264</v>
      </c>
      <c r="B52472" s="0" t="str">
        <f aca="false">HYPERLINK("https://lindat.mff.cuni.cz/services/teitok/pdtc10/index.php?action=vallex&amp;frame=v-w7452hsa_1797", "uvidět (v-w7452hsa_1797)")</f>
        <v>uvidět (v-w7452hsa_1797)</v>
      </c>
    </row>
    <row r="52473" customFormat="false" ht="12.8" hidden="false" customHeight="false" outlineLevel="0" collapsed="false">
      <c r="B52473" s="0" t="s">
        <v>1</v>
      </c>
    </row>
    <row r="52474" customFormat="false" ht="12.8" hidden="false" customHeight="false" outlineLevel="0" collapsed="false">
      <c r="B52474" s="0" t="s">
        <v>8</v>
      </c>
    </row>
    <row r="52475" customFormat="false" ht="12.8" hidden="false" customHeight="false" outlineLevel="0" collapsed="false">
      <c r="B52475" s="0" t="s">
        <v>852</v>
      </c>
    </row>
    <row r="52477" customFormat="false" ht="12.8" hidden="false" customHeight="false" outlineLevel="0" collapsed="false">
      <c r="A52477" s="0" t="s">
        <v>18265</v>
      </c>
      <c r="B52477" s="0" t="str">
        <f aca="false">HYPERLINK("https://lindat.mff.cuni.cz/services/teitok/pdtc10/index.php?action=vallex&amp;frame=v-w7453f1", "uvidět se (v-w7453f1)")</f>
        <v>uvidět se (v-w7453f1)</v>
      </c>
    </row>
    <row r="52478" customFormat="false" ht="12.8" hidden="false" customHeight="false" outlineLevel="0" collapsed="false">
      <c r="B52478" s="0" t="s">
        <v>12476</v>
      </c>
    </row>
    <row r="52480" customFormat="false" ht="12.8" hidden="false" customHeight="false" outlineLevel="0" collapsed="false">
      <c r="A52480" s="0" t="s">
        <v>18266</v>
      </c>
      <c r="B52480" s="0" t="str">
        <f aca="false">HYPERLINK("https://lindat.mff.cuni.cz/services/teitok/pdtc10/index.php?action=vallex&amp;frame=v-w7453hsa_183", "uvidět se (v-w7453hsa_183)")</f>
        <v>uvidět se (v-w7453hsa_183)</v>
      </c>
    </row>
    <row r="52481" customFormat="false" ht="12.8" hidden="false" customHeight="false" outlineLevel="0" collapsed="false">
      <c r="B52481" s="0" t="s">
        <v>1</v>
      </c>
    </row>
    <row r="52482" customFormat="false" ht="12.8" hidden="false" customHeight="false" outlineLevel="0" collapsed="false">
      <c r="B52482" s="0" t="s">
        <v>721</v>
      </c>
    </row>
    <row r="52484" customFormat="false" ht="12.8" hidden="false" customHeight="false" outlineLevel="0" collapsed="false">
      <c r="A52484" s="0" t="s">
        <v>18267</v>
      </c>
      <c r="B52484" s="0" t="str">
        <f aca="false">HYPERLINK("https://lindat.mff.cuni.cz/services/teitok/pdtc10/index.php?action=vallex&amp;frame=v-w7458f2_ZU", "uvolit se (v-w7458f2_ZU)")</f>
        <v>uvolit se (v-w7458f2_ZU)</v>
      </c>
    </row>
    <row r="52485" customFormat="false" ht="12.8" hidden="false" customHeight="false" outlineLevel="0" collapsed="false">
      <c r="B52485" s="0" t="s">
        <v>1</v>
      </c>
    </row>
    <row r="52486" customFormat="false" ht="12.8" hidden="false" customHeight="false" outlineLevel="0" collapsed="false">
      <c r="B52486" s="0" t="s">
        <v>8918</v>
      </c>
    </row>
    <row r="52488" customFormat="false" ht="12.8" hidden="false" customHeight="false" outlineLevel="0" collapsed="false">
      <c r="A52488" s="0" t="s">
        <v>18267</v>
      </c>
      <c r="B52488" s="0" t="str">
        <f aca="false">HYPERLINK("https://lindat.mff.cuni.cz/services/teitok/pdtc10/index.php?action=vallex&amp;frame=v-w7458f1", "uvolit se (v-w7458f1) - substituted with v-w7458f2_ZU")</f>
        <v>uvolit se (v-w7458f1) - substituted with v-w7458f2_ZU</v>
      </c>
    </row>
    <row r="52489" customFormat="false" ht="12.8" hidden="false" customHeight="false" outlineLevel="0" collapsed="false">
      <c r="B52489" s="0" t="s">
        <v>1</v>
      </c>
    </row>
    <row r="52490" customFormat="false" ht="12.8" hidden="false" customHeight="false" outlineLevel="0" collapsed="false">
      <c r="B52490" s="0" t="s">
        <v>8918</v>
      </c>
    </row>
    <row r="52492" customFormat="false" ht="12.8" hidden="false" customHeight="false" outlineLevel="0" collapsed="false">
      <c r="A52492" s="0" t="s">
        <v>18268</v>
      </c>
      <c r="B52492" s="0" t="str">
        <f aca="false">HYPERLINK("https://lindat.mff.cuni.cz/services/teitok/pdtc10/index.php?action=vallex&amp;frame=v-w7460f3", "uvolnit (v-w7460f3)")</f>
        <v>uvolnit (v-w7460f3)</v>
      </c>
    </row>
    <row r="52493" customFormat="false" ht="12.8" hidden="false" customHeight="false" outlineLevel="0" collapsed="false">
      <c r="B52493" s="0" t="s">
        <v>1</v>
      </c>
    </row>
    <row r="52494" customFormat="false" ht="12.8" hidden="false" customHeight="false" outlineLevel="0" collapsed="false">
      <c r="B52494" s="0" t="s">
        <v>8</v>
      </c>
    </row>
    <row r="52495" customFormat="false" ht="12.8" hidden="false" customHeight="false" outlineLevel="0" collapsed="false">
      <c r="B52495" s="0" t="s">
        <v>631</v>
      </c>
    </row>
    <row r="52497" customFormat="false" ht="12.8" hidden="false" customHeight="false" outlineLevel="0" collapsed="false">
      <c r="A52497" s="0" t="s">
        <v>18269</v>
      </c>
      <c r="B52497" s="0" t="str">
        <f aca="false">HYPERLINK("https://lindat.mff.cuni.cz/services/teitok/pdtc10/index.php?action=vallex&amp;frame=v-w7460f1", "uvolnit (v-w7460f1)")</f>
        <v>uvolnit (v-w7460f1)</v>
      </c>
      <c r="E52497" s="0" t="str">
        <f aca="false">HYPERLINK("https://lindat.mff.cuni.cz/services/SynSemClass40/SynSemClass40.html?veclass=vec00947#vec00947-ces-cm00014", "vec00947")</f>
        <v>vec00947</v>
      </c>
      <c r="F52497" s="0" t="s">
        <v>18270</v>
      </c>
    </row>
    <row r="52498" customFormat="false" ht="12.8" hidden="false" customHeight="false" outlineLevel="0" collapsed="false">
      <c r="B52498" s="0" t="s">
        <v>1</v>
      </c>
      <c r="C52498" s="0" t="s">
        <v>4695</v>
      </c>
      <c r="E52498" s="0" t="s">
        <v>206</v>
      </c>
      <c r="F52498" s="0" t="s">
        <v>7923</v>
      </c>
    </row>
    <row r="52499" customFormat="false" ht="12.8" hidden="false" customHeight="false" outlineLevel="0" collapsed="false">
      <c r="B52499" s="0" t="s">
        <v>8</v>
      </c>
      <c r="C52499" s="0" t="s">
        <v>798</v>
      </c>
      <c r="E52499" s="0" t="s">
        <v>594</v>
      </c>
      <c r="F52499" s="0" t="s">
        <v>18271</v>
      </c>
    </row>
    <row r="52501" customFormat="false" ht="12.8" hidden="false" customHeight="false" outlineLevel="0" collapsed="false">
      <c r="A52501" s="0" t="s">
        <v>18272</v>
      </c>
      <c r="B52501" s="0" t="str">
        <f aca="false">HYPERLINK("https://lindat.mff.cuni.cz/services/teitok/pdtc10/index.php?action=vallex&amp;frame=v-w7460f2", "uvolnit (v-w7460f2)")</f>
        <v>uvolnit (v-w7460f2)</v>
      </c>
      <c r="E52501" s="0" t="str">
        <f aca="false">HYPERLINK("https://lindat.mff.cuni.cz/services/SynSemClass40/SynSemClass40.html?veclass=vec00545#vec00545-ces-cm00001", "vec00545")</f>
        <v>vec00545</v>
      </c>
      <c r="F52501" s="0" t="s">
        <v>6030</v>
      </c>
      <c r="H52501" s="0" t="str">
        <f aca="false">HYPERLINK("https://lindat.mff.cuni.cz/services/SynSemClass40/SynSemClass40.html?veclass=vec01301#vec01301-ces-cm00041", "vec01301")</f>
        <v>vec01301</v>
      </c>
      <c r="I52501" s="0" t="s">
        <v>6491</v>
      </c>
    </row>
    <row r="52502" customFormat="false" ht="12.8" hidden="false" customHeight="false" outlineLevel="0" collapsed="false">
      <c r="B52502" s="0" t="s">
        <v>1</v>
      </c>
      <c r="C52502" s="0" t="s">
        <v>2026</v>
      </c>
      <c r="E52502" s="0" t="s">
        <v>206</v>
      </c>
      <c r="F52502" s="0" t="s">
        <v>5400</v>
      </c>
      <c r="H52502" s="0" t="s">
        <v>31</v>
      </c>
      <c r="I52502" s="0" t="s">
        <v>6492</v>
      </c>
    </row>
    <row r="52503" customFormat="false" ht="12.8" hidden="false" customHeight="false" outlineLevel="0" collapsed="false">
      <c r="B52503" s="0" t="s">
        <v>8</v>
      </c>
      <c r="C52503" s="0" t="s">
        <v>6493</v>
      </c>
      <c r="E52503" s="0" t="s">
        <v>180</v>
      </c>
      <c r="F52503" s="0" t="s">
        <v>6031</v>
      </c>
      <c r="H52503" s="0" t="s">
        <v>6494</v>
      </c>
      <c r="I52503" s="0" t="s">
        <v>6495</v>
      </c>
    </row>
    <row r="52505" customFormat="false" ht="12.8" hidden="false" customHeight="false" outlineLevel="0" collapsed="false">
      <c r="A52505" s="0" t="s">
        <v>18273</v>
      </c>
      <c r="B52505" s="0" t="str">
        <f aca="false">HYPERLINK("https://lindat.mff.cuni.cz/services/teitok/pdtc10/index.php?action=vallex&amp;frame=v-w7460f8_ZU", "uvolnit (v-w7460f8_ZU)")</f>
        <v>uvolnit (v-w7460f8_ZU)</v>
      </c>
      <c r="E52505" s="0" t="str">
        <f aca="false">HYPERLINK("https://lindat.mff.cuni.cz/services/SynSemClass40/SynSemClass40.html?veclass=vec01140#vec01140-ces-cm00001", "vec01140")</f>
        <v>vec01140</v>
      </c>
      <c r="F52505" s="0" t="s">
        <v>9315</v>
      </c>
    </row>
    <row r="52506" customFormat="false" ht="12.8" hidden="false" customHeight="false" outlineLevel="0" collapsed="false">
      <c r="B52506" s="0" t="s">
        <v>1</v>
      </c>
      <c r="C52506" s="0" t="s">
        <v>3288</v>
      </c>
      <c r="E52506" s="0" t="s">
        <v>31</v>
      </c>
      <c r="F52506" s="0" t="s">
        <v>9317</v>
      </c>
    </row>
    <row r="52507" customFormat="false" ht="12.8" hidden="false" customHeight="false" outlineLevel="0" collapsed="false">
      <c r="B52507" s="0" t="s">
        <v>8</v>
      </c>
      <c r="C52507" s="0" t="s">
        <v>1940</v>
      </c>
      <c r="E52507" s="0" t="s">
        <v>18274</v>
      </c>
      <c r="F52507" s="0" t="s">
        <v>18275</v>
      </c>
    </row>
    <row r="52509" customFormat="false" ht="12.8" hidden="false" customHeight="false" outlineLevel="0" collapsed="false">
      <c r="A52509" s="0" t="s">
        <v>18273</v>
      </c>
      <c r="B52509" s="0" t="str">
        <f aca="false">HYPERLINK("https://lindat.mff.cuni.cz/services/teitok/pdtc10/index.php?action=vallex&amp;frame=v-w7460f4", "uvolnit (v-w7460f4) - substituted with v-w7460f8_ZU")</f>
        <v>uvolnit (v-w7460f4) - substituted with v-w7460f8_ZU</v>
      </c>
    </row>
    <row r="52510" customFormat="false" ht="12.8" hidden="false" customHeight="false" outlineLevel="0" collapsed="false">
      <c r="B52510" s="0" t="s">
        <v>1</v>
      </c>
    </row>
    <row r="52511" customFormat="false" ht="12.8" hidden="false" customHeight="false" outlineLevel="0" collapsed="false">
      <c r="B52511" s="0" t="s">
        <v>8</v>
      </c>
    </row>
    <row r="52513" customFormat="false" ht="12.8" hidden="false" customHeight="false" outlineLevel="0" collapsed="false">
      <c r="A52513" s="0" t="s">
        <v>18276</v>
      </c>
      <c r="B52513" s="0" t="str">
        <f aca="false">HYPERLINK("https://lindat.mff.cuni.cz/services/teitok/pdtc10/index.php?action=vallex&amp;frame=v-w7460f5", "uvolnit (v-w7460f5)")</f>
        <v>uvolnit (v-w7460f5)</v>
      </c>
      <c r="E52513" s="0" t="str">
        <f aca="false">HYPERLINK("https://lindat.mff.cuni.cz/services/SynSemClass40/SynSemClass40.html?veclass=vec00943#vec00943-ces-cm00007", "vec00943")</f>
        <v>vec00943</v>
      </c>
      <c r="F52513" s="0" t="s">
        <v>18135</v>
      </c>
    </row>
    <row r="52514" customFormat="false" ht="12.8" hidden="false" customHeight="false" outlineLevel="0" collapsed="false">
      <c r="B52514" s="0" t="s">
        <v>1</v>
      </c>
      <c r="C52514" s="0" t="s">
        <v>154</v>
      </c>
      <c r="E52514" s="0" t="s">
        <v>4581</v>
      </c>
      <c r="F52514" s="0" t="s">
        <v>18136</v>
      </c>
    </row>
    <row r="52515" customFormat="false" ht="12.8" hidden="false" customHeight="false" outlineLevel="0" collapsed="false">
      <c r="B52515" s="0" t="s">
        <v>8</v>
      </c>
      <c r="C52515" s="0" t="s">
        <v>109</v>
      </c>
      <c r="E52515" s="0" t="s">
        <v>514</v>
      </c>
      <c r="F52515" s="0" t="s">
        <v>18137</v>
      </c>
    </row>
    <row r="52517" customFormat="false" ht="12.8" hidden="false" customHeight="false" outlineLevel="0" collapsed="false">
      <c r="A52517" s="0" t="s">
        <v>18277</v>
      </c>
      <c r="B52517" s="0" t="str">
        <f aca="false">HYPERLINK("https://lindat.mff.cuni.cz/services/teitok/pdtc10/index.php?action=vallex&amp;frame=v-w7460f6", "uvolnit (v-w7460f6)")</f>
        <v>uvolnit (v-w7460f6)</v>
      </c>
    </row>
    <row r="52518" customFormat="false" ht="12.8" hidden="false" customHeight="false" outlineLevel="0" collapsed="false">
      <c r="B52518" s="0" t="s">
        <v>1</v>
      </c>
    </row>
    <row r="52519" customFormat="false" ht="12.8" hidden="false" customHeight="false" outlineLevel="0" collapsed="false">
      <c r="B52519" s="0" t="s">
        <v>8</v>
      </c>
    </row>
    <row r="52521" customFormat="false" ht="12.8" hidden="false" customHeight="false" outlineLevel="0" collapsed="false">
      <c r="A52521" s="0" t="s">
        <v>18278</v>
      </c>
      <c r="B52521" s="0" t="str">
        <f aca="false">HYPERLINK("https://lindat.mff.cuni.cz/services/teitok/pdtc10/index.php?action=vallex&amp;frame=v-w7460hsa_514", "uvolnit (v-w7460hsa_514)")</f>
        <v>uvolnit (v-w7460hsa_514)</v>
      </c>
    </row>
    <row r="52522" customFormat="false" ht="12.8" hidden="false" customHeight="false" outlineLevel="0" collapsed="false">
      <c r="B52522" s="0" t="s">
        <v>1</v>
      </c>
    </row>
    <row r="52523" customFormat="false" ht="12.8" hidden="false" customHeight="false" outlineLevel="0" collapsed="false">
      <c r="B52523" s="0" t="s">
        <v>8</v>
      </c>
    </row>
    <row r="52525" customFormat="false" ht="12.8" hidden="false" customHeight="false" outlineLevel="0" collapsed="false">
      <c r="A52525" s="0" t="s">
        <v>18279</v>
      </c>
      <c r="B52525" s="0" t="str">
        <f aca="false">HYPERLINK("https://lindat.mff.cuni.cz/services/teitok/pdtc10/index.php?action=vallex&amp;frame=v-w7460f7_ZU", "uvolnit (v-w7460f7_ZU)")</f>
        <v>uvolnit (v-w7460f7_ZU)</v>
      </c>
    </row>
    <row r="52526" customFormat="false" ht="12.8" hidden="false" customHeight="false" outlineLevel="0" collapsed="false">
      <c r="B52526" s="0" t="s">
        <v>1</v>
      </c>
    </row>
    <row r="52527" customFormat="false" ht="12.8" hidden="false" customHeight="false" outlineLevel="0" collapsed="false">
      <c r="B52527" s="0" t="s">
        <v>8</v>
      </c>
    </row>
    <row r="52529" customFormat="false" ht="12.8" hidden="false" customHeight="false" outlineLevel="0" collapsed="false">
      <c r="A52529" s="0" t="s">
        <v>18279</v>
      </c>
      <c r="B52529" s="0" t="str">
        <f aca="false">HYPERLINK("https://lindat.mff.cuni.cz/services/teitok/pdtc10/index.php?action=vallex&amp;frame=v-w7460hsa_515", "uvolnit (v-w7460hsa_515) - substituted with v-w7460f7_ZU")</f>
        <v>uvolnit (v-w7460hsa_515) - substituted with v-w7460f7_ZU</v>
      </c>
    </row>
    <row r="52530" customFormat="false" ht="12.8" hidden="false" customHeight="false" outlineLevel="0" collapsed="false">
      <c r="B52530" s="0" t="s">
        <v>1</v>
      </c>
    </row>
    <row r="52531" customFormat="false" ht="12.8" hidden="false" customHeight="false" outlineLevel="0" collapsed="false">
      <c r="B52531" s="0" t="s">
        <v>8</v>
      </c>
    </row>
    <row r="52533" customFormat="false" ht="12.8" hidden="false" customHeight="false" outlineLevel="0" collapsed="false">
      <c r="A52533" s="0" t="s">
        <v>18280</v>
      </c>
      <c r="B52533" s="0" t="str">
        <f aca="false">HYPERLINK("https://lindat.mff.cuni.cz/services/teitok/pdtc10/index.php?action=vallex&amp;frame=v-w7461f1", "uvolnit se (v-w7461f1)")</f>
        <v>uvolnit se (v-w7461f1)</v>
      </c>
    </row>
    <row r="52534" customFormat="false" ht="12.8" hidden="false" customHeight="false" outlineLevel="0" collapsed="false">
      <c r="B52534" s="0" t="s">
        <v>1</v>
      </c>
    </row>
    <row r="52536" customFormat="false" ht="12.8" hidden="false" customHeight="false" outlineLevel="0" collapsed="false">
      <c r="A52536" s="0" t="s">
        <v>18281</v>
      </c>
      <c r="B52536" s="0" t="str">
        <f aca="false">HYPERLINK("https://lindat.mff.cuni.cz/services/teitok/pdtc10/index.php?action=vallex&amp;frame=v-w7461f4_ZU", "uvolnit se (v-w7461f4_ZU)")</f>
        <v>uvolnit se (v-w7461f4_ZU)</v>
      </c>
    </row>
    <row r="52537" customFormat="false" ht="12.8" hidden="false" customHeight="false" outlineLevel="0" collapsed="false">
      <c r="B52537" s="0" t="s">
        <v>1</v>
      </c>
    </row>
    <row r="52538" customFormat="false" ht="12.8" hidden="false" customHeight="false" outlineLevel="0" collapsed="false">
      <c r="B52538" s="0" t="s">
        <v>444</v>
      </c>
    </row>
    <row r="52540" customFormat="false" ht="12.8" hidden="false" customHeight="false" outlineLevel="0" collapsed="false">
      <c r="A52540" s="0" t="s">
        <v>18281</v>
      </c>
      <c r="B52540" s="0" t="str">
        <f aca="false">HYPERLINK("https://lindat.mff.cuni.cz/services/teitok/pdtc10/index.php?action=vallex&amp;frame=v-w7461f2", "uvolnit se (v-w7461f2) - substituted with v-w7461f4_ZU")</f>
        <v>uvolnit se (v-w7461f2) - substituted with v-w7461f4_ZU</v>
      </c>
    </row>
    <row r="52541" customFormat="false" ht="12.8" hidden="false" customHeight="false" outlineLevel="0" collapsed="false">
      <c r="B52541" s="0" t="s">
        <v>1</v>
      </c>
    </row>
    <row r="52542" customFormat="false" ht="12.8" hidden="false" customHeight="false" outlineLevel="0" collapsed="false">
      <c r="B52542" s="0" t="s">
        <v>444</v>
      </c>
    </row>
    <row r="52544" customFormat="false" ht="12.8" hidden="false" customHeight="false" outlineLevel="0" collapsed="false">
      <c r="A52544" s="0" t="s">
        <v>18282</v>
      </c>
      <c r="B52544" s="0" t="str">
        <f aca="false">HYPERLINK("https://lindat.mff.cuni.cz/services/teitok/pdtc10/index.php?action=vallex&amp;frame=v-w7461f3", "uvolnit se (v-w7461f3)")</f>
        <v>uvolnit se (v-w7461f3)</v>
      </c>
    </row>
    <row r="52545" customFormat="false" ht="12.8" hidden="false" customHeight="false" outlineLevel="0" collapsed="false">
      <c r="B52545" s="0" t="s">
        <v>1</v>
      </c>
    </row>
    <row r="52547" customFormat="false" ht="12.8" hidden="false" customHeight="false" outlineLevel="0" collapsed="false">
      <c r="A52547" s="0" t="s">
        <v>18283</v>
      </c>
      <c r="B52547" s="0" t="str">
        <f aca="false">HYPERLINK("https://lindat.mff.cuni.cz/services/teitok/pdtc10/index.php?action=vallex&amp;frame=v-w7461f6_ZU", "uvolnit se (v-w7461f6_ZU)")</f>
        <v>uvolnit se (v-w7461f6_ZU)</v>
      </c>
    </row>
    <row r="52548" customFormat="false" ht="12.8" hidden="false" customHeight="false" outlineLevel="0" collapsed="false">
      <c r="B52548" s="0" t="s">
        <v>1</v>
      </c>
    </row>
    <row r="52550" customFormat="false" ht="12.8" hidden="false" customHeight="false" outlineLevel="0" collapsed="false">
      <c r="A52550" s="0" t="s">
        <v>18283</v>
      </c>
      <c r="B52550" s="0" t="str">
        <f aca="false">HYPERLINK("https://lindat.mff.cuni.cz/services/teitok/pdtc10/index.php?action=vallex&amp;frame=v-w7461f5_ZU", "uvolnit se (v-w7461f5_ZU) - substituted with v-w7461f6_ZU")</f>
        <v>uvolnit se (v-w7461f5_ZU) - substituted with v-w7461f6_ZU</v>
      </c>
    </row>
    <row r="52551" customFormat="false" ht="12.8" hidden="false" customHeight="false" outlineLevel="0" collapsed="false">
      <c r="B52551" s="0" t="s">
        <v>1</v>
      </c>
    </row>
    <row r="52553" customFormat="false" ht="12.8" hidden="false" customHeight="false" outlineLevel="0" collapsed="false">
      <c r="A52553" s="0" t="s">
        <v>18284</v>
      </c>
      <c r="B52553" s="0" t="str">
        <f aca="false">HYPERLINK("https://lindat.mff.cuni.cz/services/teitok/pdtc10/index.php?action=vallex&amp;frame=v-w7461hsa_1806", "uvolnit se (v-w7461hsa_1806)")</f>
        <v>uvolnit se (v-w7461hsa_1806)</v>
      </c>
    </row>
    <row r="52554" customFormat="false" ht="12.8" hidden="false" customHeight="false" outlineLevel="0" collapsed="false">
      <c r="B52554" s="0" t="s">
        <v>1</v>
      </c>
    </row>
    <row r="52556" customFormat="false" ht="12.8" hidden="false" customHeight="false" outlineLevel="0" collapsed="false">
      <c r="A52556" s="0" t="s">
        <v>18285</v>
      </c>
      <c r="B52556" s="0" t="str">
        <f aca="false">HYPERLINK("https://lindat.mff.cuni.cz/services/teitok/pdtc10/index.php?action=vallex&amp;frame=v-w7461hsa_1807", "uvolnit se (v-w7461hsa_1807)")</f>
        <v>uvolnit se (v-w7461hsa_1807)</v>
      </c>
    </row>
    <row r="52557" customFormat="false" ht="12.8" hidden="false" customHeight="false" outlineLevel="0" collapsed="false">
      <c r="B52557" s="0" t="s">
        <v>1</v>
      </c>
    </row>
    <row r="52558" customFormat="false" ht="12.8" hidden="false" customHeight="false" outlineLevel="0" collapsed="false">
      <c r="B52558" s="0" t="s">
        <v>631</v>
      </c>
    </row>
    <row r="52560" customFormat="false" ht="12.8" hidden="false" customHeight="false" outlineLevel="0" collapsed="false">
      <c r="A52560" s="0" t="s">
        <v>18286</v>
      </c>
      <c r="B52560" s="0" t="str">
        <f aca="false">HYPERLINK("https://lindat.mff.cuni.cz/services/teitok/pdtc10/index.php?action=vallex&amp;frame=v-w7463f1", "uvolňovat (v-w7463f1)")</f>
        <v>uvolňovat (v-w7463f1)</v>
      </c>
    </row>
    <row r="52561" customFormat="false" ht="12.8" hidden="false" customHeight="false" outlineLevel="0" collapsed="false">
      <c r="B52561" s="0" t="s">
        <v>1</v>
      </c>
    </row>
    <row r="52562" customFormat="false" ht="12.8" hidden="false" customHeight="false" outlineLevel="0" collapsed="false">
      <c r="B52562" s="0" t="s">
        <v>8</v>
      </c>
    </row>
    <row r="52563" customFormat="false" ht="12.8" hidden="false" customHeight="false" outlineLevel="0" collapsed="false">
      <c r="B52563" s="0" t="s">
        <v>631</v>
      </c>
    </row>
    <row r="52565" customFormat="false" ht="12.8" hidden="false" customHeight="false" outlineLevel="0" collapsed="false">
      <c r="A52565" s="0" t="s">
        <v>18287</v>
      </c>
      <c r="B52565" s="0" t="str">
        <f aca="false">HYPERLINK("https://lindat.mff.cuni.cz/services/teitok/pdtc10/index.php?action=vallex&amp;frame=v-w7463f2", "uvolňovat (v-w7463f2)")</f>
        <v>uvolňovat (v-w7463f2)</v>
      </c>
      <c r="E52565" s="0" t="str">
        <f aca="false">HYPERLINK("https://lindat.mff.cuni.cz/services/SynSemClass40/SynSemClass40.html?veclass=vec00947#vec00947-ces-cm00001", "vec00947")</f>
        <v>vec00947</v>
      </c>
      <c r="F52565" s="0" t="s">
        <v>18270</v>
      </c>
    </row>
    <row r="52566" customFormat="false" ht="12.8" hidden="false" customHeight="false" outlineLevel="0" collapsed="false">
      <c r="B52566" s="0" t="s">
        <v>1</v>
      </c>
      <c r="C52566" s="0" t="s">
        <v>4695</v>
      </c>
      <c r="E52566" s="0" t="s">
        <v>206</v>
      </c>
      <c r="F52566" s="0" t="s">
        <v>7923</v>
      </c>
    </row>
    <row r="52567" customFormat="false" ht="12.8" hidden="false" customHeight="false" outlineLevel="0" collapsed="false">
      <c r="B52567" s="0" t="s">
        <v>8</v>
      </c>
      <c r="C52567" s="0" t="s">
        <v>798</v>
      </c>
      <c r="E52567" s="0" t="s">
        <v>594</v>
      </c>
      <c r="F52567" s="0" t="s">
        <v>18271</v>
      </c>
    </row>
    <row r="52569" customFormat="false" ht="12.8" hidden="false" customHeight="false" outlineLevel="0" collapsed="false">
      <c r="A52569" s="0" t="s">
        <v>18288</v>
      </c>
      <c r="B52569" s="0" t="str">
        <f aca="false">HYPERLINK("https://lindat.mff.cuni.cz/services/teitok/pdtc10/index.php?action=vallex&amp;frame=v-w7463f3_ZU", "uvolňovat (v-w7463f3_ZU)")</f>
        <v>uvolňovat (v-w7463f3_ZU)</v>
      </c>
      <c r="E52569" s="0" t="str">
        <f aca="false">HYPERLINK("https://lindat.mff.cuni.cz/services/SynSemClass40/SynSemClass40.html?veclass=vec00545#vec00545-ces-cm00013", "vec00545")</f>
        <v>vec00545</v>
      </c>
      <c r="F52569" s="0" t="s">
        <v>6030</v>
      </c>
      <c r="H52569" s="0" t="str">
        <f aca="false">HYPERLINK("https://lindat.mff.cuni.cz/services/SynSemClass40/SynSemClass40.html?veclass=vec01301#vec01301-ces-cm00043", "vec01301")</f>
        <v>vec01301</v>
      </c>
      <c r="I52569" s="0" t="s">
        <v>6491</v>
      </c>
    </row>
    <row r="52570" customFormat="false" ht="12.8" hidden="false" customHeight="false" outlineLevel="0" collapsed="false">
      <c r="B52570" s="0" t="s">
        <v>1</v>
      </c>
      <c r="C52570" s="0" t="s">
        <v>2026</v>
      </c>
      <c r="E52570" s="0" t="s">
        <v>206</v>
      </c>
      <c r="F52570" s="0" t="s">
        <v>5400</v>
      </c>
      <c r="H52570" s="0" t="s">
        <v>31</v>
      </c>
      <c r="I52570" s="0" t="s">
        <v>6492</v>
      </c>
    </row>
    <row r="52571" customFormat="false" ht="12.8" hidden="false" customHeight="false" outlineLevel="0" collapsed="false">
      <c r="B52571" s="0" t="s">
        <v>8</v>
      </c>
      <c r="C52571" s="0" t="s">
        <v>6493</v>
      </c>
      <c r="E52571" s="0" t="s">
        <v>180</v>
      </c>
      <c r="F52571" s="0" t="s">
        <v>6031</v>
      </c>
      <c r="H52571" s="0" t="s">
        <v>6494</v>
      </c>
      <c r="I52571" s="0" t="s">
        <v>6495</v>
      </c>
    </row>
    <row r="52573" customFormat="false" ht="12.8" hidden="false" customHeight="false" outlineLevel="0" collapsed="false">
      <c r="A52573" s="0" t="s">
        <v>18288</v>
      </c>
      <c r="B52573" s="0" t="str">
        <f aca="false">HYPERLINK("https://lindat.mff.cuni.cz/services/teitok/pdtc10/index.php?action=vallex&amp;frame=v-w7463hsa_151", "uvolňovat (v-w7463hsa_151) - substituted with v-w7463f3_ZU")</f>
        <v>uvolňovat (v-w7463hsa_151) - substituted with v-w7463f3_ZU</v>
      </c>
    </row>
    <row r="52574" customFormat="false" ht="12.8" hidden="false" customHeight="false" outlineLevel="0" collapsed="false">
      <c r="B52574" s="0" t="s">
        <v>1</v>
      </c>
    </row>
    <row r="52575" customFormat="false" ht="12.8" hidden="false" customHeight="false" outlineLevel="0" collapsed="false">
      <c r="B52575" s="0" t="s">
        <v>8</v>
      </c>
    </row>
    <row r="52577" customFormat="false" ht="12.8" hidden="false" customHeight="false" outlineLevel="0" collapsed="false">
      <c r="A52577" s="0" t="s">
        <v>18289</v>
      </c>
      <c r="B52577" s="0" t="str">
        <f aca="false">HYPERLINK("https://lindat.mff.cuni.cz/services/teitok/pdtc10/index.php?action=vallex&amp;frame=v-w7463f4_ZU", "uvolňovat (v-w7463f4_ZU)")</f>
        <v>uvolňovat (v-w7463f4_ZU)</v>
      </c>
    </row>
    <row r="52578" customFormat="false" ht="12.8" hidden="false" customHeight="false" outlineLevel="0" collapsed="false">
      <c r="B52578" s="0" t="s">
        <v>1</v>
      </c>
    </row>
    <row r="52579" customFormat="false" ht="12.8" hidden="false" customHeight="false" outlineLevel="0" collapsed="false">
      <c r="B52579" s="0" t="s">
        <v>8</v>
      </c>
    </row>
    <row r="52581" customFormat="false" ht="12.8" hidden="false" customHeight="false" outlineLevel="0" collapsed="false">
      <c r="A52581" s="0" t="s">
        <v>18290</v>
      </c>
      <c r="B52581" s="0" t="str">
        <f aca="false">HYPERLINK("https://lindat.mff.cuni.cz/services/teitok/pdtc10/index.php?action=vallex&amp;frame=v-w7464f1", "uvolňovat se (v-w7464f1)")</f>
        <v>uvolňovat se (v-w7464f1)</v>
      </c>
    </row>
    <row r="52582" customFormat="false" ht="12.8" hidden="false" customHeight="false" outlineLevel="0" collapsed="false">
      <c r="B52582" s="0" t="s">
        <v>1</v>
      </c>
    </row>
    <row r="52583" customFormat="false" ht="12.8" hidden="false" customHeight="false" outlineLevel="0" collapsed="false">
      <c r="B52583" s="0" t="s">
        <v>763</v>
      </c>
    </row>
    <row r="52585" customFormat="false" ht="12.8" hidden="false" customHeight="false" outlineLevel="0" collapsed="false">
      <c r="A52585" s="0" t="s">
        <v>18291</v>
      </c>
      <c r="B52585" s="0" t="str">
        <f aca="false">HYPERLINK("https://lindat.mff.cuni.cz/services/teitok/pdtc10/index.php?action=vallex&amp;frame=v-w7466f2", "uvrhnout (v-w7466f2)")</f>
        <v>uvrhnout (v-w7466f2)</v>
      </c>
      <c r="E52585" s="0" t="str">
        <f aca="false">HYPERLINK("https://lindat.mff.cuni.cz/services/SynSemClass40/SynSemClass40.html?veclass=vec00812#vec00812-ces-cm00332", "vec00812")</f>
        <v>vec00812</v>
      </c>
      <c r="F52585" s="0" t="s">
        <v>2822</v>
      </c>
    </row>
    <row r="52586" customFormat="false" ht="12.8" hidden="false" customHeight="false" outlineLevel="0" collapsed="false">
      <c r="B52586" s="0" t="s">
        <v>1</v>
      </c>
      <c r="C52586" s="0" t="s">
        <v>2823</v>
      </c>
      <c r="E52586" s="0" t="s">
        <v>1103</v>
      </c>
      <c r="F52586" s="0" t="s">
        <v>2824</v>
      </c>
    </row>
    <row r="52587" customFormat="false" ht="12.8" hidden="false" customHeight="false" outlineLevel="0" collapsed="false">
      <c r="B52587" s="0" t="s">
        <v>8</v>
      </c>
      <c r="C52587" s="0" t="s">
        <v>2372</v>
      </c>
      <c r="E52587" s="0" t="s">
        <v>142</v>
      </c>
      <c r="F52587" s="0" t="s">
        <v>2825</v>
      </c>
    </row>
    <row r="52588" customFormat="false" ht="12.8" hidden="false" customHeight="false" outlineLevel="0" collapsed="false">
      <c r="B52588" s="0" t="s">
        <v>361</v>
      </c>
      <c r="C52588" s="0" t="s">
        <v>2826</v>
      </c>
      <c r="E52588" s="0" t="s">
        <v>2827</v>
      </c>
      <c r="F52588" s="0" t="s">
        <v>2828</v>
      </c>
    </row>
    <row r="52590" customFormat="false" ht="12.8" hidden="false" customHeight="false" outlineLevel="0" collapsed="false">
      <c r="A52590" s="0" t="s">
        <v>18292</v>
      </c>
      <c r="B52590" s="0" t="str">
        <f aca="false">HYPERLINK("https://lindat.mff.cuni.cz/services/teitok/pdtc10/index.php?action=vallex&amp;frame=v-w7466f1", "uvrhnout (v-w7466f1)")</f>
        <v>uvrhnout (v-w7466f1)</v>
      </c>
    </row>
    <row r="52591" customFormat="false" ht="12.8" hidden="false" customHeight="false" outlineLevel="0" collapsed="false">
      <c r="B52591" s="0" t="s">
        <v>1</v>
      </c>
    </row>
    <row r="52592" customFormat="false" ht="12.8" hidden="false" customHeight="false" outlineLevel="0" collapsed="false">
      <c r="B52592" s="0" t="s">
        <v>8</v>
      </c>
    </row>
    <row r="52593" customFormat="false" ht="12.8" hidden="false" customHeight="false" outlineLevel="0" collapsed="false">
      <c r="B52593" s="0" t="s">
        <v>164</v>
      </c>
    </row>
    <row r="52595" customFormat="false" ht="12.8" hidden="false" customHeight="false" outlineLevel="0" collapsed="false">
      <c r="A52595" s="0" t="s">
        <v>18293</v>
      </c>
      <c r="B52595" s="0" t="str">
        <f aca="false">HYPERLINK("https://lindat.mff.cuni.cz/services/teitok/pdtc10/index.php?action=vallex&amp;frame=v-w7420f2", "uvádět (v-w7420f2)")</f>
        <v>uvádět (v-w7420f2)</v>
      </c>
      <c r="E52595" s="0" t="str">
        <f aca="false">HYPERLINK("https://lindat.mff.cuni.cz/services/SynSemClass40/SynSemClass40.html?veclass=vec00060#vec00060-ces-cm00129", "vec00060")</f>
        <v>vec00060</v>
      </c>
      <c r="F52595" s="0" t="s">
        <v>213</v>
      </c>
    </row>
    <row r="52596" customFormat="false" ht="12.8" hidden="false" customHeight="false" outlineLevel="0" collapsed="false">
      <c r="B52596" s="0" t="s">
        <v>1</v>
      </c>
      <c r="C52596" s="0" t="s">
        <v>214</v>
      </c>
      <c r="E52596" s="0" t="s">
        <v>147</v>
      </c>
      <c r="F52596" s="0" t="s">
        <v>215</v>
      </c>
    </row>
    <row r="52597" customFormat="false" ht="12.8" hidden="false" customHeight="false" outlineLevel="0" collapsed="false">
      <c r="B52597" s="0" t="s">
        <v>18294</v>
      </c>
      <c r="C52597" s="0" t="s">
        <v>217</v>
      </c>
      <c r="E52597" s="0" t="s">
        <v>218</v>
      </c>
      <c r="F52597" s="0" t="s">
        <v>219</v>
      </c>
    </row>
    <row r="52598" customFormat="false" ht="12.8" hidden="false" customHeight="false" outlineLevel="0" collapsed="false">
      <c r="B52598" s="0" t="s">
        <v>11535</v>
      </c>
    </row>
    <row r="52600" customFormat="false" ht="12.8" hidden="false" customHeight="false" outlineLevel="0" collapsed="false">
      <c r="A52600" s="0" t="s">
        <v>18295</v>
      </c>
      <c r="B52600" s="0" t="str">
        <f aca="false">HYPERLINK("https://lindat.mff.cuni.cz/services/teitok/pdtc10/index.php?action=vallex&amp;frame=v-w7420f6", "uvádět (v-w7420f6)")</f>
        <v>uvádět (v-w7420f6)</v>
      </c>
      <c r="E52600" s="0" t="str">
        <f aca="false">HYPERLINK("https://lindat.mff.cuni.cz/services/SynSemClass40/SynSemClass40.html?veclass=vec00812#vec00812-ces-cm00221", "vec00812")</f>
        <v>vec00812</v>
      </c>
      <c r="F52600" s="0" t="s">
        <v>2822</v>
      </c>
    </row>
    <row r="52601" customFormat="false" ht="12.8" hidden="false" customHeight="false" outlineLevel="0" collapsed="false">
      <c r="B52601" s="0" t="s">
        <v>843</v>
      </c>
      <c r="C52601" s="0" t="s">
        <v>2823</v>
      </c>
      <c r="E52601" s="0" t="s">
        <v>1103</v>
      </c>
      <c r="F52601" s="0" t="s">
        <v>2824</v>
      </c>
    </row>
    <row r="52602" customFormat="false" ht="12.8" hidden="false" customHeight="false" outlineLevel="0" collapsed="false">
      <c r="B52602" s="0" t="s">
        <v>8</v>
      </c>
      <c r="C52602" s="0" t="s">
        <v>2372</v>
      </c>
      <c r="E52602" s="0" t="s">
        <v>142</v>
      </c>
      <c r="F52602" s="0" t="s">
        <v>2825</v>
      </c>
    </row>
    <row r="52603" customFormat="false" ht="12.8" hidden="false" customHeight="false" outlineLevel="0" collapsed="false">
      <c r="B52603" s="0" t="s">
        <v>361</v>
      </c>
      <c r="C52603" s="0" t="s">
        <v>2826</v>
      </c>
      <c r="E52603" s="0" t="s">
        <v>2827</v>
      </c>
      <c r="F52603" s="0" t="s">
        <v>2828</v>
      </c>
    </row>
    <row r="52605" customFormat="false" ht="12.8" hidden="false" customHeight="false" outlineLevel="0" collapsed="false">
      <c r="A52605" s="0" t="s">
        <v>18296</v>
      </c>
      <c r="B52605" s="0" t="str">
        <f aca="false">HYPERLINK("https://lindat.mff.cuni.cz/services/teitok/pdtc10/index.php?action=vallex&amp;frame=v-w7420f4", "uvádět (v-w7420f4)")</f>
        <v>uvádět (v-w7420f4)</v>
      </c>
      <c r="E52605" s="0" t="str">
        <f aca="false">HYPERLINK("https://lindat.mff.cuni.cz/services/SynSemClass40/SynSemClass40.html?veclass=vec00172#vec00172-ces-cm00035", "vec00172")</f>
        <v>vec00172</v>
      </c>
      <c r="F52605" s="0" t="s">
        <v>2513</v>
      </c>
    </row>
    <row r="52606" customFormat="false" ht="12.8" hidden="false" customHeight="false" outlineLevel="0" collapsed="false">
      <c r="B52606" s="0" t="s">
        <v>1</v>
      </c>
      <c r="C52606" s="0" t="s">
        <v>9473</v>
      </c>
      <c r="E52606" s="0" t="s">
        <v>2196</v>
      </c>
      <c r="F52606" s="0" t="s">
        <v>2515</v>
      </c>
    </row>
    <row r="52607" customFormat="false" ht="12.8" hidden="false" customHeight="false" outlineLevel="0" collapsed="false">
      <c r="B52607" s="0" t="s">
        <v>8</v>
      </c>
      <c r="C52607" s="0" t="s">
        <v>9474</v>
      </c>
      <c r="E52607" s="0" t="s">
        <v>2200</v>
      </c>
      <c r="F52607" s="0" t="s">
        <v>2517</v>
      </c>
    </row>
    <row r="52608" customFormat="false" ht="12.8" hidden="false" customHeight="false" outlineLevel="0" collapsed="false">
      <c r="B52608" s="0" t="s">
        <v>164</v>
      </c>
      <c r="E52608" s="0" t="s">
        <v>1315</v>
      </c>
      <c r="F52608" s="0" t="s">
        <v>1316</v>
      </c>
    </row>
    <row r="52610" customFormat="false" ht="12.8" hidden="false" customHeight="false" outlineLevel="0" collapsed="false">
      <c r="A52610" s="0" t="s">
        <v>18297</v>
      </c>
      <c r="B52610" s="0" t="str">
        <f aca="false">HYPERLINK("https://lindat.mff.cuni.cz/services/teitok/pdtc10/index.php?action=vallex&amp;frame=v-w7420f9", "uvádět (v-w7420f9)")</f>
        <v>uvádět (v-w7420f9)</v>
      </c>
      <c r="E52610" s="0" t="str">
        <f aca="false">HYPERLINK("https://lindat.mff.cuni.cz/services/SynSemClass40/SynSemClass40.html?veclass=vec00342#vec00342-ces-cm00027", "vec00342")</f>
        <v>vec00342</v>
      </c>
      <c r="F52610" s="0" t="s">
        <v>18298</v>
      </c>
    </row>
    <row r="52611" customFormat="false" ht="12.8" hidden="false" customHeight="false" outlineLevel="0" collapsed="false">
      <c r="B52611" s="0" t="s">
        <v>1</v>
      </c>
      <c r="C52611" s="0" t="s">
        <v>11897</v>
      </c>
      <c r="E52611" s="0" t="s">
        <v>11</v>
      </c>
      <c r="F52611" s="0" t="s">
        <v>18299</v>
      </c>
    </row>
    <row r="52612" customFormat="false" ht="12.8" hidden="false" customHeight="false" outlineLevel="0" collapsed="false">
      <c r="B52612" s="0" t="s">
        <v>8</v>
      </c>
      <c r="C52612" s="0" t="s">
        <v>14965</v>
      </c>
      <c r="E52612" s="0" t="s">
        <v>1732</v>
      </c>
      <c r="F52612" s="0" t="s">
        <v>18300</v>
      </c>
    </row>
    <row r="52613" customFormat="false" ht="12.8" hidden="false" customHeight="false" outlineLevel="0" collapsed="false">
      <c r="B52613" s="0" t="s">
        <v>164</v>
      </c>
      <c r="E52613" s="0" t="s">
        <v>3229</v>
      </c>
      <c r="F52613" s="0" t="s">
        <v>8716</v>
      </c>
    </row>
    <row r="52615" customFormat="false" ht="12.8" hidden="false" customHeight="false" outlineLevel="0" collapsed="false">
      <c r="A52615" s="0" t="s">
        <v>18301</v>
      </c>
      <c r="B52615" s="0" t="str">
        <f aca="false">HYPERLINK("https://lindat.mff.cuni.cz/services/teitok/pdtc10/index.php?action=vallex&amp;frame=v-w7420f3", "uvádět (v-w7420f3)")</f>
        <v>uvádět (v-w7420f3)</v>
      </c>
      <c r="E52615" s="0" t="str">
        <f aca="false">HYPERLINK("https://lindat.mff.cuni.cz/services/SynSemClass40/SynSemClass40.html?veclass=vec00611#vec00611-ces-cm00099", "vec00611")</f>
        <v>vec00611</v>
      </c>
      <c r="F52615" s="0" t="s">
        <v>1828</v>
      </c>
    </row>
    <row r="52616" customFormat="false" ht="12.8" hidden="false" customHeight="false" outlineLevel="0" collapsed="false">
      <c r="B52616" s="0" t="s">
        <v>1</v>
      </c>
      <c r="C52616" s="0" t="s">
        <v>1829</v>
      </c>
      <c r="E52616" s="0" t="s">
        <v>1830</v>
      </c>
      <c r="F52616" s="0" t="s">
        <v>1831</v>
      </c>
    </row>
    <row r="52617" customFormat="false" ht="12.8" hidden="false" customHeight="false" outlineLevel="0" collapsed="false">
      <c r="B52617" s="0" t="s">
        <v>8</v>
      </c>
      <c r="C52617" s="0" t="s">
        <v>4002</v>
      </c>
      <c r="E52617" s="0" t="s">
        <v>4634</v>
      </c>
      <c r="F52617" s="0" t="s">
        <v>4635</v>
      </c>
    </row>
    <row r="52619" customFormat="false" ht="12.8" hidden="false" customHeight="false" outlineLevel="0" collapsed="false">
      <c r="A52619" s="0" t="s">
        <v>18302</v>
      </c>
      <c r="B52619" s="0" t="str">
        <f aca="false">HYPERLINK("https://lindat.mff.cuni.cz/services/teitok/pdtc10/index.php?action=vallex&amp;frame=v-w7420f5", "uvádět (v-w7420f5)")</f>
        <v>uvádět (v-w7420f5)</v>
      </c>
    </row>
    <row r="52620" customFormat="false" ht="12.8" hidden="false" customHeight="false" outlineLevel="0" collapsed="false">
      <c r="B52620" s="0" t="s">
        <v>1</v>
      </c>
    </row>
    <row r="52621" customFormat="false" ht="12.8" hidden="false" customHeight="false" outlineLevel="0" collapsed="false">
      <c r="B52621" s="0" t="s">
        <v>8</v>
      </c>
    </row>
    <row r="52623" customFormat="false" ht="12.8" hidden="false" customHeight="false" outlineLevel="0" collapsed="false">
      <c r="A52623" s="0" t="s">
        <v>18303</v>
      </c>
      <c r="B52623" s="0" t="str">
        <f aca="false">HYPERLINK("https://lindat.mff.cuni.cz/services/teitok/pdtc10/index.php?action=vallex&amp;frame=v-w7420f10_ZU", "uvádět (v-w7420f10_ZU)")</f>
        <v>uvádět (v-w7420f10_ZU)</v>
      </c>
    </row>
    <row r="52624" customFormat="false" ht="12.8" hidden="false" customHeight="false" outlineLevel="0" collapsed="false">
      <c r="B52624" s="0" t="s">
        <v>1</v>
      </c>
    </row>
    <row r="52625" customFormat="false" ht="12.8" hidden="false" customHeight="false" outlineLevel="0" collapsed="false">
      <c r="B52625" s="0" t="s">
        <v>8</v>
      </c>
    </row>
    <row r="52627" customFormat="false" ht="12.8" hidden="false" customHeight="false" outlineLevel="0" collapsed="false">
      <c r="A52627" s="0" t="s">
        <v>18304</v>
      </c>
      <c r="B52627" s="0" t="str">
        <f aca="false">HYPERLINK("https://lindat.mff.cuni.cz/services/teitok/pdtc10/index.php?action=vallex&amp;frame=v-w7420f1", "uvádět (v-w7420f1)")</f>
        <v>uvádět (v-w7420f1)</v>
      </c>
      <c r="E52627" s="0" t="str">
        <f aca="false">HYPERLINK("https://lindat.mff.cuni.cz/services/SynSemClass40/SynSemClass40.html?veclass=vec00060#vec00060-ces-cm00128", "vec00060")</f>
        <v>vec00060</v>
      </c>
      <c r="F52627" s="0" t="s">
        <v>213</v>
      </c>
    </row>
    <row r="52628" customFormat="false" ht="12.8" hidden="false" customHeight="false" outlineLevel="0" collapsed="false">
      <c r="B52628" s="0" t="s">
        <v>1</v>
      </c>
      <c r="C52628" s="0" t="s">
        <v>214</v>
      </c>
      <c r="E52628" s="0" t="s">
        <v>147</v>
      </c>
      <c r="F52628" s="0" t="s">
        <v>215</v>
      </c>
    </row>
    <row r="52629" customFormat="false" ht="12.8" hidden="false" customHeight="false" outlineLevel="0" collapsed="false">
      <c r="B52629" s="0" t="s">
        <v>12919</v>
      </c>
      <c r="C52629" s="0" t="s">
        <v>2216</v>
      </c>
      <c r="E52629" s="0" t="s">
        <v>2217</v>
      </c>
      <c r="F52629" s="0" t="s">
        <v>2218</v>
      </c>
    </row>
    <row r="52630" customFormat="false" ht="12.8" hidden="false" customHeight="false" outlineLevel="0" collapsed="false">
      <c r="B52630" s="0" t="s">
        <v>496</v>
      </c>
      <c r="C52630" s="0" t="s">
        <v>217</v>
      </c>
      <c r="E52630" s="0" t="s">
        <v>218</v>
      </c>
      <c r="F52630" s="0" t="s">
        <v>219</v>
      </c>
    </row>
    <row r="52632" customFormat="false" ht="12.8" hidden="false" customHeight="false" outlineLevel="0" collapsed="false">
      <c r="A52632" s="0" t="s">
        <v>18305</v>
      </c>
      <c r="B52632" s="0" t="str">
        <f aca="false">HYPERLINK("https://lindat.mff.cuni.cz/services/teitok/pdtc10/index.php?action=vallex&amp;frame=v-w7420f8", "uvádět (v-w7420f8)")</f>
        <v>uvádět (v-w7420f8)</v>
      </c>
    </row>
    <row r="52633" customFormat="false" ht="12.8" hidden="false" customHeight="false" outlineLevel="0" collapsed="false">
      <c r="B52633" s="0" t="s">
        <v>1</v>
      </c>
    </row>
    <row r="52634" customFormat="false" ht="12.8" hidden="false" customHeight="false" outlineLevel="0" collapsed="false">
      <c r="B52634" s="0" t="s">
        <v>18306</v>
      </c>
    </row>
    <row r="52635" customFormat="false" ht="12.8" hidden="false" customHeight="false" outlineLevel="0" collapsed="false">
      <c r="B52635" s="0" t="s">
        <v>8</v>
      </c>
    </row>
    <row r="52637" customFormat="false" ht="12.8" hidden="false" customHeight="false" outlineLevel="0" collapsed="false">
      <c r="A52637" s="0" t="s">
        <v>18307</v>
      </c>
      <c r="B52637" s="0" t="str">
        <f aca="false">HYPERLINK("https://lindat.mff.cuni.cz/services/teitok/pdtc10/index.php?action=vallex&amp;frame=v-w7420f7", "uvádět (v-w7420f7)")</f>
        <v>uvádět (v-w7420f7)</v>
      </c>
    </row>
    <row r="52638" customFormat="false" ht="12.8" hidden="false" customHeight="false" outlineLevel="0" collapsed="false">
      <c r="B52638" s="0" t="s">
        <v>1</v>
      </c>
    </row>
    <row r="52639" customFormat="false" ht="12.8" hidden="false" customHeight="false" outlineLevel="0" collapsed="false">
      <c r="B52639" s="0" t="s">
        <v>18308</v>
      </c>
    </row>
    <row r="52640" customFormat="false" ht="12.8" hidden="false" customHeight="false" outlineLevel="0" collapsed="false">
      <c r="B52640" s="0" t="s">
        <v>8</v>
      </c>
    </row>
    <row r="52642" customFormat="false" ht="12.8" hidden="false" customHeight="false" outlineLevel="0" collapsed="false">
      <c r="A52642" s="0" t="s">
        <v>18309</v>
      </c>
      <c r="B52642" s="0" t="str">
        <f aca="false">HYPERLINK("https://lindat.mff.cuni.cz/services/teitok/pdtc10/index.php?action=vallex&amp;frame=v-w7420hsa_69", "uvádět (v-w7420hsa_69)")</f>
        <v>uvádět (v-w7420hsa_69)</v>
      </c>
      <c r="E52642" s="0" t="str">
        <f aca="false">HYPERLINK("https://lindat.mff.cuni.cz/services/SynSemClass40/SynSemClass40.html?veclass=vec00322#vec00322-ces-cm00151", "vec00322")</f>
        <v>vec00322</v>
      </c>
      <c r="F52642" s="0" t="s">
        <v>1343</v>
      </c>
    </row>
    <row r="52643" customFormat="false" ht="12.8" hidden="false" customHeight="false" outlineLevel="0" collapsed="false">
      <c r="B52643" s="0" t="s">
        <v>1</v>
      </c>
      <c r="C52643" s="0" t="s">
        <v>1344</v>
      </c>
      <c r="E52643" s="0" t="s">
        <v>206</v>
      </c>
      <c r="F52643" s="0" t="s">
        <v>1345</v>
      </c>
    </row>
    <row r="52644" customFormat="false" ht="12.8" hidden="false" customHeight="false" outlineLevel="0" collapsed="false">
      <c r="B52644" s="0" t="s">
        <v>8</v>
      </c>
      <c r="C52644" s="0" t="s">
        <v>1346</v>
      </c>
      <c r="E52644" s="0" t="s">
        <v>1347</v>
      </c>
      <c r="F52644" s="0" t="s">
        <v>1348</v>
      </c>
    </row>
    <row r="52645" customFormat="false" ht="12.8" hidden="false" customHeight="false" outlineLevel="0" collapsed="false">
      <c r="B52645" s="0" t="s">
        <v>852</v>
      </c>
      <c r="C52645" s="0" t="s">
        <v>18310</v>
      </c>
      <c r="E52645" s="0" t="s">
        <v>18311</v>
      </c>
      <c r="F52645" s="0" t="s">
        <v>18312</v>
      </c>
    </row>
    <row r="52647" customFormat="false" ht="12.8" hidden="false" customHeight="false" outlineLevel="0" collapsed="false">
      <c r="A52647" s="0" t="s">
        <v>18313</v>
      </c>
      <c r="B52647" s="0" t="str">
        <f aca="false">HYPERLINK("https://lindat.mff.cuni.cz/services/teitok/pdtc10/index.php?action=vallex&amp;frame=v-whsa_451f1_ZU", "uvázat (v-whsa_451f1_ZU)")</f>
        <v>uvázat (v-whsa_451f1_ZU)</v>
      </c>
    </row>
    <row r="52648" customFormat="false" ht="12.8" hidden="false" customHeight="false" outlineLevel="0" collapsed="false">
      <c r="B52648" s="0" t="s">
        <v>1</v>
      </c>
    </row>
    <row r="52649" customFormat="false" ht="12.8" hidden="false" customHeight="false" outlineLevel="0" collapsed="false">
      <c r="B52649" s="0" t="s">
        <v>8</v>
      </c>
    </row>
    <row r="52651" customFormat="false" ht="12.8" hidden="false" customHeight="false" outlineLevel="0" collapsed="false">
      <c r="A52651" s="0" t="s">
        <v>18313</v>
      </c>
      <c r="B52651" s="0" t="str">
        <f aca="false">HYPERLINK("https://lindat.mff.cuni.cz/services/teitok/pdtc10/index.php?action=vallex&amp;frame=v-whsa_451hsa_452", "uvázat (v-whsa_451hsa_452) - substituted with v-whsa_451f1_ZU")</f>
        <v>uvázat (v-whsa_451hsa_452) - substituted with v-whsa_451f1_ZU</v>
      </c>
    </row>
    <row r="52652" customFormat="false" ht="12.8" hidden="false" customHeight="false" outlineLevel="0" collapsed="false">
      <c r="B52652" s="0" t="s">
        <v>1</v>
      </c>
    </row>
    <row r="52653" customFormat="false" ht="12.8" hidden="false" customHeight="false" outlineLevel="0" collapsed="false">
      <c r="B52653" s="0" t="s">
        <v>8</v>
      </c>
    </row>
    <row r="52655" customFormat="false" ht="12.8" hidden="false" customHeight="false" outlineLevel="0" collapsed="false">
      <c r="A52655" s="0" t="s">
        <v>18314</v>
      </c>
      <c r="B52655" s="0" t="str">
        <f aca="false">HYPERLINK("https://lindat.mff.cuni.cz/services/teitok/pdtc10/index.php?action=vallex&amp;frame=v-whsa_451hsa_453", "uvázat (v-whsa_451hsa_453)")</f>
        <v>uvázat (v-whsa_451hsa_453)</v>
      </c>
    </row>
    <row r="52656" customFormat="false" ht="12.8" hidden="false" customHeight="false" outlineLevel="0" collapsed="false">
      <c r="B52656" s="0" t="s">
        <v>1</v>
      </c>
    </row>
    <row r="52657" customFormat="false" ht="12.8" hidden="false" customHeight="false" outlineLevel="0" collapsed="false">
      <c r="B52657" s="0" t="s">
        <v>8</v>
      </c>
    </row>
    <row r="52658" customFormat="false" ht="12.8" hidden="false" customHeight="false" outlineLevel="0" collapsed="false">
      <c r="B52658" s="0" t="s">
        <v>36</v>
      </c>
    </row>
    <row r="52659" customFormat="false" ht="12.8" hidden="false" customHeight="false" outlineLevel="0" collapsed="false">
      <c r="B52659" s="0" t="s">
        <v>245</v>
      </c>
    </row>
    <row r="52661" customFormat="false" ht="12.8" hidden="false" customHeight="false" outlineLevel="0" collapsed="false">
      <c r="A52661" s="0" t="s">
        <v>18315</v>
      </c>
      <c r="B52661" s="0" t="str">
        <f aca="false">HYPERLINK("https://lindat.mff.cuni.cz/services/teitok/pdtc10/index.php?action=vallex&amp;frame=v-w11407f2", "uvázat se (v-w11407f2)")</f>
        <v>uvázat se (v-w11407f2)</v>
      </c>
    </row>
    <row r="52662" customFormat="false" ht="12.8" hidden="false" customHeight="false" outlineLevel="0" collapsed="false">
      <c r="B52662" s="0" t="s">
        <v>1</v>
      </c>
    </row>
    <row r="52663" customFormat="false" ht="12.8" hidden="false" customHeight="false" outlineLevel="0" collapsed="false">
      <c r="B52663" s="0" t="s">
        <v>17869</v>
      </c>
    </row>
    <row r="52664" customFormat="false" ht="12.8" hidden="false" customHeight="false" outlineLevel="0" collapsed="false">
      <c r="B52664" s="0" t="s">
        <v>132</v>
      </c>
    </row>
    <row r="52666" customFormat="false" ht="12.8" hidden="false" customHeight="false" outlineLevel="0" collapsed="false">
      <c r="A52666" s="0" t="s">
        <v>18316</v>
      </c>
      <c r="B52666" s="0" t="str">
        <f aca="false">HYPERLINK("https://lindat.mff.cuni.cz/services/teitok/pdtc10/index.php?action=vallex&amp;frame=v-w7428f1", "uváznout (v-w7428f1)")</f>
        <v>uváznout (v-w7428f1)</v>
      </c>
      <c r="E52666" s="0" t="str">
        <f aca="false">HYPERLINK("https://lindat.mff.cuni.cz/services/SynSemClass40/SynSemClass40.html?veclass=vec00309#vec00309-ces-cm00077", "vec00309")</f>
        <v>vec00309</v>
      </c>
      <c r="F52666" s="0" t="s">
        <v>1081</v>
      </c>
      <c r="H52666" s="0" t="str">
        <f aca="false">HYPERLINK("https://lindat.mff.cuni.cz/services/SynSemClass40/SynSemClass40.html?veclass=vec00394#vec00394-ces-cm00068", "vec00394")</f>
        <v>vec00394</v>
      </c>
      <c r="I52666" s="0" t="s">
        <v>3338</v>
      </c>
    </row>
    <row r="52667" customFormat="false" ht="12.8" hidden="false" customHeight="false" outlineLevel="0" collapsed="false">
      <c r="B52667" s="0" t="s">
        <v>1</v>
      </c>
      <c r="C52667" s="0" t="s">
        <v>18317</v>
      </c>
      <c r="E52667" s="0" t="s">
        <v>1084</v>
      </c>
      <c r="F52667" s="0" t="s">
        <v>1085</v>
      </c>
      <c r="H52667" s="0" t="s">
        <v>11</v>
      </c>
      <c r="I52667" s="0" t="s">
        <v>3340</v>
      </c>
    </row>
    <row r="52668" customFormat="false" ht="12.8" hidden="false" customHeight="false" outlineLevel="0" collapsed="false">
      <c r="B52668" s="0" t="s">
        <v>5</v>
      </c>
      <c r="C52668" s="0" t="s">
        <v>18318</v>
      </c>
      <c r="E52668" s="0" t="s">
        <v>18319</v>
      </c>
      <c r="F52668" s="0" t="s">
        <v>18320</v>
      </c>
      <c r="H52668" s="0" t="s">
        <v>3254</v>
      </c>
      <c r="I52668" s="0" t="s">
        <v>3343</v>
      </c>
    </row>
    <row r="52670" customFormat="false" ht="12.8" hidden="false" customHeight="false" outlineLevel="0" collapsed="false">
      <c r="A52670" s="0" t="s">
        <v>18321</v>
      </c>
      <c r="B52670" s="0" t="str">
        <f aca="false">HYPERLINK("https://lindat.mff.cuni.cz/services/teitok/pdtc10/index.php?action=vallex&amp;frame=v-w7429f1", "uvážit (v-w7429f1)")</f>
        <v>uvážit (v-w7429f1)</v>
      </c>
      <c r="E52670" s="0" t="str">
        <f aca="false">HYPERLINK("https://lindat.mff.cuni.cz/services/SynSemClass40/SynSemClass40.html?veclass=vec00149#vec00149-ces-cm00001", "vec00149")</f>
        <v>vec00149</v>
      </c>
      <c r="F52670" s="0" t="s">
        <v>686</v>
      </c>
    </row>
    <row r="52671" customFormat="false" ht="12.8" hidden="false" customHeight="false" outlineLevel="0" collapsed="false">
      <c r="B52671" s="0" t="s">
        <v>1</v>
      </c>
      <c r="C52671" s="0" t="s">
        <v>687</v>
      </c>
      <c r="E52671" s="0" t="s">
        <v>621</v>
      </c>
      <c r="F52671" s="0" t="s">
        <v>688</v>
      </c>
    </row>
    <row r="52672" customFormat="false" ht="12.8" hidden="false" customHeight="false" outlineLevel="0" collapsed="false">
      <c r="B52672" s="0" t="s">
        <v>11855</v>
      </c>
      <c r="C52672" s="0" t="s">
        <v>690</v>
      </c>
      <c r="E52672" s="0" t="s">
        <v>209</v>
      </c>
      <c r="F52672" s="0" t="s">
        <v>691</v>
      </c>
    </row>
    <row r="52674" customFormat="false" ht="12.8" hidden="false" customHeight="false" outlineLevel="0" collapsed="false">
      <c r="A52674" s="0" t="s">
        <v>18322</v>
      </c>
      <c r="B52674" s="0" t="str">
        <f aca="false">HYPERLINK("https://lindat.mff.cuni.cz/services/teitok/pdtc10/index.php?action=vallex&amp;frame=v-w7449f3", "uvést (v-w7449f3)")</f>
        <v>uvést (v-w7449f3)</v>
      </c>
      <c r="E52674" s="0" t="str">
        <f aca="false">HYPERLINK("https://lindat.mff.cuni.cz/services/SynSemClass40/SynSemClass40.html?veclass=vec00060#vec00060-ces-cm00132", "vec00060")</f>
        <v>vec00060</v>
      </c>
      <c r="F52674" s="0" t="s">
        <v>213</v>
      </c>
    </row>
    <row r="52675" customFormat="false" ht="12.8" hidden="false" customHeight="false" outlineLevel="0" collapsed="false">
      <c r="B52675" s="0" t="s">
        <v>1</v>
      </c>
      <c r="C52675" s="0" t="s">
        <v>214</v>
      </c>
      <c r="E52675" s="0" t="s">
        <v>147</v>
      </c>
      <c r="F52675" s="0" t="s">
        <v>215</v>
      </c>
    </row>
    <row r="52676" customFormat="false" ht="12.8" hidden="false" customHeight="false" outlineLevel="0" collapsed="false">
      <c r="B52676" s="0" t="s">
        <v>2126</v>
      </c>
      <c r="C52676" s="0" t="s">
        <v>217</v>
      </c>
      <c r="E52676" s="0" t="s">
        <v>218</v>
      </c>
      <c r="F52676" s="0" t="s">
        <v>219</v>
      </c>
    </row>
    <row r="52677" customFormat="false" ht="12.8" hidden="false" customHeight="false" outlineLevel="0" collapsed="false">
      <c r="B52677" s="0" t="s">
        <v>123</v>
      </c>
    </row>
    <row r="52679" customFormat="false" ht="12.8" hidden="false" customHeight="false" outlineLevel="0" collapsed="false">
      <c r="A52679" s="0" t="s">
        <v>18323</v>
      </c>
      <c r="B52679" s="0" t="str">
        <f aca="false">HYPERLINK("https://lindat.mff.cuni.cz/services/teitok/pdtc10/index.php?action=vallex&amp;frame=v-w7449f4", "uvést (v-w7449f4)")</f>
        <v>uvést (v-w7449f4)</v>
      </c>
      <c r="E52679" s="0" t="str">
        <f aca="false">HYPERLINK("https://lindat.mff.cuni.cz/services/SynSemClass40/SynSemClass40.html?veclass=vec00812#vec00812-ces-cm00095", "vec00812")</f>
        <v>vec00812</v>
      </c>
      <c r="F52679" s="0" t="s">
        <v>2822</v>
      </c>
    </row>
    <row r="52680" customFormat="false" ht="12.8" hidden="false" customHeight="false" outlineLevel="0" collapsed="false">
      <c r="B52680" s="0" t="s">
        <v>843</v>
      </c>
      <c r="C52680" s="0" t="s">
        <v>2823</v>
      </c>
      <c r="E52680" s="0" t="s">
        <v>1103</v>
      </c>
      <c r="F52680" s="0" t="s">
        <v>2824</v>
      </c>
    </row>
    <row r="52681" customFormat="false" ht="12.8" hidden="false" customHeight="false" outlineLevel="0" collapsed="false">
      <c r="B52681" s="0" t="s">
        <v>8</v>
      </c>
      <c r="C52681" s="0" t="s">
        <v>2372</v>
      </c>
      <c r="E52681" s="0" t="s">
        <v>142</v>
      </c>
      <c r="F52681" s="0" t="s">
        <v>2825</v>
      </c>
    </row>
    <row r="52682" customFormat="false" ht="12.8" hidden="false" customHeight="false" outlineLevel="0" collapsed="false">
      <c r="B52682" s="0" t="s">
        <v>361</v>
      </c>
      <c r="C52682" s="0" t="s">
        <v>2826</v>
      </c>
      <c r="E52682" s="0" t="s">
        <v>2827</v>
      </c>
      <c r="F52682" s="0" t="s">
        <v>2828</v>
      </c>
    </row>
    <row r="52684" customFormat="false" ht="12.8" hidden="false" customHeight="false" outlineLevel="0" collapsed="false">
      <c r="A52684" s="0" t="s">
        <v>18324</v>
      </c>
      <c r="B52684" s="0" t="str">
        <f aca="false">HYPERLINK("https://lindat.mff.cuni.cz/services/teitok/pdtc10/index.php?action=vallex&amp;frame=v-w7449f5", "uvést (v-w7449f5)")</f>
        <v>uvést (v-w7449f5)</v>
      </c>
      <c r="E52684" s="0" t="str">
        <f aca="false">HYPERLINK("https://lindat.mff.cuni.cz/services/SynSemClass40/SynSemClass40.html?veclass=vec00342#vec00342-ces-cm00001", "vec00342")</f>
        <v>vec00342</v>
      </c>
      <c r="F52684" s="0" t="s">
        <v>18298</v>
      </c>
    </row>
    <row r="52685" customFormat="false" ht="12.8" hidden="false" customHeight="false" outlineLevel="0" collapsed="false">
      <c r="B52685" s="0" t="s">
        <v>1</v>
      </c>
      <c r="C52685" s="0" t="s">
        <v>11897</v>
      </c>
      <c r="E52685" s="0" t="s">
        <v>11</v>
      </c>
      <c r="F52685" s="0" t="s">
        <v>18299</v>
      </c>
    </row>
    <row r="52686" customFormat="false" ht="12.8" hidden="false" customHeight="false" outlineLevel="0" collapsed="false">
      <c r="B52686" s="0" t="s">
        <v>8</v>
      </c>
      <c r="C52686" s="0" t="s">
        <v>14965</v>
      </c>
      <c r="E52686" s="0" t="s">
        <v>1732</v>
      </c>
      <c r="F52686" s="0" t="s">
        <v>18300</v>
      </c>
    </row>
    <row r="52687" customFormat="false" ht="12.8" hidden="false" customHeight="false" outlineLevel="0" collapsed="false">
      <c r="B52687" s="0" t="s">
        <v>164</v>
      </c>
      <c r="E52687" s="0" t="s">
        <v>3229</v>
      </c>
      <c r="F52687" s="0" t="s">
        <v>8716</v>
      </c>
    </row>
    <row r="52689" customFormat="false" ht="12.8" hidden="false" customHeight="false" outlineLevel="0" collapsed="false">
      <c r="A52689" s="0" t="s">
        <v>18325</v>
      </c>
      <c r="B52689" s="0" t="str">
        <f aca="false">HYPERLINK("https://lindat.mff.cuni.cz/services/teitok/pdtc10/index.php?action=vallex&amp;frame=v-w7449f6", "uvést (v-w7449f6)")</f>
        <v>uvést (v-w7449f6)</v>
      </c>
      <c r="E52689" s="0" t="str">
        <f aca="false">HYPERLINK("https://lindat.mff.cuni.cz/services/SynSemClass40/SynSemClass40.html?veclass=vec01282#vec01282-ces-cm00013", "vec01282")</f>
        <v>vec01282</v>
      </c>
      <c r="F52689" s="0" t="s">
        <v>2659</v>
      </c>
      <c r="H52689" s="0" t="str">
        <f aca="false">HYPERLINK("https://lindat.mff.cuni.cz/services/SynSemClass40/SynSemClass40.html?veclass=vec01377#vec01377-ces-cm00052", "vec01377")</f>
        <v>vec01377</v>
      </c>
      <c r="I52689" s="0" t="s">
        <v>2643</v>
      </c>
    </row>
    <row r="52690" customFormat="false" ht="12.8" hidden="false" customHeight="false" outlineLevel="0" collapsed="false">
      <c r="B52690" s="0" t="s">
        <v>1</v>
      </c>
      <c r="C52690" s="0" t="s">
        <v>4797</v>
      </c>
      <c r="E52690" s="0" t="s">
        <v>2241</v>
      </c>
      <c r="F52690" s="0" t="s">
        <v>2662</v>
      </c>
      <c r="H52690" s="0" t="s">
        <v>2645</v>
      </c>
      <c r="I52690" s="0" t="s">
        <v>2646</v>
      </c>
    </row>
    <row r="52691" customFormat="false" ht="12.8" hidden="false" customHeight="false" outlineLevel="0" collapsed="false">
      <c r="B52691" s="0" t="s">
        <v>8</v>
      </c>
      <c r="C52691" s="0" t="s">
        <v>18326</v>
      </c>
      <c r="E52691" s="0" t="s">
        <v>2665</v>
      </c>
      <c r="F52691" s="0" t="s">
        <v>2666</v>
      </c>
      <c r="H52691" s="0" t="s">
        <v>2648</v>
      </c>
      <c r="I52691" s="0" t="s">
        <v>2649</v>
      </c>
    </row>
    <row r="52692" customFormat="false" ht="12.8" hidden="false" customHeight="false" outlineLevel="0" collapsed="false">
      <c r="B52692" s="0" t="s">
        <v>164</v>
      </c>
      <c r="C52692" s="0" t="s">
        <v>2211</v>
      </c>
      <c r="E52692" s="0" t="s">
        <v>2365</v>
      </c>
      <c r="F52692" s="0" t="s">
        <v>3118</v>
      </c>
      <c r="H52692" s="0" t="s">
        <v>370</v>
      </c>
      <c r="I52692" s="0" t="s">
        <v>2652</v>
      </c>
    </row>
    <row r="52694" customFormat="false" ht="12.8" hidden="false" customHeight="false" outlineLevel="0" collapsed="false">
      <c r="A52694" s="0" t="s">
        <v>18327</v>
      </c>
      <c r="B52694" s="0" t="str">
        <f aca="false">HYPERLINK("https://lindat.mff.cuni.cz/services/teitok/pdtc10/index.php?action=vallex&amp;frame=v-w7449f2", "uvést (v-w7449f2)")</f>
        <v>uvést (v-w7449f2)</v>
      </c>
      <c r="E52694" s="0" t="str">
        <f aca="false">HYPERLINK("https://lindat.mff.cuni.cz/services/SynSemClass40/SynSemClass40.html?veclass=vec00946#vec00946-ces-cm00001", "vec00946")</f>
        <v>vec00946</v>
      </c>
      <c r="F52694" s="0" t="s">
        <v>13233</v>
      </c>
    </row>
    <row r="52695" customFormat="false" ht="12.8" hidden="false" customHeight="false" outlineLevel="0" collapsed="false">
      <c r="B52695" s="0" t="s">
        <v>1</v>
      </c>
      <c r="C52695" s="0" t="s">
        <v>4725</v>
      </c>
      <c r="E52695" s="0" t="s">
        <v>768</v>
      </c>
      <c r="F52695" s="0" t="s">
        <v>13235</v>
      </c>
    </row>
    <row r="52696" customFormat="false" ht="12.8" hidden="false" customHeight="false" outlineLevel="0" collapsed="false">
      <c r="B52696" s="0" t="s">
        <v>8</v>
      </c>
      <c r="C52696" s="0" t="s">
        <v>6960</v>
      </c>
      <c r="E52696" s="0" t="s">
        <v>771</v>
      </c>
      <c r="F52696" s="0" t="s">
        <v>13237</v>
      </c>
    </row>
    <row r="52698" customFormat="false" ht="12.8" hidden="false" customHeight="false" outlineLevel="0" collapsed="false">
      <c r="A52698" s="0" t="s">
        <v>18328</v>
      </c>
      <c r="B52698" s="0" t="str">
        <f aca="false">HYPERLINK("https://lindat.mff.cuni.cz/services/teitok/pdtc10/index.php?action=vallex&amp;frame=v-w7449f9", "uvést (v-w7449f9)")</f>
        <v>uvést (v-w7449f9)</v>
      </c>
    </row>
    <row r="52699" customFormat="false" ht="12.8" hidden="false" customHeight="false" outlineLevel="0" collapsed="false">
      <c r="B52699" s="0" t="s">
        <v>1</v>
      </c>
    </row>
    <row r="52700" customFormat="false" ht="12.8" hidden="false" customHeight="false" outlineLevel="0" collapsed="false">
      <c r="B52700" s="0" t="s">
        <v>8</v>
      </c>
    </row>
    <row r="52702" customFormat="false" ht="12.8" hidden="false" customHeight="false" outlineLevel="0" collapsed="false">
      <c r="A52702" s="0" t="s">
        <v>18329</v>
      </c>
      <c r="B52702" s="0" t="str">
        <f aca="false">HYPERLINK("https://lindat.mff.cuni.cz/services/teitok/pdtc10/index.php?action=vallex&amp;frame=v-w7449f11_ZU", "uvést (v-w7449f11_ZU)")</f>
        <v>uvést (v-w7449f11_ZU)</v>
      </c>
      <c r="E52702" s="0" t="str">
        <f aca="false">HYPERLINK("https://lindat.mff.cuni.cz/services/SynSemClass40/SynSemClass40.html?veclass=vec00060#vec00060-ces-cm00133", "vec00060")</f>
        <v>vec00060</v>
      </c>
      <c r="F52702" s="0" t="s">
        <v>213</v>
      </c>
    </row>
    <row r="52703" customFormat="false" ht="12.8" hidden="false" customHeight="false" outlineLevel="0" collapsed="false">
      <c r="B52703" s="0" t="s">
        <v>1</v>
      </c>
      <c r="C52703" s="0" t="s">
        <v>214</v>
      </c>
      <c r="E52703" s="0" t="s">
        <v>147</v>
      </c>
      <c r="F52703" s="0" t="s">
        <v>215</v>
      </c>
    </row>
    <row r="52704" customFormat="false" ht="12.8" hidden="false" customHeight="false" outlineLevel="0" collapsed="false">
      <c r="B52704" s="0" t="s">
        <v>15588</v>
      </c>
      <c r="C52704" s="0" t="s">
        <v>2216</v>
      </c>
      <c r="E52704" s="0" t="s">
        <v>2217</v>
      </c>
      <c r="F52704" s="0" t="s">
        <v>2218</v>
      </c>
    </row>
    <row r="52705" customFormat="false" ht="12.8" hidden="false" customHeight="false" outlineLevel="0" collapsed="false">
      <c r="B52705" s="0" t="s">
        <v>496</v>
      </c>
      <c r="C52705" s="0" t="s">
        <v>217</v>
      </c>
      <c r="E52705" s="0" t="s">
        <v>218</v>
      </c>
      <c r="F52705" s="0" t="s">
        <v>219</v>
      </c>
    </row>
    <row r="52706" customFormat="false" ht="12.8" hidden="false" customHeight="false" outlineLevel="0" collapsed="false">
      <c r="B52706" s="0" t="s">
        <v>132</v>
      </c>
      <c r="C52706" s="0" t="s">
        <v>220</v>
      </c>
      <c r="E52706" s="0" t="s">
        <v>221</v>
      </c>
      <c r="F52706" s="0" t="s">
        <v>222</v>
      </c>
    </row>
    <row r="52708" customFormat="false" ht="12.8" hidden="false" customHeight="false" outlineLevel="0" collapsed="false">
      <c r="A52708" s="0" t="s">
        <v>18329</v>
      </c>
      <c r="B52708" s="0" t="str">
        <f aca="false">HYPERLINK("https://lindat.mff.cuni.cz/services/teitok/pdtc10/index.php?action=vallex&amp;frame=v-w7449f1", "uvést (v-w7449f1) - substituted with v-w7449f11_ZU")</f>
        <v>uvést (v-w7449f1) - substituted with v-w7449f11_ZU</v>
      </c>
    </row>
    <row r="52709" customFormat="false" ht="12.8" hidden="false" customHeight="false" outlineLevel="0" collapsed="false">
      <c r="B52709" s="0" t="s">
        <v>1</v>
      </c>
    </row>
    <row r="52710" customFormat="false" ht="12.8" hidden="false" customHeight="false" outlineLevel="0" collapsed="false">
      <c r="B52710" s="0" t="s">
        <v>15588</v>
      </c>
    </row>
    <row r="52711" customFormat="false" ht="12.8" hidden="false" customHeight="false" outlineLevel="0" collapsed="false">
      <c r="B52711" s="0" t="s">
        <v>496</v>
      </c>
    </row>
    <row r="52712" customFormat="false" ht="12.8" hidden="false" customHeight="false" outlineLevel="0" collapsed="false">
      <c r="B52712" s="0" t="s">
        <v>132</v>
      </c>
    </row>
    <row r="52714" customFormat="false" ht="12.8" hidden="false" customHeight="false" outlineLevel="0" collapsed="false">
      <c r="A52714" s="0" t="s">
        <v>18330</v>
      </c>
      <c r="B52714" s="0" t="str">
        <f aca="false">HYPERLINK("https://lindat.mff.cuni.cz/services/teitok/pdtc10/index.php?action=vallex&amp;frame=v-w7449f15_ZU", "uvést (v-w7449f15_ZU)")</f>
        <v>uvést (v-w7449f15_ZU)</v>
      </c>
    </row>
    <row r="52715" customFormat="false" ht="12.8" hidden="false" customHeight="false" outlineLevel="0" collapsed="false">
      <c r="B52715" s="0" t="s">
        <v>1</v>
      </c>
    </row>
    <row r="52716" customFormat="false" ht="12.8" hidden="false" customHeight="false" outlineLevel="0" collapsed="false">
      <c r="B52716" s="0" t="s">
        <v>18331</v>
      </c>
    </row>
    <row r="52717" customFormat="false" ht="12.8" hidden="false" customHeight="false" outlineLevel="0" collapsed="false">
      <c r="B52717" s="0" t="s">
        <v>132</v>
      </c>
    </row>
    <row r="52719" customFormat="false" ht="12.8" hidden="false" customHeight="false" outlineLevel="0" collapsed="false">
      <c r="A52719" s="0" t="s">
        <v>18330</v>
      </c>
      <c r="B52719" s="0" t="str">
        <f aca="false">HYPERLINK("https://lindat.mff.cuni.cz/services/teitok/pdtc10/index.php?action=vallex&amp;frame=v-w7449f12_ZU", "uvést (v-w7449f12_ZU) - substituted with v-w7449f15_ZU")</f>
        <v>uvést (v-w7449f12_ZU) - substituted with v-w7449f15_ZU</v>
      </c>
    </row>
    <row r="52720" customFormat="false" ht="12.8" hidden="false" customHeight="false" outlineLevel="0" collapsed="false">
      <c r="B52720" s="0" t="s">
        <v>1</v>
      </c>
    </row>
    <row r="52721" customFormat="false" ht="12.8" hidden="false" customHeight="false" outlineLevel="0" collapsed="false">
      <c r="B52721" s="0" t="s">
        <v>18331</v>
      </c>
    </row>
    <row r="52722" customFormat="false" ht="12.8" hidden="false" customHeight="false" outlineLevel="0" collapsed="false">
      <c r="B52722" s="0" t="s">
        <v>132</v>
      </c>
    </row>
    <row r="52724" customFormat="false" ht="12.8" hidden="false" customHeight="false" outlineLevel="0" collapsed="false">
      <c r="A52724" s="0" t="s">
        <v>18330</v>
      </c>
      <c r="B52724" s="0" t="str">
        <f aca="false">HYPERLINK("https://lindat.mff.cuni.cz/services/teitok/pdtc10/index.php?action=vallex&amp;frame=v-w7449hsa_686", "uvést (v-w7449hsa_686) - substituted with v-w7449f15_ZU")</f>
        <v>uvést (v-w7449hsa_686) - substituted with v-w7449f15_ZU</v>
      </c>
    </row>
    <row r="52725" customFormat="false" ht="12.8" hidden="false" customHeight="false" outlineLevel="0" collapsed="false">
      <c r="B52725" s="0" t="s">
        <v>1</v>
      </c>
    </row>
    <row r="52726" customFormat="false" ht="12.8" hidden="false" customHeight="false" outlineLevel="0" collapsed="false">
      <c r="B52726" s="0" t="s">
        <v>18331</v>
      </c>
    </row>
    <row r="52727" customFormat="false" ht="12.8" hidden="false" customHeight="false" outlineLevel="0" collapsed="false">
      <c r="B52727" s="0" t="s">
        <v>132</v>
      </c>
    </row>
    <row r="52729" customFormat="false" ht="12.8" hidden="false" customHeight="false" outlineLevel="0" collapsed="false">
      <c r="A52729" s="0" t="s">
        <v>18332</v>
      </c>
      <c r="B52729" s="0" t="str">
        <f aca="false">HYPERLINK("https://lindat.mff.cuni.cz/services/teitok/pdtc10/index.php?action=vallex&amp;frame=v-w7449f14_ZU", "uvést (v-w7449f14_ZU)")</f>
        <v>uvést (v-w7449f14_ZU)</v>
      </c>
    </row>
    <row r="52730" customFormat="false" ht="12.8" hidden="false" customHeight="false" outlineLevel="0" collapsed="false">
      <c r="B52730" s="0" t="s">
        <v>1</v>
      </c>
    </row>
    <row r="52731" customFormat="false" ht="12.8" hidden="false" customHeight="false" outlineLevel="0" collapsed="false">
      <c r="B52731" s="0" t="s">
        <v>18333</v>
      </c>
    </row>
    <row r="52733" customFormat="false" ht="12.8" hidden="false" customHeight="false" outlineLevel="0" collapsed="false">
      <c r="A52733" s="0" t="s">
        <v>18334</v>
      </c>
      <c r="B52733" s="0" t="str">
        <f aca="false">HYPERLINK("https://lindat.mff.cuni.cz/services/teitok/pdtc10/index.php?action=vallex&amp;frame=v-w7449f7", "uvést (v-w7449f7)")</f>
        <v>uvést (v-w7449f7)</v>
      </c>
    </row>
    <row r="52734" customFormat="false" ht="12.8" hidden="false" customHeight="false" outlineLevel="0" collapsed="false">
      <c r="B52734" s="0" t="s">
        <v>1</v>
      </c>
    </row>
    <row r="52735" customFormat="false" ht="12.8" hidden="false" customHeight="false" outlineLevel="0" collapsed="false">
      <c r="B52735" s="0" t="s">
        <v>18335</v>
      </c>
    </row>
    <row r="52736" customFormat="false" ht="12.8" hidden="false" customHeight="false" outlineLevel="0" collapsed="false">
      <c r="B52736" s="0" t="s">
        <v>8</v>
      </c>
    </row>
    <row r="52738" customFormat="false" ht="12.8" hidden="false" customHeight="false" outlineLevel="0" collapsed="false">
      <c r="A52738" s="0" t="s">
        <v>18336</v>
      </c>
      <c r="B52738" s="0" t="str">
        <f aca="false">HYPERLINK("https://lindat.mff.cuni.cz/services/teitok/pdtc10/index.php?action=vallex&amp;frame=v-w7449f8", "uvést (v-w7449f8)")</f>
        <v>uvést (v-w7449f8)</v>
      </c>
    </row>
    <row r="52739" customFormat="false" ht="12.8" hidden="false" customHeight="false" outlineLevel="0" collapsed="false">
      <c r="B52739" s="0" t="s">
        <v>1</v>
      </c>
    </row>
    <row r="52740" customFormat="false" ht="12.8" hidden="false" customHeight="false" outlineLevel="0" collapsed="false">
      <c r="B52740" s="0" t="s">
        <v>18308</v>
      </c>
    </row>
    <row r="52741" customFormat="false" ht="12.8" hidden="false" customHeight="false" outlineLevel="0" collapsed="false">
      <c r="B52741" s="0" t="s">
        <v>8</v>
      </c>
    </row>
    <row r="52743" customFormat="false" ht="12.8" hidden="false" customHeight="false" outlineLevel="0" collapsed="false">
      <c r="A52743" s="0" t="s">
        <v>18337</v>
      </c>
      <c r="B52743" s="0" t="str">
        <f aca="false">HYPERLINK("https://lindat.mff.cuni.cz/services/teitok/pdtc10/index.php?action=vallex&amp;frame=v-w7449f13_ZU", "uvést (v-w7449f13_ZU)")</f>
        <v>uvést (v-w7449f13_ZU)</v>
      </c>
    </row>
    <row r="52744" customFormat="false" ht="12.8" hidden="false" customHeight="false" outlineLevel="0" collapsed="false">
      <c r="B52744" s="0" t="s">
        <v>1</v>
      </c>
    </row>
    <row r="52745" customFormat="false" ht="12.8" hidden="false" customHeight="false" outlineLevel="0" collapsed="false">
      <c r="B52745" s="0" t="s">
        <v>18338</v>
      </c>
    </row>
    <row r="52746" customFormat="false" ht="12.8" hidden="false" customHeight="false" outlineLevel="0" collapsed="false">
      <c r="B52746" s="0" t="s">
        <v>8</v>
      </c>
    </row>
    <row r="52748" customFormat="false" ht="12.8" hidden="false" customHeight="false" outlineLevel="0" collapsed="false">
      <c r="A52748" s="0" t="s">
        <v>18339</v>
      </c>
      <c r="B52748" s="0" t="str">
        <f aca="false">HYPERLINK("https://lindat.mff.cuni.cz/services/teitok/pdtc10/index.php?action=vallex&amp;frame=v-w7449f10_ZU", "uvést (v-w7449f10_ZU)")</f>
        <v>uvést (v-w7449f10_ZU)</v>
      </c>
    </row>
    <row r="52749" customFormat="false" ht="12.8" hidden="false" customHeight="false" outlineLevel="0" collapsed="false">
      <c r="B52749" s="0" t="s">
        <v>1</v>
      </c>
    </row>
    <row r="52750" customFormat="false" ht="12.8" hidden="false" customHeight="false" outlineLevel="0" collapsed="false">
      <c r="B52750" s="0" t="s">
        <v>18340</v>
      </c>
    </row>
    <row r="52751" customFormat="false" ht="12.8" hidden="false" customHeight="false" outlineLevel="0" collapsed="false">
      <c r="B52751" s="0" t="s">
        <v>8</v>
      </c>
    </row>
    <row r="52753" customFormat="false" ht="12.8" hidden="false" customHeight="false" outlineLevel="0" collapsed="false">
      <c r="A52753" s="0" t="s">
        <v>18341</v>
      </c>
      <c r="B52753" s="0" t="str">
        <f aca="false">HYPERLINK("https://lindat.mff.cuni.cz/services/teitok/pdtc10/index.php?action=vallex&amp;frame=v-w7450f1", "uvést se (v-w7450f1)")</f>
        <v>uvést se (v-w7450f1)</v>
      </c>
    </row>
    <row r="52754" customFormat="false" ht="12.8" hidden="false" customHeight="false" outlineLevel="0" collapsed="false">
      <c r="B52754" s="0" t="s">
        <v>1</v>
      </c>
    </row>
    <row r="52755" customFormat="false" ht="12.8" hidden="false" customHeight="false" outlineLevel="0" collapsed="false">
      <c r="B52755" s="0" t="s">
        <v>642</v>
      </c>
    </row>
    <row r="52756" customFormat="false" ht="12.8" hidden="false" customHeight="false" outlineLevel="0" collapsed="false">
      <c r="B52756" s="0" t="s">
        <v>646</v>
      </c>
    </row>
    <row r="52757" customFormat="false" ht="12.8" hidden="false" customHeight="false" outlineLevel="0" collapsed="false">
      <c r="B52757" s="0" t="s">
        <v>648</v>
      </c>
    </row>
    <row r="52758" customFormat="false" ht="12.8" hidden="false" customHeight="false" outlineLevel="0" collapsed="false">
      <c r="B52758" s="0" t="s">
        <v>650</v>
      </c>
    </row>
    <row r="52759" customFormat="false" ht="12.8" hidden="false" customHeight="false" outlineLevel="0" collapsed="false">
      <c r="B52759" s="0" t="s">
        <v>652</v>
      </c>
    </row>
    <row r="52761" customFormat="false" ht="12.8" hidden="false" customHeight="false" outlineLevel="0" collapsed="false">
      <c r="A52761" s="0" t="s">
        <v>18342</v>
      </c>
      <c r="B52761" s="0" t="str">
        <f aca="false">HYPERLINK("https://lindat.mff.cuni.cz/services/teitok/pdtc10/index.php?action=vallex&amp;frame=v-w7455f3", "uvítat (v-w7455f3)")</f>
        <v>uvítat (v-w7455f3)</v>
      </c>
    </row>
    <row r="52762" customFormat="false" ht="12.8" hidden="false" customHeight="false" outlineLevel="0" collapsed="false">
      <c r="B52762" s="0" t="s">
        <v>1</v>
      </c>
    </row>
    <row r="52763" customFormat="false" ht="12.8" hidden="false" customHeight="false" outlineLevel="0" collapsed="false">
      <c r="B52763" s="0" t="s">
        <v>721</v>
      </c>
    </row>
    <row r="52764" customFormat="false" ht="12.8" hidden="false" customHeight="false" outlineLevel="0" collapsed="false">
      <c r="B52764" s="0" t="s">
        <v>1502</v>
      </c>
    </row>
    <row r="52766" customFormat="false" ht="12.8" hidden="false" customHeight="false" outlineLevel="0" collapsed="false">
      <c r="A52766" s="0" t="s">
        <v>18343</v>
      </c>
      <c r="B52766" s="0" t="str">
        <f aca="false">HYPERLINK("https://lindat.mff.cuni.cz/services/teitok/pdtc10/index.php?action=vallex&amp;frame=v-w7455f2", "uvítat (v-w7455f2)")</f>
        <v>uvítat (v-w7455f2)</v>
      </c>
      <c r="E52766" s="0" t="str">
        <f aca="false">HYPERLINK("https://lindat.mff.cuni.cz/services/SynSemClass40/SynSemClass40.html?veclass=vec00135#vec00135-ces-cm00006", "vec00135")</f>
        <v>vec00135</v>
      </c>
      <c r="F52766" s="0" t="s">
        <v>153</v>
      </c>
    </row>
    <row r="52767" customFormat="false" ht="12.8" hidden="false" customHeight="false" outlineLevel="0" collapsed="false">
      <c r="B52767" s="0" t="s">
        <v>1</v>
      </c>
      <c r="C52767" s="0" t="s">
        <v>154</v>
      </c>
      <c r="E52767" s="0" t="s">
        <v>155</v>
      </c>
      <c r="F52767" s="0" t="s">
        <v>156</v>
      </c>
    </row>
    <row r="52768" customFormat="false" ht="12.8" hidden="false" customHeight="false" outlineLevel="0" collapsed="false">
      <c r="B52768" s="0" t="s">
        <v>18344</v>
      </c>
      <c r="C52768" s="0" t="s">
        <v>158</v>
      </c>
      <c r="E52768" s="0" t="s">
        <v>159</v>
      </c>
      <c r="F52768" s="0" t="s">
        <v>160</v>
      </c>
    </row>
    <row r="52770" customFormat="false" ht="12.8" hidden="false" customHeight="false" outlineLevel="0" collapsed="false">
      <c r="A52770" s="0" t="s">
        <v>18345</v>
      </c>
      <c r="B52770" s="0" t="str">
        <f aca="false">HYPERLINK("https://lindat.mff.cuni.cz/services/teitok/pdtc10/index.php?action=vallex&amp;frame=v-w7455f1", "uvítat (v-w7455f1)")</f>
        <v>uvítat (v-w7455f1)</v>
      </c>
    </row>
    <row r="52771" customFormat="false" ht="12.8" hidden="false" customHeight="false" outlineLevel="0" collapsed="false">
      <c r="B52771" s="0" t="s">
        <v>1</v>
      </c>
    </row>
    <row r="52772" customFormat="false" ht="12.8" hidden="false" customHeight="false" outlineLevel="0" collapsed="false">
      <c r="B52772" s="0" t="s">
        <v>8</v>
      </c>
    </row>
    <row r="52774" customFormat="false" ht="12.8" hidden="false" customHeight="false" outlineLevel="0" collapsed="false">
      <c r="A52774" s="0" t="s">
        <v>18346</v>
      </c>
      <c r="B52774" s="0" t="str">
        <f aca="false">HYPERLINK("https://lindat.mff.cuni.cz/services/teitok/pdtc10/index.php?action=vallex&amp;frame=v-w7456f1", "uvíznout (v-w7456f1)")</f>
        <v>uvíznout (v-w7456f1)</v>
      </c>
    </row>
    <row r="52775" customFormat="false" ht="12.8" hidden="false" customHeight="false" outlineLevel="0" collapsed="false">
      <c r="B52775" s="0" t="s">
        <v>1</v>
      </c>
    </row>
    <row r="52776" customFormat="false" ht="12.8" hidden="false" customHeight="false" outlineLevel="0" collapsed="false">
      <c r="B52776" s="0" t="s">
        <v>5</v>
      </c>
    </row>
    <row r="52778" customFormat="false" ht="12.8" hidden="false" customHeight="false" outlineLevel="0" collapsed="false">
      <c r="A52778" s="0" t="s">
        <v>18347</v>
      </c>
      <c r="B52778" s="0" t="str">
        <f aca="false">HYPERLINK("https://lindat.mff.cuni.cz/services/teitok/pdtc10/index.php?action=vallex&amp;frame=v-w7456f2", "uvíznout (v-w7456f2)")</f>
        <v>uvíznout (v-w7456f2)</v>
      </c>
      <c r="E52778" s="0" t="str">
        <f aca="false">HYPERLINK("https://lindat.mff.cuni.cz/services/SynSemClass40/SynSemClass40.html?veclass=vec00394#vec00394-ces-cm00055", "vec00394")</f>
        <v>vec00394</v>
      </c>
      <c r="F52778" s="0" t="s">
        <v>3338</v>
      </c>
      <c r="H52778" s="0" t="str">
        <f aca="false">HYPERLINK("https://lindat.mff.cuni.cz/services/SynSemClass40/SynSemClass40.html?veclass=vec01475#vec01475-ces-cm00025", "vec01475")</f>
        <v>vec01475</v>
      </c>
      <c r="I52778" s="0" t="s">
        <v>1082</v>
      </c>
    </row>
    <row r="52779" customFormat="false" ht="12.8" hidden="false" customHeight="false" outlineLevel="0" collapsed="false">
      <c r="B52779" s="0" t="s">
        <v>1</v>
      </c>
      <c r="C52779" s="0" t="s">
        <v>18348</v>
      </c>
      <c r="E52779" s="0" t="s">
        <v>11</v>
      </c>
      <c r="F52779" s="0" t="s">
        <v>3340</v>
      </c>
      <c r="H52779" s="0" t="s">
        <v>1086</v>
      </c>
      <c r="I52779" s="0" t="s">
        <v>1087</v>
      </c>
    </row>
    <row r="52780" customFormat="false" ht="12.8" hidden="false" customHeight="false" outlineLevel="0" collapsed="false">
      <c r="B52780" s="0" t="s">
        <v>5</v>
      </c>
      <c r="C52780" s="0" t="s">
        <v>18349</v>
      </c>
      <c r="E52780" s="0" t="s">
        <v>3254</v>
      </c>
      <c r="F52780" s="0" t="s">
        <v>3343</v>
      </c>
      <c r="H52780" s="0" t="s">
        <v>18350</v>
      </c>
      <c r="I52780" s="0" t="s">
        <v>18351</v>
      </c>
    </row>
    <row r="52782" customFormat="false" ht="12.8" hidden="false" customHeight="false" outlineLevel="0" collapsed="false">
      <c r="A52782" s="0" t="s">
        <v>18352</v>
      </c>
      <c r="B52782" s="0" t="str">
        <f aca="false">HYPERLINK("https://lindat.mff.cuni.cz/services/teitok/pdtc10/index.php?action=vallex&amp;frame=v-w7456f3_ZU", "uvíznout (v-w7456f3_ZU)")</f>
        <v>uvíznout (v-w7456f3_ZU)</v>
      </c>
    </row>
    <row r="52783" customFormat="false" ht="12.8" hidden="false" customHeight="false" outlineLevel="0" collapsed="false">
      <c r="B52783" s="0" t="s">
        <v>1</v>
      </c>
    </row>
    <row r="52784" customFormat="false" ht="12.8" hidden="false" customHeight="false" outlineLevel="0" collapsed="false">
      <c r="B52784" s="0" t="s">
        <v>1088</v>
      </c>
    </row>
    <row r="52786" customFormat="false" ht="12.8" hidden="false" customHeight="false" outlineLevel="0" collapsed="false">
      <c r="A52786" s="0" t="s">
        <v>18352</v>
      </c>
      <c r="B52786" s="0" t="str">
        <f aca="false">HYPERLINK("https://lindat.mff.cuni.cz/services/teitok/pdtc10/index.php?action=vallex&amp;frame=v-w7456hsa_856", "uvíznout (v-w7456hsa_856) - substituted with v-w7456f3_ZU")</f>
        <v>uvíznout (v-w7456hsa_856) - substituted with v-w7456f3_ZU</v>
      </c>
    </row>
    <row r="52787" customFormat="false" ht="12.8" hidden="false" customHeight="false" outlineLevel="0" collapsed="false">
      <c r="B52787" s="0" t="s">
        <v>1</v>
      </c>
    </row>
    <row r="52788" customFormat="false" ht="12.8" hidden="false" customHeight="false" outlineLevel="0" collapsed="false">
      <c r="B52788" s="0" t="s">
        <v>1088</v>
      </c>
    </row>
    <row r="52790" customFormat="false" ht="12.8" hidden="false" customHeight="false" outlineLevel="0" collapsed="false">
      <c r="A52790" s="0" t="s">
        <v>18353</v>
      </c>
      <c r="B52790" s="0" t="str">
        <f aca="false">HYPERLINK("https://lindat.mff.cuni.cz/services/teitok/pdtc10/index.php?action=vallex&amp;frame=v-w7435f1", "uvědomit (v-w7435f1)")</f>
        <v>uvědomit (v-w7435f1)</v>
      </c>
    </row>
    <row r="52791" customFormat="false" ht="12.8" hidden="false" customHeight="false" outlineLevel="0" collapsed="false">
      <c r="B52791" s="0" t="s">
        <v>1</v>
      </c>
    </row>
    <row r="52792" customFormat="false" ht="12.8" hidden="false" customHeight="false" outlineLevel="0" collapsed="false">
      <c r="B52792" s="0" t="s">
        <v>4812</v>
      </c>
    </row>
    <row r="52793" customFormat="false" ht="12.8" hidden="false" customHeight="false" outlineLevel="0" collapsed="false">
      <c r="B52793" s="0" t="s">
        <v>98</v>
      </c>
    </row>
    <row r="52795" customFormat="false" ht="12.8" hidden="false" customHeight="false" outlineLevel="0" collapsed="false">
      <c r="A52795" s="0" t="s">
        <v>18354</v>
      </c>
      <c r="B52795" s="0" t="str">
        <f aca="false">HYPERLINK("https://lindat.mff.cuni.cz/services/teitok/pdtc10/index.php?action=vallex&amp;frame=v-w7436f1", "uvědomit si (v-w7436f1)")</f>
        <v>uvědomit si (v-w7436f1)</v>
      </c>
      <c r="E52795" s="0" t="str">
        <f aca="false">HYPERLINK("https://lindat.mff.cuni.cz/services/SynSemClass40/SynSemClass40.html?veclass=vec00341#vec00341-ces-cm00001", "vec00341")</f>
        <v>vec00341</v>
      </c>
      <c r="F52795" s="0" t="s">
        <v>7465</v>
      </c>
    </row>
    <row r="52796" customFormat="false" ht="12.8" hidden="false" customHeight="false" outlineLevel="0" collapsed="false">
      <c r="B52796" s="0" t="s">
        <v>1</v>
      </c>
      <c r="C52796" s="0" t="s">
        <v>7466</v>
      </c>
      <c r="E52796" s="0" t="s">
        <v>621</v>
      </c>
      <c r="F52796" s="0" t="s">
        <v>7467</v>
      </c>
    </row>
    <row r="52797" customFormat="false" ht="12.8" hidden="false" customHeight="false" outlineLevel="0" collapsed="false">
      <c r="B52797" s="0" t="s">
        <v>8893</v>
      </c>
      <c r="C52797" s="0" t="s">
        <v>7469</v>
      </c>
      <c r="E52797" s="0" t="s">
        <v>180</v>
      </c>
      <c r="F52797" s="0" t="s">
        <v>7470</v>
      </c>
    </row>
    <row r="52799" customFormat="false" ht="12.8" hidden="false" customHeight="false" outlineLevel="0" collapsed="false">
      <c r="A52799" s="0" t="s">
        <v>18355</v>
      </c>
      <c r="B52799" s="0" t="str">
        <f aca="false">HYPERLINK("https://lindat.mff.cuni.cz/services/teitok/pdtc10/index.php?action=vallex&amp;frame=v-w7439f1", "uvědomovat si (v-w7439f1)")</f>
        <v>uvědomovat si (v-w7439f1)</v>
      </c>
      <c r="E52799" s="0" t="str">
        <f aca="false">HYPERLINK("https://lindat.mff.cuni.cz/services/SynSemClass40/SynSemClass40.html?veclass=vec00341#vec00341-ces-cm00025", "vec00341")</f>
        <v>vec00341</v>
      </c>
      <c r="F52799" s="0" t="s">
        <v>7465</v>
      </c>
    </row>
    <row r="52800" customFormat="false" ht="12.8" hidden="false" customHeight="false" outlineLevel="0" collapsed="false">
      <c r="B52800" s="0" t="s">
        <v>1</v>
      </c>
      <c r="C52800" s="0" t="s">
        <v>7466</v>
      </c>
      <c r="E52800" s="0" t="s">
        <v>621</v>
      </c>
      <c r="F52800" s="0" t="s">
        <v>7467</v>
      </c>
    </row>
    <row r="52801" customFormat="false" ht="12.8" hidden="false" customHeight="false" outlineLevel="0" collapsed="false">
      <c r="B52801" s="0" t="s">
        <v>8893</v>
      </c>
      <c r="C52801" s="0" t="s">
        <v>7469</v>
      </c>
      <c r="E52801" s="0" t="s">
        <v>180</v>
      </c>
      <c r="F52801" s="0" t="s">
        <v>7470</v>
      </c>
    </row>
    <row r="52803" customFormat="false" ht="12.8" hidden="false" customHeight="false" outlineLevel="0" collapsed="false">
      <c r="A52803" s="0" t="s">
        <v>18356</v>
      </c>
      <c r="B52803" s="0" t="str">
        <f aca="false">HYPERLINK("https://lindat.mff.cuni.cz/services/teitok/pdtc10/index.php?action=vallex&amp;frame=v-w7451f1", "uvěznit (v-w7451f1)")</f>
        <v>uvěznit (v-w7451f1)</v>
      </c>
      <c r="E52803" s="0" t="str">
        <f aca="false">HYPERLINK("https://lindat.mff.cuni.cz/services/SynSemClass40/SynSemClass40.html?veclass=vec00544#vec00544-ces-cm00001", "vec00544")</f>
        <v>vec00544</v>
      </c>
      <c r="F52803" s="0" t="s">
        <v>9271</v>
      </c>
    </row>
    <row r="52804" customFormat="false" ht="12.8" hidden="false" customHeight="false" outlineLevel="0" collapsed="false">
      <c r="B52804" s="0" t="s">
        <v>1</v>
      </c>
      <c r="C52804" s="0" t="s">
        <v>3288</v>
      </c>
      <c r="E52804" s="0" t="s">
        <v>206</v>
      </c>
      <c r="F52804" s="0" t="s">
        <v>9275</v>
      </c>
    </row>
    <row r="52805" customFormat="false" ht="12.8" hidden="false" customHeight="false" outlineLevel="0" collapsed="false">
      <c r="B52805" s="0" t="s">
        <v>8</v>
      </c>
      <c r="C52805" s="0" t="s">
        <v>1929</v>
      </c>
      <c r="E52805" s="0" t="s">
        <v>4259</v>
      </c>
      <c r="F52805" s="0" t="s">
        <v>9280</v>
      </c>
    </row>
    <row r="52807" customFormat="false" ht="12.8" hidden="false" customHeight="false" outlineLevel="0" collapsed="false">
      <c r="A52807" s="0" t="s">
        <v>18357</v>
      </c>
      <c r="B52807" s="0" t="str">
        <f aca="false">HYPERLINK("https://lindat.mff.cuni.cz/services/teitok/pdtc10/index.php?action=vallex&amp;frame=v-w10543f2", "uvězňovat (v-w10543f2)")</f>
        <v>uvězňovat (v-w10543f2)</v>
      </c>
      <c r="E52807" s="0" t="str">
        <f aca="false">HYPERLINK("https://lindat.mff.cuni.cz/services/SynSemClass40/SynSemClass40.html?veclass=vec00544#vec00544-ces-cm00002", "vec00544")</f>
        <v>vec00544</v>
      </c>
      <c r="F52807" s="0" t="s">
        <v>9271</v>
      </c>
    </row>
    <row r="52808" customFormat="false" ht="12.8" hidden="false" customHeight="false" outlineLevel="0" collapsed="false">
      <c r="B52808" s="0" t="s">
        <v>1</v>
      </c>
      <c r="C52808" s="0" t="s">
        <v>3288</v>
      </c>
      <c r="E52808" s="0" t="s">
        <v>206</v>
      </c>
      <c r="F52808" s="0" t="s">
        <v>9275</v>
      </c>
    </row>
    <row r="52809" customFormat="false" ht="12.8" hidden="false" customHeight="false" outlineLevel="0" collapsed="false">
      <c r="B52809" s="0" t="s">
        <v>8</v>
      </c>
      <c r="C52809" s="0" t="s">
        <v>1929</v>
      </c>
      <c r="E52809" s="0" t="s">
        <v>4259</v>
      </c>
      <c r="F52809" s="0" t="s">
        <v>9280</v>
      </c>
    </row>
    <row r="52811" customFormat="false" ht="12.8" hidden="false" customHeight="false" outlineLevel="0" collapsed="false">
      <c r="A52811" s="0" t="s">
        <v>18358</v>
      </c>
      <c r="B52811" s="0" t="str">
        <f aca="false">HYPERLINK("https://lindat.mff.cuni.cz/services/teitok/pdtc10/index.php?action=vallex&amp;frame=v-w7448f3_ZU", "uvěřit (v-w7448f3_ZU)")</f>
        <v>uvěřit (v-w7448f3_ZU)</v>
      </c>
    </row>
    <row r="52812" customFormat="false" ht="12.8" hidden="false" customHeight="false" outlineLevel="0" collapsed="false">
      <c r="B52812" s="0" t="s">
        <v>1</v>
      </c>
    </row>
    <row r="52813" customFormat="false" ht="12.8" hidden="false" customHeight="false" outlineLevel="0" collapsed="false">
      <c r="B52813" s="0" t="s">
        <v>7822</v>
      </c>
    </row>
    <row r="52815" customFormat="false" ht="12.8" hidden="false" customHeight="false" outlineLevel="0" collapsed="false">
      <c r="A52815" s="0" t="s">
        <v>18358</v>
      </c>
      <c r="B52815" s="0" t="str">
        <f aca="false">HYPERLINK("https://lindat.mff.cuni.cz/services/teitok/pdtc10/index.php?action=vallex&amp;frame=v-w7448f1", "uvěřit (v-w7448f1) - substituted with v-w7448f3_ZU")</f>
        <v>uvěřit (v-w7448f1) - substituted with v-w7448f3_ZU</v>
      </c>
      <c r="E52815" s="0" t="str">
        <f aca="false">HYPERLINK("https://lindat.mff.cuni.cz/services/SynSemClass40/SynSemClass40.html?veclass=vec00345#vec00345-ces-cm00023", "vec00345")</f>
        <v>vec00345</v>
      </c>
      <c r="F52815" s="0" t="s">
        <v>2478</v>
      </c>
    </row>
    <row r="52816" customFormat="false" ht="12.8" hidden="false" customHeight="false" outlineLevel="0" collapsed="false">
      <c r="B52816" s="0" t="s">
        <v>1</v>
      </c>
      <c r="C52816" s="0" t="s">
        <v>2479</v>
      </c>
      <c r="E52816" s="0" t="s">
        <v>621</v>
      </c>
      <c r="F52816" s="0" t="s">
        <v>2480</v>
      </c>
    </row>
    <row r="52817" customFormat="false" ht="12.8" hidden="false" customHeight="false" outlineLevel="0" collapsed="false">
      <c r="B52817" s="0" t="s">
        <v>7822</v>
      </c>
      <c r="C52817" s="0" t="s">
        <v>2482</v>
      </c>
      <c r="E52817" s="0" t="s">
        <v>218</v>
      </c>
      <c r="F52817" s="0" t="s">
        <v>2483</v>
      </c>
    </row>
    <row r="52819" customFormat="false" ht="12.8" hidden="false" customHeight="false" outlineLevel="0" collapsed="false">
      <c r="A52819" s="0" t="s">
        <v>18359</v>
      </c>
      <c r="B52819" s="0" t="str">
        <f aca="false">HYPERLINK("https://lindat.mff.cuni.cz/services/teitok/pdtc10/index.php?action=vallex&amp;frame=v-w7448f2", "uvěřit (v-w7448f2)")</f>
        <v>uvěřit (v-w7448f2)</v>
      </c>
      <c r="E52819" s="0" t="str">
        <f aca="false">HYPERLINK("https://lindat.mff.cuni.cz/services/SynSemClass40/SynSemClass40.html?veclass=vec01341#vec01341-ces-cm00003", "vec01341")</f>
        <v>vec01341</v>
      </c>
      <c r="F52819" s="0" t="s">
        <v>4039</v>
      </c>
    </row>
    <row r="52820" customFormat="false" ht="12.8" hidden="false" customHeight="false" outlineLevel="0" collapsed="false">
      <c r="B52820" s="0" t="s">
        <v>1</v>
      </c>
      <c r="C52820" s="0" t="s">
        <v>2462</v>
      </c>
      <c r="E52820" s="0" t="s">
        <v>621</v>
      </c>
      <c r="F52820" s="0" t="s">
        <v>4040</v>
      </c>
    </row>
    <row r="52821" customFormat="false" ht="12.8" hidden="false" customHeight="false" outlineLevel="0" collapsed="false">
      <c r="B52821" s="0" t="s">
        <v>52</v>
      </c>
      <c r="C52821" s="0" t="s">
        <v>2304</v>
      </c>
      <c r="E52821" s="0" t="s">
        <v>4041</v>
      </c>
      <c r="F52821" s="0" t="s">
        <v>4042</v>
      </c>
    </row>
    <row r="52822" customFormat="false" ht="12.8" hidden="false" customHeight="false" outlineLevel="0" collapsed="false">
      <c r="B52822" s="0" t="s">
        <v>18360</v>
      </c>
      <c r="C52822" s="0" t="s">
        <v>462</v>
      </c>
      <c r="E52822" s="0" t="s">
        <v>218</v>
      </c>
      <c r="F52822" s="0" t="s">
        <v>1366</v>
      </c>
    </row>
    <row r="52824" customFormat="false" ht="12.8" hidden="false" customHeight="false" outlineLevel="0" collapsed="false">
      <c r="A52824" s="0" t="s">
        <v>18361</v>
      </c>
      <c r="B52824" s="0" t="str">
        <f aca="false">HYPERLINK("https://lindat.mff.cuni.cz/services/teitok/pdtc10/index.php?action=vallex&amp;frame=v-w7469f1", "uzamknout (v-w7469f1)")</f>
        <v>uzamknout (v-w7469f1)</v>
      </c>
      <c r="E52824" s="0" t="str">
        <f aca="false">HYPERLINK("https://lindat.mff.cuni.cz/services/SynSemClass40/SynSemClass40.html?veclass=vec01342#vec01342-ces-cm00003", "vec01342")</f>
        <v>vec01342</v>
      </c>
      <c r="F52824" s="0" t="s">
        <v>8829</v>
      </c>
    </row>
    <row r="52825" customFormat="false" ht="12.8" hidden="false" customHeight="false" outlineLevel="0" collapsed="false">
      <c r="B52825" s="0" t="s">
        <v>1</v>
      </c>
      <c r="C52825" s="0" t="s">
        <v>18362</v>
      </c>
      <c r="E52825" s="0" t="s">
        <v>31</v>
      </c>
      <c r="F52825" s="0" t="s">
        <v>8833</v>
      </c>
    </row>
    <row r="52826" customFormat="false" ht="12.8" hidden="false" customHeight="false" outlineLevel="0" collapsed="false">
      <c r="B52826" s="0" t="s">
        <v>8</v>
      </c>
      <c r="C52826" s="0" t="s">
        <v>16683</v>
      </c>
      <c r="E52826" s="0" t="s">
        <v>34</v>
      </c>
      <c r="F52826" s="0" t="s">
        <v>8837</v>
      </c>
    </row>
    <row r="52828" customFormat="false" ht="12.8" hidden="false" customHeight="false" outlineLevel="0" collapsed="false">
      <c r="A52828" s="0" t="s">
        <v>18363</v>
      </c>
      <c r="B52828" s="0" t="str">
        <f aca="false">HYPERLINK("https://lindat.mff.cuni.cz/services/teitok/pdtc10/index.php?action=vallex&amp;frame=v-w7472f4", "uzavírat (v-w7472f4)")</f>
        <v>uzavírat (v-w7472f4)</v>
      </c>
    </row>
    <row r="52829" customFormat="false" ht="12.8" hidden="false" customHeight="false" outlineLevel="0" collapsed="false">
      <c r="B52829" s="0" t="s">
        <v>1</v>
      </c>
    </row>
    <row r="52830" customFormat="false" ht="12.8" hidden="false" customHeight="false" outlineLevel="0" collapsed="false">
      <c r="B52830" s="0" t="s">
        <v>8</v>
      </c>
    </row>
    <row r="52831" customFormat="false" ht="12.8" hidden="false" customHeight="false" outlineLevel="0" collapsed="false">
      <c r="B52831" s="0" t="s">
        <v>3205</v>
      </c>
    </row>
    <row r="52833" customFormat="false" ht="12.8" hidden="false" customHeight="false" outlineLevel="0" collapsed="false">
      <c r="A52833" s="0" t="s">
        <v>18364</v>
      </c>
      <c r="B52833" s="0" t="str">
        <f aca="false">HYPERLINK("https://lindat.mff.cuni.cz/services/teitok/pdtc10/index.php?action=vallex&amp;frame=v-w7472f3", "uzavírat (v-w7472f3)")</f>
        <v>uzavírat (v-w7472f3)</v>
      </c>
      <c r="E52833" s="0" t="str">
        <f aca="false">HYPERLINK("https://lindat.mff.cuni.cz/services/SynSemClass40/SynSemClass40.html?veclass=vec00376#vec00376-ces-cm00012", "vec00376")</f>
        <v>vec00376</v>
      </c>
      <c r="F52833" s="0" t="s">
        <v>18365</v>
      </c>
    </row>
    <row r="52834" customFormat="false" ht="12.8" hidden="false" customHeight="false" outlineLevel="0" collapsed="false">
      <c r="B52834" s="0" t="s">
        <v>1</v>
      </c>
      <c r="C52834" s="0" t="s">
        <v>18366</v>
      </c>
      <c r="E52834" s="0" t="s">
        <v>31</v>
      </c>
      <c r="F52834" s="0" t="s">
        <v>18367</v>
      </c>
    </row>
    <row r="52835" customFormat="false" ht="12.8" hidden="false" customHeight="false" outlineLevel="0" collapsed="false">
      <c r="B52835" s="0" t="s">
        <v>8</v>
      </c>
      <c r="C52835" s="0" t="s">
        <v>18368</v>
      </c>
      <c r="E52835" s="0" t="s">
        <v>2403</v>
      </c>
      <c r="F52835" s="0" t="s">
        <v>18369</v>
      </c>
    </row>
    <row r="52837" customFormat="false" ht="12.8" hidden="false" customHeight="false" outlineLevel="0" collapsed="false">
      <c r="A52837" s="0" t="s">
        <v>18370</v>
      </c>
      <c r="B52837" s="0" t="str">
        <f aca="false">HYPERLINK("https://lindat.mff.cuni.cz/services/teitok/pdtc10/index.php?action=vallex&amp;frame=v-w7472f6_ZU", "uzavírat (v-w7472f6_ZU)")</f>
        <v>uzavírat (v-w7472f6_ZU)</v>
      </c>
      <c r="E52837" s="0" t="str">
        <f aca="false">HYPERLINK("https://lindat.mff.cuni.cz/services/SynSemClass40/SynSemClass40.html?veclass=vec00213#vec00213-ces-cm00021", "vec00213")</f>
        <v>vec00213</v>
      </c>
      <c r="F52837" s="0" t="s">
        <v>2399</v>
      </c>
    </row>
    <row r="52838" customFormat="false" ht="12.8" hidden="false" customHeight="false" outlineLevel="0" collapsed="false">
      <c r="B52838" s="0" t="s">
        <v>1</v>
      </c>
      <c r="C52838" s="0" t="s">
        <v>2400</v>
      </c>
      <c r="E52838" s="0" t="s">
        <v>31</v>
      </c>
      <c r="F52838" s="0" t="s">
        <v>2401</v>
      </c>
    </row>
    <row r="52839" customFormat="false" ht="12.8" hidden="false" customHeight="false" outlineLevel="0" collapsed="false">
      <c r="B52839" s="0" t="s">
        <v>8</v>
      </c>
      <c r="C52839" s="0" t="s">
        <v>2402</v>
      </c>
      <c r="E52839" s="0" t="s">
        <v>2403</v>
      </c>
      <c r="F52839" s="0" t="s">
        <v>2404</v>
      </c>
    </row>
    <row r="52841" customFormat="false" ht="12.8" hidden="false" customHeight="false" outlineLevel="0" collapsed="false">
      <c r="A52841" s="0" t="s">
        <v>18370</v>
      </c>
      <c r="B52841" s="0" t="str">
        <f aca="false">HYPERLINK("https://lindat.mff.cuni.cz/services/teitok/pdtc10/index.php?action=vallex&amp;frame=v-w7472f2", "uzavírat (v-w7472f2) - substituted with v-w7472f6_ZU")</f>
        <v>uzavírat (v-w7472f2) - substituted with v-w7472f6_ZU</v>
      </c>
    </row>
    <row r="52842" customFormat="false" ht="12.8" hidden="false" customHeight="false" outlineLevel="0" collapsed="false">
      <c r="B52842" s="0" t="s">
        <v>1</v>
      </c>
    </row>
    <row r="52843" customFormat="false" ht="12.8" hidden="false" customHeight="false" outlineLevel="0" collapsed="false">
      <c r="B52843" s="0" t="s">
        <v>8</v>
      </c>
    </row>
    <row r="52845" customFormat="false" ht="12.8" hidden="false" customHeight="false" outlineLevel="0" collapsed="false">
      <c r="A52845" s="0" t="s">
        <v>18371</v>
      </c>
      <c r="B52845" s="0" t="str">
        <f aca="false">HYPERLINK("https://lindat.mff.cuni.cz/services/teitok/pdtc10/index.php?action=vallex&amp;frame=v-w7472f12_ZU", "uzavírat (v-w7472f12_ZU)")</f>
        <v>uzavírat (v-w7472f12_ZU)</v>
      </c>
      <c r="E52845" s="0" t="str">
        <f aca="false">HYPERLINK("https://lindat.mff.cuni.cz/services/SynSemClass40/SynSemClass40.html?veclass=vec00741#vec00741-ces-cm00017", "vec00741")</f>
        <v>vec00741</v>
      </c>
      <c r="F52845" s="0" t="s">
        <v>5600</v>
      </c>
    </row>
    <row r="52846" customFormat="false" ht="12.8" hidden="false" customHeight="false" outlineLevel="0" collapsed="false">
      <c r="B52846" s="0" t="s">
        <v>1</v>
      </c>
      <c r="C52846" s="0" t="s">
        <v>15932</v>
      </c>
      <c r="E52846" s="0" t="s">
        <v>957</v>
      </c>
      <c r="F52846" s="0" t="s">
        <v>5602</v>
      </c>
    </row>
    <row r="52847" customFormat="false" ht="12.8" hidden="false" customHeight="false" outlineLevel="0" collapsed="false">
      <c r="B52847" s="0" t="s">
        <v>390</v>
      </c>
      <c r="E52847" s="0" t="s">
        <v>2403</v>
      </c>
      <c r="F52847" s="0" t="s">
        <v>15933</v>
      </c>
    </row>
    <row r="52848" customFormat="false" ht="12.8" hidden="false" customHeight="false" outlineLevel="0" collapsed="false">
      <c r="B52848" s="0" t="s">
        <v>1773</v>
      </c>
      <c r="C52848" s="0" t="s">
        <v>15934</v>
      </c>
      <c r="E52848" s="0" t="s">
        <v>17690</v>
      </c>
      <c r="F52848" s="0" t="s">
        <v>17691</v>
      </c>
    </row>
    <row r="52849" customFormat="false" ht="12.8" hidden="false" customHeight="false" outlineLevel="0" collapsed="false">
      <c r="B52849" s="0" t="s">
        <v>642</v>
      </c>
      <c r="C52849" s="0" t="s">
        <v>18372</v>
      </c>
      <c r="E52849" s="0" t="s">
        <v>17690</v>
      </c>
      <c r="F52849" s="0" t="s">
        <v>17691</v>
      </c>
    </row>
    <row r="52850" customFormat="false" ht="12.8" hidden="false" customHeight="false" outlineLevel="0" collapsed="false">
      <c r="B52850" s="0" t="s">
        <v>648</v>
      </c>
      <c r="C52850" s="0" t="s">
        <v>18373</v>
      </c>
      <c r="E52850" s="0" t="s">
        <v>17690</v>
      </c>
      <c r="F52850" s="0" t="s">
        <v>17691</v>
      </c>
    </row>
    <row r="52852" customFormat="false" ht="12.8" hidden="false" customHeight="false" outlineLevel="0" collapsed="false">
      <c r="A52852" s="0" t="s">
        <v>18371</v>
      </c>
      <c r="B52852" s="0" t="str">
        <f aca="false">HYPERLINK("https://lindat.mff.cuni.cz/services/teitok/pdtc10/index.php?action=vallex&amp;frame=v-w7472f5_ZU", "uzavírat (v-w7472f5_ZU) - substituted with v-w7472f12_ZU")</f>
        <v>uzavírat (v-w7472f5_ZU) - substituted with v-w7472f12_ZU</v>
      </c>
    </row>
    <row r="52853" customFormat="false" ht="12.8" hidden="false" customHeight="false" outlineLevel="0" collapsed="false">
      <c r="B52853" s="0" t="s">
        <v>1</v>
      </c>
    </row>
    <row r="52854" customFormat="false" ht="12.8" hidden="false" customHeight="false" outlineLevel="0" collapsed="false">
      <c r="B52854" s="0" t="s">
        <v>390</v>
      </c>
    </row>
    <row r="52855" customFormat="false" ht="12.8" hidden="false" customHeight="false" outlineLevel="0" collapsed="false">
      <c r="B52855" s="0" t="s">
        <v>1773</v>
      </c>
    </row>
    <row r="52856" customFormat="false" ht="12.8" hidden="false" customHeight="false" outlineLevel="0" collapsed="false">
      <c r="B52856" s="0" t="s">
        <v>642</v>
      </c>
    </row>
    <row r="52857" customFormat="false" ht="12.8" hidden="false" customHeight="false" outlineLevel="0" collapsed="false">
      <c r="B52857" s="0" t="s">
        <v>648</v>
      </c>
    </row>
    <row r="52859" customFormat="false" ht="12.8" hidden="false" customHeight="false" outlineLevel="0" collapsed="false">
      <c r="A52859" s="0" t="s">
        <v>18371</v>
      </c>
      <c r="B52859" s="0" t="str">
        <f aca="false">HYPERLINK("https://lindat.mff.cuni.cz/services/teitok/pdtc10/index.php?action=vallex&amp;frame=v-w7472f9_ZU", "uzavírat (v-w7472f9_ZU) - substituted with v-w7472f12_ZU")</f>
        <v>uzavírat (v-w7472f9_ZU) - substituted with v-w7472f12_ZU</v>
      </c>
    </row>
    <row r="52860" customFormat="false" ht="12.8" hidden="false" customHeight="false" outlineLevel="0" collapsed="false">
      <c r="B52860" s="0" t="s">
        <v>1</v>
      </c>
    </row>
    <row r="52861" customFormat="false" ht="12.8" hidden="false" customHeight="false" outlineLevel="0" collapsed="false">
      <c r="B52861" s="0" t="s">
        <v>390</v>
      </c>
    </row>
    <row r="52862" customFormat="false" ht="12.8" hidden="false" customHeight="false" outlineLevel="0" collapsed="false">
      <c r="B52862" s="0" t="s">
        <v>1773</v>
      </c>
    </row>
    <row r="52863" customFormat="false" ht="12.8" hidden="false" customHeight="false" outlineLevel="0" collapsed="false">
      <c r="B52863" s="0" t="s">
        <v>642</v>
      </c>
    </row>
    <row r="52864" customFormat="false" ht="12.8" hidden="false" customHeight="false" outlineLevel="0" collapsed="false">
      <c r="B52864" s="0" t="s">
        <v>648</v>
      </c>
    </row>
    <row r="52866" customFormat="false" ht="12.8" hidden="false" customHeight="false" outlineLevel="0" collapsed="false">
      <c r="A52866" s="0" t="s">
        <v>18374</v>
      </c>
      <c r="B52866" s="0" t="str">
        <f aca="false">HYPERLINK("https://lindat.mff.cuni.cz/services/teitok/pdtc10/index.php?action=vallex&amp;frame=v-w7472f13_ZU", "uzavírat (v-w7472f13_ZU)")</f>
        <v>uzavírat (v-w7472f13_ZU)</v>
      </c>
    </row>
    <row r="52867" customFormat="false" ht="12.8" hidden="false" customHeight="false" outlineLevel="0" collapsed="false">
      <c r="B52867" s="0" t="s">
        <v>1</v>
      </c>
    </row>
    <row r="52868" customFormat="false" ht="12.8" hidden="false" customHeight="false" outlineLevel="0" collapsed="false">
      <c r="B52868" s="0" t="s">
        <v>18375</v>
      </c>
    </row>
    <row r="52870" customFormat="false" ht="12.8" hidden="false" customHeight="false" outlineLevel="0" collapsed="false">
      <c r="A52870" s="0" t="s">
        <v>18374</v>
      </c>
      <c r="B52870" s="0" t="str">
        <f aca="false">HYPERLINK("https://lindat.mff.cuni.cz/services/teitok/pdtc10/index.php?action=vallex&amp;frame=v-w7472f1", "uzavírat (v-w7472f1) - substituted with v-w7472f13_ZU")</f>
        <v>uzavírat (v-w7472f1) - substituted with v-w7472f13_ZU</v>
      </c>
    </row>
    <row r="52871" customFormat="false" ht="12.8" hidden="false" customHeight="false" outlineLevel="0" collapsed="false">
      <c r="B52871" s="0" t="s">
        <v>1</v>
      </c>
    </row>
    <row r="52872" customFormat="false" ht="12.8" hidden="false" customHeight="false" outlineLevel="0" collapsed="false">
      <c r="B52872" s="0" t="s">
        <v>18375</v>
      </c>
    </row>
    <row r="52874" customFormat="false" ht="12.8" hidden="false" customHeight="false" outlineLevel="0" collapsed="false">
      <c r="A52874" s="0" t="s">
        <v>18374</v>
      </c>
      <c r="B52874" s="0" t="str">
        <f aca="false">HYPERLINK("https://lindat.mff.cuni.cz/services/teitok/pdtc10/index.php?action=vallex&amp;frame=v-w7472f11_ZU", "uzavírat (v-w7472f11_ZU) - substituted with v-w7472f13_ZU")</f>
        <v>uzavírat (v-w7472f11_ZU) - substituted with v-w7472f13_ZU</v>
      </c>
    </row>
    <row r="52875" customFormat="false" ht="12.8" hidden="false" customHeight="false" outlineLevel="0" collapsed="false">
      <c r="B52875" s="0" t="s">
        <v>1</v>
      </c>
    </row>
    <row r="52876" customFormat="false" ht="12.8" hidden="false" customHeight="false" outlineLevel="0" collapsed="false">
      <c r="B52876" s="0" t="s">
        <v>18375</v>
      </c>
    </row>
    <row r="52878" customFormat="false" ht="12.8" hidden="false" customHeight="false" outlineLevel="0" collapsed="false">
      <c r="A52878" s="0" t="s">
        <v>18374</v>
      </c>
      <c r="B52878" s="0" t="str">
        <f aca="false">HYPERLINK("https://lindat.mff.cuni.cz/services/teitok/pdtc10/index.php?action=vallex&amp;frame=v-w7472f7_ZU", "uzavírat (v-w7472f7_ZU) - substituted with v-w7472f13_ZU")</f>
        <v>uzavírat (v-w7472f7_ZU) - substituted with v-w7472f13_ZU</v>
      </c>
    </row>
    <row r="52879" customFormat="false" ht="12.8" hidden="false" customHeight="false" outlineLevel="0" collapsed="false">
      <c r="B52879" s="0" t="s">
        <v>1</v>
      </c>
    </row>
    <row r="52880" customFormat="false" ht="12.8" hidden="false" customHeight="false" outlineLevel="0" collapsed="false">
      <c r="B52880" s="0" t="s">
        <v>18375</v>
      </c>
    </row>
    <row r="52882" customFormat="false" ht="12.8" hidden="false" customHeight="false" outlineLevel="0" collapsed="false">
      <c r="A52882" s="0" t="s">
        <v>18376</v>
      </c>
      <c r="B52882" s="0" t="str">
        <f aca="false">HYPERLINK("https://lindat.mff.cuni.cz/services/teitok/pdtc10/index.php?action=vallex&amp;frame=v-w7472f8_ZU", "uzavírat (v-w7472f8_ZU)")</f>
        <v>uzavírat (v-w7472f8_ZU)</v>
      </c>
    </row>
    <row r="52883" customFormat="false" ht="12.8" hidden="false" customHeight="false" outlineLevel="0" collapsed="false">
      <c r="B52883" s="0" t="s">
        <v>1</v>
      </c>
    </row>
    <row r="52884" customFormat="false" ht="12.8" hidden="false" customHeight="false" outlineLevel="0" collapsed="false">
      <c r="B52884" s="0" t="s">
        <v>5201</v>
      </c>
    </row>
    <row r="52886" customFormat="false" ht="12.8" hidden="false" customHeight="false" outlineLevel="0" collapsed="false">
      <c r="A52886" s="0" t="s">
        <v>18377</v>
      </c>
      <c r="B52886" s="0" t="str">
        <f aca="false">HYPERLINK("https://lindat.mff.cuni.cz/services/teitok/pdtc10/index.php?action=vallex&amp;frame=v-w7472f10_ZU", "uzavírat (v-w7472f10_ZU)")</f>
        <v>uzavírat (v-w7472f10_ZU)</v>
      </c>
    </row>
    <row r="52887" customFormat="false" ht="12.8" hidden="false" customHeight="false" outlineLevel="0" collapsed="false">
      <c r="B52887" s="0" t="s">
        <v>1</v>
      </c>
    </row>
    <row r="52888" customFormat="false" ht="12.8" hidden="false" customHeight="false" outlineLevel="0" collapsed="false">
      <c r="B52888" s="0" t="s">
        <v>8</v>
      </c>
    </row>
    <row r="52889" customFormat="false" ht="12.8" hidden="false" customHeight="false" outlineLevel="0" collapsed="false">
      <c r="B52889" s="0" t="s">
        <v>1262</v>
      </c>
    </row>
    <row r="52891" customFormat="false" ht="12.8" hidden="false" customHeight="false" outlineLevel="0" collapsed="false">
      <c r="A52891" s="0" t="s">
        <v>18378</v>
      </c>
      <c r="B52891" s="0" t="str">
        <f aca="false">HYPERLINK("https://lindat.mff.cuni.cz/services/teitok/pdtc10/index.php?action=vallex&amp;frame=v-w7473f1", "uzavírat se (v-w7473f1)")</f>
        <v>uzavírat se (v-w7473f1)</v>
      </c>
      <c r="E52891" s="0" t="str">
        <f aca="false">HYPERLINK("https://lindat.mff.cuni.cz/services/SynSemClass40/SynSemClass40.html?veclass=vec00948#vec00948-ces-cm00006", "vec00948")</f>
        <v>vec00948</v>
      </c>
      <c r="F52891" s="0" t="s">
        <v>5829</v>
      </c>
    </row>
    <row r="52892" customFormat="false" ht="12.8" hidden="false" customHeight="false" outlineLevel="0" collapsed="false">
      <c r="B52892" s="0" t="s">
        <v>1</v>
      </c>
      <c r="E52892" s="0" t="s">
        <v>5830</v>
      </c>
      <c r="F52892" s="0" t="s">
        <v>5831</v>
      </c>
    </row>
    <row r="52893" customFormat="false" ht="12.8" hidden="false" customHeight="false" outlineLevel="0" collapsed="false">
      <c r="B52893" s="0" t="s">
        <v>18379</v>
      </c>
      <c r="C52893" s="0" t="s">
        <v>1910</v>
      </c>
      <c r="E52893" s="0" t="s">
        <v>532</v>
      </c>
      <c r="F52893" s="0" t="s">
        <v>9717</v>
      </c>
    </row>
    <row r="52895" customFormat="false" ht="12.8" hidden="false" customHeight="false" outlineLevel="0" collapsed="false">
      <c r="A52895" s="0" t="s">
        <v>18380</v>
      </c>
      <c r="B52895" s="0" t="str">
        <f aca="false">HYPERLINK("https://lindat.mff.cuni.cz/services/teitok/pdtc10/index.php?action=vallex&amp;frame=v-w7476f4", "uzavřít (v-w7476f4)")</f>
        <v>uzavřít (v-w7476f4)</v>
      </c>
    </row>
    <row r="52896" customFormat="false" ht="12.8" hidden="false" customHeight="false" outlineLevel="0" collapsed="false">
      <c r="B52896" s="0" t="s">
        <v>1</v>
      </c>
    </row>
    <row r="52897" customFormat="false" ht="12.8" hidden="false" customHeight="false" outlineLevel="0" collapsed="false">
      <c r="B52897" s="0" t="s">
        <v>8</v>
      </c>
    </row>
    <row r="52898" customFormat="false" ht="12.8" hidden="false" customHeight="false" outlineLevel="0" collapsed="false">
      <c r="B52898" s="0" t="s">
        <v>3205</v>
      </c>
    </row>
    <row r="52900" customFormat="false" ht="12.8" hidden="false" customHeight="false" outlineLevel="0" collapsed="false">
      <c r="A52900" s="0" t="s">
        <v>18381</v>
      </c>
      <c r="B52900" s="0" t="str">
        <f aca="false">HYPERLINK("https://lindat.mff.cuni.cz/services/teitok/pdtc10/index.php?action=vallex&amp;frame=v-w7476f7", "uzavřít (v-w7476f7)")</f>
        <v>uzavřít (v-w7476f7)</v>
      </c>
    </row>
    <row r="52901" customFormat="false" ht="12.8" hidden="false" customHeight="false" outlineLevel="0" collapsed="false">
      <c r="B52901" s="0" t="s">
        <v>1</v>
      </c>
    </row>
    <row r="52902" customFormat="false" ht="12.8" hidden="false" customHeight="false" outlineLevel="0" collapsed="false">
      <c r="B52902" s="0" t="s">
        <v>8</v>
      </c>
    </row>
    <row r="52903" customFormat="false" ht="12.8" hidden="false" customHeight="false" outlineLevel="0" collapsed="false">
      <c r="B52903" s="0" t="s">
        <v>5</v>
      </c>
    </row>
    <row r="52905" customFormat="false" ht="12.8" hidden="false" customHeight="false" outlineLevel="0" collapsed="false">
      <c r="A52905" s="0" t="s">
        <v>18382</v>
      </c>
      <c r="B52905" s="0" t="str">
        <f aca="false">HYPERLINK("https://lindat.mff.cuni.cz/services/teitok/pdtc10/index.php?action=vallex&amp;frame=v-w7476f9", "uzavřít (v-w7476f9)")</f>
        <v>uzavřít (v-w7476f9)</v>
      </c>
    </row>
    <row r="52906" customFormat="false" ht="12.8" hidden="false" customHeight="false" outlineLevel="0" collapsed="false">
      <c r="B52906" s="0" t="s">
        <v>1</v>
      </c>
    </row>
    <row r="52907" customFormat="false" ht="12.8" hidden="false" customHeight="false" outlineLevel="0" collapsed="false">
      <c r="B52907" s="0" t="s">
        <v>8</v>
      </c>
    </row>
    <row r="52908" customFormat="false" ht="12.8" hidden="false" customHeight="false" outlineLevel="0" collapsed="false">
      <c r="B52908" s="0" t="s">
        <v>164</v>
      </c>
    </row>
    <row r="52910" customFormat="false" ht="12.8" hidden="false" customHeight="false" outlineLevel="0" collapsed="false">
      <c r="A52910" s="0" t="s">
        <v>18383</v>
      </c>
      <c r="B52910" s="0" t="str">
        <f aca="false">HYPERLINK("https://lindat.mff.cuni.cz/services/teitok/pdtc10/index.php?action=vallex&amp;frame=v-w7476f2", "uzavřít (v-w7476f2)")</f>
        <v>uzavřít (v-w7476f2)</v>
      </c>
      <c r="E52910" s="0" t="str">
        <f aca="false">HYPERLINK("https://lindat.mff.cuni.cz/services/SynSemClass40/SynSemClass40.html?veclass=vec00376#vec00376-ces-cm00014", "vec00376")</f>
        <v>vec00376</v>
      </c>
      <c r="F52910" s="0" t="s">
        <v>18365</v>
      </c>
    </row>
    <row r="52911" customFormat="false" ht="12.8" hidden="false" customHeight="false" outlineLevel="0" collapsed="false">
      <c r="B52911" s="0" t="s">
        <v>1</v>
      </c>
      <c r="C52911" s="0" t="s">
        <v>18366</v>
      </c>
      <c r="E52911" s="0" t="s">
        <v>31</v>
      </c>
      <c r="F52911" s="0" t="s">
        <v>18367</v>
      </c>
    </row>
    <row r="52912" customFormat="false" ht="12.8" hidden="false" customHeight="false" outlineLevel="0" collapsed="false">
      <c r="B52912" s="0" t="s">
        <v>8</v>
      </c>
      <c r="C52912" s="0" t="s">
        <v>18368</v>
      </c>
      <c r="E52912" s="0" t="s">
        <v>2403</v>
      </c>
      <c r="F52912" s="0" t="s">
        <v>18369</v>
      </c>
    </row>
    <row r="52914" customFormat="false" ht="12.8" hidden="false" customHeight="false" outlineLevel="0" collapsed="false">
      <c r="A52914" s="0" t="s">
        <v>18384</v>
      </c>
      <c r="B52914" s="0" t="str">
        <f aca="false">HYPERLINK("https://lindat.mff.cuni.cz/services/teitok/pdtc10/index.php?action=vallex&amp;frame=v-w7476f3", "uzavřít (v-w7476f3)")</f>
        <v>uzavřít (v-w7476f3)</v>
      </c>
      <c r="E52914" s="0" t="str">
        <f aca="false">HYPERLINK("https://lindat.mff.cuni.cz/services/SynSemClass40/SynSemClass40.html?veclass=vec00376#vec00376-ces-cm00015", "vec00376")</f>
        <v>vec00376</v>
      </c>
      <c r="F52914" s="0" t="s">
        <v>18365</v>
      </c>
    </row>
    <row r="52915" customFormat="false" ht="12.8" hidden="false" customHeight="false" outlineLevel="0" collapsed="false">
      <c r="B52915" s="0" t="s">
        <v>1</v>
      </c>
      <c r="C52915" s="0" t="s">
        <v>18366</v>
      </c>
      <c r="E52915" s="0" t="s">
        <v>31</v>
      </c>
      <c r="F52915" s="0" t="s">
        <v>18367</v>
      </c>
    </row>
    <row r="52916" customFormat="false" ht="12.8" hidden="false" customHeight="false" outlineLevel="0" collapsed="false">
      <c r="B52916" s="0" t="s">
        <v>8</v>
      </c>
      <c r="C52916" s="0" t="s">
        <v>18368</v>
      </c>
      <c r="E52916" s="0" t="s">
        <v>2403</v>
      </c>
      <c r="F52916" s="0" t="s">
        <v>18369</v>
      </c>
    </row>
    <row r="52918" customFormat="false" ht="12.8" hidden="false" customHeight="false" outlineLevel="0" collapsed="false">
      <c r="A52918" s="0" t="s">
        <v>18385</v>
      </c>
      <c r="B52918" s="0" t="str">
        <f aca="false">HYPERLINK("https://lindat.mff.cuni.cz/services/teitok/pdtc10/index.php?action=vallex&amp;frame=v-w7476f5", "uzavřít (v-w7476f5)")</f>
        <v>uzavřít (v-w7476f5)</v>
      </c>
      <c r="E52918" s="0" t="str">
        <f aca="false">HYPERLINK("https://lindat.mff.cuni.cz/services/SynSemClass40/SynSemClass40.html?veclass=vec00741#vec00741-ces-cm00001", "vec00741")</f>
        <v>vec00741</v>
      </c>
      <c r="F52918" s="0" t="s">
        <v>5600</v>
      </c>
    </row>
    <row r="52919" customFormat="false" ht="12.8" hidden="false" customHeight="false" outlineLevel="0" collapsed="false">
      <c r="B52919" s="0" t="s">
        <v>1</v>
      </c>
      <c r="C52919" s="0" t="s">
        <v>15932</v>
      </c>
      <c r="E52919" s="0" t="s">
        <v>957</v>
      </c>
      <c r="F52919" s="0" t="s">
        <v>5602</v>
      </c>
    </row>
    <row r="52920" customFormat="false" ht="12.8" hidden="false" customHeight="false" outlineLevel="0" collapsed="false">
      <c r="B52920" s="0" t="s">
        <v>8</v>
      </c>
      <c r="E52920" s="0" t="s">
        <v>2403</v>
      </c>
      <c r="F52920" s="0" t="s">
        <v>15933</v>
      </c>
    </row>
    <row r="52922" customFormat="false" ht="12.8" hidden="false" customHeight="false" outlineLevel="0" collapsed="false">
      <c r="A52922" s="0" t="s">
        <v>18386</v>
      </c>
      <c r="B52922" s="0" t="str">
        <f aca="false">HYPERLINK("https://lindat.mff.cuni.cz/services/teitok/pdtc10/index.php?action=vallex&amp;frame=v-w7476f6", "uzavřít (v-w7476f6)")</f>
        <v>uzavřít (v-w7476f6)</v>
      </c>
      <c r="E52922" s="0" t="str">
        <f aca="false">HYPERLINK("https://lindat.mff.cuni.cz/services/SynSemClass40/SynSemClass40.html?veclass=vec01342#vec01342-ces-cm00004", "vec01342")</f>
        <v>vec01342</v>
      </c>
      <c r="F52922" s="0" t="s">
        <v>8829</v>
      </c>
    </row>
    <row r="52923" customFormat="false" ht="12.8" hidden="false" customHeight="false" outlineLevel="0" collapsed="false">
      <c r="B52923" s="0" t="s">
        <v>1</v>
      </c>
      <c r="C52923" s="0" t="s">
        <v>18362</v>
      </c>
      <c r="E52923" s="0" t="s">
        <v>31</v>
      </c>
      <c r="F52923" s="0" t="s">
        <v>8833</v>
      </c>
    </row>
    <row r="52924" customFormat="false" ht="12.8" hidden="false" customHeight="false" outlineLevel="0" collapsed="false">
      <c r="B52924" s="0" t="s">
        <v>8</v>
      </c>
      <c r="C52924" s="0" t="s">
        <v>16683</v>
      </c>
      <c r="E52924" s="0" t="s">
        <v>34</v>
      </c>
      <c r="F52924" s="0" t="s">
        <v>8837</v>
      </c>
    </row>
    <row r="52926" customFormat="false" ht="12.8" hidden="false" customHeight="false" outlineLevel="0" collapsed="false">
      <c r="A52926" s="0" t="s">
        <v>18387</v>
      </c>
      <c r="B52926" s="0" t="str">
        <f aca="false">HYPERLINK("https://lindat.mff.cuni.cz/services/teitok/pdtc10/index.php?action=vallex&amp;frame=v-w7476f8", "uzavřít (v-w7476f8)")</f>
        <v>uzavřít (v-w7476f8)</v>
      </c>
    </row>
    <row r="52927" customFormat="false" ht="12.8" hidden="false" customHeight="false" outlineLevel="0" collapsed="false">
      <c r="B52927" s="0" t="s">
        <v>1</v>
      </c>
    </row>
    <row r="52928" customFormat="false" ht="12.8" hidden="false" customHeight="false" outlineLevel="0" collapsed="false">
      <c r="B52928" s="0" t="s">
        <v>8</v>
      </c>
    </row>
    <row r="52930" customFormat="false" ht="12.8" hidden="false" customHeight="false" outlineLevel="0" collapsed="false">
      <c r="A52930" s="0" t="s">
        <v>18388</v>
      </c>
      <c r="B52930" s="0" t="str">
        <f aca="false">HYPERLINK("https://lindat.mff.cuni.cz/services/teitok/pdtc10/index.php?action=vallex&amp;frame=v-w7476f18_ZU", "uzavřít (v-w7476f18_ZU)")</f>
        <v>uzavřít (v-w7476f18_ZU)</v>
      </c>
      <c r="E52930" s="0" t="str">
        <f aca="false">HYPERLINK("https://lindat.mff.cuni.cz/services/SynSemClass40/SynSemClass40.html?veclass=vec00741#vec00741-ces-cm00021", "vec00741")</f>
        <v>vec00741</v>
      </c>
      <c r="F52930" s="0" t="s">
        <v>5600</v>
      </c>
    </row>
    <row r="52931" customFormat="false" ht="12.8" hidden="false" customHeight="false" outlineLevel="0" collapsed="false">
      <c r="B52931" s="0" t="s">
        <v>1</v>
      </c>
      <c r="C52931" s="0" t="s">
        <v>15932</v>
      </c>
      <c r="E52931" s="0" t="s">
        <v>957</v>
      </c>
      <c r="F52931" s="0" t="s">
        <v>5602</v>
      </c>
    </row>
    <row r="52932" customFormat="false" ht="12.8" hidden="false" customHeight="false" outlineLevel="0" collapsed="false">
      <c r="B52932" s="0" t="s">
        <v>390</v>
      </c>
      <c r="E52932" s="0" t="s">
        <v>2403</v>
      </c>
      <c r="F52932" s="0" t="s">
        <v>15933</v>
      </c>
    </row>
    <row r="52933" customFormat="false" ht="12.8" hidden="false" customHeight="false" outlineLevel="0" collapsed="false">
      <c r="B52933" s="0" t="s">
        <v>1773</v>
      </c>
      <c r="C52933" s="0" t="s">
        <v>15934</v>
      </c>
      <c r="E52933" s="0" t="s">
        <v>17690</v>
      </c>
      <c r="F52933" s="0" t="s">
        <v>17691</v>
      </c>
    </row>
    <row r="52934" customFormat="false" ht="12.8" hidden="false" customHeight="false" outlineLevel="0" collapsed="false">
      <c r="B52934" s="0" t="s">
        <v>642</v>
      </c>
      <c r="C52934" s="0" t="s">
        <v>18372</v>
      </c>
      <c r="E52934" s="0" t="s">
        <v>17690</v>
      </c>
      <c r="F52934" s="0" t="s">
        <v>17691</v>
      </c>
    </row>
    <row r="52935" customFormat="false" ht="12.8" hidden="false" customHeight="false" outlineLevel="0" collapsed="false">
      <c r="B52935" s="0" t="s">
        <v>648</v>
      </c>
      <c r="C52935" s="0" t="s">
        <v>18373</v>
      </c>
      <c r="E52935" s="0" t="s">
        <v>17690</v>
      </c>
      <c r="F52935" s="0" t="s">
        <v>17691</v>
      </c>
    </row>
    <row r="52937" customFormat="false" ht="12.8" hidden="false" customHeight="false" outlineLevel="0" collapsed="false">
      <c r="A52937" s="0" t="s">
        <v>18388</v>
      </c>
      <c r="B52937" s="0" t="str">
        <f aca="false">HYPERLINK("https://lindat.mff.cuni.cz/services/teitok/pdtc10/index.php?action=vallex&amp;frame=v-w7476f10_ZU", "uzavřít (v-w7476f10_ZU) - substituted with v-w7476f18_ZU")</f>
        <v>uzavřít (v-w7476f10_ZU) - substituted with v-w7476f18_ZU</v>
      </c>
    </row>
    <row r="52938" customFormat="false" ht="12.8" hidden="false" customHeight="false" outlineLevel="0" collapsed="false">
      <c r="B52938" s="0" t="s">
        <v>1</v>
      </c>
    </row>
    <row r="52939" customFormat="false" ht="12.8" hidden="false" customHeight="false" outlineLevel="0" collapsed="false">
      <c r="B52939" s="0" t="s">
        <v>390</v>
      </c>
    </row>
    <row r="52940" customFormat="false" ht="12.8" hidden="false" customHeight="false" outlineLevel="0" collapsed="false">
      <c r="B52940" s="0" t="s">
        <v>1773</v>
      </c>
    </row>
    <row r="52941" customFormat="false" ht="12.8" hidden="false" customHeight="false" outlineLevel="0" collapsed="false">
      <c r="B52941" s="0" t="s">
        <v>642</v>
      </c>
    </row>
    <row r="52942" customFormat="false" ht="12.8" hidden="false" customHeight="false" outlineLevel="0" collapsed="false">
      <c r="B52942" s="0" t="s">
        <v>648</v>
      </c>
    </row>
    <row r="52944" customFormat="false" ht="12.8" hidden="false" customHeight="false" outlineLevel="0" collapsed="false">
      <c r="A52944" s="0" t="s">
        <v>18388</v>
      </c>
      <c r="B52944" s="0" t="str">
        <f aca="false">HYPERLINK("https://lindat.mff.cuni.cz/services/teitok/pdtc10/index.php?action=vallex&amp;frame=v-w7476f14_ZU", "uzavřít (v-w7476f14_ZU) - substituted with v-w7476f18_ZU")</f>
        <v>uzavřít (v-w7476f14_ZU) - substituted with v-w7476f18_ZU</v>
      </c>
    </row>
    <row r="52945" customFormat="false" ht="12.8" hidden="false" customHeight="false" outlineLevel="0" collapsed="false">
      <c r="B52945" s="0" t="s">
        <v>1</v>
      </c>
    </row>
    <row r="52946" customFormat="false" ht="12.8" hidden="false" customHeight="false" outlineLevel="0" collapsed="false">
      <c r="B52946" s="0" t="s">
        <v>390</v>
      </c>
    </row>
    <row r="52947" customFormat="false" ht="12.8" hidden="false" customHeight="false" outlineLevel="0" collapsed="false">
      <c r="B52947" s="0" t="s">
        <v>1773</v>
      </c>
    </row>
    <row r="52948" customFormat="false" ht="12.8" hidden="false" customHeight="false" outlineLevel="0" collapsed="false">
      <c r="B52948" s="0" t="s">
        <v>642</v>
      </c>
    </row>
    <row r="52949" customFormat="false" ht="12.8" hidden="false" customHeight="false" outlineLevel="0" collapsed="false">
      <c r="B52949" s="0" t="s">
        <v>648</v>
      </c>
    </row>
    <row r="52951" customFormat="false" ht="12.8" hidden="false" customHeight="false" outlineLevel="0" collapsed="false">
      <c r="A52951" s="0" t="s">
        <v>18388</v>
      </c>
      <c r="B52951" s="0" t="str">
        <f aca="false">HYPERLINK("https://lindat.mff.cuni.cz/services/teitok/pdtc10/index.php?action=vallex&amp;frame=v-w7476f15_ZU", "uzavřít (v-w7476f15_ZU) - substituted with v-w7476f18_ZU")</f>
        <v>uzavřít (v-w7476f15_ZU) - substituted with v-w7476f18_ZU</v>
      </c>
    </row>
    <row r="52952" customFormat="false" ht="12.8" hidden="false" customHeight="false" outlineLevel="0" collapsed="false">
      <c r="B52952" s="0" t="s">
        <v>1</v>
      </c>
    </row>
    <row r="52953" customFormat="false" ht="12.8" hidden="false" customHeight="false" outlineLevel="0" collapsed="false">
      <c r="B52953" s="0" t="s">
        <v>390</v>
      </c>
    </row>
    <row r="52954" customFormat="false" ht="12.8" hidden="false" customHeight="false" outlineLevel="0" collapsed="false">
      <c r="B52954" s="0" t="s">
        <v>1773</v>
      </c>
    </row>
    <row r="52955" customFormat="false" ht="12.8" hidden="false" customHeight="false" outlineLevel="0" collapsed="false">
      <c r="B52955" s="0" t="s">
        <v>642</v>
      </c>
    </row>
    <row r="52956" customFormat="false" ht="12.8" hidden="false" customHeight="false" outlineLevel="0" collapsed="false">
      <c r="B52956" s="0" t="s">
        <v>648</v>
      </c>
    </row>
    <row r="52958" customFormat="false" ht="12.8" hidden="false" customHeight="false" outlineLevel="0" collapsed="false">
      <c r="A52958" s="0" t="s">
        <v>18388</v>
      </c>
      <c r="B52958" s="0" t="str">
        <f aca="false">HYPERLINK("https://lindat.mff.cuni.cz/services/teitok/pdtc10/index.php?action=vallex&amp;frame=v-w7476f16_ZU", "uzavřít (v-w7476f16_ZU) - substituted with v-w7476f18_ZU")</f>
        <v>uzavřít (v-w7476f16_ZU) - substituted with v-w7476f18_ZU</v>
      </c>
    </row>
    <row r="52959" customFormat="false" ht="12.8" hidden="false" customHeight="false" outlineLevel="0" collapsed="false">
      <c r="B52959" s="0" t="s">
        <v>1</v>
      </c>
    </row>
    <row r="52960" customFormat="false" ht="12.8" hidden="false" customHeight="false" outlineLevel="0" collapsed="false">
      <c r="B52960" s="0" t="s">
        <v>390</v>
      </c>
    </row>
    <row r="52961" customFormat="false" ht="12.8" hidden="false" customHeight="false" outlineLevel="0" collapsed="false">
      <c r="B52961" s="0" t="s">
        <v>1773</v>
      </c>
    </row>
    <row r="52962" customFormat="false" ht="12.8" hidden="false" customHeight="false" outlineLevel="0" collapsed="false">
      <c r="B52962" s="0" t="s">
        <v>642</v>
      </c>
    </row>
    <row r="52963" customFormat="false" ht="12.8" hidden="false" customHeight="false" outlineLevel="0" collapsed="false">
      <c r="B52963" s="0" t="s">
        <v>648</v>
      </c>
    </row>
    <row r="52965" customFormat="false" ht="12.8" hidden="false" customHeight="false" outlineLevel="0" collapsed="false">
      <c r="A52965" s="0" t="s">
        <v>18389</v>
      </c>
      <c r="B52965" s="0" t="str">
        <f aca="false">HYPERLINK("https://lindat.mff.cuni.cz/services/teitok/pdtc10/index.php?action=vallex&amp;frame=v-w7476hsa_794", "uzavřít (v-w7476hsa_794)")</f>
        <v>uzavřít (v-w7476hsa_794)</v>
      </c>
    </row>
    <row r="52966" customFormat="false" ht="12.8" hidden="false" customHeight="false" outlineLevel="0" collapsed="false">
      <c r="B52966" s="0" t="s">
        <v>1</v>
      </c>
    </row>
    <row r="52967" customFormat="false" ht="12.8" hidden="false" customHeight="false" outlineLevel="0" collapsed="false">
      <c r="B52967" s="0" t="s">
        <v>18390</v>
      </c>
    </row>
    <row r="52969" customFormat="false" ht="12.8" hidden="false" customHeight="false" outlineLevel="0" collapsed="false">
      <c r="A52969" s="0" t="s">
        <v>18389</v>
      </c>
      <c r="B52969" s="0" t="str">
        <f aca="false">HYPERLINK("https://lindat.mff.cuni.cz/services/teitok/pdtc10/index.php?action=vallex&amp;frame=v-w7476f1", "uzavřít (v-w7476f1) - substituted with v-w7476hsa_794")</f>
        <v>uzavřít (v-w7476f1) - substituted with v-w7476hsa_794</v>
      </c>
    </row>
    <row r="52970" customFormat="false" ht="12.8" hidden="false" customHeight="false" outlineLevel="0" collapsed="false">
      <c r="B52970" s="0" t="s">
        <v>1</v>
      </c>
    </row>
    <row r="52971" customFormat="false" ht="12.8" hidden="false" customHeight="false" outlineLevel="0" collapsed="false">
      <c r="B52971" s="0" t="s">
        <v>18390</v>
      </c>
    </row>
    <row r="52973" customFormat="false" ht="12.8" hidden="false" customHeight="false" outlineLevel="0" collapsed="false">
      <c r="A52973" s="0" t="s">
        <v>18389</v>
      </c>
      <c r="B52973" s="0" t="str">
        <f aca="false">HYPERLINK("https://lindat.mff.cuni.cz/services/teitok/pdtc10/index.php?action=vallex&amp;frame=v-w7476f12_ZU", "uzavřít (v-w7476f12_ZU) - substituted with v-w7476hsa_794")</f>
        <v>uzavřít (v-w7476f12_ZU) - substituted with v-w7476hsa_794</v>
      </c>
    </row>
    <row r="52974" customFormat="false" ht="12.8" hidden="false" customHeight="false" outlineLevel="0" collapsed="false">
      <c r="B52974" s="0" t="s">
        <v>1</v>
      </c>
    </row>
    <row r="52975" customFormat="false" ht="12.8" hidden="false" customHeight="false" outlineLevel="0" collapsed="false">
      <c r="B52975" s="0" t="s">
        <v>18390</v>
      </c>
    </row>
    <row r="52977" customFormat="false" ht="12.8" hidden="false" customHeight="false" outlineLevel="0" collapsed="false">
      <c r="A52977" s="0" t="s">
        <v>18389</v>
      </c>
      <c r="B52977" s="0" t="str">
        <f aca="false">HYPERLINK("https://lindat.mff.cuni.cz/services/teitok/pdtc10/index.php?action=vallex&amp;frame=v-w7476hsa_924", "uzavřít (v-w7476hsa_924) - substituted with v-w7476hsa_794")</f>
        <v>uzavřít (v-w7476hsa_924) - substituted with v-w7476hsa_794</v>
      </c>
      <c r="E52977" s="0" t="str">
        <f aca="false">HYPERLINK("https://lindat.mff.cuni.cz/services/SynSemClass40/SynSemClass40.html?veclass=vec00035#vec00035-ces-cm00031_SL", "vec00035")</f>
        <v>vec00035</v>
      </c>
      <c r="F52977" s="0" t="s">
        <v>5701</v>
      </c>
      <c r="H52977" s="0" t="str">
        <f aca="false">HYPERLINK("https://lindat.mff.cuni.cz/services/SynSemClass40/SynSemClass40.html?veclass=vec00046#vec00046-ces-cm00119_SL", "vec00046")</f>
        <v>vec00046</v>
      </c>
      <c r="I52977" s="0" t="s">
        <v>8300</v>
      </c>
      <c r="K52977" s="0" t="str">
        <f aca="false">HYPERLINK("https://lindat.mff.cuni.cz/services/SynSemClass40/SynSemClass40.html?veclass=vec00083#vec00083-ces-cm00032_SL", "vec00083")</f>
        <v>vec00083</v>
      </c>
      <c r="L52977" s="0" t="s">
        <v>9165</v>
      </c>
      <c r="N52977" s="0" t="str">
        <f aca="false">HYPERLINK("https://lindat.mff.cuni.cz/services/SynSemClass40/SynSemClass40.html?veclass=vec01104#vec01104-ces-cm00005_SL", "vec01104")</f>
        <v>vec01104</v>
      </c>
      <c r="O52977" s="0" t="s">
        <v>15407</v>
      </c>
      <c r="Q52977" s="0" t="str">
        <f aca="false">HYPERLINK("https://lindat.mff.cuni.cz/services/SynSemClass40/SynSemClass40.html?veclass=vec01148#vec01148-ces-cm00005_SL", "vec01148")</f>
        <v>vec01148</v>
      </c>
      <c r="R52977" s="0" t="s">
        <v>16993</v>
      </c>
    </row>
    <row r="52978" customFormat="false" ht="12.8" hidden="false" customHeight="false" outlineLevel="0" collapsed="false">
      <c r="B52978" s="0" t="s">
        <v>1</v>
      </c>
      <c r="C52978" s="0" t="s">
        <v>18391</v>
      </c>
      <c r="E52978" s="0" t="s">
        <v>5703</v>
      </c>
      <c r="F52978" s="0" t="s">
        <v>5704</v>
      </c>
      <c r="H52978" s="0" t="s">
        <v>3198</v>
      </c>
      <c r="I52978" s="0" t="s">
        <v>8301</v>
      </c>
      <c r="K52978" s="0" t="s">
        <v>3198</v>
      </c>
      <c r="L52978" s="0" t="s">
        <v>9167</v>
      </c>
      <c r="N52978" s="0" t="s">
        <v>2241</v>
      </c>
      <c r="O52978" s="0" t="s">
        <v>15408</v>
      </c>
      <c r="Q52978" s="0" t="s">
        <v>2241</v>
      </c>
      <c r="R52978" s="0" t="s">
        <v>16994</v>
      </c>
    </row>
    <row r="52979" customFormat="false" ht="12.8" hidden="false" customHeight="false" outlineLevel="0" collapsed="false">
      <c r="B52979" s="0" t="s">
        <v>18390</v>
      </c>
      <c r="C52979" s="0" t="s">
        <v>18392</v>
      </c>
      <c r="E52979" s="0" t="s">
        <v>18393</v>
      </c>
      <c r="F52979" s="0" t="s">
        <v>18394</v>
      </c>
      <c r="H52979" s="0" t="s">
        <v>18395</v>
      </c>
      <c r="I52979" s="0" t="s">
        <v>18396</v>
      </c>
      <c r="K52979" s="0" t="s">
        <v>18397</v>
      </c>
      <c r="L52979" s="0" t="s">
        <v>18398</v>
      </c>
      <c r="N52979" s="0" t="s">
        <v>18399</v>
      </c>
      <c r="O52979" s="0" t="s">
        <v>18400</v>
      </c>
      <c r="Q52979" s="0" t="s">
        <v>18401</v>
      </c>
      <c r="R52979" s="0" t="s">
        <v>18402</v>
      </c>
    </row>
    <row r="52981" customFormat="false" ht="12.8" hidden="false" customHeight="false" outlineLevel="0" collapsed="false">
      <c r="A52981" s="0" t="s">
        <v>18403</v>
      </c>
      <c r="B52981" s="0" t="str">
        <f aca="false">HYPERLINK("https://lindat.mff.cuni.cz/services/teitok/pdtc10/index.php?action=vallex&amp;frame=v-w7476f13_ZU", "uzavřít (v-w7476f13_ZU)")</f>
        <v>uzavřít (v-w7476f13_ZU)</v>
      </c>
    </row>
    <row r="52982" customFormat="false" ht="12.8" hidden="false" customHeight="false" outlineLevel="0" collapsed="false">
      <c r="B52982" s="0" t="s">
        <v>1</v>
      </c>
    </row>
    <row r="52983" customFormat="false" ht="12.8" hidden="false" customHeight="false" outlineLevel="0" collapsed="false">
      <c r="B52983" s="0" t="s">
        <v>5201</v>
      </c>
    </row>
    <row r="52985" customFormat="false" ht="12.8" hidden="false" customHeight="false" outlineLevel="0" collapsed="false">
      <c r="A52985" s="0" t="s">
        <v>18403</v>
      </c>
      <c r="B52985" s="0" t="str">
        <f aca="false">HYPERLINK("https://lindat.mff.cuni.cz/services/teitok/pdtc10/index.php?action=vallex&amp;frame=v-w7476f11_ZU", "uzavřít (v-w7476f11_ZU) - substituted with v-w7476f13_ZU")</f>
        <v>uzavřít (v-w7476f11_ZU) - substituted with v-w7476f13_ZU</v>
      </c>
    </row>
    <row r="52986" customFormat="false" ht="12.8" hidden="false" customHeight="false" outlineLevel="0" collapsed="false">
      <c r="B52986" s="0" t="s">
        <v>1</v>
      </c>
    </row>
    <row r="52987" customFormat="false" ht="12.8" hidden="false" customHeight="false" outlineLevel="0" collapsed="false">
      <c r="B52987" s="0" t="s">
        <v>5201</v>
      </c>
    </row>
    <row r="52989" customFormat="false" ht="12.8" hidden="false" customHeight="false" outlineLevel="0" collapsed="false">
      <c r="A52989" s="0" t="s">
        <v>18404</v>
      </c>
      <c r="B52989" s="0" t="str">
        <f aca="false">HYPERLINK("https://lindat.mff.cuni.cz/services/teitok/pdtc10/index.php?action=vallex&amp;frame=v-w7476f17_ZU", "uzavřít (v-w7476f17_ZU)")</f>
        <v>uzavřít (v-w7476f17_ZU)</v>
      </c>
    </row>
    <row r="52990" customFormat="false" ht="12.8" hidden="false" customHeight="false" outlineLevel="0" collapsed="false">
      <c r="B52990" s="0" t="s">
        <v>1</v>
      </c>
    </row>
    <row r="52991" customFormat="false" ht="12.8" hidden="false" customHeight="false" outlineLevel="0" collapsed="false">
      <c r="B52991" s="0" t="s">
        <v>8</v>
      </c>
    </row>
    <row r="52992" customFormat="false" ht="12.8" hidden="false" customHeight="false" outlineLevel="0" collapsed="false">
      <c r="B52992" s="0" t="s">
        <v>1262</v>
      </c>
    </row>
    <row r="52994" customFormat="false" ht="12.8" hidden="false" customHeight="false" outlineLevel="0" collapsed="false">
      <c r="A52994" s="0" t="s">
        <v>18405</v>
      </c>
      <c r="B52994" s="0" t="str">
        <f aca="false">HYPERLINK("https://lindat.mff.cuni.cz/services/teitok/pdtc10/index.php?action=vallex&amp;frame=v-w7477f1", "uzavřít se (v-w7477f1)")</f>
        <v>uzavřít se (v-w7477f1)</v>
      </c>
      <c r="E52994" s="0" t="str">
        <f aca="false">HYPERLINK("https://lindat.mff.cuni.cz/services/SynSemClass40/SynSemClass40.html?veclass=vec00948#vec00948-ces-cm00001", "vec00948")</f>
        <v>vec00948</v>
      </c>
      <c r="F52994" s="0" t="s">
        <v>5829</v>
      </c>
    </row>
    <row r="52995" customFormat="false" ht="12.8" hidden="false" customHeight="false" outlineLevel="0" collapsed="false">
      <c r="B52995" s="0" t="s">
        <v>1</v>
      </c>
      <c r="E52995" s="0" t="s">
        <v>5830</v>
      </c>
      <c r="F52995" s="0" t="s">
        <v>5831</v>
      </c>
    </row>
    <row r="52996" customFormat="false" ht="12.8" hidden="false" customHeight="false" outlineLevel="0" collapsed="false">
      <c r="B52996" s="0" t="s">
        <v>18379</v>
      </c>
      <c r="C52996" s="0" t="s">
        <v>1910</v>
      </c>
      <c r="E52996" s="0" t="s">
        <v>532</v>
      </c>
      <c r="F52996" s="0" t="s">
        <v>9717</v>
      </c>
    </row>
    <row r="52998" customFormat="false" ht="12.8" hidden="false" customHeight="false" outlineLevel="0" collapsed="false">
      <c r="A52998" s="0" t="s">
        <v>18406</v>
      </c>
      <c r="B52998" s="0" t="str">
        <f aca="false">HYPERLINK("https://lindat.mff.cuni.cz/services/teitok/pdtc10/index.php?action=vallex&amp;frame=v-w10553f2", "uzdravit (v-w10553f2)")</f>
        <v>uzdravit (v-w10553f2)</v>
      </c>
    </row>
    <row r="52999" customFormat="false" ht="12.8" hidden="false" customHeight="false" outlineLevel="0" collapsed="false">
      <c r="B52999" s="0" t="s">
        <v>1</v>
      </c>
    </row>
    <row r="53000" customFormat="false" ht="12.8" hidden="false" customHeight="false" outlineLevel="0" collapsed="false">
      <c r="B53000" s="0" t="s">
        <v>8</v>
      </c>
    </row>
    <row r="53002" customFormat="false" ht="12.8" hidden="false" customHeight="false" outlineLevel="0" collapsed="false">
      <c r="A53002" s="0" t="s">
        <v>18407</v>
      </c>
      <c r="B53002" s="0" t="str">
        <f aca="false">HYPERLINK("https://lindat.mff.cuni.cz/services/teitok/pdtc10/index.php?action=vallex&amp;frame=v-w11341f1", "uzdravit se (v-w11341f1)")</f>
        <v>uzdravit se (v-w11341f1)</v>
      </c>
      <c r="E53002" s="0" t="str">
        <f aca="false">HYPERLINK("https://lindat.mff.cuni.cz/services/SynSemClass40/SynSemClass40.html?veclass=vec00390#vec00390-ces-cm00029", "vec00390")</f>
        <v>vec00390</v>
      </c>
      <c r="F53002" s="0" t="s">
        <v>1595</v>
      </c>
    </row>
    <row r="53003" customFormat="false" ht="12.8" hidden="false" customHeight="false" outlineLevel="0" collapsed="false">
      <c r="B53003" s="0" t="s">
        <v>1</v>
      </c>
      <c r="C53003" s="0" t="s">
        <v>1596</v>
      </c>
      <c r="E53003" s="0" t="s">
        <v>1597</v>
      </c>
      <c r="F53003" s="0" t="s">
        <v>1598</v>
      </c>
    </row>
    <row r="53005" customFormat="false" ht="12.8" hidden="false" customHeight="false" outlineLevel="0" collapsed="false">
      <c r="A53005" s="0" t="s">
        <v>18408</v>
      </c>
      <c r="B53005" s="0" t="str">
        <f aca="false">HYPERLINK("https://lindat.mff.cuni.cz/services/teitok/pdtc10/index.php?action=vallex&amp;frame=v-w7480f1", "uzdravovat (v-w7480f1)")</f>
        <v>uzdravovat (v-w7480f1)</v>
      </c>
    </row>
    <row r="53006" customFormat="false" ht="12.8" hidden="false" customHeight="false" outlineLevel="0" collapsed="false">
      <c r="B53006" s="0" t="s">
        <v>1</v>
      </c>
    </row>
    <row r="53007" customFormat="false" ht="12.8" hidden="false" customHeight="false" outlineLevel="0" collapsed="false">
      <c r="B53007" s="0" t="s">
        <v>8</v>
      </c>
    </row>
    <row r="53009" customFormat="false" ht="12.8" hidden="false" customHeight="false" outlineLevel="0" collapsed="false">
      <c r="A53009" s="0" t="s">
        <v>18409</v>
      </c>
      <c r="B53009" s="0" t="str">
        <f aca="false">HYPERLINK("https://lindat.mff.cuni.cz/services/teitok/pdtc10/index.php?action=vallex&amp;frame=v-w7480f2", "uzdravovat (v-w7480f2)")</f>
        <v>uzdravovat (v-w7480f2)</v>
      </c>
    </row>
    <row r="53010" customFormat="false" ht="12.8" hidden="false" customHeight="false" outlineLevel="0" collapsed="false">
      <c r="B53010" s="0" t="s">
        <v>1</v>
      </c>
    </row>
    <row r="53011" customFormat="false" ht="12.8" hidden="false" customHeight="false" outlineLevel="0" collapsed="false">
      <c r="B53011" s="0" t="s">
        <v>98</v>
      </c>
    </row>
    <row r="53012" customFormat="false" ht="12.8" hidden="false" customHeight="false" outlineLevel="0" collapsed="false">
      <c r="B53012" s="0" t="s">
        <v>763</v>
      </c>
    </row>
    <row r="53014" customFormat="false" ht="12.8" hidden="false" customHeight="false" outlineLevel="0" collapsed="false">
      <c r="A53014" s="0" t="s">
        <v>18410</v>
      </c>
      <c r="B53014" s="0" t="str">
        <f aca="false">HYPERLINK("https://lindat.mff.cuni.cz/services/teitok/pdtc10/index.php?action=vallex&amp;frame=v-whsa_108hsa_109", "uzdravovat se (v-whsa_108hsa_109)")</f>
        <v>uzdravovat se (v-whsa_108hsa_109)</v>
      </c>
    </row>
    <row r="53015" customFormat="false" ht="12.8" hidden="false" customHeight="false" outlineLevel="0" collapsed="false">
      <c r="B53015" s="0" t="s">
        <v>1</v>
      </c>
    </row>
    <row r="53016" customFormat="false" ht="12.8" hidden="false" customHeight="false" outlineLevel="0" collapsed="false">
      <c r="B53016" s="0" t="s">
        <v>763</v>
      </c>
    </row>
    <row r="53018" customFormat="false" ht="12.8" hidden="false" customHeight="false" outlineLevel="0" collapsed="false">
      <c r="A53018" s="0" t="s">
        <v>18411</v>
      </c>
      <c r="B53018" s="0" t="str">
        <f aca="false">HYPERLINK("https://lindat.mff.cuni.cz/services/teitok/pdtc10/index.php?action=vallex&amp;frame=v-w7481f1", "uzemnit (v-w7481f1)")</f>
        <v>uzemnit (v-w7481f1)</v>
      </c>
    </row>
    <row r="53019" customFormat="false" ht="12.8" hidden="false" customHeight="false" outlineLevel="0" collapsed="false">
      <c r="B53019" s="0" t="s">
        <v>1</v>
      </c>
    </row>
    <row r="53020" customFormat="false" ht="12.8" hidden="false" customHeight="false" outlineLevel="0" collapsed="false">
      <c r="B53020" s="0" t="s">
        <v>8</v>
      </c>
    </row>
    <row r="53022" customFormat="false" ht="12.8" hidden="false" customHeight="false" outlineLevel="0" collapsed="false">
      <c r="A53022" s="0" t="s">
        <v>18412</v>
      </c>
      <c r="B53022" s="0" t="str">
        <f aca="false">HYPERLINK("https://lindat.mff.cuni.cz/services/teitok/pdtc10/index.php?action=vallex&amp;frame=v-w7483f1", "uzlit se (v-w7483f1)")</f>
        <v>uzlit se (v-w7483f1)</v>
      </c>
    </row>
    <row r="53023" customFormat="false" ht="12.8" hidden="false" customHeight="false" outlineLevel="0" collapsed="false">
      <c r="B53023" s="0" t="s">
        <v>1</v>
      </c>
    </row>
    <row r="53025" customFormat="false" ht="12.8" hidden="false" customHeight="false" outlineLevel="0" collapsed="false">
      <c r="A53025" s="0" t="s">
        <v>18413</v>
      </c>
      <c r="B53025" s="0" t="str">
        <f aca="false">HYPERLINK("https://lindat.mff.cuni.cz/services/teitok/pdtc10/index.php?action=vallex&amp;frame=v-w7486f4_MM", "uznat (v-w7486f4_MM)")</f>
        <v>uznat (v-w7486f4_MM)</v>
      </c>
    </row>
    <row r="53026" customFormat="false" ht="12.8" hidden="false" customHeight="false" outlineLevel="0" collapsed="false">
      <c r="B53026" s="0" t="s">
        <v>1</v>
      </c>
    </row>
    <row r="53027" customFormat="false" ht="12.8" hidden="false" customHeight="false" outlineLevel="0" collapsed="false">
      <c r="B53027" s="0" t="s">
        <v>402</v>
      </c>
    </row>
    <row r="53028" customFormat="false" ht="12.8" hidden="false" customHeight="false" outlineLevel="0" collapsed="false">
      <c r="B53028" s="0" t="s">
        <v>18414</v>
      </c>
    </row>
    <row r="53030" customFormat="false" ht="12.8" hidden="false" customHeight="false" outlineLevel="0" collapsed="false">
      <c r="A53030" s="0" t="s">
        <v>18413</v>
      </c>
      <c r="B53030" s="0" t="str">
        <f aca="false">HYPERLINK("https://lindat.mff.cuni.cz/services/teitok/pdtc10/index.php?action=vallex&amp;frame=v-w7486f2", "uznat (v-w7486f2) - substituted with v-w7486f4_MM")</f>
        <v>uznat (v-w7486f2) - substituted with v-w7486f4_MM</v>
      </c>
    </row>
    <row r="53031" customFormat="false" ht="12.8" hidden="false" customHeight="false" outlineLevel="0" collapsed="false">
      <c r="B53031" s="0" t="s">
        <v>1</v>
      </c>
    </row>
    <row r="53032" customFormat="false" ht="12.8" hidden="false" customHeight="false" outlineLevel="0" collapsed="false">
      <c r="B53032" s="0" t="s">
        <v>402</v>
      </c>
    </row>
    <row r="53033" customFormat="false" ht="12.8" hidden="false" customHeight="false" outlineLevel="0" collapsed="false">
      <c r="B53033" s="0" t="s">
        <v>18414</v>
      </c>
    </row>
    <row r="53035" customFormat="false" ht="12.8" hidden="false" customHeight="false" outlineLevel="0" collapsed="false">
      <c r="A53035" s="0" t="s">
        <v>18415</v>
      </c>
      <c r="B53035" s="0" t="str">
        <f aca="false">HYPERLINK("https://lindat.mff.cuni.cz/services/teitok/pdtc10/index.php?action=vallex&amp;frame=v-w7486f3_ZU", "uznat (v-w7486f3_ZU)")</f>
        <v>uznat (v-w7486f3_ZU)</v>
      </c>
      <c r="E53035" s="0" t="str">
        <f aca="false">HYPERLINK("https://lindat.mff.cuni.cz/services/SynSemClass40/SynSemClass40.html?veclass=vec00503#vec00503-ces-cm00013", "vec00503")</f>
        <v>vec00503</v>
      </c>
      <c r="F53035" s="0" t="s">
        <v>3130</v>
      </c>
    </row>
    <row r="53036" customFormat="false" ht="12.8" hidden="false" customHeight="false" outlineLevel="0" collapsed="false">
      <c r="B53036" s="0" t="s">
        <v>1</v>
      </c>
      <c r="C53036" s="0" t="s">
        <v>2986</v>
      </c>
      <c r="E53036" s="0" t="s">
        <v>11</v>
      </c>
      <c r="F53036" s="0" t="s">
        <v>3131</v>
      </c>
    </row>
    <row r="53037" customFormat="false" ht="12.8" hidden="false" customHeight="false" outlineLevel="0" collapsed="false">
      <c r="B53037" s="0" t="s">
        <v>59</v>
      </c>
      <c r="C53037" s="0" t="s">
        <v>3133</v>
      </c>
      <c r="E53037" s="0" t="s">
        <v>3134</v>
      </c>
      <c r="F53037" s="0" t="s">
        <v>3135</v>
      </c>
    </row>
    <row r="53039" customFormat="false" ht="12.8" hidden="false" customHeight="false" outlineLevel="0" collapsed="false">
      <c r="A53039" s="0" t="s">
        <v>18415</v>
      </c>
      <c r="B53039" s="0" t="str">
        <f aca="false">HYPERLINK("https://lindat.mff.cuni.cz/services/teitok/pdtc10/index.php?action=vallex&amp;frame=v-w7486f1", "uznat (v-w7486f1) - substituted with v-w7486f3_ZU")</f>
        <v>uznat (v-w7486f1) - substituted with v-w7486f3_ZU</v>
      </c>
    </row>
    <row r="53040" customFormat="false" ht="12.8" hidden="false" customHeight="false" outlineLevel="0" collapsed="false">
      <c r="B53040" s="0" t="s">
        <v>1</v>
      </c>
    </row>
    <row r="53041" customFormat="false" ht="12.8" hidden="false" customHeight="false" outlineLevel="0" collapsed="false">
      <c r="B53041" s="0" t="s">
        <v>59</v>
      </c>
    </row>
    <row r="53043" customFormat="false" ht="12.8" hidden="false" customHeight="false" outlineLevel="0" collapsed="false">
      <c r="A53043" s="0" t="s">
        <v>18416</v>
      </c>
      <c r="B53043" s="0" t="str">
        <f aca="false">HYPERLINK("https://lindat.mff.cuni.cz/services/teitok/pdtc10/index.php?action=vallex&amp;frame=v-w7486hsa_531", "uznat (v-w7486hsa_531)")</f>
        <v>uznat (v-w7486hsa_531)</v>
      </c>
    </row>
    <row r="53044" customFormat="false" ht="12.8" hidden="false" customHeight="false" outlineLevel="0" collapsed="false">
      <c r="B53044" s="0" t="s">
        <v>1</v>
      </c>
    </row>
    <row r="53045" customFormat="false" ht="12.8" hidden="false" customHeight="false" outlineLevel="0" collapsed="false">
      <c r="B53045" s="0" t="s">
        <v>59</v>
      </c>
    </row>
    <row r="53047" customFormat="false" ht="12.8" hidden="false" customHeight="false" outlineLevel="0" collapsed="false">
      <c r="A53047" s="0" t="s">
        <v>18417</v>
      </c>
      <c r="B53047" s="0" t="str">
        <f aca="false">HYPERLINK("https://lindat.mff.cuni.cz/services/teitok/pdtc10/index.php?action=vallex&amp;frame=v-w7489f2", "uznávat (v-w7489f2)")</f>
        <v>uznávat (v-w7489f2)</v>
      </c>
    </row>
    <row r="53048" customFormat="false" ht="12.8" hidden="false" customHeight="false" outlineLevel="0" collapsed="false">
      <c r="B53048" s="0" t="s">
        <v>1</v>
      </c>
    </row>
    <row r="53049" customFormat="false" ht="12.8" hidden="false" customHeight="false" outlineLevel="0" collapsed="false">
      <c r="B53049" s="0" t="s">
        <v>402</v>
      </c>
    </row>
    <row r="53050" customFormat="false" ht="12.8" hidden="false" customHeight="false" outlineLevel="0" collapsed="false">
      <c r="B53050" s="0" t="s">
        <v>13273</v>
      </c>
    </row>
    <row r="53052" customFormat="false" ht="12.8" hidden="false" customHeight="false" outlineLevel="0" collapsed="false">
      <c r="A53052" s="0" t="s">
        <v>18418</v>
      </c>
      <c r="B53052" s="0" t="str">
        <f aca="false">HYPERLINK("https://lindat.mff.cuni.cz/services/teitok/pdtc10/index.php?action=vallex&amp;frame=v-w7489f1", "uznávat (v-w7489f1)")</f>
        <v>uznávat (v-w7489f1)</v>
      </c>
      <c r="E53052" s="0" t="str">
        <f aca="false">HYPERLINK("https://lindat.mff.cuni.cz/services/SynSemClass40/SynSemClass40.html?veclass=vec00503#vec00503-ces-cm00014", "vec00503")</f>
        <v>vec00503</v>
      </c>
      <c r="F53052" s="0" t="s">
        <v>3130</v>
      </c>
    </row>
    <row r="53053" customFormat="false" ht="12.8" hidden="false" customHeight="false" outlineLevel="0" collapsed="false">
      <c r="B53053" s="0" t="s">
        <v>1</v>
      </c>
      <c r="C53053" s="0" t="s">
        <v>2986</v>
      </c>
      <c r="E53053" s="0" t="s">
        <v>11</v>
      </c>
      <c r="F53053" s="0" t="s">
        <v>3131</v>
      </c>
    </row>
    <row r="53054" customFormat="false" ht="12.8" hidden="false" customHeight="false" outlineLevel="0" collapsed="false">
      <c r="B53054" s="0" t="s">
        <v>59</v>
      </c>
      <c r="C53054" s="0" t="s">
        <v>3133</v>
      </c>
      <c r="E53054" s="0" t="s">
        <v>3134</v>
      </c>
      <c r="F53054" s="0" t="s">
        <v>3135</v>
      </c>
    </row>
    <row r="53056" customFormat="false" ht="12.8" hidden="false" customHeight="false" outlineLevel="0" collapsed="false">
      <c r="A53056" s="0" t="s">
        <v>18419</v>
      </c>
      <c r="B53056" s="0" t="str">
        <f aca="false">HYPERLINK("https://lindat.mff.cuni.cz/services/teitok/pdtc10/index.php?action=vallex&amp;frame=v-w10356f2", "uzobnout (v-w10356f2)")</f>
        <v>uzobnout (v-w10356f2)</v>
      </c>
    </row>
    <row r="53057" customFormat="false" ht="12.8" hidden="false" customHeight="false" outlineLevel="0" collapsed="false">
      <c r="B53057" s="0" t="s">
        <v>1</v>
      </c>
    </row>
    <row r="53058" customFormat="false" ht="12.8" hidden="false" customHeight="false" outlineLevel="0" collapsed="false">
      <c r="B53058" s="0" t="s">
        <v>8</v>
      </c>
    </row>
    <row r="53060" customFormat="false" ht="12.8" hidden="false" customHeight="false" outlineLevel="0" collapsed="false">
      <c r="A53060" s="0" t="s">
        <v>18420</v>
      </c>
      <c r="B53060" s="0" t="str">
        <f aca="false">HYPERLINK("https://lindat.mff.cuni.cz/services/teitok/pdtc10/index.php?action=vallex&amp;frame=v-w10830f3", "uzpůsobit (v-w10830f3)")</f>
        <v>uzpůsobit (v-w10830f3)</v>
      </c>
    </row>
    <row r="53061" customFormat="false" ht="12.8" hidden="false" customHeight="false" outlineLevel="0" collapsed="false">
      <c r="B53061" s="0" t="s">
        <v>1</v>
      </c>
    </row>
    <row r="53062" customFormat="false" ht="12.8" hidden="false" customHeight="false" outlineLevel="0" collapsed="false">
      <c r="B53062" s="0" t="s">
        <v>8</v>
      </c>
    </row>
    <row r="53063" customFormat="false" ht="12.8" hidden="false" customHeight="false" outlineLevel="0" collapsed="false">
      <c r="B53063" s="0" t="s">
        <v>52</v>
      </c>
    </row>
    <row r="53065" customFormat="false" ht="12.8" hidden="false" customHeight="false" outlineLevel="0" collapsed="false">
      <c r="A53065" s="0" t="s">
        <v>18421</v>
      </c>
      <c r="B53065" s="0" t="str">
        <f aca="false">HYPERLINK("https://lindat.mff.cuni.cz/services/teitok/pdtc10/index.php?action=vallex&amp;frame=v-w10830f4_ZU", "uzpůsobit (v-w10830f4_ZU)")</f>
        <v>uzpůsobit (v-w10830f4_ZU)</v>
      </c>
    </row>
    <row r="53066" customFormat="false" ht="12.8" hidden="false" customHeight="false" outlineLevel="0" collapsed="false">
      <c r="B53066" s="0" t="s">
        <v>1</v>
      </c>
    </row>
    <row r="53067" customFormat="false" ht="12.8" hidden="false" customHeight="false" outlineLevel="0" collapsed="false">
      <c r="B53067" s="0" t="s">
        <v>8</v>
      </c>
    </row>
    <row r="53068" customFormat="false" ht="12.8" hidden="false" customHeight="false" outlineLevel="0" collapsed="false">
      <c r="B53068" s="0" t="s">
        <v>36</v>
      </c>
    </row>
    <row r="53069" customFormat="false" ht="12.8" hidden="false" customHeight="false" outlineLevel="0" collapsed="false">
      <c r="B53069" s="0" t="s">
        <v>40</v>
      </c>
    </row>
    <row r="53071" customFormat="false" ht="12.8" hidden="false" customHeight="false" outlineLevel="0" collapsed="false">
      <c r="A53071" s="0" t="s">
        <v>18421</v>
      </c>
      <c r="B53071" s="0" t="str">
        <f aca="false">HYPERLINK("https://lindat.mff.cuni.cz/services/teitok/pdtc10/index.php?action=vallex&amp;frame=v-w10830f2", "uzpůsobit (v-w10830f2) - substituted with v-w10830f4_ZU")</f>
        <v>uzpůsobit (v-w10830f2) - substituted with v-w10830f4_ZU</v>
      </c>
      <c r="E53071" s="0" t="str">
        <f aca="false">HYPERLINK("https://lindat.mff.cuni.cz/services/SynSemClass40/SynSemClass40.html?veclass=vec00095#vec00095-ces-cm00039", "vec00095")</f>
        <v>vec00095</v>
      </c>
      <c r="F53071" s="0" t="s">
        <v>29</v>
      </c>
    </row>
    <row r="53072" customFormat="false" ht="12.8" hidden="false" customHeight="false" outlineLevel="0" collapsed="false">
      <c r="B53072" s="0" t="s">
        <v>1</v>
      </c>
      <c r="C53072" s="0" t="s">
        <v>30</v>
      </c>
      <c r="E53072" s="0" t="s">
        <v>31</v>
      </c>
      <c r="F53072" s="0" t="s">
        <v>32</v>
      </c>
    </row>
    <row r="53073" customFormat="false" ht="12.8" hidden="false" customHeight="false" outlineLevel="0" collapsed="false">
      <c r="B53073" s="0" t="s">
        <v>8</v>
      </c>
      <c r="C53073" s="0" t="s">
        <v>33</v>
      </c>
      <c r="E53073" s="0" t="s">
        <v>34</v>
      </c>
      <c r="F53073" s="0" t="s">
        <v>35</v>
      </c>
    </row>
    <row r="53074" customFormat="false" ht="12.8" hidden="false" customHeight="false" outlineLevel="0" collapsed="false">
      <c r="B53074" s="0" t="s">
        <v>36</v>
      </c>
      <c r="C53074" s="0" t="s">
        <v>37</v>
      </c>
      <c r="E53074" s="0" t="s">
        <v>38</v>
      </c>
      <c r="F53074" s="0" t="s">
        <v>39</v>
      </c>
    </row>
    <row r="53075" customFormat="false" ht="12.8" hidden="false" customHeight="false" outlineLevel="0" collapsed="false">
      <c r="B53075" s="0" t="s">
        <v>40</v>
      </c>
      <c r="C53075" s="0" t="s">
        <v>41</v>
      </c>
      <c r="E53075" s="0" t="s">
        <v>42</v>
      </c>
      <c r="F53075" s="0" t="s">
        <v>43</v>
      </c>
    </row>
    <row r="53077" customFormat="false" ht="12.8" hidden="false" customHeight="false" outlineLevel="0" collapsed="false">
      <c r="A53077" s="0" t="s">
        <v>18422</v>
      </c>
      <c r="B53077" s="0" t="str">
        <f aca="false">HYPERLINK("https://lindat.mff.cuni.cz/services/teitok/pdtc10/index.php?action=vallex&amp;frame=v-w10137f2", "uzrát (v-w10137f2)")</f>
        <v>uzrát (v-w10137f2)</v>
      </c>
    </row>
    <row r="53078" customFormat="false" ht="12.8" hidden="false" customHeight="false" outlineLevel="0" collapsed="false">
      <c r="B53078" s="0" t="s">
        <v>1</v>
      </c>
    </row>
    <row r="53080" customFormat="false" ht="12.8" hidden="false" customHeight="false" outlineLevel="0" collapsed="false">
      <c r="A53080" s="0" t="s">
        <v>18423</v>
      </c>
      <c r="B53080" s="0" t="str">
        <f aca="false">HYPERLINK("https://lindat.mff.cuni.cz/services/teitok/pdtc10/index.php?action=vallex&amp;frame=v-w11614_ZUf1_ZU", "uzurpovat (v-w11614_ZUf1_ZU)")</f>
        <v>uzurpovat (v-w11614_ZUf1_ZU)</v>
      </c>
      <c r="E53080" s="0" t="str">
        <f aca="false">HYPERLINK("https://lindat.mff.cuni.cz/services/SynSemClass40/SynSemClass40.html?veclass=vec00613#vec00613-ces-cm00154", "vec00613")</f>
        <v>vec00613</v>
      </c>
      <c r="F53080" s="0" t="s">
        <v>604</v>
      </c>
    </row>
    <row r="53081" customFormat="false" ht="12.8" hidden="false" customHeight="false" outlineLevel="0" collapsed="false">
      <c r="B53081" s="0" t="s">
        <v>1</v>
      </c>
      <c r="C53081" s="0" t="s">
        <v>1436</v>
      </c>
      <c r="E53081" s="0" t="s">
        <v>31</v>
      </c>
      <c r="F53081" s="0" t="s">
        <v>608</v>
      </c>
    </row>
    <row r="53082" customFormat="false" ht="12.8" hidden="false" customHeight="false" outlineLevel="0" collapsed="false">
      <c r="B53082" s="0" t="s">
        <v>8</v>
      </c>
      <c r="C53082" s="0" t="s">
        <v>1437</v>
      </c>
      <c r="E53082" s="0" t="s">
        <v>384</v>
      </c>
      <c r="F53082" s="0" t="s">
        <v>612</v>
      </c>
    </row>
    <row r="53084" customFormat="false" ht="12.8" hidden="false" customHeight="false" outlineLevel="0" collapsed="false">
      <c r="A53084" s="0" t="s">
        <v>18424</v>
      </c>
      <c r="B53084" s="0" t="str">
        <f aca="false">HYPERLINK("https://lindat.mff.cuni.cz/services/teitok/pdtc10/index.php?action=vallex&amp;frame=v-w7468f1", "uzákonit (v-w7468f1)")</f>
        <v>uzákonit (v-w7468f1)</v>
      </c>
      <c r="E53084" s="0" t="str">
        <f aca="false">HYPERLINK("https://lindat.mff.cuni.cz/services/SynSemClass40/SynSemClass40.html?veclass=vec00546#vec00546-ces-cm00001", "vec00546")</f>
        <v>vec00546</v>
      </c>
      <c r="F53084" s="0" t="s">
        <v>5397</v>
      </c>
    </row>
    <row r="53085" customFormat="false" ht="12.8" hidden="false" customHeight="false" outlineLevel="0" collapsed="false">
      <c r="B53085" s="0" t="s">
        <v>1</v>
      </c>
      <c r="C53085" s="0" t="s">
        <v>3000</v>
      </c>
      <c r="E53085" s="0" t="s">
        <v>206</v>
      </c>
      <c r="F53085" s="0" t="s">
        <v>5400</v>
      </c>
    </row>
    <row r="53086" customFormat="false" ht="12.8" hidden="false" customHeight="false" outlineLevel="0" collapsed="false">
      <c r="B53086" s="0" t="s">
        <v>1838</v>
      </c>
      <c r="C53086" s="0" t="s">
        <v>6312</v>
      </c>
      <c r="E53086" s="0" t="s">
        <v>1823</v>
      </c>
      <c r="F53086" s="0" t="s">
        <v>5404</v>
      </c>
    </row>
    <row r="53088" customFormat="false" ht="12.8" hidden="false" customHeight="false" outlineLevel="0" collapsed="false">
      <c r="A53088" s="0" t="s">
        <v>18425</v>
      </c>
      <c r="B53088" s="0" t="str">
        <f aca="false">HYPERLINK("https://lindat.mff.cuni.cz/services/teitok/pdtc10/index.php?action=vallex&amp;frame=v-w10988f2", "uzákoňovat (v-w10988f2)")</f>
        <v>uzákoňovat (v-w10988f2)</v>
      </c>
      <c r="E53088" s="0" t="str">
        <f aca="false">HYPERLINK("https://lindat.mff.cuni.cz/services/SynSemClass40/SynSemClass40.html?veclass=vec00546#vec00546-ces-cm00046", "vec00546")</f>
        <v>vec00546</v>
      </c>
      <c r="F53088" s="0" t="s">
        <v>5397</v>
      </c>
    </row>
    <row r="53089" customFormat="false" ht="12.8" hidden="false" customHeight="false" outlineLevel="0" collapsed="false">
      <c r="B53089" s="0" t="s">
        <v>1</v>
      </c>
      <c r="C53089" s="0" t="s">
        <v>3000</v>
      </c>
      <c r="E53089" s="0" t="s">
        <v>206</v>
      </c>
      <c r="F53089" s="0" t="s">
        <v>5400</v>
      </c>
    </row>
    <row r="53090" customFormat="false" ht="12.8" hidden="false" customHeight="false" outlineLevel="0" collapsed="false">
      <c r="B53090" s="0" t="s">
        <v>1838</v>
      </c>
      <c r="C53090" s="0" t="s">
        <v>6312</v>
      </c>
      <c r="E53090" s="0" t="s">
        <v>1823</v>
      </c>
      <c r="F53090" s="0" t="s">
        <v>5404</v>
      </c>
    </row>
    <row r="53092" customFormat="false" ht="12.8" hidden="false" customHeight="false" outlineLevel="0" collapsed="false">
      <c r="A53092" s="0" t="s">
        <v>18426</v>
      </c>
      <c r="B53092" s="0" t="str">
        <f aca="false">HYPERLINK("https://lindat.mff.cuni.cz/services/teitok/pdtc10/index.php?action=vallex&amp;frame=v-w12277_ZUf1_ZU", "učarovat (v-w12277_ZUf1_ZU)")</f>
        <v>učarovat (v-w12277_ZUf1_ZU)</v>
      </c>
    </row>
    <row r="53093" customFormat="false" ht="12.8" hidden="false" customHeight="false" outlineLevel="0" collapsed="false">
      <c r="B53093" s="0" t="s">
        <v>804</v>
      </c>
    </row>
    <row r="53094" customFormat="false" ht="12.8" hidden="false" customHeight="false" outlineLevel="0" collapsed="false">
      <c r="B53094" s="0" t="s">
        <v>439</v>
      </c>
    </row>
    <row r="53096" customFormat="false" ht="12.8" hidden="false" customHeight="false" outlineLevel="0" collapsed="false">
      <c r="A53096" s="0" t="s">
        <v>18427</v>
      </c>
      <c r="B53096" s="0" t="str">
        <f aca="false">HYPERLINK("https://lindat.mff.cuni.cz/services/teitok/pdtc10/index.php?action=vallex&amp;frame=v-w12315_MMf1_MM", "učesat (v-w12315_MMf1_MM)")</f>
        <v>učesat (v-w12315_MMf1_MM)</v>
      </c>
    </row>
    <row r="53097" customFormat="false" ht="12.8" hidden="false" customHeight="false" outlineLevel="0" collapsed="false">
      <c r="B53097" s="0" t="s">
        <v>1</v>
      </c>
    </row>
    <row r="53098" customFormat="false" ht="12.8" hidden="false" customHeight="false" outlineLevel="0" collapsed="false">
      <c r="B53098" s="0" t="s">
        <v>8</v>
      </c>
    </row>
    <row r="53100" customFormat="false" ht="12.8" hidden="false" customHeight="false" outlineLevel="0" collapsed="false">
      <c r="A53100" s="0" t="s">
        <v>18428</v>
      </c>
      <c r="B53100" s="0" t="str">
        <f aca="false">HYPERLINK("https://lindat.mff.cuni.cz/services/teitok/pdtc10/index.php?action=vallex&amp;frame=v-w6999f8", "učinit (v-w6999f8)")</f>
        <v>učinit (v-w6999f8)</v>
      </c>
    </row>
    <row r="53101" customFormat="false" ht="12.8" hidden="false" customHeight="false" outlineLevel="0" collapsed="false">
      <c r="B53101" s="0" t="s">
        <v>1</v>
      </c>
    </row>
    <row r="53102" customFormat="false" ht="12.8" hidden="false" customHeight="false" outlineLevel="0" collapsed="false">
      <c r="B53102" s="0" t="s">
        <v>8</v>
      </c>
    </row>
    <row r="53103" customFormat="false" ht="12.8" hidden="false" customHeight="false" outlineLevel="0" collapsed="false">
      <c r="B53103" s="0" t="s">
        <v>52</v>
      </c>
    </row>
    <row r="53105" customFormat="false" ht="12.8" hidden="false" customHeight="false" outlineLevel="0" collapsed="false">
      <c r="A53105" s="0" t="s">
        <v>18429</v>
      </c>
      <c r="B53105" s="0" t="str">
        <f aca="false">HYPERLINK("https://lindat.mff.cuni.cz/services/teitok/pdtc10/index.php?action=vallex&amp;frame=v-w6999f3", "učinit (v-w6999f3)")</f>
        <v>učinit (v-w6999f3)</v>
      </c>
    </row>
    <row r="53106" customFormat="false" ht="12.8" hidden="false" customHeight="false" outlineLevel="0" collapsed="false">
      <c r="B53106" s="0" t="s">
        <v>1</v>
      </c>
    </row>
    <row r="53107" customFormat="false" ht="12.8" hidden="false" customHeight="false" outlineLevel="0" collapsed="false">
      <c r="B53107" s="0" t="s">
        <v>8</v>
      </c>
    </row>
    <row r="53108" customFormat="false" ht="12.8" hidden="false" customHeight="false" outlineLevel="0" collapsed="false">
      <c r="B53108" s="0" t="s">
        <v>36</v>
      </c>
    </row>
    <row r="53110" customFormat="false" ht="12.8" hidden="false" customHeight="false" outlineLevel="0" collapsed="false">
      <c r="A53110" s="0" t="s">
        <v>18430</v>
      </c>
      <c r="B53110" s="0" t="str">
        <f aca="false">HYPERLINK("https://lindat.mff.cuni.cz/services/teitok/pdtc10/index.php?action=vallex&amp;frame=v-w6999f16_ZU", "učinit (v-w6999f16_ZU)")</f>
        <v>učinit (v-w6999f16_ZU)</v>
      </c>
      <c r="E53110" s="0" t="str">
        <f aca="false">HYPERLINK("https://lindat.mff.cuni.cz/services/SynSemClass40/SynSemClass40.html?veclass=vec00329#vec00329-ces-cm00001", "vec00329")</f>
        <v>vec00329</v>
      </c>
      <c r="F53110" s="0" t="s">
        <v>18431</v>
      </c>
    </row>
    <row r="53111" customFormat="false" ht="12.8" hidden="false" customHeight="false" outlineLevel="0" collapsed="false">
      <c r="B53111" s="0" t="s">
        <v>1</v>
      </c>
      <c r="C53111" s="0" t="s">
        <v>459</v>
      </c>
      <c r="E53111" s="0" t="s">
        <v>7276</v>
      </c>
      <c r="F53111" s="0" t="s">
        <v>18432</v>
      </c>
    </row>
    <row r="53112" customFormat="false" ht="12.8" hidden="false" customHeight="false" outlineLevel="0" collapsed="false">
      <c r="B53112" s="0" t="s">
        <v>402</v>
      </c>
      <c r="C53112" s="0" t="s">
        <v>798</v>
      </c>
      <c r="E53112" s="0" t="s">
        <v>142</v>
      </c>
      <c r="F53112" s="0" t="s">
        <v>8334</v>
      </c>
    </row>
    <row r="53113" customFormat="false" ht="12.8" hidden="false" customHeight="false" outlineLevel="0" collapsed="false">
      <c r="B53113" s="0" t="s">
        <v>17508</v>
      </c>
      <c r="C53113" s="0" t="s">
        <v>1851</v>
      </c>
      <c r="E53113" s="0" t="s">
        <v>42</v>
      </c>
      <c r="F53113" s="0" t="s">
        <v>1852</v>
      </c>
    </row>
    <row r="53114" customFormat="false" ht="12.8" hidden="false" customHeight="false" outlineLevel="0" collapsed="false">
      <c r="B53114" s="0" t="s">
        <v>36</v>
      </c>
      <c r="E53114" s="0" t="s">
        <v>38</v>
      </c>
      <c r="F53114" s="0" t="s">
        <v>8255</v>
      </c>
    </row>
    <row r="53116" customFormat="false" ht="12.8" hidden="false" customHeight="false" outlineLevel="0" collapsed="false">
      <c r="A53116" s="0" t="s">
        <v>18430</v>
      </c>
      <c r="B53116" s="0" t="str">
        <f aca="false">HYPERLINK("https://lindat.mff.cuni.cz/services/teitok/pdtc10/index.php?action=vallex&amp;frame=v-w6999f4", "učinit (v-w6999f4) - substituted with v-w6999f16_ZU")</f>
        <v>učinit (v-w6999f4) - substituted with v-w6999f16_ZU</v>
      </c>
    </row>
    <row r="53117" customFormat="false" ht="12.8" hidden="false" customHeight="false" outlineLevel="0" collapsed="false">
      <c r="B53117" s="0" t="s">
        <v>1</v>
      </c>
    </row>
    <row r="53118" customFormat="false" ht="12.8" hidden="false" customHeight="false" outlineLevel="0" collapsed="false">
      <c r="B53118" s="0" t="s">
        <v>402</v>
      </c>
    </row>
    <row r="53119" customFormat="false" ht="12.8" hidden="false" customHeight="false" outlineLevel="0" collapsed="false">
      <c r="B53119" s="0" t="s">
        <v>17508</v>
      </c>
    </row>
    <row r="53120" customFormat="false" ht="12.8" hidden="false" customHeight="false" outlineLevel="0" collapsed="false">
      <c r="B53120" s="0" t="s">
        <v>36</v>
      </c>
    </row>
    <row r="53122" customFormat="false" ht="12.8" hidden="false" customHeight="false" outlineLevel="0" collapsed="false">
      <c r="A53122" s="0" t="s">
        <v>18433</v>
      </c>
      <c r="B53122" s="0" t="str">
        <f aca="false">HYPERLINK("https://lindat.mff.cuni.cz/services/teitok/pdtc10/index.php?action=vallex&amp;frame=v-w6999f1", "učinit (v-w6999f1)")</f>
        <v>učinit (v-w6999f1)</v>
      </c>
      <c r="E53122" s="0" t="str">
        <f aca="false">HYPERLINK("https://lindat.mff.cuni.cz/services/SynSemClass40/SynSemClass40.html?veclass=vec00089#vec00089-ces-cm00158", "vec00089")</f>
        <v>vec00089</v>
      </c>
      <c r="F53122" s="0" t="s">
        <v>3959</v>
      </c>
      <c r="H53122" s="0" t="str">
        <f aca="false">HYPERLINK("https://lindat.mff.cuni.cz/services/SynSemClass40/SynSemClass40.html?veclass=vec01414#vec01414-ces-cm00007", "vec01414")</f>
        <v>vec01414</v>
      </c>
      <c r="I53122" s="0" t="s">
        <v>5475</v>
      </c>
    </row>
    <row r="53123" customFormat="false" ht="12.8" hidden="false" customHeight="false" outlineLevel="0" collapsed="false">
      <c r="B53123" s="0" t="s">
        <v>1</v>
      </c>
      <c r="C53123" s="0" t="s">
        <v>17512</v>
      </c>
      <c r="E53123" s="0" t="s">
        <v>31</v>
      </c>
      <c r="F53123" s="0" t="s">
        <v>3960</v>
      </c>
      <c r="H53123" s="0" t="s">
        <v>31</v>
      </c>
      <c r="I53123" s="0" t="s">
        <v>5477</v>
      </c>
    </row>
    <row r="53124" customFormat="false" ht="12.8" hidden="false" customHeight="false" outlineLevel="0" collapsed="false">
      <c r="B53124" s="0" t="s">
        <v>3897</v>
      </c>
      <c r="C53124" s="0" t="s">
        <v>17513</v>
      </c>
      <c r="E53124" s="0" t="s">
        <v>2628</v>
      </c>
      <c r="F53124" s="0" t="s">
        <v>3961</v>
      </c>
      <c r="H53124" s="0" t="s">
        <v>14</v>
      </c>
      <c r="I53124" s="0" t="s">
        <v>5479</v>
      </c>
    </row>
    <row r="53126" customFormat="false" ht="12.8" hidden="false" customHeight="false" outlineLevel="0" collapsed="false">
      <c r="A53126" s="0" t="s">
        <v>18434</v>
      </c>
      <c r="B53126" s="0" t="str">
        <f aca="false">HYPERLINK("https://lindat.mff.cuni.cz/services/teitok/pdtc10/index.php?action=vallex&amp;frame=v-w6999f12", "učinit (v-w6999f12)")</f>
        <v>učinit (v-w6999f12)</v>
      </c>
    </row>
    <row r="53127" customFormat="false" ht="12.8" hidden="false" customHeight="false" outlineLevel="0" collapsed="false">
      <c r="B53127" s="0" t="s">
        <v>1</v>
      </c>
    </row>
    <row r="53128" customFormat="false" ht="12.8" hidden="false" customHeight="false" outlineLevel="0" collapsed="false">
      <c r="B53128" s="0" t="s">
        <v>3909</v>
      </c>
    </row>
    <row r="53129" customFormat="false" ht="12.8" hidden="false" customHeight="false" outlineLevel="0" collapsed="false">
      <c r="B53129" s="0" t="s">
        <v>162</v>
      </c>
    </row>
    <row r="53131" customFormat="false" ht="12.8" hidden="false" customHeight="false" outlineLevel="0" collapsed="false">
      <c r="A53131" s="0" t="s">
        <v>18435</v>
      </c>
      <c r="B53131" s="0" t="str">
        <f aca="false">HYPERLINK("https://lindat.mff.cuni.cz/services/teitok/pdtc10/index.php?action=vallex&amp;frame=v-w6999f10", "učinit (v-w6999f10)")</f>
        <v>učinit (v-w6999f10)</v>
      </c>
    </row>
    <row r="53132" customFormat="false" ht="12.8" hidden="false" customHeight="false" outlineLevel="0" collapsed="false">
      <c r="B53132" s="0" t="s">
        <v>1</v>
      </c>
    </row>
    <row r="53133" customFormat="false" ht="12.8" hidden="false" customHeight="false" outlineLevel="0" collapsed="false">
      <c r="B53133" s="0" t="s">
        <v>18436</v>
      </c>
    </row>
    <row r="53134" customFormat="false" ht="12.8" hidden="false" customHeight="false" outlineLevel="0" collapsed="false">
      <c r="B53134" s="0" t="s">
        <v>52</v>
      </c>
    </row>
    <row r="53136" customFormat="false" ht="12.8" hidden="false" customHeight="false" outlineLevel="0" collapsed="false">
      <c r="A53136" s="0" t="s">
        <v>18437</v>
      </c>
      <c r="B53136" s="0" t="str">
        <f aca="false">HYPERLINK("https://lindat.mff.cuni.cz/services/teitok/pdtc10/index.php?action=vallex&amp;frame=v-w6999f18_ZU", "učinit (v-w6999f18_ZU)")</f>
        <v>učinit (v-w6999f18_ZU)</v>
      </c>
      <c r="E53136" s="0" t="str">
        <f aca="false">HYPERLINK("https://lindat.mff.cuni.cz/services/SynSemClass40/SynSemClass40.html?veclass=vec00033#vec00033-ces-cm00087", "vec00033")</f>
        <v>vec00033</v>
      </c>
      <c r="F53136" s="0" t="s">
        <v>3408</v>
      </c>
      <c r="H53136" s="0" t="str">
        <f aca="false">HYPERLINK("https://lindat.mff.cuni.cz/services/SynSemClass40/SynSemClass40.html?veclass=vec00039#vec00039-ces-cm00060", "vec00039")</f>
        <v>vec00039</v>
      </c>
      <c r="I53136" s="0" t="s">
        <v>2618</v>
      </c>
    </row>
    <row r="53137" customFormat="false" ht="12.8" hidden="false" customHeight="false" outlineLevel="0" collapsed="false">
      <c r="B53137" s="0" t="s">
        <v>1</v>
      </c>
      <c r="C53137" s="0" t="s">
        <v>18438</v>
      </c>
      <c r="E53137" s="0" t="s">
        <v>3410</v>
      </c>
      <c r="F53137" s="0" t="s">
        <v>3411</v>
      </c>
      <c r="H53137" s="0" t="s">
        <v>2619</v>
      </c>
      <c r="I53137" s="0" t="s">
        <v>2620</v>
      </c>
    </row>
    <row r="53138" customFormat="false" ht="12.8" hidden="false" customHeight="false" outlineLevel="0" collapsed="false">
      <c r="B53138" s="0" t="s">
        <v>18439</v>
      </c>
      <c r="C53138" s="0" t="s">
        <v>18440</v>
      </c>
      <c r="E53138" s="0" t="s">
        <v>3471</v>
      </c>
      <c r="F53138" s="0" t="s">
        <v>3472</v>
      </c>
      <c r="H53138" s="0" t="s">
        <v>10922</v>
      </c>
      <c r="I53138" s="0" t="s">
        <v>10923</v>
      </c>
    </row>
    <row r="53139" customFormat="false" ht="12.8" hidden="false" customHeight="false" outlineLevel="0" collapsed="false">
      <c r="B53139" s="0" t="s">
        <v>132</v>
      </c>
      <c r="C53139" s="0" t="s">
        <v>18441</v>
      </c>
      <c r="E53139" s="0" t="s">
        <v>53</v>
      </c>
      <c r="F53139" s="0" t="s">
        <v>3416</v>
      </c>
      <c r="H53139" s="0" t="s">
        <v>564</v>
      </c>
      <c r="I53139" s="0" t="s">
        <v>7943</v>
      </c>
    </row>
    <row r="53141" customFormat="false" ht="12.8" hidden="false" customHeight="false" outlineLevel="0" collapsed="false">
      <c r="A53141" s="0" t="s">
        <v>18437</v>
      </c>
      <c r="B53141" s="0" t="str">
        <f aca="false">HYPERLINK("https://lindat.mff.cuni.cz/services/teitok/pdtc10/index.php?action=vallex&amp;frame=v-w6999f5", "učinit (v-w6999f5) - substituted with v-w6999f18_ZU")</f>
        <v>učinit (v-w6999f5) - substituted with v-w6999f18_ZU</v>
      </c>
    </row>
    <row r="53142" customFormat="false" ht="12.8" hidden="false" customHeight="false" outlineLevel="0" collapsed="false">
      <c r="B53142" s="0" t="s">
        <v>1</v>
      </c>
    </row>
    <row r="53143" customFormat="false" ht="12.8" hidden="false" customHeight="false" outlineLevel="0" collapsed="false">
      <c r="B53143" s="0" t="s">
        <v>18439</v>
      </c>
    </row>
    <row r="53144" customFormat="false" ht="12.8" hidden="false" customHeight="false" outlineLevel="0" collapsed="false">
      <c r="B53144" s="0" t="s">
        <v>132</v>
      </c>
    </row>
    <row r="53146" customFormat="false" ht="12.8" hidden="false" customHeight="false" outlineLevel="0" collapsed="false">
      <c r="A53146" s="0" t="s">
        <v>18442</v>
      </c>
      <c r="B53146" s="0" t="str">
        <f aca="false">HYPERLINK("https://lindat.mff.cuni.cz/services/teitok/pdtc10/index.php?action=vallex&amp;frame=v-w6999f6", "učinit (v-w6999f6)")</f>
        <v>učinit (v-w6999f6)</v>
      </c>
    </row>
    <row r="53147" customFormat="false" ht="12.8" hidden="false" customHeight="false" outlineLevel="0" collapsed="false">
      <c r="B53147" s="0" t="s">
        <v>1</v>
      </c>
    </row>
    <row r="53148" customFormat="false" ht="12.8" hidden="false" customHeight="false" outlineLevel="0" collapsed="false">
      <c r="B53148" s="0" t="s">
        <v>18443</v>
      </c>
    </row>
    <row r="53149" customFormat="false" ht="12.8" hidden="false" customHeight="false" outlineLevel="0" collapsed="false">
      <c r="B53149" s="0" t="s">
        <v>3889</v>
      </c>
    </row>
    <row r="53151" customFormat="false" ht="12.8" hidden="false" customHeight="false" outlineLevel="0" collapsed="false">
      <c r="A53151" s="0" t="s">
        <v>18444</v>
      </c>
      <c r="B53151" s="0" t="str">
        <f aca="false">HYPERLINK("https://lindat.mff.cuni.cz/services/teitok/pdtc10/index.php?action=vallex&amp;frame=v-w6999f17_ZU", "učinit (v-w6999f17_ZU)")</f>
        <v>učinit (v-w6999f17_ZU)</v>
      </c>
      <c r="E53151" s="0" t="str">
        <f aca="false">HYPERLINK("https://lindat.mff.cuni.cz/services/SynSemClass40/SynSemClass40.html?veclass=vec01188#vec01188-ces-cm00158", "vec01188")</f>
        <v>vec01188</v>
      </c>
      <c r="F53151" s="0" t="s">
        <v>5481</v>
      </c>
    </row>
    <row r="53152" customFormat="false" ht="12.8" hidden="false" customHeight="false" outlineLevel="0" collapsed="false">
      <c r="B53152" s="0" t="s">
        <v>1</v>
      </c>
      <c r="C53152" s="0" t="s">
        <v>10802</v>
      </c>
      <c r="E53152" s="0" t="s">
        <v>31</v>
      </c>
      <c r="F53152" s="0" t="s">
        <v>5483</v>
      </c>
    </row>
    <row r="53153" customFormat="false" ht="12.8" hidden="false" customHeight="false" outlineLevel="0" collapsed="false">
      <c r="B53153" s="0" t="s">
        <v>18445</v>
      </c>
      <c r="C53153" s="0" t="s">
        <v>10804</v>
      </c>
      <c r="E53153" s="0" t="s">
        <v>3478</v>
      </c>
      <c r="F53153" s="0" t="s">
        <v>5488</v>
      </c>
    </row>
    <row r="53155" customFormat="false" ht="12.8" hidden="false" customHeight="false" outlineLevel="0" collapsed="false">
      <c r="A53155" s="0" t="s">
        <v>18444</v>
      </c>
      <c r="B53155" s="0" t="str">
        <f aca="false">HYPERLINK("https://lindat.mff.cuni.cz/services/teitok/pdtc10/index.php?action=vallex&amp;frame=v-w6999f13_ZU", "učinit (v-w6999f13_ZU) - substituted with v-w6999f17_ZU")</f>
        <v>učinit (v-w6999f13_ZU) - substituted with v-w6999f17_ZU</v>
      </c>
    </row>
    <row r="53156" customFormat="false" ht="12.8" hidden="false" customHeight="false" outlineLevel="0" collapsed="false">
      <c r="B53156" s="0" t="s">
        <v>1</v>
      </c>
    </row>
    <row r="53157" customFormat="false" ht="12.8" hidden="false" customHeight="false" outlineLevel="0" collapsed="false">
      <c r="B53157" s="0" t="s">
        <v>18445</v>
      </c>
    </row>
    <row r="53159" customFormat="false" ht="12.8" hidden="false" customHeight="false" outlineLevel="0" collapsed="false">
      <c r="A53159" s="0" t="s">
        <v>18444</v>
      </c>
      <c r="B53159" s="0" t="str">
        <f aca="false">HYPERLINK("https://lindat.mff.cuni.cz/services/teitok/pdtc10/index.php?action=vallex&amp;frame=v-w6999f14_ZU", "učinit (v-w6999f14_ZU) - substituted with v-w6999f17_ZU")</f>
        <v>učinit (v-w6999f14_ZU) - substituted with v-w6999f17_ZU</v>
      </c>
    </row>
    <row r="53160" customFormat="false" ht="12.8" hidden="false" customHeight="false" outlineLevel="0" collapsed="false">
      <c r="B53160" s="0" t="s">
        <v>1</v>
      </c>
    </row>
    <row r="53161" customFormat="false" ht="12.8" hidden="false" customHeight="false" outlineLevel="0" collapsed="false">
      <c r="B53161" s="0" t="s">
        <v>18445</v>
      </c>
    </row>
    <row r="53163" customFormat="false" ht="12.8" hidden="false" customHeight="false" outlineLevel="0" collapsed="false">
      <c r="A53163" s="0" t="s">
        <v>18444</v>
      </c>
      <c r="B53163" s="0" t="str">
        <f aca="false">HYPERLINK("https://lindat.mff.cuni.cz/services/teitok/pdtc10/index.php?action=vallex&amp;frame=v-w6999f15_ZU", "učinit (v-w6999f15_ZU) - substituted with v-w6999f17_ZU")</f>
        <v>učinit (v-w6999f15_ZU) - substituted with v-w6999f17_ZU</v>
      </c>
    </row>
    <row r="53164" customFormat="false" ht="12.8" hidden="false" customHeight="false" outlineLevel="0" collapsed="false">
      <c r="B53164" s="0" t="s">
        <v>1</v>
      </c>
    </row>
    <row r="53165" customFormat="false" ht="12.8" hidden="false" customHeight="false" outlineLevel="0" collapsed="false">
      <c r="B53165" s="0" t="s">
        <v>18445</v>
      </c>
    </row>
    <row r="53167" customFormat="false" ht="12.8" hidden="false" customHeight="false" outlineLevel="0" collapsed="false">
      <c r="A53167" s="0" t="s">
        <v>18444</v>
      </c>
      <c r="B53167" s="0" t="str">
        <f aca="false">HYPERLINK("https://lindat.mff.cuni.cz/services/teitok/pdtc10/index.php?action=vallex&amp;frame=v-w6999f2", "učinit (v-w6999f2) - substituted with v-w6999f17_ZU")</f>
        <v>učinit (v-w6999f2) - substituted with v-w6999f17_ZU</v>
      </c>
    </row>
    <row r="53168" customFormat="false" ht="12.8" hidden="false" customHeight="false" outlineLevel="0" collapsed="false">
      <c r="B53168" s="0" t="s">
        <v>1</v>
      </c>
    </row>
    <row r="53169" customFormat="false" ht="12.8" hidden="false" customHeight="false" outlineLevel="0" collapsed="false">
      <c r="B53169" s="0" t="s">
        <v>18445</v>
      </c>
    </row>
    <row r="53171" customFormat="false" ht="12.8" hidden="false" customHeight="false" outlineLevel="0" collapsed="false">
      <c r="A53171" s="0" t="s">
        <v>18444</v>
      </c>
      <c r="B53171" s="0" t="str">
        <f aca="false">HYPERLINK("https://lindat.mff.cuni.cz/services/teitok/pdtc10/index.php?action=vallex&amp;frame=v-w6999hsa_1047", "učinit (v-w6999hsa_1047) - substituted with v-w6999f17_ZU")</f>
        <v>učinit (v-w6999hsa_1047) - substituted with v-w6999f17_ZU</v>
      </c>
    </row>
    <row r="53172" customFormat="false" ht="12.8" hidden="false" customHeight="false" outlineLevel="0" collapsed="false">
      <c r="B53172" s="0" t="s">
        <v>1</v>
      </c>
    </row>
    <row r="53173" customFormat="false" ht="12.8" hidden="false" customHeight="false" outlineLevel="0" collapsed="false">
      <c r="B53173" s="0" t="s">
        <v>18445</v>
      </c>
    </row>
    <row r="53175" customFormat="false" ht="12.8" hidden="false" customHeight="false" outlineLevel="0" collapsed="false">
      <c r="A53175" s="0" t="s">
        <v>18446</v>
      </c>
      <c r="B53175" s="0" t="str">
        <f aca="false">HYPERLINK("https://lindat.mff.cuni.cz/services/teitok/pdtc10/index.php?action=vallex&amp;frame=v-w6999f7", "učinit (v-w6999f7)")</f>
        <v>učinit (v-w6999f7)</v>
      </c>
    </row>
    <row r="53176" customFormat="false" ht="12.8" hidden="false" customHeight="false" outlineLevel="0" collapsed="false">
      <c r="B53176" s="0" t="s">
        <v>1</v>
      </c>
    </row>
    <row r="53177" customFormat="false" ht="12.8" hidden="false" customHeight="false" outlineLevel="0" collapsed="false">
      <c r="B53177" s="0" t="s">
        <v>18447</v>
      </c>
    </row>
    <row r="53178" customFormat="false" ht="12.8" hidden="false" customHeight="false" outlineLevel="0" collapsed="false">
      <c r="B53178" s="0" t="s">
        <v>186</v>
      </c>
    </row>
    <row r="53180" customFormat="false" ht="12.8" hidden="false" customHeight="false" outlineLevel="0" collapsed="false">
      <c r="A53180" s="0" t="s">
        <v>18448</v>
      </c>
      <c r="B53180" s="0" t="str">
        <f aca="false">HYPERLINK("https://lindat.mff.cuni.cz/services/teitok/pdtc10/index.php?action=vallex&amp;frame=v-w6999f11", "učinit (v-w6999f11)")</f>
        <v>učinit (v-w6999f11)</v>
      </c>
    </row>
    <row r="53181" customFormat="false" ht="12.8" hidden="false" customHeight="false" outlineLevel="0" collapsed="false">
      <c r="B53181" s="0" t="s">
        <v>1</v>
      </c>
    </row>
    <row r="53182" customFormat="false" ht="12.8" hidden="false" customHeight="false" outlineLevel="0" collapsed="false">
      <c r="B53182" s="0" t="s">
        <v>18449</v>
      </c>
    </row>
    <row r="53184" customFormat="false" ht="12.8" hidden="false" customHeight="false" outlineLevel="0" collapsed="false">
      <c r="A53184" s="0" t="s">
        <v>18450</v>
      </c>
      <c r="B53184" s="0" t="str">
        <f aca="false">HYPERLINK("https://lindat.mff.cuni.cz/services/teitok/pdtc10/index.php?action=vallex&amp;frame=v-w6999f9", "učinit (v-w6999f9)")</f>
        <v>učinit (v-w6999f9)</v>
      </c>
    </row>
    <row r="53185" customFormat="false" ht="12.8" hidden="false" customHeight="false" outlineLevel="0" collapsed="false">
      <c r="B53185" s="0" t="s">
        <v>1</v>
      </c>
    </row>
    <row r="53186" customFormat="false" ht="12.8" hidden="false" customHeight="false" outlineLevel="0" collapsed="false">
      <c r="B53186" s="0" t="s">
        <v>18451</v>
      </c>
    </row>
    <row r="53188" customFormat="false" ht="12.8" hidden="false" customHeight="false" outlineLevel="0" collapsed="false">
      <c r="A53188" s="0" t="s">
        <v>18452</v>
      </c>
      <c r="B53188" s="0" t="str">
        <f aca="false">HYPERLINK("https://lindat.mff.cuni.cz/services/teitok/pdtc10/index.php?action=vallex&amp;frame=v-w11606_ZUf2_ZU", "učinit si (v-w11606_ZUf2_ZU)")</f>
        <v>učinit si (v-w11606_ZUf2_ZU)</v>
      </c>
      <c r="E53188" s="0" t="str">
        <f aca="false">HYPERLINK("https://lindat.mff.cuni.cz/services/SynSemClass40/SynSemClass40.html?veclass=vec00402#vec00402-ces-cm00152", "vec00402")</f>
        <v>vec00402</v>
      </c>
      <c r="F53188" s="0" t="s">
        <v>619</v>
      </c>
    </row>
    <row r="53189" customFormat="false" ht="12.8" hidden="false" customHeight="false" outlineLevel="0" collapsed="false">
      <c r="B53189" s="0" t="s">
        <v>1</v>
      </c>
      <c r="C53189" s="0" t="s">
        <v>620</v>
      </c>
      <c r="E53189" s="0" t="s">
        <v>621</v>
      </c>
      <c r="F53189" s="0" t="s">
        <v>622</v>
      </c>
    </row>
    <row r="53190" customFormat="false" ht="12.8" hidden="false" customHeight="false" outlineLevel="0" collapsed="false">
      <c r="B53190" s="0" t="s">
        <v>18453</v>
      </c>
      <c r="C53190" s="0" t="s">
        <v>17554</v>
      </c>
      <c r="E53190" s="0" t="s">
        <v>17555</v>
      </c>
      <c r="F53190" s="0" t="s">
        <v>17556</v>
      </c>
    </row>
    <row r="53192" customFormat="false" ht="12.8" hidden="false" customHeight="false" outlineLevel="0" collapsed="false">
      <c r="A53192" s="0" t="s">
        <v>18452</v>
      </c>
      <c r="B53192" s="0" t="str">
        <f aca="false">HYPERLINK("https://lindat.mff.cuni.cz/services/teitok/pdtc10/index.php?action=vallex&amp;frame=v-w11606_ZUf1_ZU", "učinit si (v-w11606_ZUf1_ZU) - substituted with v-w11606_ZUf2_ZU")</f>
        <v>učinit si (v-w11606_ZUf1_ZU) - substituted with v-w11606_ZUf2_ZU</v>
      </c>
    </row>
    <row r="53193" customFormat="false" ht="12.8" hidden="false" customHeight="false" outlineLevel="0" collapsed="false">
      <c r="B53193" s="0" t="s">
        <v>1</v>
      </c>
    </row>
    <row r="53194" customFormat="false" ht="12.8" hidden="false" customHeight="false" outlineLevel="0" collapsed="false">
      <c r="B53194" s="0" t="s">
        <v>18453</v>
      </c>
    </row>
    <row r="53196" customFormat="false" ht="12.8" hidden="false" customHeight="false" outlineLevel="0" collapsed="false">
      <c r="A53196" s="0" t="s">
        <v>18454</v>
      </c>
      <c r="B53196" s="0" t="str">
        <f aca="false">HYPERLINK("https://lindat.mff.cuni.cz/services/teitok/pdtc10/index.php?action=vallex&amp;frame=v-w7003f1", "učit (v-w7003f1)")</f>
        <v>učit (v-w7003f1)</v>
      </c>
      <c r="E53196" s="0" t="str">
        <f aca="false">HYPERLINK("https://lindat.mff.cuni.cz/services/SynSemClass40/SynSemClass40.html?veclass=vec00531#vec00531-ces-cm00001", "vec00531")</f>
        <v>vec00531</v>
      </c>
      <c r="F53196" s="0" t="s">
        <v>7870</v>
      </c>
    </row>
    <row r="53197" customFormat="false" ht="12.8" hidden="false" customHeight="false" outlineLevel="0" collapsed="false">
      <c r="B53197" s="0" t="s">
        <v>1</v>
      </c>
      <c r="C53197" s="0" t="s">
        <v>4001</v>
      </c>
      <c r="E53197" s="0" t="s">
        <v>206</v>
      </c>
      <c r="F53197" s="0" t="s">
        <v>7871</v>
      </c>
    </row>
    <row r="53198" customFormat="false" ht="12.8" hidden="false" customHeight="false" outlineLevel="0" collapsed="false">
      <c r="B53198" s="0" t="s">
        <v>18455</v>
      </c>
      <c r="C53198" s="0" t="s">
        <v>7873</v>
      </c>
      <c r="E53198" s="0" t="s">
        <v>7874</v>
      </c>
      <c r="F53198" s="0" t="s">
        <v>7875</v>
      </c>
    </row>
    <row r="53199" customFormat="false" ht="12.8" hidden="false" customHeight="false" outlineLevel="0" collapsed="false">
      <c r="B53199" s="0" t="s">
        <v>3067</v>
      </c>
      <c r="C53199" s="0" t="s">
        <v>7876</v>
      </c>
      <c r="E53199" s="0" t="s">
        <v>564</v>
      </c>
      <c r="F53199" s="0" t="s">
        <v>7877</v>
      </c>
    </row>
    <row r="53201" customFormat="false" ht="12.8" hidden="false" customHeight="false" outlineLevel="0" collapsed="false">
      <c r="A53201" s="0" t="s">
        <v>18456</v>
      </c>
      <c r="B53201" s="0" t="str">
        <f aca="false">HYPERLINK("https://lindat.mff.cuni.cz/services/teitok/pdtc10/index.php?action=vallex&amp;frame=v-w7006f5_ZU", "učit se (v-w7006f5_ZU)")</f>
        <v>učit se (v-w7006f5_ZU)</v>
      </c>
    </row>
    <row r="53202" customFormat="false" ht="12.8" hidden="false" customHeight="false" outlineLevel="0" collapsed="false">
      <c r="B53202" s="0" t="s">
        <v>1</v>
      </c>
    </row>
    <row r="53203" customFormat="false" ht="12.8" hidden="false" customHeight="false" outlineLevel="0" collapsed="false">
      <c r="B53203" s="0" t="s">
        <v>3069</v>
      </c>
    </row>
    <row r="53204" customFormat="false" ht="12.8" hidden="false" customHeight="false" outlineLevel="0" collapsed="false">
      <c r="B53204" s="0" t="s">
        <v>18457</v>
      </c>
    </row>
    <row r="53206" customFormat="false" ht="12.8" hidden="false" customHeight="false" outlineLevel="0" collapsed="false">
      <c r="A53206" s="0" t="s">
        <v>18456</v>
      </c>
      <c r="B53206" s="0" t="str">
        <f aca="false">HYPERLINK("https://lindat.mff.cuni.cz/services/teitok/pdtc10/index.php?action=vallex&amp;frame=v-w7006f1", "učit se (v-w7006f1) - substituted with v-w7006f5_ZU")</f>
        <v>učit se (v-w7006f1) - substituted with v-w7006f5_ZU</v>
      </c>
    </row>
    <row r="53207" customFormat="false" ht="12.8" hidden="false" customHeight="false" outlineLevel="0" collapsed="false">
      <c r="B53207" s="0" t="s">
        <v>1</v>
      </c>
    </row>
    <row r="53208" customFormat="false" ht="12.8" hidden="false" customHeight="false" outlineLevel="0" collapsed="false">
      <c r="B53208" s="0" t="s">
        <v>3069</v>
      </c>
    </row>
    <row r="53209" customFormat="false" ht="12.8" hidden="false" customHeight="false" outlineLevel="0" collapsed="false">
      <c r="B53209" s="0" t="s">
        <v>18457</v>
      </c>
    </row>
    <row r="53211" customFormat="false" ht="12.8" hidden="false" customHeight="false" outlineLevel="0" collapsed="false">
      <c r="A53211" s="0" t="s">
        <v>18458</v>
      </c>
      <c r="B53211" s="0" t="str">
        <f aca="false">HYPERLINK("https://lindat.mff.cuni.cz/services/teitok/pdtc10/index.php?action=vallex&amp;frame=v-w7006f8_ZU", "učit se (v-w7006f8_ZU)")</f>
        <v>učit se (v-w7006f8_ZU)</v>
      </c>
    </row>
    <row r="53212" customFormat="false" ht="12.8" hidden="false" customHeight="false" outlineLevel="0" collapsed="false">
      <c r="B53212" s="0" t="s">
        <v>1</v>
      </c>
    </row>
    <row r="53213" customFormat="false" ht="12.8" hidden="false" customHeight="false" outlineLevel="0" collapsed="false">
      <c r="B53213" s="0" t="s">
        <v>18459</v>
      </c>
    </row>
    <row r="53214" customFormat="false" ht="12.8" hidden="false" customHeight="false" outlineLevel="0" collapsed="false">
      <c r="B53214" s="0" t="s">
        <v>773</v>
      </c>
    </row>
    <row r="53216" customFormat="false" ht="12.8" hidden="false" customHeight="false" outlineLevel="0" collapsed="false">
      <c r="A53216" s="0" t="s">
        <v>18458</v>
      </c>
      <c r="B53216" s="0" t="str">
        <f aca="false">HYPERLINK("https://lindat.mff.cuni.cz/services/teitok/pdtc10/index.php?action=vallex&amp;frame=v-w7006f2", "učit se (v-w7006f2) - substituted with v-w7006f8_ZU")</f>
        <v>učit se (v-w7006f2) - substituted with v-w7006f8_ZU</v>
      </c>
    </row>
    <row r="53217" customFormat="false" ht="12.8" hidden="false" customHeight="false" outlineLevel="0" collapsed="false">
      <c r="B53217" s="0" t="s">
        <v>1</v>
      </c>
    </row>
    <row r="53218" customFormat="false" ht="12.8" hidden="false" customHeight="false" outlineLevel="0" collapsed="false">
      <c r="B53218" s="0" t="s">
        <v>18459</v>
      </c>
    </row>
    <row r="53219" customFormat="false" ht="12.8" hidden="false" customHeight="false" outlineLevel="0" collapsed="false">
      <c r="B53219" s="0" t="s">
        <v>773</v>
      </c>
    </row>
    <row r="53221" customFormat="false" ht="12.8" hidden="false" customHeight="false" outlineLevel="0" collapsed="false">
      <c r="A53221" s="0" t="s">
        <v>18458</v>
      </c>
      <c r="B53221" s="0" t="str">
        <f aca="false">HYPERLINK("https://lindat.mff.cuni.cz/services/teitok/pdtc10/index.php?action=vallex&amp;frame=v-w7006f6_ZU", "učit se (v-w7006f6_ZU) - substituted with v-w7006f8_ZU")</f>
        <v>učit se (v-w7006f6_ZU) - substituted with v-w7006f8_ZU</v>
      </c>
    </row>
    <row r="53222" customFormat="false" ht="12.8" hidden="false" customHeight="false" outlineLevel="0" collapsed="false">
      <c r="B53222" s="0" t="s">
        <v>1</v>
      </c>
    </row>
    <row r="53223" customFormat="false" ht="12.8" hidden="false" customHeight="false" outlineLevel="0" collapsed="false">
      <c r="B53223" s="0" t="s">
        <v>18459</v>
      </c>
    </row>
    <row r="53224" customFormat="false" ht="12.8" hidden="false" customHeight="false" outlineLevel="0" collapsed="false">
      <c r="B53224" s="0" t="s">
        <v>773</v>
      </c>
    </row>
    <row r="53226" customFormat="false" ht="12.8" hidden="false" customHeight="false" outlineLevel="0" collapsed="false">
      <c r="A53226" s="0" t="s">
        <v>18458</v>
      </c>
      <c r="B53226" s="0" t="str">
        <f aca="false">HYPERLINK("https://lindat.mff.cuni.cz/services/teitok/pdtc10/index.php?action=vallex&amp;frame=v-w7006f7_ZU", "učit se (v-w7006f7_ZU) - substituted with v-w7006f8_ZU")</f>
        <v>učit se (v-w7006f7_ZU) - substituted with v-w7006f8_ZU</v>
      </c>
    </row>
    <row r="53227" customFormat="false" ht="12.8" hidden="false" customHeight="false" outlineLevel="0" collapsed="false">
      <c r="B53227" s="0" t="s">
        <v>1</v>
      </c>
    </row>
    <row r="53228" customFormat="false" ht="12.8" hidden="false" customHeight="false" outlineLevel="0" collapsed="false">
      <c r="B53228" s="0" t="s">
        <v>18459</v>
      </c>
    </row>
    <row r="53229" customFormat="false" ht="12.8" hidden="false" customHeight="false" outlineLevel="0" collapsed="false">
      <c r="B53229" s="0" t="s">
        <v>773</v>
      </c>
    </row>
    <row r="53231" customFormat="false" ht="12.8" hidden="false" customHeight="false" outlineLevel="0" collapsed="false">
      <c r="A53231" s="0" t="s">
        <v>18458</v>
      </c>
      <c r="B53231" s="0" t="str">
        <f aca="false">HYPERLINK("https://lindat.mff.cuni.cz/services/teitok/pdtc10/index.php?action=vallex&amp;frame=v-w7006hsa_172", "učit se (v-w7006hsa_172) - substituted with v-w7006f8_ZU")</f>
        <v>učit se (v-w7006hsa_172) - substituted with v-w7006f8_ZU</v>
      </c>
    </row>
    <row r="53232" customFormat="false" ht="12.8" hidden="false" customHeight="false" outlineLevel="0" collapsed="false">
      <c r="B53232" s="0" t="s">
        <v>1</v>
      </c>
    </row>
    <row r="53233" customFormat="false" ht="12.8" hidden="false" customHeight="false" outlineLevel="0" collapsed="false">
      <c r="B53233" s="0" t="s">
        <v>18459</v>
      </c>
    </row>
    <row r="53234" customFormat="false" ht="12.8" hidden="false" customHeight="false" outlineLevel="0" collapsed="false">
      <c r="B53234" s="0" t="s">
        <v>773</v>
      </c>
    </row>
    <row r="53236" customFormat="false" ht="12.8" hidden="false" customHeight="false" outlineLevel="0" collapsed="false">
      <c r="A53236" s="0" t="s">
        <v>18460</v>
      </c>
      <c r="B53236" s="0" t="str">
        <f aca="false">HYPERLINK("https://lindat.mff.cuni.cz/services/teitok/pdtc10/index.php?action=vallex&amp;frame=v-w7006f4_ZU", "učit se (v-w7006f4_ZU)")</f>
        <v>učit se (v-w7006f4_ZU)</v>
      </c>
      <c r="E53236" s="0" t="str">
        <f aca="false">HYPERLINK("https://lindat.mff.cuni.cz/services/SynSemClass40/SynSemClass40.html?veclass=vec00013#vec00013-ces-cm00087", "vec00013")</f>
        <v>vec00013</v>
      </c>
      <c r="F53236" s="0" t="s">
        <v>2742</v>
      </c>
    </row>
    <row r="53237" customFormat="false" ht="12.8" hidden="false" customHeight="false" outlineLevel="0" collapsed="false">
      <c r="B53237" s="0" t="s">
        <v>1</v>
      </c>
      <c r="C53237" s="0" t="s">
        <v>2743</v>
      </c>
      <c r="E53237" s="0" t="s">
        <v>621</v>
      </c>
      <c r="F53237" s="0" t="s">
        <v>2744</v>
      </c>
    </row>
    <row r="53238" customFormat="false" ht="12.8" hidden="false" customHeight="false" outlineLevel="0" collapsed="false">
      <c r="B53238" s="0" t="s">
        <v>2382</v>
      </c>
      <c r="C53238" s="0" t="s">
        <v>2746</v>
      </c>
      <c r="E53238" s="0" t="s">
        <v>2217</v>
      </c>
      <c r="F53238" s="0" t="s">
        <v>2747</v>
      </c>
    </row>
    <row r="53239" customFormat="false" ht="12.8" hidden="false" customHeight="false" outlineLevel="0" collapsed="false">
      <c r="B53239" s="0" t="s">
        <v>496</v>
      </c>
      <c r="C53239" s="0" t="s">
        <v>2748</v>
      </c>
      <c r="E53239" s="0" t="s">
        <v>218</v>
      </c>
      <c r="F53239" s="0" t="s">
        <v>2749</v>
      </c>
    </row>
    <row r="53240" customFormat="false" ht="12.8" hidden="false" customHeight="false" outlineLevel="0" collapsed="false">
      <c r="B53240" s="0" t="s">
        <v>602</v>
      </c>
      <c r="C53240" s="0" t="s">
        <v>2750</v>
      </c>
      <c r="E53240" s="0" t="s">
        <v>2176</v>
      </c>
      <c r="F53240" s="0" t="s">
        <v>2751</v>
      </c>
    </row>
    <row r="53242" customFormat="false" ht="12.8" hidden="false" customHeight="false" outlineLevel="0" collapsed="false">
      <c r="A53242" s="0" t="s">
        <v>18461</v>
      </c>
      <c r="B53242" s="0" t="str">
        <f aca="false">HYPERLINK("https://lindat.mff.cuni.cz/services/teitok/pdtc10/index.php?action=vallex&amp;frame=v-w7006f3_ZU", "učit se (v-w7006f3_ZU)")</f>
        <v>učit se (v-w7006f3_ZU)</v>
      </c>
    </row>
    <row r="53243" customFormat="false" ht="12.8" hidden="false" customHeight="false" outlineLevel="0" collapsed="false">
      <c r="B53243" s="0" t="s">
        <v>1</v>
      </c>
    </row>
    <row r="53244" customFormat="false" ht="12.8" hidden="false" customHeight="false" outlineLevel="0" collapsed="false">
      <c r="B53244" s="0" t="s">
        <v>5201</v>
      </c>
    </row>
    <row r="53245" customFormat="false" ht="12.8" hidden="false" customHeight="false" outlineLevel="0" collapsed="false">
      <c r="B53245" s="0" t="s">
        <v>602</v>
      </c>
    </row>
    <row r="53247" customFormat="false" ht="12.8" hidden="false" customHeight="false" outlineLevel="0" collapsed="false">
      <c r="A53247" s="0" t="s">
        <v>18462</v>
      </c>
      <c r="B53247" s="0" t="str">
        <f aca="false">HYPERLINK("https://lindat.mff.cuni.cz/services/teitok/pdtc10/index.php?action=vallex&amp;frame=v-w7006hsa_212", "učit se (v-w7006hsa_212)")</f>
        <v>učit se (v-w7006hsa_212)</v>
      </c>
    </row>
    <row r="53248" customFormat="false" ht="12.8" hidden="false" customHeight="false" outlineLevel="0" collapsed="false">
      <c r="B53248" s="0" t="s">
        <v>1</v>
      </c>
    </row>
    <row r="53249" customFormat="false" ht="12.8" hidden="false" customHeight="false" outlineLevel="0" collapsed="false">
      <c r="B53249" s="0" t="s">
        <v>45</v>
      </c>
    </row>
    <row r="53251" customFormat="false" ht="12.8" hidden="false" customHeight="false" outlineLevel="0" collapsed="false">
      <c r="A53251" s="0" t="s">
        <v>18463</v>
      </c>
      <c r="B53251" s="0" t="str">
        <f aca="false">HYPERLINK("https://lindat.mff.cuni.cz/services/teitok/pdtc10/index.php?action=vallex&amp;frame=v-w7007f1", "učívat (v-w7007f1)")</f>
        <v>učívat (v-w7007f1)</v>
      </c>
      <c r="E53251" s="0" t="str">
        <f aca="false">HYPERLINK("https://lindat.mff.cuni.cz/services/SynSemClass40/SynSemClass40.html?veclass=vec00531#vec00531-ces-cm00015", "vec00531")</f>
        <v>vec00531</v>
      </c>
      <c r="F53251" s="0" t="s">
        <v>7870</v>
      </c>
    </row>
    <row r="53252" customFormat="false" ht="12.8" hidden="false" customHeight="false" outlineLevel="0" collapsed="false">
      <c r="B53252" s="0" t="s">
        <v>1</v>
      </c>
      <c r="C53252" s="0" t="s">
        <v>4001</v>
      </c>
      <c r="E53252" s="0" t="s">
        <v>206</v>
      </c>
      <c r="F53252" s="0" t="s">
        <v>7871</v>
      </c>
    </row>
    <row r="53253" customFormat="false" ht="12.8" hidden="false" customHeight="false" outlineLevel="0" collapsed="false">
      <c r="B53253" s="0" t="s">
        <v>18455</v>
      </c>
      <c r="C53253" s="0" t="s">
        <v>7873</v>
      </c>
      <c r="E53253" s="0" t="s">
        <v>7874</v>
      </c>
      <c r="F53253" s="0" t="s">
        <v>7875</v>
      </c>
    </row>
    <row r="53254" customFormat="false" ht="12.8" hidden="false" customHeight="false" outlineLevel="0" collapsed="false">
      <c r="B53254" s="0" t="s">
        <v>3067</v>
      </c>
      <c r="C53254" s="0" t="s">
        <v>7876</v>
      </c>
      <c r="E53254" s="0" t="s">
        <v>564</v>
      </c>
      <c r="F53254" s="0" t="s">
        <v>7877</v>
      </c>
    </row>
    <row r="53256" customFormat="false" ht="12.8" hidden="false" customHeight="false" outlineLevel="0" collapsed="false">
      <c r="A53256" s="0" t="s">
        <v>18464</v>
      </c>
      <c r="B53256" s="0" t="str">
        <f aca="false">HYPERLINK("https://lindat.mff.cuni.cz/services/teitok/pdtc10/index.php?action=vallex&amp;frame=v-w11905_ZUf1_ZU", "učívávat (v-w11905_ZUf1_ZU)")</f>
        <v>učívávat (v-w11905_ZUf1_ZU)</v>
      </c>
    </row>
    <row r="53257" customFormat="false" ht="12.8" hidden="false" customHeight="false" outlineLevel="0" collapsed="false">
      <c r="B53257" s="0" t="s">
        <v>1</v>
      </c>
    </row>
    <row r="53258" customFormat="false" ht="12.8" hidden="false" customHeight="false" outlineLevel="0" collapsed="false">
      <c r="B53258" s="0" t="s">
        <v>18455</v>
      </c>
    </row>
    <row r="53259" customFormat="false" ht="12.8" hidden="false" customHeight="false" outlineLevel="0" collapsed="false">
      <c r="B53259" s="0" t="s">
        <v>3067</v>
      </c>
    </row>
    <row r="53261" customFormat="false" ht="12.8" hidden="false" customHeight="false" outlineLevel="0" collapsed="false">
      <c r="A53261" s="0" t="s">
        <v>18465</v>
      </c>
      <c r="B53261" s="0" t="str">
        <f aca="false">HYPERLINK("https://lindat.mff.cuni.cz/services/teitok/pdtc10/index.php?action=vallex&amp;frame=v-whsb_710hsa_711", "uřezat (v-whsb_710hsa_711)")</f>
        <v>uřezat (v-whsb_710hsa_711)</v>
      </c>
    </row>
    <row r="53262" customFormat="false" ht="12.8" hidden="false" customHeight="false" outlineLevel="0" collapsed="false">
      <c r="B53262" s="0" t="s">
        <v>1</v>
      </c>
    </row>
    <row r="53263" customFormat="false" ht="12.8" hidden="false" customHeight="false" outlineLevel="0" collapsed="false">
      <c r="B53263" s="0" t="s">
        <v>8</v>
      </c>
    </row>
    <row r="53264" customFormat="false" ht="12.8" hidden="false" customHeight="false" outlineLevel="0" collapsed="false">
      <c r="B53264" s="0" t="s">
        <v>631</v>
      </c>
    </row>
    <row r="53266" customFormat="false" ht="12.8" hidden="false" customHeight="false" outlineLevel="0" collapsed="false">
      <c r="A53266" s="0" t="s">
        <v>18466</v>
      </c>
      <c r="B53266" s="0" t="str">
        <f aca="false">HYPERLINK("https://lindat.mff.cuni.cz/services/teitok/pdtc10/index.php?action=vallex&amp;frame=v-w11879_ZUf1_ZU", "uřvat (v-w11879_ZUf1_ZU)")</f>
        <v>uřvat (v-w11879_ZUf1_ZU)</v>
      </c>
    </row>
    <row r="53267" customFormat="false" ht="12.8" hidden="false" customHeight="false" outlineLevel="0" collapsed="false">
      <c r="B53267" s="0" t="s">
        <v>1</v>
      </c>
    </row>
    <row r="53268" customFormat="false" ht="12.8" hidden="false" customHeight="false" outlineLevel="0" collapsed="false">
      <c r="B53268" s="0" t="s">
        <v>8</v>
      </c>
    </row>
    <row r="53270" customFormat="false" ht="12.8" hidden="false" customHeight="false" outlineLevel="0" collapsed="false">
      <c r="A53270" s="0" t="s">
        <v>18467</v>
      </c>
      <c r="B53270" s="0" t="str">
        <f aca="false">HYPERLINK("https://lindat.mff.cuni.cz/services/teitok/pdtc10/index.php?action=vallex&amp;frame=v-w7271f1", "uříznout (v-w7271f1)")</f>
        <v>uříznout (v-w7271f1)</v>
      </c>
      <c r="E53270" s="0" t="str">
        <f aca="false">HYPERLINK("https://lindat.mff.cuni.cz/services/SynSemClass40/SynSemClass40.html?veclass=vec01456#vec01456-ces-cm00009", "vec01456")</f>
        <v>vec01456</v>
      </c>
      <c r="F53270" s="0" t="s">
        <v>105</v>
      </c>
    </row>
    <row r="53271" customFormat="false" ht="12.8" hidden="false" customHeight="false" outlineLevel="0" collapsed="false">
      <c r="B53271" s="0" t="s">
        <v>1</v>
      </c>
      <c r="C53271" s="0" t="s">
        <v>106</v>
      </c>
      <c r="E53271" s="0" t="s">
        <v>107</v>
      </c>
      <c r="F53271" s="0" t="s">
        <v>108</v>
      </c>
    </row>
    <row r="53272" customFormat="false" ht="12.8" hidden="false" customHeight="false" outlineLevel="0" collapsed="false">
      <c r="B53272" s="0" t="s">
        <v>8</v>
      </c>
      <c r="C53272" s="0" t="s">
        <v>109</v>
      </c>
      <c r="E53272" s="0" t="s">
        <v>110</v>
      </c>
      <c r="F53272" s="0" t="s">
        <v>111</v>
      </c>
    </row>
    <row r="53274" customFormat="false" ht="12.8" hidden="false" customHeight="false" outlineLevel="0" collapsed="false">
      <c r="A53274" s="0" t="s">
        <v>18468</v>
      </c>
      <c r="B53274" s="0" t="str">
        <f aca="false">HYPERLINK("https://lindat.mff.cuni.cz/services/teitok/pdtc10/index.php?action=vallex&amp;frame=v-w7355f3_ZU", "ušetřit (v-w7355f3_ZU)")</f>
        <v>ušetřit (v-w7355f3_ZU)</v>
      </c>
      <c r="E53274" s="0" t="str">
        <f aca="false">HYPERLINK("https://lindat.mff.cuni.cz/services/SynSemClass40/SynSemClass40.html?veclass=vec00144#vec00144-ces-cm00001", "vec00144")</f>
        <v>vec00144</v>
      </c>
      <c r="F53274" s="0" t="s">
        <v>18055</v>
      </c>
      <c r="H53274" s="0" t="str">
        <f aca="false">HYPERLINK("https://lindat.mff.cuni.cz/services/SynSemClass40/SynSemClass40.html?veclass=vec01322#vec01322-ces-cm00006", "vec01322")</f>
        <v>vec01322</v>
      </c>
      <c r="I53274" s="0" t="s">
        <v>8079</v>
      </c>
    </row>
    <row r="53275" customFormat="false" ht="12.8" hidden="false" customHeight="false" outlineLevel="0" collapsed="false">
      <c r="B53275" s="0" t="s">
        <v>1</v>
      </c>
      <c r="C53275" s="0" t="s">
        <v>18056</v>
      </c>
      <c r="E53275" s="0" t="s">
        <v>3265</v>
      </c>
      <c r="F53275" s="0" t="s">
        <v>18057</v>
      </c>
      <c r="H53275" s="0" t="s">
        <v>92</v>
      </c>
      <c r="I53275" s="0" t="s">
        <v>8081</v>
      </c>
    </row>
    <row r="53276" customFormat="false" ht="12.8" hidden="false" customHeight="false" outlineLevel="0" collapsed="false">
      <c r="B53276" s="0" t="s">
        <v>8</v>
      </c>
      <c r="C53276" s="0" t="s">
        <v>18058</v>
      </c>
      <c r="E53276" s="0" t="s">
        <v>594</v>
      </c>
      <c r="F53276" s="0" t="s">
        <v>18059</v>
      </c>
      <c r="H53276" s="0" t="s">
        <v>4565</v>
      </c>
      <c r="I53276" s="0" t="s">
        <v>8082</v>
      </c>
    </row>
    <row r="53277" customFormat="false" ht="12.8" hidden="false" customHeight="false" outlineLevel="0" collapsed="false">
      <c r="B53277" s="0" t="s">
        <v>773</v>
      </c>
      <c r="C53277" s="0" t="s">
        <v>18469</v>
      </c>
      <c r="E53277" s="0" t="s">
        <v>6329</v>
      </c>
      <c r="F53277" s="0" t="s">
        <v>18470</v>
      </c>
    </row>
    <row r="53279" customFormat="false" ht="12.8" hidden="false" customHeight="false" outlineLevel="0" collapsed="false">
      <c r="A53279" s="0" t="s">
        <v>18468</v>
      </c>
      <c r="B53279" s="0" t="str">
        <f aca="false">HYPERLINK("https://lindat.mff.cuni.cz/services/teitok/pdtc10/index.php?action=vallex&amp;frame=v-w7355f1", "ušetřit (v-w7355f1) - substituted with v-w7355f3_ZU")</f>
        <v>ušetřit (v-w7355f1) - substituted with v-w7355f3_ZU</v>
      </c>
    </row>
    <row r="53280" customFormat="false" ht="12.8" hidden="false" customHeight="false" outlineLevel="0" collapsed="false">
      <c r="B53280" s="0" t="s">
        <v>1</v>
      </c>
    </row>
    <row r="53281" customFormat="false" ht="12.8" hidden="false" customHeight="false" outlineLevel="0" collapsed="false">
      <c r="B53281" s="0" t="s">
        <v>8</v>
      </c>
    </row>
    <row r="53282" customFormat="false" ht="12.8" hidden="false" customHeight="false" outlineLevel="0" collapsed="false">
      <c r="B53282" s="0" t="s">
        <v>773</v>
      </c>
    </row>
    <row r="53284" customFormat="false" ht="12.8" hidden="false" customHeight="false" outlineLevel="0" collapsed="false">
      <c r="A53284" s="0" t="s">
        <v>18471</v>
      </c>
      <c r="B53284" s="0" t="str">
        <f aca="false">HYPERLINK("https://lindat.mff.cuni.cz/services/teitok/pdtc10/index.php?action=vallex&amp;frame=v-w7355hsa_43", "ušetřit (v-w7355hsa_43)")</f>
        <v>ušetřit (v-w7355hsa_43)</v>
      </c>
    </row>
    <row r="53285" customFormat="false" ht="12.8" hidden="false" customHeight="false" outlineLevel="0" collapsed="false">
      <c r="B53285" s="0" t="s">
        <v>1</v>
      </c>
    </row>
    <row r="53286" customFormat="false" ht="12.8" hidden="false" customHeight="false" outlineLevel="0" collapsed="false">
      <c r="B53286" s="0" t="s">
        <v>8</v>
      </c>
    </row>
    <row r="53287" customFormat="false" ht="12.8" hidden="false" customHeight="false" outlineLevel="0" collapsed="false">
      <c r="B53287" s="0" t="s">
        <v>18472</v>
      </c>
    </row>
    <row r="53289" customFormat="false" ht="12.8" hidden="false" customHeight="false" outlineLevel="0" collapsed="false">
      <c r="A53289" s="0" t="s">
        <v>18471</v>
      </c>
      <c r="B53289" s="0" t="str">
        <f aca="false">HYPERLINK("https://lindat.mff.cuni.cz/services/teitok/pdtc10/index.php?action=vallex&amp;frame=v-w7355f2", "ušetřit (v-w7355f2) - substituted with v-w7355hsa_43")</f>
        <v>ušetřit (v-w7355f2) - substituted with v-w7355hsa_43</v>
      </c>
    </row>
    <row r="53290" customFormat="false" ht="12.8" hidden="false" customHeight="false" outlineLevel="0" collapsed="false">
      <c r="B53290" s="0" t="s">
        <v>1</v>
      </c>
    </row>
    <row r="53291" customFormat="false" ht="12.8" hidden="false" customHeight="false" outlineLevel="0" collapsed="false">
      <c r="B53291" s="0" t="s">
        <v>8</v>
      </c>
    </row>
    <row r="53292" customFormat="false" ht="12.8" hidden="false" customHeight="false" outlineLevel="0" collapsed="false">
      <c r="B53292" s="0" t="s">
        <v>18472</v>
      </c>
    </row>
    <row r="53294" customFormat="false" ht="12.8" hidden="false" customHeight="false" outlineLevel="0" collapsed="false">
      <c r="A53294" s="0" t="s">
        <v>18473</v>
      </c>
      <c r="B53294" s="0" t="str">
        <f aca="false">HYPERLINK("https://lindat.mff.cuni.cz/services/teitok/pdtc10/index.php?action=vallex&amp;frame=v-w7356f1", "ušetřit si (v-w7356f1)")</f>
        <v>ušetřit si (v-w7356f1)</v>
      </c>
    </row>
    <row r="53295" customFormat="false" ht="12.8" hidden="false" customHeight="false" outlineLevel="0" collapsed="false">
      <c r="B53295" s="0" t="s">
        <v>1</v>
      </c>
    </row>
    <row r="53296" customFormat="false" ht="12.8" hidden="false" customHeight="false" outlineLevel="0" collapsed="false">
      <c r="B53296" s="0" t="s">
        <v>8</v>
      </c>
    </row>
    <row r="53298" customFormat="false" ht="12.8" hidden="false" customHeight="false" outlineLevel="0" collapsed="false">
      <c r="A53298" s="0" t="s">
        <v>18474</v>
      </c>
      <c r="B53298" s="0" t="str">
        <f aca="false">HYPERLINK("https://lindat.mff.cuni.cz/services/teitok/pdtc10/index.php?action=vallex&amp;frame=v-w7358f2", "ušklíbnout se (v-w7358f2)")</f>
        <v>ušklíbnout se (v-w7358f2)</v>
      </c>
      <c r="E53298" s="0" t="str">
        <f aca="false">HYPERLINK("https://lindat.mff.cuni.cz/services/SynSemClass40/SynSemClass40.html?veclass=vec00145#vec00145-ces-cm00001", "vec00145")</f>
        <v>vec00145</v>
      </c>
      <c r="F53298" s="0" t="s">
        <v>10492</v>
      </c>
    </row>
    <row r="53299" customFormat="false" ht="12.8" hidden="false" customHeight="false" outlineLevel="0" collapsed="false">
      <c r="B53299" s="0" t="s">
        <v>1</v>
      </c>
      <c r="C53299" s="0" t="s">
        <v>459</v>
      </c>
      <c r="E53299" s="0" t="s">
        <v>155</v>
      </c>
      <c r="F53299" s="0" t="s">
        <v>4232</v>
      </c>
    </row>
    <row r="53300" customFormat="false" ht="12.8" hidden="false" customHeight="false" outlineLevel="0" collapsed="false">
      <c r="B53300" s="0" t="s">
        <v>18475</v>
      </c>
      <c r="C53300" s="0" t="s">
        <v>462</v>
      </c>
      <c r="E53300" s="0" t="s">
        <v>4947</v>
      </c>
      <c r="F53300" s="0" t="s">
        <v>10493</v>
      </c>
    </row>
    <row r="53302" customFormat="false" ht="12.8" hidden="false" customHeight="false" outlineLevel="0" collapsed="false">
      <c r="A53302" s="0" t="s">
        <v>18476</v>
      </c>
      <c r="B53302" s="0" t="str">
        <f aca="false">HYPERLINK("https://lindat.mff.cuni.cz/services/teitok/pdtc10/index.php?action=vallex&amp;frame=v-w7358f1", "ušklíbnout se (v-w7358f1)")</f>
        <v>ušklíbnout se (v-w7358f1)</v>
      </c>
    </row>
    <row r="53303" customFormat="false" ht="12.8" hidden="false" customHeight="false" outlineLevel="0" collapsed="false">
      <c r="B53303" s="0" t="s">
        <v>1</v>
      </c>
    </row>
    <row r="53304" customFormat="false" ht="12.8" hidden="false" customHeight="false" outlineLevel="0" collapsed="false">
      <c r="B53304" s="0" t="s">
        <v>69</v>
      </c>
    </row>
    <row r="53306" customFormat="false" ht="12.8" hidden="false" customHeight="false" outlineLevel="0" collapsed="false">
      <c r="A53306" s="0" t="s">
        <v>18477</v>
      </c>
      <c r="B53306" s="0" t="str">
        <f aca="false">HYPERLINK("https://lindat.mff.cuni.cz/services/teitok/pdtc10/index.php?action=vallex&amp;frame=v-w7359f1", "uškodit (v-w7359f1)")</f>
        <v>uškodit (v-w7359f1)</v>
      </c>
      <c r="E53306" s="0" t="str">
        <f aca="false">HYPERLINK("https://lindat.mff.cuni.cz/services/SynSemClass40/SynSemClass40.html?veclass=vec00372#vec00372-ces-cm00051", "vec00372")</f>
        <v>vec00372</v>
      </c>
      <c r="F53306" s="0" t="s">
        <v>2524</v>
      </c>
    </row>
    <row r="53307" customFormat="false" ht="12.8" hidden="false" customHeight="false" outlineLevel="0" collapsed="false">
      <c r="B53307" s="0" t="s">
        <v>17360</v>
      </c>
      <c r="C53307" s="0" t="s">
        <v>2525</v>
      </c>
      <c r="E53307" s="0" t="s">
        <v>2526</v>
      </c>
      <c r="F53307" s="0" t="s">
        <v>2527</v>
      </c>
    </row>
    <row r="53308" customFormat="false" ht="12.8" hidden="false" customHeight="false" outlineLevel="0" collapsed="false">
      <c r="B53308" s="0" t="s">
        <v>186</v>
      </c>
      <c r="C53308" s="0" t="s">
        <v>2528</v>
      </c>
      <c r="E53308" s="0" t="s">
        <v>142</v>
      </c>
      <c r="F53308" s="0" t="s">
        <v>2529</v>
      </c>
    </row>
    <row r="53310" customFormat="false" ht="12.8" hidden="false" customHeight="false" outlineLevel="0" collapsed="false">
      <c r="A53310" s="0" t="s">
        <v>18478</v>
      </c>
      <c r="B53310" s="0" t="str">
        <f aca="false">HYPERLINK("https://lindat.mff.cuni.cz/services/teitok/pdtc10/index.php?action=vallex&amp;frame=v-w7361f1", "uškrtit (v-w7361f1)")</f>
        <v>uškrtit (v-w7361f1)</v>
      </c>
    </row>
    <row r="53311" customFormat="false" ht="12.8" hidden="false" customHeight="false" outlineLevel="0" collapsed="false">
      <c r="B53311" s="0" t="s">
        <v>1</v>
      </c>
    </row>
    <row r="53312" customFormat="false" ht="12.8" hidden="false" customHeight="false" outlineLevel="0" collapsed="false">
      <c r="B53312" s="0" t="s">
        <v>8</v>
      </c>
    </row>
    <row r="53314" customFormat="false" ht="12.8" hidden="false" customHeight="false" outlineLevel="0" collapsed="false">
      <c r="A53314" s="0" t="s">
        <v>18479</v>
      </c>
      <c r="B53314" s="0" t="str">
        <f aca="false">HYPERLINK("https://lindat.mff.cuni.cz/services/teitok/pdtc10/index.php?action=vallex&amp;frame=v-w11693_ZUf1_ZU", "ušlapat (v-w11693_ZUf1_ZU)")</f>
        <v>ušlapat (v-w11693_ZUf1_ZU)</v>
      </c>
    </row>
    <row r="53315" customFormat="false" ht="12.8" hidden="false" customHeight="false" outlineLevel="0" collapsed="false">
      <c r="B53315" s="0" t="s">
        <v>1</v>
      </c>
    </row>
    <row r="53316" customFormat="false" ht="12.8" hidden="false" customHeight="false" outlineLevel="0" collapsed="false">
      <c r="B53316" s="0" t="s">
        <v>8</v>
      </c>
    </row>
    <row r="53318" customFormat="false" ht="12.8" hidden="false" customHeight="false" outlineLevel="0" collapsed="false">
      <c r="A53318" s="0" t="s">
        <v>18480</v>
      </c>
      <c r="B53318" s="0" t="str">
        <f aca="false">HYPERLINK("https://lindat.mff.cuni.cz/services/teitok/pdtc10/index.php?action=vallex&amp;frame=v-w11693_ZUf2_ZU", "ušlapat (v-w11693_ZUf2_ZU)")</f>
        <v>ušlapat (v-w11693_ZUf2_ZU)</v>
      </c>
    </row>
    <row r="53319" customFormat="false" ht="12.8" hidden="false" customHeight="false" outlineLevel="0" collapsed="false">
      <c r="B53319" s="0" t="s">
        <v>1</v>
      </c>
    </row>
    <row r="53320" customFormat="false" ht="12.8" hidden="false" customHeight="false" outlineLevel="0" collapsed="false">
      <c r="B53320" s="0" t="s">
        <v>8</v>
      </c>
    </row>
    <row r="53322" customFormat="false" ht="12.8" hidden="false" customHeight="false" outlineLevel="0" collapsed="false">
      <c r="A53322" s="0" t="s">
        <v>18481</v>
      </c>
      <c r="B53322" s="0" t="str">
        <f aca="false">HYPERLINK("https://lindat.mff.cuni.cz/services/teitok/pdtc10/index.php?action=vallex&amp;frame=v-w11692_ZUf2_ZU", "ušlapávat (v-w11692_ZUf2_ZU)")</f>
        <v>ušlapávat (v-w11692_ZUf2_ZU)</v>
      </c>
    </row>
    <row r="53323" customFormat="false" ht="12.8" hidden="false" customHeight="false" outlineLevel="0" collapsed="false">
      <c r="B53323" s="0" t="s">
        <v>1</v>
      </c>
    </row>
    <row r="53324" customFormat="false" ht="12.8" hidden="false" customHeight="false" outlineLevel="0" collapsed="false">
      <c r="B53324" s="0" t="s">
        <v>8</v>
      </c>
    </row>
    <row r="53326" customFormat="false" ht="12.8" hidden="false" customHeight="false" outlineLevel="0" collapsed="false">
      <c r="A53326" s="0" t="s">
        <v>18481</v>
      </c>
      <c r="B53326" s="0" t="str">
        <f aca="false">HYPERLINK("https://lindat.mff.cuni.cz/services/teitok/pdtc10/index.php?action=vallex&amp;frame=v-w11692_ZUf1_ZU", "ušlapávat (v-w11692_ZUf1_ZU) - substituted with v-w11692_ZUf2_ZU")</f>
        <v>ušlapávat (v-w11692_ZUf1_ZU) - substituted with v-w11692_ZUf2_ZU</v>
      </c>
    </row>
    <row r="53327" customFormat="false" ht="12.8" hidden="false" customHeight="false" outlineLevel="0" collapsed="false">
      <c r="B53327" s="0" t="s">
        <v>1</v>
      </c>
    </row>
    <row r="53328" customFormat="false" ht="12.8" hidden="false" customHeight="false" outlineLevel="0" collapsed="false">
      <c r="B53328" s="0" t="s">
        <v>8</v>
      </c>
    </row>
    <row r="53330" customFormat="false" ht="12.8" hidden="false" customHeight="false" outlineLevel="0" collapsed="false">
      <c r="A53330" s="0" t="s">
        <v>18482</v>
      </c>
      <c r="B53330" s="0" t="str">
        <f aca="false">HYPERLINK("https://lindat.mff.cuni.cz/services/teitok/pdtc10/index.php?action=vallex&amp;frame=v-w12316_MMf1_MM", "ušpinit se (v-w12316_MMf1_MM)")</f>
        <v>ušpinit se (v-w12316_MMf1_MM)</v>
      </c>
    </row>
    <row r="53331" customFormat="false" ht="12.8" hidden="false" customHeight="false" outlineLevel="0" collapsed="false">
      <c r="B53331" s="0" t="s">
        <v>1</v>
      </c>
    </row>
    <row r="53332" customFormat="false" ht="12.8" hidden="false" customHeight="false" outlineLevel="0" collapsed="false">
      <c r="B53332" s="0" t="s">
        <v>444</v>
      </c>
    </row>
    <row r="53334" customFormat="false" ht="12.8" hidden="false" customHeight="false" outlineLevel="0" collapsed="false">
      <c r="A53334" s="0" t="s">
        <v>18483</v>
      </c>
      <c r="B53334" s="0" t="str">
        <f aca="false">HYPERLINK("https://lindat.mff.cuni.cz/services/teitok/pdtc10/index.php?action=vallex&amp;frame=v-w10946hsa_634", "uštědřit (v-w10946hsa_634)")</f>
        <v>uštědřit (v-w10946hsa_634)</v>
      </c>
    </row>
    <row r="53335" customFormat="false" ht="12.8" hidden="false" customHeight="false" outlineLevel="0" collapsed="false">
      <c r="B53335" s="0" t="s">
        <v>6609</v>
      </c>
    </row>
    <row r="53336" customFormat="false" ht="12.8" hidden="false" customHeight="false" outlineLevel="0" collapsed="false">
      <c r="B53336" s="0" t="s">
        <v>6609</v>
      </c>
    </row>
    <row r="53337" customFormat="false" ht="12.8" hidden="false" customHeight="false" outlineLevel="0" collapsed="false">
      <c r="B53337" s="0" t="s">
        <v>18484</v>
      </c>
    </row>
    <row r="53338" customFormat="false" ht="12.8" hidden="false" customHeight="false" outlineLevel="0" collapsed="false">
      <c r="B53338" s="0" t="s">
        <v>52</v>
      </c>
    </row>
    <row r="53340" customFormat="false" ht="12.8" hidden="false" customHeight="false" outlineLevel="0" collapsed="false">
      <c r="A53340" s="0" t="s">
        <v>18483</v>
      </c>
      <c r="B53340" s="0" t="str">
        <f aca="false">HYPERLINK("https://lindat.mff.cuni.cz/services/teitok/pdtc10/index.php?action=vallex&amp;frame=v-w10946f3", "uštědřit (v-w10946f3) - substituted with v-w10946hsa_634")</f>
        <v>uštědřit (v-w10946f3) - substituted with v-w10946hsa_634</v>
      </c>
    </row>
    <row r="53341" customFormat="false" ht="12.8" hidden="false" customHeight="false" outlineLevel="0" collapsed="false">
      <c r="B53341" s="0" t="s">
        <v>6609</v>
      </c>
    </row>
    <row r="53342" customFormat="false" ht="12.8" hidden="false" customHeight="false" outlineLevel="0" collapsed="false">
      <c r="B53342" s="0" t="s">
        <v>6609</v>
      </c>
    </row>
    <row r="53343" customFormat="false" ht="12.8" hidden="false" customHeight="false" outlineLevel="0" collapsed="false">
      <c r="B53343" s="0" t="s">
        <v>18484</v>
      </c>
    </row>
    <row r="53344" customFormat="false" ht="12.8" hidden="false" customHeight="false" outlineLevel="0" collapsed="false">
      <c r="B53344" s="0" t="s">
        <v>52</v>
      </c>
    </row>
    <row r="53346" customFormat="false" ht="12.8" hidden="false" customHeight="false" outlineLevel="0" collapsed="false">
      <c r="A53346" s="0" t="s">
        <v>18485</v>
      </c>
      <c r="B53346" s="0" t="str">
        <f aca="false">HYPERLINK("https://lindat.mff.cuni.cz/services/teitok/pdtc10/index.php?action=vallex&amp;frame=v-w7357f3", "ušít (v-w7357f3)")</f>
        <v>ušít (v-w7357f3)</v>
      </c>
    </row>
    <row r="53347" customFormat="false" ht="12.8" hidden="false" customHeight="false" outlineLevel="0" collapsed="false">
      <c r="B53347" s="0" t="s">
        <v>1</v>
      </c>
    </row>
    <row r="53348" customFormat="false" ht="12.8" hidden="false" customHeight="false" outlineLevel="0" collapsed="false">
      <c r="B53348" s="0" t="s">
        <v>8</v>
      </c>
    </row>
    <row r="53349" customFormat="false" ht="12.8" hidden="false" customHeight="false" outlineLevel="0" collapsed="false">
      <c r="B53349" s="0" t="s">
        <v>36</v>
      </c>
    </row>
    <row r="53351" customFormat="false" ht="12.8" hidden="false" customHeight="false" outlineLevel="0" collapsed="false">
      <c r="A53351" s="0" t="s">
        <v>18486</v>
      </c>
      <c r="B53351" s="0" t="str">
        <f aca="false">HYPERLINK("https://lindat.mff.cuni.cz/services/teitok/pdtc10/index.php?action=vallex&amp;frame=v-w7357f1", "ušít (v-w7357f1)")</f>
        <v>ušít (v-w7357f1)</v>
      </c>
      <c r="E53351" s="0" t="str">
        <f aca="false">HYPERLINK("https://lindat.mff.cuni.cz/services/SynSemClass40/SynSemClass40.html?veclass=vec00040#vec00040-ces-cm00051", "vec00040")</f>
        <v>vec00040</v>
      </c>
      <c r="F53351" s="0" t="s">
        <v>5506</v>
      </c>
    </row>
    <row r="53352" customFormat="false" ht="12.8" hidden="false" customHeight="false" outlineLevel="0" collapsed="false">
      <c r="B53352" s="0" t="s">
        <v>1</v>
      </c>
      <c r="C53352" s="0" t="s">
        <v>17706</v>
      </c>
      <c r="E53352" s="0" t="s">
        <v>2619</v>
      </c>
      <c r="F53352" s="0" t="s">
        <v>5509</v>
      </c>
    </row>
    <row r="53353" customFormat="false" ht="12.8" hidden="false" customHeight="false" outlineLevel="0" collapsed="false">
      <c r="B53353" s="0" t="s">
        <v>18487</v>
      </c>
    </row>
    <row r="53354" customFormat="false" ht="12.8" hidden="false" customHeight="false" outlineLevel="0" collapsed="false">
      <c r="B53354" s="0" t="s">
        <v>8</v>
      </c>
      <c r="C53354" s="0" t="s">
        <v>17707</v>
      </c>
      <c r="E53354" s="0" t="s">
        <v>771</v>
      </c>
      <c r="F53354" s="0" t="s">
        <v>5512</v>
      </c>
    </row>
    <row r="53356" customFormat="false" ht="12.8" hidden="false" customHeight="false" outlineLevel="0" collapsed="false">
      <c r="A53356" s="0" t="s">
        <v>18488</v>
      </c>
      <c r="B53356" s="0" t="str">
        <f aca="false">HYPERLINK("https://lindat.mff.cuni.cz/services/teitok/pdtc10/index.php?action=vallex&amp;frame=v-w7357f2", "ušít (v-w7357f2)")</f>
        <v>ušít (v-w7357f2)</v>
      </c>
    </row>
    <row r="53357" customFormat="false" ht="12.8" hidden="false" customHeight="false" outlineLevel="0" collapsed="false">
      <c r="B53357" s="0" t="s">
        <v>1</v>
      </c>
    </row>
    <row r="53358" customFormat="false" ht="12.8" hidden="false" customHeight="false" outlineLevel="0" collapsed="false">
      <c r="B53358" s="0" t="s">
        <v>18489</v>
      </c>
    </row>
    <row r="53359" customFormat="false" ht="12.8" hidden="false" customHeight="false" outlineLevel="0" collapsed="false">
      <c r="B53359" s="0" t="s">
        <v>8</v>
      </c>
    </row>
    <row r="53361" customFormat="false" ht="12.8" hidden="false" customHeight="false" outlineLevel="0" collapsed="false">
      <c r="A53361" s="0" t="s">
        <v>18490</v>
      </c>
      <c r="B53361" s="0" t="str">
        <f aca="false">HYPERLINK("https://lindat.mff.cuni.cz/services/teitok/pdtc10/index.php?action=vallex&amp;frame=v-w12188_ZUf1_ZU", "užasnout (v-w12188_ZUf1_ZU)")</f>
        <v>užasnout (v-w12188_ZUf1_ZU)</v>
      </c>
    </row>
    <row r="53362" customFormat="false" ht="12.8" hidden="false" customHeight="false" outlineLevel="0" collapsed="false">
      <c r="B53362" s="0" t="s">
        <v>1</v>
      </c>
    </row>
    <row r="53363" customFormat="false" ht="12.8" hidden="false" customHeight="false" outlineLevel="0" collapsed="false">
      <c r="B53363" s="0" t="s">
        <v>18491</v>
      </c>
    </row>
    <row r="53365" customFormat="false" ht="12.8" hidden="false" customHeight="false" outlineLevel="0" collapsed="false">
      <c r="A53365" s="0" t="s">
        <v>18492</v>
      </c>
      <c r="B53365" s="0" t="str">
        <f aca="false">HYPERLINK("https://lindat.mff.cuni.cz/services/teitok/pdtc10/index.php?action=vallex&amp;frame=v-w7500f1", "uživit (v-w7500f1)")</f>
        <v>uživit (v-w7500f1)</v>
      </c>
    </row>
    <row r="53366" customFormat="false" ht="12.8" hidden="false" customHeight="false" outlineLevel="0" collapsed="false">
      <c r="B53366" s="0" t="s">
        <v>1</v>
      </c>
    </row>
    <row r="53367" customFormat="false" ht="12.8" hidden="false" customHeight="false" outlineLevel="0" collapsed="false">
      <c r="B53367" s="0" t="s">
        <v>8</v>
      </c>
    </row>
    <row r="53369" customFormat="false" ht="12.8" hidden="false" customHeight="false" outlineLevel="0" collapsed="false">
      <c r="A53369" s="0" t="s">
        <v>18493</v>
      </c>
      <c r="B53369" s="0" t="str">
        <f aca="false">HYPERLINK("https://lindat.mff.cuni.cz/services/teitok/pdtc10/index.php?action=vallex&amp;frame=v-w7501f1", "uživit se (v-w7501f1)")</f>
        <v>uživit se (v-w7501f1)</v>
      </c>
      <c r="E53369" s="0" t="str">
        <f aca="false">HYPERLINK("https://lindat.mff.cuni.cz/services/SynSemClass40/SynSemClass40.html?veclass=vec01485#vec01485-ces-cm00004", "vec01485")</f>
        <v>vec01485</v>
      </c>
      <c r="F53369" s="0" t="s">
        <v>18494</v>
      </c>
    </row>
    <row r="53370" customFormat="false" ht="12.8" hidden="false" customHeight="false" outlineLevel="0" collapsed="false">
      <c r="B53370" s="0" t="s">
        <v>1</v>
      </c>
      <c r="E53370" s="0" t="s">
        <v>11</v>
      </c>
      <c r="F53370" s="0" t="s">
        <v>959</v>
      </c>
    </row>
    <row r="53372" customFormat="false" ht="12.8" hidden="false" customHeight="false" outlineLevel="0" collapsed="false">
      <c r="A53372" s="0" t="s">
        <v>18495</v>
      </c>
      <c r="B53372" s="0" t="str">
        <f aca="false">HYPERLINK("https://lindat.mff.cuni.cz/services/teitok/pdtc10/index.php?action=vallex&amp;frame=v-w7491f1", "užírat (v-w7491f1)")</f>
        <v>užírat (v-w7491f1)</v>
      </c>
    </row>
    <row r="53373" customFormat="false" ht="12.8" hidden="false" customHeight="false" outlineLevel="0" collapsed="false">
      <c r="B53373" s="0" t="s">
        <v>1</v>
      </c>
    </row>
    <row r="53374" customFormat="false" ht="12.8" hidden="false" customHeight="false" outlineLevel="0" collapsed="false">
      <c r="B53374" s="0" t="s">
        <v>8</v>
      </c>
    </row>
    <row r="53375" customFormat="false" ht="12.8" hidden="false" customHeight="false" outlineLevel="0" collapsed="false">
      <c r="B53375" s="0" t="s">
        <v>52</v>
      </c>
    </row>
    <row r="53377" customFormat="false" ht="12.8" hidden="false" customHeight="false" outlineLevel="0" collapsed="false">
      <c r="A53377" s="0" t="s">
        <v>18496</v>
      </c>
      <c r="B53377" s="0" t="str">
        <f aca="false">HYPERLINK("https://lindat.mff.cuni.cz/services/teitok/pdtc10/index.php?action=vallex&amp;frame=v-w7492f1", "užírat se (v-w7492f1)")</f>
        <v>užírat se (v-w7492f1)</v>
      </c>
    </row>
    <row r="53378" customFormat="false" ht="12.8" hidden="false" customHeight="false" outlineLevel="0" collapsed="false">
      <c r="B53378" s="0" t="s">
        <v>1</v>
      </c>
    </row>
    <row r="53379" customFormat="false" ht="12.8" hidden="false" customHeight="false" outlineLevel="0" collapsed="false">
      <c r="B53379" s="0" t="s">
        <v>4277</v>
      </c>
    </row>
    <row r="53381" customFormat="false" ht="12.8" hidden="false" customHeight="false" outlineLevel="0" collapsed="false">
      <c r="A53381" s="0" t="s">
        <v>18497</v>
      </c>
      <c r="B53381" s="0" t="str">
        <f aca="false">HYPERLINK("https://lindat.mff.cuni.cz/services/teitok/pdtc10/index.php?action=vallex&amp;frame=v-w7493f1", "užít (v-w7493f1)")</f>
        <v>užít (v-w7493f1)</v>
      </c>
      <c r="E53381" s="0" t="str">
        <f aca="false">HYPERLINK("https://lindat.mff.cuni.cz/services/SynSemClass40/SynSemClass40.html?veclass=vec00079#vec00079-ces-cm00028", "vec00079")</f>
        <v>vec00079</v>
      </c>
      <c r="F53381" s="0" t="s">
        <v>166</v>
      </c>
      <c r="H53381" s="0" t="str">
        <f aca="false">HYPERLINK("https://lindat.mff.cuni.cz/services/SynSemClass40/SynSemClass40.html?veclass=vec00591#vec00591-ces-cm00019", "vec00591")</f>
        <v>vec00591</v>
      </c>
      <c r="I53381" s="0" t="s">
        <v>7158</v>
      </c>
    </row>
    <row r="53382" customFormat="false" ht="12.8" hidden="false" customHeight="false" outlineLevel="0" collapsed="false">
      <c r="B53382" s="0" t="s">
        <v>1</v>
      </c>
      <c r="C53382" s="0" t="s">
        <v>167</v>
      </c>
      <c r="E53382" s="0" t="s">
        <v>11</v>
      </c>
      <c r="F53382" s="0" t="s">
        <v>168</v>
      </c>
      <c r="H53382" s="0" t="s">
        <v>2005</v>
      </c>
      <c r="I53382" s="0" t="s">
        <v>7159</v>
      </c>
    </row>
    <row r="53383" customFormat="false" ht="12.8" hidden="false" customHeight="false" outlineLevel="0" collapsed="false">
      <c r="B53383" s="0" t="s">
        <v>1356</v>
      </c>
      <c r="C53383" s="0" t="s">
        <v>169</v>
      </c>
      <c r="E53383" s="0" t="s">
        <v>170</v>
      </c>
      <c r="F53383" s="0" t="s">
        <v>171</v>
      </c>
      <c r="H53383" s="0" t="s">
        <v>2007</v>
      </c>
      <c r="I53383" s="0" t="s">
        <v>7160</v>
      </c>
    </row>
    <row r="53385" customFormat="false" ht="12.8" hidden="false" customHeight="false" outlineLevel="0" collapsed="false">
      <c r="A53385" s="0" t="s">
        <v>18498</v>
      </c>
      <c r="B53385" s="0" t="str">
        <f aca="false">HYPERLINK("https://lindat.mff.cuni.cz/services/teitok/pdtc10/index.php?action=vallex&amp;frame=v-w7493f2", "užít (v-w7493f2)")</f>
        <v>užít (v-w7493f2)</v>
      </c>
      <c r="E53385" s="0" t="str">
        <f aca="false">HYPERLINK("https://lindat.mff.cuni.cz/services/SynSemClass40/SynSemClass40.html?veclass=vec00591#vec00591-ces-cm00032", "vec00591")</f>
        <v>vec00591</v>
      </c>
      <c r="F53385" s="0" t="s">
        <v>7158</v>
      </c>
      <c r="H53385" s="0" t="str">
        <f aca="false">HYPERLINK("https://lindat.mff.cuni.cz/services/SynSemClass40/SynSemClass40.html?veclass=vec01004#vec01004-ces-cm00012", "vec01004")</f>
        <v>vec01004</v>
      </c>
      <c r="I53385" s="0" t="s">
        <v>656</v>
      </c>
    </row>
    <row r="53386" customFormat="false" ht="12.8" hidden="false" customHeight="false" outlineLevel="0" collapsed="false">
      <c r="B53386" s="0" t="s">
        <v>1</v>
      </c>
      <c r="C53386" s="0" t="s">
        <v>657</v>
      </c>
      <c r="E53386" s="0" t="s">
        <v>2005</v>
      </c>
      <c r="F53386" s="0" t="s">
        <v>7159</v>
      </c>
      <c r="H53386" s="0" t="s">
        <v>658</v>
      </c>
      <c r="I53386" s="0" t="s">
        <v>659</v>
      </c>
    </row>
    <row r="53387" customFormat="false" ht="12.8" hidden="false" customHeight="false" outlineLevel="0" collapsed="false">
      <c r="B53387" s="0" t="s">
        <v>1356</v>
      </c>
      <c r="C53387" s="0" t="s">
        <v>660</v>
      </c>
      <c r="E53387" s="0" t="s">
        <v>2007</v>
      </c>
      <c r="F53387" s="0" t="s">
        <v>7160</v>
      </c>
      <c r="H53387" s="0" t="s">
        <v>661</v>
      </c>
      <c r="I53387" s="0" t="s">
        <v>662</v>
      </c>
    </row>
    <row r="53389" customFormat="false" ht="12.8" hidden="false" customHeight="false" outlineLevel="0" collapsed="false">
      <c r="A53389" s="0" t="s">
        <v>18499</v>
      </c>
      <c r="B53389" s="0" t="str">
        <f aca="false">HYPERLINK("https://lindat.mff.cuni.cz/services/teitok/pdtc10/index.php?action=vallex&amp;frame=v-w7493f5_ZU", "užít (v-w7493f5_ZU)")</f>
        <v>užít (v-w7493f5_ZU)</v>
      </c>
    </row>
    <row r="53390" customFormat="false" ht="12.8" hidden="false" customHeight="false" outlineLevel="0" collapsed="false">
      <c r="B53390" s="0" t="s">
        <v>1</v>
      </c>
    </row>
    <row r="53391" customFormat="false" ht="12.8" hidden="false" customHeight="false" outlineLevel="0" collapsed="false">
      <c r="B53391" s="0" t="s">
        <v>5032</v>
      </c>
    </row>
    <row r="53393" customFormat="false" ht="12.8" hidden="false" customHeight="false" outlineLevel="0" collapsed="false">
      <c r="A53393" s="0" t="s">
        <v>18499</v>
      </c>
      <c r="B53393" s="0" t="str">
        <f aca="false">HYPERLINK("https://lindat.mff.cuni.cz/services/teitok/pdtc10/index.php?action=vallex&amp;frame=v-w7493f3", "užít (v-w7493f3) - substituted with v-w7493f5_ZU")</f>
        <v>užít (v-w7493f3) - substituted with v-w7493f5_ZU</v>
      </c>
    </row>
    <row r="53394" customFormat="false" ht="12.8" hidden="false" customHeight="false" outlineLevel="0" collapsed="false">
      <c r="B53394" s="0" t="s">
        <v>1</v>
      </c>
    </row>
    <row r="53395" customFormat="false" ht="12.8" hidden="false" customHeight="false" outlineLevel="0" collapsed="false">
      <c r="B53395" s="0" t="s">
        <v>5032</v>
      </c>
    </row>
    <row r="53397" customFormat="false" ht="12.8" hidden="false" customHeight="false" outlineLevel="0" collapsed="false">
      <c r="A53397" s="0" t="s">
        <v>18500</v>
      </c>
      <c r="B53397" s="0" t="str">
        <f aca="false">HYPERLINK("https://lindat.mff.cuni.cz/services/teitok/pdtc10/index.php?action=vallex&amp;frame=v-w7493f4_ZU", "užít (v-w7493f4_ZU)")</f>
        <v>užít (v-w7493f4_ZU)</v>
      </c>
    </row>
    <row r="53398" customFormat="false" ht="12.8" hidden="false" customHeight="false" outlineLevel="0" collapsed="false">
      <c r="B53398" s="0" t="s">
        <v>1</v>
      </c>
    </row>
    <row r="53399" customFormat="false" ht="12.8" hidden="false" customHeight="false" outlineLevel="0" collapsed="false">
      <c r="B53399" s="0" t="s">
        <v>1356</v>
      </c>
    </row>
    <row r="53401" customFormat="false" ht="12.8" hidden="false" customHeight="false" outlineLevel="0" collapsed="false">
      <c r="A53401" s="0" t="s">
        <v>18500</v>
      </c>
      <c r="B53401" s="0" t="str">
        <f aca="false">HYPERLINK("https://lindat.mff.cuni.cz/services/teitok/pdtc10/index.php?action=vallex&amp;frame=v-w7493hsa_630", "užít (v-w7493hsa_630) - substituted with v-w7493f4_ZU")</f>
        <v>užít (v-w7493hsa_630) - substituted with v-w7493f4_ZU</v>
      </c>
    </row>
    <row r="53402" customFormat="false" ht="12.8" hidden="false" customHeight="false" outlineLevel="0" collapsed="false">
      <c r="B53402" s="0" t="s">
        <v>1</v>
      </c>
    </row>
    <row r="53403" customFormat="false" ht="12.8" hidden="false" customHeight="false" outlineLevel="0" collapsed="false">
      <c r="B53403" s="0" t="s">
        <v>1356</v>
      </c>
    </row>
    <row r="53405" customFormat="false" ht="12.8" hidden="false" customHeight="false" outlineLevel="0" collapsed="false">
      <c r="A53405" s="0" t="s">
        <v>18501</v>
      </c>
      <c r="B53405" s="0" t="str">
        <f aca="false">HYPERLINK("https://lindat.mff.cuni.cz/services/teitok/pdtc10/index.php?action=vallex&amp;frame=v-w7495f3_ZU", "užít si (v-w7495f3_ZU)")</f>
        <v>užít si (v-w7495f3_ZU)</v>
      </c>
    </row>
    <row r="53406" customFormat="false" ht="12.8" hidden="false" customHeight="false" outlineLevel="0" collapsed="false">
      <c r="B53406" s="0" t="s">
        <v>1</v>
      </c>
    </row>
    <row r="53407" customFormat="false" ht="12.8" hidden="false" customHeight="false" outlineLevel="0" collapsed="false">
      <c r="B53407" s="0" t="s">
        <v>1356</v>
      </c>
    </row>
    <row r="53409" customFormat="false" ht="12.8" hidden="false" customHeight="false" outlineLevel="0" collapsed="false">
      <c r="A53409" s="0" t="s">
        <v>18501</v>
      </c>
      <c r="B53409" s="0" t="str">
        <f aca="false">HYPERLINK("https://lindat.mff.cuni.cz/services/teitok/pdtc10/index.php?action=vallex&amp;frame=v-w7495f1", "užít si (v-w7495f1) - substituted with v-w7495f3_ZU")</f>
        <v>užít si (v-w7495f1) - substituted with v-w7495f3_ZU</v>
      </c>
      <c r="E53409" s="0" t="str">
        <f aca="false">HYPERLINK("https://lindat.mff.cuni.cz/services/SynSemClass40/SynSemClass40.html?veclass=vec00742#vec00742-ces-cm00014", "vec00742")</f>
        <v>vec00742</v>
      </c>
      <c r="F53409" s="0" t="s">
        <v>2689</v>
      </c>
    </row>
    <row r="53410" customFormat="false" ht="12.8" hidden="false" customHeight="false" outlineLevel="0" collapsed="false">
      <c r="B53410" s="0" t="s">
        <v>1</v>
      </c>
      <c r="C53410" s="0" t="s">
        <v>2690</v>
      </c>
      <c r="E53410" s="0" t="s">
        <v>266</v>
      </c>
      <c r="F53410" s="0" t="s">
        <v>2691</v>
      </c>
    </row>
    <row r="53411" customFormat="false" ht="12.8" hidden="false" customHeight="false" outlineLevel="0" collapsed="false">
      <c r="B53411" s="0" t="s">
        <v>1356</v>
      </c>
      <c r="C53411" s="0" t="s">
        <v>2692</v>
      </c>
      <c r="E53411" s="0" t="s">
        <v>271</v>
      </c>
      <c r="F53411" s="0" t="s">
        <v>2693</v>
      </c>
    </row>
    <row r="53413" customFormat="false" ht="12.8" hidden="false" customHeight="false" outlineLevel="0" collapsed="false">
      <c r="A53413" s="0" t="s">
        <v>18501</v>
      </c>
      <c r="B53413" s="0" t="str">
        <f aca="false">HYPERLINK("https://lindat.mff.cuni.cz/services/teitok/pdtc10/index.php?action=vallex&amp;frame=v-w7495f2_ZU", "užít si (v-w7495f2_ZU) - substituted with v-w7495f3_ZU")</f>
        <v>užít si (v-w7495f2_ZU) - substituted with v-w7495f3_ZU</v>
      </c>
    </row>
    <row r="53414" customFormat="false" ht="12.8" hidden="false" customHeight="false" outlineLevel="0" collapsed="false">
      <c r="B53414" s="0" t="s">
        <v>1</v>
      </c>
    </row>
    <row r="53415" customFormat="false" ht="12.8" hidden="false" customHeight="false" outlineLevel="0" collapsed="false">
      <c r="B53415" s="0" t="s">
        <v>1356</v>
      </c>
    </row>
    <row r="53417" customFormat="false" ht="12.8" hidden="false" customHeight="false" outlineLevel="0" collapsed="false">
      <c r="A53417" s="0" t="s">
        <v>18502</v>
      </c>
      <c r="B53417" s="0" t="str">
        <f aca="false">HYPERLINK("https://lindat.mff.cuni.cz/services/teitok/pdtc10/index.php?action=vallex&amp;frame=v-w7497f1", "užívat (v-w7497f1)")</f>
        <v>užívat (v-w7497f1)</v>
      </c>
      <c r="E53417" s="0" t="str">
        <f aca="false">HYPERLINK("https://lindat.mff.cuni.cz/services/SynSemClass40/SynSemClass40.html?veclass=vec00591#vec00591-ces-cm00020", "vec00591")</f>
        <v>vec00591</v>
      </c>
      <c r="F53417" s="0" t="s">
        <v>7158</v>
      </c>
      <c r="H53417" s="0" t="str">
        <f aca="false">HYPERLINK("https://lindat.mff.cuni.cz/services/SynSemClass40/SynSemClass40.html?veclass=vec01004#vec01004-ces-cm00004", "vec01004")</f>
        <v>vec01004</v>
      </c>
      <c r="I53417" s="0" t="s">
        <v>656</v>
      </c>
    </row>
    <row r="53418" customFormat="false" ht="12.8" hidden="false" customHeight="false" outlineLevel="0" collapsed="false">
      <c r="B53418" s="0" t="s">
        <v>1</v>
      </c>
      <c r="C53418" s="0" t="s">
        <v>657</v>
      </c>
      <c r="E53418" s="0" t="s">
        <v>2005</v>
      </c>
      <c r="F53418" s="0" t="s">
        <v>7159</v>
      </c>
      <c r="H53418" s="0" t="s">
        <v>658</v>
      </c>
      <c r="I53418" s="0" t="s">
        <v>659</v>
      </c>
    </row>
    <row r="53419" customFormat="false" ht="12.8" hidden="false" customHeight="false" outlineLevel="0" collapsed="false">
      <c r="B53419" s="0" t="s">
        <v>5032</v>
      </c>
      <c r="C53419" s="0" t="s">
        <v>660</v>
      </c>
      <c r="E53419" s="0" t="s">
        <v>2007</v>
      </c>
      <c r="F53419" s="0" t="s">
        <v>7160</v>
      </c>
      <c r="H53419" s="0" t="s">
        <v>661</v>
      </c>
      <c r="I53419" s="0" t="s">
        <v>662</v>
      </c>
    </row>
    <row r="53421" customFormat="false" ht="12.8" hidden="false" customHeight="false" outlineLevel="0" collapsed="false">
      <c r="A53421" s="0" t="s">
        <v>18503</v>
      </c>
      <c r="B53421" s="0" t="str">
        <f aca="false">HYPERLINK("https://lindat.mff.cuni.cz/services/teitok/pdtc10/index.php?action=vallex&amp;frame=v-w7497f2", "užívat (v-w7497f2)")</f>
        <v>užívat (v-w7497f2)</v>
      </c>
    </row>
    <row r="53422" customFormat="false" ht="12.8" hidden="false" customHeight="false" outlineLevel="0" collapsed="false">
      <c r="B53422" s="0" t="s">
        <v>1</v>
      </c>
    </row>
    <row r="53423" customFormat="false" ht="12.8" hidden="false" customHeight="false" outlineLevel="0" collapsed="false">
      <c r="B53423" s="0" t="s">
        <v>5032</v>
      </c>
    </row>
    <row r="53425" customFormat="false" ht="12.8" hidden="false" customHeight="false" outlineLevel="0" collapsed="false">
      <c r="A53425" s="0" t="s">
        <v>18504</v>
      </c>
      <c r="B53425" s="0" t="str">
        <f aca="false">HYPERLINK("https://lindat.mff.cuni.cz/services/teitok/pdtc10/index.php?action=vallex&amp;frame=v-w7497f3", "užívat (v-w7497f3)")</f>
        <v>užívat (v-w7497f3)</v>
      </c>
      <c r="E53425" s="0" t="str">
        <f aca="false">HYPERLINK("https://lindat.mff.cuni.cz/services/SynSemClass40/SynSemClass40.html?veclass=vec00591#vec00591-ces-cm00021", "vec00591")</f>
        <v>vec00591</v>
      </c>
      <c r="F53425" s="0" t="s">
        <v>7158</v>
      </c>
    </row>
    <row r="53426" customFormat="false" ht="12.8" hidden="false" customHeight="false" outlineLevel="0" collapsed="false">
      <c r="B53426" s="0" t="s">
        <v>1</v>
      </c>
      <c r="E53426" s="0" t="s">
        <v>2005</v>
      </c>
      <c r="F53426" s="0" t="s">
        <v>7159</v>
      </c>
    </row>
    <row r="53427" customFormat="false" ht="12.8" hidden="false" customHeight="false" outlineLevel="0" collapsed="false">
      <c r="B53427" s="0" t="s">
        <v>5032</v>
      </c>
      <c r="E53427" s="0" t="s">
        <v>2007</v>
      </c>
      <c r="F53427" s="0" t="s">
        <v>7160</v>
      </c>
    </row>
    <row r="53429" customFormat="false" ht="12.8" hidden="false" customHeight="false" outlineLevel="0" collapsed="false">
      <c r="A53429" s="0" t="s">
        <v>18505</v>
      </c>
      <c r="B53429" s="0" t="str">
        <f aca="false">HYPERLINK("https://lindat.mff.cuni.cz/services/teitok/pdtc10/index.php?action=vallex&amp;frame=v-w7497f6_ZU", "užívat (v-w7497f6_ZU)")</f>
        <v>užívat (v-w7497f6_ZU)</v>
      </c>
    </row>
    <row r="53430" customFormat="false" ht="12.8" hidden="false" customHeight="false" outlineLevel="0" collapsed="false">
      <c r="B53430" s="0" t="s">
        <v>1</v>
      </c>
    </row>
    <row r="53431" customFormat="false" ht="12.8" hidden="false" customHeight="false" outlineLevel="0" collapsed="false">
      <c r="B53431" s="0" t="s">
        <v>5032</v>
      </c>
    </row>
    <row r="53433" customFormat="false" ht="12.8" hidden="false" customHeight="false" outlineLevel="0" collapsed="false">
      <c r="A53433" s="0" t="s">
        <v>18505</v>
      </c>
      <c r="B53433" s="0" t="str">
        <f aca="false">HYPERLINK("https://lindat.mff.cuni.cz/services/teitok/pdtc10/index.php?action=vallex&amp;frame=v-w7497f4", "užívat (v-w7497f4) - substituted with v-w7497f6_ZU")</f>
        <v>užívat (v-w7497f4) - substituted with v-w7497f6_ZU</v>
      </c>
    </row>
    <row r="53434" customFormat="false" ht="12.8" hidden="false" customHeight="false" outlineLevel="0" collapsed="false">
      <c r="B53434" s="0" t="s">
        <v>1</v>
      </c>
    </row>
    <row r="53435" customFormat="false" ht="12.8" hidden="false" customHeight="false" outlineLevel="0" collapsed="false">
      <c r="B53435" s="0" t="s">
        <v>5032</v>
      </c>
    </row>
    <row r="53437" customFormat="false" ht="12.8" hidden="false" customHeight="false" outlineLevel="0" collapsed="false">
      <c r="A53437" s="0" t="s">
        <v>18505</v>
      </c>
      <c r="B53437" s="0" t="str">
        <f aca="false">HYPERLINK("https://lindat.mff.cuni.cz/services/teitok/pdtc10/index.php?action=vallex&amp;frame=v-w7497f5_ZU", "užívat (v-w7497f5_ZU) - substituted with v-w7497f6_ZU")</f>
        <v>užívat (v-w7497f5_ZU) - substituted with v-w7497f6_ZU</v>
      </c>
    </row>
    <row r="53438" customFormat="false" ht="12.8" hidden="false" customHeight="false" outlineLevel="0" collapsed="false">
      <c r="B53438" s="0" t="s">
        <v>1</v>
      </c>
    </row>
    <row r="53439" customFormat="false" ht="12.8" hidden="false" customHeight="false" outlineLevel="0" collapsed="false">
      <c r="B53439" s="0" t="s">
        <v>5032</v>
      </c>
    </row>
    <row r="53441" customFormat="false" ht="12.8" hidden="false" customHeight="false" outlineLevel="0" collapsed="false">
      <c r="A53441" s="0" t="s">
        <v>18506</v>
      </c>
      <c r="B53441" s="0" t="str">
        <f aca="false">HYPERLINK("https://lindat.mff.cuni.cz/services/teitok/pdtc10/index.php?action=vallex&amp;frame=v-w7497hsa_715", "užívat (v-w7497hsa_715)")</f>
        <v>užívat (v-w7497hsa_715)</v>
      </c>
    </row>
    <row r="53442" customFormat="false" ht="12.8" hidden="false" customHeight="false" outlineLevel="0" collapsed="false">
      <c r="B53442" s="0" t="s">
        <v>1</v>
      </c>
    </row>
    <row r="53443" customFormat="false" ht="12.8" hidden="false" customHeight="false" outlineLevel="0" collapsed="false">
      <c r="B53443" s="0" t="s">
        <v>1356</v>
      </c>
    </row>
    <row r="53445" customFormat="false" ht="12.8" hidden="false" customHeight="false" outlineLevel="0" collapsed="false">
      <c r="A53445" s="0" t="s">
        <v>18507</v>
      </c>
      <c r="B53445" s="0" t="str">
        <f aca="false">HYPERLINK("https://lindat.mff.cuni.cz/services/teitok/pdtc10/index.php?action=vallex&amp;frame=v-w7499f1", "užívat si (v-w7499f1)")</f>
        <v>užívat si (v-w7499f1)</v>
      </c>
      <c r="E53445" s="0" t="str">
        <f aca="false">HYPERLINK("https://lindat.mff.cuni.cz/services/SynSemClass40/SynSemClass40.html?veclass=vec00742#vec00742-ces-cm00001", "vec00742")</f>
        <v>vec00742</v>
      </c>
      <c r="F53445" s="0" t="s">
        <v>2689</v>
      </c>
    </row>
    <row r="53446" customFormat="false" ht="12.8" hidden="false" customHeight="false" outlineLevel="0" collapsed="false">
      <c r="B53446" s="0" t="s">
        <v>1</v>
      </c>
      <c r="C53446" s="0" t="s">
        <v>2690</v>
      </c>
      <c r="E53446" s="0" t="s">
        <v>266</v>
      </c>
      <c r="F53446" s="0" t="s">
        <v>2691</v>
      </c>
    </row>
    <row r="53447" customFormat="false" ht="12.8" hidden="false" customHeight="false" outlineLevel="0" collapsed="false">
      <c r="B53447" s="0" t="s">
        <v>5032</v>
      </c>
      <c r="C53447" s="0" t="s">
        <v>2692</v>
      </c>
      <c r="E53447" s="0" t="s">
        <v>271</v>
      </c>
      <c r="F53447" s="0" t="s">
        <v>2693</v>
      </c>
    </row>
    <row r="53449" customFormat="false" ht="12.8" hidden="false" customHeight="false" outlineLevel="0" collapsed="false">
      <c r="A53449" s="0" t="s">
        <v>18508</v>
      </c>
      <c r="B53449" s="0" t="str">
        <f aca="false">HYPERLINK("https://lindat.mff.cuni.cz/services/teitok/pdtc10/index.php?action=vallex&amp;frame=v-w7503hsa_1354", "vadit (v-w7503hsa_1354)")</f>
        <v>vadit (v-w7503hsa_1354)</v>
      </c>
    </row>
    <row r="53450" customFormat="false" ht="12.8" hidden="false" customHeight="false" outlineLevel="0" collapsed="false">
      <c r="B53450" s="0" t="s">
        <v>18509</v>
      </c>
    </row>
    <row r="53451" customFormat="false" ht="12.8" hidden="false" customHeight="false" outlineLevel="0" collapsed="false">
      <c r="B53451" s="0" t="s">
        <v>186</v>
      </c>
    </row>
    <row r="53453" customFormat="false" ht="12.8" hidden="false" customHeight="false" outlineLevel="0" collapsed="false">
      <c r="A53453" s="0" t="s">
        <v>18508</v>
      </c>
      <c r="B53453" s="0" t="str">
        <f aca="false">HYPERLINK("https://lindat.mff.cuni.cz/services/teitok/pdtc10/index.php?action=vallex&amp;frame=v-w7503f1", "vadit (v-w7503f1) - substituted with v-w7503hsa_1354")</f>
        <v>vadit (v-w7503f1) - substituted with v-w7503hsa_1354</v>
      </c>
      <c r="E53453" s="0" t="str">
        <f aca="false">HYPERLINK("https://lindat.mff.cuni.cz/services/SynSemClass40/SynSemClass40.html?veclass=vec00547#vec00547-ces-cm00001", "vec00547")</f>
        <v>vec00547</v>
      </c>
      <c r="F53453" s="0" t="s">
        <v>435</v>
      </c>
    </row>
    <row r="53454" customFormat="false" ht="12.8" hidden="false" customHeight="false" outlineLevel="0" collapsed="false">
      <c r="B53454" s="0" t="s">
        <v>18509</v>
      </c>
      <c r="C53454" s="0" t="s">
        <v>17235</v>
      </c>
      <c r="E53454" s="0" t="s">
        <v>4609</v>
      </c>
      <c r="F53454" s="0" t="s">
        <v>17236</v>
      </c>
    </row>
    <row r="53455" customFormat="false" ht="12.8" hidden="false" customHeight="false" outlineLevel="0" collapsed="false">
      <c r="B53455" s="0" t="s">
        <v>186</v>
      </c>
      <c r="C53455" s="0" t="s">
        <v>17237</v>
      </c>
      <c r="E53455" s="0" t="s">
        <v>142</v>
      </c>
      <c r="F53455" s="0" t="s">
        <v>17238</v>
      </c>
    </row>
    <row r="53457" customFormat="false" ht="12.8" hidden="false" customHeight="false" outlineLevel="0" collapsed="false">
      <c r="A53457" s="0" t="s">
        <v>18510</v>
      </c>
      <c r="B53457" s="0" t="str">
        <f aca="false">HYPERLINK("https://lindat.mff.cuni.cz/services/teitok/pdtc10/index.php?action=vallex&amp;frame=v-w7503f2_ZU", "vadit (v-w7503f2_ZU)")</f>
        <v>vadit (v-w7503f2_ZU)</v>
      </c>
    </row>
    <row r="53458" customFormat="false" ht="12.8" hidden="false" customHeight="false" outlineLevel="0" collapsed="false">
      <c r="B53458" s="0" t="s">
        <v>1</v>
      </c>
    </row>
    <row r="53459" customFormat="false" ht="12.8" hidden="false" customHeight="false" outlineLevel="0" collapsed="false">
      <c r="B53459" s="0" t="s">
        <v>855</v>
      </c>
    </row>
    <row r="53461" customFormat="false" ht="12.8" hidden="false" customHeight="false" outlineLevel="0" collapsed="false">
      <c r="A53461" s="0" t="s">
        <v>18510</v>
      </c>
      <c r="B53461" s="0" t="str">
        <f aca="false">HYPERLINK("https://lindat.mff.cuni.cz/services/teitok/pdtc10/index.php?action=vallex&amp;frame=v-w7503hsa_1355", "vadit (v-w7503hsa_1355) - substituted with v-w7503f2_ZU")</f>
        <v>vadit (v-w7503hsa_1355) - substituted with v-w7503f2_ZU</v>
      </c>
    </row>
    <row r="53462" customFormat="false" ht="12.8" hidden="false" customHeight="false" outlineLevel="0" collapsed="false">
      <c r="B53462" s="0" t="s">
        <v>1</v>
      </c>
    </row>
    <row r="53463" customFormat="false" ht="12.8" hidden="false" customHeight="false" outlineLevel="0" collapsed="false">
      <c r="B53463" s="0" t="s">
        <v>855</v>
      </c>
    </row>
    <row r="53465" customFormat="false" ht="12.8" hidden="false" customHeight="false" outlineLevel="0" collapsed="false">
      <c r="A53465" s="0" t="s">
        <v>18511</v>
      </c>
      <c r="B53465" s="0" t="str">
        <f aca="false">HYPERLINK("https://lindat.mff.cuni.cz/services/teitok/pdtc10/index.php?action=vallex&amp;frame=v-whsa_205hsa_206", "vadnout (v-whsa_205hsa_206)")</f>
        <v>vadnout (v-whsa_205hsa_206)</v>
      </c>
      <c r="E53465" s="0" t="str">
        <f aca="false">HYPERLINK("https://lindat.mff.cuni.cz/services/SynSemClass40/SynSemClass40.html?veclass=vec00793#vec00793-ces-cm00060", "vec00793")</f>
        <v>vec00793</v>
      </c>
      <c r="F53465" s="0" t="s">
        <v>8661</v>
      </c>
    </row>
    <row r="53466" customFormat="false" ht="12.8" hidden="false" customHeight="false" outlineLevel="0" collapsed="false">
      <c r="B53466" s="0" t="s">
        <v>1</v>
      </c>
      <c r="C53466" s="0" t="s">
        <v>8662</v>
      </c>
      <c r="E53466" s="0" t="s">
        <v>8663</v>
      </c>
      <c r="F53466" s="0" t="s">
        <v>8664</v>
      </c>
    </row>
    <row r="53468" customFormat="false" ht="12.8" hidden="false" customHeight="false" outlineLevel="0" collapsed="false">
      <c r="A53468" s="0" t="s">
        <v>18512</v>
      </c>
      <c r="B53468" s="0" t="str">
        <f aca="false">HYPERLINK("https://lindat.mff.cuni.cz/services/teitok/pdtc10/index.php?action=vallex&amp;frame=v-w11906_ZUf1_ZU", "valit (v-w11906_ZUf1_ZU)")</f>
        <v>valit (v-w11906_ZUf1_ZU)</v>
      </c>
    </row>
    <row r="53469" customFormat="false" ht="12.8" hidden="false" customHeight="false" outlineLevel="0" collapsed="false">
      <c r="B53469" s="0" t="s">
        <v>1</v>
      </c>
    </row>
    <row r="53470" customFormat="false" ht="12.8" hidden="false" customHeight="false" outlineLevel="0" collapsed="false">
      <c r="B53470" s="0" t="s">
        <v>16389</v>
      </c>
    </row>
    <row r="53471" customFormat="false" ht="12.8" hidden="false" customHeight="false" outlineLevel="0" collapsed="false">
      <c r="B53471" s="0" t="s">
        <v>3382</v>
      </c>
    </row>
    <row r="53473" customFormat="false" ht="12.8" hidden="false" customHeight="false" outlineLevel="0" collapsed="false">
      <c r="A53473" s="0" t="s">
        <v>18513</v>
      </c>
      <c r="B53473" s="0" t="str">
        <f aca="false">HYPERLINK("https://lindat.mff.cuni.cz/services/teitok/pdtc10/index.php?action=vallex&amp;frame=v-w7510f1", "valit se (v-w7510f1)")</f>
        <v>valit se (v-w7510f1)</v>
      </c>
      <c r="E53473" s="0" t="str">
        <f aca="false">HYPERLINK("https://lindat.mff.cuni.cz/services/SynSemClass40/SynSemClass40.html?veclass=vec00949#vec00949-ces-cm00001", "vec00949")</f>
        <v>vec00949</v>
      </c>
      <c r="F53473" s="0" t="s">
        <v>2086</v>
      </c>
      <c r="H53473" s="0" t="str">
        <f aca="false">HYPERLINK("https://lindat.mff.cuni.cz/services/SynSemClass40/SynSemClass40.html?veclass=vec01499#vec01499-ces-cm00013", "vec01499")</f>
        <v>vec01499</v>
      </c>
      <c r="I53473" s="0" t="s">
        <v>4578</v>
      </c>
    </row>
    <row r="53474" customFormat="false" ht="12.8" hidden="false" customHeight="false" outlineLevel="0" collapsed="false">
      <c r="B53474" s="0" t="s">
        <v>1</v>
      </c>
      <c r="C53474" s="0" t="s">
        <v>18514</v>
      </c>
      <c r="E53474" s="0" t="s">
        <v>334</v>
      </c>
      <c r="F53474" s="0" t="s">
        <v>2088</v>
      </c>
      <c r="H53474" s="0" t="s">
        <v>4581</v>
      </c>
      <c r="I53474" s="0" t="s">
        <v>4582</v>
      </c>
    </row>
    <row r="53476" customFormat="false" ht="12.8" hidden="false" customHeight="false" outlineLevel="0" collapsed="false">
      <c r="A53476" s="0" t="s">
        <v>18515</v>
      </c>
      <c r="B53476" s="0" t="str">
        <f aca="false">HYPERLINK("https://lindat.mff.cuni.cz/services/teitok/pdtc10/index.php?action=vallex&amp;frame=v-w7513f1", "valorizovat (v-w7513f1)")</f>
        <v>valorizovat (v-w7513f1)</v>
      </c>
    </row>
    <row r="53477" customFormat="false" ht="12.8" hidden="false" customHeight="false" outlineLevel="0" collapsed="false">
      <c r="B53477" s="0" t="s">
        <v>1</v>
      </c>
    </row>
    <row r="53478" customFormat="false" ht="12.8" hidden="false" customHeight="false" outlineLevel="0" collapsed="false">
      <c r="B53478" s="0" t="s">
        <v>8</v>
      </c>
    </row>
    <row r="53480" customFormat="false" ht="12.8" hidden="false" customHeight="false" outlineLevel="0" collapsed="false">
      <c r="A53480" s="0" t="s">
        <v>18516</v>
      </c>
      <c r="B53480" s="0" t="str">
        <f aca="false">HYPERLINK("https://lindat.mff.cuni.cz/services/teitok/pdtc10/index.php?action=vallex&amp;frame=v-w7514f1", "vandrovat (v-w7514f1)")</f>
        <v>vandrovat (v-w7514f1)</v>
      </c>
    </row>
    <row r="53481" customFormat="false" ht="12.8" hidden="false" customHeight="false" outlineLevel="0" collapsed="false">
      <c r="B53481" s="0" t="s">
        <v>1</v>
      </c>
    </row>
    <row r="53483" customFormat="false" ht="12.8" hidden="false" customHeight="false" outlineLevel="0" collapsed="false">
      <c r="A53483" s="0" t="s">
        <v>18517</v>
      </c>
      <c r="B53483" s="0" t="str">
        <f aca="false">HYPERLINK("https://lindat.mff.cuni.cz/services/teitok/pdtc10/index.php?action=vallex&amp;frame=v-w7515f1", "vanout (v-w7515f1)")</f>
        <v>vanout (v-w7515f1)</v>
      </c>
    </row>
    <row r="53484" customFormat="false" ht="12.8" hidden="false" customHeight="false" outlineLevel="0" collapsed="false">
      <c r="B53484" s="0" t="s">
        <v>1</v>
      </c>
    </row>
    <row r="53486" customFormat="false" ht="12.8" hidden="false" customHeight="false" outlineLevel="0" collapsed="false">
      <c r="A53486" s="0" t="s">
        <v>18518</v>
      </c>
      <c r="B53486" s="0" t="str">
        <f aca="false">HYPERLINK("https://lindat.mff.cuni.cz/services/teitok/pdtc10/index.php?action=vallex&amp;frame=v-w7515f2", "vanout (v-w7515f2)")</f>
        <v>vanout (v-w7515f2)</v>
      </c>
    </row>
    <row r="53488" customFormat="false" ht="12.8" hidden="false" customHeight="false" outlineLevel="0" collapsed="false">
      <c r="A53488" s="0" t="s">
        <v>18519</v>
      </c>
      <c r="B53488" s="0" t="str">
        <f aca="false">HYPERLINK("https://lindat.mff.cuni.cz/services/teitok/pdtc10/index.php?action=vallex&amp;frame=v-w7520f1", "varovat (v-w7520f1)")</f>
        <v>varovat (v-w7520f1)</v>
      </c>
      <c r="E53488" s="0" t="str">
        <f aca="false">HYPERLINK("https://lindat.mff.cuni.cz/services/SynSemClass40/SynSemClass40.html?veclass=vec00344#vec00344-ces-cm00001", "vec00344")</f>
        <v>vec00344</v>
      </c>
      <c r="F53488" s="0" t="s">
        <v>18520</v>
      </c>
    </row>
    <row r="53489" customFormat="false" ht="12.8" hidden="false" customHeight="false" outlineLevel="0" collapsed="false">
      <c r="B53489" s="0" t="s">
        <v>1</v>
      </c>
      <c r="C53489" s="0" t="s">
        <v>303</v>
      </c>
      <c r="E53489" s="0" t="s">
        <v>31</v>
      </c>
      <c r="F53489" s="0" t="s">
        <v>18521</v>
      </c>
    </row>
    <row r="53490" customFormat="false" ht="12.8" hidden="false" customHeight="false" outlineLevel="0" collapsed="false">
      <c r="B53490" s="0" t="s">
        <v>18522</v>
      </c>
      <c r="C53490" s="0" t="s">
        <v>18523</v>
      </c>
      <c r="E53490" s="0" t="s">
        <v>411</v>
      </c>
      <c r="F53490" s="0" t="s">
        <v>18524</v>
      </c>
    </row>
    <row r="53491" customFormat="false" ht="12.8" hidden="false" customHeight="false" outlineLevel="0" collapsed="false">
      <c r="B53491" s="0" t="s">
        <v>98</v>
      </c>
      <c r="C53491" s="0" t="s">
        <v>18525</v>
      </c>
      <c r="E53491" s="0" t="s">
        <v>564</v>
      </c>
      <c r="F53491" s="0" t="s">
        <v>18526</v>
      </c>
    </row>
    <row r="53493" customFormat="false" ht="12.8" hidden="false" customHeight="false" outlineLevel="0" collapsed="false">
      <c r="A53493" s="0" t="s">
        <v>18527</v>
      </c>
      <c r="B53493" s="0" t="str">
        <f aca="false">HYPERLINK("https://lindat.mff.cuni.cz/services/teitok/pdtc10/index.php?action=vallex&amp;frame=v-w11615_ZUf1_ZU", "varovat se (v-w11615_ZUf1_ZU)")</f>
        <v>varovat se (v-w11615_ZUf1_ZU)</v>
      </c>
    </row>
    <row r="53494" customFormat="false" ht="12.8" hidden="false" customHeight="false" outlineLevel="0" collapsed="false">
      <c r="B53494" s="0" t="s">
        <v>1</v>
      </c>
    </row>
    <row r="53495" customFormat="false" ht="12.8" hidden="false" customHeight="false" outlineLevel="0" collapsed="false">
      <c r="B53495" s="0" t="s">
        <v>1289</v>
      </c>
    </row>
    <row r="53497" customFormat="false" ht="12.8" hidden="false" customHeight="false" outlineLevel="0" collapsed="false">
      <c r="A53497" s="0" t="s">
        <v>18528</v>
      </c>
      <c r="B53497" s="0" t="str">
        <f aca="false">HYPERLINK("https://lindat.mff.cuni.cz/services/teitok/pdtc10/index.php?action=vallex&amp;frame=v-w7523f1", "vařit (v-w7523f1)")</f>
        <v>vařit (v-w7523f1)</v>
      </c>
    </row>
    <row r="53498" customFormat="false" ht="12.8" hidden="false" customHeight="false" outlineLevel="0" collapsed="false">
      <c r="B53498" s="0" t="s">
        <v>1</v>
      </c>
    </row>
    <row r="53499" customFormat="false" ht="12.8" hidden="false" customHeight="false" outlineLevel="0" collapsed="false">
      <c r="B53499" s="0" t="s">
        <v>8</v>
      </c>
    </row>
    <row r="53500" customFormat="false" ht="12.8" hidden="false" customHeight="false" outlineLevel="0" collapsed="false">
      <c r="B53500" s="0" t="s">
        <v>36</v>
      </c>
    </row>
    <row r="53502" customFormat="false" ht="12.8" hidden="false" customHeight="false" outlineLevel="0" collapsed="false">
      <c r="A53502" s="0" t="s">
        <v>18529</v>
      </c>
      <c r="B53502" s="0" t="str">
        <f aca="false">HYPERLINK("https://lindat.mff.cuni.cz/services/teitok/pdtc10/index.php?action=vallex&amp;frame=v-w7523f2", "vařit (v-w7523f2)")</f>
        <v>vařit (v-w7523f2)</v>
      </c>
    </row>
    <row r="53503" customFormat="false" ht="12.8" hidden="false" customHeight="false" outlineLevel="0" collapsed="false">
      <c r="B53503" s="0" t="s">
        <v>1</v>
      </c>
    </row>
    <row r="53505" customFormat="false" ht="12.8" hidden="false" customHeight="false" outlineLevel="0" collapsed="false">
      <c r="A53505" s="0" t="s">
        <v>18530</v>
      </c>
      <c r="B53505" s="0" t="str">
        <f aca="false">HYPERLINK("https://lindat.mff.cuni.cz/services/teitok/pdtc10/index.php?action=vallex&amp;frame=v-w7523hsa_1613", "vařit (v-w7523hsa_1613)")</f>
        <v>vařit (v-w7523hsa_1613)</v>
      </c>
    </row>
    <row r="53506" customFormat="false" ht="12.8" hidden="false" customHeight="false" outlineLevel="0" collapsed="false">
      <c r="B53506" s="0" t="s">
        <v>1</v>
      </c>
    </row>
    <row r="53507" customFormat="false" ht="12.8" hidden="false" customHeight="false" outlineLevel="0" collapsed="false">
      <c r="B53507" s="0" t="s">
        <v>8</v>
      </c>
    </row>
    <row r="53509" customFormat="false" ht="12.8" hidden="false" customHeight="false" outlineLevel="0" collapsed="false">
      <c r="A53509" s="0" t="s">
        <v>18531</v>
      </c>
      <c r="B53509" s="0" t="str">
        <f aca="false">HYPERLINK("https://lindat.mff.cuni.cz/services/teitok/pdtc10/index.php?action=vallex&amp;frame=v-whsa_510hsa_511", "vařit se (v-whsa_510hsa_511)")</f>
        <v>vařit se (v-whsa_510hsa_511)</v>
      </c>
    </row>
    <row r="53510" customFormat="false" ht="12.8" hidden="false" customHeight="false" outlineLevel="0" collapsed="false">
      <c r="B53510" s="0" t="s">
        <v>1</v>
      </c>
    </row>
    <row r="53512" customFormat="false" ht="12.8" hidden="false" customHeight="false" outlineLevel="0" collapsed="false">
      <c r="A53512" s="0" t="s">
        <v>18532</v>
      </c>
      <c r="B53512" s="0" t="str">
        <f aca="false">HYPERLINK("https://lindat.mff.cuni.cz/services/teitok/pdtc10/index.php?action=vallex&amp;frame=v-whsa_1554f1_ZU", "vařívávat (v-whsa_1554f1_ZU)")</f>
        <v>vařívávat (v-whsa_1554f1_ZU)</v>
      </c>
    </row>
    <row r="53513" customFormat="false" ht="12.8" hidden="false" customHeight="false" outlineLevel="0" collapsed="false">
      <c r="B53513" s="0" t="s">
        <v>1</v>
      </c>
    </row>
    <row r="53514" customFormat="false" ht="12.8" hidden="false" customHeight="false" outlineLevel="0" collapsed="false">
      <c r="B53514" s="0" t="s">
        <v>8</v>
      </c>
    </row>
    <row r="53515" customFormat="false" ht="12.8" hidden="false" customHeight="false" outlineLevel="0" collapsed="false">
      <c r="B53515" s="0" t="s">
        <v>36</v>
      </c>
    </row>
    <row r="53517" customFormat="false" ht="12.8" hidden="false" customHeight="false" outlineLevel="0" collapsed="false">
      <c r="A53517" s="0" t="s">
        <v>18532</v>
      </c>
      <c r="B53517" s="0" t="str">
        <f aca="false">HYPERLINK("https://lindat.mff.cuni.cz/services/teitok/pdtc10/index.php?action=vallex&amp;frame=v-whsa_1554hsa_1555", "vařívávat (v-whsa_1554hsa_1555) - substituted with v-whsa_1554f1_ZU")</f>
        <v>vařívávat (v-whsa_1554hsa_1555) - substituted with v-whsa_1554f1_ZU</v>
      </c>
    </row>
    <row r="53518" customFormat="false" ht="12.8" hidden="false" customHeight="false" outlineLevel="0" collapsed="false">
      <c r="B53518" s="0" t="s">
        <v>1</v>
      </c>
    </row>
    <row r="53519" customFormat="false" ht="12.8" hidden="false" customHeight="false" outlineLevel="0" collapsed="false">
      <c r="B53519" s="0" t="s">
        <v>8</v>
      </c>
    </row>
    <row r="53520" customFormat="false" ht="12.8" hidden="false" customHeight="false" outlineLevel="0" collapsed="false">
      <c r="B53520" s="0" t="s">
        <v>36</v>
      </c>
    </row>
    <row r="53522" customFormat="false" ht="12.8" hidden="false" customHeight="false" outlineLevel="0" collapsed="false">
      <c r="A53522" s="0" t="s">
        <v>18533</v>
      </c>
      <c r="B53522" s="0" t="str">
        <f aca="false">HYPERLINK("https://lindat.mff.cuni.cz/services/teitok/pdtc10/index.php?action=vallex&amp;frame=v-w10053f2", "vběhnout (v-w10053f2)")</f>
        <v>vběhnout (v-w10053f2)</v>
      </c>
    </row>
    <row r="53523" customFormat="false" ht="12.8" hidden="false" customHeight="false" outlineLevel="0" collapsed="false">
      <c r="B53523" s="0" t="s">
        <v>1</v>
      </c>
    </row>
    <row r="53524" customFormat="false" ht="12.8" hidden="false" customHeight="false" outlineLevel="0" collapsed="false">
      <c r="B53524" s="0" t="s">
        <v>164</v>
      </c>
    </row>
    <row r="53526" customFormat="false" ht="12.8" hidden="false" customHeight="false" outlineLevel="0" collapsed="false">
      <c r="A53526" s="0" t="s">
        <v>18534</v>
      </c>
      <c r="B53526" s="0" t="str">
        <f aca="false">HYPERLINK("https://lindat.mff.cuni.cz/services/teitok/pdtc10/index.php?action=vallex&amp;frame=v-w7609f1", "vcházet (v-w7609f1)")</f>
        <v>vcházet (v-w7609f1)</v>
      </c>
      <c r="E53526" s="0" t="str">
        <f aca="false">HYPERLINK("https://lindat.mff.cuni.cz/services/SynSemClass40/SynSemClass40.html?veclass=vec00218#vec00218-ces-cm00151", "vec00218")</f>
        <v>vec00218</v>
      </c>
      <c r="F53526" s="0" t="s">
        <v>2143</v>
      </c>
    </row>
    <row r="53527" customFormat="false" ht="12.8" hidden="false" customHeight="false" outlineLevel="0" collapsed="false">
      <c r="B53527" s="0" t="s">
        <v>1</v>
      </c>
      <c r="C53527" s="0" t="s">
        <v>2144</v>
      </c>
      <c r="E53527" s="0" t="s">
        <v>11</v>
      </c>
      <c r="F53527" s="0" t="s">
        <v>2145</v>
      </c>
    </row>
    <row r="53528" customFormat="false" ht="12.8" hidden="false" customHeight="false" outlineLevel="0" collapsed="false">
      <c r="B53528" s="0" t="s">
        <v>164</v>
      </c>
      <c r="C53528" s="0" t="s">
        <v>2146</v>
      </c>
      <c r="E53528" s="0" t="s">
        <v>370</v>
      </c>
      <c r="F53528" s="0" t="s">
        <v>2147</v>
      </c>
    </row>
    <row r="53530" customFormat="false" ht="12.8" hidden="false" customHeight="false" outlineLevel="0" collapsed="false">
      <c r="A53530" s="0" t="s">
        <v>18535</v>
      </c>
      <c r="B53530" s="0" t="str">
        <f aca="false">HYPERLINK("https://lindat.mff.cuni.cz/services/teitok/pdtc10/index.php?action=vallex&amp;frame=v-w7609hsa_1256", "vcházet (v-w7609hsa_1256)")</f>
        <v>vcházet (v-w7609hsa_1256)</v>
      </c>
    </row>
    <row r="53531" customFormat="false" ht="12.8" hidden="false" customHeight="false" outlineLevel="0" collapsed="false">
      <c r="B53531" s="0" t="s">
        <v>1</v>
      </c>
    </row>
    <row r="53532" customFormat="false" ht="12.8" hidden="false" customHeight="false" outlineLevel="0" collapsed="false">
      <c r="B53532" s="0" t="s">
        <v>164</v>
      </c>
    </row>
    <row r="53534" customFormat="false" ht="12.8" hidden="false" customHeight="false" outlineLevel="0" collapsed="false">
      <c r="A53534" s="0" t="s">
        <v>18536</v>
      </c>
      <c r="B53534" s="0" t="str">
        <f aca="false">HYPERLINK("https://lindat.mff.cuni.cz/services/teitok/pdtc10/index.php?action=vallex&amp;frame=v-w7536hsa_1405", "vcítit se (v-w7536hsa_1405)")</f>
        <v>vcítit se (v-w7536hsa_1405)</v>
      </c>
    </row>
    <row r="53535" customFormat="false" ht="12.8" hidden="false" customHeight="false" outlineLevel="0" collapsed="false">
      <c r="B53535" s="0" t="s">
        <v>1</v>
      </c>
    </row>
    <row r="53536" customFormat="false" ht="12.8" hidden="false" customHeight="false" outlineLevel="0" collapsed="false">
      <c r="B53536" s="0" t="s">
        <v>11015</v>
      </c>
    </row>
    <row r="53538" customFormat="false" ht="12.8" hidden="false" customHeight="false" outlineLevel="0" collapsed="false">
      <c r="A53538" s="0" t="s">
        <v>18536</v>
      </c>
      <c r="B53538" s="0" t="str">
        <f aca="false">HYPERLINK("https://lindat.mff.cuni.cz/services/teitok/pdtc10/index.php?action=vallex&amp;frame=v-w7536f1", "vcítit se (v-w7536f1) - substituted with v-w7536hsa_1405")</f>
        <v>vcítit se (v-w7536f1) - substituted with v-w7536hsa_1405</v>
      </c>
    </row>
    <row r="53539" customFormat="false" ht="12.8" hidden="false" customHeight="false" outlineLevel="0" collapsed="false">
      <c r="B53539" s="0" t="s">
        <v>1</v>
      </c>
    </row>
    <row r="53540" customFormat="false" ht="12.8" hidden="false" customHeight="false" outlineLevel="0" collapsed="false">
      <c r="B53540" s="0" t="s">
        <v>11015</v>
      </c>
    </row>
    <row r="53542" customFormat="false" ht="12.8" hidden="false" customHeight="false" outlineLevel="0" collapsed="false">
      <c r="A53542" s="0" t="s">
        <v>18537</v>
      </c>
      <c r="B53542" s="0" t="str">
        <f aca="false">HYPERLINK("https://lindat.mff.cuni.cz/services/teitok/pdtc10/index.php?action=vallex&amp;frame=v-w10759f2", "vdechnout (v-w10759f2)")</f>
        <v>vdechnout (v-w10759f2)</v>
      </c>
    </row>
    <row r="53543" customFormat="false" ht="12.8" hidden="false" customHeight="false" outlineLevel="0" collapsed="false">
      <c r="B53543" s="0" t="s">
        <v>1</v>
      </c>
    </row>
    <row r="53544" customFormat="false" ht="12.8" hidden="false" customHeight="false" outlineLevel="0" collapsed="false">
      <c r="B53544" s="0" t="s">
        <v>18538</v>
      </c>
    </row>
    <row r="53545" customFormat="false" ht="12.8" hidden="false" customHeight="false" outlineLevel="0" collapsed="false">
      <c r="B53545" s="0" t="s">
        <v>186</v>
      </c>
    </row>
    <row r="53547" customFormat="false" ht="12.8" hidden="false" customHeight="false" outlineLevel="0" collapsed="false">
      <c r="A53547" s="0" t="s">
        <v>18539</v>
      </c>
      <c r="B53547" s="0" t="str">
        <f aca="false">HYPERLINK("https://lindat.mff.cuni.cz/services/teitok/pdtc10/index.php?action=vallex&amp;frame=v-whsa_315f1_ZU", "vdát (v-whsa_315f1_ZU)")</f>
        <v>vdát (v-whsa_315f1_ZU)</v>
      </c>
    </row>
    <row r="53548" customFormat="false" ht="12.8" hidden="false" customHeight="false" outlineLevel="0" collapsed="false">
      <c r="B53548" s="0" t="s">
        <v>1</v>
      </c>
    </row>
    <row r="53549" customFormat="false" ht="12.8" hidden="false" customHeight="false" outlineLevel="0" collapsed="false">
      <c r="B53549" s="0" t="s">
        <v>8</v>
      </c>
    </row>
    <row r="53550" customFormat="false" ht="12.8" hidden="false" customHeight="false" outlineLevel="0" collapsed="false">
      <c r="B53550" s="0" t="s">
        <v>12837</v>
      </c>
    </row>
    <row r="53552" customFormat="false" ht="12.8" hidden="false" customHeight="false" outlineLevel="0" collapsed="false">
      <c r="A53552" s="0" t="s">
        <v>18539</v>
      </c>
      <c r="B53552" s="0" t="str">
        <f aca="false">HYPERLINK("https://lindat.mff.cuni.cz/services/teitok/pdtc10/index.php?action=vallex&amp;frame=v-whsa_315hsa_316", "vdát (v-whsa_315hsa_316) - substituted with v-whsa_315f1_ZU")</f>
        <v>vdát (v-whsa_315hsa_316) - substituted with v-whsa_315f1_ZU</v>
      </c>
    </row>
    <row r="53553" customFormat="false" ht="12.8" hidden="false" customHeight="false" outlineLevel="0" collapsed="false">
      <c r="B53553" s="0" t="s">
        <v>1</v>
      </c>
    </row>
    <row r="53554" customFormat="false" ht="12.8" hidden="false" customHeight="false" outlineLevel="0" collapsed="false">
      <c r="B53554" s="0" t="s">
        <v>8</v>
      </c>
    </row>
    <row r="53555" customFormat="false" ht="12.8" hidden="false" customHeight="false" outlineLevel="0" collapsed="false">
      <c r="B53555" s="0" t="s">
        <v>12837</v>
      </c>
    </row>
    <row r="53557" customFormat="false" ht="12.8" hidden="false" customHeight="false" outlineLevel="0" collapsed="false">
      <c r="A53557" s="0" t="s">
        <v>18540</v>
      </c>
      <c r="B53557" s="0" t="str">
        <f aca="false">HYPERLINK("https://lindat.mff.cuni.cz/services/teitok/pdtc10/index.php?action=vallex&amp;frame=v-w7539f1", "vdát se (v-w7539f1)")</f>
        <v>vdát se (v-w7539f1)</v>
      </c>
      <c r="E53557" s="0" t="str">
        <f aca="false">HYPERLINK("https://lindat.mff.cuni.cz/services/SynSemClass40/SynSemClass40.html?veclass=vec01104#vec01104-ces-cm00004", "vec01104")</f>
        <v>vec01104</v>
      </c>
      <c r="F53557" s="0" t="s">
        <v>15407</v>
      </c>
    </row>
    <row r="53558" customFormat="false" ht="12.8" hidden="false" customHeight="false" outlineLevel="0" collapsed="false">
      <c r="B53558" s="0" t="s">
        <v>1</v>
      </c>
      <c r="C53558" s="0" t="s">
        <v>459</v>
      </c>
      <c r="E53558" s="0" t="s">
        <v>2241</v>
      </c>
      <c r="F53558" s="0" t="s">
        <v>15408</v>
      </c>
    </row>
    <row r="53559" customFormat="false" ht="12.8" hidden="false" customHeight="false" outlineLevel="0" collapsed="false">
      <c r="B53559" s="0" t="s">
        <v>2069</v>
      </c>
      <c r="C53559" s="0" t="s">
        <v>798</v>
      </c>
      <c r="E53559" s="0" t="s">
        <v>2665</v>
      </c>
      <c r="F53559" s="0" t="s">
        <v>15409</v>
      </c>
    </row>
    <row r="53561" customFormat="false" ht="12.8" hidden="false" customHeight="false" outlineLevel="0" collapsed="false">
      <c r="A53561" s="0" t="s">
        <v>18541</v>
      </c>
      <c r="B53561" s="0" t="str">
        <f aca="false">HYPERLINK("https://lindat.mff.cuni.cz/services/teitok/pdtc10/index.php?action=vallex&amp;frame=v-whsa_256f1_ZU", "vdávat (v-whsa_256f1_ZU)")</f>
        <v>vdávat (v-whsa_256f1_ZU)</v>
      </c>
    </row>
    <row r="53562" customFormat="false" ht="12.8" hidden="false" customHeight="false" outlineLevel="0" collapsed="false">
      <c r="B53562" s="0" t="s">
        <v>1</v>
      </c>
    </row>
    <row r="53563" customFormat="false" ht="12.8" hidden="false" customHeight="false" outlineLevel="0" collapsed="false">
      <c r="B53563" s="0" t="s">
        <v>8</v>
      </c>
    </row>
    <row r="53564" customFormat="false" ht="12.8" hidden="false" customHeight="false" outlineLevel="0" collapsed="false">
      <c r="B53564" s="0" t="s">
        <v>12837</v>
      </c>
    </row>
    <row r="53566" customFormat="false" ht="12.8" hidden="false" customHeight="false" outlineLevel="0" collapsed="false">
      <c r="A53566" s="0" t="s">
        <v>18541</v>
      </c>
      <c r="B53566" s="0" t="str">
        <f aca="false">HYPERLINK("https://lindat.mff.cuni.cz/services/teitok/pdtc10/index.php?action=vallex&amp;frame=v-whsa_256hsa_257", "vdávat (v-whsa_256hsa_257) - substituted with v-whsa_256f1_ZU")</f>
        <v>vdávat (v-whsa_256hsa_257) - substituted with v-whsa_256f1_ZU</v>
      </c>
    </row>
    <row r="53567" customFormat="false" ht="12.8" hidden="false" customHeight="false" outlineLevel="0" collapsed="false">
      <c r="B53567" s="0" t="s">
        <v>1</v>
      </c>
    </row>
    <row r="53568" customFormat="false" ht="12.8" hidden="false" customHeight="false" outlineLevel="0" collapsed="false">
      <c r="B53568" s="0" t="s">
        <v>8</v>
      </c>
    </row>
    <row r="53569" customFormat="false" ht="12.8" hidden="false" customHeight="false" outlineLevel="0" collapsed="false">
      <c r="B53569" s="0" t="s">
        <v>12837</v>
      </c>
    </row>
    <row r="53571" customFormat="false" ht="12.8" hidden="false" customHeight="false" outlineLevel="0" collapsed="false">
      <c r="A53571" s="0" t="s">
        <v>18542</v>
      </c>
      <c r="B53571" s="0" t="str">
        <f aca="false">HYPERLINK("https://lindat.mff.cuni.cz/services/teitok/pdtc10/index.php?action=vallex&amp;frame=v-w7540f1", "vdávat se (v-w7540f1)")</f>
        <v>vdávat se (v-w7540f1)</v>
      </c>
    </row>
    <row r="53572" customFormat="false" ht="12.8" hidden="false" customHeight="false" outlineLevel="0" collapsed="false">
      <c r="B53572" s="0" t="s">
        <v>1</v>
      </c>
    </row>
    <row r="53573" customFormat="false" ht="12.8" hidden="false" customHeight="false" outlineLevel="0" collapsed="false">
      <c r="B53573" s="0" t="s">
        <v>665</v>
      </c>
    </row>
    <row r="53575" customFormat="false" ht="12.8" hidden="false" customHeight="false" outlineLevel="0" collapsed="false">
      <c r="A53575" s="0" t="s">
        <v>18543</v>
      </c>
      <c r="B53575" s="0" t="str">
        <f aca="false">HYPERLINK("https://lindat.mff.cuni.cz/services/teitok/pdtc10/index.php?action=vallex&amp;frame=v-w7541f1", "vděčit (v-w7541f1)")</f>
        <v>vděčit (v-w7541f1)</v>
      </c>
    </row>
    <row r="53576" customFormat="false" ht="12.8" hidden="false" customHeight="false" outlineLevel="0" collapsed="false">
      <c r="B53576" s="0" t="s">
        <v>1</v>
      </c>
    </row>
    <row r="53577" customFormat="false" ht="12.8" hidden="false" customHeight="false" outlineLevel="0" collapsed="false">
      <c r="B53577" s="0" t="s">
        <v>665</v>
      </c>
    </row>
    <row r="53578" customFormat="false" ht="12.8" hidden="false" customHeight="false" outlineLevel="0" collapsed="false">
      <c r="B53578" s="0" t="s">
        <v>52</v>
      </c>
    </row>
    <row r="53580" customFormat="false" ht="12.8" hidden="false" customHeight="false" outlineLevel="0" collapsed="false">
      <c r="A53580" s="0" t="s">
        <v>18544</v>
      </c>
      <c r="B53580" s="0" t="str">
        <f aca="false">HYPERLINK("https://lindat.mff.cuni.cz/services/teitok/pdtc10/index.php?action=vallex&amp;frame=v-whsa_676hsa_677", "vecpat se (v-whsa_676hsa_677)")</f>
        <v>vecpat se (v-whsa_676hsa_677)</v>
      </c>
      <c r="E53580" s="0" t="str">
        <f aca="false">HYPERLINK("https://lindat.mff.cuni.cz/services/SynSemClass40/SynSemClass40.html?veclass=vec00218#vec00218-ces-cm00266", "vec00218")</f>
        <v>vec00218</v>
      </c>
      <c r="F53580" s="0" t="s">
        <v>2143</v>
      </c>
      <c r="H53580" s="0" t="str">
        <f aca="false">HYPERLINK("https://lindat.mff.cuni.cz/services/SynSemClass40/SynSemClass40.html?veclass=vec00747#vec00747-ces-cm00040", "vec00747")</f>
        <v>vec00747</v>
      </c>
      <c r="I53580" s="0" t="s">
        <v>4577</v>
      </c>
      <c r="K53580" s="0" t="str">
        <f aca="false">HYPERLINK("https://lindat.mff.cuni.cz/services/SynSemClass40/SynSemClass40.html?veclass=vec00833#vec00833-ces-cm00011", "vec00833")</f>
        <v>vec00833</v>
      </c>
      <c r="L53580" s="0" t="s">
        <v>6223</v>
      </c>
    </row>
    <row r="53581" customFormat="false" ht="12.8" hidden="false" customHeight="false" outlineLevel="0" collapsed="false">
      <c r="B53581" s="0" t="s">
        <v>1</v>
      </c>
      <c r="C53581" s="0" t="s">
        <v>18545</v>
      </c>
      <c r="E53581" s="0" t="s">
        <v>11</v>
      </c>
      <c r="F53581" s="0" t="s">
        <v>2145</v>
      </c>
      <c r="H53581" s="0" t="s">
        <v>334</v>
      </c>
      <c r="I53581" s="0" t="s">
        <v>4580</v>
      </c>
      <c r="K53581" s="0" t="s">
        <v>11</v>
      </c>
      <c r="L53581" s="0" t="s">
        <v>6225</v>
      </c>
    </row>
    <row r="53582" customFormat="false" ht="12.8" hidden="false" customHeight="false" outlineLevel="0" collapsed="false">
      <c r="B53582" s="0" t="s">
        <v>164</v>
      </c>
      <c r="C53582" s="0" t="s">
        <v>18546</v>
      </c>
      <c r="E53582" s="0" t="s">
        <v>370</v>
      </c>
      <c r="F53582" s="0" t="s">
        <v>2147</v>
      </c>
      <c r="H53582" s="0" t="s">
        <v>370</v>
      </c>
      <c r="I53582" s="0" t="s">
        <v>2451</v>
      </c>
      <c r="K53582" s="0" t="s">
        <v>370</v>
      </c>
      <c r="L53582" s="0" t="s">
        <v>7414</v>
      </c>
    </row>
    <row r="53584" customFormat="false" ht="12.8" hidden="false" customHeight="false" outlineLevel="0" collapsed="false">
      <c r="A53584" s="0" t="s">
        <v>18547</v>
      </c>
      <c r="B53584" s="0" t="str">
        <f aca="false">HYPERLINK("https://lindat.mff.cuni.cz/services/teitok/pdtc10/index.php?action=vallex&amp;frame=v-w10263f2", "vecpávat (v-w10263f2)")</f>
        <v>vecpávat (v-w10263f2)</v>
      </c>
    </row>
    <row r="53585" customFormat="false" ht="12.8" hidden="false" customHeight="false" outlineLevel="0" collapsed="false">
      <c r="B53585" s="0" t="s">
        <v>1</v>
      </c>
    </row>
    <row r="53586" customFormat="false" ht="12.8" hidden="false" customHeight="false" outlineLevel="0" collapsed="false">
      <c r="B53586" s="0" t="s">
        <v>8</v>
      </c>
    </row>
    <row r="53587" customFormat="false" ht="12.8" hidden="false" customHeight="false" outlineLevel="0" collapsed="false">
      <c r="B53587" s="0" t="s">
        <v>164</v>
      </c>
    </row>
    <row r="53589" customFormat="false" ht="12.8" hidden="false" customHeight="false" outlineLevel="0" collapsed="false">
      <c r="A53589" s="0" t="s">
        <v>18548</v>
      </c>
      <c r="B53589" s="0" t="str">
        <f aca="false">HYPERLINK("https://lindat.mff.cuni.cz/services/teitok/pdtc10/index.php?action=vallex&amp;frame=v-whsa_1350hsa_1351", "vegetovat (v-whsa_1350hsa_1351)")</f>
        <v>vegetovat (v-whsa_1350hsa_1351)</v>
      </c>
    </row>
    <row r="53590" customFormat="false" ht="12.8" hidden="false" customHeight="false" outlineLevel="0" collapsed="false">
      <c r="B53590" s="0" t="s">
        <v>1</v>
      </c>
    </row>
    <row r="53592" customFormat="false" ht="12.8" hidden="false" customHeight="false" outlineLevel="0" collapsed="false">
      <c r="A53592" s="0" t="s">
        <v>18549</v>
      </c>
      <c r="B53592" s="0" t="str">
        <f aca="false">HYPERLINK("https://lindat.mff.cuni.cz/services/teitok/pdtc10/index.php?action=vallex&amp;frame=v-w11135f2", "vehnat (v-w11135f2)")</f>
        <v>vehnat (v-w11135f2)</v>
      </c>
    </row>
    <row r="53593" customFormat="false" ht="12.8" hidden="false" customHeight="false" outlineLevel="0" collapsed="false">
      <c r="B53593" s="0" t="s">
        <v>1</v>
      </c>
    </row>
    <row r="53594" customFormat="false" ht="12.8" hidden="false" customHeight="false" outlineLevel="0" collapsed="false">
      <c r="B53594" s="0" t="s">
        <v>8</v>
      </c>
    </row>
    <row r="53595" customFormat="false" ht="12.8" hidden="false" customHeight="false" outlineLevel="0" collapsed="false">
      <c r="B53595" s="0" t="s">
        <v>164</v>
      </c>
    </row>
    <row r="53597" customFormat="false" ht="12.8" hidden="false" customHeight="false" outlineLevel="0" collapsed="false">
      <c r="A53597" s="0" t="s">
        <v>18550</v>
      </c>
      <c r="B53597" s="0" t="str">
        <f aca="false">HYPERLINK("https://lindat.mff.cuni.cz/services/teitok/pdtc10/index.php?action=vallex&amp;frame=v-w7556f3", "vejít (v-w7556f3)")</f>
        <v>vejít (v-w7556f3)</v>
      </c>
    </row>
    <row r="53598" customFormat="false" ht="12.8" hidden="false" customHeight="false" outlineLevel="0" collapsed="false">
      <c r="B53598" s="0" t="s">
        <v>1</v>
      </c>
    </row>
    <row r="53599" customFormat="false" ht="12.8" hidden="false" customHeight="false" outlineLevel="0" collapsed="false">
      <c r="B53599" s="0" t="s">
        <v>361</v>
      </c>
    </row>
    <row r="53601" customFormat="false" ht="12.8" hidden="false" customHeight="false" outlineLevel="0" collapsed="false">
      <c r="A53601" s="0" t="s">
        <v>18551</v>
      </c>
      <c r="B53601" s="0" t="str">
        <f aca="false">HYPERLINK("https://lindat.mff.cuni.cz/services/teitok/pdtc10/index.php?action=vallex&amp;frame=v-w7556f1", "vejít (v-w7556f1)")</f>
        <v>vejít (v-w7556f1)</v>
      </c>
      <c r="E53601" s="0" t="str">
        <f aca="false">HYPERLINK("https://lindat.mff.cuni.cz/services/SynSemClass40/SynSemClass40.html?veclass=vec00218#vec00218-ces-cm00148", "vec00218")</f>
        <v>vec00218</v>
      </c>
      <c r="F53601" s="0" t="s">
        <v>2143</v>
      </c>
    </row>
    <row r="53602" customFormat="false" ht="12.8" hidden="false" customHeight="false" outlineLevel="0" collapsed="false">
      <c r="B53602" s="0" t="s">
        <v>1</v>
      </c>
      <c r="C53602" s="0" t="s">
        <v>2144</v>
      </c>
      <c r="E53602" s="0" t="s">
        <v>11</v>
      </c>
      <c r="F53602" s="0" t="s">
        <v>2145</v>
      </c>
    </row>
    <row r="53603" customFormat="false" ht="12.8" hidden="false" customHeight="false" outlineLevel="0" collapsed="false">
      <c r="B53603" s="0" t="s">
        <v>164</v>
      </c>
      <c r="C53603" s="0" t="s">
        <v>2146</v>
      </c>
      <c r="E53603" s="0" t="s">
        <v>370</v>
      </c>
      <c r="F53603" s="0" t="s">
        <v>2147</v>
      </c>
    </row>
    <row r="53605" customFormat="false" ht="12.8" hidden="false" customHeight="false" outlineLevel="0" collapsed="false">
      <c r="A53605" s="0" t="s">
        <v>18552</v>
      </c>
      <c r="B53605" s="0" t="str">
        <f aca="false">HYPERLINK("https://lindat.mff.cuni.cz/services/teitok/pdtc10/index.php?action=vallex&amp;frame=v-w7556f4_ZU", "vejít (v-w7556f4_ZU)")</f>
        <v>vejít (v-w7556f4_ZU)</v>
      </c>
      <c r="E53605" s="0" t="str">
        <f aca="false">HYPERLINK("https://lindat.mff.cuni.cz/services/SynSemClass40/SynSemClass40.html?veclass=vec00586#vec00586-ces-cm00199", "vec00586")</f>
        <v>vec00586</v>
      </c>
      <c r="F53605" s="0" t="s">
        <v>2831</v>
      </c>
    </row>
    <row r="53606" customFormat="false" ht="12.8" hidden="false" customHeight="false" outlineLevel="0" collapsed="false">
      <c r="B53606" s="0" t="s">
        <v>18553</v>
      </c>
      <c r="C53606" s="0" t="s">
        <v>2832</v>
      </c>
      <c r="E53606" s="0" t="s">
        <v>1567</v>
      </c>
      <c r="F53606" s="0" t="s">
        <v>2833</v>
      </c>
    </row>
    <row r="53607" customFormat="false" ht="12.8" hidden="false" customHeight="false" outlineLevel="0" collapsed="false">
      <c r="B53607" s="0" t="s">
        <v>18554</v>
      </c>
      <c r="C53607" s="0" t="s">
        <v>18555</v>
      </c>
      <c r="E53607" s="0" t="s">
        <v>2842</v>
      </c>
      <c r="F53607" s="0" t="s">
        <v>18556</v>
      </c>
    </row>
    <row r="53609" customFormat="false" ht="12.8" hidden="false" customHeight="false" outlineLevel="0" collapsed="false">
      <c r="A53609" s="0" t="s">
        <v>18552</v>
      </c>
      <c r="B53609" s="0" t="str">
        <f aca="false">HYPERLINK("https://lindat.mff.cuni.cz/services/teitok/pdtc10/index.php?action=vallex&amp;frame=v-w7556f2", "vejít (v-w7556f2) - substituted with v-w7556f4_ZU")</f>
        <v>vejít (v-w7556f2) - substituted with v-w7556f4_ZU</v>
      </c>
    </row>
    <row r="53610" customFormat="false" ht="12.8" hidden="false" customHeight="false" outlineLevel="0" collapsed="false">
      <c r="B53610" s="0" t="s">
        <v>18553</v>
      </c>
    </row>
    <row r="53611" customFormat="false" ht="12.8" hidden="false" customHeight="false" outlineLevel="0" collapsed="false">
      <c r="B53611" s="0" t="s">
        <v>18554</v>
      </c>
    </row>
    <row r="53613" customFormat="false" ht="12.8" hidden="false" customHeight="false" outlineLevel="0" collapsed="false">
      <c r="A53613" s="0" t="s">
        <v>18557</v>
      </c>
      <c r="B53613" s="0" t="str">
        <f aca="false">HYPERLINK("https://lindat.mff.cuni.cz/services/teitok/pdtc10/index.php?action=vallex&amp;frame=v-w7557f1", "vejít se (v-w7557f1)")</f>
        <v>vejít se (v-w7557f1)</v>
      </c>
    </row>
    <row r="53614" customFormat="false" ht="12.8" hidden="false" customHeight="false" outlineLevel="0" collapsed="false">
      <c r="B53614" s="0" t="s">
        <v>1</v>
      </c>
    </row>
    <row r="53615" customFormat="false" ht="12.8" hidden="false" customHeight="false" outlineLevel="0" collapsed="false">
      <c r="B53615" s="0" t="s">
        <v>164</v>
      </c>
    </row>
    <row r="53617" customFormat="false" ht="12.8" hidden="false" customHeight="false" outlineLevel="0" collapsed="false">
      <c r="A53617" s="0" t="s">
        <v>18558</v>
      </c>
      <c r="B53617" s="0" t="str">
        <f aca="false">HYPERLINK("https://lindat.mff.cuni.cz/services/teitok/pdtc10/index.php?action=vallex&amp;frame=v-w7557f2_ZU", "vejít se (v-w7557f2_ZU)")</f>
        <v>vejít se (v-w7557f2_ZU)</v>
      </c>
    </row>
    <row r="53618" customFormat="false" ht="12.8" hidden="false" customHeight="false" outlineLevel="0" collapsed="false">
      <c r="B53618" s="0" t="s">
        <v>1</v>
      </c>
    </row>
    <row r="53619" customFormat="false" ht="12.8" hidden="false" customHeight="false" outlineLevel="0" collapsed="false">
      <c r="B53619" s="0" t="s">
        <v>1262</v>
      </c>
    </row>
    <row r="53621" customFormat="false" ht="12.8" hidden="false" customHeight="false" outlineLevel="0" collapsed="false">
      <c r="A53621" s="0" t="s">
        <v>18559</v>
      </c>
      <c r="B53621" s="0" t="str">
        <f aca="false">HYPERLINK("https://lindat.mff.cuni.cz/services/teitok/pdtc10/index.php?action=vallex&amp;frame=v-w7558f1", "velebit (v-w7558f1)")</f>
        <v>velebit (v-w7558f1)</v>
      </c>
      <c r="E53621" s="0" t="str">
        <f aca="false">HYPERLINK("https://lindat.mff.cuni.cz/services/SynSemClass40/SynSemClass40.html?veclass=vec00675#vec00675-ces-cm00005", "vec00675")</f>
        <v>vec00675</v>
      </c>
      <c r="F53621" s="0" t="s">
        <v>1516</v>
      </c>
    </row>
    <row r="53622" customFormat="false" ht="12.8" hidden="false" customHeight="false" outlineLevel="0" collapsed="false">
      <c r="B53622" s="0" t="s">
        <v>1</v>
      </c>
      <c r="C53622" s="0" t="s">
        <v>1517</v>
      </c>
      <c r="E53622" s="0" t="s">
        <v>206</v>
      </c>
      <c r="F53622" s="0" t="s">
        <v>1518</v>
      </c>
    </row>
    <row r="53623" customFormat="false" ht="12.8" hidden="false" customHeight="false" outlineLevel="0" collapsed="false">
      <c r="B53623" s="0" t="s">
        <v>9913</v>
      </c>
      <c r="C53623" s="0" t="s">
        <v>1519</v>
      </c>
      <c r="E53623" s="0" t="s">
        <v>159</v>
      </c>
      <c r="F53623" s="0" t="s">
        <v>1520</v>
      </c>
    </row>
    <row r="53625" customFormat="false" ht="12.8" hidden="false" customHeight="false" outlineLevel="0" collapsed="false">
      <c r="A53625" s="0" t="s">
        <v>18560</v>
      </c>
      <c r="B53625" s="0" t="str">
        <f aca="false">HYPERLINK("https://lindat.mff.cuni.cz/services/teitok/pdtc10/index.php?action=vallex&amp;frame=v-w7561f2", "velet (v-w7561f2)")</f>
        <v>velet (v-w7561f2)</v>
      </c>
    </row>
    <row r="53626" customFormat="false" ht="12.8" hidden="false" customHeight="false" outlineLevel="0" collapsed="false">
      <c r="B53626" s="0" t="s">
        <v>1</v>
      </c>
    </row>
    <row r="53627" customFormat="false" ht="12.8" hidden="false" customHeight="false" outlineLevel="0" collapsed="false">
      <c r="B53627" s="0" t="s">
        <v>18561</v>
      </c>
    </row>
    <row r="53628" customFormat="false" ht="12.8" hidden="false" customHeight="false" outlineLevel="0" collapsed="false">
      <c r="B53628" s="0" t="s">
        <v>52</v>
      </c>
    </row>
    <row r="53630" customFormat="false" ht="12.8" hidden="false" customHeight="false" outlineLevel="0" collapsed="false">
      <c r="A53630" s="0" t="s">
        <v>18562</v>
      </c>
      <c r="B53630" s="0" t="str">
        <f aca="false">HYPERLINK("https://lindat.mff.cuni.cz/services/teitok/pdtc10/index.php?action=vallex&amp;frame=v-w7561f1", "velet (v-w7561f1)")</f>
        <v>velet (v-w7561f1)</v>
      </c>
    </row>
    <row r="53631" customFormat="false" ht="12.8" hidden="false" customHeight="false" outlineLevel="0" collapsed="false">
      <c r="B53631" s="0" t="s">
        <v>1</v>
      </c>
    </row>
    <row r="53632" customFormat="false" ht="12.8" hidden="false" customHeight="false" outlineLevel="0" collapsed="false">
      <c r="B53632" s="0" t="s">
        <v>186</v>
      </c>
    </row>
    <row r="53634" customFormat="false" ht="12.8" hidden="false" customHeight="false" outlineLevel="0" collapsed="false">
      <c r="A53634" s="0" t="s">
        <v>18563</v>
      </c>
      <c r="B53634" s="0" t="str">
        <f aca="false">HYPERLINK("https://lindat.mff.cuni.cz/services/teitok/pdtc10/index.php?action=vallex&amp;frame=v-w10742f2", "ventilovat (v-w10742f2)")</f>
        <v>ventilovat (v-w10742f2)</v>
      </c>
    </row>
    <row r="53635" customFormat="false" ht="12.8" hidden="false" customHeight="false" outlineLevel="0" collapsed="false">
      <c r="B53635" s="0" t="s">
        <v>1</v>
      </c>
    </row>
    <row r="53636" customFormat="false" ht="12.8" hidden="false" customHeight="false" outlineLevel="0" collapsed="false">
      <c r="B53636" s="0" t="s">
        <v>8</v>
      </c>
    </row>
    <row r="53638" customFormat="false" ht="12.8" hidden="false" customHeight="false" outlineLevel="0" collapsed="false">
      <c r="A53638" s="0" t="s">
        <v>18564</v>
      </c>
      <c r="B53638" s="0" t="str">
        <f aca="false">HYPERLINK("https://lindat.mff.cuni.cz/services/teitok/pdtc10/index.php?action=vallex&amp;frame=v-w10742f3_ZU", "ventilovat (v-w10742f3_ZU)")</f>
        <v>ventilovat (v-w10742f3_ZU)</v>
      </c>
    </row>
    <row r="53639" customFormat="false" ht="12.8" hidden="false" customHeight="false" outlineLevel="0" collapsed="false">
      <c r="B53639" s="0" t="s">
        <v>1</v>
      </c>
    </row>
    <row r="53640" customFormat="false" ht="12.8" hidden="false" customHeight="false" outlineLevel="0" collapsed="false">
      <c r="B53640" s="0" t="s">
        <v>8</v>
      </c>
    </row>
    <row r="53641" customFormat="false" ht="12.8" hidden="false" customHeight="false" outlineLevel="0" collapsed="false">
      <c r="B53641" s="0" t="s">
        <v>52</v>
      </c>
    </row>
    <row r="53643" customFormat="false" ht="12.8" hidden="false" customHeight="false" outlineLevel="0" collapsed="false">
      <c r="A53643" s="0" t="s">
        <v>18565</v>
      </c>
      <c r="B53643" s="0" t="str">
        <f aca="false">HYPERLINK("https://lindat.mff.cuni.cz/services/teitok/pdtc10/index.php?action=vallex&amp;frame=v-w11931_ZUf1_ZU", "venčit (v-w11931_ZUf1_ZU)")</f>
        <v>venčit (v-w11931_ZUf1_ZU)</v>
      </c>
    </row>
    <row r="53644" customFormat="false" ht="12.8" hidden="false" customHeight="false" outlineLevel="0" collapsed="false">
      <c r="B53644" s="0" t="s">
        <v>1</v>
      </c>
    </row>
    <row r="53645" customFormat="false" ht="12.8" hidden="false" customHeight="false" outlineLevel="0" collapsed="false">
      <c r="B53645" s="0" t="s">
        <v>8</v>
      </c>
    </row>
    <row r="53647" customFormat="false" ht="12.8" hidden="false" customHeight="false" outlineLevel="0" collapsed="false">
      <c r="A53647" s="0" t="s">
        <v>18566</v>
      </c>
      <c r="B53647" s="0" t="str">
        <f aca="false">HYPERLINK("https://lindat.mff.cuni.cz/services/teitok/pdtc10/index.php?action=vallex&amp;frame=v-w7571f1", "vepsat (v-w7571f1)")</f>
        <v>vepsat (v-w7571f1)</v>
      </c>
      <c r="E53647" s="0" t="str">
        <f aca="false">HYPERLINK("https://lindat.mff.cuni.cz/services/SynSemClass40/SynSemClass40.html?veclass=vec01345#vec01345-ces-cm00004", "vec01345")</f>
        <v>vec01345</v>
      </c>
      <c r="F53647" s="0" t="s">
        <v>7584</v>
      </c>
      <c r="H53647" s="0" t="str">
        <f aca="false">HYPERLINK("https://lindat.mff.cuni.cz/services/SynSemClass40/SynSemClass40.html?veclass=vec01536#vec01536-ces-cm00028", "vec01536")</f>
        <v>vec01536</v>
      </c>
      <c r="I53647" s="0" t="s">
        <v>14025</v>
      </c>
    </row>
    <row r="53648" customFormat="false" ht="12.8" hidden="false" customHeight="false" outlineLevel="0" collapsed="false">
      <c r="B53648" s="0" t="s">
        <v>1</v>
      </c>
      <c r="C53648" s="0" t="s">
        <v>18567</v>
      </c>
      <c r="E53648" s="0" t="s">
        <v>768</v>
      </c>
      <c r="F53648" s="0" t="s">
        <v>7585</v>
      </c>
      <c r="H53648" s="0" t="s">
        <v>31</v>
      </c>
      <c r="I53648" s="0" t="s">
        <v>14027</v>
      </c>
    </row>
    <row r="53649" customFormat="false" ht="12.8" hidden="false" customHeight="false" outlineLevel="0" collapsed="false">
      <c r="B53649" s="0" t="s">
        <v>59</v>
      </c>
      <c r="C53649" s="0" t="s">
        <v>2621</v>
      </c>
      <c r="E53649" s="0" t="s">
        <v>218</v>
      </c>
      <c r="F53649" s="0" t="s">
        <v>7587</v>
      </c>
      <c r="H53649" s="0" t="s">
        <v>110</v>
      </c>
      <c r="I53649" s="0" t="s">
        <v>14029</v>
      </c>
    </row>
    <row r="53650" customFormat="false" ht="12.8" hidden="false" customHeight="false" outlineLevel="0" collapsed="false">
      <c r="B53650" s="0" t="s">
        <v>164</v>
      </c>
      <c r="C53650" s="0" t="s">
        <v>18568</v>
      </c>
      <c r="E53650" s="0" t="s">
        <v>370</v>
      </c>
      <c r="F53650" s="0" t="s">
        <v>3041</v>
      </c>
      <c r="H53650" s="0" t="s">
        <v>14031</v>
      </c>
      <c r="I53650" s="0" t="s">
        <v>14032</v>
      </c>
    </row>
    <row r="53652" customFormat="false" ht="12.8" hidden="false" customHeight="false" outlineLevel="0" collapsed="false">
      <c r="A53652" s="0" t="s">
        <v>18569</v>
      </c>
      <c r="B53652" s="0" t="str">
        <f aca="false">HYPERLINK("https://lindat.mff.cuni.cz/services/teitok/pdtc10/index.php?action=vallex&amp;frame=v-w7572f1", "vepsat se (v-w7572f1)")</f>
        <v>vepsat se (v-w7572f1)</v>
      </c>
    </row>
    <row r="53653" customFormat="false" ht="12.8" hidden="false" customHeight="false" outlineLevel="0" collapsed="false">
      <c r="B53653" s="0" t="s">
        <v>1</v>
      </c>
    </row>
    <row r="53654" customFormat="false" ht="12.8" hidden="false" customHeight="false" outlineLevel="0" collapsed="false">
      <c r="B53654" s="0" t="s">
        <v>164</v>
      </c>
    </row>
    <row r="53656" customFormat="false" ht="12.8" hidden="false" customHeight="false" outlineLevel="0" collapsed="false">
      <c r="A53656" s="0" t="s">
        <v>18570</v>
      </c>
      <c r="B53656" s="0" t="str">
        <f aca="false">HYPERLINK("https://lindat.mff.cuni.cz/services/teitok/pdtc10/index.php?action=vallex&amp;frame=v-w7573f1", "verbovat (v-w7573f1)")</f>
        <v>verbovat (v-w7573f1)</v>
      </c>
      <c r="E53656" s="0" t="str">
        <f aca="false">HYPERLINK("https://lindat.mff.cuni.cz/services/SynSemClass40/SynSemClass40.html?veclass=vec00369#vec00369-ces-cm00042", "vec00369")</f>
        <v>vec00369</v>
      </c>
      <c r="F53656" s="0" t="s">
        <v>7284</v>
      </c>
    </row>
    <row r="53657" customFormat="false" ht="12.8" hidden="false" customHeight="false" outlineLevel="0" collapsed="false">
      <c r="B53657" s="0" t="s">
        <v>1</v>
      </c>
      <c r="C53657" s="0" t="s">
        <v>7285</v>
      </c>
      <c r="E53657" s="0" t="s">
        <v>7286</v>
      </c>
      <c r="F53657" s="0" t="s">
        <v>7287</v>
      </c>
    </row>
    <row r="53658" customFormat="false" ht="12.8" hidden="false" customHeight="false" outlineLevel="0" collapsed="false">
      <c r="B53658" s="0" t="s">
        <v>8</v>
      </c>
      <c r="C53658" s="0" t="s">
        <v>7288</v>
      </c>
      <c r="E53658" s="0" t="s">
        <v>7289</v>
      </c>
      <c r="F53658" s="0" t="s">
        <v>7290</v>
      </c>
    </row>
    <row r="53660" customFormat="false" ht="12.8" hidden="false" customHeight="false" outlineLevel="0" collapsed="false">
      <c r="A53660" s="0" t="s">
        <v>18571</v>
      </c>
      <c r="B53660" s="0" t="str">
        <f aca="false">HYPERLINK("https://lindat.mff.cuni.cz/services/teitok/pdtc10/index.php?action=vallex&amp;frame=v-w7582f1", "veselit se (v-w7582f1)")</f>
        <v>veselit se (v-w7582f1)</v>
      </c>
      <c r="E53660" s="0" t="str">
        <f aca="false">HYPERLINK("https://lindat.mff.cuni.cz/services/SynSemClass40/SynSemClass40.html?veclass=vec01310#vec01310-ces-cm00006", "vec01310")</f>
        <v>vec01310</v>
      </c>
      <c r="F53660" s="0" t="s">
        <v>5023</v>
      </c>
    </row>
    <row r="53661" customFormat="false" ht="12.8" hidden="false" customHeight="false" outlineLevel="0" collapsed="false">
      <c r="B53661" s="0" t="s">
        <v>1</v>
      </c>
      <c r="C53661" s="0" t="s">
        <v>459</v>
      </c>
      <c r="E53661" s="0" t="s">
        <v>266</v>
      </c>
      <c r="F53661" s="0" t="s">
        <v>5024</v>
      </c>
    </row>
    <row r="53662" customFormat="false" ht="12.8" hidden="false" customHeight="false" outlineLevel="0" collapsed="false">
      <c r="B53662" s="0" t="s">
        <v>4070</v>
      </c>
      <c r="C53662" s="0" t="s">
        <v>744</v>
      </c>
      <c r="E53662" s="0" t="s">
        <v>271</v>
      </c>
      <c r="F53662" s="0" t="s">
        <v>5025</v>
      </c>
    </row>
    <row r="53664" customFormat="false" ht="12.8" hidden="false" customHeight="false" outlineLevel="0" collapsed="false">
      <c r="A53664" s="0" t="s">
        <v>18572</v>
      </c>
      <c r="B53664" s="0" t="str">
        <f aca="false">HYPERLINK("https://lindat.mff.cuni.cz/services/teitok/pdtc10/index.php?action=vallex&amp;frame=v-w10521f2", "veslovat (v-w10521f2)")</f>
        <v>veslovat (v-w10521f2)</v>
      </c>
    </row>
    <row r="53665" customFormat="false" ht="12.8" hidden="false" customHeight="false" outlineLevel="0" collapsed="false">
      <c r="B53665" s="0" t="s">
        <v>1</v>
      </c>
    </row>
    <row r="53667" customFormat="false" ht="12.8" hidden="false" customHeight="false" outlineLevel="0" collapsed="false">
      <c r="A53667" s="0" t="s">
        <v>18573</v>
      </c>
      <c r="B53667" s="0" t="str">
        <f aca="false">HYPERLINK("https://lindat.mff.cuni.cz/services/teitok/pdtc10/index.php?action=vallex&amp;frame=v-w7584f1", "vestavět (v-w7584f1)")</f>
        <v>vestavět (v-w7584f1)</v>
      </c>
    </row>
    <row r="53668" customFormat="false" ht="12.8" hidden="false" customHeight="false" outlineLevel="0" collapsed="false">
      <c r="B53668" s="0" t="s">
        <v>1</v>
      </c>
    </row>
    <row r="53669" customFormat="false" ht="12.8" hidden="false" customHeight="false" outlineLevel="0" collapsed="false">
      <c r="B53669" s="0" t="s">
        <v>8</v>
      </c>
    </row>
    <row r="53670" customFormat="false" ht="12.8" hidden="false" customHeight="false" outlineLevel="0" collapsed="false">
      <c r="B53670" s="0" t="s">
        <v>164</v>
      </c>
    </row>
    <row r="53672" customFormat="false" ht="12.8" hidden="false" customHeight="false" outlineLevel="0" collapsed="false">
      <c r="A53672" s="0" t="s">
        <v>18574</v>
      </c>
      <c r="B53672" s="0" t="str">
        <f aca="false">HYPERLINK("https://lindat.mff.cuni.cz/services/teitok/pdtc10/index.php?action=vallex&amp;frame=v-w7590f1", "vetkat (v-w7590f1)")</f>
        <v>vetkat (v-w7590f1)</v>
      </c>
    </row>
    <row r="53673" customFormat="false" ht="12.8" hidden="false" customHeight="false" outlineLevel="0" collapsed="false">
      <c r="B53673" s="0" t="s">
        <v>1</v>
      </c>
    </row>
    <row r="53674" customFormat="false" ht="12.8" hidden="false" customHeight="false" outlineLevel="0" collapsed="false">
      <c r="B53674" s="0" t="s">
        <v>8</v>
      </c>
    </row>
    <row r="53675" customFormat="false" ht="12.8" hidden="false" customHeight="false" outlineLevel="0" collapsed="false">
      <c r="B53675" s="0" t="s">
        <v>164</v>
      </c>
    </row>
    <row r="53677" customFormat="false" ht="12.8" hidden="false" customHeight="false" outlineLevel="0" collapsed="false">
      <c r="A53677" s="0" t="s">
        <v>18575</v>
      </c>
      <c r="B53677" s="0" t="str">
        <f aca="false">HYPERLINK("https://lindat.mff.cuni.cz/services/teitok/pdtc10/index.php?action=vallex&amp;frame=v-w10195f3", "vetknout (v-w10195f3)")</f>
        <v>vetknout (v-w10195f3)</v>
      </c>
    </row>
    <row r="53678" customFormat="false" ht="12.8" hidden="false" customHeight="false" outlineLevel="0" collapsed="false">
      <c r="B53678" s="0" t="s">
        <v>1</v>
      </c>
    </row>
    <row r="53679" customFormat="false" ht="12.8" hidden="false" customHeight="false" outlineLevel="0" collapsed="false">
      <c r="B53679" s="0" t="s">
        <v>8</v>
      </c>
    </row>
    <row r="53680" customFormat="false" ht="12.8" hidden="false" customHeight="false" outlineLevel="0" collapsed="false">
      <c r="B53680" s="0" t="s">
        <v>164</v>
      </c>
    </row>
    <row r="53682" customFormat="false" ht="12.8" hidden="false" customHeight="false" outlineLevel="0" collapsed="false">
      <c r="A53682" s="0" t="s">
        <v>18576</v>
      </c>
      <c r="B53682" s="0" t="str">
        <f aca="false">HYPERLINK("https://lindat.mff.cuni.cz/services/teitok/pdtc10/index.php?action=vallex&amp;frame=v-w7592f1", "vetovat (v-w7592f1)")</f>
        <v>vetovat (v-w7592f1)</v>
      </c>
      <c r="E53682" s="0" t="str">
        <f aca="false">HYPERLINK("https://lindat.mff.cuni.cz/services/SynSemClass40/SynSemClass40.html?veclass=vec00174#vec00174-ces-cm00060", "vec00174")</f>
        <v>vec00174</v>
      </c>
      <c r="F53682" s="0" t="s">
        <v>325</v>
      </c>
    </row>
    <row r="53683" customFormat="false" ht="12.8" hidden="false" customHeight="false" outlineLevel="0" collapsed="false">
      <c r="B53683" s="0" t="s">
        <v>1</v>
      </c>
      <c r="C53683" s="0" t="s">
        <v>326</v>
      </c>
      <c r="E53683" s="0" t="s">
        <v>76</v>
      </c>
      <c r="F53683" s="0" t="s">
        <v>327</v>
      </c>
    </row>
    <row r="53684" customFormat="false" ht="12.8" hidden="false" customHeight="false" outlineLevel="0" collapsed="false">
      <c r="B53684" s="0" t="s">
        <v>8</v>
      </c>
      <c r="C53684" s="0" t="s">
        <v>328</v>
      </c>
      <c r="E53684" s="0" t="s">
        <v>188</v>
      </c>
      <c r="F53684" s="0" t="s">
        <v>329</v>
      </c>
    </row>
    <row r="53686" customFormat="false" ht="12.8" hidden="false" customHeight="false" outlineLevel="0" collapsed="false">
      <c r="A53686" s="0" t="s">
        <v>18577</v>
      </c>
      <c r="B53686" s="0" t="str">
        <f aca="false">HYPERLINK("https://lindat.mff.cuni.cz/services/teitok/pdtc10/index.php?action=vallex&amp;frame=v-w7595f1", "vetřít se (v-w7595f1)")</f>
        <v>vetřít se (v-w7595f1)</v>
      </c>
      <c r="E53686" s="0" t="str">
        <f aca="false">HYPERLINK("https://lindat.mff.cuni.cz/services/SynSemClass40/SynSemClass40.html?veclass=vec00218#vec00218-ces-cm00267", "vec00218")</f>
        <v>vec00218</v>
      </c>
      <c r="F53686" s="0" t="s">
        <v>2143</v>
      </c>
    </row>
    <row r="53687" customFormat="false" ht="12.8" hidden="false" customHeight="false" outlineLevel="0" collapsed="false">
      <c r="B53687" s="0" t="s">
        <v>1</v>
      </c>
      <c r="C53687" s="0" t="s">
        <v>2144</v>
      </c>
      <c r="E53687" s="0" t="s">
        <v>11</v>
      </c>
      <c r="F53687" s="0" t="s">
        <v>2145</v>
      </c>
    </row>
    <row r="53688" customFormat="false" ht="12.8" hidden="false" customHeight="false" outlineLevel="0" collapsed="false">
      <c r="B53688" s="0" t="s">
        <v>164</v>
      </c>
      <c r="C53688" s="0" t="s">
        <v>2146</v>
      </c>
      <c r="E53688" s="0" t="s">
        <v>370</v>
      </c>
      <c r="F53688" s="0" t="s">
        <v>2147</v>
      </c>
    </row>
    <row r="53690" customFormat="false" ht="12.8" hidden="false" customHeight="false" outlineLevel="0" collapsed="false">
      <c r="A53690" s="0" t="s">
        <v>18578</v>
      </c>
      <c r="B53690" s="0" t="str">
        <f aca="false">HYPERLINK("https://lindat.mff.cuni.cz/services/teitok/pdtc10/index.php?action=vallex&amp;frame=v-w10468f2", "večeřet (v-w10468f2)")</f>
        <v>večeřet (v-w10468f2)</v>
      </c>
      <c r="E53690" s="0" t="str">
        <f aca="false">HYPERLINK("https://lindat.mff.cuni.cz/services/SynSemClass40/SynSemClass40.html?veclass=vec00950#vec00950-ces-cm00001", "vec00950")</f>
        <v>vec00950</v>
      </c>
      <c r="F53690" s="0" t="s">
        <v>18579</v>
      </c>
    </row>
    <row r="53691" customFormat="false" ht="12.8" hidden="false" customHeight="false" outlineLevel="0" collapsed="false">
      <c r="B53691" s="0" t="s">
        <v>1</v>
      </c>
      <c r="C53691" s="0" t="s">
        <v>4695</v>
      </c>
      <c r="E53691" s="0" t="s">
        <v>658</v>
      </c>
      <c r="F53691" s="0" t="s">
        <v>5924</v>
      </c>
    </row>
    <row r="53692" customFormat="false" ht="12.8" hidden="false" customHeight="false" outlineLevel="0" collapsed="false">
      <c r="B53692" s="0" t="s">
        <v>8</v>
      </c>
      <c r="E53692" s="0" t="s">
        <v>661</v>
      </c>
      <c r="F53692" s="0" t="s">
        <v>18580</v>
      </c>
    </row>
    <row r="53694" customFormat="false" ht="12.8" hidden="false" customHeight="false" outlineLevel="0" collapsed="false">
      <c r="A53694" s="0" t="s">
        <v>18581</v>
      </c>
      <c r="B53694" s="0" t="str">
        <f aca="false">HYPERLINK("https://lindat.mff.cuni.cz/services/teitok/pdtc10/index.php?action=vallex&amp;frame=v-w7606f1", "vhazovat (v-w7606f1)")</f>
        <v>vhazovat (v-w7606f1)</v>
      </c>
      <c r="E53694" s="0" t="str">
        <f aca="false">HYPERLINK("https://lindat.mff.cuni.cz/services/SynSemClass40/SynSemClass40.html?veclass=vec00735#vec00735-ces-cm00171", "vec00735")</f>
        <v>vec00735</v>
      </c>
      <c r="F53694" s="0" t="s">
        <v>2719</v>
      </c>
      <c r="H53694" s="0" t="str">
        <f aca="false">HYPERLINK("https://lindat.mff.cuni.cz/services/SynSemClass40/SynSemClass40.html?veclass=vec00819#vec00819-ces-cm00023", "vec00819")</f>
        <v>vec00819</v>
      </c>
      <c r="I53694" s="0" t="s">
        <v>4399</v>
      </c>
    </row>
    <row r="53695" customFormat="false" ht="12.8" hidden="false" customHeight="false" outlineLevel="0" collapsed="false">
      <c r="B53695" s="0" t="s">
        <v>1</v>
      </c>
      <c r="C53695" s="0" t="s">
        <v>1864</v>
      </c>
      <c r="E53695" s="0" t="s">
        <v>334</v>
      </c>
      <c r="F53695" s="0" t="s">
        <v>2721</v>
      </c>
      <c r="H53695" s="0" t="s">
        <v>2196</v>
      </c>
      <c r="I53695" s="0" t="s">
        <v>4400</v>
      </c>
    </row>
    <row r="53696" customFormat="false" ht="12.8" hidden="false" customHeight="false" outlineLevel="0" collapsed="false">
      <c r="B53696" s="0" t="s">
        <v>8</v>
      </c>
      <c r="C53696" s="0" t="s">
        <v>18582</v>
      </c>
      <c r="E53696" s="0" t="s">
        <v>2648</v>
      </c>
      <c r="F53696" s="0" t="s">
        <v>2723</v>
      </c>
      <c r="H53696" s="0" t="s">
        <v>2200</v>
      </c>
      <c r="I53696" s="0" t="s">
        <v>4402</v>
      </c>
    </row>
    <row r="53697" customFormat="false" ht="12.8" hidden="false" customHeight="false" outlineLevel="0" collapsed="false">
      <c r="B53697" s="0" t="s">
        <v>164</v>
      </c>
      <c r="C53697" s="0" t="s">
        <v>18583</v>
      </c>
      <c r="E53697" s="0" t="s">
        <v>370</v>
      </c>
      <c r="F53697" s="0" t="s">
        <v>2725</v>
      </c>
      <c r="H53697" s="0" t="s">
        <v>2212</v>
      </c>
      <c r="I53697" s="0" t="s">
        <v>4732</v>
      </c>
    </row>
    <row r="53699" customFormat="false" ht="12.8" hidden="false" customHeight="false" outlineLevel="0" collapsed="false">
      <c r="A53699" s="0" t="s">
        <v>18584</v>
      </c>
      <c r="B53699" s="0" t="str">
        <f aca="false">HYPERLINK("https://lindat.mff.cuni.cz/services/teitok/pdtc10/index.php?action=vallex&amp;frame=v-w12318_MMf1_MM", "vhlížet (v-w12318_MMf1_MM)")</f>
        <v>vhlížet (v-w12318_MMf1_MM)</v>
      </c>
    </row>
    <row r="53700" customFormat="false" ht="12.8" hidden="false" customHeight="false" outlineLevel="0" collapsed="false">
      <c r="B53700" s="0" t="s">
        <v>1</v>
      </c>
    </row>
    <row r="53701" customFormat="false" ht="12.8" hidden="false" customHeight="false" outlineLevel="0" collapsed="false">
      <c r="B53701" s="0" t="s">
        <v>164</v>
      </c>
    </row>
    <row r="53703" customFormat="false" ht="12.8" hidden="false" customHeight="false" outlineLevel="0" collapsed="false">
      <c r="A53703" s="0" t="s">
        <v>18585</v>
      </c>
      <c r="B53703" s="0" t="str">
        <f aca="false">HYPERLINK("https://lindat.mff.cuni.cz/services/teitok/pdtc10/index.php?action=vallex&amp;frame=v-w7607f1", "vhodit (v-w7607f1)")</f>
        <v>vhodit (v-w7607f1)</v>
      </c>
      <c r="E53703" s="0" t="str">
        <f aca="false">HYPERLINK("https://lindat.mff.cuni.cz/services/SynSemClass40/SynSemClass40.html?veclass=vec00932#vec00932-ces-cm00009", "vec00932")</f>
        <v>vec00932</v>
      </c>
      <c r="F53703" s="0" t="s">
        <v>4723</v>
      </c>
    </row>
    <row r="53704" customFormat="false" ht="12.8" hidden="false" customHeight="false" outlineLevel="0" collapsed="false">
      <c r="B53704" s="0" t="s">
        <v>1</v>
      </c>
      <c r="C53704" s="0" t="s">
        <v>3000</v>
      </c>
      <c r="E53704" s="0" t="s">
        <v>4726</v>
      </c>
      <c r="F53704" s="0" t="s">
        <v>4727</v>
      </c>
    </row>
    <row r="53705" customFormat="false" ht="12.8" hidden="false" customHeight="false" outlineLevel="0" collapsed="false">
      <c r="B53705" s="0" t="s">
        <v>8</v>
      </c>
      <c r="C53705" s="0" t="s">
        <v>639</v>
      </c>
      <c r="E53705" s="0" t="s">
        <v>514</v>
      </c>
      <c r="F53705" s="0" t="s">
        <v>4730</v>
      </c>
    </row>
    <row r="53706" customFormat="false" ht="12.8" hidden="false" customHeight="false" outlineLevel="0" collapsed="false">
      <c r="B53706" s="0" t="s">
        <v>164</v>
      </c>
      <c r="E53706" s="0" t="s">
        <v>370</v>
      </c>
      <c r="F53706" s="0" t="s">
        <v>3041</v>
      </c>
    </row>
    <row r="53708" customFormat="false" ht="12.8" hidden="false" customHeight="false" outlineLevel="0" collapsed="false">
      <c r="A53708" s="0" t="s">
        <v>18586</v>
      </c>
      <c r="B53708" s="0" t="str">
        <f aca="false">HYPERLINK("https://lindat.mff.cuni.cz/services/teitok/pdtc10/index.php?action=vallex&amp;frame=v-whsa_827hsa_828", "vhánět (v-whsa_827hsa_828)")</f>
        <v>vhánět (v-whsa_827hsa_828)</v>
      </c>
    </row>
    <row r="53709" customFormat="false" ht="12.8" hidden="false" customHeight="false" outlineLevel="0" collapsed="false">
      <c r="B53709" s="0" t="s">
        <v>1</v>
      </c>
    </row>
    <row r="53710" customFormat="false" ht="12.8" hidden="false" customHeight="false" outlineLevel="0" collapsed="false">
      <c r="B53710" s="0" t="s">
        <v>8</v>
      </c>
    </row>
    <row r="53711" customFormat="false" ht="12.8" hidden="false" customHeight="false" outlineLevel="0" collapsed="false">
      <c r="B53711" s="0" t="s">
        <v>164</v>
      </c>
    </row>
    <row r="53713" customFormat="false" ht="12.8" hidden="false" customHeight="false" outlineLevel="0" collapsed="false">
      <c r="A53713" s="0" t="s">
        <v>18587</v>
      </c>
      <c r="B53713" s="0" t="str">
        <f aca="false">HYPERLINK("https://lindat.mff.cuni.cz/services/teitok/pdtc10/index.php?action=vallex&amp;frame=v-w7612f17_ZU", "vidět (v-w7612f17_ZU)")</f>
        <v>vidět (v-w7612f17_ZU)</v>
      </c>
    </row>
    <row r="53714" customFormat="false" ht="12.8" hidden="false" customHeight="false" outlineLevel="0" collapsed="false">
      <c r="B53714" s="0" t="s">
        <v>1</v>
      </c>
    </row>
    <row r="53715" customFormat="false" ht="12.8" hidden="false" customHeight="false" outlineLevel="0" collapsed="false">
      <c r="B53715" s="0" t="s">
        <v>59</v>
      </c>
    </row>
    <row r="53716" customFormat="false" ht="12.8" hidden="false" customHeight="false" outlineLevel="0" collapsed="false">
      <c r="B53716" s="0" t="s">
        <v>18588</v>
      </c>
    </row>
    <row r="53718" customFormat="false" ht="12.8" hidden="false" customHeight="false" outlineLevel="0" collapsed="false">
      <c r="A53718" s="0" t="s">
        <v>18587</v>
      </c>
      <c r="B53718" s="0" t="str">
        <f aca="false">HYPERLINK("https://lindat.mff.cuni.cz/services/teitok/pdtc10/index.php?action=vallex&amp;frame=v-w7612f2", "vidět (v-w7612f2) - substituted with v-w7612f17_ZU")</f>
        <v>vidět (v-w7612f2) - substituted with v-w7612f17_ZU</v>
      </c>
    </row>
    <row r="53719" customFormat="false" ht="12.8" hidden="false" customHeight="false" outlineLevel="0" collapsed="false">
      <c r="B53719" s="0" t="s">
        <v>1</v>
      </c>
    </row>
    <row r="53720" customFormat="false" ht="12.8" hidden="false" customHeight="false" outlineLevel="0" collapsed="false">
      <c r="B53720" s="0" t="s">
        <v>59</v>
      </c>
    </row>
    <row r="53721" customFormat="false" ht="12.8" hidden="false" customHeight="false" outlineLevel="0" collapsed="false">
      <c r="B53721" s="0" t="s">
        <v>18588</v>
      </c>
    </row>
    <row r="53723" customFormat="false" ht="12.8" hidden="false" customHeight="false" outlineLevel="0" collapsed="false">
      <c r="A53723" s="0" t="s">
        <v>18589</v>
      </c>
      <c r="B53723" s="0" t="str">
        <f aca="false">HYPERLINK("https://lindat.mff.cuni.cz/services/teitok/pdtc10/index.php?action=vallex&amp;frame=v-w7612f4", "vidět (v-w7612f4)")</f>
        <v>vidět (v-w7612f4)</v>
      </c>
      <c r="E53723" s="0" t="str">
        <f aca="false">HYPERLINK("https://lindat.mff.cuni.cz/services/SynSemClass40/SynSemClass40.html?veclass=vec00402#vec00402-ces-cm00045", "vec00402")</f>
        <v>vec00402</v>
      </c>
      <c r="F53723" s="0" t="s">
        <v>619</v>
      </c>
    </row>
    <row r="53724" customFormat="false" ht="12.8" hidden="false" customHeight="false" outlineLevel="0" collapsed="false">
      <c r="B53724" s="0" t="s">
        <v>1</v>
      </c>
      <c r="C53724" s="0" t="s">
        <v>620</v>
      </c>
      <c r="E53724" s="0" t="s">
        <v>621</v>
      </c>
      <c r="F53724" s="0" t="s">
        <v>622</v>
      </c>
    </row>
    <row r="53725" customFormat="false" ht="12.8" hidden="false" customHeight="false" outlineLevel="0" collapsed="false">
      <c r="B53725" s="0" t="s">
        <v>8</v>
      </c>
      <c r="C53725" s="0" t="s">
        <v>623</v>
      </c>
      <c r="E53725" s="0" t="s">
        <v>180</v>
      </c>
      <c r="F53725" s="0" t="s">
        <v>624</v>
      </c>
    </row>
    <row r="53726" customFormat="false" ht="12.8" hidden="false" customHeight="false" outlineLevel="0" collapsed="false">
      <c r="B53726" s="0" t="s">
        <v>1640</v>
      </c>
      <c r="C53726" s="0" t="s">
        <v>625</v>
      </c>
      <c r="E53726" s="0" t="s">
        <v>626</v>
      </c>
      <c r="F53726" s="0" t="s">
        <v>627</v>
      </c>
    </row>
    <row r="53728" customFormat="false" ht="12.8" hidden="false" customHeight="false" outlineLevel="0" collapsed="false">
      <c r="A53728" s="0" t="s">
        <v>18590</v>
      </c>
      <c r="B53728" s="0" t="str">
        <f aca="false">HYPERLINK("https://lindat.mff.cuni.cz/services/teitok/pdtc10/index.php?action=vallex&amp;frame=v-w7612f23_ZU", "vidět (v-w7612f23_ZU)")</f>
        <v>vidět (v-w7612f23_ZU)</v>
      </c>
    </row>
    <row r="53729" customFormat="false" ht="12.8" hidden="false" customHeight="false" outlineLevel="0" collapsed="false">
      <c r="B53729" s="0" t="s">
        <v>1</v>
      </c>
    </row>
    <row r="53730" customFormat="false" ht="12.8" hidden="false" customHeight="false" outlineLevel="0" collapsed="false">
      <c r="B53730" s="0" t="s">
        <v>8</v>
      </c>
    </row>
    <row r="53731" customFormat="false" ht="12.8" hidden="false" customHeight="false" outlineLevel="0" collapsed="false">
      <c r="B53731" s="0" t="s">
        <v>18591</v>
      </c>
    </row>
    <row r="53733" customFormat="false" ht="12.8" hidden="false" customHeight="false" outlineLevel="0" collapsed="false">
      <c r="A53733" s="0" t="s">
        <v>18590</v>
      </c>
      <c r="B53733" s="0" t="str">
        <f aca="false">HYPERLINK("https://lindat.mff.cuni.cz/services/teitok/pdtc10/index.php?action=vallex&amp;frame=v-w7612f5", "vidět (v-w7612f5) - substituted with v-w7612f23_ZU")</f>
        <v>vidět (v-w7612f5) - substituted with v-w7612f23_ZU</v>
      </c>
      <c r="E53733" s="0" t="str">
        <f aca="false">HYPERLINK("https://lindat.mff.cuni.cz/services/SynSemClass40/SynSemClass40.html?veclass=vec00154#vec00154-ces-cm00081", "vec00154")</f>
        <v>vec00154</v>
      </c>
      <c r="F53733" s="0" t="s">
        <v>11901</v>
      </c>
    </row>
    <row r="53734" customFormat="false" ht="12.8" hidden="false" customHeight="false" outlineLevel="0" collapsed="false">
      <c r="B53734" s="0" t="s">
        <v>1</v>
      </c>
      <c r="C53734" s="0" t="s">
        <v>16248</v>
      </c>
      <c r="E53734" s="0" t="s">
        <v>637</v>
      </c>
      <c r="F53734" s="0" t="s">
        <v>11904</v>
      </c>
    </row>
    <row r="53735" customFormat="false" ht="12.8" hidden="false" customHeight="false" outlineLevel="0" collapsed="false">
      <c r="B53735" s="0" t="s">
        <v>8</v>
      </c>
      <c r="C53735" s="0" t="s">
        <v>16249</v>
      </c>
      <c r="E53735" s="0" t="s">
        <v>640</v>
      </c>
      <c r="F53735" s="0" t="s">
        <v>11908</v>
      </c>
    </row>
    <row r="53736" customFormat="false" ht="12.8" hidden="false" customHeight="false" outlineLevel="0" collapsed="false">
      <c r="B53736" s="0" t="s">
        <v>18591</v>
      </c>
    </row>
    <row r="53738" customFormat="false" ht="12.8" hidden="false" customHeight="false" outlineLevel="0" collapsed="false">
      <c r="A53738" s="0" t="s">
        <v>18592</v>
      </c>
      <c r="B53738" s="0" t="str">
        <f aca="false">HYPERLINK("https://lindat.mff.cuni.cz/services/teitok/pdtc10/index.php?action=vallex&amp;frame=v-w7612f9", "vidět (v-w7612f9)")</f>
        <v>vidět (v-w7612f9)</v>
      </c>
    </row>
    <row r="53739" customFormat="false" ht="12.8" hidden="false" customHeight="false" outlineLevel="0" collapsed="false">
      <c r="B53739" s="0" t="s">
        <v>1</v>
      </c>
    </row>
    <row r="53740" customFormat="false" ht="12.8" hidden="false" customHeight="false" outlineLevel="0" collapsed="false">
      <c r="B53740" s="0" t="s">
        <v>186</v>
      </c>
    </row>
    <row r="53741" customFormat="false" ht="12.8" hidden="false" customHeight="false" outlineLevel="0" collapsed="false">
      <c r="B53741" s="0" t="s">
        <v>164</v>
      </c>
    </row>
    <row r="53743" customFormat="false" ht="12.8" hidden="false" customHeight="false" outlineLevel="0" collapsed="false">
      <c r="A53743" s="0" t="s">
        <v>18593</v>
      </c>
      <c r="B53743" s="0" t="str">
        <f aca="false">HYPERLINK("https://lindat.mff.cuni.cz/services/teitok/pdtc10/index.php?action=vallex&amp;frame=v-w7612f8", "vidět (v-w7612f8)")</f>
        <v>vidět (v-w7612f8)</v>
      </c>
    </row>
    <row r="53744" customFormat="false" ht="12.8" hidden="false" customHeight="false" outlineLevel="0" collapsed="false">
      <c r="B53744" s="0" t="s">
        <v>1</v>
      </c>
    </row>
    <row r="53745" customFormat="false" ht="12.8" hidden="false" customHeight="false" outlineLevel="0" collapsed="false">
      <c r="B53745" s="0" t="s">
        <v>721</v>
      </c>
    </row>
    <row r="53746" customFormat="false" ht="12.8" hidden="false" customHeight="false" outlineLevel="0" collapsed="false">
      <c r="B53746" s="0" t="s">
        <v>1502</v>
      </c>
    </row>
    <row r="53748" customFormat="false" ht="12.8" hidden="false" customHeight="false" outlineLevel="0" collapsed="false">
      <c r="A53748" s="0" t="s">
        <v>18594</v>
      </c>
      <c r="B53748" s="0" t="str">
        <f aca="false">HYPERLINK("https://lindat.mff.cuni.cz/services/teitok/pdtc10/index.php?action=vallex&amp;frame=v-w7612f22_ZU", "vidět (v-w7612f22_ZU)")</f>
        <v>vidět (v-w7612f22_ZU)</v>
      </c>
    </row>
    <row r="53749" customFormat="false" ht="12.8" hidden="false" customHeight="false" outlineLevel="0" collapsed="false">
      <c r="B53749" s="0" t="s">
        <v>1</v>
      </c>
    </row>
    <row r="53750" customFormat="false" ht="12.8" hidden="false" customHeight="false" outlineLevel="0" collapsed="false">
      <c r="B53750" s="0" t="s">
        <v>18595</v>
      </c>
    </row>
    <row r="53752" customFormat="false" ht="12.8" hidden="false" customHeight="false" outlineLevel="0" collapsed="false">
      <c r="A53752" s="0" t="s">
        <v>18594</v>
      </c>
      <c r="B53752" s="0" t="str">
        <f aca="false">HYPERLINK("https://lindat.mff.cuni.cz/services/teitok/pdtc10/index.php?action=vallex&amp;frame=v-w7612f7", "vidět (v-w7612f7) - substituted with v-w7612f22_ZU")</f>
        <v>vidět (v-w7612f7) - substituted with v-w7612f22_ZU</v>
      </c>
    </row>
    <row r="53753" customFormat="false" ht="12.8" hidden="false" customHeight="false" outlineLevel="0" collapsed="false">
      <c r="B53753" s="0" t="s">
        <v>1</v>
      </c>
    </row>
    <row r="53754" customFormat="false" ht="12.8" hidden="false" customHeight="false" outlineLevel="0" collapsed="false">
      <c r="B53754" s="0" t="s">
        <v>18595</v>
      </c>
    </row>
    <row r="53756" customFormat="false" ht="12.8" hidden="false" customHeight="false" outlineLevel="0" collapsed="false">
      <c r="A53756" s="0" t="s">
        <v>18596</v>
      </c>
      <c r="B53756" s="0" t="str">
        <f aca="false">HYPERLINK("https://lindat.mff.cuni.cz/services/teitok/pdtc10/index.php?action=vallex&amp;frame=v-w7612f20_ZU", "vidět (v-w7612f20_ZU)")</f>
        <v>vidět (v-w7612f20_ZU)</v>
      </c>
    </row>
    <row r="53757" customFormat="false" ht="12.8" hidden="false" customHeight="false" outlineLevel="0" collapsed="false">
      <c r="B53757" s="0" t="s">
        <v>1</v>
      </c>
    </row>
    <row r="53758" customFormat="false" ht="12.8" hidden="false" customHeight="false" outlineLevel="0" collapsed="false">
      <c r="B53758" s="0" t="s">
        <v>18597</v>
      </c>
    </row>
    <row r="53760" customFormat="false" ht="12.8" hidden="false" customHeight="false" outlineLevel="0" collapsed="false">
      <c r="A53760" s="0" t="s">
        <v>18596</v>
      </c>
      <c r="B53760" s="0" t="str">
        <f aca="false">HYPERLINK("https://lindat.mff.cuni.cz/services/teitok/pdtc10/index.php?action=vallex&amp;frame=v-w7612f1", "vidět (v-w7612f1) - substituted with v-w7612f20_ZU")</f>
        <v>vidět (v-w7612f1) - substituted with v-w7612f20_ZU</v>
      </c>
    </row>
    <row r="53761" customFormat="false" ht="12.8" hidden="false" customHeight="false" outlineLevel="0" collapsed="false">
      <c r="B53761" s="0" t="s">
        <v>1</v>
      </c>
    </row>
    <row r="53762" customFormat="false" ht="12.8" hidden="false" customHeight="false" outlineLevel="0" collapsed="false">
      <c r="B53762" s="0" t="s">
        <v>18597</v>
      </c>
    </row>
    <row r="53764" customFormat="false" ht="12.8" hidden="false" customHeight="false" outlineLevel="0" collapsed="false">
      <c r="A53764" s="0" t="s">
        <v>18596</v>
      </c>
      <c r="B53764" s="0" t="str">
        <f aca="false">HYPERLINK("https://lindat.mff.cuni.cz/services/teitok/pdtc10/index.php?action=vallex&amp;frame=v-w7612f15_ZU", "vidět (v-w7612f15_ZU) - substituted with v-w7612f20_ZU")</f>
        <v>vidět (v-w7612f15_ZU) - substituted with v-w7612f20_ZU</v>
      </c>
    </row>
    <row r="53765" customFormat="false" ht="12.8" hidden="false" customHeight="false" outlineLevel="0" collapsed="false">
      <c r="B53765" s="0" t="s">
        <v>1</v>
      </c>
    </row>
    <row r="53766" customFormat="false" ht="12.8" hidden="false" customHeight="false" outlineLevel="0" collapsed="false">
      <c r="B53766" s="0" t="s">
        <v>18597</v>
      </c>
    </row>
    <row r="53768" customFormat="false" ht="12.8" hidden="false" customHeight="false" outlineLevel="0" collapsed="false">
      <c r="A53768" s="0" t="s">
        <v>18596</v>
      </c>
      <c r="B53768" s="0" t="str">
        <f aca="false">HYPERLINK("https://lindat.mff.cuni.cz/services/teitok/pdtc10/index.php?action=vallex&amp;frame=v-w7612f16_ZU", "vidět (v-w7612f16_ZU) - substituted with v-w7612f20_ZU")</f>
        <v>vidět (v-w7612f16_ZU) - substituted with v-w7612f20_ZU</v>
      </c>
      <c r="E53768" s="0" t="str">
        <f aca="false">HYPERLINK("https://lindat.mff.cuni.cz/services/SynSemClass40/SynSemClass40.html?veclass=vec00154#vec00154-ces-cm00001", "vec00154")</f>
        <v>vec00154</v>
      </c>
      <c r="F53768" s="0" t="s">
        <v>11901</v>
      </c>
    </row>
    <row r="53769" customFormat="false" ht="12.8" hidden="false" customHeight="false" outlineLevel="0" collapsed="false">
      <c r="B53769" s="0" t="s">
        <v>1</v>
      </c>
      <c r="C53769" s="0" t="s">
        <v>16248</v>
      </c>
      <c r="E53769" s="0" t="s">
        <v>637</v>
      </c>
      <c r="F53769" s="0" t="s">
        <v>11904</v>
      </c>
    </row>
    <row r="53770" customFormat="false" ht="12.8" hidden="false" customHeight="false" outlineLevel="0" collapsed="false">
      <c r="B53770" s="0" t="s">
        <v>18597</v>
      </c>
      <c r="C53770" s="0" t="s">
        <v>16249</v>
      </c>
      <c r="E53770" s="0" t="s">
        <v>640</v>
      </c>
      <c r="F53770" s="0" t="s">
        <v>11908</v>
      </c>
    </row>
    <row r="53772" customFormat="false" ht="12.8" hidden="false" customHeight="false" outlineLevel="0" collapsed="false">
      <c r="A53772" s="0" t="s">
        <v>18596</v>
      </c>
      <c r="B53772" s="0" t="str">
        <f aca="false">HYPERLINK("https://lindat.mff.cuni.cz/services/teitok/pdtc10/index.php?action=vallex&amp;frame=v-w7612f19_ZU", "vidět (v-w7612f19_ZU) - substituted with v-w7612f20_ZU")</f>
        <v>vidět (v-w7612f19_ZU) - substituted with v-w7612f20_ZU</v>
      </c>
    </row>
    <row r="53773" customFormat="false" ht="12.8" hidden="false" customHeight="false" outlineLevel="0" collapsed="false">
      <c r="B53773" s="0" t="s">
        <v>1</v>
      </c>
    </row>
    <row r="53774" customFormat="false" ht="12.8" hidden="false" customHeight="false" outlineLevel="0" collapsed="false">
      <c r="B53774" s="0" t="s">
        <v>18597</v>
      </c>
    </row>
    <row r="53776" customFormat="false" ht="12.8" hidden="false" customHeight="false" outlineLevel="0" collapsed="false">
      <c r="A53776" s="0" t="s">
        <v>18598</v>
      </c>
      <c r="B53776" s="0" t="str">
        <f aca="false">HYPERLINK("https://lindat.mff.cuni.cz/services/teitok/pdtc10/index.php?action=vallex&amp;frame=v-w7612f11", "vidět (v-w7612f11)")</f>
        <v>vidět (v-w7612f11)</v>
      </c>
    </row>
    <row r="53777" customFormat="false" ht="12.8" hidden="false" customHeight="false" outlineLevel="0" collapsed="false">
      <c r="B53777" s="0" t="s">
        <v>1</v>
      </c>
    </row>
    <row r="53778" customFormat="false" ht="12.8" hidden="false" customHeight="false" outlineLevel="0" collapsed="false">
      <c r="B53778" s="0" t="s">
        <v>305</v>
      </c>
    </row>
    <row r="53780" customFormat="false" ht="12.8" hidden="false" customHeight="false" outlineLevel="0" collapsed="false">
      <c r="A53780" s="0" t="s">
        <v>18599</v>
      </c>
      <c r="B53780" s="0" t="str">
        <f aca="false">HYPERLINK("https://lindat.mff.cuni.cz/services/teitok/pdtc10/index.php?action=vallex&amp;frame=v-w7612f18_ZU", "vidět (v-w7612f18_ZU)")</f>
        <v>vidět (v-w7612f18_ZU)</v>
      </c>
    </row>
    <row r="53781" customFormat="false" ht="12.8" hidden="false" customHeight="false" outlineLevel="0" collapsed="false">
      <c r="B53781" s="0" t="s">
        <v>1</v>
      </c>
    </row>
    <row r="53782" customFormat="false" ht="12.8" hidden="false" customHeight="false" outlineLevel="0" collapsed="false">
      <c r="B53782" s="0" t="s">
        <v>8</v>
      </c>
    </row>
    <row r="53783" customFormat="false" ht="12.8" hidden="false" customHeight="false" outlineLevel="0" collapsed="false">
      <c r="B53783" s="0" t="s">
        <v>642</v>
      </c>
    </row>
    <row r="53784" customFormat="false" ht="12.8" hidden="false" customHeight="false" outlineLevel="0" collapsed="false">
      <c r="B53784" s="0" t="s">
        <v>648</v>
      </c>
    </row>
    <row r="53785" customFormat="false" ht="12.8" hidden="false" customHeight="false" outlineLevel="0" collapsed="false">
      <c r="B53785" s="0" t="s">
        <v>652</v>
      </c>
    </row>
    <row r="53786" customFormat="false" ht="12.8" hidden="false" customHeight="false" outlineLevel="0" collapsed="false">
      <c r="B53786" s="0" t="s">
        <v>646</v>
      </c>
    </row>
    <row r="53788" customFormat="false" ht="12.8" hidden="false" customHeight="false" outlineLevel="0" collapsed="false">
      <c r="A53788" s="0" t="s">
        <v>18599</v>
      </c>
      <c r="B53788" s="0" t="str">
        <f aca="false">HYPERLINK("https://lindat.mff.cuni.cz/services/teitok/pdtc10/index.php?action=vallex&amp;frame=v-w7612f3", "vidět (v-w7612f3) - substituted with v-w7612f18_ZU")</f>
        <v>vidět (v-w7612f3) - substituted with v-w7612f18_ZU</v>
      </c>
    </row>
    <row r="53789" customFormat="false" ht="12.8" hidden="false" customHeight="false" outlineLevel="0" collapsed="false">
      <c r="B53789" s="0" t="s">
        <v>1</v>
      </c>
    </row>
    <row r="53790" customFormat="false" ht="12.8" hidden="false" customHeight="false" outlineLevel="0" collapsed="false">
      <c r="B53790" s="0" t="s">
        <v>8</v>
      </c>
    </row>
    <row r="53791" customFormat="false" ht="12.8" hidden="false" customHeight="false" outlineLevel="0" collapsed="false">
      <c r="B53791" s="0" t="s">
        <v>642</v>
      </c>
    </row>
    <row r="53792" customFormat="false" ht="12.8" hidden="false" customHeight="false" outlineLevel="0" collapsed="false">
      <c r="B53792" s="0" t="s">
        <v>648</v>
      </c>
    </row>
    <row r="53793" customFormat="false" ht="12.8" hidden="false" customHeight="false" outlineLevel="0" collapsed="false">
      <c r="B53793" s="0" t="s">
        <v>652</v>
      </c>
    </row>
    <row r="53794" customFormat="false" ht="12.8" hidden="false" customHeight="false" outlineLevel="0" collapsed="false">
      <c r="B53794" s="0" t="s">
        <v>646</v>
      </c>
    </row>
    <row r="53796" customFormat="false" ht="12.8" hidden="false" customHeight="false" outlineLevel="0" collapsed="false">
      <c r="A53796" s="0" t="s">
        <v>18600</v>
      </c>
      <c r="B53796" s="0" t="str">
        <f aca="false">HYPERLINK("https://lindat.mff.cuni.cz/services/teitok/pdtc10/index.php?action=vallex&amp;frame=v-w7612f12", "vidět (v-w7612f12)")</f>
        <v>vidět (v-w7612f12)</v>
      </c>
      <c r="E53796" s="0" t="str">
        <f aca="false">HYPERLINK("https://lindat.mff.cuni.cz/services/SynSemClass40/SynSemClass40.html?veclass=vec00107#vec00107-ces-cm00157", "vec00107")</f>
        <v>vec00107</v>
      </c>
      <c r="F53796" s="0" t="s">
        <v>1644</v>
      </c>
    </row>
    <row r="53797" customFormat="false" ht="12.8" hidden="false" customHeight="false" outlineLevel="0" collapsed="false">
      <c r="B53797" s="0" t="s">
        <v>1</v>
      </c>
      <c r="C53797" s="0" t="s">
        <v>5649</v>
      </c>
      <c r="E53797" s="0" t="s">
        <v>621</v>
      </c>
      <c r="F53797" s="0" t="s">
        <v>1647</v>
      </c>
    </row>
    <row r="53798" customFormat="false" ht="12.8" hidden="false" customHeight="false" outlineLevel="0" collapsed="false">
      <c r="B53798" s="0" t="s">
        <v>1187</v>
      </c>
      <c r="C53798" s="0" t="s">
        <v>4776</v>
      </c>
      <c r="E53798" s="0" t="s">
        <v>180</v>
      </c>
      <c r="F53798" s="0" t="s">
        <v>1651</v>
      </c>
    </row>
    <row r="53800" customFormat="false" ht="12.8" hidden="false" customHeight="false" outlineLevel="0" collapsed="false">
      <c r="A53800" s="0" t="s">
        <v>18601</v>
      </c>
      <c r="B53800" s="0" t="str">
        <f aca="false">HYPERLINK("https://lindat.mff.cuni.cz/services/teitok/pdtc10/index.php?action=vallex&amp;frame=v-w7612f6", "vidět (v-w7612f6)")</f>
        <v>vidět (v-w7612f6)</v>
      </c>
    </row>
    <row r="53801" customFormat="false" ht="12.8" hidden="false" customHeight="false" outlineLevel="0" collapsed="false">
      <c r="B53801" s="0" t="s">
        <v>1</v>
      </c>
    </row>
    <row r="53802" customFormat="false" ht="12.8" hidden="false" customHeight="false" outlineLevel="0" collapsed="false">
      <c r="B53802" s="0" t="s">
        <v>164</v>
      </c>
    </row>
    <row r="53804" customFormat="false" ht="12.8" hidden="false" customHeight="false" outlineLevel="0" collapsed="false">
      <c r="A53804" s="0" t="s">
        <v>18602</v>
      </c>
      <c r="B53804" s="0" t="str">
        <f aca="false">HYPERLINK("https://lindat.mff.cuni.cz/services/teitok/pdtc10/index.php?action=vallex&amp;frame=v-w7612f10", "vidět (v-w7612f10)")</f>
        <v>vidět (v-w7612f10)</v>
      </c>
    </row>
    <row r="53805" customFormat="false" ht="12.8" hidden="false" customHeight="false" outlineLevel="0" collapsed="false">
      <c r="B53805" s="0" t="s">
        <v>1</v>
      </c>
    </row>
    <row r="53806" customFormat="false" ht="12.8" hidden="false" customHeight="false" outlineLevel="0" collapsed="false">
      <c r="B53806" s="0" t="s">
        <v>18603</v>
      </c>
    </row>
    <row r="53807" customFormat="false" ht="12.8" hidden="false" customHeight="false" outlineLevel="0" collapsed="false">
      <c r="B53807" s="0" t="s">
        <v>228</v>
      </c>
    </row>
    <row r="53809" customFormat="false" ht="12.8" hidden="false" customHeight="false" outlineLevel="0" collapsed="false">
      <c r="A53809" s="0" t="s">
        <v>18604</v>
      </c>
      <c r="B53809" s="0" t="str">
        <f aca="false">HYPERLINK("https://lindat.mff.cuni.cz/services/teitok/pdtc10/index.php?action=vallex&amp;frame=v-w7612f13", "vidět (v-w7612f13)")</f>
        <v>vidět (v-w7612f13)</v>
      </c>
    </row>
    <row r="53810" customFormat="false" ht="12.8" hidden="false" customHeight="false" outlineLevel="0" collapsed="false">
      <c r="B53810" s="0" t="s">
        <v>1</v>
      </c>
    </row>
    <row r="53811" customFormat="false" ht="12.8" hidden="false" customHeight="false" outlineLevel="0" collapsed="false">
      <c r="B53811" s="0" t="s">
        <v>18605</v>
      </c>
    </row>
    <row r="53812" customFormat="false" ht="12.8" hidden="false" customHeight="false" outlineLevel="0" collapsed="false">
      <c r="B53812" s="0" t="s">
        <v>8</v>
      </c>
    </row>
    <row r="53814" customFormat="false" ht="12.8" hidden="false" customHeight="false" outlineLevel="0" collapsed="false">
      <c r="A53814" s="0" t="s">
        <v>18606</v>
      </c>
      <c r="B53814" s="0" t="str">
        <f aca="false">HYPERLINK("https://lindat.mff.cuni.cz/services/teitok/pdtc10/index.php?action=vallex&amp;frame=v-w7612f14_ZU", "vidět (v-w7612f14_ZU)")</f>
        <v>vidět (v-w7612f14_ZU)</v>
      </c>
    </row>
    <row r="53815" customFormat="false" ht="12.8" hidden="false" customHeight="false" outlineLevel="0" collapsed="false">
      <c r="B53815" s="0" t="s">
        <v>1</v>
      </c>
    </row>
    <row r="53816" customFormat="false" ht="12.8" hidden="false" customHeight="false" outlineLevel="0" collapsed="false">
      <c r="B53816" s="0" t="s">
        <v>305</v>
      </c>
    </row>
    <row r="53817" customFormat="false" ht="12.8" hidden="false" customHeight="false" outlineLevel="0" collapsed="false">
      <c r="B53817" s="0" t="s">
        <v>18607</v>
      </c>
    </row>
    <row r="53819" customFormat="false" ht="12.8" hidden="false" customHeight="false" outlineLevel="0" collapsed="false">
      <c r="A53819" s="0" t="s">
        <v>18608</v>
      </c>
      <c r="B53819" s="0" t="str">
        <f aca="false">HYPERLINK("https://lindat.mff.cuni.cz/services/teitok/pdtc10/index.php?action=vallex&amp;frame=v-w7612f21_ZU", "vidět (v-w7612f21_ZU)")</f>
        <v>vidět (v-w7612f21_ZU)</v>
      </c>
    </row>
    <row r="53820" customFormat="false" ht="12.8" hidden="false" customHeight="false" outlineLevel="0" collapsed="false">
      <c r="B53820" s="0" t="s">
        <v>1</v>
      </c>
    </row>
    <row r="53821" customFormat="false" ht="12.8" hidden="false" customHeight="false" outlineLevel="0" collapsed="false">
      <c r="B53821" s="0" t="s">
        <v>4659</v>
      </c>
    </row>
    <row r="53822" customFormat="false" ht="12.8" hidden="false" customHeight="false" outlineLevel="0" collapsed="false">
      <c r="B53822" s="0" t="s">
        <v>186</v>
      </c>
    </row>
    <row r="53824" customFormat="false" ht="12.8" hidden="false" customHeight="false" outlineLevel="0" collapsed="false">
      <c r="A53824" s="0" t="s">
        <v>18609</v>
      </c>
      <c r="B53824" s="0" t="str">
        <f aca="false">HYPERLINK("https://lindat.mff.cuni.cz/services/teitok/pdtc10/index.php?action=vallex&amp;frame=v-w7612hsa_1040", "vidět (v-w7612hsa_1040)")</f>
        <v>vidět (v-w7612hsa_1040)</v>
      </c>
    </row>
    <row r="53825" customFormat="false" ht="12.8" hidden="false" customHeight="false" outlineLevel="0" collapsed="false">
      <c r="B53825" s="0" t="s">
        <v>1</v>
      </c>
    </row>
    <row r="53827" customFormat="false" ht="12.8" hidden="false" customHeight="false" outlineLevel="0" collapsed="false">
      <c r="A53827" s="0" t="s">
        <v>18610</v>
      </c>
      <c r="B53827" s="0" t="str">
        <f aca="false">HYPERLINK("https://lindat.mff.cuni.cz/services/teitok/pdtc10/index.php?action=vallex&amp;frame=v-w7612hsa_1041", "vidět (v-w7612hsa_1041)")</f>
        <v>vidět (v-w7612hsa_1041)</v>
      </c>
    </row>
    <row r="53828" customFormat="false" ht="12.8" hidden="false" customHeight="false" outlineLevel="0" collapsed="false">
      <c r="B53828" s="0" t="s">
        <v>1</v>
      </c>
    </row>
    <row r="53829" customFormat="false" ht="12.8" hidden="false" customHeight="false" outlineLevel="0" collapsed="false">
      <c r="B53829" s="0" t="s">
        <v>18611</v>
      </c>
    </row>
    <row r="53830" customFormat="false" ht="12.8" hidden="false" customHeight="false" outlineLevel="0" collapsed="false">
      <c r="B53830" s="0" t="s">
        <v>18612</v>
      </c>
    </row>
    <row r="53832" customFormat="false" ht="12.8" hidden="false" customHeight="false" outlineLevel="0" collapsed="false">
      <c r="A53832" s="0" t="s">
        <v>18613</v>
      </c>
      <c r="B53832" s="0" t="str">
        <f aca="false">HYPERLINK("https://lindat.mff.cuni.cz/services/teitok/pdtc10/index.php?action=vallex&amp;frame=v-w7613f1", "vidět se (v-w7613f1)")</f>
        <v>vidět se (v-w7613f1)</v>
      </c>
    </row>
    <row r="53833" customFormat="false" ht="12.8" hidden="false" customHeight="false" outlineLevel="0" collapsed="false">
      <c r="B53833" s="0" t="s">
        <v>1</v>
      </c>
    </row>
    <row r="53834" customFormat="false" ht="12.8" hidden="false" customHeight="false" outlineLevel="0" collapsed="false">
      <c r="B53834" s="0" t="s">
        <v>536</v>
      </c>
    </row>
    <row r="53836" customFormat="false" ht="12.8" hidden="false" customHeight="false" outlineLevel="0" collapsed="false">
      <c r="A53836" s="0" t="s">
        <v>18614</v>
      </c>
      <c r="B53836" s="0" t="str">
        <f aca="false">HYPERLINK("https://lindat.mff.cuni.cz/services/teitok/pdtc10/index.php?action=vallex&amp;frame=v-w7613hsa_1356", "vidět se (v-w7613hsa_1356)")</f>
        <v>vidět se (v-w7613hsa_1356)</v>
      </c>
    </row>
    <row r="53837" customFormat="false" ht="12.8" hidden="false" customHeight="false" outlineLevel="0" collapsed="false">
      <c r="B53837" s="0" t="s">
        <v>1</v>
      </c>
    </row>
    <row r="53838" customFormat="false" ht="12.8" hidden="false" customHeight="false" outlineLevel="0" collapsed="false">
      <c r="B53838" s="0" t="s">
        <v>721</v>
      </c>
    </row>
    <row r="53840" customFormat="false" ht="12.8" hidden="false" customHeight="false" outlineLevel="0" collapsed="false">
      <c r="A53840" s="0" t="s">
        <v>18615</v>
      </c>
      <c r="B53840" s="0" t="str">
        <f aca="false">HYPERLINK("https://lindat.mff.cuni.cz/services/teitok/pdtc10/index.php?action=vallex&amp;frame=v-w11263f1", "viklat se (v-w11263f1)")</f>
        <v>viklat se (v-w11263f1)</v>
      </c>
    </row>
    <row r="53841" customFormat="false" ht="12.8" hidden="false" customHeight="false" outlineLevel="0" collapsed="false">
      <c r="B53841" s="0" t="s">
        <v>1</v>
      </c>
    </row>
    <row r="53843" customFormat="false" ht="12.8" hidden="false" customHeight="false" outlineLevel="0" collapsed="false">
      <c r="A53843" s="0" t="s">
        <v>18616</v>
      </c>
      <c r="B53843" s="0" t="str">
        <f aca="false">HYPERLINK("https://lindat.mff.cuni.cz/services/teitok/pdtc10/index.php?action=vallex&amp;frame=v-w7617f1", "vinit (v-w7617f1)")</f>
        <v>vinit (v-w7617f1)</v>
      </c>
      <c r="E53843" s="0" t="str">
        <f aca="false">HYPERLINK("https://lindat.mff.cuni.cz/services/SynSemClass40/SynSemClass40.html?veclass=vec00347#vec00347-ces-cm00001", "vec00347")</f>
        <v>vec00347</v>
      </c>
      <c r="F53843" s="0" t="s">
        <v>3748</v>
      </c>
    </row>
    <row r="53844" customFormat="false" ht="12.8" hidden="false" customHeight="false" outlineLevel="0" collapsed="false">
      <c r="B53844" s="0" t="s">
        <v>1</v>
      </c>
      <c r="C53844" s="0" t="s">
        <v>3749</v>
      </c>
      <c r="E53844" s="0" t="s">
        <v>3750</v>
      </c>
      <c r="F53844" s="0" t="s">
        <v>3751</v>
      </c>
    </row>
    <row r="53845" customFormat="false" ht="12.8" hidden="false" customHeight="false" outlineLevel="0" collapsed="false">
      <c r="B53845" s="0" t="s">
        <v>98</v>
      </c>
      <c r="C53845" s="0" t="s">
        <v>3755</v>
      </c>
      <c r="E53845" s="0" t="s">
        <v>3756</v>
      </c>
      <c r="F53845" s="0" t="s">
        <v>3757</v>
      </c>
    </row>
    <row r="53846" customFormat="false" ht="12.8" hidden="false" customHeight="false" outlineLevel="0" collapsed="false">
      <c r="B53846" s="0" t="s">
        <v>8069</v>
      </c>
      <c r="C53846" s="0" t="s">
        <v>3753</v>
      </c>
      <c r="E53846" s="0" t="s">
        <v>2568</v>
      </c>
      <c r="F53846" s="0" t="s">
        <v>3754</v>
      </c>
    </row>
    <row r="53848" customFormat="false" ht="12.8" hidden="false" customHeight="false" outlineLevel="0" collapsed="false">
      <c r="A53848" s="0" t="s">
        <v>18617</v>
      </c>
      <c r="B53848" s="0" t="str">
        <f aca="false">HYPERLINK("https://lindat.mff.cuni.cz/services/teitok/pdtc10/index.php?action=vallex&amp;frame=v-w11492f2", "vinout se (v-w11492f2)")</f>
        <v>vinout se (v-w11492f2)</v>
      </c>
      <c r="E53848" s="0" t="str">
        <f aca="false">HYPERLINK("https://lindat.mff.cuni.cz/services/SynSemClass40/SynSemClass40.html?veclass=vec01347#vec01347-ces-cm00007", "vec01347")</f>
        <v>vec01347</v>
      </c>
      <c r="F53848" s="0" t="s">
        <v>5321</v>
      </c>
    </row>
    <row r="53849" customFormat="false" ht="12.8" hidden="false" customHeight="false" outlineLevel="0" collapsed="false">
      <c r="B53849" s="0" t="s">
        <v>1</v>
      </c>
      <c r="C53849" s="0" t="s">
        <v>5322</v>
      </c>
      <c r="E53849" s="0" t="s">
        <v>957</v>
      </c>
      <c r="F53849" s="0" t="s">
        <v>5323</v>
      </c>
    </row>
    <row r="53850" customFormat="false" ht="12.8" hidden="false" customHeight="false" outlineLevel="0" collapsed="false">
      <c r="B53850" s="0" t="s">
        <v>336</v>
      </c>
      <c r="E53850" s="0" t="s">
        <v>338</v>
      </c>
      <c r="F53850" s="0" t="s">
        <v>12214</v>
      </c>
    </row>
    <row r="53852" customFormat="false" ht="12.8" hidden="false" customHeight="false" outlineLevel="0" collapsed="false">
      <c r="A53852" s="0" t="s">
        <v>18618</v>
      </c>
      <c r="B53852" s="0" t="str">
        <f aca="false">HYPERLINK("https://lindat.mff.cuni.cz/services/teitok/pdtc10/index.php?action=vallex&amp;frame=v-w11492f1", "vinout se (v-w11492f1)")</f>
        <v>vinout se (v-w11492f1)</v>
      </c>
      <c r="E53852" s="0" t="str">
        <f aca="false">HYPERLINK("https://lindat.mff.cuni.cz/services/SynSemClass40/SynSemClass40.html?veclass=vec01147#vec01147-ces-cm00003", "vec01147")</f>
        <v>vec01147</v>
      </c>
      <c r="F53852" s="0" t="s">
        <v>5429</v>
      </c>
    </row>
    <row r="53853" customFormat="false" ht="12.8" hidden="false" customHeight="false" outlineLevel="0" collapsed="false">
      <c r="B53853" s="0" t="s">
        <v>1</v>
      </c>
      <c r="C53853" s="0" t="s">
        <v>12702</v>
      </c>
      <c r="E53853" s="0" t="s">
        <v>334</v>
      </c>
      <c r="F53853" s="0" t="s">
        <v>5432</v>
      </c>
    </row>
    <row r="53855" customFormat="false" ht="12.8" hidden="false" customHeight="false" outlineLevel="0" collapsed="false">
      <c r="A53855" s="0" t="s">
        <v>18619</v>
      </c>
      <c r="B53855" s="0" t="str">
        <f aca="false">HYPERLINK("https://lindat.mff.cuni.cz/services/teitok/pdtc10/index.php?action=vallex&amp;frame=v-w7622f5_ZU", "viset (v-w7622f5_ZU)")</f>
        <v>viset (v-w7622f5_ZU)</v>
      </c>
    </row>
    <row r="53856" customFormat="false" ht="12.8" hidden="false" customHeight="false" outlineLevel="0" collapsed="false">
      <c r="B53856" s="0" t="s">
        <v>1</v>
      </c>
    </row>
    <row r="53858" customFormat="false" ht="12.8" hidden="false" customHeight="false" outlineLevel="0" collapsed="false">
      <c r="A53858" s="0" t="s">
        <v>18619</v>
      </c>
      <c r="B53858" s="0" t="str">
        <f aca="false">HYPERLINK("https://lindat.mff.cuni.cz/services/teitok/pdtc10/index.php?action=vallex&amp;frame=v-w7622f1", "viset (v-w7622f1) - substituted with v-w7622f5_ZU")</f>
        <v>viset (v-w7622f1) - substituted with v-w7622f5_ZU</v>
      </c>
      <c r="E53858" s="0" t="str">
        <f aca="false">HYPERLINK("https://lindat.mff.cuni.cz/services/SynSemClass40/SynSemClass40.html?veclass=vec00551#vec00551-ces-cm00001", "vec00551")</f>
        <v>vec00551</v>
      </c>
      <c r="F53858" s="0" t="s">
        <v>18620</v>
      </c>
    </row>
    <row r="53859" customFormat="false" ht="12.8" hidden="false" customHeight="false" outlineLevel="0" collapsed="false">
      <c r="B53859" s="0" t="s">
        <v>1</v>
      </c>
      <c r="C53859" s="0" t="s">
        <v>18621</v>
      </c>
      <c r="E53859" s="0" t="s">
        <v>957</v>
      </c>
      <c r="F53859" s="0" t="s">
        <v>18622</v>
      </c>
    </row>
    <row r="53861" customFormat="false" ht="12.8" hidden="false" customHeight="false" outlineLevel="0" collapsed="false">
      <c r="A53861" s="0" t="s">
        <v>18623</v>
      </c>
      <c r="B53861" s="0" t="str">
        <f aca="false">HYPERLINK("https://lindat.mff.cuni.cz/services/teitok/pdtc10/index.php?action=vallex&amp;frame=v-w7622f3", "viset (v-w7622f3)")</f>
        <v>viset (v-w7622f3)</v>
      </c>
    </row>
    <row r="53862" customFormat="false" ht="12.8" hidden="false" customHeight="false" outlineLevel="0" collapsed="false">
      <c r="B53862" s="0" t="s">
        <v>1</v>
      </c>
    </row>
    <row r="53863" customFormat="false" ht="12.8" hidden="false" customHeight="false" outlineLevel="0" collapsed="false">
      <c r="B53863" s="0" t="s">
        <v>18624</v>
      </c>
    </row>
    <row r="53864" customFormat="false" ht="12.8" hidden="false" customHeight="false" outlineLevel="0" collapsed="false">
      <c r="B53864" s="0" t="s">
        <v>294</v>
      </c>
    </row>
    <row r="53866" customFormat="false" ht="12.8" hidden="false" customHeight="false" outlineLevel="0" collapsed="false">
      <c r="A53866" s="0" t="s">
        <v>18625</v>
      </c>
      <c r="B53866" s="0" t="str">
        <f aca="false">HYPERLINK("https://lindat.mff.cuni.cz/services/teitok/pdtc10/index.php?action=vallex&amp;frame=v-w7622f2", "viset (v-w7622f2)")</f>
        <v>viset (v-w7622f2)</v>
      </c>
    </row>
    <row r="53867" customFormat="false" ht="12.8" hidden="false" customHeight="false" outlineLevel="0" collapsed="false">
      <c r="B53867" s="0" t="s">
        <v>16496</v>
      </c>
    </row>
    <row r="53868" customFormat="false" ht="12.8" hidden="false" customHeight="false" outlineLevel="0" collapsed="false">
      <c r="B53868" s="0" t="s">
        <v>18626</v>
      </c>
    </row>
    <row r="53870" customFormat="false" ht="12.8" hidden="false" customHeight="false" outlineLevel="0" collapsed="false">
      <c r="A53870" s="0" t="s">
        <v>18627</v>
      </c>
      <c r="B53870" s="0" t="str">
        <f aca="false">HYPERLINK("https://lindat.mff.cuni.cz/services/teitok/pdtc10/index.php?action=vallex&amp;frame=v-w7622hsa_717", "viset (v-w7622hsa_717)")</f>
        <v>viset (v-w7622hsa_717)</v>
      </c>
      <c r="E53870" s="0" t="str">
        <f aca="false">HYPERLINK("https://lindat.mff.cuni.cz/services/SynSemClass40/SynSemClass40.html?veclass=vec00199#vec00199-ces-cm00319", "vec00199")</f>
        <v>vec00199</v>
      </c>
      <c r="F53870" s="0" t="s">
        <v>1248</v>
      </c>
    </row>
    <row r="53871" customFormat="false" ht="12.8" hidden="false" customHeight="false" outlineLevel="0" collapsed="false">
      <c r="B53871" s="0" t="s">
        <v>1</v>
      </c>
      <c r="C53871" s="0" t="s">
        <v>1250</v>
      </c>
      <c r="E53871" s="0" t="s">
        <v>957</v>
      </c>
      <c r="F53871" s="0" t="s">
        <v>1251</v>
      </c>
    </row>
    <row r="53872" customFormat="false" ht="12.8" hidden="false" customHeight="false" outlineLevel="0" collapsed="false">
      <c r="B53872" s="0" t="s">
        <v>5</v>
      </c>
      <c r="C53872" s="0" t="s">
        <v>15737</v>
      </c>
      <c r="E53872" s="0" t="s">
        <v>3247</v>
      </c>
      <c r="F53872" s="0" t="s">
        <v>3342</v>
      </c>
    </row>
    <row r="53874" customFormat="false" ht="12.8" hidden="false" customHeight="false" outlineLevel="0" collapsed="false">
      <c r="A53874" s="0" t="s">
        <v>18628</v>
      </c>
      <c r="B53874" s="0" t="str">
        <f aca="false">HYPERLINK("https://lindat.mff.cuni.cz/services/teitok/pdtc10/index.php?action=vallex&amp;frame=v-w7622f4_ZU", "viset (v-w7622f4_ZU)")</f>
        <v>viset (v-w7622f4_ZU)</v>
      </c>
    </row>
    <row r="53875" customFormat="false" ht="12.8" hidden="false" customHeight="false" outlineLevel="0" collapsed="false">
      <c r="B53875" s="0" t="s">
        <v>1</v>
      </c>
    </row>
    <row r="53876" customFormat="false" ht="12.8" hidden="false" customHeight="false" outlineLevel="0" collapsed="false">
      <c r="B53876" s="0" t="s">
        <v>18629</v>
      </c>
    </row>
    <row r="53878" customFormat="false" ht="12.8" hidden="false" customHeight="false" outlineLevel="0" collapsed="false">
      <c r="A53878" s="0" t="s">
        <v>18628</v>
      </c>
      <c r="B53878" s="0" t="str">
        <f aca="false">HYPERLINK("https://lindat.mff.cuni.cz/services/teitok/pdtc10/index.php?action=vallex&amp;frame=v-w7622hsa_718", "viset (v-w7622hsa_718) - substituted with v-w7622f4_ZU")</f>
        <v>viset (v-w7622hsa_718) - substituted with v-w7622f4_ZU</v>
      </c>
    </row>
    <row r="53879" customFormat="false" ht="12.8" hidden="false" customHeight="false" outlineLevel="0" collapsed="false">
      <c r="B53879" s="0" t="s">
        <v>1</v>
      </c>
    </row>
    <row r="53880" customFormat="false" ht="12.8" hidden="false" customHeight="false" outlineLevel="0" collapsed="false">
      <c r="B53880" s="0" t="s">
        <v>18629</v>
      </c>
    </row>
    <row r="53882" customFormat="false" ht="12.8" hidden="false" customHeight="false" outlineLevel="0" collapsed="false">
      <c r="A53882" s="0" t="s">
        <v>18630</v>
      </c>
      <c r="B53882" s="0" t="str">
        <f aca="false">HYPERLINK("https://lindat.mff.cuni.cz/services/teitok/pdtc10/index.php?action=vallex&amp;frame=v-w7622f6_ZU", "viset (v-w7622f6_ZU)")</f>
        <v>viset (v-w7622f6_ZU)</v>
      </c>
    </row>
    <row r="53883" customFormat="false" ht="12.8" hidden="false" customHeight="false" outlineLevel="0" collapsed="false">
      <c r="B53883" s="0" t="s">
        <v>1</v>
      </c>
    </row>
    <row r="53884" customFormat="false" ht="12.8" hidden="false" customHeight="false" outlineLevel="0" collapsed="false">
      <c r="B53884" s="0" t="s">
        <v>291</v>
      </c>
    </row>
    <row r="53886" customFormat="false" ht="12.8" hidden="false" customHeight="false" outlineLevel="0" collapsed="false">
      <c r="A53886" s="0" t="s">
        <v>18631</v>
      </c>
      <c r="B53886" s="0" t="str">
        <f aca="false">HYPERLINK("https://lindat.mff.cuni.cz/services/teitok/pdtc10/index.php?action=vallex&amp;frame=v-w7629f1", "vjet (v-w7629f1)")</f>
        <v>vjet (v-w7629f1)</v>
      </c>
    </row>
    <row r="53887" customFormat="false" ht="12.8" hidden="false" customHeight="false" outlineLevel="0" collapsed="false">
      <c r="B53887" s="0" t="s">
        <v>1</v>
      </c>
    </row>
    <row r="53888" customFormat="false" ht="12.8" hidden="false" customHeight="false" outlineLevel="0" collapsed="false">
      <c r="B53888" s="0" t="s">
        <v>164</v>
      </c>
    </row>
    <row r="53890" customFormat="false" ht="12.8" hidden="false" customHeight="false" outlineLevel="0" collapsed="false">
      <c r="A53890" s="0" t="s">
        <v>18632</v>
      </c>
      <c r="B53890" s="0" t="str">
        <f aca="false">HYPERLINK("https://lindat.mff.cuni.cz/services/teitok/pdtc10/index.php?action=vallex&amp;frame=v-w7630f1", "vjíždět (v-w7630f1)")</f>
        <v>vjíždět (v-w7630f1)</v>
      </c>
    </row>
    <row r="53891" customFormat="false" ht="12.8" hidden="false" customHeight="false" outlineLevel="0" collapsed="false">
      <c r="B53891" s="0" t="s">
        <v>1</v>
      </c>
    </row>
    <row r="53892" customFormat="false" ht="12.8" hidden="false" customHeight="false" outlineLevel="0" collapsed="false">
      <c r="B53892" s="0" t="s">
        <v>164</v>
      </c>
    </row>
    <row r="53894" customFormat="false" ht="12.8" hidden="false" customHeight="false" outlineLevel="0" collapsed="false">
      <c r="A53894" s="0" t="s">
        <v>18633</v>
      </c>
      <c r="B53894" s="0" t="str">
        <f aca="false">HYPERLINK("https://lindat.mff.cuni.cz/services/teitok/pdtc10/index.php?action=vallex&amp;frame=v-w7634f1", "vklouznout (v-w7634f1)")</f>
        <v>vklouznout (v-w7634f1)</v>
      </c>
    </row>
    <row r="53895" customFormat="false" ht="12.8" hidden="false" customHeight="false" outlineLevel="0" collapsed="false">
      <c r="B53895" s="0" t="s">
        <v>1</v>
      </c>
    </row>
    <row r="53896" customFormat="false" ht="12.8" hidden="false" customHeight="false" outlineLevel="0" collapsed="false">
      <c r="B53896" s="0" t="s">
        <v>164</v>
      </c>
    </row>
    <row r="53898" customFormat="false" ht="12.8" hidden="false" customHeight="false" outlineLevel="0" collapsed="false">
      <c r="A53898" s="0" t="s">
        <v>18634</v>
      </c>
      <c r="B53898" s="0" t="str">
        <f aca="false">HYPERLINK("https://lindat.mff.cuni.cz/services/teitok/pdtc10/index.php?action=vallex&amp;frame=v-w7633f1", "vkládat (v-w7633f1)")</f>
        <v>vkládat (v-w7633f1)</v>
      </c>
      <c r="E53898" s="0" t="str">
        <f aca="false">HYPERLINK("https://lindat.mff.cuni.cz/services/SynSemClass40/SynSemClass40.html?veclass=vec00147#vec00147-ces-cm00009", "vec00147")</f>
        <v>vec00147</v>
      </c>
      <c r="F53898" s="0" t="s">
        <v>1698</v>
      </c>
    </row>
    <row r="53899" customFormat="false" ht="12.8" hidden="false" customHeight="false" outlineLevel="0" collapsed="false">
      <c r="B53899" s="0" t="s">
        <v>1</v>
      </c>
      <c r="C53899" s="0" t="s">
        <v>1699</v>
      </c>
      <c r="E53899" s="0" t="s">
        <v>11</v>
      </c>
      <c r="F53899" s="0" t="s">
        <v>1700</v>
      </c>
    </row>
    <row r="53900" customFormat="false" ht="12.8" hidden="false" customHeight="false" outlineLevel="0" collapsed="false">
      <c r="B53900" s="0" t="s">
        <v>8</v>
      </c>
      <c r="C53900" s="0" t="s">
        <v>1701</v>
      </c>
      <c r="E53900" s="0" t="s">
        <v>1702</v>
      </c>
      <c r="F53900" s="0" t="s">
        <v>1703</v>
      </c>
    </row>
    <row r="53901" customFormat="false" ht="12.8" hidden="false" customHeight="false" outlineLevel="0" collapsed="false">
      <c r="B53901" s="0" t="s">
        <v>164</v>
      </c>
      <c r="C53901" s="0" t="s">
        <v>1704</v>
      </c>
      <c r="E53901" s="0" t="s">
        <v>1705</v>
      </c>
      <c r="F53901" s="0" t="s">
        <v>1706</v>
      </c>
    </row>
    <row r="53903" customFormat="false" ht="12.8" hidden="false" customHeight="false" outlineLevel="0" collapsed="false">
      <c r="A53903" s="0" t="s">
        <v>18635</v>
      </c>
      <c r="B53903" s="0" t="str">
        <f aca="false">HYPERLINK("https://lindat.mff.cuni.cz/services/teitok/pdtc10/index.php?action=vallex&amp;frame=v-w7633f2", "vkládat (v-w7633f2)")</f>
        <v>vkládat (v-w7633f2)</v>
      </c>
      <c r="E53903" s="0" t="str">
        <f aca="false">HYPERLINK("https://lindat.mff.cuni.cz/services/SynSemClass40/SynSemClass40.html?veclass=vec00735#vec00735-ces-cm00170", "vec00735")</f>
        <v>vec00735</v>
      </c>
      <c r="F53903" s="0" t="s">
        <v>2719</v>
      </c>
      <c r="H53903" s="0" t="str">
        <f aca="false">HYPERLINK("https://lindat.mff.cuni.cz/services/SynSemClass40/SynSemClass40.html?veclass=vec00778#vec00778-ces-cm00009", "vec00778")</f>
        <v>vec00778</v>
      </c>
      <c r="I53903" s="0" t="s">
        <v>18636</v>
      </c>
    </row>
    <row r="53904" customFormat="false" ht="12.8" hidden="false" customHeight="false" outlineLevel="0" collapsed="false">
      <c r="B53904" s="0" t="s">
        <v>1</v>
      </c>
      <c r="C53904" s="0" t="s">
        <v>18637</v>
      </c>
      <c r="E53904" s="0" t="s">
        <v>334</v>
      </c>
      <c r="F53904" s="0" t="s">
        <v>2721</v>
      </c>
      <c r="H53904" s="0" t="s">
        <v>31</v>
      </c>
      <c r="I53904" s="0" t="s">
        <v>18638</v>
      </c>
    </row>
    <row r="53905" customFormat="false" ht="12.8" hidden="false" customHeight="false" outlineLevel="0" collapsed="false">
      <c r="B53905" s="0" t="s">
        <v>8</v>
      </c>
      <c r="C53905" s="0" t="s">
        <v>18639</v>
      </c>
      <c r="E53905" s="0" t="s">
        <v>2648</v>
      </c>
      <c r="F53905" s="0" t="s">
        <v>2723</v>
      </c>
      <c r="H53905" s="0" t="s">
        <v>610</v>
      </c>
      <c r="I53905" s="0" t="s">
        <v>18640</v>
      </c>
    </row>
    <row r="53906" customFormat="false" ht="12.8" hidden="false" customHeight="false" outlineLevel="0" collapsed="false">
      <c r="B53906" s="0" t="s">
        <v>164</v>
      </c>
      <c r="C53906" s="0" t="s">
        <v>18641</v>
      </c>
      <c r="E53906" s="0" t="s">
        <v>370</v>
      </c>
      <c r="F53906" s="0" t="s">
        <v>2725</v>
      </c>
      <c r="H53906" s="0" t="s">
        <v>18642</v>
      </c>
      <c r="I53906" s="0" t="s">
        <v>18643</v>
      </c>
    </row>
    <row r="53908" customFormat="false" ht="12.8" hidden="false" customHeight="false" outlineLevel="0" collapsed="false">
      <c r="A53908" s="0" t="s">
        <v>18644</v>
      </c>
      <c r="B53908" s="0" t="str">
        <f aca="false">HYPERLINK("https://lindat.mff.cuni.cz/services/teitok/pdtc10/index.php?action=vallex&amp;frame=v-w7636f1", "vkročit (v-w7636f1)")</f>
        <v>vkročit (v-w7636f1)</v>
      </c>
    </row>
    <row r="53909" customFormat="false" ht="12.8" hidden="false" customHeight="false" outlineLevel="0" collapsed="false">
      <c r="B53909" s="0" t="s">
        <v>1</v>
      </c>
    </row>
    <row r="53910" customFormat="false" ht="12.8" hidden="false" customHeight="false" outlineLevel="0" collapsed="false">
      <c r="B53910" s="0" t="s">
        <v>164</v>
      </c>
    </row>
    <row r="53912" customFormat="false" ht="12.8" hidden="false" customHeight="false" outlineLevel="0" collapsed="false">
      <c r="A53912" s="0" t="s">
        <v>18645</v>
      </c>
      <c r="B53912" s="0" t="str">
        <f aca="false">HYPERLINK("https://lindat.mff.cuni.cz/services/teitok/pdtc10/index.php?action=vallex&amp;frame=v-w7635f1", "vkrádat se (v-w7635f1)")</f>
        <v>vkrádat se (v-w7635f1)</v>
      </c>
      <c r="E53912" s="0" t="str">
        <f aca="false">HYPERLINK("https://lindat.mff.cuni.cz/services/SynSemClass40/SynSemClass40.html?veclass=vec00218#vec00218-ces-cm00268", "vec00218")</f>
        <v>vec00218</v>
      </c>
      <c r="F53912" s="0" t="s">
        <v>2143</v>
      </c>
    </row>
    <row r="53913" customFormat="false" ht="12.8" hidden="false" customHeight="false" outlineLevel="0" collapsed="false">
      <c r="B53913" s="0" t="s">
        <v>1</v>
      </c>
      <c r="C53913" s="0" t="s">
        <v>2144</v>
      </c>
      <c r="E53913" s="0" t="s">
        <v>11</v>
      </c>
      <c r="F53913" s="0" t="s">
        <v>2145</v>
      </c>
    </row>
    <row r="53914" customFormat="false" ht="12.8" hidden="false" customHeight="false" outlineLevel="0" collapsed="false">
      <c r="B53914" s="0" t="s">
        <v>164</v>
      </c>
      <c r="C53914" s="0" t="s">
        <v>2146</v>
      </c>
      <c r="E53914" s="0" t="s">
        <v>370</v>
      </c>
      <c r="F53914" s="0" t="s">
        <v>2147</v>
      </c>
    </row>
    <row r="53916" customFormat="false" ht="12.8" hidden="false" customHeight="false" outlineLevel="0" collapsed="false">
      <c r="A53916" s="0" t="s">
        <v>18646</v>
      </c>
      <c r="B53916" s="0" t="str">
        <f aca="false">HYPERLINK("https://lindat.mff.cuni.cz/services/teitok/pdtc10/index.php?action=vallex&amp;frame=v-whsa_437hsa_438", "vkrást se (v-whsa_437hsa_438)")</f>
        <v>vkrást se (v-whsa_437hsa_438)</v>
      </c>
    </row>
    <row r="53917" customFormat="false" ht="12.8" hidden="false" customHeight="false" outlineLevel="0" collapsed="false">
      <c r="B53917" s="0" t="s">
        <v>1</v>
      </c>
    </row>
    <row r="53918" customFormat="false" ht="12.8" hidden="false" customHeight="false" outlineLevel="0" collapsed="false">
      <c r="B53918" s="0" t="s">
        <v>164</v>
      </c>
    </row>
    <row r="53920" customFormat="false" ht="12.8" hidden="false" customHeight="false" outlineLevel="0" collapsed="false">
      <c r="A53920" s="0" t="s">
        <v>18647</v>
      </c>
      <c r="B53920" s="0" t="str">
        <f aca="false">HYPERLINK("https://lindat.mff.cuni.cz/services/teitok/pdtc10/index.php?action=vallex&amp;frame=v-w7650f1", "vlastnit (v-w7650f1)")</f>
        <v>vlastnit (v-w7650f1)</v>
      </c>
      <c r="E53920" s="0" t="str">
        <f aca="false">HYPERLINK("https://lindat.mff.cuni.cz/services/SynSemClass40/SynSemClass40.html?veclass=vec00348#vec00348-ces-cm00001", "vec00348")</f>
        <v>vec00348</v>
      </c>
      <c r="F53920" s="0" t="s">
        <v>3263</v>
      </c>
    </row>
    <row r="53921" customFormat="false" ht="12.8" hidden="false" customHeight="false" outlineLevel="0" collapsed="false">
      <c r="B53921" s="0" t="s">
        <v>1</v>
      </c>
      <c r="C53921" s="0" t="s">
        <v>3264</v>
      </c>
      <c r="E53921" s="0" t="s">
        <v>3265</v>
      </c>
      <c r="F53921" s="0" t="s">
        <v>3266</v>
      </c>
    </row>
    <row r="53922" customFormat="false" ht="12.8" hidden="false" customHeight="false" outlineLevel="0" collapsed="false">
      <c r="B53922" s="0" t="s">
        <v>8</v>
      </c>
      <c r="C53922" s="0" t="s">
        <v>3267</v>
      </c>
      <c r="E53922" s="0" t="s">
        <v>594</v>
      </c>
      <c r="F53922" s="0" t="s">
        <v>3268</v>
      </c>
    </row>
    <row r="53924" customFormat="false" ht="12.8" hidden="false" customHeight="false" outlineLevel="0" collapsed="false">
      <c r="A53924" s="0" t="s">
        <v>18648</v>
      </c>
      <c r="B53924" s="0" t="str">
        <f aca="false">HYPERLINK("https://lindat.mff.cuni.cz/services/teitok/pdtc10/index.php?action=vallex&amp;frame=v-w11726_ZUf1_ZU", "vletět (v-w11726_ZUf1_ZU)")</f>
        <v>vletět (v-w11726_ZUf1_ZU)</v>
      </c>
    </row>
    <row r="53925" customFormat="false" ht="12.8" hidden="false" customHeight="false" outlineLevel="0" collapsed="false">
      <c r="B53925" s="0" t="s">
        <v>1</v>
      </c>
    </row>
    <row r="53926" customFormat="false" ht="12.8" hidden="false" customHeight="false" outlineLevel="0" collapsed="false">
      <c r="B53926" s="0" t="s">
        <v>454</v>
      </c>
    </row>
    <row r="53928" customFormat="false" ht="12.8" hidden="false" customHeight="false" outlineLevel="0" collapsed="false">
      <c r="A53928" s="0" t="s">
        <v>18649</v>
      </c>
      <c r="B53928" s="0" t="str">
        <f aca="false">HYPERLINK("https://lindat.mff.cuni.cz/services/teitok/pdtc10/index.php?action=vallex&amp;frame=v-w11339f1", "vlichotit se (v-w11339f1)")</f>
        <v>vlichotit se (v-w11339f1)</v>
      </c>
      <c r="E53928" s="0" t="str">
        <f aca="false">HYPERLINK("https://lindat.mff.cuni.cz/services/SynSemClass40/SynSemClass40.html?veclass=vec00668#vec00668-ces-cm00005", "vec00668")</f>
        <v>vec00668</v>
      </c>
      <c r="F53928" s="0" t="s">
        <v>7116</v>
      </c>
      <c r="H53928" s="0" t="str">
        <f aca="false">HYPERLINK("https://lindat.mff.cuni.cz/services/SynSemClass40/SynSemClass40.html?veclass=vec01213#vec01213-ces-cm00003", "vec01213")</f>
        <v>vec01213</v>
      </c>
      <c r="I53928" s="0" t="s">
        <v>3384</v>
      </c>
    </row>
    <row r="53929" customFormat="false" ht="12.8" hidden="false" customHeight="false" outlineLevel="0" collapsed="false">
      <c r="B53929" s="0" t="s">
        <v>1</v>
      </c>
      <c r="C53929" s="0" t="s">
        <v>7117</v>
      </c>
      <c r="E53929" s="0" t="s">
        <v>11</v>
      </c>
      <c r="F53929" s="0" t="s">
        <v>7118</v>
      </c>
      <c r="H53929" s="0" t="s">
        <v>11</v>
      </c>
      <c r="I53929" s="0" t="s">
        <v>3386</v>
      </c>
    </row>
    <row r="53930" customFormat="false" ht="12.8" hidden="false" customHeight="false" outlineLevel="0" collapsed="false">
      <c r="B53930" s="0" t="s">
        <v>186</v>
      </c>
      <c r="C53930" s="0" t="s">
        <v>7119</v>
      </c>
      <c r="E53930" s="0" t="s">
        <v>7120</v>
      </c>
      <c r="F53930" s="0" t="s">
        <v>7121</v>
      </c>
      <c r="H53930" s="0" t="s">
        <v>3388</v>
      </c>
      <c r="I53930" s="0" t="s">
        <v>3389</v>
      </c>
    </row>
    <row r="53932" customFormat="false" ht="12.8" hidden="false" customHeight="false" outlineLevel="0" collapsed="false">
      <c r="A53932" s="0" t="s">
        <v>18650</v>
      </c>
      <c r="B53932" s="0" t="str">
        <f aca="false">HYPERLINK("https://lindat.mff.cuni.cz/services/teitok/pdtc10/index.php?action=vallex&amp;frame=v-w7656f1", "vlnit se (v-w7656f1)")</f>
        <v>vlnit se (v-w7656f1)</v>
      </c>
      <c r="E53932" s="0" t="str">
        <f aca="false">HYPERLINK("https://lindat.mff.cuni.cz/services/SynSemClass40/SynSemClass40.html?veclass=vec01147#vec01147-ces-cm00001", "vec01147")</f>
        <v>vec01147</v>
      </c>
      <c r="F53932" s="0" t="s">
        <v>5429</v>
      </c>
    </row>
    <row r="53933" customFormat="false" ht="12.8" hidden="false" customHeight="false" outlineLevel="0" collapsed="false">
      <c r="B53933" s="0" t="s">
        <v>1</v>
      </c>
      <c r="C53933" s="0" t="s">
        <v>12702</v>
      </c>
      <c r="E53933" s="0" t="s">
        <v>334</v>
      </c>
      <c r="F53933" s="0" t="s">
        <v>5432</v>
      </c>
    </row>
    <row r="53935" customFormat="false" ht="12.8" hidden="false" customHeight="false" outlineLevel="0" collapsed="false">
      <c r="A53935" s="0" t="s">
        <v>18651</v>
      </c>
      <c r="B53935" s="0" t="str">
        <f aca="false">HYPERLINK("https://lindat.mff.cuni.cz/services/teitok/pdtc10/index.php?action=vallex&amp;frame=v-w7658f1", "vloupat se (v-w7658f1)")</f>
        <v>vloupat se (v-w7658f1)</v>
      </c>
    </row>
    <row r="53936" customFormat="false" ht="12.8" hidden="false" customHeight="false" outlineLevel="0" collapsed="false">
      <c r="B53936" s="0" t="s">
        <v>1</v>
      </c>
    </row>
    <row r="53937" customFormat="false" ht="12.8" hidden="false" customHeight="false" outlineLevel="0" collapsed="false">
      <c r="B53937" s="0" t="s">
        <v>164</v>
      </c>
    </row>
    <row r="53939" customFormat="false" ht="12.8" hidden="false" customHeight="false" outlineLevel="0" collapsed="false">
      <c r="A53939" s="0" t="s">
        <v>18652</v>
      </c>
      <c r="B53939" s="0" t="str">
        <f aca="false">HYPERLINK("https://lindat.mff.cuni.cz/services/teitok/pdtc10/index.php?action=vallex&amp;frame=v-w7661f1", "vložit (v-w7661f1)")</f>
        <v>vložit (v-w7661f1)</v>
      </c>
      <c r="E53939" s="0" t="str">
        <f aca="false">HYPERLINK("https://lindat.mff.cuni.cz/services/SynSemClass40/SynSemClass40.html?veclass=vec00147#vec00147-ces-cm00169", "vec00147")</f>
        <v>vec00147</v>
      </c>
      <c r="F53939" s="0" t="s">
        <v>1698</v>
      </c>
    </row>
    <row r="53940" customFormat="false" ht="12.8" hidden="false" customHeight="false" outlineLevel="0" collapsed="false">
      <c r="B53940" s="0" t="s">
        <v>1</v>
      </c>
      <c r="C53940" s="0" t="s">
        <v>1699</v>
      </c>
      <c r="E53940" s="0" t="s">
        <v>11</v>
      </c>
      <c r="F53940" s="0" t="s">
        <v>1700</v>
      </c>
    </row>
    <row r="53941" customFormat="false" ht="12.8" hidden="false" customHeight="false" outlineLevel="0" collapsed="false">
      <c r="B53941" s="0" t="s">
        <v>8</v>
      </c>
      <c r="C53941" s="0" t="s">
        <v>1701</v>
      </c>
      <c r="E53941" s="0" t="s">
        <v>1702</v>
      </c>
      <c r="F53941" s="0" t="s">
        <v>1703</v>
      </c>
    </row>
    <row r="53942" customFormat="false" ht="12.8" hidden="false" customHeight="false" outlineLevel="0" collapsed="false">
      <c r="B53942" s="0" t="s">
        <v>164</v>
      </c>
      <c r="C53942" s="0" t="s">
        <v>1704</v>
      </c>
      <c r="E53942" s="0" t="s">
        <v>1705</v>
      </c>
      <c r="F53942" s="0" t="s">
        <v>1706</v>
      </c>
    </row>
    <row r="53944" customFormat="false" ht="12.8" hidden="false" customHeight="false" outlineLevel="0" collapsed="false">
      <c r="A53944" s="0" t="s">
        <v>18653</v>
      </c>
      <c r="B53944" s="0" t="str">
        <f aca="false">HYPERLINK("https://lindat.mff.cuni.cz/services/teitok/pdtc10/index.php?action=vallex&amp;frame=v-w7661f2", "vložit (v-w7661f2)")</f>
        <v>vložit (v-w7661f2)</v>
      </c>
      <c r="E53944" s="0" t="str">
        <f aca="false">HYPERLINK("https://lindat.mff.cuni.cz/services/SynSemClass40/SynSemClass40.html?veclass=vec00735#vec00735-ces-cm00116", "vec00735")</f>
        <v>vec00735</v>
      </c>
      <c r="F53944" s="0" t="s">
        <v>2719</v>
      </c>
    </row>
    <row r="53945" customFormat="false" ht="12.8" hidden="false" customHeight="false" outlineLevel="0" collapsed="false">
      <c r="B53945" s="0" t="s">
        <v>1</v>
      </c>
      <c r="C53945" s="0" t="s">
        <v>2720</v>
      </c>
      <c r="E53945" s="0" t="s">
        <v>334</v>
      </c>
      <c r="F53945" s="0" t="s">
        <v>2721</v>
      </c>
    </row>
    <row r="53946" customFormat="false" ht="12.8" hidden="false" customHeight="false" outlineLevel="0" collapsed="false">
      <c r="B53946" s="0" t="s">
        <v>8</v>
      </c>
      <c r="C53946" s="0" t="s">
        <v>2722</v>
      </c>
      <c r="E53946" s="0" t="s">
        <v>2648</v>
      </c>
      <c r="F53946" s="0" t="s">
        <v>2723</v>
      </c>
    </row>
    <row r="53947" customFormat="false" ht="12.8" hidden="false" customHeight="false" outlineLevel="0" collapsed="false">
      <c r="B53947" s="0" t="s">
        <v>164</v>
      </c>
      <c r="C53947" s="0" t="s">
        <v>2724</v>
      </c>
      <c r="E53947" s="0" t="s">
        <v>370</v>
      </c>
      <c r="F53947" s="0" t="s">
        <v>2725</v>
      </c>
    </row>
    <row r="53949" customFormat="false" ht="12.8" hidden="false" customHeight="false" outlineLevel="0" collapsed="false">
      <c r="A53949" s="0" t="s">
        <v>18654</v>
      </c>
      <c r="B53949" s="0" t="str">
        <f aca="false">HYPERLINK("https://lindat.mff.cuni.cz/services/teitok/pdtc10/index.php?action=vallex&amp;frame=v-w7662f1", "vložit se (v-w7662f1)")</f>
        <v>vložit se (v-w7662f1)</v>
      </c>
      <c r="E53949" s="0" t="str">
        <f aca="false">HYPERLINK("https://lindat.mff.cuni.cz/services/SynSemClass40/SynSemClass40.html?veclass=vec00775#vec00775-ces-cm00033", "vec00775")</f>
        <v>vec00775</v>
      </c>
      <c r="F53949" s="0" t="s">
        <v>6457</v>
      </c>
    </row>
    <row r="53950" customFormat="false" ht="12.8" hidden="false" customHeight="false" outlineLevel="0" collapsed="false">
      <c r="B53950" s="0" t="s">
        <v>1</v>
      </c>
      <c r="C53950" s="0" t="s">
        <v>6619</v>
      </c>
      <c r="E53950" s="0" t="s">
        <v>3010</v>
      </c>
      <c r="F53950" s="0" t="s">
        <v>6459</v>
      </c>
    </row>
    <row r="53951" customFormat="false" ht="12.8" hidden="false" customHeight="false" outlineLevel="0" collapsed="false">
      <c r="B53951" s="0" t="s">
        <v>1187</v>
      </c>
      <c r="C53951" s="0" t="s">
        <v>6621</v>
      </c>
      <c r="E53951" s="0" t="s">
        <v>4202</v>
      </c>
      <c r="F53951" s="0" t="s">
        <v>6461</v>
      </c>
    </row>
    <row r="53953" customFormat="false" ht="12.8" hidden="false" customHeight="false" outlineLevel="0" collapsed="false">
      <c r="A53953" s="0" t="s">
        <v>18655</v>
      </c>
      <c r="B53953" s="0" t="str">
        <f aca="false">HYPERLINK("https://lindat.mff.cuni.cz/services/teitok/pdtc10/index.php?action=vallex&amp;frame=v-w7641f2", "vládnout (v-w7641f2)")</f>
        <v>vládnout (v-w7641f2)</v>
      </c>
      <c r="E53953" s="0" t="str">
        <f aca="false">HYPERLINK("https://lindat.mff.cuni.cz/services/SynSemClass40/SynSemClass40.html?veclass=vec00302#vec00302-ces-cm00071", "vec00302")</f>
        <v>vec00302</v>
      </c>
      <c r="F53953" s="0" t="s">
        <v>1991</v>
      </c>
    </row>
    <row r="53954" customFormat="false" ht="12.8" hidden="false" customHeight="false" outlineLevel="0" collapsed="false">
      <c r="B53954" s="0" t="s">
        <v>1</v>
      </c>
      <c r="C53954" s="0" t="s">
        <v>1992</v>
      </c>
      <c r="E53954" s="0" t="s">
        <v>206</v>
      </c>
      <c r="F53954" s="0" t="s">
        <v>1993</v>
      </c>
    </row>
    <row r="53955" customFormat="false" ht="12.8" hidden="false" customHeight="false" outlineLevel="0" collapsed="false">
      <c r="B53955" s="0" t="s">
        <v>2464</v>
      </c>
      <c r="C53955" s="0" t="s">
        <v>1994</v>
      </c>
      <c r="E53955" s="0" t="s">
        <v>1995</v>
      </c>
      <c r="F53955" s="0" t="s">
        <v>1996</v>
      </c>
    </row>
    <row r="53957" customFormat="false" ht="12.8" hidden="false" customHeight="false" outlineLevel="0" collapsed="false">
      <c r="A53957" s="0" t="s">
        <v>18656</v>
      </c>
      <c r="B53957" s="0" t="str">
        <f aca="false">HYPERLINK("https://lindat.mff.cuni.cz/services/teitok/pdtc10/index.php?action=vallex&amp;frame=v-w7641f3", "vládnout (v-w7641f3)")</f>
        <v>vládnout (v-w7641f3)</v>
      </c>
      <c r="E53957" s="0" t="str">
        <f aca="false">HYPERLINK("https://lindat.mff.cuni.cz/services/SynSemClass40/SynSemClass40.html?veclass=vec01065#vec01065-ces-cm00038", "vec01065")</f>
        <v>vec01065</v>
      </c>
      <c r="F53957" s="0" t="s">
        <v>10204</v>
      </c>
    </row>
    <row r="53958" customFormat="false" ht="12.8" hidden="false" customHeight="false" outlineLevel="0" collapsed="false">
      <c r="B53958" s="0" t="s">
        <v>1</v>
      </c>
      <c r="C53958" s="0" t="s">
        <v>825</v>
      </c>
      <c r="E53958" s="0" t="s">
        <v>621</v>
      </c>
      <c r="F53958" s="0" t="s">
        <v>10205</v>
      </c>
    </row>
    <row r="53959" customFormat="false" ht="12.8" hidden="false" customHeight="false" outlineLevel="0" collapsed="false">
      <c r="B53959" s="0" t="s">
        <v>286</v>
      </c>
      <c r="C53959" s="0" t="s">
        <v>639</v>
      </c>
      <c r="E53959" s="0" t="s">
        <v>7874</v>
      </c>
      <c r="F53959" s="0" t="s">
        <v>10206</v>
      </c>
    </row>
    <row r="53961" customFormat="false" ht="12.8" hidden="false" customHeight="false" outlineLevel="0" collapsed="false">
      <c r="A53961" s="0" t="s">
        <v>18657</v>
      </c>
      <c r="B53961" s="0" t="str">
        <f aca="false">HYPERLINK("https://lindat.mff.cuni.cz/services/teitok/pdtc10/index.php?action=vallex&amp;frame=v-w7641f1", "vládnout (v-w7641f1)")</f>
        <v>vládnout (v-w7641f1)</v>
      </c>
      <c r="E53961" s="0" t="str">
        <f aca="false">HYPERLINK("https://lindat.mff.cuni.cz/services/SynSemClass40/SynSemClass40.html?veclass=vec00951#vec00951-ces-cm00001", "vec00951")</f>
        <v>vec00951</v>
      </c>
      <c r="F53961" s="0" t="s">
        <v>18658</v>
      </c>
    </row>
    <row r="53962" customFormat="false" ht="12.8" hidden="false" customHeight="false" outlineLevel="0" collapsed="false">
      <c r="B53962" s="0" t="s">
        <v>1</v>
      </c>
      <c r="C53962" s="0" t="s">
        <v>4695</v>
      </c>
      <c r="E53962" s="0" t="s">
        <v>18659</v>
      </c>
      <c r="F53962" s="0" t="s">
        <v>18660</v>
      </c>
    </row>
    <row r="53964" customFormat="false" ht="12.8" hidden="false" customHeight="false" outlineLevel="0" collapsed="false">
      <c r="A53964" s="0" t="s">
        <v>18661</v>
      </c>
      <c r="B53964" s="0" t="str">
        <f aca="false">HYPERLINK("https://lindat.mff.cuni.cz/services/teitok/pdtc10/index.php?action=vallex&amp;frame=v-w10754f2", "vlákat (v-w10754f2)")</f>
        <v>vlákat (v-w10754f2)</v>
      </c>
      <c r="E53964" s="0" t="str">
        <f aca="false">HYPERLINK("https://lindat.mff.cuni.cz/services/SynSemClass40/SynSemClass40.html?veclass=vec00286#vec00286-ces-cm00017", "vec00286")</f>
        <v>vec00286</v>
      </c>
      <c r="F53964" s="0" t="s">
        <v>6106</v>
      </c>
    </row>
    <row r="53965" customFormat="false" ht="12.8" hidden="false" customHeight="false" outlineLevel="0" collapsed="false">
      <c r="B53965" s="0" t="s">
        <v>1</v>
      </c>
      <c r="C53965" s="0" t="s">
        <v>6107</v>
      </c>
      <c r="E53965" s="0" t="s">
        <v>6108</v>
      </c>
      <c r="F53965" s="0" t="s">
        <v>6109</v>
      </c>
    </row>
    <row r="53966" customFormat="false" ht="12.8" hidden="false" customHeight="false" outlineLevel="0" collapsed="false">
      <c r="B53966" s="0" t="s">
        <v>8</v>
      </c>
      <c r="C53966" s="0" t="s">
        <v>18662</v>
      </c>
      <c r="E53966" s="0" t="s">
        <v>3388</v>
      </c>
      <c r="F53966" s="0" t="s">
        <v>18663</v>
      </c>
    </row>
    <row r="53967" customFormat="false" ht="12.8" hidden="false" customHeight="false" outlineLevel="0" collapsed="false">
      <c r="B53967" s="0" t="s">
        <v>361</v>
      </c>
      <c r="C53967" s="0" t="s">
        <v>18664</v>
      </c>
      <c r="E53967" s="0" t="s">
        <v>3229</v>
      </c>
      <c r="F53967" s="0" t="s">
        <v>18665</v>
      </c>
    </row>
    <row r="53969" customFormat="false" ht="12.8" hidden="false" customHeight="false" outlineLevel="0" collapsed="false">
      <c r="A53969" s="0" t="s">
        <v>18666</v>
      </c>
      <c r="B53969" s="0" t="str">
        <f aca="false">HYPERLINK("https://lindat.mff.cuni.cz/services/teitok/pdtc10/index.php?action=vallex&amp;frame=v-w7651f1", "vlát (v-w7651f1)")</f>
        <v>vlát (v-w7651f1)</v>
      </c>
    </row>
    <row r="53970" customFormat="false" ht="12.8" hidden="false" customHeight="false" outlineLevel="0" collapsed="false">
      <c r="B53970" s="0" t="s">
        <v>1</v>
      </c>
    </row>
    <row r="53972" customFormat="false" ht="12.8" hidden="false" customHeight="false" outlineLevel="0" collapsed="false">
      <c r="A53972" s="0" t="s">
        <v>18667</v>
      </c>
      <c r="B53972" s="0" t="str">
        <f aca="false">HYPERLINK("https://lindat.mff.cuni.cz/services/teitok/pdtc10/index.php?action=vallex&amp;frame=v-whsa_180f1_ZU", "vláčet (v-whsa_180f1_ZU)")</f>
        <v>vláčet (v-whsa_180f1_ZU)</v>
      </c>
    </row>
    <row r="53973" customFormat="false" ht="12.8" hidden="false" customHeight="false" outlineLevel="0" collapsed="false">
      <c r="B53973" s="0" t="s">
        <v>1</v>
      </c>
    </row>
    <row r="53974" customFormat="false" ht="12.8" hidden="false" customHeight="false" outlineLevel="0" collapsed="false">
      <c r="B53974" s="0" t="s">
        <v>8</v>
      </c>
    </row>
    <row r="53976" customFormat="false" ht="12.8" hidden="false" customHeight="false" outlineLevel="0" collapsed="false">
      <c r="A53976" s="0" t="s">
        <v>18667</v>
      </c>
      <c r="B53976" s="0" t="str">
        <f aca="false">HYPERLINK("https://lindat.mff.cuni.cz/services/teitok/pdtc10/index.php?action=vallex&amp;frame=v-whsa_180hsa_181", "vláčet (v-whsa_180hsa_181) - substituted with v-whsa_180f1_ZU")</f>
        <v>vláčet (v-whsa_180hsa_181) - substituted with v-whsa_180f1_ZU</v>
      </c>
    </row>
    <row r="53977" customFormat="false" ht="12.8" hidden="false" customHeight="false" outlineLevel="0" collapsed="false">
      <c r="B53977" s="0" t="s">
        <v>1</v>
      </c>
    </row>
    <row r="53978" customFormat="false" ht="12.8" hidden="false" customHeight="false" outlineLevel="0" collapsed="false">
      <c r="B53978" s="0" t="s">
        <v>8</v>
      </c>
    </row>
    <row r="53980" customFormat="false" ht="12.8" hidden="false" customHeight="false" outlineLevel="0" collapsed="false">
      <c r="A53980" s="0" t="s">
        <v>18668</v>
      </c>
      <c r="B53980" s="0" t="str">
        <f aca="false">HYPERLINK("https://lindat.mff.cuni.cz/services/teitok/pdtc10/index.php?action=vallex&amp;frame=v-w7652f1", "vléci (v-w7652f1)")</f>
        <v>vléci (v-w7652f1)</v>
      </c>
      <c r="E53980" s="0" t="str">
        <f aca="false">HYPERLINK("https://lindat.mff.cuni.cz/services/SynSemClass40/SynSemClass40.html?veclass=vec01146#vec01146-ces-cm00001", "vec01146")</f>
        <v>vec01146</v>
      </c>
      <c r="F53980" s="0" t="s">
        <v>17022</v>
      </c>
    </row>
    <row r="53981" customFormat="false" ht="12.8" hidden="false" customHeight="false" outlineLevel="0" collapsed="false">
      <c r="B53981" s="0" t="s">
        <v>1</v>
      </c>
      <c r="C53981" s="0" t="s">
        <v>447</v>
      </c>
      <c r="E53981" s="0" t="s">
        <v>2196</v>
      </c>
      <c r="F53981" s="0" t="s">
        <v>17023</v>
      </c>
    </row>
    <row r="53982" customFormat="false" ht="12.8" hidden="false" customHeight="false" outlineLevel="0" collapsed="false">
      <c r="B53982" s="0" t="s">
        <v>8</v>
      </c>
      <c r="C53982" s="0" t="s">
        <v>639</v>
      </c>
      <c r="E53982" s="0" t="s">
        <v>2200</v>
      </c>
      <c r="F53982" s="0" t="s">
        <v>17024</v>
      </c>
    </row>
    <row r="53984" customFormat="false" ht="12.8" hidden="false" customHeight="false" outlineLevel="0" collapsed="false">
      <c r="A53984" s="0" t="s">
        <v>18669</v>
      </c>
      <c r="B53984" s="0" t="str">
        <f aca="false">HYPERLINK("https://lindat.mff.cuni.cz/services/teitok/pdtc10/index.php?action=vallex&amp;frame=v-w7653f1", "vléci se (v-w7653f1)")</f>
        <v>vléci se (v-w7653f1)</v>
      </c>
      <c r="E53984" s="0" t="str">
        <f aca="false">HYPERLINK("https://lindat.mff.cuni.cz/services/SynSemClass40/SynSemClass40.html?veclass=vec01332#vec01332-ces-cm00004", "vec01332")</f>
        <v>vec01332</v>
      </c>
      <c r="F53984" s="0" t="s">
        <v>12813</v>
      </c>
    </row>
    <row r="53985" customFormat="false" ht="12.8" hidden="false" customHeight="false" outlineLevel="0" collapsed="false">
      <c r="B53985" s="0" t="s">
        <v>1</v>
      </c>
      <c r="C53985" s="0" t="s">
        <v>12814</v>
      </c>
      <c r="E53985" s="0" t="s">
        <v>375</v>
      </c>
      <c r="F53985" s="0" t="s">
        <v>12815</v>
      </c>
    </row>
    <row r="53987" customFormat="false" ht="12.8" hidden="false" customHeight="false" outlineLevel="0" collapsed="false">
      <c r="A53987" s="0" t="s">
        <v>18670</v>
      </c>
      <c r="B53987" s="0" t="str">
        <f aca="false">HYPERLINK("https://lindat.mff.cuni.cz/services/teitok/pdtc10/index.php?action=vallex&amp;frame=v-w7653hsa_1458", "vléci se (v-w7653hsa_1458)")</f>
        <v>vléci se (v-w7653hsa_1458)</v>
      </c>
    </row>
    <row r="53988" customFormat="false" ht="12.8" hidden="false" customHeight="false" outlineLevel="0" collapsed="false">
      <c r="B53988" s="0" t="s">
        <v>1</v>
      </c>
    </row>
    <row r="53989" customFormat="false" ht="12.8" hidden="false" customHeight="false" outlineLevel="0" collapsed="false">
      <c r="B53989" s="0" t="s">
        <v>9838</v>
      </c>
    </row>
    <row r="53991" customFormat="false" ht="12.8" hidden="false" customHeight="false" outlineLevel="0" collapsed="false">
      <c r="A53991" s="0" t="s">
        <v>18671</v>
      </c>
      <c r="B53991" s="0" t="str">
        <f aca="false">HYPERLINK("https://lindat.mff.cuni.cz/services/teitok/pdtc10/index.php?action=vallex&amp;frame=v-w10161f3", "vlétnout (v-w10161f3)")</f>
        <v>vlétnout (v-w10161f3)</v>
      </c>
      <c r="E53991" s="0" t="str">
        <f aca="false">HYPERLINK("https://lindat.mff.cuni.cz/services/SynSemClass40/SynSemClass40.html?veclass=vec00218#vec00218-ces-cm00280", "vec00218")</f>
        <v>vec00218</v>
      </c>
      <c r="F53991" s="0" t="s">
        <v>2143</v>
      </c>
    </row>
    <row r="53992" customFormat="false" ht="12.8" hidden="false" customHeight="false" outlineLevel="0" collapsed="false">
      <c r="B53992" s="0" t="s">
        <v>1</v>
      </c>
      <c r="C53992" s="0" t="s">
        <v>2144</v>
      </c>
      <c r="E53992" s="0" t="s">
        <v>11</v>
      </c>
      <c r="F53992" s="0" t="s">
        <v>2145</v>
      </c>
    </row>
    <row r="53993" customFormat="false" ht="12.8" hidden="false" customHeight="false" outlineLevel="0" collapsed="false">
      <c r="B53993" s="0" t="s">
        <v>361</v>
      </c>
      <c r="C53993" s="0" t="s">
        <v>2146</v>
      </c>
      <c r="E53993" s="0" t="s">
        <v>370</v>
      </c>
      <c r="F53993" s="0" t="s">
        <v>2147</v>
      </c>
    </row>
    <row r="53995" customFormat="false" ht="12.8" hidden="false" customHeight="false" outlineLevel="0" collapsed="false">
      <c r="A53995" s="0" t="s">
        <v>18672</v>
      </c>
      <c r="B53995" s="0" t="str">
        <f aca="false">HYPERLINK("https://lindat.mff.cuni.cz/services/teitok/pdtc10/index.php?action=vallex&amp;frame=v-w10161f4_ZU", "vlétnout (v-w10161f4_ZU)")</f>
        <v>vlétnout (v-w10161f4_ZU)</v>
      </c>
    </row>
    <row r="53996" customFormat="false" ht="12.8" hidden="false" customHeight="false" outlineLevel="0" collapsed="false">
      <c r="B53996" s="0" t="s">
        <v>1</v>
      </c>
    </row>
    <row r="53997" customFormat="false" ht="12.8" hidden="false" customHeight="false" outlineLevel="0" collapsed="false">
      <c r="B53997" s="0" t="s">
        <v>454</v>
      </c>
    </row>
    <row r="53999" customFormat="false" ht="12.8" hidden="false" customHeight="false" outlineLevel="0" collapsed="false">
      <c r="A53999" s="0" t="s">
        <v>18673</v>
      </c>
      <c r="B53999" s="0" t="str">
        <f aca="false">HYPERLINK("https://lindat.mff.cuni.cz/services/teitok/pdtc10/index.php?action=vallex&amp;frame=v-w10232f2", "vlévat (v-w10232f2)")</f>
        <v>vlévat (v-w10232f2)</v>
      </c>
    </row>
    <row r="54000" customFormat="false" ht="12.8" hidden="false" customHeight="false" outlineLevel="0" collapsed="false">
      <c r="B54000" s="0" t="s">
        <v>1</v>
      </c>
    </row>
    <row r="54001" customFormat="false" ht="12.8" hidden="false" customHeight="false" outlineLevel="0" collapsed="false">
      <c r="B54001" s="0" t="s">
        <v>8</v>
      </c>
    </row>
    <row r="54002" customFormat="false" ht="12.8" hidden="false" customHeight="false" outlineLevel="0" collapsed="false">
      <c r="B54002" s="0" t="s">
        <v>164</v>
      </c>
    </row>
    <row r="54004" customFormat="false" ht="12.8" hidden="false" customHeight="false" outlineLevel="0" collapsed="false">
      <c r="A54004" s="0" t="s">
        <v>18674</v>
      </c>
      <c r="B54004" s="0" t="str">
        <f aca="false">HYPERLINK("https://lindat.mff.cuni.cz/services/teitok/pdtc10/index.php?action=vallex&amp;frame=v-w11270f1", "vlévat se (v-w11270f1)")</f>
        <v>vlévat se (v-w11270f1)</v>
      </c>
      <c r="E54004" s="0" t="str">
        <f aca="false">HYPERLINK("https://lindat.mff.cuni.cz/services/SynSemClass40/SynSemClass40.html?veclass=vec00952#vec00952-ces-cm00001", "vec00952")</f>
        <v>vec00952</v>
      </c>
      <c r="F54004" s="0" t="s">
        <v>3038</v>
      </c>
    </row>
    <row r="54005" customFormat="false" ht="12.8" hidden="false" customHeight="false" outlineLevel="0" collapsed="false">
      <c r="B54005" s="0" t="s">
        <v>1</v>
      </c>
      <c r="C54005" s="0" t="s">
        <v>12831</v>
      </c>
      <c r="E54005" s="0" t="s">
        <v>334</v>
      </c>
      <c r="F54005" s="0" t="s">
        <v>3040</v>
      </c>
    </row>
    <row r="54006" customFormat="false" ht="12.8" hidden="false" customHeight="false" outlineLevel="0" collapsed="false">
      <c r="B54006" s="0" t="s">
        <v>164</v>
      </c>
      <c r="E54006" s="0" t="s">
        <v>370</v>
      </c>
      <c r="F54006" s="0" t="s">
        <v>3041</v>
      </c>
    </row>
    <row r="54008" customFormat="false" ht="12.8" hidden="false" customHeight="false" outlineLevel="0" collapsed="false">
      <c r="A54008" s="0" t="s">
        <v>18675</v>
      </c>
      <c r="B54008" s="0" t="str">
        <f aca="false">HYPERLINK("https://lindat.mff.cuni.cz/services/teitok/pdtc10/index.php?action=vallex&amp;frame=v-w7654f1", "vlézt (v-w7654f1)")</f>
        <v>vlézt (v-w7654f1)</v>
      </c>
      <c r="E54008" s="0" t="str">
        <f aca="false">HYPERLINK("https://lindat.mff.cuni.cz/services/SynSemClass40/SynSemClass40.html?veclass=vec00218#vec00218-ces-cm00152", "vec00218")</f>
        <v>vec00218</v>
      </c>
      <c r="F54008" s="0" t="s">
        <v>2143</v>
      </c>
    </row>
    <row r="54009" customFormat="false" ht="12.8" hidden="false" customHeight="false" outlineLevel="0" collapsed="false">
      <c r="B54009" s="0" t="s">
        <v>1</v>
      </c>
      <c r="C54009" s="0" t="s">
        <v>2144</v>
      </c>
      <c r="E54009" s="0" t="s">
        <v>11</v>
      </c>
      <c r="F54009" s="0" t="s">
        <v>2145</v>
      </c>
    </row>
    <row r="54010" customFormat="false" ht="12.8" hidden="false" customHeight="false" outlineLevel="0" collapsed="false">
      <c r="B54010" s="0" t="s">
        <v>164</v>
      </c>
      <c r="C54010" s="0" t="s">
        <v>2146</v>
      </c>
      <c r="E54010" s="0" t="s">
        <v>370</v>
      </c>
      <c r="F54010" s="0" t="s">
        <v>2147</v>
      </c>
    </row>
    <row r="54012" customFormat="false" ht="12.8" hidden="false" customHeight="false" outlineLevel="0" collapsed="false">
      <c r="A54012" s="0" t="s">
        <v>18676</v>
      </c>
      <c r="B54012" s="0" t="str">
        <f aca="false">HYPERLINK("https://lindat.mff.cuni.cz/services/teitok/pdtc10/index.php?action=vallex&amp;frame=v-w7654f2_ZU", "vlézt (v-w7654f2_ZU)")</f>
        <v>vlézt (v-w7654f2_ZU)</v>
      </c>
    </row>
    <row r="54013" customFormat="false" ht="12.8" hidden="false" customHeight="false" outlineLevel="0" collapsed="false">
      <c r="B54013" s="0" t="s">
        <v>1</v>
      </c>
    </row>
    <row r="54014" customFormat="false" ht="12.8" hidden="false" customHeight="false" outlineLevel="0" collapsed="false">
      <c r="B54014" s="0" t="s">
        <v>18677</v>
      </c>
    </row>
    <row r="54015" customFormat="false" ht="12.8" hidden="false" customHeight="false" outlineLevel="0" collapsed="false">
      <c r="B54015" s="0" t="s">
        <v>186</v>
      </c>
    </row>
    <row r="54017" customFormat="false" ht="12.8" hidden="false" customHeight="false" outlineLevel="0" collapsed="false">
      <c r="A54017" s="0" t="s">
        <v>18676</v>
      </c>
      <c r="B54017" s="0" t="str">
        <f aca="false">HYPERLINK("https://lindat.mff.cuni.cz/services/teitok/pdtc10/index.php?action=vallex&amp;frame=v-w7654hsa_436", "vlézt (v-w7654hsa_436) - substituted with v-w7654f2_ZU")</f>
        <v>vlézt (v-w7654hsa_436) - substituted with v-w7654f2_ZU</v>
      </c>
    </row>
    <row r="54018" customFormat="false" ht="12.8" hidden="false" customHeight="false" outlineLevel="0" collapsed="false">
      <c r="B54018" s="0" t="s">
        <v>1</v>
      </c>
    </row>
    <row r="54019" customFormat="false" ht="12.8" hidden="false" customHeight="false" outlineLevel="0" collapsed="false">
      <c r="B54019" s="0" t="s">
        <v>18677</v>
      </c>
    </row>
    <row r="54020" customFormat="false" ht="12.8" hidden="false" customHeight="false" outlineLevel="0" collapsed="false">
      <c r="B54020" s="0" t="s">
        <v>186</v>
      </c>
    </row>
    <row r="54022" customFormat="false" ht="12.8" hidden="false" customHeight="false" outlineLevel="0" collapsed="false">
      <c r="A54022" s="0" t="s">
        <v>18678</v>
      </c>
      <c r="B54022" s="0" t="str">
        <f aca="false">HYPERLINK("https://lindat.mff.cuni.cz/services/teitok/pdtc10/index.php?action=vallex&amp;frame=v-w7654f3_ZU", "vlézt (v-w7654f3_ZU)")</f>
        <v>vlézt (v-w7654f3_ZU)</v>
      </c>
    </row>
    <row r="54023" customFormat="false" ht="12.8" hidden="false" customHeight="false" outlineLevel="0" collapsed="false">
      <c r="B54023" s="0" t="s">
        <v>1</v>
      </c>
    </row>
    <row r="54024" customFormat="false" ht="12.8" hidden="false" customHeight="false" outlineLevel="0" collapsed="false">
      <c r="B54024" s="0" t="s">
        <v>18679</v>
      </c>
    </row>
    <row r="54025" customFormat="false" ht="12.8" hidden="false" customHeight="false" outlineLevel="0" collapsed="false">
      <c r="B54025" s="0" t="s">
        <v>186</v>
      </c>
    </row>
    <row r="54027" customFormat="false" ht="12.8" hidden="false" customHeight="false" outlineLevel="0" collapsed="false">
      <c r="A54027" s="0" t="s">
        <v>18678</v>
      </c>
      <c r="B54027" s="0" t="str">
        <f aca="false">HYPERLINK("https://lindat.mff.cuni.cz/services/teitok/pdtc10/index.php?action=vallex&amp;frame=v-w7654hsa_437", "vlézt (v-w7654hsa_437) - substituted with v-w7654f3_ZU")</f>
        <v>vlézt (v-w7654hsa_437) - substituted with v-w7654f3_ZU</v>
      </c>
    </row>
    <row r="54028" customFormat="false" ht="12.8" hidden="false" customHeight="false" outlineLevel="0" collapsed="false">
      <c r="B54028" s="0" t="s">
        <v>1</v>
      </c>
    </row>
    <row r="54029" customFormat="false" ht="12.8" hidden="false" customHeight="false" outlineLevel="0" collapsed="false">
      <c r="B54029" s="0" t="s">
        <v>18679</v>
      </c>
    </row>
    <row r="54030" customFormat="false" ht="12.8" hidden="false" customHeight="false" outlineLevel="0" collapsed="false">
      <c r="B54030" s="0" t="s">
        <v>186</v>
      </c>
    </row>
    <row r="54032" customFormat="false" ht="12.8" hidden="false" customHeight="false" outlineLevel="0" collapsed="false">
      <c r="A54032" s="0" t="s">
        <v>18680</v>
      </c>
      <c r="B54032" s="0" t="str">
        <f aca="false">HYPERLINK("https://lindat.mff.cuni.cz/services/teitok/pdtc10/index.php?action=vallex&amp;frame=v-w7654hsa_435", "vlézt (v-w7654hsa_435)")</f>
        <v>vlézt (v-w7654hsa_435)</v>
      </c>
    </row>
    <row r="54033" customFormat="false" ht="12.8" hidden="false" customHeight="false" outlineLevel="0" collapsed="false">
      <c r="B54033" s="0" t="s">
        <v>1</v>
      </c>
    </row>
    <row r="54034" customFormat="false" ht="12.8" hidden="false" customHeight="false" outlineLevel="0" collapsed="false">
      <c r="B54034" s="0" t="s">
        <v>186</v>
      </c>
    </row>
    <row r="54035" customFormat="false" ht="12.8" hidden="false" customHeight="false" outlineLevel="0" collapsed="false">
      <c r="B54035" s="0" t="s">
        <v>164</v>
      </c>
    </row>
    <row r="54037" customFormat="false" ht="12.8" hidden="false" customHeight="false" outlineLevel="0" collapsed="false">
      <c r="A54037" s="0" t="s">
        <v>18681</v>
      </c>
      <c r="B54037" s="0" t="str">
        <f aca="false">HYPERLINK("https://lindat.mff.cuni.cz/services/teitok/pdtc10/index.php?action=vallex&amp;frame=v-w11616_ZUf1_ZU", "vlít (v-w11616_ZUf1_ZU)")</f>
        <v>vlít (v-w11616_ZUf1_ZU)</v>
      </c>
    </row>
    <row r="54038" customFormat="false" ht="12.8" hidden="false" customHeight="false" outlineLevel="0" collapsed="false">
      <c r="B54038" s="0" t="s">
        <v>1</v>
      </c>
    </row>
    <row r="54039" customFormat="false" ht="12.8" hidden="false" customHeight="false" outlineLevel="0" collapsed="false">
      <c r="B54039" s="0" t="s">
        <v>8</v>
      </c>
    </row>
    <row r="54040" customFormat="false" ht="12.8" hidden="false" customHeight="false" outlineLevel="0" collapsed="false">
      <c r="B54040" s="0" t="s">
        <v>361</v>
      </c>
    </row>
    <row r="54042" customFormat="false" ht="12.8" hidden="false" customHeight="false" outlineLevel="0" collapsed="false">
      <c r="A54042" s="0" t="s">
        <v>18682</v>
      </c>
      <c r="B54042" s="0" t="str">
        <f aca="false">HYPERLINK("https://lindat.mff.cuni.cz/services/teitok/pdtc10/index.php?action=vallex&amp;frame=v-w10225f2", "vmanipulovat (v-w10225f2)")</f>
        <v>vmanipulovat (v-w10225f2)</v>
      </c>
    </row>
    <row r="54043" customFormat="false" ht="12.8" hidden="false" customHeight="false" outlineLevel="0" collapsed="false">
      <c r="B54043" s="0" t="s">
        <v>1</v>
      </c>
    </row>
    <row r="54044" customFormat="false" ht="12.8" hidden="false" customHeight="false" outlineLevel="0" collapsed="false">
      <c r="B54044" s="0" t="s">
        <v>8</v>
      </c>
    </row>
    <row r="54045" customFormat="false" ht="12.8" hidden="false" customHeight="false" outlineLevel="0" collapsed="false">
      <c r="B54045" s="0" t="s">
        <v>164</v>
      </c>
    </row>
    <row r="54047" customFormat="false" ht="12.8" hidden="false" customHeight="false" outlineLevel="0" collapsed="false">
      <c r="A54047" s="0" t="s">
        <v>18683</v>
      </c>
      <c r="B54047" s="0" t="str">
        <f aca="false">HYPERLINK("https://lindat.mff.cuni.cz/services/teitok/pdtc10/index.php?action=vallex&amp;frame=v-whsa_1313hsa_1314", "vmanévrovat (v-whsa_1313hsa_1314)")</f>
        <v>vmanévrovat (v-whsa_1313hsa_1314)</v>
      </c>
      <c r="E54047" s="0" t="str">
        <f aca="false">HYPERLINK("https://lindat.mff.cuni.cz/services/SynSemClass40/SynSemClass40.html?veclass=vec00735#vec00735-ces-cm00158", "vec00735")</f>
        <v>vec00735</v>
      </c>
      <c r="F54047" s="0" t="s">
        <v>2719</v>
      </c>
      <c r="H54047" s="0" t="str">
        <f aca="false">HYPERLINK("https://lindat.mff.cuni.cz/services/SynSemClass40/SynSemClass40.html?veclass=vec00812#vec00812-ces-cm00390", "vec00812")</f>
        <v>vec00812</v>
      </c>
      <c r="I54047" s="0" t="s">
        <v>2822</v>
      </c>
    </row>
    <row r="54048" customFormat="false" ht="12.8" hidden="false" customHeight="false" outlineLevel="0" collapsed="false">
      <c r="B54048" s="0" t="s">
        <v>1</v>
      </c>
      <c r="C54048" s="0" t="s">
        <v>18684</v>
      </c>
      <c r="E54048" s="0" t="s">
        <v>334</v>
      </c>
      <c r="F54048" s="0" t="s">
        <v>2721</v>
      </c>
      <c r="H54048" s="0" t="s">
        <v>1103</v>
      </c>
      <c r="I54048" s="0" t="s">
        <v>2824</v>
      </c>
    </row>
    <row r="54049" customFormat="false" ht="12.8" hidden="false" customHeight="false" outlineLevel="0" collapsed="false">
      <c r="B54049" s="0" t="s">
        <v>8</v>
      </c>
      <c r="C54049" s="0" t="s">
        <v>18685</v>
      </c>
      <c r="E54049" s="0" t="s">
        <v>2648</v>
      </c>
      <c r="F54049" s="0" t="s">
        <v>2723</v>
      </c>
      <c r="H54049" s="0" t="s">
        <v>142</v>
      </c>
      <c r="I54049" s="0" t="s">
        <v>2825</v>
      </c>
    </row>
    <row r="54050" customFormat="false" ht="12.8" hidden="false" customHeight="false" outlineLevel="0" collapsed="false">
      <c r="B54050" s="0" t="s">
        <v>164</v>
      </c>
      <c r="C54050" s="0" t="s">
        <v>18686</v>
      </c>
      <c r="E54050" s="0" t="s">
        <v>370</v>
      </c>
      <c r="F54050" s="0" t="s">
        <v>2725</v>
      </c>
      <c r="H54050" s="0" t="s">
        <v>3114</v>
      </c>
      <c r="I54050" s="0" t="s">
        <v>3115</v>
      </c>
    </row>
    <row r="54052" customFormat="false" ht="12.8" hidden="false" customHeight="false" outlineLevel="0" collapsed="false">
      <c r="A54052" s="0" t="s">
        <v>18687</v>
      </c>
      <c r="B54052" s="0" t="str">
        <f aca="false">HYPERLINK("https://lindat.mff.cuni.cz/services/teitok/pdtc10/index.php?action=vallex&amp;frame=v-w11895_ZUf1_ZU", "vmašírovat (v-w11895_ZUf1_ZU)")</f>
        <v>vmašírovat (v-w11895_ZUf1_ZU)</v>
      </c>
    </row>
    <row r="54053" customFormat="false" ht="12.8" hidden="false" customHeight="false" outlineLevel="0" collapsed="false">
      <c r="B54053" s="0" t="s">
        <v>1</v>
      </c>
    </row>
    <row r="54054" customFormat="false" ht="12.8" hidden="false" customHeight="false" outlineLevel="0" collapsed="false">
      <c r="B54054" s="0" t="s">
        <v>454</v>
      </c>
    </row>
    <row r="54056" customFormat="false" ht="12.8" hidden="false" customHeight="false" outlineLevel="0" collapsed="false">
      <c r="A54056" s="0" t="s">
        <v>18688</v>
      </c>
      <c r="B54056" s="0" t="str">
        <f aca="false">HYPERLINK("https://lindat.mff.cuni.cz/services/teitok/pdtc10/index.php?action=vallex&amp;frame=v-w11136f2", "vmáčknout (v-w11136f2)")</f>
        <v>vmáčknout (v-w11136f2)</v>
      </c>
    </row>
    <row r="54057" customFormat="false" ht="12.8" hidden="false" customHeight="false" outlineLevel="0" collapsed="false">
      <c r="B54057" s="0" t="s">
        <v>1</v>
      </c>
    </row>
    <row r="54058" customFormat="false" ht="12.8" hidden="false" customHeight="false" outlineLevel="0" collapsed="false">
      <c r="B54058" s="0" t="s">
        <v>8</v>
      </c>
    </row>
    <row r="54059" customFormat="false" ht="12.8" hidden="false" customHeight="false" outlineLevel="0" collapsed="false">
      <c r="B54059" s="0" t="s">
        <v>52</v>
      </c>
    </row>
    <row r="54061" customFormat="false" ht="12.8" hidden="false" customHeight="false" outlineLevel="0" collapsed="false">
      <c r="A54061" s="0" t="s">
        <v>18689</v>
      </c>
      <c r="B54061" s="0" t="str">
        <f aca="false">HYPERLINK("https://lindat.mff.cuni.cz/services/teitok/pdtc10/index.php?action=vallex&amp;frame=v-w11136hsa_333", "vmáčknout (v-w11136hsa_333)")</f>
        <v>vmáčknout (v-w11136hsa_333)</v>
      </c>
    </row>
    <row r="54062" customFormat="false" ht="12.8" hidden="false" customHeight="false" outlineLevel="0" collapsed="false">
      <c r="B54062" s="0" t="s">
        <v>1</v>
      </c>
    </row>
    <row r="54063" customFormat="false" ht="12.8" hidden="false" customHeight="false" outlineLevel="0" collapsed="false">
      <c r="B54063" s="0" t="s">
        <v>8</v>
      </c>
    </row>
    <row r="54064" customFormat="false" ht="12.8" hidden="false" customHeight="false" outlineLevel="0" collapsed="false">
      <c r="B54064" s="0" t="s">
        <v>164</v>
      </c>
    </row>
    <row r="54066" customFormat="false" ht="12.8" hidden="false" customHeight="false" outlineLevel="0" collapsed="false">
      <c r="A54066" s="0" t="s">
        <v>18690</v>
      </c>
      <c r="B54066" s="0" t="str">
        <f aca="false">HYPERLINK("https://lindat.mff.cuni.cz/services/teitok/pdtc10/index.php?action=vallex&amp;frame=v-w7664f1", "vměšovat se (v-w7664f1)")</f>
        <v>vměšovat se (v-w7664f1)</v>
      </c>
      <c r="E54066" s="0" t="str">
        <f aca="false">HYPERLINK("https://lindat.mff.cuni.cz/services/SynSemClass40/SynSemClass40.html?veclass=vec00775#vec00775-ces-cm00007", "vec00775")</f>
        <v>vec00775</v>
      </c>
      <c r="F54066" s="0" t="s">
        <v>6457</v>
      </c>
    </row>
    <row r="54067" customFormat="false" ht="12.8" hidden="false" customHeight="false" outlineLevel="0" collapsed="false">
      <c r="B54067" s="0" t="s">
        <v>1</v>
      </c>
      <c r="C54067" s="0" t="s">
        <v>6619</v>
      </c>
      <c r="E54067" s="0" t="s">
        <v>3010</v>
      </c>
      <c r="F54067" s="0" t="s">
        <v>6459</v>
      </c>
    </row>
    <row r="54068" customFormat="false" ht="12.8" hidden="false" customHeight="false" outlineLevel="0" collapsed="false">
      <c r="B54068" s="0" t="s">
        <v>1187</v>
      </c>
      <c r="C54068" s="0" t="s">
        <v>6621</v>
      </c>
      <c r="E54068" s="0" t="s">
        <v>4202</v>
      </c>
      <c r="F54068" s="0" t="s">
        <v>6461</v>
      </c>
    </row>
    <row r="54070" customFormat="false" ht="12.8" hidden="false" customHeight="false" outlineLevel="0" collapsed="false">
      <c r="A54070" s="0" t="s">
        <v>18691</v>
      </c>
      <c r="B54070" s="0" t="str">
        <f aca="false">HYPERLINK("https://lindat.mff.cuni.cz/services/teitok/pdtc10/index.php?action=vallex&amp;frame=v-w7664f2", "vměšovat se (v-w7664f2)")</f>
        <v>vměšovat se (v-w7664f2)</v>
      </c>
    </row>
    <row r="54071" customFormat="false" ht="12.8" hidden="false" customHeight="false" outlineLevel="0" collapsed="false">
      <c r="B54071" s="0" t="s">
        <v>1</v>
      </c>
    </row>
    <row r="54072" customFormat="false" ht="12.8" hidden="false" customHeight="false" outlineLevel="0" collapsed="false">
      <c r="B54072" s="0" t="s">
        <v>164</v>
      </c>
    </row>
    <row r="54074" customFormat="false" ht="12.8" hidden="false" customHeight="false" outlineLevel="0" collapsed="false">
      <c r="A54074" s="0" t="s">
        <v>18692</v>
      </c>
      <c r="B54074" s="0" t="str">
        <f aca="false">HYPERLINK("https://lindat.mff.cuni.cz/services/teitok/pdtc10/index.php?action=vallex&amp;frame=v-w7667f1", "vniknout (v-w7667f1)")</f>
        <v>vniknout (v-w7667f1)</v>
      </c>
    </row>
    <row r="54075" customFormat="false" ht="12.8" hidden="false" customHeight="false" outlineLevel="0" collapsed="false">
      <c r="B54075" s="0" t="s">
        <v>1</v>
      </c>
    </row>
    <row r="54076" customFormat="false" ht="12.8" hidden="false" customHeight="false" outlineLevel="0" collapsed="false">
      <c r="B54076" s="0" t="s">
        <v>164</v>
      </c>
    </row>
    <row r="54078" customFormat="false" ht="12.8" hidden="false" customHeight="false" outlineLevel="0" collapsed="false">
      <c r="A54078" s="0" t="s">
        <v>18693</v>
      </c>
      <c r="B54078" s="0" t="str">
        <f aca="false">HYPERLINK("https://lindat.mff.cuni.cz/services/teitok/pdtc10/index.php?action=vallex&amp;frame=v-w11835_ZUf1_ZU", "vnořit (v-w11835_ZUf1_ZU)")</f>
        <v>vnořit (v-w11835_ZUf1_ZU)</v>
      </c>
    </row>
    <row r="54079" customFormat="false" ht="12.8" hidden="false" customHeight="false" outlineLevel="0" collapsed="false">
      <c r="B54079" s="0" t="s">
        <v>1</v>
      </c>
    </row>
    <row r="54080" customFormat="false" ht="12.8" hidden="false" customHeight="false" outlineLevel="0" collapsed="false">
      <c r="B54080" s="0" t="s">
        <v>8</v>
      </c>
    </row>
    <row r="54081" customFormat="false" ht="12.8" hidden="false" customHeight="false" outlineLevel="0" collapsed="false">
      <c r="B54081" s="0" t="s">
        <v>454</v>
      </c>
    </row>
    <row r="54083" customFormat="false" ht="12.8" hidden="false" customHeight="false" outlineLevel="0" collapsed="false">
      <c r="A54083" s="0" t="s">
        <v>18694</v>
      </c>
      <c r="B54083" s="0" t="str">
        <f aca="false">HYPERLINK("https://lindat.mff.cuni.cz/services/teitok/pdtc10/index.php?action=vallex&amp;frame=v-w7675f1", "vnucovat (v-w7675f1)")</f>
        <v>vnucovat (v-w7675f1)</v>
      </c>
      <c r="E54083" s="0" t="str">
        <f aca="false">HYPERLINK("https://lindat.mff.cuni.cz/services/SynSemClass40/SynSemClass40.html?veclass=vec00743#vec00743-ces-cm00017", "vec00743")</f>
        <v>vec00743</v>
      </c>
      <c r="F54083" s="0" t="s">
        <v>10875</v>
      </c>
    </row>
    <row r="54084" customFormat="false" ht="12.8" hidden="false" customHeight="false" outlineLevel="0" collapsed="false">
      <c r="B54084" s="0" t="s">
        <v>1</v>
      </c>
      <c r="C54084" s="0" t="s">
        <v>10876</v>
      </c>
      <c r="E54084" s="0" t="s">
        <v>31</v>
      </c>
      <c r="F54084" s="0" t="s">
        <v>10877</v>
      </c>
    </row>
    <row r="54085" customFormat="false" ht="12.8" hidden="false" customHeight="false" outlineLevel="0" collapsed="false">
      <c r="B54085" s="0" t="s">
        <v>228</v>
      </c>
      <c r="C54085" s="0" t="s">
        <v>10878</v>
      </c>
      <c r="E54085" s="0" t="s">
        <v>532</v>
      </c>
      <c r="F54085" s="0" t="s">
        <v>10879</v>
      </c>
    </row>
    <row r="54086" customFormat="false" ht="12.8" hidden="false" customHeight="false" outlineLevel="0" collapsed="false">
      <c r="B54086" s="0" t="s">
        <v>52</v>
      </c>
      <c r="C54086" s="0" t="s">
        <v>10880</v>
      </c>
      <c r="E54086" s="0" t="s">
        <v>53</v>
      </c>
      <c r="F54086" s="0" t="s">
        <v>10881</v>
      </c>
    </row>
    <row r="54088" customFormat="false" ht="12.8" hidden="false" customHeight="false" outlineLevel="0" collapsed="false">
      <c r="A54088" s="0" t="s">
        <v>18695</v>
      </c>
      <c r="B54088" s="0" t="str">
        <f aca="false">HYPERLINK("https://lindat.mff.cuni.cz/services/teitok/pdtc10/index.php?action=vallex&amp;frame=v-w7676f1", "vnucovat se (v-w7676f1)")</f>
        <v>vnucovat se (v-w7676f1)</v>
      </c>
    </row>
    <row r="54089" customFormat="false" ht="12.8" hidden="false" customHeight="false" outlineLevel="0" collapsed="false">
      <c r="B54089" s="0" t="s">
        <v>1</v>
      </c>
    </row>
    <row r="54090" customFormat="false" ht="12.8" hidden="false" customHeight="false" outlineLevel="0" collapsed="false">
      <c r="B54090" s="0" t="s">
        <v>186</v>
      </c>
    </row>
    <row r="54092" customFormat="false" ht="12.8" hidden="false" customHeight="false" outlineLevel="0" collapsed="false">
      <c r="A54092" s="0" t="s">
        <v>18696</v>
      </c>
      <c r="B54092" s="0" t="str">
        <f aca="false">HYPERLINK("https://lindat.mff.cuni.cz/services/teitok/pdtc10/index.php?action=vallex&amp;frame=v-w7678f1", "vnutit (v-w7678f1)")</f>
        <v>vnutit (v-w7678f1)</v>
      </c>
      <c r="E54092" s="0" t="str">
        <f aca="false">HYPERLINK("https://lindat.mff.cuni.cz/services/SynSemClass40/SynSemClass40.html?veclass=vec00743#vec00743-ces-cm00001", "vec00743")</f>
        <v>vec00743</v>
      </c>
      <c r="F54092" s="0" t="s">
        <v>10875</v>
      </c>
    </row>
    <row r="54093" customFormat="false" ht="12.8" hidden="false" customHeight="false" outlineLevel="0" collapsed="false">
      <c r="B54093" s="0" t="s">
        <v>1</v>
      </c>
      <c r="C54093" s="0" t="s">
        <v>10876</v>
      </c>
      <c r="E54093" s="0" t="s">
        <v>31</v>
      </c>
      <c r="F54093" s="0" t="s">
        <v>10877</v>
      </c>
    </row>
    <row r="54094" customFormat="false" ht="12.8" hidden="false" customHeight="false" outlineLevel="0" collapsed="false">
      <c r="B54094" s="0" t="s">
        <v>228</v>
      </c>
      <c r="C54094" s="0" t="s">
        <v>10878</v>
      </c>
      <c r="E54094" s="0" t="s">
        <v>532</v>
      </c>
      <c r="F54094" s="0" t="s">
        <v>10879</v>
      </c>
    </row>
    <row r="54095" customFormat="false" ht="12.8" hidden="false" customHeight="false" outlineLevel="0" collapsed="false">
      <c r="B54095" s="0" t="s">
        <v>52</v>
      </c>
      <c r="C54095" s="0" t="s">
        <v>10880</v>
      </c>
      <c r="E54095" s="0" t="s">
        <v>53</v>
      </c>
      <c r="F54095" s="0" t="s">
        <v>10881</v>
      </c>
    </row>
    <row r="54097" customFormat="false" ht="12.8" hidden="false" customHeight="false" outlineLevel="0" collapsed="false">
      <c r="A54097" s="0" t="s">
        <v>18697</v>
      </c>
      <c r="B54097" s="0" t="str">
        <f aca="false">HYPERLINK("https://lindat.mff.cuni.cz/services/teitok/pdtc10/index.php?action=vallex&amp;frame=v-whsa_936hsa_937", "vnutit se (v-whsa_936hsa_937)")</f>
        <v>vnutit se (v-whsa_936hsa_937)</v>
      </c>
    </row>
    <row r="54098" customFormat="false" ht="12.8" hidden="false" customHeight="false" outlineLevel="0" collapsed="false">
      <c r="B54098" s="0" t="s">
        <v>1</v>
      </c>
    </row>
    <row r="54099" customFormat="false" ht="12.8" hidden="false" customHeight="false" outlineLevel="0" collapsed="false">
      <c r="B54099" s="0" t="s">
        <v>186</v>
      </c>
    </row>
    <row r="54101" customFormat="false" ht="12.8" hidden="false" customHeight="false" outlineLevel="0" collapsed="false">
      <c r="A54101" s="0" t="s">
        <v>18698</v>
      </c>
      <c r="B54101" s="0" t="str">
        <f aca="false">HYPERLINK("https://lindat.mff.cuni.cz/services/teitok/pdtc10/index.php?action=vallex&amp;frame=v-w7665f1", "vnášet (v-w7665f1)")</f>
        <v>vnášet (v-w7665f1)</v>
      </c>
    </row>
    <row r="54102" customFormat="false" ht="12.8" hidden="false" customHeight="false" outlineLevel="0" collapsed="false">
      <c r="B54102" s="0" t="s">
        <v>1</v>
      </c>
    </row>
    <row r="54103" customFormat="false" ht="12.8" hidden="false" customHeight="false" outlineLevel="0" collapsed="false">
      <c r="B54103" s="0" t="s">
        <v>8</v>
      </c>
    </row>
    <row r="54104" customFormat="false" ht="12.8" hidden="false" customHeight="false" outlineLevel="0" collapsed="false">
      <c r="B54104" s="0" t="s">
        <v>164</v>
      </c>
    </row>
    <row r="54106" customFormat="false" ht="12.8" hidden="false" customHeight="false" outlineLevel="0" collapsed="false">
      <c r="A54106" s="0" t="s">
        <v>18699</v>
      </c>
      <c r="B54106" s="0" t="str">
        <f aca="false">HYPERLINK("https://lindat.mff.cuni.cz/services/teitok/pdtc10/index.php?action=vallex&amp;frame=v-w7666f1", "vnést (v-w7666f1)")</f>
        <v>vnést (v-w7666f1)</v>
      </c>
      <c r="E54106" s="0" t="str">
        <f aca="false">HYPERLINK("https://lindat.mff.cuni.cz/services/SynSemClass40/SynSemClass40.html?veclass=vec00812#vec00812-ces-cm00189", "vec00812")</f>
        <v>vec00812</v>
      </c>
      <c r="F54106" s="0" t="s">
        <v>2822</v>
      </c>
    </row>
    <row r="54107" customFormat="false" ht="12.8" hidden="false" customHeight="false" outlineLevel="0" collapsed="false">
      <c r="B54107" s="0" t="s">
        <v>1</v>
      </c>
      <c r="C54107" s="0" t="s">
        <v>2823</v>
      </c>
      <c r="E54107" s="0" t="s">
        <v>1103</v>
      </c>
      <c r="F54107" s="0" t="s">
        <v>2824</v>
      </c>
    </row>
    <row r="54108" customFormat="false" ht="12.8" hidden="false" customHeight="false" outlineLevel="0" collapsed="false">
      <c r="B54108" s="0" t="s">
        <v>8</v>
      </c>
      <c r="C54108" s="0" t="s">
        <v>2372</v>
      </c>
      <c r="E54108" s="0" t="s">
        <v>142</v>
      </c>
      <c r="F54108" s="0" t="s">
        <v>2825</v>
      </c>
    </row>
    <row r="54109" customFormat="false" ht="12.8" hidden="false" customHeight="false" outlineLevel="0" collapsed="false">
      <c r="B54109" s="0" t="s">
        <v>164</v>
      </c>
      <c r="C54109" s="0" t="s">
        <v>2826</v>
      </c>
      <c r="E54109" s="0" t="s">
        <v>2827</v>
      </c>
      <c r="F54109" s="0" t="s">
        <v>2828</v>
      </c>
    </row>
    <row r="54111" customFormat="false" ht="12.8" hidden="false" customHeight="false" outlineLevel="0" collapsed="false">
      <c r="A54111" s="0" t="s">
        <v>18700</v>
      </c>
      <c r="B54111" s="0" t="str">
        <f aca="false">HYPERLINK("https://lindat.mff.cuni.cz/services/teitok/pdtc10/index.php?action=vallex&amp;frame=v-w7672f2", "vnímat (v-w7672f2)")</f>
        <v>vnímat (v-w7672f2)</v>
      </c>
      <c r="E54111" s="0" t="str">
        <f aca="false">HYPERLINK("https://lindat.mff.cuni.cz/services/SynSemClass40/SynSemClass40.html?veclass=vec00402#vec00402-ces-cm00050", "vec00402")</f>
        <v>vec00402</v>
      </c>
      <c r="F54111" s="0" t="s">
        <v>619</v>
      </c>
    </row>
    <row r="54112" customFormat="false" ht="12.8" hidden="false" customHeight="false" outlineLevel="0" collapsed="false">
      <c r="B54112" s="0" t="s">
        <v>1</v>
      </c>
      <c r="C54112" s="0" t="s">
        <v>620</v>
      </c>
      <c r="E54112" s="0" t="s">
        <v>621</v>
      </c>
      <c r="F54112" s="0" t="s">
        <v>622</v>
      </c>
    </row>
    <row r="54113" customFormat="false" ht="12.8" hidden="false" customHeight="false" outlineLevel="0" collapsed="false">
      <c r="B54113" s="0" t="s">
        <v>8</v>
      </c>
      <c r="C54113" s="0" t="s">
        <v>623</v>
      </c>
      <c r="E54113" s="0" t="s">
        <v>180</v>
      </c>
      <c r="F54113" s="0" t="s">
        <v>624</v>
      </c>
    </row>
    <row r="54114" customFormat="false" ht="12.8" hidden="false" customHeight="false" outlineLevel="0" collapsed="false">
      <c r="B54114" s="0" t="s">
        <v>1640</v>
      </c>
      <c r="C54114" s="0" t="s">
        <v>625</v>
      </c>
      <c r="E54114" s="0" t="s">
        <v>626</v>
      </c>
      <c r="F54114" s="0" t="s">
        <v>627</v>
      </c>
    </row>
    <row r="54116" customFormat="false" ht="12.8" hidden="false" customHeight="false" outlineLevel="0" collapsed="false">
      <c r="A54116" s="0" t="s">
        <v>18701</v>
      </c>
      <c r="B54116" s="0" t="str">
        <f aca="false">HYPERLINK("https://lindat.mff.cuni.cz/services/teitok/pdtc10/index.php?action=vallex&amp;frame=v-w7672f3_ZU", "vnímat (v-w7672f3_ZU)")</f>
        <v>vnímat (v-w7672f3_ZU)</v>
      </c>
      <c r="E54116" s="0" t="str">
        <f aca="false">HYPERLINK("https://lindat.mff.cuni.cz/services/SynSemClass40/SynSemClass40.html?veclass=vec00470#vec00470-ces-cm00029", "vec00470")</f>
        <v>vec00470</v>
      </c>
      <c r="F54116" s="0" t="s">
        <v>1744</v>
      </c>
    </row>
    <row r="54117" customFormat="false" ht="12.8" hidden="false" customHeight="false" outlineLevel="0" collapsed="false">
      <c r="B54117" s="0" t="s">
        <v>1</v>
      </c>
      <c r="C54117" s="0" t="s">
        <v>1745</v>
      </c>
      <c r="E54117" s="0" t="s">
        <v>266</v>
      </c>
      <c r="F54117" s="0" t="s">
        <v>1746</v>
      </c>
    </row>
    <row r="54118" customFormat="false" ht="12.8" hidden="false" customHeight="false" outlineLevel="0" collapsed="false">
      <c r="B54118" s="0" t="s">
        <v>59</v>
      </c>
      <c r="C54118" s="0" t="s">
        <v>1747</v>
      </c>
      <c r="E54118" s="0" t="s">
        <v>1748</v>
      </c>
      <c r="F54118" s="0" t="s">
        <v>1749</v>
      </c>
    </row>
    <row r="54120" customFormat="false" ht="12.8" hidden="false" customHeight="false" outlineLevel="0" collapsed="false">
      <c r="A54120" s="0" t="s">
        <v>18701</v>
      </c>
      <c r="B54120" s="0" t="str">
        <f aca="false">HYPERLINK("https://lindat.mff.cuni.cz/services/teitok/pdtc10/index.php?action=vallex&amp;frame=v-w7672f1", "vnímat (v-w7672f1) - substituted with v-w7672f3_ZU")</f>
        <v>vnímat (v-w7672f1) - substituted with v-w7672f3_ZU</v>
      </c>
    </row>
    <row r="54121" customFormat="false" ht="12.8" hidden="false" customHeight="false" outlineLevel="0" collapsed="false">
      <c r="B54121" s="0" t="s">
        <v>1</v>
      </c>
    </row>
    <row r="54122" customFormat="false" ht="12.8" hidden="false" customHeight="false" outlineLevel="0" collapsed="false">
      <c r="B54122" s="0" t="s">
        <v>59</v>
      </c>
    </row>
    <row r="54124" customFormat="false" ht="12.8" hidden="false" customHeight="false" outlineLevel="0" collapsed="false">
      <c r="A54124" s="0" t="s">
        <v>18702</v>
      </c>
      <c r="B54124" s="0" t="str">
        <f aca="false">HYPERLINK("https://lindat.mff.cuni.cz/services/teitok/pdtc10/index.php?action=vallex&amp;frame=v-w7672hsa_716", "vnímat (v-w7672hsa_716)")</f>
        <v>vnímat (v-w7672hsa_716)</v>
      </c>
    </row>
    <row r="54125" customFormat="false" ht="12.8" hidden="false" customHeight="false" outlineLevel="0" collapsed="false">
      <c r="B54125" s="0" t="s">
        <v>1</v>
      </c>
    </row>
    <row r="54126" customFormat="false" ht="12.8" hidden="false" customHeight="false" outlineLevel="0" collapsed="false">
      <c r="B54126" s="0" t="s">
        <v>8</v>
      </c>
    </row>
    <row r="54127" customFormat="false" ht="12.8" hidden="false" customHeight="false" outlineLevel="0" collapsed="false">
      <c r="B54127" s="0" t="s">
        <v>852</v>
      </c>
    </row>
    <row r="54129" customFormat="false" ht="12.8" hidden="false" customHeight="false" outlineLevel="0" collapsed="false">
      <c r="A54129" s="0" t="s">
        <v>18703</v>
      </c>
      <c r="B54129" s="0" t="str">
        <f aca="false">HYPERLINK("https://lindat.mff.cuni.cz/services/teitok/pdtc10/index.php?action=vallex&amp;frame=v-w7680f1", "vodit (v-w7680f1)")</f>
        <v>vodit (v-w7680f1)</v>
      </c>
      <c r="E54129" s="0" t="str">
        <f aca="false">HYPERLINK("https://lindat.mff.cuni.cz/services/SynSemClass40/SynSemClass40.html?veclass=vec01377#vec01377-ces-cm00056", "vec01377")</f>
        <v>vec01377</v>
      </c>
      <c r="F54129" s="0" t="s">
        <v>2643</v>
      </c>
    </row>
    <row r="54130" customFormat="false" ht="12.8" hidden="false" customHeight="false" outlineLevel="0" collapsed="false">
      <c r="B54130" s="0" t="s">
        <v>1</v>
      </c>
      <c r="C54130" s="0" t="s">
        <v>18704</v>
      </c>
      <c r="E54130" s="0" t="s">
        <v>2645</v>
      </c>
      <c r="F54130" s="0" t="s">
        <v>2646</v>
      </c>
    </row>
    <row r="54131" customFormat="false" ht="12.8" hidden="false" customHeight="false" outlineLevel="0" collapsed="false">
      <c r="B54131" s="0" t="s">
        <v>8</v>
      </c>
      <c r="C54131" s="0" t="s">
        <v>18705</v>
      </c>
      <c r="E54131" s="0" t="s">
        <v>2648</v>
      </c>
      <c r="F54131" s="0" t="s">
        <v>2649</v>
      </c>
    </row>
    <row r="54133" customFormat="false" ht="12.8" hidden="false" customHeight="false" outlineLevel="0" collapsed="false">
      <c r="A54133" s="0" t="s">
        <v>18706</v>
      </c>
      <c r="B54133" s="0" t="str">
        <f aca="false">HYPERLINK("https://lindat.mff.cuni.cz/services/teitok/pdtc10/index.php?action=vallex&amp;frame=v-w12279_ZUf1_ZU", "vojákovat (v-w12279_ZUf1_ZU)")</f>
        <v>vojákovat (v-w12279_ZUf1_ZU)</v>
      </c>
    </row>
    <row r="54134" customFormat="false" ht="12.8" hidden="false" customHeight="false" outlineLevel="0" collapsed="false">
      <c r="B54134" s="0" t="s">
        <v>1</v>
      </c>
    </row>
    <row r="54136" customFormat="false" ht="12.8" hidden="false" customHeight="false" outlineLevel="0" collapsed="false">
      <c r="A54136" s="0" t="s">
        <v>18707</v>
      </c>
      <c r="B54136" s="0" t="str">
        <f aca="false">HYPERLINK("https://lindat.mff.cuni.cz/services/teitok/pdtc10/index.php?action=vallex&amp;frame=v-w7683f1", "volat (v-w7683f1)")</f>
        <v>volat (v-w7683f1)</v>
      </c>
      <c r="E54136" s="0" t="str">
        <f aca="false">HYPERLINK("https://lindat.mff.cuni.cz/services/SynSemClass40/SynSemClass40.html?veclass=vec00581#vec00581-ces-cm00002", "vec00581")</f>
        <v>vec00581</v>
      </c>
      <c r="F54136" s="0" t="s">
        <v>10256</v>
      </c>
    </row>
    <row r="54137" customFormat="false" ht="12.8" hidden="false" customHeight="false" outlineLevel="0" collapsed="false">
      <c r="B54137" s="0" t="s">
        <v>1</v>
      </c>
      <c r="C54137" s="0" t="s">
        <v>3241</v>
      </c>
      <c r="E54137" s="0" t="s">
        <v>147</v>
      </c>
      <c r="F54137" s="0" t="s">
        <v>10257</v>
      </c>
    </row>
    <row r="54138" customFormat="false" ht="12.8" hidden="false" customHeight="false" outlineLevel="0" collapsed="false">
      <c r="B54138" s="0" t="s">
        <v>500</v>
      </c>
      <c r="C54138" s="0" t="s">
        <v>9512</v>
      </c>
      <c r="E54138" s="0" t="s">
        <v>218</v>
      </c>
      <c r="F54138" s="0" t="s">
        <v>17043</v>
      </c>
    </row>
    <row r="54139" customFormat="false" ht="12.8" hidden="false" customHeight="false" outlineLevel="0" collapsed="false">
      <c r="B54139" s="0" t="s">
        <v>52</v>
      </c>
      <c r="C54139" s="0" t="s">
        <v>551</v>
      </c>
      <c r="E54139" s="0" t="s">
        <v>221</v>
      </c>
      <c r="F54139" s="0" t="s">
        <v>17044</v>
      </c>
    </row>
    <row r="54141" customFormat="false" ht="12.8" hidden="false" customHeight="false" outlineLevel="0" collapsed="false">
      <c r="A54141" s="0" t="s">
        <v>18708</v>
      </c>
      <c r="B54141" s="0" t="str">
        <f aca="false">HYPERLINK("https://lindat.mff.cuni.cz/services/teitok/pdtc10/index.php?action=vallex&amp;frame=v-w7683f10_ZU", "volat (v-w7683f10_ZU)")</f>
        <v>volat (v-w7683f10_ZU)</v>
      </c>
    </row>
    <row r="54142" customFormat="false" ht="12.8" hidden="false" customHeight="false" outlineLevel="0" collapsed="false">
      <c r="B54142" s="0" t="s">
        <v>1</v>
      </c>
    </row>
    <row r="54143" customFormat="false" ht="12.8" hidden="false" customHeight="false" outlineLevel="0" collapsed="false">
      <c r="B54143" s="0" t="s">
        <v>18709</v>
      </c>
    </row>
    <row r="54144" customFormat="false" ht="12.8" hidden="false" customHeight="false" outlineLevel="0" collapsed="false">
      <c r="B54144" s="0" t="s">
        <v>4688</v>
      </c>
    </row>
    <row r="54146" customFormat="false" ht="12.8" hidden="false" customHeight="false" outlineLevel="0" collapsed="false">
      <c r="A54146" s="0" t="s">
        <v>18708</v>
      </c>
      <c r="B54146" s="0" t="str">
        <f aca="false">HYPERLINK("https://lindat.mff.cuni.cz/services/teitok/pdtc10/index.php?action=vallex&amp;frame=v-w7683f6", "volat (v-w7683f6) - substituted with v-w7683f10_ZU")</f>
        <v>volat (v-w7683f6) - substituted with v-w7683f10_ZU</v>
      </c>
    </row>
    <row r="54147" customFormat="false" ht="12.8" hidden="false" customHeight="false" outlineLevel="0" collapsed="false">
      <c r="B54147" s="0" t="s">
        <v>1</v>
      </c>
    </row>
    <row r="54148" customFormat="false" ht="12.8" hidden="false" customHeight="false" outlineLevel="0" collapsed="false">
      <c r="B54148" s="0" t="s">
        <v>18709</v>
      </c>
    </row>
    <row r="54149" customFormat="false" ht="12.8" hidden="false" customHeight="false" outlineLevel="0" collapsed="false">
      <c r="B54149" s="0" t="s">
        <v>4688</v>
      </c>
    </row>
    <row r="54151" customFormat="false" ht="12.8" hidden="false" customHeight="false" outlineLevel="0" collapsed="false">
      <c r="A54151" s="0" t="s">
        <v>18710</v>
      </c>
      <c r="B54151" s="0" t="str">
        <f aca="false">HYPERLINK("https://lindat.mff.cuni.cz/services/teitok/pdtc10/index.php?action=vallex&amp;frame=v-w7683f9", "volat (v-w7683f9)")</f>
        <v>volat (v-w7683f9)</v>
      </c>
    </row>
    <row r="54152" customFormat="false" ht="12.8" hidden="false" customHeight="false" outlineLevel="0" collapsed="false">
      <c r="B54152" s="0" t="s">
        <v>1</v>
      </c>
    </row>
    <row r="54153" customFormat="false" ht="12.8" hidden="false" customHeight="false" outlineLevel="0" collapsed="false">
      <c r="B54153" s="0" t="s">
        <v>318</v>
      </c>
    </row>
    <row r="54154" customFormat="false" ht="12.8" hidden="false" customHeight="false" outlineLevel="0" collapsed="false">
      <c r="B54154" s="0" t="s">
        <v>3205</v>
      </c>
    </row>
    <row r="54156" customFormat="false" ht="12.8" hidden="false" customHeight="false" outlineLevel="0" collapsed="false">
      <c r="A54156" s="0" t="s">
        <v>18711</v>
      </c>
      <c r="B54156" s="0" t="str">
        <f aca="false">HYPERLINK("https://lindat.mff.cuni.cz/services/teitok/pdtc10/index.php?action=vallex&amp;frame=v-w7683f3", "volat (v-w7683f3)")</f>
        <v>volat (v-w7683f3)</v>
      </c>
      <c r="E54156" s="0" t="str">
        <f aca="false">HYPERLINK("https://lindat.mff.cuni.cz/services/SynSemClass40/SynSemClass40.html?veclass=vec01539#vec01539-ces-cm00006", "vec01539")</f>
        <v>vec01539</v>
      </c>
      <c r="F54156" s="0" t="s">
        <v>18712</v>
      </c>
    </row>
    <row r="54157" customFormat="false" ht="12.8" hidden="false" customHeight="false" outlineLevel="0" collapsed="false">
      <c r="B54157" s="0" t="s">
        <v>1</v>
      </c>
      <c r="C54157" s="0" t="s">
        <v>18713</v>
      </c>
      <c r="E54157" s="0" t="s">
        <v>31</v>
      </c>
      <c r="F54157" s="0" t="s">
        <v>18714</v>
      </c>
    </row>
    <row r="54158" customFormat="false" ht="12.8" hidden="false" customHeight="false" outlineLevel="0" collapsed="false">
      <c r="B54158" s="0" t="s">
        <v>8</v>
      </c>
      <c r="C54158" s="0" t="s">
        <v>10894</v>
      </c>
      <c r="E54158" s="0" t="s">
        <v>4297</v>
      </c>
      <c r="F54158" s="0" t="s">
        <v>18715</v>
      </c>
    </row>
    <row r="54160" customFormat="false" ht="12.8" hidden="false" customHeight="false" outlineLevel="0" collapsed="false">
      <c r="A54160" s="0" t="s">
        <v>18716</v>
      </c>
      <c r="B54160" s="0" t="str">
        <f aca="false">HYPERLINK("https://lindat.mff.cuni.cz/services/teitok/pdtc10/index.php?action=vallex&amp;frame=v-w7683f11_ZU", "volat (v-w7683f11_ZU)")</f>
        <v>volat (v-w7683f11_ZU)</v>
      </c>
    </row>
    <row r="54161" customFormat="false" ht="12.8" hidden="false" customHeight="false" outlineLevel="0" collapsed="false">
      <c r="B54161" s="0" t="s">
        <v>1</v>
      </c>
    </row>
    <row r="54162" customFormat="false" ht="12.8" hidden="false" customHeight="false" outlineLevel="0" collapsed="false">
      <c r="B54162" s="0" t="s">
        <v>8</v>
      </c>
    </row>
    <row r="54164" customFormat="false" ht="12.8" hidden="false" customHeight="false" outlineLevel="0" collapsed="false">
      <c r="A54164" s="0" t="s">
        <v>18716</v>
      </c>
      <c r="B54164" s="0" t="str">
        <f aca="false">HYPERLINK("https://lindat.mff.cuni.cz/services/teitok/pdtc10/index.php?action=vallex&amp;frame=v-w7683f5", "volat (v-w7683f5) - substituted with v-w7683f11_ZU")</f>
        <v>volat (v-w7683f5) - substituted with v-w7683f11_ZU</v>
      </c>
      <c r="E54164" s="0" t="str">
        <f aca="false">HYPERLINK("https://lindat.mff.cuni.cz/services/SynSemClass40/SynSemClass40.html?veclass=vec01539#vec01539-ces-cm00008", "vec01539")</f>
        <v>vec01539</v>
      </c>
      <c r="F54164" s="0" t="s">
        <v>18712</v>
      </c>
    </row>
    <row r="54165" customFormat="false" ht="12.8" hidden="false" customHeight="false" outlineLevel="0" collapsed="false">
      <c r="B54165" s="0" t="s">
        <v>1</v>
      </c>
      <c r="C54165" s="0" t="s">
        <v>18713</v>
      </c>
      <c r="E54165" s="0" t="s">
        <v>31</v>
      </c>
      <c r="F54165" s="0" t="s">
        <v>18714</v>
      </c>
    </row>
    <row r="54166" customFormat="false" ht="12.8" hidden="false" customHeight="false" outlineLevel="0" collapsed="false">
      <c r="B54166" s="0" t="s">
        <v>8</v>
      </c>
      <c r="C54166" s="0" t="s">
        <v>10894</v>
      </c>
      <c r="E54166" s="0" t="s">
        <v>4297</v>
      </c>
      <c r="F54166" s="0" t="s">
        <v>18715</v>
      </c>
    </row>
    <row r="54168" customFormat="false" ht="12.8" hidden="false" customHeight="false" outlineLevel="0" collapsed="false">
      <c r="A54168" s="0" t="s">
        <v>18717</v>
      </c>
      <c r="B54168" s="0" t="str">
        <f aca="false">HYPERLINK("https://lindat.mff.cuni.cz/services/teitok/pdtc10/index.php?action=vallex&amp;frame=v-w7683f2", "volat (v-w7683f2)")</f>
        <v>volat (v-w7683f2)</v>
      </c>
      <c r="E54168" s="0" t="str">
        <f aca="false">HYPERLINK("https://lindat.mff.cuni.cz/services/SynSemClass40/SynSemClass40.html?veclass=vec00272#vec00272-ces-cm00078", "vec00272")</f>
        <v>vec00272</v>
      </c>
      <c r="F54168" s="0" t="s">
        <v>1490</v>
      </c>
      <c r="H54168" s="0" t="str">
        <f aca="false">HYPERLINK("https://lindat.mff.cuni.cz/services/SynSemClass40/SynSemClass40.html?veclass=vec01290#vec01290-ces-cm00028", "vec01290")</f>
        <v>vec01290</v>
      </c>
      <c r="I54168" s="0" t="s">
        <v>12066</v>
      </c>
    </row>
    <row r="54169" customFormat="false" ht="12.8" hidden="false" customHeight="false" outlineLevel="0" collapsed="false">
      <c r="B54169" s="0" t="s">
        <v>1</v>
      </c>
      <c r="C54169" s="0" t="s">
        <v>18718</v>
      </c>
      <c r="E54169" s="0" t="s">
        <v>1492</v>
      </c>
      <c r="F54169" s="0" t="s">
        <v>1493</v>
      </c>
      <c r="H54169" s="0" t="s">
        <v>1492</v>
      </c>
      <c r="I54169" s="0" t="s">
        <v>12068</v>
      </c>
    </row>
    <row r="54170" customFormat="false" ht="12.8" hidden="false" customHeight="false" outlineLevel="0" collapsed="false">
      <c r="B54170" s="0" t="s">
        <v>1659</v>
      </c>
      <c r="C54170" s="0" t="s">
        <v>18719</v>
      </c>
      <c r="E54170" s="0" t="s">
        <v>1495</v>
      </c>
      <c r="F54170" s="0" t="s">
        <v>1496</v>
      </c>
      <c r="H54170" s="0" t="s">
        <v>1495</v>
      </c>
      <c r="I54170" s="0" t="s">
        <v>12071</v>
      </c>
    </row>
    <row r="54172" customFormat="false" ht="12.8" hidden="false" customHeight="false" outlineLevel="0" collapsed="false">
      <c r="A54172" s="0" t="s">
        <v>18720</v>
      </c>
      <c r="B54172" s="0" t="str">
        <f aca="false">HYPERLINK("https://lindat.mff.cuni.cz/services/teitok/pdtc10/index.php?action=vallex&amp;frame=v-w7683f7", "volat (v-w7683f7)")</f>
        <v>volat (v-w7683f7)</v>
      </c>
      <c r="E54172" s="0" t="str">
        <f aca="false">HYPERLINK("https://lindat.mff.cuni.cz/services/SynSemClass40/SynSemClass40.html?veclass=vec00581#vec00581-ces-cm00007", "vec00581")</f>
        <v>vec00581</v>
      </c>
      <c r="F54172" s="0" t="s">
        <v>10256</v>
      </c>
    </row>
    <row r="54173" customFormat="false" ht="12.8" hidden="false" customHeight="false" outlineLevel="0" collapsed="false">
      <c r="B54173" s="0" t="s">
        <v>1</v>
      </c>
      <c r="C54173" s="0" t="s">
        <v>3241</v>
      </c>
      <c r="E54173" s="0" t="s">
        <v>147</v>
      </c>
      <c r="F54173" s="0" t="s">
        <v>10257</v>
      </c>
    </row>
    <row r="54174" customFormat="false" ht="12.8" hidden="false" customHeight="false" outlineLevel="0" collapsed="false">
      <c r="B54174" s="0" t="s">
        <v>52</v>
      </c>
      <c r="C54174" s="0" t="s">
        <v>551</v>
      </c>
      <c r="E54174" s="0" t="s">
        <v>221</v>
      </c>
      <c r="F54174" s="0" t="s">
        <v>17044</v>
      </c>
    </row>
    <row r="54175" customFormat="false" ht="12.8" hidden="false" customHeight="false" outlineLevel="0" collapsed="false">
      <c r="B54175" s="0" t="s">
        <v>496</v>
      </c>
      <c r="C54175" s="0" t="s">
        <v>9512</v>
      </c>
      <c r="E54175" s="0" t="s">
        <v>218</v>
      </c>
      <c r="F54175" s="0" t="s">
        <v>17043</v>
      </c>
    </row>
    <row r="54177" customFormat="false" ht="12.8" hidden="false" customHeight="false" outlineLevel="0" collapsed="false">
      <c r="A54177" s="0" t="s">
        <v>18721</v>
      </c>
      <c r="B54177" s="0" t="str">
        <f aca="false">HYPERLINK("https://lindat.mff.cuni.cz/services/teitok/pdtc10/index.php?action=vallex&amp;frame=v-w7683f8", "volat (v-w7683f8)")</f>
        <v>volat (v-w7683f8)</v>
      </c>
    </row>
    <row r="54178" customFormat="false" ht="12.8" hidden="false" customHeight="false" outlineLevel="0" collapsed="false">
      <c r="B54178" s="0" t="s">
        <v>1</v>
      </c>
    </row>
    <row r="54179" customFormat="false" ht="12.8" hidden="false" customHeight="false" outlineLevel="0" collapsed="false">
      <c r="B54179" s="0" t="s">
        <v>52</v>
      </c>
    </row>
    <row r="54180" customFormat="false" ht="12.8" hidden="false" customHeight="false" outlineLevel="0" collapsed="false">
      <c r="B54180" s="0" t="s">
        <v>6407</v>
      </c>
    </row>
    <row r="54181" customFormat="false" ht="12.8" hidden="false" customHeight="false" outlineLevel="0" collapsed="false">
      <c r="B54181" s="0" t="s">
        <v>496</v>
      </c>
    </row>
    <row r="54183" customFormat="false" ht="12.8" hidden="false" customHeight="false" outlineLevel="0" collapsed="false">
      <c r="A54183" s="0" t="s">
        <v>18722</v>
      </c>
      <c r="B54183" s="0" t="str">
        <f aca="false">HYPERLINK("https://lindat.mff.cuni.cz/services/teitok/pdtc10/index.php?action=vallex&amp;frame=v-w7683f4", "volat (v-w7683f4)")</f>
        <v>volat (v-w7683f4)</v>
      </c>
      <c r="E54183" s="0" t="str">
        <f aca="false">HYPERLINK("https://lindat.mff.cuni.cz/services/SynSemClass40/SynSemClass40.html?veclass=vec00581#vec00581-ces-cm00004", "vec00581")</f>
        <v>vec00581</v>
      </c>
      <c r="F54183" s="0" t="s">
        <v>10256</v>
      </c>
    </row>
    <row r="54184" customFormat="false" ht="12.8" hidden="false" customHeight="false" outlineLevel="0" collapsed="false">
      <c r="B54184" s="0" t="s">
        <v>1</v>
      </c>
      <c r="C54184" s="0" t="s">
        <v>3241</v>
      </c>
      <c r="E54184" s="0" t="s">
        <v>147</v>
      </c>
      <c r="F54184" s="0" t="s">
        <v>10257</v>
      </c>
    </row>
    <row r="54185" customFormat="false" ht="12.8" hidden="false" customHeight="false" outlineLevel="0" collapsed="false">
      <c r="B54185" s="0" t="s">
        <v>164</v>
      </c>
      <c r="C54185" s="0" t="s">
        <v>17049</v>
      </c>
      <c r="E54185" s="0" t="s">
        <v>13264</v>
      </c>
      <c r="F54185" s="0" t="s">
        <v>17050</v>
      </c>
    </row>
    <row r="54186" customFormat="false" ht="12.8" hidden="false" customHeight="false" outlineLevel="0" collapsed="false">
      <c r="B54186" s="0" t="s">
        <v>496</v>
      </c>
      <c r="C54186" s="0" t="s">
        <v>9512</v>
      </c>
      <c r="E54186" s="0" t="s">
        <v>218</v>
      </c>
      <c r="F54186" s="0" t="s">
        <v>17043</v>
      </c>
    </row>
    <row r="54188" customFormat="false" ht="12.8" hidden="false" customHeight="false" outlineLevel="0" collapsed="false">
      <c r="A54188" s="0" t="s">
        <v>18723</v>
      </c>
      <c r="B54188" s="0" t="str">
        <f aca="false">HYPERLINK("https://lindat.mff.cuni.cz/services/teitok/pdtc10/index.php?action=vallex&amp;frame=v-whsa_610hsa_611", "volat si (v-whsa_610hsa_611)")</f>
        <v>volat si (v-whsa_610hsa_611)</v>
      </c>
    </row>
    <row r="54189" customFormat="false" ht="12.8" hidden="false" customHeight="false" outlineLevel="0" collapsed="false">
      <c r="B54189" s="0" t="s">
        <v>1</v>
      </c>
    </row>
    <row r="54190" customFormat="false" ht="12.8" hidden="false" customHeight="false" outlineLevel="0" collapsed="false">
      <c r="B54190" s="0" t="s">
        <v>8</v>
      </c>
    </row>
    <row r="54191" customFormat="false" ht="12.8" hidden="false" customHeight="false" outlineLevel="0" collapsed="false">
      <c r="B54191" s="0" t="s">
        <v>276</v>
      </c>
    </row>
    <row r="54193" customFormat="false" ht="12.8" hidden="false" customHeight="false" outlineLevel="0" collapsed="false">
      <c r="A54193" s="0" t="s">
        <v>18724</v>
      </c>
      <c r="B54193" s="0" t="str">
        <f aca="false">HYPERLINK("https://lindat.mff.cuni.cz/services/teitok/pdtc10/index.php?action=vallex&amp;frame=v-w7686f1", "volit (v-w7686f1)")</f>
        <v>volit (v-w7686f1)</v>
      </c>
      <c r="E54193" s="0" t="str">
        <f aca="false">HYPERLINK("https://lindat.mff.cuni.cz/services/SynSemClass40/SynSemClass40.html?veclass=vec00106#vec00106-ces-cm00048", "vec00106")</f>
        <v>vec00106</v>
      </c>
      <c r="F54193" s="0" t="s">
        <v>15055</v>
      </c>
    </row>
    <row r="54194" customFormat="false" ht="12.8" hidden="false" customHeight="false" outlineLevel="0" collapsed="false">
      <c r="B54194" s="0" t="s">
        <v>1</v>
      </c>
      <c r="C54194" s="0" t="s">
        <v>15056</v>
      </c>
      <c r="E54194" s="0" t="s">
        <v>621</v>
      </c>
      <c r="F54194" s="0" t="s">
        <v>15057</v>
      </c>
    </row>
    <row r="54195" customFormat="false" ht="12.8" hidden="false" customHeight="false" outlineLevel="0" collapsed="false">
      <c r="B54195" s="0" t="s">
        <v>305</v>
      </c>
      <c r="C54195" s="0" t="s">
        <v>15058</v>
      </c>
      <c r="E54195" s="0" t="s">
        <v>4297</v>
      </c>
      <c r="F54195" s="0" t="s">
        <v>15059</v>
      </c>
    </row>
    <row r="54196" customFormat="false" ht="12.8" hidden="false" customHeight="false" outlineLevel="0" collapsed="false">
      <c r="B54196" s="0" t="s">
        <v>15060</v>
      </c>
      <c r="C54196" s="0" t="s">
        <v>15061</v>
      </c>
      <c r="E54196" s="0" t="s">
        <v>15062</v>
      </c>
      <c r="F54196" s="0" t="s">
        <v>15063</v>
      </c>
    </row>
    <row r="54198" customFormat="false" ht="12.8" hidden="false" customHeight="false" outlineLevel="0" collapsed="false">
      <c r="A54198" s="0" t="s">
        <v>18725</v>
      </c>
      <c r="B54198" s="0" t="str">
        <f aca="false">HYPERLINK("https://lindat.mff.cuni.cz/services/teitok/pdtc10/index.php?action=vallex&amp;frame=v-w7686f2", "volit (v-w7686f2)")</f>
        <v>volit (v-w7686f2)</v>
      </c>
    </row>
    <row r="54199" customFormat="false" ht="12.8" hidden="false" customHeight="false" outlineLevel="0" collapsed="false">
      <c r="B54199" s="0" t="s">
        <v>1</v>
      </c>
    </row>
    <row r="54200" customFormat="false" ht="12.8" hidden="false" customHeight="false" outlineLevel="0" collapsed="false">
      <c r="B54200" s="0" t="s">
        <v>8</v>
      </c>
    </row>
    <row r="54201" customFormat="false" ht="12.8" hidden="false" customHeight="false" outlineLevel="0" collapsed="false">
      <c r="B54201" s="0" t="s">
        <v>12296</v>
      </c>
    </row>
    <row r="54203" customFormat="false" ht="12.8" hidden="false" customHeight="false" outlineLevel="0" collapsed="false">
      <c r="A54203" s="0" t="s">
        <v>18726</v>
      </c>
      <c r="B54203" s="0" t="str">
        <f aca="false">HYPERLINK("https://lindat.mff.cuni.cz/services/teitok/pdtc10/index.php?action=vallex&amp;frame=v-whsa_800f1_ZU", "volávat (v-whsa_800f1_ZU)")</f>
        <v>volávat (v-whsa_800f1_ZU)</v>
      </c>
    </row>
    <row r="54204" customFormat="false" ht="12.8" hidden="false" customHeight="false" outlineLevel="0" collapsed="false">
      <c r="B54204" s="0" t="s">
        <v>1</v>
      </c>
    </row>
    <row r="54205" customFormat="false" ht="12.8" hidden="false" customHeight="false" outlineLevel="0" collapsed="false">
      <c r="B54205" s="0" t="s">
        <v>500</v>
      </c>
    </row>
    <row r="54206" customFormat="false" ht="12.8" hidden="false" customHeight="false" outlineLevel="0" collapsed="false">
      <c r="B54206" s="0" t="s">
        <v>52</v>
      </c>
    </row>
    <row r="54208" customFormat="false" ht="12.8" hidden="false" customHeight="false" outlineLevel="0" collapsed="false">
      <c r="A54208" s="0" t="s">
        <v>18726</v>
      </c>
      <c r="B54208" s="0" t="str">
        <f aca="false">HYPERLINK("https://lindat.mff.cuni.cz/services/teitok/pdtc10/index.php?action=vallex&amp;frame=v-whsb_800hsa_801", "volávat (v-whsb_800hsa_801) - substituted with v-whsa_800f1_ZU")</f>
        <v>volávat (v-whsb_800hsa_801) - substituted with v-whsa_800f1_ZU</v>
      </c>
    </row>
    <row r="54209" customFormat="false" ht="12.8" hidden="false" customHeight="false" outlineLevel="0" collapsed="false">
      <c r="B54209" s="0" t="s">
        <v>1</v>
      </c>
    </row>
    <row r="54210" customFormat="false" ht="12.8" hidden="false" customHeight="false" outlineLevel="0" collapsed="false">
      <c r="B54210" s="0" t="s">
        <v>500</v>
      </c>
    </row>
    <row r="54211" customFormat="false" ht="12.8" hidden="false" customHeight="false" outlineLevel="0" collapsed="false">
      <c r="B54211" s="0" t="s">
        <v>52</v>
      </c>
    </row>
    <row r="54213" customFormat="false" ht="12.8" hidden="false" customHeight="false" outlineLevel="0" collapsed="false">
      <c r="A54213" s="0" t="s">
        <v>18727</v>
      </c>
      <c r="B54213" s="0" t="str">
        <f aca="false">HYPERLINK("https://lindat.mff.cuni.cz/services/teitok/pdtc10/index.php?action=vallex&amp;frame=v-w7687f1", "vonět (v-w7687f1)")</f>
        <v>vonět (v-w7687f1)</v>
      </c>
    </row>
    <row r="54214" customFormat="false" ht="12.8" hidden="false" customHeight="false" outlineLevel="0" collapsed="false">
      <c r="B54214" s="0" t="s">
        <v>804</v>
      </c>
    </row>
    <row r="54215" customFormat="false" ht="12.8" hidden="false" customHeight="false" outlineLevel="0" collapsed="false">
      <c r="B54215" s="0" t="s">
        <v>5918</v>
      </c>
    </row>
    <row r="54217" customFormat="false" ht="12.8" hidden="false" customHeight="false" outlineLevel="0" collapsed="false">
      <c r="A54217" s="0" t="s">
        <v>18728</v>
      </c>
      <c r="B54217" s="0" t="str">
        <f aca="false">HYPERLINK("https://lindat.mff.cuni.cz/services/teitok/pdtc10/index.php?action=vallex&amp;frame=v-w7687f2", "vonět (v-w7687f2)")</f>
        <v>vonět (v-w7687f2)</v>
      </c>
    </row>
    <row r="54218" customFormat="false" ht="12.8" hidden="false" customHeight="false" outlineLevel="0" collapsed="false">
      <c r="B54218" s="0" t="s">
        <v>1</v>
      </c>
    </row>
    <row r="54219" customFormat="false" ht="12.8" hidden="false" customHeight="false" outlineLevel="0" collapsed="false">
      <c r="B54219" s="0" t="s">
        <v>13036</v>
      </c>
    </row>
    <row r="54221" customFormat="false" ht="12.8" hidden="false" customHeight="false" outlineLevel="0" collapsed="false">
      <c r="A54221" s="0" t="s">
        <v>18729</v>
      </c>
      <c r="B54221" s="0" t="str">
        <f aca="false">HYPERLINK("https://lindat.mff.cuni.cz/services/teitok/pdtc10/index.php?action=vallex&amp;frame=v-w7688f1", "voperovat (v-w7688f1)")</f>
        <v>voperovat (v-w7688f1)</v>
      </c>
    </row>
    <row r="54222" customFormat="false" ht="12.8" hidden="false" customHeight="false" outlineLevel="0" collapsed="false">
      <c r="B54222" s="0" t="s">
        <v>1</v>
      </c>
    </row>
    <row r="54223" customFormat="false" ht="12.8" hidden="false" customHeight="false" outlineLevel="0" collapsed="false">
      <c r="B54223" s="0" t="s">
        <v>8</v>
      </c>
    </row>
    <row r="54224" customFormat="false" ht="12.8" hidden="false" customHeight="false" outlineLevel="0" collapsed="false">
      <c r="B54224" s="0" t="s">
        <v>52</v>
      </c>
    </row>
    <row r="54226" customFormat="false" ht="12.8" hidden="false" customHeight="false" outlineLevel="0" collapsed="false">
      <c r="A54226" s="0" t="s">
        <v>18730</v>
      </c>
      <c r="B54226" s="0" t="str">
        <f aca="false">HYPERLINK("https://lindat.mff.cuni.cz/services/teitok/pdtc10/index.php?action=vallex&amp;frame=v-w7689f3_MM", "vozit (v-w7689f3_MM)")</f>
        <v>vozit (v-w7689f3_MM)</v>
      </c>
    </row>
    <row r="54227" customFormat="false" ht="12.8" hidden="false" customHeight="false" outlineLevel="0" collapsed="false">
      <c r="B54227" s="0" t="s">
        <v>1</v>
      </c>
    </row>
    <row r="54228" customFormat="false" ht="12.8" hidden="false" customHeight="false" outlineLevel="0" collapsed="false">
      <c r="B54228" s="0" t="s">
        <v>305</v>
      </c>
    </row>
    <row r="54230" customFormat="false" ht="12.8" hidden="false" customHeight="false" outlineLevel="0" collapsed="false">
      <c r="A54230" s="0" t="s">
        <v>18730</v>
      </c>
      <c r="B54230" s="0" t="str">
        <f aca="false">HYPERLINK("https://lindat.mff.cuni.cz/services/teitok/pdtc10/index.php?action=vallex&amp;frame=v-w7689f1", "vozit (v-w7689f1) - substituted with v-w7689f3_MM")</f>
        <v>vozit (v-w7689f1) - substituted with v-w7689f3_MM</v>
      </c>
      <c r="E54230" s="0" t="str">
        <f aca="false">HYPERLINK("https://lindat.mff.cuni.cz/services/SynSemClass40/SynSemClass40.html?veclass=vec00011#vec00011-ces-cm00174", "vec00011")</f>
        <v>vec00011</v>
      </c>
      <c r="F54230" s="0" t="s">
        <v>2193</v>
      </c>
      <c r="H54230" s="0" t="str">
        <f aca="false">HYPERLINK("https://lindat.mff.cuni.cz/services/SynSemClass40/SynSemClass40.html?veclass=vec00172#vec00172-ces-cm00036", "vec00172")</f>
        <v>vec00172</v>
      </c>
      <c r="I54230" s="0" t="s">
        <v>2513</v>
      </c>
    </row>
    <row r="54231" customFormat="false" ht="12.8" hidden="false" customHeight="false" outlineLevel="0" collapsed="false">
      <c r="B54231" s="0" t="s">
        <v>1</v>
      </c>
      <c r="C54231" s="0" t="s">
        <v>2514</v>
      </c>
      <c r="E54231" s="0" t="s">
        <v>2196</v>
      </c>
      <c r="F54231" s="0" t="s">
        <v>2197</v>
      </c>
      <c r="H54231" s="0" t="s">
        <v>2196</v>
      </c>
      <c r="I54231" s="0" t="s">
        <v>2515</v>
      </c>
    </row>
    <row r="54232" customFormat="false" ht="12.8" hidden="false" customHeight="false" outlineLevel="0" collapsed="false">
      <c r="B54232" s="0" t="s">
        <v>305</v>
      </c>
      <c r="C54232" s="0" t="s">
        <v>2516</v>
      </c>
      <c r="E54232" s="0" t="s">
        <v>2200</v>
      </c>
      <c r="F54232" s="0" t="s">
        <v>2201</v>
      </c>
      <c r="H54232" s="0" t="s">
        <v>2200</v>
      </c>
      <c r="I54232" s="0" t="s">
        <v>2517</v>
      </c>
    </row>
    <row r="54234" customFormat="false" ht="12.8" hidden="false" customHeight="false" outlineLevel="0" collapsed="false">
      <c r="A54234" s="0" t="s">
        <v>18731</v>
      </c>
      <c r="B54234" s="0" t="str">
        <f aca="false">HYPERLINK("https://lindat.mff.cuni.cz/services/teitok/pdtc10/index.php?action=vallex&amp;frame=v-w7689f2_ZU", "vozit (v-w7689f2_ZU)")</f>
        <v>vozit (v-w7689f2_ZU)</v>
      </c>
    </row>
    <row r="54235" customFormat="false" ht="12.8" hidden="false" customHeight="false" outlineLevel="0" collapsed="false">
      <c r="B54235" s="0" t="s">
        <v>1</v>
      </c>
    </row>
    <row r="54236" customFormat="false" ht="12.8" hidden="false" customHeight="false" outlineLevel="0" collapsed="false">
      <c r="B54236" s="0" t="s">
        <v>8</v>
      </c>
    </row>
    <row r="54238" customFormat="false" ht="12.8" hidden="false" customHeight="false" outlineLevel="0" collapsed="false">
      <c r="A54238" s="0" t="s">
        <v>18732</v>
      </c>
      <c r="B54238" s="0" t="str">
        <f aca="false">HYPERLINK("https://lindat.mff.cuni.cz/services/teitok/pdtc10/index.php?action=vallex&amp;frame=v-w7690f1", "vozit se (v-w7690f1)")</f>
        <v>vozit se (v-w7690f1)</v>
      </c>
    </row>
    <row r="54239" customFormat="false" ht="12.8" hidden="false" customHeight="false" outlineLevel="0" collapsed="false">
      <c r="B54239" s="0" t="s">
        <v>1</v>
      </c>
    </row>
    <row r="54241" customFormat="false" ht="12.8" hidden="false" customHeight="false" outlineLevel="0" collapsed="false">
      <c r="A54241" s="0" t="s">
        <v>18733</v>
      </c>
      <c r="B54241" s="0" t="str">
        <f aca="false">HYPERLINK("https://lindat.mff.cuni.cz/services/teitok/pdtc10/index.php?action=vallex&amp;frame=v-w7690f2_ZU", "vozit se (v-w7690f2_ZU)")</f>
        <v>vozit se (v-w7690f2_ZU)</v>
      </c>
    </row>
    <row r="54242" customFormat="false" ht="12.8" hidden="false" customHeight="false" outlineLevel="0" collapsed="false">
      <c r="B54242" s="0" t="s">
        <v>1</v>
      </c>
    </row>
    <row r="54243" customFormat="false" ht="12.8" hidden="false" customHeight="false" outlineLevel="0" collapsed="false">
      <c r="B54243" s="0" t="s">
        <v>291</v>
      </c>
    </row>
    <row r="54245" customFormat="false" ht="12.8" hidden="false" customHeight="false" outlineLevel="0" collapsed="false">
      <c r="A54245" s="0" t="s">
        <v>18733</v>
      </c>
      <c r="B54245" s="0" t="str">
        <f aca="false">HYPERLINK("https://lindat.mff.cuni.cz/services/teitok/pdtc10/index.php?action=vallex&amp;frame=v-w7690hsa_17", "vozit se (v-w7690hsa_17) - substituted with v-w7690f2_ZU")</f>
        <v>vozit se (v-w7690hsa_17) - substituted with v-w7690f2_ZU</v>
      </c>
    </row>
    <row r="54246" customFormat="false" ht="12.8" hidden="false" customHeight="false" outlineLevel="0" collapsed="false">
      <c r="B54246" s="0" t="s">
        <v>1</v>
      </c>
    </row>
    <row r="54247" customFormat="false" ht="12.8" hidden="false" customHeight="false" outlineLevel="0" collapsed="false">
      <c r="B54247" s="0" t="s">
        <v>291</v>
      </c>
    </row>
    <row r="54249" customFormat="false" ht="12.8" hidden="false" customHeight="false" outlineLevel="0" collapsed="false">
      <c r="A54249" s="0" t="s">
        <v>18734</v>
      </c>
      <c r="B54249" s="0" t="str">
        <f aca="false">HYPERLINK("https://lindat.mff.cuni.cz/services/teitok/pdtc10/index.php?action=vallex&amp;frame=v-whsa_472hsa_473", "vozívat (v-whsa_472hsa_473)")</f>
        <v>vozívat (v-whsa_472hsa_473)</v>
      </c>
    </row>
    <row r="54250" customFormat="false" ht="12.8" hidden="false" customHeight="false" outlineLevel="0" collapsed="false">
      <c r="B54250" s="0" t="s">
        <v>1</v>
      </c>
    </row>
    <row r="54251" customFormat="false" ht="12.8" hidden="false" customHeight="false" outlineLevel="0" collapsed="false">
      <c r="B54251" s="0" t="s">
        <v>8</v>
      </c>
    </row>
    <row r="54253" customFormat="false" ht="12.8" hidden="false" customHeight="false" outlineLevel="0" collapsed="false">
      <c r="A54253" s="0" t="s">
        <v>18735</v>
      </c>
      <c r="B54253" s="0" t="str">
        <f aca="false">HYPERLINK("https://lindat.mff.cuni.cz/services/teitok/pdtc10/index.php?action=vallex&amp;frame=v-whsa_1859hsa_1860", "vošukat (v-whsa_1859hsa_1860)")</f>
        <v>vošukat (v-whsa_1859hsa_1860)</v>
      </c>
    </row>
    <row r="54254" customFormat="false" ht="12.8" hidden="false" customHeight="false" outlineLevel="0" collapsed="false">
      <c r="B54254" s="0" t="s">
        <v>1</v>
      </c>
    </row>
    <row r="54255" customFormat="false" ht="12.8" hidden="false" customHeight="false" outlineLevel="0" collapsed="false">
      <c r="B54255" s="0" t="s">
        <v>8</v>
      </c>
    </row>
    <row r="54257" customFormat="false" ht="12.8" hidden="false" customHeight="false" outlineLevel="0" collapsed="false">
      <c r="A54257" s="0" t="s">
        <v>18736</v>
      </c>
      <c r="B54257" s="0" t="str">
        <f aca="false">HYPERLINK("https://lindat.mff.cuni.cz/services/teitok/pdtc10/index.php?action=vallex&amp;frame=v-w10826f3", "vpadnout (v-w10826f3)")</f>
        <v>vpadnout (v-w10826f3)</v>
      </c>
    </row>
    <row r="54258" customFormat="false" ht="12.8" hidden="false" customHeight="false" outlineLevel="0" collapsed="false">
      <c r="B54258" s="0" t="s">
        <v>1</v>
      </c>
    </row>
    <row r="54259" customFormat="false" ht="12.8" hidden="false" customHeight="false" outlineLevel="0" collapsed="false">
      <c r="B54259" s="0" t="s">
        <v>361</v>
      </c>
    </row>
    <row r="54261" customFormat="false" ht="12.8" hidden="false" customHeight="false" outlineLevel="0" collapsed="false">
      <c r="A54261" s="0" t="s">
        <v>18737</v>
      </c>
      <c r="B54261" s="0" t="str">
        <f aca="false">HYPERLINK("https://lindat.mff.cuni.cz/services/teitok/pdtc10/index.php?action=vallex&amp;frame=v-w10826f2", "vpadnout (v-w10826f2)")</f>
        <v>vpadnout (v-w10826f2)</v>
      </c>
    </row>
    <row r="54262" customFormat="false" ht="12.8" hidden="false" customHeight="false" outlineLevel="0" collapsed="false">
      <c r="B54262" s="0" t="s">
        <v>1</v>
      </c>
    </row>
    <row r="54263" customFormat="false" ht="12.8" hidden="false" customHeight="false" outlineLevel="0" collapsed="false">
      <c r="B54263" s="0" t="s">
        <v>164</v>
      </c>
    </row>
    <row r="54265" customFormat="false" ht="12.8" hidden="false" customHeight="false" outlineLevel="0" collapsed="false">
      <c r="A54265" s="0" t="s">
        <v>18738</v>
      </c>
      <c r="B54265" s="0" t="str">
        <f aca="false">HYPERLINK("https://lindat.mff.cuni.cz/services/teitok/pdtc10/index.php?action=vallex&amp;frame=v-w11020f2", "vpadávat (v-w11020f2)")</f>
        <v>vpadávat (v-w11020f2)</v>
      </c>
    </row>
    <row r="54266" customFormat="false" ht="12.8" hidden="false" customHeight="false" outlineLevel="0" collapsed="false">
      <c r="B54266" s="0" t="s">
        <v>1</v>
      </c>
    </row>
    <row r="54267" customFormat="false" ht="12.8" hidden="false" customHeight="false" outlineLevel="0" collapsed="false">
      <c r="B54267" s="0" t="s">
        <v>361</v>
      </c>
    </row>
    <row r="54269" customFormat="false" ht="12.8" hidden="false" customHeight="false" outlineLevel="0" collapsed="false">
      <c r="A54269" s="0" t="s">
        <v>18739</v>
      </c>
      <c r="B54269" s="0" t="str">
        <f aca="false">HYPERLINK("https://lindat.mff.cuni.cz/services/teitok/pdtc10/index.php?action=vallex&amp;frame=v-w7693f1", "vpašovat (v-w7693f1)")</f>
        <v>vpašovat (v-w7693f1)</v>
      </c>
    </row>
    <row r="54270" customFormat="false" ht="12.8" hidden="false" customHeight="false" outlineLevel="0" collapsed="false">
      <c r="B54270" s="0" t="s">
        <v>1</v>
      </c>
    </row>
    <row r="54271" customFormat="false" ht="12.8" hidden="false" customHeight="false" outlineLevel="0" collapsed="false">
      <c r="B54271" s="0" t="s">
        <v>8</v>
      </c>
    </row>
    <row r="54272" customFormat="false" ht="12.8" hidden="false" customHeight="false" outlineLevel="0" collapsed="false">
      <c r="B54272" s="0" t="s">
        <v>164</v>
      </c>
    </row>
    <row r="54274" customFormat="false" ht="12.8" hidden="false" customHeight="false" outlineLevel="0" collapsed="false">
      <c r="A54274" s="0" t="s">
        <v>18740</v>
      </c>
      <c r="B54274" s="0" t="str">
        <f aca="false">HYPERLINK("https://lindat.mff.cuni.cz/services/teitok/pdtc10/index.php?action=vallex&amp;frame=v-whsa_51f1_ZU", "vpisovat (v-whsa_51f1_ZU)")</f>
        <v>vpisovat (v-whsa_51f1_ZU)</v>
      </c>
      <c r="E54274" s="0" t="str">
        <f aca="false">HYPERLINK("https://lindat.mff.cuni.cz/services/SynSemClass40/SynSemClass40.html?veclass=vec01167#vec01167-ces-cm00004", "vec01167")</f>
        <v>vec01167</v>
      </c>
      <c r="F54274" s="0" t="s">
        <v>7657</v>
      </c>
      <c r="H54274" s="0" t="str">
        <f aca="false">HYPERLINK("https://lindat.mff.cuni.cz/services/SynSemClass40/SynSemClass40.html?veclass=vec01345#vec01345-ces-cm00005", "vec01345")</f>
        <v>vec01345</v>
      </c>
      <c r="I54274" s="0" t="s">
        <v>7584</v>
      </c>
    </row>
    <row r="54275" customFormat="false" ht="12.8" hidden="false" customHeight="false" outlineLevel="0" collapsed="false">
      <c r="B54275" s="0" t="s">
        <v>1</v>
      </c>
      <c r="C54275" s="0" t="s">
        <v>12305</v>
      </c>
      <c r="E54275" s="0" t="s">
        <v>768</v>
      </c>
      <c r="F54275" s="0" t="s">
        <v>7658</v>
      </c>
      <c r="H54275" s="0" t="s">
        <v>768</v>
      </c>
      <c r="I54275" s="0" t="s">
        <v>7585</v>
      </c>
    </row>
    <row r="54276" customFormat="false" ht="12.8" hidden="false" customHeight="false" outlineLevel="0" collapsed="false">
      <c r="B54276" s="0" t="s">
        <v>7589</v>
      </c>
      <c r="C54276" s="0" t="s">
        <v>18741</v>
      </c>
      <c r="E54276" s="0" t="s">
        <v>110</v>
      </c>
      <c r="F54276" s="0" t="s">
        <v>7659</v>
      </c>
      <c r="H54276" s="0" t="s">
        <v>218</v>
      </c>
      <c r="I54276" s="0" t="s">
        <v>7587</v>
      </c>
    </row>
    <row r="54277" customFormat="false" ht="12.8" hidden="false" customHeight="false" outlineLevel="0" collapsed="false">
      <c r="B54277" s="0" t="s">
        <v>164</v>
      </c>
      <c r="E54277" s="0" t="s">
        <v>14031</v>
      </c>
      <c r="F54277" s="0" t="s">
        <v>18742</v>
      </c>
      <c r="H54277" s="0" t="s">
        <v>370</v>
      </c>
      <c r="I54277" s="0" t="s">
        <v>3041</v>
      </c>
    </row>
    <row r="54279" customFormat="false" ht="12.8" hidden="false" customHeight="false" outlineLevel="0" collapsed="false">
      <c r="A54279" s="0" t="s">
        <v>18740</v>
      </c>
      <c r="B54279" s="0" t="str">
        <f aca="false">HYPERLINK("https://lindat.mff.cuni.cz/services/teitok/pdtc10/index.php?action=vallex&amp;frame=v-whsa_51hsa_52", "vpisovat (v-whsa_51hsa_52) - substituted with v-whsa_51f1_ZU")</f>
        <v>vpisovat (v-whsa_51hsa_52) - substituted with v-whsa_51f1_ZU</v>
      </c>
    </row>
    <row r="54280" customFormat="false" ht="12.8" hidden="false" customHeight="false" outlineLevel="0" collapsed="false">
      <c r="B54280" s="0" t="s">
        <v>1</v>
      </c>
    </row>
    <row r="54281" customFormat="false" ht="12.8" hidden="false" customHeight="false" outlineLevel="0" collapsed="false">
      <c r="B54281" s="0" t="s">
        <v>7589</v>
      </c>
    </row>
    <row r="54282" customFormat="false" ht="12.8" hidden="false" customHeight="false" outlineLevel="0" collapsed="false">
      <c r="B54282" s="0" t="s">
        <v>164</v>
      </c>
    </row>
    <row r="54284" customFormat="false" ht="12.8" hidden="false" customHeight="false" outlineLevel="0" collapsed="false">
      <c r="A54284" s="0" t="s">
        <v>18743</v>
      </c>
      <c r="B54284" s="0" t="str">
        <f aca="false">HYPERLINK("https://lindat.mff.cuni.cz/services/teitok/pdtc10/index.php?action=vallex&amp;frame=v-w10155f2", "vplout (v-w10155f2)")</f>
        <v>vplout (v-w10155f2)</v>
      </c>
    </row>
    <row r="54285" customFormat="false" ht="12.8" hidden="false" customHeight="false" outlineLevel="0" collapsed="false">
      <c r="B54285" s="0" t="s">
        <v>1</v>
      </c>
    </row>
    <row r="54286" customFormat="false" ht="12.8" hidden="false" customHeight="false" outlineLevel="0" collapsed="false">
      <c r="B54286" s="0" t="s">
        <v>164</v>
      </c>
    </row>
    <row r="54288" customFormat="false" ht="12.8" hidden="false" customHeight="false" outlineLevel="0" collapsed="false">
      <c r="A54288" s="0" t="s">
        <v>18744</v>
      </c>
      <c r="B54288" s="0" t="str">
        <f aca="false">HYPERLINK("https://lindat.mff.cuni.cz/services/teitok/pdtc10/index.php?action=vallex&amp;frame=v-w7697f1", "vplouvat (v-w7697f1)")</f>
        <v>vplouvat (v-w7697f1)</v>
      </c>
      <c r="E54288" s="0" t="str">
        <f aca="false">HYPERLINK("https://lindat.mff.cuni.cz/services/SynSemClass40/SynSemClass40.html?veclass=vec00218#vec00218-ces-cm00269", "vec00218")</f>
        <v>vec00218</v>
      </c>
      <c r="F54288" s="0" t="s">
        <v>2143</v>
      </c>
      <c r="H54288" s="0" t="str">
        <f aca="false">HYPERLINK("https://lindat.mff.cuni.cz/services/SynSemClass40/SynSemClass40.html?veclass=vec00952#vec00952-ces-cm00088", "vec00952")</f>
        <v>vec00952</v>
      </c>
      <c r="I54288" s="0" t="s">
        <v>3038</v>
      </c>
    </row>
    <row r="54289" customFormat="false" ht="12.8" hidden="false" customHeight="false" outlineLevel="0" collapsed="false">
      <c r="B54289" s="0" t="s">
        <v>1</v>
      </c>
      <c r="C54289" s="0" t="s">
        <v>3039</v>
      </c>
      <c r="E54289" s="0" t="s">
        <v>11</v>
      </c>
      <c r="F54289" s="0" t="s">
        <v>2145</v>
      </c>
      <c r="H54289" s="0" t="s">
        <v>334</v>
      </c>
      <c r="I54289" s="0" t="s">
        <v>3040</v>
      </c>
    </row>
    <row r="54290" customFormat="false" ht="12.8" hidden="false" customHeight="false" outlineLevel="0" collapsed="false">
      <c r="B54290" s="0" t="s">
        <v>164</v>
      </c>
      <c r="C54290" s="0" t="s">
        <v>2146</v>
      </c>
      <c r="E54290" s="0" t="s">
        <v>370</v>
      </c>
      <c r="F54290" s="0" t="s">
        <v>2147</v>
      </c>
      <c r="H54290" s="0" t="s">
        <v>370</v>
      </c>
      <c r="I54290" s="0" t="s">
        <v>3041</v>
      </c>
    </row>
    <row r="54292" customFormat="false" ht="12.8" hidden="false" customHeight="false" outlineLevel="0" collapsed="false">
      <c r="A54292" s="0" t="s">
        <v>18745</v>
      </c>
      <c r="B54292" s="0" t="str">
        <f aca="false">HYPERLINK("https://lindat.mff.cuni.cz/services/teitok/pdtc10/index.php?action=vallex&amp;frame=v-w7697f2", "vplouvat (v-w7697f2)")</f>
        <v>vplouvat (v-w7697f2)</v>
      </c>
    </row>
    <row r="54293" customFormat="false" ht="12.8" hidden="false" customHeight="false" outlineLevel="0" collapsed="false">
      <c r="B54293" s="0" t="s">
        <v>1</v>
      </c>
    </row>
    <row r="54294" customFormat="false" ht="12.8" hidden="false" customHeight="false" outlineLevel="0" collapsed="false">
      <c r="B54294" s="0" t="s">
        <v>164</v>
      </c>
    </row>
    <row r="54296" customFormat="false" ht="12.8" hidden="false" customHeight="false" outlineLevel="0" collapsed="false">
      <c r="A54296" s="0" t="s">
        <v>18746</v>
      </c>
      <c r="B54296" s="0" t="str">
        <f aca="false">HYPERLINK("https://lindat.mff.cuni.cz/services/teitok/pdtc10/index.php?action=vallex&amp;frame=v-w12216_ZUf1_ZU", "vplynout (v-w12216_ZUf1_ZU)")</f>
        <v>vplynout (v-w12216_ZUf1_ZU)</v>
      </c>
    </row>
    <row r="54297" customFormat="false" ht="12.8" hidden="false" customHeight="false" outlineLevel="0" collapsed="false">
      <c r="B54297" s="0" t="s">
        <v>1</v>
      </c>
    </row>
    <row r="54298" customFormat="false" ht="12.8" hidden="false" customHeight="false" outlineLevel="0" collapsed="false">
      <c r="B54298" s="0" t="s">
        <v>454</v>
      </c>
    </row>
    <row r="54300" customFormat="false" ht="12.8" hidden="false" customHeight="false" outlineLevel="0" collapsed="false">
      <c r="A54300" s="0" t="s">
        <v>18747</v>
      </c>
      <c r="B54300" s="0" t="str">
        <f aca="false">HYPERLINK("https://lindat.mff.cuni.cz/services/teitok/pdtc10/index.php?action=vallex&amp;frame=v-w7695f1", "vplést (v-w7695f1)")</f>
        <v>vplést (v-w7695f1)</v>
      </c>
    </row>
    <row r="54301" customFormat="false" ht="12.8" hidden="false" customHeight="false" outlineLevel="0" collapsed="false">
      <c r="B54301" s="0" t="s">
        <v>1</v>
      </c>
    </row>
    <row r="54302" customFormat="false" ht="12.8" hidden="false" customHeight="false" outlineLevel="0" collapsed="false">
      <c r="B54302" s="0" t="s">
        <v>8</v>
      </c>
    </row>
    <row r="54303" customFormat="false" ht="12.8" hidden="false" customHeight="false" outlineLevel="0" collapsed="false">
      <c r="B54303" s="0" t="s">
        <v>164</v>
      </c>
    </row>
    <row r="54305" customFormat="false" ht="12.8" hidden="false" customHeight="false" outlineLevel="0" collapsed="false">
      <c r="A54305" s="0" t="s">
        <v>18748</v>
      </c>
      <c r="B54305" s="0" t="str">
        <f aca="false">HYPERLINK("https://lindat.mff.cuni.cz/services/teitok/pdtc10/index.php?action=vallex&amp;frame=v-w7696f1", "vplétat (v-w7696f1)")</f>
        <v>vplétat (v-w7696f1)</v>
      </c>
    </row>
    <row r="54306" customFormat="false" ht="12.8" hidden="false" customHeight="false" outlineLevel="0" collapsed="false">
      <c r="B54306" s="0" t="s">
        <v>1</v>
      </c>
    </row>
    <row r="54307" customFormat="false" ht="12.8" hidden="false" customHeight="false" outlineLevel="0" collapsed="false">
      <c r="B54307" s="0" t="s">
        <v>1187</v>
      </c>
    </row>
    <row r="54308" customFormat="false" ht="12.8" hidden="false" customHeight="false" outlineLevel="0" collapsed="false">
      <c r="B54308" s="0" t="s">
        <v>98</v>
      </c>
    </row>
    <row r="54310" customFormat="false" ht="12.8" hidden="false" customHeight="false" outlineLevel="0" collapsed="false">
      <c r="A54310" s="0" t="s">
        <v>18749</v>
      </c>
      <c r="B54310" s="0" t="str">
        <f aca="false">HYPERLINK("https://lindat.mff.cuni.cz/services/teitok/pdtc10/index.php?action=vallex&amp;frame=v-w11287f1", "vplížit se (v-w11287f1)")</f>
        <v>vplížit se (v-w11287f1)</v>
      </c>
      <c r="E54310" s="0" t="str">
        <f aca="false">HYPERLINK("https://lindat.mff.cuni.cz/services/SynSemClass40/SynSemClass40.html?veclass=vec00665#vec00665-ces-cm00011", "vec00665")</f>
        <v>vec00665</v>
      </c>
      <c r="F54310" s="0" t="s">
        <v>10529</v>
      </c>
    </row>
    <row r="54311" customFormat="false" ht="12.8" hidden="false" customHeight="false" outlineLevel="0" collapsed="false">
      <c r="B54311" s="0" t="s">
        <v>1</v>
      </c>
      <c r="C54311" s="0" t="s">
        <v>3288</v>
      </c>
      <c r="E54311" s="0" t="s">
        <v>334</v>
      </c>
      <c r="F54311" s="0" t="s">
        <v>10530</v>
      </c>
    </row>
    <row r="54312" customFormat="false" ht="12.8" hidden="false" customHeight="false" outlineLevel="0" collapsed="false">
      <c r="B54312" s="0" t="s">
        <v>164</v>
      </c>
      <c r="E54312" s="0" t="s">
        <v>1315</v>
      </c>
      <c r="F54312" s="0" t="s">
        <v>1316</v>
      </c>
    </row>
    <row r="54314" customFormat="false" ht="12.8" hidden="false" customHeight="false" outlineLevel="0" collapsed="false">
      <c r="A54314" s="0" t="s">
        <v>18750</v>
      </c>
      <c r="B54314" s="0" t="str">
        <f aca="false">HYPERLINK("https://lindat.mff.cuni.cz/services/teitok/pdtc10/index.php?action=vallex&amp;frame=v-w7698f1", "vpouštět (v-w7698f1)")</f>
        <v>vpouštět (v-w7698f1)</v>
      </c>
    </row>
    <row r="54315" customFormat="false" ht="12.8" hidden="false" customHeight="false" outlineLevel="0" collapsed="false">
      <c r="B54315" s="0" t="s">
        <v>1</v>
      </c>
    </row>
    <row r="54316" customFormat="false" ht="12.8" hidden="false" customHeight="false" outlineLevel="0" collapsed="false">
      <c r="B54316" s="0" t="s">
        <v>8</v>
      </c>
    </row>
    <row r="54317" customFormat="false" ht="12.8" hidden="false" customHeight="false" outlineLevel="0" collapsed="false">
      <c r="B54317" s="0" t="s">
        <v>164</v>
      </c>
    </row>
    <row r="54319" customFormat="false" ht="12.8" hidden="false" customHeight="false" outlineLevel="0" collapsed="false">
      <c r="A54319" s="0" t="s">
        <v>18751</v>
      </c>
      <c r="B54319" s="0" t="str">
        <f aca="false">HYPERLINK("https://lindat.mff.cuni.cz/services/teitok/pdtc10/index.php?action=vallex&amp;frame=v-w10381f2", "vpravit (v-w10381f2)")</f>
        <v>vpravit (v-w10381f2)</v>
      </c>
      <c r="E54319" s="0" t="str">
        <f aca="false">HYPERLINK("https://lindat.mff.cuni.cz/services/SynSemClass40/SynSemClass40.html?veclass=vec00735#vec00735-ces-cm00172", "vec00735")</f>
        <v>vec00735</v>
      </c>
      <c r="F54319" s="0" t="s">
        <v>2719</v>
      </c>
      <c r="H54319" s="0" t="str">
        <f aca="false">HYPERLINK("https://lindat.mff.cuni.cz/services/SynSemClass40/SynSemClass40.html?veclass=vec00932#vec00932-ces-cm00015", "vec00932")</f>
        <v>vec00932</v>
      </c>
      <c r="I54319" s="0" t="s">
        <v>4723</v>
      </c>
    </row>
    <row r="54320" customFormat="false" ht="12.8" hidden="false" customHeight="false" outlineLevel="0" collapsed="false">
      <c r="B54320" s="0" t="s">
        <v>1</v>
      </c>
      <c r="C54320" s="0" t="s">
        <v>18752</v>
      </c>
      <c r="E54320" s="0" t="s">
        <v>334</v>
      </c>
      <c r="F54320" s="0" t="s">
        <v>2721</v>
      </c>
      <c r="H54320" s="0" t="s">
        <v>4726</v>
      </c>
      <c r="I54320" s="0" t="s">
        <v>4727</v>
      </c>
    </row>
    <row r="54321" customFormat="false" ht="12.8" hidden="false" customHeight="false" outlineLevel="0" collapsed="false">
      <c r="B54321" s="0" t="s">
        <v>8</v>
      </c>
      <c r="C54321" s="0" t="s">
        <v>18753</v>
      </c>
      <c r="E54321" s="0" t="s">
        <v>2648</v>
      </c>
      <c r="F54321" s="0" t="s">
        <v>2723</v>
      </c>
      <c r="H54321" s="0" t="s">
        <v>514</v>
      </c>
      <c r="I54321" s="0" t="s">
        <v>4730</v>
      </c>
    </row>
    <row r="54322" customFormat="false" ht="12.8" hidden="false" customHeight="false" outlineLevel="0" collapsed="false">
      <c r="B54322" s="0" t="s">
        <v>164</v>
      </c>
      <c r="C54322" s="0" t="s">
        <v>2724</v>
      </c>
      <c r="E54322" s="0" t="s">
        <v>370</v>
      </c>
      <c r="F54322" s="0" t="s">
        <v>2725</v>
      </c>
      <c r="H54322" s="0" t="s">
        <v>370</v>
      </c>
      <c r="I54322" s="0" t="s">
        <v>3041</v>
      </c>
    </row>
    <row r="54324" customFormat="false" ht="12.8" hidden="false" customHeight="false" outlineLevel="0" collapsed="false">
      <c r="A54324" s="0" t="s">
        <v>18754</v>
      </c>
      <c r="B54324" s="0" t="str">
        <f aca="false">HYPERLINK("https://lindat.mff.cuni.cz/services/teitok/pdtc10/index.php?action=vallex&amp;frame=v-w7699f1", "vpravovat se (v-w7699f1)")</f>
        <v>vpravovat se (v-w7699f1)</v>
      </c>
    </row>
    <row r="54325" customFormat="false" ht="12.8" hidden="false" customHeight="false" outlineLevel="0" collapsed="false">
      <c r="B54325" s="0" t="s">
        <v>1</v>
      </c>
    </row>
    <row r="54326" customFormat="false" ht="12.8" hidden="false" customHeight="false" outlineLevel="0" collapsed="false">
      <c r="B54326" s="0" t="s">
        <v>164</v>
      </c>
    </row>
    <row r="54328" customFormat="false" ht="12.8" hidden="false" customHeight="false" outlineLevel="0" collapsed="false">
      <c r="A54328" s="0" t="s">
        <v>18755</v>
      </c>
      <c r="B54328" s="0" t="str">
        <f aca="false">HYPERLINK("https://lindat.mff.cuni.cz/services/teitok/pdtc10/index.php?action=vallex&amp;frame=v-w7700f1", "vpustit (v-w7700f1)")</f>
        <v>vpustit (v-w7700f1)</v>
      </c>
    </row>
    <row r="54329" customFormat="false" ht="12.8" hidden="false" customHeight="false" outlineLevel="0" collapsed="false">
      <c r="B54329" s="0" t="s">
        <v>1</v>
      </c>
    </row>
    <row r="54330" customFormat="false" ht="12.8" hidden="false" customHeight="false" outlineLevel="0" collapsed="false">
      <c r="B54330" s="0" t="s">
        <v>8</v>
      </c>
    </row>
    <row r="54331" customFormat="false" ht="12.8" hidden="false" customHeight="false" outlineLevel="0" collapsed="false">
      <c r="B54331" s="0" t="s">
        <v>164</v>
      </c>
    </row>
    <row r="54333" customFormat="false" ht="12.8" hidden="false" customHeight="false" outlineLevel="0" collapsed="false">
      <c r="A54333" s="0" t="s">
        <v>18756</v>
      </c>
      <c r="B54333" s="0" t="str">
        <f aca="false">HYPERLINK("https://lindat.mff.cuni.cz/services/teitok/pdtc10/index.php?action=vallex&amp;frame=v-w7694f1", "vpíjet se (v-w7694f1)")</f>
        <v>vpíjet se (v-w7694f1)</v>
      </c>
    </row>
    <row r="54334" customFormat="false" ht="12.8" hidden="false" customHeight="false" outlineLevel="0" collapsed="false">
      <c r="B54334" s="0" t="s">
        <v>1</v>
      </c>
    </row>
    <row r="54335" customFormat="false" ht="12.8" hidden="false" customHeight="false" outlineLevel="0" collapsed="false">
      <c r="B54335" s="0" t="s">
        <v>164</v>
      </c>
    </row>
    <row r="54337" customFormat="false" ht="12.8" hidden="false" customHeight="false" outlineLevel="0" collapsed="false">
      <c r="A54337" s="0" t="s">
        <v>18757</v>
      </c>
      <c r="B54337" s="0" t="str">
        <f aca="false">HYPERLINK("https://lindat.mff.cuni.cz/services/teitok/pdtc10/index.php?action=vallex&amp;frame=v-w7702f1", "vracet (v-w7702f1)")</f>
        <v>vracet (v-w7702f1)</v>
      </c>
      <c r="E54337" s="0" t="str">
        <f aca="false">HYPERLINK("https://lindat.mff.cuni.cz/services/SynSemClass40/SynSemClass40.html?veclass=vec00745#vec00745-ces-cm00094", "vec00745")</f>
        <v>vec00745</v>
      </c>
      <c r="F54337" s="0" t="s">
        <v>7910</v>
      </c>
    </row>
    <row r="54338" customFormat="false" ht="12.8" hidden="false" customHeight="false" outlineLevel="0" collapsed="false">
      <c r="B54338" s="0" t="s">
        <v>1</v>
      </c>
      <c r="C54338" s="0" t="s">
        <v>7911</v>
      </c>
      <c r="E54338" s="0" t="s">
        <v>7912</v>
      </c>
      <c r="F54338" s="0" t="s">
        <v>7913</v>
      </c>
    </row>
    <row r="54339" customFormat="false" ht="12.8" hidden="false" customHeight="false" outlineLevel="0" collapsed="false">
      <c r="B54339" s="0" t="s">
        <v>8</v>
      </c>
      <c r="C54339" s="0" t="s">
        <v>7914</v>
      </c>
      <c r="E54339" s="0" t="s">
        <v>7915</v>
      </c>
      <c r="F54339" s="0" t="s">
        <v>7916</v>
      </c>
    </row>
    <row r="54340" customFormat="false" ht="12.8" hidden="false" customHeight="false" outlineLevel="0" collapsed="false">
      <c r="B54340" s="0" t="s">
        <v>52</v>
      </c>
      <c r="C54340" s="0" t="s">
        <v>7917</v>
      </c>
      <c r="E54340" s="0" t="s">
        <v>7918</v>
      </c>
      <c r="F54340" s="0" t="s">
        <v>7919</v>
      </c>
    </row>
    <row r="54342" customFormat="false" ht="12.8" hidden="false" customHeight="false" outlineLevel="0" collapsed="false">
      <c r="A54342" s="0" t="s">
        <v>18758</v>
      </c>
      <c r="B54342" s="0" t="str">
        <f aca="false">HYPERLINK("https://lindat.mff.cuni.cz/services/teitok/pdtc10/index.php?action=vallex&amp;frame=v-w7702f3", "vracet (v-w7702f3)")</f>
        <v>vracet (v-w7702f3)</v>
      </c>
    </row>
    <row r="54343" customFormat="false" ht="12.8" hidden="false" customHeight="false" outlineLevel="0" collapsed="false">
      <c r="B54343" s="0" t="s">
        <v>1</v>
      </c>
    </row>
    <row r="54344" customFormat="false" ht="12.8" hidden="false" customHeight="false" outlineLevel="0" collapsed="false">
      <c r="B54344" s="0" t="s">
        <v>8</v>
      </c>
    </row>
    <row r="54345" customFormat="false" ht="12.8" hidden="false" customHeight="false" outlineLevel="0" collapsed="false">
      <c r="B54345" s="0" t="s">
        <v>18759</v>
      </c>
    </row>
    <row r="54347" customFormat="false" ht="12.8" hidden="false" customHeight="false" outlineLevel="0" collapsed="false">
      <c r="A54347" s="0" t="s">
        <v>18760</v>
      </c>
      <c r="B54347" s="0" t="str">
        <f aca="false">HYPERLINK("https://lindat.mff.cuni.cz/services/teitok/pdtc10/index.php?action=vallex&amp;frame=v-w7702f2", "vracet (v-w7702f2)")</f>
        <v>vracet (v-w7702f2)</v>
      </c>
      <c r="E54347" s="0" t="str">
        <f aca="false">HYPERLINK("https://lindat.mff.cuni.cz/services/SynSemClass40/SynSemClass40.html?veclass=vec00745#vec00745-ces-cm00140", "vec00745")</f>
        <v>vec00745</v>
      </c>
      <c r="F54347" s="0" t="s">
        <v>7910</v>
      </c>
      <c r="H54347" s="0" t="str">
        <f aca="false">HYPERLINK("https://lindat.mff.cuni.cz/services/SynSemClass40/SynSemClass40.html?veclass=vec01437#vec01437-ces-cm00004", "vec01437")</f>
        <v>vec01437</v>
      </c>
      <c r="I54347" s="0" t="s">
        <v>7921</v>
      </c>
    </row>
    <row r="54348" customFormat="false" ht="12.8" hidden="false" customHeight="false" outlineLevel="0" collapsed="false">
      <c r="B54348" s="0" t="s">
        <v>345</v>
      </c>
      <c r="C54348" s="0" t="s">
        <v>7922</v>
      </c>
      <c r="E54348" s="0" t="s">
        <v>7912</v>
      </c>
      <c r="F54348" s="0" t="s">
        <v>7913</v>
      </c>
      <c r="H54348" s="0" t="s">
        <v>206</v>
      </c>
      <c r="I54348" s="0" t="s">
        <v>7923</v>
      </c>
    </row>
    <row r="54349" customFormat="false" ht="12.8" hidden="false" customHeight="false" outlineLevel="0" collapsed="false">
      <c r="B54349" s="0" t="s">
        <v>8</v>
      </c>
      <c r="C54349" s="0" t="s">
        <v>7924</v>
      </c>
      <c r="E54349" s="0" t="s">
        <v>7915</v>
      </c>
      <c r="F54349" s="0" t="s">
        <v>7916</v>
      </c>
      <c r="H54349" s="0" t="s">
        <v>7925</v>
      </c>
      <c r="I54349" s="0" t="s">
        <v>7926</v>
      </c>
    </row>
    <row r="54350" customFormat="false" ht="12.8" hidden="false" customHeight="false" outlineLevel="0" collapsed="false">
      <c r="B54350" s="0" t="s">
        <v>164</v>
      </c>
      <c r="C54350" s="0" t="s">
        <v>7927</v>
      </c>
      <c r="E54350" s="0" t="s">
        <v>7928</v>
      </c>
      <c r="F54350" s="0" t="s">
        <v>7929</v>
      </c>
      <c r="H54350" s="0" t="s">
        <v>7930</v>
      </c>
      <c r="I54350" s="0" t="s">
        <v>7931</v>
      </c>
    </row>
    <row r="54352" customFormat="false" ht="12.8" hidden="false" customHeight="false" outlineLevel="0" collapsed="false">
      <c r="A54352" s="0" t="s">
        <v>18761</v>
      </c>
      <c r="B54352" s="0" t="str">
        <f aca="false">HYPERLINK("https://lindat.mff.cuni.cz/services/teitok/pdtc10/index.php?action=vallex&amp;frame=v-w7703f2", "vracet se (v-w7703f2)")</f>
        <v>vracet se (v-w7703f2)</v>
      </c>
      <c r="E54352" s="0" t="str">
        <f aca="false">HYPERLINK("https://lindat.mff.cuni.cz/services/SynSemClass40/SynSemClass40.html?veclass=vec00744#vec00744-ces-cm00001", "vec00744")</f>
        <v>vec00744</v>
      </c>
      <c r="F54352" s="0" t="s">
        <v>7933</v>
      </c>
    </row>
    <row r="54353" customFormat="false" ht="12.8" hidden="false" customHeight="false" outlineLevel="0" collapsed="false">
      <c r="B54353" s="0" t="s">
        <v>1</v>
      </c>
      <c r="C54353" s="0" t="s">
        <v>7934</v>
      </c>
      <c r="E54353" s="0" t="s">
        <v>11</v>
      </c>
      <c r="F54353" s="0" t="s">
        <v>7935</v>
      </c>
    </row>
    <row r="54354" customFormat="false" ht="12.8" hidden="false" customHeight="false" outlineLevel="0" collapsed="false">
      <c r="B54354" s="0" t="s">
        <v>311</v>
      </c>
      <c r="C54354" s="0" t="s">
        <v>531</v>
      </c>
      <c r="E54354" s="0" t="s">
        <v>7962</v>
      </c>
      <c r="F54354" s="0" t="s">
        <v>7963</v>
      </c>
    </row>
    <row r="54356" customFormat="false" ht="12.8" hidden="false" customHeight="false" outlineLevel="0" collapsed="false">
      <c r="A54356" s="0" t="s">
        <v>18762</v>
      </c>
      <c r="B54356" s="0" t="str">
        <f aca="false">HYPERLINK("https://lindat.mff.cuni.cz/services/teitok/pdtc10/index.php?action=vallex&amp;frame=v-w7703f5", "vracet se (v-w7703f5)")</f>
        <v>vracet se (v-w7703f5)</v>
      </c>
      <c r="E54356" s="0" t="str">
        <f aca="false">HYPERLINK("https://lindat.mff.cuni.cz/services/SynSemClass40/SynSemClass40.html?veclass=vec00744#vec00744-ces-cm00010", "vec00744")</f>
        <v>vec00744</v>
      </c>
      <c r="F54356" s="0" t="s">
        <v>7933</v>
      </c>
    </row>
    <row r="54357" customFormat="false" ht="12.8" hidden="false" customHeight="false" outlineLevel="0" collapsed="false">
      <c r="B54357" s="0" t="s">
        <v>1</v>
      </c>
      <c r="C54357" s="0" t="s">
        <v>7934</v>
      </c>
      <c r="E54357" s="0" t="s">
        <v>11</v>
      </c>
      <c r="F54357" s="0" t="s">
        <v>7935</v>
      </c>
    </row>
    <row r="54358" customFormat="false" ht="12.8" hidden="false" customHeight="false" outlineLevel="0" collapsed="false">
      <c r="B54358" s="0" t="s">
        <v>361</v>
      </c>
      <c r="C54358" s="0" t="s">
        <v>7936</v>
      </c>
      <c r="E54358" s="0" t="s">
        <v>7937</v>
      </c>
      <c r="F54358" s="0" t="s">
        <v>7938</v>
      </c>
    </row>
    <row r="54360" customFormat="false" ht="12.8" hidden="false" customHeight="false" outlineLevel="0" collapsed="false">
      <c r="A54360" s="0" t="s">
        <v>18763</v>
      </c>
      <c r="B54360" s="0" t="str">
        <f aca="false">HYPERLINK("https://lindat.mff.cuni.cz/services/teitok/pdtc10/index.php?action=vallex&amp;frame=v-w7703f1", "vracet se (v-w7703f1)")</f>
        <v>vracet se (v-w7703f1)</v>
      </c>
      <c r="E54360" s="0" t="str">
        <f aca="false">HYPERLINK("https://lindat.mff.cuni.cz/services/SynSemClass40/SynSemClass40.html?veclass=vec00218#vec00218-ces-cm00246", "vec00218")</f>
        <v>vec00218</v>
      </c>
      <c r="F54360" s="0" t="s">
        <v>2143</v>
      </c>
    </row>
    <row r="54361" customFormat="false" ht="12.8" hidden="false" customHeight="false" outlineLevel="0" collapsed="false">
      <c r="B54361" s="0" t="s">
        <v>1</v>
      </c>
      <c r="C54361" s="0" t="s">
        <v>2144</v>
      </c>
      <c r="E54361" s="0" t="s">
        <v>11</v>
      </c>
      <c r="F54361" s="0" t="s">
        <v>2145</v>
      </c>
    </row>
    <row r="54362" customFormat="false" ht="12.8" hidden="false" customHeight="false" outlineLevel="0" collapsed="false">
      <c r="B54362" s="0" t="s">
        <v>164</v>
      </c>
      <c r="C54362" s="0" t="s">
        <v>2146</v>
      </c>
      <c r="E54362" s="0" t="s">
        <v>370</v>
      </c>
      <c r="F54362" s="0" t="s">
        <v>2147</v>
      </c>
    </row>
    <row r="54364" customFormat="false" ht="12.8" hidden="false" customHeight="false" outlineLevel="0" collapsed="false">
      <c r="A54364" s="0" t="s">
        <v>18764</v>
      </c>
      <c r="B54364" s="0" t="str">
        <f aca="false">HYPERLINK("https://lindat.mff.cuni.cz/services/teitok/pdtc10/index.php?action=vallex&amp;frame=v-w7703f3", "vracet se (v-w7703f3)")</f>
        <v>vracet se (v-w7703f3)</v>
      </c>
    </row>
    <row r="54365" customFormat="false" ht="12.8" hidden="false" customHeight="false" outlineLevel="0" collapsed="false">
      <c r="B54365" s="0" t="s">
        <v>1</v>
      </c>
    </row>
    <row r="54367" customFormat="false" ht="12.8" hidden="false" customHeight="false" outlineLevel="0" collapsed="false">
      <c r="A54367" s="0" t="s">
        <v>18765</v>
      </c>
      <c r="B54367" s="0" t="str">
        <f aca="false">HYPERLINK("https://lindat.mff.cuni.cz/services/teitok/pdtc10/index.php?action=vallex&amp;frame=v-w7703f4", "vracet se (v-w7703f4)")</f>
        <v>vracet se (v-w7703f4)</v>
      </c>
    </row>
    <row r="54368" customFormat="false" ht="12.8" hidden="false" customHeight="false" outlineLevel="0" collapsed="false">
      <c r="B54368" s="0" t="s">
        <v>1</v>
      </c>
    </row>
    <row r="54369" customFormat="false" ht="12.8" hidden="false" customHeight="false" outlineLevel="0" collapsed="false">
      <c r="B54369" s="0" t="s">
        <v>18766</v>
      </c>
    </row>
    <row r="54371" customFormat="false" ht="12.8" hidden="false" customHeight="false" outlineLevel="0" collapsed="false">
      <c r="A54371" s="0" t="s">
        <v>18767</v>
      </c>
      <c r="B54371" s="0" t="str">
        <f aca="false">HYPERLINK("https://lindat.mff.cuni.cz/services/teitok/pdtc10/index.php?action=vallex&amp;frame=v-w12209_ZUf1_ZU", "vracívat se (v-w12209_ZUf1_ZU)")</f>
        <v>vracívat se (v-w12209_ZUf1_ZU)</v>
      </c>
    </row>
    <row r="54372" customFormat="false" ht="12.8" hidden="false" customHeight="false" outlineLevel="0" collapsed="false">
      <c r="B54372" s="0" t="s">
        <v>1</v>
      </c>
    </row>
    <row r="54373" customFormat="false" ht="12.8" hidden="false" customHeight="false" outlineLevel="0" collapsed="false">
      <c r="B54373" s="0" t="s">
        <v>454</v>
      </c>
    </row>
    <row r="54375" customFormat="false" ht="12.8" hidden="false" customHeight="false" outlineLevel="0" collapsed="false">
      <c r="A54375" s="0" t="s">
        <v>18768</v>
      </c>
      <c r="B54375" s="0" t="str">
        <f aca="false">HYPERLINK("https://lindat.mff.cuni.cz/services/teitok/pdtc10/index.php?action=vallex&amp;frame=v-w10718f2", "vrazit (v-w10718f2)")</f>
        <v>vrazit (v-w10718f2)</v>
      </c>
    </row>
    <row r="54376" customFormat="false" ht="12.8" hidden="false" customHeight="false" outlineLevel="0" collapsed="false">
      <c r="B54376" s="0" t="s">
        <v>1</v>
      </c>
    </row>
    <row r="54377" customFormat="false" ht="12.8" hidden="false" customHeight="false" outlineLevel="0" collapsed="false">
      <c r="B54377" s="0" t="s">
        <v>8</v>
      </c>
    </row>
    <row r="54378" customFormat="false" ht="12.8" hidden="false" customHeight="false" outlineLevel="0" collapsed="false">
      <c r="B54378" s="0" t="s">
        <v>164</v>
      </c>
    </row>
    <row r="54380" customFormat="false" ht="12.8" hidden="false" customHeight="false" outlineLevel="0" collapsed="false">
      <c r="A54380" s="0" t="s">
        <v>18769</v>
      </c>
      <c r="B54380" s="0" t="str">
        <f aca="false">HYPERLINK("https://lindat.mff.cuni.cz/services/teitok/pdtc10/index.php?action=vallex&amp;frame=v-w10718f3", "vrazit (v-w10718f3)")</f>
        <v>vrazit (v-w10718f3)</v>
      </c>
    </row>
    <row r="54381" customFormat="false" ht="12.8" hidden="false" customHeight="false" outlineLevel="0" collapsed="false">
      <c r="B54381" s="0" t="s">
        <v>1</v>
      </c>
    </row>
    <row r="54382" customFormat="false" ht="12.8" hidden="false" customHeight="false" outlineLevel="0" collapsed="false">
      <c r="B54382" s="0" t="s">
        <v>164</v>
      </c>
    </row>
    <row r="54384" customFormat="false" ht="12.8" hidden="false" customHeight="false" outlineLevel="0" collapsed="false">
      <c r="A54384" s="0" t="s">
        <v>18770</v>
      </c>
      <c r="B54384" s="0" t="str">
        <f aca="false">HYPERLINK("https://lindat.mff.cuni.cz/services/teitok/pdtc10/index.php?action=vallex&amp;frame=v-w10718f5", "vrazit (v-w10718f5)")</f>
        <v>vrazit (v-w10718f5)</v>
      </c>
    </row>
    <row r="54385" customFormat="false" ht="12.8" hidden="false" customHeight="false" outlineLevel="0" collapsed="false">
      <c r="B54385" s="0" t="s">
        <v>1</v>
      </c>
    </row>
    <row r="54386" customFormat="false" ht="12.8" hidden="false" customHeight="false" outlineLevel="0" collapsed="false">
      <c r="B54386" s="0" t="s">
        <v>18771</v>
      </c>
    </row>
    <row r="54387" customFormat="false" ht="12.8" hidden="false" customHeight="false" outlineLevel="0" collapsed="false">
      <c r="B54387" s="0" t="s">
        <v>186</v>
      </c>
    </row>
    <row r="54389" customFormat="false" ht="12.8" hidden="false" customHeight="false" outlineLevel="0" collapsed="false">
      <c r="A54389" s="0" t="s">
        <v>18772</v>
      </c>
      <c r="B54389" s="0" t="str">
        <f aca="false">HYPERLINK("https://lindat.mff.cuni.cz/services/teitok/pdtc10/index.php?action=vallex&amp;frame=v-w10718f6_ZU", "vrazit (v-w10718f6_ZU)")</f>
        <v>vrazit (v-w10718f6_ZU)</v>
      </c>
    </row>
    <row r="54390" customFormat="false" ht="12.8" hidden="false" customHeight="false" outlineLevel="0" collapsed="false">
      <c r="B54390" s="0" t="s">
        <v>1</v>
      </c>
    </row>
    <row r="54391" customFormat="false" ht="12.8" hidden="false" customHeight="false" outlineLevel="0" collapsed="false">
      <c r="B54391" s="0" t="s">
        <v>8</v>
      </c>
    </row>
    <row r="54392" customFormat="false" ht="12.8" hidden="false" customHeight="false" outlineLevel="0" collapsed="false">
      <c r="B54392" s="0" t="s">
        <v>52</v>
      </c>
    </row>
    <row r="54394" customFormat="false" ht="12.8" hidden="false" customHeight="false" outlineLevel="0" collapsed="false">
      <c r="A54394" s="0" t="s">
        <v>18773</v>
      </c>
      <c r="B54394" s="0" t="str">
        <f aca="false">HYPERLINK("https://lindat.mff.cuni.cz/services/teitok/pdtc10/index.php?action=vallex&amp;frame=v-w10718f7_ZU", "vrazit (v-w10718f7_ZU)")</f>
        <v>vrazit (v-w10718f7_ZU)</v>
      </c>
    </row>
    <row r="54395" customFormat="false" ht="12.8" hidden="false" customHeight="false" outlineLevel="0" collapsed="false">
      <c r="B54395" s="0" t="s">
        <v>1</v>
      </c>
    </row>
    <row r="54396" customFormat="false" ht="12.8" hidden="false" customHeight="false" outlineLevel="0" collapsed="false">
      <c r="B54396" s="0" t="s">
        <v>454</v>
      </c>
    </row>
    <row r="54398" customFormat="false" ht="12.8" hidden="false" customHeight="false" outlineLevel="0" collapsed="false">
      <c r="A54398" s="0" t="s">
        <v>18774</v>
      </c>
      <c r="B54398" s="0" t="str">
        <f aca="false">HYPERLINK("https://lindat.mff.cuni.cz/services/teitok/pdtc10/index.php?action=vallex&amp;frame=v-w10459f2", "vraštit (v-w10459f2)")</f>
        <v>vraštit (v-w10459f2)</v>
      </c>
    </row>
    <row r="54399" customFormat="false" ht="12.8" hidden="false" customHeight="false" outlineLevel="0" collapsed="false">
      <c r="B54399" s="0" t="s">
        <v>1</v>
      </c>
    </row>
    <row r="54400" customFormat="false" ht="12.8" hidden="false" customHeight="false" outlineLevel="0" collapsed="false">
      <c r="B54400" s="0" t="s">
        <v>8</v>
      </c>
    </row>
    <row r="54402" customFormat="false" ht="12.8" hidden="false" customHeight="false" outlineLevel="0" collapsed="false">
      <c r="A54402" s="0" t="s">
        <v>18775</v>
      </c>
      <c r="B54402" s="0" t="str">
        <f aca="false">HYPERLINK("https://lindat.mff.cuni.cz/services/teitok/pdtc10/index.php?action=vallex&amp;frame=v-w7710f1", "vraždit (v-w7710f1)")</f>
        <v>vraždit (v-w7710f1)</v>
      </c>
      <c r="E54402" s="0" t="str">
        <f aca="false">HYPERLINK("https://lindat.mff.cuni.cz/services/SynSemClass40/SynSemClass40.html?veclass=vec00365#vec00365-ces-cm00028", "vec00365")</f>
        <v>vec00365</v>
      </c>
      <c r="F54402" s="0" t="s">
        <v>8975</v>
      </c>
    </row>
    <row r="54403" customFormat="false" ht="12.8" hidden="false" customHeight="false" outlineLevel="0" collapsed="false">
      <c r="B54403" s="0" t="s">
        <v>1</v>
      </c>
      <c r="C54403" s="0" t="s">
        <v>5883</v>
      </c>
      <c r="E54403" s="0" t="s">
        <v>76</v>
      </c>
      <c r="F54403" s="0" t="s">
        <v>8977</v>
      </c>
    </row>
    <row r="54404" customFormat="false" ht="12.8" hidden="false" customHeight="false" outlineLevel="0" collapsed="false">
      <c r="B54404" s="0" t="s">
        <v>8</v>
      </c>
      <c r="C54404" s="0" t="s">
        <v>8979</v>
      </c>
      <c r="E54404" s="0" t="s">
        <v>199</v>
      </c>
      <c r="F54404" s="0" t="s">
        <v>8980</v>
      </c>
    </row>
    <row r="54406" customFormat="false" ht="12.8" hidden="false" customHeight="false" outlineLevel="0" collapsed="false">
      <c r="A54406" s="0" t="s">
        <v>18776</v>
      </c>
      <c r="B54406" s="0" t="str">
        <f aca="false">HYPERLINK("https://lindat.mff.cuni.cz/services/teitok/pdtc10/index.php?action=vallex&amp;frame=v-w7719f1", "vrcholit (v-w7719f1)")</f>
        <v>vrcholit (v-w7719f1)</v>
      </c>
      <c r="E54406" s="0" t="str">
        <f aca="false">HYPERLINK("https://lindat.mff.cuni.cz/services/SynSemClass40/SynSemClass40.html?veclass=vec00977#vec00977-ces-cm00005", "vec00977")</f>
        <v>vec00977</v>
      </c>
      <c r="F54406" s="0" t="s">
        <v>18777</v>
      </c>
    </row>
    <row r="54407" customFormat="false" ht="12.8" hidden="false" customHeight="false" outlineLevel="0" collapsed="false">
      <c r="B54407" s="0" t="s">
        <v>1</v>
      </c>
      <c r="C54407" s="0" t="s">
        <v>18778</v>
      </c>
      <c r="E54407" s="0" t="s">
        <v>18779</v>
      </c>
      <c r="F54407" s="0" t="s">
        <v>18780</v>
      </c>
    </row>
    <row r="54409" customFormat="false" ht="12.8" hidden="false" customHeight="false" outlineLevel="0" collapsed="false">
      <c r="A54409" s="0" t="s">
        <v>18781</v>
      </c>
      <c r="B54409" s="0" t="str">
        <f aca="false">HYPERLINK("https://lindat.mff.cuni.cz/services/teitok/pdtc10/index.php?action=vallex&amp;frame=v-w7714f5_ZU", "vrhat (v-w7714f5_ZU)")</f>
        <v>vrhat (v-w7714f5_ZU)</v>
      </c>
      <c r="E54409" s="0" t="str">
        <f aca="false">HYPERLINK("https://lindat.mff.cuni.cz/services/SynSemClass40/SynSemClass40.html?veclass=vec00812#vec00812-ces-cm00341", "vec00812")</f>
        <v>vec00812</v>
      </c>
      <c r="F54409" s="0" t="s">
        <v>2822</v>
      </c>
    </row>
    <row r="54410" customFormat="false" ht="12.8" hidden="false" customHeight="false" outlineLevel="0" collapsed="false">
      <c r="B54410" s="0" t="s">
        <v>1</v>
      </c>
      <c r="C54410" s="0" t="s">
        <v>2823</v>
      </c>
      <c r="E54410" s="0" t="s">
        <v>1103</v>
      </c>
      <c r="F54410" s="0" t="s">
        <v>2824</v>
      </c>
    </row>
    <row r="54411" customFormat="false" ht="12.8" hidden="false" customHeight="false" outlineLevel="0" collapsed="false">
      <c r="B54411" s="0" t="s">
        <v>8</v>
      </c>
      <c r="C54411" s="0" t="s">
        <v>2372</v>
      </c>
      <c r="E54411" s="0" t="s">
        <v>142</v>
      </c>
      <c r="F54411" s="0" t="s">
        <v>2825</v>
      </c>
    </row>
    <row r="54412" customFormat="false" ht="12.8" hidden="false" customHeight="false" outlineLevel="0" collapsed="false">
      <c r="B54412" s="0" t="s">
        <v>361</v>
      </c>
      <c r="C54412" s="0" t="s">
        <v>2826</v>
      </c>
      <c r="E54412" s="0" t="s">
        <v>2827</v>
      </c>
      <c r="F54412" s="0" t="s">
        <v>2828</v>
      </c>
    </row>
    <row r="54414" customFormat="false" ht="12.8" hidden="false" customHeight="false" outlineLevel="0" collapsed="false">
      <c r="A54414" s="0" t="s">
        <v>18782</v>
      </c>
      <c r="B54414" s="0" t="str">
        <f aca="false">HYPERLINK("https://lindat.mff.cuni.cz/services/teitok/pdtc10/index.php?action=vallex&amp;frame=v-w7714f2", "vrhat (v-w7714f2)")</f>
        <v>vrhat (v-w7714f2)</v>
      </c>
    </row>
    <row r="54415" customFormat="false" ht="12.8" hidden="false" customHeight="false" outlineLevel="0" collapsed="false">
      <c r="B54415" s="0" t="s">
        <v>1</v>
      </c>
    </row>
    <row r="54416" customFormat="false" ht="12.8" hidden="false" customHeight="false" outlineLevel="0" collapsed="false">
      <c r="B54416" s="0" t="s">
        <v>2299</v>
      </c>
    </row>
    <row r="54418" customFormat="false" ht="12.8" hidden="false" customHeight="false" outlineLevel="0" collapsed="false">
      <c r="A54418" s="0" t="s">
        <v>18783</v>
      </c>
      <c r="B54418" s="0" t="str">
        <f aca="false">HYPERLINK("https://lindat.mff.cuni.cz/services/teitok/pdtc10/index.php?action=vallex&amp;frame=v-w7714f3", "vrhat (v-w7714f3)")</f>
        <v>vrhat (v-w7714f3)</v>
      </c>
    </row>
    <row r="54419" customFormat="false" ht="12.8" hidden="false" customHeight="false" outlineLevel="0" collapsed="false">
      <c r="B54419" s="0" t="s">
        <v>1</v>
      </c>
    </row>
    <row r="54420" customFormat="false" ht="12.8" hidden="false" customHeight="false" outlineLevel="0" collapsed="false">
      <c r="B54420" s="0" t="s">
        <v>8</v>
      </c>
    </row>
    <row r="54422" customFormat="false" ht="12.8" hidden="false" customHeight="false" outlineLevel="0" collapsed="false">
      <c r="A54422" s="0" t="s">
        <v>18784</v>
      </c>
      <c r="B54422" s="0" t="str">
        <f aca="false">HYPERLINK("https://lindat.mff.cuni.cz/services/teitok/pdtc10/index.php?action=vallex&amp;frame=v-w7714f4", "vrhat (v-w7714f4)")</f>
        <v>vrhat (v-w7714f4)</v>
      </c>
    </row>
    <row r="54423" customFormat="false" ht="12.8" hidden="false" customHeight="false" outlineLevel="0" collapsed="false">
      <c r="B54423" s="0" t="s">
        <v>1</v>
      </c>
    </row>
    <row r="54424" customFormat="false" ht="12.8" hidden="false" customHeight="false" outlineLevel="0" collapsed="false">
      <c r="B54424" s="0" t="s">
        <v>8</v>
      </c>
    </row>
    <row r="54426" customFormat="false" ht="12.8" hidden="false" customHeight="false" outlineLevel="0" collapsed="false">
      <c r="A54426" s="0" t="s">
        <v>18785</v>
      </c>
      <c r="B54426" s="0" t="str">
        <f aca="false">HYPERLINK("https://lindat.mff.cuni.cz/services/teitok/pdtc10/index.php?action=vallex&amp;frame=v-w7714f7_ZU", "vrhat (v-w7714f7_ZU)")</f>
        <v>vrhat (v-w7714f7_ZU)</v>
      </c>
    </row>
    <row r="54427" customFormat="false" ht="12.8" hidden="false" customHeight="false" outlineLevel="0" collapsed="false">
      <c r="B54427" s="0" t="s">
        <v>1</v>
      </c>
    </row>
    <row r="54428" customFormat="false" ht="12.8" hidden="false" customHeight="false" outlineLevel="0" collapsed="false">
      <c r="B54428" s="0" t="s">
        <v>18786</v>
      </c>
    </row>
    <row r="54429" customFormat="false" ht="12.8" hidden="false" customHeight="false" outlineLevel="0" collapsed="false">
      <c r="B54429" s="0" t="s">
        <v>164</v>
      </c>
    </row>
    <row r="54431" customFormat="false" ht="12.8" hidden="false" customHeight="false" outlineLevel="0" collapsed="false">
      <c r="A54431" s="0" t="s">
        <v>18785</v>
      </c>
      <c r="B54431" s="0" t="str">
        <f aca="false">HYPERLINK("https://lindat.mff.cuni.cz/services/teitok/pdtc10/index.php?action=vallex&amp;frame=v-w7714f1", "vrhat (v-w7714f1) - substituted with v-w7714f7_ZU")</f>
        <v>vrhat (v-w7714f1) - substituted with v-w7714f7_ZU</v>
      </c>
    </row>
    <row r="54432" customFormat="false" ht="12.8" hidden="false" customHeight="false" outlineLevel="0" collapsed="false">
      <c r="B54432" s="0" t="s">
        <v>1</v>
      </c>
    </row>
    <row r="54433" customFormat="false" ht="12.8" hidden="false" customHeight="false" outlineLevel="0" collapsed="false">
      <c r="B54433" s="0" t="s">
        <v>18786</v>
      </c>
    </row>
    <row r="54434" customFormat="false" ht="12.8" hidden="false" customHeight="false" outlineLevel="0" collapsed="false">
      <c r="B54434" s="0" t="s">
        <v>164</v>
      </c>
    </row>
    <row r="54436" customFormat="false" ht="12.8" hidden="false" customHeight="false" outlineLevel="0" collapsed="false">
      <c r="A54436" s="0" t="s">
        <v>18785</v>
      </c>
      <c r="B54436" s="0" t="str">
        <f aca="false">HYPERLINK("https://lindat.mff.cuni.cz/services/teitok/pdtc10/index.php?action=vallex&amp;frame=v-w7714hsa_140", "vrhat (v-w7714hsa_140) - substituted with v-w7714f7_ZU")</f>
        <v>vrhat (v-w7714hsa_140) - substituted with v-w7714f7_ZU</v>
      </c>
      <c r="E54436" s="0" t="str">
        <f aca="false">HYPERLINK("https://lindat.mff.cuni.cz/services/SynSemClass40/SynSemClass40.html?veclass=vec00372#vec00372-ces-cm00135", "vec00372")</f>
        <v>vec00372</v>
      </c>
      <c r="F54436" s="0" t="s">
        <v>2524</v>
      </c>
      <c r="H54436" s="0" t="str">
        <f aca="false">HYPERLINK("https://lindat.mff.cuni.cz/services/SynSemClass40/SynSemClass40.html?veclass=vec00391#vec00391-ces-cm00039", "vec00391")</f>
        <v>vec00391</v>
      </c>
      <c r="I54436" s="0" t="s">
        <v>7472</v>
      </c>
      <c r="K54436" s="0" t="str">
        <f aca="false">HYPERLINK("https://lindat.mff.cuni.cz/services/SynSemClass40/SynSemClass40.html?veclass=vec00450#vec00450-ces-cm00032", "vec00450")</f>
        <v>vec00450</v>
      </c>
      <c r="L54436" s="0" t="s">
        <v>8366</v>
      </c>
    </row>
    <row r="54437" customFormat="false" ht="12.8" hidden="false" customHeight="false" outlineLevel="0" collapsed="false">
      <c r="B54437" s="0" t="s">
        <v>1</v>
      </c>
      <c r="C54437" s="0" t="s">
        <v>18787</v>
      </c>
      <c r="E54437" s="0" t="s">
        <v>2526</v>
      </c>
      <c r="F54437" s="0" t="s">
        <v>2527</v>
      </c>
      <c r="H54437" s="0" t="s">
        <v>621</v>
      </c>
      <c r="I54437" s="0" t="s">
        <v>7474</v>
      </c>
      <c r="K54437" s="0" t="s">
        <v>63</v>
      </c>
      <c r="L54437" s="0" t="s">
        <v>8368</v>
      </c>
    </row>
    <row r="54438" customFormat="false" ht="12.8" hidden="false" customHeight="false" outlineLevel="0" collapsed="false">
      <c r="B54438" s="0" t="s">
        <v>18786</v>
      </c>
    </row>
    <row r="54439" customFormat="false" ht="12.8" hidden="false" customHeight="false" outlineLevel="0" collapsed="false">
      <c r="B54439" s="0" t="s">
        <v>164</v>
      </c>
      <c r="C54439" s="0" t="s">
        <v>18788</v>
      </c>
      <c r="E54439" s="0" t="s">
        <v>4584</v>
      </c>
      <c r="F54439" s="0" t="s">
        <v>18789</v>
      </c>
      <c r="H54439" s="0" t="s">
        <v>18790</v>
      </c>
      <c r="I54439" s="0" t="s">
        <v>18791</v>
      </c>
      <c r="K54439" s="0" t="s">
        <v>18792</v>
      </c>
      <c r="L54439" s="0" t="s">
        <v>18793</v>
      </c>
    </row>
    <row r="54441" customFormat="false" ht="12.8" hidden="false" customHeight="false" outlineLevel="0" collapsed="false">
      <c r="A54441" s="0" t="s">
        <v>18794</v>
      </c>
      <c r="B54441" s="0" t="str">
        <f aca="false">HYPERLINK("https://lindat.mff.cuni.cz/services/teitok/pdtc10/index.php?action=vallex&amp;frame=v-w7714f6_ZU", "vrhat (v-w7714f6_ZU)")</f>
        <v>vrhat (v-w7714f6_ZU)</v>
      </c>
      <c r="E54441" s="0" t="str">
        <f aca="false">HYPERLINK("https://lindat.mff.cuni.cz/services/SynSemClass40/SynSemClass40.html?veclass=vec00812#vec00812-ces-cm00342", "vec00812")</f>
        <v>vec00812</v>
      </c>
      <c r="F54441" s="0" t="s">
        <v>2822</v>
      </c>
    </row>
    <row r="54442" customFormat="false" ht="12.8" hidden="false" customHeight="false" outlineLevel="0" collapsed="false">
      <c r="B54442" s="0" t="s">
        <v>1</v>
      </c>
      <c r="C54442" s="0" t="s">
        <v>2823</v>
      </c>
      <c r="E54442" s="0" t="s">
        <v>1103</v>
      </c>
      <c r="F54442" s="0" t="s">
        <v>2824</v>
      </c>
    </row>
    <row r="54443" customFormat="false" ht="12.8" hidden="false" customHeight="false" outlineLevel="0" collapsed="false">
      <c r="B54443" s="0" t="s">
        <v>8</v>
      </c>
      <c r="C54443" s="0" t="s">
        <v>2372</v>
      </c>
      <c r="E54443" s="0" t="s">
        <v>142</v>
      </c>
      <c r="F54443" s="0" t="s">
        <v>2825</v>
      </c>
    </row>
    <row r="54444" customFormat="false" ht="12.8" hidden="false" customHeight="false" outlineLevel="0" collapsed="false">
      <c r="B54444" s="0" t="s">
        <v>361</v>
      </c>
      <c r="C54444" s="0" t="s">
        <v>2826</v>
      </c>
      <c r="E54444" s="0" t="s">
        <v>2827</v>
      </c>
      <c r="F54444" s="0" t="s">
        <v>2828</v>
      </c>
    </row>
    <row r="54446" customFormat="false" ht="12.8" hidden="false" customHeight="false" outlineLevel="0" collapsed="false">
      <c r="A54446" s="0" t="s">
        <v>18794</v>
      </c>
      <c r="B54446" s="0" t="str">
        <f aca="false">HYPERLINK("https://lindat.mff.cuni.cz/services/teitok/pdtc10/index.php?action=vallex&amp;frame=v-w7714hsa_139", "vrhat (v-w7714hsa_139) - substituted with v-w7714f6_ZU")</f>
        <v>vrhat (v-w7714hsa_139) - substituted with v-w7714f6_ZU</v>
      </c>
    </row>
    <row r="54447" customFormat="false" ht="12.8" hidden="false" customHeight="false" outlineLevel="0" collapsed="false">
      <c r="B54447" s="0" t="s">
        <v>1</v>
      </c>
    </row>
    <row r="54448" customFormat="false" ht="12.8" hidden="false" customHeight="false" outlineLevel="0" collapsed="false">
      <c r="B54448" s="0" t="s">
        <v>8</v>
      </c>
    </row>
    <row r="54449" customFormat="false" ht="12.8" hidden="false" customHeight="false" outlineLevel="0" collapsed="false">
      <c r="B54449" s="0" t="s">
        <v>361</v>
      </c>
    </row>
    <row r="54451" customFormat="false" ht="12.8" hidden="false" customHeight="false" outlineLevel="0" collapsed="false">
      <c r="A54451" s="0" t="s">
        <v>18795</v>
      </c>
      <c r="B54451" s="0" t="str">
        <f aca="false">HYPERLINK("https://lindat.mff.cuni.cz/services/teitok/pdtc10/index.php?action=vallex&amp;frame=v-w7715f5_ZU", "vrhat se (v-w7715f5_ZU)")</f>
        <v>vrhat se (v-w7715f5_ZU)</v>
      </c>
    </row>
    <row r="54452" customFormat="false" ht="12.8" hidden="false" customHeight="false" outlineLevel="0" collapsed="false">
      <c r="B54452" s="0" t="s">
        <v>1</v>
      </c>
    </row>
    <row r="54453" customFormat="false" ht="12.8" hidden="false" customHeight="false" outlineLevel="0" collapsed="false">
      <c r="B54453" s="0" t="s">
        <v>45</v>
      </c>
    </row>
    <row r="54455" customFormat="false" ht="12.8" hidden="false" customHeight="false" outlineLevel="0" collapsed="false">
      <c r="A54455" s="0" t="s">
        <v>18796</v>
      </c>
      <c r="B54455" s="0" t="str">
        <f aca="false">HYPERLINK("https://lindat.mff.cuni.cz/services/teitok/pdtc10/index.php?action=vallex&amp;frame=v-w7715f3_ZU", "vrhat se (v-w7715f3_ZU)")</f>
        <v>vrhat se (v-w7715f3_ZU)</v>
      </c>
      <c r="E54455" s="0" t="str">
        <f aca="false">HYPERLINK("https://lindat.mff.cuni.cz/services/SynSemClass40/SynSemClass40.html?veclass=vec00747#vec00747-ces-cm00036", "vec00747")</f>
        <v>vec00747</v>
      </c>
      <c r="F54455" s="0" t="s">
        <v>4577</v>
      </c>
    </row>
    <row r="54456" customFormat="false" ht="12.8" hidden="false" customHeight="false" outlineLevel="0" collapsed="false">
      <c r="B54456" s="0" t="s">
        <v>1</v>
      </c>
      <c r="C54456" s="0" t="s">
        <v>447</v>
      </c>
      <c r="E54456" s="0" t="s">
        <v>334</v>
      </c>
      <c r="F54456" s="0" t="s">
        <v>4580</v>
      </c>
    </row>
    <row r="54457" customFormat="false" ht="12.8" hidden="false" customHeight="false" outlineLevel="0" collapsed="false">
      <c r="B54457" s="0" t="s">
        <v>164</v>
      </c>
      <c r="C54457" s="0" t="s">
        <v>15958</v>
      </c>
      <c r="E54457" s="0" t="s">
        <v>370</v>
      </c>
      <c r="F54457" s="0" t="s">
        <v>2451</v>
      </c>
    </row>
    <row r="54459" customFormat="false" ht="12.8" hidden="false" customHeight="false" outlineLevel="0" collapsed="false">
      <c r="A54459" s="0" t="s">
        <v>18796</v>
      </c>
      <c r="B54459" s="0" t="str">
        <f aca="false">HYPERLINK("https://lindat.mff.cuni.cz/services/teitok/pdtc10/index.php?action=vallex&amp;frame=v-w7715f1", "vrhat se (v-w7715f1) - substituted with v-w7715f3_ZU")</f>
        <v>vrhat se (v-w7715f1) - substituted with v-w7715f3_ZU</v>
      </c>
    </row>
    <row r="54460" customFormat="false" ht="12.8" hidden="false" customHeight="false" outlineLevel="0" collapsed="false">
      <c r="B54460" s="0" t="s">
        <v>1</v>
      </c>
    </row>
    <row r="54461" customFormat="false" ht="12.8" hidden="false" customHeight="false" outlineLevel="0" collapsed="false">
      <c r="B54461" s="0" t="s">
        <v>164</v>
      </c>
    </row>
    <row r="54463" customFormat="false" ht="12.8" hidden="false" customHeight="false" outlineLevel="0" collapsed="false">
      <c r="A54463" s="0" t="s">
        <v>18797</v>
      </c>
      <c r="B54463" s="0" t="str">
        <f aca="false">HYPERLINK("https://lindat.mff.cuni.cz/services/teitok/pdtc10/index.php?action=vallex&amp;frame=v-w7715f2_ZU", "vrhat se (v-w7715f2_ZU)")</f>
        <v>vrhat se (v-w7715f2_ZU)</v>
      </c>
    </row>
    <row r="54464" customFormat="false" ht="12.8" hidden="false" customHeight="false" outlineLevel="0" collapsed="false">
      <c r="B54464" s="0" t="s">
        <v>1</v>
      </c>
    </row>
    <row r="54465" customFormat="false" ht="12.8" hidden="false" customHeight="false" outlineLevel="0" collapsed="false">
      <c r="B54465" s="0" t="s">
        <v>454</v>
      </c>
    </row>
    <row r="54467" customFormat="false" ht="12.8" hidden="false" customHeight="false" outlineLevel="0" collapsed="false">
      <c r="A54467" s="0" t="s">
        <v>18798</v>
      </c>
      <c r="B54467" s="0" t="str">
        <f aca="false">HYPERLINK("https://lindat.mff.cuni.cz/services/teitok/pdtc10/index.php?action=vallex&amp;frame=v-w7715f4_ZU", "vrhat se (v-w7715f4_ZU)")</f>
        <v>vrhat se (v-w7715f4_ZU)</v>
      </c>
    </row>
    <row r="54468" customFormat="false" ht="12.8" hidden="false" customHeight="false" outlineLevel="0" collapsed="false">
      <c r="B54468" s="0" t="s">
        <v>1</v>
      </c>
    </row>
    <row r="54470" customFormat="false" ht="12.8" hidden="false" customHeight="false" outlineLevel="0" collapsed="false">
      <c r="A54470" s="0" t="s">
        <v>18799</v>
      </c>
      <c r="B54470" s="0" t="str">
        <f aca="false">HYPERLINK("https://lindat.mff.cuni.cz/services/teitok/pdtc10/index.php?action=vallex&amp;frame=v-w7716f1", "vrhnout (v-w7716f1)")</f>
        <v>vrhnout (v-w7716f1)</v>
      </c>
    </row>
    <row r="54471" customFormat="false" ht="12.8" hidden="false" customHeight="false" outlineLevel="0" collapsed="false">
      <c r="B54471" s="0" t="s">
        <v>1</v>
      </c>
    </row>
    <row r="54472" customFormat="false" ht="12.8" hidden="false" customHeight="false" outlineLevel="0" collapsed="false">
      <c r="B54472" s="0" t="s">
        <v>8</v>
      </c>
    </row>
    <row r="54473" customFormat="false" ht="12.8" hidden="false" customHeight="false" outlineLevel="0" collapsed="false">
      <c r="B54473" s="0" t="s">
        <v>164</v>
      </c>
    </row>
    <row r="54475" customFormat="false" ht="12.8" hidden="false" customHeight="false" outlineLevel="0" collapsed="false">
      <c r="A54475" s="0" t="s">
        <v>18800</v>
      </c>
      <c r="B54475" s="0" t="str">
        <f aca="false">HYPERLINK("https://lindat.mff.cuni.cz/services/teitok/pdtc10/index.php?action=vallex&amp;frame=v-w7716f2", "vrhnout (v-w7716f2)")</f>
        <v>vrhnout (v-w7716f2)</v>
      </c>
    </row>
    <row r="54476" customFormat="false" ht="12.8" hidden="false" customHeight="false" outlineLevel="0" collapsed="false">
      <c r="B54476" s="0" t="s">
        <v>1</v>
      </c>
    </row>
    <row r="54477" customFormat="false" ht="12.8" hidden="false" customHeight="false" outlineLevel="0" collapsed="false">
      <c r="B54477" s="0" t="s">
        <v>2299</v>
      </c>
    </row>
    <row r="54479" customFormat="false" ht="12.8" hidden="false" customHeight="false" outlineLevel="0" collapsed="false">
      <c r="A54479" s="0" t="s">
        <v>18801</v>
      </c>
      <c r="B54479" s="0" t="str">
        <f aca="false">HYPERLINK("https://lindat.mff.cuni.cz/services/teitok/pdtc10/index.php?action=vallex&amp;frame=v-w7716f3", "vrhnout (v-w7716f3)")</f>
        <v>vrhnout (v-w7716f3)</v>
      </c>
      <c r="E54479" s="0" t="str">
        <f aca="false">HYPERLINK("https://lindat.mff.cuni.cz/services/SynSemClass40/SynSemClass40.html?veclass=vec00372#vec00372-ces-cm00136", "vec00372")</f>
        <v>vec00372</v>
      </c>
      <c r="F54479" s="0" t="s">
        <v>2524</v>
      </c>
      <c r="H54479" s="0" t="str">
        <f aca="false">HYPERLINK("https://lindat.mff.cuni.cz/services/SynSemClass40/SynSemClass40.html?veclass=vec00391#vec00391-ces-cm00040", "vec00391")</f>
        <v>vec00391</v>
      </c>
      <c r="I54479" s="0" t="s">
        <v>7472</v>
      </c>
      <c r="K54479" s="0" t="str">
        <f aca="false">HYPERLINK("https://lindat.mff.cuni.cz/services/SynSemClass40/SynSemClass40.html?veclass=vec00450#vec00450-ces-cm00033", "vec00450")</f>
        <v>vec00450</v>
      </c>
      <c r="L54479" s="0" t="s">
        <v>8366</v>
      </c>
    </row>
    <row r="54480" customFormat="false" ht="12.8" hidden="false" customHeight="false" outlineLevel="0" collapsed="false">
      <c r="B54480" s="0" t="s">
        <v>1</v>
      </c>
      <c r="C54480" s="0" t="s">
        <v>18787</v>
      </c>
      <c r="E54480" s="0" t="s">
        <v>2526</v>
      </c>
      <c r="F54480" s="0" t="s">
        <v>2527</v>
      </c>
      <c r="H54480" s="0" t="s">
        <v>621</v>
      </c>
      <c r="I54480" s="0" t="s">
        <v>7474</v>
      </c>
      <c r="K54480" s="0" t="s">
        <v>63</v>
      </c>
      <c r="L54480" s="0" t="s">
        <v>8368</v>
      </c>
    </row>
    <row r="54481" customFormat="false" ht="12.8" hidden="false" customHeight="false" outlineLevel="0" collapsed="false">
      <c r="B54481" s="0" t="s">
        <v>18802</v>
      </c>
    </row>
    <row r="54482" customFormat="false" ht="12.8" hidden="false" customHeight="false" outlineLevel="0" collapsed="false">
      <c r="B54482" s="0" t="s">
        <v>164</v>
      </c>
      <c r="C54482" s="0" t="s">
        <v>18788</v>
      </c>
      <c r="E54482" s="0" t="s">
        <v>4584</v>
      </c>
      <c r="F54482" s="0" t="s">
        <v>18789</v>
      </c>
      <c r="H54482" s="0" t="s">
        <v>18790</v>
      </c>
      <c r="I54482" s="0" t="s">
        <v>18791</v>
      </c>
      <c r="K54482" s="0" t="s">
        <v>18792</v>
      </c>
      <c r="L54482" s="0" t="s">
        <v>18793</v>
      </c>
    </row>
    <row r="54484" customFormat="false" ht="12.8" hidden="false" customHeight="false" outlineLevel="0" collapsed="false">
      <c r="A54484" s="0" t="s">
        <v>18803</v>
      </c>
      <c r="B54484" s="0" t="str">
        <f aca="false">HYPERLINK("https://lindat.mff.cuni.cz/services/teitok/pdtc10/index.php?action=vallex&amp;frame=v-w7717f3_ZU", "vrhnout se (v-w7717f3_ZU)")</f>
        <v>vrhnout se (v-w7717f3_ZU)</v>
      </c>
      <c r="E54484" s="0" t="str">
        <f aca="false">HYPERLINK("https://lindat.mff.cuni.cz/services/SynSemClass40/SynSemClass40.html?veclass=vec00618#vec00618-ces-cm00075", "vec00618")</f>
        <v>vec00618</v>
      </c>
      <c r="F54484" s="0" t="s">
        <v>5044</v>
      </c>
    </row>
    <row r="54485" customFormat="false" ht="12.8" hidden="false" customHeight="false" outlineLevel="0" collapsed="false">
      <c r="B54485" s="0" t="s">
        <v>1</v>
      </c>
      <c r="C54485" s="0" t="s">
        <v>18804</v>
      </c>
      <c r="E54485" s="0" t="s">
        <v>11</v>
      </c>
      <c r="F54485" s="0" t="s">
        <v>5046</v>
      </c>
    </row>
    <row r="54486" customFormat="false" ht="12.8" hidden="false" customHeight="false" outlineLevel="0" collapsed="false">
      <c r="B54486" s="0" t="s">
        <v>5191</v>
      </c>
      <c r="C54486" s="0" t="s">
        <v>18805</v>
      </c>
      <c r="E54486" s="0" t="s">
        <v>14</v>
      </c>
      <c r="F54486" s="0" t="s">
        <v>5048</v>
      </c>
    </row>
    <row r="54488" customFormat="false" ht="12.8" hidden="false" customHeight="false" outlineLevel="0" collapsed="false">
      <c r="A54488" s="0" t="s">
        <v>18803</v>
      </c>
      <c r="B54488" s="0" t="str">
        <f aca="false">HYPERLINK("https://lindat.mff.cuni.cz/services/teitok/pdtc10/index.php?action=vallex&amp;frame=v-w7717f2_ZU", "vrhnout se (v-w7717f2_ZU) - substituted with v-w7717f3_ZU")</f>
        <v>vrhnout se (v-w7717f2_ZU) - substituted with v-w7717f3_ZU</v>
      </c>
    </row>
    <row r="54489" customFormat="false" ht="12.8" hidden="false" customHeight="false" outlineLevel="0" collapsed="false">
      <c r="B54489" s="0" t="s">
        <v>1</v>
      </c>
    </row>
    <row r="54490" customFormat="false" ht="12.8" hidden="false" customHeight="false" outlineLevel="0" collapsed="false">
      <c r="B54490" s="0" t="s">
        <v>5191</v>
      </c>
    </row>
    <row r="54492" customFormat="false" ht="12.8" hidden="false" customHeight="false" outlineLevel="0" collapsed="false">
      <c r="A54492" s="0" t="s">
        <v>18806</v>
      </c>
      <c r="B54492" s="0" t="str">
        <f aca="false">HYPERLINK("https://lindat.mff.cuni.cz/services/teitok/pdtc10/index.php?action=vallex&amp;frame=v-w7717f1", "vrhnout se (v-w7717f1)")</f>
        <v>vrhnout se (v-w7717f1)</v>
      </c>
      <c r="E54492" s="0" t="str">
        <f aca="false">HYPERLINK("https://lindat.mff.cuni.cz/services/SynSemClass40/SynSemClass40.html?veclass=vec00747#vec00747-ces-cm00001", "vec00747")</f>
        <v>vec00747</v>
      </c>
      <c r="F54492" s="0" t="s">
        <v>4577</v>
      </c>
    </row>
    <row r="54493" customFormat="false" ht="12.8" hidden="false" customHeight="false" outlineLevel="0" collapsed="false">
      <c r="B54493" s="0" t="s">
        <v>1</v>
      </c>
      <c r="C54493" s="0" t="s">
        <v>447</v>
      </c>
      <c r="E54493" s="0" t="s">
        <v>334</v>
      </c>
      <c r="F54493" s="0" t="s">
        <v>4580</v>
      </c>
    </row>
    <row r="54494" customFormat="false" ht="12.8" hidden="false" customHeight="false" outlineLevel="0" collapsed="false">
      <c r="B54494" s="0" t="s">
        <v>164</v>
      </c>
      <c r="C54494" s="0" t="s">
        <v>15958</v>
      </c>
      <c r="E54494" s="0" t="s">
        <v>370</v>
      </c>
      <c r="F54494" s="0" t="s">
        <v>2451</v>
      </c>
    </row>
    <row r="54496" customFormat="false" ht="12.8" hidden="false" customHeight="false" outlineLevel="0" collapsed="false">
      <c r="A54496" s="0" t="s">
        <v>18807</v>
      </c>
      <c r="B54496" s="0" t="str">
        <f aca="false">HYPERLINK("https://lindat.mff.cuni.cz/services/teitok/pdtc10/index.php?action=vallex&amp;frame=v-w7717f5_ZU", "vrhnout se (v-w7717f5_ZU)")</f>
        <v>vrhnout se (v-w7717f5_ZU)</v>
      </c>
      <c r="E54496" s="0" t="str">
        <f aca="false">HYPERLINK("https://lindat.mff.cuni.cz/services/SynSemClass40/SynSemClass40.html?veclass=vec00713#vec00713-ces-cm00008", "vec00713")</f>
        <v>vec00713</v>
      </c>
      <c r="F54496" s="0" t="s">
        <v>15516</v>
      </c>
    </row>
    <row r="54497" customFormat="false" ht="12.8" hidden="false" customHeight="false" outlineLevel="0" collapsed="false">
      <c r="B54497" s="0" t="s">
        <v>1</v>
      </c>
      <c r="C54497" s="0" t="s">
        <v>239</v>
      </c>
      <c r="E54497" s="0" t="s">
        <v>11</v>
      </c>
      <c r="F54497" s="0" t="s">
        <v>15517</v>
      </c>
    </row>
    <row r="54498" customFormat="false" ht="12.8" hidden="false" customHeight="false" outlineLevel="0" collapsed="false">
      <c r="B54498" s="0" t="s">
        <v>454</v>
      </c>
      <c r="C54498" s="0" t="s">
        <v>4618</v>
      </c>
      <c r="E54498" s="0" t="s">
        <v>18808</v>
      </c>
      <c r="F54498" s="0" t="s">
        <v>18809</v>
      </c>
    </row>
    <row r="54500" customFormat="false" ht="12.8" hidden="false" customHeight="false" outlineLevel="0" collapsed="false">
      <c r="A54500" s="0" t="s">
        <v>18807</v>
      </c>
      <c r="B54500" s="0" t="str">
        <f aca="false">HYPERLINK("https://lindat.mff.cuni.cz/services/teitok/pdtc10/index.php?action=vallex&amp;frame=v-w7717f4_ZU", "vrhnout se (v-w7717f4_ZU) - substituted with v-w7717f5_ZU")</f>
        <v>vrhnout se (v-w7717f4_ZU) - substituted with v-w7717f5_ZU</v>
      </c>
    </row>
    <row r="54501" customFormat="false" ht="12.8" hidden="false" customHeight="false" outlineLevel="0" collapsed="false">
      <c r="B54501" s="0" t="s">
        <v>1</v>
      </c>
    </row>
    <row r="54502" customFormat="false" ht="12.8" hidden="false" customHeight="false" outlineLevel="0" collapsed="false">
      <c r="B54502" s="0" t="s">
        <v>454</v>
      </c>
    </row>
    <row r="54504" customFormat="false" ht="12.8" hidden="false" customHeight="false" outlineLevel="0" collapsed="false">
      <c r="A54504" s="0" t="s">
        <v>18810</v>
      </c>
      <c r="B54504" s="0" t="str">
        <f aca="false">HYPERLINK("https://lindat.mff.cuni.cz/services/teitok/pdtc10/index.php?action=vallex&amp;frame=v-whsa_1073hsa_1074", "vrnět (v-whsa_1073hsa_1074)")</f>
        <v>vrnět (v-whsa_1073hsa_1074)</v>
      </c>
    </row>
    <row r="54505" customFormat="false" ht="12.8" hidden="false" customHeight="false" outlineLevel="0" collapsed="false">
      <c r="B54505" s="0" t="s">
        <v>1</v>
      </c>
    </row>
    <row r="54506" customFormat="false" ht="12.8" hidden="false" customHeight="false" outlineLevel="0" collapsed="false">
      <c r="B54506" s="0" t="s">
        <v>11023</v>
      </c>
    </row>
    <row r="54508" customFormat="false" ht="12.8" hidden="false" customHeight="false" outlineLevel="0" collapsed="false">
      <c r="A54508" s="0" t="s">
        <v>18811</v>
      </c>
      <c r="B54508" s="0" t="str">
        <f aca="false">HYPERLINK("https://lindat.mff.cuni.cz/services/teitok/pdtc10/index.php?action=vallex&amp;frame=v-whsa_141hsa_142", "vrnět se (v-whsa_141hsa_142)")</f>
        <v>vrnět se (v-whsa_141hsa_142)</v>
      </c>
    </row>
    <row r="54509" customFormat="false" ht="12.8" hidden="false" customHeight="false" outlineLevel="0" collapsed="false">
      <c r="B54509" s="0" t="s">
        <v>1</v>
      </c>
    </row>
    <row r="54511" customFormat="false" ht="12.8" hidden="false" customHeight="false" outlineLevel="0" collapsed="false">
      <c r="A54511" s="0" t="s">
        <v>18812</v>
      </c>
      <c r="B54511" s="0" t="str">
        <f aca="false">HYPERLINK("https://lindat.mff.cuni.cz/services/teitok/pdtc10/index.php?action=vallex&amp;frame=v-w7724f2", "vrtat (v-w7724f2)")</f>
        <v>vrtat (v-w7724f2)</v>
      </c>
    </row>
    <row r="54512" customFormat="false" ht="12.8" hidden="false" customHeight="false" outlineLevel="0" collapsed="false">
      <c r="B54512" s="0" t="s">
        <v>1</v>
      </c>
    </row>
    <row r="54513" customFormat="false" ht="12.8" hidden="false" customHeight="false" outlineLevel="0" collapsed="false">
      <c r="B54513" s="0" t="s">
        <v>8</v>
      </c>
    </row>
    <row r="54515" customFormat="false" ht="12.8" hidden="false" customHeight="false" outlineLevel="0" collapsed="false">
      <c r="A54515" s="0" t="s">
        <v>18813</v>
      </c>
      <c r="B54515" s="0" t="str">
        <f aca="false">HYPERLINK("https://lindat.mff.cuni.cz/services/teitok/pdtc10/index.php?action=vallex&amp;frame=v-w7724f1", "vrtat (v-w7724f1)")</f>
        <v>vrtat (v-w7724f1)</v>
      </c>
    </row>
    <row r="54516" customFormat="false" ht="12.8" hidden="false" customHeight="false" outlineLevel="0" collapsed="false">
      <c r="B54516" s="0" t="s">
        <v>18553</v>
      </c>
    </row>
    <row r="54517" customFormat="false" ht="12.8" hidden="false" customHeight="false" outlineLevel="0" collapsed="false">
      <c r="B54517" s="0" t="s">
        <v>12501</v>
      </c>
    </row>
    <row r="54518" customFormat="false" ht="12.8" hidden="false" customHeight="false" outlineLevel="0" collapsed="false">
      <c r="B54518" s="0" t="s">
        <v>186</v>
      </c>
    </row>
    <row r="54520" customFormat="false" ht="12.8" hidden="false" customHeight="false" outlineLevel="0" collapsed="false">
      <c r="A54520" s="0" t="s">
        <v>18814</v>
      </c>
      <c r="B54520" s="0" t="str">
        <f aca="false">HYPERLINK("https://lindat.mff.cuni.cz/services/teitok/pdtc10/index.php?action=vallex&amp;frame=v-w7724f3_ZU", "vrtat (v-w7724f3_ZU)")</f>
        <v>vrtat (v-w7724f3_ZU)</v>
      </c>
    </row>
    <row r="54521" customFormat="false" ht="12.8" hidden="false" customHeight="false" outlineLevel="0" collapsed="false">
      <c r="B54521" s="0" t="s">
        <v>1</v>
      </c>
    </row>
    <row r="54522" customFormat="false" ht="12.8" hidden="false" customHeight="false" outlineLevel="0" collapsed="false">
      <c r="B54522" s="0" t="s">
        <v>8</v>
      </c>
    </row>
    <row r="54524" customFormat="false" ht="12.8" hidden="false" customHeight="false" outlineLevel="0" collapsed="false">
      <c r="A54524" s="0" t="s">
        <v>18814</v>
      </c>
      <c r="B54524" s="0" t="str">
        <f aca="false">HYPERLINK("https://lindat.mff.cuni.cz/services/teitok/pdtc10/index.php?action=vallex&amp;frame=v-w7724hsa_502", "vrtat (v-w7724hsa_502) - substituted with v-w7724f3_ZU")</f>
        <v>vrtat (v-w7724hsa_502) - substituted with v-w7724f3_ZU</v>
      </c>
    </row>
    <row r="54525" customFormat="false" ht="12.8" hidden="false" customHeight="false" outlineLevel="0" collapsed="false">
      <c r="B54525" s="0" t="s">
        <v>1</v>
      </c>
    </row>
    <row r="54526" customFormat="false" ht="12.8" hidden="false" customHeight="false" outlineLevel="0" collapsed="false">
      <c r="B54526" s="0" t="s">
        <v>8</v>
      </c>
    </row>
    <row r="54528" customFormat="false" ht="12.8" hidden="false" customHeight="false" outlineLevel="0" collapsed="false">
      <c r="A54528" s="0" t="s">
        <v>18815</v>
      </c>
      <c r="B54528" s="0" t="str">
        <f aca="false">HYPERLINK("https://lindat.mff.cuni.cz/services/teitok/pdtc10/index.php?action=vallex&amp;frame=v-whsa_878hsa_879", "vrtat se (v-whsa_878hsa_879)")</f>
        <v>vrtat se (v-whsa_878hsa_879)</v>
      </c>
      <c r="E54528" s="0" t="str">
        <f aca="false">HYPERLINK("https://lindat.mff.cuni.cz/services/SynSemClass40/SynSemClass40.html?veclass=vec00818#vec00818-ces-cm00002", "vec00818")</f>
        <v>vec00818</v>
      </c>
      <c r="F54528" s="0" t="s">
        <v>4200</v>
      </c>
    </row>
    <row r="54529" customFormat="false" ht="12.8" hidden="false" customHeight="false" outlineLevel="0" collapsed="false">
      <c r="B54529" s="0" t="s">
        <v>1</v>
      </c>
      <c r="C54529" s="0" t="s">
        <v>459</v>
      </c>
      <c r="E54529" s="0" t="s">
        <v>3010</v>
      </c>
      <c r="F54529" s="0" t="s">
        <v>4201</v>
      </c>
    </row>
    <row r="54530" customFormat="false" ht="12.8" hidden="false" customHeight="false" outlineLevel="0" collapsed="false">
      <c r="B54530" s="0" t="s">
        <v>536</v>
      </c>
      <c r="C54530" s="0" t="s">
        <v>1575</v>
      </c>
      <c r="E54530" s="0" t="s">
        <v>4202</v>
      </c>
      <c r="F54530" s="0" t="s">
        <v>4203</v>
      </c>
    </row>
    <row r="54532" customFormat="false" ht="12.8" hidden="false" customHeight="false" outlineLevel="0" collapsed="false">
      <c r="A54532" s="0" t="s">
        <v>18816</v>
      </c>
      <c r="B54532" s="0" t="str">
        <f aca="false">HYPERLINK("https://lindat.mff.cuni.cz/services/teitok/pdtc10/index.php?action=vallex&amp;frame=v-whsa_878f1_ZU", "vrtat se (v-whsa_878f1_ZU)")</f>
        <v>vrtat se (v-whsa_878f1_ZU)</v>
      </c>
    </row>
    <row r="54533" customFormat="false" ht="12.8" hidden="false" customHeight="false" outlineLevel="0" collapsed="false">
      <c r="B54533" s="0" t="s">
        <v>1</v>
      </c>
    </row>
    <row r="54535" customFormat="false" ht="12.8" hidden="false" customHeight="false" outlineLevel="0" collapsed="false">
      <c r="A54535" s="0" t="s">
        <v>18817</v>
      </c>
      <c r="B54535" s="0" t="str">
        <f aca="false">HYPERLINK("https://lindat.mff.cuni.cz/services/teitok/pdtc10/index.php?action=vallex&amp;frame=v-w11085f2", "vrtět (v-w11085f2)")</f>
        <v>vrtět (v-w11085f2)</v>
      </c>
    </row>
    <row r="54536" customFormat="false" ht="12.8" hidden="false" customHeight="false" outlineLevel="0" collapsed="false">
      <c r="B54536" s="0" t="s">
        <v>1</v>
      </c>
    </row>
    <row r="54537" customFormat="false" ht="12.8" hidden="false" customHeight="false" outlineLevel="0" collapsed="false">
      <c r="B54537" s="0" t="s">
        <v>286</v>
      </c>
    </row>
    <row r="54539" customFormat="false" ht="12.8" hidden="false" customHeight="false" outlineLevel="0" collapsed="false">
      <c r="A54539" s="0" t="s">
        <v>18818</v>
      </c>
      <c r="B54539" s="0" t="str">
        <f aca="false">HYPERLINK("https://lindat.mff.cuni.cz/services/teitok/pdtc10/index.php?action=vallex&amp;frame=v-w11458f1", "vrtět se (v-w11458f1)")</f>
        <v>vrtět se (v-w11458f1)</v>
      </c>
      <c r="E54539" s="0" t="str">
        <f aca="false">HYPERLINK("https://lindat.mff.cuni.cz/services/SynSemClass40/SynSemClass40.html?veclass=vec00937#vec00937-ces-cm00007", "vec00937")</f>
        <v>vec00937</v>
      </c>
      <c r="F54539" s="0" t="s">
        <v>10187</v>
      </c>
    </row>
    <row r="54540" customFormat="false" ht="12.8" hidden="false" customHeight="false" outlineLevel="0" collapsed="false">
      <c r="B54540" s="0" t="s">
        <v>1</v>
      </c>
      <c r="C54540" s="0" t="s">
        <v>10188</v>
      </c>
      <c r="E54540" s="0" t="s">
        <v>266</v>
      </c>
      <c r="F54540" s="0" t="s">
        <v>10189</v>
      </c>
    </row>
    <row r="54542" customFormat="false" ht="12.8" hidden="false" customHeight="false" outlineLevel="0" collapsed="false">
      <c r="A54542" s="0" t="s">
        <v>18819</v>
      </c>
      <c r="B54542" s="0" t="str">
        <f aca="false">HYPERLINK("https://lindat.mff.cuni.cz/services/teitok/pdtc10/index.php?action=vallex&amp;frame=v-whsa_696hsa_697", "vrzat (v-whsa_696hsa_697)")</f>
        <v>vrzat (v-whsa_696hsa_697)</v>
      </c>
    </row>
    <row r="54543" customFormat="false" ht="12.8" hidden="false" customHeight="false" outlineLevel="0" collapsed="false">
      <c r="B54543" s="0" t="s">
        <v>1</v>
      </c>
    </row>
    <row r="54544" customFormat="false" ht="12.8" hidden="false" customHeight="false" outlineLevel="0" collapsed="false">
      <c r="B54544" s="0" t="s">
        <v>286</v>
      </c>
    </row>
    <row r="54546" customFormat="false" ht="12.8" hidden="false" customHeight="false" outlineLevel="0" collapsed="false">
      <c r="A54546" s="0" t="s">
        <v>18820</v>
      </c>
      <c r="B54546" s="0" t="str">
        <f aca="false">HYPERLINK("https://lindat.mff.cuni.cz/services/teitok/pdtc10/index.php?action=vallex&amp;frame=v-w7705f7_ZU", "vrátit (v-w7705f7_ZU)")</f>
        <v>vrátit (v-w7705f7_ZU)</v>
      </c>
    </row>
    <row r="54547" customFormat="false" ht="12.8" hidden="false" customHeight="false" outlineLevel="0" collapsed="false">
      <c r="B54547" s="0" t="s">
        <v>1</v>
      </c>
    </row>
    <row r="54548" customFormat="false" ht="12.8" hidden="false" customHeight="false" outlineLevel="0" collapsed="false">
      <c r="B54548" s="0" t="s">
        <v>305</v>
      </c>
    </row>
    <row r="54549" customFormat="false" ht="12.8" hidden="false" customHeight="false" outlineLevel="0" collapsed="false">
      <c r="B54549" s="0" t="s">
        <v>52</v>
      </c>
    </row>
    <row r="54551" customFormat="false" ht="12.8" hidden="false" customHeight="false" outlineLevel="0" collapsed="false">
      <c r="A54551" s="0" t="s">
        <v>18820</v>
      </c>
      <c r="B54551" s="0" t="str">
        <f aca="false">HYPERLINK("https://lindat.mff.cuni.cz/services/teitok/pdtc10/index.php?action=vallex&amp;frame=v-w7705f1", "vrátit (v-w7705f1) - substituted with v-w7705f7_ZU")</f>
        <v>vrátit (v-w7705f1) - substituted with v-w7705f7_ZU</v>
      </c>
      <c r="E54551" s="0" t="str">
        <f aca="false">HYPERLINK("https://lindat.mff.cuni.cz/services/SynSemClass40/SynSemClass40.html?veclass=vec00745#vec00745-ces-cm00095", "vec00745")</f>
        <v>vec00745</v>
      </c>
      <c r="F54551" s="0" t="s">
        <v>7910</v>
      </c>
    </row>
    <row r="54552" customFormat="false" ht="12.8" hidden="false" customHeight="false" outlineLevel="0" collapsed="false">
      <c r="B54552" s="0" t="s">
        <v>1</v>
      </c>
      <c r="C54552" s="0" t="s">
        <v>7911</v>
      </c>
      <c r="E54552" s="0" t="s">
        <v>7912</v>
      </c>
      <c r="F54552" s="0" t="s">
        <v>7913</v>
      </c>
    </row>
    <row r="54553" customFormat="false" ht="12.8" hidden="false" customHeight="false" outlineLevel="0" collapsed="false">
      <c r="B54553" s="0" t="s">
        <v>305</v>
      </c>
      <c r="C54553" s="0" t="s">
        <v>7914</v>
      </c>
      <c r="E54553" s="0" t="s">
        <v>7915</v>
      </c>
      <c r="F54553" s="0" t="s">
        <v>7916</v>
      </c>
    </row>
    <row r="54554" customFormat="false" ht="12.8" hidden="false" customHeight="false" outlineLevel="0" collapsed="false">
      <c r="B54554" s="0" t="s">
        <v>52</v>
      </c>
      <c r="C54554" s="0" t="s">
        <v>7917</v>
      </c>
      <c r="E54554" s="0" t="s">
        <v>7918</v>
      </c>
      <c r="F54554" s="0" t="s">
        <v>7919</v>
      </c>
    </row>
    <row r="54556" customFormat="false" ht="12.8" hidden="false" customHeight="false" outlineLevel="0" collapsed="false">
      <c r="A54556" s="0" t="s">
        <v>18821</v>
      </c>
      <c r="B54556" s="0" t="str">
        <f aca="false">HYPERLINK("https://lindat.mff.cuni.cz/services/teitok/pdtc10/index.php?action=vallex&amp;frame=v-w7705f6_ZU", "vrátit (v-w7705f6_ZU)")</f>
        <v>vrátit (v-w7705f6_ZU)</v>
      </c>
    </row>
    <row r="54557" customFormat="false" ht="12.8" hidden="false" customHeight="false" outlineLevel="0" collapsed="false">
      <c r="B54557" s="0" t="s">
        <v>1</v>
      </c>
    </row>
    <row r="54558" customFormat="false" ht="12.8" hidden="false" customHeight="false" outlineLevel="0" collapsed="false">
      <c r="B54558" s="0" t="s">
        <v>8</v>
      </c>
    </row>
    <row r="54559" customFormat="false" ht="12.8" hidden="false" customHeight="false" outlineLevel="0" collapsed="false">
      <c r="B54559" s="0" t="s">
        <v>18822</v>
      </c>
    </row>
    <row r="54561" customFormat="false" ht="12.8" hidden="false" customHeight="false" outlineLevel="0" collapsed="false">
      <c r="A54561" s="0" t="s">
        <v>18821</v>
      </c>
      <c r="B54561" s="0" t="str">
        <f aca="false">HYPERLINK("https://lindat.mff.cuni.cz/services/teitok/pdtc10/index.php?action=vallex&amp;frame=v-w7705f3", "vrátit (v-w7705f3) - substituted with v-w7705f6_ZU")</f>
        <v>vrátit (v-w7705f3) - substituted with v-w7705f6_ZU</v>
      </c>
    </row>
    <row r="54562" customFormat="false" ht="12.8" hidden="false" customHeight="false" outlineLevel="0" collapsed="false">
      <c r="B54562" s="0" t="s">
        <v>1</v>
      </c>
    </row>
    <row r="54563" customFormat="false" ht="12.8" hidden="false" customHeight="false" outlineLevel="0" collapsed="false">
      <c r="B54563" s="0" t="s">
        <v>8</v>
      </c>
    </row>
    <row r="54564" customFormat="false" ht="12.8" hidden="false" customHeight="false" outlineLevel="0" collapsed="false">
      <c r="B54564" s="0" t="s">
        <v>18822</v>
      </c>
    </row>
    <row r="54566" customFormat="false" ht="12.8" hidden="false" customHeight="false" outlineLevel="0" collapsed="false">
      <c r="A54566" s="0" t="s">
        <v>18821</v>
      </c>
      <c r="B54566" s="0" t="str">
        <f aca="false">HYPERLINK("https://lindat.mff.cuni.cz/services/teitok/pdtc10/index.php?action=vallex&amp;frame=v-w7705hsa_787", "vrátit (v-w7705hsa_787) - substituted with v-w7705f6_ZU")</f>
        <v>vrátit (v-w7705hsa_787) - substituted with v-w7705f6_ZU</v>
      </c>
    </row>
    <row r="54567" customFormat="false" ht="12.8" hidden="false" customHeight="false" outlineLevel="0" collapsed="false">
      <c r="B54567" s="0" t="s">
        <v>1</v>
      </c>
    </row>
    <row r="54568" customFormat="false" ht="12.8" hidden="false" customHeight="false" outlineLevel="0" collapsed="false">
      <c r="B54568" s="0" t="s">
        <v>8</v>
      </c>
    </row>
    <row r="54569" customFormat="false" ht="12.8" hidden="false" customHeight="false" outlineLevel="0" collapsed="false">
      <c r="B54569" s="0" t="s">
        <v>18822</v>
      </c>
    </row>
    <row r="54571" customFormat="false" ht="12.8" hidden="false" customHeight="false" outlineLevel="0" collapsed="false">
      <c r="A54571" s="0" t="s">
        <v>18823</v>
      </c>
      <c r="B54571" s="0" t="str">
        <f aca="false">HYPERLINK("https://lindat.mff.cuni.cz/services/teitok/pdtc10/index.php?action=vallex&amp;frame=v-w7705f4", "vrátit (v-w7705f4)")</f>
        <v>vrátit (v-w7705f4)</v>
      </c>
    </row>
    <row r="54572" customFormat="false" ht="12.8" hidden="false" customHeight="false" outlineLevel="0" collapsed="false">
      <c r="B54572" s="0" t="s">
        <v>1</v>
      </c>
    </row>
    <row r="54573" customFormat="false" ht="12.8" hidden="false" customHeight="false" outlineLevel="0" collapsed="false">
      <c r="B54573" s="0" t="s">
        <v>8</v>
      </c>
    </row>
    <row r="54574" customFormat="false" ht="12.8" hidden="false" customHeight="false" outlineLevel="0" collapsed="false">
      <c r="B54574" s="0" t="s">
        <v>5</v>
      </c>
    </row>
    <row r="54576" customFormat="false" ht="12.8" hidden="false" customHeight="false" outlineLevel="0" collapsed="false">
      <c r="A54576" s="0" t="s">
        <v>18824</v>
      </c>
      <c r="B54576" s="0" t="str">
        <f aca="false">HYPERLINK("https://lindat.mff.cuni.cz/services/teitok/pdtc10/index.php?action=vallex&amp;frame=v-w7705f2", "vrátit (v-w7705f2)")</f>
        <v>vrátit (v-w7705f2)</v>
      </c>
      <c r="E54576" s="0" t="str">
        <f aca="false">HYPERLINK("https://lindat.mff.cuni.cz/services/SynSemClass40/SynSemClass40.html?veclass=vec00745#vec00745-ces-cm00001", "vec00745")</f>
        <v>vec00745</v>
      </c>
      <c r="F54576" s="0" t="s">
        <v>7910</v>
      </c>
      <c r="H54576" s="0" t="str">
        <f aca="false">HYPERLINK("https://lindat.mff.cuni.cz/services/SynSemClass40/SynSemClass40.html?veclass=vec01377#vec01377-ces-cm00057", "vec01377")</f>
        <v>vec01377</v>
      </c>
      <c r="I54576" s="0" t="s">
        <v>2643</v>
      </c>
      <c r="K54576" s="0" t="str">
        <f aca="false">HYPERLINK("https://lindat.mff.cuni.cz/services/SynSemClass40/SynSemClass40.html?veclass=vec01437#vec01437-ces-cm00005", "vec01437")</f>
        <v>vec01437</v>
      </c>
      <c r="L54576" s="0" t="s">
        <v>7921</v>
      </c>
    </row>
    <row r="54577" customFormat="false" ht="12.8" hidden="false" customHeight="false" outlineLevel="0" collapsed="false">
      <c r="B54577" s="0" t="s">
        <v>1</v>
      </c>
      <c r="C54577" s="0" t="s">
        <v>18825</v>
      </c>
      <c r="E54577" s="0" t="s">
        <v>7912</v>
      </c>
      <c r="F54577" s="0" t="s">
        <v>7913</v>
      </c>
      <c r="H54577" s="0" t="s">
        <v>2645</v>
      </c>
      <c r="I54577" s="0" t="s">
        <v>2646</v>
      </c>
      <c r="K54577" s="0" t="s">
        <v>206</v>
      </c>
      <c r="L54577" s="0" t="s">
        <v>7923</v>
      </c>
    </row>
    <row r="54578" customFormat="false" ht="12.8" hidden="false" customHeight="false" outlineLevel="0" collapsed="false">
      <c r="B54578" s="0" t="s">
        <v>8</v>
      </c>
      <c r="C54578" s="0" t="s">
        <v>18826</v>
      </c>
      <c r="E54578" s="0" t="s">
        <v>7915</v>
      </c>
      <c r="F54578" s="0" t="s">
        <v>7916</v>
      </c>
      <c r="H54578" s="0" t="s">
        <v>2648</v>
      </c>
      <c r="I54578" s="0" t="s">
        <v>2649</v>
      </c>
      <c r="K54578" s="0" t="s">
        <v>7925</v>
      </c>
      <c r="L54578" s="0" t="s">
        <v>7926</v>
      </c>
    </row>
    <row r="54579" customFormat="false" ht="12.8" hidden="false" customHeight="false" outlineLevel="0" collapsed="false">
      <c r="B54579" s="0" t="s">
        <v>164</v>
      </c>
      <c r="C54579" s="0" t="s">
        <v>18827</v>
      </c>
      <c r="E54579" s="0" t="s">
        <v>7928</v>
      </c>
      <c r="F54579" s="0" t="s">
        <v>7929</v>
      </c>
      <c r="H54579" s="0" t="s">
        <v>370</v>
      </c>
      <c r="I54579" s="0" t="s">
        <v>2652</v>
      </c>
      <c r="K54579" s="0" t="s">
        <v>7930</v>
      </c>
      <c r="L54579" s="0" t="s">
        <v>7931</v>
      </c>
    </row>
    <row r="54581" customFormat="false" ht="12.8" hidden="false" customHeight="false" outlineLevel="0" collapsed="false">
      <c r="A54581" s="0" t="s">
        <v>18828</v>
      </c>
      <c r="B54581" s="0" t="str">
        <f aca="false">HYPERLINK("https://lindat.mff.cuni.cz/services/teitok/pdtc10/index.php?action=vallex&amp;frame=v-w7705f5_ZU", "vrátit (v-w7705f5_ZU)")</f>
        <v>vrátit (v-w7705f5_ZU)</v>
      </c>
      <c r="E54581" s="0" t="str">
        <f aca="false">HYPERLINK("https://lindat.mff.cuni.cz/services/SynSemClass40/SynSemClass40.html?veclass=vec00812#vec00812-ces-cm00190", "vec00812")</f>
        <v>vec00812</v>
      </c>
      <c r="F54581" s="0" t="s">
        <v>2822</v>
      </c>
    </row>
    <row r="54582" customFormat="false" ht="12.8" hidden="false" customHeight="false" outlineLevel="0" collapsed="false">
      <c r="B54582" s="0" t="s">
        <v>1</v>
      </c>
      <c r="C54582" s="0" t="s">
        <v>2823</v>
      </c>
      <c r="E54582" s="0" t="s">
        <v>1103</v>
      </c>
      <c r="F54582" s="0" t="s">
        <v>2824</v>
      </c>
    </row>
    <row r="54583" customFormat="false" ht="12.8" hidden="false" customHeight="false" outlineLevel="0" collapsed="false">
      <c r="B54583" s="0" t="s">
        <v>18829</v>
      </c>
      <c r="C54583" s="0" t="s">
        <v>18830</v>
      </c>
      <c r="E54583" s="0" t="s">
        <v>18831</v>
      </c>
      <c r="F54583" s="0" t="s">
        <v>18832</v>
      </c>
    </row>
    <row r="54584" customFormat="false" ht="12.8" hidden="false" customHeight="false" outlineLevel="0" collapsed="false">
      <c r="B54584" s="0" t="s">
        <v>8</v>
      </c>
      <c r="C54584" s="0" t="s">
        <v>2372</v>
      </c>
      <c r="E54584" s="0" t="s">
        <v>142</v>
      </c>
      <c r="F54584" s="0" t="s">
        <v>2825</v>
      </c>
    </row>
    <row r="54586" customFormat="false" ht="12.8" hidden="false" customHeight="false" outlineLevel="0" collapsed="false">
      <c r="A54586" s="0" t="s">
        <v>18833</v>
      </c>
      <c r="B54586" s="0" t="str">
        <f aca="false">HYPERLINK("https://lindat.mff.cuni.cz/services/teitok/pdtc10/index.php?action=vallex&amp;frame=v-w7705hsa_786", "vrátit (v-w7705hsa_786)")</f>
        <v>vrátit (v-w7705hsa_786)</v>
      </c>
    </row>
    <row r="54587" customFormat="false" ht="12.8" hidden="false" customHeight="false" outlineLevel="0" collapsed="false">
      <c r="B54587" s="0" t="s">
        <v>1</v>
      </c>
    </row>
    <row r="54588" customFormat="false" ht="12.8" hidden="false" customHeight="false" outlineLevel="0" collapsed="false">
      <c r="B54588" s="0" t="s">
        <v>8</v>
      </c>
    </row>
    <row r="54590" customFormat="false" ht="12.8" hidden="false" customHeight="false" outlineLevel="0" collapsed="false">
      <c r="A54590" s="0" t="s">
        <v>18834</v>
      </c>
      <c r="B54590" s="0" t="str">
        <f aca="false">HYPERLINK("https://lindat.mff.cuni.cz/services/teitok/pdtc10/index.php?action=vallex&amp;frame=v-w7706f2", "vrátit se (v-w7706f2)")</f>
        <v>vrátit se (v-w7706f2)</v>
      </c>
    </row>
    <row r="54591" customFormat="false" ht="12.8" hidden="false" customHeight="false" outlineLevel="0" collapsed="false">
      <c r="B54591" s="0" t="s">
        <v>1</v>
      </c>
    </row>
    <row r="54592" customFormat="false" ht="12.8" hidden="false" customHeight="false" outlineLevel="0" collapsed="false">
      <c r="B54592" s="0" t="s">
        <v>186</v>
      </c>
    </row>
    <row r="54594" customFormat="false" ht="12.8" hidden="false" customHeight="false" outlineLevel="0" collapsed="false">
      <c r="A54594" s="0" t="s">
        <v>18835</v>
      </c>
      <c r="B54594" s="0" t="str">
        <f aca="false">HYPERLINK("https://lindat.mff.cuni.cz/services/teitok/pdtc10/index.php?action=vallex&amp;frame=v-w7706f3", "vrátit se (v-w7706f3)")</f>
        <v>vrátit se (v-w7706f3)</v>
      </c>
      <c r="E54594" s="0" t="str">
        <f aca="false">HYPERLINK("https://lindat.mff.cuni.cz/services/SynSemClass40/SynSemClass40.html?veclass=vec00744#vec00744-ces-cm00013", "vec00744")</f>
        <v>vec00744</v>
      </c>
      <c r="F54594" s="0" t="s">
        <v>7933</v>
      </c>
    </row>
    <row r="54595" customFormat="false" ht="12.8" hidden="false" customHeight="false" outlineLevel="0" collapsed="false">
      <c r="B54595" s="0" t="s">
        <v>1</v>
      </c>
      <c r="C54595" s="0" t="s">
        <v>7934</v>
      </c>
      <c r="E54595" s="0" t="s">
        <v>11</v>
      </c>
      <c r="F54595" s="0" t="s">
        <v>7935</v>
      </c>
    </row>
    <row r="54596" customFormat="false" ht="12.8" hidden="false" customHeight="false" outlineLevel="0" collapsed="false">
      <c r="B54596" s="0" t="s">
        <v>311</v>
      </c>
      <c r="C54596" s="0" t="s">
        <v>531</v>
      </c>
      <c r="E54596" s="0" t="s">
        <v>7962</v>
      </c>
      <c r="F54596" s="0" t="s">
        <v>7963</v>
      </c>
    </row>
    <row r="54598" customFormat="false" ht="12.8" hidden="false" customHeight="false" outlineLevel="0" collapsed="false">
      <c r="A54598" s="0" t="s">
        <v>18836</v>
      </c>
      <c r="B54598" s="0" t="str">
        <f aca="false">HYPERLINK("https://lindat.mff.cuni.cz/services/teitok/pdtc10/index.php?action=vallex&amp;frame=v-w7706f5", "vrátit se (v-w7706f5)")</f>
        <v>vrátit se (v-w7706f5)</v>
      </c>
      <c r="E54598" s="0" t="str">
        <f aca="false">HYPERLINK("https://lindat.mff.cuni.cz/services/SynSemClass40/SynSemClass40.html?veclass=vec00744#vec00744-ces-cm00015", "vec00744")</f>
        <v>vec00744</v>
      </c>
      <c r="F54598" s="0" t="s">
        <v>7933</v>
      </c>
    </row>
    <row r="54599" customFormat="false" ht="12.8" hidden="false" customHeight="false" outlineLevel="0" collapsed="false">
      <c r="B54599" s="0" t="s">
        <v>1</v>
      </c>
      <c r="C54599" s="0" t="s">
        <v>7934</v>
      </c>
      <c r="E54599" s="0" t="s">
        <v>11</v>
      </c>
      <c r="F54599" s="0" t="s">
        <v>7935</v>
      </c>
    </row>
    <row r="54600" customFormat="false" ht="12.8" hidden="false" customHeight="false" outlineLevel="0" collapsed="false">
      <c r="B54600" s="0" t="s">
        <v>361</v>
      </c>
      <c r="C54600" s="0" t="s">
        <v>7936</v>
      </c>
      <c r="E54600" s="0" t="s">
        <v>7937</v>
      </c>
      <c r="F54600" s="0" t="s">
        <v>7938</v>
      </c>
    </row>
    <row r="54602" customFormat="false" ht="12.8" hidden="false" customHeight="false" outlineLevel="0" collapsed="false">
      <c r="A54602" s="0" t="s">
        <v>18837</v>
      </c>
      <c r="B54602" s="0" t="str">
        <f aca="false">HYPERLINK("https://lindat.mff.cuni.cz/services/teitok/pdtc10/index.php?action=vallex&amp;frame=v-w7706f1", "vrátit se (v-w7706f1)")</f>
        <v>vrátit se (v-w7706f1)</v>
      </c>
      <c r="E54602" s="0" t="str">
        <f aca="false">HYPERLINK("https://lindat.mff.cuni.cz/services/SynSemClass40/SynSemClass40.html?veclass=vec00218#vec00218-ces-cm00154", "vec00218")</f>
        <v>vec00218</v>
      </c>
      <c r="F54602" s="0" t="s">
        <v>2143</v>
      </c>
    </row>
    <row r="54603" customFormat="false" ht="12.8" hidden="false" customHeight="false" outlineLevel="0" collapsed="false">
      <c r="B54603" s="0" t="s">
        <v>1</v>
      </c>
      <c r="C54603" s="0" t="s">
        <v>2144</v>
      </c>
      <c r="E54603" s="0" t="s">
        <v>11</v>
      </c>
      <c r="F54603" s="0" t="s">
        <v>2145</v>
      </c>
    </row>
    <row r="54604" customFormat="false" ht="12.8" hidden="false" customHeight="false" outlineLevel="0" collapsed="false">
      <c r="B54604" s="0" t="s">
        <v>164</v>
      </c>
      <c r="C54604" s="0" t="s">
        <v>2146</v>
      </c>
      <c r="E54604" s="0" t="s">
        <v>370</v>
      </c>
      <c r="F54604" s="0" t="s">
        <v>2147</v>
      </c>
    </row>
    <row r="54606" customFormat="false" ht="12.8" hidden="false" customHeight="false" outlineLevel="0" collapsed="false">
      <c r="A54606" s="0" t="s">
        <v>18838</v>
      </c>
      <c r="B54606" s="0" t="str">
        <f aca="false">HYPERLINK("https://lindat.mff.cuni.cz/services/teitok/pdtc10/index.php?action=vallex&amp;frame=v-w7706f4", "vrátit se (v-w7706f4)")</f>
        <v>vrátit se (v-w7706f4)</v>
      </c>
    </row>
    <row r="54607" customFormat="false" ht="12.8" hidden="false" customHeight="false" outlineLevel="0" collapsed="false">
      <c r="B54607" s="0" t="s">
        <v>1</v>
      </c>
    </row>
    <row r="54609" customFormat="false" ht="12.8" hidden="false" customHeight="false" outlineLevel="0" collapsed="false">
      <c r="A54609" s="0" t="s">
        <v>18839</v>
      </c>
      <c r="B54609" s="0" t="str">
        <f aca="false">HYPERLINK("https://lindat.mff.cuni.cz/services/teitok/pdtc10/index.php?action=vallex&amp;frame=v-w7706f6_ZU", "vrátit se (v-w7706f6_ZU)")</f>
        <v>vrátit se (v-w7706f6_ZU)</v>
      </c>
    </row>
    <row r="54610" customFormat="false" ht="12.8" hidden="false" customHeight="false" outlineLevel="0" collapsed="false">
      <c r="B54610" s="0" t="s">
        <v>1</v>
      </c>
    </row>
    <row r="54611" customFormat="false" ht="12.8" hidden="false" customHeight="false" outlineLevel="0" collapsed="false">
      <c r="B54611" s="0" t="s">
        <v>69</v>
      </c>
    </row>
    <row r="54612" customFormat="false" ht="12.8" hidden="false" customHeight="false" outlineLevel="0" collapsed="false">
      <c r="B54612" s="0" t="s">
        <v>18840</v>
      </c>
    </row>
    <row r="54614" customFormat="false" ht="12.8" hidden="false" customHeight="false" outlineLevel="0" collapsed="false">
      <c r="A54614" s="0" t="s">
        <v>18839</v>
      </c>
      <c r="B54614" s="0" t="str">
        <f aca="false">HYPERLINK("https://lindat.mff.cuni.cz/services/teitok/pdtc10/index.php?action=vallex&amp;frame=v-w7706hsa_251", "vrátit se (v-w7706hsa_251) - substituted with v-w7706f6_ZU")</f>
        <v>vrátit se (v-w7706hsa_251) - substituted with v-w7706f6_ZU</v>
      </c>
    </row>
    <row r="54615" customFormat="false" ht="12.8" hidden="false" customHeight="false" outlineLevel="0" collapsed="false">
      <c r="B54615" s="0" t="s">
        <v>1</v>
      </c>
    </row>
    <row r="54616" customFormat="false" ht="12.8" hidden="false" customHeight="false" outlineLevel="0" collapsed="false">
      <c r="B54616" s="0" t="s">
        <v>69</v>
      </c>
    </row>
    <row r="54617" customFormat="false" ht="12.8" hidden="false" customHeight="false" outlineLevel="0" collapsed="false">
      <c r="B54617" s="0" t="s">
        <v>18840</v>
      </c>
    </row>
    <row r="54619" customFormat="false" ht="12.8" hidden="false" customHeight="false" outlineLevel="0" collapsed="false">
      <c r="A54619" s="0" t="s">
        <v>18841</v>
      </c>
      <c r="B54619" s="0" t="str">
        <f aca="false">HYPERLINK("https://lindat.mff.cuni.cz/services/teitok/pdtc10/index.php?action=vallex&amp;frame=v-w10297f2", "vrávorat (v-w10297f2)")</f>
        <v>vrávorat (v-w10297f2)</v>
      </c>
      <c r="E54619" s="0" t="str">
        <f aca="false">HYPERLINK("https://lindat.mff.cuni.cz/services/SynSemClass40/SynSemClass40.html?veclass=vec00626#vec00626-ces-cm00009", "vec00626")</f>
        <v>vec00626</v>
      </c>
      <c r="F54619" s="0" t="s">
        <v>4514</v>
      </c>
    </row>
    <row r="54620" customFormat="false" ht="12.8" hidden="false" customHeight="false" outlineLevel="0" collapsed="false">
      <c r="B54620" s="0" t="s">
        <v>1</v>
      </c>
      <c r="C54620" s="0" t="s">
        <v>4515</v>
      </c>
      <c r="E54620" s="0" t="s">
        <v>334</v>
      </c>
      <c r="F54620" s="0" t="s">
        <v>4516</v>
      </c>
    </row>
    <row r="54622" customFormat="false" ht="12.8" hidden="false" customHeight="false" outlineLevel="0" collapsed="false">
      <c r="A54622" s="0" t="s">
        <v>18842</v>
      </c>
      <c r="B54622" s="0" t="str">
        <f aca="false">HYPERLINK("https://lindat.mff.cuni.cz/services/teitok/pdtc10/index.php?action=vallex&amp;frame=v-w7711f1", "vrážet (v-w7711f1)")</f>
        <v>vrážet (v-w7711f1)</v>
      </c>
      <c r="E54622" s="0" t="str">
        <f aca="false">HYPERLINK("https://lindat.mff.cuni.cz/services/SynSemClass40/SynSemClass40.html?veclass=vec00735#vec00735-ces-cm00160", "vec00735")</f>
        <v>vec00735</v>
      </c>
      <c r="F54622" s="0" t="s">
        <v>2719</v>
      </c>
    </row>
    <row r="54623" customFormat="false" ht="12.8" hidden="false" customHeight="false" outlineLevel="0" collapsed="false">
      <c r="B54623" s="0" t="s">
        <v>1</v>
      </c>
      <c r="C54623" s="0" t="s">
        <v>2720</v>
      </c>
      <c r="E54623" s="0" t="s">
        <v>334</v>
      </c>
      <c r="F54623" s="0" t="s">
        <v>2721</v>
      </c>
    </row>
    <row r="54624" customFormat="false" ht="12.8" hidden="false" customHeight="false" outlineLevel="0" collapsed="false">
      <c r="B54624" s="0" t="s">
        <v>8</v>
      </c>
      <c r="C54624" s="0" t="s">
        <v>2722</v>
      </c>
      <c r="E54624" s="0" t="s">
        <v>2648</v>
      </c>
      <c r="F54624" s="0" t="s">
        <v>2723</v>
      </c>
    </row>
    <row r="54625" customFormat="false" ht="12.8" hidden="false" customHeight="false" outlineLevel="0" collapsed="false">
      <c r="B54625" s="0" t="s">
        <v>164</v>
      </c>
      <c r="C54625" s="0" t="s">
        <v>2724</v>
      </c>
      <c r="E54625" s="0" t="s">
        <v>370</v>
      </c>
      <c r="F54625" s="0" t="s">
        <v>2725</v>
      </c>
    </row>
    <row r="54627" customFormat="false" ht="12.8" hidden="false" customHeight="false" outlineLevel="0" collapsed="false">
      <c r="A54627" s="0" t="s">
        <v>18843</v>
      </c>
      <c r="B54627" s="0" t="str">
        <f aca="false">HYPERLINK("https://lindat.mff.cuni.cz/services/teitok/pdtc10/index.php?action=vallex&amp;frame=v-w7725f1", "vrýt se (v-w7725f1)")</f>
        <v>vrýt se (v-w7725f1)</v>
      </c>
    </row>
    <row r="54628" customFormat="false" ht="12.8" hidden="false" customHeight="false" outlineLevel="0" collapsed="false">
      <c r="B54628" s="0" t="s">
        <v>1</v>
      </c>
    </row>
    <row r="54629" customFormat="false" ht="12.8" hidden="false" customHeight="false" outlineLevel="0" collapsed="false">
      <c r="B54629" s="0" t="s">
        <v>164</v>
      </c>
    </row>
    <row r="54631" customFormat="false" ht="12.8" hidden="false" customHeight="false" outlineLevel="0" collapsed="false">
      <c r="A54631" s="0" t="s">
        <v>18844</v>
      </c>
      <c r="B54631" s="0" t="str">
        <f aca="false">HYPERLINK("https://lindat.mff.cuni.cz/services/teitok/pdtc10/index.php?action=vallex&amp;frame=v-w7713f1", "vrčet (v-w7713f1)")</f>
        <v>vrčet (v-w7713f1)</v>
      </c>
      <c r="E54631" s="0" t="str">
        <f aca="false">HYPERLINK("https://lindat.mff.cuni.cz/services/SynSemClass40/SynSemClass40.html?veclass=vec01540#vec01540-ces-cm00004", "vec01540")</f>
        <v>vec01540</v>
      </c>
      <c r="F54631" s="0" t="s">
        <v>539</v>
      </c>
    </row>
    <row r="54632" customFormat="false" ht="12.8" hidden="false" customHeight="false" outlineLevel="0" collapsed="false">
      <c r="B54632" s="0" t="s">
        <v>1</v>
      </c>
      <c r="E54632" s="0" t="s">
        <v>155</v>
      </c>
      <c r="F54632" s="0" t="s">
        <v>540</v>
      </c>
    </row>
    <row r="54633" customFormat="false" ht="12.8" hidden="false" customHeight="false" outlineLevel="0" collapsed="false">
      <c r="B54633" s="0" t="s">
        <v>69</v>
      </c>
    </row>
    <row r="54635" customFormat="false" ht="12.8" hidden="false" customHeight="false" outlineLevel="0" collapsed="false">
      <c r="A54635" s="0" t="s">
        <v>18845</v>
      </c>
      <c r="B54635" s="0" t="str">
        <f aca="false">HYPERLINK("https://lindat.mff.cuni.cz/services/teitok/pdtc10/index.php?action=vallex&amp;frame=v-w7713f3", "vrčet (v-w7713f3)")</f>
        <v>vrčet (v-w7713f3)</v>
      </c>
      <c r="E54635" s="0" t="str">
        <f aca="false">HYPERLINK("https://lindat.mff.cuni.cz/services/SynSemClass40/SynSemClass40.html?veclass=vec00426#vec00426-ces-cm00014", "vec00426")</f>
        <v>vec00426</v>
      </c>
      <c r="F54635" s="0" t="s">
        <v>4756</v>
      </c>
    </row>
    <row r="54636" customFormat="false" ht="12.8" hidden="false" customHeight="false" outlineLevel="0" collapsed="false">
      <c r="B54636" s="0" t="s">
        <v>1</v>
      </c>
      <c r="C54636" s="0" t="s">
        <v>4725</v>
      </c>
      <c r="E54636" s="0" t="s">
        <v>147</v>
      </c>
      <c r="F54636" s="0" t="s">
        <v>4757</v>
      </c>
    </row>
    <row r="54637" customFormat="false" ht="12.8" hidden="false" customHeight="false" outlineLevel="0" collapsed="false">
      <c r="B54637" s="0" t="s">
        <v>69</v>
      </c>
      <c r="C54637" s="0" t="s">
        <v>2082</v>
      </c>
      <c r="E54637" s="0" t="s">
        <v>3002</v>
      </c>
      <c r="F54637" s="0" t="s">
        <v>18846</v>
      </c>
    </row>
    <row r="54639" customFormat="false" ht="12.8" hidden="false" customHeight="false" outlineLevel="0" collapsed="false">
      <c r="A54639" s="0" t="s">
        <v>18847</v>
      </c>
      <c r="B54639" s="0" t="str">
        <f aca="false">HYPERLINK("https://lindat.mff.cuni.cz/services/teitok/pdtc10/index.php?action=vallex&amp;frame=v-w7713f2", "vrčet (v-w7713f2)")</f>
        <v>vrčet (v-w7713f2)</v>
      </c>
      <c r="E54639" s="0" t="str">
        <f aca="false">HYPERLINK("https://lindat.mff.cuni.cz/services/SynSemClass40/SynSemClass40.html?veclass=vec01348#vec01348-ces-cm00005", "vec01348")</f>
        <v>vec01348</v>
      </c>
      <c r="F54639" s="0" t="s">
        <v>793</v>
      </c>
    </row>
    <row r="54640" customFormat="false" ht="12.8" hidden="false" customHeight="false" outlineLevel="0" collapsed="false">
      <c r="B54640" s="0" t="s">
        <v>1</v>
      </c>
      <c r="C54640" s="0" t="s">
        <v>471</v>
      </c>
      <c r="E54640" s="0" t="s">
        <v>794</v>
      </c>
      <c r="F54640" s="0" t="s">
        <v>795</v>
      </c>
    </row>
    <row r="54642" customFormat="false" ht="12.8" hidden="false" customHeight="false" outlineLevel="0" collapsed="false">
      <c r="A54642" s="0" t="s">
        <v>18848</v>
      </c>
      <c r="B54642" s="0" t="str">
        <f aca="false">HYPERLINK("https://lindat.mff.cuni.cz/services/teitok/pdtc10/index.php?action=vallex&amp;frame=v-w7722f1", "vršit (v-w7722f1)")</f>
        <v>vršit (v-w7722f1)</v>
      </c>
      <c r="E54642" s="0" t="str">
        <f aca="false">HYPERLINK("https://lindat.mff.cuni.cz/services/SynSemClass40/SynSemClass40.html?veclass=vec00157#vec00157-ces-cm00001", "vec00157")</f>
        <v>vec00157</v>
      </c>
      <c r="F54642" s="0" t="s">
        <v>18849</v>
      </c>
    </row>
    <row r="54643" customFormat="false" ht="12.8" hidden="false" customHeight="false" outlineLevel="0" collapsed="false">
      <c r="B54643" s="0" t="s">
        <v>1</v>
      </c>
      <c r="C54643" s="0" t="s">
        <v>4695</v>
      </c>
      <c r="E54643" s="0" t="s">
        <v>11</v>
      </c>
      <c r="F54643" s="0" t="s">
        <v>5950</v>
      </c>
    </row>
    <row r="54644" customFormat="false" ht="12.8" hidden="false" customHeight="false" outlineLevel="0" collapsed="false">
      <c r="B54644" s="0" t="s">
        <v>8</v>
      </c>
      <c r="C54644" s="0" t="s">
        <v>462</v>
      </c>
      <c r="E54644" s="0" t="s">
        <v>34</v>
      </c>
      <c r="F54644" s="0" t="s">
        <v>18850</v>
      </c>
    </row>
    <row r="54646" customFormat="false" ht="12.8" hidden="false" customHeight="false" outlineLevel="0" collapsed="false">
      <c r="A54646" s="0" t="s">
        <v>18851</v>
      </c>
      <c r="B54646" s="0" t="str">
        <f aca="false">HYPERLINK("https://lindat.mff.cuni.cz/services/teitok/pdtc10/index.php?action=vallex&amp;frame=v-w11343f1", "vršit se (v-w11343f1)")</f>
        <v>vršit se (v-w11343f1)</v>
      </c>
      <c r="E54646" s="0" t="str">
        <f aca="false">HYPERLINK("https://lindat.mff.cuni.cz/services/SynSemClass40/SynSemClass40.html?veclass=vec00710#vec00710-ces-cm00010", "vec00710")</f>
        <v>vec00710</v>
      </c>
      <c r="F54646" s="0" t="s">
        <v>5499</v>
      </c>
    </row>
    <row r="54647" customFormat="false" ht="12.8" hidden="false" customHeight="false" outlineLevel="0" collapsed="false">
      <c r="B54647" s="0" t="s">
        <v>1</v>
      </c>
      <c r="C54647" s="0" t="s">
        <v>5500</v>
      </c>
      <c r="E54647" s="0" t="s">
        <v>5501</v>
      </c>
      <c r="F54647" s="0" t="s">
        <v>5502</v>
      </c>
    </row>
    <row r="54649" customFormat="false" ht="12.8" hidden="false" customHeight="false" outlineLevel="0" collapsed="false">
      <c r="A54649" s="0" t="s">
        <v>18852</v>
      </c>
      <c r="B54649" s="0" t="str">
        <f aca="false">HYPERLINK("https://lindat.mff.cuni.cz/services/teitok/pdtc10/index.php?action=vallex&amp;frame=v-w7728f2", "vsadit (v-w7728f2)")</f>
        <v>vsadit (v-w7728f2)</v>
      </c>
    </row>
    <row r="54650" customFormat="false" ht="12.8" hidden="false" customHeight="false" outlineLevel="0" collapsed="false">
      <c r="B54650" s="0" t="s">
        <v>1</v>
      </c>
    </row>
    <row r="54651" customFormat="false" ht="12.8" hidden="false" customHeight="false" outlineLevel="0" collapsed="false">
      <c r="B54651" s="0" t="s">
        <v>8</v>
      </c>
    </row>
    <row r="54652" customFormat="false" ht="12.8" hidden="false" customHeight="false" outlineLevel="0" collapsed="false">
      <c r="B54652" s="0" t="s">
        <v>101</v>
      </c>
    </row>
    <row r="54654" customFormat="false" ht="12.8" hidden="false" customHeight="false" outlineLevel="0" collapsed="false">
      <c r="A54654" s="0" t="s">
        <v>18853</v>
      </c>
      <c r="B54654" s="0" t="str">
        <f aca="false">HYPERLINK("https://lindat.mff.cuni.cz/services/teitok/pdtc10/index.php?action=vallex&amp;frame=v-w7728f1", "vsadit (v-w7728f1)")</f>
        <v>vsadit (v-w7728f1)</v>
      </c>
      <c r="E54654" s="0" t="str">
        <f aca="false">HYPERLINK("https://lindat.mff.cuni.cz/services/SynSemClass40/SynSemClass40.html?veclass=vec00112#vec00112-ces-cm00003", "vec00112")</f>
        <v>vec00112</v>
      </c>
      <c r="F54654" s="0" t="s">
        <v>16985</v>
      </c>
    </row>
    <row r="54655" customFormat="false" ht="12.8" hidden="false" customHeight="false" outlineLevel="0" collapsed="false">
      <c r="B54655" s="0" t="s">
        <v>1</v>
      </c>
      <c r="C54655" s="0" t="s">
        <v>4264</v>
      </c>
      <c r="E54655" s="0" t="s">
        <v>16986</v>
      </c>
      <c r="F54655" s="0" t="s">
        <v>16987</v>
      </c>
    </row>
    <row r="54656" customFormat="false" ht="12.8" hidden="false" customHeight="false" outlineLevel="0" collapsed="false">
      <c r="B54656" s="0" t="s">
        <v>45</v>
      </c>
      <c r="C54656" s="0" t="s">
        <v>8563</v>
      </c>
      <c r="E54656" s="0" t="s">
        <v>180</v>
      </c>
      <c r="F54656" s="0" t="s">
        <v>16988</v>
      </c>
    </row>
    <row r="54658" customFormat="false" ht="12.8" hidden="false" customHeight="false" outlineLevel="0" collapsed="false">
      <c r="A54658" s="0" t="s">
        <v>18854</v>
      </c>
      <c r="B54658" s="0" t="str">
        <f aca="false">HYPERLINK("https://lindat.mff.cuni.cz/services/teitok/pdtc10/index.php?action=vallex&amp;frame=v-w7728hsa_528", "vsadit (v-w7728hsa_528)")</f>
        <v>vsadit (v-w7728hsa_528)</v>
      </c>
    </row>
    <row r="54659" customFormat="false" ht="12.8" hidden="false" customHeight="false" outlineLevel="0" collapsed="false">
      <c r="B54659" s="0" t="s">
        <v>1</v>
      </c>
    </row>
    <row r="54660" customFormat="false" ht="12.8" hidden="false" customHeight="false" outlineLevel="0" collapsed="false">
      <c r="B54660" s="0" t="s">
        <v>8</v>
      </c>
    </row>
    <row r="54661" customFormat="false" ht="12.8" hidden="false" customHeight="false" outlineLevel="0" collapsed="false">
      <c r="B54661" s="0" t="s">
        <v>164</v>
      </c>
    </row>
    <row r="54663" customFormat="false" ht="12.8" hidden="false" customHeight="false" outlineLevel="0" collapsed="false">
      <c r="A54663" s="0" t="s">
        <v>18855</v>
      </c>
      <c r="B54663" s="0" t="str">
        <f aca="false">HYPERLINK("https://lindat.mff.cuni.cz/services/teitok/pdtc10/index.php?action=vallex&amp;frame=v-w7729f3_ZU", "vsadit se (v-w7729f3_ZU)")</f>
        <v>vsadit se (v-w7729f3_ZU)</v>
      </c>
      <c r="E54663" s="0" t="str">
        <f aca="false">HYPERLINK("https://lindat.mff.cuni.cz/services/SynSemClass40/SynSemClass40.html?veclass=vec01148#vec01148-ces-cm00001", "vec01148")</f>
        <v>vec01148</v>
      </c>
      <c r="F54663" s="0" t="s">
        <v>16993</v>
      </c>
    </row>
    <row r="54664" customFormat="false" ht="12.8" hidden="false" customHeight="false" outlineLevel="0" collapsed="false">
      <c r="B54664" s="0" t="s">
        <v>1</v>
      </c>
      <c r="C54664" s="0" t="s">
        <v>447</v>
      </c>
      <c r="E54664" s="0" t="s">
        <v>2241</v>
      </c>
      <c r="F54664" s="0" t="s">
        <v>16994</v>
      </c>
    </row>
    <row r="54665" customFormat="false" ht="12.8" hidden="false" customHeight="false" outlineLevel="0" collapsed="false">
      <c r="B54665" s="0" t="s">
        <v>276</v>
      </c>
      <c r="C54665" s="0" t="s">
        <v>16995</v>
      </c>
      <c r="E54665" s="0" t="s">
        <v>2247</v>
      </c>
      <c r="F54665" s="0" t="s">
        <v>16996</v>
      </c>
    </row>
    <row r="54666" customFormat="false" ht="12.8" hidden="false" customHeight="false" outlineLevel="0" collapsed="false">
      <c r="B54666" s="0" t="s">
        <v>18856</v>
      </c>
      <c r="C54666" s="0" t="s">
        <v>2590</v>
      </c>
      <c r="E54666" s="0" t="s">
        <v>15052</v>
      </c>
      <c r="F54666" s="0" t="s">
        <v>16998</v>
      </c>
    </row>
    <row r="54667" customFormat="false" ht="12.8" hidden="false" customHeight="false" outlineLevel="0" collapsed="false">
      <c r="B54667" s="0" t="s">
        <v>3152</v>
      </c>
      <c r="C54667" s="0" t="s">
        <v>16999</v>
      </c>
      <c r="E54667" s="0" t="s">
        <v>424</v>
      </c>
      <c r="F54667" s="0" t="s">
        <v>17000</v>
      </c>
    </row>
    <row r="54669" customFormat="false" ht="12.8" hidden="false" customHeight="false" outlineLevel="0" collapsed="false">
      <c r="A54669" s="0" t="s">
        <v>18855</v>
      </c>
      <c r="B54669" s="0" t="str">
        <f aca="false">HYPERLINK("https://lindat.mff.cuni.cz/services/teitok/pdtc10/index.php?action=vallex&amp;frame=v-w7729f1", "vsadit se (v-w7729f1) - substituted with v-w7729f3_ZU")</f>
        <v>vsadit se (v-w7729f1) - substituted with v-w7729f3_ZU</v>
      </c>
    </row>
    <row r="54670" customFormat="false" ht="12.8" hidden="false" customHeight="false" outlineLevel="0" collapsed="false">
      <c r="B54670" s="0" t="s">
        <v>1</v>
      </c>
    </row>
    <row r="54671" customFormat="false" ht="12.8" hidden="false" customHeight="false" outlineLevel="0" collapsed="false">
      <c r="B54671" s="0" t="s">
        <v>276</v>
      </c>
    </row>
    <row r="54672" customFormat="false" ht="12.8" hidden="false" customHeight="false" outlineLevel="0" collapsed="false">
      <c r="B54672" s="0" t="s">
        <v>18856</v>
      </c>
    </row>
    <row r="54673" customFormat="false" ht="12.8" hidden="false" customHeight="false" outlineLevel="0" collapsed="false">
      <c r="B54673" s="0" t="s">
        <v>3152</v>
      </c>
    </row>
    <row r="54675" customFormat="false" ht="12.8" hidden="false" customHeight="false" outlineLevel="0" collapsed="false">
      <c r="A54675" s="0" t="s">
        <v>18855</v>
      </c>
      <c r="B54675" s="0" t="str">
        <f aca="false">HYPERLINK("https://lindat.mff.cuni.cz/services/teitok/pdtc10/index.php?action=vallex&amp;frame=v-w7729f2_ZU", "vsadit se (v-w7729f2_ZU) - substituted with v-w7729f3_ZU")</f>
        <v>vsadit se (v-w7729f2_ZU) - substituted with v-w7729f3_ZU</v>
      </c>
    </row>
    <row r="54676" customFormat="false" ht="12.8" hidden="false" customHeight="false" outlineLevel="0" collapsed="false">
      <c r="B54676" s="0" t="s">
        <v>1</v>
      </c>
    </row>
    <row r="54677" customFormat="false" ht="12.8" hidden="false" customHeight="false" outlineLevel="0" collapsed="false">
      <c r="B54677" s="0" t="s">
        <v>276</v>
      </c>
    </row>
    <row r="54678" customFormat="false" ht="12.8" hidden="false" customHeight="false" outlineLevel="0" collapsed="false">
      <c r="B54678" s="0" t="s">
        <v>18856</v>
      </c>
    </row>
    <row r="54679" customFormat="false" ht="12.8" hidden="false" customHeight="false" outlineLevel="0" collapsed="false">
      <c r="B54679" s="0" t="s">
        <v>3152</v>
      </c>
    </row>
    <row r="54681" customFormat="false" ht="12.8" hidden="false" customHeight="false" outlineLevel="0" collapsed="false">
      <c r="A54681" s="0" t="s">
        <v>18857</v>
      </c>
      <c r="B54681" s="0" t="str">
        <f aca="false">HYPERLINK("https://lindat.mff.cuni.cz/services/teitok/pdtc10/index.php?action=vallex&amp;frame=v-w7734f4", "vstoupit (v-w7734f4)")</f>
        <v>vstoupit (v-w7734f4)</v>
      </c>
    </row>
    <row r="54682" customFormat="false" ht="12.8" hidden="false" customHeight="false" outlineLevel="0" collapsed="false">
      <c r="B54682" s="0" t="s">
        <v>1</v>
      </c>
    </row>
    <row r="54683" customFormat="false" ht="12.8" hidden="false" customHeight="false" outlineLevel="0" collapsed="false">
      <c r="B54683" s="0" t="s">
        <v>1187</v>
      </c>
    </row>
    <row r="54685" customFormat="false" ht="12.8" hidden="false" customHeight="false" outlineLevel="0" collapsed="false">
      <c r="A54685" s="0" t="s">
        <v>18858</v>
      </c>
      <c r="B54685" s="0" t="str">
        <f aca="false">HYPERLINK("https://lindat.mff.cuni.cz/services/teitok/pdtc10/index.php?action=vallex&amp;frame=v-w7734f5", "vstoupit (v-w7734f5)")</f>
        <v>vstoupit (v-w7734f5)</v>
      </c>
      <c r="E54685" s="0" t="str">
        <f aca="false">HYPERLINK("https://lindat.mff.cuni.cz/services/SynSemClass40/SynSemClass40.html?veclass=vec00218#vec00218-ces-cm00158", "vec00218")</f>
        <v>vec00218</v>
      </c>
      <c r="F54685" s="0" t="s">
        <v>2143</v>
      </c>
    </row>
    <row r="54686" customFormat="false" ht="12.8" hidden="false" customHeight="false" outlineLevel="0" collapsed="false">
      <c r="B54686" s="0" t="s">
        <v>1</v>
      </c>
      <c r="C54686" s="0" t="s">
        <v>2144</v>
      </c>
      <c r="E54686" s="0" t="s">
        <v>11</v>
      </c>
      <c r="F54686" s="0" t="s">
        <v>2145</v>
      </c>
    </row>
    <row r="54687" customFormat="false" ht="12.8" hidden="false" customHeight="false" outlineLevel="0" collapsed="false">
      <c r="B54687" s="0" t="s">
        <v>361</v>
      </c>
      <c r="C54687" s="0" t="s">
        <v>2146</v>
      </c>
      <c r="E54687" s="0" t="s">
        <v>370</v>
      </c>
      <c r="F54687" s="0" t="s">
        <v>2147</v>
      </c>
    </row>
    <row r="54689" customFormat="false" ht="12.8" hidden="false" customHeight="false" outlineLevel="0" collapsed="false">
      <c r="A54689" s="0" t="s">
        <v>18859</v>
      </c>
      <c r="B54689" s="0" t="str">
        <f aca="false">HYPERLINK("https://lindat.mff.cuni.cz/services/teitok/pdtc10/index.php?action=vallex&amp;frame=v-w7734f1", "vstoupit (v-w7734f1)")</f>
        <v>vstoupit (v-w7734f1)</v>
      </c>
      <c r="E54689" s="0" t="str">
        <f aca="false">HYPERLINK("https://lindat.mff.cuni.cz/services/SynSemClass40/SynSemClass40.html?veclass=vec00218#vec00218-ces-cm00155", "vec00218")</f>
        <v>vec00218</v>
      </c>
      <c r="F54689" s="0" t="s">
        <v>2143</v>
      </c>
      <c r="H54689" s="0" t="str">
        <f aca="false">HYPERLINK("https://lindat.mff.cuni.cz/services/SynSemClass40/SynSemClass40.html?veclass=vec00227#vec00227-ces-cm00063", "vec00227")</f>
        <v>vec00227</v>
      </c>
      <c r="I54689" s="0" t="s">
        <v>1313</v>
      </c>
    </row>
    <row r="54690" customFormat="false" ht="12.8" hidden="false" customHeight="false" outlineLevel="0" collapsed="false">
      <c r="B54690" s="0" t="s">
        <v>1</v>
      </c>
      <c r="C54690" s="0" t="s">
        <v>18860</v>
      </c>
      <c r="E54690" s="0" t="s">
        <v>11</v>
      </c>
      <c r="F54690" s="0" t="s">
        <v>2145</v>
      </c>
      <c r="H54690" s="0" t="s">
        <v>334</v>
      </c>
      <c r="I54690" s="0" t="s">
        <v>1314</v>
      </c>
    </row>
    <row r="54691" customFormat="false" ht="12.8" hidden="false" customHeight="false" outlineLevel="0" collapsed="false">
      <c r="B54691" s="0" t="s">
        <v>164</v>
      </c>
      <c r="C54691" s="0" t="s">
        <v>2146</v>
      </c>
      <c r="E54691" s="0" t="s">
        <v>370</v>
      </c>
      <c r="F54691" s="0" t="s">
        <v>2147</v>
      </c>
      <c r="H54691" s="0" t="s">
        <v>1315</v>
      </c>
      <c r="I54691" s="0" t="s">
        <v>1316</v>
      </c>
    </row>
    <row r="54693" customFormat="false" ht="12.8" hidden="false" customHeight="false" outlineLevel="0" collapsed="false">
      <c r="A54693" s="0" t="s">
        <v>18861</v>
      </c>
      <c r="B54693" s="0" t="str">
        <f aca="false">HYPERLINK("https://lindat.mff.cuni.cz/services/teitok/pdtc10/index.php?action=vallex&amp;frame=v-w7734f3", "vstoupit (v-w7734f3)")</f>
        <v>vstoupit (v-w7734f3)</v>
      </c>
      <c r="E54693" s="0" t="str">
        <f aca="false">HYPERLINK("https://lindat.mff.cuni.cz/services/SynSemClass40/SynSemClass40.html?veclass=vec00239#vec00239-ces-cm00055", "vec00239")</f>
        <v>vec00239</v>
      </c>
      <c r="F54693" s="0" t="s">
        <v>4352</v>
      </c>
    </row>
    <row r="54694" customFormat="false" ht="12.8" hidden="false" customHeight="false" outlineLevel="0" collapsed="false">
      <c r="B54694" s="0" t="s">
        <v>1</v>
      </c>
      <c r="C54694" s="0" t="s">
        <v>4353</v>
      </c>
      <c r="E54694" s="0" t="s">
        <v>4354</v>
      </c>
      <c r="F54694" s="0" t="s">
        <v>4355</v>
      </c>
    </row>
    <row r="54695" customFormat="false" ht="12.8" hidden="false" customHeight="false" outlineLevel="0" collapsed="false">
      <c r="B54695" s="0" t="s">
        <v>164</v>
      </c>
      <c r="C54695" s="0" t="s">
        <v>7792</v>
      </c>
      <c r="E54695" s="0" t="s">
        <v>7793</v>
      </c>
      <c r="F54695" s="0" t="s">
        <v>7794</v>
      </c>
    </row>
    <row r="54697" customFormat="false" ht="12.8" hidden="false" customHeight="false" outlineLevel="0" collapsed="false">
      <c r="A54697" s="0" t="s">
        <v>18862</v>
      </c>
      <c r="B54697" s="0" t="str">
        <f aca="false">HYPERLINK("https://lindat.mff.cuni.cz/services/teitok/pdtc10/index.php?action=vallex&amp;frame=v-w7734f2", "vstoupit (v-w7734f2)")</f>
        <v>vstoupit (v-w7734f2)</v>
      </c>
      <c r="E54697" s="0" t="str">
        <f aca="false">HYPERLINK("https://lindat.mff.cuni.cz/services/SynSemClass40/SynSemClass40.html?veclass=vec00586#vec00586-ces-cm00202", "vec00586")</f>
        <v>vec00586</v>
      </c>
      <c r="F54697" s="0" t="s">
        <v>2831</v>
      </c>
    </row>
    <row r="54698" customFormat="false" ht="12.8" hidden="false" customHeight="false" outlineLevel="0" collapsed="false">
      <c r="B54698" s="0" t="s">
        <v>1</v>
      </c>
      <c r="C54698" s="0" t="s">
        <v>2832</v>
      </c>
      <c r="E54698" s="0" t="s">
        <v>1567</v>
      </c>
      <c r="F54698" s="0" t="s">
        <v>2833</v>
      </c>
    </row>
    <row r="54699" customFormat="false" ht="12.8" hidden="false" customHeight="false" outlineLevel="0" collapsed="false">
      <c r="B54699" s="0" t="s">
        <v>18863</v>
      </c>
      <c r="C54699" s="0" t="s">
        <v>18555</v>
      </c>
      <c r="E54699" s="0" t="s">
        <v>2842</v>
      </c>
      <c r="F54699" s="0" t="s">
        <v>18556</v>
      </c>
    </row>
    <row r="54701" customFormat="false" ht="12.8" hidden="false" customHeight="false" outlineLevel="0" collapsed="false">
      <c r="A54701" s="0" t="s">
        <v>18864</v>
      </c>
      <c r="B54701" s="0" t="str">
        <f aca="false">HYPERLINK("https://lindat.mff.cuni.cz/services/teitok/pdtc10/index.php?action=vallex&amp;frame=v-w7742f3", "vstupovat (v-w7742f3)")</f>
        <v>vstupovat (v-w7742f3)</v>
      </c>
    </row>
    <row r="54702" customFormat="false" ht="12.8" hidden="false" customHeight="false" outlineLevel="0" collapsed="false">
      <c r="B54702" s="0" t="s">
        <v>1</v>
      </c>
    </row>
    <row r="54703" customFormat="false" ht="12.8" hidden="false" customHeight="false" outlineLevel="0" collapsed="false">
      <c r="B54703" s="0" t="s">
        <v>1187</v>
      </c>
    </row>
    <row r="54705" customFormat="false" ht="12.8" hidden="false" customHeight="false" outlineLevel="0" collapsed="false">
      <c r="A54705" s="0" t="s">
        <v>18865</v>
      </c>
      <c r="B54705" s="0" t="str">
        <f aca="false">HYPERLINK("https://lindat.mff.cuni.cz/services/teitok/pdtc10/index.php?action=vallex&amp;frame=v-w7742f2", "vstupovat (v-w7742f2)")</f>
        <v>vstupovat (v-w7742f2)</v>
      </c>
      <c r="E54705" s="0" t="str">
        <f aca="false">HYPERLINK("https://lindat.mff.cuni.cz/services/SynSemClass40/SynSemClass40.html?veclass=vec00218#vec00218-ces-cm00160", "vec00218")</f>
        <v>vec00218</v>
      </c>
      <c r="F54705" s="0" t="s">
        <v>2143</v>
      </c>
    </row>
    <row r="54706" customFormat="false" ht="12.8" hidden="false" customHeight="false" outlineLevel="0" collapsed="false">
      <c r="B54706" s="0" t="s">
        <v>1</v>
      </c>
      <c r="C54706" s="0" t="s">
        <v>2144</v>
      </c>
      <c r="E54706" s="0" t="s">
        <v>11</v>
      </c>
      <c r="F54706" s="0" t="s">
        <v>2145</v>
      </c>
    </row>
    <row r="54707" customFormat="false" ht="12.8" hidden="false" customHeight="false" outlineLevel="0" collapsed="false">
      <c r="B54707" s="0" t="s">
        <v>361</v>
      </c>
      <c r="C54707" s="0" t="s">
        <v>2146</v>
      </c>
      <c r="E54707" s="0" t="s">
        <v>370</v>
      </c>
      <c r="F54707" s="0" t="s">
        <v>2147</v>
      </c>
    </row>
    <row r="54709" customFormat="false" ht="12.8" hidden="false" customHeight="false" outlineLevel="0" collapsed="false">
      <c r="A54709" s="0" t="s">
        <v>18866</v>
      </c>
      <c r="B54709" s="0" t="str">
        <f aca="false">HYPERLINK("https://lindat.mff.cuni.cz/services/teitok/pdtc10/index.php?action=vallex&amp;frame=v-w7742f1", "vstupovat (v-w7742f1)")</f>
        <v>vstupovat (v-w7742f1)</v>
      </c>
      <c r="E54709" s="0" t="str">
        <f aca="false">HYPERLINK("https://lindat.mff.cuni.cz/services/SynSemClass40/SynSemClass40.html?veclass=vec00218#vec00218-ces-cm00159", "vec00218")</f>
        <v>vec00218</v>
      </c>
      <c r="F54709" s="0" t="s">
        <v>2143</v>
      </c>
      <c r="H54709" s="0" t="str">
        <f aca="false">HYPERLINK("https://lindat.mff.cuni.cz/services/SynSemClass40/SynSemClass40.html?veclass=vec01542#vec01542-ces-cm00017", "vec01542")</f>
        <v>vec01542</v>
      </c>
      <c r="I54709" s="0" t="s">
        <v>11702</v>
      </c>
    </row>
    <row r="54710" customFormat="false" ht="12.8" hidden="false" customHeight="false" outlineLevel="0" collapsed="false">
      <c r="B54710" s="0" t="s">
        <v>1</v>
      </c>
      <c r="C54710" s="0" t="s">
        <v>18867</v>
      </c>
      <c r="E54710" s="0" t="s">
        <v>11</v>
      </c>
      <c r="F54710" s="0" t="s">
        <v>2145</v>
      </c>
      <c r="H54710" s="0" t="s">
        <v>6270</v>
      </c>
      <c r="I54710" s="0" t="s">
        <v>11704</v>
      </c>
    </row>
    <row r="54711" customFormat="false" ht="12.8" hidden="false" customHeight="false" outlineLevel="0" collapsed="false">
      <c r="B54711" s="0" t="s">
        <v>164</v>
      </c>
      <c r="C54711" s="0" t="s">
        <v>18868</v>
      </c>
      <c r="E54711" s="0" t="s">
        <v>370</v>
      </c>
      <c r="F54711" s="0" t="s">
        <v>2147</v>
      </c>
      <c r="H54711" s="0" t="s">
        <v>18869</v>
      </c>
      <c r="I54711" s="0" t="s">
        <v>18870</v>
      </c>
    </row>
    <row r="54713" customFormat="false" ht="12.8" hidden="false" customHeight="false" outlineLevel="0" collapsed="false">
      <c r="A54713" s="0" t="s">
        <v>18871</v>
      </c>
      <c r="B54713" s="0" t="str">
        <f aca="false">HYPERLINK("https://lindat.mff.cuni.cz/services/teitok/pdtc10/index.php?action=vallex&amp;frame=v-w7742f4", "vstupovat (v-w7742f4)")</f>
        <v>vstupovat (v-w7742f4)</v>
      </c>
      <c r="E54713" s="0" t="str">
        <f aca="false">HYPERLINK("https://lindat.mff.cuni.cz/services/SynSemClass40/SynSemClass40.html?veclass=vec00239#vec00239-ces-cm00060", "vec00239")</f>
        <v>vec00239</v>
      </c>
      <c r="F54713" s="0" t="s">
        <v>4352</v>
      </c>
    </row>
    <row r="54714" customFormat="false" ht="12.8" hidden="false" customHeight="false" outlineLevel="0" collapsed="false">
      <c r="B54714" s="0" t="s">
        <v>1</v>
      </c>
      <c r="C54714" s="0" t="s">
        <v>4353</v>
      </c>
      <c r="E54714" s="0" t="s">
        <v>4354</v>
      </c>
      <c r="F54714" s="0" t="s">
        <v>4355</v>
      </c>
    </row>
    <row r="54715" customFormat="false" ht="12.8" hidden="false" customHeight="false" outlineLevel="0" collapsed="false">
      <c r="B54715" s="0" t="s">
        <v>164</v>
      </c>
      <c r="C54715" s="0" t="s">
        <v>7792</v>
      </c>
      <c r="E54715" s="0" t="s">
        <v>7793</v>
      </c>
      <c r="F54715" s="0" t="s">
        <v>7794</v>
      </c>
    </row>
    <row r="54717" customFormat="false" ht="12.8" hidden="false" customHeight="false" outlineLevel="0" collapsed="false">
      <c r="A54717" s="0" t="s">
        <v>18872</v>
      </c>
      <c r="B54717" s="0" t="str">
        <f aca="false">HYPERLINK("https://lindat.mff.cuni.cz/services/teitok/pdtc10/index.php?action=vallex&amp;frame=v-w7742f5", "vstupovat (v-w7742f5)")</f>
        <v>vstupovat (v-w7742f5)</v>
      </c>
      <c r="E54717" s="0" t="str">
        <f aca="false">HYPERLINK("https://lindat.mff.cuni.cz/services/SynSemClass40/SynSemClass40.html?veclass=vec00586#vec00586-ces-cm00203", "vec00586")</f>
        <v>vec00586</v>
      </c>
      <c r="F54717" s="0" t="s">
        <v>2831</v>
      </c>
    </row>
    <row r="54718" customFormat="false" ht="12.8" hidden="false" customHeight="false" outlineLevel="0" collapsed="false">
      <c r="B54718" s="0" t="s">
        <v>1</v>
      </c>
      <c r="C54718" s="0" t="s">
        <v>2832</v>
      </c>
      <c r="E54718" s="0" t="s">
        <v>1567</v>
      </c>
      <c r="F54718" s="0" t="s">
        <v>2833</v>
      </c>
    </row>
    <row r="54719" customFormat="false" ht="12.8" hidden="false" customHeight="false" outlineLevel="0" collapsed="false">
      <c r="B54719" s="0" t="s">
        <v>18863</v>
      </c>
      <c r="C54719" s="0" t="s">
        <v>18555</v>
      </c>
      <c r="E54719" s="0" t="s">
        <v>2842</v>
      </c>
      <c r="F54719" s="0" t="s">
        <v>18556</v>
      </c>
    </row>
    <row r="54721" customFormat="false" ht="12.8" hidden="false" customHeight="false" outlineLevel="0" collapsed="false">
      <c r="A54721" s="0" t="s">
        <v>18873</v>
      </c>
      <c r="B54721" s="0" t="str">
        <f aca="false">HYPERLINK("https://lindat.mff.cuni.cz/services/teitok/pdtc10/index.php?action=vallex&amp;frame=v-w7731f1", "vstát (v-w7731f1)")</f>
        <v>vstát (v-w7731f1)</v>
      </c>
      <c r="E54721" s="0" t="str">
        <f aca="false">HYPERLINK("https://lindat.mff.cuni.cz/services/SynSemClass40/SynSemClass40.html?veclass=vec00749#vec00749-ces-cm00001", "vec00749")</f>
        <v>vec00749</v>
      </c>
      <c r="F54721" s="0" t="s">
        <v>5135</v>
      </c>
      <c r="H54721" s="0" t="str">
        <f aca="false">HYPERLINK("https://lindat.mff.cuni.cz/services/SynSemClass40/SynSemClass40.html?veclass=vec00979#vec00979-ces-cm00003", "vec00979")</f>
        <v>vec00979</v>
      </c>
      <c r="I54721" s="0" t="s">
        <v>5135</v>
      </c>
    </row>
    <row r="54722" customFormat="false" ht="12.8" hidden="false" customHeight="false" outlineLevel="0" collapsed="false">
      <c r="B54722" s="0" t="s">
        <v>1</v>
      </c>
      <c r="E54722" s="0" t="s">
        <v>11</v>
      </c>
      <c r="F54722" s="0" t="s">
        <v>959</v>
      </c>
      <c r="H54722" s="0" t="s">
        <v>11</v>
      </c>
      <c r="I54722" s="0" t="s">
        <v>959</v>
      </c>
    </row>
    <row r="54724" customFormat="false" ht="12.8" hidden="false" customHeight="false" outlineLevel="0" collapsed="false">
      <c r="A54724" s="0" t="s">
        <v>18874</v>
      </c>
      <c r="B54724" s="0" t="str">
        <f aca="false">HYPERLINK("https://lindat.mff.cuni.cz/services/teitok/pdtc10/index.php?action=vallex&amp;frame=v-w7731f2_ZU", "vstát (v-w7731f2_ZU)")</f>
        <v>vstát (v-w7731f2_ZU)</v>
      </c>
      <c r="E54724" s="0" t="str">
        <f aca="false">HYPERLINK("https://lindat.mff.cuni.cz/services/SynSemClass40/SynSemClass40.html?veclass=vec00979#vec00979-ces-cm00011", "vec00979")</f>
        <v>vec00979</v>
      </c>
      <c r="F54724" s="0" t="s">
        <v>5135</v>
      </c>
    </row>
    <row r="54725" customFormat="false" ht="12.8" hidden="false" customHeight="false" outlineLevel="0" collapsed="false">
      <c r="B54725" s="0" t="s">
        <v>1</v>
      </c>
      <c r="E54725" s="0" t="s">
        <v>11</v>
      </c>
      <c r="F54725" s="0" t="s">
        <v>959</v>
      </c>
    </row>
    <row r="54727" customFormat="false" ht="12.8" hidden="false" customHeight="false" outlineLevel="0" collapsed="false">
      <c r="A54727" s="0" t="s">
        <v>18875</v>
      </c>
      <c r="B54727" s="0" t="str">
        <f aca="false">HYPERLINK("https://lindat.mff.cuni.cz/services/teitok/pdtc10/index.php?action=vallex&amp;frame=v-w7733f1", "vstávat (v-w7733f1)")</f>
        <v>vstávat (v-w7733f1)</v>
      </c>
      <c r="E54727" s="0" t="str">
        <f aca="false">HYPERLINK("https://lindat.mff.cuni.cz/services/SynSemClass40/SynSemClass40.html?veclass=vec00749#vec00749-ces-cm00005", "vec00749")</f>
        <v>vec00749</v>
      </c>
      <c r="F54727" s="0" t="s">
        <v>5135</v>
      </c>
    </row>
    <row r="54728" customFormat="false" ht="12.8" hidden="false" customHeight="false" outlineLevel="0" collapsed="false">
      <c r="B54728" s="0" t="s">
        <v>1</v>
      </c>
      <c r="E54728" s="0" t="s">
        <v>11</v>
      </c>
      <c r="F54728" s="0" t="s">
        <v>959</v>
      </c>
    </row>
    <row r="54730" customFormat="false" ht="12.8" hidden="false" customHeight="false" outlineLevel="0" collapsed="false">
      <c r="A54730" s="0" t="s">
        <v>18876</v>
      </c>
      <c r="B54730" s="0" t="str">
        <f aca="false">HYPERLINK("https://lindat.mff.cuni.cz/services/teitok/pdtc10/index.php?action=vallex&amp;frame=v-w7733f2", "vstávat (v-w7733f2)")</f>
        <v>vstávat (v-w7733f2)</v>
      </c>
      <c r="E54730" s="0" t="str">
        <f aca="false">HYPERLINK("https://lindat.mff.cuni.cz/services/SynSemClass40/SynSemClass40.html?veclass=vec00979#vec00979-ces-cm00012", "vec00979")</f>
        <v>vec00979</v>
      </c>
      <c r="F54730" s="0" t="s">
        <v>5135</v>
      </c>
    </row>
    <row r="54731" customFormat="false" ht="12.8" hidden="false" customHeight="false" outlineLevel="0" collapsed="false">
      <c r="B54731" s="0" t="s">
        <v>1</v>
      </c>
      <c r="E54731" s="0" t="s">
        <v>11</v>
      </c>
      <c r="F54731" s="0" t="s">
        <v>959</v>
      </c>
    </row>
    <row r="54733" customFormat="false" ht="12.8" hidden="false" customHeight="false" outlineLevel="0" collapsed="false">
      <c r="A54733" s="0" t="s">
        <v>18877</v>
      </c>
      <c r="B54733" s="0" t="str">
        <f aca="false">HYPERLINK("https://lindat.mff.cuni.cz/services/teitok/pdtc10/index.php?action=vallex&amp;frame=v-w7733f4_ZU", "vstávat (v-w7733f4_ZU)")</f>
        <v>vstávat (v-w7733f4_ZU)</v>
      </c>
    </row>
    <row r="54734" customFormat="false" ht="12.8" hidden="false" customHeight="false" outlineLevel="0" collapsed="false">
      <c r="B54734" s="0" t="s">
        <v>18878</v>
      </c>
    </row>
    <row r="54735" customFormat="false" ht="12.8" hidden="false" customHeight="false" outlineLevel="0" collapsed="false">
      <c r="B54735" s="0" t="s">
        <v>804</v>
      </c>
    </row>
    <row r="54736" customFormat="false" ht="12.8" hidden="false" customHeight="false" outlineLevel="0" collapsed="false">
      <c r="B54736" s="0" t="s">
        <v>763</v>
      </c>
    </row>
    <row r="54738" customFormat="false" ht="12.8" hidden="false" customHeight="false" outlineLevel="0" collapsed="false">
      <c r="A54738" s="0" t="s">
        <v>18877</v>
      </c>
      <c r="B54738" s="0" t="str">
        <f aca="false">HYPERLINK("https://lindat.mff.cuni.cz/services/teitok/pdtc10/index.php?action=vallex&amp;frame=v-w7733f3_ZU", "vstávat (v-w7733f3_ZU) - substituted with v-w7733f4_ZU")</f>
        <v>vstávat (v-w7733f3_ZU) - substituted with v-w7733f4_ZU</v>
      </c>
    </row>
    <row r="54739" customFormat="false" ht="12.8" hidden="false" customHeight="false" outlineLevel="0" collapsed="false">
      <c r="B54739" s="0" t="s">
        <v>18878</v>
      </c>
    </row>
    <row r="54740" customFormat="false" ht="12.8" hidden="false" customHeight="false" outlineLevel="0" collapsed="false">
      <c r="B54740" s="0" t="s">
        <v>804</v>
      </c>
    </row>
    <row r="54741" customFormat="false" ht="12.8" hidden="false" customHeight="false" outlineLevel="0" collapsed="false">
      <c r="B54741" s="0" t="s">
        <v>763</v>
      </c>
    </row>
    <row r="54743" customFormat="false" ht="12.8" hidden="false" customHeight="false" outlineLevel="0" collapsed="false">
      <c r="A54743" s="0" t="s">
        <v>18879</v>
      </c>
      <c r="B54743" s="0" t="str">
        <f aca="false">HYPERLINK("https://lindat.mff.cuni.cz/services/teitok/pdtc10/index.php?action=vallex&amp;frame=v-w7735f1", "vstřebat (v-w7735f1)")</f>
        <v>vstřebat (v-w7735f1)</v>
      </c>
      <c r="E54743" s="0" t="str">
        <f aca="false">HYPERLINK("https://lindat.mff.cuni.cz/services/SynSemClass40/SynSemClass40.html?veclass=vec00476#vec00476-ces-cm00017", "vec00476")</f>
        <v>vec00476</v>
      </c>
      <c r="F54743" s="0" t="s">
        <v>18</v>
      </c>
    </row>
    <row r="54744" customFormat="false" ht="12.8" hidden="false" customHeight="false" outlineLevel="0" collapsed="false">
      <c r="B54744" s="0" t="s">
        <v>1</v>
      </c>
      <c r="C54744" s="0" t="s">
        <v>19</v>
      </c>
      <c r="E54744" s="0" t="s">
        <v>20</v>
      </c>
      <c r="F54744" s="0" t="s">
        <v>21</v>
      </c>
    </row>
    <row r="54745" customFormat="false" ht="12.8" hidden="false" customHeight="false" outlineLevel="0" collapsed="false">
      <c r="B54745" s="0" t="s">
        <v>228</v>
      </c>
      <c r="C54745" s="0" t="s">
        <v>22</v>
      </c>
      <c r="E54745" s="0" t="s">
        <v>23</v>
      </c>
      <c r="F54745" s="0" t="s">
        <v>24</v>
      </c>
    </row>
    <row r="54747" customFormat="false" ht="12.8" hidden="false" customHeight="false" outlineLevel="0" collapsed="false">
      <c r="A54747" s="0" t="s">
        <v>18880</v>
      </c>
      <c r="B54747" s="0" t="str">
        <f aca="false">HYPERLINK("https://lindat.mff.cuni.cz/services/teitok/pdtc10/index.php?action=vallex&amp;frame=v-w7737f1", "vstřebávat (v-w7737f1)")</f>
        <v>vstřebávat (v-w7737f1)</v>
      </c>
      <c r="E54747" s="0" t="str">
        <f aca="false">HYPERLINK("https://lindat.mff.cuni.cz/services/SynSemClass40/SynSemClass40.html?veclass=vec00476#vec00476-ces-cm00026", "vec00476")</f>
        <v>vec00476</v>
      </c>
      <c r="F54747" s="0" t="s">
        <v>18</v>
      </c>
    </row>
    <row r="54748" customFormat="false" ht="12.8" hidden="false" customHeight="false" outlineLevel="0" collapsed="false">
      <c r="B54748" s="0" t="s">
        <v>1</v>
      </c>
      <c r="C54748" s="0" t="s">
        <v>19</v>
      </c>
      <c r="E54748" s="0" t="s">
        <v>20</v>
      </c>
      <c r="F54748" s="0" t="s">
        <v>21</v>
      </c>
    </row>
    <row r="54749" customFormat="false" ht="12.8" hidden="false" customHeight="false" outlineLevel="0" collapsed="false">
      <c r="B54749" s="0" t="s">
        <v>228</v>
      </c>
      <c r="C54749" s="0" t="s">
        <v>22</v>
      </c>
      <c r="E54749" s="0" t="s">
        <v>23</v>
      </c>
      <c r="F54749" s="0" t="s">
        <v>24</v>
      </c>
    </row>
    <row r="54751" customFormat="false" ht="12.8" hidden="false" customHeight="false" outlineLevel="0" collapsed="false">
      <c r="A54751" s="0" t="s">
        <v>18881</v>
      </c>
      <c r="B54751" s="0" t="str">
        <f aca="false">HYPERLINK("https://lindat.mff.cuni.cz/services/teitok/pdtc10/index.php?action=vallex&amp;frame=v-w7739f1", "vstřelit (v-w7739f1)")</f>
        <v>vstřelit (v-w7739f1)</v>
      </c>
    </row>
    <row r="54752" customFormat="false" ht="12.8" hidden="false" customHeight="false" outlineLevel="0" collapsed="false">
      <c r="B54752" s="0" t="s">
        <v>1</v>
      </c>
    </row>
    <row r="54753" customFormat="false" ht="12.8" hidden="false" customHeight="false" outlineLevel="0" collapsed="false">
      <c r="B54753" s="0" t="s">
        <v>8</v>
      </c>
    </row>
    <row r="54754" customFormat="false" ht="12.8" hidden="false" customHeight="false" outlineLevel="0" collapsed="false">
      <c r="B54754" s="0" t="s">
        <v>132</v>
      </c>
    </row>
    <row r="54756" customFormat="false" ht="12.8" hidden="false" customHeight="false" outlineLevel="0" collapsed="false">
      <c r="A54756" s="0" t="s">
        <v>18882</v>
      </c>
      <c r="B54756" s="0" t="str">
        <f aca="false">HYPERLINK("https://lindat.mff.cuni.cz/services/teitok/pdtc10/index.php?action=vallex&amp;frame=v-whsa_404f1_ZU", "vstřikovat (v-whsa_404f1_ZU)")</f>
        <v>vstřikovat (v-whsa_404f1_ZU)</v>
      </c>
    </row>
    <row r="54757" customFormat="false" ht="12.8" hidden="false" customHeight="false" outlineLevel="0" collapsed="false">
      <c r="B54757" s="0" t="s">
        <v>1</v>
      </c>
    </row>
    <row r="54758" customFormat="false" ht="12.8" hidden="false" customHeight="false" outlineLevel="0" collapsed="false">
      <c r="B54758" s="0" t="s">
        <v>8</v>
      </c>
    </row>
    <row r="54759" customFormat="false" ht="12.8" hidden="false" customHeight="false" outlineLevel="0" collapsed="false">
      <c r="B54759" s="0" t="s">
        <v>164</v>
      </c>
    </row>
    <row r="54761" customFormat="false" ht="12.8" hidden="false" customHeight="false" outlineLevel="0" collapsed="false">
      <c r="A54761" s="0" t="s">
        <v>18882</v>
      </c>
      <c r="B54761" s="0" t="str">
        <f aca="false">HYPERLINK("https://lindat.mff.cuni.cz/services/teitok/pdtc10/index.php?action=vallex&amp;frame=v-whsa_404hsa_405", "vstřikovat (v-whsa_404hsa_405) - substituted with v-whsa_404f1_ZU")</f>
        <v>vstřikovat (v-whsa_404hsa_405) - substituted with v-whsa_404f1_ZU</v>
      </c>
    </row>
    <row r="54762" customFormat="false" ht="12.8" hidden="false" customHeight="false" outlineLevel="0" collapsed="false">
      <c r="B54762" s="0" t="s">
        <v>1</v>
      </c>
    </row>
    <row r="54763" customFormat="false" ht="12.8" hidden="false" customHeight="false" outlineLevel="0" collapsed="false">
      <c r="B54763" s="0" t="s">
        <v>8</v>
      </c>
    </row>
    <row r="54764" customFormat="false" ht="12.8" hidden="false" customHeight="false" outlineLevel="0" collapsed="false">
      <c r="B54764" s="0" t="s">
        <v>164</v>
      </c>
    </row>
    <row r="54766" customFormat="false" ht="12.8" hidden="false" customHeight="false" outlineLevel="0" collapsed="false">
      <c r="A54766" s="0" t="s">
        <v>18883</v>
      </c>
      <c r="B54766" s="0" t="str">
        <f aca="false">HYPERLINK("https://lindat.mff.cuni.cz/services/teitok/pdtc10/index.php?action=vallex&amp;frame=v-w12206_ZUf1_ZU", "vstříknout (v-w12206_ZUf1_ZU)")</f>
        <v>vstříknout (v-w12206_ZUf1_ZU)</v>
      </c>
    </row>
    <row r="54767" customFormat="false" ht="12.8" hidden="false" customHeight="false" outlineLevel="0" collapsed="false">
      <c r="B54767" s="0" t="s">
        <v>1</v>
      </c>
    </row>
    <row r="54768" customFormat="false" ht="12.8" hidden="false" customHeight="false" outlineLevel="0" collapsed="false">
      <c r="B54768" s="0" t="s">
        <v>8</v>
      </c>
    </row>
    <row r="54769" customFormat="false" ht="12.8" hidden="false" customHeight="false" outlineLevel="0" collapsed="false">
      <c r="B54769" s="0" t="s">
        <v>164</v>
      </c>
    </row>
    <row r="54771" customFormat="false" ht="12.8" hidden="false" customHeight="false" outlineLevel="0" collapsed="false">
      <c r="A54771" s="0" t="s">
        <v>18884</v>
      </c>
      <c r="B54771" s="0" t="str">
        <f aca="false">HYPERLINK("https://lindat.mff.cuni.cz/services/teitok/pdtc10/index.php?action=vallex&amp;frame=v-whsa_373f1_ZU", "vsunout (v-whsa_373f1_ZU)")</f>
        <v>vsunout (v-whsa_373f1_ZU)</v>
      </c>
      <c r="E54771" s="0" t="str">
        <f aca="false">HYPERLINK("https://lindat.mff.cuni.cz/services/SynSemClass40/SynSemClass40.html?veclass=vec00735#vec00735-ces-cm00161", "vec00735")</f>
        <v>vec00735</v>
      </c>
      <c r="F54771" s="0" t="s">
        <v>2719</v>
      </c>
    </row>
    <row r="54772" customFormat="false" ht="12.8" hidden="false" customHeight="false" outlineLevel="0" collapsed="false">
      <c r="B54772" s="0" t="s">
        <v>1</v>
      </c>
      <c r="C54772" s="0" t="s">
        <v>2720</v>
      </c>
      <c r="E54772" s="0" t="s">
        <v>334</v>
      </c>
      <c r="F54772" s="0" t="s">
        <v>2721</v>
      </c>
    </row>
    <row r="54773" customFormat="false" ht="12.8" hidden="false" customHeight="false" outlineLevel="0" collapsed="false">
      <c r="B54773" s="0" t="s">
        <v>8</v>
      </c>
      <c r="C54773" s="0" t="s">
        <v>2722</v>
      </c>
      <c r="E54773" s="0" t="s">
        <v>2648</v>
      </c>
      <c r="F54773" s="0" t="s">
        <v>2723</v>
      </c>
    </row>
    <row r="54774" customFormat="false" ht="12.8" hidden="false" customHeight="false" outlineLevel="0" collapsed="false">
      <c r="B54774" s="0" t="s">
        <v>164</v>
      </c>
      <c r="C54774" s="0" t="s">
        <v>2724</v>
      </c>
      <c r="E54774" s="0" t="s">
        <v>370</v>
      </c>
      <c r="F54774" s="0" t="s">
        <v>2725</v>
      </c>
    </row>
    <row r="54776" customFormat="false" ht="12.8" hidden="false" customHeight="false" outlineLevel="0" collapsed="false">
      <c r="A54776" s="0" t="s">
        <v>18884</v>
      </c>
      <c r="B54776" s="0" t="str">
        <f aca="false">HYPERLINK("https://lindat.mff.cuni.cz/services/teitok/pdtc10/index.php?action=vallex&amp;frame=v-whsa_373hsa_374", "vsunout (v-whsa_373hsa_374) - substituted with v-whsa_373f1_ZU")</f>
        <v>vsunout (v-whsa_373hsa_374) - substituted with v-whsa_373f1_ZU</v>
      </c>
    </row>
    <row r="54777" customFormat="false" ht="12.8" hidden="false" customHeight="false" outlineLevel="0" collapsed="false">
      <c r="B54777" s="0" t="s">
        <v>1</v>
      </c>
    </row>
    <row r="54778" customFormat="false" ht="12.8" hidden="false" customHeight="false" outlineLevel="0" collapsed="false">
      <c r="B54778" s="0" t="s">
        <v>8</v>
      </c>
    </row>
    <row r="54779" customFormat="false" ht="12.8" hidden="false" customHeight="false" outlineLevel="0" collapsed="false">
      <c r="B54779" s="0" t="s">
        <v>164</v>
      </c>
    </row>
    <row r="54781" customFormat="false" ht="12.8" hidden="false" customHeight="false" outlineLevel="0" collapsed="false">
      <c r="A54781" s="0" t="s">
        <v>18885</v>
      </c>
      <c r="B54781" s="0" t="str">
        <f aca="false">HYPERLINK("https://lindat.mff.cuni.cz/services/teitok/pdtc10/index.php?action=vallex&amp;frame=v-w10071f2", "vsázet (v-w10071f2)")</f>
        <v>vsázet (v-w10071f2)</v>
      </c>
      <c r="E54781" s="0" t="str">
        <f aca="false">HYPERLINK("https://lindat.mff.cuni.cz/services/SynSemClass40/SynSemClass40.html?veclass=vec00112#vec00112-ces-cm00005", "vec00112")</f>
        <v>vec00112</v>
      </c>
      <c r="F54781" s="0" t="s">
        <v>16985</v>
      </c>
    </row>
    <row r="54782" customFormat="false" ht="12.8" hidden="false" customHeight="false" outlineLevel="0" collapsed="false">
      <c r="B54782" s="0" t="s">
        <v>1</v>
      </c>
      <c r="C54782" s="0" t="s">
        <v>4264</v>
      </c>
      <c r="E54782" s="0" t="s">
        <v>16986</v>
      </c>
      <c r="F54782" s="0" t="s">
        <v>16987</v>
      </c>
    </row>
    <row r="54783" customFormat="false" ht="12.8" hidden="false" customHeight="false" outlineLevel="0" collapsed="false">
      <c r="B54783" s="0" t="s">
        <v>45</v>
      </c>
      <c r="C54783" s="0" t="s">
        <v>8563</v>
      </c>
      <c r="E54783" s="0" t="s">
        <v>180</v>
      </c>
      <c r="F54783" s="0" t="s">
        <v>16988</v>
      </c>
    </row>
    <row r="54785" customFormat="false" ht="12.8" hidden="false" customHeight="false" outlineLevel="0" collapsed="false">
      <c r="A54785" s="0" t="s">
        <v>18886</v>
      </c>
      <c r="B54785" s="0" t="str">
        <f aca="false">HYPERLINK("https://lindat.mff.cuni.cz/services/teitok/pdtc10/index.php?action=vallex&amp;frame=v-w11234f1", "vsázet se (v-w11234f1)")</f>
        <v>vsázet se (v-w11234f1)</v>
      </c>
    </row>
    <row r="54786" customFormat="false" ht="12.8" hidden="false" customHeight="false" outlineLevel="0" collapsed="false">
      <c r="B54786" s="0" t="s">
        <v>1</v>
      </c>
    </row>
    <row r="54787" customFormat="false" ht="12.8" hidden="false" customHeight="false" outlineLevel="0" collapsed="false">
      <c r="B54787" s="0" t="s">
        <v>16617</v>
      </c>
    </row>
    <row r="54788" customFormat="false" ht="12.8" hidden="false" customHeight="false" outlineLevel="0" collapsed="false">
      <c r="B54788" s="0" t="s">
        <v>3205</v>
      </c>
    </row>
    <row r="54790" customFormat="false" ht="12.8" hidden="false" customHeight="false" outlineLevel="0" collapsed="false">
      <c r="A54790" s="0" t="s">
        <v>18887</v>
      </c>
      <c r="B54790" s="0" t="str">
        <f aca="false">HYPERLINK("https://lindat.mff.cuni.cz/services/teitok/pdtc10/index.php?action=vallex&amp;frame=v-w7730f1", "vsítit (v-w7730f1)")</f>
        <v>vsítit (v-w7730f1)</v>
      </c>
    </row>
    <row r="54791" customFormat="false" ht="12.8" hidden="false" customHeight="false" outlineLevel="0" collapsed="false">
      <c r="B54791" s="0" t="s">
        <v>1</v>
      </c>
    </row>
    <row r="54792" customFormat="false" ht="12.8" hidden="false" customHeight="false" outlineLevel="0" collapsed="false">
      <c r="B54792" s="0" t="s">
        <v>8</v>
      </c>
    </row>
    <row r="54793" customFormat="false" ht="12.8" hidden="false" customHeight="false" outlineLevel="0" collapsed="false">
      <c r="B54793" s="0" t="s">
        <v>132</v>
      </c>
    </row>
    <row r="54795" customFormat="false" ht="12.8" hidden="false" customHeight="false" outlineLevel="0" collapsed="false">
      <c r="A54795" s="0" t="s">
        <v>18888</v>
      </c>
      <c r="B54795" s="0" t="str">
        <f aca="false">HYPERLINK("https://lindat.mff.cuni.cz/services/teitok/pdtc10/index.php?action=vallex&amp;frame=v-w7748f2", "vtahovat (v-w7748f2)")</f>
        <v>vtahovat (v-w7748f2)</v>
      </c>
      <c r="E54795" s="0" t="str">
        <f aca="false">HYPERLINK("https://lindat.mff.cuni.cz/services/SynSemClass40/SynSemClass40.html?veclass=vec00812#vec00812-ces-cm00346", "vec00812")</f>
        <v>vec00812</v>
      </c>
      <c r="F54795" s="0" t="s">
        <v>2822</v>
      </c>
    </row>
    <row r="54796" customFormat="false" ht="12.8" hidden="false" customHeight="false" outlineLevel="0" collapsed="false">
      <c r="B54796" s="0" t="s">
        <v>1</v>
      </c>
      <c r="C54796" s="0" t="s">
        <v>2823</v>
      </c>
      <c r="E54796" s="0" t="s">
        <v>1103</v>
      </c>
      <c r="F54796" s="0" t="s">
        <v>2824</v>
      </c>
    </row>
    <row r="54797" customFormat="false" ht="12.8" hidden="false" customHeight="false" outlineLevel="0" collapsed="false">
      <c r="B54797" s="0" t="s">
        <v>8</v>
      </c>
      <c r="C54797" s="0" t="s">
        <v>2372</v>
      </c>
      <c r="E54797" s="0" t="s">
        <v>142</v>
      </c>
      <c r="F54797" s="0" t="s">
        <v>2825</v>
      </c>
    </row>
    <row r="54798" customFormat="false" ht="12.8" hidden="false" customHeight="false" outlineLevel="0" collapsed="false">
      <c r="B54798" s="0" t="s">
        <v>361</v>
      </c>
      <c r="C54798" s="0" t="s">
        <v>2826</v>
      </c>
      <c r="E54798" s="0" t="s">
        <v>2827</v>
      </c>
      <c r="F54798" s="0" t="s">
        <v>2828</v>
      </c>
    </row>
    <row r="54800" customFormat="false" ht="12.8" hidden="false" customHeight="false" outlineLevel="0" collapsed="false">
      <c r="A54800" s="0" t="s">
        <v>18889</v>
      </c>
      <c r="B54800" s="0" t="str">
        <f aca="false">HYPERLINK("https://lindat.mff.cuni.cz/services/teitok/pdtc10/index.php?action=vallex&amp;frame=v-w7748f1", "vtahovat (v-w7748f1)")</f>
        <v>vtahovat (v-w7748f1)</v>
      </c>
    </row>
    <row r="54801" customFormat="false" ht="12.8" hidden="false" customHeight="false" outlineLevel="0" collapsed="false">
      <c r="B54801" s="0" t="s">
        <v>1</v>
      </c>
    </row>
    <row r="54802" customFormat="false" ht="12.8" hidden="false" customHeight="false" outlineLevel="0" collapsed="false">
      <c r="B54802" s="0" t="s">
        <v>8</v>
      </c>
    </row>
    <row r="54803" customFormat="false" ht="12.8" hidden="false" customHeight="false" outlineLevel="0" collapsed="false">
      <c r="B54803" s="0" t="s">
        <v>164</v>
      </c>
    </row>
    <row r="54805" customFormat="false" ht="12.8" hidden="false" customHeight="false" outlineLevel="0" collapsed="false">
      <c r="A54805" s="0" t="s">
        <v>18890</v>
      </c>
      <c r="B54805" s="0" t="str">
        <f aca="false">HYPERLINK("https://lindat.mff.cuni.cz/services/teitok/pdtc10/index.php?action=vallex&amp;frame=v-w7755f1", "vtipkovat (v-w7755f1)")</f>
        <v>vtipkovat (v-w7755f1)</v>
      </c>
      <c r="E54805" s="0" t="str">
        <f aca="false">HYPERLINK("https://lindat.mff.cuni.cz/services/SynSemClass40/SynSemClass40.html?veclass=vec00750#vec00750-ces-cm00001", "vec00750")</f>
        <v>vec00750</v>
      </c>
      <c r="F54805" s="0" t="s">
        <v>18891</v>
      </c>
    </row>
    <row r="54806" customFormat="false" ht="12.8" hidden="false" customHeight="false" outlineLevel="0" collapsed="false">
      <c r="B54806" s="0" t="s">
        <v>1</v>
      </c>
      <c r="C54806" s="0" t="s">
        <v>154</v>
      </c>
      <c r="E54806" s="0" t="s">
        <v>63</v>
      </c>
      <c r="F54806" s="0" t="s">
        <v>18892</v>
      </c>
    </row>
    <row r="54807" customFormat="false" ht="12.8" hidden="false" customHeight="false" outlineLevel="0" collapsed="false">
      <c r="B54807" s="0" t="s">
        <v>18893</v>
      </c>
      <c r="C54807" s="0" t="s">
        <v>9401</v>
      </c>
      <c r="E54807" s="0" t="s">
        <v>218</v>
      </c>
      <c r="F54807" s="0" t="s">
        <v>18894</v>
      </c>
    </row>
    <row r="54808" customFormat="false" ht="12.8" hidden="false" customHeight="false" outlineLevel="0" collapsed="false">
      <c r="B54808" s="0" t="s">
        <v>3205</v>
      </c>
      <c r="E54808" s="0" t="s">
        <v>221</v>
      </c>
      <c r="F54808" s="0" t="s">
        <v>4699</v>
      </c>
    </row>
    <row r="54810" customFormat="false" ht="12.8" hidden="false" customHeight="false" outlineLevel="0" collapsed="false">
      <c r="A54810" s="0" t="s">
        <v>18895</v>
      </c>
      <c r="B54810" s="0" t="str">
        <f aca="false">HYPERLINK("https://lindat.mff.cuni.cz/services/teitok/pdtc10/index.php?action=vallex&amp;frame=v-w7758f2", "vtisknout (v-w7758f2)")</f>
        <v>vtisknout (v-w7758f2)</v>
      </c>
    </row>
    <row r="54811" customFormat="false" ht="12.8" hidden="false" customHeight="false" outlineLevel="0" collapsed="false">
      <c r="B54811" s="0" t="s">
        <v>1</v>
      </c>
    </row>
    <row r="54812" customFormat="false" ht="12.8" hidden="false" customHeight="false" outlineLevel="0" collapsed="false">
      <c r="B54812" s="0" t="s">
        <v>8</v>
      </c>
    </row>
    <row r="54813" customFormat="false" ht="12.8" hidden="false" customHeight="false" outlineLevel="0" collapsed="false">
      <c r="B54813" s="0" t="s">
        <v>52</v>
      </c>
    </row>
    <row r="54815" customFormat="false" ht="12.8" hidden="false" customHeight="false" outlineLevel="0" collapsed="false">
      <c r="A54815" s="0" t="s">
        <v>18896</v>
      </c>
      <c r="B54815" s="0" t="str">
        <f aca="false">HYPERLINK("https://lindat.mff.cuni.cz/services/teitok/pdtc10/index.php?action=vallex&amp;frame=v-w7758f1", "vtisknout (v-w7758f1)")</f>
        <v>vtisknout (v-w7758f1)</v>
      </c>
    </row>
    <row r="54816" customFormat="false" ht="12.8" hidden="false" customHeight="false" outlineLevel="0" collapsed="false">
      <c r="B54816" s="0" t="s">
        <v>1</v>
      </c>
    </row>
    <row r="54817" customFormat="false" ht="12.8" hidden="false" customHeight="false" outlineLevel="0" collapsed="false">
      <c r="B54817" s="0" t="s">
        <v>8</v>
      </c>
    </row>
    <row r="54818" customFormat="false" ht="12.8" hidden="false" customHeight="false" outlineLevel="0" collapsed="false">
      <c r="B54818" s="0" t="s">
        <v>164</v>
      </c>
    </row>
    <row r="54820" customFormat="false" ht="12.8" hidden="false" customHeight="false" outlineLevel="0" collapsed="false">
      <c r="A54820" s="0" t="s">
        <v>18897</v>
      </c>
      <c r="B54820" s="0" t="str">
        <f aca="false">HYPERLINK("https://lindat.mff.cuni.cz/services/teitok/pdtc10/index.php?action=vallex&amp;frame=v-w7759f2", "vtiskovat (v-w7759f2)")</f>
        <v>vtiskovat (v-w7759f2)</v>
      </c>
    </row>
    <row r="54821" customFormat="false" ht="12.8" hidden="false" customHeight="false" outlineLevel="0" collapsed="false">
      <c r="B54821" s="0" t="s">
        <v>1</v>
      </c>
    </row>
    <row r="54822" customFormat="false" ht="12.8" hidden="false" customHeight="false" outlineLevel="0" collapsed="false">
      <c r="B54822" s="0" t="s">
        <v>2811</v>
      </c>
    </row>
    <row r="54823" customFormat="false" ht="12.8" hidden="false" customHeight="false" outlineLevel="0" collapsed="false">
      <c r="B54823" s="0" t="s">
        <v>52</v>
      </c>
    </row>
    <row r="54825" customFormat="false" ht="12.8" hidden="false" customHeight="false" outlineLevel="0" collapsed="false">
      <c r="A54825" s="0" t="s">
        <v>18898</v>
      </c>
      <c r="B54825" s="0" t="str">
        <f aca="false">HYPERLINK("https://lindat.mff.cuni.cz/services/teitok/pdtc10/index.php?action=vallex&amp;frame=v-w7759f1", "vtiskovat (v-w7759f1)")</f>
        <v>vtiskovat (v-w7759f1)</v>
      </c>
    </row>
    <row r="54826" customFormat="false" ht="12.8" hidden="false" customHeight="false" outlineLevel="0" collapsed="false">
      <c r="B54826" s="0" t="s">
        <v>1</v>
      </c>
    </row>
    <row r="54827" customFormat="false" ht="12.8" hidden="false" customHeight="false" outlineLevel="0" collapsed="false">
      <c r="B54827" s="0" t="s">
        <v>8</v>
      </c>
    </row>
    <row r="54828" customFormat="false" ht="12.8" hidden="false" customHeight="false" outlineLevel="0" collapsed="false">
      <c r="B54828" s="0" t="s">
        <v>164</v>
      </c>
    </row>
    <row r="54830" customFormat="false" ht="12.8" hidden="false" customHeight="false" outlineLevel="0" collapsed="false">
      <c r="A54830" s="0" t="s">
        <v>18899</v>
      </c>
      <c r="B54830" s="0" t="str">
        <f aca="false">HYPERLINK("https://lindat.mff.cuni.cz/services/teitok/pdtc10/index.php?action=vallex&amp;frame=v-w7760f1", "vtlačit (v-w7760f1)")</f>
        <v>vtlačit (v-w7760f1)</v>
      </c>
    </row>
    <row r="54831" customFormat="false" ht="12.8" hidden="false" customHeight="false" outlineLevel="0" collapsed="false">
      <c r="B54831" s="0" t="s">
        <v>1</v>
      </c>
    </row>
    <row r="54832" customFormat="false" ht="12.8" hidden="false" customHeight="false" outlineLevel="0" collapsed="false">
      <c r="B54832" s="0" t="s">
        <v>8</v>
      </c>
    </row>
    <row r="54833" customFormat="false" ht="12.8" hidden="false" customHeight="false" outlineLevel="0" collapsed="false">
      <c r="B54833" s="0" t="s">
        <v>164</v>
      </c>
    </row>
    <row r="54835" customFormat="false" ht="12.8" hidden="false" customHeight="false" outlineLevel="0" collapsed="false">
      <c r="A54835" s="0" t="s">
        <v>18900</v>
      </c>
      <c r="B54835" s="0" t="str">
        <f aca="false">HYPERLINK("https://lindat.mff.cuni.cz/services/teitok/pdtc10/index.php?action=vallex&amp;frame=v-w10883f2", "vtlačovat (v-w10883f2)")</f>
        <v>vtlačovat (v-w10883f2)</v>
      </c>
    </row>
    <row r="54836" customFormat="false" ht="12.8" hidden="false" customHeight="false" outlineLevel="0" collapsed="false">
      <c r="B54836" s="0" t="s">
        <v>1</v>
      </c>
    </row>
    <row r="54837" customFormat="false" ht="12.8" hidden="false" customHeight="false" outlineLevel="0" collapsed="false">
      <c r="B54837" s="0" t="s">
        <v>8</v>
      </c>
    </row>
    <row r="54838" customFormat="false" ht="12.8" hidden="false" customHeight="false" outlineLevel="0" collapsed="false">
      <c r="B54838" s="0" t="s">
        <v>164</v>
      </c>
    </row>
    <row r="54840" customFormat="false" ht="12.8" hidden="false" customHeight="false" outlineLevel="0" collapsed="false">
      <c r="A54840" s="0" t="s">
        <v>18901</v>
      </c>
      <c r="B54840" s="0" t="str">
        <f aca="false">HYPERLINK("https://lindat.mff.cuni.cz/services/teitok/pdtc10/index.php?action=vallex&amp;frame=v-w7761f1", "vtrhnout (v-w7761f1)")</f>
        <v>vtrhnout (v-w7761f1)</v>
      </c>
      <c r="E54840" s="0" t="str">
        <f aca="false">HYPERLINK("https://lindat.mff.cuni.cz/services/SynSemClass40/SynSemClass40.html?veclass=vec00751#vec00751-ces-cm00001", "vec00751")</f>
        <v>vec00751</v>
      </c>
      <c r="F54840" s="0" t="s">
        <v>18902</v>
      </c>
    </row>
    <row r="54841" customFormat="false" ht="12.8" hidden="false" customHeight="false" outlineLevel="0" collapsed="false">
      <c r="B54841" s="0" t="s">
        <v>1</v>
      </c>
      <c r="C54841" s="0" t="s">
        <v>106</v>
      </c>
      <c r="E54841" s="0" t="s">
        <v>334</v>
      </c>
      <c r="F54841" s="0" t="s">
        <v>18903</v>
      </c>
    </row>
    <row r="54842" customFormat="false" ht="12.8" hidden="false" customHeight="false" outlineLevel="0" collapsed="false">
      <c r="B54842" s="0" t="s">
        <v>164</v>
      </c>
      <c r="C54842" s="0" t="s">
        <v>4618</v>
      </c>
      <c r="E54842" s="0" t="s">
        <v>370</v>
      </c>
      <c r="F54842" s="0" t="s">
        <v>18904</v>
      </c>
    </row>
    <row r="54844" customFormat="false" ht="12.8" hidden="false" customHeight="false" outlineLevel="0" collapsed="false">
      <c r="A54844" s="0" t="s">
        <v>18905</v>
      </c>
      <c r="B54844" s="0" t="str">
        <f aca="false">HYPERLINK("https://lindat.mff.cuni.cz/services/teitok/pdtc10/index.php?action=vallex&amp;frame=v-w10469f2", "vtrhávat (v-w10469f2)")</f>
        <v>vtrhávat (v-w10469f2)</v>
      </c>
      <c r="E54844" s="0" t="str">
        <f aca="false">HYPERLINK("https://lindat.mff.cuni.cz/services/SynSemClass40/SynSemClass40.html?veclass=vec00227#vec00227-ces-cm00104", "vec00227")</f>
        <v>vec00227</v>
      </c>
      <c r="F54844" s="0" t="s">
        <v>1313</v>
      </c>
    </row>
    <row r="54845" customFormat="false" ht="12.8" hidden="false" customHeight="false" outlineLevel="0" collapsed="false">
      <c r="B54845" s="0" t="s">
        <v>1</v>
      </c>
      <c r="C54845" s="0" t="s">
        <v>83</v>
      </c>
      <c r="E54845" s="0" t="s">
        <v>334</v>
      </c>
      <c r="F54845" s="0" t="s">
        <v>1314</v>
      </c>
    </row>
    <row r="54846" customFormat="false" ht="12.8" hidden="false" customHeight="false" outlineLevel="0" collapsed="false">
      <c r="B54846" s="0" t="s">
        <v>164</v>
      </c>
      <c r="E54846" s="0" t="s">
        <v>1315</v>
      </c>
      <c r="F54846" s="0" t="s">
        <v>1316</v>
      </c>
    </row>
    <row r="54848" customFormat="false" ht="12.8" hidden="false" customHeight="false" outlineLevel="0" collapsed="false">
      <c r="A54848" s="0" t="s">
        <v>18906</v>
      </c>
      <c r="B54848" s="0" t="str">
        <f aca="false">HYPERLINK("https://lindat.mff.cuni.cz/services/teitok/pdtc10/index.php?action=vallex&amp;frame=v-w7747f1", "vtáhnout (v-w7747f1)")</f>
        <v>vtáhnout (v-w7747f1)</v>
      </c>
      <c r="E54848" s="0" t="str">
        <f aca="false">HYPERLINK("https://lindat.mff.cuni.cz/services/SynSemClass40/SynSemClass40.html?veclass=vec00812#vec00812-ces-cm00343", "vec00812")</f>
        <v>vec00812</v>
      </c>
      <c r="F54848" s="0" t="s">
        <v>2822</v>
      </c>
    </row>
    <row r="54849" customFormat="false" ht="12.8" hidden="false" customHeight="false" outlineLevel="0" collapsed="false">
      <c r="B54849" s="0" t="s">
        <v>1</v>
      </c>
      <c r="C54849" s="0" t="s">
        <v>2823</v>
      </c>
      <c r="E54849" s="0" t="s">
        <v>1103</v>
      </c>
      <c r="F54849" s="0" t="s">
        <v>2824</v>
      </c>
    </row>
    <row r="54850" customFormat="false" ht="12.8" hidden="false" customHeight="false" outlineLevel="0" collapsed="false">
      <c r="B54850" s="0" t="s">
        <v>8</v>
      </c>
      <c r="C54850" s="0" t="s">
        <v>2372</v>
      </c>
      <c r="E54850" s="0" t="s">
        <v>142</v>
      </c>
      <c r="F54850" s="0" t="s">
        <v>2825</v>
      </c>
    </row>
    <row r="54851" customFormat="false" ht="12.8" hidden="false" customHeight="false" outlineLevel="0" collapsed="false">
      <c r="B54851" s="0" t="s">
        <v>361</v>
      </c>
      <c r="C54851" s="0" t="s">
        <v>2826</v>
      </c>
      <c r="E54851" s="0" t="s">
        <v>2827</v>
      </c>
      <c r="F54851" s="0" t="s">
        <v>2828</v>
      </c>
    </row>
    <row r="54853" customFormat="false" ht="12.8" hidden="false" customHeight="false" outlineLevel="0" collapsed="false">
      <c r="A54853" s="0" t="s">
        <v>18907</v>
      </c>
      <c r="B54853" s="0" t="str">
        <f aca="false">HYPERLINK("https://lindat.mff.cuni.cz/services/teitok/pdtc10/index.php?action=vallex&amp;frame=v-w7747f2", "vtáhnout (v-w7747f2)")</f>
        <v>vtáhnout (v-w7747f2)</v>
      </c>
    </row>
    <row r="54854" customFormat="false" ht="12.8" hidden="false" customHeight="false" outlineLevel="0" collapsed="false">
      <c r="B54854" s="0" t="s">
        <v>1</v>
      </c>
    </row>
    <row r="54855" customFormat="false" ht="12.8" hidden="false" customHeight="false" outlineLevel="0" collapsed="false">
      <c r="B54855" s="0" t="s">
        <v>8</v>
      </c>
    </row>
    <row r="54856" customFormat="false" ht="12.8" hidden="false" customHeight="false" outlineLevel="0" collapsed="false">
      <c r="B54856" s="0" t="s">
        <v>164</v>
      </c>
    </row>
    <row r="54858" customFormat="false" ht="12.8" hidden="false" customHeight="false" outlineLevel="0" collapsed="false">
      <c r="A54858" s="0" t="s">
        <v>18908</v>
      </c>
      <c r="B54858" s="0" t="str">
        <f aca="false">HYPERLINK("https://lindat.mff.cuni.cz/services/teitok/pdtc10/index.php?action=vallex&amp;frame=v-w7757f1", "vtírat se (v-w7757f1)")</f>
        <v>vtírat se (v-w7757f1)</v>
      </c>
    </row>
    <row r="54859" customFormat="false" ht="12.8" hidden="false" customHeight="false" outlineLevel="0" collapsed="false">
      <c r="B54859" s="0" t="s">
        <v>1</v>
      </c>
    </row>
    <row r="54860" customFormat="false" ht="12.8" hidden="false" customHeight="false" outlineLevel="0" collapsed="false">
      <c r="B54860" s="0" t="s">
        <v>164</v>
      </c>
    </row>
    <row r="54862" customFormat="false" ht="12.8" hidden="false" customHeight="false" outlineLevel="0" collapsed="false">
      <c r="A54862" s="0" t="s">
        <v>18909</v>
      </c>
      <c r="B54862" s="0" t="str">
        <f aca="false">HYPERLINK("https://lindat.mff.cuni.cz/services/teitok/pdtc10/index.php?action=vallex&amp;frame=v-w7752f1", "vtělit (v-w7752f1)")</f>
        <v>vtělit (v-w7752f1)</v>
      </c>
      <c r="E54862" s="0" t="str">
        <f aca="false">HYPERLINK("https://lindat.mff.cuni.cz/services/SynSemClass40/SynSemClass40.html?veclass=vec01536#vec01536-ces-cm00035", "vec01536")</f>
        <v>vec01536</v>
      </c>
      <c r="F54862" s="0" t="s">
        <v>14025</v>
      </c>
    </row>
    <row r="54863" customFormat="false" ht="12.8" hidden="false" customHeight="false" outlineLevel="0" collapsed="false">
      <c r="B54863" s="0" t="s">
        <v>1</v>
      </c>
      <c r="C54863" s="0" t="s">
        <v>18910</v>
      </c>
      <c r="E54863" s="0" t="s">
        <v>31</v>
      </c>
      <c r="F54863" s="0" t="s">
        <v>14027</v>
      </c>
    </row>
    <row r="54864" customFormat="false" ht="12.8" hidden="false" customHeight="false" outlineLevel="0" collapsed="false">
      <c r="B54864" s="0" t="s">
        <v>8</v>
      </c>
      <c r="C54864" s="0" t="s">
        <v>18911</v>
      </c>
      <c r="E54864" s="0" t="s">
        <v>110</v>
      </c>
      <c r="F54864" s="0" t="s">
        <v>14029</v>
      </c>
    </row>
    <row r="54865" customFormat="false" ht="12.8" hidden="false" customHeight="false" outlineLevel="0" collapsed="false">
      <c r="B54865" s="0" t="s">
        <v>164</v>
      </c>
      <c r="C54865" s="0" t="s">
        <v>18568</v>
      </c>
      <c r="E54865" s="0" t="s">
        <v>14031</v>
      </c>
      <c r="F54865" s="0" t="s">
        <v>14032</v>
      </c>
    </row>
    <row r="54867" customFormat="false" ht="12.8" hidden="false" customHeight="false" outlineLevel="0" collapsed="false">
      <c r="A54867" s="0" t="s">
        <v>18912</v>
      </c>
      <c r="B54867" s="0" t="str">
        <f aca="false">HYPERLINK("https://lindat.mff.cuni.cz/services/teitok/pdtc10/index.php?action=vallex&amp;frame=v-w7753f1", "vtěsnat (v-w7753f1)")</f>
        <v>vtěsnat (v-w7753f1)</v>
      </c>
    </row>
    <row r="54868" customFormat="false" ht="12.8" hidden="false" customHeight="false" outlineLevel="0" collapsed="false">
      <c r="B54868" s="0" t="s">
        <v>1</v>
      </c>
    </row>
    <row r="54869" customFormat="false" ht="12.8" hidden="false" customHeight="false" outlineLevel="0" collapsed="false">
      <c r="B54869" s="0" t="s">
        <v>8</v>
      </c>
    </row>
    <row r="54870" customFormat="false" ht="12.8" hidden="false" customHeight="false" outlineLevel="0" collapsed="false">
      <c r="B54870" s="0" t="s">
        <v>164</v>
      </c>
    </row>
    <row r="54872" customFormat="false" ht="12.8" hidden="false" customHeight="false" outlineLevel="0" collapsed="false">
      <c r="A54872" s="0" t="s">
        <v>18913</v>
      </c>
      <c r="B54872" s="0" t="str">
        <f aca="false">HYPERLINK("https://lindat.mff.cuni.cz/services/teitok/pdtc10/index.php?action=vallex&amp;frame=v-w12309_MMf1_MM", "vtěsnat se (v-w12309_MMf1_MM)")</f>
        <v>vtěsnat se (v-w12309_MMf1_MM)</v>
      </c>
    </row>
    <row r="54873" customFormat="false" ht="12.8" hidden="false" customHeight="false" outlineLevel="0" collapsed="false">
      <c r="B54873" s="0" t="s">
        <v>1</v>
      </c>
    </row>
    <row r="54874" customFormat="false" ht="12.8" hidden="false" customHeight="false" outlineLevel="0" collapsed="false">
      <c r="B54874" s="0" t="s">
        <v>164</v>
      </c>
    </row>
    <row r="54876" customFormat="false" ht="12.8" hidden="false" customHeight="false" outlineLevel="0" collapsed="false">
      <c r="A54876" s="0" t="s">
        <v>18914</v>
      </c>
      <c r="B54876" s="0" t="str">
        <f aca="false">HYPERLINK("https://lindat.mff.cuni.cz/services/teitok/pdtc10/index.php?action=vallex&amp;frame=v-w10464f2", "vybalancovat (v-w10464f2)")</f>
        <v>vybalancovat (v-w10464f2)</v>
      </c>
      <c r="E54876" s="0" t="str">
        <f aca="false">HYPERLINK("https://lindat.mff.cuni.cz/services/SynSemClass40/SynSemClass40.html?veclass=vec00521#vec00521-ces-cm00004", "vec00521")</f>
        <v>vec00521</v>
      </c>
      <c r="F54876" s="0" t="s">
        <v>8198</v>
      </c>
    </row>
    <row r="54877" customFormat="false" ht="12.8" hidden="false" customHeight="false" outlineLevel="0" collapsed="false">
      <c r="B54877" s="0" t="s">
        <v>1</v>
      </c>
      <c r="C54877" s="0" t="s">
        <v>447</v>
      </c>
      <c r="E54877" s="0" t="s">
        <v>8199</v>
      </c>
      <c r="F54877" s="0" t="s">
        <v>8200</v>
      </c>
    </row>
    <row r="54878" customFormat="false" ht="12.8" hidden="false" customHeight="false" outlineLevel="0" collapsed="false">
      <c r="B54878" s="0" t="s">
        <v>8</v>
      </c>
      <c r="C54878" s="0" t="s">
        <v>4770</v>
      </c>
      <c r="E54878" s="0" t="s">
        <v>142</v>
      </c>
      <c r="F54878" s="0" t="s">
        <v>4771</v>
      </c>
    </row>
    <row r="54880" customFormat="false" ht="12.8" hidden="false" customHeight="false" outlineLevel="0" collapsed="false">
      <c r="A54880" s="0" t="s">
        <v>18915</v>
      </c>
      <c r="B54880" s="0" t="str">
        <f aca="false">HYPERLINK("https://lindat.mff.cuni.cz/services/teitok/pdtc10/index.php?action=vallex&amp;frame=v-w11893_ZUf1_ZU", "vybalit (v-w11893_ZUf1_ZU)")</f>
        <v>vybalit (v-w11893_ZUf1_ZU)</v>
      </c>
    </row>
    <row r="54881" customFormat="false" ht="12.8" hidden="false" customHeight="false" outlineLevel="0" collapsed="false">
      <c r="B54881" s="0" t="s">
        <v>1</v>
      </c>
    </row>
    <row r="54882" customFormat="false" ht="12.8" hidden="false" customHeight="false" outlineLevel="0" collapsed="false">
      <c r="B54882" s="0" t="s">
        <v>8</v>
      </c>
    </row>
    <row r="54884" customFormat="false" ht="12.8" hidden="false" customHeight="false" outlineLevel="0" collapsed="false">
      <c r="A54884" s="0" t="s">
        <v>18916</v>
      </c>
      <c r="B54884" s="0" t="str">
        <f aca="false">HYPERLINK("https://lindat.mff.cuni.cz/services/teitok/pdtc10/index.php?action=vallex&amp;frame=v-whsa_1093hsa_1094", "vybalovat (v-whsa_1093hsa_1094)")</f>
        <v>vybalovat (v-whsa_1093hsa_1094)</v>
      </c>
    </row>
    <row r="54885" customFormat="false" ht="12.8" hidden="false" customHeight="false" outlineLevel="0" collapsed="false">
      <c r="B54885" s="0" t="s">
        <v>1</v>
      </c>
    </row>
    <row r="54886" customFormat="false" ht="12.8" hidden="false" customHeight="false" outlineLevel="0" collapsed="false">
      <c r="B54886" s="0" t="s">
        <v>8</v>
      </c>
    </row>
    <row r="54887" customFormat="false" ht="12.8" hidden="false" customHeight="false" outlineLevel="0" collapsed="false">
      <c r="B54887" s="0" t="s">
        <v>631</v>
      </c>
    </row>
    <row r="54889" customFormat="false" ht="12.8" hidden="false" customHeight="false" outlineLevel="0" collapsed="false">
      <c r="A54889" s="0" t="s">
        <v>18917</v>
      </c>
      <c r="B54889" s="0" t="str">
        <f aca="false">HYPERLINK("https://lindat.mff.cuni.cz/services/teitok/pdtc10/index.php?action=vallex&amp;frame=v-whsa_1093hsa_1095", "vybalovat (v-whsa_1093hsa_1095)")</f>
        <v>vybalovat (v-whsa_1093hsa_1095)</v>
      </c>
    </row>
    <row r="54890" customFormat="false" ht="12.8" hidden="false" customHeight="false" outlineLevel="0" collapsed="false">
      <c r="B54890" s="0" t="s">
        <v>1</v>
      </c>
    </row>
    <row r="54891" customFormat="false" ht="12.8" hidden="false" customHeight="false" outlineLevel="0" collapsed="false">
      <c r="B54891" s="0" t="s">
        <v>8</v>
      </c>
    </row>
    <row r="54893" customFormat="false" ht="12.8" hidden="false" customHeight="false" outlineLevel="0" collapsed="false">
      <c r="A54893" s="0" t="s">
        <v>18918</v>
      </c>
      <c r="B54893" s="0" t="str">
        <f aca="false">HYPERLINK("https://lindat.mff.cuni.cz/services/teitok/pdtc10/index.php?action=vallex&amp;frame=v-w7765f1", "vybarvit (v-w7765f1)")</f>
        <v>vybarvit (v-w7765f1)</v>
      </c>
    </row>
    <row r="54894" customFormat="false" ht="12.8" hidden="false" customHeight="false" outlineLevel="0" collapsed="false">
      <c r="B54894" s="0" t="s">
        <v>1</v>
      </c>
    </row>
    <row r="54895" customFormat="false" ht="12.8" hidden="false" customHeight="false" outlineLevel="0" collapsed="false">
      <c r="B54895" s="0" t="s">
        <v>228</v>
      </c>
    </row>
    <row r="54896" customFormat="false" ht="12.8" hidden="false" customHeight="false" outlineLevel="0" collapsed="false">
      <c r="B54896" s="0" t="s">
        <v>132</v>
      </c>
    </row>
    <row r="54898" customFormat="false" ht="12.8" hidden="false" customHeight="false" outlineLevel="0" collapsed="false">
      <c r="A54898" s="0" t="s">
        <v>18919</v>
      </c>
      <c r="B54898" s="0" t="str">
        <f aca="false">HYPERLINK("https://lindat.mff.cuni.cz/services/teitok/pdtc10/index.php?action=vallex&amp;frame=v-w11774_ZUf1_ZU", "vybarvovat se (v-w11774_ZUf1_ZU)")</f>
        <v>vybarvovat se (v-w11774_ZUf1_ZU)</v>
      </c>
    </row>
    <row r="54899" customFormat="false" ht="12.8" hidden="false" customHeight="false" outlineLevel="0" collapsed="false">
      <c r="B54899" s="0" t="s">
        <v>1</v>
      </c>
    </row>
    <row r="54901" customFormat="false" ht="12.8" hidden="false" customHeight="false" outlineLevel="0" collapsed="false">
      <c r="A54901" s="0" t="s">
        <v>18920</v>
      </c>
      <c r="B54901" s="0" t="str">
        <f aca="false">HYPERLINK("https://lindat.mff.cuni.cz/services/teitok/pdtc10/index.php?action=vallex&amp;frame=v-w7768f1", "vybavit (v-w7768f1)")</f>
        <v>vybavit (v-w7768f1)</v>
      </c>
      <c r="E54901" s="0" t="str">
        <f aca="false">HYPERLINK("https://lindat.mff.cuni.cz/services/SynSemClass40/SynSemClass40.html?veclass=vec00752#vec00752-ces-cm00001", "vec00752")</f>
        <v>vec00752</v>
      </c>
      <c r="F54901" s="0" t="s">
        <v>9764</v>
      </c>
    </row>
    <row r="54902" customFormat="false" ht="12.8" hidden="false" customHeight="false" outlineLevel="0" collapsed="false">
      <c r="B54902" s="0" t="s">
        <v>1</v>
      </c>
      <c r="C54902" s="0" t="s">
        <v>9765</v>
      </c>
      <c r="E54902" s="0" t="s">
        <v>9766</v>
      </c>
      <c r="F54902" s="0" t="s">
        <v>9767</v>
      </c>
    </row>
    <row r="54903" customFormat="false" ht="12.8" hidden="false" customHeight="false" outlineLevel="0" collapsed="false">
      <c r="B54903" s="0" t="s">
        <v>8</v>
      </c>
      <c r="C54903" s="0" t="s">
        <v>9768</v>
      </c>
      <c r="E54903" s="0" t="s">
        <v>2588</v>
      </c>
      <c r="F54903" s="0" t="s">
        <v>9769</v>
      </c>
    </row>
    <row r="54904" customFormat="false" ht="12.8" hidden="false" customHeight="false" outlineLevel="0" collapsed="false">
      <c r="B54904" s="0" t="s">
        <v>7045</v>
      </c>
      <c r="C54904" s="0" t="s">
        <v>9770</v>
      </c>
      <c r="E54904" s="0" t="s">
        <v>9771</v>
      </c>
      <c r="F54904" s="0" t="s">
        <v>9772</v>
      </c>
    </row>
    <row r="54906" customFormat="false" ht="12.8" hidden="false" customHeight="false" outlineLevel="0" collapsed="false">
      <c r="A54906" s="0" t="s">
        <v>18921</v>
      </c>
      <c r="B54906" s="0" t="str">
        <f aca="false">HYPERLINK("https://lindat.mff.cuni.cz/services/teitok/pdtc10/index.php?action=vallex&amp;frame=v-w7769f1", "vybavit se (v-w7769f1)")</f>
        <v>vybavit se (v-w7769f1)</v>
      </c>
    </row>
    <row r="54907" customFormat="false" ht="12.8" hidden="false" customHeight="false" outlineLevel="0" collapsed="false">
      <c r="B54907" s="0" t="s">
        <v>804</v>
      </c>
    </row>
    <row r="54908" customFormat="false" ht="12.8" hidden="false" customHeight="false" outlineLevel="0" collapsed="false">
      <c r="B54908" s="0" t="s">
        <v>14346</v>
      </c>
    </row>
    <row r="54910" customFormat="false" ht="12.8" hidden="false" customHeight="false" outlineLevel="0" collapsed="false">
      <c r="A54910" s="0" t="s">
        <v>18922</v>
      </c>
      <c r="B54910" s="0" t="str">
        <f aca="false">HYPERLINK("https://lindat.mff.cuni.cz/services/teitok/pdtc10/index.php?action=vallex&amp;frame=v-w7770f2_ZU", "vybavit si (v-w7770f2_ZU)")</f>
        <v>vybavit si (v-w7770f2_ZU)</v>
      </c>
    </row>
    <row r="54911" customFormat="false" ht="12.8" hidden="false" customHeight="false" outlineLevel="0" collapsed="false">
      <c r="B54911" s="0" t="s">
        <v>1</v>
      </c>
    </row>
    <row r="54912" customFormat="false" ht="12.8" hidden="false" customHeight="false" outlineLevel="0" collapsed="false">
      <c r="B54912" s="0" t="s">
        <v>11527</v>
      </c>
    </row>
    <row r="54914" customFormat="false" ht="12.8" hidden="false" customHeight="false" outlineLevel="0" collapsed="false">
      <c r="A54914" s="0" t="s">
        <v>18922</v>
      </c>
      <c r="B54914" s="0" t="str">
        <f aca="false">HYPERLINK("https://lindat.mff.cuni.cz/services/teitok/pdtc10/index.php?action=vallex&amp;frame=v-w7770f1", "vybavit si (v-w7770f1) - substituted with v-w7770f2_ZU")</f>
        <v>vybavit si (v-w7770f1) - substituted with v-w7770f2_ZU</v>
      </c>
      <c r="E54914" s="0" t="str">
        <f aca="false">HYPERLINK("https://lindat.mff.cuni.cz/services/SynSemClass40/SynSemClass40.html?veclass=vec00364#vec00364-ces-cm00010", "vec00364")</f>
        <v>vec00364</v>
      </c>
      <c r="F54914" s="0" t="s">
        <v>10421</v>
      </c>
    </row>
    <row r="54915" customFormat="false" ht="12.8" hidden="false" customHeight="false" outlineLevel="0" collapsed="false">
      <c r="B54915" s="0" t="s">
        <v>1</v>
      </c>
      <c r="C54915" s="0" t="s">
        <v>5883</v>
      </c>
      <c r="E54915" s="0" t="s">
        <v>621</v>
      </c>
      <c r="F54915" s="0" t="s">
        <v>10422</v>
      </c>
    </row>
    <row r="54916" customFormat="false" ht="12.8" hidden="false" customHeight="false" outlineLevel="0" collapsed="false">
      <c r="B54916" s="0" t="s">
        <v>11527</v>
      </c>
      <c r="C54916" s="0" t="s">
        <v>10423</v>
      </c>
      <c r="E54916" s="0" t="s">
        <v>180</v>
      </c>
      <c r="F54916" s="0" t="s">
        <v>10424</v>
      </c>
    </row>
    <row r="54918" customFormat="false" ht="12.8" hidden="false" customHeight="false" outlineLevel="0" collapsed="false">
      <c r="A54918" s="0" t="s">
        <v>18923</v>
      </c>
      <c r="B54918" s="0" t="str">
        <f aca="false">HYPERLINK("https://lindat.mff.cuni.cz/services/teitok/pdtc10/index.php?action=vallex&amp;frame=v-w7771f1", "vybavovat (v-w7771f1)")</f>
        <v>vybavovat (v-w7771f1)</v>
      </c>
      <c r="E54918" s="0" t="str">
        <f aca="false">HYPERLINK("https://lindat.mff.cuni.cz/services/SynSemClass40/SynSemClass40.html?veclass=vec00752#vec00752-ces-cm00066", "vec00752")</f>
        <v>vec00752</v>
      </c>
      <c r="F54918" s="0" t="s">
        <v>9764</v>
      </c>
    </row>
    <row r="54919" customFormat="false" ht="12.8" hidden="false" customHeight="false" outlineLevel="0" collapsed="false">
      <c r="B54919" s="0" t="s">
        <v>1</v>
      </c>
      <c r="C54919" s="0" t="s">
        <v>9765</v>
      </c>
      <c r="E54919" s="0" t="s">
        <v>9766</v>
      </c>
      <c r="F54919" s="0" t="s">
        <v>9767</v>
      </c>
    </row>
    <row r="54920" customFormat="false" ht="12.8" hidden="false" customHeight="false" outlineLevel="0" collapsed="false">
      <c r="B54920" s="0" t="s">
        <v>8</v>
      </c>
      <c r="C54920" s="0" t="s">
        <v>9768</v>
      </c>
      <c r="E54920" s="0" t="s">
        <v>2588</v>
      </c>
      <c r="F54920" s="0" t="s">
        <v>9769</v>
      </c>
    </row>
    <row r="54922" customFormat="false" ht="12.8" hidden="false" customHeight="false" outlineLevel="0" collapsed="false">
      <c r="A54922" s="0" t="s">
        <v>18924</v>
      </c>
      <c r="B54922" s="0" t="str">
        <f aca="false">HYPERLINK("https://lindat.mff.cuni.cz/services/teitok/pdtc10/index.php?action=vallex&amp;frame=v-w7772f2", "vybavovat se (v-w7772f2)")</f>
        <v>vybavovat se (v-w7772f2)</v>
      </c>
    </row>
    <row r="54923" customFormat="false" ht="12.8" hidden="false" customHeight="false" outlineLevel="0" collapsed="false">
      <c r="B54923" s="0" t="s">
        <v>1</v>
      </c>
    </row>
    <row r="54924" customFormat="false" ht="12.8" hidden="false" customHeight="false" outlineLevel="0" collapsed="false">
      <c r="B54924" s="0" t="s">
        <v>318</v>
      </c>
    </row>
    <row r="54925" customFormat="false" ht="12.8" hidden="false" customHeight="false" outlineLevel="0" collapsed="false">
      <c r="B54925" s="0" t="s">
        <v>3205</v>
      </c>
    </row>
    <row r="54927" customFormat="false" ht="12.8" hidden="false" customHeight="false" outlineLevel="0" collapsed="false">
      <c r="A54927" s="0" t="s">
        <v>18925</v>
      </c>
      <c r="B54927" s="0" t="str">
        <f aca="false">HYPERLINK("https://lindat.mff.cuni.cz/services/teitok/pdtc10/index.php?action=vallex&amp;frame=v-w7772f1", "vybavovat se (v-w7772f1)")</f>
        <v>vybavovat se (v-w7772f1)</v>
      </c>
    </row>
    <row r="54928" customFormat="false" ht="12.8" hidden="false" customHeight="false" outlineLevel="0" collapsed="false">
      <c r="B54928" s="0" t="s">
        <v>804</v>
      </c>
    </row>
    <row r="54929" customFormat="false" ht="12.8" hidden="false" customHeight="false" outlineLevel="0" collapsed="false">
      <c r="B54929" s="0" t="s">
        <v>17631</v>
      </c>
    </row>
    <row r="54931" customFormat="false" ht="12.8" hidden="false" customHeight="false" outlineLevel="0" collapsed="false">
      <c r="A54931" s="0" t="s">
        <v>18926</v>
      </c>
      <c r="B54931" s="0" t="str">
        <f aca="false">HYPERLINK("https://lindat.mff.cuni.cz/services/teitok/pdtc10/index.php?action=vallex&amp;frame=v-w11617_ZUf1_ZU", "vybavovat si (v-w11617_ZUf1_ZU)")</f>
        <v>vybavovat si (v-w11617_ZUf1_ZU)</v>
      </c>
      <c r="E54931" s="0" t="str">
        <f aca="false">HYPERLINK("https://lindat.mff.cuni.cz/services/SynSemClass40/SynSemClass40.html?veclass=vec00364#vec00364-ces-cm00011", "vec00364")</f>
        <v>vec00364</v>
      </c>
      <c r="F54931" s="0" t="s">
        <v>10421</v>
      </c>
    </row>
    <row r="54932" customFormat="false" ht="12.8" hidden="false" customHeight="false" outlineLevel="0" collapsed="false">
      <c r="B54932" s="0" t="s">
        <v>1</v>
      </c>
      <c r="C54932" s="0" t="s">
        <v>5883</v>
      </c>
      <c r="E54932" s="0" t="s">
        <v>621</v>
      </c>
      <c r="F54932" s="0" t="s">
        <v>10422</v>
      </c>
    </row>
    <row r="54933" customFormat="false" ht="12.8" hidden="false" customHeight="false" outlineLevel="0" collapsed="false">
      <c r="B54933" s="0" t="s">
        <v>8</v>
      </c>
      <c r="C54933" s="0" t="s">
        <v>10423</v>
      </c>
      <c r="E54933" s="0" t="s">
        <v>180</v>
      </c>
      <c r="F54933" s="0" t="s">
        <v>10424</v>
      </c>
    </row>
    <row r="54935" customFormat="false" ht="12.8" hidden="false" customHeight="false" outlineLevel="0" collapsed="false">
      <c r="A54935" s="0" t="s">
        <v>18927</v>
      </c>
      <c r="B54935" s="0" t="str">
        <f aca="false">HYPERLINK("https://lindat.mff.cuni.cz/services/teitok/pdtc10/index.php?action=vallex&amp;frame=v-w10999hsa_610", "vybičovat (v-w10999hsa_610)")</f>
        <v>vybičovat (v-w10999hsa_610)</v>
      </c>
      <c r="E54935" s="0" t="str">
        <f aca="false">HYPERLINK("https://lindat.mff.cuni.cz/services/SynSemClass40/SynSemClass40.html?veclass=vec01349#vec01349-ces-cm00002", "vec01349")</f>
        <v>vec01349</v>
      </c>
      <c r="F54935" s="0" t="s">
        <v>18928</v>
      </c>
    </row>
    <row r="54936" customFormat="false" ht="12.8" hidden="false" customHeight="false" outlineLevel="0" collapsed="false">
      <c r="B54936" s="0" t="s">
        <v>1</v>
      </c>
      <c r="C54936" s="0" t="s">
        <v>4695</v>
      </c>
      <c r="E54936" s="0" t="s">
        <v>1103</v>
      </c>
      <c r="F54936" s="0" t="s">
        <v>18929</v>
      </c>
    </row>
    <row r="54937" customFormat="false" ht="12.8" hidden="false" customHeight="false" outlineLevel="0" collapsed="false">
      <c r="B54937" s="0" t="s">
        <v>18930</v>
      </c>
    </row>
    <row r="54938" customFormat="false" ht="12.8" hidden="false" customHeight="false" outlineLevel="0" collapsed="false">
      <c r="B54938" s="0" t="s">
        <v>5</v>
      </c>
      <c r="E54938" s="0" t="s">
        <v>18931</v>
      </c>
      <c r="F54938" s="0" t="s">
        <v>18932</v>
      </c>
    </row>
    <row r="54940" customFormat="false" ht="12.8" hidden="false" customHeight="false" outlineLevel="0" collapsed="false">
      <c r="A54940" s="0" t="s">
        <v>18933</v>
      </c>
      <c r="B54940" s="0" t="str">
        <f aca="false">HYPERLINK("https://lindat.mff.cuni.cz/services/teitok/pdtc10/index.php?action=vallex&amp;frame=v-w10999f2", "vybičovat (v-w10999f2)")</f>
        <v>vybičovat (v-w10999f2)</v>
      </c>
    </row>
    <row r="54941" customFormat="false" ht="12.8" hidden="false" customHeight="false" outlineLevel="0" collapsed="false">
      <c r="B54941" s="0" t="s">
        <v>1</v>
      </c>
    </row>
    <row r="54942" customFormat="false" ht="12.8" hidden="false" customHeight="false" outlineLevel="0" collapsed="false">
      <c r="B54942" s="0" t="s">
        <v>6911</v>
      </c>
    </row>
    <row r="54943" customFormat="false" ht="12.8" hidden="false" customHeight="false" outlineLevel="0" collapsed="false">
      <c r="B54943" s="0" t="s">
        <v>8</v>
      </c>
    </row>
    <row r="54944" customFormat="false" ht="12.8" hidden="false" customHeight="false" outlineLevel="0" collapsed="false">
      <c r="B54944" s="0" t="s">
        <v>5</v>
      </c>
    </row>
    <row r="54946" customFormat="false" ht="12.8" hidden="false" customHeight="false" outlineLevel="0" collapsed="false">
      <c r="A54946" s="0" t="s">
        <v>18934</v>
      </c>
      <c r="B54946" s="0" t="str">
        <f aca="false">HYPERLINK("https://lindat.mff.cuni.cz/services/teitok/pdtc10/index.php?action=vallex&amp;frame=v-w7785f1", "vyblednout (v-w7785f1)")</f>
        <v>vyblednout (v-w7785f1)</v>
      </c>
      <c r="E54946" s="0" t="str">
        <f aca="false">HYPERLINK("https://lindat.mff.cuni.cz/services/SynSemClass40/SynSemClass40.html?veclass=vec00755#vec00755-ces-cm00041", "vec00755")</f>
        <v>vec00755</v>
      </c>
      <c r="F54946" s="0" t="s">
        <v>6268</v>
      </c>
    </row>
    <row r="54947" customFormat="false" ht="12.8" hidden="false" customHeight="false" outlineLevel="0" collapsed="false">
      <c r="B54947" s="0" t="s">
        <v>1</v>
      </c>
      <c r="C54947" s="0" t="s">
        <v>6269</v>
      </c>
      <c r="E54947" s="0" t="s">
        <v>6270</v>
      </c>
      <c r="F54947" s="0" t="s">
        <v>6271</v>
      </c>
    </row>
    <row r="54949" customFormat="false" ht="12.8" hidden="false" customHeight="false" outlineLevel="0" collapsed="false">
      <c r="A54949" s="0" t="s">
        <v>18935</v>
      </c>
      <c r="B54949" s="0" t="str">
        <f aca="false">HYPERLINK("https://lindat.mff.cuni.cz/services/teitok/pdtc10/index.php?action=vallex&amp;frame=v-w7788f1", "vybojovat (v-w7788f1)")</f>
        <v>vybojovat (v-w7788f1)</v>
      </c>
      <c r="E54949" s="0" t="str">
        <f aca="false">HYPERLINK("https://lindat.mff.cuni.cz/services/SynSemClass40/SynSemClass40.html?veclass=vec00956#vec00956-ces-cm00001", "vec00956")</f>
        <v>vec00956</v>
      </c>
      <c r="F54949" s="0" t="s">
        <v>2104</v>
      </c>
    </row>
    <row r="54950" customFormat="false" ht="12.8" hidden="false" customHeight="false" outlineLevel="0" collapsed="false">
      <c r="B54950" s="0" t="s">
        <v>1</v>
      </c>
      <c r="C54950" s="0" t="s">
        <v>18936</v>
      </c>
      <c r="E54950" s="0" t="s">
        <v>2106</v>
      </c>
      <c r="F54950" s="0" t="s">
        <v>2107</v>
      </c>
    </row>
    <row r="54951" customFormat="false" ht="12.8" hidden="false" customHeight="false" outlineLevel="0" collapsed="false">
      <c r="B54951" s="0" t="s">
        <v>12351</v>
      </c>
      <c r="C54951" s="0" t="s">
        <v>5070</v>
      </c>
      <c r="E54951" s="0" t="s">
        <v>2111</v>
      </c>
      <c r="F54951" s="0" t="s">
        <v>2112</v>
      </c>
    </row>
    <row r="54952" customFormat="false" ht="12.8" hidden="false" customHeight="false" outlineLevel="0" collapsed="false">
      <c r="B54952" s="0" t="s">
        <v>18937</v>
      </c>
      <c r="C54952" s="0" t="s">
        <v>18938</v>
      </c>
      <c r="E54952" s="0" t="s">
        <v>18939</v>
      </c>
      <c r="F54952" s="0" t="s">
        <v>18940</v>
      </c>
    </row>
    <row r="54954" customFormat="false" ht="12.8" hidden="false" customHeight="false" outlineLevel="0" collapsed="false">
      <c r="A54954" s="0" t="s">
        <v>18941</v>
      </c>
      <c r="B54954" s="0" t="str">
        <f aca="false">HYPERLINK("https://lindat.mff.cuni.cz/services/teitok/pdtc10/index.php?action=vallex&amp;frame=v-w7788hsa_834", "vybojovat (v-w7788hsa_834)")</f>
        <v>vybojovat (v-w7788hsa_834)</v>
      </c>
      <c r="E54954" s="0" t="str">
        <f aca="false">HYPERLINK("https://lindat.mff.cuni.cz/services/SynSemClass40/SynSemClass40.html?veclass=vec00956#vec00956-ces-cm00005", "vec00956")</f>
        <v>vec00956</v>
      </c>
      <c r="F54954" s="0" t="s">
        <v>2104</v>
      </c>
    </row>
    <row r="54955" customFormat="false" ht="12.8" hidden="false" customHeight="false" outlineLevel="0" collapsed="false">
      <c r="B54955" s="0" t="s">
        <v>1</v>
      </c>
      <c r="C54955" s="0" t="s">
        <v>18936</v>
      </c>
      <c r="E54955" s="0" t="s">
        <v>2106</v>
      </c>
      <c r="F54955" s="0" t="s">
        <v>2107</v>
      </c>
    </row>
    <row r="54956" customFormat="false" ht="12.8" hidden="false" customHeight="false" outlineLevel="0" collapsed="false">
      <c r="B54956" s="0" t="s">
        <v>8</v>
      </c>
      <c r="C54956" s="0" t="s">
        <v>5070</v>
      </c>
      <c r="E54956" s="0" t="s">
        <v>2111</v>
      </c>
      <c r="F54956" s="0" t="s">
        <v>2112</v>
      </c>
    </row>
    <row r="54957" customFormat="false" ht="12.8" hidden="false" customHeight="false" outlineLevel="0" collapsed="false">
      <c r="B54957" s="0" t="s">
        <v>602</v>
      </c>
      <c r="C54957" s="0" t="s">
        <v>18942</v>
      </c>
      <c r="E54957" s="0" t="s">
        <v>18943</v>
      </c>
      <c r="F54957" s="0" t="s">
        <v>18944</v>
      </c>
    </row>
    <row r="54959" customFormat="false" ht="12.8" hidden="false" customHeight="false" outlineLevel="0" collapsed="false">
      <c r="A54959" s="0" t="s">
        <v>18945</v>
      </c>
      <c r="B54959" s="0" t="str">
        <f aca="false">HYPERLINK("https://lindat.mff.cuni.cz/services/teitok/pdtc10/index.php?action=vallex&amp;frame=v-whsa_2054f1_ZU", "vybombardovat (v-whsa_2054f1_ZU)")</f>
        <v>vybombardovat (v-whsa_2054f1_ZU)</v>
      </c>
    </row>
    <row r="54960" customFormat="false" ht="12.8" hidden="false" customHeight="false" outlineLevel="0" collapsed="false">
      <c r="B54960" s="0" t="s">
        <v>1</v>
      </c>
    </row>
    <row r="54961" customFormat="false" ht="12.8" hidden="false" customHeight="false" outlineLevel="0" collapsed="false">
      <c r="B54961" s="0" t="s">
        <v>8</v>
      </c>
    </row>
    <row r="54963" customFormat="false" ht="12.8" hidden="false" customHeight="false" outlineLevel="0" collapsed="false">
      <c r="A54963" s="0" t="s">
        <v>18945</v>
      </c>
      <c r="B54963" s="0" t="str">
        <f aca="false">HYPERLINK("https://lindat.mff.cuni.cz/services/teitok/pdtc10/index.php?action=vallex&amp;frame=v-whsa_2054hsa_2055", "vybombardovat (v-whsa_2054hsa_2055) - substituted with v-whsa_2054f1_ZU")</f>
        <v>vybombardovat (v-whsa_2054hsa_2055) - substituted with v-whsa_2054f1_ZU</v>
      </c>
    </row>
    <row r="54964" customFormat="false" ht="12.8" hidden="false" customHeight="false" outlineLevel="0" collapsed="false">
      <c r="B54964" s="0" t="s">
        <v>1</v>
      </c>
    </row>
    <row r="54965" customFormat="false" ht="12.8" hidden="false" customHeight="false" outlineLevel="0" collapsed="false">
      <c r="B54965" s="0" t="s">
        <v>8</v>
      </c>
    </row>
    <row r="54967" customFormat="false" ht="12.8" hidden="false" customHeight="false" outlineLevel="0" collapsed="false">
      <c r="A54967" s="0" t="s">
        <v>18946</v>
      </c>
      <c r="B54967" s="0" t="str">
        <f aca="false">HYPERLINK("https://lindat.mff.cuni.cz/services/teitok/pdtc10/index.php?action=vallex&amp;frame=v-w10323f3", "vybouchnout (v-w10323f3)")</f>
        <v>vybouchnout (v-w10323f3)</v>
      </c>
    </row>
    <row r="54968" customFormat="false" ht="12.8" hidden="false" customHeight="false" outlineLevel="0" collapsed="false">
      <c r="B54968" s="0" t="s">
        <v>1</v>
      </c>
    </row>
    <row r="54970" customFormat="false" ht="12.8" hidden="false" customHeight="false" outlineLevel="0" collapsed="false">
      <c r="A54970" s="0" t="s">
        <v>18947</v>
      </c>
      <c r="B54970" s="0" t="str">
        <f aca="false">HYPERLINK("https://lindat.mff.cuni.cz/services/teitok/pdtc10/index.php?action=vallex&amp;frame=v-w10323hsa_1102", "vybouchnout (v-w10323hsa_1102)")</f>
        <v>vybouchnout (v-w10323hsa_1102)</v>
      </c>
      <c r="E54970" s="0" t="str">
        <f aca="false">HYPERLINK("https://lindat.mff.cuni.cz/services/SynSemClass40/SynSemClass40.html?veclass=vec00599#vec00599-ces-cm00042", "vec00599")</f>
        <v>vec00599</v>
      </c>
      <c r="F54970" s="0" t="s">
        <v>4593</v>
      </c>
    </row>
    <row r="54971" customFormat="false" ht="12.8" hidden="false" customHeight="false" outlineLevel="0" collapsed="false">
      <c r="B54971" s="0" t="s">
        <v>1</v>
      </c>
      <c r="C54971" s="0" t="s">
        <v>4594</v>
      </c>
      <c r="E54971" s="0" t="s">
        <v>4595</v>
      </c>
      <c r="F54971" s="0" t="s">
        <v>4596</v>
      </c>
    </row>
    <row r="54973" customFormat="false" ht="12.8" hidden="false" customHeight="false" outlineLevel="0" collapsed="false">
      <c r="A54973" s="0" t="s">
        <v>18948</v>
      </c>
      <c r="B54973" s="0" t="str">
        <f aca="false">HYPERLINK("https://lindat.mff.cuni.cz/services/teitok/pdtc10/index.php?action=vallex&amp;frame=v-w10323f2", "vybouchnout (v-w10323f2)")</f>
        <v>vybouchnout (v-w10323f2)</v>
      </c>
    </row>
    <row r="54974" customFormat="false" ht="12.8" hidden="false" customHeight="false" outlineLevel="0" collapsed="false">
      <c r="B54974" s="0" t="s">
        <v>1</v>
      </c>
    </row>
    <row r="54975" customFormat="false" ht="12.8" hidden="false" customHeight="false" outlineLevel="0" collapsed="false">
      <c r="B54975" s="0" t="s">
        <v>8</v>
      </c>
    </row>
    <row r="54977" customFormat="false" ht="12.8" hidden="false" customHeight="false" outlineLevel="0" collapsed="false">
      <c r="A54977" s="0" t="s">
        <v>18949</v>
      </c>
      <c r="B54977" s="0" t="str">
        <f aca="false">HYPERLINK("https://lindat.mff.cuni.cz/services/teitok/pdtc10/index.php?action=vallex&amp;frame=v-w11394f1", "vyboulit se (v-w11394f1)")</f>
        <v>vyboulit se (v-w11394f1)</v>
      </c>
    </row>
    <row r="54978" customFormat="false" ht="12.8" hidden="false" customHeight="false" outlineLevel="0" collapsed="false">
      <c r="B54978" s="0" t="s">
        <v>1</v>
      </c>
    </row>
    <row r="54980" customFormat="false" ht="12.8" hidden="false" customHeight="false" outlineLevel="0" collapsed="false">
      <c r="A54980" s="0" t="s">
        <v>18950</v>
      </c>
      <c r="B54980" s="0" t="str">
        <f aca="false">HYPERLINK("https://lindat.mff.cuni.cz/services/teitok/pdtc10/index.php?action=vallex&amp;frame=v-w7790f1", "vybourat (v-w7790f1)")</f>
        <v>vybourat (v-w7790f1)</v>
      </c>
    </row>
    <row r="54981" customFormat="false" ht="12.8" hidden="false" customHeight="false" outlineLevel="0" collapsed="false">
      <c r="B54981" s="0" t="s">
        <v>1</v>
      </c>
    </row>
    <row r="54982" customFormat="false" ht="12.8" hidden="false" customHeight="false" outlineLevel="0" collapsed="false">
      <c r="B54982" s="0" t="s">
        <v>8</v>
      </c>
    </row>
    <row r="54984" customFormat="false" ht="12.8" hidden="false" customHeight="false" outlineLevel="0" collapsed="false">
      <c r="A54984" s="0" t="s">
        <v>18951</v>
      </c>
      <c r="B54984" s="0" t="str">
        <f aca="false">HYPERLINK("https://lindat.mff.cuni.cz/services/teitok/pdtc10/index.php?action=vallex&amp;frame=v-w7790f2", "vybourat (v-w7790f2)")</f>
        <v>vybourat (v-w7790f2)</v>
      </c>
    </row>
    <row r="54985" customFormat="false" ht="12.8" hidden="false" customHeight="false" outlineLevel="0" collapsed="false">
      <c r="B54985" s="0" t="s">
        <v>1</v>
      </c>
    </row>
    <row r="54986" customFormat="false" ht="12.8" hidden="false" customHeight="false" outlineLevel="0" collapsed="false">
      <c r="B54986" s="0" t="s">
        <v>8</v>
      </c>
    </row>
    <row r="54988" customFormat="false" ht="12.8" hidden="false" customHeight="false" outlineLevel="0" collapsed="false">
      <c r="A54988" s="0" t="s">
        <v>18952</v>
      </c>
      <c r="B54988" s="0" t="str">
        <f aca="false">HYPERLINK("https://lindat.mff.cuni.cz/services/teitok/pdtc10/index.php?action=vallex&amp;frame=v-w7791f1", "vybourat se (v-w7791f1)")</f>
        <v>vybourat se (v-w7791f1)</v>
      </c>
    </row>
    <row r="54989" customFormat="false" ht="12.8" hidden="false" customHeight="false" outlineLevel="0" collapsed="false">
      <c r="B54989" s="0" t="s">
        <v>1</v>
      </c>
    </row>
    <row r="54991" customFormat="false" ht="12.8" hidden="false" customHeight="false" outlineLevel="0" collapsed="false">
      <c r="A54991" s="0" t="s">
        <v>18953</v>
      </c>
      <c r="B54991" s="0" t="str">
        <f aca="false">HYPERLINK("https://lindat.mff.cuni.cz/services/teitok/pdtc10/index.php?action=vallex&amp;frame=v-whsa_581hsa_582", "vybourávat (v-whsa_581hsa_582)")</f>
        <v>vybourávat (v-whsa_581hsa_582)</v>
      </c>
    </row>
    <row r="54992" customFormat="false" ht="12.8" hidden="false" customHeight="false" outlineLevel="0" collapsed="false">
      <c r="B54992" s="0" t="s">
        <v>1</v>
      </c>
    </row>
    <row r="54993" customFormat="false" ht="12.8" hidden="false" customHeight="false" outlineLevel="0" collapsed="false">
      <c r="B54993" s="0" t="s">
        <v>8</v>
      </c>
    </row>
    <row r="54995" customFormat="false" ht="12.8" hidden="false" customHeight="false" outlineLevel="0" collapsed="false">
      <c r="A54995" s="0" t="s">
        <v>18954</v>
      </c>
      <c r="B54995" s="0" t="str">
        <f aca="false">HYPERLINK("https://lindat.mff.cuni.cz/services/teitok/pdtc10/index.php?action=vallex&amp;frame=v-w11773_ZUf1_ZU", "vybouřit se (v-w11773_ZUf1_ZU)")</f>
        <v>vybouřit se (v-w11773_ZUf1_ZU)</v>
      </c>
    </row>
    <row r="54996" customFormat="false" ht="12.8" hidden="false" customHeight="false" outlineLevel="0" collapsed="false">
      <c r="B54996" s="0" t="s">
        <v>1</v>
      </c>
    </row>
    <row r="54998" customFormat="false" ht="12.8" hidden="false" customHeight="false" outlineLevel="0" collapsed="false">
      <c r="A54998" s="0" t="s">
        <v>18955</v>
      </c>
      <c r="B54998" s="0" t="str">
        <f aca="false">HYPERLINK("https://lindat.mff.cuni.cz/services/teitok/pdtc10/index.php?action=vallex&amp;frame=v-w7792f1", "vyboxovat (v-w7792f1)")</f>
        <v>vyboxovat (v-w7792f1)</v>
      </c>
    </row>
    <row r="54999" customFormat="false" ht="12.8" hidden="false" customHeight="false" outlineLevel="0" collapsed="false">
      <c r="B54999" s="0" t="s">
        <v>1</v>
      </c>
    </row>
    <row r="55000" customFormat="false" ht="12.8" hidden="false" customHeight="false" outlineLevel="0" collapsed="false">
      <c r="B55000" s="0" t="s">
        <v>8</v>
      </c>
    </row>
    <row r="55001" customFormat="false" ht="12.8" hidden="false" customHeight="false" outlineLevel="0" collapsed="false">
      <c r="B55001" s="0" t="s">
        <v>631</v>
      </c>
    </row>
    <row r="55003" customFormat="false" ht="12.8" hidden="false" customHeight="false" outlineLevel="0" collapsed="false">
      <c r="A55003" s="0" t="s">
        <v>18956</v>
      </c>
      <c r="B55003" s="0" t="str">
        <f aca="false">HYPERLINK("https://lindat.mff.cuni.cz/services/teitok/pdtc10/index.php?action=vallex&amp;frame=v-w7786f1", "vybočit (v-w7786f1)")</f>
        <v>vybočit (v-w7786f1)</v>
      </c>
    </row>
    <row r="55004" customFormat="false" ht="12.8" hidden="false" customHeight="false" outlineLevel="0" collapsed="false">
      <c r="B55004" s="0" t="s">
        <v>1</v>
      </c>
    </row>
    <row r="55005" customFormat="false" ht="12.8" hidden="false" customHeight="false" outlineLevel="0" collapsed="false">
      <c r="B55005" s="0" t="s">
        <v>631</v>
      </c>
    </row>
    <row r="55007" customFormat="false" ht="12.8" hidden="false" customHeight="false" outlineLevel="0" collapsed="false">
      <c r="A55007" s="0" t="s">
        <v>18957</v>
      </c>
      <c r="B55007" s="0" t="str">
        <f aca="false">HYPERLINK("https://lindat.mff.cuni.cz/services/teitok/pdtc10/index.php?action=vallex&amp;frame=v-w7787f1", "vybočovat (v-w7787f1)")</f>
        <v>vybočovat (v-w7787f1)</v>
      </c>
    </row>
    <row r="55008" customFormat="false" ht="12.8" hidden="false" customHeight="false" outlineLevel="0" collapsed="false">
      <c r="B55008" s="0" t="s">
        <v>1</v>
      </c>
    </row>
    <row r="55009" customFormat="false" ht="12.8" hidden="false" customHeight="false" outlineLevel="0" collapsed="false">
      <c r="B55009" s="0" t="s">
        <v>631</v>
      </c>
    </row>
    <row r="55011" customFormat="false" ht="12.8" hidden="false" customHeight="false" outlineLevel="0" collapsed="false">
      <c r="A55011" s="0" t="s">
        <v>18958</v>
      </c>
      <c r="B55011" s="0" t="str">
        <f aca="false">HYPERLINK("https://lindat.mff.cuni.cz/services/teitok/pdtc10/index.php?action=vallex&amp;frame=v-w7793f1", "vybrakovat (v-w7793f1)")</f>
        <v>vybrakovat (v-w7793f1)</v>
      </c>
    </row>
    <row r="55012" customFormat="false" ht="12.8" hidden="false" customHeight="false" outlineLevel="0" collapsed="false">
      <c r="B55012" s="0" t="s">
        <v>1</v>
      </c>
    </row>
    <row r="55013" customFormat="false" ht="12.8" hidden="false" customHeight="false" outlineLevel="0" collapsed="false">
      <c r="B55013" s="0" t="s">
        <v>8</v>
      </c>
    </row>
    <row r="55015" customFormat="false" ht="12.8" hidden="false" customHeight="false" outlineLevel="0" collapsed="false">
      <c r="A55015" s="0" t="s">
        <v>18959</v>
      </c>
      <c r="B55015" s="0" t="str">
        <f aca="false">HYPERLINK("https://lindat.mff.cuni.cz/services/teitok/pdtc10/index.php?action=vallex&amp;frame=v-w7796f5_ZU", "vybrat (v-w7796f5_ZU)")</f>
        <v>vybrat (v-w7796f5_ZU)</v>
      </c>
    </row>
    <row r="55016" customFormat="false" ht="12.8" hidden="false" customHeight="false" outlineLevel="0" collapsed="false">
      <c r="B55016" s="0" t="s">
        <v>1</v>
      </c>
    </row>
    <row r="55017" customFormat="false" ht="12.8" hidden="false" customHeight="false" outlineLevel="0" collapsed="false">
      <c r="B55017" s="0" t="s">
        <v>228</v>
      </c>
    </row>
    <row r="55018" customFormat="false" ht="12.8" hidden="false" customHeight="false" outlineLevel="0" collapsed="false">
      <c r="B55018" s="0" t="s">
        <v>15060</v>
      </c>
    </row>
    <row r="55020" customFormat="false" ht="12.8" hidden="false" customHeight="false" outlineLevel="0" collapsed="false">
      <c r="A55020" s="0" t="s">
        <v>18959</v>
      </c>
      <c r="B55020" s="0" t="str">
        <f aca="false">HYPERLINK("https://lindat.mff.cuni.cz/services/teitok/pdtc10/index.php?action=vallex&amp;frame=v-w7796f1", "vybrat (v-w7796f1) - substituted with v-w7796f5_ZU")</f>
        <v>vybrat (v-w7796f1) - substituted with v-w7796f5_ZU</v>
      </c>
      <c r="E55020" s="0" t="str">
        <f aca="false">HYPERLINK("https://lindat.mff.cuni.cz/services/SynSemClass40/SynSemClass40.html?veclass=vec00106#vec00106-ces-cm00051", "vec00106")</f>
        <v>vec00106</v>
      </c>
      <c r="F55020" s="0" t="s">
        <v>15055</v>
      </c>
    </row>
    <row r="55021" customFormat="false" ht="12.8" hidden="false" customHeight="false" outlineLevel="0" collapsed="false">
      <c r="B55021" s="0" t="s">
        <v>1</v>
      </c>
      <c r="C55021" s="0" t="s">
        <v>15056</v>
      </c>
      <c r="E55021" s="0" t="s">
        <v>621</v>
      </c>
      <c r="F55021" s="0" t="s">
        <v>15057</v>
      </c>
    </row>
    <row r="55022" customFormat="false" ht="12.8" hidden="false" customHeight="false" outlineLevel="0" collapsed="false">
      <c r="B55022" s="0" t="s">
        <v>228</v>
      </c>
      <c r="C55022" s="0" t="s">
        <v>15058</v>
      </c>
      <c r="E55022" s="0" t="s">
        <v>4297</v>
      </c>
      <c r="F55022" s="0" t="s">
        <v>15059</v>
      </c>
    </row>
    <row r="55023" customFormat="false" ht="12.8" hidden="false" customHeight="false" outlineLevel="0" collapsed="false">
      <c r="B55023" s="0" t="s">
        <v>15060</v>
      </c>
      <c r="C55023" s="0" t="s">
        <v>15061</v>
      </c>
      <c r="E55023" s="0" t="s">
        <v>15062</v>
      </c>
      <c r="F55023" s="0" t="s">
        <v>15063</v>
      </c>
    </row>
    <row r="55025" customFormat="false" ht="12.8" hidden="false" customHeight="false" outlineLevel="0" collapsed="false">
      <c r="A55025" s="0" t="s">
        <v>18960</v>
      </c>
      <c r="B55025" s="0" t="str">
        <f aca="false">HYPERLINK("https://lindat.mff.cuni.cz/services/teitok/pdtc10/index.php?action=vallex&amp;frame=v-w7796f3", "vybrat (v-w7796f3)")</f>
        <v>vybrat (v-w7796f3)</v>
      </c>
    </row>
    <row r="55026" customFormat="false" ht="12.8" hidden="false" customHeight="false" outlineLevel="0" collapsed="false">
      <c r="B55026" s="0" t="s">
        <v>1</v>
      </c>
    </row>
    <row r="55027" customFormat="false" ht="12.8" hidden="false" customHeight="false" outlineLevel="0" collapsed="false">
      <c r="B55027" s="0" t="s">
        <v>8</v>
      </c>
    </row>
    <row r="55028" customFormat="false" ht="12.8" hidden="false" customHeight="false" outlineLevel="0" collapsed="false">
      <c r="B55028" s="0" t="s">
        <v>602</v>
      </c>
    </row>
    <row r="55030" customFormat="false" ht="12.8" hidden="false" customHeight="false" outlineLevel="0" collapsed="false">
      <c r="A55030" s="0" t="s">
        <v>18961</v>
      </c>
      <c r="B55030" s="0" t="str">
        <f aca="false">HYPERLINK("https://lindat.mff.cuni.cz/services/teitok/pdtc10/index.php?action=vallex&amp;frame=v-w7796f2", "vybrat (v-w7796f2)")</f>
        <v>vybrat (v-w7796f2)</v>
      </c>
    </row>
    <row r="55031" customFormat="false" ht="12.8" hidden="false" customHeight="false" outlineLevel="0" collapsed="false">
      <c r="B55031" s="0" t="s">
        <v>1</v>
      </c>
    </row>
    <row r="55032" customFormat="false" ht="12.8" hidden="false" customHeight="false" outlineLevel="0" collapsed="false">
      <c r="B55032" s="0" t="s">
        <v>8</v>
      </c>
    </row>
    <row r="55033" customFormat="false" ht="12.8" hidden="false" customHeight="false" outlineLevel="0" collapsed="false">
      <c r="B55033" s="0" t="s">
        <v>631</v>
      </c>
    </row>
    <row r="55035" customFormat="false" ht="12.8" hidden="false" customHeight="false" outlineLevel="0" collapsed="false">
      <c r="A55035" s="0" t="s">
        <v>18962</v>
      </c>
      <c r="B55035" s="0" t="str">
        <f aca="false">HYPERLINK("https://lindat.mff.cuni.cz/services/teitok/pdtc10/index.php?action=vallex&amp;frame=v-w7796f4_ZU", "vybrat (v-w7796f4_ZU)")</f>
        <v>vybrat (v-w7796f4_ZU)</v>
      </c>
    </row>
    <row r="55036" customFormat="false" ht="12.8" hidden="false" customHeight="false" outlineLevel="0" collapsed="false">
      <c r="B55036" s="0" t="s">
        <v>1</v>
      </c>
    </row>
    <row r="55037" customFormat="false" ht="12.8" hidden="false" customHeight="false" outlineLevel="0" collapsed="false">
      <c r="B55037" s="0" t="s">
        <v>8</v>
      </c>
    </row>
    <row r="55038" customFormat="false" ht="12.8" hidden="false" customHeight="false" outlineLevel="0" collapsed="false">
      <c r="B55038" s="0" t="s">
        <v>11282</v>
      </c>
    </row>
    <row r="55040" customFormat="false" ht="12.8" hidden="false" customHeight="false" outlineLevel="0" collapsed="false">
      <c r="A55040" s="0" t="s">
        <v>18963</v>
      </c>
      <c r="B55040" s="0" t="str">
        <f aca="false">HYPERLINK("https://lindat.mff.cuni.cz/services/teitok/pdtc10/index.php?action=vallex&amp;frame=v-w7796f6_ZU", "vybrat (v-w7796f6_ZU)")</f>
        <v>vybrat (v-w7796f6_ZU)</v>
      </c>
    </row>
    <row r="55041" customFormat="false" ht="12.8" hidden="false" customHeight="false" outlineLevel="0" collapsed="false">
      <c r="B55041" s="0" t="s">
        <v>1</v>
      </c>
    </row>
    <row r="55042" customFormat="false" ht="12.8" hidden="false" customHeight="false" outlineLevel="0" collapsed="false">
      <c r="B55042" s="0" t="s">
        <v>8</v>
      </c>
    </row>
    <row r="55044" customFormat="false" ht="12.8" hidden="false" customHeight="false" outlineLevel="0" collapsed="false">
      <c r="A55044" s="0" t="s">
        <v>18964</v>
      </c>
      <c r="B55044" s="0" t="str">
        <f aca="false">HYPERLINK("https://lindat.mff.cuni.cz/services/teitok/pdtc10/index.php?action=vallex&amp;frame=v-w7797f3_ZU", "vybrousit (v-w7797f3_ZU)")</f>
        <v>vybrousit (v-w7797f3_ZU)</v>
      </c>
      <c r="E55044" s="0" t="str">
        <f aca="false">HYPERLINK("https://lindat.mff.cuni.cz/services/SynSemClass40/SynSemClass40.html?veclass=vec00008#vec00008-ces-cm00003", "vec00008")</f>
        <v>vec00008</v>
      </c>
      <c r="F55044" s="0" t="s">
        <v>2436</v>
      </c>
    </row>
    <row r="55045" customFormat="false" ht="12.8" hidden="false" customHeight="false" outlineLevel="0" collapsed="false">
      <c r="B55045" s="0" t="s">
        <v>1</v>
      </c>
      <c r="C55045" s="0" t="s">
        <v>459</v>
      </c>
      <c r="E55045" s="0" t="s">
        <v>31</v>
      </c>
      <c r="F55045" s="0" t="s">
        <v>2437</v>
      </c>
    </row>
    <row r="55046" customFormat="false" ht="12.8" hidden="false" customHeight="false" outlineLevel="0" collapsed="false">
      <c r="B55046" s="0" t="s">
        <v>8</v>
      </c>
      <c r="C55046" s="0" t="s">
        <v>1940</v>
      </c>
      <c r="E55046" s="0" t="s">
        <v>2438</v>
      </c>
      <c r="F55046" s="0" t="s">
        <v>2439</v>
      </c>
    </row>
    <row r="55047" customFormat="false" ht="12.8" hidden="false" customHeight="false" outlineLevel="0" collapsed="false">
      <c r="B55047" s="0" t="s">
        <v>36</v>
      </c>
    </row>
    <row r="55048" customFormat="false" ht="12.8" hidden="false" customHeight="false" outlineLevel="0" collapsed="false">
      <c r="B55048" s="0" t="s">
        <v>245</v>
      </c>
    </row>
    <row r="55050" customFormat="false" ht="12.8" hidden="false" customHeight="false" outlineLevel="0" collapsed="false">
      <c r="A55050" s="0" t="s">
        <v>18964</v>
      </c>
      <c r="B55050" s="0" t="str">
        <f aca="false">HYPERLINK("https://lindat.mff.cuni.cz/services/teitok/pdtc10/index.php?action=vallex&amp;frame=v-w7797f2_ZU", "vybrousit (v-w7797f2_ZU) - substituted with v-w7797f3_ZU")</f>
        <v>vybrousit (v-w7797f2_ZU) - substituted with v-w7797f3_ZU</v>
      </c>
    </row>
    <row r="55051" customFormat="false" ht="12.8" hidden="false" customHeight="false" outlineLevel="0" collapsed="false">
      <c r="B55051" s="0" t="s">
        <v>1</v>
      </c>
    </row>
    <row r="55052" customFormat="false" ht="12.8" hidden="false" customHeight="false" outlineLevel="0" collapsed="false">
      <c r="B55052" s="0" t="s">
        <v>8</v>
      </c>
    </row>
    <row r="55053" customFormat="false" ht="12.8" hidden="false" customHeight="false" outlineLevel="0" collapsed="false">
      <c r="B55053" s="0" t="s">
        <v>36</v>
      </c>
    </row>
    <row r="55054" customFormat="false" ht="12.8" hidden="false" customHeight="false" outlineLevel="0" collapsed="false">
      <c r="B55054" s="0" t="s">
        <v>245</v>
      </c>
    </row>
    <row r="55056" customFormat="false" ht="12.8" hidden="false" customHeight="false" outlineLevel="0" collapsed="false">
      <c r="A55056" s="0" t="s">
        <v>18965</v>
      </c>
      <c r="B55056" s="0" t="str">
        <f aca="false">HYPERLINK("https://lindat.mff.cuni.cz/services/teitok/pdtc10/index.php?action=vallex&amp;frame=v-w7797f1", "vybrousit (v-w7797f1)")</f>
        <v>vybrousit (v-w7797f1)</v>
      </c>
      <c r="E55056" s="0" t="str">
        <f aca="false">HYPERLINK("https://lindat.mff.cuni.cz/services/SynSemClass40/SynSemClass40.html?veclass=vec01250#vec01250-ces-cm00002", "vec01250")</f>
        <v>vec01250</v>
      </c>
      <c r="F55056" s="0" t="s">
        <v>511</v>
      </c>
      <c r="H55056" s="0" t="str">
        <f aca="false">HYPERLINK("https://lindat.mff.cuni.cz/services/SynSemClass40/SynSemClass40.html?veclass=vec01462#vec01462-ces-cm00003", "vec01462")</f>
        <v>vec01462</v>
      </c>
      <c r="I55056" s="0" t="s">
        <v>511</v>
      </c>
    </row>
    <row r="55057" customFormat="false" ht="12.8" hidden="false" customHeight="false" outlineLevel="0" collapsed="false">
      <c r="B55057" s="0" t="s">
        <v>1</v>
      </c>
      <c r="C55057" s="0" t="s">
        <v>3000</v>
      </c>
      <c r="E55057" s="0" t="s">
        <v>31</v>
      </c>
      <c r="F55057" s="0" t="s">
        <v>513</v>
      </c>
      <c r="H55057" s="0" t="s">
        <v>31</v>
      </c>
      <c r="I55057" s="0" t="s">
        <v>513</v>
      </c>
    </row>
    <row r="55058" customFormat="false" ht="12.8" hidden="false" customHeight="false" outlineLevel="0" collapsed="false">
      <c r="B55058" s="0" t="s">
        <v>8</v>
      </c>
      <c r="C55058" s="0" t="s">
        <v>798</v>
      </c>
      <c r="E55058" s="0" t="s">
        <v>514</v>
      </c>
      <c r="F55058" s="0" t="s">
        <v>515</v>
      </c>
      <c r="H55058" s="0" t="s">
        <v>514</v>
      </c>
      <c r="I55058" s="0" t="s">
        <v>515</v>
      </c>
    </row>
    <row r="55060" customFormat="false" ht="12.8" hidden="false" customHeight="false" outlineLevel="0" collapsed="false">
      <c r="A55060" s="0" t="s">
        <v>18966</v>
      </c>
      <c r="B55060" s="0" t="str">
        <f aca="false">HYPERLINK("https://lindat.mff.cuni.cz/services/teitok/pdtc10/index.php?action=vallex&amp;frame=v-w7798f1", "vybruslit (v-w7798f1)")</f>
        <v>vybruslit (v-w7798f1)</v>
      </c>
    </row>
    <row r="55061" customFormat="false" ht="12.8" hidden="false" customHeight="false" outlineLevel="0" collapsed="false">
      <c r="B55061" s="0" t="s">
        <v>1</v>
      </c>
    </row>
    <row r="55062" customFormat="false" ht="12.8" hidden="false" customHeight="false" outlineLevel="0" collapsed="false">
      <c r="B55062" s="0" t="s">
        <v>631</v>
      </c>
    </row>
    <row r="55064" customFormat="false" ht="12.8" hidden="false" customHeight="false" outlineLevel="0" collapsed="false">
      <c r="A55064" s="0" t="s">
        <v>18967</v>
      </c>
      <c r="B55064" s="0" t="str">
        <f aca="false">HYPERLINK("https://lindat.mff.cuni.cz/services/teitok/pdtc10/index.php?action=vallex&amp;frame=v-whsa_759hsa_760", "vybrušovat (v-whsa_759hsa_760)")</f>
        <v>vybrušovat (v-whsa_759hsa_760)</v>
      </c>
    </row>
    <row r="55065" customFormat="false" ht="12.8" hidden="false" customHeight="false" outlineLevel="0" collapsed="false">
      <c r="B55065" s="0" t="s">
        <v>1</v>
      </c>
    </row>
    <row r="55066" customFormat="false" ht="12.8" hidden="false" customHeight="false" outlineLevel="0" collapsed="false">
      <c r="B55066" s="0" t="s">
        <v>8</v>
      </c>
    </row>
    <row r="55068" customFormat="false" ht="12.8" hidden="false" customHeight="false" outlineLevel="0" collapsed="false">
      <c r="A55068" s="0" t="s">
        <v>18968</v>
      </c>
      <c r="B55068" s="0" t="str">
        <f aca="false">HYPERLINK("https://lindat.mff.cuni.cz/services/teitok/pdtc10/index.php?action=vallex&amp;frame=v-w7803f1", "vybuchnout (v-w7803f1)")</f>
        <v>vybuchnout (v-w7803f1)</v>
      </c>
      <c r="E55068" s="0" t="str">
        <f aca="false">HYPERLINK("https://lindat.mff.cuni.cz/services/SynSemClass40/SynSemClass40.html?veclass=vec00018#vec00018-ces-cm00003", "vec00018")</f>
        <v>vec00018</v>
      </c>
      <c r="F55068" s="0" t="s">
        <v>2155</v>
      </c>
    </row>
    <row r="55069" customFormat="false" ht="12.8" hidden="false" customHeight="false" outlineLevel="0" collapsed="false">
      <c r="B55069" s="0" t="s">
        <v>1</v>
      </c>
      <c r="C55069" s="0" t="s">
        <v>2157</v>
      </c>
      <c r="E55069" s="0" t="s">
        <v>2158</v>
      </c>
      <c r="F55069" s="0" t="s">
        <v>2159</v>
      </c>
    </row>
    <row r="55071" customFormat="false" ht="12.8" hidden="false" customHeight="false" outlineLevel="0" collapsed="false">
      <c r="A55071" s="0" t="s">
        <v>18969</v>
      </c>
      <c r="B55071" s="0" t="str">
        <f aca="false">HYPERLINK("https://lindat.mff.cuni.cz/services/teitok/pdtc10/index.php?action=vallex&amp;frame=v-w7803hsa_764", "vybuchnout (v-w7803hsa_764)")</f>
        <v>vybuchnout (v-w7803hsa_764)</v>
      </c>
    </row>
    <row r="55072" customFormat="false" ht="12.8" hidden="false" customHeight="false" outlineLevel="0" collapsed="false">
      <c r="B55072" s="0" t="s">
        <v>1</v>
      </c>
    </row>
    <row r="55073" customFormat="false" ht="12.8" hidden="false" customHeight="false" outlineLevel="0" collapsed="false">
      <c r="B55073" s="0" t="s">
        <v>14422</v>
      </c>
    </row>
    <row r="55074" customFormat="false" ht="12.8" hidden="false" customHeight="false" outlineLevel="0" collapsed="false">
      <c r="B55074" s="0" t="s">
        <v>4688</v>
      </c>
    </row>
    <row r="55076" customFormat="false" ht="12.8" hidden="false" customHeight="false" outlineLevel="0" collapsed="false">
      <c r="A55076" s="0" t="s">
        <v>18970</v>
      </c>
      <c r="B55076" s="0" t="str">
        <f aca="false">HYPERLINK("https://lindat.mff.cuni.cz/services/teitok/pdtc10/index.php?action=vallex&amp;frame=v-w7803f3_ZU", "vybuchnout (v-w7803f3_ZU)")</f>
        <v>vybuchnout (v-w7803f3_ZU)</v>
      </c>
    </row>
    <row r="55077" customFormat="false" ht="12.8" hidden="false" customHeight="false" outlineLevel="0" collapsed="false">
      <c r="B55077" s="0" t="s">
        <v>1</v>
      </c>
    </row>
    <row r="55078" customFormat="false" ht="12.8" hidden="false" customHeight="false" outlineLevel="0" collapsed="false">
      <c r="B55078" s="0" t="s">
        <v>18971</v>
      </c>
    </row>
    <row r="55080" customFormat="false" ht="12.8" hidden="false" customHeight="false" outlineLevel="0" collapsed="false">
      <c r="A55080" s="0" t="s">
        <v>18970</v>
      </c>
      <c r="B55080" s="0" t="str">
        <f aca="false">HYPERLINK("https://lindat.mff.cuni.cz/services/teitok/pdtc10/index.php?action=vallex&amp;frame=v-w7803f2_ZU", "vybuchnout (v-w7803f2_ZU) - substituted with v-w7803f3_ZU")</f>
        <v>vybuchnout (v-w7803f2_ZU) - substituted with v-w7803f3_ZU</v>
      </c>
    </row>
    <row r="55081" customFormat="false" ht="12.8" hidden="false" customHeight="false" outlineLevel="0" collapsed="false">
      <c r="B55081" s="0" t="s">
        <v>1</v>
      </c>
    </row>
    <row r="55082" customFormat="false" ht="12.8" hidden="false" customHeight="false" outlineLevel="0" collapsed="false">
      <c r="B55082" s="0" t="s">
        <v>18971</v>
      </c>
    </row>
    <row r="55084" customFormat="false" ht="12.8" hidden="false" customHeight="false" outlineLevel="0" collapsed="false">
      <c r="A55084" s="0" t="s">
        <v>18970</v>
      </c>
      <c r="B55084" s="0" t="str">
        <f aca="false">HYPERLINK("https://lindat.mff.cuni.cz/services/teitok/pdtc10/index.php?action=vallex&amp;frame=v-w7803hsa_654", "vybuchnout (v-w7803hsa_654) - substituted with v-w7803f3_ZU")</f>
        <v>vybuchnout (v-w7803hsa_654) - substituted with v-w7803f3_ZU</v>
      </c>
    </row>
    <row r="55085" customFormat="false" ht="12.8" hidden="false" customHeight="false" outlineLevel="0" collapsed="false">
      <c r="B55085" s="0" t="s">
        <v>1</v>
      </c>
    </row>
    <row r="55086" customFormat="false" ht="12.8" hidden="false" customHeight="false" outlineLevel="0" collapsed="false">
      <c r="B55086" s="0" t="s">
        <v>18971</v>
      </c>
    </row>
    <row r="55088" customFormat="false" ht="12.8" hidden="false" customHeight="false" outlineLevel="0" collapsed="false">
      <c r="A55088" s="0" t="s">
        <v>18972</v>
      </c>
      <c r="B55088" s="0" t="str">
        <f aca="false">HYPERLINK("https://lindat.mff.cuni.cz/services/teitok/pdtc10/index.php?action=vallex&amp;frame=v-w10653f2", "vybuchovat (v-w10653f2)")</f>
        <v>vybuchovat (v-w10653f2)</v>
      </c>
    </row>
    <row r="55089" customFormat="false" ht="12.8" hidden="false" customHeight="false" outlineLevel="0" collapsed="false">
      <c r="B55089" s="0" t="s">
        <v>1</v>
      </c>
    </row>
    <row r="55091" customFormat="false" ht="12.8" hidden="false" customHeight="false" outlineLevel="0" collapsed="false">
      <c r="A55091" s="0" t="s">
        <v>18973</v>
      </c>
      <c r="B55091" s="0" t="str">
        <f aca="false">HYPERLINK("https://lindat.mff.cuni.cz/services/teitok/pdtc10/index.php?action=vallex&amp;frame=v-w10852f2", "vybudit (v-w10852f2)")</f>
        <v>vybudit (v-w10852f2)</v>
      </c>
    </row>
    <row r="55092" customFormat="false" ht="12.8" hidden="false" customHeight="false" outlineLevel="0" collapsed="false">
      <c r="B55092" s="0" t="s">
        <v>1</v>
      </c>
    </row>
    <row r="55093" customFormat="false" ht="12.8" hidden="false" customHeight="false" outlineLevel="0" collapsed="false">
      <c r="B55093" s="0" t="s">
        <v>8</v>
      </c>
    </row>
    <row r="55094" customFormat="false" ht="12.8" hidden="false" customHeight="false" outlineLevel="0" collapsed="false">
      <c r="B55094" s="0" t="s">
        <v>36</v>
      </c>
    </row>
    <row r="55096" customFormat="false" ht="12.8" hidden="false" customHeight="false" outlineLevel="0" collapsed="false">
      <c r="A55096" s="0" t="s">
        <v>18974</v>
      </c>
      <c r="B55096" s="0" t="str">
        <f aca="false">HYPERLINK("https://lindat.mff.cuni.cz/services/teitok/pdtc10/index.php?action=vallex&amp;frame=v-w7801f2", "vybudovat (v-w7801f2)")</f>
        <v>vybudovat (v-w7801f2)</v>
      </c>
      <c r="E55096" s="0" t="str">
        <f aca="false">HYPERLINK("https://lindat.mff.cuni.cz/services/SynSemClass40/SynSemClass40.html?veclass=vec00179#vec00179-ces-cm00150", "vec00179")</f>
        <v>vec00179</v>
      </c>
      <c r="F55096" s="0" t="s">
        <v>779</v>
      </c>
      <c r="H55096" s="0" t="str">
        <f aca="false">HYPERLINK("https://lindat.mff.cuni.cz/services/SynSemClass40/SynSemClass40.html?veclass=vec01118#vec01118-ces-cm00024", "vec01118")</f>
        <v>vec01118</v>
      </c>
      <c r="I55096" s="0" t="s">
        <v>766</v>
      </c>
    </row>
    <row r="55097" customFormat="false" ht="12.8" hidden="false" customHeight="false" outlineLevel="0" collapsed="false">
      <c r="B55097" s="0" t="s">
        <v>1</v>
      </c>
      <c r="C55097" s="0" t="s">
        <v>18975</v>
      </c>
      <c r="E55097" s="0" t="s">
        <v>768</v>
      </c>
      <c r="F55097" s="0" t="s">
        <v>782</v>
      </c>
      <c r="H55097" s="0" t="s">
        <v>768</v>
      </c>
      <c r="I55097" s="0" t="s">
        <v>769</v>
      </c>
    </row>
    <row r="55098" customFormat="false" ht="12.8" hidden="false" customHeight="false" outlineLevel="0" collapsed="false">
      <c r="B55098" s="0" t="s">
        <v>8</v>
      </c>
      <c r="C55098" s="0" t="s">
        <v>18976</v>
      </c>
      <c r="E55098" s="0" t="s">
        <v>771</v>
      </c>
      <c r="F55098" s="0" t="s">
        <v>785</v>
      </c>
      <c r="H55098" s="0" t="s">
        <v>771</v>
      </c>
      <c r="I55098" s="0" t="s">
        <v>772</v>
      </c>
    </row>
    <row r="55099" customFormat="false" ht="12.8" hidden="false" customHeight="false" outlineLevel="0" collapsed="false">
      <c r="B55099" s="0" t="s">
        <v>773</v>
      </c>
      <c r="C55099" s="0" t="s">
        <v>18977</v>
      </c>
      <c r="E55099" s="0" t="s">
        <v>787</v>
      </c>
      <c r="F55099" s="0" t="s">
        <v>789</v>
      </c>
      <c r="H55099" s="0" t="s">
        <v>775</v>
      </c>
      <c r="I55099" s="0" t="s">
        <v>776</v>
      </c>
    </row>
    <row r="55101" customFormat="false" ht="12.8" hidden="false" customHeight="false" outlineLevel="0" collapsed="false">
      <c r="A55101" s="0" t="s">
        <v>18978</v>
      </c>
      <c r="B55101" s="0" t="str">
        <f aca="false">HYPERLINK("https://lindat.mff.cuni.cz/services/teitok/pdtc10/index.php?action=vallex&amp;frame=v-w7801f1", "vybudovat (v-w7801f1)")</f>
        <v>vybudovat (v-w7801f1)</v>
      </c>
      <c r="E55101" s="0" t="str">
        <f aca="false">HYPERLINK("https://lindat.mff.cuni.cz/services/SynSemClass40/SynSemClass40.html?veclass=vec00084#vec00084-ces-cm00056", "vec00084")</f>
        <v>vec00084</v>
      </c>
      <c r="F55101" s="0" t="s">
        <v>778</v>
      </c>
      <c r="H55101" s="0" t="str">
        <f aca="false">HYPERLINK("https://lindat.mff.cuni.cz/services/SynSemClass40/SynSemClass40.html?veclass=vec00179#vec00179-ces-cm00054", "vec00179")</f>
        <v>vec00179</v>
      </c>
      <c r="I55101" s="0" t="s">
        <v>779</v>
      </c>
    </row>
    <row r="55102" customFormat="false" ht="12.8" hidden="false" customHeight="false" outlineLevel="0" collapsed="false">
      <c r="B55102" s="0" t="s">
        <v>1</v>
      </c>
      <c r="C55102" s="0" t="s">
        <v>780</v>
      </c>
      <c r="E55102" s="0" t="s">
        <v>31</v>
      </c>
      <c r="F55102" s="0" t="s">
        <v>781</v>
      </c>
      <c r="H55102" s="0" t="s">
        <v>768</v>
      </c>
      <c r="I55102" s="0" t="s">
        <v>782</v>
      </c>
    </row>
    <row r="55103" customFormat="false" ht="12.8" hidden="false" customHeight="false" outlineLevel="0" collapsed="false">
      <c r="B55103" s="0" t="s">
        <v>8</v>
      </c>
      <c r="C55103" s="0" t="s">
        <v>783</v>
      </c>
      <c r="E55103" s="0" t="s">
        <v>771</v>
      </c>
      <c r="F55103" s="0" t="s">
        <v>784</v>
      </c>
      <c r="H55103" s="0" t="s">
        <v>771</v>
      </c>
      <c r="I55103" s="0" t="s">
        <v>785</v>
      </c>
    </row>
    <row r="55104" customFormat="false" ht="12.8" hidden="false" customHeight="false" outlineLevel="0" collapsed="false">
      <c r="B55104" s="0" t="s">
        <v>36</v>
      </c>
      <c r="C55104" s="0" t="s">
        <v>786</v>
      </c>
      <c r="E55104" s="0" t="s">
        <v>787</v>
      </c>
      <c r="F55104" s="0" t="s">
        <v>788</v>
      </c>
      <c r="H55104" s="0" t="s">
        <v>787</v>
      </c>
      <c r="I55104" s="0" t="s">
        <v>789</v>
      </c>
    </row>
    <row r="55106" customFormat="false" ht="12.8" hidden="false" customHeight="false" outlineLevel="0" collapsed="false">
      <c r="A55106" s="0" t="s">
        <v>18979</v>
      </c>
      <c r="B55106" s="0" t="str">
        <f aca="false">HYPERLINK("https://lindat.mff.cuni.cz/services/teitok/pdtc10/index.php?action=vallex&amp;frame=v-w7804f1", "vybujet (v-w7804f1)")</f>
        <v>vybujet (v-w7804f1)</v>
      </c>
      <c r="E55106" s="0" t="str">
        <f aca="false">HYPERLINK("https://lindat.mff.cuni.cz/services/SynSemClass40/SynSemClass40.html?veclass=vec00197#vec00197-ces-cm00016", "vec00197")</f>
        <v>vec00197</v>
      </c>
      <c r="F55106" s="0" t="s">
        <v>14862</v>
      </c>
    </row>
    <row r="55107" customFormat="false" ht="12.8" hidden="false" customHeight="false" outlineLevel="0" collapsed="false">
      <c r="B55107" s="0" t="s">
        <v>1</v>
      </c>
      <c r="C55107" s="0" t="s">
        <v>1507</v>
      </c>
      <c r="E55107" s="0" t="s">
        <v>957</v>
      </c>
      <c r="F55107" s="0" t="s">
        <v>10263</v>
      </c>
    </row>
    <row r="55109" customFormat="false" ht="12.8" hidden="false" customHeight="false" outlineLevel="0" collapsed="false">
      <c r="A55109" s="0" t="s">
        <v>18980</v>
      </c>
      <c r="B55109" s="0" t="str">
        <f aca="false">HYPERLINK("https://lindat.mff.cuni.cz/services/teitok/pdtc10/index.php?action=vallex&amp;frame=v-w7805hsa_840", "vyburcovat (v-w7805hsa_840)")</f>
        <v>vyburcovat (v-w7805hsa_840)</v>
      </c>
      <c r="E55109" s="0" t="str">
        <f aca="false">HYPERLINK("https://lindat.mff.cuni.cz/services/SynSemClass40/SynSemClass40.html?veclass=vec00098#vec00098-ces-cm00147", "vec00098")</f>
        <v>vec00098</v>
      </c>
      <c r="F55109" s="0" t="s">
        <v>2500</v>
      </c>
      <c r="H55109" s="0" t="str">
        <f aca="false">HYPERLINK("https://lindat.mff.cuni.cz/services/SynSemClass40/SynSemClass40.html?veclass=vec00361#vec00361-ces-cm00085", "vec00361")</f>
        <v>vec00361</v>
      </c>
      <c r="I55109" s="0" t="s">
        <v>7548</v>
      </c>
    </row>
    <row r="55110" customFormat="false" ht="12.8" hidden="false" customHeight="false" outlineLevel="0" collapsed="false">
      <c r="B55110" s="0" t="s">
        <v>1</v>
      </c>
      <c r="C55110" s="0" t="s">
        <v>18981</v>
      </c>
      <c r="E55110" s="0" t="s">
        <v>1665</v>
      </c>
      <c r="F55110" s="0" t="s">
        <v>2502</v>
      </c>
      <c r="H55110" s="0" t="s">
        <v>31</v>
      </c>
      <c r="I55110" s="0" t="s">
        <v>7550</v>
      </c>
    </row>
    <row r="55111" customFormat="false" ht="12.8" hidden="false" customHeight="false" outlineLevel="0" collapsed="false">
      <c r="B55111" s="0" t="s">
        <v>8</v>
      </c>
      <c r="C55111" s="0" t="s">
        <v>18982</v>
      </c>
      <c r="E55111" s="0" t="s">
        <v>142</v>
      </c>
      <c r="F55111" s="0" t="s">
        <v>18983</v>
      </c>
      <c r="H55111" s="0" t="s">
        <v>3002</v>
      </c>
      <c r="I55111" s="0" t="s">
        <v>7552</v>
      </c>
    </row>
    <row r="55112" customFormat="false" ht="12.8" hidden="false" customHeight="false" outlineLevel="0" collapsed="false">
      <c r="B55112" s="0" t="s">
        <v>36</v>
      </c>
    </row>
    <row r="55113" customFormat="false" ht="12.8" hidden="false" customHeight="false" outlineLevel="0" collapsed="false">
      <c r="B55113" s="0" t="s">
        <v>2594</v>
      </c>
      <c r="C55113" s="0" t="s">
        <v>18984</v>
      </c>
      <c r="E55113" s="0" t="s">
        <v>3446</v>
      </c>
      <c r="F55113" s="0" t="s">
        <v>18985</v>
      </c>
      <c r="H55113" s="0" t="s">
        <v>1736</v>
      </c>
      <c r="I55113" s="0" t="s">
        <v>18986</v>
      </c>
    </row>
    <row r="55115" customFormat="false" ht="12.8" hidden="false" customHeight="false" outlineLevel="0" collapsed="false">
      <c r="A55115" s="0" t="s">
        <v>18980</v>
      </c>
      <c r="B55115" s="0" t="str">
        <f aca="false">HYPERLINK("https://lindat.mff.cuni.cz/services/teitok/pdtc10/index.php?action=vallex&amp;frame=v-w7805f1", "vyburcovat (v-w7805f1) - substituted with v-w7805hsa_840")</f>
        <v>vyburcovat (v-w7805f1) - substituted with v-w7805hsa_840</v>
      </c>
    </row>
    <row r="55116" customFormat="false" ht="12.8" hidden="false" customHeight="false" outlineLevel="0" collapsed="false">
      <c r="B55116" s="0" t="s">
        <v>1</v>
      </c>
    </row>
    <row r="55117" customFormat="false" ht="12.8" hidden="false" customHeight="false" outlineLevel="0" collapsed="false">
      <c r="B55117" s="0" t="s">
        <v>8</v>
      </c>
    </row>
    <row r="55118" customFormat="false" ht="12.8" hidden="false" customHeight="false" outlineLevel="0" collapsed="false">
      <c r="B55118" s="0" t="s">
        <v>36</v>
      </c>
    </row>
    <row r="55119" customFormat="false" ht="12.8" hidden="false" customHeight="false" outlineLevel="0" collapsed="false">
      <c r="B55119" s="0" t="s">
        <v>2594</v>
      </c>
    </row>
    <row r="55121" customFormat="false" ht="12.8" hidden="false" customHeight="false" outlineLevel="0" collapsed="false">
      <c r="A55121" s="0" t="s">
        <v>18987</v>
      </c>
      <c r="B55121" s="0" t="str">
        <f aca="false">HYPERLINK("https://lindat.mff.cuni.cz/services/teitok/pdtc10/index.php?action=vallex&amp;frame=v-w7778f1", "vybídnout (v-w7778f1)")</f>
        <v>vybídnout (v-w7778f1)</v>
      </c>
      <c r="E55121" s="0" t="str">
        <f aca="false">HYPERLINK("https://lindat.mff.cuni.cz/services/SynSemClass40/SynSemClass40.html?veclass=vec00361#vec00361-ces-cm00039", "vec00361")</f>
        <v>vec00361</v>
      </c>
      <c r="F55121" s="0" t="s">
        <v>7548</v>
      </c>
    </row>
    <row r="55122" customFormat="false" ht="12.8" hidden="false" customHeight="false" outlineLevel="0" collapsed="false">
      <c r="B55122" s="0" t="s">
        <v>1</v>
      </c>
      <c r="C55122" s="0" t="s">
        <v>4725</v>
      </c>
      <c r="E55122" s="0" t="s">
        <v>31</v>
      </c>
      <c r="F55122" s="0" t="s">
        <v>7550</v>
      </c>
    </row>
    <row r="55123" customFormat="false" ht="12.8" hidden="false" customHeight="false" outlineLevel="0" collapsed="false">
      <c r="B55123" s="0" t="s">
        <v>3017</v>
      </c>
      <c r="C55123" s="0" t="s">
        <v>10612</v>
      </c>
      <c r="E55123" s="0" t="s">
        <v>523</v>
      </c>
      <c r="F55123" s="0" t="s">
        <v>10613</v>
      </c>
    </row>
    <row r="55124" customFormat="false" ht="12.8" hidden="false" customHeight="false" outlineLevel="0" collapsed="false">
      <c r="B55124" s="0" t="s">
        <v>98</v>
      </c>
      <c r="C55124" s="0" t="s">
        <v>10614</v>
      </c>
      <c r="E55124" s="0" t="s">
        <v>564</v>
      </c>
      <c r="F55124" s="0" t="s">
        <v>10615</v>
      </c>
    </row>
    <row r="55126" customFormat="false" ht="12.8" hidden="false" customHeight="false" outlineLevel="0" collapsed="false">
      <c r="A55126" s="0" t="s">
        <v>18988</v>
      </c>
      <c r="B55126" s="0" t="str">
        <f aca="false">HYPERLINK("https://lindat.mff.cuni.cz/services/teitok/pdtc10/index.php?action=vallex&amp;frame=v-w11062f3", "vybíhat (v-w11062f3)")</f>
        <v>vybíhat (v-w11062f3)</v>
      </c>
    </row>
    <row r="55127" customFormat="false" ht="12.8" hidden="false" customHeight="false" outlineLevel="0" collapsed="false">
      <c r="B55127" s="0" t="s">
        <v>1</v>
      </c>
    </row>
    <row r="55128" customFormat="false" ht="12.8" hidden="false" customHeight="false" outlineLevel="0" collapsed="false">
      <c r="B55128" s="0" t="s">
        <v>631</v>
      </c>
    </row>
    <row r="55130" customFormat="false" ht="12.8" hidden="false" customHeight="false" outlineLevel="0" collapsed="false">
      <c r="A55130" s="0" t="s">
        <v>18989</v>
      </c>
      <c r="B55130" s="0" t="str">
        <f aca="false">HYPERLINK("https://lindat.mff.cuni.cz/services/teitok/pdtc10/index.php?action=vallex&amp;frame=v-w11062f2", "vybíhat (v-w11062f2)")</f>
        <v>vybíhat (v-w11062f2)</v>
      </c>
    </row>
    <row r="55131" customFormat="false" ht="12.8" hidden="false" customHeight="false" outlineLevel="0" collapsed="false">
      <c r="B55131" s="0" t="s">
        <v>1</v>
      </c>
    </row>
    <row r="55132" customFormat="false" ht="12.8" hidden="false" customHeight="false" outlineLevel="0" collapsed="false">
      <c r="B55132" s="0" t="s">
        <v>631</v>
      </c>
    </row>
    <row r="55134" customFormat="false" ht="12.8" hidden="false" customHeight="false" outlineLevel="0" collapsed="false">
      <c r="A55134" s="0" t="s">
        <v>18990</v>
      </c>
      <c r="B55134" s="0" t="str">
        <f aca="false">HYPERLINK("https://lindat.mff.cuni.cz/services/teitok/pdtc10/index.php?action=vallex&amp;frame=v-w11062hsa_1150", "vybíhat (v-w11062hsa_1150)")</f>
        <v>vybíhat (v-w11062hsa_1150)</v>
      </c>
    </row>
    <row r="55135" customFormat="false" ht="12.8" hidden="false" customHeight="false" outlineLevel="0" collapsed="false">
      <c r="B55135" s="0" t="s">
        <v>1</v>
      </c>
    </row>
    <row r="55136" customFormat="false" ht="12.8" hidden="false" customHeight="false" outlineLevel="0" collapsed="false">
      <c r="B55136" s="0" t="s">
        <v>8</v>
      </c>
    </row>
    <row r="55138" customFormat="false" ht="12.8" hidden="false" customHeight="false" outlineLevel="0" collapsed="false">
      <c r="A55138" s="0" t="s">
        <v>18991</v>
      </c>
      <c r="B55138" s="0" t="str">
        <f aca="false">HYPERLINK("https://lindat.mff.cuni.cz/services/teitok/pdtc10/index.php?action=vallex&amp;frame=v-w7780f1", "vybíjet (v-w7780f1)")</f>
        <v>vybíjet (v-w7780f1)</v>
      </c>
    </row>
    <row r="55139" customFormat="false" ht="12.8" hidden="false" customHeight="false" outlineLevel="0" collapsed="false">
      <c r="B55139" s="0" t="s">
        <v>1</v>
      </c>
    </row>
    <row r="55140" customFormat="false" ht="12.8" hidden="false" customHeight="false" outlineLevel="0" collapsed="false">
      <c r="B55140" s="0" t="s">
        <v>8</v>
      </c>
    </row>
    <row r="55142" customFormat="false" ht="12.8" hidden="false" customHeight="false" outlineLevel="0" collapsed="false">
      <c r="A55142" s="0" t="s">
        <v>18992</v>
      </c>
      <c r="B55142" s="0" t="str">
        <f aca="false">HYPERLINK("https://lindat.mff.cuni.cz/services/teitok/pdtc10/index.php?action=vallex&amp;frame=v-w7780f2_ZU", "vybíjet (v-w7780f2_ZU)")</f>
        <v>vybíjet (v-w7780f2_ZU)</v>
      </c>
    </row>
    <row r="55143" customFormat="false" ht="12.8" hidden="false" customHeight="false" outlineLevel="0" collapsed="false">
      <c r="B55143" s="0" t="s">
        <v>1</v>
      </c>
    </row>
    <row r="55144" customFormat="false" ht="12.8" hidden="false" customHeight="false" outlineLevel="0" collapsed="false">
      <c r="B55144" s="0" t="s">
        <v>8</v>
      </c>
    </row>
    <row r="55146" customFormat="false" ht="12.8" hidden="false" customHeight="false" outlineLevel="0" collapsed="false">
      <c r="A55146" s="0" t="s">
        <v>18993</v>
      </c>
      <c r="B55146" s="0" t="str">
        <f aca="false">HYPERLINK("https://lindat.mff.cuni.cz/services/teitok/pdtc10/index.php?action=vallex&amp;frame=v-w10314f2", "vybílit (v-w10314f2)")</f>
        <v>vybílit (v-w10314f2)</v>
      </c>
    </row>
    <row r="55147" customFormat="false" ht="12.8" hidden="false" customHeight="false" outlineLevel="0" collapsed="false">
      <c r="B55147" s="0" t="s">
        <v>1</v>
      </c>
    </row>
    <row r="55148" customFormat="false" ht="12.8" hidden="false" customHeight="false" outlineLevel="0" collapsed="false">
      <c r="B55148" s="0" t="s">
        <v>8</v>
      </c>
    </row>
    <row r="55150" customFormat="false" ht="12.8" hidden="false" customHeight="false" outlineLevel="0" collapsed="false">
      <c r="A55150" s="0" t="s">
        <v>18994</v>
      </c>
      <c r="B55150" s="0" t="str">
        <f aca="false">HYPERLINK("https://lindat.mff.cuni.cz/services/teitok/pdtc10/index.php?action=vallex&amp;frame=v-w7782f4_ZU", "vybírat (v-w7782f4_ZU)")</f>
        <v>vybírat (v-w7782f4_ZU)</v>
      </c>
      <c r="E55150" s="0" t="str">
        <f aca="false">HYPERLINK("https://lindat.mff.cuni.cz/services/SynSemClass40/SynSemClass40.html?veclass=vec00106#vec00106-ces-cm00050", "vec00106")</f>
        <v>vec00106</v>
      </c>
      <c r="F55150" s="0" t="s">
        <v>15055</v>
      </c>
    </row>
    <row r="55151" customFormat="false" ht="12.8" hidden="false" customHeight="false" outlineLevel="0" collapsed="false">
      <c r="B55151" s="0" t="s">
        <v>1</v>
      </c>
      <c r="C55151" s="0" t="s">
        <v>15056</v>
      </c>
      <c r="E55151" s="0" t="s">
        <v>621</v>
      </c>
      <c r="F55151" s="0" t="s">
        <v>15057</v>
      </c>
    </row>
    <row r="55152" customFormat="false" ht="12.8" hidden="false" customHeight="false" outlineLevel="0" collapsed="false">
      <c r="B55152" s="0" t="s">
        <v>305</v>
      </c>
      <c r="C55152" s="0" t="s">
        <v>15058</v>
      </c>
      <c r="E55152" s="0" t="s">
        <v>4297</v>
      </c>
      <c r="F55152" s="0" t="s">
        <v>15059</v>
      </c>
    </row>
    <row r="55153" customFormat="false" ht="12.8" hidden="false" customHeight="false" outlineLevel="0" collapsed="false">
      <c r="B55153" s="0" t="s">
        <v>15060</v>
      </c>
      <c r="C55153" s="0" t="s">
        <v>15061</v>
      </c>
      <c r="E55153" s="0" t="s">
        <v>15062</v>
      </c>
      <c r="F55153" s="0" t="s">
        <v>15063</v>
      </c>
    </row>
    <row r="55154" customFormat="false" ht="12.8" hidden="false" customHeight="false" outlineLevel="0" collapsed="false">
      <c r="B55154" s="0" t="s">
        <v>723</v>
      </c>
    </row>
    <row r="55156" customFormat="false" ht="12.8" hidden="false" customHeight="false" outlineLevel="0" collapsed="false">
      <c r="A55156" s="0" t="s">
        <v>18994</v>
      </c>
      <c r="B55156" s="0" t="str">
        <f aca="false">HYPERLINK("https://lindat.mff.cuni.cz/services/teitok/pdtc10/index.php?action=vallex&amp;frame=v-w7782f1", "vybírat (v-w7782f1) - substituted with v-w7782f4_ZU")</f>
        <v>vybírat (v-w7782f1) - substituted with v-w7782f4_ZU</v>
      </c>
    </row>
    <row r="55157" customFormat="false" ht="12.8" hidden="false" customHeight="false" outlineLevel="0" collapsed="false">
      <c r="B55157" s="0" t="s">
        <v>1</v>
      </c>
    </row>
    <row r="55158" customFormat="false" ht="12.8" hidden="false" customHeight="false" outlineLevel="0" collapsed="false">
      <c r="B55158" s="0" t="s">
        <v>305</v>
      </c>
    </row>
    <row r="55159" customFormat="false" ht="12.8" hidden="false" customHeight="false" outlineLevel="0" collapsed="false">
      <c r="B55159" s="0" t="s">
        <v>15060</v>
      </c>
    </row>
    <row r="55160" customFormat="false" ht="12.8" hidden="false" customHeight="false" outlineLevel="0" collapsed="false">
      <c r="B55160" s="0" t="s">
        <v>723</v>
      </c>
    </row>
    <row r="55162" customFormat="false" ht="12.8" hidden="false" customHeight="false" outlineLevel="0" collapsed="false">
      <c r="A55162" s="0" t="s">
        <v>18995</v>
      </c>
      <c r="B55162" s="0" t="str">
        <f aca="false">HYPERLINK("https://lindat.mff.cuni.cz/services/teitok/pdtc10/index.php?action=vallex&amp;frame=v-w7782f2", "vybírat (v-w7782f2)")</f>
        <v>vybírat (v-w7782f2)</v>
      </c>
    </row>
    <row r="55163" customFormat="false" ht="12.8" hidden="false" customHeight="false" outlineLevel="0" collapsed="false">
      <c r="B55163" s="0" t="s">
        <v>1</v>
      </c>
    </row>
    <row r="55164" customFormat="false" ht="12.8" hidden="false" customHeight="false" outlineLevel="0" collapsed="false">
      <c r="B55164" s="0" t="s">
        <v>8</v>
      </c>
    </row>
    <row r="55165" customFormat="false" ht="12.8" hidden="false" customHeight="false" outlineLevel="0" collapsed="false">
      <c r="B55165" s="0" t="s">
        <v>602</v>
      </c>
    </row>
    <row r="55167" customFormat="false" ht="12.8" hidden="false" customHeight="false" outlineLevel="0" collapsed="false">
      <c r="A55167" s="0" t="s">
        <v>18996</v>
      </c>
      <c r="B55167" s="0" t="str">
        <f aca="false">HYPERLINK("https://lindat.mff.cuni.cz/services/teitok/pdtc10/index.php?action=vallex&amp;frame=v-w7782f3", "vybírat (v-w7782f3)")</f>
        <v>vybírat (v-w7782f3)</v>
      </c>
    </row>
    <row r="55168" customFormat="false" ht="12.8" hidden="false" customHeight="false" outlineLevel="0" collapsed="false">
      <c r="B55168" s="0" t="s">
        <v>1</v>
      </c>
    </row>
    <row r="55169" customFormat="false" ht="12.8" hidden="false" customHeight="false" outlineLevel="0" collapsed="false">
      <c r="B55169" s="0" t="s">
        <v>8</v>
      </c>
    </row>
    <row r="55170" customFormat="false" ht="12.8" hidden="false" customHeight="false" outlineLevel="0" collapsed="false">
      <c r="B55170" s="0" t="s">
        <v>631</v>
      </c>
    </row>
    <row r="55172" customFormat="false" ht="12.8" hidden="false" customHeight="false" outlineLevel="0" collapsed="false">
      <c r="A55172" s="0" t="s">
        <v>18997</v>
      </c>
      <c r="B55172" s="0" t="str">
        <f aca="false">HYPERLINK("https://lindat.mff.cuni.cz/services/teitok/pdtc10/index.php?action=vallex&amp;frame=v-w11050f2", "vybít (v-w11050f2)")</f>
        <v>vybít (v-w11050f2)</v>
      </c>
      <c r="E55172" s="0" t="str">
        <f aca="false">HYPERLINK("https://lindat.mff.cuni.cz/services/SynSemClass40/SynSemClass40.html?veclass=vec00389#vec00389-ces-cm00050", "vec00389")</f>
        <v>vec00389</v>
      </c>
      <c r="F55172" s="0" t="s">
        <v>1888</v>
      </c>
    </row>
    <row r="55173" customFormat="false" ht="12.8" hidden="false" customHeight="false" outlineLevel="0" collapsed="false">
      <c r="B55173" s="0" t="s">
        <v>1</v>
      </c>
      <c r="C55173" s="0" t="s">
        <v>1889</v>
      </c>
      <c r="E55173" s="0" t="s">
        <v>1890</v>
      </c>
      <c r="F55173" s="0" t="s">
        <v>1891</v>
      </c>
    </row>
    <row r="55174" customFormat="false" ht="12.8" hidden="false" customHeight="false" outlineLevel="0" collapsed="false">
      <c r="B55174" s="0" t="s">
        <v>8</v>
      </c>
      <c r="C55174" s="0" t="s">
        <v>1892</v>
      </c>
      <c r="E55174" s="0" t="s">
        <v>1893</v>
      </c>
      <c r="F55174" s="0" t="s">
        <v>1894</v>
      </c>
    </row>
    <row r="55176" customFormat="false" ht="12.8" hidden="false" customHeight="false" outlineLevel="0" collapsed="false">
      <c r="A55176" s="0" t="s">
        <v>18998</v>
      </c>
      <c r="B55176" s="0" t="str">
        <f aca="false">HYPERLINK("https://lindat.mff.cuni.cz/services/teitok/pdtc10/index.php?action=vallex&amp;frame=v-w11050f3_ZU", "vybít (v-w11050f3_ZU)")</f>
        <v>vybít (v-w11050f3_ZU)</v>
      </c>
    </row>
    <row r="55177" customFormat="false" ht="12.8" hidden="false" customHeight="false" outlineLevel="0" collapsed="false">
      <c r="B55177" s="0" t="s">
        <v>1</v>
      </c>
    </row>
    <row r="55178" customFormat="false" ht="12.8" hidden="false" customHeight="false" outlineLevel="0" collapsed="false">
      <c r="B55178" s="0" t="s">
        <v>8</v>
      </c>
    </row>
    <row r="55180" customFormat="false" ht="12.8" hidden="false" customHeight="false" outlineLevel="0" collapsed="false">
      <c r="A55180" s="0" t="s">
        <v>18999</v>
      </c>
      <c r="B55180" s="0" t="str">
        <f aca="false">HYPERLINK("https://lindat.mff.cuni.cz/services/teitok/pdtc10/index.php?action=vallex&amp;frame=v-w7783f1", "vybízet (v-w7783f1)")</f>
        <v>vybízet (v-w7783f1)</v>
      </c>
      <c r="E55180" s="0" t="str">
        <f aca="false">HYPERLINK("https://lindat.mff.cuni.cz/services/SynSemClass40/SynSemClass40.html?veclass=vec00361#vec00361-ces-cm00040", "vec00361")</f>
        <v>vec00361</v>
      </c>
      <c r="F55180" s="0" t="s">
        <v>7548</v>
      </c>
    </row>
    <row r="55181" customFormat="false" ht="12.8" hidden="false" customHeight="false" outlineLevel="0" collapsed="false">
      <c r="B55181" s="0" t="s">
        <v>1</v>
      </c>
      <c r="C55181" s="0" t="s">
        <v>4725</v>
      </c>
      <c r="E55181" s="0" t="s">
        <v>31</v>
      </c>
      <c r="F55181" s="0" t="s">
        <v>7550</v>
      </c>
    </row>
    <row r="55182" customFormat="false" ht="12.8" hidden="false" customHeight="false" outlineLevel="0" collapsed="false">
      <c r="B55182" s="0" t="s">
        <v>3017</v>
      </c>
      <c r="C55182" s="0" t="s">
        <v>10612</v>
      </c>
      <c r="E55182" s="0" t="s">
        <v>523</v>
      </c>
      <c r="F55182" s="0" t="s">
        <v>10613</v>
      </c>
    </row>
    <row r="55183" customFormat="false" ht="12.8" hidden="false" customHeight="false" outlineLevel="0" collapsed="false">
      <c r="B55183" s="0" t="s">
        <v>98</v>
      </c>
      <c r="C55183" s="0" t="s">
        <v>10614</v>
      </c>
      <c r="E55183" s="0" t="s">
        <v>564</v>
      </c>
      <c r="F55183" s="0" t="s">
        <v>10615</v>
      </c>
    </row>
    <row r="55185" customFormat="false" ht="12.8" hidden="false" customHeight="false" outlineLevel="0" collapsed="false">
      <c r="A55185" s="0" t="s">
        <v>19000</v>
      </c>
      <c r="B55185" s="0" t="str">
        <f aca="false">HYPERLINK("https://lindat.mff.cuni.cz/services/teitok/pdtc10/index.php?action=vallex&amp;frame=v-w7806f1", "vybýt (v-w7806f1)")</f>
        <v>vybýt (v-w7806f1)</v>
      </c>
    </row>
    <row r="55186" customFormat="false" ht="12.8" hidden="false" customHeight="false" outlineLevel="0" collapsed="false">
      <c r="B55186" s="0" t="s">
        <v>1</v>
      </c>
    </row>
    <row r="55187" customFormat="false" ht="12.8" hidden="false" customHeight="false" outlineLevel="0" collapsed="false">
      <c r="B55187" s="0" t="s">
        <v>69</v>
      </c>
    </row>
    <row r="55189" customFormat="false" ht="12.8" hidden="false" customHeight="false" outlineLevel="0" collapsed="false">
      <c r="A55189" s="0" t="s">
        <v>19001</v>
      </c>
      <c r="B55189" s="0" t="str">
        <f aca="false">HYPERLINK("https://lindat.mff.cuni.cz/services/teitok/pdtc10/index.php?action=vallex&amp;frame=v-w7773f2_ZU", "vyběhat (v-w7773f2_ZU)")</f>
        <v>vyběhat (v-w7773f2_ZU)</v>
      </c>
    </row>
    <row r="55190" customFormat="false" ht="12.8" hidden="false" customHeight="false" outlineLevel="0" collapsed="false">
      <c r="B55190" s="0" t="s">
        <v>1</v>
      </c>
    </row>
    <row r="55191" customFormat="false" ht="12.8" hidden="false" customHeight="false" outlineLevel="0" collapsed="false">
      <c r="B55191" s="0" t="s">
        <v>4687</v>
      </c>
    </row>
    <row r="55193" customFormat="false" ht="12.8" hidden="false" customHeight="false" outlineLevel="0" collapsed="false">
      <c r="A55193" s="0" t="s">
        <v>19001</v>
      </c>
      <c r="B55193" s="0" t="str">
        <f aca="false">HYPERLINK("https://lindat.mff.cuni.cz/services/teitok/pdtc10/index.php?action=vallex&amp;frame=v-w7773f1", "vyběhat (v-w7773f1) - substituted with v-w7773f2_ZU")</f>
        <v>vyběhat (v-w7773f1) - substituted with v-w7773f2_ZU</v>
      </c>
    </row>
    <row r="55194" customFormat="false" ht="12.8" hidden="false" customHeight="false" outlineLevel="0" collapsed="false">
      <c r="B55194" s="0" t="s">
        <v>1</v>
      </c>
    </row>
    <row r="55195" customFormat="false" ht="12.8" hidden="false" customHeight="false" outlineLevel="0" collapsed="false">
      <c r="B55195" s="0" t="s">
        <v>4687</v>
      </c>
    </row>
    <row r="55197" customFormat="false" ht="12.8" hidden="false" customHeight="false" outlineLevel="0" collapsed="false">
      <c r="A55197" s="0" t="s">
        <v>19002</v>
      </c>
      <c r="B55197" s="0" t="str">
        <f aca="false">HYPERLINK("https://lindat.mff.cuni.cz/services/teitok/pdtc10/index.php?action=vallex&amp;frame=v-w7773hsa_1627", "vyběhat (v-w7773hsa_1627)")</f>
        <v>vyběhat (v-w7773hsa_1627)</v>
      </c>
    </row>
    <row r="55198" customFormat="false" ht="12.8" hidden="false" customHeight="false" outlineLevel="0" collapsed="false">
      <c r="B55198" s="0" t="s">
        <v>1</v>
      </c>
    </row>
    <row r="55199" customFormat="false" ht="12.8" hidden="false" customHeight="false" outlineLevel="0" collapsed="false">
      <c r="B55199" s="0" t="s">
        <v>8</v>
      </c>
    </row>
    <row r="55201" customFormat="false" ht="12.8" hidden="false" customHeight="false" outlineLevel="0" collapsed="false">
      <c r="A55201" s="0" t="s">
        <v>19003</v>
      </c>
      <c r="B55201" s="0" t="str">
        <f aca="false">HYPERLINK("https://lindat.mff.cuni.cz/services/teitok/pdtc10/index.php?action=vallex&amp;frame=v-w7774f1", "vyběhnout (v-w7774f1)")</f>
        <v>vyběhnout (v-w7774f1)</v>
      </c>
      <c r="E55201" s="0" t="str">
        <f aca="false">HYPERLINK("https://lindat.mff.cuni.cz/services/SynSemClass40/SynSemClass40.html?veclass=vec00048#vec00048-ces-cm00198", "vec00048")</f>
        <v>vec00048</v>
      </c>
      <c r="F55201" s="0" t="s">
        <v>1945</v>
      </c>
    </row>
    <row r="55202" customFormat="false" ht="12.8" hidden="false" customHeight="false" outlineLevel="0" collapsed="false">
      <c r="B55202" s="0" t="s">
        <v>1</v>
      </c>
      <c r="C55202" s="0" t="s">
        <v>1946</v>
      </c>
      <c r="E55202" s="0" t="s">
        <v>334</v>
      </c>
      <c r="F55202" s="0" t="s">
        <v>1947</v>
      </c>
    </row>
    <row r="55203" customFormat="false" ht="12.8" hidden="false" customHeight="false" outlineLevel="0" collapsed="false">
      <c r="B55203" s="0" t="s">
        <v>631</v>
      </c>
      <c r="C55203" s="0" t="s">
        <v>1948</v>
      </c>
      <c r="E55203" s="0" t="s">
        <v>1949</v>
      </c>
      <c r="F55203" s="0" t="s">
        <v>1950</v>
      </c>
    </row>
    <row r="55205" customFormat="false" ht="12.8" hidden="false" customHeight="false" outlineLevel="0" collapsed="false">
      <c r="A55205" s="0" t="s">
        <v>19004</v>
      </c>
      <c r="B55205" s="0" t="str">
        <f aca="false">HYPERLINK("https://lindat.mff.cuni.cz/services/teitok/pdtc10/index.php?action=vallex&amp;frame=v-w7774hsa_334", "vyběhnout (v-w7774hsa_334)")</f>
        <v>vyběhnout (v-w7774hsa_334)</v>
      </c>
    </row>
    <row r="55206" customFormat="false" ht="12.8" hidden="false" customHeight="false" outlineLevel="0" collapsed="false">
      <c r="B55206" s="0" t="s">
        <v>1</v>
      </c>
    </row>
    <row r="55207" customFormat="false" ht="12.8" hidden="false" customHeight="false" outlineLevel="0" collapsed="false">
      <c r="B55207" s="0" t="s">
        <v>721</v>
      </c>
    </row>
    <row r="55209" customFormat="false" ht="12.8" hidden="false" customHeight="false" outlineLevel="0" collapsed="false">
      <c r="A55209" s="0" t="s">
        <v>19005</v>
      </c>
      <c r="B55209" s="0" t="str">
        <f aca="false">HYPERLINK("https://lindat.mff.cuni.cz/services/teitok/pdtc10/index.php?action=vallex&amp;frame=v-w7774hsa_252", "vyběhnout (v-w7774hsa_252)")</f>
        <v>vyběhnout (v-w7774hsa_252)</v>
      </c>
    </row>
    <row r="55210" customFormat="false" ht="12.8" hidden="false" customHeight="false" outlineLevel="0" collapsed="false">
      <c r="B55210" s="0" t="s">
        <v>1</v>
      </c>
    </row>
    <row r="55211" customFormat="false" ht="12.8" hidden="false" customHeight="false" outlineLevel="0" collapsed="false">
      <c r="B55211" s="0" t="s">
        <v>8</v>
      </c>
    </row>
    <row r="55213" customFormat="false" ht="12.8" hidden="false" customHeight="false" outlineLevel="0" collapsed="false">
      <c r="A55213" s="0" t="s">
        <v>19006</v>
      </c>
      <c r="B55213" s="0" t="str">
        <f aca="false">HYPERLINK("https://lindat.mff.cuni.cz/services/teitok/pdtc10/index.php?action=vallex&amp;frame=v-whsa_1004hsa_1005", "vycachtat se (v-whsa_1004hsa_1005)")</f>
        <v>vycachtat se (v-whsa_1004hsa_1005)</v>
      </c>
    </row>
    <row r="55214" customFormat="false" ht="12.8" hidden="false" customHeight="false" outlineLevel="0" collapsed="false">
      <c r="B55214" s="0" t="s">
        <v>1</v>
      </c>
    </row>
    <row r="55216" customFormat="false" ht="12.8" hidden="false" customHeight="false" outlineLevel="0" collapsed="false">
      <c r="A55216" s="0" t="s">
        <v>19007</v>
      </c>
      <c r="B55216" s="0" t="str">
        <f aca="false">HYPERLINK("https://lindat.mff.cuni.cz/services/teitok/pdtc10/index.php?action=vallex&amp;frame=v-w7807f1", "vycementovat (v-w7807f1)")</f>
        <v>vycementovat (v-w7807f1)</v>
      </c>
    </row>
    <row r="55217" customFormat="false" ht="12.8" hidden="false" customHeight="false" outlineLevel="0" collapsed="false">
      <c r="B55217" s="0" t="s">
        <v>1</v>
      </c>
    </row>
    <row r="55218" customFormat="false" ht="12.8" hidden="false" customHeight="false" outlineLevel="0" collapsed="false">
      <c r="B55218" s="0" t="s">
        <v>8</v>
      </c>
    </row>
    <row r="55220" customFormat="false" ht="12.8" hidden="false" customHeight="false" outlineLevel="0" collapsed="false">
      <c r="A55220" s="0" t="s">
        <v>19008</v>
      </c>
      <c r="B55220" s="0" t="str">
        <f aca="false">HYPERLINK("https://lindat.mff.cuni.cz/services/teitok/pdtc10/index.php?action=vallex&amp;frame=v-w7808f1", "vycestovat (v-w7808f1)")</f>
        <v>vycestovat (v-w7808f1)</v>
      </c>
    </row>
    <row r="55221" customFormat="false" ht="12.8" hidden="false" customHeight="false" outlineLevel="0" collapsed="false">
      <c r="B55221" s="0" t="s">
        <v>1</v>
      </c>
    </row>
    <row r="55222" customFormat="false" ht="12.8" hidden="false" customHeight="false" outlineLevel="0" collapsed="false">
      <c r="B55222" s="0" t="s">
        <v>631</v>
      </c>
    </row>
    <row r="55224" customFormat="false" ht="12.8" hidden="false" customHeight="false" outlineLevel="0" collapsed="false">
      <c r="A55224" s="0" t="s">
        <v>19009</v>
      </c>
      <c r="B55224" s="0" t="str">
        <f aca="false">HYPERLINK("https://lindat.mff.cuni.cz/services/teitok/pdtc10/index.php?action=vallex&amp;frame=v-whsa_474hsa_475", "vychladit (v-whsa_474hsa_475)")</f>
        <v>vychladit (v-whsa_474hsa_475)</v>
      </c>
    </row>
    <row r="55225" customFormat="false" ht="12.8" hidden="false" customHeight="false" outlineLevel="0" collapsed="false">
      <c r="B55225" s="0" t="s">
        <v>1</v>
      </c>
    </row>
    <row r="55226" customFormat="false" ht="12.8" hidden="false" customHeight="false" outlineLevel="0" collapsed="false">
      <c r="B55226" s="0" t="s">
        <v>8</v>
      </c>
    </row>
    <row r="55228" customFormat="false" ht="12.8" hidden="false" customHeight="false" outlineLevel="0" collapsed="false">
      <c r="A55228" s="0" t="s">
        <v>19010</v>
      </c>
      <c r="B55228" s="0" t="str">
        <f aca="false">HYPERLINK("https://lindat.mff.cuni.cz/services/teitok/pdtc10/index.php?action=vallex&amp;frame=v-w7952f1", "vychladnout (v-w7952f1)")</f>
        <v>vychladnout (v-w7952f1)</v>
      </c>
    </row>
    <row r="55229" customFormat="false" ht="12.8" hidden="false" customHeight="false" outlineLevel="0" collapsed="false">
      <c r="B55229" s="0" t="s">
        <v>1</v>
      </c>
    </row>
    <row r="55231" customFormat="false" ht="12.8" hidden="false" customHeight="false" outlineLevel="0" collapsed="false">
      <c r="A55231" s="0" t="s">
        <v>19011</v>
      </c>
      <c r="B55231" s="0" t="str">
        <f aca="false">HYPERLINK("https://lindat.mff.cuni.cz/services/teitok/pdtc10/index.php?action=vallex&amp;frame=v-w7952f2_ZU", "vychladnout (v-w7952f2_ZU)")</f>
        <v>vychladnout (v-w7952f2_ZU)</v>
      </c>
    </row>
    <row r="55232" customFormat="false" ht="12.8" hidden="false" customHeight="false" outlineLevel="0" collapsed="false">
      <c r="B55232" s="0" t="s">
        <v>1</v>
      </c>
    </row>
    <row r="55234" customFormat="false" ht="12.8" hidden="false" customHeight="false" outlineLevel="0" collapsed="false">
      <c r="A55234" s="0" t="s">
        <v>19012</v>
      </c>
      <c r="B55234" s="0" t="str">
        <f aca="false">HYPERLINK("https://lindat.mff.cuni.cz/services/teitok/pdtc10/index.php?action=vallex&amp;frame=v-w11337hsa_26", "vychloubat se (v-w11337hsa_26)")</f>
        <v>vychloubat se (v-w11337hsa_26)</v>
      </c>
      <c r="E55234" s="0" t="str">
        <f aca="false">HYPERLINK("https://lindat.mff.cuni.cz/services/SynSemClass40/SynSemClass40.html?veclass=vec00418#vec00418-ces-cm00008", "vec00418")</f>
        <v>vec00418</v>
      </c>
      <c r="F55234" s="0" t="s">
        <v>1385</v>
      </c>
    </row>
    <row r="55235" customFormat="false" ht="12.8" hidden="false" customHeight="false" outlineLevel="0" collapsed="false">
      <c r="B55235" s="0" t="s">
        <v>1</v>
      </c>
      <c r="C55235" s="0" t="s">
        <v>255</v>
      </c>
      <c r="E55235" s="0" t="s">
        <v>1386</v>
      </c>
      <c r="F55235" s="0" t="s">
        <v>1387</v>
      </c>
    </row>
    <row r="55236" customFormat="false" ht="12.8" hidden="false" customHeight="false" outlineLevel="0" collapsed="false">
      <c r="B55236" s="0" t="s">
        <v>4486</v>
      </c>
      <c r="C55236" s="0" t="s">
        <v>1388</v>
      </c>
      <c r="E55236" s="0" t="s">
        <v>1389</v>
      </c>
      <c r="F55236" s="0" t="s">
        <v>1390</v>
      </c>
    </row>
    <row r="55237" customFormat="false" ht="12.8" hidden="false" customHeight="false" outlineLevel="0" collapsed="false">
      <c r="B55237" s="0" t="s">
        <v>381</v>
      </c>
      <c r="C55237" s="0" t="s">
        <v>1391</v>
      </c>
      <c r="E55237" s="0" t="s">
        <v>1392</v>
      </c>
      <c r="F55237" s="0" t="s">
        <v>1393</v>
      </c>
    </row>
    <row r="55239" customFormat="false" ht="12.8" hidden="false" customHeight="false" outlineLevel="0" collapsed="false">
      <c r="A55239" s="0" t="s">
        <v>19012</v>
      </c>
      <c r="B55239" s="0" t="str">
        <f aca="false">HYPERLINK("https://lindat.mff.cuni.cz/services/teitok/pdtc10/index.php?action=vallex&amp;frame=v-w11337f1", "vychloubat se (v-w11337f1) - substituted with v-w11337hsa_26")</f>
        <v>vychloubat se (v-w11337f1) - substituted with v-w11337hsa_26</v>
      </c>
    </row>
    <row r="55240" customFormat="false" ht="12.8" hidden="false" customHeight="false" outlineLevel="0" collapsed="false">
      <c r="B55240" s="0" t="s">
        <v>1</v>
      </c>
    </row>
    <row r="55241" customFormat="false" ht="12.8" hidden="false" customHeight="false" outlineLevel="0" collapsed="false">
      <c r="B55241" s="0" t="s">
        <v>4486</v>
      </c>
    </row>
    <row r="55242" customFormat="false" ht="12.8" hidden="false" customHeight="false" outlineLevel="0" collapsed="false">
      <c r="B55242" s="0" t="s">
        <v>381</v>
      </c>
    </row>
    <row r="55244" customFormat="false" ht="12.8" hidden="false" customHeight="false" outlineLevel="0" collapsed="false">
      <c r="A55244" s="0" t="s">
        <v>19013</v>
      </c>
      <c r="B55244" s="0" t="str">
        <f aca="false">HYPERLINK("https://lindat.mff.cuni.cz/services/teitok/pdtc10/index.php?action=vallex&amp;frame=v-w7954f1", "vychodit (v-w7954f1)")</f>
        <v>vychodit (v-w7954f1)</v>
      </c>
    </row>
    <row r="55245" customFormat="false" ht="12.8" hidden="false" customHeight="false" outlineLevel="0" collapsed="false">
      <c r="B55245" s="0" t="s">
        <v>1</v>
      </c>
    </row>
    <row r="55246" customFormat="false" ht="12.8" hidden="false" customHeight="false" outlineLevel="0" collapsed="false">
      <c r="B55246" s="0" t="s">
        <v>8</v>
      </c>
    </row>
    <row r="55248" customFormat="false" ht="12.8" hidden="false" customHeight="false" outlineLevel="0" collapsed="false">
      <c r="A55248" s="0" t="s">
        <v>19014</v>
      </c>
      <c r="B55248" s="0" t="str">
        <f aca="false">HYPERLINK("https://lindat.mff.cuni.cz/services/teitok/pdtc10/index.php?action=vallex&amp;frame=v-w7956f2", "vychovat (v-w7956f2)")</f>
        <v>vychovat (v-w7956f2)</v>
      </c>
    </row>
    <row r="55249" customFormat="false" ht="12.8" hidden="false" customHeight="false" outlineLevel="0" collapsed="false">
      <c r="B55249" s="0" t="s">
        <v>1</v>
      </c>
    </row>
    <row r="55250" customFormat="false" ht="12.8" hidden="false" customHeight="false" outlineLevel="0" collapsed="false">
      <c r="B55250" s="0" t="s">
        <v>8</v>
      </c>
    </row>
    <row r="55251" customFormat="false" ht="12.8" hidden="false" customHeight="false" outlineLevel="0" collapsed="false">
      <c r="B55251" s="0" t="s">
        <v>36</v>
      </c>
    </row>
    <row r="55253" customFormat="false" ht="12.8" hidden="false" customHeight="false" outlineLevel="0" collapsed="false">
      <c r="A55253" s="0" t="s">
        <v>19015</v>
      </c>
      <c r="B55253" s="0" t="str">
        <f aca="false">HYPERLINK("https://lindat.mff.cuni.cz/services/teitok/pdtc10/index.php?action=vallex&amp;frame=v-w7956f1", "vychovat (v-w7956f1)")</f>
        <v>vychovat (v-w7956f1)</v>
      </c>
      <c r="E55253" s="0" t="str">
        <f aca="false">HYPERLINK("https://lindat.mff.cuni.cz/services/SynSemClass40/SynSemClass40.html?veclass=vec00763#vec00763-ces-cm00006", "vec00763")</f>
        <v>vec00763</v>
      </c>
      <c r="F55253" s="0" t="s">
        <v>19016</v>
      </c>
    </row>
    <row r="55254" customFormat="false" ht="12.8" hidden="false" customHeight="false" outlineLevel="0" collapsed="false">
      <c r="B55254" s="0" t="s">
        <v>1</v>
      </c>
      <c r="C55254" s="0" t="s">
        <v>19017</v>
      </c>
      <c r="E55254" s="0" t="s">
        <v>206</v>
      </c>
      <c r="F55254" s="0" t="s">
        <v>19018</v>
      </c>
    </row>
    <row r="55255" customFormat="false" ht="12.8" hidden="false" customHeight="false" outlineLevel="0" collapsed="false">
      <c r="B55255" s="0" t="s">
        <v>8</v>
      </c>
      <c r="C55255" s="0" t="s">
        <v>19019</v>
      </c>
      <c r="E55255" s="0" t="s">
        <v>3002</v>
      </c>
      <c r="F55255" s="0" t="s">
        <v>19020</v>
      </c>
    </row>
    <row r="55257" customFormat="false" ht="12.8" hidden="false" customHeight="false" outlineLevel="0" collapsed="false">
      <c r="A55257" s="0" t="s">
        <v>19021</v>
      </c>
      <c r="B55257" s="0" t="str">
        <f aca="false">HYPERLINK("https://lindat.mff.cuni.cz/services/teitok/pdtc10/index.php?action=vallex&amp;frame=v-w7958f2", "vychovávat (v-w7958f2)")</f>
        <v>vychovávat (v-w7958f2)</v>
      </c>
    </row>
    <row r="55258" customFormat="false" ht="12.8" hidden="false" customHeight="false" outlineLevel="0" collapsed="false">
      <c r="B55258" s="0" t="s">
        <v>1</v>
      </c>
    </row>
    <row r="55259" customFormat="false" ht="12.8" hidden="false" customHeight="false" outlineLevel="0" collapsed="false">
      <c r="B55259" s="0" t="s">
        <v>8</v>
      </c>
    </row>
    <row r="55260" customFormat="false" ht="12.8" hidden="false" customHeight="false" outlineLevel="0" collapsed="false">
      <c r="B55260" s="0" t="s">
        <v>36</v>
      </c>
    </row>
    <row r="55262" customFormat="false" ht="12.8" hidden="false" customHeight="false" outlineLevel="0" collapsed="false">
      <c r="A55262" s="0" t="s">
        <v>19022</v>
      </c>
      <c r="B55262" s="0" t="str">
        <f aca="false">HYPERLINK("https://lindat.mff.cuni.cz/services/teitok/pdtc10/index.php?action=vallex&amp;frame=v-w7958f1", "vychovávat (v-w7958f1)")</f>
        <v>vychovávat (v-w7958f1)</v>
      </c>
    </row>
    <row r="55263" customFormat="false" ht="12.8" hidden="false" customHeight="false" outlineLevel="0" collapsed="false">
      <c r="B55263" s="0" t="s">
        <v>1</v>
      </c>
    </row>
    <row r="55264" customFormat="false" ht="12.8" hidden="false" customHeight="false" outlineLevel="0" collapsed="false">
      <c r="B55264" s="0" t="s">
        <v>8</v>
      </c>
    </row>
    <row r="55266" customFormat="false" ht="12.8" hidden="false" customHeight="false" outlineLevel="0" collapsed="false">
      <c r="A55266" s="0" t="s">
        <v>19023</v>
      </c>
      <c r="B55266" s="0" t="str">
        <f aca="false">HYPERLINK("https://lindat.mff.cuni.cz/services/teitok/pdtc10/index.php?action=vallex&amp;frame=v-w7959f1", "vychrlit (v-w7959f1)")</f>
        <v>vychrlit (v-w7959f1)</v>
      </c>
    </row>
    <row r="55267" customFormat="false" ht="12.8" hidden="false" customHeight="false" outlineLevel="0" collapsed="false">
      <c r="B55267" s="0" t="s">
        <v>1</v>
      </c>
    </row>
    <row r="55268" customFormat="false" ht="12.8" hidden="false" customHeight="false" outlineLevel="0" collapsed="false">
      <c r="B55268" s="0" t="s">
        <v>4335</v>
      </c>
    </row>
    <row r="55269" customFormat="false" ht="12.8" hidden="false" customHeight="false" outlineLevel="0" collapsed="false">
      <c r="B55269" s="0" t="s">
        <v>4688</v>
      </c>
    </row>
    <row r="55271" customFormat="false" ht="12.8" hidden="false" customHeight="false" outlineLevel="0" collapsed="false">
      <c r="A55271" s="0" t="s">
        <v>19024</v>
      </c>
      <c r="B55271" s="0" t="str">
        <f aca="false">HYPERLINK("https://lindat.mff.cuni.cz/services/teitok/pdtc10/index.php?action=vallex&amp;frame=v-w7959f2_ZU", "vychrlit (v-w7959f2_ZU)")</f>
        <v>vychrlit (v-w7959f2_ZU)</v>
      </c>
    </row>
    <row r="55272" customFormat="false" ht="12.8" hidden="false" customHeight="false" outlineLevel="0" collapsed="false">
      <c r="B55272" s="0" t="s">
        <v>1</v>
      </c>
    </row>
    <row r="55273" customFormat="false" ht="12.8" hidden="false" customHeight="false" outlineLevel="0" collapsed="false">
      <c r="B55273" s="0" t="s">
        <v>8</v>
      </c>
    </row>
    <row r="55275" customFormat="false" ht="12.8" hidden="false" customHeight="false" outlineLevel="0" collapsed="false">
      <c r="A55275" s="0" t="s">
        <v>19025</v>
      </c>
      <c r="B55275" s="0" t="str">
        <f aca="false">HYPERLINK("https://lindat.mff.cuni.cz/services/teitok/pdtc10/index.php?action=vallex&amp;frame=v-w7960f1", "vychutnat (v-w7960f1)")</f>
        <v>vychutnat (v-w7960f1)</v>
      </c>
      <c r="E55275" s="0" t="str">
        <f aca="false">HYPERLINK("https://lindat.mff.cuni.cz/services/SynSemClass40/SynSemClass40.html?veclass=vec00742#vec00742-ces-cm00026", "vec00742")</f>
        <v>vec00742</v>
      </c>
      <c r="F55275" s="0" t="s">
        <v>2689</v>
      </c>
    </row>
    <row r="55276" customFormat="false" ht="12.8" hidden="false" customHeight="false" outlineLevel="0" collapsed="false">
      <c r="B55276" s="0" t="s">
        <v>1</v>
      </c>
      <c r="C55276" s="0" t="s">
        <v>2690</v>
      </c>
      <c r="E55276" s="0" t="s">
        <v>266</v>
      </c>
      <c r="F55276" s="0" t="s">
        <v>2691</v>
      </c>
    </row>
    <row r="55277" customFormat="false" ht="12.8" hidden="false" customHeight="false" outlineLevel="0" collapsed="false">
      <c r="B55277" s="0" t="s">
        <v>59</v>
      </c>
      <c r="C55277" s="0" t="s">
        <v>2692</v>
      </c>
      <c r="E55277" s="0" t="s">
        <v>271</v>
      </c>
      <c r="F55277" s="0" t="s">
        <v>2693</v>
      </c>
    </row>
    <row r="55279" customFormat="false" ht="12.8" hidden="false" customHeight="false" outlineLevel="0" collapsed="false">
      <c r="A55279" s="0" t="s">
        <v>19026</v>
      </c>
      <c r="B55279" s="0" t="str">
        <f aca="false">HYPERLINK("https://lindat.mff.cuni.cz/services/teitok/pdtc10/index.php?action=vallex&amp;frame=v-w7961f1", "vychutnat si (v-w7961f1)")</f>
        <v>vychutnat si (v-w7961f1)</v>
      </c>
      <c r="E55279" s="0" t="str">
        <f aca="false">HYPERLINK("https://lindat.mff.cuni.cz/services/SynSemClass40/SynSemClass40.html?veclass=vec00742#vec00742-ces-cm00015", "vec00742")</f>
        <v>vec00742</v>
      </c>
      <c r="F55279" s="0" t="s">
        <v>2689</v>
      </c>
    </row>
    <row r="55280" customFormat="false" ht="12.8" hidden="false" customHeight="false" outlineLevel="0" collapsed="false">
      <c r="B55280" s="0" t="s">
        <v>1</v>
      </c>
      <c r="C55280" s="0" t="s">
        <v>2690</v>
      </c>
      <c r="E55280" s="0" t="s">
        <v>266</v>
      </c>
      <c r="F55280" s="0" t="s">
        <v>2691</v>
      </c>
    </row>
    <row r="55281" customFormat="false" ht="12.8" hidden="false" customHeight="false" outlineLevel="0" collapsed="false">
      <c r="B55281" s="0" t="s">
        <v>228</v>
      </c>
      <c r="C55281" s="0" t="s">
        <v>2692</v>
      </c>
      <c r="E55281" s="0" t="s">
        <v>271</v>
      </c>
      <c r="F55281" s="0" t="s">
        <v>2693</v>
      </c>
    </row>
    <row r="55283" customFormat="false" ht="12.8" hidden="false" customHeight="false" outlineLevel="0" collapsed="false">
      <c r="A55283" s="0" t="s">
        <v>19027</v>
      </c>
      <c r="B55283" s="0" t="str">
        <f aca="false">HYPERLINK("https://lindat.mff.cuni.cz/services/teitok/pdtc10/index.php?action=vallex&amp;frame=v-w11310f1", "vychutnávat si (v-w11310f1)")</f>
        <v>vychutnávat si (v-w11310f1)</v>
      </c>
      <c r="E55283" s="0" t="str">
        <f aca="false">HYPERLINK("https://lindat.mff.cuni.cz/services/SynSemClass40/SynSemClass40.html?veclass=vec00742#vec00742-ces-cm00016", "vec00742")</f>
        <v>vec00742</v>
      </c>
      <c r="F55283" s="0" t="s">
        <v>2689</v>
      </c>
    </row>
    <row r="55284" customFormat="false" ht="12.8" hidden="false" customHeight="false" outlineLevel="0" collapsed="false">
      <c r="B55284" s="0" t="s">
        <v>1</v>
      </c>
      <c r="C55284" s="0" t="s">
        <v>2690</v>
      </c>
      <c r="E55284" s="0" t="s">
        <v>266</v>
      </c>
      <c r="F55284" s="0" t="s">
        <v>2691</v>
      </c>
    </row>
    <row r="55285" customFormat="false" ht="12.8" hidden="false" customHeight="false" outlineLevel="0" collapsed="false">
      <c r="B55285" s="0" t="s">
        <v>228</v>
      </c>
      <c r="C55285" s="0" t="s">
        <v>2692</v>
      </c>
      <c r="E55285" s="0" t="s">
        <v>271</v>
      </c>
      <c r="F55285" s="0" t="s">
        <v>2693</v>
      </c>
    </row>
    <row r="55287" customFormat="false" ht="12.8" hidden="false" customHeight="false" outlineLevel="0" collapsed="false">
      <c r="A55287" s="0" t="s">
        <v>19028</v>
      </c>
      <c r="B55287" s="0" t="str">
        <f aca="false">HYPERLINK("https://lindat.mff.cuni.cz/services/teitok/pdtc10/index.php?action=vallex&amp;frame=v-w11310hsa_1233", "vychutnávat si (v-w11310hsa_1233)")</f>
        <v>vychutnávat si (v-w11310hsa_1233)</v>
      </c>
    </row>
    <row r="55288" customFormat="false" ht="12.8" hidden="false" customHeight="false" outlineLevel="0" collapsed="false">
      <c r="B55288" s="0" t="s">
        <v>1</v>
      </c>
    </row>
    <row r="55289" customFormat="false" ht="12.8" hidden="false" customHeight="false" outlineLevel="0" collapsed="false">
      <c r="B55289" s="0" t="s">
        <v>8</v>
      </c>
    </row>
    <row r="55291" customFormat="false" ht="12.8" hidden="false" customHeight="false" outlineLevel="0" collapsed="false">
      <c r="A55291" s="0" t="s">
        <v>19029</v>
      </c>
      <c r="B55291" s="0" t="str">
        <f aca="false">HYPERLINK("https://lindat.mff.cuni.cz/services/teitok/pdtc10/index.php?action=vallex&amp;frame=v-w7963f1", "vychvalovat (v-w7963f1)")</f>
        <v>vychvalovat (v-w7963f1)</v>
      </c>
      <c r="E55291" s="0" t="str">
        <f aca="false">HYPERLINK("https://lindat.mff.cuni.cz/services/SynSemClass40/SynSemClass40.html?veclass=vec00675#vec00675-ces-cm00006", "vec00675")</f>
        <v>vec00675</v>
      </c>
      <c r="F55291" s="0" t="s">
        <v>1516</v>
      </c>
    </row>
    <row r="55292" customFormat="false" ht="12.8" hidden="false" customHeight="false" outlineLevel="0" collapsed="false">
      <c r="B55292" s="0" t="s">
        <v>1</v>
      </c>
      <c r="C55292" s="0" t="s">
        <v>1517</v>
      </c>
      <c r="E55292" s="0" t="s">
        <v>206</v>
      </c>
      <c r="F55292" s="0" t="s">
        <v>1518</v>
      </c>
    </row>
    <row r="55293" customFormat="false" ht="12.8" hidden="false" customHeight="false" outlineLevel="0" collapsed="false">
      <c r="B55293" s="0" t="s">
        <v>9913</v>
      </c>
      <c r="C55293" s="0" t="s">
        <v>1519</v>
      </c>
      <c r="E55293" s="0" t="s">
        <v>159</v>
      </c>
      <c r="F55293" s="0" t="s">
        <v>1520</v>
      </c>
    </row>
    <row r="55295" customFormat="false" ht="12.8" hidden="false" customHeight="false" outlineLevel="0" collapsed="false">
      <c r="A55295" s="0" t="s">
        <v>19030</v>
      </c>
      <c r="B55295" s="0" t="str">
        <f aca="false">HYPERLINK("https://lindat.mff.cuni.cz/services/teitok/pdtc10/index.php?action=vallex&amp;frame=v-whsa_691f1_ZU", "vychylovat se (v-whsa_691f1_ZU)")</f>
        <v>vychylovat se (v-whsa_691f1_ZU)</v>
      </c>
      <c r="E55295" s="0" t="str">
        <f aca="false">HYPERLINK("https://lindat.mff.cuni.cz/services/SynSemClass40/SynSemClass40.html?veclass=vec00626#vec00626-ces-cm00016", "vec00626")</f>
        <v>vec00626</v>
      </c>
      <c r="F55295" s="0" t="s">
        <v>4514</v>
      </c>
    </row>
    <row r="55296" customFormat="false" ht="12.8" hidden="false" customHeight="false" outlineLevel="0" collapsed="false">
      <c r="B55296" s="0" t="s">
        <v>1</v>
      </c>
      <c r="C55296" s="0" t="s">
        <v>4515</v>
      </c>
      <c r="E55296" s="0" t="s">
        <v>334</v>
      </c>
      <c r="F55296" s="0" t="s">
        <v>4516</v>
      </c>
    </row>
    <row r="55298" customFormat="false" ht="12.8" hidden="false" customHeight="false" outlineLevel="0" collapsed="false">
      <c r="A55298" s="0" t="s">
        <v>19030</v>
      </c>
      <c r="B55298" s="0" t="str">
        <f aca="false">HYPERLINK("https://lindat.mff.cuni.cz/services/teitok/pdtc10/index.php?action=vallex&amp;frame=v-whsa_691hsa_692", "vychylovat se (v-whsa_691hsa_692) - substituted with v-whsa_691f1_ZU")</f>
        <v>vychylovat se (v-whsa_691hsa_692) - substituted with v-whsa_691f1_ZU</v>
      </c>
    </row>
    <row r="55299" customFormat="false" ht="12.8" hidden="false" customHeight="false" outlineLevel="0" collapsed="false">
      <c r="B55299" s="0" t="s">
        <v>1</v>
      </c>
    </row>
    <row r="55301" customFormat="false" ht="12.8" hidden="false" customHeight="false" outlineLevel="0" collapsed="false">
      <c r="A55301" s="0" t="s">
        <v>19031</v>
      </c>
      <c r="B55301" s="0" t="str">
        <f aca="false">HYPERLINK("https://lindat.mff.cuni.cz/services/teitok/pdtc10/index.php?action=vallex&amp;frame=v-w7965f1", "vychytat (v-w7965f1)")</f>
        <v>vychytat (v-w7965f1)</v>
      </c>
    </row>
    <row r="55302" customFormat="false" ht="12.8" hidden="false" customHeight="false" outlineLevel="0" collapsed="false">
      <c r="B55302" s="0" t="s">
        <v>1</v>
      </c>
    </row>
    <row r="55303" customFormat="false" ht="12.8" hidden="false" customHeight="false" outlineLevel="0" collapsed="false">
      <c r="B55303" s="0" t="s">
        <v>8</v>
      </c>
    </row>
    <row r="55305" customFormat="false" ht="12.8" hidden="false" customHeight="false" outlineLevel="0" collapsed="false">
      <c r="A55305" s="0" t="s">
        <v>19032</v>
      </c>
      <c r="B55305" s="0" t="str">
        <f aca="false">HYPERLINK("https://lindat.mff.cuni.cz/services/teitok/pdtc10/index.php?action=vallex&amp;frame=v-w7965f2", "vychytat (v-w7965f2)")</f>
        <v>vychytat (v-w7965f2)</v>
      </c>
    </row>
    <row r="55306" customFormat="false" ht="12.8" hidden="false" customHeight="false" outlineLevel="0" collapsed="false">
      <c r="B55306" s="0" t="s">
        <v>1</v>
      </c>
    </row>
    <row r="55307" customFormat="false" ht="12.8" hidden="false" customHeight="false" outlineLevel="0" collapsed="false">
      <c r="B55307" s="0" t="s">
        <v>8</v>
      </c>
    </row>
    <row r="55309" customFormat="false" ht="12.8" hidden="false" customHeight="false" outlineLevel="0" collapsed="false">
      <c r="A55309" s="0" t="s">
        <v>19033</v>
      </c>
      <c r="B55309" s="0" t="str">
        <f aca="false">HYPERLINK("https://lindat.mff.cuni.cz/services/teitok/pdtc10/index.php?action=vallex&amp;frame=v-w7951f12", "vycházet (v-w7951f12)")</f>
        <v>vycházet (v-w7951f12)</v>
      </c>
    </row>
    <row r="55310" customFormat="false" ht="12.8" hidden="false" customHeight="false" outlineLevel="0" collapsed="false">
      <c r="B55310" s="0" t="s">
        <v>345</v>
      </c>
    </row>
    <row r="55311" customFormat="false" ht="12.8" hidden="false" customHeight="false" outlineLevel="0" collapsed="false">
      <c r="B55311" s="0" t="s">
        <v>19034</v>
      </c>
    </row>
    <row r="55313" customFormat="false" ht="12.8" hidden="false" customHeight="false" outlineLevel="0" collapsed="false">
      <c r="A55313" s="0" t="s">
        <v>19035</v>
      </c>
      <c r="B55313" s="0" t="str">
        <f aca="false">HYPERLINK("https://lindat.mff.cuni.cz/services/teitok/pdtc10/index.php?action=vallex&amp;frame=v-w7951f14", "vycházet (v-w7951f14)")</f>
        <v>vycházet (v-w7951f14)</v>
      </c>
    </row>
    <row r="55314" customFormat="false" ht="12.8" hidden="false" customHeight="false" outlineLevel="0" collapsed="false">
      <c r="B55314" s="0" t="s">
        <v>1</v>
      </c>
    </row>
    <row r="55315" customFormat="false" ht="12.8" hidden="false" customHeight="false" outlineLevel="0" collapsed="false">
      <c r="B55315" s="0" t="s">
        <v>8</v>
      </c>
    </row>
    <row r="55317" customFormat="false" ht="12.8" hidden="false" customHeight="false" outlineLevel="0" collapsed="false">
      <c r="A55317" s="0" t="s">
        <v>19036</v>
      </c>
      <c r="B55317" s="0" t="str">
        <f aca="false">HYPERLINK("https://lindat.mff.cuni.cz/services/teitok/pdtc10/index.php?action=vallex&amp;frame=v-w7951f17", "vycházet (v-w7951f17)")</f>
        <v>vycházet (v-w7951f17)</v>
      </c>
      <c r="E55317" s="0" t="str">
        <f aca="false">HYPERLINK("https://lindat.mff.cuni.cz/services/SynSemClass40/SynSemClass40.html?veclass=vec00128#vec00128-ces-cm00252", "vec00128")</f>
        <v>vec00128</v>
      </c>
      <c r="F55317" s="0" t="s">
        <v>13958</v>
      </c>
      <c r="H55317" s="0" t="str">
        <f aca="false">HYPERLINK("https://lindat.mff.cuni.cz/services/SynSemClass40/SynSemClass40.html?veclass=vec00206#vec00206-ces-cm00052", "vec00206")</f>
        <v>vec00206</v>
      </c>
      <c r="I55317" s="0" t="s">
        <v>2728</v>
      </c>
    </row>
    <row r="55318" customFormat="false" ht="12.8" hidden="false" customHeight="false" outlineLevel="0" collapsed="false">
      <c r="B55318" s="0" t="s">
        <v>1</v>
      </c>
      <c r="C55318" s="0" t="s">
        <v>16733</v>
      </c>
      <c r="E55318" s="0" t="s">
        <v>235</v>
      </c>
      <c r="F55318" s="0" t="s">
        <v>13960</v>
      </c>
      <c r="H55318" s="0" t="s">
        <v>235</v>
      </c>
      <c r="I55318" s="0" t="s">
        <v>2730</v>
      </c>
    </row>
    <row r="55319" customFormat="false" ht="12.8" hidden="false" customHeight="false" outlineLevel="0" collapsed="false">
      <c r="B55319" s="0" t="s">
        <v>45</v>
      </c>
      <c r="C55319" s="0" t="s">
        <v>19037</v>
      </c>
      <c r="E55319" s="0" t="s">
        <v>13962</v>
      </c>
      <c r="F55319" s="0" t="s">
        <v>13963</v>
      </c>
      <c r="H55319" s="0" t="s">
        <v>2732</v>
      </c>
      <c r="I55319" s="0" t="s">
        <v>2733</v>
      </c>
    </row>
    <row r="55321" customFormat="false" ht="12.8" hidden="false" customHeight="false" outlineLevel="0" collapsed="false">
      <c r="A55321" s="0" t="s">
        <v>19038</v>
      </c>
      <c r="B55321" s="0" t="str">
        <f aca="false">HYPERLINK("https://lindat.mff.cuni.cz/services/teitok/pdtc10/index.php?action=vallex&amp;frame=v-w7951f13", "vycházet (v-w7951f13)")</f>
        <v>vycházet (v-w7951f13)</v>
      </c>
    </row>
    <row r="55322" customFormat="false" ht="12.8" hidden="false" customHeight="false" outlineLevel="0" collapsed="false">
      <c r="B55322" s="0" t="s">
        <v>1</v>
      </c>
    </row>
    <row r="55323" customFormat="false" ht="12.8" hidden="false" customHeight="false" outlineLevel="0" collapsed="false">
      <c r="B55323" s="0" t="s">
        <v>45</v>
      </c>
    </row>
    <row r="55325" customFormat="false" ht="12.8" hidden="false" customHeight="false" outlineLevel="0" collapsed="false">
      <c r="A55325" s="0" t="s">
        <v>19039</v>
      </c>
      <c r="B55325" s="0" t="str">
        <f aca="false">HYPERLINK("https://lindat.mff.cuni.cz/services/teitok/pdtc10/index.php?action=vallex&amp;frame=v-w7951f8", "vycházet (v-w7951f8)")</f>
        <v>vycházet (v-w7951f8)</v>
      </c>
      <c r="E55325" s="0" t="str">
        <f aca="false">HYPERLINK("https://lindat.mff.cuni.cz/services/SynSemClass40/SynSemClass40.html?veclass=vec00160#vec00160-ces-cm00001", "vec00160")</f>
        <v>vec00160</v>
      </c>
      <c r="F55325" s="0" t="s">
        <v>19040</v>
      </c>
    </row>
    <row r="55326" customFormat="false" ht="12.8" hidden="false" customHeight="false" outlineLevel="0" collapsed="false">
      <c r="B55326" s="0" t="s">
        <v>1</v>
      </c>
      <c r="E55326" s="0" t="s">
        <v>2241</v>
      </c>
      <c r="F55326" s="0" t="s">
        <v>19041</v>
      </c>
    </row>
    <row r="55327" customFormat="false" ht="12.8" hidden="false" customHeight="false" outlineLevel="0" collapsed="false">
      <c r="B55327" s="0" t="s">
        <v>721</v>
      </c>
      <c r="E55327" s="0" t="s">
        <v>2665</v>
      </c>
      <c r="F55327" s="0" t="s">
        <v>8791</v>
      </c>
    </row>
    <row r="55329" customFormat="false" ht="12.8" hidden="false" customHeight="false" outlineLevel="0" collapsed="false">
      <c r="A55329" s="0" t="s">
        <v>19042</v>
      </c>
      <c r="B55329" s="0" t="str">
        <f aca="false">HYPERLINK("https://lindat.mff.cuni.cz/services/teitok/pdtc10/index.php?action=vallex&amp;frame=v-w7951f4", "vycházet (v-w7951f4)")</f>
        <v>vycházet (v-w7951f4)</v>
      </c>
      <c r="E55329" s="0" t="str">
        <f aca="false">HYPERLINK("https://lindat.mff.cuni.cz/services/SynSemClass40/SynSemClass40.html?veclass=vec00258#vec00258-ces-cm00007", "vec00258")</f>
        <v>vec00258</v>
      </c>
      <c r="F55329" s="0" t="s">
        <v>10649</v>
      </c>
    </row>
    <row r="55330" customFormat="false" ht="12.8" hidden="false" customHeight="false" outlineLevel="0" collapsed="false">
      <c r="B55330" s="0" t="s">
        <v>1</v>
      </c>
      <c r="C55330" s="0" t="s">
        <v>10650</v>
      </c>
      <c r="E55330" s="0" t="s">
        <v>957</v>
      </c>
      <c r="F55330" s="0" t="s">
        <v>10651</v>
      </c>
    </row>
    <row r="55331" customFormat="false" ht="12.8" hidden="false" customHeight="false" outlineLevel="0" collapsed="false">
      <c r="B55331" s="0" t="s">
        <v>1795</v>
      </c>
      <c r="C55331" s="0" t="s">
        <v>10652</v>
      </c>
      <c r="E55331" s="0" t="s">
        <v>6001</v>
      </c>
      <c r="F55331" s="0" t="s">
        <v>10653</v>
      </c>
    </row>
    <row r="55333" customFormat="false" ht="12.8" hidden="false" customHeight="false" outlineLevel="0" collapsed="false">
      <c r="A55333" s="0" t="s">
        <v>19043</v>
      </c>
      <c r="B55333" s="0" t="str">
        <f aca="false">HYPERLINK("https://lindat.mff.cuni.cz/services/teitok/pdtc10/index.php?action=vallex&amp;frame=v-w7951f1", "vycházet (v-w7951f1)")</f>
        <v>vycházet (v-w7951f1)</v>
      </c>
      <c r="E55333" s="0" t="str">
        <f aca="false">HYPERLINK("https://lindat.mff.cuni.cz/services/SynSemClass40/SynSemClass40.html?veclass=vec00258#vec00258-ces-cm00006", "vec00258")</f>
        <v>vec00258</v>
      </c>
      <c r="F55333" s="0" t="s">
        <v>10649</v>
      </c>
    </row>
    <row r="55334" customFormat="false" ht="12.8" hidden="false" customHeight="false" outlineLevel="0" collapsed="false">
      <c r="B55334" s="0" t="s">
        <v>1</v>
      </c>
      <c r="C55334" s="0" t="s">
        <v>10650</v>
      </c>
      <c r="E55334" s="0" t="s">
        <v>957</v>
      </c>
      <c r="F55334" s="0" t="s">
        <v>10651</v>
      </c>
    </row>
    <row r="55335" customFormat="false" ht="12.8" hidden="false" customHeight="false" outlineLevel="0" collapsed="false">
      <c r="B55335" s="0" t="s">
        <v>298</v>
      </c>
      <c r="C55335" s="0" t="s">
        <v>10652</v>
      </c>
      <c r="E55335" s="0" t="s">
        <v>6001</v>
      </c>
      <c r="F55335" s="0" t="s">
        <v>10653</v>
      </c>
    </row>
    <row r="55337" customFormat="false" ht="12.8" hidden="false" customHeight="false" outlineLevel="0" collapsed="false">
      <c r="A55337" s="0" t="s">
        <v>19044</v>
      </c>
      <c r="B55337" s="0" t="str">
        <f aca="false">HYPERLINK("https://lindat.mff.cuni.cz/services/teitok/pdtc10/index.php?action=vallex&amp;frame=v-w7951f11", "vycházet (v-w7951f11)")</f>
        <v>vycházet (v-w7951f11)</v>
      </c>
    </row>
    <row r="55338" customFormat="false" ht="12.8" hidden="false" customHeight="false" outlineLevel="0" collapsed="false">
      <c r="B55338" s="0" t="s">
        <v>1</v>
      </c>
    </row>
    <row r="55339" customFormat="false" ht="12.8" hidden="false" customHeight="false" outlineLevel="0" collapsed="false">
      <c r="B55339" s="0" t="s">
        <v>298</v>
      </c>
    </row>
    <row r="55340" customFormat="false" ht="12.8" hidden="false" customHeight="false" outlineLevel="0" collapsed="false">
      <c r="B55340" s="0" t="s">
        <v>642</v>
      </c>
    </row>
    <row r="55341" customFormat="false" ht="12.8" hidden="false" customHeight="false" outlineLevel="0" collapsed="false">
      <c r="B55341" s="0" t="s">
        <v>2887</v>
      </c>
    </row>
    <row r="55343" customFormat="false" ht="12.8" hidden="false" customHeight="false" outlineLevel="0" collapsed="false">
      <c r="A55343" s="0" t="s">
        <v>19045</v>
      </c>
      <c r="B55343" s="0" t="str">
        <f aca="false">HYPERLINK("https://lindat.mff.cuni.cz/services/teitok/pdtc10/index.php?action=vallex&amp;frame=v-w7951f16", "vycházet (v-w7951f16)")</f>
        <v>vycházet (v-w7951f16)</v>
      </c>
    </row>
    <row r="55344" customFormat="false" ht="12.8" hidden="false" customHeight="false" outlineLevel="0" collapsed="false">
      <c r="B55344" s="0" t="s">
        <v>1</v>
      </c>
    </row>
    <row r="55345" customFormat="false" ht="12.8" hidden="false" customHeight="false" outlineLevel="0" collapsed="false">
      <c r="B55345" s="0" t="s">
        <v>298</v>
      </c>
    </row>
    <row r="55347" customFormat="false" ht="12.8" hidden="false" customHeight="false" outlineLevel="0" collapsed="false">
      <c r="A55347" s="0" t="s">
        <v>19046</v>
      </c>
      <c r="B55347" s="0" t="str">
        <f aca="false">HYPERLINK("https://lindat.mff.cuni.cz/services/teitok/pdtc10/index.php?action=vallex&amp;frame=v-w7951f6", "vycházet (v-w7951f6)")</f>
        <v>vycházet (v-w7951f6)</v>
      </c>
    </row>
    <row r="55348" customFormat="false" ht="12.8" hidden="false" customHeight="false" outlineLevel="0" collapsed="false">
      <c r="B55348" s="0" t="s">
        <v>1</v>
      </c>
    </row>
    <row r="55349" customFormat="false" ht="12.8" hidden="false" customHeight="false" outlineLevel="0" collapsed="false">
      <c r="B55349" s="0" t="s">
        <v>631</v>
      </c>
    </row>
    <row r="55351" customFormat="false" ht="12.8" hidden="false" customHeight="false" outlineLevel="0" collapsed="false">
      <c r="A55351" s="0" t="s">
        <v>19047</v>
      </c>
      <c r="B55351" s="0" t="str">
        <f aca="false">HYPERLINK("https://lindat.mff.cuni.cz/services/teitok/pdtc10/index.php?action=vallex&amp;frame=v-w7951f15", "vycházet (v-w7951f15)")</f>
        <v>vycházet (v-w7951f15)</v>
      </c>
      <c r="E55351" s="0" t="str">
        <f aca="false">HYPERLINK("https://lindat.mff.cuni.cz/services/SynSemClass40/SynSemClass40.html?veclass=vec00227#vec00227-ces-cm00118", "vec00227")</f>
        <v>vec00227</v>
      </c>
      <c r="F55351" s="0" t="s">
        <v>1313</v>
      </c>
    </row>
    <row r="55352" customFormat="false" ht="12.8" hidden="false" customHeight="false" outlineLevel="0" collapsed="false">
      <c r="B55352" s="0" t="s">
        <v>1</v>
      </c>
      <c r="C55352" s="0" t="s">
        <v>83</v>
      </c>
      <c r="E55352" s="0" t="s">
        <v>334</v>
      </c>
      <c r="F55352" s="0" t="s">
        <v>1314</v>
      </c>
    </row>
    <row r="55353" customFormat="false" ht="12.8" hidden="false" customHeight="false" outlineLevel="0" collapsed="false">
      <c r="B55353" s="0" t="s">
        <v>164</v>
      </c>
      <c r="E55353" s="0" t="s">
        <v>1315</v>
      </c>
      <c r="F55353" s="0" t="s">
        <v>1316</v>
      </c>
    </row>
    <row r="55355" customFormat="false" ht="12.8" hidden="false" customHeight="false" outlineLevel="0" collapsed="false">
      <c r="A55355" s="0" t="s">
        <v>19048</v>
      </c>
      <c r="B55355" s="0" t="str">
        <f aca="false">HYPERLINK("https://lindat.mff.cuni.cz/services/teitok/pdtc10/index.php?action=vallex&amp;frame=v-w7951hsa_391", "vycházet (v-w7951hsa_391)")</f>
        <v>vycházet (v-w7951hsa_391)</v>
      </c>
      <c r="E55355" s="0" t="str">
        <f aca="false">HYPERLINK("https://lindat.mff.cuni.cz/services/SynSemClass40/SynSemClass40.html?veclass=vec00128#vec00128-ces-cm00196", "vec00128")</f>
        <v>vec00128</v>
      </c>
      <c r="F55355" s="0" t="s">
        <v>13958</v>
      </c>
    </row>
    <row r="55356" customFormat="false" ht="12.8" hidden="false" customHeight="false" outlineLevel="0" collapsed="false">
      <c r="B55356" s="0" t="s">
        <v>1</v>
      </c>
      <c r="C55356" s="0" t="s">
        <v>13959</v>
      </c>
      <c r="E55356" s="0" t="s">
        <v>235</v>
      </c>
      <c r="F55356" s="0" t="s">
        <v>13960</v>
      </c>
    </row>
    <row r="55357" customFormat="false" ht="12.8" hidden="false" customHeight="false" outlineLevel="0" collapsed="false">
      <c r="B55357" s="0" t="s">
        <v>19049</v>
      </c>
      <c r="C55357" s="0" t="s">
        <v>19050</v>
      </c>
      <c r="E55357" s="0" t="s">
        <v>6992</v>
      </c>
      <c r="F55357" s="0" t="s">
        <v>16735</v>
      </c>
    </row>
    <row r="55359" customFormat="false" ht="12.8" hidden="false" customHeight="false" outlineLevel="0" collapsed="false">
      <c r="A55359" s="0" t="s">
        <v>19048</v>
      </c>
      <c r="B55359" s="0" t="str">
        <f aca="false">HYPERLINK("https://lindat.mff.cuni.cz/services/teitok/pdtc10/index.php?action=vallex&amp;frame=v-w7951f9", "vycházet (v-w7951f9) - substituted with v-w7951hsa_391")</f>
        <v>vycházet (v-w7951f9) - substituted with v-w7951hsa_391</v>
      </c>
    </row>
    <row r="55360" customFormat="false" ht="12.8" hidden="false" customHeight="false" outlineLevel="0" collapsed="false">
      <c r="B55360" s="0" t="s">
        <v>1</v>
      </c>
    </row>
    <row r="55361" customFormat="false" ht="12.8" hidden="false" customHeight="false" outlineLevel="0" collapsed="false">
      <c r="B55361" s="0" t="s">
        <v>19049</v>
      </c>
    </row>
    <row r="55363" customFormat="false" ht="12.8" hidden="false" customHeight="false" outlineLevel="0" collapsed="false">
      <c r="A55363" s="0" t="s">
        <v>19051</v>
      </c>
      <c r="B55363" s="0" t="str">
        <f aca="false">HYPERLINK("https://lindat.mff.cuni.cz/services/teitok/pdtc10/index.php?action=vallex&amp;frame=v-w7951f5", "vycházet (v-w7951f5)")</f>
        <v>vycházet (v-w7951f5)</v>
      </c>
    </row>
    <row r="55364" customFormat="false" ht="12.8" hidden="false" customHeight="false" outlineLevel="0" collapsed="false">
      <c r="B55364" s="0" t="s">
        <v>345</v>
      </c>
    </row>
    <row r="55366" customFormat="false" ht="12.8" hidden="false" customHeight="false" outlineLevel="0" collapsed="false">
      <c r="A55366" s="0" t="s">
        <v>19052</v>
      </c>
      <c r="B55366" s="0" t="str">
        <f aca="false">HYPERLINK("https://lindat.mff.cuni.cz/services/teitok/pdtc10/index.php?action=vallex&amp;frame=v-w7951f2", "vycházet (v-w7951f2)")</f>
        <v>vycházet (v-w7951f2)</v>
      </c>
    </row>
    <row r="55367" customFormat="false" ht="12.8" hidden="false" customHeight="false" outlineLevel="0" collapsed="false">
      <c r="B55367" s="0" t="s">
        <v>1</v>
      </c>
    </row>
    <row r="55369" customFormat="false" ht="12.8" hidden="false" customHeight="false" outlineLevel="0" collapsed="false">
      <c r="A55369" s="0" t="s">
        <v>19053</v>
      </c>
      <c r="B55369" s="0" t="str">
        <f aca="false">HYPERLINK("https://lindat.mff.cuni.cz/services/teitok/pdtc10/index.php?action=vallex&amp;frame=v-w7951f3", "vycházet (v-w7951f3)")</f>
        <v>vycházet (v-w7951f3)</v>
      </c>
    </row>
    <row r="55370" customFormat="false" ht="12.8" hidden="false" customHeight="false" outlineLevel="0" collapsed="false">
      <c r="B55370" s="0" t="s">
        <v>1</v>
      </c>
    </row>
    <row r="55372" customFormat="false" ht="12.8" hidden="false" customHeight="false" outlineLevel="0" collapsed="false">
      <c r="A55372" s="0" t="s">
        <v>19054</v>
      </c>
      <c r="B55372" s="0" t="str">
        <f aca="false">HYPERLINK("https://lindat.mff.cuni.cz/services/teitok/pdtc10/index.php?action=vallex&amp;frame=v-w7951f10", "vycházet (v-w7951f10)")</f>
        <v>vycházet (v-w7951f10)</v>
      </c>
    </row>
    <row r="55373" customFormat="false" ht="12.8" hidden="false" customHeight="false" outlineLevel="0" collapsed="false">
      <c r="B55373" s="0" t="s">
        <v>1</v>
      </c>
    </row>
    <row r="55374" customFormat="false" ht="12.8" hidden="false" customHeight="false" outlineLevel="0" collapsed="false">
      <c r="B55374" s="0" t="s">
        <v>19055</v>
      </c>
    </row>
    <row r="55375" customFormat="false" ht="12.8" hidden="false" customHeight="false" outlineLevel="0" collapsed="false">
      <c r="B55375" s="0" t="s">
        <v>186</v>
      </c>
    </row>
    <row r="55377" customFormat="false" ht="12.8" hidden="false" customHeight="false" outlineLevel="0" collapsed="false">
      <c r="A55377" s="0" t="s">
        <v>19056</v>
      </c>
      <c r="B55377" s="0" t="str">
        <f aca="false">HYPERLINK("https://lindat.mff.cuni.cz/services/teitok/pdtc10/index.php?action=vallex&amp;frame=v-w7951f7", "vycházet (v-w7951f7)")</f>
        <v>vycházet (v-w7951f7)</v>
      </c>
      <c r="E55377" s="0" t="str">
        <f aca="false">HYPERLINK("https://lindat.mff.cuni.cz/services/SynSemClass40/SynSemClass40.html?veclass=vec00086#vec00086-ces-cm00097", "vec00086")</f>
        <v>vec00086</v>
      </c>
      <c r="F55377" s="0" t="s">
        <v>12400</v>
      </c>
    </row>
    <row r="55378" customFormat="false" ht="12.8" hidden="false" customHeight="false" outlineLevel="0" collapsed="false">
      <c r="B55378" s="0" t="s">
        <v>843</v>
      </c>
      <c r="C55378" s="0" t="s">
        <v>2157</v>
      </c>
      <c r="E55378" s="0" t="s">
        <v>4943</v>
      </c>
      <c r="F55378" s="0" t="s">
        <v>5999</v>
      </c>
    </row>
    <row r="55379" customFormat="false" ht="12.8" hidden="false" customHeight="false" outlineLevel="0" collapsed="false">
      <c r="B55379" s="0" t="s">
        <v>3531</v>
      </c>
    </row>
    <row r="55381" customFormat="false" ht="12.8" hidden="false" customHeight="false" outlineLevel="0" collapsed="false">
      <c r="A55381" s="0" t="s">
        <v>19057</v>
      </c>
      <c r="B55381" s="0" t="str">
        <f aca="false">HYPERLINK("https://lindat.mff.cuni.cz/services/teitok/pdtc10/index.php?action=vallex&amp;frame=v-w7951f18_ZU", "vycházet (v-w7951f18_ZU)")</f>
        <v>vycházet (v-w7951f18_ZU)</v>
      </c>
    </row>
    <row r="55382" customFormat="false" ht="12.8" hidden="false" customHeight="false" outlineLevel="0" collapsed="false">
      <c r="B55382" s="0" t="s">
        <v>804</v>
      </c>
    </row>
    <row r="55383" customFormat="false" ht="12.8" hidden="false" customHeight="false" outlineLevel="0" collapsed="false">
      <c r="B55383" s="0" t="s">
        <v>19058</v>
      </c>
    </row>
    <row r="55385" customFormat="false" ht="12.8" hidden="false" customHeight="false" outlineLevel="0" collapsed="false">
      <c r="A55385" s="0" t="s">
        <v>19059</v>
      </c>
      <c r="B55385" s="0" t="str">
        <f aca="false">HYPERLINK("https://lindat.mff.cuni.cz/services/teitok/pdtc10/index.php?action=vallex&amp;frame=v-w7951f19_ZU", "vycházet (v-w7951f19_ZU)")</f>
        <v>vycházet (v-w7951f19_ZU)</v>
      </c>
    </row>
    <row r="55386" customFormat="false" ht="12.8" hidden="false" customHeight="false" outlineLevel="0" collapsed="false">
      <c r="B55386" s="0" t="s">
        <v>1</v>
      </c>
    </row>
    <row r="55387" customFormat="false" ht="12.8" hidden="false" customHeight="false" outlineLevel="0" collapsed="false">
      <c r="B55387" s="0" t="s">
        <v>157</v>
      </c>
    </row>
    <row r="55389" customFormat="false" ht="12.8" hidden="false" customHeight="false" outlineLevel="0" collapsed="false">
      <c r="A55389" s="0" t="s">
        <v>19060</v>
      </c>
      <c r="B55389" s="0" t="str">
        <f aca="false">HYPERLINK("https://lindat.mff.cuni.cz/services/teitok/pdtc10/index.php?action=vallex&amp;frame=v-w7951f20_MM", "vycházet (v-w7951f20_MM)")</f>
        <v>vycházet (v-w7951f20_MM)</v>
      </c>
    </row>
    <row r="55390" customFormat="false" ht="12.8" hidden="false" customHeight="false" outlineLevel="0" collapsed="false">
      <c r="B55390" s="0" t="s">
        <v>1</v>
      </c>
    </row>
    <row r="55391" customFormat="false" ht="12.8" hidden="false" customHeight="false" outlineLevel="0" collapsed="false">
      <c r="B55391" s="0" t="s">
        <v>19061</v>
      </c>
    </row>
    <row r="55393" customFormat="false" ht="12.8" hidden="false" customHeight="false" outlineLevel="0" collapsed="false">
      <c r="A55393" s="0" t="s">
        <v>19062</v>
      </c>
      <c r="B55393" s="0" t="str">
        <f aca="false">HYPERLINK("https://lindat.mff.cuni.cz/services/teitok/pdtc10/index.php?action=vallex&amp;frame=v-w7964f1", "vychýlit (v-w7964f1)")</f>
        <v>vychýlit (v-w7964f1)</v>
      </c>
    </row>
    <row r="55394" customFormat="false" ht="12.8" hidden="false" customHeight="false" outlineLevel="0" collapsed="false">
      <c r="B55394" s="0" t="s">
        <v>1</v>
      </c>
    </row>
    <row r="55395" customFormat="false" ht="12.8" hidden="false" customHeight="false" outlineLevel="0" collapsed="false">
      <c r="B55395" s="0" t="s">
        <v>8</v>
      </c>
    </row>
    <row r="55397" customFormat="false" ht="12.8" hidden="false" customHeight="false" outlineLevel="0" collapsed="false">
      <c r="A55397" s="0" t="s">
        <v>19063</v>
      </c>
      <c r="B55397" s="0" t="str">
        <f aca="false">HYPERLINK("https://lindat.mff.cuni.cz/services/teitok/pdtc10/index.php?action=vallex&amp;frame=v-w11276f1", "vychýlit se (v-w11276f1)")</f>
        <v>vychýlit se (v-w11276f1)</v>
      </c>
      <c r="E55397" s="0" t="str">
        <f aca="false">HYPERLINK("https://lindat.mff.cuni.cz/services/SynSemClass40/SynSemClass40.html?veclass=vec00626#vec00626-ces-cm00007", "vec00626")</f>
        <v>vec00626</v>
      </c>
      <c r="F55397" s="0" t="s">
        <v>4514</v>
      </c>
    </row>
    <row r="55398" customFormat="false" ht="12.8" hidden="false" customHeight="false" outlineLevel="0" collapsed="false">
      <c r="B55398" s="0" t="s">
        <v>1</v>
      </c>
      <c r="C55398" s="0" t="s">
        <v>4515</v>
      </c>
      <c r="E55398" s="0" t="s">
        <v>334</v>
      </c>
      <c r="F55398" s="0" t="s">
        <v>4516</v>
      </c>
    </row>
    <row r="55400" customFormat="false" ht="12.8" hidden="false" customHeight="false" outlineLevel="0" collapsed="false">
      <c r="A55400" s="0" t="s">
        <v>19064</v>
      </c>
      <c r="B55400" s="0" t="str">
        <f aca="false">HYPERLINK("https://lindat.mff.cuni.cz/services/teitok/pdtc10/index.php?action=vallex&amp;frame=v-w7810f1", "vycouvat (v-w7810f1)")</f>
        <v>vycouvat (v-w7810f1)</v>
      </c>
      <c r="E55400" s="0" t="str">
        <f aca="false">HYPERLINK("https://lindat.mff.cuni.cz/services/SynSemClass40/SynSemClass40.html?veclass=vec00942#vec00942-ces-cm00041", "vec00942")</f>
        <v>vec00942</v>
      </c>
      <c r="F55400" s="0" t="s">
        <v>1686</v>
      </c>
    </row>
    <row r="55401" customFormat="false" ht="12.8" hidden="false" customHeight="false" outlineLevel="0" collapsed="false">
      <c r="B55401" s="0" t="s">
        <v>1</v>
      </c>
      <c r="C55401" s="0" t="s">
        <v>1687</v>
      </c>
      <c r="E55401" s="0" t="s">
        <v>11</v>
      </c>
      <c r="F55401" s="0" t="s">
        <v>1688</v>
      </c>
    </row>
    <row r="55402" customFormat="false" ht="12.8" hidden="false" customHeight="false" outlineLevel="0" collapsed="false">
      <c r="B55402" s="0" t="s">
        <v>631</v>
      </c>
      <c r="C55402" s="0" t="s">
        <v>19065</v>
      </c>
      <c r="E55402" s="0" t="s">
        <v>19066</v>
      </c>
      <c r="F55402" s="0" t="s">
        <v>19067</v>
      </c>
    </row>
    <row r="55404" customFormat="false" ht="12.8" hidden="false" customHeight="false" outlineLevel="0" collapsed="false">
      <c r="A55404" s="0" t="s">
        <v>19068</v>
      </c>
      <c r="B55404" s="0" t="str">
        <f aca="false">HYPERLINK("https://lindat.mff.cuni.cz/services/teitok/pdtc10/index.php?action=vallex&amp;frame=v-w7810f2", "vycouvat (v-w7810f2)")</f>
        <v>vycouvat (v-w7810f2)</v>
      </c>
    </row>
    <row r="55405" customFormat="false" ht="12.8" hidden="false" customHeight="false" outlineLevel="0" collapsed="false">
      <c r="B55405" s="0" t="s">
        <v>1</v>
      </c>
    </row>
    <row r="55406" customFormat="false" ht="12.8" hidden="false" customHeight="false" outlineLevel="0" collapsed="false">
      <c r="B55406" s="0" t="s">
        <v>631</v>
      </c>
    </row>
    <row r="55408" customFormat="false" ht="12.8" hidden="false" customHeight="false" outlineLevel="0" collapsed="false">
      <c r="A55408" s="0" t="s">
        <v>19069</v>
      </c>
      <c r="B55408" s="0" t="str">
        <f aca="false">HYPERLINK("https://lindat.mff.cuni.cz/services/teitok/pdtc10/index.php?action=vallex&amp;frame=v-w7811f1", "vycucat (v-w7811f1)")</f>
        <v>vycucat (v-w7811f1)</v>
      </c>
    </row>
    <row r="55409" customFormat="false" ht="12.8" hidden="false" customHeight="false" outlineLevel="0" collapsed="false">
      <c r="B55409" s="0" t="s">
        <v>1</v>
      </c>
    </row>
    <row r="55410" customFormat="false" ht="12.8" hidden="false" customHeight="false" outlineLevel="0" collapsed="false">
      <c r="B55410" s="0" t="s">
        <v>8</v>
      </c>
    </row>
    <row r="55411" customFormat="false" ht="12.8" hidden="false" customHeight="false" outlineLevel="0" collapsed="false">
      <c r="B55411" s="0" t="s">
        <v>631</v>
      </c>
    </row>
    <row r="55413" customFormat="false" ht="12.8" hidden="false" customHeight="false" outlineLevel="0" collapsed="false">
      <c r="A55413" s="0" t="s">
        <v>19070</v>
      </c>
      <c r="B55413" s="0" t="str">
        <f aca="false">HYPERLINK("https://lindat.mff.cuni.cz/services/teitok/pdtc10/index.php?action=vallex&amp;frame=v-w7811hsa_1463", "vycucat (v-w7811hsa_1463)")</f>
        <v>vycucat (v-w7811hsa_1463)</v>
      </c>
    </row>
    <row r="55414" customFormat="false" ht="12.8" hidden="false" customHeight="false" outlineLevel="0" collapsed="false">
      <c r="B55414" s="0" t="s">
        <v>1</v>
      </c>
    </row>
    <row r="55415" customFormat="false" ht="12.8" hidden="false" customHeight="false" outlineLevel="0" collapsed="false">
      <c r="B55415" s="0" t="s">
        <v>8</v>
      </c>
    </row>
    <row r="55417" customFormat="false" ht="12.8" hidden="false" customHeight="false" outlineLevel="0" collapsed="false">
      <c r="A55417" s="0" t="s">
        <v>19071</v>
      </c>
      <c r="B55417" s="0" t="str">
        <f aca="false">HYPERLINK("https://lindat.mff.cuni.cz/services/teitok/pdtc10/index.php?action=vallex&amp;frame=v-w7812f1", "vycucat si (v-w7812f1)")</f>
        <v>vycucat si (v-w7812f1)</v>
      </c>
    </row>
    <row r="55418" customFormat="false" ht="12.8" hidden="false" customHeight="false" outlineLevel="0" collapsed="false">
      <c r="B55418" s="0" t="s">
        <v>1</v>
      </c>
    </row>
    <row r="55419" customFormat="false" ht="12.8" hidden="false" customHeight="false" outlineLevel="0" collapsed="false">
      <c r="B55419" s="0" t="s">
        <v>19072</v>
      </c>
    </row>
    <row r="55420" customFormat="false" ht="12.8" hidden="false" customHeight="false" outlineLevel="0" collapsed="false">
      <c r="B55420" s="0" t="s">
        <v>228</v>
      </c>
    </row>
    <row r="55422" customFormat="false" ht="12.8" hidden="false" customHeight="false" outlineLevel="0" collapsed="false">
      <c r="A55422" s="0" t="s">
        <v>19073</v>
      </c>
      <c r="B55422" s="0" t="str">
        <f aca="false">HYPERLINK("https://lindat.mff.cuni.cz/services/teitok/pdtc10/index.php?action=vallex&amp;frame=v-w11976_ZUf1_ZU", "vycucávat (v-w11976_ZUf1_ZU)")</f>
        <v>vycucávat (v-w11976_ZUf1_ZU)</v>
      </c>
    </row>
    <row r="55423" customFormat="false" ht="12.8" hidden="false" customHeight="false" outlineLevel="0" collapsed="false">
      <c r="B55423" s="0" t="s">
        <v>1</v>
      </c>
    </row>
    <row r="55424" customFormat="false" ht="12.8" hidden="false" customHeight="false" outlineLevel="0" collapsed="false">
      <c r="B55424" s="0" t="s">
        <v>8</v>
      </c>
    </row>
    <row r="55426" customFormat="false" ht="12.8" hidden="false" customHeight="false" outlineLevel="0" collapsed="false">
      <c r="A55426" s="0" t="s">
        <v>19074</v>
      </c>
      <c r="B55426" s="0" t="str">
        <f aca="false">HYPERLINK("https://lindat.mff.cuni.cz/services/teitok/pdtc10/index.php?action=vallex&amp;frame=v-w11126f2", "vycvičit (v-w11126f2)")</f>
        <v>vycvičit (v-w11126f2)</v>
      </c>
      <c r="E55426" s="0" t="str">
        <f aca="false">HYPERLINK("https://lindat.mff.cuni.cz/services/SynSemClass40/SynSemClass40.html?veclass=vec00763#vec00763-ces-cm00004", "vec00763")</f>
        <v>vec00763</v>
      </c>
      <c r="F55426" s="0" t="s">
        <v>19016</v>
      </c>
    </row>
    <row r="55427" customFormat="false" ht="12.8" hidden="false" customHeight="false" outlineLevel="0" collapsed="false">
      <c r="B55427" s="0" t="s">
        <v>1</v>
      </c>
      <c r="C55427" s="0" t="s">
        <v>19017</v>
      </c>
      <c r="E55427" s="0" t="s">
        <v>206</v>
      </c>
      <c r="F55427" s="0" t="s">
        <v>19018</v>
      </c>
    </row>
    <row r="55428" customFormat="false" ht="12.8" hidden="false" customHeight="false" outlineLevel="0" collapsed="false">
      <c r="B55428" s="0" t="s">
        <v>8</v>
      </c>
      <c r="C55428" s="0" t="s">
        <v>19019</v>
      </c>
      <c r="E55428" s="0" t="s">
        <v>3002</v>
      </c>
      <c r="F55428" s="0" t="s">
        <v>19020</v>
      </c>
    </row>
    <row r="55430" customFormat="false" ht="12.8" hidden="false" customHeight="false" outlineLevel="0" collapsed="false">
      <c r="A55430" s="0" t="s">
        <v>19075</v>
      </c>
      <c r="B55430" s="0" t="str">
        <f aca="false">HYPERLINK("https://lindat.mff.cuni.cz/services/teitok/pdtc10/index.php?action=vallex&amp;frame=v-w7809f1", "vycítit (v-w7809f1)")</f>
        <v>vycítit (v-w7809f1)</v>
      </c>
      <c r="E55430" s="0" t="str">
        <f aca="false">HYPERLINK("https://lindat.mff.cuni.cz/services/SynSemClass40/SynSemClass40.html?veclass=vec00470#vec00470-ces-cm00030", "vec00470")</f>
        <v>vec00470</v>
      </c>
      <c r="F55430" s="0" t="s">
        <v>1744</v>
      </c>
    </row>
    <row r="55431" customFormat="false" ht="12.8" hidden="false" customHeight="false" outlineLevel="0" collapsed="false">
      <c r="B55431" s="0" t="s">
        <v>1</v>
      </c>
      <c r="C55431" s="0" t="s">
        <v>1745</v>
      </c>
      <c r="E55431" s="0" t="s">
        <v>266</v>
      </c>
      <c r="F55431" s="0" t="s">
        <v>1746</v>
      </c>
    </row>
    <row r="55432" customFormat="false" ht="12.8" hidden="false" customHeight="false" outlineLevel="0" collapsed="false">
      <c r="B55432" s="0" t="s">
        <v>59</v>
      </c>
      <c r="C55432" s="0" t="s">
        <v>1747</v>
      </c>
      <c r="E55432" s="0" t="s">
        <v>1748</v>
      </c>
      <c r="F55432" s="0" t="s">
        <v>1749</v>
      </c>
    </row>
    <row r="55434" customFormat="false" ht="12.8" hidden="false" customHeight="false" outlineLevel="0" collapsed="false">
      <c r="A55434" s="0" t="s">
        <v>19076</v>
      </c>
      <c r="B55434" s="0" t="str">
        <f aca="false">HYPERLINK("https://lindat.mff.cuni.cz/services/teitok/pdtc10/index.php?action=vallex&amp;frame=v-w7809f2", "vycítit (v-w7809f2)")</f>
        <v>vycítit (v-w7809f2)</v>
      </c>
    </row>
    <row r="55435" customFormat="false" ht="12.8" hidden="false" customHeight="false" outlineLevel="0" collapsed="false">
      <c r="B55435" s="0" t="s">
        <v>1</v>
      </c>
    </row>
    <row r="55436" customFormat="false" ht="12.8" hidden="false" customHeight="false" outlineLevel="0" collapsed="false">
      <c r="B55436" s="0" t="s">
        <v>17431</v>
      </c>
    </row>
    <row r="55438" customFormat="false" ht="12.8" hidden="false" customHeight="false" outlineLevel="0" collapsed="false">
      <c r="A55438" s="0" t="s">
        <v>19077</v>
      </c>
      <c r="B55438" s="0" t="str">
        <f aca="false">HYPERLINK("https://lindat.mff.cuni.cz/services/teitok/pdtc10/index.php?action=vallex&amp;frame=v-w7842f2", "vydat (v-w7842f2)")</f>
        <v>vydat (v-w7842f2)</v>
      </c>
      <c r="E55438" s="0" t="str">
        <f aca="false">HYPERLINK("https://lindat.mff.cuni.cz/services/SynSemClass40/SynSemClass40.html?veclass=vec01149#vec01149-ces-cm00001", "vec01149")</f>
        <v>vec01149</v>
      </c>
      <c r="F55438" s="0" t="s">
        <v>13299</v>
      </c>
    </row>
    <row r="55439" customFormat="false" ht="12.8" hidden="false" customHeight="false" outlineLevel="0" collapsed="false">
      <c r="B55439" s="0" t="s">
        <v>1</v>
      </c>
      <c r="C55439" s="0" t="s">
        <v>4695</v>
      </c>
      <c r="E55439" s="0" t="s">
        <v>206</v>
      </c>
      <c r="F55439" s="0" t="s">
        <v>7923</v>
      </c>
    </row>
    <row r="55440" customFormat="false" ht="12.8" hidden="false" customHeight="false" outlineLevel="0" collapsed="false">
      <c r="B55440" s="0" t="s">
        <v>8</v>
      </c>
      <c r="C55440" s="0" t="s">
        <v>531</v>
      </c>
      <c r="E55440" s="0" t="s">
        <v>5934</v>
      </c>
      <c r="F55440" s="0" t="s">
        <v>13300</v>
      </c>
    </row>
    <row r="55441" customFormat="false" ht="12.8" hidden="false" customHeight="false" outlineLevel="0" collapsed="false">
      <c r="B55441" s="0" t="s">
        <v>52</v>
      </c>
      <c r="E55441" s="0" t="s">
        <v>53</v>
      </c>
      <c r="F55441" s="0" t="s">
        <v>54</v>
      </c>
    </row>
    <row r="55443" customFormat="false" ht="12.8" hidden="false" customHeight="false" outlineLevel="0" collapsed="false">
      <c r="A55443" s="0" t="s">
        <v>19078</v>
      </c>
      <c r="B55443" s="0" t="str">
        <f aca="false">HYPERLINK("https://lindat.mff.cuni.cz/services/teitok/pdtc10/index.php?action=vallex&amp;frame=v-w7842hsa_169", "vydat (v-w7842hsa_169)")</f>
        <v>vydat (v-w7842hsa_169)</v>
      </c>
      <c r="E55443" s="0" t="str">
        <f aca="false">HYPERLINK("https://lindat.mff.cuni.cz/services/SynSemClass40/SynSemClass40.html?veclass=vec00074#vec00074-ces-cm00223", "vec00074")</f>
        <v>vec00074</v>
      </c>
      <c r="F55443" s="0" t="s">
        <v>1782</v>
      </c>
    </row>
    <row r="55444" customFormat="false" ht="12.8" hidden="false" customHeight="false" outlineLevel="0" collapsed="false">
      <c r="B55444" s="0" t="s">
        <v>1</v>
      </c>
      <c r="C55444" s="0" t="s">
        <v>1783</v>
      </c>
      <c r="E55444" s="0" t="s">
        <v>1784</v>
      </c>
      <c r="F55444" s="0" t="s">
        <v>1785</v>
      </c>
    </row>
    <row r="55445" customFormat="false" ht="12.8" hidden="false" customHeight="false" outlineLevel="0" collapsed="false">
      <c r="B55445" s="0" t="s">
        <v>8</v>
      </c>
      <c r="C55445" s="0" t="s">
        <v>1786</v>
      </c>
      <c r="E55445" s="0" t="s">
        <v>1787</v>
      </c>
      <c r="F55445" s="0" t="s">
        <v>1788</v>
      </c>
    </row>
    <row r="55446" customFormat="false" ht="12.8" hidden="false" customHeight="false" outlineLevel="0" collapsed="false">
      <c r="B55446" s="0" t="s">
        <v>3473</v>
      </c>
      <c r="C55446" s="0" t="s">
        <v>1789</v>
      </c>
      <c r="E55446" s="0" t="s">
        <v>53</v>
      </c>
      <c r="F55446" s="0" t="s">
        <v>1790</v>
      </c>
    </row>
    <row r="55448" customFormat="false" ht="12.8" hidden="false" customHeight="false" outlineLevel="0" collapsed="false">
      <c r="A55448" s="0" t="s">
        <v>19078</v>
      </c>
      <c r="B55448" s="0" t="str">
        <f aca="false">HYPERLINK("https://lindat.mff.cuni.cz/services/teitok/pdtc10/index.php?action=vallex&amp;frame=v-w7842f10", "vydat (v-w7842f10) - substituted with v-w7842hsa_169")</f>
        <v>vydat (v-w7842f10) - substituted with v-w7842hsa_169</v>
      </c>
    </row>
    <row r="55449" customFormat="false" ht="12.8" hidden="false" customHeight="false" outlineLevel="0" collapsed="false">
      <c r="B55449" s="0" t="s">
        <v>1</v>
      </c>
    </row>
    <row r="55450" customFormat="false" ht="12.8" hidden="false" customHeight="false" outlineLevel="0" collapsed="false">
      <c r="B55450" s="0" t="s">
        <v>8</v>
      </c>
    </row>
    <row r="55451" customFormat="false" ht="12.8" hidden="false" customHeight="false" outlineLevel="0" collapsed="false">
      <c r="B55451" s="0" t="s">
        <v>3473</v>
      </c>
    </row>
    <row r="55453" customFormat="false" ht="12.8" hidden="false" customHeight="false" outlineLevel="0" collapsed="false">
      <c r="A55453" s="0" t="s">
        <v>19079</v>
      </c>
      <c r="B55453" s="0" t="str">
        <f aca="false">HYPERLINK("https://lindat.mff.cuni.cz/services/teitok/pdtc10/index.php?action=vallex&amp;frame=v-w7842f12", "vydat (v-w7842f12)")</f>
        <v>vydat (v-w7842f12)</v>
      </c>
    </row>
    <row r="55454" customFormat="false" ht="12.8" hidden="false" customHeight="false" outlineLevel="0" collapsed="false">
      <c r="B55454" s="0" t="s">
        <v>1</v>
      </c>
    </row>
    <row r="55455" customFormat="false" ht="12.8" hidden="false" customHeight="false" outlineLevel="0" collapsed="false">
      <c r="B55455" s="0" t="s">
        <v>8</v>
      </c>
    </row>
    <row r="55456" customFormat="false" ht="12.8" hidden="false" customHeight="false" outlineLevel="0" collapsed="false">
      <c r="B55456" s="0" t="s">
        <v>839</v>
      </c>
    </row>
    <row r="55458" customFormat="false" ht="12.8" hidden="false" customHeight="false" outlineLevel="0" collapsed="false">
      <c r="A55458" s="0" t="s">
        <v>19080</v>
      </c>
      <c r="B55458" s="0" t="str">
        <f aca="false">HYPERLINK("https://lindat.mff.cuni.cz/services/teitok/pdtc10/index.php?action=vallex&amp;frame=v-w7842f3", "vydat (v-w7842f3)")</f>
        <v>vydat (v-w7842f3)</v>
      </c>
      <c r="E55458" s="0" t="str">
        <f aca="false">HYPERLINK("https://lindat.mff.cuni.cz/services/SynSemClass40/SynSemClass40.html?veclass=vec00147#vec00147-ces-cm00011", "vec00147")</f>
        <v>vec00147</v>
      </c>
      <c r="F55458" s="0" t="s">
        <v>1698</v>
      </c>
    </row>
    <row r="55459" customFormat="false" ht="12.8" hidden="false" customHeight="false" outlineLevel="0" collapsed="false">
      <c r="B55459" s="0" t="s">
        <v>1</v>
      </c>
      <c r="C55459" s="0" t="s">
        <v>1699</v>
      </c>
      <c r="E55459" s="0" t="s">
        <v>11</v>
      </c>
      <c r="F55459" s="0" t="s">
        <v>1700</v>
      </c>
    </row>
    <row r="55460" customFormat="false" ht="12.8" hidden="false" customHeight="false" outlineLevel="0" collapsed="false">
      <c r="B55460" s="0" t="s">
        <v>8</v>
      </c>
      <c r="C55460" s="0" t="s">
        <v>1701</v>
      </c>
      <c r="E55460" s="0" t="s">
        <v>1702</v>
      </c>
      <c r="F55460" s="0" t="s">
        <v>1703</v>
      </c>
    </row>
    <row r="55461" customFormat="false" ht="12.8" hidden="false" customHeight="false" outlineLevel="0" collapsed="false">
      <c r="B55461" s="0" t="s">
        <v>723</v>
      </c>
      <c r="C55461" s="0" t="s">
        <v>3417</v>
      </c>
      <c r="E55461" s="0" t="s">
        <v>3418</v>
      </c>
      <c r="F55461" s="0" t="s">
        <v>3419</v>
      </c>
    </row>
    <row r="55463" customFormat="false" ht="12.8" hidden="false" customHeight="false" outlineLevel="0" collapsed="false">
      <c r="A55463" s="0" t="s">
        <v>19081</v>
      </c>
      <c r="B55463" s="0" t="str">
        <f aca="false">HYPERLINK("https://lindat.mff.cuni.cz/services/teitok/pdtc10/index.php?action=vallex&amp;frame=v-w7842f6", "vydat (v-w7842f6)")</f>
        <v>vydat (v-w7842f6)</v>
      </c>
      <c r="E55463" s="0" t="str">
        <f aca="false">HYPERLINK("https://lindat.mff.cuni.cz/services/SynSemClass40/SynSemClass40.html?veclass=vec01149#vec01149-ces-cm00002", "vec01149")</f>
        <v>vec01149</v>
      </c>
      <c r="F55463" s="0" t="s">
        <v>13299</v>
      </c>
    </row>
    <row r="55464" customFormat="false" ht="12.8" hidden="false" customHeight="false" outlineLevel="0" collapsed="false">
      <c r="B55464" s="0" t="s">
        <v>1</v>
      </c>
      <c r="C55464" s="0" t="s">
        <v>4695</v>
      </c>
      <c r="E55464" s="0" t="s">
        <v>206</v>
      </c>
      <c r="F55464" s="0" t="s">
        <v>7923</v>
      </c>
    </row>
    <row r="55465" customFormat="false" ht="12.8" hidden="false" customHeight="false" outlineLevel="0" collapsed="false">
      <c r="B55465" s="0" t="s">
        <v>8</v>
      </c>
      <c r="C55465" s="0" t="s">
        <v>531</v>
      </c>
      <c r="E55465" s="0" t="s">
        <v>5934</v>
      </c>
      <c r="F55465" s="0" t="s">
        <v>13300</v>
      </c>
    </row>
    <row r="55466" customFormat="false" ht="12.8" hidden="false" customHeight="false" outlineLevel="0" collapsed="false">
      <c r="B55466" s="0" t="s">
        <v>164</v>
      </c>
      <c r="E55466" s="0" t="s">
        <v>2212</v>
      </c>
      <c r="F55466" s="0" t="s">
        <v>13301</v>
      </c>
    </row>
    <row r="55468" customFormat="false" ht="12.8" hidden="false" customHeight="false" outlineLevel="0" collapsed="false">
      <c r="A55468" s="0" t="s">
        <v>19082</v>
      </c>
      <c r="B55468" s="0" t="str">
        <f aca="false">HYPERLINK("https://lindat.mff.cuni.cz/services/teitok/pdtc10/index.php?action=vallex&amp;frame=v-w7842f1", "vydat (v-w7842f1)")</f>
        <v>vydat (v-w7842f1)</v>
      </c>
      <c r="E55468" s="0" t="str">
        <f aca="false">HYPERLINK("https://lindat.mff.cuni.cz/services/SynSemClass40/SynSemClass40.html?veclass=vec00351#vec00351-ces-cm00001", "vec00351")</f>
        <v>vec00351</v>
      </c>
      <c r="F55468" s="0" t="s">
        <v>12993</v>
      </c>
    </row>
    <row r="55469" customFormat="false" ht="12.8" hidden="false" customHeight="false" outlineLevel="0" collapsed="false">
      <c r="B55469" s="0" t="s">
        <v>1</v>
      </c>
      <c r="C55469" s="0" t="s">
        <v>12994</v>
      </c>
      <c r="E55469" s="0" t="s">
        <v>768</v>
      </c>
      <c r="F55469" s="0" t="s">
        <v>12995</v>
      </c>
    </row>
    <row r="55470" customFormat="false" ht="12.8" hidden="false" customHeight="false" outlineLevel="0" collapsed="false">
      <c r="B55470" s="0" t="s">
        <v>228</v>
      </c>
      <c r="C55470" s="0" t="s">
        <v>12996</v>
      </c>
      <c r="E55470" s="0" t="s">
        <v>12997</v>
      </c>
      <c r="F55470" s="0" t="s">
        <v>12998</v>
      </c>
    </row>
    <row r="55472" customFormat="false" ht="12.8" hidden="false" customHeight="false" outlineLevel="0" collapsed="false">
      <c r="A55472" s="0" t="s">
        <v>19083</v>
      </c>
      <c r="B55472" s="0" t="str">
        <f aca="false">HYPERLINK("https://lindat.mff.cuni.cz/services/teitok/pdtc10/index.php?action=vallex&amp;frame=v-w7842f13", "vydat (v-w7842f13)")</f>
        <v>vydat (v-w7842f13)</v>
      </c>
    </row>
    <row r="55473" customFormat="false" ht="12.8" hidden="false" customHeight="false" outlineLevel="0" collapsed="false">
      <c r="B55473" s="0" t="s">
        <v>1</v>
      </c>
    </row>
    <row r="55474" customFormat="false" ht="12.8" hidden="false" customHeight="false" outlineLevel="0" collapsed="false">
      <c r="B55474" s="0" t="s">
        <v>8</v>
      </c>
    </row>
    <row r="55476" customFormat="false" ht="12.8" hidden="false" customHeight="false" outlineLevel="0" collapsed="false">
      <c r="A55476" s="0" t="s">
        <v>19084</v>
      </c>
      <c r="B55476" s="0" t="str">
        <f aca="false">HYPERLINK("https://lindat.mff.cuni.cz/services/teitok/pdtc10/index.php?action=vallex&amp;frame=v-w7842f8", "vydat (v-w7842f8)")</f>
        <v>vydat (v-w7842f8)</v>
      </c>
    </row>
    <row r="55477" customFormat="false" ht="12.8" hidden="false" customHeight="false" outlineLevel="0" collapsed="false">
      <c r="B55477" s="0" t="s">
        <v>1</v>
      </c>
    </row>
    <row r="55478" customFormat="false" ht="12.8" hidden="false" customHeight="false" outlineLevel="0" collapsed="false">
      <c r="B55478" s="0" t="s">
        <v>45</v>
      </c>
    </row>
    <row r="55480" customFormat="false" ht="12.8" hidden="false" customHeight="false" outlineLevel="0" collapsed="false">
      <c r="A55480" s="0" t="s">
        <v>19085</v>
      </c>
      <c r="B55480" s="0" t="str">
        <f aca="false">HYPERLINK("https://lindat.mff.cuni.cz/services/teitok/pdtc10/index.php?action=vallex&amp;frame=v-w7842f11", "vydat (v-w7842f11)")</f>
        <v>vydat (v-w7842f11)</v>
      </c>
    </row>
    <row r="55481" customFormat="false" ht="12.8" hidden="false" customHeight="false" outlineLevel="0" collapsed="false">
      <c r="B55481" s="0" t="s">
        <v>1</v>
      </c>
    </row>
    <row r="55482" customFormat="false" ht="12.8" hidden="false" customHeight="false" outlineLevel="0" collapsed="false">
      <c r="B55482" s="0" t="s">
        <v>665</v>
      </c>
    </row>
    <row r="55484" customFormat="false" ht="12.8" hidden="false" customHeight="false" outlineLevel="0" collapsed="false">
      <c r="A55484" s="0" t="s">
        <v>19086</v>
      </c>
      <c r="B55484" s="0" t="str">
        <f aca="false">HYPERLINK("https://lindat.mff.cuni.cz/services/teitok/pdtc10/index.php?action=vallex&amp;frame=v-w7842f5", "vydat (v-w7842f5)")</f>
        <v>vydat (v-w7842f5)</v>
      </c>
      <c r="E55484" s="0" t="str">
        <f aca="false">HYPERLINK("https://lindat.mff.cuni.cz/services/SynSemClass40/SynSemClass40.html?veclass=vec00147#vec00147-ces-cm00012", "vec00147")</f>
        <v>vec00147</v>
      </c>
      <c r="F55484" s="0" t="s">
        <v>1698</v>
      </c>
    </row>
    <row r="55485" customFormat="false" ht="12.8" hidden="false" customHeight="false" outlineLevel="0" collapsed="false">
      <c r="B55485" s="0" t="s">
        <v>1</v>
      </c>
      <c r="C55485" s="0" t="s">
        <v>1699</v>
      </c>
      <c r="E55485" s="0" t="s">
        <v>11</v>
      </c>
      <c r="F55485" s="0" t="s">
        <v>1700</v>
      </c>
    </row>
    <row r="55486" customFormat="false" ht="12.8" hidden="false" customHeight="false" outlineLevel="0" collapsed="false">
      <c r="B55486" s="0" t="s">
        <v>865</v>
      </c>
      <c r="C55486" s="0" t="s">
        <v>18177</v>
      </c>
      <c r="E55486" s="0" t="s">
        <v>18178</v>
      </c>
      <c r="F55486" s="0" t="s">
        <v>18179</v>
      </c>
    </row>
    <row r="55487" customFormat="false" ht="12.8" hidden="false" customHeight="false" outlineLevel="0" collapsed="false">
      <c r="B55487" s="0" t="s">
        <v>2069</v>
      </c>
      <c r="C55487" s="0" t="s">
        <v>19087</v>
      </c>
      <c r="E55487" s="0" t="s">
        <v>19088</v>
      </c>
      <c r="F55487" s="0" t="s">
        <v>19089</v>
      </c>
    </row>
    <row r="55488" customFormat="false" ht="12.8" hidden="false" customHeight="false" outlineLevel="0" collapsed="false">
      <c r="B55488" s="0" t="s">
        <v>132</v>
      </c>
    </row>
    <row r="55490" customFormat="false" ht="12.8" hidden="false" customHeight="false" outlineLevel="0" collapsed="false">
      <c r="A55490" s="0" t="s">
        <v>19090</v>
      </c>
      <c r="B55490" s="0" t="str">
        <f aca="false">HYPERLINK("https://lindat.mff.cuni.cz/services/teitok/pdtc10/index.php?action=vallex&amp;frame=v-w7842hsa_136", "vydat (v-w7842hsa_136)")</f>
        <v>vydat (v-w7842hsa_136)</v>
      </c>
    </row>
    <row r="55491" customFormat="false" ht="12.8" hidden="false" customHeight="false" outlineLevel="0" collapsed="false">
      <c r="B55491" s="0" t="s">
        <v>1</v>
      </c>
    </row>
    <row r="55492" customFormat="false" ht="12.8" hidden="false" customHeight="false" outlineLevel="0" collapsed="false">
      <c r="B55492" s="0" t="s">
        <v>19091</v>
      </c>
    </row>
    <row r="55493" customFormat="false" ht="12.8" hidden="false" customHeight="false" outlineLevel="0" collapsed="false">
      <c r="B55493" s="0" t="s">
        <v>52</v>
      </c>
    </row>
    <row r="55495" customFormat="false" ht="12.8" hidden="false" customHeight="false" outlineLevel="0" collapsed="false">
      <c r="A55495" s="0" t="s">
        <v>19090</v>
      </c>
      <c r="B55495" s="0" t="str">
        <f aca="false">HYPERLINK("https://lindat.mff.cuni.cz/services/teitok/pdtc10/index.php?action=vallex&amp;frame=v-w7842f14_ZU", "vydat (v-w7842f14_ZU) - substituted with v-w7842hsa_136")</f>
        <v>vydat (v-w7842f14_ZU) - substituted with v-w7842hsa_136</v>
      </c>
    </row>
    <row r="55496" customFormat="false" ht="12.8" hidden="false" customHeight="false" outlineLevel="0" collapsed="false">
      <c r="B55496" s="0" t="s">
        <v>1</v>
      </c>
    </row>
    <row r="55497" customFormat="false" ht="12.8" hidden="false" customHeight="false" outlineLevel="0" collapsed="false">
      <c r="B55497" s="0" t="s">
        <v>19091</v>
      </c>
    </row>
    <row r="55498" customFormat="false" ht="12.8" hidden="false" customHeight="false" outlineLevel="0" collapsed="false">
      <c r="B55498" s="0" t="s">
        <v>52</v>
      </c>
    </row>
    <row r="55500" customFormat="false" ht="12.8" hidden="false" customHeight="false" outlineLevel="0" collapsed="false">
      <c r="A55500" s="0" t="s">
        <v>19090</v>
      </c>
      <c r="B55500" s="0" t="str">
        <f aca="false">HYPERLINK("https://lindat.mff.cuni.cz/services/teitok/pdtc10/index.php?action=vallex&amp;frame=v-w7842f15_ZU", "vydat (v-w7842f15_ZU) - substituted with v-w7842hsa_136")</f>
        <v>vydat (v-w7842f15_ZU) - substituted with v-w7842hsa_136</v>
      </c>
    </row>
    <row r="55501" customFormat="false" ht="12.8" hidden="false" customHeight="false" outlineLevel="0" collapsed="false">
      <c r="B55501" s="0" t="s">
        <v>1</v>
      </c>
    </row>
    <row r="55502" customFormat="false" ht="12.8" hidden="false" customHeight="false" outlineLevel="0" collapsed="false">
      <c r="B55502" s="0" t="s">
        <v>19091</v>
      </c>
    </row>
    <row r="55503" customFormat="false" ht="12.8" hidden="false" customHeight="false" outlineLevel="0" collapsed="false">
      <c r="B55503" s="0" t="s">
        <v>52</v>
      </c>
    </row>
    <row r="55505" customFormat="false" ht="12.8" hidden="false" customHeight="false" outlineLevel="0" collapsed="false">
      <c r="A55505" s="0" t="s">
        <v>19090</v>
      </c>
      <c r="B55505" s="0" t="str">
        <f aca="false">HYPERLINK("https://lindat.mff.cuni.cz/services/teitok/pdtc10/index.php?action=vallex&amp;frame=v-w7842f16_ZU", "vydat (v-w7842f16_ZU) - substituted with v-w7842hsa_136")</f>
        <v>vydat (v-w7842f16_ZU) - substituted with v-w7842hsa_136</v>
      </c>
    </row>
    <row r="55506" customFormat="false" ht="12.8" hidden="false" customHeight="false" outlineLevel="0" collapsed="false">
      <c r="B55506" s="0" t="s">
        <v>1</v>
      </c>
    </row>
    <row r="55507" customFormat="false" ht="12.8" hidden="false" customHeight="false" outlineLevel="0" collapsed="false">
      <c r="B55507" s="0" t="s">
        <v>19091</v>
      </c>
    </row>
    <row r="55508" customFormat="false" ht="12.8" hidden="false" customHeight="false" outlineLevel="0" collapsed="false">
      <c r="B55508" s="0" t="s">
        <v>52</v>
      </c>
    </row>
    <row r="55510" customFormat="false" ht="12.8" hidden="false" customHeight="false" outlineLevel="0" collapsed="false">
      <c r="A55510" s="0" t="s">
        <v>19090</v>
      </c>
      <c r="B55510" s="0" t="str">
        <f aca="false">HYPERLINK("https://lindat.mff.cuni.cz/services/teitok/pdtc10/index.php?action=vallex&amp;frame=v-w7842f18_ZU", "vydat (v-w7842f18_ZU) - substituted with v-w7842hsa_136")</f>
        <v>vydat (v-w7842f18_ZU) - substituted with v-w7842hsa_136</v>
      </c>
    </row>
    <row r="55511" customFormat="false" ht="12.8" hidden="false" customHeight="false" outlineLevel="0" collapsed="false">
      <c r="B55511" s="0" t="s">
        <v>1</v>
      </c>
    </row>
    <row r="55512" customFormat="false" ht="12.8" hidden="false" customHeight="false" outlineLevel="0" collapsed="false">
      <c r="B55512" s="0" t="s">
        <v>19091</v>
      </c>
    </row>
    <row r="55513" customFormat="false" ht="12.8" hidden="false" customHeight="false" outlineLevel="0" collapsed="false">
      <c r="B55513" s="0" t="s">
        <v>52</v>
      </c>
    </row>
    <row r="55515" customFormat="false" ht="12.8" hidden="false" customHeight="false" outlineLevel="0" collapsed="false">
      <c r="A55515" s="0" t="s">
        <v>19090</v>
      </c>
      <c r="B55515" s="0" t="str">
        <f aca="false">HYPERLINK("https://lindat.mff.cuni.cz/services/teitok/pdtc10/index.php?action=vallex&amp;frame=v-w7842f19_ZU", "vydat (v-w7842f19_ZU) - substituted with v-w7842hsa_136")</f>
        <v>vydat (v-w7842f19_ZU) - substituted with v-w7842hsa_136</v>
      </c>
    </row>
    <row r="55516" customFormat="false" ht="12.8" hidden="false" customHeight="false" outlineLevel="0" collapsed="false">
      <c r="B55516" s="0" t="s">
        <v>1</v>
      </c>
    </row>
    <row r="55517" customFormat="false" ht="12.8" hidden="false" customHeight="false" outlineLevel="0" collapsed="false">
      <c r="B55517" s="0" t="s">
        <v>19091</v>
      </c>
    </row>
    <row r="55518" customFormat="false" ht="12.8" hidden="false" customHeight="false" outlineLevel="0" collapsed="false">
      <c r="B55518" s="0" t="s">
        <v>52</v>
      </c>
    </row>
    <row r="55520" customFormat="false" ht="12.8" hidden="false" customHeight="false" outlineLevel="0" collapsed="false">
      <c r="A55520" s="0" t="s">
        <v>19090</v>
      </c>
      <c r="B55520" s="0" t="str">
        <f aca="false">HYPERLINK("https://lindat.mff.cuni.cz/services/teitok/pdtc10/index.php?action=vallex&amp;frame=v-w7842f20_ZU", "vydat (v-w7842f20_ZU) - substituted with v-w7842hsa_136")</f>
        <v>vydat (v-w7842f20_ZU) - substituted with v-w7842hsa_136</v>
      </c>
      <c r="E55520" s="0" t="str">
        <f aca="false">HYPERLINK("https://lindat.mff.cuni.cz/services/SynSemClass40/SynSemClass40.html?veclass=vec00060#vec00060-ces-cm00423", "vec00060")</f>
        <v>vec00060</v>
      </c>
      <c r="F55520" s="0" t="s">
        <v>213</v>
      </c>
    </row>
    <row r="55521" customFormat="false" ht="12.8" hidden="false" customHeight="false" outlineLevel="0" collapsed="false">
      <c r="B55521" s="0" t="s">
        <v>1</v>
      </c>
      <c r="C55521" s="0" t="s">
        <v>214</v>
      </c>
      <c r="E55521" s="0" t="s">
        <v>147</v>
      </c>
      <c r="F55521" s="0" t="s">
        <v>215</v>
      </c>
    </row>
    <row r="55522" customFormat="false" ht="12.8" hidden="false" customHeight="false" outlineLevel="0" collapsed="false">
      <c r="B55522" s="0" t="s">
        <v>19091</v>
      </c>
      <c r="C55522" s="0" t="s">
        <v>19092</v>
      </c>
      <c r="E55522" s="0" t="s">
        <v>5364</v>
      </c>
      <c r="F55522" s="0" t="s">
        <v>19093</v>
      </c>
    </row>
    <row r="55523" customFormat="false" ht="12.8" hidden="false" customHeight="false" outlineLevel="0" collapsed="false">
      <c r="B55523" s="0" t="s">
        <v>52</v>
      </c>
      <c r="C55523" s="0" t="s">
        <v>220</v>
      </c>
      <c r="E55523" s="0" t="s">
        <v>221</v>
      </c>
      <c r="F55523" s="0" t="s">
        <v>222</v>
      </c>
    </row>
    <row r="55525" customFormat="false" ht="12.8" hidden="false" customHeight="false" outlineLevel="0" collapsed="false">
      <c r="A55525" s="0" t="s">
        <v>19090</v>
      </c>
      <c r="B55525" s="0" t="str">
        <f aca="false">HYPERLINK("https://lindat.mff.cuni.cz/services/teitok/pdtc10/index.php?action=vallex&amp;frame=v-w7842f4", "vydat (v-w7842f4) - substituted with v-w7842hsa_136")</f>
        <v>vydat (v-w7842f4) - substituted with v-w7842hsa_136</v>
      </c>
    </row>
    <row r="55526" customFormat="false" ht="12.8" hidden="false" customHeight="false" outlineLevel="0" collapsed="false">
      <c r="B55526" s="0" t="s">
        <v>1</v>
      </c>
    </row>
    <row r="55527" customFormat="false" ht="12.8" hidden="false" customHeight="false" outlineLevel="0" collapsed="false">
      <c r="B55527" s="0" t="s">
        <v>19091</v>
      </c>
    </row>
    <row r="55528" customFormat="false" ht="12.8" hidden="false" customHeight="false" outlineLevel="0" collapsed="false">
      <c r="B55528" s="0" t="s">
        <v>52</v>
      </c>
    </row>
    <row r="55530" customFormat="false" ht="12.8" hidden="false" customHeight="false" outlineLevel="0" collapsed="false">
      <c r="A55530" s="0" t="s">
        <v>19094</v>
      </c>
      <c r="B55530" s="0" t="str">
        <f aca="false">HYPERLINK("https://lindat.mff.cuni.cz/services/teitok/pdtc10/index.php?action=vallex&amp;frame=v-w7842f7", "vydat (v-w7842f7)")</f>
        <v>vydat (v-w7842f7)</v>
      </c>
      <c r="E55530" s="0" t="str">
        <f aca="false">HYPERLINK("https://lindat.mff.cuni.cz/services/SynSemClass40/SynSemClass40.html?veclass=vec00449#vec00449-ces-cm00023", "vec00449")</f>
        <v>vec00449</v>
      </c>
      <c r="F55530" s="0" t="s">
        <v>8643</v>
      </c>
    </row>
    <row r="55531" customFormat="false" ht="12.8" hidden="false" customHeight="false" outlineLevel="0" collapsed="false">
      <c r="B55531" s="0" t="s">
        <v>1</v>
      </c>
      <c r="C55531" s="0" t="s">
        <v>8644</v>
      </c>
      <c r="E55531" s="0" t="s">
        <v>31</v>
      </c>
      <c r="F55531" s="0" t="s">
        <v>8645</v>
      </c>
    </row>
    <row r="55532" customFormat="false" ht="12.8" hidden="false" customHeight="false" outlineLevel="0" collapsed="false">
      <c r="B55532" s="0" t="s">
        <v>19095</v>
      </c>
    </row>
    <row r="55533" customFormat="false" ht="12.8" hidden="false" customHeight="false" outlineLevel="0" collapsed="false">
      <c r="B55533" s="0" t="s">
        <v>8</v>
      </c>
      <c r="C55533" s="0" t="s">
        <v>6312</v>
      </c>
      <c r="E55533" s="0" t="s">
        <v>180</v>
      </c>
      <c r="F55533" s="0" t="s">
        <v>8646</v>
      </c>
    </row>
    <row r="55534" customFormat="false" ht="12.8" hidden="false" customHeight="false" outlineLevel="0" collapsed="false">
      <c r="B55534" s="0" t="s">
        <v>132</v>
      </c>
      <c r="C55534" s="0" t="s">
        <v>1391</v>
      </c>
      <c r="E55534" s="0" t="s">
        <v>53</v>
      </c>
      <c r="F55534" s="0" t="s">
        <v>4403</v>
      </c>
    </row>
    <row r="55536" customFormat="false" ht="12.8" hidden="false" customHeight="false" outlineLevel="0" collapsed="false">
      <c r="A55536" s="0" t="s">
        <v>19096</v>
      </c>
      <c r="B55536" s="0" t="str">
        <f aca="false">HYPERLINK("https://lindat.mff.cuni.cz/services/teitok/pdtc10/index.php?action=vallex&amp;frame=v-w7842f9", "vydat (v-w7842f9)")</f>
        <v>vydat (v-w7842f9)</v>
      </c>
    </row>
    <row r="55537" customFormat="false" ht="12.8" hidden="false" customHeight="false" outlineLevel="0" collapsed="false">
      <c r="B55537" s="0" t="s">
        <v>1</v>
      </c>
    </row>
    <row r="55538" customFormat="false" ht="12.8" hidden="false" customHeight="false" outlineLevel="0" collapsed="false">
      <c r="B55538" s="0" t="s">
        <v>19097</v>
      </c>
    </row>
    <row r="55539" customFormat="false" ht="12.8" hidden="false" customHeight="false" outlineLevel="0" collapsed="false">
      <c r="B55539" s="0" t="s">
        <v>8</v>
      </c>
    </row>
    <row r="55541" customFormat="false" ht="12.8" hidden="false" customHeight="false" outlineLevel="0" collapsed="false">
      <c r="A55541" s="0" t="s">
        <v>19098</v>
      </c>
      <c r="B55541" s="0" t="str">
        <f aca="false">HYPERLINK("https://lindat.mff.cuni.cz/services/teitok/pdtc10/index.php?action=vallex&amp;frame=v-w7842f17_ZU", "vydat (v-w7842f17_ZU)")</f>
        <v>vydat (v-w7842f17_ZU)</v>
      </c>
    </row>
    <row r="55542" customFormat="false" ht="12.8" hidden="false" customHeight="false" outlineLevel="0" collapsed="false">
      <c r="B55542" s="0" t="s">
        <v>1</v>
      </c>
    </row>
    <row r="55543" customFormat="false" ht="12.8" hidden="false" customHeight="false" outlineLevel="0" collapsed="false">
      <c r="B55543" s="0" t="s">
        <v>19099</v>
      </c>
    </row>
    <row r="55544" customFormat="false" ht="12.8" hidden="false" customHeight="false" outlineLevel="0" collapsed="false">
      <c r="B55544" s="0" t="s">
        <v>45</v>
      </c>
    </row>
    <row r="55546" customFormat="false" ht="12.8" hidden="false" customHeight="false" outlineLevel="0" collapsed="false">
      <c r="A55546" s="0" t="s">
        <v>19100</v>
      </c>
      <c r="B55546" s="0" t="str">
        <f aca="false">HYPERLINK("https://lindat.mff.cuni.cz/services/teitok/pdtc10/index.php?action=vallex&amp;frame=v-w7842f21_ZU", "vydat (v-w7842f21_ZU)")</f>
        <v>vydat (v-w7842f21_ZU)</v>
      </c>
    </row>
    <row r="55547" customFormat="false" ht="12.8" hidden="false" customHeight="false" outlineLevel="0" collapsed="false">
      <c r="B55547" s="0" t="s">
        <v>1</v>
      </c>
    </row>
    <row r="55548" customFormat="false" ht="12.8" hidden="false" customHeight="false" outlineLevel="0" collapsed="false">
      <c r="B55548" s="0" t="s">
        <v>19101</v>
      </c>
    </row>
    <row r="55550" customFormat="false" ht="12.8" hidden="false" customHeight="false" outlineLevel="0" collapsed="false">
      <c r="A55550" s="0" t="s">
        <v>19102</v>
      </c>
      <c r="B55550" s="0" t="str">
        <f aca="false">HYPERLINK("https://lindat.mff.cuni.cz/services/teitok/pdtc10/index.php?action=vallex&amp;frame=v-w7842hsa_170", "vydat (v-w7842hsa_170)")</f>
        <v>vydat (v-w7842hsa_170)</v>
      </c>
    </row>
    <row r="55551" customFormat="false" ht="12.8" hidden="false" customHeight="false" outlineLevel="0" collapsed="false">
      <c r="B55551" s="0" t="s">
        <v>1</v>
      </c>
    </row>
    <row r="55552" customFormat="false" ht="12.8" hidden="false" customHeight="false" outlineLevel="0" collapsed="false">
      <c r="B55552" s="0" t="s">
        <v>19103</v>
      </c>
    </row>
    <row r="55554" customFormat="false" ht="12.8" hidden="false" customHeight="false" outlineLevel="0" collapsed="false">
      <c r="A55554" s="0" t="s">
        <v>19104</v>
      </c>
      <c r="B55554" s="0" t="str">
        <f aca="false">HYPERLINK("https://lindat.mff.cuni.cz/services/teitok/pdtc10/index.php?action=vallex&amp;frame=v-w7843f2", "vydat se (v-w7843f2)")</f>
        <v>vydat se (v-w7843f2)</v>
      </c>
    </row>
    <row r="55555" customFormat="false" ht="12.8" hidden="false" customHeight="false" outlineLevel="0" collapsed="false">
      <c r="B55555" s="0" t="s">
        <v>1</v>
      </c>
    </row>
    <row r="55556" customFormat="false" ht="12.8" hidden="false" customHeight="false" outlineLevel="0" collapsed="false">
      <c r="B55556" s="0" t="s">
        <v>298</v>
      </c>
    </row>
    <row r="55558" customFormat="false" ht="12.8" hidden="false" customHeight="false" outlineLevel="0" collapsed="false">
      <c r="A55558" s="0" t="s">
        <v>19105</v>
      </c>
      <c r="B55558" s="0" t="str">
        <f aca="false">HYPERLINK("https://lindat.mff.cuni.cz/services/teitok/pdtc10/index.php?action=vallex&amp;frame=v-w7843f1", "vydat se (v-w7843f1)")</f>
        <v>vydat se (v-w7843f1)</v>
      </c>
      <c r="E55558" s="0" t="str">
        <f aca="false">HYPERLINK("https://lindat.mff.cuni.cz/services/SynSemClass40/SynSemClass40.html?veclass=vec00022#vec00022-ces-cm00037", "vec00022")</f>
        <v>vec00022</v>
      </c>
      <c r="F55558" s="0" t="s">
        <v>4377</v>
      </c>
    </row>
    <row r="55559" customFormat="false" ht="12.8" hidden="false" customHeight="false" outlineLevel="0" collapsed="false">
      <c r="B55559" s="0" t="s">
        <v>1</v>
      </c>
      <c r="C55559" s="0" t="s">
        <v>4378</v>
      </c>
      <c r="E55559" s="0" t="s">
        <v>334</v>
      </c>
      <c r="F55559" s="0" t="s">
        <v>4379</v>
      </c>
    </row>
    <row r="55560" customFormat="false" ht="12.8" hidden="false" customHeight="false" outlineLevel="0" collapsed="false">
      <c r="B55560" s="0" t="s">
        <v>164</v>
      </c>
      <c r="E55560" s="0" t="s">
        <v>1315</v>
      </c>
      <c r="F55560" s="0" t="s">
        <v>1316</v>
      </c>
    </row>
    <row r="55562" customFormat="false" ht="12.8" hidden="false" customHeight="false" outlineLevel="0" collapsed="false">
      <c r="A55562" s="0" t="s">
        <v>19106</v>
      </c>
      <c r="B55562" s="0" t="str">
        <f aca="false">HYPERLINK("https://lindat.mff.cuni.cz/services/teitok/pdtc10/index.php?action=vallex&amp;frame=v-w7843f3", "vydat se (v-w7843f3)")</f>
        <v>vydat se (v-w7843f3)</v>
      </c>
    </row>
    <row r="55563" customFormat="false" ht="12.8" hidden="false" customHeight="false" outlineLevel="0" collapsed="false">
      <c r="B55563" s="0" t="s">
        <v>1</v>
      </c>
    </row>
    <row r="55564" customFormat="false" ht="12.8" hidden="false" customHeight="false" outlineLevel="0" collapsed="false">
      <c r="B55564" s="0" t="s">
        <v>19107</v>
      </c>
    </row>
    <row r="55566" customFormat="false" ht="12.8" hidden="false" customHeight="false" outlineLevel="0" collapsed="false">
      <c r="A55566" s="0" t="s">
        <v>19108</v>
      </c>
      <c r="B55566" s="0" t="str">
        <f aca="false">HYPERLINK("https://lindat.mff.cuni.cz/services/teitok/pdtc10/index.php?action=vallex&amp;frame=v-w7841f1", "vydařit se (v-w7841f1)")</f>
        <v>vydařit se (v-w7841f1)</v>
      </c>
      <c r="E55566" s="0" t="str">
        <f aca="false">HYPERLINK("https://lindat.mff.cuni.cz/services/SynSemClass40/SynSemClass40.html?veclass=vec00257#vec00257-ces-cm00032", "vec00257")</f>
        <v>vec00257</v>
      </c>
      <c r="F55566" s="0" t="s">
        <v>1804</v>
      </c>
    </row>
    <row r="55567" customFormat="false" ht="12.8" hidden="false" customHeight="false" outlineLevel="0" collapsed="false">
      <c r="B55567" s="0" t="s">
        <v>804</v>
      </c>
      <c r="C55567" s="0" t="s">
        <v>19109</v>
      </c>
      <c r="E55567" s="0" t="s">
        <v>11</v>
      </c>
      <c r="F55567" s="0" t="s">
        <v>1806</v>
      </c>
    </row>
    <row r="55568" customFormat="false" ht="12.8" hidden="false" customHeight="false" outlineLevel="0" collapsed="false">
      <c r="B55568" s="0" t="s">
        <v>1807</v>
      </c>
      <c r="C55568" s="0" t="s">
        <v>19110</v>
      </c>
      <c r="E55568" s="0" t="s">
        <v>1809</v>
      </c>
      <c r="F55568" s="0" t="s">
        <v>1810</v>
      </c>
    </row>
    <row r="55570" customFormat="false" ht="12.8" hidden="false" customHeight="false" outlineLevel="0" collapsed="false">
      <c r="A55570" s="0" t="s">
        <v>19111</v>
      </c>
      <c r="B55570" s="0" t="str">
        <f aca="false">HYPERLINK("https://lindat.mff.cuni.cz/services/teitok/pdtc10/index.php?action=vallex&amp;frame=v-w7851f1", "vydechnout si (v-w7851f1)")</f>
        <v>vydechnout si (v-w7851f1)</v>
      </c>
      <c r="E55570" s="0" t="str">
        <f aca="false">HYPERLINK("https://lindat.mff.cuni.cz/services/SynSemClass40/SynSemClass40.html?veclass=vec00959#vec00959-ces-cm00001", "vec00959")</f>
        <v>vec00959</v>
      </c>
      <c r="F55570" s="0" t="s">
        <v>11847</v>
      </c>
    </row>
    <row r="55571" customFormat="false" ht="12.8" hidden="false" customHeight="false" outlineLevel="0" collapsed="false">
      <c r="B55571" s="0" t="s">
        <v>1</v>
      </c>
      <c r="C55571" s="0" t="s">
        <v>4695</v>
      </c>
      <c r="E55571" s="0" t="s">
        <v>155</v>
      </c>
      <c r="F55571" s="0" t="s">
        <v>9833</v>
      </c>
    </row>
    <row r="55573" customFormat="false" ht="12.8" hidden="false" customHeight="false" outlineLevel="0" collapsed="false">
      <c r="A55573" s="0" t="s">
        <v>19112</v>
      </c>
      <c r="B55573" s="0" t="str">
        <f aca="false">HYPERLINK("https://lindat.mff.cuni.cz/services/teitok/pdtc10/index.php?action=vallex&amp;frame=v-w7850f1", "vydedukovat (v-w7850f1)")</f>
        <v>vydedukovat (v-w7850f1)</v>
      </c>
      <c r="E55573" s="0" t="str">
        <f aca="false">HYPERLINK("https://lindat.mff.cuni.cz/services/SynSemClass40/SynSemClass40.html?veclass=vec01361#vec01361-ces-cm00001", "vec01361")</f>
        <v>vec01361</v>
      </c>
      <c r="F55573" s="0" t="s">
        <v>2781</v>
      </c>
    </row>
    <row r="55574" customFormat="false" ht="12.8" hidden="false" customHeight="false" outlineLevel="0" collapsed="false">
      <c r="B55574" s="0" t="s">
        <v>1</v>
      </c>
      <c r="C55574" s="0" t="s">
        <v>18117</v>
      </c>
      <c r="E55574" s="0" t="s">
        <v>621</v>
      </c>
      <c r="F55574" s="0" t="s">
        <v>2783</v>
      </c>
    </row>
    <row r="55575" customFormat="false" ht="12.8" hidden="false" customHeight="false" outlineLevel="0" collapsed="false">
      <c r="B55575" s="0" t="s">
        <v>59</v>
      </c>
      <c r="C55575" s="0" t="s">
        <v>18118</v>
      </c>
      <c r="E55575" s="0" t="s">
        <v>2138</v>
      </c>
      <c r="F55575" s="0" t="s">
        <v>2785</v>
      </c>
    </row>
    <row r="55576" customFormat="false" ht="12.8" hidden="false" customHeight="false" outlineLevel="0" collapsed="false">
      <c r="B55576" s="0" t="s">
        <v>3889</v>
      </c>
      <c r="E55576" s="0" t="s">
        <v>2176</v>
      </c>
      <c r="F55576" s="0" t="s">
        <v>2807</v>
      </c>
    </row>
    <row r="55578" customFormat="false" ht="12.8" hidden="false" customHeight="false" outlineLevel="0" collapsed="false">
      <c r="A55578" s="0" t="s">
        <v>19113</v>
      </c>
      <c r="B55578" s="0" t="str">
        <f aca="false">HYPERLINK("https://lindat.mff.cuni.cz/services/teitok/pdtc10/index.php?action=vallex&amp;frame=v-w11670_ZUf1_ZU", "vydezinfikovat (v-w11670_ZUf1_ZU)")</f>
        <v>vydezinfikovat (v-w11670_ZUf1_ZU)</v>
      </c>
      <c r="E55578" s="0" t="str">
        <f aca="false">HYPERLINK("https://lindat.mff.cuni.cz/services/SynSemClass40/SynSemClass40.html?veclass=vec00552#vec00552-ces-cm00021", "vec00552")</f>
        <v>vec00552</v>
      </c>
      <c r="F55578" s="0" t="s">
        <v>5992</v>
      </c>
    </row>
    <row r="55579" customFormat="false" ht="12.8" hidden="false" customHeight="false" outlineLevel="0" collapsed="false">
      <c r="B55579" s="0" t="s">
        <v>1</v>
      </c>
      <c r="C55579" s="0" t="s">
        <v>239</v>
      </c>
      <c r="E55579" s="0" t="s">
        <v>31</v>
      </c>
      <c r="F55579" s="0" t="s">
        <v>5993</v>
      </c>
    </row>
    <row r="55580" customFormat="false" ht="12.8" hidden="false" customHeight="false" outlineLevel="0" collapsed="false">
      <c r="B55580" s="0" t="s">
        <v>8</v>
      </c>
      <c r="C55580" s="0" t="s">
        <v>5994</v>
      </c>
      <c r="E55580" s="0" t="s">
        <v>34</v>
      </c>
      <c r="F55580" s="0" t="s">
        <v>5995</v>
      </c>
    </row>
    <row r="55581" customFormat="false" ht="12.8" hidden="false" customHeight="false" outlineLevel="0" collapsed="false">
      <c r="B55581" s="0" t="s">
        <v>602</v>
      </c>
      <c r="C55581" s="0" t="s">
        <v>12931</v>
      </c>
      <c r="E55581" s="0" t="s">
        <v>9867</v>
      </c>
      <c r="F55581" s="0" t="s">
        <v>10302</v>
      </c>
    </row>
    <row r="55583" customFormat="false" ht="12.8" hidden="false" customHeight="false" outlineLevel="0" collapsed="false">
      <c r="A55583" s="0" t="s">
        <v>19114</v>
      </c>
      <c r="B55583" s="0" t="str">
        <f aca="false">HYPERLINK("https://lindat.mff.cuni.cz/services/teitok/pdtc10/index.php?action=vallex&amp;frame=v-w7861f1", "vydlabat (v-w7861f1)")</f>
        <v>vydlabat (v-w7861f1)</v>
      </c>
      <c r="E55583" s="0" t="str">
        <f aca="false">HYPERLINK("https://lindat.mff.cuni.cz/services/SynSemClass40/SynSemClass40.html?veclass=vec00900#vec00900-ces-cm00068", "vec00900")</f>
        <v>vec00900</v>
      </c>
      <c r="F55583" s="0" t="s">
        <v>14431</v>
      </c>
    </row>
    <row r="55584" customFormat="false" ht="12.8" hidden="false" customHeight="false" outlineLevel="0" collapsed="false">
      <c r="B55584" s="0" t="s">
        <v>1</v>
      </c>
      <c r="C55584" s="0" t="s">
        <v>459</v>
      </c>
      <c r="E55584" s="0" t="s">
        <v>768</v>
      </c>
      <c r="F55584" s="0" t="s">
        <v>7658</v>
      </c>
    </row>
    <row r="55585" customFormat="false" ht="12.8" hidden="false" customHeight="false" outlineLevel="0" collapsed="false">
      <c r="B55585" s="0" t="s">
        <v>8</v>
      </c>
      <c r="C55585" s="0" t="s">
        <v>531</v>
      </c>
      <c r="E55585" s="0" t="s">
        <v>771</v>
      </c>
      <c r="F55585" s="0" t="s">
        <v>1467</v>
      </c>
    </row>
    <row r="55586" customFormat="false" ht="12.8" hidden="false" customHeight="false" outlineLevel="0" collapsed="false">
      <c r="B55586" s="0" t="s">
        <v>36</v>
      </c>
      <c r="E55586" s="0" t="s">
        <v>787</v>
      </c>
      <c r="F55586" s="0" t="s">
        <v>14435</v>
      </c>
    </row>
    <row r="55588" customFormat="false" ht="12.8" hidden="false" customHeight="false" outlineLevel="0" collapsed="false">
      <c r="A55588" s="0" t="s">
        <v>19115</v>
      </c>
      <c r="B55588" s="0" t="str">
        <f aca="false">HYPERLINK("https://lindat.mff.cuni.cz/services/teitok/pdtc10/index.php?action=vallex&amp;frame=v-w7862f1", "vydlužit si (v-w7862f1)")</f>
        <v>vydlužit si (v-w7862f1)</v>
      </c>
    </row>
    <row r="55589" customFormat="false" ht="12.8" hidden="false" customHeight="false" outlineLevel="0" collapsed="false">
      <c r="B55589" s="0" t="s">
        <v>1</v>
      </c>
    </row>
    <row r="55590" customFormat="false" ht="12.8" hidden="false" customHeight="false" outlineLevel="0" collapsed="false">
      <c r="B55590" s="0" t="s">
        <v>8</v>
      </c>
    </row>
    <row r="55591" customFormat="false" ht="12.8" hidden="false" customHeight="false" outlineLevel="0" collapsed="false">
      <c r="B55591" s="0" t="s">
        <v>602</v>
      </c>
    </row>
    <row r="55593" customFormat="false" ht="12.8" hidden="false" customHeight="false" outlineLevel="0" collapsed="false">
      <c r="A55593" s="0" t="s">
        <v>19116</v>
      </c>
      <c r="B55593" s="0" t="str">
        <f aca="false">HYPERLINK("https://lindat.mff.cuni.cz/services/teitok/pdtc10/index.php?action=vallex&amp;frame=v-w10344f2", "vydláždit (v-w10344f2)")</f>
        <v>vydláždit (v-w10344f2)</v>
      </c>
      <c r="E55593" s="0" t="str">
        <f aca="false">HYPERLINK("https://lindat.mff.cuni.cz/services/SynSemClass40/SynSemClass40.html?veclass=vec01464#vec01464-ces-cm00003", "vec01464")</f>
        <v>vec01464</v>
      </c>
      <c r="F55593" s="0" t="s">
        <v>2074</v>
      </c>
    </row>
    <row r="55594" customFormat="false" ht="12.8" hidden="false" customHeight="false" outlineLevel="0" collapsed="false">
      <c r="B55594" s="0" t="s">
        <v>1</v>
      </c>
      <c r="C55594" s="0" t="s">
        <v>512</v>
      </c>
      <c r="E55594" s="0" t="s">
        <v>31</v>
      </c>
      <c r="F55594" s="0" t="s">
        <v>513</v>
      </c>
    </row>
    <row r="55595" customFormat="false" ht="12.8" hidden="false" customHeight="false" outlineLevel="0" collapsed="false">
      <c r="B55595" s="0" t="s">
        <v>8</v>
      </c>
      <c r="C55595" s="0" t="s">
        <v>7578</v>
      </c>
      <c r="E55595" s="0" t="s">
        <v>523</v>
      </c>
      <c r="F55595" s="0" t="s">
        <v>14434</v>
      </c>
    </row>
    <row r="55597" customFormat="false" ht="12.8" hidden="false" customHeight="false" outlineLevel="0" collapsed="false">
      <c r="A55597" s="0" t="s">
        <v>19117</v>
      </c>
      <c r="B55597" s="0" t="str">
        <f aca="false">HYPERLINK("https://lindat.mff.cuni.cz/services/teitok/pdtc10/index.php?action=vallex&amp;frame=v-w10344hsa_285", "vydláždit (v-w10344hsa_285)")</f>
        <v>vydláždit (v-w10344hsa_285)</v>
      </c>
    </row>
    <row r="55598" customFormat="false" ht="12.8" hidden="false" customHeight="false" outlineLevel="0" collapsed="false">
      <c r="B55598" s="0" t="s">
        <v>1</v>
      </c>
    </row>
    <row r="55599" customFormat="false" ht="12.8" hidden="false" customHeight="false" outlineLevel="0" collapsed="false">
      <c r="B55599" s="0" t="s">
        <v>8</v>
      </c>
    </row>
    <row r="55601" customFormat="false" ht="12.8" hidden="false" customHeight="false" outlineLevel="0" collapsed="false">
      <c r="A55601" s="0" t="s">
        <v>19118</v>
      </c>
      <c r="B55601" s="0" t="str">
        <f aca="false">HYPERLINK("https://lindat.mff.cuni.cz/services/teitok/pdtc10/index.php?action=vallex&amp;frame=v-w7863f1", "vydobýt (v-w7863f1)")</f>
        <v>vydobýt (v-w7863f1)</v>
      </c>
      <c r="E55601" s="0" t="str">
        <f aca="false">HYPERLINK("https://lindat.mff.cuni.cz/services/SynSemClass40/SynSemClass40.html?veclass=vec00956#vec00956-ces-cm00006", "vec00956")</f>
        <v>vec00956</v>
      </c>
      <c r="F55601" s="0" t="s">
        <v>2104</v>
      </c>
    </row>
    <row r="55602" customFormat="false" ht="12.8" hidden="false" customHeight="false" outlineLevel="0" collapsed="false">
      <c r="B55602" s="0" t="s">
        <v>1</v>
      </c>
      <c r="C55602" s="0" t="s">
        <v>18936</v>
      </c>
      <c r="E55602" s="0" t="s">
        <v>2106</v>
      </c>
      <c r="F55602" s="0" t="s">
        <v>2107</v>
      </c>
    </row>
    <row r="55603" customFormat="false" ht="12.8" hidden="false" customHeight="false" outlineLevel="0" collapsed="false">
      <c r="B55603" s="0" t="s">
        <v>8</v>
      </c>
      <c r="C55603" s="0" t="s">
        <v>5070</v>
      </c>
      <c r="E55603" s="0" t="s">
        <v>2111</v>
      </c>
      <c r="F55603" s="0" t="s">
        <v>2112</v>
      </c>
    </row>
    <row r="55605" customFormat="false" ht="12.8" hidden="false" customHeight="false" outlineLevel="0" collapsed="false">
      <c r="A55605" s="0" t="s">
        <v>19119</v>
      </c>
      <c r="B55605" s="0" t="str">
        <f aca="false">HYPERLINK("https://lindat.mff.cuni.cz/services/teitok/pdtc10/index.php?action=vallex&amp;frame=v-whsa_246f1_ZU", "vydojit (v-whsa_246f1_ZU)")</f>
        <v>vydojit (v-whsa_246f1_ZU)</v>
      </c>
      <c r="E55605" s="0" t="str">
        <f aca="false">HYPERLINK("https://lindat.mff.cuni.cz/services/SynSemClass40/SynSemClass40.html?veclass=vec00169#vec00169-ces-cm00108", "vec00169")</f>
        <v>vec00169</v>
      </c>
      <c r="F55605" s="0" t="s">
        <v>12277</v>
      </c>
    </row>
    <row r="55606" customFormat="false" ht="12.8" hidden="false" customHeight="false" outlineLevel="0" collapsed="false">
      <c r="B55606" s="0" t="s">
        <v>1</v>
      </c>
      <c r="C55606" s="0" t="s">
        <v>12278</v>
      </c>
      <c r="E55606" s="0" t="s">
        <v>1567</v>
      </c>
      <c r="F55606" s="0" t="s">
        <v>12279</v>
      </c>
    </row>
    <row r="55607" customFormat="false" ht="12.8" hidden="false" customHeight="false" outlineLevel="0" collapsed="false">
      <c r="B55607" s="0" t="s">
        <v>8</v>
      </c>
      <c r="E55607" s="0" t="s">
        <v>2111</v>
      </c>
      <c r="F55607" s="0" t="s">
        <v>18196</v>
      </c>
    </row>
    <row r="55608" customFormat="false" ht="12.8" hidden="false" customHeight="false" outlineLevel="0" collapsed="false">
      <c r="B55608" s="0" t="s">
        <v>19120</v>
      </c>
      <c r="C55608" s="0" t="s">
        <v>18197</v>
      </c>
      <c r="E55608" s="0" t="s">
        <v>2176</v>
      </c>
      <c r="F55608" s="0" t="s">
        <v>18198</v>
      </c>
    </row>
    <row r="55610" customFormat="false" ht="12.8" hidden="false" customHeight="false" outlineLevel="0" collapsed="false">
      <c r="A55610" s="0" t="s">
        <v>19119</v>
      </c>
      <c r="B55610" s="0" t="str">
        <f aca="false">HYPERLINK("https://lindat.mff.cuni.cz/services/teitok/pdtc10/index.php?action=vallex&amp;frame=v-whsa_246hsa_247", "vydojit (v-whsa_246hsa_247) - substituted with v-whsa_246f1_ZU")</f>
        <v>vydojit (v-whsa_246hsa_247) - substituted with v-whsa_246f1_ZU</v>
      </c>
    </row>
    <row r="55611" customFormat="false" ht="12.8" hidden="false" customHeight="false" outlineLevel="0" collapsed="false">
      <c r="B55611" s="0" t="s">
        <v>1</v>
      </c>
    </row>
    <row r="55612" customFormat="false" ht="12.8" hidden="false" customHeight="false" outlineLevel="0" collapsed="false">
      <c r="B55612" s="0" t="s">
        <v>8</v>
      </c>
    </row>
    <row r="55613" customFormat="false" ht="12.8" hidden="false" customHeight="false" outlineLevel="0" collapsed="false">
      <c r="B55613" s="0" t="s">
        <v>19120</v>
      </c>
    </row>
    <row r="55615" customFormat="false" ht="12.8" hidden="false" customHeight="false" outlineLevel="0" collapsed="false">
      <c r="A55615" s="0" t="s">
        <v>19121</v>
      </c>
      <c r="B55615" s="0" t="str">
        <f aca="false">HYPERLINK("https://lindat.mff.cuni.cz/services/teitok/pdtc10/index.php?action=vallex&amp;frame=v-w7864f2", "vydolovat (v-w7864f2)")</f>
        <v>vydolovat (v-w7864f2)</v>
      </c>
    </row>
    <row r="55616" customFormat="false" ht="12.8" hidden="false" customHeight="false" outlineLevel="0" collapsed="false">
      <c r="B55616" s="0" t="s">
        <v>1</v>
      </c>
    </row>
    <row r="55617" customFormat="false" ht="12.8" hidden="false" customHeight="false" outlineLevel="0" collapsed="false">
      <c r="B55617" s="0" t="s">
        <v>8</v>
      </c>
    </row>
    <row r="55618" customFormat="false" ht="12.8" hidden="false" customHeight="false" outlineLevel="0" collapsed="false">
      <c r="B55618" s="0" t="s">
        <v>19120</v>
      </c>
    </row>
    <row r="55620" customFormat="false" ht="12.8" hidden="false" customHeight="false" outlineLevel="0" collapsed="false">
      <c r="A55620" s="0" t="s">
        <v>19122</v>
      </c>
      <c r="B55620" s="0" t="str">
        <f aca="false">HYPERLINK("https://lindat.mff.cuni.cz/services/teitok/pdtc10/index.php?action=vallex&amp;frame=v-w7864f1", "vydolovat (v-w7864f1)")</f>
        <v>vydolovat (v-w7864f1)</v>
      </c>
    </row>
    <row r="55621" customFormat="false" ht="12.8" hidden="false" customHeight="false" outlineLevel="0" collapsed="false">
      <c r="B55621" s="0" t="s">
        <v>1</v>
      </c>
    </row>
    <row r="55622" customFormat="false" ht="12.8" hidden="false" customHeight="false" outlineLevel="0" collapsed="false">
      <c r="B55622" s="0" t="s">
        <v>8</v>
      </c>
    </row>
    <row r="55624" customFormat="false" ht="12.8" hidden="false" customHeight="false" outlineLevel="0" collapsed="false">
      <c r="A55624" s="0" t="s">
        <v>19123</v>
      </c>
      <c r="B55624" s="0" t="str">
        <f aca="false">HYPERLINK("https://lindat.mff.cuni.cz/services/teitok/pdtc10/index.php?action=vallex&amp;frame=v-w7865f1", "vydovádět se (v-w7865f1)")</f>
        <v>vydovádět se (v-w7865f1)</v>
      </c>
    </row>
    <row r="55625" customFormat="false" ht="12.8" hidden="false" customHeight="false" outlineLevel="0" collapsed="false">
      <c r="B55625" s="0" t="s">
        <v>1</v>
      </c>
    </row>
    <row r="55627" customFormat="false" ht="12.8" hidden="false" customHeight="false" outlineLevel="0" collapsed="false">
      <c r="A55627" s="0" t="s">
        <v>19124</v>
      </c>
      <c r="B55627" s="0" t="str">
        <f aca="false">HYPERLINK("https://lindat.mff.cuni.cz/services/teitok/pdtc10/index.php?action=vallex&amp;frame=v-w7866f1", "vydražit (v-w7866f1)")</f>
        <v>vydražit (v-w7866f1)</v>
      </c>
      <c r="E55627" s="0" t="str">
        <f aca="false">HYPERLINK("https://lindat.mff.cuni.cz/services/SynSemClass40/SynSemClass40.html?veclass=vec01151#vec01151-ces-cm00001", "vec01151")</f>
        <v>vec01151</v>
      </c>
      <c r="F55627" s="0" t="s">
        <v>3197</v>
      </c>
    </row>
    <row r="55628" customFormat="false" ht="12.8" hidden="false" customHeight="false" outlineLevel="0" collapsed="false">
      <c r="B55628" s="0" t="s">
        <v>1</v>
      </c>
      <c r="C55628" s="0" t="s">
        <v>825</v>
      </c>
      <c r="E55628" s="0" t="s">
        <v>3198</v>
      </c>
      <c r="F55628" s="0" t="s">
        <v>3199</v>
      </c>
    </row>
    <row r="55629" customFormat="false" ht="12.8" hidden="false" customHeight="false" outlineLevel="0" collapsed="false">
      <c r="B55629" s="0" t="s">
        <v>8</v>
      </c>
      <c r="C55629" s="0" t="s">
        <v>3200</v>
      </c>
      <c r="E55629" s="0" t="s">
        <v>3201</v>
      </c>
      <c r="F55629" s="0" t="s">
        <v>3202</v>
      </c>
    </row>
    <row r="55631" customFormat="false" ht="12.8" hidden="false" customHeight="false" outlineLevel="0" collapsed="false">
      <c r="A55631" s="0" t="s">
        <v>19125</v>
      </c>
      <c r="B55631" s="0" t="str">
        <f aca="false">HYPERLINK("https://lindat.mff.cuni.cz/services/teitok/pdtc10/index.php?action=vallex&amp;frame=v-whsa_1939f1_ZU", "vydrbat (v-whsa_1939f1_ZU)")</f>
        <v>vydrbat (v-whsa_1939f1_ZU)</v>
      </c>
    </row>
    <row r="55632" customFormat="false" ht="12.8" hidden="false" customHeight="false" outlineLevel="0" collapsed="false">
      <c r="B55632" s="0" t="s">
        <v>1</v>
      </c>
    </row>
    <row r="55633" customFormat="false" ht="12.8" hidden="false" customHeight="false" outlineLevel="0" collapsed="false">
      <c r="B55633" s="0" t="s">
        <v>8</v>
      </c>
    </row>
    <row r="55634" customFormat="false" ht="12.8" hidden="false" customHeight="false" outlineLevel="0" collapsed="false">
      <c r="B55634" s="0" t="s">
        <v>602</v>
      </c>
    </row>
    <row r="55636" customFormat="false" ht="12.8" hidden="false" customHeight="false" outlineLevel="0" collapsed="false">
      <c r="A55636" s="0" t="s">
        <v>19125</v>
      </c>
      <c r="B55636" s="0" t="str">
        <f aca="false">HYPERLINK("https://lindat.mff.cuni.cz/services/teitok/pdtc10/index.php?action=vallex&amp;frame=v-whsa_1939hsa_1940", "vydrbat (v-whsa_1939hsa_1940) - substituted with v-whsa_1939f1_ZU")</f>
        <v>vydrbat (v-whsa_1939hsa_1940) - substituted with v-whsa_1939f1_ZU</v>
      </c>
    </row>
    <row r="55637" customFormat="false" ht="12.8" hidden="false" customHeight="false" outlineLevel="0" collapsed="false">
      <c r="B55637" s="0" t="s">
        <v>1</v>
      </c>
    </row>
    <row r="55638" customFormat="false" ht="12.8" hidden="false" customHeight="false" outlineLevel="0" collapsed="false">
      <c r="B55638" s="0" t="s">
        <v>8</v>
      </c>
    </row>
    <row r="55639" customFormat="false" ht="12.8" hidden="false" customHeight="false" outlineLevel="0" collapsed="false">
      <c r="B55639" s="0" t="s">
        <v>602</v>
      </c>
    </row>
    <row r="55641" customFormat="false" ht="12.8" hidden="false" customHeight="false" outlineLevel="0" collapsed="false">
      <c r="A55641" s="0" t="s">
        <v>19126</v>
      </c>
      <c r="B55641" s="0" t="str">
        <f aca="false">HYPERLINK("https://lindat.mff.cuni.cz/services/teitok/pdtc10/index.php?action=vallex&amp;frame=v-w11619_ZUf1_ZU", "vydrápat se (v-w11619_ZUf1_ZU)")</f>
        <v>vydrápat se (v-w11619_ZUf1_ZU)</v>
      </c>
      <c r="E55641" s="0" t="str">
        <f aca="false">HYPERLINK("https://lindat.mff.cuni.cz/services/SynSemClass40/SynSemClass40.html?veclass=vec00811#vec00811-ces-cm00124", "vec00811")</f>
        <v>vec00811</v>
      </c>
      <c r="F55641" s="0" t="s">
        <v>2889</v>
      </c>
    </row>
    <row r="55642" customFormat="false" ht="12.8" hidden="false" customHeight="false" outlineLevel="0" collapsed="false">
      <c r="B55642" s="0" t="s">
        <v>1</v>
      </c>
      <c r="C55642" s="0" t="s">
        <v>5538</v>
      </c>
      <c r="E55642" s="0" t="s">
        <v>2892</v>
      </c>
      <c r="F55642" s="0" t="s">
        <v>2893</v>
      </c>
    </row>
    <row r="55643" customFormat="false" ht="12.8" hidden="false" customHeight="false" outlineLevel="0" collapsed="false">
      <c r="B55643" s="0" t="s">
        <v>6273</v>
      </c>
      <c r="E55643" s="0" t="s">
        <v>1949</v>
      </c>
      <c r="F55643" s="0" t="s">
        <v>2896</v>
      </c>
    </row>
    <row r="55645" customFormat="false" ht="12.8" hidden="false" customHeight="false" outlineLevel="0" collapsed="false">
      <c r="A55645" s="0" t="s">
        <v>19127</v>
      </c>
      <c r="B55645" s="0" t="str">
        <f aca="false">HYPERLINK("https://lindat.mff.cuni.cz/services/teitok/pdtc10/index.php?action=vallex&amp;frame=v-w7867f3_ZU", "vydržet (v-w7867f3_ZU)")</f>
        <v>vydržet (v-w7867f3_ZU)</v>
      </c>
    </row>
    <row r="55646" customFormat="false" ht="12.8" hidden="false" customHeight="false" outlineLevel="0" collapsed="false">
      <c r="B55646" s="0" t="s">
        <v>1</v>
      </c>
    </row>
    <row r="55647" customFormat="false" ht="12.8" hidden="false" customHeight="false" outlineLevel="0" collapsed="false">
      <c r="B55647" s="0" t="s">
        <v>1741</v>
      </c>
    </row>
    <row r="55649" customFormat="false" ht="12.8" hidden="false" customHeight="false" outlineLevel="0" collapsed="false">
      <c r="A55649" s="0" t="s">
        <v>19127</v>
      </c>
      <c r="B55649" s="0" t="str">
        <f aca="false">HYPERLINK("https://lindat.mff.cuni.cz/services/teitok/pdtc10/index.php?action=vallex&amp;frame=v-w7867f2", "vydržet (v-w7867f2) - substituted with v-w7867f3_ZU")</f>
        <v>vydržet (v-w7867f2) - substituted with v-w7867f3_ZU</v>
      </c>
    </row>
    <row r="55650" customFormat="false" ht="12.8" hidden="false" customHeight="false" outlineLevel="0" collapsed="false">
      <c r="B55650" s="0" t="s">
        <v>1</v>
      </c>
    </row>
    <row r="55651" customFormat="false" ht="12.8" hidden="false" customHeight="false" outlineLevel="0" collapsed="false">
      <c r="B55651" s="0" t="s">
        <v>1741</v>
      </c>
    </row>
    <row r="55653" customFormat="false" ht="12.8" hidden="false" customHeight="false" outlineLevel="0" collapsed="false">
      <c r="A55653" s="0" t="s">
        <v>19127</v>
      </c>
      <c r="B55653" s="0" t="str">
        <f aca="false">HYPERLINK("https://lindat.mff.cuni.cz/services/teitok/pdtc10/index.php?action=vallex&amp;frame=v-w7867hsa_371", "vydržet (v-w7867hsa_371) - substituted with v-w7867f3_ZU")</f>
        <v>vydržet (v-w7867hsa_371) - substituted with v-w7867f3_ZU</v>
      </c>
    </row>
    <row r="55654" customFormat="false" ht="12.8" hidden="false" customHeight="false" outlineLevel="0" collapsed="false">
      <c r="B55654" s="0" t="s">
        <v>1</v>
      </c>
    </row>
    <row r="55655" customFormat="false" ht="12.8" hidden="false" customHeight="false" outlineLevel="0" collapsed="false">
      <c r="B55655" s="0" t="s">
        <v>1741</v>
      </c>
    </row>
    <row r="55657" customFormat="false" ht="12.8" hidden="false" customHeight="false" outlineLevel="0" collapsed="false">
      <c r="A55657" s="0" t="s">
        <v>19128</v>
      </c>
      <c r="B55657" s="0" t="str">
        <f aca="false">HYPERLINK("https://lindat.mff.cuni.cz/services/teitok/pdtc10/index.php?action=vallex&amp;frame=v-w7867f1", "vydržet (v-w7867f1)")</f>
        <v>vydržet (v-w7867f1)</v>
      </c>
      <c r="E55657" s="0" t="str">
        <f aca="false">HYPERLINK("https://lindat.mff.cuni.cz/services/SynSemClass40/SynSemClass40.html?veclass=vec00491#vec00491-ces-cm00019", "vec00491")</f>
        <v>vec00491</v>
      </c>
      <c r="F55657" s="0" t="s">
        <v>12803</v>
      </c>
    </row>
    <row r="55658" customFormat="false" ht="12.8" hidden="false" customHeight="false" outlineLevel="0" collapsed="false">
      <c r="B55658" s="0" t="s">
        <v>1</v>
      </c>
      <c r="C55658" s="0" t="s">
        <v>12804</v>
      </c>
      <c r="E55658" s="0" t="s">
        <v>12805</v>
      </c>
      <c r="F55658" s="0" t="s">
        <v>12806</v>
      </c>
    </row>
    <row r="55660" customFormat="false" ht="12.8" hidden="false" customHeight="false" outlineLevel="0" collapsed="false">
      <c r="A55660" s="0" t="s">
        <v>19129</v>
      </c>
      <c r="B55660" s="0" t="str">
        <f aca="false">HYPERLINK("https://lindat.mff.cuni.cz/services/teitok/pdtc10/index.php?action=vallex&amp;frame=v-w7868f1", "vydržovat (v-w7868f1)")</f>
        <v>vydržovat (v-w7868f1)</v>
      </c>
    </row>
    <row r="55661" customFormat="false" ht="12.8" hidden="false" customHeight="false" outlineLevel="0" collapsed="false">
      <c r="B55661" s="0" t="s">
        <v>1</v>
      </c>
    </row>
    <row r="55662" customFormat="false" ht="12.8" hidden="false" customHeight="false" outlineLevel="0" collapsed="false">
      <c r="B55662" s="0" t="s">
        <v>8</v>
      </c>
    </row>
    <row r="55664" customFormat="false" ht="12.8" hidden="false" customHeight="false" outlineLevel="0" collapsed="false">
      <c r="A55664" s="0" t="s">
        <v>19130</v>
      </c>
      <c r="B55664" s="0" t="str">
        <f aca="false">HYPERLINK("https://lindat.mff.cuni.cz/services/teitok/pdtc10/index.php?action=vallex&amp;frame=v-w12229_ZUf1_ZU", "vydyndat (v-w12229_ZUf1_ZU)")</f>
        <v>vydyndat (v-w12229_ZUf1_ZU)</v>
      </c>
    </row>
    <row r="55665" customFormat="false" ht="12.8" hidden="false" customHeight="false" outlineLevel="0" collapsed="false">
      <c r="B55665" s="0" t="s">
        <v>1</v>
      </c>
    </row>
    <row r="55666" customFormat="false" ht="12.8" hidden="false" customHeight="false" outlineLevel="0" collapsed="false">
      <c r="B55666" s="0" t="s">
        <v>8</v>
      </c>
    </row>
    <row r="55667" customFormat="false" ht="12.8" hidden="false" customHeight="false" outlineLevel="0" collapsed="false">
      <c r="B55667" s="0" t="s">
        <v>36</v>
      </c>
    </row>
    <row r="55669" customFormat="false" ht="12.8" hidden="false" customHeight="false" outlineLevel="0" collapsed="false">
      <c r="A55669" s="0" t="s">
        <v>19131</v>
      </c>
      <c r="B55669" s="0" t="str">
        <f aca="false">HYPERLINK("https://lindat.mff.cuni.cz/services/teitok/pdtc10/index.php?action=vallex&amp;frame=v-w7846f9_ZU", "vydávat (v-w7846f9_ZU)")</f>
        <v>vydávat (v-w7846f9_ZU)</v>
      </c>
    </row>
    <row r="55670" customFormat="false" ht="12.8" hidden="false" customHeight="false" outlineLevel="0" collapsed="false">
      <c r="B55670" s="0" t="s">
        <v>1</v>
      </c>
    </row>
    <row r="55671" customFormat="false" ht="12.8" hidden="false" customHeight="false" outlineLevel="0" collapsed="false">
      <c r="B55671" s="0" t="s">
        <v>8</v>
      </c>
    </row>
    <row r="55672" customFormat="false" ht="12.8" hidden="false" customHeight="false" outlineLevel="0" collapsed="false">
      <c r="B55672" s="0" t="s">
        <v>52</v>
      </c>
    </row>
    <row r="55674" customFormat="false" ht="12.8" hidden="false" customHeight="false" outlineLevel="0" collapsed="false">
      <c r="A55674" s="0" t="s">
        <v>19131</v>
      </c>
      <c r="B55674" s="0" t="str">
        <f aca="false">HYPERLINK("https://lindat.mff.cuni.cz/services/teitok/pdtc10/index.php?action=vallex&amp;frame=v-w7846f2", "vydávat (v-w7846f2) - substituted with v-w7846f9_ZU")</f>
        <v>vydávat (v-w7846f2) - substituted with v-w7846f9_ZU</v>
      </c>
    </row>
    <row r="55675" customFormat="false" ht="12.8" hidden="false" customHeight="false" outlineLevel="0" collapsed="false">
      <c r="B55675" s="0" t="s">
        <v>1</v>
      </c>
    </row>
    <row r="55676" customFormat="false" ht="12.8" hidden="false" customHeight="false" outlineLevel="0" collapsed="false">
      <c r="B55676" s="0" t="s">
        <v>8</v>
      </c>
    </row>
    <row r="55677" customFormat="false" ht="12.8" hidden="false" customHeight="false" outlineLevel="0" collapsed="false">
      <c r="B55677" s="0" t="s">
        <v>52</v>
      </c>
    </row>
    <row r="55679" customFormat="false" ht="12.8" hidden="false" customHeight="false" outlineLevel="0" collapsed="false">
      <c r="A55679" s="0" t="s">
        <v>19132</v>
      </c>
      <c r="B55679" s="0" t="str">
        <f aca="false">HYPERLINK("https://lindat.mff.cuni.cz/services/teitok/pdtc10/index.php?action=vallex&amp;frame=v-w7846f7", "vydávat (v-w7846f7)")</f>
        <v>vydávat (v-w7846f7)</v>
      </c>
      <c r="E55679" s="0" t="str">
        <f aca="false">HYPERLINK("https://lindat.mff.cuni.cz/services/SynSemClass40/SynSemClass40.html?veclass=vec01149#vec01149-ces-cm00004", "vec01149")</f>
        <v>vec01149</v>
      </c>
      <c r="F55679" s="0" t="s">
        <v>13299</v>
      </c>
    </row>
    <row r="55680" customFormat="false" ht="12.8" hidden="false" customHeight="false" outlineLevel="0" collapsed="false">
      <c r="B55680" s="0" t="s">
        <v>1</v>
      </c>
      <c r="C55680" s="0" t="s">
        <v>4695</v>
      </c>
      <c r="E55680" s="0" t="s">
        <v>206</v>
      </c>
      <c r="F55680" s="0" t="s">
        <v>7923</v>
      </c>
    </row>
    <row r="55681" customFormat="false" ht="12.8" hidden="false" customHeight="false" outlineLevel="0" collapsed="false">
      <c r="B55681" s="0" t="s">
        <v>8</v>
      </c>
      <c r="C55681" s="0" t="s">
        <v>531</v>
      </c>
      <c r="E55681" s="0" t="s">
        <v>5934</v>
      </c>
      <c r="F55681" s="0" t="s">
        <v>13300</v>
      </c>
    </row>
    <row r="55682" customFormat="false" ht="12.8" hidden="false" customHeight="false" outlineLevel="0" collapsed="false">
      <c r="B55682" s="0" t="s">
        <v>52</v>
      </c>
      <c r="E55682" s="0" t="s">
        <v>53</v>
      </c>
      <c r="F55682" s="0" t="s">
        <v>54</v>
      </c>
    </row>
    <row r="55684" customFormat="false" ht="12.8" hidden="false" customHeight="false" outlineLevel="0" collapsed="false">
      <c r="A55684" s="0" t="s">
        <v>19133</v>
      </c>
      <c r="B55684" s="0" t="str">
        <f aca="false">HYPERLINK("https://lindat.mff.cuni.cz/services/teitok/pdtc10/index.php?action=vallex&amp;frame=v-w7846f3", "vydávat (v-w7846f3)")</f>
        <v>vydávat (v-w7846f3)</v>
      </c>
    </row>
    <row r="55685" customFormat="false" ht="12.8" hidden="false" customHeight="false" outlineLevel="0" collapsed="false">
      <c r="B55685" s="0" t="s">
        <v>1</v>
      </c>
    </row>
    <row r="55686" customFormat="false" ht="12.8" hidden="false" customHeight="false" outlineLevel="0" collapsed="false">
      <c r="B55686" s="0" t="s">
        <v>8</v>
      </c>
    </row>
    <row r="55687" customFormat="false" ht="12.8" hidden="false" customHeight="false" outlineLevel="0" collapsed="false">
      <c r="B55687" s="0" t="s">
        <v>839</v>
      </c>
    </row>
    <row r="55689" customFormat="false" ht="12.8" hidden="false" customHeight="false" outlineLevel="0" collapsed="false">
      <c r="A55689" s="0" t="s">
        <v>19134</v>
      </c>
      <c r="B55689" s="0" t="str">
        <f aca="false">HYPERLINK("https://lindat.mff.cuni.cz/services/teitok/pdtc10/index.php?action=vallex&amp;frame=v-w7846f4", "vydávat (v-w7846f4)")</f>
        <v>vydávat (v-w7846f4)</v>
      </c>
      <c r="E55689" s="0" t="str">
        <f aca="false">HYPERLINK("https://lindat.mff.cuni.cz/services/SynSemClass40/SynSemClass40.html?veclass=vec00147#vec00147-ces-cm00014", "vec00147")</f>
        <v>vec00147</v>
      </c>
      <c r="F55689" s="0" t="s">
        <v>1698</v>
      </c>
    </row>
    <row r="55690" customFormat="false" ht="12.8" hidden="false" customHeight="false" outlineLevel="0" collapsed="false">
      <c r="B55690" s="0" t="s">
        <v>1</v>
      </c>
      <c r="C55690" s="0" t="s">
        <v>1699</v>
      </c>
      <c r="E55690" s="0" t="s">
        <v>11</v>
      </c>
      <c r="F55690" s="0" t="s">
        <v>1700</v>
      </c>
    </row>
    <row r="55691" customFormat="false" ht="12.8" hidden="false" customHeight="false" outlineLevel="0" collapsed="false">
      <c r="B55691" s="0" t="s">
        <v>8</v>
      </c>
      <c r="C55691" s="0" t="s">
        <v>1701</v>
      </c>
      <c r="E55691" s="0" t="s">
        <v>1702</v>
      </c>
      <c r="F55691" s="0" t="s">
        <v>1703</v>
      </c>
    </row>
    <row r="55692" customFormat="false" ht="12.8" hidden="false" customHeight="false" outlineLevel="0" collapsed="false">
      <c r="B55692" s="0" t="s">
        <v>723</v>
      </c>
      <c r="C55692" s="0" t="s">
        <v>3417</v>
      </c>
      <c r="E55692" s="0" t="s">
        <v>3418</v>
      </c>
      <c r="F55692" s="0" t="s">
        <v>3419</v>
      </c>
    </row>
    <row r="55694" customFormat="false" ht="12.8" hidden="false" customHeight="false" outlineLevel="0" collapsed="false">
      <c r="A55694" s="0" t="s">
        <v>19135</v>
      </c>
      <c r="B55694" s="0" t="str">
        <f aca="false">HYPERLINK("https://lindat.mff.cuni.cz/services/teitok/pdtc10/index.php?action=vallex&amp;frame=v-w7846f8", "vydávat (v-w7846f8)")</f>
        <v>vydávat (v-w7846f8)</v>
      </c>
      <c r="E55694" s="0" t="str">
        <f aca="false">HYPERLINK("https://lindat.mff.cuni.cz/services/SynSemClass40/SynSemClass40.html?veclass=vec01149#vec01149-ces-cm00005", "vec01149")</f>
        <v>vec01149</v>
      </c>
      <c r="F55694" s="0" t="s">
        <v>13299</v>
      </c>
    </row>
    <row r="55695" customFormat="false" ht="12.8" hidden="false" customHeight="false" outlineLevel="0" collapsed="false">
      <c r="B55695" s="0" t="s">
        <v>1</v>
      </c>
      <c r="C55695" s="0" t="s">
        <v>4695</v>
      </c>
      <c r="E55695" s="0" t="s">
        <v>206</v>
      </c>
      <c r="F55695" s="0" t="s">
        <v>7923</v>
      </c>
    </row>
    <row r="55696" customFormat="false" ht="12.8" hidden="false" customHeight="false" outlineLevel="0" collapsed="false">
      <c r="B55696" s="0" t="s">
        <v>8</v>
      </c>
      <c r="C55696" s="0" t="s">
        <v>531</v>
      </c>
      <c r="E55696" s="0" t="s">
        <v>5934</v>
      </c>
      <c r="F55696" s="0" t="s">
        <v>13300</v>
      </c>
    </row>
    <row r="55697" customFormat="false" ht="12.8" hidden="false" customHeight="false" outlineLevel="0" collapsed="false">
      <c r="B55697" s="0" t="s">
        <v>164</v>
      </c>
      <c r="E55697" s="0" t="s">
        <v>2212</v>
      </c>
      <c r="F55697" s="0" t="s">
        <v>13301</v>
      </c>
    </row>
    <row r="55699" customFormat="false" ht="12.8" hidden="false" customHeight="false" outlineLevel="0" collapsed="false">
      <c r="A55699" s="0" t="s">
        <v>19136</v>
      </c>
      <c r="B55699" s="0" t="str">
        <f aca="false">HYPERLINK("https://lindat.mff.cuni.cz/services/teitok/pdtc10/index.php?action=vallex&amp;frame=v-w7846f1", "vydávat (v-w7846f1)")</f>
        <v>vydávat (v-w7846f1)</v>
      </c>
      <c r="E55699" s="0" t="str">
        <f aca="false">HYPERLINK("https://lindat.mff.cuni.cz/services/SynSemClass40/SynSemClass40.html?veclass=vec00351#vec00351-ces-cm00040", "vec00351")</f>
        <v>vec00351</v>
      </c>
      <c r="F55699" s="0" t="s">
        <v>12993</v>
      </c>
    </row>
    <row r="55700" customFormat="false" ht="12.8" hidden="false" customHeight="false" outlineLevel="0" collapsed="false">
      <c r="B55700" s="0" t="s">
        <v>1</v>
      </c>
      <c r="C55700" s="0" t="s">
        <v>12994</v>
      </c>
      <c r="E55700" s="0" t="s">
        <v>768</v>
      </c>
      <c r="F55700" s="0" t="s">
        <v>12995</v>
      </c>
    </row>
    <row r="55701" customFormat="false" ht="12.8" hidden="false" customHeight="false" outlineLevel="0" collapsed="false">
      <c r="B55701" s="0" t="s">
        <v>228</v>
      </c>
      <c r="C55701" s="0" t="s">
        <v>12996</v>
      </c>
      <c r="E55701" s="0" t="s">
        <v>12997</v>
      </c>
      <c r="F55701" s="0" t="s">
        <v>12998</v>
      </c>
    </row>
    <row r="55703" customFormat="false" ht="12.8" hidden="false" customHeight="false" outlineLevel="0" collapsed="false">
      <c r="A55703" s="0" t="s">
        <v>19137</v>
      </c>
      <c r="B55703" s="0" t="str">
        <f aca="false">HYPERLINK("https://lindat.mff.cuni.cz/services/teitok/pdtc10/index.php?action=vallex&amp;frame=v-w7846f5", "vydávat (v-w7846f5)")</f>
        <v>vydávat (v-w7846f5)</v>
      </c>
    </row>
    <row r="55704" customFormat="false" ht="12.8" hidden="false" customHeight="false" outlineLevel="0" collapsed="false">
      <c r="B55704" s="0" t="s">
        <v>1</v>
      </c>
    </row>
    <row r="55705" customFormat="false" ht="12.8" hidden="false" customHeight="false" outlineLevel="0" collapsed="false">
      <c r="B55705" s="0" t="s">
        <v>8</v>
      </c>
    </row>
    <row r="55707" customFormat="false" ht="12.8" hidden="false" customHeight="false" outlineLevel="0" collapsed="false">
      <c r="A55707" s="0" t="s">
        <v>19138</v>
      </c>
      <c r="B55707" s="0" t="str">
        <f aca="false">HYPERLINK("https://lindat.mff.cuni.cz/services/teitok/pdtc10/index.php?action=vallex&amp;frame=v-w7846f10_ZU", "vydávat (v-w7846f10_ZU)")</f>
        <v>vydávat (v-w7846f10_ZU)</v>
      </c>
    </row>
    <row r="55708" customFormat="false" ht="12.8" hidden="false" customHeight="false" outlineLevel="0" collapsed="false">
      <c r="B55708" s="0" t="s">
        <v>1</v>
      </c>
    </row>
    <row r="55709" customFormat="false" ht="12.8" hidden="false" customHeight="false" outlineLevel="0" collapsed="false">
      <c r="B55709" s="0" t="s">
        <v>19139</v>
      </c>
    </row>
    <row r="55710" customFormat="false" ht="12.8" hidden="false" customHeight="false" outlineLevel="0" collapsed="false">
      <c r="B55710" s="0" t="s">
        <v>52</v>
      </c>
    </row>
    <row r="55712" customFormat="false" ht="12.8" hidden="false" customHeight="false" outlineLevel="0" collapsed="false">
      <c r="A55712" s="0" t="s">
        <v>19138</v>
      </c>
      <c r="B55712" s="0" t="str">
        <f aca="false">HYPERLINK("https://lindat.mff.cuni.cz/services/teitok/pdtc10/index.php?action=vallex&amp;frame=v-w7846f6", "vydávat (v-w7846f6) - substituted with v-w7846f10_ZU")</f>
        <v>vydávat (v-w7846f6) - substituted with v-w7846f10_ZU</v>
      </c>
      <c r="E55712" s="0" t="str">
        <f aca="false">HYPERLINK("https://lindat.mff.cuni.cz/services/SynSemClass40/SynSemClass40.html?veclass=vec00060#vec00060-ces-cm00453", "vec00060")</f>
        <v>vec00060</v>
      </c>
      <c r="F55712" s="0" t="s">
        <v>213</v>
      </c>
    </row>
    <row r="55713" customFormat="false" ht="12.8" hidden="false" customHeight="false" outlineLevel="0" collapsed="false">
      <c r="B55713" s="0" t="s">
        <v>1</v>
      </c>
      <c r="C55713" s="0" t="s">
        <v>214</v>
      </c>
      <c r="E55713" s="0" t="s">
        <v>147</v>
      </c>
      <c r="F55713" s="0" t="s">
        <v>215</v>
      </c>
    </row>
    <row r="55714" customFormat="false" ht="12.8" hidden="false" customHeight="false" outlineLevel="0" collapsed="false">
      <c r="B55714" s="0" t="s">
        <v>19139</v>
      </c>
      <c r="C55714" s="0" t="s">
        <v>19092</v>
      </c>
      <c r="E55714" s="0" t="s">
        <v>5364</v>
      </c>
      <c r="F55714" s="0" t="s">
        <v>19093</v>
      </c>
    </row>
    <row r="55715" customFormat="false" ht="12.8" hidden="false" customHeight="false" outlineLevel="0" collapsed="false">
      <c r="B55715" s="0" t="s">
        <v>52</v>
      </c>
      <c r="C55715" s="0" t="s">
        <v>220</v>
      </c>
      <c r="E55715" s="0" t="s">
        <v>221</v>
      </c>
      <c r="F55715" s="0" t="s">
        <v>222</v>
      </c>
    </row>
    <row r="55717" customFormat="false" ht="12.8" hidden="false" customHeight="false" outlineLevel="0" collapsed="false">
      <c r="A55717" s="0" t="s">
        <v>19140</v>
      </c>
      <c r="B55717" s="0" t="str">
        <f aca="false">HYPERLINK("https://lindat.mff.cuni.cz/services/teitok/pdtc10/index.php?action=vallex&amp;frame=v-w7848f3", "vydávat se (v-w7848f3)")</f>
        <v>vydávat se (v-w7848f3)</v>
      </c>
    </row>
    <row r="55718" customFormat="false" ht="12.8" hidden="false" customHeight="false" outlineLevel="0" collapsed="false">
      <c r="B55718" s="0" t="s">
        <v>1</v>
      </c>
    </row>
    <row r="55719" customFormat="false" ht="12.8" hidden="false" customHeight="false" outlineLevel="0" collapsed="false">
      <c r="B55719" s="0" t="s">
        <v>298</v>
      </c>
    </row>
    <row r="55721" customFormat="false" ht="12.8" hidden="false" customHeight="false" outlineLevel="0" collapsed="false">
      <c r="A55721" s="0" t="s">
        <v>19141</v>
      </c>
      <c r="B55721" s="0" t="str">
        <f aca="false">HYPERLINK("https://lindat.mff.cuni.cz/services/teitok/pdtc10/index.php?action=vallex&amp;frame=v-w7848f2", "vydávat se (v-w7848f2)")</f>
        <v>vydávat se (v-w7848f2)</v>
      </c>
      <c r="E55721" s="0" t="str">
        <f aca="false">HYPERLINK("https://lindat.mff.cuni.cz/services/SynSemClass40/SynSemClass40.html?veclass=vec01150#vec01150-ces-cm00001", "vec01150")</f>
        <v>vec01150</v>
      </c>
      <c r="F55721" s="0" t="s">
        <v>19142</v>
      </c>
    </row>
    <row r="55722" customFormat="false" ht="12.8" hidden="false" customHeight="false" outlineLevel="0" collapsed="false">
      <c r="B55722" s="0" t="s">
        <v>1</v>
      </c>
      <c r="C55722" s="0" t="s">
        <v>1906</v>
      </c>
      <c r="E55722" s="0" t="s">
        <v>19143</v>
      </c>
      <c r="F55722" s="0" t="s">
        <v>19144</v>
      </c>
    </row>
    <row r="55723" customFormat="false" ht="12.8" hidden="false" customHeight="false" outlineLevel="0" collapsed="false">
      <c r="B55723" s="0" t="s">
        <v>665</v>
      </c>
      <c r="C55723" s="0" t="s">
        <v>19145</v>
      </c>
      <c r="E55723" s="0" t="s">
        <v>19146</v>
      </c>
      <c r="F55723" s="0" t="s">
        <v>19147</v>
      </c>
    </row>
    <row r="55725" customFormat="false" ht="12.8" hidden="false" customHeight="false" outlineLevel="0" collapsed="false">
      <c r="A55725" s="0" t="s">
        <v>19148</v>
      </c>
      <c r="B55725" s="0" t="str">
        <f aca="false">HYPERLINK("https://lindat.mff.cuni.cz/services/teitok/pdtc10/index.php?action=vallex&amp;frame=v-w7848f1", "vydávat se (v-w7848f1)")</f>
        <v>vydávat se (v-w7848f1)</v>
      </c>
      <c r="E55725" s="0" t="str">
        <f aca="false">HYPERLINK("https://lindat.mff.cuni.cz/services/SynSemClass40/SynSemClass40.html?veclass=vec00022#vec00022-ces-cm00060", "vec00022")</f>
        <v>vec00022</v>
      </c>
      <c r="F55725" s="0" t="s">
        <v>4377</v>
      </c>
    </row>
    <row r="55726" customFormat="false" ht="12.8" hidden="false" customHeight="false" outlineLevel="0" collapsed="false">
      <c r="B55726" s="0" t="s">
        <v>1</v>
      </c>
      <c r="C55726" s="0" t="s">
        <v>4378</v>
      </c>
      <c r="E55726" s="0" t="s">
        <v>334</v>
      </c>
      <c r="F55726" s="0" t="s">
        <v>4379</v>
      </c>
    </row>
    <row r="55727" customFormat="false" ht="12.8" hidden="false" customHeight="false" outlineLevel="0" collapsed="false">
      <c r="B55727" s="0" t="s">
        <v>164</v>
      </c>
      <c r="E55727" s="0" t="s">
        <v>1315</v>
      </c>
      <c r="F55727" s="0" t="s">
        <v>1316</v>
      </c>
    </row>
    <row r="55729" customFormat="false" ht="12.8" hidden="false" customHeight="false" outlineLevel="0" collapsed="false">
      <c r="A55729" s="0" t="s">
        <v>19149</v>
      </c>
      <c r="B55729" s="0" t="str">
        <f aca="false">HYPERLINK("https://lindat.mff.cuni.cz/services/teitok/pdtc10/index.php?action=vallex&amp;frame=v-w7860f1", "vydírat (v-w7860f1)")</f>
        <v>vydírat (v-w7860f1)</v>
      </c>
      <c r="E55729" s="0" t="str">
        <f aca="false">HYPERLINK("https://lindat.mff.cuni.cz/services/SynSemClass40/SynSemClass40.html?veclass=vec00753#vec00753-ces-cm00001", "vec00753")</f>
        <v>vec00753</v>
      </c>
      <c r="F55729" s="0" t="s">
        <v>19150</v>
      </c>
    </row>
    <row r="55730" customFormat="false" ht="12.8" hidden="false" customHeight="false" outlineLevel="0" collapsed="false">
      <c r="B55730" s="0" t="s">
        <v>1</v>
      </c>
      <c r="C55730" s="0" t="s">
        <v>1752</v>
      </c>
      <c r="E55730" s="0" t="s">
        <v>4726</v>
      </c>
      <c r="F55730" s="0" t="s">
        <v>19151</v>
      </c>
    </row>
    <row r="55731" customFormat="false" ht="12.8" hidden="false" customHeight="false" outlineLevel="0" collapsed="false">
      <c r="B55731" s="0" t="s">
        <v>8</v>
      </c>
      <c r="C55731" s="0" t="s">
        <v>19152</v>
      </c>
      <c r="E55731" s="0" t="s">
        <v>199</v>
      </c>
      <c r="F55731" s="0" t="s">
        <v>19153</v>
      </c>
    </row>
    <row r="55733" customFormat="false" ht="12.8" hidden="false" customHeight="false" outlineLevel="0" collapsed="false">
      <c r="A55733" s="0" t="s">
        <v>19154</v>
      </c>
      <c r="B55733" s="0" t="str">
        <f aca="false">HYPERLINK("https://lindat.mff.cuni.cz/services/teitok/pdtc10/index.php?action=vallex&amp;frame=v-w7869f1", "vydýchat se (v-w7869f1)")</f>
        <v>vydýchat se (v-w7869f1)</v>
      </c>
    </row>
    <row r="55734" customFormat="false" ht="12.8" hidden="false" customHeight="false" outlineLevel="0" collapsed="false">
      <c r="B55734" s="0" t="s">
        <v>1</v>
      </c>
    </row>
    <row r="55736" customFormat="false" ht="12.8" hidden="false" customHeight="false" outlineLevel="0" collapsed="false">
      <c r="A55736" s="0" t="s">
        <v>19155</v>
      </c>
      <c r="B55736" s="0" t="str">
        <f aca="false">HYPERLINK("https://lindat.mff.cuni.cz/services/teitok/pdtc10/index.php?action=vallex&amp;frame=v-w7849f1", "vydědit (v-w7849f1)")</f>
        <v>vydědit (v-w7849f1)</v>
      </c>
    </row>
    <row r="55737" customFormat="false" ht="12.8" hidden="false" customHeight="false" outlineLevel="0" collapsed="false">
      <c r="B55737" s="0" t="s">
        <v>1</v>
      </c>
    </row>
    <row r="55738" customFormat="false" ht="12.8" hidden="false" customHeight="false" outlineLevel="0" collapsed="false">
      <c r="B55738" s="0" t="s">
        <v>8</v>
      </c>
    </row>
    <row r="55740" customFormat="false" ht="12.8" hidden="false" customHeight="false" outlineLevel="0" collapsed="false">
      <c r="A55740" s="0" t="s">
        <v>19156</v>
      </c>
      <c r="B55740" s="0" t="str">
        <f aca="false">HYPERLINK("https://lindat.mff.cuni.cz/services/teitok/pdtc10/index.php?action=vallex&amp;frame=v-w7853f3_ZU", "vydělat (v-w7853f3_ZU)")</f>
        <v>vydělat (v-w7853f3_ZU)</v>
      </c>
      <c r="E55740" s="0" t="str">
        <f aca="false">HYPERLINK("https://lindat.mff.cuni.cz/services/SynSemClass40/SynSemClass40.html?veclass=vec00189#vec00189-ces-cm00136", "vec00189")</f>
        <v>vec00189</v>
      </c>
      <c r="F55740" s="0" t="s">
        <v>2169</v>
      </c>
    </row>
    <row r="55741" customFormat="false" ht="12.8" hidden="false" customHeight="false" outlineLevel="0" collapsed="false">
      <c r="B55741" s="0" t="s">
        <v>1</v>
      </c>
      <c r="C55741" s="0" t="s">
        <v>2170</v>
      </c>
      <c r="E55741" s="0" t="s">
        <v>1567</v>
      </c>
      <c r="F55741" s="0" t="s">
        <v>2171</v>
      </c>
    </row>
    <row r="55742" customFormat="false" ht="12.8" hidden="false" customHeight="false" outlineLevel="0" collapsed="false">
      <c r="B55742" s="0" t="s">
        <v>8</v>
      </c>
      <c r="C55742" s="0" t="s">
        <v>2173</v>
      </c>
      <c r="E55742" s="0" t="s">
        <v>2111</v>
      </c>
      <c r="F55742" s="0" t="s">
        <v>2174</v>
      </c>
    </row>
    <row r="55743" customFormat="false" ht="12.8" hidden="false" customHeight="false" outlineLevel="0" collapsed="false">
      <c r="B55743" s="0" t="s">
        <v>19157</v>
      </c>
      <c r="C55743" s="0" t="s">
        <v>2175</v>
      </c>
      <c r="E55743" s="0" t="s">
        <v>2176</v>
      </c>
      <c r="F55743" s="0" t="s">
        <v>2177</v>
      </c>
    </row>
    <row r="55745" customFormat="false" ht="12.8" hidden="false" customHeight="false" outlineLevel="0" collapsed="false">
      <c r="A55745" s="0" t="s">
        <v>19156</v>
      </c>
      <c r="B55745" s="0" t="str">
        <f aca="false">HYPERLINK("https://lindat.mff.cuni.cz/services/teitok/pdtc10/index.php?action=vallex&amp;frame=v-w7853f1", "vydělat (v-w7853f1) - substituted with v-w7853f3_ZU")</f>
        <v>vydělat (v-w7853f1) - substituted with v-w7853f3_ZU</v>
      </c>
    </row>
    <row r="55746" customFormat="false" ht="12.8" hidden="false" customHeight="false" outlineLevel="0" collapsed="false">
      <c r="B55746" s="0" t="s">
        <v>1</v>
      </c>
    </row>
    <row r="55747" customFormat="false" ht="12.8" hidden="false" customHeight="false" outlineLevel="0" collapsed="false">
      <c r="B55747" s="0" t="s">
        <v>8</v>
      </c>
    </row>
    <row r="55748" customFormat="false" ht="12.8" hidden="false" customHeight="false" outlineLevel="0" collapsed="false">
      <c r="B55748" s="0" t="s">
        <v>19157</v>
      </c>
    </row>
    <row r="55750" customFormat="false" ht="12.8" hidden="false" customHeight="false" outlineLevel="0" collapsed="false">
      <c r="A55750" s="0" t="s">
        <v>19156</v>
      </c>
      <c r="B55750" s="0" t="str">
        <f aca="false">HYPERLINK("https://lindat.mff.cuni.cz/services/teitok/pdtc10/index.php?action=vallex&amp;frame=v-w7853f2_ZU", "vydělat (v-w7853f2_ZU) - substituted with v-w7853f3_ZU")</f>
        <v>vydělat (v-w7853f2_ZU) - substituted with v-w7853f3_ZU</v>
      </c>
    </row>
    <row r="55751" customFormat="false" ht="12.8" hidden="false" customHeight="false" outlineLevel="0" collapsed="false">
      <c r="B55751" s="0" t="s">
        <v>1</v>
      </c>
    </row>
    <row r="55752" customFormat="false" ht="12.8" hidden="false" customHeight="false" outlineLevel="0" collapsed="false">
      <c r="B55752" s="0" t="s">
        <v>8</v>
      </c>
    </row>
    <row r="55753" customFormat="false" ht="12.8" hidden="false" customHeight="false" outlineLevel="0" collapsed="false">
      <c r="B55753" s="0" t="s">
        <v>19157</v>
      </c>
    </row>
    <row r="55755" customFormat="false" ht="12.8" hidden="false" customHeight="false" outlineLevel="0" collapsed="false">
      <c r="A55755" s="0" t="s">
        <v>19156</v>
      </c>
      <c r="B55755" s="0" t="str">
        <f aca="false">HYPERLINK("https://lindat.mff.cuni.cz/services/teitok/pdtc10/index.php?action=vallex&amp;frame=v-w7853hsa_301", "vydělat (v-w7853hsa_301) - substituted with v-w7853f3_ZU")</f>
        <v>vydělat (v-w7853hsa_301) - substituted with v-w7853f3_ZU</v>
      </c>
    </row>
    <row r="55756" customFormat="false" ht="12.8" hidden="false" customHeight="false" outlineLevel="0" collapsed="false">
      <c r="B55756" s="0" t="s">
        <v>1</v>
      </c>
    </row>
    <row r="55757" customFormat="false" ht="12.8" hidden="false" customHeight="false" outlineLevel="0" collapsed="false">
      <c r="B55757" s="0" t="s">
        <v>8</v>
      </c>
    </row>
    <row r="55758" customFormat="false" ht="12.8" hidden="false" customHeight="false" outlineLevel="0" collapsed="false">
      <c r="B55758" s="0" t="s">
        <v>19157</v>
      </c>
    </row>
    <row r="55760" customFormat="false" ht="12.8" hidden="false" customHeight="false" outlineLevel="0" collapsed="false">
      <c r="A55760" s="0" t="s">
        <v>19158</v>
      </c>
      <c r="B55760" s="0" t="str">
        <f aca="false">HYPERLINK("https://lindat.mff.cuni.cz/services/teitok/pdtc10/index.php?action=vallex&amp;frame=v-w7853hsa_239", "vydělat (v-w7853hsa_239)")</f>
        <v>vydělat (v-w7853hsa_239)</v>
      </c>
    </row>
    <row r="55761" customFormat="false" ht="12.8" hidden="false" customHeight="false" outlineLevel="0" collapsed="false">
      <c r="B55761" s="0" t="s">
        <v>1</v>
      </c>
    </row>
    <row r="55762" customFormat="false" ht="12.8" hidden="false" customHeight="false" outlineLevel="0" collapsed="false">
      <c r="B55762" s="0" t="s">
        <v>8</v>
      </c>
    </row>
    <row r="55764" customFormat="false" ht="12.8" hidden="false" customHeight="false" outlineLevel="0" collapsed="false">
      <c r="A55764" s="0" t="s">
        <v>19159</v>
      </c>
      <c r="B55764" s="0" t="str">
        <f aca="false">HYPERLINK("https://lindat.mff.cuni.cz/services/teitok/pdtc10/index.php?action=vallex&amp;frame=v-w7856f1", "vydělit (v-w7856f1)")</f>
        <v>vydělit (v-w7856f1)</v>
      </c>
    </row>
    <row r="55765" customFormat="false" ht="12.8" hidden="false" customHeight="false" outlineLevel="0" collapsed="false">
      <c r="B55765" s="0" t="s">
        <v>1</v>
      </c>
    </row>
    <row r="55766" customFormat="false" ht="12.8" hidden="false" customHeight="false" outlineLevel="0" collapsed="false">
      <c r="B55766" s="0" t="s">
        <v>8</v>
      </c>
    </row>
    <row r="55767" customFormat="false" ht="12.8" hidden="false" customHeight="false" outlineLevel="0" collapsed="false">
      <c r="B55767" s="0" t="s">
        <v>631</v>
      </c>
    </row>
    <row r="55769" customFormat="false" ht="12.8" hidden="false" customHeight="false" outlineLevel="0" collapsed="false">
      <c r="A55769" s="0" t="s">
        <v>19160</v>
      </c>
      <c r="B55769" s="0" t="str">
        <f aca="false">HYPERLINK("https://lindat.mff.cuni.cz/services/teitok/pdtc10/index.php?action=vallex&amp;frame=v-w7856f2_ZU", "vydělit (v-w7856f2_ZU)")</f>
        <v>vydělit (v-w7856f2_ZU)</v>
      </c>
    </row>
    <row r="55770" customFormat="false" ht="12.8" hidden="false" customHeight="false" outlineLevel="0" collapsed="false">
      <c r="B55770" s="0" t="s">
        <v>1</v>
      </c>
    </row>
    <row r="55771" customFormat="false" ht="12.8" hidden="false" customHeight="false" outlineLevel="0" collapsed="false">
      <c r="B55771" s="0" t="s">
        <v>8</v>
      </c>
    </row>
    <row r="55772" customFormat="false" ht="12.8" hidden="false" customHeight="false" outlineLevel="0" collapsed="false">
      <c r="B55772" s="0" t="s">
        <v>1696</v>
      </c>
    </row>
    <row r="55774" customFormat="false" ht="12.8" hidden="false" customHeight="false" outlineLevel="0" collapsed="false">
      <c r="A55774" s="0" t="s">
        <v>19160</v>
      </c>
      <c r="B55774" s="0" t="str">
        <f aca="false">HYPERLINK("https://lindat.mff.cuni.cz/services/teitok/pdtc10/index.php?action=vallex&amp;frame=v-w7856hsa_685", "vydělit (v-w7856hsa_685) - substituted with v-w7856f2_ZU")</f>
        <v>vydělit (v-w7856hsa_685) - substituted with v-w7856f2_ZU</v>
      </c>
    </row>
    <row r="55775" customFormat="false" ht="12.8" hidden="false" customHeight="false" outlineLevel="0" collapsed="false">
      <c r="B55775" s="0" t="s">
        <v>1</v>
      </c>
    </row>
    <row r="55776" customFormat="false" ht="12.8" hidden="false" customHeight="false" outlineLevel="0" collapsed="false">
      <c r="B55776" s="0" t="s">
        <v>8</v>
      </c>
    </row>
    <row r="55777" customFormat="false" ht="12.8" hidden="false" customHeight="false" outlineLevel="0" collapsed="false">
      <c r="B55777" s="0" t="s">
        <v>1696</v>
      </c>
    </row>
    <row r="55779" customFormat="false" ht="12.8" hidden="false" customHeight="false" outlineLevel="0" collapsed="false">
      <c r="A55779" s="0" t="s">
        <v>19161</v>
      </c>
      <c r="B55779" s="0" t="str">
        <f aca="false">HYPERLINK("https://lindat.mff.cuni.cz/services/teitok/pdtc10/index.php?action=vallex&amp;frame=v-w7857f1", "vydělit se (v-w7857f1)")</f>
        <v>vydělit se (v-w7857f1)</v>
      </c>
    </row>
    <row r="55780" customFormat="false" ht="12.8" hidden="false" customHeight="false" outlineLevel="0" collapsed="false">
      <c r="B55780" s="0" t="s">
        <v>1</v>
      </c>
    </row>
    <row r="55781" customFormat="false" ht="12.8" hidden="false" customHeight="false" outlineLevel="0" collapsed="false">
      <c r="B55781" s="0" t="s">
        <v>631</v>
      </c>
    </row>
    <row r="55783" customFormat="false" ht="12.8" hidden="false" customHeight="false" outlineLevel="0" collapsed="false">
      <c r="A55783" s="0" t="s">
        <v>19162</v>
      </c>
      <c r="B55783" s="0" t="str">
        <f aca="false">HYPERLINK("https://lindat.mff.cuni.cz/services/teitok/pdtc10/index.php?action=vallex&amp;frame=v-w7858f1", "vydělovat se (v-w7858f1)")</f>
        <v>vydělovat se (v-w7858f1)</v>
      </c>
    </row>
    <row r="55784" customFormat="false" ht="12.8" hidden="false" customHeight="false" outlineLevel="0" collapsed="false">
      <c r="B55784" s="0" t="s">
        <v>1</v>
      </c>
    </row>
    <row r="55785" customFormat="false" ht="12.8" hidden="false" customHeight="false" outlineLevel="0" collapsed="false">
      <c r="B55785" s="0" t="s">
        <v>631</v>
      </c>
    </row>
    <row r="55787" customFormat="false" ht="12.8" hidden="false" customHeight="false" outlineLevel="0" collapsed="false">
      <c r="A55787" s="0" t="s">
        <v>19163</v>
      </c>
      <c r="B55787" s="0" t="str">
        <f aca="false">HYPERLINK("https://lindat.mff.cuni.cz/services/teitok/pdtc10/index.php?action=vallex&amp;frame=v-w7854f1", "vydělávat (v-w7854f1)")</f>
        <v>vydělávat (v-w7854f1)</v>
      </c>
      <c r="E55787" s="0" t="str">
        <f aca="false">HYPERLINK("https://lindat.mff.cuni.cz/services/SynSemClass40/SynSemClass40.html?veclass=vec00189#vec00189-ces-cm00137", "vec00189")</f>
        <v>vec00189</v>
      </c>
      <c r="F55787" s="0" t="s">
        <v>2169</v>
      </c>
    </row>
    <row r="55788" customFormat="false" ht="12.8" hidden="false" customHeight="false" outlineLevel="0" collapsed="false">
      <c r="B55788" s="0" t="s">
        <v>1</v>
      </c>
      <c r="C55788" s="0" t="s">
        <v>2170</v>
      </c>
      <c r="E55788" s="0" t="s">
        <v>1567</v>
      </c>
      <c r="F55788" s="0" t="s">
        <v>2171</v>
      </c>
    </row>
    <row r="55789" customFormat="false" ht="12.8" hidden="false" customHeight="false" outlineLevel="0" collapsed="false">
      <c r="B55789" s="0" t="s">
        <v>8</v>
      </c>
      <c r="C55789" s="0" t="s">
        <v>2173</v>
      </c>
      <c r="E55789" s="0" t="s">
        <v>2111</v>
      </c>
      <c r="F55789" s="0" t="s">
        <v>2174</v>
      </c>
    </row>
    <row r="55790" customFormat="false" ht="12.8" hidden="false" customHeight="false" outlineLevel="0" collapsed="false">
      <c r="B55790" s="0" t="s">
        <v>773</v>
      </c>
      <c r="C55790" s="0" t="s">
        <v>2175</v>
      </c>
      <c r="E55790" s="0" t="s">
        <v>2176</v>
      </c>
      <c r="F55790" s="0" t="s">
        <v>2177</v>
      </c>
    </row>
    <row r="55792" customFormat="false" ht="12.8" hidden="false" customHeight="false" outlineLevel="0" collapsed="false">
      <c r="A55792" s="0" t="s">
        <v>19164</v>
      </c>
      <c r="B55792" s="0" t="str">
        <f aca="false">HYPERLINK("https://lindat.mff.cuni.cz/services/teitok/pdtc10/index.php?action=vallex&amp;frame=v-w10454f2", "vyděsit (v-w10454f2)")</f>
        <v>vyděsit (v-w10454f2)</v>
      </c>
      <c r="E55792" s="0" t="str">
        <f aca="false">HYPERLINK("https://lindat.mff.cuni.cz/services/SynSemClass40/SynSemClass40.html?veclass=vec00761#vec00761-ces-cm00006", "vec00761")</f>
        <v>vec00761</v>
      </c>
      <c r="F55792" s="0" t="s">
        <v>4014</v>
      </c>
    </row>
    <row r="55793" customFormat="false" ht="12.8" hidden="false" customHeight="false" outlineLevel="0" collapsed="false">
      <c r="B55793" s="0" t="s">
        <v>1</v>
      </c>
      <c r="C55793" s="0" t="s">
        <v>4015</v>
      </c>
      <c r="E55793" s="0" t="s">
        <v>1103</v>
      </c>
      <c r="F55793" s="0" t="s">
        <v>4016</v>
      </c>
    </row>
    <row r="55794" customFormat="false" ht="12.8" hidden="false" customHeight="false" outlineLevel="0" collapsed="false">
      <c r="B55794" s="0" t="s">
        <v>8</v>
      </c>
      <c r="C55794" s="0" t="s">
        <v>4017</v>
      </c>
      <c r="E55794" s="0" t="s">
        <v>199</v>
      </c>
      <c r="F55794" s="0" t="s">
        <v>4018</v>
      </c>
    </row>
    <row r="55796" customFormat="false" ht="12.8" hidden="false" customHeight="false" outlineLevel="0" collapsed="false">
      <c r="A55796" s="0" t="s">
        <v>19165</v>
      </c>
      <c r="B55796" s="0" t="str">
        <f aca="false">HYPERLINK("https://lindat.mff.cuni.cz/services/teitok/pdtc10/index.php?action=vallex&amp;frame=v-w11319f1", "vyděsit se (v-w11319f1)")</f>
        <v>vyděsit se (v-w11319f1)</v>
      </c>
      <c r="E55796" s="0" t="str">
        <f aca="false">HYPERLINK("https://lindat.mff.cuni.cz/services/SynSemClass40/SynSemClass40.html?veclass=vec00864#vec00864-ces-cm00005", "vec00864")</f>
        <v>vec00864</v>
      </c>
      <c r="F55796" s="0" t="s">
        <v>10434</v>
      </c>
    </row>
    <row r="55797" customFormat="false" ht="12.8" hidden="false" customHeight="false" outlineLevel="0" collapsed="false">
      <c r="B55797" s="0" t="s">
        <v>1</v>
      </c>
      <c r="C55797" s="0" t="s">
        <v>10435</v>
      </c>
      <c r="E55797" s="0" t="s">
        <v>621</v>
      </c>
      <c r="F55797" s="0" t="s">
        <v>10436</v>
      </c>
    </row>
    <row r="55799" customFormat="false" ht="12.8" hidden="false" customHeight="false" outlineLevel="0" collapsed="false">
      <c r="A55799" s="0" t="s">
        <v>19166</v>
      </c>
      <c r="B55799" s="0" t="str">
        <f aca="false">HYPERLINK("https://lindat.mff.cuni.cz/services/teitok/pdtc10/index.php?action=vallex&amp;frame=v-w10916f2", "vydřít (v-w10916f2)")</f>
        <v>vydřít (v-w10916f2)</v>
      </c>
    </row>
    <row r="55800" customFormat="false" ht="12.8" hidden="false" customHeight="false" outlineLevel="0" collapsed="false">
      <c r="B55800" s="0" t="s">
        <v>1</v>
      </c>
    </row>
    <row r="55801" customFormat="false" ht="12.8" hidden="false" customHeight="false" outlineLevel="0" collapsed="false">
      <c r="B55801" s="0" t="s">
        <v>8</v>
      </c>
    </row>
    <row r="55802" customFormat="false" ht="12.8" hidden="false" customHeight="false" outlineLevel="0" collapsed="false">
      <c r="B55802" s="0" t="s">
        <v>8050</v>
      </c>
    </row>
    <row r="55804" customFormat="false" ht="12.8" hidden="false" customHeight="false" outlineLevel="0" collapsed="false">
      <c r="A55804" s="0" t="s">
        <v>19167</v>
      </c>
      <c r="B55804" s="0" t="str">
        <f aca="false">HYPERLINK("https://lindat.mff.cuni.cz/services/teitok/pdtc10/index.php?action=vallex&amp;frame=v-w11620_ZUf1_ZU", "vyexpedovat (v-w11620_ZUf1_ZU)")</f>
        <v>vyexpedovat (v-w11620_ZUf1_ZU)</v>
      </c>
    </row>
    <row r="55805" customFormat="false" ht="12.8" hidden="false" customHeight="false" outlineLevel="0" collapsed="false">
      <c r="B55805" s="0" t="s">
        <v>1</v>
      </c>
    </row>
    <row r="55806" customFormat="false" ht="12.8" hidden="false" customHeight="false" outlineLevel="0" collapsed="false">
      <c r="B55806" s="0" t="s">
        <v>8</v>
      </c>
    </row>
    <row r="55807" customFormat="false" ht="12.8" hidden="false" customHeight="false" outlineLevel="0" collapsed="false">
      <c r="B55807" s="0" t="s">
        <v>6273</v>
      </c>
    </row>
    <row r="55809" customFormat="false" ht="12.8" hidden="false" customHeight="false" outlineLevel="0" collapsed="false">
      <c r="A55809" s="0" t="s">
        <v>19168</v>
      </c>
      <c r="B55809" s="0" t="str">
        <f aca="false">HYPERLINK("https://lindat.mff.cuni.cz/services/teitok/pdtc10/index.php?action=vallex&amp;frame=v-w7870f1", "vyfasovat (v-w7870f1)")</f>
        <v>vyfasovat (v-w7870f1)</v>
      </c>
      <c r="E55809" s="0" t="str">
        <f aca="false">HYPERLINK("https://lindat.mff.cuni.cz/services/SynSemClass40/SynSemClass40.html?veclass=vec01491#vec01491-ces-cm00120", "vec01491")</f>
        <v>vec01491</v>
      </c>
      <c r="F55809" s="0" t="s">
        <v>2792</v>
      </c>
    </row>
    <row r="55810" customFormat="false" ht="12.8" hidden="false" customHeight="false" outlineLevel="0" collapsed="false">
      <c r="B55810" s="0" t="s">
        <v>1</v>
      </c>
      <c r="C55810" s="0" t="s">
        <v>2847</v>
      </c>
      <c r="E55810" s="0" t="s">
        <v>1567</v>
      </c>
      <c r="F55810" s="0" t="s">
        <v>2794</v>
      </c>
    </row>
    <row r="55811" customFormat="false" ht="12.8" hidden="false" customHeight="false" outlineLevel="0" collapsed="false">
      <c r="B55811" s="0" t="s">
        <v>8</v>
      </c>
      <c r="C55811" s="0" t="s">
        <v>2849</v>
      </c>
      <c r="E55811" s="0" t="s">
        <v>1875</v>
      </c>
      <c r="F55811" s="0" t="s">
        <v>2796</v>
      </c>
    </row>
    <row r="55813" customFormat="false" ht="12.8" hidden="false" customHeight="false" outlineLevel="0" collapsed="false">
      <c r="A55813" s="0" t="s">
        <v>19169</v>
      </c>
      <c r="B55813" s="0" t="str">
        <f aca="false">HYPERLINK("https://lindat.mff.cuni.cz/services/teitok/pdtc10/index.php?action=vallex&amp;frame=v-w7870f2_ZU", "vyfasovat (v-w7870f2_ZU)")</f>
        <v>vyfasovat (v-w7870f2_ZU)</v>
      </c>
    </row>
    <row r="55814" customFormat="false" ht="12.8" hidden="false" customHeight="false" outlineLevel="0" collapsed="false">
      <c r="B55814" s="0" t="s">
        <v>1</v>
      </c>
    </row>
    <row r="55815" customFormat="false" ht="12.8" hidden="false" customHeight="false" outlineLevel="0" collapsed="false">
      <c r="B55815" s="0" t="s">
        <v>8</v>
      </c>
    </row>
    <row r="55817" customFormat="false" ht="12.8" hidden="false" customHeight="false" outlineLevel="0" collapsed="false">
      <c r="A55817" s="0" t="s">
        <v>19170</v>
      </c>
      <c r="B55817" s="0" t="str">
        <f aca="false">HYPERLINK("https://lindat.mff.cuni.cz/services/teitok/pdtc10/index.php?action=vallex&amp;frame=v-w10901f2", "vyfotit (v-w10901f2)")</f>
        <v>vyfotit (v-w10901f2)</v>
      </c>
    </row>
    <row r="55818" customFormat="false" ht="12.8" hidden="false" customHeight="false" outlineLevel="0" collapsed="false">
      <c r="B55818" s="0" t="s">
        <v>1</v>
      </c>
    </row>
    <row r="55819" customFormat="false" ht="12.8" hidden="false" customHeight="false" outlineLevel="0" collapsed="false">
      <c r="B55819" s="0" t="s">
        <v>8</v>
      </c>
    </row>
    <row r="55821" customFormat="false" ht="12.8" hidden="false" customHeight="false" outlineLevel="0" collapsed="false">
      <c r="A55821" s="0" t="s">
        <v>19171</v>
      </c>
      <c r="B55821" s="0" t="str">
        <f aca="false">HYPERLINK("https://lindat.mff.cuni.cz/services/teitok/pdtc10/index.php?action=vallex&amp;frame=v-w10901f3_ZU", "vyfotit (v-w10901f3_ZU)")</f>
        <v>vyfotit (v-w10901f3_ZU)</v>
      </c>
    </row>
    <row r="55822" customFormat="false" ht="12.8" hidden="false" customHeight="false" outlineLevel="0" collapsed="false">
      <c r="B55822" s="0" t="s">
        <v>1</v>
      </c>
    </row>
    <row r="55823" customFormat="false" ht="12.8" hidden="false" customHeight="false" outlineLevel="0" collapsed="false">
      <c r="B55823" s="0" t="s">
        <v>8</v>
      </c>
    </row>
    <row r="55825" customFormat="false" ht="12.8" hidden="false" customHeight="false" outlineLevel="0" collapsed="false">
      <c r="A55825" s="0" t="s">
        <v>19172</v>
      </c>
      <c r="B55825" s="0" t="str">
        <f aca="false">HYPERLINK("https://lindat.mff.cuni.cz/services/teitok/pdtc10/index.php?action=vallex&amp;frame=v-w11900_ZUf3_ZU", "vyfotit se (v-w11900_ZUf3_ZU)")</f>
        <v>vyfotit se (v-w11900_ZUf3_ZU)</v>
      </c>
    </row>
    <row r="55826" customFormat="false" ht="12.8" hidden="false" customHeight="false" outlineLevel="0" collapsed="false">
      <c r="B55826" s="0" t="s">
        <v>1</v>
      </c>
    </row>
    <row r="55827" customFormat="false" ht="12.8" hidden="false" customHeight="false" outlineLevel="0" collapsed="false">
      <c r="B55827" s="0" t="s">
        <v>3321</v>
      </c>
    </row>
    <row r="55829" customFormat="false" ht="12.8" hidden="false" customHeight="false" outlineLevel="0" collapsed="false">
      <c r="A55829" s="0" t="s">
        <v>19172</v>
      </c>
      <c r="B55829" s="0" t="str">
        <f aca="false">HYPERLINK("https://lindat.mff.cuni.cz/services/teitok/pdtc10/index.php?action=vallex&amp;frame=v-w11900_ZUf1_ZU", "vyfotit se (v-w11900_ZUf1_ZU) - substituted with v-w11900_ZUf3_ZU")</f>
        <v>vyfotit se (v-w11900_ZUf1_ZU) - substituted with v-w11900_ZUf3_ZU</v>
      </c>
    </row>
    <row r="55830" customFormat="false" ht="12.8" hidden="false" customHeight="false" outlineLevel="0" collapsed="false">
      <c r="B55830" s="0" t="s">
        <v>1</v>
      </c>
    </row>
    <row r="55831" customFormat="false" ht="12.8" hidden="false" customHeight="false" outlineLevel="0" collapsed="false">
      <c r="B55831" s="0" t="s">
        <v>3321</v>
      </c>
    </row>
    <row r="55833" customFormat="false" ht="12.8" hidden="false" customHeight="false" outlineLevel="0" collapsed="false">
      <c r="A55833" s="0" t="s">
        <v>19172</v>
      </c>
      <c r="B55833" s="0" t="str">
        <f aca="false">HYPERLINK("https://lindat.mff.cuni.cz/services/teitok/pdtc10/index.php?action=vallex&amp;frame=v-w11900_ZUf2_ZU", "vyfotit se (v-w11900_ZUf2_ZU) - substituted with v-w11900_ZUf3_ZU")</f>
        <v>vyfotit se (v-w11900_ZUf2_ZU) - substituted with v-w11900_ZUf3_ZU</v>
      </c>
    </row>
    <row r="55834" customFormat="false" ht="12.8" hidden="false" customHeight="false" outlineLevel="0" collapsed="false">
      <c r="B55834" s="0" t="s">
        <v>1</v>
      </c>
    </row>
    <row r="55835" customFormat="false" ht="12.8" hidden="false" customHeight="false" outlineLevel="0" collapsed="false">
      <c r="B55835" s="0" t="s">
        <v>3321</v>
      </c>
    </row>
    <row r="55837" customFormat="false" ht="12.8" hidden="false" customHeight="false" outlineLevel="0" collapsed="false">
      <c r="A55837" s="0" t="s">
        <v>19173</v>
      </c>
      <c r="B55837" s="0" t="str">
        <f aca="false">HYPERLINK("https://lindat.mff.cuni.cz/services/teitok/pdtc10/index.php?action=vallex&amp;frame=v-w7871f1", "vyfotografovat (v-w7871f1)")</f>
        <v>vyfotografovat (v-w7871f1)</v>
      </c>
    </row>
    <row r="55838" customFormat="false" ht="12.8" hidden="false" customHeight="false" outlineLevel="0" collapsed="false">
      <c r="B55838" s="0" t="s">
        <v>1</v>
      </c>
    </row>
    <row r="55839" customFormat="false" ht="12.8" hidden="false" customHeight="false" outlineLevel="0" collapsed="false">
      <c r="B55839" s="0" t="s">
        <v>8</v>
      </c>
    </row>
    <row r="55841" customFormat="false" ht="12.8" hidden="false" customHeight="false" outlineLevel="0" collapsed="false">
      <c r="A55841" s="0" t="s">
        <v>19174</v>
      </c>
      <c r="B55841" s="0" t="str">
        <f aca="false">HYPERLINK("https://lindat.mff.cuni.cz/services/teitok/pdtc10/index.php?action=vallex&amp;frame=v-w11362f1", "vyfotografovat se (v-w11362f1)")</f>
        <v>vyfotografovat se (v-w11362f1)</v>
      </c>
    </row>
    <row r="55842" customFormat="false" ht="12.8" hidden="false" customHeight="false" outlineLevel="0" collapsed="false">
      <c r="B55842" s="0" t="s">
        <v>1</v>
      </c>
    </row>
    <row r="55843" customFormat="false" ht="12.8" hidden="false" customHeight="false" outlineLevel="0" collapsed="false">
      <c r="B55843" s="0" t="s">
        <v>721</v>
      </c>
    </row>
    <row r="55845" customFormat="false" ht="12.8" hidden="false" customHeight="false" outlineLevel="0" collapsed="false">
      <c r="A55845" s="0" t="s">
        <v>19175</v>
      </c>
      <c r="B55845" s="0" t="str">
        <f aca="false">HYPERLINK("https://lindat.mff.cuni.cz/services/teitok/pdtc10/index.php?action=vallex&amp;frame=v-w7872f1", "vyfouknout (v-w7872f1)")</f>
        <v>vyfouknout (v-w7872f1)</v>
      </c>
    </row>
    <row r="55846" customFormat="false" ht="12.8" hidden="false" customHeight="false" outlineLevel="0" collapsed="false">
      <c r="B55846" s="0" t="s">
        <v>1</v>
      </c>
    </row>
    <row r="55847" customFormat="false" ht="12.8" hidden="false" customHeight="false" outlineLevel="0" collapsed="false">
      <c r="B55847" s="0" t="s">
        <v>8</v>
      </c>
    </row>
    <row r="55848" customFormat="false" ht="12.8" hidden="false" customHeight="false" outlineLevel="0" collapsed="false">
      <c r="B55848" s="0" t="s">
        <v>36</v>
      </c>
    </row>
    <row r="55850" customFormat="false" ht="12.8" hidden="false" customHeight="false" outlineLevel="0" collapsed="false">
      <c r="A55850" s="0" t="s">
        <v>19176</v>
      </c>
      <c r="B55850" s="0" t="str">
        <f aca="false">HYPERLINK("https://lindat.mff.cuni.cz/services/teitok/pdtc10/index.php?action=vallex&amp;frame=v-w7872hsa_1098", "vyfouknout (v-w7872hsa_1098)")</f>
        <v>vyfouknout (v-w7872hsa_1098)</v>
      </c>
    </row>
    <row r="55851" customFormat="false" ht="12.8" hidden="false" customHeight="false" outlineLevel="0" collapsed="false">
      <c r="B55851" s="0" t="s">
        <v>1</v>
      </c>
    </row>
    <row r="55852" customFormat="false" ht="12.8" hidden="false" customHeight="false" outlineLevel="0" collapsed="false">
      <c r="B55852" s="0" t="s">
        <v>8</v>
      </c>
    </row>
    <row r="55853" customFormat="false" ht="12.8" hidden="false" customHeight="false" outlineLevel="0" collapsed="false">
      <c r="B55853" s="0" t="s">
        <v>52</v>
      </c>
    </row>
    <row r="55855" customFormat="false" ht="12.8" hidden="false" customHeight="false" outlineLevel="0" collapsed="false">
      <c r="A55855" s="0" t="s">
        <v>19177</v>
      </c>
      <c r="B55855" s="0" t="str">
        <f aca="false">HYPERLINK("https://lindat.mff.cuni.cz/services/teitok/pdtc10/index.php?action=vallex&amp;frame=v-w11188f2", "vygenerovat (v-w11188f2)")</f>
        <v>vygenerovat (v-w11188f2)</v>
      </c>
      <c r="E55855" s="0" t="str">
        <f aca="false">HYPERLINK("https://lindat.mff.cuni.cz/services/SynSemClass40/SynSemClass40.html?veclass=vec00355#vec00355-ces-cm00044", "vec00355")</f>
        <v>vec00355</v>
      </c>
      <c r="F55855" s="0" t="s">
        <v>4217</v>
      </c>
    </row>
    <row r="55856" customFormat="false" ht="12.8" hidden="false" customHeight="false" outlineLevel="0" collapsed="false">
      <c r="B55856" s="0" t="s">
        <v>1</v>
      </c>
      <c r="C55856" s="0" t="s">
        <v>4218</v>
      </c>
      <c r="E55856" s="0" t="s">
        <v>1086</v>
      </c>
      <c r="F55856" s="0" t="s">
        <v>4219</v>
      </c>
    </row>
    <row r="55857" customFormat="false" ht="12.8" hidden="false" customHeight="false" outlineLevel="0" collapsed="false">
      <c r="B55857" s="0" t="s">
        <v>8</v>
      </c>
      <c r="C55857" s="0" t="s">
        <v>4220</v>
      </c>
      <c r="E55857" s="0" t="s">
        <v>2111</v>
      </c>
      <c r="F55857" s="0" t="s">
        <v>4221</v>
      </c>
    </row>
    <row r="55858" customFormat="false" ht="12.8" hidden="false" customHeight="false" outlineLevel="0" collapsed="false">
      <c r="B55858" s="0" t="s">
        <v>36</v>
      </c>
    </row>
    <row r="55860" customFormat="false" ht="12.8" hidden="false" customHeight="false" outlineLevel="0" collapsed="false">
      <c r="A55860" s="0" t="s">
        <v>19178</v>
      </c>
      <c r="B55860" s="0" t="str">
        <f aca="false">HYPERLINK("https://lindat.mff.cuni.cz/services/teitok/pdtc10/index.php?action=vallex&amp;frame=v-w7873f1", "vygradovat (v-w7873f1)")</f>
        <v>vygradovat (v-w7873f1)</v>
      </c>
    </row>
    <row r="55861" customFormat="false" ht="12.8" hidden="false" customHeight="false" outlineLevel="0" collapsed="false">
      <c r="B55861" s="0" t="s">
        <v>1</v>
      </c>
    </row>
    <row r="55862" customFormat="false" ht="12.8" hidden="false" customHeight="false" outlineLevel="0" collapsed="false">
      <c r="B55862" s="0" t="s">
        <v>8</v>
      </c>
    </row>
    <row r="55864" customFormat="false" ht="12.8" hidden="false" customHeight="false" outlineLevel="0" collapsed="false">
      <c r="A55864" s="0" t="s">
        <v>19179</v>
      </c>
      <c r="B55864" s="0" t="str">
        <f aca="false">HYPERLINK("https://lindat.mff.cuni.cz/services/teitok/pdtc10/index.php?action=vallex&amp;frame=v-w7874f1", "vygumovat (v-w7874f1)")</f>
        <v>vygumovat (v-w7874f1)</v>
      </c>
    </row>
    <row r="55865" customFormat="false" ht="12.8" hidden="false" customHeight="false" outlineLevel="0" collapsed="false">
      <c r="B55865" s="0" t="s">
        <v>1</v>
      </c>
    </row>
    <row r="55866" customFormat="false" ht="12.8" hidden="false" customHeight="false" outlineLevel="0" collapsed="false">
      <c r="B55866" s="0" t="s">
        <v>8</v>
      </c>
    </row>
    <row r="55867" customFormat="false" ht="12.8" hidden="false" customHeight="false" outlineLevel="0" collapsed="false">
      <c r="B55867" s="0" t="s">
        <v>631</v>
      </c>
    </row>
    <row r="55869" customFormat="false" ht="12.8" hidden="false" customHeight="false" outlineLevel="0" collapsed="false">
      <c r="A55869" s="0" t="s">
        <v>19180</v>
      </c>
      <c r="B55869" s="0" t="str">
        <f aca="false">HYPERLINK("https://lindat.mff.cuni.cz/services/teitok/pdtc10/index.php?action=vallex&amp;frame=v-w7878f1", "vyhasnout (v-w7878f1)")</f>
        <v>vyhasnout (v-w7878f1)</v>
      </c>
    </row>
    <row r="55870" customFormat="false" ht="12.8" hidden="false" customHeight="false" outlineLevel="0" collapsed="false">
      <c r="B55870" s="0" t="s">
        <v>1</v>
      </c>
    </row>
    <row r="55872" customFormat="false" ht="12.8" hidden="false" customHeight="false" outlineLevel="0" collapsed="false">
      <c r="A55872" s="0" t="s">
        <v>19181</v>
      </c>
      <c r="B55872" s="0" t="str">
        <f aca="false">HYPERLINK("https://lindat.mff.cuni.cz/services/teitok/pdtc10/index.php?action=vallex&amp;frame=v-w7878f2", "vyhasnout (v-w7878f2)")</f>
        <v>vyhasnout (v-w7878f2)</v>
      </c>
    </row>
    <row r="55873" customFormat="false" ht="12.8" hidden="false" customHeight="false" outlineLevel="0" collapsed="false">
      <c r="B55873" s="0" t="s">
        <v>1</v>
      </c>
    </row>
    <row r="55875" customFormat="false" ht="12.8" hidden="false" customHeight="false" outlineLevel="0" collapsed="false">
      <c r="A55875" s="0" t="s">
        <v>19182</v>
      </c>
      <c r="B55875" s="0" t="str">
        <f aca="false">HYPERLINK("https://lindat.mff.cuni.cz/services/teitok/pdtc10/index.php?action=vallex&amp;frame=v-w7877f1", "vyhasínat (v-w7877f1)")</f>
        <v>vyhasínat (v-w7877f1)</v>
      </c>
    </row>
    <row r="55876" customFormat="false" ht="12.8" hidden="false" customHeight="false" outlineLevel="0" collapsed="false">
      <c r="B55876" s="0" t="s">
        <v>1</v>
      </c>
    </row>
    <row r="55878" customFormat="false" ht="12.8" hidden="false" customHeight="false" outlineLevel="0" collapsed="false">
      <c r="A55878" s="0" t="s">
        <v>19183</v>
      </c>
      <c r="B55878" s="0" t="str">
        <f aca="false">HYPERLINK("https://lindat.mff.cuni.cz/services/teitok/pdtc10/index.php?action=vallex&amp;frame=v-w7881f1", "vyhazovat (v-w7881f1)")</f>
        <v>vyhazovat (v-w7881f1)</v>
      </c>
      <c r="E55878" s="0" t="str">
        <f aca="false">HYPERLINK("https://lindat.mff.cuni.cz/services/SynSemClass40/SynSemClass40.html?veclass=vec00555#vec00555-ces-cm00035", "vec00555")</f>
        <v>vec00555</v>
      </c>
      <c r="F55878" s="0" t="s">
        <v>1918</v>
      </c>
    </row>
    <row r="55879" customFormat="false" ht="12.8" hidden="false" customHeight="false" outlineLevel="0" collapsed="false">
      <c r="B55879" s="0" t="s">
        <v>1</v>
      </c>
      <c r="C55879" s="0" t="s">
        <v>1919</v>
      </c>
      <c r="E55879" s="0" t="s">
        <v>31</v>
      </c>
      <c r="F55879" s="0" t="s">
        <v>1920</v>
      </c>
    </row>
    <row r="55880" customFormat="false" ht="12.8" hidden="false" customHeight="false" outlineLevel="0" collapsed="false">
      <c r="B55880" s="0" t="s">
        <v>8</v>
      </c>
      <c r="C55880" s="0" t="s">
        <v>1921</v>
      </c>
      <c r="E55880" s="0" t="s">
        <v>532</v>
      </c>
      <c r="F55880" s="0" t="s">
        <v>1922</v>
      </c>
    </row>
    <row r="55881" customFormat="false" ht="12.8" hidden="false" customHeight="false" outlineLevel="0" collapsed="false">
      <c r="B55881" s="0" t="s">
        <v>631</v>
      </c>
      <c r="C55881" s="0" t="s">
        <v>1923</v>
      </c>
      <c r="E55881" s="0" t="s">
        <v>1924</v>
      </c>
      <c r="F55881" s="0" t="s">
        <v>1925</v>
      </c>
    </row>
    <row r="55883" customFormat="false" ht="12.8" hidden="false" customHeight="false" outlineLevel="0" collapsed="false">
      <c r="A55883" s="0" t="s">
        <v>19184</v>
      </c>
      <c r="B55883" s="0" t="str">
        <f aca="false">HYPERLINK("https://lindat.mff.cuni.cz/services/teitok/pdtc10/index.php?action=vallex&amp;frame=v-w7881f3_ZU", "vyhazovat (v-w7881f3_ZU)")</f>
        <v>vyhazovat (v-w7881f3_ZU)</v>
      </c>
    </row>
    <row r="55884" customFormat="false" ht="12.8" hidden="false" customHeight="false" outlineLevel="0" collapsed="false">
      <c r="B55884" s="0" t="s">
        <v>1</v>
      </c>
    </row>
    <row r="55885" customFormat="false" ht="12.8" hidden="false" customHeight="false" outlineLevel="0" collapsed="false">
      <c r="B55885" s="0" t="s">
        <v>19185</v>
      </c>
    </row>
    <row r="55886" customFormat="false" ht="12.8" hidden="false" customHeight="false" outlineLevel="0" collapsed="false">
      <c r="B55886" s="0" t="s">
        <v>8</v>
      </c>
    </row>
    <row r="55888" customFormat="false" ht="12.8" hidden="false" customHeight="false" outlineLevel="0" collapsed="false">
      <c r="A55888" s="0" t="s">
        <v>19184</v>
      </c>
      <c r="B55888" s="0" t="str">
        <f aca="false">HYPERLINK("https://lindat.mff.cuni.cz/services/teitok/pdtc10/index.php?action=vallex&amp;frame=v-w7881f2_ZU", "vyhazovat (v-w7881f2_ZU) - substituted with v-w7881f3_ZU")</f>
        <v>vyhazovat (v-w7881f2_ZU) - substituted with v-w7881f3_ZU</v>
      </c>
    </row>
    <row r="55889" customFormat="false" ht="12.8" hidden="false" customHeight="false" outlineLevel="0" collapsed="false">
      <c r="B55889" s="0" t="s">
        <v>1</v>
      </c>
    </row>
    <row r="55890" customFormat="false" ht="12.8" hidden="false" customHeight="false" outlineLevel="0" collapsed="false">
      <c r="B55890" s="0" t="s">
        <v>19185</v>
      </c>
    </row>
    <row r="55891" customFormat="false" ht="12.8" hidden="false" customHeight="false" outlineLevel="0" collapsed="false">
      <c r="B55891" s="0" t="s">
        <v>8</v>
      </c>
    </row>
    <row r="55893" customFormat="false" ht="12.8" hidden="false" customHeight="false" outlineLevel="0" collapsed="false">
      <c r="A55893" s="0" t="s">
        <v>19186</v>
      </c>
      <c r="B55893" s="0" t="str">
        <f aca="false">HYPERLINK("https://lindat.mff.cuni.cz/services/teitok/pdtc10/index.php?action=vallex&amp;frame=v-w7881hsa_144", "vyhazovat (v-w7881hsa_144)")</f>
        <v>vyhazovat (v-w7881hsa_144)</v>
      </c>
    </row>
    <row r="55894" customFormat="false" ht="12.8" hidden="false" customHeight="false" outlineLevel="0" collapsed="false">
      <c r="B55894" s="0" t="s">
        <v>1</v>
      </c>
    </row>
    <row r="55895" customFormat="false" ht="12.8" hidden="false" customHeight="false" outlineLevel="0" collapsed="false">
      <c r="B55895" s="0" t="s">
        <v>8</v>
      </c>
    </row>
    <row r="55897" customFormat="false" ht="12.8" hidden="false" customHeight="false" outlineLevel="0" collapsed="false">
      <c r="A55897" s="0" t="s">
        <v>19187</v>
      </c>
      <c r="B55897" s="0" t="str">
        <f aca="false">HYPERLINK("https://lindat.mff.cuni.cz/services/teitok/pdtc10/index.php?action=vallex&amp;frame=v-w7881hsa_145", "vyhazovat (v-w7881hsa_145)")</f>
        <v>vyhazovat (v-w7881hsa_145)</v>
      </c>
    </row>
    <row r="55898" customFormat="false" ht="12.8" hidden="false" customHeight="false" outlineLevel="0" collapsed="false">
      <c r="B55898" s="0" t="s">
        <v>1</v>
      </c>
    </row>
    <row r="55899" customFormat="false" ht="12.8" hidden="false" customHeight="false" outlineLevel="0" collapsed="false">
      <c r="B55899" s="0" t="s">
        <v>8</v>
      </c>
    </row>
    <row r="55901" customFormat="false" ht="12.8" hidden="false" customHeight="false" outlineLevel="0" collapsed="false">
      <c r="A55901" s="0" t="s">
        <v>19188</v>
      </c>
      <c r="B55901" s="0" t="str">
        <f aca="false">HYPERLINK("https://lindat.mff.cuni.cz/services/teitok/pdtc10/index.php?action=vallex&amp;frame=v-w7881hsa_105", "vyhazovat (v-w7881hsa_105)")</f>
        <v>vyhazovat (v-w7881hsa_105)</v>
      </c>
    </row>
    <row r="55902" customFormat="false" ht="12.8" hidden="false" customHeight="false" outlineLevel="0" collapsed="false">
      <c r="B55902" s="0" t="s">
        <v>1</v>
      </c>
    </row>
    <row r="55903" customFormat="false" ht="12.8" hidden="false" customHeight="false" outlineLevel="0" collapsed="false">
      <c r="B55903" s="0" t="s">
        <v>8</v>
      </c>
    </row>
    <row r="55905" customFormat="false" ht="12.8" hidden="false" customHeight="false" outlineLevel="0" collapsed="false">
      <c r="A55905" s="0" t="s">
        <v>19189</v>
      </c>
      <c r="B55905" s="0" t="str">
        <f aca="false">HYPERLINK("https://lindat.mff.cuni.cz/services/teitok/pdtc10/index.php?action=vallex&amp;frame=v-w7881hsa_146", "vyhazovat (v-w7881hsa_146)")</f>
        <v>vyhazovat (v-w7881hsa_146)</v>
      </c>
    </row>
    <row r="55906" customFormat="false" ht="12.8" hidden="false" customHeight="false" outlineLevel="0" collapsed="false">
      <c r="B55906" s="0" t="s">
        <v>1</v>
      </c>
    </row>
    <row r="55907" customFormat="false" ht="12.8" hidden="false" customHeight="false" outlineLevel="0" collapsed="false">
      <c r="B55907" s="0" t="s">
        <v>19190</v>
      </c>
    </row>
    <row r="55908" customFormat="false" ht="12.8" hidden="false" customHeight="false" outlineLevel="0" collapsed="false">
      <c r="B55908" s="0" t="s">
        <v>8</v>
      </c>
    </row>
    <row r="55910" customFormat="false" ht="12.8" hidden="false" customHeight="false" outlineLevel="0" collapsed="false">
      <c r="A55910" s="0" t="s">
        <v>19191</v>
      </c>
      <c r="B55910" s="0" t="str">
        <f aca="false">HYPERLINK("https://lindat.mff.cuni.cz/services/teitok/pdtc10/index.php?action=vallex&amp;frame=v-w12057_ZUf1_ZU", "vyhecovat (v-w12057_ZUf1_ZU)")</f>
        <v>vyhecovat (v-w12057_ZUf1_ZU)</v>
      </c>
    </row>
    <row r="55911" customFormat="false" ht="12.8" hidden="false" customHeight="false" outlineLevel="0" collapsed="false">
      <c r="B55911" s="0" t="s">
        <v>1</v>
      </c>
    </row>
    <row r="55912" customFormat="false" ht="12.8" hidden="false" customHeight="false" outlineLevel="0" collapsed="false">
      <c r="B55912" s="0" t="s">
        <v>98</v>
      </c>
    </row>
    <row r="55913" customFormat="false" ht="12.8" hidden="false" customHeight="false" outlineLevel="0" collapsed="false">
      <c r="B55913" s="0" t="s">
        <v>19192</v>
      </c>
    </row>
    <row r="55915" customFormat="false" ht="12.8" hidden="false" customHeight="false" outlineLevel="0" collapsed="false">
      <c r="A55915" s="0" t="s">
        <v>19193</v>
      </c>
      <c r="B55915" s="0" t="str">
        <f aca="false">HYPERLINK("https://lindat.mff.cuni.cz/services/teitok/pdtc10/index.php?action=vallex&amp;frame=v-w7883f1", "vyhladit (v-w7883f1)")</f>
        <v>vyhladit (v-w7883f1)</v>
      </c>
    </row>
    <row r="55916" customFormat="false" ht="12.8" hidden="false" customHeight="false" outlineLevel="0" collapsed="false">
      <c r="B55916" s="0" t="s">
        <v>1</v>
      </c>
    </row>
    <row r="55917" customFormat="false" ht="12.8" hidden="false" customHeight="false" outlineLevel="0" collapsed="false">
      <c r="B55917" s="0" t="s">
        <v>8</v>
      </c>
    </row>
    <row r="55919" customFormat="false" ht="12.8" hidden="false" customHeight="false" outlineLevel="0" collapsed="false">
      <c r="A55919" s="0" t="s">
        <v>19194</v>
      </c>
      <c r="B55919" s="0" t="str">
        <f aca="false">HYPERLINK("https://lindat.mff.cuni.cz/services/teitok/pdtc10/index.php?action=vallex&amp;frame=v-w7883f2", "vyhladit (v-w7883f2)")</f>
        <v>vyhladit (v-w7883f2)</v>
      </c>
    </row>
    <row r="55920" customFormat="false" ht="12.8" hidden="false" customHeight="false" outlineLevel="0" collapsed="false">
      <c r="B55920" s="0" t="s">
        <v>1</v>
      </c>
    </row>
    <row r="55921" customFormat="false" ht="12.8" hidden="false" customHeight="false" outlineLevel="0" collapsed="false">
      <c r="B55921" s="0" t="s">
        <v>8</v>
      </c>
    </row>
    <row r="55923" customFormat="false" ht="12.8" hidden="false" customHeight="false" outlineLevel="0" collapsed="false">
      <c r="A55923" s="0" t="s">
        <v>19195</v>
      </c>
      <c r="B55923" s="0" t="str">
        <f aca="false">HYPERLINK("https://lindat.mff.cuni.cz/services/teitok/pdtc10/index.php?action=vallex&amp;frame=v-w10639f3", "vyhladovět (v-w10639f3)")</f>
        <v>vyhladovět (v-w10639f3)</v>
      </c>
      <c r="E55923" s="0" t="str">
        <f aca="false">HYPERLINK("https://lindat.mff.cuni.cz/services/SynSemClass40/SynSemClass40.html?veclass=vec00158#vec00158-ces-cm00001", "vec00158")</f>
        <v>vec00158</v>
      </c>
      <c r="F55923" s="0" t="s">
        <v>6383</v>
      </c>
    </row>
    <row r="55924" customFormat="false" ht="12.8" hidden="false" customHeight="false" outlineLevel="0" collapsed="false">
      <c r="B55924" s="0" t="s">
        <v>1</v>
      </c>
      <c r="C55924" s="0" t="s">
        <v>512</v>
      </c>
      <c r="E55924" s="0" t="s">
        <v>1573</v>
      </c>
      <c r="F55924" s="0" t="s">
        <v>6384</v>
      </c>
    </row>
    <row r="55925" customFormat="false" ht="12.8" hidden="false" customHeight="false" outlineLevel="0" collapsed="false">
      <c r="B55925" s="0" t="s">
        <v>8</v>
      </c>
      <c r="C55925" s="0" t="s">
        <v>7578</v>
      </c>
      <c r="E55925" s="0" t="s">
        <v>199</v>
      </c>
      <c r="F55925" s="0" t="s">
        <v>6386</v>
      </c>
    </row>
    <row r="55927" customFormat="false" ht="12.8" hidden="false" customHeight="false" outlineLevel="0" collapsed="false">
      <c r="A55927" s="0" t="s">
        <v>19196</v>
      </c>
      <c r="B55927" s="0" t="str">
        <f aca="false">HYPERLINK("https://lindat.mff.cuni.cz/services/teitok/pdtc10/index.php?action=vallex&amp;frame=v-w10639f2", "vyhladovět (v-w10639f2)")</f>
        <v>vyhladovět (v-w10639f2)</v>
      </c>
    </row>
    <row r="55928" customFormat="false" ht="12.8" hidden="false" customHeight="false" outlineLevel="0" collapsed="false">
      <c r="B55928" s="0" t="s">
        <v>1</v>
      </c>
    </row>
    <row r="55930" customFormat="false" ht="12.8" hidden="false" customHeight="false" outlineLevel="0" collapsed="false">
      <c r="A55930" s="0" t="s">
        <v>19197</v>
      </c>
      <c r="B55930" s="0" t="str">
        <f aca="false">HYPERLINK("https://lindat.mff.cuni.cz/services/teitok/pdtc10/index.php?action=vallex&amp;frame=v-w7891f1", "vyhlazovat (v-w7891f1)")</f>
        <v>vyhlazovat (v-w7891f1)</v>
      </c>
    </row>
    <row r="55931" customFormat="false" ht="12.8" hidden="false" customHeight="false" outlineLevel="0" collapsed="false">
      <c r="B55931" s="0" t="s">
        <v>1</v>
      </c>
    </row>
    <row r="55932" customFormat="false" ht="12.8" hidden="false" customHeight="false" outlineLevel="0" collapsed="false">
      <c r="B55932" s="0" t="s">
        <v>8</v>
      </c>
    </row>
    <row r="55934" customFormat="false" ht="12.8" hidden="false" customHeight="false" outlineLevel="0" collapsed="false">
      <c r="A55934" s="0" t="s">
        <v>19198</v>
      </c>
      <c r="B55934" s="0" t="str">
        <f aca="false">HYPERLINK("https://lindat.mff.cuni.cz/services/teitok/pdtc10/index.php?action=vallex&amp;frame=v-w7889f1", "vyhlašovat (v-w7889f1)")</f>
        <v>vyhlašovat (v-w7889f1)</v>
      </c>
      <c r="E55934" s="0" t="str">
        <f aca="false">HYPERLINK("https://lindat.mff.cuni.cz/services/SynSemClass40/SynSemClass40.html?veclass=vec00060#vec00060-ces-cm00454", "vec00060")</f>
        <v>vec00060</v>
      </c>
      <c r="F55934" s="0" t="s">
        <v>213</v>
      </c>
    </row>
    <row r="55935" customFormat="false" ht="12.8" hidden="false" customHeight="false" outlineLevel="0" collapsed="false">
      <c r="B55935" s="0" t="s">
        <v>1</v>
      </c>
      <c r="C55935" s="0" t="s">
        <v>214</v>
      </c>
      <c r="E55935" s="0" t="s">
        <v>147</v>
      </c>
      <c r="F55935" s="0" t="s">
        <v>215</v>
      </c>
    </row>
    <row r="55936" customFormat="false" ht="12.8" hidden="false" customHeight="false" outlineLevel="0" collapsed="false">
      <c r="B55936" s="0" t="s">
        <v>59</v>
      </c>
      <c r="C55936" s="0" t="s">
        <v>217</v>
      </c>
      <c r="E55936" s="0" t="s">
        <v>218</v>
      </c>
      <c r="F55936" s="0" t="s">
        <v>219</v>
      </c>
    </row>
    <row r="55938" customFormat="false" ht="12.8" hidden="false" customHeight="false" outlineLevel="0" collapsed="false">
      <c r="A55938" s="0" t="s">
        <v>19199</v>
      </c>
      <c r="B55938" s="0" t="str">
        <f aca="false">HYPERLINK("https://lindat.mff.cuni.cz/services/teitok/pdtc10/index.php?action=vallex&amp;frame=v-w7889f2", "vyhlašovat (v-w7889f2)")</f>
        <v>vyhlašovat (v-w7889f2)</v>
      </c>
    </row>
    <row r="55939" customFormat="false" ht="12.8" hidden="false" customHeight="false" outlineLevel="0" collapsed="false">
      <c r="B55939" s="0" t="s">
        <v>1</v>
      </c>
    </row>
    <row r="55940" customFormat="false" ht="12.8" hidden="false" customHeight="false" outlineLevel="0" collapsed="false">
      <c r="B55940" s="0" t="s">
        <v>19200</v>
      </c>
    </row>
    <row r="55941" customFormat="false" ht="12.8" hidden="false" customHeight="false" outlineLevel="0" collapsed="false">
      <c r="B55941" s="0" t="s">
        <v>52</v>
      </c>
    </row>
    <row r="55943" customFormat="false" ht="12.8" hidden="false" customHeight="false" outlineLevel="0" collapsed="false">
      <c r="A55943" s="0" t="s">
        <v>19201</v>
      </c>
      <c r="B55943" s="0" t="str">
        <f aca="false">HYPERLINK("https://lindat.mff.cuni.cz/services/teitok/pdtc10/index.php?action=vallex&amp;frame=v-w7893f1", "vyhledat (v-w7893f1)")</f>
        <v>vyhledat (v-w7893f1)</v>
      </c>
      <c r="E55943" s="0" t="str">
        <f aca="false">HYPERLINK("https://lindat.mff.cuni.cz/services/SynSemClass40/SynSemClass40.html?veclass=vec00021#vec00021-ces-cm00054", "vec00021")</f>
        <v>vec00021</v>
      </c>
      <c r="F55943" s="0" t="s">
        <v>2261</v>
      </c>
    </row>
    <row r="55944" customFormat="false" ht="12.8" hidden="false" customHeight="false" outlineLevel="0" collapsed="false">
      <c r="B55944" s="0" t="s">
        <v>1</v>
      </c>
      <c r="C55944" s="0" t="s">
        <v>2262</v>
      </c>
      <c r="E55944" s="0" t="s">
        <v>2263</v>
      </c>
      <c r="F55944" s="0" t="s">
        <v>2264</v>
      </c>
    </row>
    <row r="55945" customFormat="false" ht="12.8" hidden="false" customHeight="false" outlineLevel="0" collapsed="false">
      <c r="B55945" s="0" t="s">
        <v>8</v>
      </c>
      <c r="C55945" s="0" t="s">
        <v>2266</v>
      </c>
      <c r="E55945" s="0" t="s">
        <v>2267</v>
      </c>
      <c r="F55945" s="0" t="s">
        <v>2268</v>
      </c>
    </row>
    <row r="55947" customFormat="false" ht="12.8" hidden="false" customHeight="false" outlineLevel="0" collapsed="false">
      <c r="A55947" s="0" t="s">
        <v>19202</v>
      </c>
      <c r="B55947" s="0" t="str">
        <f aca="false">HYPERLINK("https://lindat.mff.cuni.cz/services/teitok/pdtc10/index.php?action=vallex&amp;frame=v-w7895f1", "vyhledávat (v-w7895f1)")</f>
        <v>vyhledávat (v-w7895f1)</v>
      </c>
      <c r="E55947" s="0" t="str">
        <f aca="false">HYPERLINK("https://lindat.mff.cuni.cz/services/SynSemClass40/SynSemClass40.html?veclass=vec00021#vec00021-ces-cm00055", "vec00021")</f>
        <v>vec00021</v>
      </c>
      <c r="F55947" s="0" t="s">
        <v>2261</v>
      </c>
    </row>
    <row r="55948" customFormat="false" ht="12.8" hidden="false" customHeight="false" outlineLevel="0" collapsed="false">
      <c r="B55948" s="0" t="s">
        <v>1</v>
      </c>
      <c r="C55948" s="0" t="s">
        <v>2262</v>
      </c>
      <c r="E55948" s="0" t="s">
        <v>2263</v>
      </c>
      <c r="F55948" s="0" t="s">
        <v>2264</v>
      </c>
    </row>
    <row r="55949" customFormat="false" ht="12.8" hidden="false" customHeight="false" outlineLevel="0" collapsed="false">
      <c r="B55949" s="0" t="s">
        <v>8</v>
      </c>
      <c r="C55949" s="0" t="s">
        <v>2266</v>
      </c>
      <c r="E55949" s="0" t="s">
        <v>2267</v>
      </c>
      <c r="F55949" s="0" t="s">
        <v>2268</v>
      </c>
    </row>
    <row r="55951" customFormat="false" ht="12.8" hidden="false" customHeight="false" outlineLevel="0" collapsed="false">
      <c r="A55951" s="0" t="s">
        <v>19203</v>
      </c>
      <c r="B55951" s="0" t="str">
        <f aca="false">HYPERLINK("https://lindat.mff.cuni.cz/services/teitok/pdtc10/index.php?action=vallex&amp;frame=v-w7895hsa_803", "vyhledávat (v-w7895hsa_803)")</f>
        <v>vyhledávat (v-w7895hsa_803)</v>
      </c>
    </row>
    <row r="55952" customFormat="false" ht="12.8" hidden="false" customHeight="false" outlineLevel="0" collapsed="false">
      <c r="B55952" s="0" t="s">
        <v>1</v>
      </c>
    </row>
    <row r="55953" customFormat="false" ht="12.8" hidden="false" customHeight="false" outlineLevel="0" collapsed="false">
      <c r="B55953" s="0" t="s">
        <v>8</v>
      </c>
    </row>
    <row r="55955" customFormat="false" ht="12.8" hidden="false" customHeight="false" outlineLevel="0" collapsed="false">
      <c r="A55955" s="0" t="s">
        <v>19204</v>
      </c>
      <c r="B55955" s="0" t="str">
        <f aca="false">HYPERLINK("https://lindat.mff.cuni.cz/services/teitok/pdtc10/index.php?action=vallex&amp;frame=v-w7899f1", "vyhloubit (v-w7899f1)")</f>
        <v>vyhloubit (v-w7899f1)</v>
      </c>
    </row>
    <row r="55956" customFormat="false" ht="12.8" hidden="false" customHeight="false" outlineLevel="0" collapsed="false">
      <c r="B55956" s="0" t="s">
        <v>1</v>
      </c>
    </row>
    <row r="55957" customFormat="false" ht="12.8" hidden="false" customHeight="false" outlineLevel="0" collapsed="false">
      <c r="B55957" s="0" t="s">
        <v>8</v>
      </c>
    </row>
    <row r="55959" customFormat="false" ht="12.8" hidden="false" customHeight="false" outlineLevel="0" collapsed="false">
      <c r="A55959" s="0" t="s">
        <v>19205</v>
      </c>
      <c r="B55959" s="0" t="str">
        <f aca="false">HYPERLINK("https://lindat.mff.cuni.cz/services/teitok/pdtc10/index.php?action=vallex&amp;frame=v-w7884f2", "vyhlásit (v-w7884f2)")</f>
        <v>vyhlásit (v-w7884f2)</v>
      </c>
      <c r="E55959" s="0" t="str">
        <f aca="false">HYPERLINK("https://lindat.mff.cuni.cz/services/SynSemClass40/SynSemClass40.html?veclass=vec00488#vec00488-ces-cm00007", "vec00488")</f>
        <v>vec00488</v>
      </c>
      <c r="F55959" s="0" t="s">
        <v>12289</v>
      </c>
    </row>
    <row r="55960" customFormat="false" ht="12.8" hidden="false" customHeight="false" outlineLevel="0" collapsed="false">
      <c r="B55960" s="0" t="s">
        <v>1</v>
      </c>
      <c r="C55960" s="0" t="s">
        <v>19206</v>
      </c>
      <c r="E55960" s="0" t="s">
        <v>147</v>
      </c>
      <c r="F55960" s="0" t="s">
        <v>12291</v>
      </c>
    </row>
    <row r="55961" customFormat="false" ht="12.8" hidden="false" customHeight="false" outlineLevel="0" collapsed="false">
      <c r="B55961" s="0" t="s">
        <v>8</v>
      </c>
      <c r="C55961" s="0" t="s">
        <v>8691</v>
      </c>
      <c r="E55961" s="0" t="s">
        <v>34</v>
      </c>
      <c r="F55961" s="0" t="s">
        <v>12294</v>
      </c>
    </row>
    <row r="55962" customFormat="false" ht="12.8" hidden="false" customHeight="false" outlineLevel="0" collapsed="false">
      <c r="B55962" s="0" t="s">
        <v>5350</v>
      </c>
      <c r="C55962" s="0" t="s">
        <v>19207</v>
      </c>
      <c r="E55962" s="0" t="s">
        <v>8029</v>
      </c>
      <c r="F55962" s="0" t="s">
        <v>12298</v>
      </c>
    </row>
    <row r="55964" customFormat="false" ht="12.8" hidden="false" customHeight="false" outlineLevel="0" collapsed="false">
      <c r="A55964" s="0" t="s">
        <v>19208</v>
      </c>
      <c r="B55964" s="0" t="str">
        <f aca="false">HYPERLINK("https://lindat.mff.cuni.cz/services/teitok/pdtc10/index.php?action=vallex&amp;frame=v-w7884f1", "vyhlásit (v-w7884f1)")</f>
        <v>vyhlásit (v-w7884f1)</v>
      </c>
      <c r="E55964" s="0" t="str">
        <f aca="false">HYPERLINK("https://lindat.mff.cuni.cz/services/SynSemClass40/SynSemClass40.html?veclass=vec00060#vec00060-ces-cm00137", "vec00060")</f>
        <v>vec00060</v>
      </c>
      <c r="F55964" s="0" t="s">
        <v>213</v>
      </c>
    </row>
    <row r="55965" customFormat="false" ht="12.8" hidden="false" customHeight="false" outlineLevel="0" collapsed="false">
      <c r="B55965" s="0" t="s">
        <v>1</v>
      </c>
      <c r="C55965" s="0" t="s">
        <v>214</v>
      </c>
      <c r="E55965" s="0" t="s">
        <v>147</v>
      </c>
      <c r="F55965" s="0" t="s">
        <v>215</v>
      </c>
    </row>
    <row r="55966" customFormat="false" ht="12.8" hidden="false" customHeight="false" outlineLevel="0" collapsed="false">
      <c r="B55966" s="0" t="s">
        <v>59</v>
      </c>
      <c r="C55966" s="0" t="s">
        <v>217</v>
      </c>
      <c r="E55966" s="0" t="s">
        <v>218</v>
      </c>
      <c r="F55966" s="0" t="s">
        <v>219</v>
      </c>
    </row>
    <row r="55968" customFormat="false" ht="12.8" hidden="false" customHeight="false" outlineLevel="0" collapsed="false">
      <c r="A55968" s="0" t="s">
        <v>19209</v>
      </c>
      <c r="B55968" s="0" t="str">
        <f aca="false">HYPERLINK("https://lindat.mff.cuni.cz/services/teitok/pdtc10/index.php?action=vallex&amp;frame=v-w7884f4_ZU", "vyhlásit (v-w7884f4_ZU)")</f>
        <v>vyhlásit (v-w7884f4_ZU)</v>
      </c>
      <c r="E55968" s="0" t="str">
        <f aca="false">HYPERLINK("https://lindat.mff.cuni.cz/services/SynSemClass40/SynSemClass40.html?veclass=vec00060#vec00060-ces-cm00464", "vec00060")</f>
        <v>vec00060</v>
      </c>
      <c r="F55968" s="0" t="s">
        <v>213</v>
      </c>
    </row>
    <row r="55969" customFormat="false" ht="12.8" hidden="false" customHeight="false" outlineLevel="0" collapsed="false">
      <c r="B55969" s="0" t="s">
        <v>1</v>
      </c>
      <c r="C55969" s="0" t="s">
        <v>214</v>
      </c>
      <c r="E55969" s="0" t="s">
        <v>147</v>
      </c>
      <c r="F55969" s="0" t="s">
        <v>215</v>
      </c>
    </row>
    <row r="55970" customFormat="false" ht="12.8" hidden="false" customHeight="false" outlineLevel="0" collapsed="false">
      <c r="B55970" s="0" t="s">
        <v>19210</v>
      </c>
      <c r="C55970" s="0" t="s">
        <v>19092</v>
      </c>
      <c r="E55970" s="0" t="s">
        <v>5364</v>
      </c>
      <c r="F55970" s="0" t="s">
        <v>19093</v>
      </c>
    </row>
    <row r="55971" customFormat="false" ht="12.8" hidden="false" customHeight="false" outlineLevel="0" collapsed="false">
      <c r="B55971" s="0" t="s">
        <v>132</v>
      </c>
      <c r="C55971" s="0" t="s">
        <v>220</v>
      </c>
      <c r="E55971" s="0" t="s">
        <v>221</v>
      </c>
      <c r="F55971" s="0" t="s">
        <v>222</v>
      </c>
    </row>
    <row r="55973" customFormat="false" ht="12.8" hidden="false" customHeight="false" outlineLevel="0" collapsed="false">
      <c r="A55973" s="0" t="s">
        <v>19209</v>
      </c>
      <c r="B55973" s="0" t="str">
        <f aca="false">HYPERLINK("https://lindat.mff.cuni.cz/services/teitok/pdtc10/index.php?action=vallex&amp;frame=v-w7884f3", "vyhlásit (v-w7884f3) - substituted with v-w7884f4_ZU")</f>
        <v>vyhlásit (v-w7884f3) - substituted with v-w7884f4_ZU</v>
      </c>
    </row>
    <row r="55974" customFormat="false" ht="12.8" hidden="false" customHeight="false" outlineLevel="0" collapsed="false">
      <c r="B55974" s="0" t="s">
        <v>1</v>
      </c>
    </row>
    <row r="55975" customFormat="false" ht="12.8" hidden="false" customHeight="false" outlineLevel="0" collapsed="false">
      <c r="B55975" s="0" t="s">
        <v>19210</v>
      </c>
    </row>
    <row r="55976" customFormat="false" ht="12.8" hidden="false" customHeight="false" outlineLevel="0" collapsed="false">
      <c r="B55976" s="0" t="s">
        <v>132</v>
      </c>
    </row>
    <row r="55978" customFormat="false" ht="12.8" hidden="false" customHeight="false" outlineLevel="0" collapsed="false">
      <c r="A55978" s="0" t="s">
        <v>19209</v>
      </c>
      <c r="B55978" s="0" t="str">
        <f aca="false">HYPERLINK("https://lindat.mff.cuni.cz/services/teitok/pdtc10/index.php?action=vallex&amp;frame=v-w7884hsa_693", "vyhlásit (v-w7884hsa_693) - substituted with v-w7884f4_ZU")</f>
        <v>vyhlásit (v-w7884hsa_693) - substituted with v-w7884f4_ZU</v>
      </c>
    </row>
    <row r="55979" customFormat="false" ht="12.8" hidden="false" customHeight="false" outlineLevel="0" collapsed="false">
      <c r="B55979" s="0" t="s">
        <v>1</v>
      </c>
    </row>
    <row r="55980" customFormat="false" ht="12.8" hidden="false" customHeight="false" outlineLevel="0" collapsed="false">
      <c r="B55980" s="0" t="s">
        <v>19210</v>
      </c>
    </row>
    <row r="55981" customFormat="false" ht="12.8" hidden="false" customHeight="false" outlineLevel="0" collapsed="false">
      <c r="B55981" s="0" t="s">
        <v>132</v>
      </c>
    </row>
    <row r="55983" customFormat="false" ht="12.8" hidden="false" customHeight="false" outlineLevel="0" collapsed="false">
      <c r="A55983" s="0" t="s">
        <v>19211</v>
      </c>
      <c r="B55983" s="0" t="str">
        <f aca="false">HYPERLINK("https://lindat.mff.cuni.cz/services/teitok/pdtc10/index.php?action=vallex&amp;frame=v-w11725_ZUf1_ZU", "vyhláskovat (v-w11725_ZUf1_ZU)")</f>
        <v>vyhláskovat (v-w11725_ZUf1_ZU)</v>
      </c>
    </row>
    <row r="55984" customFormat="false" ht="12.8" hidden="false" customHeight="false" outlineLevel="0" collapsed="false">
      <c r="B55984" s="0" t="s">
        <v>1</v>
      </c>
    </row>
    <row r="55985" customFormat="false" ht="12.8" hidden="false" customHeight="false" outlineLevel="0" collapsed="false">
      <c r="B55985" s="0" t="s">
        <v>8</v>
      </c>
    </row>
    <row r="55987" customFormat="false" ht="12.8" hidden="false" customHeight="false" outlineLevel="0" collapsed="false">
      <c r="A55987" s="0" t="s">
        <v>19212</v>
      </c>
      <c r="B55987" s="0" t="str">
        <f aca="false">HYPERLINK("https://lindat.mff.cuni.cz/services/teitok/pdtc10/index.php?action=vallex&amp;frame=v-w7896f1", "vyhlédnout (v-w7896f1)")</f>
        <v>vyhlédnout (v-w7896f1)</v>
      </c>
    </row>
    <row r="55988" customFormat="false" ht="12.8" hidden="false" customHeight="false" outlineLevel="0" collapsed="false">
      <c r="B55988" s="0" t="s">
        <v>1</v>
      </c>
    </row>
    <row r="55989" customFormat="false" ht="12.8" hidden="false" customHeight="false" outlineLevel="0" collapsed="false">
      <c r="B55989" s="0" t="s">
        <v>8</v>
      </c>
    </row>
    <row r="55991" customFormat="false" ht="12.8" hidden="false" customHeight="false" outlineLevel="0" collapsed="false">
      <c r="A55991" s="0" t="s">
        <v>19213</v>
      </c>
      <c r="B55991" s="0" t="str">
        <f aca="false">HYPERLINK("https://lindat.mff.cuni.cz/services/teitok/pdtc10/index.php?action=vallex&amp;frame=v-w12319_MMf1_MM", "vyhlídnout (v-w12319_MMf1_MM)")</f>
        <v>vyhlídnout (v-w12319_MMf1_MM)</v>
      </c>
    </row>
    <row r="55992" customFormat="false" ht="12.8" hidden="false" customHeight="false" outlineLevel="0" collapsed="false">
      <c r="B55992" s="0" t="s">
        <v>1</v>
      </c>
    </row>
    <row r="55993" customFormat="false" ht="12.8" hidden="false" customHeight="false" outlineLevel="0" collapsed="false">
      <c r="B55993" s="0" t="s">
        <v>59</v>
      </c>
    </row>
    <row r="55995" customFormat="false" ht="12.8" hidden="false" customHeight="false" outlineLevel="0" collapsed="false">
      <c r="A55995" s="0" t="s">
        <v>19214</v>
      </c>
      <c r="B55995" s="0" t="str">
        <f aca="false">HYPERLINK("https://lindat.mff.cuni.cz/services/teitok/pdtc10/index.php?action=vallex&amp;frame=v-w7898f1", "vyhlížet (v-w7898f1)")</f>
        <v>vyhlížet (v-w7898f1)</v>
      </c>
    </row>
    <row r="55996" customFormat="false" ht="12.8" hidden="false" customHeight="false" outlineLevel="0" collapsed="false">
      <c r="B55996" s="0" t="s">
        <v>1</v>
      </c>
    </row>
    <row r="55997" customFormat="false" ht="12.8" hidden="false" customHeight="false" outlineLevel="0" collapsed="false">
      <c r="B55997" s="0" t="s">
        <v>642</v>
      </c>
    </row>
    <row r="55998" customFormat="false" ht="12.8" hidden="false" customHeight="false" outlineLevel="0" collapsed="false">
      <c r="B55998" s="0" t="s">
        <v>648</v>
      </c>
    </row>
    <row r="55999" customFormat="false" ht="12.8" hidden="false" customHeight="false" outlineLevel="0" collapsed="false">
      <c r="B55999" s="0" t="s">
        <v>650</v>
      </c>
    </row>
    <row r="56000" customFormat="false" ht="12.8" hidden="false" customHeight="false" outlineLevel="0" collapsed="false">
      <c r="B56000" s="0" t="s">
        <v>652</v>
      </c>
    </row>
    <row r="56002" customFormat="false" ht="12.8" hidden="false" customHeight="false" outlineLevel="0" collapsed="false">
      <c r="A56002" s="0" t="s">
        <v>19215</v>
      </c>
      <c r="B56002" s="0" t="str">
        <f aca="false">HYPERLINK("https://lindat.mff.cuni.cz/services/teitok/pdtc10/index.php?action=vallex&amp;frame=v-w7898hsa_416", "vyhlížet (v-w7898hsa_416)")</f>
        <v>vyhlížet (v-w7898hsa_416)</v>
      </c>
    </row>
    <row r="56003" customFormat="false" ht="12.8" hidden="false" customHeight="false" outlineLevel="0" collapsed="false">
      <c r="B56003" s="0" t="s">
        <v>1</v>
      </c>
    </row>
    <row r="56004" customFormat="false" ht="12.8" hidden="false" customHeight="false" outlineLevel="0" collapsed="false">
      <c r="B56004" s="0" t="s">
        <v>8</v>
      </c>
    </row>
    <row r="56006" customFormat="false" ht="12.8" hidden="false" customHeight="false" outlineLevel="0" collapsed="false">
      <c r="A56006" s="0" t="s">
        <v>19216</v>
      </c>
      <c r="B56006" s="0" t="str">
        <f aca="false">HYPERLINK("https://lindat.mff.cuni.cz/services/teitok/pdtc10/index.php?action=vallex&amp;frame=v-w7898f2_MM", "vyhlížet (v-w7898f2_MM)")</f>
        <v>vyhlížet (v-w7898f2_MM)</v>
      </c>
    </row>
    <row r="56007" customFormat="false" ht="12.8" hidden="false" customHeight="false" outlineLevel="0" collapsed="false">
      <c r="B56007" s="0" t="s">
        <v>1</v>
      </c>
    </row>
    <row r="56008" customFormat="false" ht="12.8" hidden="false" customHeight="false" outlineLevel="0" collapsed="false">
      <c r="B56008" s="0" t="s">
        <v>631</v>
      </c>
    </row>
    <row r="56010" customFormat="false" ht="12.8" hidden="false" customHeight="false" outlineLevel="0" collapsed="false">
      <c r="A56010" s="0" t="s">
        <v>19217</v>
      </c>
      <c r="B56010" s="0" t="str">
        <f aca="false">HYPERLINK("https://lindat.mff.cuni.cz/services/teitok/pdtc10/index.php?action=vallex&amp;frame=v-w7900f1", "vyhmátnout (v-w7900f1)")</f>
        <v>vyhmátnout (v-w7900f1)</v>
      </c>
    </row>
    <row r="56011" customFormat="false" ht="12.8" hidden="false" customHeight="false" outlineLevel="0" collapsed="false">
      <c r="B56011" s="0" t="s">
        <v>1</v>
      </c>
    </row>
    <row r="56012" customFormat="false" ht="12.8" hidden="false" customHeight="false" outlineLevel="0" collapsed="false">
      <c r="B56012" s="0" t="s">
        <v>59</v>
      </c>
    </row>
    <row r="56014" customFormat="false" ht="12.8" hidden="false" customHeight="false" outlineLevel="0" collapsed="false">
      <c r="A56014" s="0" t="s">
        <v>19218</v>
      </c>
      <c r="B56014" s="0" t="str">
        <f aca="false">HYPERLINK("https://lindat.mff.cuni.cz/services/teitok/pdtc10/index.php?action=vallex&amp;frame=v-w7902f10_ZU", "vyhnat (v-w7902f10_ZU)")</f>
        <v>vyhnat (v-w7902f10_ZU)</v>
      </c>
      <c r="E56014" s="0" t="str">
        <f aca="false">HYPERLINK("https://lindat.mff.cuni.cz/services/SynSemClass40/SynSemClass40.html?veclass=vec00298#vec00298-ces-cm00129", "vec00298")</f>
        <v>vec00298</v>
      </c>
      <c r="F56014" s="0" t="s">
        <v>7194</v>
      </c>
    </row>
    <row r="56015" customFormat="false" ht="12.8" hidden="false" customHeight="false" outlineLevel="0" collapsed="false">
      <c r="B56015" s="0" t="s">
        <v>1</v>
      </c>
      <c r="C56015" s="0" t="s">
        <v>7195</v>
      </c>
      <c r="E56015" s="0" t="s">
        <v>31</v>
      </c>
      <c r="F56015" s="0" t="s">
        <v>7196</v>
      </c>
    </row>
    <row r="56016" customFormat="false" ht="12.8" hidden="false" customHeight="false" outlineLevel="0" collapsed="false">
      <c r="B56016" s="0" t="s">
        <v>8</v>
      </c>
      <c r="C56016" s="0" t="s">
        <v>7197</v>
      </c>
      <c r="E56016" s="0" t="s">
        <v>1569</v>
      </c>
      <c r="F56016" s="0" t="s">
        <v>7198</v>
      </c>
    </row>
    <row r="56017" customFormat="false" ht="12.8" hidden="false" customHeight="false" outlineLevel="0" collapsed="false">
      <c r="B56017" s="0" t="s">
        <v>36</v>
      </c>
      <c r="C56017" s="0" t="s">
        <v>7199</v>
      </c>
      <c r="E56017" s="0" t="s">
        <v>5152</v>
      </c>
      <c r="F56017" s="0" t="s">
        <v>7200</v>
      </c>
    </row>
    <row r="56018" customFormat="false" ht="12.8" hidden="false" customHeight="false" outlineLevel="0" collapsed="false">
      <c r="B56018" s="0" t="s">
        <v>101</v>
      </c>
      <c r="C56018" s="0" t="s">
        <v>7201</v>
      </c>
      <c r="E56018" s="0" t="s">
        <v>5796</v>
      </c>
      <c r="F56018" s="0" t="s">
        <v>7202</v>
      </c>
    </row>
    <row r="56020" customFormat="false" ht="12.8" hidden="false" customHeight="false" outlineLevel="0" collapsed="false">
      <c r="A56020" s="0" t="s">
        <v>19218</v>
      </c>
      <c r="B56020" s="0" t="str">
        <f aca="false">HYPERLINK("https://lindat.mff.cuni.cz/services/teitok/pdtc10/index.php?action=vallex&amp;frame=v-w7902f4_ZU", "vyhnat (v-w7902f4_ZU) - substituted with v-w7902f10_ZU")</f>
        <v>vyhnat (v-w7902f4_ZU) - substituted with v-w7902f10_ZU</v>
      </c>
    </row>
    <row r="56021" customFormat="false" ht="12.8" hidden="false" customHeight="false" outlineLevel="0" collapsed="false">
      <c r="B56021" s="0" t="s">
        <v>1</v>
      </c>
    </row>
    <row r="56022" customFormat="false" ht="12.8" hidden="false" customHeight="false" outlineLevel="0" collapsed="false">
      <c r="B56022" s="0" t="s">
        <v>8</v>
      </c>
    </row>
    <row r="56023" customFormat="false" ht="12.8" hidden="false" customHeight="false" outlineLevel="0" collapsed="false">
      <c r="B56023" s="0" t="s">
        <v>36</v>
      </c>
    </row>
    <row r="56024" customFormat="false" ht="12.8" hidden="false" customHeight="false" outlineLevel="0" collapsed="false">
      <c r="B56024" s="0" t="s">
        <v>101</v>
      </c>
    </row>
    <row r="56026" customFormat="false" ht="12.8" hidden="false" customHeight="false" outlineLevel="0" collapsed="false">
      <c r="A56026" s="0" t="s">
        <v>19218</v>
      </c>
      <c r="B56026" s="0" t="str">
        <f aca="false">HYPERLINK("https://lindat.mff.cuni.cz/services/teitok/pdtc10/index.php?action=vallex&amp;frame=v-w7902f5_ZU", "vyhnat (v-w7902f5_ZU) - substituted with v-w7902f10_ZU")</f>
        <v>vyhnat (v-w7902f5_ZU) - substituted with v-w7902f10_ZU</v>
      </c>
    </row>
    <row r="56027" customFormat="false" ht="12.8" hidden="false" customHeight="false" outlineLevel="0" collapsed="false">
      <c r="B56027" s="0" t="s">
        <v>1</v>
      </c>
    </row>
    <row r="56028" customFormat="false" ht="12.8" hidden="false" customHeight="false" outlineLevel="0" collapsed="false">
      <c r="B56028" s="0" t="s">
        <v>8</v>
      </c>
    </row>
    <row r="56029" customFormat="false" ht="12.8" hidden="false" customHeight="false" outlineLevel="0" collapsed="false">
      <c r="B56029" s="0" t="s">
        <v>36</v>
      </c>
    </row>
    <row r="56030" customFormat="false" ht="12.8" hidden="false" customHeight="false" outlineLevel="0" collapsed="false">
      <c r="B56030" s="0" t="s">
        <v>101</v>
      </c>
    </row>
    <row r="56032" customFormat="false" ht="12.8" hidden="false" customHeight="false" outlineLevel="0" collapsed="false">
      <c r="A56032" s="0" t="s">
        <v>19218</v>
      </c>
      <c r="B56032" s="0" t="str">
        <f aca="false">HYPERLINK("https://lindat.mff.cuni.cz/services/teitok/pdtc10/index.php?action=vallex&amp;frame=v-w7902f6_ZU", "vyhnat (v-w7902f6_ZU) - substituted with v-w7902f10_ZU")</f>
        <v>vyhnat (v-w7902f6_ZU) - substituted with v-w7902f10_ZU</v>
      </c>
    </row>
    <row r="56033" customFormat="false" ht="12.8" hidden="false" customHeight="false" outlineLevel="0" collapsed="false">
      <c r="B56033" s="0" t="s">
        <v>1</v>
      </c>
    </row>
    <row r="56034" customFormat="false" ht="12.8" hidden="false" customHeight="false" outlineLevel="0" collapsed="false">
      <c r="B56034" s="0" t="s">
        <v>8</v>
      </c>
    </row>
    <row r="56035" customFormat="false" ht="12.8" hidden="false" customHeight="false" outlineLevel="0" collapsed="false">
      <c r="B56035" s="0" t="s">
        <v>36</v>
      </c>
    </row>
    <row r="56036" customFormat="false" ht="12.8" hidden="false" customHeight="false" outlineLevel="0" collapsed="false">
      <c r="B56036" s="0" t="s">
        <v>101</v>
      </c>
    </row>
    <row r="56038" customFormat="false" ht="12.8" hidden="false" customHeight="false" outlineLevel="0" collapsed="false">
      <c r="A56038" s="0" t="s">
        <v>19219</v>
      </c>
      <c r="B56038" s="0" t="str">
        <f aca="false">HYPERLINK("https://lindat.mff.cuni.cz/services/teitok/pdtc10/index.php?action=vallex&amp;frame=v-w7902f2", "vyhnat (v-w7902f2)")</f>
        <v>vyhnat (v-w7902f2)</v>
      </c>
    </row>
    <row r="56039" customFormat="false" ht="12.8" hidden="false" customHeight="false" outlineLevel="0" collapsed="false">
      <c r="B56039" s="0" t="s">
        <v>1</v>
      </c>
    </row>
    <row r="56040" customFormat="false" ht="12.8" hidden="false" customHeight="false" outlineLevel="0" collapsed="false">
      <c r="B56040" s="0" t="s">
        <v>8</v>
      </c>
    </row>
    <row r="56041" customFormat="false" ht="12.8" hidden="false" customHeight="false" outlineLevel="0" collapsed="false">
      <c r="B56041" s="0" t="s">
        <v>36</v>
      </c>
    </row>
    <row r="56043" customFormat="false" ht="12.8" hidden="false" customHeight="false" outlineLevel="0" collapsed="false">
      <c r="A56043" s="0" t="s">
        <v>19220</v>
      </c>
      <c r="B56043" s="0" t="str">
        <f aca="false">HYPERLINK("https://lindat.mff.cuni.cz/services/teitok/pdtc10/index.php?action=vallex&amp;frame=v-w7902f1", "vyhnat (v-w7902f1)")</f>
        <v>vyhnat (v-w7902f1)</v>
      </c>
      <c r="E56043" s="0" t="str">
        <f aca="false">HYPERLINK("https://lindat.mff.cuni.cz/services/SynSemClass40/SynSemClass40.html?veclass=vec00555#vec00555-ces-cm00077", "vec00555")</f>
        <v>vec00555</v>
      </c>
      <c r="F56043" s="0" t="s">
        <v>1918</v>
      </c>
    </row>
    <row r="56044" customFormat="false" ht="12.8" hidden="false" customHeight="false" outlineLevel="0" collapsed="false">
      <c r="B56044" s="0" t="s">
        <v>1</v>
      </c>
      <c r="C56044" s="0" t="s">
        <v>1919</v>
      </c>
      <c r="E56044" s="0" t="s">
        <v>31</v>
      </c>
      <c r="F56044" s="0" t="s">
        <v>1920</v>
      </c>
    </row>
    <row r="56045" customFormat="false" ht="12.8" hidden="false" customHeight="false" outlineLevel="0" collapsed="false">
      <c r="B56045" s="0" t="s">
        <v>8</v>
      </c>
      <c r="C56045" s="0" t="s">
        <v>1921</v>
      </c>
      <c r="E56045" s="0" t="s">
        <v>532</v>
      </c>
      <c r="F56045" s="0" t="s">
        <v>1922</v>
      </c>
    </row>
    <row r="56046" customFormat="false" ht="12.8" hidden="false" customHeight="false" outlineLevel="0" collapsed="false">
      <c r="B56046" s="0" t="s">
        <v>631</v>
      </c>
      <c r="C56046" s="0" t="s">
        <v>1923</v>
      </c>
      <c r="E56046" s="0" t="s">
        <v>1924</v>
      </c>
      <c r="F56046" s="0" t="s">
        <v>1925</v>
      </c>
    </row>
    <row r="56048" customFormat="false" ht="12.8" hidden="false" customHeight="false" outlineLevel="0" collapsed="false">
      <c r="A56048" s="0" t="s">
        <v>19221</v>
      </c>
      <c r="B56048" s="0" t="str">
        <f aca="false">HYPERLINK("https://lindat.mff.cuni.cz/services/teitok/pdtc10/index.php?action=vallex&amp;frame=v-w7902f3", "vyhnat (v-w7902f3)")</f>
        <v>vyhnat (v-w7902f3)</v>
      </c>
    </row>
    <row r="56049" customFormat="false" ht="12.8" hidden="false" customHeight="false" outlineLevel="0" collapsed="false">
      <c r="B56049" s="0" t="s">
        <v>1</v>
      </c>
    </row>
    <row r="56051" customFormat="false" ht="12.8" hidden="false" customHeight="false" outlineLevel="0" collapsed="false">
      <c r="A56051" s="0" t="s">
        <v>19222</v>
      </c>
      <c r="B56051" s="0" t="str">
        <f aca="false">HYPERLINK("https://lindat.mff.cuni.cz/services/teitok/pdtc10/index.php?action=vallex&amp;frame=v-w7902f9_ZU", "vyhnat (v-w7902f9_ZU)")</f>
        <v>vyhnat (v-w7902f9_ZU)</v>
      </c>
    </row>
    <row r="56052" customFormat="false" ht="12.8" hidden="false" customHeight="false" outlineLevel="0" collapsed="false">
      <c r="B56052" s="0" t="s">
        <v>1</v>
      </c>
    </row>
    <row r="56053" customFormat="false" ht="12.8" hidden="false" customHeight="false" outlineLevel="0" collapsed="false">
      <c r="B56053" s="0" t="s">
        <v>8</v>
      </c>
    </row>
    <row r="56054" customFormat="false" ht="12.8" hidden="false" customHeight="false" outlineLevel="0" collapsed="false">
      <c r="B56054" s="0" t="s">
        <v>454</v>
      </c>
    </row>
    <row r="56056" customFormat="false" ht="12.8" hidden="false" customHeight="false" outlineLevel="0" collapsed="false">
      <c r="A56056" s="0" t="s">
        <v>19222</v>
      </c>
      <c r="B56056" s="0" t="str">
        <f aca="false">HYPERLINK("https://lindat.mff.cuni.cz/services/teitok/pdtc10/index.php?action=vallex&amp;frame=v-w7902f7_ZU", "vyhnat (v-w7902f7_ZU) - substituted with v-w7902f9_ZU")</f>
        <v>vyhnat (v-w7902f7_ZU) - substituted with v-w7902f9_ZU</v>
      </c>
    </row>
    <row r="56057" customFormat="false" ht="12.8" hidden="false" customHeight="false" outlineLevel="0" collapsed="false">
      <c r="B56057" s="0" t="s">
        <v>1</v>
      </c>
    </row>
    <row r="56058" customFormat="false" ht="12.8" hidden="false" customHeight="false" outlineLevel="0" collapsed="false">
      <c r="B56058" s="0" t="s">
        <v>8</v>
      </c>
    </row>
    <row r="56059" customFormat="false" ht="12.8" hidden="false" customHeight="false" outlineLevel="0" collapsed="false">
      <c r="B56059" s="0" t="s">
        <v>454</v>
      </c>
    </row>
    <row r="56061" customFormat="false" ht="12.8" hidden="false" customHeight="false" outlineLevel="0" collapsed="false">
      <c r="A56061" s="0" t="s">
        <v>19222</v>
      </c>
      <c r="B56061" s="0" t="str">
        <f aca="false">HYPERLINK("https://lindat.mff.cuni.cz/services/teitok/pdtc10/index.php?action=vallex&amp;frame=v-w7902f8_ZU", "vyhnat (v-w7902f8_ZU) - substituted with v-w7902f9_ZU")</f>
        <v>vyhnat (v-w7902f8_ZU) - substituted with v-w7902f9_ZU</v>
      </c>
    </row>
    <row r="56062" customFormat="false" ht="12.8" hidden="false" customHeight="false" outlineLevel="0" collapsed="false">
      <c r="B56062" s="0" t="s">
        <v>1</v>
      </c>
    </row>
    <row r="56063" customFormat="false" ht="12.8" hidden="false" customHeight="false" outlineLevel="0" collapsed="false">
      <c r="B56063" s="0" t="s">
        <v>8</v>
      </c>
    </row>
    <row r="56064" customFormat="false" ht="12.8" hidden="false" customHeight="false" outlineLevel="0" collapsed="false">
      <c r="B56064" s="0" t="s">
        <v>454</v>
      </c>
    </row>
    <row r="56066" customFormat="false" ht="12.8" hidden="false" customHeight="false" outlineLevel="0" collapsed="false">
      <c r="A56066" s="0" t="s">
        <v>19223</v>
      </c>
      <c r="B56066" s="0" t="str">
        <f aca="false">HYPERLINK("https://lindat.mff.cuni.cz/services/teitok/pdtc10/index.php?action=vallex&amp;frame=v-w7902f11_ZU", "vyhnat (v-w7902f11_ZU)")</f>
        <v>vyhnat (v-w7902f11_ZU)</v>
      </c>
    </row>
    <row r="56067" customFormat="false" ht="12.8" hidden="false" customHeight="false" outlineLevel="0" collapsed="false">
      <c r="B56067" s="0" t="s">
        <v>1</v>
      </c>
    </row>
    <row r="56068" customFormat="false" ht="12.8" hidden="false" customHeight="false" outlineLevel="0" collapsed="false">
      <c r="B56068" s="0" t="s">
        <v>8</v>
      </c>
    </row>
    <row r="56069" customFormat="false" ht="12.8" hidden="false" customHeight="false" outlineLevel="0" collapsed="false">
      <c r="B56069" s="0" t="s">
        <v>6273</v>
      </c>
    </row>
    <row r="56071" customFormat="false" ht="12.8" hidden="false" customHeight="false" outlineLevel="0" collapsed="false">
      <c r="A56071" s="0" t="s">
        <v>19224</v>
      </c>
      <c r="B56071" s="0" t="str">
        <f aca="false">HYPERLINK("https://lindat.mff.cuni.cz/services/teitok/pdtc10/index.php?action=vallex&amp;frame=v-w7903f1", "vyhnout se (v-w7903f1)")</f>
        <v>vyhnout se (v-w7903f1)</v>
      </c>
      <c r="E56071" s="0" t="str">
        <f aca="false">HYPERLINK("https://lindat.mff.cuni.cz/services/SynSemClass40/SynSemClass40.html?veclass=vec00045#vec00045-ces-cm00008", "vec00045")</f>
        <v>vec00045</v>
      </c>
      <c r="F56071" s="0" t="s">
        <v>8307</v>
      </c>
    </row>
    <row r="56072" customFormat="false" ht="12.8" hidden="false" customHeight="false" outlineLevel="0" collapsed="false">
      <c r="B56072" s="0" t="s">
        <v>1</v>
      </c>
      <c r="C56072" s="0" t="s">
        <v>6471</v>
      </c>
      <c r="E56072" s="0" t="s">
        <v>2892</v>
      </c>
      <c r="F56072" s="0" t="s">
        <v>8308</v>
      </c>
    </row>
    <row r="56073" customFormat="false" ht="12.8" hidden="false" customHeight="false" outlineLevel="0" collapsed="false">
      <c r="B56073" s="0" t="s">
        <v>186</v>
      </c>
      <c r="C56073" s="0" t="s">
        <v>8309</v>
      </c>
      <c r="E56073" s="0" t="s">
        <v>411</v>
      </c>
      <c r="F56073" s="0" t="s">
        <v>8310</v>
      </c>
    </row>
    <row r="56075" customFormat="false" ht="12.8" hidden="false" customHeight="false" outlineLevel="0" collapsed="false">
      <c r="A56075" s="0" t="s">
        <v>19225</v>
      </c>
      <c r="B56075" s="0" t="str">
        <f aca="false">HYPERLINK("https://lindat.mff.cuni.cz/services/teitok/pdtc10/index.php?action=vallex&amp;frame=v-w7903f2_ZU", "vyhnout se (v-w7903f2_ZU)")</f>
        <v>vyhnout se (v-w7903f2_ZU)</v>
      </c>
    </row>
    <row r="56076" customFormat="false" ht="12.8" hidden="false" customHeight="false" outlineLevel="0" collapsed="false">
      <c r="B56076" s="0" t="s">
        <v>1</v>
      </c>
    </row>
    <row r="56077" customFormat="false" ht="12.8" hidden="false" customHeight="false" outlineLevel="0" collapsed="false">
      <c r="B56077" s="0" t="s">
        <v>186</v>
      </c>
    </row>
    <row r="56079" customFormat="false" ht="12.8" hidden="false" customHeight="false" outlineLevel="0" collapsed="false">
      <c r="A56079" s="0" t="s">
        <v>19225</v>
      </c>
      <c r="B56079" s="0" t="str">
        <f aca="false">HYPERLINK("https://lindat.mff.cuni.cz/services/teitok/pdtc10/index.php?action=vallex&amp;frame=v-w7903hsa_1246", "vyhnout se (v-w7903hsa_1246) - substituted with v-w7903f2_ZU")</f>
        <v>vyhnout se (v-w7903hsa_1246) - substituted with v-w7903f2_ZU</v>
      </c>
    </row>
    <row r="56080" customFormat="false" ht="12.8" hidden="false" customHeight="false" outlineLevel="0" collapsed="false">
      <c r="B56080" s="0" t="s">
        <v>1</v>
      </c>
    </row>
    <row r="56081" customFormat="false" ht="12.8" hidden="false" customHeight="false" outlineLevel="0" collapsed="false">
      <c r="B56081" s="0" t="s">
        <v>186</v>
      </c>
    </row>
    <row r="56083" customFormat="false" ht="12.8" hidden="false" customHeight="false" outlineLevel="0" collapsed="false">
      <c r="A56083" s="0" t="s">
        <v>19226</v>
      </c>
      <c r="B56083" s="0" t="str">
        <f aca="false">HYPERLINK("https://lindat.mff.cuni.cz/services/teitok/pdtc10/index.php?action=vallex&amp;frame=v-w12239_ZUf1_ZU", "vyhoblovat (v-w12239_ZUf1_ZU)")</f>
        <v>vyhoblovat (v-w12239_ZUf1_ZU)</v>
      </c>
    </row>
    <row r="56084" customFormat="false" ht="12.8" hidden="false" customHeight="false" outlineLevel="0" collapsed="false">
      <c r="B56084" s="0" t="s">
        <v>1</v>
      </c>
    </row>
    <row r="56085" customFormat="false" ht="12.8" hidden="false" customHeight="false" outlineLevel="0" collapsed="false">
      <c r="B56085" s="0" t="s">
        <v>8</v>
      </c>
    </row>
    <row r="56086" customFormat="false" ht="12.8" hidden="false" customHeight="false" outlineLevel="0" collapsed="false">
      <c r="B56086" s="0" t="s">
        <v>36</v>
      </c>
    </row>
    <row r="56088" customFormat="false" ht="12.8" hidden="false" customHeight="false" outlineLevel="0" collapsed="false">
      <c r="A56088" s="0" t="s">
        <v>19227</v>
      </c>
      <c r="B56088" s="0" t="str">
        <f aca="false">HYPERLINK("https://lindat.mff.cuni.cz/services/teitok/pdtc10/index.php?action=vallex&amp;frame=v-w7906f3_ZU", "vyhodit (v-w7906f3_ZU)")</f>
        <v>vyhodit (v-w7906f3_ZU)</v>
      </c>
    </row>
    <row r="56089" customFormat="false" ht="12.8" hidden="false" customHeight="false" outlineLevel="0" collapsed="false">
      <c r="B56089" s="0" t="s">
        <v>1</v>
      </c>
    </row>
    <row r="56090" customFormat="false" ht="12.8" hidden="false" customHeight="false" outlineLevel="0" collapsed="false">
      <c r="B56090" s="0" t="s">
        <v>8</v>
      </c>
    </row>
    <row r="56091" customFormat="false" ht="12.8" hidden="false" customHeight="false" outlineLevel="0" collapsed="false">
      <c r="B56091" s="0" t="s">
        <v>631</v>
      </c>
    </row>
    <row r="56093" customFormat="false" ht="12.8" hidden="false" customHeight="false" outlineLevel="0" collapsed="false">
      <c r="A56093" s="0" t="s">
        <v>19227</v>
      </c>
      <c r="B56093" s="0" t="str">
        <f aca="false">HYPERLINK("https://lindat.mff.cuni.cz/services/teitok/pdtc10/index.php?action=vallex&amp;frame=v-w7906f1", "vyhodit (v-w7906f1) - substituted with v-w7906f3_ZU")</f>
        <v>vyhodit (v-w7906f1) - substituted with v-w7906f3_ZU</v>
      </c>
      <c r="E56093" s="0" t="str">
        <f aca="false">HYPERLINK("https://lindat.mff.cuni.cz/services/SynSemClass40/SynSemClass40.html?veclass=vec00555#vec00555-ces-cm00001", "vec00555")</f>
        <v>vec00555</v>
      </c>
      <c r="F56093" s="0" t="s">
        <v>1918</v>
      </c>
    </row>
    <row r="56094" customFormat="false" ht="12.8" hidden="false" customHeight="false" outlineLevel="0" collapsed="false">
      <c r="B56094" s="0" t="s">
        <v>1</v>
      </c>
      <c r="C56094" s="0" t="s">
        <v>1919</v>
      </c>
      <c r="E56094" s="0" t="s">
        <v>31</v>
      </c>
      <c r="F56094" s="0" t="s">
        <v>1920</v>
      </c>
    </row>
    <row r="56095" customFormat="false" ht="12.8" hidden="false" customHeight="false" outlineLevel="0" collapsed="false">
      <c r="B56095" s="0" t="s">
        <v>8</v>
      </c>
      <c r="C56095" s="0" t="s">
        <v>1921</v>
      </c>
      <c r="E56095" s="0" t="s">
        <v>532</v>
      </c>
      <c r="F56095" s="0" t="s">
        <v>1922</v>
      </c>
    </row>
    <row r="56096" customFormat="false" ht="12.8" hidden="false" customHeight="false" outlineLevel="0" collapsed="false">
      <c r="B56096" s="0" t="s">
        <v>631</v>
      </c>
      <c r="C56096" s="0" t="s">
        <v>1923</v>
      </c>
      <c r="E56096" s="0" t="s">
        <v>1924</v>
      </c>
      <c r="F56096" s="0" t="s">
        <v>1925</v>
      </c>
    </row>
    <row r="56098" customFormat="false" ht="12.8" hidden="false" customHeight="false" outlineLevel="0" collapsed="false">
      <c r="A56098" s="0" t="s">
        <v>19228</v>
      </c>
      <c r="B56098" s="0" t="str">
        <f aca="false">HYPERLINK("https://lindat.mff.cuni.cz/services/teitok/pdtc10/index.php?action=vallex&amp;frame=v-w7906f2", "vyhodit (v-w7906f2)")</f>
        <v>vyhodit (v-w7906f2)</v>
      </c>
    </row>
    <row r="56099" customFormat="false" ht="12.8" hidden="false" customHeight="false" outlineLevel="0" collapsed="false">
      <c r="B56099" s="0" t="s">
        <v>1</v>
      </c>
    </row>
    <row r="56100" customFormat="false" ht="12.8" hidden="false" customHeight="false" outlineLevel="0" collapsed="false">
      <c r="B56100" s="0" t="s">
        <v>8</v>
      </c>
    </row>
    <row r="56101" customFormat="false" ht="12.8" hidden="false" customHeight="false" outlineLevel="0" collapsed="false">
      <c r="B56101" s="0" t="s">
        <v>164</v>
      </c>
    </row>
    <row r="56103" customFormat="false" ht="12.8" hidden="false" customHeight="false" outlineLevel="0" collapsed="false">
      <c r="A56103" s="0" t="s">
        <v>19229</v>
      </c>
      <c r="B56103" s="0" t="str">
        <f aca="false">HYPERLINK("https://lindat.mff.cuni.cz/services/teitok/pdtc10/index.php?action=vallex&amp;frame=v-w7906hsa_61", "vyhodit (v-w7906hsa_61)")</f>
        <v>vyhodit (v-w7906hsa_61)</v>
      </c>
      <c r="E56103" s="0" t="str">
        <f aca="false">HYPERLINK("https://lindat.mff.cuni.cz/services/SynSemClass40/SynSemClass40.html?veclass=vec00555#vec00555-ces-cm00007", "vec00555")</f>
        <v>vec00555</v>
      </c>
      <c r="F56103" s="0" t="s">
        <v>1918</v>
      </c>
    </row>
    <row r="56104" customFormat="false" ht="12.8" hidden="false" customHeight="false" outlineLevel="0" collapsed="false">
      <c r="B56104" s="0" t="s">
        <v>1</v>
      </c>
      <c r="C56104" s="0" t="s">
        <v>1919</v>
      </c>
      <c r="E56104" s="0" t="s">
        <v>31</v>
      </c>
      <c r="F56104" s="0" t="s">
        <v>1920</v>
      </c>
    </row>
    <row r="56105" customFormat="false" ht="12.8" hidden="false" customHeight="false" outlineLevel="0" collapsed="false">
      <c r="B56105" s="0" t="s">
        <v>8</v>
      </c>
      <c r="C56105" s="0" t="s">
        <v>1921</v>
      </c>
      <c r="E56105" s="0" t="s">
        <v>532</v>
      </c>
      <c r="F56105" s="0" t="s">
        <v>1922</v>
      </c>
    </row>
    <row r="56107" customFormat="false" ht="12.8" hidden="false" customHeight="false" outlineLevel="0" collapsed="false">
      <c r="A56107" s="0" t="s">
        <v>19230</v>
      </c>
      <c r="B56107" s="0" t="str">
        <f aca="false">HYPERLINK("https://lindat.mff.cuni.cz/services/teitok/pdtc10/index.php?action=vallex&amp;frame=v-w7906hsa_1169", "vyhodit (v-w7906hsa_1169)")</f>
        <v>vyhodit (v-w7906hsa_1169)</v>
      </c>
    </row>
    <row r="56108" customFormat="false" ht="12.8" hidden="false" customHeight="false" outlineLevel="0" collapsed="false">
      <c r="B56108" s="0" t="s">
        <v>1</v>
      </c>
    </row>
    <row r="56109" customFormat="false" ht="12.8" hidden="false" customHeight="false" outlineLevel="0" collapsed="false">
      <c r="B56109" s="0" t="s">
        <v>8</v>
      </c>
    </row>
    <row r="56111" customFormat="false" ht="12.8" hidden="false" customHeight="false" outlineLevel="0" collapsed="false">
      <c r="A56111" s="0" t="s">
        <v>19231</v>
      </c>
      <c r="B56111" s="0" t="str">
        <f aca="false">HYPERLINK("https://lindat.mff.cuni.cz/services/teitok/pdtc10/index.php?action=vallex&amp;frame=v-w7906hsa_1170", "vyhodit (v-w7906hsa_1170)")</f>
        <v>vyhodit (v-w7906hsa_1170)</v>
      </c>
    </row>
    <row r="56112" customFormat="false" ht="12.8" hidden="false" customHeight="false" outlineLevel="0" collapsed="false">
      <c r="B56112" s="0" t="s">
        <v>1</v>
      </c>
    </row>
    <row r="56113" customFormat="false" ht="12.8" hidden="false" customHeight="false" outlineLevel="0" collapsed="false">
      <c r="B56113" s="0" t="s">
        <v>8</v>
      </c>
    </row>
    <row r="56114" customFormat="false" ht="12.8" hidden="false" customHeight="false" outlineLevel="0" collapsed="false">
      <c r="B56114" s="0" t="s">
        <v>164</v>
      </c>
    </row>
    <row r="56116" customFormat="false" ht="12.8" hidden="false" customHeight="false" outlineLevel="0" collapsed="false">
      <c r="A56116" s="0" t="s">
        <v>19232</v>
      </c>
      <c r="B56116" s="0" t="str">
        <f aca="false">HYPERLINK("https://lindat.mff.cuni.cz/services/teitok/pdtc10/index.php?action=vallex&amp;frame=v-w7907f2", "vyhodit si (v-w7907f2)")</f>
        <v>vyhodit si (v-w7907f2)</v>
      </c>
    </row>
    <row r="56117" customFormat="false" ht="12.8" hidden="false" customHeight="false" outlineLevel="0" collapsed="false">
      <c r="B56117" s="0" t="s">
        <v>1</v>
      </c>
    </row>
    <row r="56118" customFormat="false" ht="12.8" hidden="false" customHeight="false" outlineLevel="0" collapsed="false">
      <c r="B56118" s="0" t="s">
        <v>19233</v>
      </c>
    </row>
    <row r="56120" customFormat="false" ht="12.8" hidden="false" customHeight="false" outlineLevel="0" collapsed="false">
      <c r="A56120" s="0" t="s">
        <v>19234</v>
      </c>
      <c r="B56120" s="0" t="str">
        <f aca="false">HYPERLINK("https://lindat.mff.cuni.cz/services/teitok/pdtc10/index.php?action=vallex&amp;frame=v-w7907f1", "vyhodit si (v-w7907f1)")</f>
        <v>vyhodit si (v-w7907f1)</v>
      </c>
    </row>
    <row r="56121" customFormat="false" ht="12.8" hidden="false" customHeight="false" outlineLevel="0" collapsed="false">
      <c r="B56121" s="0" t="s">
        <v>1</v>
      </c>
    </row>
    <row r="56122" customFormat="false" ht="12.8" hidden="false" customHeight="false" outlineLevel="0" collapsed="false">
      <c r="B56122" s="0" t="s">
        <v>19235</v>
      </c>
    </row>
    <row r="56124" customFormat="false" ht="12.8" hidden="false" customHeight="false" outlineLevel="0" collapsed="false">
      <c r="A56124" s="0" t="s">
        <v>19236</v>
      </c>
      <c r="B56124" s="0" t="str">
        <f aca="false">HYPERLINK("https://lindat.mff.cuni.cz/services/teitok/pdtc10/index.php?action=vallex&amp;frame=v-w7910f1", "vyhodnocovat (v-w7910f1)")</f>
        <v>vyhodnocovat (v-w7910f1)</v>
      </c>
      <c r="E56124" s="0" t="str">
        <f aca="false">HYPERLINK("https://lindat.mff.cuni.cz/services/SynSemClass40/SynSemClass40.html?veclass=vec00159#vec00159-ces-cm00016", "vec00159")</f>
        <v>vec00159</v>
      </c>
      <c r="F56124" s="0" t="s">
        <v>4454</v>
      </c>
    </row>
    <row r="56125" customFormat="false" ht="12.8" hidden="false" customHeight="false" outlineLevel="0" collapsed="false">
      <c r="B56125" s="0" t="s">
        <v>1</v>
      </c>
      <c r="C56125" s="0" t="s">
        <v>4134</v>
      </c>
      <c r="E56125" s="0" t="s">
        <v>4455</v>
      </c>
      <c r="F56125" s="0" t="s">
        <v>4456</v>
      </c>
    </row>
    <row r="56126" customFormat="false" ht="12.8" hidden="false" customHeight="false" outlineLevel="0" collapsed="false">
      <c r="B56126" s="0" t="s">
        <v>1838</v>
      </c>
      <c r="C56126" s="0" t="s">
        <v>2380</v>
      </c>
      <c r="E56126" s="0" t="s">
        <v>180</v>
      </c>
      <c r="F56126" s="0" t="s">
        <v>4457</v>
      </c>
    </row>
    <row r="56128" customFormat="false" ht="12.8" hidden="false" customHeight="false" outlineLevel="0" collapsed="false">
      <c r="A56128" s="0" t="s">
        <v>19237</v>
      </c>
      <c r="B56128" s="0" t="str">
        <f aca="false">HYPERLINK("https://lindat.mff.cuni.cz/services/teitok/pdtc10/index.php?action=vallex&amp;frame=v-w7911f1", "vyhodnotit (v-w7911f1)")</f>
        <v>vyhodnotit (v-w7911f1)</v>
      </c>
      <c r="E56128" s="0" t="str">
        <f aca="false">HYPERLINK("https://lindat.mff.cuni.cz/services/SynSemClass40/SynSemClass40.html?veclass=vec00159#vec00159-ces-cm00001", "vec00159")</f>
        <v>vec00159</v>
      </c>
      <c r="F56128" s="0" t="s">
        <v>4454</v>
      </c>
    </row>
    <row r="56129" customFormat="false" ht="12.8" hidden="false" customHeight="false" outlineLevel="0" collapsed="false">
      <c r="B56129" s="0" t="s">
        <v>1</v>
      </c>
      <c r="C56129" s="0" t="s">
        <v>4134</v>
      </c>
      <c r="E56129" s="0" t="s">
        <v>4455</v>
      </c>
      <c r="F56129" s="0" t="s">
        <v>4456</v>
      </c>
    </row>
    <row r="56130" customFormat="false" ht="12.8" hidden="false" customHeight="false" outlineLevel="0" collapsed="false">
      <c r="B56130" s="0" t="s">
        <v>1838</v>
      </c>
      <c r="C56130" s="0" t="s">
        <v>2380</v>
      </c>
      <c r="E56130" s="0" t="s">
        <v>180</v>
      </c>
      <c r="F56130" s="0" t="s">
        <v>4457</v>
      </c>
    </row>
    <row r="56132" customFormat="false" ht="12.8" hidden="false" customHeight="false" outlineLevel="0" collapsed="false">
      <c r="A56132" s="0" t="s">
        <v>19238</v>
      </c>
      <c r="B56132" s="0" t="str">
        <f aca="false">HYPERLINK("https://lindat.mff.cuni.cz/services/teitok/pdtc10/index.php?action=vallex&amp;frame=v-w7914f1", "vyhostit (v-w7914f1)")</f>
        <v>vyhostit (v-w7914f1)</v>
      </c>
      <c r="E56132" s="0" t="str">
        <f aca="false">HYPERLINK("https://lindat.mff.cuni.cz/services/SynSemClass40/SynSemClass40.html?veclass=vec00555#vec00555-ces-cm00079", "vec00555")</f>
        <v>vec00555</v>
      </c>
      <c r="F56132" s="0" t="s">
        <v>1918</v>
      </c>
    </row>
    <row r="56133" customFormat="false" ht="12.8" hidden="false" customHeight="false" outlineLevel="0" collapsed="false">
      <c r="B56133" s="0" t="s">
        <v>1</v>
      </c>
      <c r="C56133" s="0" t="s">
        <v>1919</v>
      </c>
      <c r="E56133" s="0" t="s">
        <v>31</v>
      </c>
      <c r="F56133" s="0" t="s">
        <v>1920</v>
      </c>
    </row>
    <row r="56134" customFormat="false" ht="12.8" hidden="false" customHeight="false" outlineLevel="0" collapsed="false">
      <c r="B56134" s="0" t="s">
        <v>8</v>
      </c>
      <c r="C56134" s="0" t="s">
        <v>1921</v>
      </c>
      <c r="E56134" s="0" t="s">
        <v>532</v>
      </c>
      <c r="F56134" s="0" t="s">
        <v>1922</v>
      </c>
    </row>
    <row r="56135" customFormat="false" ht="12.8" hidden="false" customHeight="false" outlineLevel="0" collapsed="false">
      <c r="B56135" s="0" t="s">
        <v>631</v>
      </c>
      <c r="C56135" s="0" t="s">
        <v>1923</v>
      </c>
      <c r="E56135" s="0" t="s">
        <v>1924</v>
      </c>
      <c r="F56135" s="0" t="s">
        <v>1925</v>
      </c>
    </row>
    <row r="56137" customFormat="false" ht="12.8" hidden="false" customHeight="false" outlineLevel="0" collapsed="false">
      <c r="A56137" s="0" t="s">
        <v>19239</v>
      </c>
      <c r="B56137" s="0" t="str">
        <f aca="false">HYPERLINK("https://lindat.mff.cuni.cz/services/teitok/pdtc10/index.php?action=vallex&amp;frame=v-w7917f1", "vyhotovit (v-w7917f1)")</f>
        <v>vyhotovit (v-w7917f1)</v>
      </c>
    </row>
    <row r="56138" customFormat="false" ht="12.8" hidden="false" customHeight="false" outlineLevel="0" collapsed="false">
      <c r="B56138" s="0" t="s">
        <v>1</v>
      </c>
    </row>
    <row r="56139" customFormat="false" ht="12.8" hidden="false" customHeight="false" outlineLevel="0" collapsed="false">
      <c r="B56139" s="0" t="s">
        <v>8</v>
      </c>
    </row>
    <row r="56140" customFormat="false" ht="12.8" hidden="false" customHeight="false" outlineLevel="0" collapsed="false">
      <c r="B56140" s="0" t="s">
        <v>36</v>
      </c>
    </row>
    <row r="56142" customFormat="false" ht="12.8" hidden="false" customHeight="false" outlineLevel="0" collapsed="false">
      <c r="A56142" s="0" t="s">
        <v>19240</v>
      </c>
      <c r="B56142" s="0" t="str">
        <f aca="false">HYPERLINK("https://lindat.mff.cuni.cz/services/teitok/pdtc10/index.php?action=vallex&amp;frame=v-w7917f2_ZU", "vyhotovit (v-w7917f2_ZU)")</f>
        <v>vyhotovit (v-w7917f2_ZU)</v>
      </c>
    </row>
    <row r="56143" customFormat="false" ht="12.8" hidden="false" customHeight="false" outlineLevel="0" collapsed="false">
      <c r="B56143" s="0" t="s">
        <v>1</v>
      </c>
    </row>
    <row r="56144" customFormat="false" ht="12.8" hidden="false" customHeight="false" outlineLevel="0" collapsed="false">
      <c r="B56144" s="0" t="s">
        <v>8</v>
      </c>
    </row>
    <row r="56146" customFormat="false" ht="12.8" hidden="false" customHeight="false" outlineLevel="0" collapsed="false">
      <c r="A56146" s="0" t="s">
        <v>19241</v>
      </c>
      <c r="B56146" s="0" t="str">
        <f aca="false">HYPERLINK("https://lindat.mff.cuni.cz/services/teitok/pdtc10/index.php?action=vallex&amp;frame=v-w7918f1", "vyhoupnout se (v-w7918f1)")</f>
        <v>vyhoupnout se (v-w7918f1)</v>
      </c>
      <c r="E56146" s="0" t="str">
        <f aca="false">HYPERLINK("https://lindat.mff.cuni.cz/services/SynSemClass40/SynSemClass40.html?veclass=vec00109#vec00109-ces-cm00112", "vec00109")</f>
        <v>vec00109</v>
      </c>
      <c r="F56146" s="0" t="s">
        <v>5143</v>
      </c>
    </row>
    <row r="56147" customFormat="false" ht="12.8" hidden="false" customHeight="false" outlineLevel="0" collapsed="false">
      <c r="B56147" s="0" t="s">
        <v>1</v>
      </c>
      <c r="C56147" s="0" t="s">
        <v>7017</v>
      </c>
      <c r="E56147" s="0" t="s">
        <v>235</v>
      </c>
      <c r="F56147" s="0" t="s">
        <v>5146</v>
      </c>
    </row>
    <row r="56148" customFormat="false" ht="12.8" hidden="false" customHeight="false" outlineLevel="0" collapsed="false">
      <c r="B56148" s="0" t="s">
        <v>164</v>
      </c>
      <c r="C56148" s="0" t="s">
        <v>19242</v>
      </c>
      <c r="E56148" s="0" t="s">
        <v>19243</v>
      </c>
      <c r="F56148" s="0" t="s">
        <v>19244</v>
      </c>
    </row>
    <row r="56150" customFormat="false" ht="12.8" hidden="false" customHeight="false" outlineLevel="0" collapsed="false">
      <c r="A56150" s="0" t="s">
        <v>19245</v>
      </c>
      <c r="B56150" s="0" t="str">
        <f aca="false">HYPERLINK("https://lindat.mff.cuni.cz/services/teitok/pdtc10/index.php?action=vallex&amp;frame=v-w7918f2", "vyhoupnout se (v-w7918f2)")</f>
        <v>vyhoupnout se (v-w7918f2)</v>
      </c>
    </row>
    <row r="56151" customFormat="false" ht="12.8" hidden="false" customHeight="false" outlineLevel="0" collapsed="false">
      <c r="B56151" s="0" t="s">
        <v>1</v>
      </c>
    </row>
    <row r="56152" customFormat="false" ht="12.8" hidden="false" customHeight="false" outlineLevel="0" collapsed="false">
      <c r="B56152" s="0" t="s">
        <v>164</v>
      </c>
    </row>
    <row r="56154" customFormat="false" ht="12.8" hidden="false" customHeight="false" outlineLevel="0" collapsed="false">
      <c r="A56154" s="0" t="s">
        <v>19246</v>
      </c>
      <c r="B56154" s="0" t="str">
        <f aca="false">HYPERLINK("https://lindat.mff.cuni.cz/services/teitok/pdtc10/index.php?action=vallex&amp;frame=v-w7921f1", "vyhovovat (v-w7921f1)")</f>
        <v>vyhovovat (v-w7921f1)</v>
      </c>
      <c r="E56154" s="0" t="str">
        <f aca="false">HYPERLINK("https://lindat.mff.cuni.cz/services/SynSemClass40/SynSemClass40.html?veclass=vec00960#vec00960-ces-cm00001", "vec00960")</f>
        <v>vec00960</v>
      </c>
      <c r="F56154" s="0" t="s">
        <v>4429</v>
      </c>
      <c r="H56154" s="0" t="str">
        <f aca="false">HYPERLINK("https://lindat.mff.cuni.cz/services/SynSemClass40/SynSemClass40.html?veclass=vec01523#vec01523-ces-cm00011", "vec01523")</f>
        <v>vec01523</v>
      </c>
      <c r="I56154" s="0" t="s">
        <v>4430</v>
      </c>
    </row>
    <row r="56155" customFormat="false" ht="12.8" hidden="false" customHeight="false" outlineLevel="0" collapsed="false">
      <c r="B56155" s="0" t="s">
        <v>345</v>
      </c>
      <c r="C56155" s="0" t="s">
        <v>4431</v>
      </c>
      <c r="E56155" s="0" t="s">
        <v>4432</v>
      </c>
      <c r="F56155" s="0" t="s">
        <v>4433</v>
      </c>
      <c r="H56155" s="0" t="s">
        <v>4434</v>
      </c>
      <c r="I56155" s="0" t="s">
        <v>4435</v>
      </c>
    </row>
    <row r="56156" customFormat="false" ht="12.8" hidden="false" customHeight="false" outlineLevel="0" collapsed="false">
      <c r="B56156" s="0" t="s">
        <v>4427</v>
      </c>
      <c r="C56156" s="0" t="s">
        <v>4436</v>
      </c>
      <c r="E56156" s="0" t="s">
        <v>1930</v>
      </c>
      <c r="F56156" s="0" t="s">
        <v>4437</v>
      </c>
      <c r="H56156" s="0" t="s">
        <v>4438</v>
      </c>
      <c r="I56156" s="0" t="s">
        <v>4439</v>
      </c>
    </row>
    <row r="56158" customFormat="false" ht="12.8" hidden="false" customHeight="false" outlineLevel="0" collapsed="false">
      <c r="A56158" s="0" t="s">
        <v>19247</v>
      </c>
      <c r="B56158" s="0" t="str">
        <f aca="false">HYPERLINK("https://lindat.mff.cuni.cz/services/teitok/pdtc10/index.php?action=vallex&amp;frame=v-w7921f2", "vyhovovat (v-w7921f2)")</f>
        <v>vyhovovat (v-w7921f2)</v>
      </c>
      <c r="E56158" s="0" t="str">
        <f aca="false">HYPERLINK("https://lindat.mff.cuni.cz/services/SynSemClass40/SynSemClass40.html?veclass=vec00540#vec00540-ces-cm00038", "vec00540")</f>
        <v>vec00540</v>
      </c>
      <c r="F56158" s="0" t="s">
        <v>7492</v>
      </c>
    </row>
    <row r="56159" customFormat="false" ht="12.8" hidden="false" customHeight="false" outlineLevel="0" collapsed="false">
      <c r="B56159" s="0" t="s">
        <v>1</v>
      </c>
      <c r="C56159" s="0" t="s">
        <v>7493</v>
      </c>
      <c r="E56159" s="0" t="s">
        <v>11</v>
      </c>
      <c r="F56159" s="0" t="s">
        <v>7494</v>
      </c>
    </row>
    <row r="56160" customFormat="false" ht="12.8" hidden="false" customHeight="false" outlineLevel="0" collapsed="false">
      <c r="B56160" s="0" t="s">
        <v>186</v>
      </c>
      <c r="C56160" s="0" t="s">
        <v>7495</v>
      </c>
      <c r="E56160" s="0" t="s">
        <v>7496</v>
      </c>
      <c r="F56160" s="0" t="s">
        <v>7497</v>
      </c>
    </row>
    <row r="56162" customFormat="false" ht="12.8" hidden="false" customHeight="false" outlineLevel="0" collapsed="false">
      <c r="A56162" s="0" t="s">
        <v>19248</v>
      </c>
      <c r="B56162" s="0" t="str">
        <f aca="false">HYPERLINK("https://lindat.mff.cuni.cz/services/teitok/pdtc10/index.php?action=vallex&amp;frame=v-w7920f1", "vyhovět (v-w7920f1)")</f>
        <v>vyhovět (v-w7920f1)</v>
      </c>
      <c r="E56162" s="0" t="str">
        <f aca="false">HYPERLINK("https://lindat.mff.cuni.cz/services/SynSemClass40/SynSemClass40.html?veclass=vec00540#vec00540-ces-cm00027", "vec00540")</f>
        <v>vec00540</v>
      </c>
      <c r="F56162" s="0" t="s">
        <v>7492</v>
      </c>
    </row>
    <row r="56163" customFormat="false" ht="12.8" hidden="false" customHeight="false" outlineLevel="0" collapsed="false">
      <c r="B56163" s="0" t="s">
        <v>1</v>
      </c>
      <c r="C56163" s="0" t="s">
        <v>7493</v>
      </c>
      <c r="E56163" s="0" t="s">
        <v>11</v>
      </c>
      <c r="F56163" s="0" t="s">
        <v>7494</v>
      </c>
    </row>
    <row r="56164" customFormat="false" ht="12.8" hidden="false" customHeight="false" outlineLevel="0" collapsed="false">
      <c r="B56164" s="0" t="s">
        <v>186</v>
      </c>
      <c r="C56164" s="0" t="s">
        <v>7495</v>
      </c>
      <c r="E56164" s="0" t="s">
        <v>7496</v>
      </c>
      <c r="F56164" s="0" t="s">
        <v>7497</v>
      </c>
    </row>
    <row r="56166" customFormat="false" ht="12.8" hidden="false" customHeight="false" outlineLevel="0" collapsed="false">
      <c r="A56166" s="0" t="s">
        <v>19249</v>
      </c>
      <c r="B56166" s="0" t="str">
        <f aca="false">HYPERLINK("https://lindat.mff.cuni.cz/services/teitok/pdtc10/index.php?action=vallex&amp;frame=v-w7913f1", "vyhořet (v-w7913f1)")</f>
        <v>vyhořet (v-w7913f1)</v>
      </c>
      <c r="E56166" s="0" t="str">
        <f aca="false">HYPERLINK("https://lindat.mff.cuni.cz/services/SynSemClass40/SynSemClass40.html?veclass=vec01215#vec01215-ces-cm00003", "vec01215")</f>
        <v>vec01215</v>
      </c>
      <c r="F56166" s="0" t="s">
        <v>4546</v>
      </c>
    </row>
    <row r="56167" customFormat="false" ht="12.8" hidden="false" customHeight="false" outlineLevel="0" collapsed="false">
      <c r="B56167" s="0" t="s">
        <v>1</v>
      </c>
      <c r="C56167" s="0" t="s">
        <v>1507</v>
      </c>
      <c r="E56167" s="0" t="s">
        <v>1590</v>
      </c>
      <c r="F56167" s="0" t="s">
        <v>4547</v>
      </c>
    </row>
    <row r="56169" customFormat="false" ht="12.8" hidden="false" customHeight="false" outlineLevel="0" collapsed="false">
      <c r="A56169" s="0" t="s">
        <v>19250</v>
      </c>
      <c r="B56169" s="0" t="str">
        <f aca="false">HYPERLINK("https://lindat.mff.cuni.cz/services/teitok/pdtc10/index.php?action=vallex&amp;frame=v-w7915f1", "vyhošťovat (v-w7915f1)")</f>
        <v>vyhošťovat (v-w7915f1)</v>
      </c>
      <c r="E56169" s="0" t="str">
        <f aca="false">HYPERLINK("https://lindat.mff.cuni.cz/services/SynSemClass40/SynSemClass40.html?veclass=vec00555#vec00555-ces-cm00080", "vec00555")</f>
        <v>vec00555</v>
      </c>
      <c r="F56169" s="0" t="s">
        <v>1918</v>
      </c>
    </row>
    <row r="56170" customFormat="false" ht="12.8" hidden="false" customHeight="false" outlineLevel="0" collapsed="false">
      <c r="B56170" s="0" t="s">
        <v>1</v>
      </c>
      <c r="C56170" s="0" t="s">
        <v>1919</v>
      </c>
      <c r="E56170" s="0" t="s">
        <v>31</v>
      </c>
      <c r="F56170" s="0" t="s">
        <v>1920</v>
      </c>
    </row>
    <row r="56171" customFormat="false" ht="12.8" hidden="false" customHeight="false" outlineLevel="0" collapsed="false">
      <c r="B56171" s="0" t="s">
        <v>8</v>
      </c>
      <c r="C56171" s="0" t="s">
        <v>1921</v>
      </c>
      <c r="E56171" s="0" t="s">
        <v>532</v>
      </c>
      <c r="F56171" s="0" t="s">
        <v>1922</v>
      </c>
    </row>
    <row r="56172" customFormat="false" ht="12.8" hidden="false" customHeight="false" outlineLevel="0" collapsed="false">
      <c r="B56172" s="0" t="s">
        <v>631</v>
      </c>
      <c r="C56172" s="0" t="s">
        <v>1923</v>
      </c>
      <c r="E56172" s="0" t="s">
        <v>1924</v>
      </c>
      <c r="F56172" s="0" t="s">
        <v>1925</v>
      </c>
    </row>
    <row r="56174" customFormat="false" ht="12.8" hidden="false" customHeight="false" outlineLevel="0" collapsed="false">
      <c r="A56174" s="0" t="s">
        <v>19251</v>
      </c>
      <c r="B56174" s="0" t="str">
        <f aca="false">HYPERLINK("https://lindat.mff.cuni.cz/services/teitok/pdtc10/index.php?action=vallex&amp;frame=v-w12275_ZUf1_ZU", "vyhrabat (v-w12275_ZUf1_ZU)")</f>
        <v>vyhrabat (v-w12275_ZUf1_ZU)</v>
      </c>
    </row>
    <row r="56175" customFormat="false" ht="12.8" hidden="false" customHeight="false" outlineLevel="0" collapsed="false">
      <c r="B56175" s="0" t="s">
        <v>1</v>
      </c>
    </row>
    <row r="56176" customFormat="false" ht="12.8" hidden="false" customHeight="false" outlineLevel="0" collapsed="false">
      <c r="B56176" s="0" t="s">
        <v>8</v>
      </c>
    </row>
    <row r="56178" customFormat="false" ht="12.8" hidden="false" customHeight="false" outlineLevel="0" collapsed="false">
      <c r="A56178" s="0" t="s">
        <v>19252</v>
      </c>
      <c r="B56178" s="0" t="str">
        <f aca="false">HYPERLINK("https://lindat.mff.cuni.cz/services/teitok/pdtc10/index.php?action=vallex&amp;frame=v-w11405f1", "vyhrabat se (v-w11405f1)")</f>
        <v>vyhrabat se (v-w11405f1)</v>
      </c>
    </row>
    <row r="56179" customFormat="false" ht="12.8" hidden="false" customHeight="false" outlineLevel="0" collapsed="false">
      <c r="B56179" s="0" t="s">
        <v>1</v>
      </c>
    </row>
    <row r="56180" customFormat="false" ht="12.8" hidden="false" customHeight="false" outlineLevel="0" collapsed="false">
      <c r="B56180" s="0" t="s">
        <v>631</v>
      </c>
    </row>
    <row r="56182" customFormat="false" ht="12.8" hidden="false" customHeight="false" outlineLevel="0" collapsed="false">
      <c r="A56182" s="0" t="s">
        <v>19253</v>
      </c>
      <c r="B56182" s="0" t="str">
        <f aca="false">HYPERLINK("https://lindat.mff.cuni.cz/services/teitok/pdtc10/index.php?action=vallex&amp;frame=v-w11418f1", "vyhrabávat se (v-w11418f1)")</f>
        <v>vyhrabávat se (v-w11418f1)</v>
      </c>
      <c r="E56182" s="0" t="str">
        <f aca="false">HYPERLINK("https://lindat.mff.cuni.cz/services/SynSemClass40/SynSemClass40.html?veclass=vec00390#vec00390-ces-cm00030", "vec00390")</f>
        <v>vec00390</v>
      </c>
      <c r="F56182" s="0" t="s">
        <v>1595</v>
      </c>
      <c r="H56182" s="0" t="str">
        <f aca="false">HYPERLINK("https://lindat.mff.cuni.cz/services/SynSemClass40/SynSemClass40.html?veclass=vec00811#vec00811-ces-cm00125", "vec00811")</f>
        <v>vec00811</v>
      </c>
      <c r="I56182" s="0" t="s">
        <v>2889</v>
      </c>
    </row>
    <row r="56183" customFormat="false" ht="12.8" hidden="false" customHeight="false" outlineLevel="0" collapsed="false">
      <c r="B56183" s="0" t="s">
        <v>1</v>
      </c>
      <c r="C56183" s="0" t="s">
        <v>19254</v>
      </c>
      <c r="E56183" s="0" t="s">
        <v>1597</v>
      </c>
      <c r="F56183" s="0" t="s">
        <v>1598</v>
      </c>
      <c r="H56183" s="0" t="s">
        <v>2892</v>
      </c>
      <c r="I56183" s="0" t="s">
        <v>2893</v>
      </c>
    </row>
    <row r="56184" customFormat="false" ht="12.8" hidden="false" customHeight="false" outlineLevel="0" collapsed="false">
      <c r="B56184" s="0" t="s">
        <v>631</v>
      </c>
      <c r="E56184" s="0" t="s">
        <v>2818</v>
      </c>
      <c r="F56184" s="0" t="s">
        <v>2819</v>
      </c>
      <c r="H56184" s="0" t="s">
        <v>1949</v>
      </c>
      <c r="I56184" s="0" t="s">
        <v>2896</v>
      </c>
    </row>
    <row r="56186" customFormat="false" ht="12.8" hidden="false" customHeight="false" outlineLevel="0" collapsed="false">
      <c r="A56186" s="0" t="s">
        <v>19255</v>
      </c>
      <c r="B56186" s="0" t="str">
        <f aca="false">HYPERLINK("https://lindat.mff.cuni.cz/services/teitok/pdtc10/index.php?action=vallex&amp;frame=v-w7924f2_ZU", "vyhradit (v-w7924f2_ZU)")</f>
        <v>vyhradit (v-w7924f2_ZU)</v>
      </c>
    </row>
    <row r="56187" customFormat="false" ht="12.8" hidden="false" customHeight="false" outlineLevel="0" collapsed="false">
      <c r="B56187" s="0" t="s">
        <v>1</v>
      </c>
    </row>
    <row r="56188" customFormat="false" ht="12.8" hidden="false" customHeight="false" outlineLevel="0" collapsed="false">
      <c r="B56188" s="0" t="s">
        <v>2811</v>
      </c>
    </row>
    <row r="56189" customFormat="false" ht="12.8" hidden="false" customHeight="false" outlineLevel="0" collapsed="false">
      <c r="B56189" s="0" t="s">
        <v>3473</v>
      </c>
    </row>
    <row r="56191" customFormat="false" ht="12.8" hidden="false" customHeight="false" outlineLevel="0" collapsed="false">
      <c r="A56191" s="0" t="s">
        <v>19255</v>
      </c>
      <c r="B56191" s="0" t="str">
        <f aca="false">HYPERLINK("https://lindat.mff.cuni.cz/services/teitok/pdtc10/index.php?action=vallex&amp;frame=v-w7924f1", "vyhradit (v-w7924f1) - substituted with v-w7924f2_ZU")</f>
        <v>vyhradit (v-w7924f1) - substituted with v-w7924f2_ZU</v>
      </c>
      <c r="E56191" s="0" t="str">
        <f aca="false">HYPERLINK("https://lindat.mff.cuni.cz/services/SynSemClass40/SynSemClass40.html?veclass=vec00556#vec00556-ces-cm00001", "vec00556")</f>
        <v>vec00556</v>
      </c>
      <c r="F56191" s="0" t="s">
        <v>17964</v>
      </c>
    </row>
    <row r="56192" customFormat="false" ht="12.8" hidden="false" customHeight="false" outlineLevel="0" collapsed="false">
      <c r="B56192" s="0" t="s">
        <v>1</v>
      </c>
      <c r="C56192" s="0" t="s">
        <v>5782</v>
      </c>
      <c r="E56192" s="0" t="s">
        <v>206</v>
      </c>
      <c r="F56192" s="0" t="s">
        <v>6042</v>
      </c>
    </row>
    <row r="56193" customFormat="false" ht="12.8" hidden="false" customHeight="false" outlineLevel="0" collapsed="false">
      <c r="B56193" s="0" t="s">
        <v>2811</v>
      </c>
      <c r="C56193" s="0" t="s">
        <v>17965</v>
      </c>
      <c r="E56193" s="0" t="s">
        <v>1702</v>
      </c>
      <c r="F56193" s="0" t="s">
        <v>17966</v>
      </c>
    </row>
    <row r="56194" customFormat="false" ht="12.8" hidden="false" customHeight="false" outlineLevel="0" collapsed="false">
      <c r="B56194" s="0" t="s">
        <v>3473</v>
      </c>
      <c r="C56194" s="0" t="s">
        <v>4604</v>
      </c>
      <c r="E56194" s="0" t="s">
        <v>13556</v>
      </c>
      <c r="F56194" s="0" t="s">
        <v>17967</v>
      </c>
    </row>
    <row r="56196" customFormat="false" ht="12.8" hidden="false" customHeight="false" outlineLevel="0" collapsed="false">
      <c r="A56196" s="0" t="s">
        <v>19256</v>
      </c>
      <c r="B56196" s="0" t="str">
        <f aca="false">HYPERLINK("https://lindat.mff.cuni.cz/services/teitok/pdtc10/index.php?action=vallex&amp;frame=v-w7924hsa_1362", "vyhradit (v-w7924hsa_1362)")</f>
        <v>vyhradit (v-w7924hsa_1362)</v>
      </c>
    </row>
    <row r="56197" customFormat="false" ht="12.8" hidden="false" customHeight="false" outlineLevel="0" collapsed="false">
      <c r="B56197" s="0" t="s">
        <v>1</v>
      </c>
    </row>
    <row r="56198" customFormat="false" ht="12.8" hidden="false" customHeight="false" outlineLevel="0" collapsed="false">
      <c r="B56198" s="0" t="s">
        <v>8</v>
      </c>
    </row>
    <row r="56200" customFormat="false" ht="12.8" hidden="false" customHeight="false" outlineLevel="0" collapsed="false">
      <c r="A56200" s="0" t="s">
        <v>19257</v>
      </c>
      <c r="B56200" s="0" t="str">
        <f aca="false">HYPERLINK("https://lindat.mff.cuni.cz/services/teitok/pdtc10/index.php?action=vallex&amp;frame=v-w7925f1", "vyhradit si (v-w7925f1)")</f>
        <v>vyhradit si (v-w7925f1)</v>
      </c>
    </row>
    <row r="56201" customFormat="false" ht="12.8" hidden="false" customHeight="false" outlineLevel="0" collapsed="false">
      <c r="B56201" s="0" t="s">
        <v>1</v>
      </c>
    </row>
    <row r="56202" customFormat="false" ht="12.8" hidden="false" customHeight="false" outlineLevel="0" collapsed="false">
      <c r="B56202" s="0" t="s">
        <v>8</v>
      </c>
    </row>
    <row r="56204" customFormat="false" ht="12.8" hidden="false" customHeight="false" outlineLevel="0" collapsed="false">
      <c r="A56204" s="0" t="s">
        <v>19258</v>
      </c>
      <c r="B56204" s="0" t="str">
        <f aca="false">HYPERLINK("https://lindat.mff.cuni.cz/services/teitok/pdtc10/index.php?action=vallex&amp;frame=v-w7926f1", "vyhranit (v-w7926f1)")</f>
        <v>vyhranit (v-w7926f1)</v>
      </c>
    </row>
    <row r="56205" customFormat="false" ht="12.8" hidden="false" customHeight="false" outlineLevel="0" collapsed="false">
      <c r="B56205" s="0" t="s">
        <v>1</v>
      </c>
    </row>
    <row r="56206" customFormat="false" ht="12.8" hidden="false" customHeight="false" outlineLevel="0" collapsed="false">
      <c r="B56206" s="0" t="s">
        <v>8</v>
      </c>
    </row>
    <row r="56208" customFormat="false" ht="12.8" hidden="false" customHeight="false" outlineLevel="0" collapsed="false">
      <c r="A56208" s="0" t="s">
        <v>19259</v>
      </c>
      <c r="B56208" s="0" t="str">
        <f aca="false">HYPERLINK("https://lindat.mff.cuni.cz/services/teitok/pdtc10/index.php?action=vallex&amp;frame=v-w7927f1", "vyhranit se (v-w7927f1)")</f>
        <v>vyhranit se (v-w7927f1)</v>
      </c>
    </row>
    <row r="56209" customFormat="false" ht="12.8" hidden="false" customHeight="false" outlineLevel="0" collapsed="false">
      <c r="B56209" s="0" t="s">
        <v>1</v>
      </c>
    </row>
    <row r="56211" customFormat="false" ht="12.8" hidden="false" customHeight="false" outlineLevel="0" collapsed="false">
      <c r="A56211" s="0" t="s">
        <v>19260</v>
      </c>
      <c r="B56211" s="0" t="str">
        <f aca="false">HYPERLINK("https://lindat.mff.cuni.cz/services/teitok/pdtc10/index.php?action=vallex&amp;frame=v-whsa_288hsa_289", "vyhrazovat si (v-whsa_288hsa_289)")</f>
        <v>vyhrazovat si (v-whsa_288hsa_289)</v>
      </c>
    </row>
    <row r="56212" customFormat="false" ht="12.8" hidden="false" customHeight="false" outlineLevel="0" collapsed="false">
      <c r="B56212" s="0" t="s">
        <v>1</v>
      </c>
    </row>
    <row r="56213" customFormat="false" ht="12.8" hidden="false" customHeight="false" outlineLevel="0" collapsed="false">
      <c r="B56213" s="0" t="s">
        <v>8</v>
      </c>
    </row>
    <row r="56215" customFormat="false" ht="12.8" hidden="false" customHeight="false" outlineLevel="0" collapsed="false">
      <c r="A56215" s="0" t="s">
        <v>19261</v>
      </c>
      <c r="B56215" s="0" t="str">
        <f aca="false">HYPERLINK("https://lindat.mff.cuni.cz/services/teitok/pdtc10/index.php?action=vallex&amp;frame=v-w7928f1", "vyhraňovat se (v-w7928f1)")</f>
        <v>vyhraňovat se (v-w7928f1)</v>
      </c>
    </row>
    <row r="56216" customFormat="false" ht="12.8" hidden="false" customHeight="false" outlineLevel="0" collapsed="false">
      <c r="B56216" s="0" t="s">
        <v>1</v>
      </c>
    </row>
    <row r="56218" customFormat="false" ht="12.8" hidden="false" customHeight="false" outlineLevel="0" collapsed="false">
      <c r="A56218" s="0" t="s">
        <v>19262</v>
      </c>
      <c r="B56218" s="0" t="str">
        <f aca="false">HYPERLINK("https://lindat.mff.cuni.cz/services/teitok/pdtc10/index.php?action=vallex&amp;frame=v-w7934f1", "vyhrknout (v-w7934f1)")</f>
        <v>vyhrknout (v-w7934f1)</v>
      </c>
    </row>
    <row r="56219" customFormat="false" ht="12.8" hidden="false" customHeight="false" outlineLevel="0" collapsed="false">
      <c r="B56219" s="0" t="s">
        <v>1</v>
      </c>
    </row>
    <row r="56220" customFormat="false" ht="12.8" hidden="false" customHeight="false" outlineLevel="0" collapsed="false">
      <c r="B56220" s="0" t="s">
        <v>500</v>
      </c>
    </row>
    <row r="56221" customFormat="false" ht="12.8" hidden="false" customHeight="false" outlineLevel="0" collapsed="false">
      <c r="B56221" s="0" t="s">
        <v>4688</v>
      </c>
    </row>
    <row r="56223" customFormat="false" ht="12.8" hidden="false" customHeight="false" outlineLevel="0" collapsed="false">
      <c r="A56223" s="0" t="s">
        <v>19263</v>
      </c>
      <c r="B56223" s="0" t="str">
        <f aca="false">HYPERLINK("https://lindat.mff.cuni.cz/services/teitok/pdtc10/index.php?action=vallex&amp;frame=v-w7934f2", "vyhrknout (v-w7934f2)")</f>
        <v>vyhrknout (v-w7934f2)</v>
      </c>
    </row>
    <row r="56224" customFormat="false" ht="12.8" hidden="false" customHeight="false" outlineLevel="0" collapsed="false">
      <c r="B56224" s="0" t="s">
        <v>1</v>
      </c>
    </row>
    <row r="56225" customFormat="false" ht="12.8" hidden="false" customHeight="false" outlineLevel="0" collapsed="false">
      <c r="B56225" s="0" t="s">
        <v>631</v>
      </c>
    </row>
    <row r="56227" customFormat="false" ht="12.8" hidden="false" customHeight="false" outlineLevel="0" collapsed="false">
      <c r="A56227" s="0" t="s">
        <v>19264</v>
      </c>
      <c r="B56227" s="0" t="str">
        <f aca="false">HYPERLINK("https://lindat.mff.cuni.cz/services/teitok/pdtc10/index.php?action=vallex&amp;frame=v-w7935f1", "vyhrnout se (v-w7935f1)")</f>
        <v>vyhrnout se (v-w7935f1)</v>
      </c>
    </row>
    <row r="56228" customFormat="false" ht="12.8" hidden="false" customHeight="false" outlineLevel="0" collapsed="false">
      <c r="B56228" s="0" t="s">
        <v>1</v>
      </c>
    </row>
    <row r="56229" customFormat="false" ht="12.8" hidden="false" customHeight="false" outlineLevel="0" collapsed="false">
      <c r="B56229" s="0" t="s">
        <v>631</v>
      </c>
    </row>
    <row r="56231" customFormat="false" ht="12.8" hidden="false" customHeight="false" outlineLevel="0" collapsed="false">
      <c r="A56231" s="0" t="s">
        <v>19265</v>
      </c>
      <c r="B56231" s="0" t="str">
        <f aca="false">HYPERLINK("https://lindat.mff.cuni.cz/services/teitok/pdtc10/index.php?action=vallex&amp;frame=v-w7938f1", "vyhrocovat se (v-w7938f1)")</f>
        <v>vyhrocovat se (v-w7938f1)</v>
      </c>
      <c r="E56231" s="0" t="str">
        <f aca="false">HYPERLINK("https://lindat.mff.cuni.cz/services/SynSemClass40/SynSemClass40.html?veclass=vec00730#vec00730-ces-cm00027", "vec00730")</f>
        <v>vec00730</v>
      </c>
      <c r="F56231" s="0" t="s">
        <v>5144</v>
      </c>
      <c r="H56231" s="0" t="str">
        <f aca="false">HYPERLINK("https://lindat.mff.cuni.cz/services/SynSemClass40/SynSemClass40.html?veclass=vec00786#vec00786-ces-cm00061", "vec00786")</f>
        <v>vec00786</v>
      </c>
      <c r="I56231" s="0" t="s">
        <v>4519</v>
      </c>
      <c r="K56231" s="0" t="str">
        <f aca="false">HYPERLINK("https://lindat.mff.cuni.cz/services/SynSemClass40/SynSemClass40.html?veclass=vec01498#vec01498-ces-cm00006", "vec01498")</f>
        <v>vec01498</v>
      </c>
      <c r="L56231" s="0" t="s">
        <v>7511</v>
      </c>
    </row>
    <row r="56232" customFormat="false" ht="12.8" hidden="false" customHeight="false" outlineLevel="0" collapsed="false">
      <c r="B56232" s="0" t="s">
        <v>1</v>
      </c>
      <c r="C56232" s="0" t="s">
        <v>19266</v>
      </c>
      <c r="E56232" s="0" t="s">
        <v>4943</v>
      </c>
      <c r="F56232" s="0" t="s">
        <v>5147</v>
      </c>
      <c r="H56232" s="0" t="s">
        <v>957</v>
      </c>
      <c r="I56232" s="0" t="s">
        <v>4521</v>
      </c>
      <c r="K56232" s="0" t="s">
        <v>84</v>
      </c>
      <c r="L56232" s="0" t="s">
        <v>7513</v>
      </c>
    </row>
    <row r="56234" customFormat="false" ht="12.8" hidden="false" customHeight="false" outlineLevel="0" collapsed="false">
      <c r="A56234" s="0" t="s">
        <v>19267</v>
      </c>
      <c r="B56234" s="0" t="str">
        <f aca="false">HYPERLINK("https://lindat.mff.cuni.cz/services/teitok/pdtc10/index.php?action=vallex&amp;frame=v-w7939f1", "vyhrotit (v-w7939f1)")</f>
        <v>vyhrotit (v-w7939f1)</v>
      </c>
    </row>
    <row r="56235" customFormat="false" ht="12.8" hidden="false" customHeight="false" outlineLevel="0" collapsed="false">
      <c r="B56235" s="0" t="s">
        <v>1</v>
      </c>
    </row>
    <row r="56236" customFormat="false" ht="12.8" hidden="false" customHeight="false" outlineLevel="0" collapsed="false">
      <c r="B56236" s="0" t="s">
        <v>8</v>
      </c>
    </row>
    <row r="56238" customFormat="false" ht="12.8" hidden="false" customHeight="false" outlineLevel="0" collapsed="false">
      <c r="A56238" s="0" t="s">
        <v>19268</v>
      </c>
      <c r="B56238" s="0" t="str">
        <f aca="false">HYPERLINK("https://lindat.mff.cuni.cz/services/teitok/pdtc10/index.php?action=vallex&amp;frame=v-w7940f1", "vyhrotit se (v-w7940f1)")</f>
        <v>vyhrotit se (v-w7940f1)</v>
      </c>
      <c r="E56238" s="0" t="str">
        <f aca="false">HYPERLINK("https://lindat.mff.cuni.cz/services/SynSemClass40/SynSemClass40.html?veclass=vec01498#vec01498-ces-cm00007", "vec01498")</f>
        <v>vec01498</v>
      </c>
      <c r="F56238" s="0" t="s">
        <v>7511</v>
      </c>
    </row>
    <row r="56239" customFormat="false" ht="12.8" hidden="false" customHeight="false" outlineLevel="0" collapsed="false">
      <c r="B56239" s="0" t="s">
        <v>1</v>
      </c>
      <c r="C56239" s="0" t="s">
        <v>7512</v>
      </c>
      <c r="E56239" s="0" t="s">
        <v>84</v>
      </c>
      <c r="F56239" s="0" t="s">
        <v>7513</v>
      </c>
    </row>
    <row r="56241" customFormat="false" ht="12.8" hidden="false" customHeight="false" outlineLevel="0" collapsed="false">
      <c r="A56241" s="0" t="s">
        <v>19269</v>
      </c>
      <c r="B56241" s="0" t="str">
        <f aca="false">HYPERLINK("https://lindat.mff.cuni.cz/services/teitok/pdtc10/index.php?action=vallex&amp;frame=v-w7942f1", "vyhrožovat (v-w7942f1)")</f>
        <v>vyhrožovat (v-w7942f1)</v>
      </c>
      <c r="E56241" s="0" t="str">
        <f aca="false">HYPERLINK("https://lindat.mff.cuni.cz/services/SynSemClass40/SynSemClass40.html?veclass=vec00477#vec00477-ces-cm00006", "vec00477")</f>
        <v>vec00477</v>
      </c>
      <c r="F56241" s="0" t="s">
        <v>4599</v>
      </c>
    </row>
    <row r="56242" customFormat="false" ht="12.8" hidden="false" customHeight="false" outlineLevel="0" collapsed="false">
      <c r="B56242" s="0" t="s">
        <v>1</v>
      </c>
      <c r="C56242" s="0" t="s">
        <v>106</v>
      </c>
      <c r="E56242" s="0" t="s">
        <v>31</v>
      </c>
      <c r="F56242" s="0" t="s">
        <v>4600</v>
      </c>
    </row>
    <row r="56243" customFormat="false" ht="12.8" hidden="false" customHeight="false" outlineLevel="0" collapsed="false">
      <c r="B56243" s="0" t="s">
        <v>19270</v>
      </c>
      <c r="C56243" s="0" t="s">
        <v>4602</v>
      </c>
      <c r="E56243" s="0" t="s">
        <v>532</v>
      </c>
      <c r="F56243" s="0" t="s">
        <v>4603</v>
      </c>
    </row>
    <row r="56244" customFormat="false" ht="12.8" hidden="false" customHeight="false" outlineLevel="0" collapsed="false">
      <c r="B56244" s="0" t="s">
        <v>52</v>
      </c>
      <c r="C56244" s="0" t="s">
        <v>4604</v>
      </c>
      <c r="E56244" s="0" t="s">
        <v>2287</v>
      </c>
      <c r="F56244" s="0" t="s">
        <v>4605</v>
      </c>
    </row>
    <row r="56246" customFormat="false" ht="12.8" hidden="false" customHeight="false" outlineLevel="0" collapsed="false">
      <c r="A56246" s="0" t="s">
        <v>19271</v>
      </c>
      <c r="B56246" s="0" t="str">
        <f aca="false">HYPERLINK("https://lindat.mff.cuni.cz/services/teitok/pdtc10/index.php?action=vallex&amp;frame=v-w7942f2", "vyhrožovat (v-w7942f2)")</f>
        <v>vyhrožovat (v-w7942f2)</v>
      </c>
    </row>
    <row r="56247" customFormat="false" ht="12.8" hidden="false" customHeight="false" outlineLevel="0" collapsed="false">
      <c r="B56247" s="0" t="s">
        <v>1</v>
      </c>
    </row>
    <row r="56248" customFormat="false" ht="12.8" hidden="false" customHeight="false" outlineLevel="0" collapsed="false">
      <c r="B56248" s="0" t="s">
        <v>157</v>
      </c>
    </row>
    <row r="56250" customFormat="false" ht="12.8" hidden="false" customHeight="false" outlineLevel="0" collapsed="false">
      <c r="A56250" s="0" t="s">
        <v>19272</v>
      </c>
      <c r="B56250" s="0" t="str">
        <f aca="false">HYPERLINK("https://lindat.mff.cuni.cz/services/teitok/pdtc10/index.php?action=vallex&amp;frame=v-w7929f3_ZU", "vyhrát (v-w7929f3_ZU)")</f>
        <v>vyhrát (v-w7929f3_ZU)</v>
      </c>
      <c r="E56250" s="0" t="str">
        <f aca="false">HYPERLINK("https://lindat.mff.cuni.cz/services/SynSemClass40/SynSemClass40.html?veclass=vec00352#vec00352-ces-cm00001", "vec00352")</f>
        <v>vec00352</v>
      </c>
      <c r="F56250" s="0" t="s">
        <v>17213</v>
      </c>
    </row>
    <row r="56251" customFormat="false" ht="12.8" hidden="false" customHeight="false" outlineLevel="0" collapsed="false">
      <c r="B56251" s="0" t="s">
        <v>1</v>
      </c>
      <c r="C56251" s="0" t="s">
        <v>19273</v>
      </c>
      <c r="E56251" s="0" t="s">
        <v>2106</v>
      </c>
      <c r="F56251" s="0" t="s">
        <v>17215</v>
      </c>
    </row>
    <row r="56252" customFormat="false" ht="12.8" hidden="false" customHeight="false" outlineLevel="0" collapsed="false">
      <c r="B56252" s="0" t="s">
        <v>12351</v>
      </c>
      <c r="C56252" s="0" t="s">
        <v>19274</v>
      </c>
      <c r="E56252" s="0" t="s">
        <v>432</v>
      </c>
      <c r="F56252" s="0" t="s">
        <v>19275</v>
      </c>
    </row>
    <row r="56253" customFormat="false" ht="12.8" hidden="false" customHeight="false" outlineLevel="0" collapsed="false">
      <c r="B56253" s="0" t="s">
        <v>18937</v>
      </c>
      <c r="E56253" s="0" t="s">
        <v>19276</v>
      </c>
      <c r="F56253" s="0" t="s">
        <v>19277</v>
      </c>
    </row>
    <row r="56255" customFormat="false" ht="12.8" hidden="false" customHeight="false" outlineLevel="0" collapsed="false">
      <c r="A56255" s="0" t="s">
        <v>19272</v>
      </c>
      <c r="B56255" s="0" t="str">
        <f aca="false">HYPERLINK("https://lindat.mff.cuni.cz/services/teitok/pdtc10/index.php?action=vallex&amp;frame=v-w7929f1", "vyhrát (v-w7929f1) - substituted with v-w7929f3_ZU")</f>
        <v>vyhrát (v-w7929f1) - substituted with v-w7929f3_ZU</v>
      </c>
    </row>
    <row r="56256" customFormat="false" ht="12.8" hidden="false" customHeight="false" outlineLevel="0" collapsed="false">
      <c r="B56256" s="0" t="s">
        <v>1</v>
      </c>
    </row>
    <row r="56257" customFormat="false" ht="12.8" hidden="false" customHeight="false" outlineLevel="0" collapsed="false">
      <c r="B56257" s="0" t="s">
        <v>12351</v>
      </c>
    </row>
    <row r="56258" customFormat="false" ht="12.8" hidden="false" customHeight="false" outlineLevel="0" collapsed="false">
      <c r="B56258" s="0" t="s">
        <v>18937</v>
      </c>
    </row>
    <row r="56260" customFormat="false" ht="12.8" hidden="false" customHeight="false" outlineLevel="0" collapsed="false">
      <c r="A56260" s="0" t="s">
        <v>19278</v>
      </c>
      <c r="B56260" s="0" t="str">
        <f aca="false">HYPERLINK("https://lindat.mff.cuni.cz/services/teitok/pdtc10/index.php?action=vallex&amp;frame=v-w7929f2", "vyhrát (v-w7929f2)")</f>
        <v>vyhrát (v-w7929f2)</v>
      </c>
      <c r="E56260" s="0" t="str">
        <f aca="false">HYPERLINK("https://lindat.mff.cuni.cz/services/SynSemClass40/SynSemClass40.html?veclass=vec00189#vec00189-ces-cm00140", "vec00189")</f>
        <v>vec00189</v>
      </c>
      <c r="F56260" s="0" t="s">
        <v>2169</v>
      </c>
    </row>
    <row r="56261" customFormat="false" ht="12.8" hidden="false" customHeight="false" outlineLevel="0" collapsed="false">
      <c r="B56261" s="0" t="s">
        <v>1</v>
      </c>
      <c r="C56261" s="0" t="s">
        <v>2170</v>
      </c>
      <c r="E56261" s="0" t="s">
        <v>1567</v>
      </c>
      <c r="F56261" s="0" t="s">
        <v>2171</v>
      </c>
    </row>
    <row r="56262" customFormat="false" ht="12.8" hidden="false" customHeight="false" outlineLevel="0" collapsed="false">
      <c r="B56262" s="0" t="s">
        <v>8</v>
      </c>
      <c r="C56262" s="0" t="s">
        <v>2173</v>
      </c>
      <c r="E56262" s="0" t="s">
        <v>2111</v>
      </c>
      <c r="F56262" s="0" t="s">
        <v>2174</v>
      </c>
    </row>
    <row r="56263" customFormat="false" ht="12.8" hidden="false" customHeight="false" outlineLevel="0" collapsed="false">
      <c r="B56263" s="0" t="s">
        <v>773</v>
      </c>
      <c r="C56263" s="0" t="s">
        <v>2175</v>
      </c>
      <c r="E56263" s="0" t="s">
        <v>2176</v>
      </c>
      <c r="F56263" s="0" t="s">
        <v>2177</v>
      </c>
    </row>
    <row r="56265" customFormat="false" ht="12.8" hidden="false" customHeight="false" outlineLevel="0" collapsed="false">
      <c r="A56265" s="0" t="s">
        <v>19279</v>
      </c>
      <c r="B56265" s="0" t="str">
        <f aca="false">HYPERLINK("https://lindat.mff.cuni.cz/services/teitok/pdtc10/index.php?action=vallex&amp;frame=v-w7930f1", "vyhrát se (v-w7930f1)")</f>
        <v>vyhrát se (v-w7930f1)</v>
      </c>
    </row>
    <row r="56266" customFormat="false" ht="12.8" hidden="false" customHeight="false" outlineLevel="0" collapsed="false">
      <c r="B56266" s="0" t="s">
        <v>1</v>
      </c>
    </row>
    <row r="56268" customFormat="false" ht="12.8" hidden="false" customHeight="false" outlineLevel="0" collapsed="false">
      <c r="A56268" s="0" t="s">
        <v>19280</v>
      </c>
      <c r="B56268" s="0" t="str">
        <f aca="false">HYPERLINK("https://lindat.mff.cuni.cz/services/teitok/pdtc10/index.php?action=vallex&amp;frame=v-w7931f1", "vyhrát si (v-w7931f1)")</f>
        <v>vyhrát si (v-w7931f1)</v>
      </c>
    </row>
    <row r="56269" customFormat="false" ht="12.8" hidden="false" customHeight="false" outlineLevel="0" collapsed="false">
      <c r="B56269" s="0" t="s">
        <v>1</v>
      </c>
    </row>
    <row r="56270" customFormat="false" ht="12.8" hidden="false" customHeight="false" outlineLevel="0" collapsed="false">
      <c r="B56270" s="0" t="s">
        <v>3321</v>
      </c>
    </row>
    <row r="56272" customFormat="false" ht="12.8" hidden="false" customHeight="false" outlineLevel="0" collapsed="false">
      <c r="A56272" s="0" t="s">
        <v>19281</v>
      </c>
      <c r="B56272" s="0" t="str">
        <f aca="false">HYPERLINK("https://lindat.mff.cuni.cz/services/teitok/pdtc10/index.php?action=vallex&amp;frame=v-w7933f1", "vyhrávat (v-w7933f1)")</f>
        <v>vyhrávat (v-w7933f1)</v>
      </c>
      <c r="E56272" s="0" t="str">
        <f aca="false">HYPERLINK("https://lindat.mff.cuni.cz/services/SynSemClass40/SynSemClass40.html?veclass=vec00352#vec00352-ces-cm00004", "vec00352")</f>
        <v>vec00352</v>
      </c>
      <c r="F56272" s="0" t="s">
        <v>17213</v>
      </c>
    </row>
    <row r="56273" customFormat="false" ht="12.8" hidden="false" customHeight="false" outlineLevel="0" collapsed="false">
      <c r="B56273" s="0" t="s">
        <v>1</v>
      </c>
      <c r="C56273" s="0" t="s">
        <v>19273</v>
      </c>
      <c r="E56273" s="0" t="s">
        <v>2106</v>
      </c>
      <c r="F56273" s="0" t="s">
        <v>17215</v>
      </c>
    </row>
    <row r="56274" customFormat="false" ht="12.8" hidden="false" customHeight="false" outlineLevel="0" collapsed="false">
      <c r="B56274" s="0" t="s">
        <v>12351</v>
      </c>
      <c r="C56274" s="0" t="s">
        <v>19274</v>
      </c>
      <c r="E56274" s="0" t="s">
        <v>432</v>
      </c>
      <c r="F56274" s="0" t="s">
        <v>19275</v>
      </c>
    </row>
    <row r="56275" customFormat="false" ht="12.8" hidden="false" customHeight="false" outlineLevel="0" collapsed="false">
      <c r="B56275" s="0" t="s">
        <v>18937</v>
      </c>
      <c r="E56275" s="0" t="s">
        <v>19276</v>
      </c>
      <c r="F56275" s="0" t="s">
        <v>19277</v>
      </c>
    </row>
    <row r="56277" customFormat="false" ht="12.8" hidden="false" customHeight="false" outlineLevel="0" collapsed="false">
      <c r="A56277" s="0" t="s">
        <v>19282</v>
      </c>
      <c r="B56277" s="0" t="str">
        <f aca="false">HYPERLINK("https://lindat.mff.cuni.cz/services/teitok/pdtc10/index.php?action=vallex&amp;frame=v-w7933f2_ZU", "vyhrávat (v-w7933f2_ZU)")</f>
        <v>vyhrávat (v-w7933f2_ZU)</v>
      </c>
    </row>
    <row r="56278" customFormat="false" ht="12.8" hidden="false" customHeight="false" outlineLevel="0" collapsed="false">
      <c r="B56278" s="0" t="s">
        <v>1</v>
      </c>
    </row>
    <row r="56279" customFormat="false" ht="12.8" hidden="false" customHeight="false" outlineLevel="0" collapsed="false">
      <c r="B56279" s="0" t="s">
        <v>8</v>
      </c>
    </row>
    <row r="56281" customFormat="false" ht="12.8" hidden="false" customHeight="false" outlineLevel="0" collapsed="false">
      <c r="A56281" s="0" t="s">
        <v>19283</v>
      </c>
      <c r="B56281" s="0" t="str">
        <f aca="false">HYPERLINK("https://lindat.mff.cuni.cz/services/teitok/pdtc10/index.php?action=vallex&amp;frame=v-w7933hsa_1259", "vyhrávat (v-w7933hsa_1259)")</f>
        <v>vyhrávat (v-w7933hsa_1259)</v>
      </c>
    </row>
    <row r="56282" customFormat="false" ht="12.8" hidden="false" customHeight="false" outlineLevel="0" collapsed="false">
      <c r="B56282" s="0" t="s">
        <v>1</v>
      </c>
    </row>
    <row r="56284" customFormat="false" ht="12.8" hidden="false" customHeight="false" outlineLevel="0" collapsed="false">
      <c r="A56284" s="0" t="s">
        <v>19284</v>
      </c>
      <c r="B56284" s="0" t="str">
        <f aca="false">HYPERLINK("https://lindat.mff.cuni.cz/services/teitok/pdtc10/index.php?action=vallex&amp;frame=v-w7945f1", "vyhubit (v-w7945f1)")</f>
        <v>vyhubit (v-w7945f1)</v>
      </c>
    </row>
    <row r="56285" customFormat="false" ht="12.8" hidden="false" customHeight="false" outlineLevel="0" collapsed="false">
      <c r="B56285" s="0" t="s">
        <v>1</v>
      </c>
    </row>
    <row r="56286" customFormat="false" ht="12.8" hidden="false" customHeight="false" outlineLevel="0" collapsed="false">
      <c r="B56286" s="0" t="s">
        <v>8</v>
      </c>
    </row>
    <row r="56288" customFormat="false" ht="12.8" hidden="false" customHeight="false" outlineLevel="0" collapsed="false">
      <c r="A56288" s="0" t="s">
        <v>19285</v>
      </c>
      <c r="B56288" s="0" t="str">
        <f aca="false">HYPERLINK("https://lindat.mff.cuni.cz/services/teitok/pdtc10/index.php?action=vallex&amp;frame=v-w10511f2", "vyhubovat (v-w10511f2)")</f>
        <v>vyhubovat (v-w10511f2)</v>
      </c>
    </row>
    <row r="56289" customFormat="false" ht="12.8" hidden="false" customHeight="false" outlineLevel="0" collapsed="false">
      <c r="B56289" s="0" t="s">
        <v>1</v>
      </c>
    </row>
    <row r="56290" customFormat="false" ht="12.8" hidden="false" customHeight="false" outlineLevel="0" collapsed="false">
      <c r="B56290" s="0" t="s">
        <v>52</v>
      </c>
    </row>
    <row r="56291" customFormat="false" ht="12.8" hidden="false" customHeight="false" outlineLevel="0" collapsed="false">
      <c r="B56291" s="0" t="s">
        <v>16419</v>
      </c>
    </row>
    <row r="56293" customFormat="false" ht="12.8" hidden="false" customHeight="false" outlineLevel="0" collapsed="false">
      <c r="A56293" s="0" t="s">
        <v>19286</v>
      </c>
      <c r="B56293" s="0" t="str">
        <f aca="false">HYPERLINK("https://lindat.mff.cuni.cz/services/teitok/pdtc10/index.php?action=vallex&amp;frame=v-w7948f1", "vyhynout (v-w7948f1)")</f>
        <v>vyhynout (v-w7948f1)</v>
      </c>
    </row>
    <row r="56294" customFormat="false" ht="12.8" hidden="false" customHeight="false" outlineLevel="0" collapsed="false">
      <c r="B56294" s="0" t="s">
        <v>1</v>
      </c>
    </row>
    <row r="56296" customFormat="false" ht="12.8" hidden="false" customHeight="false" outlineLevel="0" collapsed="false">
      <c r="A56296" s="0" t="s">
        <v>19287</v>
      </c>
      <c r="B56296" s="0" t="str">
        <f aca="false">HYPERLINK("https://lindat.mff.cuni.cz/services/teitok/pdtc10/index.php?action=vallex&amp;frame=v-w7876f1", "vyhánět (v-w7876f1)")</f>
        <v>vyhánět (v-w7876f1)</v>
      </c>
      <c r="E56296" s="0" t="str">
        <f aca="false">HYPERLINK("https://lindat.mff.cuni.cz/services/SynSemClass40/SynSemClass40.html?veclass=vec00555#vec00555-ces-cm00076", "vec00555")</f>
        <v>vec00555</v>
      </c>
      <c r="F56296" s="0" t="s">
        <v>1918</v>
      </c>
    </row>
    <row r="56297" customFormat="false" ht="12.8" hidden="false" customHeight="false" outlineLevel="0" collapsed="false">
      <c r="B56297" s="0" t="s">
        <v>1</v>
      </c>
      <c r="C56297" s="0" t="s">
        <v>1919</v>
      </c>
      <c r="E56297" s="0" t="s">
        <v>31</v>
      </c>
      <c r="F56297" s="0" t="s">
        <v>1920</v>
      </c>
    </row>
    <row r="56298" customFormat="false" ht="12.8" hidden="false" customHeight="false" outlineLevel="0" collapsed="false">
      <c r="B56298" s="0" t="s">
        <v>8</v>
      </c>
      <c r="C56298" s="0" t="s">
        <v>1921</v>
      </c>
      <c r="E56298" s="0" t="s">
        <v>532</v>
      </c>
      <c r="F56298" s="0" t="s">
        <v>1922</v>
      </c>
    </row>
    <row r="56299" customFormat="false" ht="12.8" hidden="false" customHeight="false" outlineLevel="0" collapsed="false">
      <c r="B56299" s="0" t="s">
        <v>631</v>
      </c>
      <c r="C56299" s="0" t="s">
        <v>1923</v>
      </c>
      <c r="E56299" s="0" t="s">
        <v>1924</v>
      </c>
      <c r="F56299" s="0" t="s">
        <v>1925</v>
      </c>
    </row>
    <row r="56301" customFormat="false" ht="12.8" hidden="false" customHeight="false" outlineLevel="0" collapsed="false">
      <c r="A56301" s="0" t="s">
        <v>19288</v>
      </c>
      <c r="B56301" s="0" t="str">
        <f aca="false">HYPERLINK("https://lindat.mff.cuni.cz/services/teitok/pdtc10/index.php?action=vallex&amp;frame=v-w7876f2_ZU", "vyhánět (v-w7876f2_ZU)")</f>
        <v>vyhánět (v-w7876f2_ZU)</v>
      </c>
      <c r="E56301" s="0" t="str">
        <f aca="false">HYPERLINK("https://lindat.mff.cuni.cz/services/SynSemClass40/SynSemClass40.html?veclass=vec00298#vec00298-ces-cm00036", "vec00298")</f>
        <v>vec00298</v>
      </c>
      <c r="F56301" s="0" t="s">
        <v>7194</v>
      </c>
    </row>
    <row r="56302" customFormat="false" ht="12.8" hidden="false" customHeight="false" outlineLevel="0" collapsed="false">
      <c r="B56302" s="0" t="s">
        <v>1</v>
      </c>
      <c r="C56302" s="0" t="s">
        <v>7195</v>
      </c>
      <c r="E56302" s="0" t="s">
        <v>31</v>
      </c>
      <c r="F56302" s="0" t="s">
        <v>7196</v>
      </c>
    </row>
    <row r="56303" customFormat="false" ht="12.8" hidden="false" customHeight="false" outlineLevel="0" collapsed="false">
      <c r="B56303" s="0" t="s">
        <v>8</v>
      </c>
      <c r="C56303" s="0" t="s">
        <v>7197</v>
      </c>
      <c r="E56303" s="0" t="s">
        <v>1569</v>
      </c>
      <c r="F56303" s="0" t="s">
        <v>7198</v>
      </c>
    </row>
    <row r="56304" customFormat="false" ht="12.8" hidden="false" customHeight="false" outlineLevel="0" collapsed="false">
      <c r="B56304" s="0" t="s">
        <v>454</v>
      </c>
      <c r="C56304" s="0" t="s">
        <v>19289</v>
      </c>
      <c r="E56304" s="0" t="s">
        <v>19243</v>
      </c>
      <c r="F56304" s="0" t="s">
        <v>19290</v>
      </c>
    </row>
    <row r="56306" customFormat="false" ht="12.8" hidden="false" customHeight="false" outlineLevel="0" collapsed="false">
      <c r="A56306" s="0" t="s">
        <v>19291</v>
      </c>
      <c r="B56306" s="0" t="str">
        <f aca="false">HYPERLINK("https://lindat.mff.cuni.cz/services/teitok/pdtc10/index.php?action=vallex&amp;frame=v-w7879f2", "vyházet (v-w7879f2)")</f>
        <v>vyházet (v-w7879f2)</v>
      </c>
    </row>
    <row r="56307" customFormat="false" ht="12.8" hidden="false" customHeight="false" outlineLevel="0" collapsed="false">
      <c r="B56307" s="0" t="s">
        <v>1</v>
      </c>
    </row>
    <row r="56308" customFormat="false" ht="12.8" hidden="false" customHeight="false" outlineLevel="0" collapsed="false">
      <c r="B56308" s="0" t="s">
        <v>8</v>
      </c>
    </row>
    <row r="56309" customFormat="false" ht="12.8" hidden="false" customHeight="false" outlineLevel="0" collapsed="false">
      <c r="B56309" s="0" t="s">
        <v>723</v>
      </c>
    </row>
    <row r="56311" customFormat="false" ht="12.8" hidden="false" customHeight="false" outlineLevel="0" collapsed="false">
      <c r="A56311" s="0" t="s">
        <v>19292</v>
      </c>
      <c r="B56311" s="0" t="str">
        <f aca="false">HYPERLINK("https://lindat.mff.cuni.cz/services/teitok/pdtc10/index.php?action=vallex&amp;frame=v-w7879f3", "vyházet (v-w7879f3)")</f>
        <v>vyházet (v-w7879f3)</v>
      </c>
    </row>
    <row r="56312" customFormat="false" ht="12.8" hidden="false" customHeight="false" outlineLevel="0" collapsed="false">
      <c r="B56312" s="0" t="s">
        <v>1</v>
      </c>
    </row>
    <row r="56313" customFormat="false" ht="12.8" hidden="false" customHeight="false" outlineLevel="0" collapsed="false">
      <c r="B56313" s="0" t="s">
        <v>8</v>
      </c>
    </row>
    <row r="56314" customFormat="false" ht="12.8" hidden="false" customHeight="false" outlineLevel="0" collapsed="false">
      <c r="B56314" s="0" t="s">
        <v>631</v>
      </c>
    </row>
    <row r="56316" customFormat="false" ht="12.8" hidden="false" customHeight="false" outlineLevel="0" collapsed="false">
      <c r="A56316" s="0" t="s">
        <v>19293</v>
      </c>
      <c r="B56316" s="0" t="str">
        <f aca="false">HYPERLINK("https://lindat.mff.cuni.cz/services/teitok/pdtc10/index.php?action=vallex&amp;frame=v-w7879f1", "vyházet (v-w7879f1)")</f>
        <v>vyházet (v-w7879f1)</v>
      </c>
    </row>
    <row r="56317" customFormat="false" ht="12.8" hidden="false" customHeight="false" outlineLevel="0" collapsed="false">
      <c r="B56317" s="0" t="s">
        <v>1</v>
      </c>
    </row>
    <row r="56318" customFormat="false" ht="12.8" hidden="false" customHeight="false" outlineLevel="0" collapsed="false">
      <c r="B56318" s="0" t="s">
        <v>865</v>
      </c>
    </row>
    <row r="56319" customFormat="false" ht="12.8" hidden="false" customHeight="false" outlineLevel="0" collapsed="false">
      <c r="B56319" s="0" t="s">
        <v>19294</v>
      </c>
    </row>
    <row r="56321" customFormat="false" ht="12.8" hidden="false" customHeight="false" outlineLevel="0" collapsed="false">
      <c r="A56321" s="0" t="s">
        <v>19295</v>
      </c>
      <c r="B56321" s="0" t="str">
        <f aca="false">HYPERLINK("https://lindat.mff.cuni.cz/services/teitok/pdtc10/index.php?action=vallex&amp;frame=v-w7879hsa_1844", "vyházet (v-w7879hsa_1844)")</f>
        <v>vyházet (v-w7879hsa_1844)</v>
      </c>
    </row>
    <row r="56322" customFormat="false" ht="12.8" hidden="false" customHeight="false" outlineLevel="0" collapsed="false">
      <c r="B56322" s="0" t="s">
        <v>1</v>
      </c>
    </row>
    <row r="56323" customFormat="false" ht="12.8" hidden="false" customHeight="false" outlineLevel="0" collapsed="false">
      <c r="B56323" s="0" t="s">
        <v>8</v>
      </c>
    </row>
    <row r="56324" customFormat="false" ht="12.8" hidden="false" customHeight="false" outlineLevel="0" collapsed="false">
      <c r="B56324" s="0" t="s">
        <v>631</v>
      </c>
    </row>
    <row r="56326" customFormat="false" ht="12.8" hidden="false" customHeight="false" outlineLevel="0" collapsed="false">
      <c r="A56326" s="0" t="s">
        <v>19296</v>
      </c>
      <c r="B56326" s="0" t="str">
        <f aca="false">HYPERLINK("https://lindat.mff.cuni.cz/services/teitok/pdtc10/index.php?action=vallex&amp;frame=v-w7875f1", "vyháčkovat (v-w7875f1)")</f>
        <v>vyháčkovat (v-w7875f1)</v>
      </c>
      <c r="E56326" s="0" t="str">
        <f aca="false">HYPERLINK("https://lindat.mff.cuni.cz/services/SynSemClass40/SynSemClass40.html?veclass=vec01537#vec01537-ces-cm00032", "vec01537")</f>
        <v>vec01537</v>
      </c>
      <c r="F56326" s="0" t="s">
        <v>8830</v>
      </c>
    </row>
    <row r="56327" customFormat="false" ht="12.8" hidden="false" customHeight="false" outlineLevel="0" collapsed="false">
      <c r="B56327" s="0" t="s">
        <v>1</v>
      </c>
      <c r="C56327" s="0" t="s">
        <v>1752</v>
      </c>
      <c r="E56327" s="0" t="s">
        <v>31</v>
      </c>
      <c r="F56327" s="0" t="s">
        <v>5293</v>
      </c>
    </row>
    <row r="56328" customFormat="false" ht="12.8" hidden="false" customHeight="false" outlineLevel="0" collapsed="false">
      <c r="B56328" s="0" t="s">
        <v>8</v>
      </c>
      <c r="C56328" s="0" t="s">
        <v>1940</v>
      </c>
      <c r="E56328" s="0" t="s">
        <v>8835</v>
      </c>
      <c r="F56328" s="0" t="s">
        <v>8838</v>
      </c>
    </row>
    <row r="56330" customFormat="false" ht="12.8" hidden="false" customHeight="false" outlineLevel="0" collapsed="false">
      <c r="A56330" s="0" t="s">
        <v>19297</v>
      </c>
      <c r="B56330" s="0" t="str">
        <f aca="false">HYPERLINK("https://lindat.mff.cuni.cz/services/teitok/pdtc10/index.php?action=vallex&amp;frame=v-w7947f1", "vyhýbat se (v-w7947f1)")</f>
        <v>vyhýbat se (v-w7947f1)</v>
      </c>
      <c r="E56330" s="0" t="str">
        <f aca="false">HYPERLINK("https://lindat.mff.cuni.cz/services/SynSemClass40/SynSemClass40.html?veclass=vec00045#vec00045-ces-cm00009", "vec00045")</f>
        <v>vec00045</v>
      </c>
      <c r="F56330" s="0" t="s">
        <v>8307</v>
      </c>
    </row>
    <row r="56331" customFormat="false" ht="12.8" hidden="false" customHeight="false" outlineLevel="0" collapsed="false">
      <c r="B56331" s="0" t="s">
        <v>1</v>
      </c>
      <c r="C56331" s="0" t="s">
        <v>6471</v>
      </c>
      <c r="E56331" s="0" t="s">
        <v>2892</v>
      </c>
      <c r="F56331" s="0" t="s">
        <v>8308</v>
      </c>
    </row>
    <row r="56332" customFormat="false" ht="12.8" hidden="false" customHeight="false" outlineLevel="0" collapsed="false">
      <c r="B56332" s="0" t="s">
        <v>9049</v>
      </c>
      <c r="C56332" s="0" t="s">
        <v>8309</v>
      </c>
      <c r="E56332" s="0" t="s">
        <v>411</v>
      </c>
      <c r="F56332" s="0" t="s">
        <v>8310</v>
      </c>
    </row>
    <row r="56334" customFormat="false" ht="12.8" hidden="false" customHeight="false" outlineLevel="0" collapsed="false">
      <c r="A56334" s="0" t="s">
        <v>19298</v>
      </c>
      <c r="B56334" s="0" t="str">
        <f aca="false">HYPERLINK("https://lindat.mff.cuni.cz/services/teitok/pdtc10/index.php?action=vallex&amp;frame=v-w10276f2", "vyhřeznout (v-w10276f2)")</f>
        <v>vyhřeznout (v-w10276f2)</v>
      </c>
    </row>
    <row r="56335" customFormat="false" ht="12.8" hidden="false" customHeight="false" outlineLevel="0" collapsed="false">
      <c r="B56335" s="0" t="s">
        <v>1</v>
      </c>
    </row>
    <row r="56336" customFormat="false" ht="12.8" hidden="false" customHeight="false" outlineLevel="0" collapsed="false">
      <c r="B56336" s="0" t="s">
        <v>8</v>
      </c>
    </row>
    <row r="56337" customFormat="false" ht="12.8" hidden="false" customHeight="false" outlineLevel="0" collapsed="false">
      <c r="B56337" s="0" t="s">
        <v>631</v>
      </c>
    </row>
    <row r="56339" customFormat="false" ht="12.8" hidden="false" customHeight="false" outlineLevel="0" collapsed="false">
      <c r="A56339" s="0" t="s">
        <v>19299</v>
      </c>
      <c r="B56339" s="0" t="str">
        <f aca="false">HYPERLINK("https://lindat.mff.cuni.cz/services/teitok/pdtc10/index.php?action=vallex&amp;frame=v-whsa_16hsa_17", "vyhřezávat (v-whsa_16hsa_17)")</f>
        <v>vyhřezávat (v-whsa_16hsa_17)</v>
      </c>
    </row>
    <row r="56340" customFormat="false" ht="12.8" hidden="false" customHeight="false" outlineLevel="0" collapsed="false">
      <c r="B56340" s="0" t="s">
        <v>1</v>
      </c>
    </row>
    <row r="56341" customFormat="false" ht="12.8" hidden="false" customHeight="false" outlineLevel="0" collapsed="false">
      <c r="B56341" s="0" t="s">
        <v>631</v>
      </c>
    </row>
    <row r="56343" customFormat="false" ht="12.8" hidden="false" customHeight="false" outlineLevel="0" collapsed="false">
      <c r="A56343" s="0" t="s">
        <v>19300</v>
      </c>
      <c r="B56343" s="0" t="str">
        <f aca="false">HYPERLINK("https://lindat.mff.cuni.cz/services/teitok/pdtc10/index.php?action=vallex&amp;frame=v-whsb_1265hsa_1266", "vyhřát se (v-whsb_1265hsa_1266)")</f>
        <v>vyhřát se (v-whsb_1265hsa_1266)</v>
      </c>
    </row>
    <row r="56344" customFormat="false" ht="12.8" hidden="false" customHeight="false" outlineLevel="0" collapsed="false">
      <c r="B56344" s="0" t="s">
        <v>1</v>
      </c>
    </row>
    <row r="56346" customFormat="false" ht="12.8" hidden="false" customHeight="false" outlineLevel="0" collapsed="false">
      <c r="A56346" s="0" t="s">
        <v>19301</v>
      </c>
      <c r="B56346" s="0" t="str">
        <f aca="false">HYPERLINK("https://lindat.mff.cuni.cz/services/teitok/pdtc10/index.php?action=vallex&amp;frame=v-w7944f1", "vyhřívat se (v-w7944f1)")</f>
        <v>vyhřívat se (v-w7944f1)</v>
      </c>
    </row>
    <row r="56347" customFormat="false" ht="12.8" hidden="false" customHeight="false" outlineLevel="0" collapsed="false">
      <c r="B56347" s="0" t="s">
        <v>1</v>
      </c>
    </row>
    <row r="56349" customFormat="false" ht="12.8" hidden="false" customHeight="false" outlineLevel="0" collapsed="false">
      <c r="A56349" s="0" t="s">
        <v>19302</v>
      </c>
      <c r="B56349" s="0" t="str">
        <f aca="false">HYPERLINK("https://lindat.mff.cuni.cz/services/teitok/pdtc10/index.php?action=vallex&amp;frame=v-w7967f1", "vyinkasovat (v-w7967f1)")</f>
        <v>vyinkasovat (v-w7967f1)</v>
      </c>
    </row>
    <row r="56350" customFormat="false" ht="12.8" hidden="false" customHeight="false" outlineLevel="0" collapsed="false">
      <c r="B56350" s="0" t="s">
        <v>1</v>
      </c>
    </row>
    <row r="56351" customFormat="false" ht="12.8" hidden="false" customHeight="false" outlineLevel="0" collapsed="false">
      <c r="B56351" s="0" t="s">
        <v>8</v>
      </c>
    </row>
    <row r="56352" customFormat="false" ht="12.8" hidden="false" customHeight="false" outlineLevel="0" collapsed="false">
      <c r="B56352" s="0" t="s">
        <v>602</v>
      </c>
    </row>
    <row r="56354" customFormat="false" ht="12.8" hidden="false" customHeight="false" outlineLevel="0" collapsed="false">
      <c r="A56354" s="0" t="s">
        <v>19303</v>
      </c>
      <c r="B56354" s="0" t="str">
        <f aca="false">HYPERLINK("https://lindat.mff.cuni.cz/services/teitok/pdtc10/index.php?action=vallex&amp;frame=v-w7974f1", "vyjadřovat (v-w7974f1)")</f>
        <v>vyjadřovat (v-w7974f1)</v>
      </c>
      <c r="E56354" s="0" t="str">
        <f aca="false">HYPERLINK("https://lindat.mff.cuni.cz/services/SynSemClass40/SynSemClass40.html?veclass=vec00784#vec00784-ces-cm00009", "vec00784")</f>
        <v>vec00784</v>
      </c>
      <c r="F56354" s="0" t="s">
        <v>4173</v>
      </c>
    </row>
    <row r="56355" customFormat="false" ht="12.8" hidden="false" customHeight="false" outlineLevel="0" collapsed="false">
      <c r="B56355" s="0" t="s">
        <v>1</v>
      </c>
      <c r="C56355" s="0" t="s">
        <v>3375</v>
      </c>
      <c r="E56355" s="0" t="s">
        <v>63</v>
      </c>
      <c r="F56355" s="0" t="s">
        <v>4174</v>
      </c>
    </row>
    <row r="56356" customFormat="false" ht="12.8" hidden="false" customHeight="false" outlineLevel="0" collapsed="false">
      <c r="B56356" s="0" t="s">
        <v>8</v>
      </c>
      <c r="C56356" s="0" t="s">
        <v>1388</v>
      </c>
      <c r="E56356" s="0" t="s">
        <v>50</v>
      </c>
      <c r="F56356" s="0" t="s">
        <v>4175</v>
      </c>
    </row>
    <row r="56358" customFormat="false" ht="12.8" hidden="false" customHeight="false" outlineLevel="0" collapsed="false">
      <c r="A56358" s="0" t="s">
        <v>19304</v>
      </c>
      <c r="B56358" s="0" t="str">
        <f aca="false">HYPERLINK("https://lindat.mff.cuni.cz/services/teitok/pdtc10/index.php?action=vallex&amp;frame=v-w7974f3", "vyjadřovat (v-w7974f3)")</f>
        <v>vyjadřovat (v-w7974f3)</v>
      </c>
    </row>
    <row r="56359" customFormat="false" ht="12.8" hidden="false" customHeight="false" outlineLevel="0" collapsed="false">
      <c r="B56359" s="0" t="s">
        <v>1</v>
      </c>
    </row>
    <row r="56360" customFormat="false" ht="12.8" hidden="false" customHeight="false" outlineLevel="0" collapsed="false">
      <c r="B56360" s="0" t="s">
        <v>19305</v>
      </c>
    </row>
    <row r="56361" customFormat="false" ht="12.8" hidden="false" customHeight="false" outlineLevel="0" collapsed="false">
      <c r="B56361" s="0" t="s">
        <v>52</v>
      </c>
    </row>
    <row r="56363" customFormat="false" ht="12.8" hidden="false" customHeight="false" outlineLevel="0" collapsed="false">
      <c r="A56363" s="0" t="s">
        <v>19306</v>
      </c>
      <c r="B56363" s="0" t="str">
        <f aca="false">HYPERLINK("https://lindat.mff.cuni.cz/services/teitok/pdtc10/index.php?action=vallex&amp;frame=v-w7974f6_ZU", "vyjadřovat (v-w7974f6_ZU)")</f>
        <v>vyjadřovat (v-w7974f6_ZU)</v>
      </c>
      <c r="E56363" s="0" t="str">
        <f aca="false">HYPERLINK("https://lindat.mff.cuni.cz/services/SynSemClass40/SynSemClass40.html?veclass=vec00391#vec00391-ces-cm00037", "vec00391")</f>
        <v>vec00391</v>
      </c>
      <c r="F56363" s="0" t="s">
        <v>7472</v>
      </c>
    </row>
    <row r="56364" customFormat="false" ht="12.8" hidden="false" customHeight="false" outlineLevel="0" collapsed="false">
      <c r="B56364" s="0" t="s">
        <v>1</v>
      </c>
      <c r="C56364" s="0" t="s">
        <v>7473</v>
      </c>
      <c r="E56364" s="0" t="s">
        <v>621</v>
      </c>
      <c r="F56364" s="0" t="s">
        <v>7474</v>
      </c>
    </row>
    <row r="56365" customFormat="false" ht="12.8" hidden="false" customHeight="false" outlineLevel="0" collapsed="false">
      <c r="B56365" s="0" t="s">
        <v>19307</v>
      </c>
      <c r="C56365" s="0" t="s">
        <v>19308</v>
      </c>
      <c r="E56365" s="0" t="s">
        <v>3697</v>
      </c>
      <c r="F56365" s="0" t="s">
        <v>19309</v>
      </c>
    </row>
    <row r="56367" customFormat="false" ht="12.8" hidden="false" customHeight="false" outlineLevel="0" collapsed="false">
      <c r="A56367" s="0" t="s">
        <v>19306</v>
      </c>
      <c r="B56367" s="0" t="str">
        <f aca="false">HYPERLINK("https://lindat.mff.cuni.cz/services/teitok/pdtc10/index.php?action=vallex&amp;frame=v-w7974f2", "vyjadřovat (v-w7974f2) - substituted with v-w7974f6_ZU")</f>
        <v>vyjadřovat (v-w7974f2) - substituted with v-w7974f6_ZU</v>
      </c>
    </row>
    <row r="56368" customFormat="false" ht="12.8" hidden="false" customHeight="false" outlineLevel="0" collapsed="false">
      <c r="B56368" s="0" t="s">
        <v>1</v>
      </c>
    </row>
    <row r="56369" customFormat="false" ht="12.8" hidden="false" customHeight="false" outlineLevel="0" collapsed="false">
      <c r="B56369" s="0" t="s">
        <v>19307</v>
      </c>
    </row>
    <row r="56371" customFormat="false" ht="12.8" hidden="false" customHeight="false" outlineLevel="0" collapsed="false">
      <c r="A56371" s="0" t="s">
        <v>19306</v>
      </c>
      <c r="B56371" s="0" t="str">
        <f aca="false">HYPERLINK("https://lindat.mff.cuni.cz/services/teitok/pdtc10/index.php?action=vallex&amp;frame=v-w7974f4_ZU", "vyjadřovat (v-w7974f4_ZU) - substituted with v-w7974f6_ZU")</f>
        <v>vyjadřovat (v-w7974f4_ZU) - substituted with v-w7974f6_ZU</v>
      </c>
    </row>
    <row r="56372" customFormat="false" ht="12.8" hidden="false" customHeight="false" outlineLevel="0" collapsed="false">
      <c r="B56372" s="0" t="s">
        <v>1</v>
      </c>
    </row>
    <row r="56373" customFormat="false" ht="12.8" hidden="false" customHeight="false" outlineLevel="0" collapsed="false">
      <c r="B56373" s="0" t="s">
        <v>19307</v>
      </c>
    </row>
    <row r="56375" customFormat="false" ht="12.8" hidden="false" customHeight="false" outlineLevel="0" collapsed="false">
      <c r="A56375" s="0" t="s">
        <v>19306</v>
      </c>
      <c r="B56375" s="0" t="str">
        <f aca="false">HYPERLINK("https://lindat.mff.cuni.cz/services/teitok/pdtc10/index.php?action=vallex&amp;frame=v-w7974f5_ZU", "vyjadřovat (v-w7974f5_ZU) - substituted with v-w7974f6_ZU")</f>
        <v>vyjadřovat (v-w7974f5_ZU) - substituted with v-w7974f6_ZU</v>
      </c>
    </row>
    <row r="56376" customFormat="false" ht="12.8" hidden="false" customHeight="false" outlineLevel="0" collapsed="false">
      <c r="B56376" s="0" t="s">
        <v>1</v>
      </c>
    </row>
    <row r="56377" customFormat="false" ht="12.8" hidden="false" customHeight="false" outlineLevel="0" collapsed="false">
      <c r="B56377" s="0" t="s">
        <v>19307</v>
      </c>
    </row>
    <row r="56379" customFormat="false" ht="12.8" hidden="false" customHeight="false" outlineLevel="0" collapsed="false">
      <c r="A56379" s="0" t="s">
        <v>19310</v>
      </c>
      <c r="B56379" s="0" t="str">
        <f aca="false">HYPERLINK("https://lindat.mff.cuni.cz/services/teitok/pdtc10/index.php?action=vallex&amp;frame=v-w7975f1", "vyjadřovat se (v-w7975f1)")</f>
        <v>vyjadřovat se (v-w7975f1)</v>
      </c>
      <c r="E56379" s="0" t="str">
        <f aca="false">HYPERLINK("https://lindat.mff.cuni.cz/services/SynSemClass40/SynSemClass40.html?veclass=vec00161#vec00161-ces-cm00120", "vec00161")</f>
        <v>vec00161</v>
      </c>
      <c r="F56379" s="0" t="s">
        <v>5448</v>
      </c>
    </row>
    <row r="56380" customFormat="false" ht="12.8" hidden="false" customHeight="false" outlineLevel="0" collapsed="false">
      <c r="B56380" s="0" t="s">
        <v>1</v>
      </c>
      <c r="C56380" s="0" t="s">
        <v>5449</v>
      </c>
      <c r="E56380" s="0" t="s">
        <v>63</v>
      </c>
      <c r="F56380" s="0" t="s">
        <v>5450</v>
      </c>
    </row>
    <row r="56381" customFormat="false" ht="12.8" hidden="false" customHeight="false" outlineLevel="0" collapsed="false">
      <c r="B56381" s="0" t="s">
        <v>19311</v>
      </c>
      <c r="C56381" s="0" t="s">
        <v>5452</v>
      </c>
      <c r="E56381" s="0" t="s">
        <v>209</v>
      </c>
      <c r="F56381" s="0" t="s">
        <v>5453</v>
      </c>
    </row>
    <row r="56383" customFormat="false" ht="12.8" hidden="false" customHeight="false" outlineLevel="0" collapsed="false">
      <c r="A56383" s="0" t="s">
        <v>19312</v>
      </c>
      <c r="B56383" s="0" t="str">
        <f aca="false">HYPERLINK("https://lindat.mff.cuni.cz/services/teitok/pdtc10/index.php?action=vallex&amp;frame=v-w7975f3", "vyjadřovat se (v-w7975f3)")</f>
        <v>vyjadřovat se (v-w7975f3)</v>
      </c>
      <c r="E56383" s="0" t="str">
        <f aca="false">HYPERLINK("https://lindat.mff.cuni.cz/services/SynSemClass40/SynSemClass40.html?veclass=vec00161#vec00161-ces-cm00151", "vec00161")</f>
        <v>vec00161</v>
      </c>
      <c r="F56383" s="0" t="s">
        <v>5448</v>
      </c>
    </row>
    <row r="56384" customFormat="false" ht="12.8" hidden="false" customHeight="false" outlineLevel="0" collapsed="false">
      <c r="B56384" s="0" t="s">
        <v>1</v>
      </c>
      <c r="C56384" s="0" t="s">
        <v>5449</v>
      </c>
      <c r="E56384" s="0" t="s">
        <v>63</v>
      </c>
      <c r="F56384" s="0" t="s">
        <v>5450</v>
      </c>
    </row>
    <row r="56385" customFormat="false" ht="12.8" hidden="false" customHeight="false" outlineLevel="0" collapsed="false">
      <c r="B56385" s="0" t="s">
        <v>19313</v>
      </c>
      <c r="C56385" s="0" t="s">
        <v>5452</v>
      </c>
      <c r="E56385" s="0" t="s">
        <v>209</v>
      </c>
      <c r="F56385" s="0" t="s">
        <v>5453</v>
      </c>
    </row>
    <row r="56387" customFormat="false" ht="12.8" hidden="false" customHeight="false" outlineLevel="0" collapsed="false">
      <c r="A56387" s="0" t="s">
        <v>19314</v>
      </c>
      <c r="B56387" s="0" t="str">
        <f aca="false">HYPERLINK("https://lindat.mff.cuni.cz/services/teitok/pdtc10/index.php?action=vallex&amp;frame=v-w7975f2", "vyjadřovat se (v-w7975f2)")</f>
        <v>vyjadřovat se (v-w7975f2)</v>
      </c>
    </row>
    <row r="56388" customFormat="false" ht="12.8" hidden="false" customHeight="false" outlineLevel="0" collapsed="false">
      <c r="B56388" s="0" t="s">
        <v>1</v>
      </c>
    </row>
    <row r="56389" customFormat="false" ht="12.8" hidden="false" customHeight="false" outlineLevel="0" collapsed="false">
      <c r="B56389" s="0" t="s">
        <v>725</v>
      </c>
    </row>
    <row r="56390" customFormat="false" ht="12.8" hidden="false" customHeight="false" outlineLevel="0" collapsed="false">
      <c r="B56390" s="0" t="s">
        <v>642</v>
      </c>
    </row>
    <row r="56391" customFormat="false" ht="12.8" hidden="false" customHeight="false" outlineLevel="0" collapsed="false">
      <c r="B56391" s="0" t="s">
        <v>646</v>
      </c>
    </row>
    <row r="56392" customFormat="false" ht="12.8" hidden="false" customHeight="false" outlineLevel="0" collapsed="false">
      <c r="B56392" s="0" t="s">
        <v>648</v>
      </c>
    </row>
    <row r="56393" customFormat="false" ht="12.8" hidden="false" customHeight="false" outlineLevel="0" collapsed="false">
      <c r="B56393" s="0" t="s">
        <v>650</v>
      </c>
    </row>
    <row r="56394" customFormat="false" ht="12.8" hidden="false" customHeight="false" outlineLevel="0" collapsed="false">
      <c r="B56394" s="0" t="s">
        <v>652</v>
      </c>
    </row>
    <row r="56396" customFormat="false" ht="12.8" hidden="false" customHeight="false" outlineLevel="0" collapsed="false">
      <c r="A56396" s="0" t="s">
        <v>19315</v>
      </c>
      <c r="B56396" s="0" t="str">
        <f aca="false">HYPERLINK("https://lindat.mff.cuni.cz/services/teitok/pdtc10/index.php?action=vallex&amp;frame=v-w7978f1", "vyjasnit (v-w7978f1)")</f>
        <v>vyjasnit (v-w7978f1)</v>
      </c>
      <c r="E56396" s="0" t="str">
        <f aca="false">HYPERLINK("https://lindat.mff.cuni.cz/services/SynSemClass40/SynSemClass40.html?veclass=vec00450#vec00450-ces-cm00016", "vec00450")</f>
        <v>vec00450</v>
      </c>
      <c r="F56396" s="0" t="s">
        <v>8366</v>
      </c>
    </row>
    <row r="56397" customFormat="false" ht="12.8" hidden="false" customHeight="false" outlineLevel="0" collapsed="false">
      <c r="B56397" s="0" t="s">
        <v>1</v>
      </c>
      <c r="C56397" s="0" t="s">
        <v>8367</v>
      </c>
      <c r="E56397" s="0" t="s">
        <v>63</v>
      </c>
      <c r="F56397" s="0" t="s">
        <v>8368</v>
      </c>
    </row>
    <row r="56398" customFormat="false" ht="12.8" hidden="false" customHeight="false" outlineLevel="0" collapsed="false">
      <c r="B56398" s="0" t="s">
        <v>3028</v>
      </c>
      <c r="C56398" s="0" t="s">
        <v>8369</v>
      </c>
      <c r="E56398" s="0" t="s">
        <v>230</v>
      </c>
      <c r="F56398" s="0" t="s">
        <v>8370</v>
      </c>
    </row>
    <row r="56399" customFormat="false" ht="12.8" hidden="false" customHeight="false" outlineLevel="0" collapsed="false">
      <c r="B56399" s="0" t="s">
        <v>52</v>
      </c>
      <c r="C56399" s="0" t="s">
        <v>3733</v>
      </c>
      <c r="E56399" s="0" t="s">
        <v>221</v>
      </c>
      <c r="F56399" s="0" t="s">
        <v>8371</v>
      </c>
    </row>
    <row r="56401" customFormat="false" ht="12.8" hidden="false" customHeight="false" outlineLevel="0" collapsed="false">
      <c r="A56401" s="0" t="s">
        <v>19316</v>
      </c>
      <c r="B56401" s="0" t="str">
        <f aca="false">HYPERLINK("https://lindat.mff.cuni.cz/services/teitok/pdtc10/index.php?action=vallex&amp;frame=v-w11351f1", "vyjasňovat (v-w11351f1)")</f>
        <v>vyjasňovat (v-w11351f1)</v>
      </c>
      <c r="E56401" s="0" t="str">
        <f aca="false">HYPERLINK("https://lindat.mff.cuni.cz/services/SynSemClass40/SynSemClass40.html?veclass=vec00450#vec00450-ces-cm00029", "vec00450")</f>
        <v>vec00450</v>
      </c>
      <c r="F56401" s="0" t="s">
        <v>8366</v>
      </c>
    </row>
    <row r="56402" customFormat="false" ht="12.8" hidden="false" customHeight="false" outlineLevel="0" collapsed="false">
      <c r="B56402" s="0" t="s">
        <v>1</v>
      </c>
      <c r="C56402" s="0" t="s">
        <v>8367</v>
      </c>
      <c r="E56402" s="0" t="s">
        <v>63</v>
      </c>
      <c r="F56402" s="0" t="s">
        <v>8368</v>
      </c>
    </row>
    <row r="56403" customFormat="false" ht="12.8" hidden="false" customHeight="false" outlineLevel="0" collapsed="false">
      <c r="B56403" s="0" t="s">
        <v>3028</v>
      </c>
      <c r="C56403" s="0" t="s">
        <v>8369</v>
      </c>
      <c r="E56403" s="0" t="s">
        <v>230</v>
      </c>
      <c r="F56403" s="0" t="s">
        <v>8370</v>
      </c>
    </row>
    <row r="56404" customFormat="false" ht="12.8" hidden="false" customHeight="false" outlineLevel="0" collapsed="false">
      <c r="B56404" s="0" t="s">
        <v>52</v>
      </c>
      <c r="C56404" s="0" t="s">
        <v>3733</v>
      </c>
      <c r="E56404" s="0" t="s">
        <v>221</v>
      </c>
      <c r="F56404" s="0" t="s">
        <v>8371</v>
      </c>
    </row>
    <row r="56406" customFormat="false" ht="12.8" hidden="false" customHeight="false" outlineLevel="0" collapsed="false">
      <c r="A56406" s="0" t="s">
        <v>19317</v>
      </c>
      <c r="B56406" s="0" t="str">
        <f aca="false">HYPERLINK("https://lindat.mff.cuni.cz/services/teitok/pdtc10/index.php?action=vallex&amp;frame=v-w7980f1", "vyjasňovat se (v-w7980f1)")</f>
        <v>vyjasňovat se (v-w7980f1)</v>
      </c>
    </row>
    <row r="56407" customFormat="false" ht="12.8" hidden="false" customHeight="false" outlineLevel="0" collapsed="false">
      <c r="B56407" s="0" t="s">
        <v>1</v>
      </c>
    </row>
    <row r="56409" customFormat="false" ht="12.8" hidden="false" customHeight="false" outlineLevel="0" collapsed="false">
      <c r="A56409" s="0" t="s">
        <v>19318</v>
      </c>
      <c r="B56409" s="0" t="str">
        <f aca="false">HYPERLINK("https://lindat.mff.cuni.cz/services/teitok/pdtc10/index.php?action=vallex&amp;frame=v-w7980f3", "vyjasňovat se (v-w7980f3)")</f>
        <v>vyjasňovat se (v-w7980f3)</v>
      </c>
    </row>
    <row r="56411" customFormat="false" ht="12.8" hidden="false" customHeight="false" outlineLevel="0" collapsed="false">
      <c r="A56411" s="0" t="s">
        <v>19319</v>
      </c>
      <c r="B56411" s="0" t="str">
        <f aca="false">HYPERLINK("https://lindat.mff.cuni.cz/services/teitok/pdtc10/index.php?action=vallex&amp;frame=v-w7981f1", "vyjednat (v-w7981f1)")</f>
        <v>vyjednat (v-w7981f1)</v>
      </c>
      <c r="E56411" s="0" t="str">
        <f aca="false">HYPERLINK("https://lindat.mff.cuni.cz/services/SynSemClass40/SynSemClass40.html?veclass=vec00162#vec00162-ces-cm00020", "vec00162")</f>
        <v>vec00162</v>
      </c>
      <c r="F56411" s="0" t="s">
        <v>1109</v>
      </c>
    </row>
    <row r="56412" customFormat="false" ht="12.8" hidden="false" customHeight="false" outlineLevel="0" collapsed="false">
      <c r="B56412" s="0" t="s">
        <v>1</v>
      </c>
      <c r="C56412" s="0" t="s">
        <v>2240</v>
      </c>
      <c r="E56412" s="0" t="s">
        <v>2241</v>
      </c>
      <c r="F56412" s="0" t="s">
        <v>2242</v>
      </c>
    </row>
    <row r="56413" customFormat="false" ht="12.8" hidden="false" customHeight="false" outlineLevel="0" collapsed="false">
      <c r="B56413" s="0" t="s">
        <v>228</v>
      </c>
      <c r="C56413" s="0" t="s">
        <v>2244</v>
      </c>
      <c r="E56413" s="0" t="s">
        <v>209</v>
      </c>
      <c r="F56413" s="0" t="s">
        <v>2245</v>
      </c>
    </row>
    <row r="56414" customFormat="false" ht="12.8" hidden="false" customHeight="false" outlineLevel="0" collapsed="false">
      <c r="B56414" s="0" t="s">
        <v>276</v>
      </c>
      <c r="C56414" s="0" t="s">
        <v>2246</v>
      </c>
      <c r="E56414" s="0" t="s">
        <v>2247</v>
      </c>
      <c r="F56414" s="0" t="s">
        <v>2248</v>
      </c>
    </row>
    <row r="56416" customFormat="false" ht="12.8" hidden="false" customHeight="false" outlineLevel="0" collapsed="false">
      <c r="A56416" s="0" t="s">
        <v>19320</v>
      </c>
      <c r="B56416" s="0" t="str">
        <f aca="false">HYPERLINK("https://lindat.mff.cuni.cz/services/teitok/pdtc10/index.php?action=vallex&amp;frame=v-w7983f2", "vyjednávat (v-w7983f2)")</f>
        <v>vyjednávat (v-w7983f2)</v>
      </c>
      <c r="E56416" s="0" t="str">
        <f aca="false">HYPERLINK("https://lindat.mff.cuni.cz/services/SynSemClass40/SynSemClass40.html?veclass=vec00162#vec00162-ces-cm00021", "vec00162")</f>
        <v>vec00162</v>
      </c>
      <c r="F56416" s="0" t="s">
        <v>1109</v>
      </c>
    </row>
    <row r="56417" customFormat="false" ht="12.8" hidden="false" customHeight="false" outlineLevel="0" collapsed="false">
      <c r="B56417" s="0" t="s">
        <v>1</v>
      </c>
      <c r="C56417" s="0" t="s">
        <v>2240</v>
      </c>
      <c r="E56417" s="0" t="s">
        <v>2241</v>
      </c>
      <c r="F56417" s="0" t="s">
        <v>2242</v>
      </c>
    </row>
    <row r="56418" customFormat="false" ht="12.8" hidden="false" customHeight="false" outlineLevel="0" collapsed="false">
      <c r="B56418" s="0" t="s">
        <v>228</v>
      </c>
      <c r="C56418" s="0" t="s">
        <v>2244</v>
      </c>
      <c r="E56418" s="0" t="s">
        <v>209</v>
      </c>
      <c r="F56418" s="0" t="s">
        <v>2245</v>
      </c>
    </row>
    <row r="56419" customFormat="false" ht="12.8" hidden="false" customHeight="false" outlineLevel="0" collapsed="false">
      <c r="B56419" s="0" t="s">
        <v>276</v>
      </c>
      <c r="C56419" s="0" t="s">
        <v>2246</v>
      </c>
      <c r="E56419" s="0" t="s">
        <v>2247</v>
      </c>
      <c r="F56419" s="0" t="s">
        <v>2248</v>
      </c>
    </row>
    <row r="56421" customFormat="false" ht="12.8" hidden="false" customHeight="false" outlineLevel="0" collapsed="false">
      <c r="A56421" s="0" t="s">
        <v>19321</v>
      </c>
      <c r="B56421" s="0" t="str">
        <f aca="false">HYPERLINK("https://lindat.mff.cuni.cz/services/teitok/pdtc10/index.php?action=vallex&amp;frame=v-w7983f1", "vyjednávat (v-w7983f1)")</f>
        <v>vyjednávat (v-w7983f1)</v>
      </c>
      <c r="E56421" s="0" t="str">
        <f aca="false">HYPERLINK("https://lindat.mff.cuni.cz/services/SynSemClass40/SynSemClass40.html?veclass=vec00162#vec00162-ces-cm00001", "vec00162")</f>
        <v>vec00162</v>
      </c>
      <c r="F56421" s="0" t="s">
        <v>1109</v>
      </c>
    </row>
    <row r="56422" customFormat="false" ht="12.8" hidden="false" customHeight="false" outlineLevel="0" collapsed="false">
      <c r="B56422" s="0" t="s">
        <v>1</v>
      </c>
      <c r="C56422" s="0" t="s">
        <v>2240</v>
      </c>
      <c r="E56422" s="0" t="s">
        <v>2241</v>
      </c>
      <c r="F56422" s="0" t="s">
        <v>2242</v>
      </c>
    </row>
    <row r="56423" customFormat="false" ht="12.8" hidden="false" customHeight="false" outlineLevel="0" collapsed="false">
      <c r="B56423" s="0" t="s">
        <v>19322</v>
      </c>
      <c r="C56423" s="0" t="s">
        <v>2244</v>
      </c>
      <c r="E56423" s="0" t="s">
        <v>209</v>
      </c>
      <c r="F56423" s="0" t="s">
        <v>2245</v>
      </c>
    </row>
    <row r="56424" customFormat="false" ht="12.8" hidden="false" customHeight="false" outlineLevel="0" collapsed="false">
      <c r="B56424" s="0" t="s">
        <v>276</v>
      </c>
      <c r="C56424" s="0" t="s">
        <v>2246</v>
      </c>
      <c r="E56424" s="0" t="s">
        <v>2247</v>
      </c>
      <c r="F56424" s="0" t="s">
        <v>2248</v>
      </c>
    </row>
    <row r="56426" customFormat="false" ht="12.8" hidden="false" customHeight="false" outlineLevel="0" collapsed="false">
      <c r="A56426" s="0" t="s">
        <v>19323</v>
      </c>
      <c r="B56426" s="0" t="str">
        <f aca="false">HYPERLINK("https://lindat.mff.cuni.cz/services/teitok/pdtc10/index.php?action=vallex&amp;frame=v-w7984f1", "vyjet (v-w7984f1)")</f>
        <v>vyjet (v-w7984f1)</v>
      </c>
    </row>
    <row r="56427" customFormat="false" ht="12.8" hidden="false" customHeight="false" outlineLevel="0" collapsed="false">
      <c r="B56427" s="0" t="s">
        <v>1</v>
      </c>
    </row>
    <row r="56428" customFormat="false" ht="12.8" hidden="false" customHeight="false" outlineLevel="0" collapsed="false">
      <c r="B56428" s="0" t="s">
        <v>631</v>
      </c>
    </row>
    <row r="56430" customFormat="false" ht="12.8" hidden="false" customHeight="false" outlineLevel="0" collapsed="false">
      <c r="A56430" s="0" t="s">
        <v>19324</v>
      </c>
      <c r="B56430" s="0" t="str">
        <f aca="false">HYPERLINK("https://lindat.mff.cuni.cz/services/teitok/pdtc10/index.php?action=vallex&amp;frame=v-w7984f2", "vyjet (v-w7984f2)")</f>
        <v>vyjet (v-w7984f2)</v>
      </c>
    </row>
    <row r="56431" customFormat="false" ht="12.8" hidden="false" customHeight="false" outlineLevel="0" collapsed="false">
      <c r="B56431" s="0" t="s">
        <v>1</v>
      </c>
    </row>
    <row r="56432" customFormat="false" ht="12.8" hidden="false" customHeight="false" outlineLevel="0" collapsed="false">
      <c r="B56432" s="0" t="s">
        <v>164</v>
      </c>
    </row>
    <row r="56434" customFormat="false" ht="12.8" hidden="false" customHeight="false" outlineLevel="0" collapsed="false">
      <c r="A56434" s="0" t="s">
        <v>19325</v>
      </c>
      <c r="B56434" s="0" t="str">
        <f aca="false">HYPERLINK("https://lindat.mff.cuni.cz/services/teitok/pdtc10/index.php?action=vallex&amp;frame=v-w7984f3_ZU", "vyjet (v-w7984f3_ZU)")</f>
        <v>vyjet (v-w7984f3_ZU)</v>
      </c>
    </row>
    <row r="56435" customFormat="false" ht="12.8" hidden="false" customHeight="false" outlineLevel="0" collapsed="false">
      <c r="B56435" s="0" t="s">
        <v>1</v>
      </c>
    </row>
    <row r="56436" customFormat="false" ht="12.8" hidden="false" customHeight="false" outlineLevel="0" collapsed="false">
      <c r="B56436" s="0" t="s">
        <v>45</v>
      </c>
    </row>
    <row r="56438" customFormat="false" ht="12.8" hidden="false" customHeight="false" outlineLevel="0" collapsed="false">
      <c r="A56438" s="0" t="s">
        <v>19326</v>
      </c>
      <c r="B56438" s="0" t="str">
        <f aca="false">HYPERLINK("https://lindat.mff.cuni.cz/services/teitok/pdtc10/index.php?action=vallex&amp;frame=v-w7984hsa_237", "vyjet (v-w7984hsa_237)")</f>
        <v>vyjet (v-w7984hsa_237)</v>
      </c>
    </row>
    <row r="56439" customFormat="false" ht="12.8" hidden="false" customHeight="false" outlineLevel="0" collapsed="false">
      <c r="B56439" s="0" t="s">
        <v>1</v>
      </c>
    </row>
    <row r="56440" customFormat="false" ht="12.8" hidden="false" customHeight="false" outlineLevel="0" collapsed="false">
      <c r="B56440" s="0" t="s">
        <v>8</v>
      </c>
    </row>
    <row r="56442" customFormat="false" ht="12.8" hidden="false" customHeight="false" outlineLevel="0" collapsed="false">
      <c r="A56442" s="0" t="s">
        <v>19327</v>
      </c>
      <c r="B56442" s="0" t="str">
        <f aca="false">HYPERLINK("https://lindat.mff.cuni.cz/services/teitok/pdtc10/index.php?action=vallex&amp;frame=v-w7984hsa_238", "vyjet (v-w7984hsa_238)")</f>
        <v>vyjet (v-w7984hsa_238)</v>
      </c>
    </row>
    <row r="56443" customFormat="false" ht="12.8" hidden="false" customHeight="false" outlineLevel="0" collapsed="false">
      <c r="B56443" s="0" t="s">
        <v>1</v>
      </c>
    </row>
    <row r="56444" customFormat="false" ht="12.8" hidden="false" customHeight="false" outlineLevel="0" collapsed="false">
      <c r="B56444" s="0" t="s">
        <v>631</v>
      </c>
    </row>
    <row r="56446" customFormat="false" ht="12.8" hidden="false" customHeight="false" outlineLevel="0" collapsed="false">
      <c r="A56446" s="0" t="s">
        <v>19328</v>
      </c>
      <c r="B56446" s="0" t="str">
        <f aca="false">HYPERLINK("https://lindat.mff.cuni.cz/services/teitok/pdtc10/index.php?action=vallex&amp;frame=v-w7985f1", "vyjet si (v-w7985f1)")</f>
        <v>vyjet si (v-w7985f1)</v>
      </c>
    </row>
    <row r="56447" customFormat="false" ht="12.8" hidden="false" customHeight="false" outlineLevel="0" collapsed="false">
      <c r="B56447" s="0" t="s">
        <v>1</v>
      </c>
    </row>
    <row r="56448" customFormat="false" ht="12.8" hidden="false" customHeight="false" outlineLevel="0" collapsed="false">
      <c r="B56448" s="0" t="s">
        <v>164</v>
      </c>
    </row>
    <row r="56450" customFormat="false" ht="12.8" hidden="false" customHeight="false" outlineLevel="0" collapsed="false">
      <c r="A56450" s="0" t="s">
        <v>19329</v>
      </c>
      <c r="B56450" s="0" t="str">
        <f aca="false">HYPERLINK("https://lindat.mff.cuni.cz/services/teitok/pdtc10/index.php?action=vallex&amp;frame=v-w7986f1", "vyjevit (v-w7986f1)")</f>
        <v>vyjevit (v-w7986f1)</v>
      </c>
    </row>
    <row r="56451" customFormat="false" ht="12.8" hidden="false" customHeight="false" outlineLevel="0" collapsed="false">
      <c r="B56451" s="0" t="s">
        <v>1</v>
      </c>
    </row>
    <row r="56452" customFormat="false" ht="12.8" hidden="false" customHeight="false" outlineLevel="0" collapsed="false">
      <c r="B56452" s="0" t="s">
        <v>52</v>
      </c>
    </row>
    <row r="56453" customFormat="false" ht="12.8" hidden="false" customHeight="false" outlineLevel="0" collapsed="false">
      <c r="B56453" s="0" t="s">
        <v>19330</v>
      </c>
    </row>
    <row r="56454" customFormat="false" ht="12.8" hidden="false" customHeight="false" outlineLevel="0" collapsed="false">
      <c r="B56454" s="0" t="s">
        <v>12920</v>
      </c>
    </row>
    <row r="56456" customFormat="false" ht="12.8" hidden="false" customHeight="false" outlineLevel="0" collapsed="false">
      <c r="A56456" s="0" t="s">
        <v>19331</v>
      </c>
      <c r="B56456" s="0" t="str">
        <f aca="false">HYPERLINK("https://lindat.mff.cuni.cz/services/teitok/pdtc10/index.php?action=vallex&amp;frame=v-w11284f1", "vyjevit se (v-w11284f1)")</f>
        <v>vyjevit se (v-w11284f1)</v>
      </c>
    </row>
    <row r="56457" customFormat="false" ht="12.8" hidden="false" customHeight="false" outlineLevel="0" collapsed="false">
      <c r="B56457" s="0" t="s">
        <v>843</v>
      </c>
    </row>
    <row r="56458" customFormat="false" ht="12.8" hidden="false" customHeight="false" outlineLevel="0" collapsed="false">
      <c r="B56458" s="0" t="s">
        <v>19332</v>
      </c>
    </row>
    <row r="56460" customFormat="false" ht="12.8" hidden="false" customHeight="false" outlineLevel="0" collapsed="false">
      <c r="A56460" s="0" t="s">
        <v>19333</v>
      </c>
      <c r="B56460" s="0" t="str">
        <f aca="false">HYPERLINK("https://lindat.mff.cuni.cz/services/teitok/pdtc10/index.php?action=vallex&amp;frame=v-w11284f2_ZU", "vyjevit se (v-w11284f2_ZU)")</f>
        <v>vyjevit se (v-w11284f2_ZU)</v>
      </c>
      <c r="E56460" s="0" t="str">
        <f aca="false">HYPERLINK("https://lindat.mff.cuni.cz/services/SynSemClass40/SynSemClass40.html?veclass=vec00086#vec00086-ces-cm00098", "vec00086")</f>
        <v>vec00086</v>
      </c>
      <c r="F56460" s="0" t="s">
        <v>12400</v>
      </c>
    </row>
    <row r="56461" customFormat="false" ht="12.8" hidden="false" customHeight="false" outlineLevel="0" collapsed="false">
      <c r="B56461" s="0" t="s">
        <v>1</v>
      </c>
      <c r="C56461" s="0" t="s">
        <v>2157</v>
      </c>
      <c r="E56461" s="0" t="s">
        <v>4943</v>
      </c>
      <c r="F56461" s="0" t="s">
        <v>5999</v>
      </c>
    </row>
    <row r="56463" customFormat="false" ht="12.8" hidden="false" customHeight="false" outlineLevel="0" collapsed="false">
      <c r="A56463" s="0" t="s">
        <v>19334</v>
      </c>
      <c r="B56463" s="0" t="str">
        <f aca="false">HYPERLINK("https://lindat.mff.cuni.cz/services/teitok/pdtc10/index.php?action=vallex&amp;frame=v-whsa_2009hsa_2010", "vyjezdit se (v-whsa_2009hsa_2010)")</f>
        <v>vyjezdit se (v-whsa_2009hsa_2010)</v>
      </c>
    </row>
    <row r="56464" customFormat="false" ht="12.8" hidden="false" customHeight="false" outlineLevel="0" collapsed="false">
      <c r="B56464" s="0" t="s">
        <v>1</v>
      </c>
    </row>
    <row r="56466" customFormat="false" ht="12.8" hidden="false" customHeight="false" outlineLevel="0" collapsed="false">
      <c r="A56466" s="0" t="s">
        <v>19335</v>
      </c>
      <c r="B56466" s="0" t="str">
        <f aca="false">HYPERLINK("https://lindat.mff.cuni.cz/services/teitok/pdtc10/index.php?action=vallex&amp;frame=v-w7997f1", "vyjmenovat (v-w7997f1)")</f>
        <v>vyjmenovat (v-w7997f1)</v>
      </c>
      <c r="E56466" s="0" t="str">
        <f aca="false">HYPERLINK("https://lindat.mff.cuni.cz/services/SynSemClass40/SynSemClass40.html?veclass=vec01029#vec01029-ces-cm00090", "vec01029")</f>
        <v>vec01029</v>
      </c>
      <c r="F56466" s="0" t="s">
        <v>4994</v>
      </c>
    </row>
    <row r="56467" customFormat="false" ht="12.8" hidden="false" customHeight="false" outlineLevel="0" collapsed="false">
      <c r="B56467" s="0" t="s">
        <v>1</v>
      </c>
      <c r="C56467" s="0" t="s">
        <v>4995</v>
      </c>
      <c r="E56467" s="0" t="s">
        <v>63</v>
      </c>
      <c r="F56467" s="0" t="s">
        <v>4996</v>
      </c>
    </row>
    <row r="56468" customFormat="false" ht="12.8" hidden="false" customHeight="false" outlineLevel="0" collapsed="false">
      <c r="B56468" s="0" t="s">
        <v>305</v>
      </c>
      <c r="C56468" s="0" t="s">
        <v>4997</v>
      </c>
      <c r="E56468" s="0" t="s">
        <v>34</v>
      </c>
      <c r="F56468" s="0" t="s">
        <v>4998</v>
      </c>
    </row>
    <row r="56469" customFormat="false" ht="12.8" hidden="false" customHeight="false" outlineLevel="0" collapsed="false">
      <c r="B56469" s="0" t="s">
        <v>132</v>
      </c>
      <c r="E56469" s="0" t="s">
        <v>221</v>
      </c>
      <c r="F56469" s="0" t="s">
        <v>4699</v>
      </c>
    </row>
    <row r="56471" customFormat="false" ht="12.8" hidden="false" customHeight="false" outlineLevel="0" collapsed="false">
      <c r="A56471" s="0" t="s">
        <v>19336</v>
      </c>
      <c r="B56471" s="0" t="str">
        <f aca="false">HYPERLINK("https://lindat.mff.cuni.cz/services/teitok/pdtc10/index.php?action=vallex&amp;frame=v-w10897f2", "vyjmenovávat (v-w10897f2)")</f>
        <v>vyjmenovávat (v-w10897f2)</v>
      </c>
      <c r="E56471" s="0" t="str">
        <f aca="false">HYPERLINK("https://lindat.mff.cuni.cz/services/SynSemClass40/SynSemClass40.html?veclass=vec01029#vec01029-ces-cm00091", "vec01029")</f>
        <v>vec01029</v>
      </c>
      <c r="F56471" s="0" t="s">
        <v>4994</v>
      </c>
    </row>
    <row r="56472" customFormat="false" ht="12.8" hidden="false" customHeight="false" outlineLevel="0" collapsed="false">
      <c r="B56472" s="0" t="s">
        <v>1</v>
      </c>
      <c r="C56472" s="0" t="s">
        <v>4995</v>
      </c>
      <c r="E56472" s="0" t="s">
        <v>63</v>
      </c>
      <c r="F56472" s="0" t="s">
        <v>4996</v>
      </c>
    </row>
    <row r="56473" customFormat="false" ht="12.8" hidden="false" customHeight="false" outlineLevel="0" collapsed="false">
      <c r="B56473" s="0" t="s">
        <v>305</v>
      </c>
      <c r="C56473" s="0" t="s">
        <v>4997</v>
      </c>
      <c r="E56473" s="0" t="s">
        <v>34</v>
      </c>
      <c r="F56473" s="0" t="s">
        <v>4998</v>
      </c>
    </row>
    <row r="56474" customFormat="false" ht="12.8" hidden="false" customHeight="false" outlineLevel="0" collapsed="false">
      <c r="B56474" s="0" t="s">
        <v>132</v>
      </c>
      <c r="E56474" s="0" t="s">
        <v>221</v>
      </c>
      <c r="F56474" s="0" t="s">
        <v>4699</v>
      </c>
    </row>
    <row r="56476" customFormat="false" ht="12.8" hidden="false" customHeight="false" outlineLevel="0" collapsed="false">
      <c r="A56476" s="0" t="s">
        <v>19337</v>
      </c>
      <c r="B56476" s="0" t="str">
        <f aca="false">HYPERLINK("https://lindat.mff.cuni.cz/services/teitok/pdtc10/index.php?action=vallex&amp;frame=v-w7998f1", "vyjmout (v-w7998f1)")</f>
        <v>vyjmout (v-w7998f1)</v>
      </c>
      <c r="E56476" s="0" t="str">
        <f aca="false">HYPERLINK("https://lindat.mff.cuni.cz/services/SynSemClass40/SynSemClass40.html?veclass=vec01538#vec01538-ces-cm00016", "vec01538")</f>
        <v>vec01538</v>
      </c>
      <c r="F56476" s="0" t="s">
        <v>9675</v>
      </c>
    </row>
    <row r="56477" customFormat="false" ht="12.8" hidden="false" customHeight="false" outlineLevel="0" collapsed="false">
      <c r="B56477" s="0" t="s">
        <v>1</v>
      </c>
      <c r="C56477" s="0" t="s">
        <v>3091</v>
      </c>
      <c r="E56477" s="0" t="s">
        <v>31</v>
      </c>
      <c r="F56477" s="0" t="s">
        <v>3092</v>
      </c>
    </row>
    <row r="56478" customFormat="false" ht="12.8" hidden="false" customHeight="false" outlineLevel="0" collapsed="false">
      <c r="B56478" s="0" t="s">
        <v>8</v>
      </c>
      <c r="C56478" s="0" t="s">
        <v>490</v>
      </c>
      <c r="E56478" s="0" t="s">
        <v>7105</v>
      </c>
      <c r="F56478" s="0" t="s">
        <v>19338</v>
      </c>
    </row>
    <row r="56479" customFormat="false" ht="12.8" hidden="false" customHeight="false" outlineLevel="0" collapsed="false">
      <c r="B56479" s="0" t="s">
        <v>631</v>
      </c>
      <c r="C56479" s="0" t="s">
        <v>19339</v>
      </c>
      <c r="E56479" s="0" t="s">
        <v>19340</v>
      </c>
      <c r="F56479" s="0" t="s">
        <v>19341</v>
      </c>
    </row>
    <row r="56481" customFormat="false" ht="12.8" hidden="false" customHeight="false" outlineLevel="0" collapsed="false">
      <c r="A56481" s="0" t="s">
        <v>19342</v>
      </c>
      <c r="B56481" s="0" t="str">
        <f aca="false">HYPERLINK("https://lindat.mff.cuni.cz/services/teitok/pdtc10/index.php?action=vallex&amp;frame=v-w7998f2", "vyjmout (v-w7998f2)")</f>
        <v>vyjmout (v-w7998f2)</v>
      </c>
      <c r="E56481" s="0" t="str">
        <f aca="false">HYPERLINK("https://lindat.mff.cuni.cz/services/SynSemClass40/SynSemClass40.html?veclass=vec00962#vec00962-ces-cm00033", "vec00962")</f>
        <v>vec00962</v>
      </c>
      <c r="F56481" s="0" t="s">
        <v>9319</v>
      </c>
    </row>
    <row r="56482" customFormat="false" ht="12.8" hidden="false" customHeight="false" outlineLevel="0" collapsed="false">
      <c r="B56482" s="0" t="s">
        <v>1</v>
      </c>
      <c r="C56482" s="0" t="s">
        <v>106</v>
      </c>
      <c r="E56482" s="0" t="s">
        <v>11</v>
      </c>
      <c r="F56482" s="0" t="s">
        <v>9320</v>
      </c>
    </row>
    <row r="56483" customFormat="false" ht="12.8" hidden="false" customHeight="false" outlineLevel="0" collapsed="false">
      <c r="B56483" s="0" t="s">
        <v>8</v>
      </c>
      <c r="C56483" s="0" t="s">
        <v>4392</v>
      </c>
      <c r="E56483" s="0" t="s">
        <v>4094</v>
      </c>
      <c r="F56483" s="0" t="s">
        <v>9321</v>
      </c>
    </row>
    <row r="56484" customFormat="false" ht="12.8" hidden="false" customHeight="false" outlineLevel="0" collapsed="false">
      <c r="B56484" s="0" t="s">
        <v>631</v>
      </c>
      <c r="C56484" s="0" t="s">
        <v>9322</v>
      </c>
      <c r="E56484" s="0" t="s">
        <v>1924</v>
      </c>
      <c r="F56484" s="0" t="s">
        <v>9323</v>
      </c>
    </row>
    <row r="56486" customFormat="false" ht="12.8" hidden="false" customHeight="false" outlineLevel="0" collapsed="false">
      <c r="A56486" s="0" t="s">
        <v>19343</v>
      </c>
      <c r="B56486" s="0" t="str">
        <f aca="false">HYPERLINK("https://lindat.mff.cuni.cz/services/teitok/pdtc10/index.php?action=vallex&amp;frame=v-w7970f2", "vyjádřit (v-w7970f2)")</f>
        <v>vyjádřit (v-w7970f2)</v>
      </c>
      <c r="E56486" s="0" t="str">
        <f aca="false">HYPERLINK("https://lindat.mff.cuni.cz/services/SynSemClass40/SynSemClass40.html?veclass=vec00784#vec00784-ces-cm00007", "vec00784")</f>
        <v>vec00784</v>
      </c>
      <c r="F56486" s="0" t="s">
        <v>4173</v>
      </c>
    </row>
    <row r="56487" customFormat="false" ht="12.8" hidden="false" customHeight="false" outlineLevel="0" collapsed="false">
      <c r="B56487" s="0" t="s">
        <v>1</v>
      </c>
      <c r="C56487" s="0" t="s">
        <v>3375</v>
      </c>
      <c r="E56487" s="0" t="s">
        <v>63</v>
      </c>
      <c r="F56487" s="0" t="s">
        <v>4174</v>
      </c>
    </row>
    <row r="56488" customFormat="false" ht="12.8" hidden="false" customHeight="false" outlineLevel="0" collapsed="false">
      <c r="B56488" s="0" t="s">
        <v>8</v>
      </c>
      <c r="C56488" s="0" t="s">
        <v>1388</v>
      </c>
      <c r="E56488" s="0" t="s">
        <v>50</v>
      </c>
      <c r="F56488" s="0" t="s">
        <v>4175</v>
      </c>
    </row>
    <row r="56490" customFormat="false" ht="12.8" hidden="false" customHeight="false" outlineLevel="0" collapsed="false">
      <c r="A56490" s="0" t="s">
        <v>19344</v>
      </c>
      <c r="B56490" s="0" t="str">
        <f aca="false">HYPERLINK("https://lindat.mff.cuni.cz/services/teitok/pdtc10/index.php?action=vallex&amp;frame=v-w7970hsa_859", "vyjádřit (v-w7970hsa_859)")</f>
        <v>vyjádřit (v-w7970hsa_859)</v>
      </c>
    </row>
    <row r="56491" customFormat="false" ht="12.8" hidden="false" customHeight="false" outlineLevel="0" collapsed="false">
      <c r="B56491" s="0" t="s">
        <v>1</v>
      </c>
    </row>
    <row r="56492" customFormat="false" ht="12.8" hidden="false" customHeight="false" outlineLevel="0" collapsed="false">
      <c r="B56492" s="0" t="s">
        <v>19345</v>
      </c>
    </row>
    <row r="56493" customFormat="false" ht="12.8" hidden="false" customHeight="false" outlineLevel="0" collapsed="false">
      <c r="B56493" s="0" t="s">
        <v>52</v>
      </c>
    </row>
    <row r="56495" customFormat="false" ht="12.8" hidden="false" customHeight="false" outlineLevel="0" collapsed="false">
      <c r="A56495" s="0" t="s">
        <v>19344</v>
      </c>
      <c r="B56495" s="0" t="str">
        <f aca="false">HYPERLINK("https://lindat.mff.cuni.cz/services/teitok/pdtc10/index.php?action=vallex&amp;frame=v-w7970f3", "vyjádřit (v-w7970f3) - substituted with v-w7970hsa_859")</f>
        <v>vyjádřit (v-w7970f3) - substituted with v-w7970hsa_859</v>
      </c>
    </row>
    <row r="56496" customFormat="false" ht="12.8" hidden="false" customHeight="false" outlineLevel="0" collapsed="false">
      <c r="B56496" s="0" t="s">
        <v>1</v>
      </c>
    </row>
    <row r="56497" customFormat="false" ht="12.8" hidden="false" customHeight="false" outlineLevel="0" collapsed="false">
      <c r="B56497" s="0" t="s">
        <v>19345</v>
      </c>
    </row>
    <row r="56498" customFormat="false" ht="12.8" hidden="false" customHeight="false" outlineLevel="0" collapsed="false">
      <c r="B56498" s="0" t="s">
        <v>52</v>
      </c>
    </row>
    <row r="56500" customFormat="false" ht="12.8" hidden="false" customHeight="false" outlineLevel="0" collapsed="false">
      <c r="A56500" s="0" t="s">
        <v>19346</v>
      </c>
      <c r="B56500" s="0" t="str">
        <f aca="false">HYPERLINK("https://lindat.mff.cuni.cz/services/teitok/pdtc10/index.php?action=vallex&amp;frame=v-w7970f9_ZU", "vyjádřit (v-w7970f9_ZU)")</f>
        <v>vyjádřit (v-w7970f9_ZU)</v>
      </c>
      <c r="E56500" s="0" t="str">
        <f aca="false">HYPERLINK("https://lindat.mff.cuni.cz/services/SynSemClass40/SynSemClass40.html?veclass=vec00243#vec00243-ces-cm00016", "vec00243")</f>
        <v>vec00243</v>
      </c>
      <c r="F56500" s="0" t="s">
        <v>816</v>
      </c>
      <c r="H56500" s="0" t="str">
        <f aca="false">HYPERLINK("https://lindat.mff.cuni.cz/services/SynSemClass40/SynSemClass40.html?veclass=vec00391#vec00391-ces-cm00020", "vec00391")</f>
        <v>vec00391</v>
      </c>
      <c r="I56500" s="0" t="s">
        <v>7472</v>
      </c>
      <c r="K56500" s="0" t="str">
        <f aca="false">HYPERLINK("https://lindat.mff.cuni.cz/services/SynSemClass40/SynSemClass40.html?veclass=vec00535#vec00535-ces-cm00009", "vec00535")</f>
        <v>vec00535</v>
      </c>
      <c r="L56500" s="0" t="s">
        <v>17353</v>
      </c>
      <c r="N56500" s="0" t="str">
        <f aca="false">HYPERLINK("https://lindat.mff.cuni.cz/services/SynSemClass40/SynSemClass40.html?veclass=vec01199#vec01199-ces-cm00002", "vec01199")</f>
        <v>vec01199</v>
      </c>
      <c r="O56500" s="0" t="s">
        <v>19347</v>
      </c>
    </row>
    <row r="56501" customFormat="false" ht="12.8" hidden="false" customHeight="false" outlineLevel="0" collapsed="false">
      <c r="B56501" s="0" t="s">
        <v>1</v>
      </c>
      <c r="C56501" s="0" t="s">
        <v>19348</v>
      </c>
      <c r="E56501" s="0" t="s">
        <v>155</v>
      </c>
      <c r="F56501" s="0" t="s">
        <v>818</v>
      </c>
      <c r="H56501" s="0" t="s">
        <v>621</v>
      </c>
      <c r="I56501" s="0" t="s">
        <v>7474</v>
      </c>
      <c r="K56501" s="0" t="s">
        <v>63</v>
      </c>
      <c r="L56501" s="0" t="s">
        <v>8911</v>
      </c>
      <c r="N56501" s="0" t="s">
        <v>637</v>
      </c>
      <c r="O56501" s="0" t="s">
        <v>19349</v>
      </c>
    </row>
    <row r="56502" customFormat="false" ht="12.8" hidden="false" customHeight="false" outlineLevel="0" collapsed="false">
      <c r="B56502" s="0" t="s">
        <v>19350</v>
      </c>
      <c r="C56502" s="0" t="s">
        <v>19351</v>
      </c>
      <c r="E56502" s="0" t="s">
        <v>19352</v>
      </c>
      <c r="F56502" s="0" t="s">
        <v>19353</v>
      </c>
      <c r="H56502" s="0" t="s">
        <v>3697</v>
      </c>
      <c r="I56502" s="0" t="s">
        <v>19309</v>
      </c>
      <c r="K56502" s="0" t="s">
        <v>19354</v>
      </c>
      <c r="L56502" s="0" t="s">
        <v>19355</v>
      </c>
      <c r="N56502" s="0" t="s">
        <v>19356</v>
      </c>
      <c r="O56502" s="0" t="s">
        <v>19357</v>
      </c>
    </row>
    <row r="56504" customFormat="false" ht="12.8" hidden="false" customHeight="false" outlineLevel="0" collapsed="false">
      <c r="A56504" s="0" t="s">
        <v>19346</v>
      </c>
      <c r="B56504" s="0" t="str">
        <f aca="false">HYPERLINK("https://lindat.mff.cuni.cz/services/teitok/pdtc10/index.php?action=vallex&amp;frame=v-w7970f1", "vyjádřit (v-w7970f1) - substituted with v-w7970f9_ZU")</f>
        <v>vyjádřit (v-w7970f1) - substituted with v-w7970f9_ZU</v>
      </c>
    </row>
    <row r="56505" customFormat="false" ht="12.8" hidden="false" customHeight="false" outlineLevel="0" collapsed="false">
      <c r="B56505" s="0" t="s">
        <v>1</v>
      </c>
    </row>
    <row r="56506" customFormat="false" ht="12.8" hidden="false" customHeight="false" outlineLevel="0" collapsed="false">
      <c r="B56506" s="0" t="s">
        <v>19350</v>
      </c>
    </row>
    <row r="56508" customFormat="false" ht="12.8" hidden="false" customHeight="false" outlineLevel="0" collapsed="false">
      <c r="A56508" s="0" t="s">
        <v>19346</v>
      </c>
      <c r="B56508" s="0" t="str">
        <f aca="false">HYPERLINK("https://lindat.mff.cuni.cz/services/teitok/pdtc10/index.php?action=vallex&amp;frame=v-w7970f4_ZU", "vyjádřit (v-w7970f4_ZU) - substituted with v-w7970f9_ZU")</f>
        <v>vyjádřit (v-w7970f4_ZU) - substituted with v-w7970f9_ZU</v>
      </c>
    </row>
    <row r="56509" customFormat="false" ht="12.8" hidden="false" customHeight="false" outlineLevel="0" collapsed="false">
      <c r="B56509" s="0" t="s">
        <v>1</v>
      </c>
    </row>
    <row r="56510" customFormat="false" ht="12.8" hidden="false" customHeight="false" outlineLevel="0" collapsed="false">
      <c r="B56510" s="0" t="s">
        <v>19350</v>
      </c>
    </row>
    <row r="56512" customFormat="false" ht="12.8" hidden="false" customHeight="false" outlineLevel="0" collapsed="false">
      <c r="A56512" s="0" t="s">
        <v>19346</v>
      </c>
      <c r="B56512" s="0" t="str">
        <f aca="false">HYPERLINK("https://lindat.mff.cuni.cz/services/teitok/pdtc10/index.php?action=vallex&amp;frame=v-w7970f5_ZU", "vyjádřit (v-w7970f5_ZU) - substituted with v-w7970f9_ZU")</f>
        <v>vyjádřit (v-w7970f5_ZU) - substituted with v-w7970f9_ZU</v>
      </c>
    </row>
    <row r="56513" customFormat="false" ht="12.8" hidden="false" customHeight="false" outlineLevel="0" collapsed="false">
      <c r="B56513" s="0" t="s">
        <v>1</v>
      </c>
    </row>
    <row r="56514" customFormat="false" ht="12.8" hidden="false" customHeight="false" outlineLevel="0" collapsed="false">
      <c r="B56514" s="0" t="s">
        <v>19350</v>
      </c>
    </row>
    <row r="56516" customFormat="false" ht="12.8" hidden="false" customHeight="false" outlineLevel="0" collapsed="false">
      <c r="A56516" s="0" t="s">
        <v>19346</v>
      </c>
      <c r="B56516" s="0" t="str">
        <f aca="false">HYPERLINK("https://lindat.mff.cuni.cz/services/teitok/pdtc10/index.php?action=vallex&amp;frame=v-w7970f6_ZU", "vyjádřit (v-w7970f6_ZU) - substituted with v-w7970f9_ZU")</f>
        <v>vyjádřit (v-w7970f6_ZU) - substituted with v-w7970f9_ZU</v>
      </c>
    </row>
    <row r="56517" customFormat="false" ht="12.8" hidden="false" customHeight="false" outlineLevel="0" collapsed="false">
      <c r="B56517" s="0" t="s">
        <v>1</v>
      </c>
    </row>
    <row r="56518" customFormat="false" ht="12.8" hidden="false" customHeight="false" outlineLevel="0" collapsed="false">
      <c r="B56518" s="0" t="s">
        <v>19350</v>
      </c>
    </row>
    <row r="56520" customFormat="false" ht="12.8" hidden="false" customHeight="false" outlineLevel="0" collapsed="false">
      <c r="A56520" s="0" t="s">
        <v>19346</v>
      </c>
      <c r="B56520" s="0" t="str">
        <f aca="false">HYPERLINK("https://lindat.mff.cuni.cz/services/teitok/pdtc10/index.php?action=vallex&amp;frame=v-w7970f7_ZU", "vyjádřit (v-w7970f7_ZU) - substituted with v-w7970f9_ZU")</f>
        <v>vyjádřit (v-w7970f7_ZU) - substituted with v-w7970f9_ZU</v>
      </c>
    </row>
    <row r="56521" customFormat="false" ht="12.8" hidden="false" customHeight="false" outlineLevel="0" collapsed="false">
      <c r="B56521" s="0" t="s">
        <v>1</v>
      </c>
    </row>
    <row r="56522" customFormat="false" ht="12.8" hidden="false" customHeight="false" outlineLevel="0" collapsed="false">
      <c r="B56522" s="0" t="s">
        <v>19350</v>
      </c>
    </row>
    <row r="56524" customFormat="false" ht="12.8" hidden="false" customHeight="false" outlineLevel="0" collapsed="false">
      <c r="A56524" s="0" t="s">
        <v>19346</v>
      </c>
      <c r="B56524" s="0" t="str">
        <f aca="false">HYPERLINK("https://lindat.mff.cuni.cz/services/teitok/pdtc10/index.php?action=vallex&amp;frame=v-w7970f8_ZU", "vyjádřit (v-w7970f8_ZU) - substituted with v-w7970f9_ZU")</f>
        <v>vyjádřit (v-w7970f8_ZU) - substituted with v-w7970f9_ZU</v>
      </c>
    </row>
    <row r="56525" customFormat="false" ht="12.8" hidden="false" customHeight="false" outlineLevel="0" collapsed="false">
      <c r="B56525" s="0" t="s">
        <v>1</v>
      </c>
    </row>
    <row r="56526" customFormat="false" ht="12.8" hidden="false" customHeight="false" outlineLevel="0" collapsed="false">
      <c r="B56526" s="0" t="s">
        <v>19350</v>
      </c>
    </row>
    <row r="56528" customFormat="false" ht="12.8" hidden="false" customHeight="false" outlineLevel="0" collapsed="false">
      <c r="A56528" s="0" t="s">
        <v>19346</v>
      </c>
      <c r="B56528" s="0" t="str">
        <f aca="false">HYPERLINK("https://lindat.mff.cuni.cz/services/teitok/pdtc10/index.php?action=vallex&amp;frame=v-w7970hsa_860", "vyjádřit (v-w7970hsa_860) - substituted with v-w7970f9_ZU")</f>
        <v>vyjádřit (v-w7970hsa_860) - substituted with v-w7970f9_ZU</v>
      </c>
    </row>
    <row r="56529" customFormat="false" ht="12.8" hidden="false" customHeight="false" outlineLevel="0" collapsed="false">
      <c r="B56529" s="0" t="s">
        <v>1</v>
      </c>
    </row>
    <row r="56530" customFormat="false" ht="12.8" hidden="false" customHeight="false" outlineLevel="0" collapsed="false">
      <c r="B56530" s="0" t="s">
        <v>19350</v>
      </c>
    </row>
    <row r="56532" customFormat="false" ht="12.8" hidden="false" customHeight="false" outlineLevel="0" collapsed="false">
      <c r="A56532" s="0" t="s">
        <v>19358</v>
      </c>
      <c r="B56532" s="0" t="str">
        <f aca="false">HYPERLINK("https://lindat.mff.cuni.cz/services/teitok/pdtc10/index.php?action=vallex&amp;frame=v-w7971f1", "vyjádřit se (v-w7971f1)")</f>
        <v>vyjádřit se (v-w7971f1)</v>
      </c>
      <c r="E56532" s="0" t="str">
        <f aca="false">HYPERLINK("https://lindat.mff.cuni.cz/services/SynSemClass40/SynSemClass40.html?veclass=vec00161#vec00161-ces-cm00001", "vec00161")</f>
        <v>vec00161</v>
      </c>
      <c r="F56532" s="0" t="s">
        <v>5448</v>
      </c>
    </row>
    <row r="56533" customFormat="false" ht="12.8" hidden="false" customHeight="false" outlineLevel="0" collapsed="false">
      <c r="B56533" s="0" t="s">
        <v>1</v>
      </c>
      <c r="C56533" s="0" t="s">
        <v>5449</v>
      </c>
      <c r="E56533" s="0" t="s">
        <v>63</v>
      </c>
      <c r="F56533" s="0" t="s">
        <v>5450</v>
      </c>
    </row>
    <row r="56534" customFormat="false" ht="12.8" hidden="false" customHeight="false" outlineLevel="0" collapsed="false">
      <c r="B56534" s="0" t="s">
        <v>19359</v>
      </c>
      <c r="C56534" s="0" t="s">
        <v>5452</v>
      </c>
      <c r="E56534" s="0" t="s">
        <v>209</v>
      </c>
      <c r="F56534" s="0" t="s">
        <v>5453</v>
      </c>
    </row>
    <row r="56536" customFormat="false" ht="12.8" hidden="false" customHeight="false" outlineLevel="0" collapsed="false">
      <c r="A56536" s="0" t="s">
        <v>19360</v>
      </c>
      <c r="B56536" s="0" t="str">
        <f aca="false">HYPERLINK("https://lindat.mff.cuni.cz/services/teitok/pdtc10/index.php?action=vallex&amp;frame=v-w7971f3", "vyjádřit se (v-w7971f3)")</f>
        <v>vyjádřit se (v-w7971f3)</v>
      </c>
      <c r="E56536" s="0" t="str">
        <f aca="false">HYPERLINK("https://lindat.mff.cuni.cz/services/SynSemClass40/SynSemClass40.html?veclass=vec00161#vec00161-ces-cm00150", "vec00161")</f>
        <v>vec00161</v>
      </c>
      <c r="F56536" s="0" t="s">
        <v>5448</v>
      </c>
    </row>
    <row r="56537" customFormat="false" ht="12.8" hidden="false" customHeight="false" outlineLevel="0" collapsed="false">
      <c r="B56537" s="0" t="s">
        <v>1</v>
      </c>
      <c r="C56537" s="0" t="s">
        <v>5449</v>
      </c>
      <c r="E56537" s="0" t="s">
        <v>63</v>
      </c>
      <c r="F56537" s="0" t="s">
        <v>5450</v>
      </c>
    </row>
    <row r="56538" customFormat="false" ht="12.8" hidden="false" customHeight="false" outlineLevel="0" collapsed="false">
      <c r="B56538" s="0" t="s">
        <v>19313</v>
      </c>
      <c r="C56538" s="0" t="s">
        <v>5452</v>
      </c>
      <c r="E56538" s="0" t="s">
        <v>209</v>
      </c>
      <c r="F56538" s="0" t="s">
        <v>5453</v>
      </c>
    </row>
    <row r="56540" customFormat="false" ht="12.8" hidden="false" customHeight="false" outlineLevel="0" collapsed="false">
      <c r="A56540" s="0" t="s">
        <v>19361</v>
      </c>
      <c r="B56540" s="0" t="str">
        <f aca="false">HYPERLINK("https://lindat.mff.cuni.cz/services/teitok/pdtc10/index.php?action=vallex&amp;frame=v-w7971f2", "vyjádřit se (v-w7971f2)")</f>
        <v>vyjádřit se (v-w7971f2)</v>
      </c>
    </row>
    <row r="56541" customFormat="false" ht="12.8" hidden="false" customHeight="false" outlineLevel="0" collapsed="false">
      <c r="B56541" s="0" t="s">
        <v>1</v>
      </c>
    </row>
    <row r="56542" customFormat="false" ht="12.8" hidden="false" customHeight="false" outlineLevel="0" collapsed="false">
      <c r="B56542" s="0" t="s">
        <v>725</v>
      </c>
    </row>
    <row r="56543" customFormat="false" ht="12.8" hidden="false" customHeight="false" outlineLevel="0" collapsed="false">
      <c r="B56543" s="0" t="s">
        <v>642</v>
      </c>
    </row>
    <row r="56544" customFormat="false" ht="12.8" hidden="false" customHeight="false" outlineLevel="0" collapsed="false">
      <c r="B56544" s="0" t="s">
        <v>646</v>
      </c>
    </row>
    <row r="56545" customFormat="false" ht="12.8" hidden="false" customHeight="false" outlineLevel="0" collapsed="false">
      <c r="B56545" s="0" t="s">
        <v>648</v>
      </c>
    </row>
    <row r="56546" customFormat="false" ht="12.8" hidden="false" customHeight="false" outlineLevel="0" collapsed="false">
      <c r="B56546" s="0" t="s">
        <v>650</v>
      </c>
    </row>
    <row r="56547" customFormat="false" ht="12.8" hidden="false" customHeight="false" outlineLevel="0" collapsed="false">
      <c r="B56547" s="0" t="s">
        <v>652</v>
      </c>
    </row>
    <row r="56549" customFormat="false" ht="12.8" hidden="false" customHeight="false" outlineLevel="0" collapsed="false">
      <c r="A56549" s="0" t="s">
        <v>19362</v>
      </c>
      <c r="B56549" s="0" t="str">
        <f aca="false">HYPERLINK("https://lindat.mff.cuni.cz/services/teitok/pdtc10/index.php?action=vallex&amp;frame=v-w7990f1", "vyjímat (v-w7990f1)")</f>
        <v>vyjímat (v-w7990f1)</v>
      </c>
      <c r="E56549" s="0" t="str">
        <f aca="false">HYPERLINK("https://lindat.mff.cuni.cz/services/SynSemClass40/SynSemClass40.html?veclass=vec00555#vec00555-ces-cm00038", "vec00555")</f>
        <v>vec00555</v>
      </c>
      <c r="F56549" s="0" t="s">
        <v>1918</v>
      </c>
      <c r="H56549" s="0" t="str">
        <f aca="false">HYPERLINK("https://lindat.mff.cuni.cz/services/SynSemClass40/SynSemClass40.html?veclass=vec01538#vec01538-ces-cm00014", "vec01538")</f>
        <v>vec01538</v>
      </c>
      <c r="I56549" s="0" t="s">
        <v>9675</v>
      </c>
    </row>
    <row r="56550" customFormat="false" ht="12.8" hidden="false" customHeight="false" outlineLevel="0" collapsed="false">
      <c r="B56550" s="0" t="s">
        <v>1</v>
      </c>
      <c r="C56550" s="0" t="s">
        <v>15056</v>
      </c>
      <c r="E56550" s="0" t="s">
        <v>31</v>
      </c>
      <c r="F56550" s="0" t="s">
        <v>1920</v>
      </c>
      <c r="H56550" s="0" t="s">
        <v>31</v>
      </c>
      <c r="I56550" s="0" t="s">
        <v>3092</v>
      </c>
    </row>
    <row r="56551" customFormat="false" ht="12.8" hidden="false" customHeight="false" outlineLevel="0" collapsed="false">
      <c r="B56551" s="0" t="s">
        <v>19363</v>
      </c>
      <c r="C56551" s="0" t="s">
        <v>19364</v>
      </c>
      <c r="E56551" s="0" t="s">
        <v>532</v>
      </c>
      <c r="F56551" s="0" t="s">
        <v>1922</v>
      </c>
      <c r="H56551" s="0" t="s">
        <v>7105</v>
      </c>
      <c r="I56551" s="0" t="s">
        <v>19338</v>
      </c>
    </row>
    <row r="56552" customFormat="false" ht="12.8" hidden="false" customHeight="false" outlineLevel="0" collapsed="false">
      <c r="B56552" s="0" t="s">
        <v>631</v>
      </c>
      <c r="C56552" s="0" t="s">
        <v>19365</v>
      </c>
      <c r="E56552" s="0" t="s">
        <v>1924</v>
      </c>
      <c r="F56552" s="0" t="s">
        <v>1925</v>
      </c>
      <c r="H56552" s="0" t="s">
        <v>19340</v>
      </c>
      <c r="I56552" s="0" t="s">
        <v>19341</v>
      </c>
    </row>
    <row r="56554" customFormat="false" ht="12.8" hidden="false" customHeight="false" outlineLevel="0" collapsed="false">
      <c r="A56554" s="0" t="s">
        <v>19366</v>
      </c>
      <c r="B56554" s="0" t="str">
        <f aca="false">HYPERLINK("https://lindat.mff.cuni.cz/services/teitok/pdtc10/index.php?action=vallex&amp;frame=v-w7991f1", "vyjímat se (v-w7991f1)")</f>
        <v>vyjímat se (v-w7991f1)</v>
      </c>
    </row>
    <row r="56555" customFormat="false" ht="12.8" hidden="false" customHeight="false" outlineLevel="0" collapsed="false">
      <c r="B56555" s="0" t="s">
        <v>1</v>
      </c>
    </row>
    <row r="56556" customFormat="false" ht="12.8" hidden="false" customHeight="false" outlineLevel="0" collapsed="false">
      <c r="B56556" s="0" t="s">
        <v>5</v>
      </c>
    </row>
    <row r="56558" customFormat="false" ht="12.8" hidden="false" customHeight="false" outlineLevel="0" collapsed="false">
      <c r="A56558" s="0" t="s">
        <v>19367</v>
      </c>
      <c r="B56558" s="0" t="str">
        <f aca="false">HYPERLINK("https://lindat.mff.cuni.cz/services/teitok/pdtc10/index.php?action=vallex&amp;frame=v-w7994f18", "vyjít (v-w7994f18)")</f>
        <v>vyjít (v-w7994f18)</v>
      </c>
    </row>
    <row r="56559" customFormat="false" ht="12.8" hidden="false" customHeight="false" outlineLevel="0" collapsed="false">
      <c r="B56559" s="0" t="s">
        <v>1</v>
      </c>
    </row>
    <row r="56560" customFormat="false" ht="12.8" hidden="false" customHeight="false" outlineLevel="0" collapsed="false">
      <c r="B56560" s="0" t="s">
        <v>8</v>
      </c>
    </row>
    <row r="56562" customFormat="false" ht="12.8" hidden="false" customHeight="false" outlineLevel="0" collapsed="false">
      <c r="A56562" s="0" t="s">
        <v>19368</v>
      </c>
      <c r="B56562" s="0" t="str">
        <f aca="false">HYPERLINK("https://lindat.mff.cuni.cz/services/teitok/pdtc10/index.php?action=vallex&amp;frame=v-w7994f20", "vyjít (v-w7994f20)")</f>
        <v>vyjít (v-w7994f20)</v>
      </c>
      <c r="E56562" s="0" t="str">
        <f aca="false">HYPERLINK("https://lindat.mff.cuni.cz/services/SynSemClass40/SynSemClass40.html?veclass=vec00128#vec00128-ces-cm00197", "vec00128")</f>
        <v>vec00128</v>
      </c>
      <c r="F56562" s="0" t="s">
        <v>13958</v>
      </c>
      <c r="H56562" s="0" t="str">
        <f aca="false">HYPERLINK("https://lindat.mff.cuni.cz/services/SynSemClass40/SynSemClass40.html?veclass=vec00206#vec00206-ces-cm00035", "vec00206")</f>
        <v>vec00206</v>
      </c>
      <c r="I56562" s="0" t="s">
        <v>2728</v>
      </c>
    </row>
    <row r="56563" customFormat="false" ht="12.8" hidden="false" customHeight="false" outlineLevel="0" collapsed="false">
      <c r="B56563" s="0" t="s">
        <v>1</v>
      </c>
      <c r="C56563" s="0" t="s">
        <v>16733</v>
      </c>
      <c r="E56563" s="0" t="s">
        <v>235</v>
      </c>
      <c r="F56563" s="0" t="s">
        <v>13960</v>
      </c>
      <c r="H56563" s="0" t="s">
        <v>235</v>
      </c>
      <c r="I56563" s="0" t="s">
        <v>2730</v>
      </c>
    </row>
    <row r="56564" customFormat="false" ht="12.8" hidden="false" customHeight="false" outlineLevel="0" collapsed="false">
      <c r="B56564" s="0" t="s">
        <v>45</v>
      </c>
      <c r="C56564" s="0" t="s">
        <v>19037</v>
      </c>
      <c r="E56564" s="0" t="s">
        <v>13962</v>
      </c>
      <c r="F56564" s="0" t="s">
        <v>13963</v>
      </c>
      <c r="H56564" s="0" t="s">
        <v>2732</v>
      </c>
      <c r="I56564" s="0" t="s">
        <v>2733</v>
      </c>
    </row>
    <row r="56566" customFormat="false" ht="12.8" hidden="false" customHeight="false" outlineLevel="0" collapsed="false">
      <c r="A56566" s="0" t="s">
        <v>19369</v>
      </c>
      <c r="B56566" s="0" t="str">
        <f aca="false">HYPERLINK("https://lindat.mff.cuni.cz/services/teitok/pdtc10/index.php?action=vallex&amp;frame=v-w7994f17", "vyjít (v-w7994f17)")</f>
        <v>vyjít (v-w7994f17)</v>
      </c>
    </row>
    <row r="56567" customFormat="false" ht="12.8" hidden="false" customHeight="false" outlineLevel="0" collapsed="false">
      <c r="B56567" s="0" t="s">
        <v>1</v>
      </c>
    </row>
    <row r="56568" customFormat="false" ht="12.8" hidden="false" customHeight="false" outlineLevel="0" collapsed="false">
      <c r="B56568" s="0" t="s">
        <v>45</v>
      </c>
    </row>
    <row r="56570" customFormat="false" ht="12.8" hidden="false" customHeight="false" outlineLevel="0" collapsed="false">
      <c r="A56570" s="0" t="s">
        <v>19370</v>
      </c>
      <c r="B56570" s="0" t="str">
        <f aca="false">HYPERLINK("https://lindat.mff.cuni.cz/services/teitok/pdtc10/index.php?action=vallex&amp;frame=v-w7994f11", "vyjít (v-w7994f11)")</f>
        <v>vyjít (v-w7994f11)</v>
      </c>
      <c r="E56570" s="0" t="str">
        <f aca="false">HYPERLINK("https://lindat.mff.cuni.cz/services/SynSemClass40/SynSemClass40.html?veclass=vec00160#vec00160-ces-cm00011", "vec00160")</f>
        <v>vec00160</v>
      </c>
      <c r="F56570" s="0" t="s">
        <v>19040</v>
      </c>
    </row>
    <row r="56571" customFormat="false" ht="12.8" hidden="false" customHeight="false" outlineLevel="0" collapsed="false">
      <c r="B56571" s="0" t="s">
        <v>1</v>
      </c>
      <c r="E56571" s="0" t="s">
        <v>2241</v>
      </c>
      <c r="F56571" s="0" t="s">
        <v>19041</v>
      </c>
    </row>
    <row r="56572" customFormat="false" ht="12.8" hidden="false" customHeight="false" outlineLevel="0" collapsed="false">
      <c r="B56572" s="0" t="s">
        <v>721</v>
      </c>
      <c r="E56572" s="0" t="s">
        <v>2665</v>
      </c>
      <c r="F56572" s="0" t="s">
        <v>8791</v>
      </c>
    </row>
    <row r="56574" customFormat="false" ht="12.8" hidden="false" customHeight="false" outlineLevel="0" collapsed="false">
      <c r="A56574" s="0" t="s">
        <v>19371</v>
      </c>
      <c r="B56574" s="0" t="str">
        <f aca="false">HYPERLINK("https://lindat.mff.cuni.cz/services/teitok/pdtc10/index.php?action=vallex&amp;frame=v-w7994f19", "vyjít (v-w7994f19)")</f>
        <v>vyjít (v-w7994f19)</v>
      </c>
    </row>
    <row r="56575" customFormat="false" ht="12.8" hidden="false" customHeight="false" outlineLevel="0" collapsed="false">
      <c r="B56575" s="0" t="s">
        <v>1</v>
      </c>
    </row>
    <row r="56576" customFormat="false" ht="12.8" hidden="false" customHeight="false" outlineLevel="0" collapsed="false">
      <c r="B56576" s="0" t="s">
        <v>721</v>
      </c>
    </row>
    <row r="56578" customFormat="false" ht="12.8" hidden="false" customHeight="false" outlineLevel="0" collapsed="false">
      <c r="A56578" s="0" t="s">
        <v>19372</v>
      </c>
      <c r="B56578" s="0" t="str">
        <f aca="false">HYPERLINK("https://lindat.mff.cuni.cz/services/teitok/pdtc10/index.php?action=vallex&amp;frame=v-w7994f16", "vyjít (v-w7994f16)")</f>
        <v>vyjít (v-w7994f16)</v>
      </c>
      <c r="E56578" s="0" t="str">
        <f aca="false">HYPERLINK("https://lindat.mff.cuni.cz/services/SynSemClass40/SynSemClass40.html?veclass=vec00258#vec00258-ces-cm00009", "vec00258")</f>
        <v>vec00258</v>
      </c>
      <c r="F56578" s="0" t="s">
        <v>10649</v>
      </c>
    </row>
    <row r="56579" customFormat="false" ht="12.8" hidden="false" customHeight="false" outlineLevel="0" collapsed="false">
      <c r="B56579" s="0" t="s">
        <v>1</v>
      </c>
      <c r="C56579" s="0" t="s">
        <v>10650</v>
      </c>
      <c r="E56579" s="0" t="s">
        <v>957</v>
      </c>
      <c r="F56579" s="0" t="s">
        <v>10651</v>
      </c>
    </row>
    <row r="56580" customFormat="false" ht="12.8" hidden="false" customHeight="false" outlineLevel="0" collapsed="false">
      <c r="B56580" s="0" t="s">
        <v>1795</v>
      </c>
      <c r="C56580" s="0" t="s">
        <v>10652</v>
      </c>
      <c r="E56580" s="0" t="s">
        <v>6001</v>
      </c>
      <c r="F56580" s="0" t="s">
        <v>10653</v>
      </c>
    </row>
    <row r="56582" customFormat="false" ht="12.8" hidden="false" customHeight="false" outlineLevel="0" collapsed="false">
      <c r="A56582" s="0" t="s">
        <v>19373</v>
      </c>
      <c r="B56582" s="0" t="str">
        <f aca="false">HYPERLINK("https://lindat.mff.cuni.cz/services/teitok/pdtc10/index.php?action=vallex&amp;frame=v-w7994f5", "vyjít (v-w7994f5)")</f>
        <v>vyjít (v-w7994f5)</v>
      </c>
      <c r="E56582" s="0" t="str">
        <f aca="false">HYPERLINK("https://lindat.mff.cuni.cz/services/SynSemClass40/SynSemClass40.html?veclass=vec00258#vec00258-ces-cm00008", "vec00258")</f>
        <v>vec00258</v>
      </c>
      <c r="F56582" s="0" t="s">
        <v>10649</v>
      </c>
    </row>
    <row r="56583" customFormat="false" ht="12.8" hidden="false" customHeight="false" outlineLevel="0" collapsed="false">
      <c r="B56583" s="0" t="s">
        <v>1</v>
      </c>
      <c r="C56583" s="0" t="s">
        <v>10650</v>
      </c>
      <c r="E56583" s="0" t="s">
        <v>957</v>
      </c>
      <c r="F56583" s="0" t="s">
        <v>10651</v>
      </c>
    </row>
    <row r="56584" customFormat="false" ht="12.8" hidden="false" customHeight="false" outlineLevel="0" collapsed="false">
      <c r="B56584" s="0" t="s">
        <v>298</v>
      </c>
      <c r="C56584" s="0" t="s">
        <v>10652</v>
      </c>
      <c r="E56584" s="0" t="s">
        <v>6001</v>
      </c>
      <c r="F56584" s="0" t="s">
        <v>10653</v>
      </c>
    </row>
    <row r="56586" customFormat="false" ht="12.8" hidden="false" customHeight="false" outlineLevel="0" collapsed="false">
      <c r="A56586" s="0" t="s">
        <v>19374</v>
      </c>
      <c r="B56586" s="0" t="str">
        <f aca="false">HYPERLINK("https://lindat.mff.cuni.cz/services/teitok/pdtc10/index.php?action=vallex&amp;frame=v-w7994f25_ZU", "vyjít (v-w7994f25_ZU)")</f>
        <v>vyjít (v-w7994f25_ZU)</v>
      </c>
    </row>
    <row r="56587" customFormat="false" ht="12.8" hidden="false" customHeight="false" outlineLevel="0" collapsed="false">
      <c r="B56587" s="0" t="s">
        <v>1</v>
      </c>
    </row>
    <row r="56588" customFormat="false" ht="12.8" hidden="false" customHeight="false" outlineLevel="0" collapsed="false">
      <c r="B56588" s="0" t="s">
        <v>298</v>
      </c>
    </row>
    <row r="56589" customFormat="false" ht="12.8" hidden="false" customHeight="false" outlineLevel="0" collapsed="false">
      <c r="B56589" s="0" t="s">
        <v>642</v>
      </c>
    </row>
    <row r="56590" customFormat="false" ht="12.8" hidden="false" customHeight="false" outlineLevel="0" collapsed="false">
      <c r="B56590" s="0" t="s">
        <v>648</v>
      </c>
    </row>
    <row r="56591" customFormat="false" ht="12.8" hidden="false" customHeight="false" outlineLevel="0" collapsed="false">
      <c r="B56591" s="0" t="s">
        <v>2887</v>
      </c>
    </row>
    <row r="56593" customFormat="false" ht="12.8" hidden="false" customHeight="false" outlineLevel="0" collapsed="false">
      <c r="A56593" s="0" t="s">
        <v>19374</v>
      </c>
      <c r="B56593" s="0" t="str">
        <f aca="false">HYPERLINK("https://lindat.mff.cuni.cz/services/teitok/pdtc10/index.php?action=vallex&amp;frame=v-w7994f10", "vyjít (v-w7994f10) - substituted with v-w7994f25_ZU")</f>
        <v>vyjít (v-w7994f10) - substituted with v-w7994f25_ZU</v>
      </c>
    </row>
    <row r="56594" customFormat="false" ht="12.8" hidden="false" customHeight="false" outlineLevel="0" collapsed="false">
      <c r="B56594" s="0" t="s">
        <v>1</v>
      </c>
    </row>
    <row r="56595" customFormat="false" ht="12.8" hidden="false" customHeight="false" outlineLevel="0" collapsed="false">
      <c r="B56595" s="0" t="s">
        <v>298</v>
      </c>
    </row>
    <row r="56596" customFormat="false" ht="12.8" hidden="false" customHeight="false" outlineLevel="0" collapsed="false">
      <c r="B56596" s="0" t="s">
        <v>642</v>
      </c>
    </row>
    <row r="56597" customFormat="false" ht="12.8" hidden="false" customHeight="false" outlineLevel="0" collapsed="false">
      <c r="B56597" s="0" t="s">
        <v>648</v>
      </c>
    </row>
    <row r="56598" customFormat="false" ht="12.8" hidden="false" customHeight="false" outlineLevel="0" collapsed="false">
      <c r="B56598" s="0" t="s">
        <v>2887</v>
      </c>
    </row>
    <row r="56600" customFormat="false" ht="12.8" hidden="false" customHeight="false" outlineLevel="0" collapsed="false">
      <c r="A56600" s="0" t="s">
        <v>19375</v>
      </c>
      <c r="B56600" s="0" t="str">
        <f aca="false">HYPERLINK("https://lindat.mff.cuni.cz/services/teitok/pdtc10/index.php?action=vallex&amp;frame=v-w7994f12", "vyjít (v-w7994f12)")</f>
        <v>vyjít (v-w7994f12)</v>
      </c>
    </row>
    <row r="56601" customFormat="false" ht="12.8" hidden="false" customHeight="false" outlineLevel="0" collapsed="false">
      <c r="B56601" s="0" t="s">
        <v>1</v>
      </c>
    </row>
    <row r="56602" customFormat="false" ht="12.8" hidden="false" customHeight="false" outlineLevel="0" collapsed="false">
      <c r="B56602" s="0" t="s">
        <v>298</v>
      </c>
    </row>
    <row r="56604" customFormat="false" ht="12.8" hidden="false" customHeight="false" outlineLevel="0" collapsed="false">
      <c r="A56604" s="0" t="s">
        <v>19376</v>
      </c>
      <c r="B56604" s="0" t="str">
        <f aca="false">HYPERLINK("https://lindat.mff.cuni.cz/services/teitok/pdtc10/index.php?action=vallex&amp;frame=v-w7994f2", "vyjít (v-w7994f2)")</f>
        <v>vyjít (v-w7994f2)</v>
      </c>
    </row>
    <row r="56605" customFormat="false" ht="12.8" hidden="false" customHeight="false" outlineLevel="0" collapsed="false">
      <c r="B56605" s="0" t="s">
        <v>804</v>
      </c>
    </row>
    <row r="56606" customFormat="false" ht="12.8" hidden="false" customHeight="false" outlineLevel="0" collapsed="false">
      <c r="B56606" s="0" t="s">
        <v>19377</v>
      </c>
    </row>
    <row r="56608" customFormat="false" ht="12.8" hidden="false" customHeight="false" outlineLevel="0" collapsed="false">
      <c r="A56608" s="0" t="s">
        <v>19378</v>
      </c>
      <c r="B56608" s="0" t="str">
        <f aca="false">HYPERLINK("https://lindat.mff.cuni.cz/services/teitok/pdtc10/index.php?action=vallex&amp;frame=v-w7994f15", "vyjít (v-w7994f15)")</f>
        <v>vyjít (v-w7994f15)</v>
      </c>
    </row>
    <row r="56609" customFormat="false" ht="12.8" hidden="false" customHeight="false" outlineLevel="0" collapsed="false">
      <c r="B56609" s="0" t="s">
        <v>1</v>
      </c>
    </row>
    <row r="56610" customFormat="false" ht="12.8" hidden="false" customHeight="false" outlineLevel="0" collapsed="false">
      <c r="B56610" s="0" t="s">
        <v>157</v>
      </c>
    </row>
    <row r="56612" customFormat="false" ht="12.8" hidden="false" customHeight="false" outlineLevel="0" collapsed="false">
      <c r="A56612" s="0" t="s">
        <v>19379</v>
      </c>
      <c r="B56612" s="0" t="str">
        <f aca="false">HYPERLINK("https://lindat.mff.cuni.cz/services/teitok/pdtc10/index.php?action=vallex&amp;frame=v-w7994f4", "vyjít (v-w7994f4)")</f>
        <v>vyjít (v-w7994f4)</v>
      </c>
      <c r="E56612" s="0" t="str">
        <f aca="false">HYPERLINK("https://lindat.mff.cuni.cz/services/SynSemClass40/SynSemClass40.html?veclass=vec00048#vec00048-ces-cm00216", "vec00048")</f>
        <v>vec00048</v>
      </c>
      <c r="F56612" s="0" t="s">
        <v>1945</v>
      </c>
    </row>
    <row r="56613" customFormat="false" ht="12.8" hidden="false" customHeight="false" outlineLevel="0" collapsed="false">
      <c r="B56613" s="0" t="s">
        <v>1</v>
      </c>
      <c r="C56613" s="0" t="s">
        <v>1946</v>
      </c>
      <c r="E56613" s="0" t="s">
        <v>334</v>
      </c>
      <c r="F56613" s="0" t="s">
        <v>1947</v>
      </c>
    </row>
    <row r="56614" customFormat="false" ht="12.8" hidden="false" customHeight="false" outlineLevel="0" collapsed="false">
      <c r="B56614" s="0" t="s">
        <v>631</v>
      </c>
      <c r="C56614" s="0" t="s">
        <v>1948</v>
      </c>
      <c r="E56614" s="0" t="s">
        <v>1949</v>
      </c>
      <c r="F56614" s="0" t="s">
        <v>1950</v>
      </c>
    </row>
    <row r="56616" customFormat="false" ht="12.8" hidden="false" customHeight="false" outlineLevel="0" collapsed="false">
      <c r="A56616" s="0" t="s">
        <v>19380</v>
      </c>
      <c r="B56616" s="0" t="str">
        <f aca="false">HYPERLINK("https://lindat.mff.cuni.cz/services/teitok/pdtc10/index.php?action=vallex&amp;frame=v-w7994f13", "vyjít (v-w7994f13)")</f>
        <v>vyjít (v-w7994f13)</v>
      </c>
      <c r="E56616" s="0" t="str">
        <f aca="false">HYPERLINK("https://lindat.mff.cuni.cz/services/SynSemClass40/SynSemClass40.html?veclass=vec00048#vec00048-ces-cm00136", "vec00048")</f>
        <v>vec00048</v>
      </c>
      <c r="F56616" s="0" t="s">
        <v>1945</v>
      </c>
    </row>
    <row r="56617" customFormat="false" ht="12.8" hidden="false" customHeight="false" outlineLevel="0" collapsed="false">
      <c r="B56617" s="0" t="s">
        <v>1</v>
      </c>
      <c r="C56617" s="0" t="s">
        <v>1946</v>
      </c>
      <c r="E56617" s="0" t="s">
        <v>334</v>
      </c>
      <c r="F56617" s="0" t="s">
        <v>1947</v>
      </c>
    </row>
    <row r="56618" customFormat="false" ht="12.8" hidden="false" customHeight="false" outlineLevel="0" collapsed="false">
      <c r="B56618" s="0" t="s">
        <v>164</v>
      </c>
      <c r="E56618" s="0" t="s">
        <v>1315</v>
      </c>
      <c r="F56618" s="0" t="s">
        <v>1316</v>
      </c>
    </row>
    <row r="56620" customFormat="false" ht="12.8" hidden="false" customHeight="false" outlineLevel="0" collapsed="false">
      <c r="A56620" s="0" t="s">
        <v>19381</v>
      </c>
      <c r="B56620" s="0" t="str">
        <f aca="false">HYPERLINK("https://lindat.mff.cuni.cz/services/teitok/pdtc10/index.php?action=vallex&amp;frame=v-w7994f6", "vyjít (v-w7994f6)")</f>
        <v>vyjít (v-w7994f6)</v>
      </c>
    </row>
    <row r="56621" customFormat="false" ht="12.8" hidden="false" customHeight="false" outlineLevel="0" collapsed="false">
      <c r="B56621" s="0" t="s">
        <v>345</v>
      </c>
    </row>
    <row r="56622" customFormat="false" ht="12.8" hidden="false" customHeight="false" outlineLevel="0" collapsed="false">
      <c r="B56622" s="0" t="s">
        <v>865</v>
      </c>
    </row>
    <row r="56623" customFormat="false" ht="12.8" hidden="false" customHeight="false" outlineLevel="0" collapsed="false">
      <c r="B56623" s="0" t="s">
        <v>390</v>
      </c>
    </row>
    <row r="56625" customFormat="false" ht="12.8" hidden="false" customHeight="false" outlineLevel="0" collapsed="false">
      <c r="A56625" s="0" t="s">
        <v>19382</v>
      </c>
      <c r="B56625" s="0" t="str">
        <f aca="false">HYPERLINK("https://lindat.mff.cuni.cz/services/teitok/pdtc10/index.php?action=vallex&amp;frame=v-w7994f1", "vyjít (v-w7994f1)")</f>
        <v>vyjít (v-w7994f1)</v>
      </c>
    </row>
    <row r="56626" customFormat="false" ht="12.8" hidden="false" customHeight="false" outlineLevel="0" collapsed="false">
      <c r="B56626" s="0" t="s">
        <v>1</v>
      </c>
    </row>
    <row r="56628" customFormat="false" ht="12.8" hidden="false" customHeight="false" outlineLevel="0" collapsed="false">
      <c r="A56628" s="0" t="s">
        <v>19383</v>
      </c>
      <c r="B56628" s="0" t="str">
        <f aca="false">HYPERLINK("https://lindat.mff.cuni.cz/services/teitok/pdtc10/index.php?action=vallex&amp;frame=v-w7994f3", "vyjít (v-w7994f3)")</f>
        <v>vyjít (v-w7994f3)</v>
      </c>
    </row>
    <row r="56629" customFormat="false" ht="12.8" hidden="false" customHeight="false" outlineLevel="0" collapsed="false">
      <c r="B56629" s="0" t="s">
        <v>1</v>
      </c>
    </row>
    <row r="56631" customFormat="false" ht="12.8" hidden="false" customHeight="false" outlineLevel="0" collapsed="false">
      <c r="A56631" s="0" t="s">
        <v>19384</v>
      </c>
      <c r="B56631" s="0" t="str">
        <f aca="false">HYPERLINK("https://lindat.mff.cuni.cz/services/teitok/pdtc10/index.php?action=vallex&amp;frame=v-w7994f7", "vyjít (v-w7994f7)")</f>
        <v>vyjít (v-w7994f7)</v>
      </c>
      <c r="E56631" s="0" t="str">
        <f aca="false">HYPERLINK("https://lindat.mff.cuni.cz/services/SynSemClass40/SynSemClass40.html?veclass=vec00309#vec00309-ces-cm00071", "vec00309")</f>
        <v>vec00309</v>
      </c>
      <c r="F56631" s="0" t="s">
        <v>1081</v>
      </c>
    </row>
    <row r="56632" customFormat="false" ht="12.8" hidden="false" customHeight="false" outlineLevel="0" collapsed="false">
      <c r="B56632" s="0" t="s">
        <v>1</v>
      </c>
      <c r="C56632" s="0" t="s">
        <v>2542</v>
      </c>
      <c r="E56632" s="0" t="s">
        <v>1084</v>
      </c>
      <c r="F56632" s="0" t="s">
        <v>1085</v>
      </c>
    </row>
    <row r="56633" customFormat="false" ht="12.8" hidden="false" customHeight="false" outlineLevel="0" collapsed="false">
      <c r="B56633" s="0" t="s">
        <v>725</v>
      </c>
      <c r="C56633" s="0" t="s">
        <v>2543</v>
      </c>
      <c r="E56633" s="0" t="s">
        <v>19385</v>
      </c>
      <c r="F56633" s="0" t="s">
        <v>19386</v>
      </c>
    </row>
    <row r="56634" customFormat="false" ht="12.8" hidden="false" customHeight="false" outlineLevel="0" collapsed="false">
      <c r="B56634" s="0" t="s">
        <v>642</v>
      </c>
      <c r="C56634" s="0" t="s">
        <v>2546</v>
      </c>
      <c r="E56634" s="0" t="s">
        <v>19385</v>
      </c>
      <c r="F56634" s="0" t="s">
        <v>19386</v>
      </c>
    </row>
    <row r="56635" customFormat="false" ht="12.8" hidden="false" customHeight="false" outlineLevel="0" collapsed="false">
      <c r="B56635" s="0" t="s">
        <v>648</v>
      </c>
      <c r="C56635" s="0" t="s">
        <v>2547</v>
      </c>
      <c r="E56635" s="0" t="s">
        <v>19385</v>
      </c>
      <c r="F56635" s="0" t="s">
        <v>19386</v>
      </c>
    </row>
    <row r="56636" customFormat="false" ht="12.8" hidden="false" customHeight="false" outlineLevel="0" collapsed="false">
      <c r="B56636" s="0" t="s">
        <v>650</v>
      </c>
      <c r="C56636" s="0" t="s">
        <v>2548</v>
      </c>
      <c r="E56636" s="0" t="s">
        <v>19385</v>
      </c>
      <c r="F56636" s="0" t="s">
        <v>19386</v>
      </c>
    </row>
    <row r="56638" customFormat="false" ht="12.8" hidden="false" customHeight="false" outlineLevel="0" collapsed="false">
      <c r="A56638" s="0" t="s">
        <v>19387</v>
      </c>
      <c r="B56638" s="0" t="str">
        <f aca="false">HYPERLINK("https://lindat.mff.cuni.cz/services/teitok/pdtc10/index.php?action=vallex&amp;frame=v-w7994f9", "vyjít (v-w7994f9)")</f>
        <v>vyjít (v-w7994f9)</v>
      </c>
    </row>
    <row r="56639" customFormat="false" ht="12.8" hidden="false" customHeight="false" outlineLevel="0" collapsed="false">
      <c r="B56639" s="0" t="s">
        <v>1</v>
      </c>
    </row>
    <row r="56640" customFormat="false" ht="12.8" hidden="false" customHeight="false" outlineLevel="0" collapsed="false">
      <c r="B56640" s="0" t="s">
        <v>19055</v>
      </c>
    </row>
    <row r="56641" customFormat="false" ht="12.8" hidden="false" customHeight="false" outlineLevel="0" collapsed="false">
      <c r="B56641" s="0" t="s">
        <v>186</v>
      </c>
    </row>
    <row r="56643" customFormat="false" ht="12.8" hidden="false" customHeight="false" outlineLevel="0" collapsed="false">
      <c r="A56643" s="0" t="s">
        <v>19388</v>
      </c>
      <c r="B56643" s="0" t="str">
        <f aca="false">HYPERLINK("https://lindat.mff.cuni.cz/services/teitok/pdtc10/index.php?action=vallex&amp;frame=v-w7994f8", "vyjít (v-w7994f8)")</f>
        <v>vyjít (v-w7994f8)</v>
      </c>
      <c r="E56643" s="0" t="str">
        <f aca="false">HYPERLINK("https://lindat.mff.cuni.cz/services/SynSemClass40/SynSemClass40.html?veclass=vec00086#vec00086-ces-cm00099", "vec00086")</f>
        <v>vec00086</v>
      </c>
      <c r="F56643" s="0" t="s">
        <v>12400</v>
      </c>
    </row>
    <row r="56644" customFormat="false" ht="12.8" hidden="false" customHeight="false" outlineLevel="0" collapsed="false">
      <c r="B56644" s="0" t="s">
        <v>843</v>
      </c>
      <c r="C56644" s="0" t="s">
        <v>2157</v>
      </c>
      <c r="E56644" s="0" t="s">
        <v>4943</v>
      </c>
      <c r="F56644" s="0" t="s">
        <v>5999</v>
      </c>
    </row>
    <row r="56645" customFormat="false" ht="12.8" hidden="false" customHeight="false" outlineLevel="0" collapsed="false">
      <c r="B56645" s="0" t="s">
        <v>3531</v>
      </c>
    </row>
    <row r="56647" customFormat="false" ht="12.8" hidden="false" customHeight="false" outlineLevel="0" collapsed="false">
      <c r="A56647" s="0" t="s">
        <v>19389</v>
      </c>
      <c r="B56647" s="0" t="str">
        <f aca="false">HYPERLINK("https://lindat.mff.cuni.cz/services/teitok/pdtc10/index.php?action=vallex&amp;frame=v-w7994f14", "vyjít (v-w7994f14)")</f>
        <v>vyjít (v-w7994f14)</v>
      </c>
    </row>
    <row r="56648" customFormat="false" ht="12.8" hidden="false" customHeight="false" outlineLevel="0" collapsed="false">
      <c r="B56648" s="0" t="s">
        <v>1</v>
      </c>
    </row>
    <row r="56649" customFormat="false" ht="12.8" hidden="false" customHeight="false" outlineLevel="0" collapsed="false">
      <c r="B56649" s="0" t="s">
        <v>6732</v>
      </c>
    </row>
    <row r="56651" customFormat="false" ht="12.8" hidden="false" customHeight="false" outlineLevel="0" collapsed="false">
      <c r="A56651" s="0" t="s">
        <v>19390</v>
      </c>
      <c r="B56651" s="0" t="str">
        <f aca="false">HYPERLINK("https://lindat.mff.cuni.cz/services/teitok/pdtc10/index.php?action=vallex&amp;frame=v-w7994f21_ZU", "vyjít (v-w7994f21_ZU)")</f>
        <v>vyjít (v-w7994f21_ZU)</v>
      </c>
    </row>
    <row r="56652" customFormat="false" ht="12.8" hidden="false" customHeight="false" outlineLevel="0" collapsed="false">
      <c r="B56652" s="0" t="s">
        <v>1</v>
      </c>
    </row>
    <row r="56653" customFormat="false" ht="12.8" hidden="false" customHeight="false" outlineLevel="0" collapsed="false">
      <c r="B56653" s="0" t="s">
        <v>19391</v>
      </c>
    </row>
    <row r="56655" customFormat="false" ht="12.8" hidden="false" customHeight="false" outlineLevel="0" collapsed="false">
      <c r="A56655" s="0" t="s">
        <v>19392</v>
      </c>
      <c r="B56655" s="0" t="str">
        <f aca="false">HYPERLINK("https://lindat.mff.cuni.cz/services/teitok/pdtc10/index.php?action=vallex&amp;frame=v-w7994f22_ZU", "vyjít (v-w7994f22_ZU)")</f>
        <v>vyjít (v-w7994f22_ZU)</v>
      </c>
    </row>
    <row r="56656" customFormat="false" ht="12.8" hidden="false" customHeight="false" outlineLevel="0" collapsed="false">
      <c r="B56656" s="0" t="s">
        <v>1</v>
      </c>
    </row>
    <row r="56657" customFormat="false" ht="12.8" hidden="false" customHeight="false" outlineLevel="0" collapsed="false">
      <c r="B56657" s="0" t="s">
        <v>19393</v>
      </c>
    </row>
    <row r="56659" customFormat="false" ht="12.8" hidden="false" customHeight="false" outlineLevel="0" collapsed="false">
      <c r="A56659" s="0" t="s">
        <v>19392</v>
      </c>
      <c r="B56659" s="0" t="str">
        <f aca="false">HYPERLINK("https://lindat.mff.cuni.cz/services/teitok/pdtc10/index.php?action=vallex&amp;frame=v-w7994hsa_557", "vyjít (v-w7994hsa_557) - substituted with v-w7994f22_ZU")</f>
        <v>vyjít (v-w7994hsa_557) - substituted with v-w7994f22_ZU</v>
      </c>
    </row>
    <row r="56660" customFormat="false" ht="12.8" hidden="false" customHeight="false" outlineLevel="0" collapsed="false">
      <c r="B56660" s="0" t="s">
        <v>1</v>
      </c>
    </row>
    <row r="56661" customFormat="false" ht="12.8" hidden="false" customHeight="false" outlineLevel="0" collapsed="false">
      <c r="B56661" s="0" t="s">
        <v>19393</v>
      </c>
    </row>
    <row r="56663" customFormat="false" ht="12.8" hidden="false" customHeight="false" outlineLevel="0" collapsed="false">
      <c r="A56663" s="0" t="s">
        <v>19394</v>
      </c>
      <c r="B56663" s="0" t="str">
        <f aca="false">HYPERLINK("https://lindat.mff.cuni.cz/services/teitok/pdtc10/index.php?action=vallex&amp;frame=v-w7994f23_ZU", "vyjít (v-w7994f23_ZU)")</f>
        <v>vyjít (v-w7994f23_ZU)</v>
      </c>
    </row>
    <row r="56664" customFormat="false" ht="12.8" hidden="false" customHeight="false" outlineLevel="0" collapsed="false">
      <c r="B56664" s="0" t="s">
        <v>1</v>
      </c>
    </row>
    <row r="56665" customFormat="false" ht="12.8" hidden="false" customHeight="false" outlineLevel="0" collapsed="false">
      <c r="B56665" s="0" t="s">
        <v>19061</v>
      </c>
    </row>
    <row r="56667" customFormat="false" ht="12.8" hidden="false" customHeight="false" outlineLevel="0" collapsed="false">
      <c r="A56667" s="0" t="s">
        <v>19394</v>
      </c>
      <c r="B56667" s="0" t="str">
        <f aca="false">HYPERLINK("https://lindat.mff.cuni.cz/services/teitok/pdtc10/index.php?action=vallex&amp;frame=v-w7994hsa_1542", "vyjít (v-w7994hsa_1542) - substituted with v-w7994f23_ZU")</f>
        <v>vyjít (v-w7994hsa_1542) - substituted with v-w7994f23_ZU</v>
      </c>
    </row>
    <row r="56668" customFormat="false" ht="12.8" hidden="false" customHeight="false" outlineLevel="0" collapsed="false">
      <c r="B56668" s="0" t="s">
        <v>1</v>
      </c>
    </row>
    <row r="56669" customFormat="false" ht="12.8" hidden="false" customHeight="false" outlineLevel="0" collapsed="false">
      <c r="B56669" s="0" t="s">
        <v>19061</v>
      </c>
    </row>
    <row r="56671" customFormat="false" ht="12.8" hidden="false" customHeight="false" outlineLevel="0" collapsed="false">
      <c r="A56671" s="0" t="s">
        <v>19395</v>
      </c>
      <c r="B56671" s="0" t="str">
        <f aca="false">HYPERLINK("https://lindat.mff.cuni.cz/services/teitok/pdtc10/index.php?action=vallex&amp;frame=v-w7994f24_ZU", "vyjít (v-w7994f24_ZU)")</f>
        <v>vyjít (v-w7994f24_ZU)</v>
      </c>
    </row>
    <row r="56672" customFormat="false" ht="12.8" hidden="false" customHeight="false" outlineLevel="0" collapsed="false">
      <c r="B56672" s="0" t="s">
        <v>1</v>
      </c>
    </row>
    <row r="56673" customFormat="false" ht="12.8" hidden="false" customHeight="false" outlineLevel="0" collapsed="false">
      <c r="B56673" s="0" t="s">
        <v>19396</v>
      </c>
    </row>
    <row r="56675" customFormat="false" ht="12.8" hidden="false" customHeight="false" outlineLevel="0" collapsed="false">
      <c r="A56675" s="0" t="s">
        <v>19397</v>
      </c>
      <c r="B56675" s="0" t="str">
        <f aca="false">HYPERLINK("https://lindat.mff.cuni.cz/services/teitok/pdtc10/index.php?action=vallex&amp;frame=v-w11681_ZUf2_ZU", "vyjít si (v-w11681_ZUf2_ZU)")</f>
        <v>vyjít si (v-w11681_ZUf2_ZU)</v>
      </c>
    </row>
    <row r="56676" customFormat="false" ht="12.8" hidden="false" customHeight="false" outlineLevel="0" collapsed="false">
      <c r="B56676" s="0" t="s">
        <v>1</v>
      </c>
    </row>
    <row r="56677" customFormat="false" ht="12.8" hidden="false" customHeight="false" outlineLevel="0" collapsed="false">
      <c r="B56677" s="0" t="s">
        <v>454</v>
      </c>
    </row>
    <row r="56679" customFormat="false" ht="12.8" hidden="false" customHeight="false" outlineLevel="0" collapsed="false">
      <c r="A56679" s="0" t="s">
        <v>19397</v>
      </c>
      <c r="B56679" s="0" t="str">
        <f aca="false">HYPERLINK("https://lindat.mff.cuni.cz/services/teitok/pdtc10/index.php?action=vallex&amp;frame=v-w11681_ZUf1_ZU", "vyjít si (v-w11681_ZUf1_ZU) - substituted with v-w11681_ZUf2_ZU")</f>
        <v>vyjít si (v-w11681_ZUf1_ZU) - substituted with v-w11681_ZUf2_ZU</v>
      </c>
    </row>
    <row r="56680" customFormat="false" ht="12.8" hidden="false" customHeight="false" outlineLevel="0" collapsed="false">
      <c r="B56680" s="0" t="s">
        <v>1</v>
      </c>
    </row>
    <row r="56681" customFormat="false" ht="12.8" hidden="false" customHeight="false" outlineLevel="0" collapsed="false">
      <c r="B56681" s="0" t="s">
        <v>454</v>
      </c>
    </row>
    <row r="56683" customFormat="false" ht="12.8" hidden="false" customHeight="false" outlineLevel="0" collapsed="false">
      <c r="A56683" s="0" t="s">
        <v>19398</v>
      </c>
      <c r="B56683" s="0" t="str">
        <f aca="false">HYPERLINK("https://lindat.mff.cuni.cz/services/teitok/pdtc10/index.php?action=vallex&amp;frame=v-w7996f2", "vyjíždět (v-w7996f2)")</f>
        <v>vyjíždět (v-w7996f2)</v>
      </c>
    </row>
    <row r="56684" customFormat="false" ht="12.8" hidden="false" customHeight="false" outlineLevel="0" collapsed="false">
      <c r="B56684" s="0" t="s">
        <v>1</v>
      </c>
    </row>
    <row r="56685" customFormat="false" ht="12.8" hidden="false" customHeight="false" outlineLevel="0" collapsed="false">
      <c r="B56685" s="0" t="s">
        <v>631</v>
      </c>
    </row>
    <row r="56687" customFormat="false" ht="12.8" hidden="false" customHeight="false" outlineLevel="0" collapsed="false">
      <c r="A56687" s="0" t="s">
        <v>19399</v>
      </c>
      <c r="B56687" s="0" t="str">
        <f aca="false">HYPERLINK("https://lindat.mff.cuni.cz/services/teitok/pdtc10/index.php?action=vallex&amp;frame=v-w7996f1", "vyjíždět (v-w7996f1)")</f>
        <v>vyjíždět (v-w7996f1)</v>
      </c>
    </row>
    <row r="56688" customFormat="false" ht="12.8" hidden="false" customHeight="false" outlineLevel="0" collapsed="false">
      <c r="B56688" s="0" t="s">
        <v>1</v>
      </c>
    </row>
    <row r="56689" customFormat="false" ht="12.8" hidden="false" customHeight="false" outlineLevel="0" collapsed="false">
      <c r="B56689" s="0" t="s">
        <v>164</v>
      </c>
    </row>
    <row r="56691" customFormat="false" ht="12.8" hidden="false" customHeight="false" outlineLevel="0" collapsed="false">
      <c r="A56691" s="0" t="s">
        <v>19400</v>
      </c>
      <c r="B56691" s="0" t="str">
        <f aca="false">HYPERLINK("https://lindat.mff.cuni.cz/services/teitok/pdtc10/index.php?action=vallex&amp;frame=v-w7996f3_ZU", "vyjíždět (v-w7996f3_ZU)")</f>
        <v>vyjíždět (v-w7996f3_ZU)</v>
      </c>
    </row>
    <row r="56692" customFormat="false" ht="12.8" hidden="false" customHeight="false" outlineLevel="0" collapsed="false">
      <c r="B56692" s="0" t="s">
        <v>1</v>
      </c>
    </row>
    <row r="56693" customFormat="false" ht="12.8" hidden="false" customHeight="false" outlineLevel="0" collapsed="false">
      <c r="B56693" s="0" t="s">
        <v>454</v>
      </c>
    </row>
    <row r="56695" customFormat="false" ht="12.8" hidden="false" customHeight="false" outlineLevel="0" collapsed="false">
      <c r="A56695" s="0" t="s">
        <v>19401</v>
      </c>
      <c r="B56695" s="0" t="str">
        <f aca="false">HYPERLINK("https://lindat.mff.cuni.cz/services/teitok/pdtc10/index.php?action=vallex&amp;frame=v-w7996hsa_370", "vyjíždět (v-w7996hsa_370)")</f>
        <v>vyjíždět (v-w7996hsa_370)</v>
      </c>
    </row>
    <row r="56696" customFormat="false" ht="12.8" hidden="false" customHeight="false" outlineLevel="0" collapsed="false">
      <c r="B56696" s="0" t="s">
        <v>1</v>
      </c>
    </row>
    <row r="56697" customFormat="false" ht="12.8" hidden="false" customHeight="false" outlineLevel="0" collapsed="false">
      <c r="B56697" s="0" t="s">
        <v>8</v>
      </c>
    </row>
    <row r="56699" customFormat="false" ht="12.8" hidden="false" customHeight="false" outlineLevel="0" collapsed="false">
      <c r="A56699" s="0" t="s">
        <v>19402</v>
      </c>
      <c r="B56699" s="0" t="str">
        <f aca="false">HYPERLINK("https://lindat.mff.cuni.cz/services/teitok/pdtc10/index.php?action=vallex&amp;frame=v-w12171_ZUf1_ZU", "vyjíždět si (v-w12171_ZUf1_ZU)")</f>
        <v>vyjíždět si (v-w12171_ZUf1_ZU)</v>
      </c>
    </row>
    <row r="56700" customFormat="false" ht="12.8" hidden="false" customHeight="false" outlineLevel="0" collapsed="false">
      <c r="B56700" s="0" t="s">
        <v>1</v>
      </c>
    </row>
    <row r="56701" customFormat="false" ht="12.8" hidden="false" customHeight="false" outlineLevel="0" collapsed="false">
      <c r="B56701" s="0" t="s">
        <v>454</v>
      </c>
    </row>
    <row r="56703" customFormat="false" ht="12.8" hidden="false" customHeight="false" outlineLevel="0" collapsed="false">
      <c r="A56703" s="0" t="s">
        <v>19403</v>
      </c>
      <c r="B56703" s="0" t="str">
        <f aca="false">HYPERLINK("https://lindat.mff.cuni.cz/services/teitok/pdtc10/index.php?action=vallex&amp;frame=v-w10930f2", "vykalkulovat (v-w10930f2)")</f>
        <v>vykalkulovat (v-w10930f2)</v>
      </c>
      <c r="E56703" s="0" t="str">
        <f aca="false">HYPERLINK("https://lindat.mff.cuni.cz/services/SynSemClass40/SynSemClass40.html?veclass=vec00166#vec00166-ces-cm00007", "vec00166")</f>
        <v>vec00166</v>
      </c>
      <c r="F56703" s="0" t="s">
        <v>12005</v>
      </c>
    </row>
    <row r="56704" customFormat="false" ht="12.8" hidden="false" customHeight="false" outlineLevel="0" collapsed="false">
      <c r="B56704" s="0" t="s">
        <v>1</v>
      </c>
      <c r="C56704" s="0" t="s">
        <v>12006</v>
      </c>
      <c r="E56704" s="0" t="s">
        <v>31</v>
      </c>
      <c r="F56704" s="0" t="s">
        <v>12007</v>
      </c>
    </row>
    <row r="56705" customFormat="false" ht="12.8" hidden="false" customHeight="false" outlineLevel="0" collapsed="false">
      <c r="B56705" s="0" t="s">
        <v>1838</v>
      </c>
      <c r="C56705" s="0" t="s">
        <v>2664</v>
      </c>
      <c r="E56705" s="0" t="s">
        <v>1347</v>
      </c>
      <c r="F56705" s="0" t="s">
        <v>12008</v>
      </c>
    </row>
    <row r="56706" customFormat="false" ht="12.8" hidden="false" customHeight="false" outlineLevel="0" collapsed="false">
      <c r="B56706" s="0" t="s">
        <v>36</v>
      </c>
      <c r="E56706" s="0" t="s">
        <v>2176</v>
      </c>
      <c r="F56706" s="0" t="s">
        <v>2807</v>
      </c>
    </row>
    <row r="56708" customFormat="false" ht="12.8" hidden="false" customHeight="false" outlineLevel="0" collapsed="false">
      <c r="A56708" s="0" t="s">
        <v>19404</v>
      </c>
      <c r="B56708" s="0" t="str">
        <f aca="false">HYPERLINK("https://lindat.mff.cuni.cz/services/teitok/pdtc10/index.php?action=vallex&amp;frame=v-whsa_1845hsa_1846", "vykat (v-whsa_1845hsa_1846)")</f>
        <v>vykat (v-whsa_1845hsa_1846)</v>
      </c>
    </row>
    <row r="56709" customFormat="false" ht="12.8" hidden="false" customHeight="false" outlineLevel="0" collapsed="false">
      <c r="B56709" s="0" t="s">
        <v>1</v>
      </c>
    </row>
    <row r="56710" customFormat="false" ht="12.8" hidden="false" customHeight="false" outlineLevel="0" collapsed="false">
      <c r="B56710" s="0" t="s">
        <v>186</v>
      </c>
    </row>
    <row r="56712" customFormat="false" ht="12.8" hidden="false" customHeight="false" outlineLevel="0" collapsed="false">
      <c r="A56712" s="0" t="s">
        <v>19405</v>
      </c>
      <c r="B56712" s="0" t="str">
        <f aca="false">HYPERLINK("https://lindat.mff.cuni.cz/services/teitok/pdtc10/index.php?action=vallex&amp;frame=v-w8004f1", "vykazovat (v-w8004f1)")</f>
        <v>vykazovat (v-w8004f1)</v>
      </c>
      <c r="E56712" s="0" t="str">
        <f aca="false">HYPERLINK("https://lindat.mff.cuni.cz/services/SynSemClass40/SynSemClass40.html?veclass=vec00163#vec00163-ces-cm00212", "vec00163")</f>
        <v>vec00163</v>
      </c>
      <c r="F56712" s="0" t="s">
        <v>12451</v>
      </c>
    </row>
    <row r="56713" customFormat="false" ht="12.8" hidden="false" customHeight="false" outlineLevel="0" collapsed="false">
      <c r="B56713" s="0" t="s">
        <v>1</v>
      </c>
      <c r="C56713" s="0" t="s">
        <v>1436</v>
      </c>
      <c r="E56713" s="0" t="s">
        <v>31</v>
      </c>
      <c r="F56713" s="0" t="s">
        <v>608</v>
      </c>
    </row>
    <row r="56714" customFormat="false" ht="12.8" hidden="false" customHeight="false" outlineLevel="0" collapsed="false">
      <c r="B56714" s="0" t="s">
        <v>228</v>
      </c>
      <c r="C56714" s="0" t="s">
        <v>1543</v>
      </c>
      <c r="E56714" s="0" t="s">
        <v>1347</v>
      </c>
      <c r="F56714" s="0" t="s">
        <v>12452</v>
      </c>
    </row>
    <row r="56715" customFormat="false" ht="12.8" hidden="false" customHeight="false" outlineLevel="0" collapsed="false">
      <c r="B56715" s="0" t="s">
        <v>132</v>
      </c>
      <c r="E56715" s="0" t="s">
        <v>221</v>
      </c>
      <c r="F56715" s="0" t="s">
        <v>4699</v>
      </c>
    </row>
    <row r="56717" customFormat="false" ht="12.8" hidden="false" customHeight="false" outlineLevel="0" collapsed="false">
      <c r="A56717" s="0" t="s">
        <v>19406</v>
      </c>
      <c r="B56717" s="0" t="str">
        <f aca="false">HYPERLINK("https://lindat.mff.cuni.cz/services/teitok/pdtc10/index.php?action=vallex&amp;frame=v-w8004f2_ZU", "vykazovat (v-w8004f2_ZU)")</f>
        <v>vykazovat (v-w8004f2_ZU)</v>
      </c>
      <c r="E56717" s="0" t="str">
        <f aca="false">HYPERLINK("https://lindat.mff.cuni.cz/services/SynSemClass40/SynSemClass40.html?veclass=vec00555#vec00555-ces-cm00083", "vec00555")</f>
        <v>vec00555</v>
      </c>
      <c r="F56717" s="0" t="s">
        <v>1918</v>
      </c>
    </row>
    <row r="56718" customFormat="false" ht="12.8" hidden="false" customHeight="false" outlineLevel="0" collapsed="false">
      <c r="B56718" s="0" t="s">
        <v>1</v>
      </c>
      <c r="C56718" s="0" t="s">
        <v>1919</v>
      </c>
      <c r="E56718" s="0" t="s">
        <v>31</v>
      </c>
      <c r="F56718" s="0" t="s">
        <v>1920</v>
      </c>
    </row>
    <row r="56719" customFormat="false" ht="12.8" hidden="false" customHeight="false" outlineLevel="0" collapsed="false">
      <c r="B56719" s="0" t="s">
        <v>8</v>
      </c>
      <c r="C56719" s="0" t="s">
        <v>1921</v>
      </c>
      <c r="E56719" s="0" t="s">
        <v>532</v>
      </c>
      <c r="F56719" s="0" t="s">
        <v>1922</v>
      </c>
    </row>
    <row r="56720" customFormat="false" ht="12.8" hidden="false" customHeight="false" outlineLevel="0" collapsed="false">
      <c r="B56720" s="0" t="s">
        <v>631</v>
      </c>
      <c r="C56720" s="0" t="s">
        <v>1923</v>
      </c>
      <c r="E56720" s="0" t="s">
        <v>1924</v>
      </c>
      <c r="F56720" s="0" t="s">
        <v>1925</v>
      </c>
    </row>
    <row r="56722" customFormat="false" ht="12.8" hidden="false" customHeight="false" outlineLevel="0" collapsed="false">
      <c r="A56722" s="0" t="s">
        <v>19407</v>
      </c>
      <c r="B56722" s="0" t="str">
        <f aca="false">HYPERLINK("https://lindat.mff.cuni.cz/services/teitok/pdtc10/index.php?action=vallex&amp;frame=v-w8004f3_ZU", "vykazovat (v-w8004f3_ZU)")</f>
        <v>vykazovat (v-w8004f3_ZU)</v>
      </c>
    </row>
    <row r="56723" customFormat="false" ht="12.8" hidden="false" customHeight="false" outlineLevel="0" collapsed="false">
      <c r="B56723" s="0" t="s">
        <v>1</v>
      </c>
    </row>
    <row r="56724" customFormat="false" ht="12.8" hidden="false" customHeight="false" outlineLevel="0" collapsed="false">
      <c r="B56724" s="0" t="s">
        <v>8</v>
      </c>
    </row>
    <row r="56726" customFormat="false" ht="12.8" hidden="false" customHeight="false" outlineLevel="0" collapsed="false">
      <c r="A56726" s="0" t="s">
        <v>19408</v>
      </c>
      <c r="B56726" s="0" t="str">
        <f aca="false">HYPERLINK("https://lindat.mff.cuni.cz/services/teitok/pdtc10/index.php?action=vallex&amp;frame=v-w10389f3_ZU", "vykašlat (v-w10389f3_ZU)")</f>
        <v>vykašlat (v-w10389f3_ZU)</v>
      </c>
      <c r="E56726" s="0" t="str">
        <f aca="false">HYPERLINK("https://lindat.mff.cuni.cz/services/SynSemClass40/SynSemClass40.html?veclass=vec01153#vec01153-ces-cm00001", "vec01153")</f>
        <v>vec01153</v>
      </c>
      <c r="F56726" s="0" t="s">
        <v>19409</v>
      </c>
    </row>
    <row r="56727" customFormat="false" ht="12.8" hidden="false" customHeight="false" outlineLevel="0" collapsed="false">
      <c r="B56727" s="0" t="s">
        <v>1</v>
      </c>
      <c r="C56727" s="0" t="s">
        <v>512</v>
      </c>
      <c r="E56727" s="0" t="s">
        <v>31</v>
      </c>
      <c r="F56727" s="0" t="s">
        <v>513</v>
      </c>
    </row>
    <row r="56728" customFormat="false" ht="12.8" hidden="false" customHeight="false" outlineLevel="0" collapsed="false">
      <c r="B56728" s="0" t="s">
        <v>8</v>
      </c>
      <c r="C56728" s="0" t="s">
        <v>800</v>
      </c>
      <c r="E56728" s="0" t="s">
        <v>19410</v>
      </c>
      <c r="F56728" s="0" t="s">
        <v>19411</v>
      </c>
    </row>
    <row r="56730" customFormat="false" ht="12.8" hidden="false" customHeight="false" outlineLevel="0" collapsed="false">
      <c r="A56730" s="0" t="s">
        <v>19408</v>
      </c>
      <c r="B56730" s="0" t="str">
        <f aca="false">HYPERLINK("https://lindat.mff.cuni.cz/services/teitok/pdtc10/index.php?action=vallex&amp;frame=v-w10389f2", "vykašlat (v-w10389f2) - substituted with v-w10389f3_ZU")</f>
        <v>vykašlat (v-w10389f2) - substituted with v-w10389f3_ZU</v>
      </c>
    </row>
    <row r="56731" customFormat="false" ht="12.8" hidden="false" customHeight="false" outlineLevel="0" collapsed="false">
      <c r="B56731" s="0" t="s">
        <v>1</v>
      </c>
    </row>
    <row r="56732" customFormat="false" ht="12.8" hidden="false" customHeight="false" outlineLevel="0" collapsed="false">
      <c r="B56732" s="0" t="s">
        <v>8</v>
      </c>
    </row>
    <row r="56734" customFormat="false" ht="12.8" hidden="false" customHeight="false" outlineLevel="0" collapsed="false">
      <c r="A56734" s="0" t="s">
        <v>19412</v>
      </c>
      <c r="B56734" s="0" t="str">
        <f aca="false">HYPERLINK("https://lindat.mff.cuni.cz/services/teitok/pdtc10/index.php?action=vallex&amp;frame=v-whsa_1454f1_ZU", "vykašlat se (v-whsa_1454f1_ZU)")</f>
        <v>vykašlat se (v-whsa_1454f1_ZU)</v>
      </c>
    </row>
    <row r="56735" customFormat="false" ht="12.8" hidden="false" customHeight="false" outlineLevel="0" collapsed="false">
      <c r="B56735" s="0" t="s">
        <v>1</v>
      </c>
    </row>
    <row r="56736" customFormat="false" ht="12.8" hidden="false" customHeight="false" outlineLevel="0" collapsed="false">
      <c r="B56736" s="0" t="s">
        <v>45</v>
      </c>
    </row>
    <row r="56738" customFormat="false" ht="12.8" hidden="false" customHeight="false" outlineLevel="0" collapsed="false">
      <c r="A56738" s="0" t="s">
        <v>19412</v>
      </c>
      <c r="B56738" s="0" t="str">
        <f aca="false">HYPERLINK("https://lindat.mff.cuni.cz/services/teitok/pdtc10/index.php?action=vallex&amp;frame=v-whsa_1454hsa_1455", "vykašlat se (v-whsa_1454hsa_1455) - substituted with v-whsa_1454f1_ZU")</f>
        <v>vykašlat se (v-whsa_1454hsa_1455) - substituted with v-whsa_1454f1_ZU</v>
      </c>
    </row>
    <row r="56739" customFormat="false" ht="12.8" hidden="false" customHeight="false" outlineLevel="0" collapsed="false">
      <c r="B56739" s="0" t="s">
        <v>1</v>
      </c>
    </row>
    <row r="56740" customFormat="false" ht="12.8" hidden="false" customHeight="false" outlineLevel="0" collapsed="false">
      <c r="B56740" s="0" t="s">
        <v>45</v>
      </c>
    </row>
    <row r="56742" customFormat="false" ht="12.8" hidden="false" customHeight="false" outlineLevel="0" collapsed="false">
      <c r="A56742" s="0" t="s">
        <v>19413</v>
      </c>
      <c r="B56742" s="0" t="str">
        <f aca="false">HYPERLINK("https://lindat.mff.cuni.cz/services/teitok/pdtc10/index.php?action=vallex&amp;frame=v-w10090f2", "vykecat (v-w10090f2)")</f>
        <v>vykecat (v-w10090f2)</v>
      </c>
      <c r="E56742" s="0" t="str">
        <f aca="false">HYPERLINK("https://lindat.mff.cuni.cz/services/SynSemClass40/SynSemClass40.html?veclass=vec01155#vec01155-ces-cm00001", "vec01155")</f>
        <v>vec01155</v>
      </c>
      <c r="F56742" s="0" t="s">
        <v>19414</v>
      </c>
    </row>
    <row r="56743" customFormat="false" ht="12.8" hidden="false" customHeight="false" outlineLevel="0" collapsed="false">
      <c r="B56743" s="0" t="s">
        <v>1</v>
      </c>
      <c r="E56743" s="0" t="s">
        <v>147</v>
      </c>
      <c r="F56743" s="0" t="s">
        <v>5874</v>
      </c>
    </row>
    <row r="56744" customFormat="false" ht="12.8" hidden="false" customHeight="false" outlineLevel="0" collapsed="false">
      <c r="B56744" s="0" t="s">
        <v>52</v>
      </c>
      <c r="E56744" s="0" t="s">
        <v>221</v>
      </c>
      <c r="F56744" s="0" t="s">
        <v>4699</v>
      </c>
    </row>
    <row r="56745" customFormat="false" ht="12.8" hidden="false" customHeight="false" outlineLevel="0" collapsed="false">
      <c r="B56745" s="0" t="s">
        <v>12919</v>
      </c>
      <c r="E56745" s="0" t="s">
        <v>2217</v>
      </c>
      <c r="F56745" s="0" t="s">
        <v>11862</v>
      </c>
    </row>
    <row r="56746" customFormat="false" ht="12.8" hidden="false" customHeight="false" outlineLevel="0" collapsed="false">
      <c r="B56746" s="0" t="s">
        <v>12920</v>
      </c>
      <c r="E56746" s="0" t="s">
        <v>218</v>
      </c>
      <c r="F56746" s="0" t="s">
        <v>12586</v>
      </c>
    </row>
    <row r="56748" customFormat="false" ht="12.8" hidden="false" customHeight="false" outlineLevel="0" collapsed="false">
      <c r="A56748" s="0" t="s">
        <v>19415</v>
      </c>
      <c r="B56748" s="0" t="str">
        <f aca="false">HYPERLINK("https://lindat.mff.cuni.cz/services/teitok/pdtc10/index.php?action=vallex&amp;frame=v-w10090hsa_98", "vykecat (v-w10090hsa_98)")</f>
        <v>vykecat (v-w10090hsa_98)</v>
      </c>
    </row>
    <row r="56749" customFormat="false" ht="12.8" hidden="false" customHeight="false" outlineLevel="0" collapsed="false">
      <c r="B56749" s="0" t="s">
        <v>1</v>
      </c>
    </row>
    <row r="56750" customFormat="false" ht="12.8" hidden="false" customHeight="false" outlineLevel="0" collapsed="false">
      <c r="B56750" s="0" t="s">
        <v>8</v>
      </c>
    </row>
    <row r="56751" customFormat="false" ht="12.8" hidden="false" customHeight="false" outlineLevel="0" collapsed="false">
      <c r="B56751" s="0" t="s">
        <v>602</v>
      </c>
    </row>
    <row r="56753" customFormat="false" ht="12.8" hidden="false" customHeight="false" outlineLevel="0" collapsed="false">
      <c r="A56753" s="0" t="s">
        <v>19416</v>
      </c>
      <c r="B56753" s="0" t="str">
        <f aca="false">HYPERLINK("https://lindat.mff.cuni.cz/services/teitok/pdtc10/index.php?action=vallex&amp;frame=v-whsa_1385f1_ZU", "vykecat se (v-whsa_1385f1_ZU)")</f>
        <v>vykecat se (v-whsa_1385f1_ZU)</v>
      </c>
    </row>
    <row r="56754" customFormat="false" ht="12.8" hidden="false" customHeight="false" outlineLevel="0" collapsed="false">
      <c r="B56754" s="0" t="s">
        <v>1</v>
      </c>
    </row>
    <row r="56755" customFormat="false" ht="12.8" hidden="false" customHeight="false" outlineLevel="0" collapsed="false">
      <c r="B56755" s="0" t="s">
        <v>763</v>
      </c>
    </row>
    <row r="56757" customFormat="false" ht="12.8" hidden="false" customHeight="false" outlineLevel="0" collapsed="false">
      <c r="A56757" s="0" t="s">
        <v>19416</v>
      </c>
      <c r="B56757" s="0" t="str">
        <f aca="false">HYPERLINK("https://lindat.mff.cuni.cz/services/teitok/pdtc10/index.php?action=vallex&amp;frame=v-whsa_1385hsa_1386", "vykecat se (v-whsa_1385hsa_1386) - substituted with v-whsa_1385f1_ZU")</f>
        <v>vykecat se (v-whsa_1385hsa_1386) - substituted with v-whsa_1385f1_ZU</v>
      </c>
    </row>
    <row r="56758" customFormat="false" ht="12.8" hidden="false" customHeight="false" outlineLevel="0" collapsed="false">
      <c r="B56758" s="0" t="s">
        <v>1</v>
      </c>
    </row>
    <row r="56759" customFormat="false" ht="12.8" hidden="false" customHeight="false" outlineLevel="0" collapsed="false">
      <c r="B56759" s="0" t="s">
        <v>763</v>
      </c>
    </row>
    <row r="56761" customFormat="false" ht="12.8" hidden="false" customHeight="false" outlineLevel="0" collapsed="false">
      <c r="A56761" s="0" t="s">
        <v>19417</v>
      </c>
      <c r="B56761" s="0" t="str">
        <f aca="false">HYPERLINK("https://lindat.mff.cuni.cz/services/teitok/pdtc10/index.php?action=vallex&amp;frame=v-w11854_ZUf2_ZU", "vyklepat (v-w11854_ZUf2_ZU)")</f>
        <v>vyklepat (v-w11854_ZUf2_ZU)</v>
      </c>
    </row>
    <row r="56762" customFormat="false" ht="12.8" hidden="false" customHeight="false" outlineLevel="0" collapsed="false">
      <c r="B56762" s="0" t="s">
        <v>1</v>
      </c>
    </row>
    <row r="56763" customFormat="false" ht="12.8" hidden="false" customHeight="false" outlineLevel="0" collapsed="false">
      <c r="B56763" s="0" t="s">
        <v>8</v>
      </c>
    </row>
    <row r="56764" customFormat="false" ht="12.8" hidden="false" customHeight="false" outlineLevel="0" collapsed="false">
      <c r="B56764" s="0" t="s">
        <v>602</v>
      </c>
    </row>
    <row r="56766" customFormat="false" ht="12.8" hidden="false" customHeight="false" outlineLevel="0" collapsed="false">
      <c r="A56766" s="0" t="s">
        <v>19417</v>
      </c>
      <c r="B56766" s="0" t="str">
        <f aca="false">HYPERLINK("https://lindat.mff.cuni.cz/services/teitok/pdtc10/index.php?action=vallex&amp;frame=v-w11854_ZUf1_ZU", "vyklepat (v-w11854_ZUf1_ZU) - substituted with v-w11854_ZUf2_ZU")</f>
        <v>vyklepat (v-w11854_ZUf1_ZU) - substituted with v-w11854_ZUf2_ZU</v>
      </c>
    </row>
    <row r="56767" customFormat="false" ht="12.8" hidden="false" customHeight="false" outlineLevel="0" collapsed="false">
      <c r="B56767" s="0" t="s">
        <v>1</v>
      </c>
    </row>
    <row r="56768" customFormat="false" ht="12.8" hidden="false" customHeight="false" outlineLevel="0" collapsed="false">
      <c r="B56768" s="0" t="s">
        <v>8</v>
      </c>
    </row>
    <row r="56769" customFormat="false" ht="12.8" hidden="false" customHeight="false" outlineLevel="0" collapsed="false">
      <c r="B56769" s="0" t="s">
        <v>602</v>
      </c>
    </row>
    <row r="56771" customFormat="false" ht="12.8" hidden="false" customHeight="false" outlineLevel="0" collapsed="false">
      <c r="A56771" s="0" t="s">
        <v>19418</v>
      </c>
      <c r="B56771" s="0" t="str">
        <f aca="false">HYPERLINK("https://lindat.mff.cuni.cz/services/teitok/pdtc10/index.php?action=vallex&amp;frame=v-w8010f1", "vyklidit (v-w8010f1)")</f>
        <v>vyklidit (v-w8010f1)</v>
      </c>
    </row>
    <row r="56772" customFormat="false" ht="12.8" hidden="false" customHeight="false" outlineLevel="0" collapsed="false">
      <c r="B56772" s="0" t="s">
        <v>1</v>
      </c>
    </row>
    <row r="56773" customFormat="false" ht="12.8" hidden="false" customHeight="false" outlineLevel="0" collapsed="false">
      <c r="B56773" s="0" t="s">
        <v>8</v>
      </c>
    </row>
    <row r="56775" customFormat="false" ht="12.8" hidden="false" customHeight="false" outlineLevel="0" collapsed="false">
      <c r="A56775" s="0" t="s">
        <v>19419</v>
      </c>
      <c r="B56775" s="0" t="str">
        <f aca="false">HYPERLINK("https://lindat.mff.cuni.cz/services/teitok/pdtc10/index.php?action=vallex&amp;frame=v-w8010f2", "vyklidit (v-w8010f2)")</f>
        <v>vyklidit (v-w8010f2)</v>
      </c>
    </row>
    <row r="56776" customFormat="false" ht="12.8" hidden="false" customHeight="false" outlineLevel="0" collapsed="false">
      <c r="B56776" s="0" t="s">
        <v>1</v>
      </c>
    </row>
    <row r="56777" customFormat="false" ht="12.8" hidden="false" customHeight="false" outlineLevel="0" collapsed="false">
      <c r="B56777" s="0" t="s">
        <v>8</v>
      </c>
    </row>
    <row r="56779" customFormat="false" ht="12.8" hidden="false" customHeight="false" outlineLevel="0" collapsed="false">
      <c r="A56779" s="0" t="s">
        <v>19420</v>
      </c>
      <c r="B56779" s="0" t="str">
        <f aca="false">HYPERLINK("https://lindat.mff.cuni.cz/services/teitok/pdtc10/index.php?action=vallex&amp;frame=v-w8013f1", "vyklopit (v-w8013f1)")</f>
        <v>vyklopit (v-w8013f1)</v>
      </c>
    </row>
    <row r="56780" customFormat="false" ht="12.8" hidden="false" customHeight="false" outlineLevel="0" collapsed="false">
      <c r="B56780" s="0" t="s">
        <v>1</v>
      </c>
    </row>
    <row r="56781" customFormat="false" ht="12.8" hidden="false" customHeight="false" outlineLevel="0" collapsed="false">
      <c r="B56781" s="0" t="s">
        <v>8</v>
      </c>
    </row>
    <row r="56782" customFormat="false" ht="12.8" hidden="false" customHeight="false" outlineLevel="0" collapsed="false">
      <c r="B56782" s="0" t="s">
        <v>132</v>
      </c>
    </row>
    <row r="56783" customFormat="false" ht="12.8" hidden="false" customHeight="false" outlineLevel="0" collapsed="false">
      <c r="B56783" s="0" t="s">
        <v>723</v>
      </c>
    </row>
    <row r="56785" customFormat="false" ht="12.8" hidden="false" customHeight="false" outlineLevel="0" collapsed="false">
      <c r="A56785" s="0" t="s">
        <v>19421</v>
      </c>
      <c r="B56785" s="0" t="str">
        <f aca="false">HYPERLINK("https://lindat.mff.cuni.cz/services/teitok/pdtc10/index.php?action=vallex&amp;frame=v-w8013f2", "vyklopit (v-w8013f2)")</f>
        <v>vyklopit (v-w8013f2)</v>
      </c>
      <c r="E56785" s="0" t="str">
        <f aca="false">HYPERLINK("https://lindat.mff.cuni.cz/services/SynSemClass40/SynSemClass40.html?veclass=vec00125#vec00125-ces-cm00183", "vec00125")</f>
        <v>vec00125</v>
      </c>
      <c r="F56785" s="0" t="s">
        <v>2552</v>
      </c>
    </row>
    <row r="56786" customFormat="false" ht="12.8" hidden="false" customHeight="false" outlineLevel="0" collapsed="false">
      <c r="B56786" s="0" t="s">
        <v>1</v>
      </c>
      <c r="C56786" s="0" t="s">
        <v>2553</v>
      </c>
      <c r="E56786" s="0" t="s">
        <v>2554</v>
      </c>
      <c r="F56786" s="0" t="s">
        <v>2555</v>
      </c>
    </row>
    <row r="56787" customFormat="false" ht="12.8" hidden="false" customHeight="false" outlineLevel="0" collapsed="false">
      <c r="B56787" s="0" t="s">
        <v>865</v>
      </c>
      <c r="C56787" s="0" t="s">
        <v>2571</v>
      </c>
      <c r="E56787" s="0" t="s">
        <v>2572</v>
      </c>
      <c r="F56787" s="0" t="s">
        <v>2573</v>
      </c>
    </row>
    <row r="56788" customFormat="false" ht="12.8" hidden="false" customHeight="false" outlineLevel="0" collapsed="false">
      <c r="B56788" s="0" t="s">
        <v>2069</v>
      </c>
    </row>
    <row r="56789" customFormat="false" ht="12.8" hidden="false" customHeight="false" outlineLevel="0" collapsed="false">
      <c r="B56789" s="0" t="s">
        <v>132</v>
      </c>
      <c r="C56789" s="0" t="s">
        <v>2559</v>
      </c>
      <c r="E56789" s="0" t="s">
        <v>2560</v>
      </c>
      <c r="F56789" s="0" t="s">
        <v>2561</v>
      </c>
    </row>
    <row r="56791" customFormat="false" ht="12.8" hidden="false" customHeight="false" outlineLevel="0" collapsed="false">
      <c r="A56791" s="0" t="s">
        <v>19422</v>
      </c>
      <c r="B56791" s="0" t="str">
        <f aca="false">HYPERLINK("https://lindat.mff.cuni.cz/services/teitok/pdtc10/index.php?action=vallex&amp;frame=v-w8013f3_ZU", "vyklopit (v-w8013f3_ZU)")</f>
        <v>vyklopit (v-w8013f3_ZU)</v>
      </c>
    </row>
    <row r="56792" customFormat="false" ht="12.8" hidden="false" customHeight="false" outlineLevel="0" collapsed="false">
      <c r="B56792" s="0" t="s">
        <v>1</v>
      </c>
    </row>
    <row r="56793" customFormat="false" ht="12.8" hidden="false" customHeight="false" outlineLevel="0" collapsed="false">
      <c r="B56793" s="0" t="s">
        <v>132</v>
      </c>
    </row>
    <row r="56794" customFormat="false" ht="12.8" hidden="false" customHeight="false" outlineLevel="0" collapsed="false">
      <c r="B56794" s="0" t="s">
        <v>496</v>
      </c>
    </row>
    <row r="56795" customFormat="false" ht="12.8" hidden="false" customHeight="false" outlineLevel="0" collapsed="false">
      <c r="B56795" s="0" t="s">
        <v>6414</v>
      </c>
    </row>
    <row r="56797" customFormat="false" ht="12.8" hidden="false" customHeight="false" outlineLevel="0" collapsed="false">
      <c r="A56797" s="0" t="s">
        <v>19423</v>
      </c>
      <c r="B56797" s="0" t="str">
        <f aca="false">HYPERLINK("https://lindat.mff.cuni.cz/services/teitok/pdtc10/index.php?action=vallex&amp;frame=v-w8014f1", "vykloubit (v-w8014f1)")</f>
        <v>vykloubit (v-w8014f1)</v>
      </c>
    </row>
    <row r="56798" customFormat="false" ht="12.8" hidden="false" customHeight="false" outlineLevel="0" collapsed="false">
      <c r="B56798" s="0" t="s">
        <v>1</v>
      </c>
    </row>
    <row r="56799" customFormat="false" ht="12.8" hidden="false" customHeight="false" outlineLevel="0" collapsed="false">
      <c r="B56799" s="0" t="s">
        <v>8</v>
      </c>
    </row>
    <row r="56801" customFormat="false" ht="12.8" hidden="false" customHeight="false" outlineLevel="0" collapsed="false">
      <c r="A56801" s="0" t="s">
        <v>19424</v>
      </c>
      <c r="B56801" s="0" t="str">
        <f aca="false">HYPERLINK("https://lindat.mff.cuni.cz/services/teitok/pdtc10/index.php?action=vallex&amp;frame=v-w10321f2", "vyklouznout (v-w10321f2)")</f>
        <v>vyklouznout (v-w10321f2)</v>
      </c>
    </row>
    <row r="56802" customFormat="false" ht="12.8" hidden="false" customHeight="false" outlineLevel="0" collapsed="false">
      <c r="B56802" s="0" t="s">
        <v>1</v>
      </c>
    </row>
    <row r="56803" customFormat="false" ht="12.8" hidden="false" customHeight="false" outlineLevel="0" collapsed="false">
      <c r="B56803" s="0" t="s">
        <v>631</v>
      </c>
    </row>
    <row r="56805" customFormat="false" ht="12.8" hidden="false" customHeight="false" outlineLevel="0" collapsed="false">
      <c r="A56805" s="0" t="s">
        <v>19425</v>
      </c>
      <c r="B56805" s="0" t="str">
        <f aca="false">HYPERLINK("https://lindat.mff.cuni.cz/services/teitok/pdtc10/index.php?action=vallex&amp;frame=v-w8015f1", "vyklubat se (v-w8015f1)")</f>
        <v>vyklubat se (v-w8015f1)</v>
      </c>
    </row>
    <row r="56806" customFormat="false" ht="12.8" hidden="false" customHeight="false" outlineLevel="0" collapsed="false">
      <c r="B56806" s="0" t="s">
        <v>1</v>
      </c>
    </row>
    <row r="56807" customFormat="false" ht="12.8" hidden="false" customHeight="false" outlineLevel="0" collapsed="false">
      <c r="B56807" s="0" t="s">
        <v>298</v>
      </c>
    </row>
    <row r="56809" customFormat="false" ht="12.8" hidden="false" customHeight="false" outlineLevel="0" collapsed="false">
      <c r="A56809" s="0" t="s">
        <v>19426</v>
      </c>
      <c r="B56809" s="0" t="str">
        <f aca="false">HYPERLINK("https://lindat.mff.cuni.cz/services/teitok/pdtc10/index.php?action=vallex&amp;frame=v-w8016f1", "vyklusávat (v-w8016f1)")</f>
        <v>vyklusávat (v-w8016f1)</v>
      </c>
    </row>
    <row r="56810" customFormat="false" ht="12.8" hidden="false" customHeight="false" outlineLevel="0" collapsed="false">
      <c r="B56810" s="0" t="s">
        <v>1</v>
      </c>
    </row>
    <row r="56812" customFormat="false" ht="12.8" hidden="false" customHeight="false" outlineLevel="0" collapsed="false">
      <c r="A56812" s="0" t="s">
        <v>19427</v>
      </c>
      <c r="B56812" s="0" t="str">
        <f aca="false">HYPERLINK("https://lindat.mff.cuni.cz/services/teitok/pdtc10/index.php?action=vallex&amp;frame=v-w8008f4", "vykládat (v-w8008f4)")</f>
        <v>vykládat (v-w8008f4)</v>
      </c>
      <c r="E56812" s="0" t="str">
        <f aca="false">HYPERLINK("https://lindat.mff.cuni.cz/services/SynSemClass40/SynSemClass40.html?veclass=vec01353#vec01353-ces-cm00005", "vec01353")</f>
        <v>vec01353</v>
      </c>
      <c r="F56812" s="0" t="s">
        <v>6182</v>
      </c>
    </row>
    <row r="56813" customFormat="false" ht="12.8" hidden="false" customHeight="false" outlineLevel="0" collapsed="false">
      <c r="B56813" s="0" t="s">
        <v>1</v>
      </c>
      <c r="C56813" s="0" t="s">
        <v>11858</v>
      </c>
      <c r="E56813" s="0" t="s">
        <v>147</v>
      </c>
      <c r="F56813" s="0" t="s">
        <v>6184</v>
      </c>
    </row>
    <row r="56814" customFormat="false" ht="12.8" hidden="false" customHeight="false" outlineLevel="0" collapsed="false">
      <c r="B56814" s="0" t="s">
        <v>8373</v>
      </c>
      <c r="C56814" s="0" t="s">
        <v>11859</v>
      </c>
      <c r="E56814" s="0" t="s">
        <v>218</v>
      </c>
      <c r="F56814" s="0" t="s">
        <v>6186</v>
      </c>
    </row>
    <row r="56815" customFormat="false" ht="12.8" hidden="false" customHeight="false" outlineLevel="0" collapsed="false">
      <c r="B56815" s="0" t="s">
        <v>52</v>
      </c>
      <c r="C56815" s="0" t="s">
        <v>6187</v>
      </c>
      <c r="E56815" s="0" t="s">
        <v>221</v>
      </c>
      <c r="F56815" s="0" t="s">
        <v>6188</v>
      </c>
    </row>
    <row r="56817" customFormat="false" ht="12.8" hidden="false" customHeight="false" outlineLevel="0" collapsed="false">
      <c r="A56817" s="0" t="s">
        <v>19428</v>
      </c>
      <c r="B56817" s="0" t="str">
        <f aca="false">HYPERLINK("https://lindat.mff.cuni.cz/services/teitok/pdtc10/index.php?action=vallex&amp;frame=v-w8008f3", "vykládat (v-w8008f3)")</f>
        <v>vykládat (v-w8008f3)</v>
      </c>
      <c r="E56817" s="0" t="str">
        <f aca="false">HYPERLINK("https://lindat.mff.cuni.cz/services/SynSemClass40/SynSemClass40.html?veclass=vec01353#vec01353-ces-cm00004", "vec01353")</f>
        <v>vec01353</v>
      </c>
      <c r="F56817" s="0" t="s">
        <v>6182</v>
      </c>
    </row>
    <row r="56818" customFormat="false" ht="12.8" hidden="false" customHeight="false" outlineLevel="0" collapsed="false">
      <c r="B56818" s="0" t="s">
        <v>1</v>
      </c>
      <c r="C56818" s="0" t="s">
        <v>11858</v>
      </c>
      <c r="E56818" s="0" t="s">
        <v>147</v>
      </c>
      <c r="F56818" s="0" t="s">
        <v>6184</v>
      </c>
    </row>
    <row r="56819" customFormat="false" ht="12.8" hidden="false" customHeight="false" outlineLevel="0" collapsed="false">
      <c r="B56819" s="0" t="s">
        <v>318</v>
      </c>
      <c r="C56819" s="0" t="s">
        <v>11859</v>
      </c>
      <c r="E56819" s="0" t="s">
        <v>218</v>
      </c>
      <c r="F56819" s="0" t="s">
        <v>6186</v>
      </c>
    </row>
    <row r="56820" customFormat="false" ht="12.8" hidden="false" customHeight="false" outlineLevel="0" collapsed="false">
      <c r="B56820" s="0" t="s">
        <v>52</v>
      </c>
      <c r="C56820" s="0" t="s">
        <v>6187</v>
      </c>
      <c r="E56820" s="0" t="s">
        <v>221</v>
      </c>
      <c r="F56820" s="0" t="s">
        <v>6188</v>
      </c>
    </row>
    <row r="56822" customFormat="false" ht="12.8" hidden="false" customHeight="false" outlineLevel="0" collapsed="false">
      <c r="A56822" s="0" t="s">
        <v>19429</v>
      </c>
      <c r="B56822" s="0" t="str">
        <f aca="false">HYPERLINK("https://lindat.mff.cuni.cz/services/teitok/pdtc10/index.php?action=vallex&amp;frame=v-w8008f1", "vykládat (v-w8008f1)")</f>
        <v>vykládat (v-w8008f1)</v>
      </c>
      <c r="E56822" s="0" t="str">
        <f aca="false">HYPERLINK("https://lindat.mff.cuni.cz/services/SynSemClass40/SynSemClass40.html?veclass=vec00557#vec00557-ces-cm00001", "vec00557")</f>
        <v>vec00557</v>
      </c>
      <c r="F56822" s="0" t="s">
        <v>10681</v>
      </c>
    </row>
    <row r="56823" customFormat="false" ht="12.8" hidden="false" customHeight="false" outlineLevel="0" collapsed="false">
      <c r="B56823" s="0" t="s">
        <v>1</v>
      </c>
      <c r="C56823" s="0" t="s">
        <v>6310</v>
      </c>
      <c r="E56823" s="0" t="s">
        <v>147</v>
      </c>
      <c r="F56823" s="0" t="s">
        <v>10682</v>
      </c>
    </row>
    <row r="56824" customFormat="false" ht="12.8" hidden="false" customHeight="false" outlineLevel="0" collapsed="false">
      <c r="B56824" s="0" t="s">
        <v>8</v>
      </c>
      <c r="C56824" s="0" t="s">
        <v>4627</v>
      </c>
      <c r="E56824" s="0" t="s">
        <v>218</v>
      </c>
      <c r="F56824" s="0" t="s">
        <v>4978</v>
      </c>
    </row>
    <row r="56825" customFormat="false" ht="12.8" hidden="false" customHeight="false" outlineLevel="0" collapsed="false">
      <c r="B56825" s="0" t="s">
        <v>132</v>
      </c>
      <c r="C56825" s="0" t="s">
        <v>10683</v>
      </c>
      <c r="E56825" s="0" t="s">
        <v>221</v>
      </c>
      <c r="F56825" s="0" t="s">
        <v>10684</v>
      </c>
    </row>
    <row r="56827" customFormat="false" ht="12.8" hidden="false" customHeight="false" outlineLevel="0" collapsed="false">
      <c r="A56827" s="0" t="s">
        <v>19430</v>
      </c>
      <c r="B56827" s="0" t="str">
        <f aca="false">HYPERLINK("https://lindat.mff.cuni.cz/services/teitok/pdtc10/index.php?action=vallex&amp;frame=v-w8008f5", "vykládat (v-w8008f5)")</f>
        <v>vykládat (v-w8008f5)</v>
      </c>
    </row>
    <row r="56828" customFormat="false" ht="12.8" hidden="false" customHeight="false" outlineLevel="0" collapsed="false">
      <c r="B56828" s="0" t="s">
        <v>1</v>
      </c>
    </row>
    <row r="56829" customFormat="false" ht="12.8" hidden="false" customHeight="false" outlineLevel="0" collapsed="false">
      <c r="B56829" s="0" t="s">
        <v>8</v>
      </c>
    </row>
    <row r="56830" customFormat="false" ht="12.8" hidden="false" customHeight="false" outlineLevel="0" collapsed="false">
      <c r="B56830" s="0" t="s">
        <v>631</v>
      </c>
    </row>
    <row r="56832" customFormat="false" ht="12.8" hidden="false" customHeight="false" outlineLevel="0" collapsed="false">
      <c r="A56832" s="0" t="s">
        <v>19431</v>
      </c>
      <c r="B56832" s="0" t="str">
        <f aca="false">HYPERLINK("https://lindat.mff.cuni.cz/services/teitok/pdtc10/index.php?action=vallex&amp;frame=v-w8008f6", "vykládat (v-w8008f6)")</f>
        <v>vykládat (v-w8008f6)</v>
      </c>
      <c r="E56832" s="0" t="str">
        <f aca="false">HYPERLINK("https://lindat.mff.cuni.cz/services/SynSemClass40/SynSemClass40.html?veclass=vec01156#vec01156-ces-cm00001", "vec01156")</f>
        <v>vec01156</v>
      </c>
      <c r="F56832" s="0" t="s">
        <v>7326</v>
      </c>
    </row>
    <row r="56833" customFormat="false" ht="12.8" hidden="false" customHeight="false" outlineLevel="0" collapsed="false">
      <c r="B56833" s="0" t="s">
        <v>1</v>
      </c>
      <c r="E56833" s="0" t="s">
        <v>107</v>
      </c>
      <c r="F56833" s="0" t="s">
        <v>7327</v>
      </c>
    </row>
    <row r="56834" customFormat="false" ht="12.8" hidden="false" customHeight="false" outlineLevel="0" collapsed="false">
      <c r="B56834" s="0" t="s">
        <v>8</v>
      </c>
      <c r="C56834" s="0" t="s">
        <v>744</v>
      </c>
      <c r="E56834" s="0" t="s">
        <v>7098</v>
      </c>
      <c r="F56834" s="0" t="s">
        <v>7328</v>
      </c>
    </row>
    <row r="56836" customFormat="false" ht="12.8" hidden="false" customHeight="false" outlineLevel="0" collapsed="false">
      <c r="A56836" s="0" t="s">
        <v>19432</v>
      </c>
      <c r="B56836" s="0" t="str">
        <f aca="false">HYPERLINK("https://lindat.mff.cuni.cz/services/teitok/pdtc10/index.php?action=vallex&amp;frame=v-w8008f7_ZU", "vykládat (v-w8008f7_ZU)")</f>
        <v>vykládat (v-w8008f7_ZU)</v>
      </c>
    </row>
    <row r="56837" customFormat="false" ht="12.8" hidden="false" customHeight="false" outlineLevel="0" collapsed="false">
      <c r="B56837" s="0" t="s">
        <v>1</v>
      </c>
    </row>
    <row r="56838" customFormat="false" ht="12.8" hidden="false" customHeight="false" outlineLevel="0" collapsed="false">
      <c r="B56838" s="0" t="s">
        <v>52</v>
      </c>
    </row>
    <row r="56839" customFormat="false" ht="12.8" hidden="false" customHeight="false" outlineLevel="0" collapsed="false">
      <c r="B56839" s="0" t="s">
        <v>19433</v>
      </c>
    </row>
    <row r="56840" customFormat="false" ht="12.8" hidden="false" customHeight="false" outlineLevel="0" collapsed="false">
      <c r="B56840" s="0" t="s">
        <v>496</v>
      </c>
    </row>
    <row r="56842" customFormat="false" ht="12.8" hidden="false" customHeight="false" outlineLevel="0" collapsed="false">
      <c r="A56842" s="0" t="s">
        <v>19432</v>
      </c>
      <c r="B56842" s="0" t="str">
        <f aca="false">HYPERLINK("https://lindat.mff.cuni.cz/services/teitok/pdtc10/index.php?action=vallex&amp;frame=v-w8008f2", "vykládat (v-w8008f2) - substituted with v-w8008f7_ZU")</f>
        <v>vykládat (v-w8008f2) - substituted with v-w8008f7_ZU</v>
      </c>
      <c r="E56842" s="0" t="str">
        <f aca="false">HYPERLINK("https://lindat.mff.cuni.cz/services/SynSemClass40/SynSemClass40.html?veclass=vec01353#vec01353-ces-cm00003", "vec01353")</f>
        <v>vec01353</v>
      </c>
      <c r="F56842" s="0" t="s">
        <v>6182</v>
      </c>
    </row>
    <row r="56843" customFormat="false" ht="12.8" hidden="false" customHeight="false" outlineLevel="0" collapsed="false">
      <c r="B56843" s="0" t="s">
        <v>1</v>
      </c>
      <c r="C56843" s="0" t="s">
        <v>11858</v>
      </c>
      <c r="E56843" s="0" t="s">
        <v>147</v>
      </c>
      <c r="F56843" s="0" t="s">
        <v>6184</v>
      </c>
    </row>
    <row r="56844" customFormat="false" ht="12.8" hidden="false" customHeight="false" outlineLevel="0" collapsed="false">
      <c r="B56844" s="0" t="s">
        <v>52</v>
      </c>
      <c r="C56844" s="0" t="s">
        <v>6187</v>
      </c>
      <c r="E56844" s="0" t="s">
        <v>221</v>
      </c>
      <c r="F56844" s="0" t="s">
        <v>6188</v>
      </c>
    </row>
    <row r="56845" customFormat="false" ht="12.8" hidden="false" customHeight="false" outlineLevel="0" collapsed="false">
      <c r="B56845" s="0" t="s">
        <v>19433</v>
      </c>
      <c r="C56845" s="0" t="s">
        <v>13824</v>
      </c>
      <c r="E56845" s="0" t="s">
        <v>2217</v>
      </c>
      <c r="F56845" s="0" t="s">
        <v>11885</v>
      </c>
    </row>
    <row r="56846" customFormat="false" ht="12.8" hidden="false" customHeight="false" outlineLevel="0" collapsed="false">
      <c r="B56846" s="0" t="s">
        <v>496</v>
      </c>
      <c r="C56846" s="0" t="s">
        <v>11859</v>
      </c>
      <c r="E56846" s="0" t="s">
        <v>218</v>
      </c>
      <c r="F56846" s="0" t="s">
        <v>6186</v>
      </c>
    </row>
    <row r="56848" customFormat="false" ht="12.8" hidden="false" customHeight="false" outlineLevel="0" collapsed="false">
      <c r="A56848" s="0" t="s">
        <v>19434</v>
      </c>
      <c r="B56848" s="0" t="str">
        <f aca="false">HYPERLINK("https://lindat.mff.cuni.cz/services/teitok/pdtc10/index.php?action=vallex&amp;frame=v-w8008f8_ZU", "vykládat (v-w8008f8_ZU)")</f>
        <v>vykládat (v-w8008f8_ZU)</v>
      </c>
    </row>
    <row r="56849" customFormat="false" ht="12.8" hidden="false" customHeight="false" outlineLevel="0" collapsed="false">
      <c r="B56849" s="0" t="s">
        <v>1</v>
      </c>
    </row>
    <row r="56850" customFormat="false" ht="12.8" hidden="false" customHeight="false" outlineLevel="0" collapsed="false">
      <c r="B56850" s="0" t="s">
        <v>8</v>
      </c>
    </row>
    <row r="56852" customFormat="false" ht="12.8" hidden="false" customHeight="false" outlineLevel="0" collapsed="false">
      <c r="A56852" s="0" t="s">
        <v>19435</v>
      </c>
      <c r="B56852" s="0" t="str">
        <f aca="false">HYPERLINK("https://lindat.mff.cuni.cz/services/teitok/pdtc10/index.php?action=vallex&amp;frame=v-w8009f1", "vykládat si (v-w8009f1)")</f>
        <v>vykládat si (v-w8009f1)</v>
      </c>
      <c r="E56852" s="0" t="str">
        <f aca="false">HYPERLINK("https://lindat.mff.cuni.cz/services/SynSemClass40/SynSemClass40.html?veclass=vec00032#vec00032-ces-cm00184", "vec00032")</f>
        <v>vec00032</v>
      </c>
      <c r="F56852" s="0" t="s">
        <v>911</v>
      </c>
      <c r="H56852" s="0" t="str">
        <f aca="false">HYPERLINK("https://lindat.mff.cuni.cz/services/SynSemClass40/SynSemClass40.html?veclass=vec00402#vec00402-ces-cm00109", "vec00402")</f>
        <v>vec00402</v>
      </c>
      <c r="I56852" s="0" t="s">
        <v>619</v>
      </c>
    </row>
    <row r="56853" customFormat="false" ht="12.8" hidden="false" customHeight="false" outlineLevel="0" collapsed="false">
      <c r="B56853" s="0" t="s">
        <v>1</v>
      </c>
      <c r="C56853" s="0" t="s">
        <v>19436</v>
      </c>
      <c r="E56853" s="0" t="s">
        <v>914</v>
      </c>
      <c r="F56853" s="0" t="s">
        <v>915</v>
      </c>
      <c r="H56853" s="0" t="s">
        <v>621</v>
      </c>
      <c r="I56853" s="0" t="s">
        <v>622</v>
      </c>
    </row>
    <row r="56854" customFormat="false" ht="12.8" hidden="false" customHeight="false" outlineLevel="0" collapsed="false">
      <c r="B56854" s="0" t="s">
        <v>8</v>
      </c>
      <c r="C56854" s="0" t="s">
        <v>19437</v>
      </c>
      <c r="E56854" s="0" t="s">
        <v>180</v>
      </c>
      <c r="F56854" s="0" t="s">
        <v>2490</v>
      </c>
      <c r="H56854" s="0" t="s">
        <v>180</v>
      </c>
      <c r="I56854" s="0" t="s">
        <v>624</v>
      </c>
    </row>
    <row r="56855" customFormat="false" ht="12.8" hidden="false" customHeight="false" outlineLevel="0" collapsed="false">
      <c r="B56855" s="0" t="s">
        <v>1640</v>
      </c>
      <c r="C56855" s="0" t="s">
        <v>19438</v>
      </c>
      <c r="E56855" s="0" t="s">
        <v>626</v>
      </c>
      <c r="F56855" s="0" t="s">
        <v>2488</v>
      </c>
      <c r="H56855" s="0" t="s">
        <v>626</v>
      </c>
      <c r="I56855" s="0" t="s">
        <v>627</v>
      </c>
    </row>
    <row r="56857" customFormat="false" ht="12.8" hidden="false" customHeight="false" outlineLevel="0" collapsed="false">
      <c r="A56857" s="0" t="s">
        <v>19439</v>
      </c>
      <c r="B56857" s="0" t="str">
        <f aca="false">HYPERLINK("https://lindat.mff.cuni.cz/services/teitok/pdtc10/index.php?action=vallex&amp;frame=v-w8009hsa_1039", "vykládat si (v-w8009hsa_1039)")</f>
        <v>vykládat si (v-w8009hsa_1039)</v>
      </c>
    </row>
    <row r="56858" customFormat="false" ht="12.8" hidden="false" customHeight="false" outlineLevel="0" collapsed="false">
      <c r="B56858" s="0" t="s">
        <v>1</v>
      </c>
    </row>
    <row r="56859" customFormat="false" ht="12.8" hidden="false" customHeight="false" outlineLevel="0" collapsed="false">
      <c r="B56859" s="0" t="s">
        <v>276</v>
      </c>
    </row>
    <row r="56860" customFormat="false" ht="12.8" hidden="false" customHeight="false" outlineLevel="0" collapsed="false">
      <c r="B56860" s="0" t="s">
        <v>19440</v>
      </c>
    </row>
    <row r="56861" customFormat="false" ht="12.8" hidden="false" customHeight="false" outlineLevel="0" collapsed="false">
      <c r="B56861" s="0" t="s">
        <v>496</v>
      </c>
    </row>
    <row r="56863" customFormat="false" ht="12.8" hidden="false" customHeight="false" outlineLevel="0" collapsed="false">
      <c r="A56863" s="0" t="s">
        <v>19441</v>
      </c>
      <c r="B56863" s="0" t="str">
        <f aca="false">HYPERLINK("https://lindat.mff.cuni.cz/services/teitok/pdtc10/index.php?action=vallex&amp;frame=v-w10756f2", "vyklízet (v-w10756f2)")</f>
        <v>vyklízet (v-w10756f2)</v>
      </c>
      <c r="E56863" s="0" t="str">
        <f aca="false">HYPERLINK("https://lindat.mff.cuni.cz/services/SynSemClass40/SynSemClass40.html?veclass=vec00739#vec00739-ces-cm00034", "vec00739")</f>
        <v>vec00739</v>
      </c>
      <c r="F56863" s="0" t="s">
        <v>5232</v>
      </c>
    </row>
    <row r="56864" customFormat="false" ht="12.8" hidden="false" customHeight="false" outlineLevel="0" collapsed="false">
      <c r="B56864" s="0" t="s">
        <v>1</v>
      </c>
      <c r="C56864" s="0" t="s">
        <v>5233</v>
      </c>
      <c r="E56864" s="0" t="s">
        <v>5234</v>
      </c>
      <c r="F56864" s="0" t="s">
        <v>5235</v>
      </c>
    </row>
    <row r="56865" customFormat="false" ht="12.8" hidden="false" customHeight="false" outlineLevel="0" collapsed="false">
      <c r="B56865" s="0" t="s">
        <v>19442</v>
      </c>
    </row>
    <row r="56867" customFormat="false" ht="12.8" hidden="false" customHeight="false" outlineLevel="0" collapsed="false">
      <c r="A56867" s="0" t="s">
        <v>19443</v>
      </c>
      <c r="B56867" s="0" t="str">
        <f aca="false">HYPERLINK("https://lindat.mff.cuni.cz/services/teitok/pdtc10/index.php?action=vallex&amp;frame=v-w10756f3_ZU", "vyklízet (v-w10756f3_ZU)")</f>
        <v>vyklízet (v-w10756f3_ZU)</v>
      </c>
    </row>
    <row r="56868" customFormat="false" ht="12.8" hidden="false" customHeight="false" outlineLevel="0" collapsed="false">
      <c r="B56868" s="0" t="s">
        <v>1</v>
      </c>
    </row>
    <row r="56869" customFormat="false" ht="12.8" hidden="false" customHeight="false" outlineLevel="0" collapsed="false">
      <c r="B56869" s="0" t="s">
        <v>8</v>
      </c>
    </row>
    <row r="56871" customFormat="false" ht="12.8" hidden="false" customHeight="false" outlineLevel="0" collapsed="false">
      <c r="A56871" s="0" t="s">
        <v>19444</v>
      </c>
      <c r="B56871" s="0" t="str">
        <f aca="false">HYPERLINK("https://lindat.mff.cuni.cz/services/teitok/pdtc10/index.php?action=vallex&amp;frame=v-w10756f5_ZU", "vyklízet (v-w10756f5_ZU)")</f>
        <v>vyklízet (v-w10756f5_ZU)</v>
      </c>
    </row>
    <row r="56872" customFormat="false" ht="12.8" hidden="false" customHeight="false" outlineLevel="0" collapsed="false">
      <c r="B56872" s="0" t="s">
        <v>1</v>
      </c>
    </row>
    <row r="56873" customFormat="false" ht="12.8" hidden="false" customHeight="false" outlineLevel="0" collapsed="false">
      <c r="B56873" s="0" t="s">
        <v>8</v>
      </c>
    </row>
    <row r="56874" customFormat="false" ht="12.8" hidden="false" customHeight="false" outlineLevel="0" collapsed="false">
      <c r="B56874" s="0" t="s">
        <v>6273</v>
      </c>
    </row>
    <row r="56876" customFormat="false" ht="12.8" hidden="false" customHeight="false" outlineLevel="0" collapsed="false">
      <c r="A56876" s="0" t="s">
        <v>19444</v>
      </c>
      <c r="B56876" s="0" t="str">
        <f aca="false">HYPERLINK("https://lindat.mff.cuni.cz/services/teitok/pdtc10/index.php?action=vallex&amp;frame=v-w10756f4_ZU", "vyklízet (v-w10756f4_ZU) - substituted with v-w10756f5_ZU")</f>
        <v>vyklízet (v-w10756f4_ZU) - substituted with v-w10756f5_ZU</v>
      </c>
    </row>
    <row r="56877" customFormat="false" ht="12.8" hidden="false" customHeight="false" outlineLevel="0" collapsed="false">
      <c r="B56877" s="0" t="s">
        <v>1</v>
      </c>
    </row>
    <row r="56878" customFormat="false" ht="12.8" hidden="false" customHeight="false" outlineLevel="0" collapsed="false">
      <c r="B56878" s="0" t="s">
        <v>8</v>
      </c>
    </row>
    <row r="56879" customFormat="false" ht="12.8" hidden="false" customHeight="false" outlineLevel="0" collapsed="false">
      <c r="B56879" s="0" t="s">
        <v>6273</v>
      </c>
    </row>
    <row r="56881" customFormat="false" ht="12.8" hidden="false" customHeight="false" outlineLevel="0" collapsed="false">
      <c r="A56881" s="0" t="s">
        <v>19445</v>
      </c>
      <c r="B56881" s="0" t="str">
        <f aca="false">HYPERLINK("https://lindat.mff.cuni.cz/services/teitok/pdtc10/index.php?action=vallex&amp;frame=v-w8017f1", "vykoledovat (v-w8017f1)")</f>
        <v>vykoledovat (v-w8017f1)</v>
      </c>
    </row>
    <row r="56882" customFormat="false" ht="12.8" hidden="false" customHeight="false" outlineLevel="0" collapsed="false">
      <c r="B56882" s="0" t="s">
        <v>1</v>
      </c>
    </row>
    <row r="56883" customFormat="false" ht="12.8" hidden="false" customHeight="false" outlineLevel="0" collapsed="false">
      <c r="B56883" s="0" t="s">
        <v>8</v>
      </c>
    </row>
    <row r="56885" customFormat="false" ht="12.8" hidden="false" customHeight="false" outlineLevel="0" collapsed="false">
      <c r="A56885" s="0" t="s">
        <v>19446</v>
      </c>
      <c r="B56885" s="0" t="str">
        <f aca="false">HYPERLINK("https://lindat.mff.cuni.cz/services/teitok/pdtc10/index.php?action=vallex&amp;frame=v-w10944f2", "vykolejit (v-w10944f2)")</f>
        <v>vykolejit (v-w10944f2)</v>
      </c>
      <c r="E56885" s="0" t="str">
        <f aca="false">HYPERLINK("https://lindat.mff.cuni.cz/services/SynSemClass40/SynSemClass40.html?veclass=vec00961#vec00961-ces-cm00001", "vec00961")</f>
        <v>vec00961</v>
      </c>
      <c r="F56885" s="0" t="s">
        <v>19447</v>
      </c>
    </row>
    <row r="56886" customFormat="false" ht="12.8" hidden="false" customHeight="false" outlineLevel="0" collapsed="false">
      <c r="B56886" s="0" t="s">
        <v>1</v>
      </c>
      <c r="C56886" s="0" t="s">
        <v>4695</v>
      </c>
      <c r="E56886" s="0" t="s">
        <v>1103</v>
      </c>
      <c r="F56886" s="0" t="s">
        <v>18929</v>
      </c>
    </row>
    <row r="56887" customFormat="false" ht="12.8" hidden="false" customHeight="false" outlineLevel="0" collapsed="false">
      <c r="B56887" s="0" t="s">
        <v>8</v>
      </c>
      <c r="C56887" s="0" t="s">
        <v>462</v>
      </c>
      <c r="E56887" s="0" t="s">
        <v>1399</v>
      </c>
      <c r="F56887" s="0" t="s">
        <v>19448</v>
      </c>
    </row>
    <row r="56889" customFormat="false" ht="12.8" hidden="false" customHeight="false" outlineLevel="0" collapsed="false">
      <c r="A56889" s="0" t="s">
        <v>19449</v>
      </c>
      <c r="B56889" s="0" t="str">
        <f aca="false">HYPERLINK("https://lindat.mff.cuni.cz/services/teitok/pdtc10/index.php?action=vallex&amp;frame=v-w8018f1", "vykompenzovat (v-w8018f1)")</f>
        <v>vykompenzovat (v-w8018f1)</v>
      </c>
      <c r="E56889" s="0" t="str">
        <f aca="false">HYPERLINK("https://lindat.mff.cuni.cz/services/SynSemClass40/SynSemClass40.html?veclass=vec00356#vec00356-ces-cm00005", "vec00356")</f>
        <v>vec00356</v>
      </c>
      <c r="F56889" s="0" t="s">
        <v>5457</v>
      </c>
    </row>
    <row r="56890" customFormat="false" ht="12.8" hidden="false" customHeight="false" outlineLevel="0" collapsed="false">
      <c r="B56890" s="0" t="s">
        <v>1</v>
      </c>
      <c r="C56890" s="0" t="s">
        <v>5458</v>
      </c>
      <c r="E56890" s="0" t="s">
        <v>84</v>
      </c>
      <c r="F56890" s="0" t="s">
        <v>5459</v>
      </c>
    </row>
    <row r="56891" customFormat="false" ht="12.8" hidden="false" customHeight="false" outlineLevel="0" collapsed="false">
      <c r="B56891" s="0" t="s">
        <v>8</v>
      </c>
      <c r="C56891" s="0" t="s">
        <v>5460</v>
      </c>
      <c r="E56891" s="0" t="s">
        <v>4852</v>
      </c>
      <c r="F56891" s="0" t="s">
        <v>5461</v>
      </c>
    </row>
    <row r="56893" customFormat="false" ht="12.8" hidden="false" customHeight="false" outlineLevel="0" collapsed="false">
      <c r="A56893" s="0" t="s">
        <v>19450</v>
      </c>
      <c r="B56893" s="0" t="str">
        <f aca="false">HYPERLINK("https://lindat.mff.cuni.cz/services/teitok/pdtc10/index.php?action=vallex&amp;frame=v-w8021f1", "vykonat (v-w8021f1)")</f>
        <v>vykonat (v-w8021f1)</v>
      </c>
      <c r="E56893" s="0" t="str">
        <f aca="false">HYPERLINK("https://lindat.mff.cuni.cz/services/SynSemClass40/SynSemClass40.html?veclass=vec01188#vec01188-ces-cm00027", "vec01188")</f>
        <v>vec01188</v>
      </c>
      <c r="F56893" s="0" t="s">
        <v>5481</v>
      </c>
    </row>
    <row r="56894" customFormat="false" ht="12.8" hidden="false" customHeight="false" outlineLevel="0" collapsed="false">
      <c r="B56894" s="0" t="s">
        <v>1</v>
      </c>
      <c r="C56894" s="0" t="s">
        <v>10802</v>
      </c>
      <c r="E56894" s="0" t="s">
        <v>31</v>
      </c>
      <c r="F56894" s="0" t="s">
        <v>5483</v>
      </c>
    </row>
    <row r="56895" customFormat="false" ht="12.8" hidden="false" customHeight="false" outlineLevel="0" collapsed="false">
      <c r="B56895" s="0" t="s">
        <v>8</v>
      </c>
      <c r="C56895" s="0" t="s">
        <v>14769</v>
      </c>
      <c r="E56895" s="0" t="s">
        <v>523</v>
      </c>
      <c r="F56895" s="0" t="s">
        <v>10813</v>
      </c>
    </row>
    <row r="56897" customFormat="false" ht="12.8" hidden="false" customHeight="false" outlineLevel="0" collapsed="false">
      <c r="A56897" s="0" t="s">
        <v>19451</v>
      </c>
      <c r="B56897" s="0" t="str">
        <f aca="false">HYPERLINK("https://lindat.mff.cuni.cz/services/teitok/pdtc10/index.php?action=vallex&amp;frame=v-w8021f4_ZU", "vykonat (v-w8021f4_ZU)")</f>
        <v>vykonat (v-w8021f4_ZU)</v>
      </c>
      <c r="E56897" s="0" t="str">
        <f aca="false">HYPERLINK("https://lindat.mff.cuni.cz/services/SynSemClass40/SynSemClass40.html?veclass=vec01188#vec01188-ces-cm00253", "vec01188")</f>
        <v>vec01188</v>
      </c>
      <c r="F56897" s="0" t="s">
        <v>5481</v>
      </c>
    </row>
    <row r="56898" customFormat="false" ht="12.8" hidden="false" customHeight="false" outlineLevel="0" collapsed="false">
      <c r="B56898" s="0" t="s">
        <v>1</v>
      </c>
      <c r="C56898" s="0" t="s">
        <v>10802</v>
      </c>
      <c r="E56898" s="0" t="s">
        <v>31</v>
      </c>
      <c r="F56898" s="0" t="s">
        <v>5483</v>
      </c>
    </row>
    <row r="56899" customFormat="false" ht="12.8" hidden="false" customHeight="false" outlineLevel="0" collapsed="false">
      <c r="B56899" s="0" t="s">
        <v>19452</v>
      </c>
      <c r="C56899" s="0" t="s">
        <v>10804</v>
      </c>
      <c r="E56899" s="0" t="s">
        <v>3478</v>
      </c>
      <c r="F56899" s="0" t="s">
        <v>5488</v>
      </c>
    </row>
    <row r="56901" customFormat="false" ht="12.8" hidden="false" customHeight="false" outlineLevel="0" collapsed="false">
      <c r="A56901" s="0" t="s">
        <v>19451</v>
      </c>
      <c r="B56901" s="0" t="str">
        <f aca="false">HYPERLINK("https://lindat.mff.cuni.cz/services/teitok/pdtc10/index.php?action=vallex&amp;frame=v-w8021f2", "vykonat (v-w8021f2) - substituted with v-w8021f4_ZU")</f>
        <v>vykonat (v-w8021f2) - substituted with v-w8021f4_ZU</v>
      </c>
    </row>
    <row r="56902" customFormat="false" ht="12.8" hidden="false" customHeight="false" outlineLevel="0" collapsed="false">
      <c r="B56902" s="0" t="s">
        <v>1</v>
      </c>
    </row>
    <row r="56903" customFormat="false" ht="12.8" hidden="false" customHeight="false" outlineLevel="0" collapsed="false">
      <c r="B56903" s="0" t="s">
        <v>19452</v>
      </c>
    </row>
    <row r="56905" customFormat="false" ht="12.8" hidden="false" customHeight="false" outlineLevel="0" collapsed="false">
      <c r="A56905" s="0" t="s">
        <v>19453</v>
      </c>
      <c r="B56905" s="0" t="str">
        <f aca="false">HYPERLINK("https://lindat.mff.cuni.cz/services/teitok/pdtc10/index.php?action=vallex&amp;frame=v-w8021f3", "vykonat (v-w8021f3)")</f>
        <v>vykonat (v-w8021f3)</v>
      </c>
    </row>
    <row r="56906" customFormat="false" ht="12.8" hidden="false" customHeight="false" outlineLevel="0" collapsed="false">
      <c r="B56906" s="0" t="s">
        <v>1</v>
      </c>
    </row>
    <row r="56907" customFormat="false" ht="12.8" hidden="false" customHeight="false" outlineLevel="0" collapsed="false">
      <c r="B56907" s="0" t="s">
        <v>18451</v>
      </c>
    </row>
    <row r="56909" customFormat="false" ht="12.8" hidden="false" customHeight="false" outlineLevel="0" collapsed="false">
      <c r="A56909" s="0" t="s">
        <v>19454</v>
      </c>
      <c r="B56909" s="0" t="str">
        <f aca="false">HYPERLINK("https://lindat.mff.cuni.cz/services/teitok/pdtc10/index.php?action=vallex&amp;frame=v-w8024f2", "vykonávat (v-w8024f2)")</f>
        <v>vykonávat (v-w8024f2)</v>
      </c>
      <c r="E56909" s="0" t="str">
        <f aca="false">HYPERLINK("https://lindat.mff.cuni.cz/services/SynSemClass40/SynSemClass40.html?veclass=vec01188#vec01188-ces-cm00198", "vec01188")</f>
        <v>vec01188</v>
      </c>
      <c r="F56909" s="0" t="s">
        <v>5481</v>
      </c>
      <c r="H56909" s="0" t="str">
        <f aca="false">HYPERLINK("https://lindat.mff.cuni.cz/services/SynSemClass40/SynSemClass40.html?veclass=vec01458#vec01458-ces-cm00089", "vec01458")</f>
        <v>vec01458</v>
      </c>
      <c r="I56909" s="0" t="s">
        <v>127</v>
      </c>
    </row>
    <row r="56910" customFormat="false" ht="12.8" hidden="false" customHeight="false" outlineLevel="0" collapsed="false">
      <c r="B56910" s="0" t="s">
        <v>1</v>
      </c>
      <c r="C56910" s="0" t="s">
        <v>19455</v>
      </c>
      <c r="E56910" s="0" t="s">
        <v>31</v>
      </c>
      <c r="F56910" s="0" t="s">
        <v>5483</v>
      </c>
      <c r="H56910" s="0" t="s">
        <v>31</v>
      </c>
      <c r="I56910" s="0" t="s">
        <v>130</v>
      </c>
    </row>
    <row r="56911" customFormat="false" ht="12.8" hidden="false" customHeight="false" outlineLevel="0" collapsed="false">
      <c r="B56911" s="0" t="s">
        <v>8</v>
      </c>
      <c r="C56911" s="0" t="s">
        <v>19456</v>
      </c>
      <c r="E56911" s="0" t="s">
        <v>523</v>
      </c>
      <c r="F56911" s="0" t="s">
        <v>10813</v>
      </c>
      <c r="H56911" s="0" t="s">
        <v>14</v>
      </c>
      <c r="I56911" s="0" t="s">
        <v>288</v>
      </c>
    </row>
    <row r="56913" customFormat="false" ht="12.8" hidden="false" customHeight="false" outlineLevel="0" collapsed="false">
      <c r="A56913" s="0" t="s">
        <v>19457</v>
      </c>
      <c r="B56913" s="0" t="str">
        <f aca="false">HYPERLINK("https://lindat.mff.cuni.cz/services/teitok/pdtc10/index.php?action=vallex&amp;frame=v-w8024f3", "vykonávat (v-w8024f3)")</f>
        <v>vykonávat (v-w8024f3)</v>
      </c>
    </row>
    <row r="56914" customFormat="false" ht="12.8" hidden="false" customHeight="false" outlineLevel="0" collapsed="false">
      <c r="B56914" s="0" t="s">
        <v>1</v>
      </c>
    </row>
    <row r="56915" customFormat="false" ht="12.8" hidden="false" customHeight="false" outlineLevel="0" collapsed="false">
      <c r="B56915" s="0" t="s">
        <v>8</v>
      </c>
    </row>
    <row r="56917" customFormat="false" ht="12.8" hidden="false" customHeight="false" outlineLevel="0" collapsed="false">
      <c r="A56917" s="0" t="s">
        <v>19458</v>
      </c>
      <c r="B56917" s="0" t="str">
        <f aca="false">HYPERLINK("https://lindat.mff.cuni.cz/services/teitok/pdtc10/index.php?action=vallex&amp;frame=v-w8024f12_ZU", "vykonávat (v-w8024f12_ZU)")</f>
        <v>vykonávat (v-w8024f12_ZU)</v>
      </c>
    </row>
    <row r="56918" customFormat="false" ht="12.8" hidden="false" customHeight="false" outlineLevel="0" collapsed="false">
      <c r="B56918" s="0" t="s">
        <v>1</v>
      </c>
    </row>
    <row r="56919" customFormat="false" ht="12.8" hidden="false" customHeight="false" outlineLevel="0" collapsed="false">
      <c r="B56919" s="0" t="s">
        <v>19459</v>
      </c>
    </row>
    <row r="56921" customFormat="false" ht="12.8" hidden="false" customHeight="false" outlineLevel="0" collapsed="false">
      <c r="A56921" s="0" t="s">
        <v>19458</v>
      </c>
      <c r="B56921" s="0" t="str">
        <f aca="false">HYPERLINK("https://lindat.mff.cuni.cz/services/teitok/pdtc10/index.php?action=vallex&amp;frame=v-w8024f1", "vykonávat (v-w8024f1) - substituted with v-w8024f12_ZU")</f>
        <v>vykonávat (v-w8024f1) - substituted with v-w8024f12_ZU</v>
      </c>
    </row>
    <row r="56922" customFormat="false" ht="12.8" hidden="false" customHeight="false" outlineLevel="0" collapsed="false">
      <c r="B56922" s="0" t="s">
        <v>1</v>
      </c>
    </row>
    <row r="56923" customFormat="false" ht="12.8" hidden="false" customHeight="false" outlineLevel="0" collapsed="false">
      <c r="B56923" s="0" t="s">
        <v>19459</v>
      </c>
    </row>
    <row r="56925" customFormat="false" ht="12.8" hidden="false" customHeight="false" outlineLevel="0" collapsed="false">
      <c r="A56925" s="0" t="s">
        <v>19458</v>
      </c>
      <c r="B56925" s="0" t="str">
        <f aca="false">HYPERLINK("https://lindat.mff.cuni.cz/services/teitok/pdtc10/index.php?action=vallex&amp;frame=v-w8024f10_ZU", "vykonávat (v-w8024f10_ZU) - substituted with v-w8024f12_ZU")</f>
        <v>vykonávat (v-w8024f10_ZU) - substituted with v-w8024f12_ZU</v>
      </c>
    </row>
    <row r="56926" customFormat="false" ht="12.8" hidden="false" customHeight="false" outlineLevel="0" collapsed="false">
      <c r="B56926" s="0" t="s">
        <v>1</v>
      </c>
    </row>
    <row r="56927" customFormat="false" ht="12.8" hidden="false" customHeight="false" outlineLevel="0" collapsed="false">
      <c r="B56927" s="0" t="s">
        <v>19459</v>
      </c>
    </row>
    <row r="56929" customFormat="false" ht="12.8" hidden="false" customHeight="false" outlineLevel="0" collapsed="false">
      <c r="A56929" s="0" t="s">
        <v>19458</v>
      </c>
      <c r="B56929" s="0" t="str">
        <f aca="false">HYPERLINK("https://lindat.mff.cuni.cz/services/teitok/pdtc10/index.php?action=vallex&amp;frame=v-w8024f11_ZU", "vykonávat (v-w8024f11_ZU) - substituted with v-w8024f12_ZU")</f>
        <v>vykonávat (v-w8024f11_ZU) - substituted with v-w8024f12_ZU</v>
      </c>
    </row>
    <row r="56930" customFormat="false" ht="12.8" hidden="false" customHeight="false" outlineLevel="0" collapsed="false">
      <c r="B56930" s="0" t="s">
        <v>1</v>
      </c>
    </row>
    <row r="56931" customFormat="false" ht="12.8" hidden="false" customHeight="false" outlineLevel="0" collapsed="false">
      <c r="B56931" s="0" t="s">
        <v>19459</v>
      </c>
    </row>
    <row r="56933" customFormat="false" ht="12.8" hidden="false" customHeight="false" outlineLevel="0" collapsed="false">
      <c r="A56933" s="0" t="s">
        <v>19458</v>
      </c>
      <c r="B56933" s="0" t="str">
        <f aca="false">HYPERLINK("https://lindat.mff.cuni.cz/services/teitok/pdtc10/index.php?action=vallex&amp;frame=v-w8024f4_ZU", "vykonávat (v-w8024f4_ZU) - substituted with v-w8024f12_ZU")</f>
        <v>vykonávat (v-w8024f4_ZU) - substituted with v-w8024f12_ZU</v>
      </c>
    </row>
    <row r="56934" customFormat="false" ht="12.8" hidden="false" customHeight="false" outlineLevel="0" collapsed="false">
      <c r="B56934" s="0" t="s">
        <v>1</v>
      </c>
    </row>
    <row r="56935" customFormat="false" ht="12.8" hidden="false" customHeight="false" outlineLevel="0" collapsed="false">
      <c r="B56935" s="0" t="s">
        <v>19459</v>
      </c>
    </row>
    <row r="56937" customFormat="false" ht="12.8" hidden="false" customHeight="false" outlineLevel="0" collapsed="false">
      <c r="A56937" s="0" t="s">
        <v>19458</v>
      </c>
      <c r="B56937" s="0" t="str">
        <f aca="false">HYPERLINK("https://lindat.mff.cuni.cz/services/teitok/pdtc10/index.php?action=vallex&amp;frame=v-w8024f5_ZU", "vykonávat (v-w8024f5_ZU) - substituted with v-w8024f12_ZU")</f>
        <v>vykonávat (v-w8024f5_ZU) - substituted with v-w8024f12_ZU</v>
      </c>
    </row>
    <row r="56938" customFormat="false" ht="12.8" hidden="false" customHeight="false" outlineLevel="0" collapsed="false">
      <c r="B56938" s="0" t="s">
        <v>1</v>
      </c>
    </row>
    <row r="56939" customFormat="false" ht="12.8" hidden="false" customHeight="false" outlineLevel="0" collapsed="false">
      <c r="B56939" s="0" t="s">
        <v>19459</v>
      </c>
    </row>
    <row r="56941" customFormat="false" ht="12.8" hidden="false" customHeight="false" outlineLevel="0" collapsed="false">
      <c r="A56941" s="0" t="s">
        <v>19458</v>
      </c>
      <c r="B56941" s="0" t="str">
        <f aca="false">HYPERLINK("https://lindat.mff.cuni.cz/services/teitok/pdtc10/index.php?action=vallex&amp;frame=v-w8024f6_ZU", "vykonávat (v-w8024f6_ZU) - substituted with v-w8024f12_ZU")</f>
        <v>vykonávat (v-w8024f6_ZU) - substituted with v-w8024f12_ZU</v>
      </c>
    </row>
    <row r="56942" customFormat="false" ht="12.8" hidden="false" customHeight="false" outlineLevel="0" collapsed="false">
      <c r="B56942" s="0" t="s">
        <v>1</v>
      </c>
    </row>
    <row r="56943" customFormat="false" ht="12.8" hidden="false" customHeight="false" outlineLevel="0" collapsed="false">
      <c r="B56943" s="0" t="s">
        <v>19459</v>
      </c>
    </row>
    <row r="56945" customFormat="false" ht="12.8" hidden="false" customHeight="false" outlineLevel="0" collapsed="false">
      <c r="A56945" s="0" t="s">
        <v>19458</v>
      </c>
      <c r="B56945" s="0" t="str">
        <f aca="false">HYPERLINK("https://lindat.mff.cuni.cz/services/teitok/pdtc10/index.php?action=vallex&amp;frame=v-w8024f7_ZU", "vykonávat (v-w8024f7_ZU) - substituted with v-w8024f12_ZU")</f>
        <v>vykonávat (v-w8024f7_ZU) - substituted with v-w8024f12_ZU</v>
      </c>
      <c r="E56945" s="0" t="str">
        <f aca="false">HYPERLINK("https://lindat.mff.cuni.cz/services/SynSemClass40/SynSemClass40.html?veclass=vec00373#vec00373-ces-cm00090", "vec00373")</f>
        <v>vec00373</v>
      </c>
      <c r="F56945" s="0" t="s">
        <v>6637</v>
      </c>
      <c r="H56945" s="0" t="str">
        <f aca="false">HYPERLINK("https://lindat.mff.cuni.cz/services/SynSemClass40/SynSemClass40.html?veclass=vec01414#vec01414-ces-cm00071", "vec01414")</f>
        <v>vec01414</v>
      </c>
      <c r="I56945" s="0" t="s">
        <v>5475</v>
      </c>
      <c r="K56945" s="0" t="str">
        <f aca="false">HYPERLINK("https://lindat.mff.cuni.cz/services/SynSemClass40/SynSemClass40.html?veclass=vec01458#vec01458-ces-cm00090", "vec01458")</f>
        <v>vec01458</v>
      </c>
      <c r="L56945" s="0" t="s">
        <v>127</v>
      </c>
    </row>
    <row r="56946" customFormat="false" ht="12.8" hidden="false" customHeight="false" outlineLevel="0" collapsed="false">
      <c r="B56946" s="0" t="s">
        <v>1</v>
      </c>
      <c r="C56946" s="0" t="s">
        <v>19460</v>
      </c>
      <c r="E56946" s="0" t="s">
        <v>11</v>
      </c>
      <c r="F56946" s="0" t="s">
        <v>6639</v>
      </c>
      <c r="H56946" s="0" t="s">
        <v>31</v>
      </c>
      <c r="I56946" s="0" t="s">
        <v>5477</v>
      </c>
      <c r="K56946" s="0" t="s">
        <v>31</v>
      </c>
      <c r="L56946" s="0" t="s">
        <v>130</v>
      </c>
    </row>
    <row r="56947" customFormat="false" ht="12.8" hidden="false" customHeight="false" outlineLevel="0" collapsed="false">
      <c r="B56947" s="0" t="s">
        <v>19459</v>
      </c>
      <c r="C56947" s="0" t="s">
        <v>19461</v>
      </c>
      <c r="E56947" s="0" t="s">
        <v>19462</v>
      </c>
      <c r="F56947" s="0" t="s">
        <v>19463</v>
      </c>
      <c r="H56947" s="0" t="s">
        <v>19464</v>
      </c>
      <c r="I56947" s="0" t="s">
        <v>19465</v>
      </c>
      <c r="K56947" s="0" t="s">
        <v>12875</v>
      </c>
      <c r="L56947" s="0" t="s">
        <v>12876</v>
      </c>
    </row>
    <row r="56949" customFormat="false" ht="12.8" hidden="false" customHeight="false" outlineLevel="0" collapsed="false">
      <c r="A56949" s="0" t="s">
        <v>19458</v>
      </c>
      <c r="B56949" s="0" t="str">
        <f aca="false">HYPERLINK("https://lindat.mff.cuni.cz/services/teitok/pdtc10/index.php?action=vallex&amp;frame=v-w8024f8_ZU", "vykonávat (v-w8024f8_ZU) - substituted with v-w8024f12_ZU")</f>
        <v>vykonávat (v-w8024f8_ZU) - substituted with v-w8024f12_ZU</v>
      </c>
    </row>
    <row r="56950" customFormat="false" ht="12.8" hidden="false" customHeight="false" outlineLevel="0" collapsed="false">
      <c r="B56950" s="0" t="s">
        <v>1</v>
      </c>
    </row>
    <row r="56951" customFormat="false" ht="12.8" hidden="false" customHeight="false" outlineLevel="0" collapsed="false">
      <c r="B56951" s="0" t="s">
        <v>19459</v>
      </c>
    </row>
    <row r="56953" customFormat="false" ht="12.8" hidden="false" customHeight="false" outlineLevel="0" collapsed="false">
      <c r="A56953" s="0" t="s">
        <v>19458</v>
      </c>
      <c r="B56953" s="0" t="str">
        <f aca="false">HYPERLINK("https://lindat.mff.cuni.cz/services/teitok/pdtc10/index.php?action=vallex&amp;frame=v-w8024f9_ZU", "vykonávat (v-w8024f9_ZU) - substituted with v-w8024f12_ZU")</f>
        <v>vykonávat (v-w8024f9_ZU) - substituted with v-w8024f12_ZU</v>
      </c>
    </row>
    <row r="56954" customFormat="false" ht="12.8" hidden="false" customHeight="false" outlineLevel="0" collapsed="false">
      <c r="B56954" s="0" t="s">
        <v>1</v>
      </c>
    </row>
    <row r="56955" customFormat="false" ht="12.8" hidden="false" customHeight="false" outlineLevel="0" collapsed="false">
      <c r="B56955" s="0" t="s">
        <v>19459</v>
      </c>
    </row>
    <row r="56957" customFormat="false" ht="12.8" hidden="false" customHeight="false" outlineLevel="0" collapsed="false">
      <c r="A56957" s="0" t="s">
        <v>19458</v>
      </c>
      <c r="B56957" s="0" t="str">
        <f aca="false">HYPERLINK("https://lindat.mff.cuni.cz/services/teitok/pdtc10/index.php?action=vallex&amp;frame=v-w8024hsa_915", "vykonávat (v-w8024hsa_915) - substituted with v-w8024f12_ZU")</f>
        <v>vykonávat (v-w8024hsa_915) - substituted with v-w8024f12_ZU</v>
      </c>
    </row>
    <row r="56958" customFormat="false" ht="12.8" hidden="false" customHeight="false" outlineLevel="0" collapsed="false">
      <c r="B56958" s="0" t="s">
        <v>1</v>
      </c>
    </row>
    <row r="56959" customFormat="false" ht="12.8" hidden="false" customHeight="false" outlineLevel="0" collapsed="false">
      <c r="B56959" s="0" t="s">
        <v>19459</v>
      </c>
    </row>
    <row r="56961" customFormat="false" ht="12.8" hidden="false" customHeight="false" outlineLevel="0" collapsed="false">
      <c r="A56961" s="0" t="s">
        <v>19466</v>
      </c>
      <c r="B56961" s="0" t="str">
        <f aca="false">HYPERLINK("https://lindat.mff.cuni.cz/services/teitok/pdtc10/index.php?action=vallex&amp;frame=v-w8026f2", "vykopat (v-w8026f2)")</f>
        <v>vykopat (v-w8026f2)</v>
      </c>
    </row>
    <row r="56962" customFormat="false" ht="12.8" hidden="false" customHeight="false" outlineLevel="0" collapsed="false">
      <c r="B56962" s="0" t="s">
        <v>1</v>
      </c>
    </row>
    <row r="56963" customFormat="false" ht="12.8" hidden="false" customHeight="false" outlineLevel="0" collapsed="false">
      <c r="B56963" s="0" t="s">
        <v>8</v>
      </c>
    </row>
    <row r="56965" customFormat="false" ht="12.8" hidden="false" customHeight="false" outlineLevel="0" collapsed="false">
      <c r="A56965" s="0" t="s">
        <v>19467</v>
      </c>
      <c r="B56965" s="0" t="str">
        <f aca="false">HYPERLINK("https://lindat.mff.cuni.cz/services/teitok/pdtc10/index.php?action=vallex&amp;frame=v-w8026f1", "vykopat (v-w8026f1)")</f>
        <v>vykopat (v-w8026f1)</v>
      </c>
    </row>
    <row r="56966" customFormat="false" ht="12.8" hidden="false" customHeight="false" outlineLevel="0" collapsed="false">
      <c r="B56966" s="0" t="s">
        <v>1</v>
      </c>
    </row>
    <row r="56967" customFormat="false" ht="12.8" hidden="false" customHeight="false" outlineLevel="0" collapsed="false">
      <c r="B56967" s="0" t="s">
        <v>19468</v>
      </c>
    </row>
    <row r="56969" customFormat="false" ht="12.8" hidden="false" customHeight="false" outlineLevel="0" collapsed="false">
      <c r="A56969" s="0" t="s">
        <v>19469</v>
      </c>
      <c r="B56969" s="0" t="str">
        <f aca="false">HYPERLINK("https://lindat.mff.cuni.cz/services/teitok/pdtc10/index.php?action=vallex&amp;frame=v-w8026hsa_595", "vykopat (v-w8026hsa_595)")</f>
        <v>vykopat (v-w8026hsa_595)</v>
      </c>
    </row>
    <row r="56970" customFormat="false" ht="12.8" hidden="false" customHeight="false" outlineLevel="0" collapsed="false">
      <c r="B56970" s="0" t="s">
        <v>1</v>
      </c>
    </row>
    <row r="56971" customFormat="false" ht="12.8" hidden="false" customHeight="false" outlineLevel="0" collapsed="false">
      <c r="B56971" s="0" t="s">
        <v>8</v>
      </c>
    </row>
    <row r="56973" customFormat="false" ht="12.8" hidden="false" customHeight="false" outlineLevel="0" collapsed="false">
      <c r="A56973" s="0" t="s">
        <v>19470</v>
      </c>
      <c r="B56973" s="0" t="str">
        <f aca="false">HYPERLINK("https://lindat.mff.cuni.cz/services/teitok/pdtc10/index.php?action=vallex&amp;frame=v-w10937f2", "vykopávat (v-w10937f2)")</f>
        <v>vykopávat (v-w10937f2)</v>
      </c>
      <c r="E56973" s="0" t="str">
        <f aca="false">HYPERLINK("https://lindat.mff.cuni.cz/services/SynSemClass40/SynSemClass40.html?veclass=vec00648#vec00648-ces-cm00041", "vec00648")</f>
        <v>vec00648</v>
      </c>
      <c r="F56973" s="0" t="s">
        <v>8797</v>
      </c>
    </row>
    <row r="56974" customFormat="false" ht="12.8" hidden="false" customHeight="false" outlineLevel="0" collapsed="false">
      <c r="B56974" s="0" t="s">
        <v>1</v>
      </c>
      <c r="C56974" s="0" t="s">
        <v>4471</v>
      </c>
      <c r="E56974" s="0" t="s">
        <v>31</v>
      </c>
      <c r="F56974" s="0" t="s">
        <v>8798</v>
      </c>
    </row>
    <row r="56975" customFormat="false" ht="12.8" hidden="false" customHeight="false" outlineLevel="0" collapsed="false">
      <c r="B56975" s="0" t="s">
        <v>8</v>
      </c>
      <c r="C56975" s="0" t="s">
        <v>8799</v>
      </c>
      <c r="E56975" s="0" t="s">
        <v>110</v>
      </c>
      <c r="F56975" s="0" t="s">
        <v>8800</v>
      </c>
    </row>
    <row r="56977" customFormat="false" ht="12.8" hidden="false" customHeight="false" outlineLevel="0" collapsed="false">
      <c r="A56977" s="0" t="s">
        <v>19471</v>
      </c>
      <c r="B56977" s="0" t="str">
        <f aca="false">HYPERLINK("https://lindat.mff.cuni.cz/services/teitok/pdtc10/index.php?action=vallex&amp;frame=v-w10937f3_ZU", "vykopávat (v-w10937f3_ZU)")</f>
        <v>vykopávat (v-w10937f3_ZU)</v>
      </c>
    </row>
    <row r="56978" customFormat="false" ht="12.8" hidden="false" customHeight="false" outlineLevel="0" collapsed="false">
      <c r="B56978" s="0" t="s">
        <v>1</v>
      </c>
    </row>
    <row r="56979" customFormat="false" ht="12.8" hidden="false" customHeight="false" outlineLevel="0" collapsed="false">
      <c r="B56979" s="0" t="s">
        <v>8</v>
      </c>
    </row>
    <row r="56981" customFormat="false" ht="12.8" hidden="false" customHeight="false" outlineLevel="0" collapsed="false">
      <c r="A56981" s="0" t="s">
        <v>19472</v>
      </c>
      <c r="B56981" s="0" t="str">
        <f aca="false">HYPERLINK("https://lindat.mff.cuni.cz/services/teitok/pdtc10/index.php?action=vallex&amp;frame=v-w11746_ZUf1_ZU", "vykopírovat (v-w11746_ZUf1_ZU)")</f>
        <v>vykopírovat (v-w11746_ZUf1_ZU)</v>
      </c>
    </row>
    <row r="56982" customFormat="false" ht="12.8" hidden="false" customHeight="false" outlineLevel="0" collapsed="false">
      <c r="B56982" s="0" t="s">
        <v>1</v>
      </c>
    </row>
    <row r="56983" customFormat="false" ht="12.8" hidden="false" customHeight="false" outlineLevel="0" collapsed="false">
      <c r="B56983" s="0" t="s">
        <v>8</v>
      </c>
    </row>
    <row r="56985" customFormat="false" ht="12.8" hidden="false" customHeight="false" outlineLevel="0" collapsed="false">
      <c r="A56985" s="0" t="s">
        <v>19473</v>
      </c>
      <c r="B56985" s="0" t="str">
        <f aca="false">HYPERLINK("https://lindat.mff.cuni.cz/services/teitok/pdtc10/index.php?action=vallex&amp;frame=v-w12137_ZUf1_ZU", "vykorespondovat (v-w12137_ZUf1_ZU)")</f>
        <v>vykorespondovat (v-w12137_ZUf1_ZU)</v>
      </c>
    </row>
    <row r="56986" customFormat="false" ht="12.8" hidden="false" customHeight="false" outlineLevel="0" collapsed="false">
      <c r="B56986" s="0" t="s">
        <v>1</v>
      </c>
    </row>
    <row r="56987" customFormat="false" ht="12.8" hidden="false" customHeight="false" outlineLevel="0" collapsed="false">
      <c r="B56987" s="0" t="s">
        <v>8</v>
      </c>
    </row>
    <row r="56988" customFormat="false" ht="12.8" hidden="false" customHeight="false" outlineLevel="0" collapsed="false">
      <c r="B56988" s="0" t="s">
        <v>3205</v>
      </c>
    </row>
    <row r="56990" customFormat="false" ht="12.8" hidden="false" customHeight="false" outlineLevel="0" collapsed="false">
      <c r="A56990" s="0" t="s">
        <v>19474</v>
      </c>
      <c r="B56990" s="0" t="str">
        <f aca="false">HYPERLINK("https://lindat.mff.cuni.cz/services/teitok/pdtc10/index.php?action=vallex&amp;frame=v-whsa_1151hsa_1152", "vykostit (v-whsa_1151hsa_1152)")</f>
        <v>vykostit (v-whsa_1151hsa_1152)</v>
      </c>
    </row>
    <row r="56991" customFormat="false" ht="12.8" hidden="false" customHeight="false" outlineLevel="0" collapsed="false">
      <c r="B56991" s="0" t="s">
        <v>1</v>
      </c>
    </row>
    <row r="56992" customFormat="false" ht="12.8" hidden="false" customHeight="false" outlineLevel="0" collapsed="false">
      <c r="B56992" s="0" t="s">
        <v>8</v>
      </c>
    </row>
    <row r="56994" customFormat="false" ht="12.8" hidden="false" customHeight="false" outlineLevel="0" collapsed="false">
      <c r="A56994" s="0" t="s">
        <v>19475</v>
      </c>
      <c r="B56994" s="0" t="str">
        <f aca="false">HYPERLINK("https://lindat.mff.cuni.cz/services/teitok/pdtc10/index.php?action=vallex&amp;frame=v-w8028f1", "vykouknout (v-w8028f1)")</f>
        <v>vykouknout (v-w8028f1)</v>
      </c>
    </row>
    <row r="56995" customFormat="false" ht="12.8" hidden="false" customHeight="false" outlineLevel="0" collapsed="false">
      <c r="B56995" s="0" t="s">
        <v>1</v>
      </c>
    </row>
    <row r="56996" customFormat="false" ht="12.8" hidden="false" customHeight="false" outlineLevel="0" collapsed="false">
      <c r="B56996" s="0" t="s">
        <v>631</v>
      </c>
    </row>
    <row r="56998" customFormat="false" ht="12.8" hidden="false" customHeight="false" outlineLevel="0" collapsed="false">
      <c r="A56998" s="0" t="s">
        <v>19476</v>
      </c>
      <c r="B56998" s="0" t="str">
        <f aca="false">HYPERLINK("https://lindat.mff.cuni.cz/services/teitok/pdtc10/index.php?action=vallex&amp;frame=v-w12320_MMf1_MM", "vykoumat (v-w12320_MMf1_MM)")</f>
        <v>vykoumat (v-w12320_MMf1_MM)</v>
      </c>
    </row>
    <row r="56999" customFormat="false" ht="12.8" hidden="false" customHeight="false" outlineLevel="0" collapsed="false">
      <c r="B56999" s="0" t="s">
        <v>1</v>
      </c>
    </row>
    <row r="57000" customFormat="false" ht="12.8" hidden="false" customHeight="false" outlineLevel="0" collapsed="false">
      <c r="B57000" s="0" t="s">
        <v>8</v>
      </c>
    </row>
    <row r="57002" customFormat="false" ht="12.8" hidden="false" customHeight="false" outlineLevel="0" collapsed="false">
      <c r="A57002" s="0" t="s">
        <v>19477</v>
      </c>
      <c r="B57002" s="0" t="str">
        <f aca="false">HYPERLINK("https://lindat.mff.cuni.cz/services/teitok/pdtc10/index.php?action=vallex&amp;frame=v-w8029f1", "vykoupat (v-w8029f1)")</f>
        <v>vykoupat (v-w8029f1)</v>
      </c>
      <c r="E57002" s="0" t="str">
        <f aca="false">HYPERLINK("https://lindat.mff.cuni.cz/services/SynSemClass40/SynSemClass40.html?veclass=vec01525#vec01525-ces-cm00014", "vec01525")</f>
        <v>vec01525</v>
      </c>
      <c r="F57002" s="0" t="s">
        <v>5689</v>
      </c>
    </row>
    <row r="57003" customFormat="false" ht="12.8" hidden="false" customHeight="false" outlineLevel="0" collapsed="false">
      <c r="B57003" s="0" t="s">
        <v>1</v>
      </c>
      <c r="C57003" s="0" t="s">
        <v>4114</v>
      </c>
      <c r="E57003" s="0" t="s">
        <v>5690</v>
      </c>
      <c r="F57003" s="0" t="s">
        <v>5691</v>
      </c>
    </row>
    <row r="57004" customFormat="false" ht="12.8" hidden="false" customHeight="false" outlineLevel="0" collapsed="false">
      <c r="B57004" s="0" t="s">
        <v>8</v>
      </c>
      <c r="C57004" s="0" t="s">
        <v>5692</v>
      </c>
      <c r="E57004" s="0" t="s">
        <v>5693</v>
      </c>
      <c r="F57004" s="0" t="s">
        <v>5694</v>
      </c>
    </row>
    <row r="57006" customFormat="false" ht="12.8" hidden="false" customHeight="false" outlineLevel="0" collapsed="false">
      <c r="A57006" s="0" t="s">
        <v>19478</v>
      </c>
      <c r="B57006" s="0" t="str">
        <f aca="false">HYPERLINK("https://lindat.mff.cuni.cz/services/teitok/pdtc10/index.php?action=vallex&amp;frame=v-w8030f1", "vykoupat se (v-w8030f1)")</f>
        <v>vykoupat se (v-w8030f1)</v>
      </c>
      <c r="E57006" s="0" t="str">
        <f aca="false">HYPERLINK("https://lindat.mff.cuni.cz/services/SynSemClass40/SynSemClass40.html?veclass=vec01525#vec01525-ces-cm00015", "vec01525")</f>
        <v>vec01525</v>
      </c>
      <c r="F57006" s="0" t="s">
        <v>5689</v>
      </c>
    </row>
    <row r="57007" customFormat="false" ht="12.8" hidden="false" customHeight="false" outlineLevel="0" collapsed="false">
      <c r="B57007" s="0" t="s">
        <v>1</v>
      </c>
      <c r="C57007" s="0" t="s">
        <v>5697</v>
      </c>
      <c r="E57007" s="0" t="s">
        <v>5698</v>
      </c>
      <c r="F57007" s="0" t="s">
        <v>5699</v>
      </c>
    </row>
    <row r="57009" customFormat="false" ht="12.8" hidden="false" customHeight="false" outlineLevel="0" collapsed="false">
      <c r="A57009" s="0" t="s">
        <v>19479</v>
      </c>
      <c r="B57009" s="0" t="str">
        <f aca="false">HYPERLINK("https://lindat.mff.cuni.cz/services/teitok/pdtc10/index.php?action=vallex&amp;frame=v-w8031f1", "vykoupit (v-w8031f1)")</f>
        <v>vykoupit (v-w8031f1)</v>
      </c>
      <c r="E57009" s="0" t="str">
        <f aca="false">HYPERLINK("https://lindat.mff.cuni.cz/services/SynSemClass40/SynSemClass40.html?veclass=vec00035#vec00035-ces-cm00016", "vec00035")</f>
        <v>vec00035</v>
      </c>
      <c r="F57009" s="0" t="s">
        <v>5701</v>
      </c>
    </row>
    <row r="57010" customFormat="false" ht="12.8" hidden="false" customHeight="false" outlineLevel="0" collapsed="false">
      <c r="B57010" s="0" t="s">
        <v>1</v>
      </c>
      <c r="C57010" s="0" t="s">
        <v>5702</v>
      </c>
      <c r="E57010" s="0" t="s">
        <v>5703</v>
      </c>
      <c r="F57010" s="0" t="s">
        <v>5704</v>
      </c>
    </row>
    <row r="57011" customFormat="false" ht="12.8" hidden="false" customHeight="false" outlineLevel="0" collapsed="false">
      <c r="B57011" s="0" t="s">
        <v>8</v>
      </c>
      <c r="C57011" s="0" t="s">
        <v>5705</v>
      </c>
      <c r="E57011" s="0" t="s">
        <v>3201</v>
      </c>
      <c r="F57011" s="0" t="s">
        <v>5706</v>
      </c>
    </row>
    <row r="57012" customFormat="false" ht="12.8" hidden="false" customHeight="false" outlineLevel="0" collapsed="false">
      <c r="B57012" s="0" t="s">
        <v>602</v>
      </c>
      <c r="C57012" s="0" t="s">
        <v>5709</v>
      </c>
      <c r="E57012" s="0" t="s">
        <v>5710</v>
      </c>
      <c r="F57012" s="0" t="s">
        <v>5711</v>
      </c>
    </row>
    <row r="57014" customFormat="false" ht="12.8" hidden="false" customHeight="false" outlineLevel="0" collapsed="false">
      <c r="A57014" s="0" t="s">
        <v>19480</v>
      </c>
      <c r="B57014" s="0" t="str">
        <f aca="false">HYPERLINK("https://lindat.mff.cuni.cz/services/teitok/pdtc10/index.php?action=vallex&amp;frame=v-w8031f2", "vykoupit (v-w8031f2)")</f>
        <v>vykoupit (v-w8031f2)</v>
      </c>
    </row>
    <row r="57015" customFormat="false" ht="12.8" hidden="false" customHeight="false" outlineLevel="0" collapsed="false">
      <c r="B57015" s="0" t="s">
        <v>1</v>
      </c>
    </row>
    <row r="57016" customFormat="false" ht="12.8" hidden="false" customHeight="false" outlineLevel="0" collapsed="false">
      <c r="B57016" s="0" t="s">
        <v>8</v>
      </c>
    </row>
    <row r="57017" customFormat="false" ht="12.8" hidden="false" customHeight="false" outlineLevel="0" collapsed="false">
      <c r="B57017" s="0" t="s">
        <v>7045</v>
      </c>
    </row>
    <row r="57019" customFormat="false" ht="12.8" hidden="false" customHeight="false" outlineLevel="0" collapsed="false">
      <c r="A57019" s="0" t="s">
        <v>19481</v>
      </c>
      <c r="B57019" s="0" t="str">
        <f aca="false">HYPERLINK("https://lindat.mff.cuni.cz/services/teitok/pdtc10/index.php?action=vallex&amp;frame=v-w8031f4_ZU", "vykoupit (v-w8031f4_ZU)")</f>
        <v>vykoupit (v-w8031f4_ZU)</v>
      </c>
    </row>
    <row r="57020" customFormat="false" ht="12.8" hidden="false" customHeight="false" outlineLevel="0" collapsed="false">
      <c r="B57020" s="0" t="s">
        <v>1</v>
      </c>
    </row>
    <row r="57021" customFormat="false" ht="12.8" hidden="false" customHeight="false" outlineLevel="0" collapsed="false">
      <c r="B57021" s="0" t="s">
        <v>8</v>
      </c>
    </row>
    <row r="57022" customFormat="false" ht="12.8" hidden="false" customHeight="false" outlineLevel="0" collapsed="false">
      <c r="B57022" s="0" t="s">
        <v>19482</v>
      </c>
    </row>
    <row r="57024" customFormat="false" ht="12.8" hidden="false" customHeight="false" outlineLevel="0" collapsed="false">
      <c r="A57024" s="0" t="s">
        <v>19481</v>
      </c>
      <c r="B57024" s="0" t="str">
        <f aca="false">HYPERLINK("https://lindat.mff.cuni.cz/services/teitok/pdtc10/index.php?action=vallex&amp;frame=v-w8031f3", "vykoupit (v-w8031f3) - substituted with v-w8031f4_ZU")</f>
        <v>vykoupit (v-w8031f3) - substituted with v-w8031f4_ZU</v>
      </c>
    </row>
    <row r="57025" customFormat="false" ht="12.8" hidden="false" customHeight="false" outlineLevel="0" collapsed="false">
      <c r="B57025" s="0" t="s">
        <v>1</v>
      </c>
    </row>
    <row r="57026" customFormat="false" ht="12.8" hidden="false" customHeight="false" outlineLevel="0" collapsed="false">
      <c r="B57026" s="0" t="s">
        <v>8</v>
      </c>
    </row>
    <row r="57027" customFormat="false" ht="12.8" hidden="false" customHeight="false" outlineLevel="0" collapsed="false">
      <c r="B57027" s="0" t="s">
        <v>19482</v>
      </c>
    </row>
    <row r="57029" customFormat="false" ht="12.8" hidden="false" customHeight="false" outlineLevel="0" collapsed="false">
      <c r="A57029" s="0" t="s">
        <v>19483</v>
      </c>
      <c r="B57029" s="0" t="str">
        <f aca="false">HYPERLINK("https://lindat.mff.cuni.cz/services/teitok/pdtc10/index.php?action=vallex&amp;frame=v-w8032f1", "vykouzlit (v-w8032f1)")</f>
        <v>vykouzlit (v-w8032f1)</v>
      </c>
    </row>
    <row r="57030" customFormat="false" ht="12.8" hidden="false" customHeight="false" outlineLevel="0" collapsed="false">
      <c r="B57030" s="0" t="s">
        <v>1</v>
      </c>
    </row>
    <row r="57031" customFormat="false" ht="12.8" hidden="false" customHeight="false" outlineLevel="0" collapsed="false">
      <c r="B57031" s="0" t="s">
        <v>8</v>
      </c>
    </row>
    <row r="57032" customFormat="false" ht="12.8" hidden="false" customHeight="false" outlineLevel="0" collapsed="false">
      <c r="B57032" s="0" t="s">
        <v>2410</v>
      </c>
    </row>
    <row r="57033" customFormat="false" ht="12.8" hidden="false" customHeight="false" outlineLevel="0" collapsed="false">
      <c r="B57033" s="0" t="s">
        <v>36</v>
      </c>
    </row>
    <row r="57035" customFormat="false" ht="12.8" hidden="false" customHeight="false" outlineLevel="0" collapsed="false">
      <c r="A57035" s="0" t="s">
        <v>19484</v>
      </c>
      <c r="B57035" s="0" t="str">
        <f aca="false">HYPERLINK("https://lindat.mff.cuni.cz/services/teitok/pdtc10/index.php?action=vallex&amp;frame=v-whsa_775hsa_776", "vykouřit (v-whsa_775hsa_776)")</f>
        <v>vykouřit (v-whsa_775hsa_776)</v>
      </c>
    </row>
    <row r="57036" customFormat="false" ht="12.8" hidden="false" customHeight="false" outlineLevel="0" collapsed="false">
      <c r="B57036" s="0" t="s">
        <v>1</v>
      </c>
    </row>
    <row r="57037" customFormat="false" ht="12.8" hidden="false" customHeight="false" outlineLevel="0" collapsed="false">
      <c r="B57037" s="0" t="s">
        <v>8</v>
      </c>
    </row>
    <row r="57039" customFormat="false" ht="12.8" hidden="false" customHeight="false" outlineLevel="0" collapsed="false">
      <c r="A57039" s="0" t="s">
        <v>19485</v>
      </c>
      <c r="B57039" s="0" t="str">
        <f aca="false">HYPERLINK("https://lindat.mff.cuni.cz/services/teitok/pdtc10/index.php?action=vallex&amp;frame=v-w12208_ZUf1_ZU", "vykovat (v-w12208_ZUf1_ZU)")</f>
        <v>vykovat (v-w12208_ZUf1_ZU)</v>
      </c>
    </row>
    <row r="57040" customFormat="false" ht="12.8" hidden="false" customHeight="false" outlineLevel="0" collapsed="false">
      <c r="B57040" s="0" t="s">
        <v>1</v>
      </c>
    </row>
    <row r="57041" customFormat="false" ht="12.8" hidden="false" customHeight="false" outlineLevel="0" collapsed="false">
      <c r="B57041" s="0" t="s">
        <v>8</v>
      </c>
    </row>
    <row r="57042" customFormat="false" ht="12.8" hidden="false" customHeight="false" outlineLevel="0" collapsed="false">
      <c r="B57042" s="0" t="s">
        <v>36</v>
      </c>
    </row>
    <row r="57044" customFormat="false" ht="12.8" hidden="false" customHeight="false" outlineLevel="0" collapsed="false">
      <c r="A57044" s="0" t="s">
        <v>19486</v>
      </c>
      <c r="B57044" s="0" t="str">
        <f aca="false">HYPERLINK("https://lindat.mff.cuni.cz/services/teitok/pdtc10/index.php?action=vallex&amp;frame=v-w8027f1", "vykořenit (v-w8027f1)")</f>
        <v>vykořenit (v-w8027f1)</v>
      </c>
    </row>
    <row r="57045" customFormat="false" ht="12.8" hidden="false" customHeight="false" outlineLevel="0" collapsed="false">
      <c r="B57045" s="0" t="s">
        <v>1</v>
      </c>
    </row>
    <row r="57046" customFormat="false" ht="12.8" hidden="false" customHeight="false" outlineLevel="0" collapsed="false">
      <c r="B57046" s="0" t="s">
        <v>8</v>
      </c>
    </row>
    <row r="57047" customFormat="false" ht="12.8" hidden="false" customHeight="false" outlineLevel="0" collapsed="false">
      <c r="B57047" s="0" t="s">
        <v>631</v>
      </c>
    </row>
    <row r="57049" customFormat="false" ht="12.8" hidden="false" customHeight="false" outlineLevel="0" collapsed="false">
      <c r="A57049" s="0" t="s">
        <v>19487</v>
      </c>
      <c r="B57049" s="0" t="str">
        <f aca="false">HYPERLINK("https://lindat.mff.cuni.cz/services/teitok/pdtc10/index.php?action=vallex&amp;frame=v-w10980f2", "vykořisťovat (v-w10980f2)")</f>
        <v>vykořisťovat (v-w10980f2)</v>
      </c>
      <c r="E57049" s="0" t="str">
        <f aca="false">HYPERLINK("https://lindat.mff.cuni.cz/services/SynSemClass40/SynSemClass40.html?veclass=vec00591#vec00591-ces-cm00024", "vec00591")</f>
        <v>vec00591</v>
      </c>
      <c r="F57049" s="0" t="s">
        <v>7158</v>
      </c>
    </row>
    <row r="57050" customFormat="false" ht="12.8" hidden="false" customHeight="false" outlineLevel="0" collapsed="false">
      <c r="B57050" s="0" t="s">
        <v>1</v>
      </c>
      <c r="E57050" s="0" t="s">
        <v>2005</v>
      </c>
      <c r="F57050" s="0" t="s">
        <v>7159</v>
      </c>
    </row>
    <row r="57051" customFormat="false" ht="12.8" hidden="false" customHeight="false" outlineLevel="0" collapsed="false">
      <c r="B57051" s="0" t="s">
        <v>8</v>
      </c>
      <c r="E57051" s="0" t="s">
        <v>2007</v>
      </c>
      <c r="F57051" s="0" t="s">
        <v>7160</v>
      </c>
    </row>
    <row r="57053" customFormat="false" ht="12.8" hidden="false" customHeight="false" outlineLevel="0" collapsed="false">
      <c r="A57053" s="0" t="s">
        <v>19488</v>
      </c>
      <c r="B57053" s="0" t="str">
        <f aca="false">HYPERLINK("https://lindat.mff.cuni.cz/services/teitok/pdtc10/index.php?action=vallex&amp;frame=v-w11621_ZUf1_ZU", "vykračovat si (v-w11621_ZUf1_ZU)")</f>
        <v>vykračovat si (v-w11621_ZUf1_ZU)</v>
      </c>
    </row>
    <row r="57054" customFormat="false" ht="12.8" hidden="false" customHeight="false" outlineLevel="0" collapsed="false">
      <c r="B57054" s="0" t="s">
        <v>1</v>
      </c>
    </row>
    <row r="57056" customFormat="false" ht="12.8" hidden="false" customHeight="false" outlineLevel="0" collapsed="false">
      <c r="A57056" s="0" t="s">
        <v>19489</v>
      </c>
      <c r="B57056" s="0" t="str">
        <f aca="false">HYPERLINK("https://lindat.mff.cuni.cz/services/teitok/pdtc10/index.php?action=vallex&amp;frame=v-w8035f3_ZU", "vykreslit (v-w8035f3_ZU)")</f>
        <v>vykreslit (v-w8035f3_ZU)</v>
      </c>
      <c r="E57056" s="0" t="str">
        <f aca="false">HYPERLINK("https://lindat.mff.cuni.cz/services/SynSemClass40/SynSemClass40.html?veclass=vec00417#vec00417-ces-cm00054", "vec00417")</f>
        <v>vec00417</v>
      </c>
      <c r="F57056" s="0" t="s">
        <v>1372</v>
      </c>
    </row>
    <row r="57057" customFormat="false" ht="12.8" hidden="false" customHeight="false" outlineLevel="0" collapsed="false">
      <c r="B57057" s="0" t="s">
        <v>1</v>
      </c>
      <c r="C57057" s="0" t="s">
        <v>1373</v>
      </c>
      <c r="E57057" s="0" t="s">
        <v>63</v>
      </c>
      <c r="F57057" s="0" t="s">
        <v>1374</v>
      </c>
    </row>
    <row r="57058" customFormat="false" ht="12.8" hidden="false" customHeight="false" outlineLevel="0" collapsed="false">
      <c r="B57058" s="0" t="s">
        <v>19490</v>
      </c>
      <c r="C57058" s="0" t="s">
        <v>1375</v>
      </c>
      <c r="E57058" s="0" t="s">
        <v>1376</v>
      </c>
      <c r="F57058" s="0" t="s">
        <v>1377</v>
      </c>
    </row>
    <row r="57059" customFormat="false" ht="12.8" hidden="false" customHeight="false" outlineLevel="0" collapsed="false">
      <c r="B57059" s="0" t="s">
        <v>52</v>
      </c>
      <c r="E57059" s="0" t="s">
        <v>221</v>
      </c>
      <c r="F57059" s="0" t="s">
        <v>4699</v>
      </c>
    </row>
    <row r="57061" customFormat="false" ht="12.8" hidden="false" customHeight="false" outlineLevel="0" collapsed="false">
      <c r="A57061" s="0" t="s">
        <v>19489</v>
      </c>
      <c r="B57061" s="0" t="str">
        <f aca="false">HYPERLINK("https://lindat.mff.cuni.cz/services/teitok/pdtc10/index.php?action=vallex&amp;frame=v-w8035f1", "vykreslit (v-w8035f1) - substituted with v-w8035f3_ZU")</f>
        <v>vykreslit (v-w8035f1) - substituted with v-w8035f3_ZU</v>
      </c>
    </row>
    <row r="57062" customFormat="false" ht="12.8" hidden="false" customHeight="false" outlineLevel="0" collapsed="false">
      <c r="B57062" s="0" t="s">
        <v>1</v>
      </c>
    </row>
    <row r="57063" customFormat="false" ht="12.8" hidden="false" customHeight="false" outlineLevel="0" collapsed="false">
      <c r="B57063" s="0" t="s">
        <v>19490</v>
      </c>
    </row>
    <row r="57064" customFormat="false" ht="12.8" hidden="false" customHeight="false" outlineLevel="0" collapsed="false">
      <c r="B57064" s="0" t="s">
        <v>52</v>
      </c>
    </row>
    <row r="57066" customFormat="false" ht="12.8" hidden="false" customHeight="false" outlineLevel="0" collapsed="false">
      <c r="A57066" s="0" t="s">
        <v>19491</v>
      </c>
      <c r="B57066" s="0" t="str">
        <f aca="false">HYPERLINK("https://lindat.mff.cuni.cz/services/teitok/pdtc10/index.php?action=vallex&amp;frame=v-w8035f2", "vykreslit (v-w8035f2)")</f>
        <v>vykreslit (v-w8035f2)</v>
      </c>
    </row>
    <row r="57067" customFormat="false" ht="12.8" hidden="false" customHeight="false" outlineLevel="0" collapsed="false">
      <c r="B57067" s="0" t="s">
        <v>1</v>
      </c>
    </row>
    <row r="57068" customFormat="false" ht="12.8" hidden="false" customHeight="false" outlineLevel="0" collapsed="false">
      <c r="B57068" s="0" t="s">
        <v>8</v>
      </c>
    </row>
    <row r="57070" customFormat="false" ht="12.8" hidden="false" customHeight="false" outlineLevel="0" collapsed="false">
      <c r="A57070" s="0" t="s">
        <v>19492</v>
      </c>
      <c r="B57070" s="0" t="str">
        <f aca="false">HYPERLINK("https://lindat.mff.cuni.cz/services/teitok/pdtc10/index.php?action=vallex&amp;frame=v-w8036f1", "vykreslit se (v-w8036f1)")</f>
        <v>vykreslit se (v-w8036f1)</v>
      </c>
    </row>
    <row r="57071" customFormat="false" ht="12.8" hidden="false" customHeight="false" outlineLevel="0" collapsed="false">
      <c r="B57071" s="0" t="s">
        <v>1</v>
      </c>
    </row>
    <row r="57073" customFormat="false" ht="12.8" hidden="false" customHeight="false" outlineLevel="0" collapsed="false">
      <c r="A57073" s="0" t="s">
        <v>19493</v>
      </c>
      <c r="B57073" s="0" t="str">
        <f aca="false">HYPERLINK("https://lindat.mff.cuni.cz/services/teitok/pdtc10/index.php?action=vallex&amp;frame=v-w11622_ZUf2_ZU", "vykreslovat (v-w11622_ZUf2_ZU)")</f>
        <v>vykreslovat (v-w11622_ZUf2_ZU)</v>
      </c>
      <c r="E57073" s="0" t="str">
        <f aca="false">HYPERLINK("https://lindat.mff.cuni.cz/services/SynSemClass40/SynSemClass40.html?veclass=vec00417#vec00417-ces-cm00055", "vec00417")</f>
        <v>vec00417</v>
      </c>
      <c r="F57073" s="0" t="s">
        <v>1372</v>
      </c>
    </row>
    <row r="57074" customFormat="false" ht="12.8" hidden="false" customHeight="false" outlineLevel="0" collapsed="false">
      <c r="B57074" s="0" t="s">
        <v>1</v>
      </c>
      <c r="C57074" s="0" t="s">
        <v>1373</v>
      </c>
      <c r="E57074" s="0" t="s">
        <v>63</v>
      </c>
      <c r="F57074" s="0" t="s">
        <v>1374</v>
      </c>
    </row>
    <row r="57075" customFormat="false" ht="12.8" hidden="false" customHeight="false" outlineLevel="0" collapsed="false">
      <c r="B57075" s="0" t="s">
        <v>19490</v>
      </c>
      <c r="C57075" s="0" t="s">
        <v>1375</v>
      </c>
      <c r="E57075" s="0" t="s">
        <v>1376</v>
      </c>
      <c r="F57075" s="0" t="s">
        <v>1377</v>
      </c>
    </row>
    <row r="57076" customFormat="false" ht="12.8" hidden="false" customHeight="false" outlineLevel="0" collapsed="false">
      <c r="B57076" s="0" t="s">
        <v>132</v>
      </c>
      <c r="E57076" s="0" t="s">
        <v>221</v>
      </c>
      <c r="F57076" s="0" t="s">
        <v>4699</v>
      </c>
    </row>
    <row r="57078" customFormat="false" ht="12.8" hidden="false" customHeight="false" outlineLevel="0" collapsed="false">
      <c r="A57078" s="0" t="s">
        <v>19493</v>
      </c>
      <c r="B57078" s="0" t="str">
        <f aca="false">HYPERLINK("https://lindat.mff.cuni.cz/services/teitok/pdtc10/index.php?action=vallex&amp;frame=v-w11622_ZUf1_ZU", "vykreslovat (v-w11622_ZUf1_ZU) - substituted with v-w11622_ZUf2_ZU")</f>
        <v>vykreslovat (v-w11622_ZUf1_ZU) - substituted with v-w11622_ZUf2_ZU</v>
      </c>
    </row>
    <row r="57079" customFormat="false" ht="12.8" hidden="false" customHeight="false" outlineLevel="0" collapsed="false">
      <c r="B57079" s="0" t="s">
        <v>1</v>
      </c>
    </row>
    <row r="57080" customFormat="false" ht="12.8" hidden="false" customHeight="false" outlineLevel="0" collapsed="false">
      <c r="B57080" s="0" t="s">
        <v>19490</v>
      </c>
    </row>
    <row r="57081" customFormat="false" ht="12.8" hidden="false" customHeight="false" outlineLevel="0" collapsed="false">
      <c r="B57081" s="0" t="s">
        <v>132</v>
      </c>
    </row>
    <row r="57083" customFormat="false" ht="12.8" hidden="false" customHeight="false" outlineLevel="0" collapsed="false">
      <c r="A57083" s="0" t="s">
        <v>19494</v>
      </c>
      <c r="B57083" s="0" t="str">
        <f aca="false">HYPERLINK("https://lindat.mff.cuni.cz/services/teitok/pdtc10/index.php?action=vallex&amp;frame=v-w8037f1", "vykrmit (v-w8037f1)")</f>
        <v>vykrmit (v-w8037f1)</v>
      </c>
    </row>
    <row r="57084" customFormat="false" ht="12.8" hidden="false" customHeight="false" outlineLevel="0" collapsed="false">
      <c r="B57084" s="0" t="s">
        <v>1</v>
      </c>
    </row>
    <row r="57085" customFormat="false" ht="12.8" hidden="false" customHeight="false" outlineLevel="0" collapsed="false">
      <c r="B57085" s="0" t="s">
        <v>8</v>
      </c>
    </row>
    <row r="57087" customFormat="false" ht="12.8" hidden="false" customHeight="false" outlineLevel="0" collapsed="false">
      <c r="A57087" s="0" t="s">
        <v>19495</v>
      </c>
      <c r="B57087" s="0" t="str">
        <f aca="false">HYPERLINK("https://lindat.mff.cuni.cz/services/teitok/pdtc10/index.php?action=vallex&amp;frame=v-w10878f2", "vykrmovat (v-w10878f2)")</f>
        <v>vykrmovat (v-w10878f2)</v>
      </c>
      <c r="E57087" s="0" t="str">
        <f aca="false">HYPERLINK("https://lindat.mff.cuni.cz/services/SynSemClass40/SynSemClass40.html?veclass=vec00468#vec00468-ces-cm00026", "vec00468")</f>
        <v>vec00468</v>
      </c>
      <c r="F57087" s="0" t="s">
        <v>1440</v>
      </c>
    </row>
    <row r="57088" customFormat="false" ht="12.8" hidden="false" customHeight="false" outlineLevel="0" collapsed="false">
      <c r="B57088" s="0" t="s">
        <v>1</v>
      </c>
      <c r="C57088" s="0" t="s">
        <v>333</v>
      </c>
      <c r="E57088" s="0" t="s">
        <v>1441</v>
      </c>
      <c r="F57088" s="0" t="s">
        <v>1442</v>
      </c>
    </row>
    <row r="57089" customFormat="false" ht="12.8" hidden="false" customHeight="false" outlineLevel="0" collapsed="false">
      <c r="B57089" s="0" t="s">
        <v>8</v>
      </c>
      <c r="C57089" s="0" t="s">
        <v>1443</v>
      </c>
      <c r="E57089" s="0" t="s">
        <v>1444</v>
      </c>
      <c r="F57089" s="0" t="s">
        <v>1445</v>
      </c>
    </row>
    <row r="57091" customFormat="false" ht="12.8" hidden="false" customHeight="false" outlineLevel="0" collapsed="false">
      <c r="A57091" s="0" t="s">
        <v>19496</v>
      </c>
      <c r="B57091" s="0" t="str">
        <f aca="false">HYPERLINK("https://lindat.mff.cuni.cz/services/teitok/pdtc10/index.php?action=vallex&amp;frame=v-whsa_335hsa_336", "vykroutit se (v-whsa_335hsa_336)")</f>
        <v>vykroutit se (v-whsa_335hsa_336)</v>
      </c>
      <c r="E57091" s="0" t="str">
        <f aca="false">HYPERLINK("https://lindat.mff.cuni.cz/services/SynSemClass40/SynSemClass40.html?veclass=vec01465#vec01465-ces-cm00004", "vec01465")</f>
        <v>vec01465</v>
      </c>
      <c r="F57091" s="0" t="s">
        <v>2890</v>
      </c>
    </row>
    <row r="57092" customFormat="false" ht="12.8" hidden="false" customHeight="false" outlineLevel="0" collapsed="false">
      <c r="B57092" s="0" t="s">
        <v>1</v>
      </c>
      <c r="C57092" s="0" t="s">
        <v>17834</v>
      </c>
      <c r="E57092" s="0" t="s">
        <v>2892</v>
      </c>
      <c r="F57092" s="0" t="s">
        <v>2894</v>
      </c>
    </row>
    <row r="57093" customFormat="false" ht="12.8" hidden="false" customHeight="false" outlineLevel="0" collapsed="false">
      <c r="B57093" s="0" t="s">
        <v>298</v>
      </c>
      <c r="C57093" s="0" t="s">
        <v>15707</v>
      </c>
      <c r="E57093" s="0" t="s">
        <v>411</v>
      </c>
      <c r="F57093" s="0" t="s">
        <v>19497</v>
      </c>
    </row>
    <row r="57095" customFormat="false" ht="12.8" hidden="false" customHeight="false" outlineLevel="0" collapsed="false">
      <c r="A57095" s="0" t="s">
        <v>19498</v>
      </c>
      <c r="B57095" s="0" t="str">
        <f aca="false">HYPERLINK("https://lindat.mff.cuni.cz/services/teitok/pdtc10/index.php?action=vallex&amp;frame=v-w8039f2", "vykročit (v-w8039f2)")</f>
        <v>vykročit (v-w8039f2)</v>
      </c>
      <c r="E57095" s="0" t="str">
        <f aca="false">HYPERLINK("https://lindat.mff.cuni.cz/services/SynSemClass40/SynSemClass40.html?veclass=vec00227#vec00227-ces-cm00126", "vec00227")</f>
        <v>vec00227</v>
      </c>
      <c r="F57095" s="0" t="s">
        <v>1313</v>
      </c>
      <c r="H57095" s="0" t="str">
        <f aca="false">HYPERLINK("https://lindat.mff.cuni.cz/services/SynSemClass40/SynSemClass40.html?veclass=vec01025#vec01025-ces-cm00050", "vec01025")</f>
        <v>vec01025</v>
      </c>
      <c r="I57095" s="0" t="s">
        <v>332</v>
      </c>
    </row>
    <row r="57096" customFormat="false" ht="12.8" hidden="false" customHeight="false" outlineLevel="0" collapsed="false">
      <c r="B57096" s="0" t="s">
        <v>1</v>
      </c>
      <c r="C57096" s="0" t="s">
        <v>19499</v>
      </c>
      <c r="E57096" s="0" t="s">
        <v>334</v>
      </c>
      <c r="F57096" s="0" t="s">
        <v>1314</v>
      </c>
      <c r="H57096" s="0" t="s">
        <v>334</v>
      </c>
      <c r="I57096" s="0" t="s">
        <v>335</v>
      </c>
    </row>
    <row r="57097" customFormat="false" ht="12.8" hidden="false" customHeight="false" outlineLevel="0" collapsed="false">
      <c r="B57097" s="0" t="s">
        <v>164</v>
      </c>
      <c r="C57097" s="0" t="s">
        <v>7107</v>
      </c>
      <c r="E57097" s="0" t="s">
        <v>1315</v>
      </c>
      <c r="F57097" s="0" t="s">
        <v>1316</v>
      </c>
      <c r="H57097" s="0" t="s">
        <v>19500</v>
      </c>
      <c r="I57097" s="0" t="s">
        <v>19501</v>
      </c>
    </row>
    <row r="57099" customFormat="false" ht="12.8" hidden="false" customHeight="false" outlineLevel="0" collapsed="false">
      <c r="A57099" s="0" t="s">
        <v>19502</v>
      </c>
      <c r="B57099" s="0" t="str">
        <f aca="false">HYPERLINK("https://lindat.mff.cuni.cz/services/teitok/pdtc10/index.php?action=vallex&amp;frame=v-w8039f1", "vykročit (v-w8039f1)")</f>
        <v>vykročit (v-w8039f1)</v>
      </c>
    </row>
    <row r="57100" customFormat="false" ht="12.8" hidden="false" customHeight="false" outlineLevel="0" collapsed="false">
      <c r="B57100" s="0" t="s">
        <v>1</v>
      </c>
    </row>
    <row r="57102" customFormat="false" ht="12.8" hidden="false" customHeight="false" outlineLevel="0" collapsed="false">
      <c r="A57102" s="0" t="s">
        <v>19503</v>
      </c>
      <c r="B57102" s="0" t="str">
        <f aca="false">HYPERLINK("https://lindat.mff.cuni.cz/services/teitok/pdtc10/index.php?action=vallex&amp;frame=v-w8040f1", "vykrvácet (v-w8040f1)")</f>
        <v>vykrvácet (v-w8040f1)</v>
      </c>
      <c r="E57102" s="0" t="str">
        <f aca="false">HYPERLINK("https://lindat.mff.cuni.cz/services/SynSemClass40/SynSemClass40.html?veclass=vec00625#vec00625-ces-cm00002", "vec00625")</f>
        <v>vec00625</v>
      </c>
      <c r="F57102" s="0" t="s">
        <v>5776</v>
      </c>
    </row>
    <row r="57103" customFormat="false" ht="12.8" hidden="false" customHeight="false" outlineLevel="0" collapsed="false">
      <c r="B57103" s="0" t="s">
        <v>1</v>
      </c>
      <c r="C57103" s="0" t="s">
        <v>512</v>
      </c>
      <c r="E57103" s="0" t="s">
        <v>2565</v>
      </c>
      <c r="F57103" s="0" t="s">
        <v>5777</v>
      </c>
    </row>
    <row r="57105" customFormat="false" ht="12.8" hidden="false" customHeight="false" outlineLevel="0" collapsed="false">
      <c r="A57105" s="0" t="s">
        <v>19504</v>
      </c>
      <c r="B57105" s="0" t="str">
        <f aca="false">HYPERLINK("https://lindat.mff.cuni.cz/services/teitok/pdtc10/index.php?action=vallex&amp;frame=v-w8041f1", "vykrystalizovat (v-w8041f1)")</f>
        <v>vykrystalizovat (v-w8041f1)</v>
      </c>
      <c r="E57105" s="0" t="str">
        <f aca="false">HYPERLINK("https://lindat.mff.cuni.cz/services/SynSemClass40/SynSemClass40.html?veclass=vec00522#vec00522-ces-cm00015", "vec00522")</f>
        <v>vec00522</v>
      </c>
      <c r="F57105" s="0" t="s">
        <v>16479</v>
      </c>
      <c r="H57105" s="0" t="str">
        <f aca="false">HYPERLINK("https://lindat.mff.cuni.cz/services/SynSemClass40/SynSemClass40.html?veclass=vec01018#vec01018-ces-cm00005", "vec01018")</f>
        <v>vec01018</v>
      </c>
      <c r="I57105" s="0" t="s">
        <v>3141</v>
      </c>
    </row>
    <row r="57106" customFormat="false" ht="12.8" hidden="false" customHeight="false" outlineLevel="0" collapsed="false">
      <c r="B57106" s="0" t="s">
        <v>1</v>
      </c>
      <c r="C57106" s="0" t="s">
        <v>19505</v>
      </c>
      <c r="E57106" s="0" t="s">
        <v>8199</v>
      </c>
      <c r="F57106" s="0" t="s">
        <v>16481</v>
      </c>
      <c r="H57106" s="0" t="s">
        <v>3142</v>
      </c>
      <c r="I57106" s="0" t="s">
        <v>3143</v>
      </c>
    </row>
    <row r="57108" customFormat="false" ht="12.8" hidden="false" customHeight="false" outlineLevel="0" collapsed="false">
      <c r="A57108" s="0" t="s">
        <v>19506</v>
      </c>
      <c r="B57108" s="0" t="str">
        <f aca="false">HYPERLINK("https://lindat.mff.cuni.cz/services/teitok/pdtc10/index.php?action=vallex&amp;frame=v-w10549f3", "vykrádat (v-w10549f3)")</f>
        <v>vykrádat (v-w10549f3)</v>
      </c>
      <c r="E57108" s="0" t="str">
        <f aca="false">HYPERLINK("https://lindat.mff.cuni.cz/services/SynSemClass40/SynSemClass40.html?veclass=vec01303#vec01303-ces-cm00005", "vec01303")</f>
        <v>vec01303</v>
      </c>
      <c r="F57108" s="0" t="s">
        <v>3188</v>
      </c>
    </row>
    <row r="57109" customFormat="false" ht="12.8" hidden="false" customHeight="false" outlineLevel="0" collapsed="false">
      <c r="B57109" s="0" t="s">
        <v>1</v>
      </c>
      <c r="E57109" s="0" t="s">
        <v>1573</v>
      </c>
      <c r="F57109" s="0" t="s">
        <v>3191</v>
      </c>
    </row>
    <row r="57110" customFormat="false" ht="12.8" hidden="false" customHeight="false" outlineLevel="0" collapsed="false">
      <c r="B57110" s="0" t="s">
        <v>8</v>
      </c>
      <c r="C57110" s="0" t="s">
        <v>462</v>
      </c>
      <c r="E57110" s="0" t="s">
        <v>594</v>
      </c>
      <c r="F57110" s="0" t="s">
        <v>3194</v>
      </c>
    </row>
    <row r="57112" customFormat="false" ht="12.8" hidden="false" customHeight="false" outlineLevel="0" collapsed="false">
      <c r="A57112" s="0" t="s">
        <v>19507</v>
      </c>
      <c r="B57112" s="0" t="str">
        <f aca="false">HYPERLINK("https://lindat.mff.cuni.cz/services/teitok/pdtc10/index.php?action=vallex&amp;frame=v-w8034f1", "vykrást (v-w8034f1)")</f>
        <v>vykrást (v-w8034f1)</v>
      </c>
      <c r="E57112" s="0" t="str">
        <f aca="false">HYPERLINK("https://lindat.mff.cuni.cz/services/SynSemClass40/SynSemClass40.html?veclass=vec01303#vec01303-ces-cm00006", "vec01303")</f>
        <v>vec01303</v>
      </c>
      <c r="F57112" s="0" t="s">
        <v>3188</v>
      </c>
    </row>
    <row r="57113" customFormat="false" ht="12.8" hidden="false" customHeight="false" outlineLevel="0" collapsed="false">
      <c r="B57113" s="0" t="s">
        <v>1</v>
      </c>
      <c r="E57113" s="0" t="s">
        <v>1573</v>
      </c>
      <c r="F57113" s="0" t="s">
        <v>3191</v>
      </c>
    </row>
    <row r="57114" customFormat="false" ht="12.8" hidden="false" customHeight="false" outlineLevel="0" collapsed="false">
      <c r="B57114" s="0" t="s">
        <v>8</v>
      </c>
      <c r="C57114" s="0" t="s">
        <v>462</v>
      </c>
      <c r="E57114" s="0" t="s">
        <v>594</v>
      </c>
      <c r="F57114" s="0" t="s">
        <v>3194</v>
      </c>
    </row>
    <row r="57116" customFormat="false" ht="12.8" hidden="false" customHeight="false" outlineLevel="0" collapsed="false">
      <c r="A57116" s="0" t="s">
        <v>19508</v>
      </c>
      <c r="B57116" s="0" t="str">
        <f aca="false">HYPERLINK("https://lindat.mff.cuni.cz/services/teitok/pdtc10/index.php?action=vallex&amp;frame=v-w8042f1", "vykrýt (v-w8042f1)")</f>
        <v>vykrýt (v-w8042f1)</v>
      </c>
    </row>
    <row r="57117" customFormat="false" ht="12.8" hidden="false" customHeight="false" outlineLevel="0" collapsed="false">
      <c r="B57117" s="0" t="s">
        <v>1</v>
      </c>
    </row>
    <row r="57118" customFormat="false" ht="12.8" hidden="false" customHeight="false" outlineLevel="0" collapsed="false">
      <c r="B57118" s="0" t="s">
        <v>8</v>
      </c>
    </row>
    <row r="57120" customFormat="false" ht="12.8" hidden="false" customHeight="false" outlineLevel="0" collapsed="false">
      <c r="A57120" s="0" t="s">
        <v>19509</v>
      </c>
      <c r="B57120" s="0" t="str">
        <f aca="false">HYPERLINK("https://lindat.mff.cuni.cz/services/teitok/pdtc10/index.php?action=vallex&amp;frame=v-whsa_1662hsa_1663", "vykuchat (v-whsa_1662hsa_1663)")</f>
        <v>vykuchat (v-whsa_1662hsa_1663)</v>
      </c>
    </row>
    <row r="57121" customFormat="false" ht="12.8" hidden="false" customHeight="false" outlineLevel="0" collapsed="false">
      <c r="B57121" s="0" t="s">
        <v>1</v>
      </c>
    </row>
    <row r="57122" customFormat="false" ht="12.8" hidden="false" customHeight="false" outlineLevel="0" collapsed="false">
      <c r="B57122" s="0" t="s">
        <v>8</v>
      </c>
    </row>
    <row r="57124" customFormat="false" ht="12.8" hidden="false" customHeight="false" outlineLevel="0" collapsed="false">
      <c r="A57124" s="0" t="s">
        <v>19510</v>
      </c>
      <c r="B57124" s="0" t="str">
        <f aca="false">HYPERLINK("https://lindat.mff.cuni.cz/services/teitok/pdtc10/index.php?action=vallex&amp;frame=v-w8045f1", "vykukovat (v-w8045f1)")</f>
        <v>vykukovat (v-w8045f1)</v>
      </c>
    </row>
    <row r="57125" customFormat="false" ht="12.8" hidden="false" customHeight="false" outlineLevel="0" collapsed="false">
      <c r="B57125" s="0" t="s">
        <v>1</v>
      </c>
    </row>
    <row r="57126" customFormat="false" ht="12.8" hidden="false" customHeight="false" outlineLevel="0" collapsed="false">
      <c r="B57126" s="0" t="s">
        <v>631</v>
      </c>
    </row>
    <row r="57128" customFormat="false" ht="12.8" hidden="false" customHeight="false" outlineLevel="0" collapsed="false">
      <c r="A57128" s="0" t="s">
        <v>19511</v>
      </c>
      <c r="B57128" s="0" t="str">
        <f aca="false">HYPERLINK("https://lindat.mff.cuni.cz/services/teitok/pdtc10/index.php?action=vallex&amp;frame=v-w8045f2_ZU", "vykukovat (v-w8045f2_ZU)")</f>
        <v>vykukovat (v-w8045f2_ZU)</v>
      </c>
    </row>
    <row r="57129" customFormat="false" ht="12.8" hidden="false" customHeight="false" outlineLevel="0" collapsed="false">
      <c r="B57129" s="0" t="s">
        <v>1</v>
      </c>
    </row>
    <row r="57130" customFormat="false" ht="12.8" hidden="false" customHeight="false" outlineLevel="0" collapsed="false">
      <c r="B57130" s="0" t="s">
        <v>6273</v>
      </c>
    </row>
    <row r="57132" customFormat="false" ht="12.8" hidden="false" customHeight="false" outlineLevel="0" collapsed="false">
      <c r="A57132" s="0" t="s">
        <v>19512</v>
      </c>
      <c r="B57132" s="0" t="str">
        <f aca="false">HYPERLINK("https://lindat.mff.cuni.cz/services/teitok/pdtc10/index.php?action=vallex&amp;frame=v-w11214f2", "vykulminovat (v-w11214f2)")</f>
        <v>vykulminovat (v-w11214f2)</v>
      </c>
    </row>
    <row r="57133" customFormat="false" ht="12.8" hidden="false" customHeight="false" outlineLevel="0" collapsed="false">
      <c r="B57133" s="0" t="s">
        <v>1</v>
      </c>
    </row>
    <row r="57135" customFormat="false" ht="12.8" hidden="false" customHeight="false" outlineLevel="0" collapsed="false">
      <c r="A57135" s="0" t="s">
        <v>19513</v>
      </c>
      <c r="B57135" s="0" t="str">
        <f aca="false">HYPERLINK("https://lindat.mff.cuni.cz/services/teitok/pdtc10/index.php?action=vallex&amp;frame=v-w8048f1", "vykupovat (v-w8048f1)")</f>
        <v>vykupovat (v-w8048f1)</v>
      </c>
      <c r="E57135" s="0" t="str">
        <f aca="false">HYPERLINK("https://lindat.mff.cuni.cz/services/SynSemClass40/SynSemClass40.html?veclass=vec00035#vec00035-ces-cm00017", "vec00035")</f>
        <v>vec00035</v>
      </c>
      <c r="F57135" s="0" t="s">
        <v>5701</v>
      </c>
    </row>
    <row r="57136" customFormat="false" ht="12.8" hidden="false" customHeight="false" outlineLevel="0" collapsed="false">
      <c r="B57136" s="0" t="s">
        <v>1</v>
      </c>
      <c r="C57136" s="0" t="s">
        <v>5702</v>
      </c>
      <c r="E57136" s="0" t="s">
        <v>5703</v>
      </c>
      <c r="F57136" s="0" t="s">
        <v>5704</v>
      </c>
    </row>
    <row r="57137" customFormat="false" ht="12.8" hidden="false" customHeight="false" outlineLevel="0" collapsed="false">
      <c r="B57137" s="0" t="s">
        <v>8</v>
      </c>
      <c r="C57137" s="0" t="s">
        <v>5705</v>
      </c>
      <c r="E57137" s="0" t="s">
        <v>3201</v>
      </c>
      <c r="F57137" s="0" t="s">
        <v>5706</v>
      </c>
    </row>
    <row r="57138" customFormat="false" ht="12.8" hidden="false" customHeight="false" outlineLevel="0" collapsed="false">
      <c r="B57138" s="0" t="s">
        <v>602</v>
      </c>
      <c r="C57138" s="0" t="s">
        <v>5709</v>
      </c>
      <c r="E57138" s="0" t="s">
        <v>5710</v>
      </c>
      <c r="F57138" s="0" t="s">
        <v>5711</v>
      </c>
    </row>
    <row r="57140" customFormat="false" ht="12.8" hidden="false" customHeight="false" outlineLevel="0" collapsed="false">
      <c r="A57140" s="0" t="s">
        <v>19514</v>
      </c>
      <c r="B57140" s="0" t="str">
        <f aca="false">HYPERLINK("https://lindat.mff.cuni.cz/services/teitok/pdtc10/index.php?action=vallex&amp;frame=v-w10054f2", "vykvasit (v-w10054f2)")</f>
        <v>vykvasit (v-w10054f2)</v>
      </c>
    </row>
    <row r="57141" customFormat="false" ht="12.8" hidden="false" customHeight="false" outlineLevel="0" collapsed="false">
      <c r="B57141" s="0" t="s">
        <v>1</v>
      </c>
    </row>
    <row r="57143" customFormat="false" ht="12.8" hidden="false" customHeight="false" outlineLevel="0" collapsed="false">
      <c r="A57143" s="0" t="s">
        <v>19515</v>
      </c>
      <c r="B57143" s="0" t="str">
        <f aca="false">HYPERLINK("https://lindat.mff.cuni.cz/services/teitok/pdtc10/index.php?action=vallex&amp;frame=v-w8049f1", "vykvést (v-w8049f1)")</f>
        <v>vykvést (v-w8049f1)</v>
      </c>
    </row>
    <row r="57144" customFormat="false" ht="12.8" hidden="false" customHeight="false" outlineLevel="0" collapsed="false">
      <c r="B57144" s="0" t="s">
        <v>1</v>
      </c>
    </row>
    <row r="57145" customFormat="false" ht="12.8" hidden="false" customHeight="false" outlineLevel="0" collapsed="false">
      <c r="B57145" s="0" t="s">
        <v>4250</v>
      </c>
    </row>
    <row r="57146" customFormat="false" ht="12.8" hidden="false" customHeight="false" outlineLevel="0" collapsed="false">
      <c r="B57146" s="0" t="s">
        <v>36</v>
      </c>
    </row>
    <row r="57148" customFormat="false" ht="12.8" hidden="false" customHeight="false" outlineLevel="0" collapsed="false">
      <c r="A57148" s="0" t="s">
        <v>19516</v>
      </c>
      <c r="B57148" s="0" t="str">
        <f aca="false">HYPERLINK("https://lindat.mff.cuni.cz/services/teitok/pdtc10/index.php?action=vallex&amp;frame=v-w8049f2", "vykvést (v-w8049f2)")</f>
        <v>vykvést (v-w8049f2)</v>
      </c>
    </row>
    <row r="57149" customFormat="false" ht="12.8" hidden="false" customHeight="false" outlineLevel="0" collapsed="false">
      <c r="B57149" s="0" t="s">
        <v>1</v>
      </c>
    </row>
    <row r="57150" customFormat="false" ht="12.8" hidden="false" customHeight="false" outlineLevel="0" collapsed="false">
      <c r="B57150" s="0" t="s">
        <v>763</v>
      </c>
    </row>
    <row r="57152" customFormat="false" ht="12.8" hidden="false" customHeight="false" outlineLevel="0" collapsed="false">
      <c r="A57152" s="0" t="s">
        <v>19517</v>
      </c>
      <c r="B57152" s="0" t="str">
        <f aca="false">HYPERLINK("https://lindat.mff.cuni.cz/services/teitok/pdtc10/index.php?action=vallex&amp;frame=v-whsa_1850hsa_1851", "vykydat (v-whsa_1850hsa_1851)")</f>
        <v>vykydat (v-whsa_1850hsa_1851)</v>
      </c>
    </row>
    <row r="57153" customFormat="false" ht="12.8" hidden="false" customHeight="false" outlineLevel="0" collapsed="false">
      <c r="B57153" s="0" t="s">
        <v>1</v>
      </c>
    </row>
    <row r="57154" customFormat="false" ht="12.8" hidden="false" customHeight="false" outlineLevel="0" collapsed="false">
      <c r="B57154" s="0" t="s">
        <v>8</v>
      </c>
    </row>
    <row r="57156" customFormat="false" ht="12.8" hidden="false" customHeight="false" outlineLevel="0" collapsed="false">
      <c r="A57156" s="0" t="s">
        <v>19518</v>
      </c>
      <c r="B57156" s="0" t="str">
        <f aca="false">HYPERLINK("https://lindat.mff.cuni.cz/services/teitok/pdtc10/index.php?action=vallex&amp;frame=v-w11764_ZUf1_ZU", "vykynout (v-w11764_ZUf1_ZU)")</f>
        <v>vykynout (v-w11764_ZUf1_ZU)</v>
      </c>
    </row>
    <row r="57157" customFormat="false" ht="12.8" hidden="false" customHeight="false" outlineLevel="0" collapsed="false">
      <c r="B57157" s="0" t="s">
        <v>1</v>
      </c>
    </row>
    <row r="57159" customFormat="false" ht="12.8" hidden="false" customHeight="false" outlineLevel="0" collapsed="false">
      <c r="A57159" s="0" t="s">
        <v>19519</v>
      </c>
      <c r="B57159" s="0" t="str">
        <f aca="false">HYPERLINK("https://lindat.mff.cuni.cz/services/teitok/pdtc10/index.php?action=vallex&amp;frame=v-whsa_1885hsa_1886", "vykácet (v-whsa_1885hsa_1886)")</f>
        <v>vykácet (v-whsa_1885hsa_1886)</v>
      </c>
    </row>
    <row r="57160" customFormat="false" ht="12.8" hidden="false" customHeight="false" outlineLevel="0" collapsed="false">
      <c r="B57160" s="0" t="s">
        <v>1</v>
      </c>
    </row>
    <row r="57161" customFormat="false" ht="12.8" hidden="false" customHeight="false" outlineLevel="0" collapsed="false">
      <c r="B57161" s="0" t="s">
        <v>8</v>
      </c>
    </row>
    <row r="57163" customFormat="false" ht="12.8" hidden="false" customHeight="false" outlineLevel="0" collapsed="false">
      <c r="A57163" s="0" t="s">
        <v>19520</v>
      </c>
      <c r="B57163" s="0" t="str">
        <f aca="false">HYPERLINK("https://lindat.mff.cuni.cz/services/teitok/pdtc10/index.php?action=vallex&amp;frame=v-whsa_652hsa_653", "vykálet se (v-whsa_652hsa_653)")</f>
        <v>vykálet se (v-whsa_652hsa_653)</v>
      </c>
    </row>
    <row r="57164" customFormat="false" ht="12.8" hidden="false" customHeight="false" outlineLevel="0" collapsed="false">
      <c r="B57164" s="0" t="s">
        <v>1</v>
      </c>
    </row>
    <row r="57166" customFormat="false" ht="12.8" hidden="false" customHeight="false" outlineLevel="0" collapsed="false">
      <c r="A57166" s="0" t="s">
        <v>19521</v>
      </c>
      <c r="B57166" s="0" t="str">
        <f aca="false">HYPERLINK("https://lindat.mff.cuni.cz/services/teitok/pdtc10/index.php?action=vallex&amp;frame=v-w8000f1", "vykázat (v-w8000f1)")</f>
        <v>vykázat (v-w8000f1)</v>
      </c>
      <c r="E57166" s="0" t="str">
        <f aca="false">HYPERLINK("https://lindat.mff.cuni.cz/services/SynSemClass40/SynSemClass40.html?veclass=vec00163#vec00163-ces-cm00001", "vec00163")</f>
        <v>vec00163</v>
      </c>
      <c r="F57166" s="0" t="s">
        <v>12451</v>
      </c>
    </row>
    <row r="57167" customFormat="false" ht="12.8" hidden="false" customHeight="false" outlineLevel="0" collapsed="false">
      <c r="B57167" s="0" t="s">
        <v>1</v>
      </c>
      <c r="C57167" s="0" t="s">
        <v>1436</v>
      </c>
      <c r="E57167" s="0" t="s">
        <v>31</v>
      </c>
      <c r="F57167" s="0" t="s">
        <v>608</v>
      </c>
    </row>
    <row r="57168" customFormat="false" ht="12.8" hidden="false" customHeight="false" outlineLevel="0" collapsed="false">
      <c r="B57168" s="0" t="s">
        <v>8893</v>
      </c>
      <c r="C57168" s="0" t="s">
        <v>1543</v>
      </c>
      <c r="E57168" s="0" t="s">
        <v>1347</v>
      </c>
      <c r="F57168" s="0" t="s">
        <v>12452</v>
      </c>
    </row>
    <row r="57169" customFormat="false" ht="12.8" hidden="false" customHeight="false" outlineLevel="0" collapsed="false">
      <c r="B57169" s="0" t="s">
        <v>132</v>
      </c>
      <c r="E57169" s="0" t="s">
        <v>221</v>
      </c>
      <c r="F57169" s="0" t="s">
        <v>4699</v>
      </c>
    </row>
    <row r="57171" customFormat="false" ht="12.8" hidden="false" customHeight="false" outlineLevel="0" collapsed="false">
      <c r="A57171" s="0" t="s">
        <v>19522</v>
      </c>
      <c r="B57171" s="0" t="str">
        <f aca="false">HYPERLINK("https://lindat.mff.cuni.cz/services/teitok/pdtc10/index.php?action=vallex&amp;frame=v-w8000f2", "vykázat (v-w8000f2)")</f>
        <v>vykázat (v-w8000f2)</v>
      </c>
      <c r="E57171" s="0" t="str">
        <f aca="false">HYPERLINK("https://lindat.mff.cuni.cz/services/SynSemClass40/SynSemClass40.html?veclass=vec00555#vec00555-ces-cm00082", "vec00555")</f>
        <v>vec00555</v>
      </c>
      <c r="F57171" s="0" t="s">
        <v>1918</v>
      </c>
    </row>
    <row r="57172" customFormat="false" ht="12.8" hidden="false" customHeight="false" outlineLevel="0" collapsed="false">
      <c r="B57172" s="0" t="s">
        <v>1</v>
      </c>
      <c r="C57172" s="0" t="s">
        <v>1919</v>
      </c>
      <c r="E57172" s="0" t="s">
        <v>31</v>
      </c>
      <c r="F57172" s="0" t="s">
        <v>1920</v>
      </c>
    </row>
    <row r="57173" customFormat="false" ht="12.8" hidden="false" customHeight="false" outlineLevel="0" collapsed="false">
      <c r="B57173" s="0" t="s">
        <v>8</v>
      </c>
      <c r="C57173" s="0" t="s">
        <v>1921</v>
      </c>
      <c r="E57173" s="0" t="s">
        <v>532</v>
      </c>
      <c r="F57173" s="0" t="s">
        <v>1922</v>
      </c>
    </row>
    <row r="57174" customFormat="false" ht="12.8" hidden="false" customHeight="false" outlineLevel="0" collapsed="false">
      <c r="B57174" s="0" t="s">
        <v>631</v>
      </c>
      <c r="C57174" s="0" t="s">
        <v>1923</v>
      </c>
      <c r="E57174" s="0" t="s">
        <v>1924</v>
      </c>
      <c r="F57174" s="0" t="s">
        <v>1925</v>
      </c>
    </row>
    <row r="57176" customFormat="false" ht="12.8" hidden="false" customHeight="false" outlineLevel="0" collapsed="false">
      <c r="A57176" s="0" t="s">
        <v>19523</v>
      </c>
      <c r="B57176" s="0" t="str">
        <f aca="false">HYPERLINK("https://lindat.mff.cuni.cz/services/teitok/pdtc10/index.php?action=vallex&amp;frame=v-w8001f1", "vykázat se (v-w8001f1)")</f>
        <v>vykázat se (v-w8001f1)</v>
      </c>
    </row>
    <row r="57177" customFormat="false" ht="12.8" hidden="false" customHeight="false" outlineLevel="0" collapsed="false">
      <c r="B57177" s="0" t="s">
        <v>1</v>
      </c>
    </row>
    <row r="57178" customFormat="false" ht="12.8" hidden="false" customHeight="false" outlineLevel="0" collapsed="false">
      <c r="B57178" s="0" t="s">
        <v>286</v>
      </c>
    </row>
    <row r="57180" customFormat="false" ht="12.8" hidden="false" customHeight="false" outlineLevel="0" collapsed="false">
      <c r="A57180" s="0" t="s">
        <v>19524</v>
      </c>
      <c r="B57180" s="0" t="str">
        <f aca="false">HYPERLINK("https://lindat.mff.cuni.cz/services/teitok/pdtc10/index.php?action=vallex&amp;frame=v-w8043f1", "vykřiknout (v-w8043f1)")</f>
        <v>vykřiknout (v-w8043f1)</v>
      </c>
      <c r="E57180" s="0" t="str">
        <f aca="false">HYPERLINK("https://lindat.mff.cuni.cz/services/SynSemClass40/SynSemClass40.html?veclass=vec00426#vec00426-ces-cm00006", "vec00426")</f>
        <v>vec00426</v>
      </c>
      <c r="F57180" s="0" t="s">
        <v>4756</v>
      </c>
    </row>
    <row r="57181" customFormat="false" ht="12.8" hidden="false" customHeight="false" outlineLevel="0" collapsed="false">
      <c r="B57181" s="0" t="s">
        <v>1</v>
      </c>
      <c r="C57181" s="0" t="s">
        <v>4725</v>
      </c>
      <c r="E57181" s="0" t="s">
        <v>147</v>
      </c>
      <c r="F57181" s="0" t="s">
        <v>4757</v>
      </c>
    </row>
    <row r="57182" customFormat="false" ht="12.8" hidden="false" customHeight="false" outlineLevel="0" collapsed="false">
      <c r="B57182" s="0" t="s">
        <v>3028</v>
      </c>
      <c r="C57182" s="0" t="s">
        <v>4627</v>
      </c>
      <c r="E57182" s="0" t="s">
        <v>218</v>
      </c>
      <c r="F57182" s="0" t="s">
        <v>4978</v>
      </c>
    </row>
    <row r="57183" customFormat="false" ht="12.8" hidden="false" customHeight="false" outlineLevel="0" collapsed="false">
      <c r="B57183" s="0" t="s">
        <v>4688</v>
      </c>
      <c r="C57183" s="0" t="s">
        <v>4761</v>
      </c>
      <c r="E57183" s="0" t="s">
        <v>564</v>
      </c>
      <c r="F57183" s="0" t="s">
        <v>4762</v>
      </c>
    </row>
    <row r="57185" customFormat="false" ht="12.8" hidden="false" customHeight="false" outlineLevel="0" collapsed="false">
      <c r="A57185" s="0" t="s">
        <v>19525</v>
      </c>
      <c r="B57185" s="0" t="str">
        <f aca="false">HYPERLINK("https://lindat.mff.cuni.cz/services/teitok/pdtc10/index.php?action=vallex&amp;frame=v-w8044f1", "vykřikovat (v-w8044f1)")</f>
        <v>vykřikovat (v-w8044f1)</v>
      </c>
      <c r="E57185" s="0" t="str">
        <f aca="false">HYPERLINK("https://lindat.mff.cuni.cz/services/SynSemClass40/SynSemClass40.html?veclass=vec00426#vec00426-ces-cm00007", "vec00426")</f>
        <v>vec00426</v>
      </c>
      <c r="F57185" s="0" t="s">
        <v>4756</v>
      </c>
    </row>
    <row r="57186" customFormat="false" ht="12.8" hidden="false" customHeight="false" outlineLevel="0" collapsed="false">
      <c r="B57186" s="0" t="s">
        <v>1</v>
      </c>
      <c r="C57186" s="0" t="s">
        <v>4725</v>
      </c>
      <c r="E57186" s="0" t="s">
        <v>147</v>
      </c>
      <c r="F57186" s="0" t="s">
        <v>4757</v>
      </c>
    </row>
    <row r="57187" customFormat="false" ht="12.8" hidden="false" customHeight="false" outlineLevel="0" collapsed="false">
      <c r="B57187" s="0" t="s">
        <v>19526</v>
      </c>
      <c r="C57187" s="0" t="s">
        <v>4627</v>
      </c>
      <c r="E57187" s="0" t="s">
        <v>218</v>
      </c>
      <c r="F57187" s="0" t="s">
        <v>4978</v>
      </c>
    </row>
    <row r="57188" customFormat="false" ht="12.8" hidden="false" customHeight="false" outlineLevel="0" collapsed="false">
      <c r="B57188" s="0" t="s">
        <v>4688</v>
      </c>
      <c r="C57188" s="0" t="s">
        <v>4761</v>
      </c>
      <c r="E57188" s="0" t="s">
        <v>564</v>
      </c>
      <c r="F57188" s="0" t="s">
        <v>4762</v>
      </c>
    </row>
    <row r="57190" customFormat="false" ht="12.8" hidden="false" customHeight="false" outlineLevel="0" collapsed="false">
      <c r="A57190" s="0" t="s">
        <v>19527</v>
      </c>
      <c r="B57190" s="0" t="str">
        <f aca="false">HYPERLINK("https://lindat.mff.cuni.cz/services/teitok/pdtc10/index.php?action=vallex&amp;frame=v-w8044hsa_238", "vykřikovat (v-w8044hsa_238)")</f>
        <v>vykřikovat (v-w8044hsa_238)</v>
      </c>
    </row>
    <row r="57191" customFormat="false" ht="12.8" hidden="false" customHeight="false" outlineLevel="0" collapsed="false">
      <c r="B57191" s="0" t="s">
        <v>1</v>
      </c>
    </row>
    <row r="57192" customFormat="false" ht="12.8" hidden="false" customHeight="false" outlineLevel="0" collapsed="false">
      <c r="B57192" s="0" t="s">
        <v>6412</v>
      </c>
    </row>
    <row r="57193" customFormat="false" ht="12.8" hidden="false" customHeight="false" outlineLevel="0" collapsed="false">
      <c r="B57193" s="0" t="s">
        <v>496</v>
      </c>
    </row>
    <row r="57195" customFormat="false" ht="12.8" hidden="false" customHeight="false" outlineLevel="0" collapsed="false">
      <c r="A57195" s="0" t="s">
        <v>19528</v>
      </c>
      <c r="B57195" s="0" t="str">
        <f aca="false">HYPERLINK("https://lindat.mff.cuni.cz/services/teitok/pdtc10/index.php?action=vallex&amp;frame=v-w10706f2", "vyladit (v-w10706f2)")</f>
        <v>vyladit (v-w10706f2)</v>
      </c>
    </row>
    <row r="57196" customFormat="false" ht="12.8" hidden="false" customHeight="false" outlineLevel="0" collapsed="false">
      <c r="B57196" s="0" t="s">
        <v>1</v>
      </c>
    </row>
    <row r="57197" customFormat="false" ht="12.8" hidden="false" customHeight="false" outlineLevel="0" collapsed="false">
      <c r="B57197" s="0" t="s">
        <v>8</v>
      </c>
    </row>
    <row r="57199" customFormat="false" ht="12.8" hidden="false" customHeight="false" outlineLevel="0" collapsed="false">
      <c r="A57199" s="0" t="s">
        <v>19529</v>
      </c>
      <c r="B57199" s="0" t="str">
        <f aca="false">HYPERLINK("https://lindat.mff.cuni.cz/services/teitok/pdtc10/index.php?action=vallex&amp;frame=v-w8052f1", "vylamovat (v-w8052f1)")</f>
        <v>vylamovat (v-w8052f1)</v>
      </c>
    </row>
    <row r="57200" customFormat="false" ht="12.8" hidden="false" customHeight="false" outlineLevel="0" collapsed="false">
      <c r="B57200" s="0" t="s">
        <v>1</v>
      </c>
    </row>
    <row r="57201" customFormat="false" ht="12.8" hidden="false" customHeight="false" outlineLevel="0" collapsed="false">
      <c r="B57201" s="0" t="s">
        <v>8</v>
      </c>
    </row>
    <row r="57202" customFormat="false" ht="12.8" hidden="false" customHeight="false" outlineLevel="0" collapsed="false">
      <c r="B57202" s="0" t="s">
        <v>631</v>
      </c>
    </row>
    <row r="57204" customFormat="false" ht="12.8" hidden="false" customHeight="false" outlineLevel="0" collapsed="false">
      <c r="A57204" s="0" t="s">
        <v>19530</v>
      </c>
      <c r="B57204" s="0" t="str">
        <f aca="false">HYPERLINK("https://lindat.mff.cuni.cz/services/teitok/pdtc10/index.php?action=vallex&amp;frame=v-w8052f3", "vylamovat (v-w8052f3)")</f>
        <v>vylamovat (v-w8052f3)</v>
      </c>
    </row>
    <row r="57205" customFormat="false" ht="12.8" hidden="false" customHeight="false" outlineLevel="0" collapsed="false">
      <c r="B57205" s="0" t="s">
        <v>1</v>
      </c>
    </row>
    <row r="57206" customFormat="false" ht="12.8" hidden="false" customHeight="false" outlineLevel="0" collapsed="false">
      <c r="B57206" s="0" t="s">
        <v>8</v>
      </c>
    </row>
    <row r="57208" customFormat="false" ht="12.8" hidden="false" customHeight="false" outlineLevel="0" collapsed="false">
      <c r="A57208" s="0" t="s">
        <v>19531</v>
      </c>
      <c r="B57208" s="0" t="str">
        <f aca="false">HYPERLINK("https://lindat.mff.cuni.cz/services/teitok/pdtc10/index.php?action=vallex&amp;frame=v-w8052f2", "vylamovat (v-w8052f2)")</f>
        <v>vylamovat (v-w8052f2)</v>
      </c>
    </row>
    <row r="57209" customFormat="false" ht="12.8" hidden="false" customHeight="false" outlineLevel="0" collapsed="false">
      <c r="B57209" s="0" t="s">
        <v>1</v>
      </c>
    </row>
    <row r="57210" customFormat="false" ht="12.8" hidden="false" customHeight="false" outlineLevel="0" collapsed="false">
      <c r="B57210" s="0" t="s">
        <v>8</v>
      </c>
    </row>
    <row r="57212" customFormat="false" ht="12.8" hidden="false" customHeight="false" outlineLevel="0" collapsed="false">
      <c r="A57212" s="0" t="s">
        <v>19532</v>
      </c>
      <c r="B57212" s="0" t="str">
        <f aca="false">HYPERLINK("https://lindat.mff.cuni.cz/services/teitok/pdtc10/index.php?action=vallex&amp;frame=v-w8055f1", "vylekat (v-w8055f1)")</f>
        <v>vylekat (v-w8055f1)</v>
      </c>
    </row>
    <row r="57213" customFormat="false" ht="12.8" hidden="false" customHeight="false" outlineLevel="0" collapsed="false">
      <c r="B57213" s="0" t="s">
        <v>1</v>
      </c>
    </row>
    <row r="57214" customFormat="false" ht="12.8" hidden="false" customHeight="false" outlineLevel="0" collapsed="false">
      <c r="B57214" s="0" t="s">
        <v>8</v>
      </c>
    </row>
    <row r="57216" customFormat="false" ht="12.8" hidden="false" customHeight="false" outlineLevel="0" collapsed="false">
      <c r="A57216" s="0" t="s">
        <v>19533</v>
      </c>
      <c r="B57216" s="0" t="str">
        <f aca="false">HYPERLINK("https://lindat.mff.cuni.cz/services/teitok/pdtc10/index.php?action=vallex&amp;frame=v-w11373f1", "vylekat se (v-w11373f1)")</f>
        <v>vylekat se (v-w11373f1)</v>
      </c>
    </row>
    <row r="57217" customFormat="false" ht="12.8" hidden="false" customHeight="false" outlineLevel="0" collapsed="false">
      <c r="B57217" s="0" t="s">
        <v>1</v>
      </c>
    </row>
    <row r="57219" customFormat="false" ht="12.8" hidden="false" customHeight="false" outlineLevel="0" collapsed="false">
      <c r="A57219" s="0" t="s">
        <v>19534</v>
      </c>
      <c r="B57219" s="0" t="str">
        <f aca="false">HYPERLINK("https://lindat.mff.cuni.cz/services/teitok/pdtc10/index.php?action=vallex&amp;frame=v-w8056f1", "vylepit (v-w8056f1)")</f>
        <v>vylepit (v-w8056f1)</v>
      </c>
    </row>
    <row r="57220" customFormat="false" ht="12.8" hidden="false" customHeight="false" outlineLevel="0" collapsed="false">
      <c r="B57220" s="0" t="s">
        <v>1</v>
      </c>
    </row>
    <row r="57221" customFormat="false" ht="12.8" hidden="false" customHeight="false" outlineLevel="0" collapsed="false">
      <c r="B57221" s="0" t="s">
        <v>59</v>
      </c>
    </row>
    <row r="57222" customFormat="false" ht="12.8" hidden="false" customHeight="false" outlineLevel="0" collapsed="false">
      <c r="B57222" s="0" t="s">
        <v>5</v>
      </c>
    </row>
    <row r="57224" customFormat="false" ht="12.8" hidden="false" customHeight="false" outlineLevel="0" collapsed="false">
      <c r="A57224" s="0" t="s">
        <v>19535</v>
      </c>
      <c r="B57224" s="0" t="str">
        <f aca="false">HYPERLINK("https://lindat.mff.cuni.cz/services/teitok/pdtc10/index.php?action=vallex&amp;frame=v-w8056f2", "vylepit (v-w8056f2)")</f>
        <v>vylepit (v-w8056f2)</v>
      </c>
    </row>
    <row r="57225" customFormat="false" ht="12.8" hidden="false" customHeight="false" outlineLevel="0" collapsed="false">
      <c r="B57225" s="0" t="s">
        <v>1</v>
      </c>
    </row>
    <row r="57226" customFormat="false" ht="12.8" hidden="false" customHeight="false" outlineLevel="0" collapsed="false">
      <c r="B57226" s="0" t="s">
        <v>59</v>
      </c>
    </row>
    <row r="57227" customFormat="false" ht="12.8" hidden="false" customHeight="false" outlineLevel="0" collapsed="false">
      <c r="B57227" s="0" t="s">
        <v>164</v>
      </c>
    </row>
    <row r="57229" customFormat="false" ht="12.8" hidden="false" customHeight="false" outlineLevel="0" collapsed="false">
      <c r="A57229" s="0" t="s">
        <v>19536</v>
      </c>
      <c r="B57229" s="0" t="str">
        <f aca="false">HYPERLINK("https://lindat.mff.cuni.cz/services/teitok/pdtc10/index.php?action=vallex&amp;frame=v-w8058f1", "vylepšit (v-w8058f1)")</f>
        <v>vylepšit (v-w8058f1)</v>
      </c>
      <c r="E57229" s="0" t="str">
        <f aca="false">HYPERLINK("https://lindat.mff.cuni.cz/services/SynSemClass40/SynSemClass40.html?veclass=vec00386#vec00386-ces-cm00027", "vec00386")</f>
        <v>vec00386</v>
      </c>
      <c r="F57229" s="0" t="s">
        <v>5835</v>
      </c>
    </row>
    <row r="57230" customFormat="false" ht="12.8" hidden="false" customHeight="false" outlineLevel="0" collapsed="false">
      <c r="B57230" s="0" t="s">
        <v>1</v>
      </c>
      <c r="C57230" s="0" t="s">
        <v>5836</v>
      </c>
      <c r="E57230" s="0" t="s">
        <v>76</v>
      </c>
      <c r="F57230" s="0" t="s">
        <v>5837</v>
      </c>
    </row>
    <row r="57231" customFormat="false" ht="12.8" hidden="false" customHeight="false" outlineLevel="0" collapsed="false">
      <c r="B57231" s="0" t="s">
        <v>8</v>
      </c>
      <c r="C57231" s="0" t="s">
        <v>5838</v>
      </c>
      <c r="E57231" s="0" t="s">
        <v>4782</v>
      </c>
      <c r="F57231" s="0" t="s">
        <v>5839</v>
      </c>
    </row>
    <row r="57232" customFormat="false" ht="12.8" hidden="false" customHeight="false" outlineLevel="0" collapsed="false">
      <c r="B57232" s="0" t="s">
        <v>36</v>
      </c>
      <c r="C57232" s="0" t="s">
        <v>17859</v>
      </c>
      <c r="E57232" s="0" t="s">
        <v>38</v>
      </c>
      <c r="F57232" s="0" t="s">
        <v>17860</v>
      </c>
    </row>
    <row r="57233" customFormat="false" ht="12.8" hidden="false" customHeight="false" outlineLevel="0" collapsed="false">
      <c r="B57233" s="0" t="s">
        <v>101</v>
      </c>
      <c r="C57233" s="0" t="s">
        <v>17861</v>
      </c>
      <c r="E57233" s="0" t="s">
        <v>42</v>
      </c>
      <c r="F57233" s="0" t="s">
        <v>17862</v>
      </c>
    </row>
    <row r="57235" customFormat="false" ht="12.8" hidden="false" customHeight="false" outlineLevel="0" collapsed="false">
      <c r="A57235" s="0" t="s">
        <v>19537</v>
      </c>
      <c r="B57235" s="0" t="str">
        <f aca="false">HYPERLINK("https://lindat.mff.cuni.cz/services/teitok/pdtc10/index.php?action=vallex&amp;frame=v-w8059f1", "vylepšovat (v-w8059f1)")</f>
        <v>vylepšovat (v-w8059f1)</v>
      </c>
      <c r="E57235" s="0" t="str">
        <f aca="false">HYPERLINK("https://lindat.mff.cuni.cz/services/SynSemClass40/SynSemClass40.html?veclass=vec00386#vec00386-ces-cm00028", "vec00386")</f>
        <v>vec00386</v>
      </c>
      <c r="F57235" s="0" t="s">
        <v>5835</v>
      </c>
    </row>
    <row r="57236" customFormat="false" ht="12.8" hidden="false" customHeight="false" outlineLevel="0" collapsed="false">
      <c r="B57236" s="0" t="s">
        <v>1</v>
      </c>
      <c r="C57236" s="0" t="s">
        <v>5836</v>
      </c>
      <c r="E57236" s="0" t="s">
        <v>76</v>
      </c>
      <c r="F57236" s="0" t="s">
        <v>5837</v>
      </c>
    </row>
    <row r="57237" customFormat="false" ht="12.8" hidden="false" customHeight="false" outlineLevel="0" collapsed="false">
      <c r="B57237" s="0" t="s">
        <v>8</v>
      </c>
      <c r="C57237" s="0" t="s">
        <v>5838</v>
      </c>
      <c r="E57237" s="0" t="s">
        <v>4782</v>
      </c>
      <c r="F57237" s="0" t="s">
        <v>5839</v>
      </c>
    </row>
    <row r="57238" customFormat="false" ht="12.8" hidden="false" customHeight="false" outlineLevel="0" collapsed="false">
      <c r="B57238" s="0" t="s">
        <v>36</v>
      </c>
      <c r="C57238" s="0" t="s">
        <v>17859</v>
      </c>
      <c r="E57238" s="0" t="s">
        <v>38</v>
      </c>
      <c r="F57238" s="0" t="s">
        <v>17860</v>
      </c>
    </row>
    <row r="57239" customFormat="false" ht="12.8" hidden="false" customHeight="false" outlineLevel="0" collapsed="false">
      <c r="B57239" s="0" t="s">
        <v>101</v>
      </c>
      <c r="C57239" s="0" t="s">
        <v>17861</v>
      </c>
      <c r="E57239" s="0" t="s">
        <v>42</v>
      </c>
      <c r="F57239" s="0" t="s">
        <v>17862</v>
      </c>
    </row>
    <row r="57241" customFormat="false" ht="12.8" hidden="false" customHeight="false" outlineLevel="0" collapsed="false">
      <c r="A57241" s="0" t="s">
        <v>19538</v>
      </c>
      <c r="B57241" s="0" t="str">
        <f aca="false">HYPERLINK("https://lindat.mff.cuni.cz/services/teitok/pdtc10/index.php?action=vallex&amp;frame=v-w8060f8_ZU", "vyletět (v-w8060f8_ZU)")</f>
        <v>vyletět (v-w8060f8_ZU)</v>
      </c>
      <c r="E57241" s="0" t="str">
        <f aca="false">HYPERLINK("https://lindat.mff.cuni.cz/services/SynSemClass40/SynSemClass40.html?veclass=vec00109#vec00109-ces-cm00041", "vec00109")</f>
        <v>vec00109</v>
      </c>
      <c r="F57241" s="0" t="s">
        <v>5143</v>
      </c>
    </row>
    <row r="57242" customFormat="false" ht="12.8" hidden="false" customHeight="false" outlineLevel="0" collapsed="false">
      <c r="B57242" s="0" t="s">
        <v>1</v>
      </c>
      <c r="C57242" s="0" t="s">
        <v>7017</v>
      </c>
      <c r="E57242" s="0" t="s">
        <v>235</v>
      </c>
      <c r="F57242" s="0" t="s">
        <v>5146</v>
      </c>
    </row>
    <row r="57243" customFormat="false" ht="12.8" hidden="false" customHeight="false" outlineLevel="0" collapsed="false">
      <c r="B57243" s="0" t="s">
        <v>69</v>
      </c>
      <c r="C57243" s="0" t="s">
        <v>5148</v>
      </c>
      <c r="E57243" s="0" t="s">
        <v>5149</v>
      </c>
      <c r="F57243" s="0" t="s">
        <v>5150</v>
      </c>
    </row>
    <row r="57244" customFormat="false" ht="12.8" hidden="false" customHeight="false" outlineLevel="0" collapsed="false">
      <c r="B57244" s="0" t="s">
        <v>36</v>
      </c>
      <c r="C57244" s="0" t="s">
        <v>5151</v>
      </c>
      <c r="E57244" s="0" t="s">
        <v>5152</v>
      </c>
      <c r="F57244" s="0" t="s">
        <v>5153</v>
      </c>
    </row>
    <row r="57246" customFormat="false" ht="12.8" hidden="false" customHeight="false" outlineLevel="0" collapsed="false">
      <c r="A57246" s="0" t="s">
        <v>19538</v>
      </c>
      <c r="B57246" s="0" t="str">
        <f aca="false">HYPERLINK("https://lindat.mff.cuni.cz/services/teitok/pdtc10/index.php?action=vallex&amp;frame=v-w8060f3_ZU", "vyletět (v-w8060f3_ZU) - substituted with v-w8060f8_ZU")</f>
        <v>vyletět (v-w8060f3_ZU) - substituted with v-w8060f8_ZU</v>
      </c>
    </row>
    <row r="57247" customFormat="false" ht="12.8" hidden="false" customHeight="false" outlineLevel="0" collapsed="false">
      <c r="B57247" s="0" t="s">
        <v>1</v>
      </c>
    </row>
    <row r="57248" customFormat="false" ht="12.8" hidden="false" customHeight="false" outlineLevel="0" collapsed="false">
      <c r="B57248" s="0" t="s">
        <v>69</v>
      </c>
    </row>
    <row r="57249" customFormat="false" ht="12.8" hidden="false" customHeight="false" outlineLevel="0" collapsed="false">
      <c r="B57249" s="0" t="s">
        <v>36</v>
      </c>
    </row>
    <row r="57251" customFormat="false" ht="12.8" hidden="false" customHeight="false" outlineLevel="0" collapsed="false">
      <c r="A57251" s="0" t="s">
        <v>19538</v>
      </c>
      <c r="B57251" s="0" t="str">
        <f aca="false">HYPERLINK("https://lindat.mff.cuni.cz/services/teitok/pdtc10/index.php?action=vallex&amp;frame=v-w8060f7_ZU", "vyletět (v-w8060f7_ZU) - substituted with v-w8060f8_ZU")</f>
        <v>vyletět (v-w8060f7_ZU) - substituted with v-w8060f8_ZU</v>
      </c>
    </row>
    <row r="57252" customFormat="false" ht="12.8" hidden="false" customHeight="false" outlineLevel="0" collapsed="false">
      <c r="B57252" s="0" t="s">
        <v>1</v>
      </c>
    </row>
    <row r="57253" customFormat="false" ht="12.8" hidden="false" customHeight="false" outlineLevel="0" collapsed="false">
      <c r="B57253" s="0" t="s">
        <v>69</v>
      </c>
    </row>
    <row r="57254" customFormat="false" ht="12.8" hidden="false" customHeight="false" outlineLevel="0" collapsed="false">
      <c r="B57254" s="0" t="s">
        <v>36</v>
      </c>
    </row>
    <row r="57256" customFormat="false" ht="12.8" hidden="false" customHeight="false" outlineLevel="0" collapsed="false">
      <c r="A57256" s="0" t="s">
        <v>19539</v>
      </c>
      <c r="B57256" s="0" t="str">
        <f aca="false">HYPERLINK("https://lindat.mff.cuni.cz/services/teitok/pdtc10/index.php?action=vallex&amp;frame=v-w8060f1", "vyletět (v-w8060f1)")</f>
        <v>vyletět (v-w8060f1)</v>
      </c>
    </row>
    <row r="57257" customFormat="false" ht="12.8" hidden="false" customHeight="false" outlineLevel="0" collapsed="false">
      <c r="B57257" s="0" t="s">
        <v>1</v>
      </c>
    </row>
    <row r="57258" customFormat="false" ht="12.8" hidden="false" customHeight="false" outlineLevel="0" collapsed="false">
      <c r="B57258" s="0" t="s">
        <v>45</v>
      </c>
    </row>
    <row r="57260" customFormat="false" ht="12.8" hidden="false" customHeight="false" outlineLevel="0" collapsed="false">
      <c r="A57260" s="0" t="s">
        <v>19540</v>
      </c>
      <c r="B57260" s="0" t="str">
        <f aca="false">HYPERLINK("https://lindat.mff.cuni.cz/services/teitok/pdtc10/index.php?action=vallex&amp;frame=v-w8060f2", "vyletět (v-w8060f2)")</f>
        <v>vyletět (v-w8060f2)</v>
      </c>
    </row>
    <row r="57261" customFormat="false" ht="12.8" hidden="false" customHeight="false" outlineLevel="0" collapsed="false">
      <c r="B57261" s="0" t="s">
        <v>1</v>
      </c>
    </row>
    <row r="57262" customFormat="false" ht="12.8" hidden="false" customHeight="false" outlineLevel="0" collapsed="false">
      <c r="B57262" s="0" t="s">
        <v>631</v>
      </c>
    </row>
    <row r="57264" customFormat="false" ht="12.8" hidden="false" customHeight="false" outlineLevel="0" collapsed="false">
      <c r="A57264" s="0" t="s">
        <v>19541</v>
      </c>
      <c r="B57264" s="0" t="str">
        <f aca="false">HYPERLINK("https://lindat.mff.cuni.cz/services/teitok/pdtc10/index.php?action=vallex&amp;frame=v-w8060f6_ZU", "vyletět (v-w8060f6_ZU)")</f>
        <v>vyletět (v-w8060f6_ZU)</v>
      </c>
      <c r="E57264" s="0" t="str">
        <f aca="false">HYPERLINK("https://lindat.mff.cuni.cz/services/SynSemClass40/SynSemClass40.html?veclass=vec00028#vec00028-ces-cm00139", "vec00028")</f>
        <v>vec00028</v>
      </c>
      <c r="F57264" s="0" t="s">
        <v>5301</v>
      </c>
      <c r="H57264" s="0" t="str">
        <f aca="false">HYPERLINK("https://lindat.mff.cuni.cz/services/SynSemClass40/SynSemClass40.html?veclass=vec00109#vec00109-ces-cm00040", "vec00109")</f>
        <v>vec00109</v>
      </c>
      <c r="I57264" s="0" t="s">
        <v>5143</v>
      </c>
    </row>
    <row r="57265" customFormat="false" ht="12.8" hidden="false" customHeight="false" outlineLevel="0" collapsed="false">
      <c r="B57265" s="0" t="s">
        <v>1</v>
      </c>
      <c r="C57265" s="0" t="s">
        <v>19542</v>
      </c>
      <c r="E57265" s="0" t="s">
        <v>235</v>
      </c>
      <c r="F57265" s="0" t="s">
        <v>5304</v>
      </c>
      <c r="H57265" s="0" t="s">
        <v>235</v>
      </c>
      <c r="I57265" s="0" t="s">
        <v>5146</v>
      </c>
    </row>
    <row r="57266" customFormat="false" ht="12.8" hidden="false" customHeight="false" outlineLevel="0" collapsed="false">
      <c r="B57266" s="0" t="s">
        <v>454</v>
      </c>
      <c r="C57266" s="0" t="s">
        <v>19543</v>
      </c>
      <c r="E57266" s="0" t="s">
        <v>19243</v>
      </c>
      <c r="F57266" s="0" t="s">
        <v>19544</v>
      </c>
      <c r="H57266" s="0" t="s">
        <v>19243</v>
      </c>
      <c r="I57266" s="0" t="s">
        <v>19244</v>
      </c>
    </row>
    <row r="57268" customFormat="false" ht="12.8" hidden="false" customHeight="false" outlineLevel="0" collapsed="false">
      <c r="A57268" s="0" t="s">
        <v>19541</v>
      </c>
      <c r="B57268" s="0" t="str">
        <f aca="false">HYPERLINK("https://lindat.mff.cuni.cz/services/teitok/pdtc10/index.php?action=vallex&amp;frame=v-w8060f4_ZU", "vyletět (v-w8060f4_ZU) - substituted with v-w8060f6_ZU")</f>
        <v>vyletět (v-w8060f4_ZU) - substituted with v-w8060f6_ZU</v>
      </c>
    </row>
    <row r="57269" customFormat="false" ht="12.8" hidden="false" customHeight="false" outlineLevel="0" collapsed="false">
      <c r="B57269" s="0" t="s">
        <v>1</v>
      </c>
    </row>
    <row r="57270" customFormat="false" ht="12.8" hidden="false" customHeight="false" outlineLevel="0" collapsed="false">
      <c r="B57270" s="0" t="s">
        <v>454</v>
      </c>
    </row>
    <row r="57272" customFormat="false" ht="12.8" hidden="false" customHeight="false" outlineLevel="0" collapsed="false">
      <c r="A57272" s="0" t="s">
        <v>19541</v>
      </c>
      <c r="B57272" s="0" t="str">
        <f aca="false">HYPERLINK("https://lindat.mff.cuni.cz/services/teitok/pdtc10/index.php?action=vallex&amp;frame=v-w8060f5_ZU", "vyletět (v-w8060f5_ZU) - substituted with v-w8060f6_ZU")</f>
        <v>vyletět (v-w8060f5_ZU) - substituted with v-w8060f6_ZU</v>
      </c>
    </row>
    <row r="57273" customFormat="false" ht="12.8" hidden="false" customHeight="false" outlineLevel="0" collapsed="false">
      <c r="B57273" s="0" t="s">
        <v>1</v>
      </c>
    </row>
    <row r="57274" customFormat="false" ht="12.8" hidden="false" customHeight="false" outlineLevel="0" collapsed="false">
      <c r="B57274" s="0" t="s">
        <v>454</v>
      </c>
    </row>
    <row r="57276" customFormat="false" ht="12.8" hidden="false" customHeight="false" outlineLevel="0" collapsed="false">
      <c r="A57276" s="0" t="s">
        <v>19545</v>
      </c>
      <c r="B57276" s="0" t="str">
        <f aca="false">HYPERLINK("https://lindat.mff.cuni.cz/services/teitok/pdtc10/index.php?action=vallex&amp;frame=v-w8060hsa_1089", "vyletět (v-w8060hsa_1089)")</f>
        <v>vyletět (v-w8060hsa_1089)</v>
      </c>
    </row>
    <row r="57277" customFormat="false" ht="12.8" hidden="false" customHeight="false" outlineLevel="0" collapsed="false">
      <c r="B57277" s="0" t="s">
        <v>1</v>
      </c>
    </row>
    <row r="57278" customFormat="false" ht="12.8" hidden="false" customHeight="false" outlineLevel="0" collapsed="false">
      <c r="B57278" s="0" t="s">
        <v>631</v>
      </c>
    </row>
    <row r="57280" customFormat="false" ht="12.8" hidden="false" customHeight="false" outlineLevel="0" collapsed="false">
      <c r="A57280" s="0" t="s">
        <v>19546</v>
      </c>
      <c r="B57280" s="0" t="str">
        <f aca="false">HYPERLINK("https://lindat.mff.cuni.cz/services/teitok/pdtc10/index.php?action=vallex&amp;frame=v-w8060f9_ZU", "vyletět (v-w8060f9_ZU)")</f>
        <v>vyletět (v-w8060f9_ZU)</v>
      </c>
    </row>
    <row r="57281" customFormat="false" ht="12.8" hidden="false" customHeight="false" outlineLevel="0" collapsed="false">
      <c r="B57281" s="0" t="s">
        <v>1</v>
      </c>
    </row>
    <row r="57282" customFormat="false" ht="12.8" hidden="false" customHeight="false" outlineLevel="0" collapsed="false">
      <c r="B57282" s="0" t="s">
        <v>454</v>
      </c>
    </row>
    <row r="57284" customFormat="false" ht="12.8" hidden="false" customHeight="false" outlineLevel="0" collapsed="false">
      <c r="A57284" s="0" t="s">
        <v>19546</v>
      </c>
      <c r="B57284" s="0" t="str">
        <f aca="false">HYPERLINK("https://lindat.mff.cuni.cz/services/teitok/pdtc10/index.php?action=vallex&amp;frame=v-w8060hsa_1936", "vyletět (v-w8060hsa_1936) - substituted with v-w8060f9_ZU")</f>
        <v>vyletět (v-w8060hsa_1936) - substituted with v-w8060f9_ZU</v>
      </c>
    </row>
    <row r="57285" customFormat="false" ht="12.8" hidden="false" customHeight="false" outlineLevel="0" collapsed="false">
      <c r="B57285" s="0" t="s">
        <v>1</v>
      </c>
    </row>
    <row r="57286" customFormat="false" ht="12.8" hidden="false" customHeight="false" outlineLevel="0" collapsed="false">
      <c r="B57286" s="0" t="s">
        <v>454</v>
      </c>
    </row>
    <row r="57288" customFormat="false" ht="12.8" hidden="false" customHeight="false" outlineLevel="0" collapsed="false">
      <c r="A57288" s="0" t="s">
        <v>19547</v>
      </c>
      <c r="B57288" s="0" t="str">
        <f aca="false">HYPERLINK("https://lindat.mff.cuni.cz/services/teitok/pdtc10/index.php?action=vallex&amp;frame=v-w8063f1", "vylhávat se (v-w8063f1)")</f>
        <v>vylhávat se (v-w8063f1)</v>
      </c>
    </row>
    <row r="57289" customFormat="false" ht="12.8" hidden="false" customHeight="false" outlineLevel="0" collapsed="false">
      <c r="B57289" s="0" t="s">
        <v>1</v>
      </c>
    </row>
    <row r="57290" customFormat="false" ht="12.8" hidden="false" customHeight="false" outlineLevel="0" collapsed="false">
      <c r="B57290" s="0" t="s">
        <v>763</v>
      </c>
    </row>
    <row r="57292" customFormat="false" ht="12.8" hidden="false" customHeight="false" outlineLevel="0" collapsed="false">
      <c r="A57292" s="0" t="s">
        <v>19548</v>
      </c>
      <c r="B57292" s="0" t="str">
        <f aca="false">HYPERLINK("https://lindat.mff.cuni.cz/services/teitok/pdtc10/index.php?action=vallex&amp;frame=v-whsa_1032f1_ZU", "vylidnit (v-whsa_1032f1_ZU)")</f>
        <v>vylidnit (v-whsa_1032f1_ZU)</v>
      </c>
    </row>
    <row r="57293" customFormat="false" ht="12.8" hidden="false" customHeight="false" outlineLevel="0" collapsed="false">
      <c r="B57293" s="0" t="s">
        <v>1</v>
      </c>
    </row>
    <row r="57294" customFormat="false" ht="12.8" hidden="false" customHeight="false" outlineLevel="0" collapsed="false">
      <c r="B57294" s="0" t="s">
        <v>8</v>
      </c>
    </row>
    <row r="57296" customFormat="false" ht="12.8" hidden="false" customHeight="false" outlineLevel="0" collapsed="false">
      <c r="A57296" s="0" t="s">
        <v>19548</v>
      </c>
      <c r="B57296" s="0" t="str">
        <f aca="false">HYPERLINK("https://lindat.mff.cuni.cz/services/teitok/pdtc10/index.php?action=vallex&amp;frame=v-whsa_1032hsa_1033", "vylidnit (v-whsa_1032hsa_1033) - substituted with v-whsa_1032f1_ZU")</f>
        <v>vylidnit (v-whsa_1032hsa_1033) - substituted with v-whsa_1032f1_ZU</v>
      </c>
    </row>
    <row r="57297" customFormat="false" ht="12.8" hidden="false" customHeight="false" outlineLevel="0" collapsed="false">
      <c r="B57297" s="0" t="s">
        <v>1</v>
      </c>
    </row>
    <row r="57298" customFormat="false" ht="12.8" hidden="false" customHeight="false" outlineLevel="0" collapsed="false">
      <c r="B57298" s="0" t="s">
        <v>8</v>
      </c>
    </row>
    <row r="57300" customFormat="false" ht="12.8" hidden="false" customHeight="false" outlineLevel="0" collapsed="false">
      <c r="A57300" s="0" t="s">
        <v>19549</v>
      </c>
      <c r="B57300" s="0" t="str">
        <f aca="false">HYPERLINK("https://lindat.mff.cuni.cz/services/teitok/pdtc10/index.php?action=vallex&amp;frame=v-w8065f1", "vylidnit se (v-w8065f1)")</f>
        <v>vylidnit se (v-w8065f1)</v>
      </c>
    </row>
    <row r="57301" customFormat="false" ht="12.8" hidden="false" customHeight="false" outlineLevel="0" collapsed="false">
      <c r="B57301" s="0" t="s">
        <v>1</v>
      </c>
    </row>
    <row r="57303" customFormat="false" ht="12.8" hidden="false" customHeight="false" outlineLevel="0" collapsed="false">
      <c r="A57303" s="0" t="s">
        <v>19550</v>
      </c>
      <c r="B57303" s="0" t="str">
        <f aca="false">HYPERLINK("https://lindat.mff.cuni.cz/services/teitok/pdtc10/index.php?action=vallex&amp;frame=v-w8069f1", "vylodit (v-w8069f1)")</f>
        <v>vylodit (v-w8069f1)</v>
      </c>
    </row>
    <row r="57304" customFormat="false" ht="12.8" hidden="false" customHeight="false" outlineLevel="0" collapsed="false">
      <c r="B57304" s="0" t="s">
        <v>1</v>
      </c>
    </row>
    <row r="57305" customFormat="false" ht="12.8" hidden="false" customHeight="false" outlineLevel="0" collapsed="false">
      <c r="B57305" s="0" t="s">
        <v>8</v>
      </c>
    </row>
    <row r="57306" customFormat="false" ht="12.8" hidden="false" customHeight="false" outlineLevel="0" collapsed="false">
      <c r="B57306" s="0" t="s">
        <v>631</v>
      </c>
    </row>
    <row r="57308" customFormat="false" ht="12.8" hidden="false" customHeight="false" outlineLevel="0" collapsed="false">
      <c r="A57308" s="0" t="s">
        <v>19551</v>
      </c>
      <c r="B57308" s="0" t="str">
        <f aca="false">HYPERLINK("https://lindat.mff.cuni.cz/services/teitok/pdtc10/index.php?action=vallex&amp;frame=v-w8070f1", "vylodit se (v-w8070f1)")</f>
        <v>vylodit se (v-w8070f1)</v>
      </c>
    </row>
    <row r="57309" customFormat="false" ht="12.8" hidden="false" customHeight="false" outlineLevel="0" collapsed="false">
      <c r="B57309" s="0" t="s">
        <v>1</v>
      </c>
    </row>
    <row r="57310" customFormat="false" ht="12.8" hidden="false" customHeight="false" outlineLevel="0" collapsed="false">
      <c r="B57310" s="0" t="s">
        <v>5</v>
      </c>
    </row>
    <row r="57312" customFormat="false" ht="12.8" hidden="false" customHeight="false" outlineLevel="0" collapsed="false">
      <c r="A57312" s="0" t="s">
        <v>19552</v>
      </c>
      <c r="B57312" s="0" t="str">
        <f aca="false">HYPERLINK("https://lindat.mff.cuni.cz/services/teitok/pdtc10/index.php?action=vallex&amp;frame=v-w8072f1", "vylomit (v-w8072f1)")</f>
        <v>vylomit (v-w8072f1)</v>
      </c>
    </row>
    <row r="57313" customFormat="false" ht="12.8" hidden="false" customHeight="false" outlineLevel="0" collapsed="false">
      <c r="B57313" s="0" t="s">
        <v>1</v>
      </c>
    </row>
    <row r="57314" customFormat="false" ht="12.8" hidden="false" customHeight="false" outlineLevel="0" collapsed="false">
      <c r="B57314" s="0" t="s">
        <v>8</v>
      </c>
    </row>
    <row r="57316" customFormat="false" ht="12.8" hidden="false" customHeight="false" outlineLevel="0" collapsed="false">
      <c r="A57316" s="0" t="s">
        <v>19553</v>
      </c>
      <c r="B57316" s="0" t="str">
        <f aca="false">HYPERLINK("https://lindat.mff.cuni.cz/services/teitok/pdtc10/index.php?action=vallex&amp;frame=v-w11623_ZUf2_ZU", "vylomit se (v-w11623_ZUf2_ZU)")</f>
        <v>vylomit se (v-w11623_ZUf2_ZU)</v>
      </c>
    </row>
    <row r="57317" customFormat="false" ht="12.8" hidden="false" customHeight="false" outlineLevel="0" collapsed="false">
      <c r="B57317" s="0" t="s">
        <v>1</v>
      </c>
    </row>
    <row r="57318" customFormat="false" ht="12.8" hidden="false" customHeight="false" outlineLevel="0" collapsed="false">
      <c r="B57318" s="0" t="s">
        <v>69</v>
      </c>
    </row>
    <row r="57319" customFormat="false" ht="12.8" hidden="false" customHeight="false" outlineLevel="0" collapsed="false">
      <c r="B57319" s="0" t="s">
        <v>36</v>
      </c>
    </row>
    <row r="57321" customFormat="false" ht="12.8" hidden="false" customHeight="false" outlineLevel="0" collapsed="false">
      <c r="A57321" s="0" t="s">
        <v>19553</v>
      </c>
      <c r="B57321" s="0" t="str">
        <f aca="false">HYPERLINK("https://lindat.mff.cuni.cz/services/teitok/pdtc10/index.php?action=vallex&amp;frame=v-w11623_ZUf1_ZU", "vylomit se (v-w11623_ZUf1_ZU) - substituted with v-w11623_ZUf2_ZU")</f>
        <v>vylomit se (v-w11623_ZUf1_ZU) - substituted with v-w11623_ZUf2_ZU</v>
      </c>
    </row>
    <row r="57322" customFormat="false" ht="12.8" hidden="false" customHeight="false" outlineLevel="0" collapsed="false">
      <c r="B57322" s="0" t="s">
        <v>1</v>
      </c>
    </row>
    <row r="57323" customFormat="false" ht="12.8" hidden="false" customHeight="false" outlineLevel="0" collapsed="false">
      <c r="B57323" s="0" t="s">
        <v>69</v>
      </c>
    </row>
    <row r="57324" customFormat="false" ht="12.8" hidden="false" customHeight="false" outlineLevel="0" collapsed="false">
      <c r="B57324" s="0" t="s">
        <v>36</v>
      </c>
    </row>
    <row r="57326" customFormat="false" ht="12.8" hidden="false" customHeight="false" outlineLevel="0" collapsed="false">
      <c r="A57326" s="0" t="s">
        <v>19554</v>
      </c>
      <c r="B57326" s="0" t="str">
        <f aca="false">HYPERLINK("https://lindat.mff.cuni.cz/services/teitok/pdtc10/index.php?action=vallex&amp;frame=v-w8074f1", "vylosovat (v-w8074f1)")</f>
        <v>vylosovat (v-w8074f1)</v>
      </c>
    </row>
    <row r="57327" customFormat="false" ht="12.8" hidden="false" customHeight="false" outlineLevel="0" collapsed="false">
      <c r="B57327" s="0" t="s">
        <v>1</v>
      </c>
    </row>
    <row r="57328" customFormat="false" ht="12.8" hidden="false" customHeight="false" outlineLevel="0" collapsed="false">
      <c r="B57328" s="0" t="s">
        <v>8</v>
      </c>
    </row>
    <row r="57330" customFormat="false" ht="12.8" hidden="false" customHeight="false" outlineLevel="0" collapsed="false">
      <c r="A57330" s="0" t="s">
        <v>19555</v>
      </c>
      <c r="B57330" s="0" t="str">
        <f aca="false">HYPERLINK("https://lindat.mff.cuni.cz/services/teitok/pdtc10/index.php?action=vallex&amp;frame=v-w8078f1", "vyloupit (v-w8078f1)")</f>
        <v>vyloupit (v-w8078f1)</v>
      </c>
      <c r="E57330" s="0" t="str">
        <f aca="false">HYPERLINK("https://lindat.mff.cuni.cz/services/SynSemClass40/SynSemClass40.html?veclass=vec00704#vec00704-ces-cm00071", "vec00704")</f>
        <v>vec00704</v>
      </c>
      <c r="F57330" s="0" t="s">
        <v>588</v>
      </c>
      <c r="H57330" s="0" t="str">
        <f aca="false">HYPERLINK("https://lindat.mff.cuni.cz/services/SynSemClass40/SynSemClass40.html?veclass=vec01303#vec01303-ces-cm00007", "vec01303")</f>
        <v>vec01303</v>
      </c>
      <c r="I57330" s="0" t="s">
        <v>3188</v>
      </c>
    </row>
    <row r="57331" customFormat="false" ht="12.8" hidden="false" customHeight="false" outlineLevel="0" collapsed="false">
      <c r="B57331" s="0" t="s">
        <v>1</v>
      </c>
      <c r="C57331" s="0" t="s">
        <v>5782</v>
      </c>
      <c r="E57331" s="0" t="s">
        <v>31</v>
      </c>
      <c r="F57331" s="0" t="s">
        <v>591</v>
      </c>
      <c r="H57331" s="0" t="s">
        <v>1573</v>
      </c>
      <c r="I57331" s="0" t="s">
        <v>3191</v>
      </c>
    </row>
    <row r="57332" customFormat="false" ht="12.8" hidden="false" customHeight="false" outlineLevel="0" collapsed="false">
      <c r="B57332" s="0" t="s">
        <v>8</v>
      </c>
      <c r="C57332" s="0" t="s">
        <v>19556</v>
      </c>
      <c r="E57332" s="0" t="s">
        <v>19557</v>
      </c>
      <c r="F57332" s="0" t="s">
        <v>19558</v>
      </c>
      <c r="H57332" s="0" t="s">
        <v>594</v>
      </c>
      <c r="I57332" s="0" t="s">
        <v>3194</v>
      </c>
    </row>
    <row r="57334" customFormat="false" ht="12.8" hidden="false" customHeight="false" outlineLevel="0" collapsed="false">
      <c r="A57334" s="0" t="s">
        <v>19559</v>
      </c>
      <c r="B57334" s="0" t="str">
        <f aca="false">HYPERLINK("https://lindat.mff.cuni.cz/services/teitok/pdtc10/index.php?action=vallex&amp;frame=v-w8079f1", "vyloupnout (v-w8079f1)")</f>
        <v>vyloupnout (v-w8079f1)</v>
      </c>
      <c r="E57334" s="0" t="str">
        <f aca="false">HYPERLINK("https://lindat.mff.cuni.cz/services/SynSemClass40/SynSemClass40.html?veclass=vec01538#vec01538-ces-cm00018", "vec01538")</f>
        <v>vec01538</v>
      </c>
      <c r="F57334" s="0" t="s">
        <v>9675</v>
      </c>
    </row>
    <row r="57335" customFormat="false" ht="12.8" hidden="false" customHeight="false" outlineLevel="0" collapsed="false">
      <c r="B57335" s="0" t="s">
        <v>1</v>
      </c>
      <c r="C57335" s="0" t="s">
        <v>3091</v>
      </c>
      <c r="E57335" s="0" t="s">
        <v>31</v>
      </c>
      <c r="F57335" s="0" t="s">
        <v>3092</v>
      </c>
    </row>
    <row r="57336" customFormat="false" ht="12.8" hidden="false" customHeight="false" outlineLevel="0" collapsed="false">
      <c r="B57336" s="0" t="s">
        <v>8</v>
      </c>
      <c r="C57336" s="0" t="s">
        <v>490</v>
      </c>
      <c r="E57336" s="0" t="s">
        <v>7105</v>
      </c>
      <c r="F57336" s="0" t="s">
        <v>19338</v>
      </c>
    </row>
    <row r="57337" customFormat="false" ht="12.8" hidden="false" customHeight="false" outlineLevel="0" collapsed="false">
      <c r="B57337" s="0" t="s">
        <v>631</v>
      </c>
      <c r="C57337" s="0" t="s">
        <v>19339</v>
      </c>
      <c r="E57337" s="0" t="s">
        <v>19340</v>
      </c>
      <c r="F57337" s="0" t="s">
        <v>19341</v>
      </c>
    </row>
    <row r="57339" customFormat="false" ht="12.8" hidden="false" customHeight="false" outlineLevel="0" collapsed="false">
      <c r="A57339" s="0" t="s">
        <v>19560</v>
      </c>
      <c r="B57339" s="0" t="str">
        <f aca="false">HYPERLINK("https://lindat.mff.cuni.cz/services/teitok/pdtc10/index.php?action=vallex&amp;frame=v-w8080f1", "vyloupnout se (v-w8080f1)")</f>
        <v>vyloupnout se (v-w8080f1)</v>
      </c>
      <c r="E57339" s="0" t="str">
        <f aca="false">HYPERLINK("https://lindat.mff.cuni.cz/services/SynSemClass40/SynSemClass40.html?veclass=vec01538#vec01538-ces-cm00019", "vec01538")</f>
        <v>vec01538</v>
      </c>
      <c r="F57339" s="0" t="s">
        <v>9675</v>
      </c>
    </row>
    <row r="57340" customFormat="false" ht="12.8" hidden="false" customHeight="false" outlineLevel="0" collapsed="false">
      <c r="B57340" s="0" t="s">
        <v>1</v>
      </c>
      <c r="C57340" s="0" t="s">
        <v>19561</v>
      </c>
      <c r="E57340" s="0" t="s">
        <v>19562</v>
      </c>
      <c r="F57340" s="0" t="s">
        <v>19563</v>
      </c>
    </row>
    <row r="57341" customFormat="false" ht="12.8" hidden="false" customHeight="false" outlineLevel="0" collapsed="false">
      <c r="B57341" s="0" t="s">
        <v>631</v>
      </c>
      <c r="C57341" s="0" t="s">
        <v>19339</v>
      </c>
      <c r="E57341" s="0" t="s">
        <v>19340</v>
      </c>
      <c r="F57341" s="0" t="s">
        <v>19341</v>
      </c>
    </row>
    <row r="57343" customFormat="false" ht="12.8" hidden="false" customHeight="false" outlineLevel="0" collapsed="false">
      <c r="A57343" s="0" t="s">
        <v>19564</v>
      </c>
      <c r="B57343" s="0" t="str">
        <f aca="false">HYPERLINK("https://lindat.mff.cuni.cz/services/teitok/pdtc10/index.php?action=vallex&amp;frame=v-w8076f2", "vyloučit (v-w8076f2)")</f>
        <v>vyloučit (v-w8076f2)</v>
      </c>
      <c r="E57343" s="0" t="str">
        <f aca="false">HYPERLINK("https://lindat.mff.cuni.cz/services/SynSemClass40/SynSemClass40.html?veclass=vec00555#vec00555-ces-cm00019", "vec00555")</f>
        <v>vec00555</v>
      </c>
      <c r="F57343" s="0" t="s">
        <v>1918</v>
      </c>
    </row>
    <row r="57344" customFormat="false" ht="12.8" hidden="false" customHeight="false" outlineLevel="0" collapsed="false">
      <c r="B57344" s="0" t="s">
        <v>1</v>
      </c>
      <c r="C57344" s="0" t="s">
        <v>1919</v>
      </c>
      <c r="E57344" s="0" t="s">
        <v>31</v>
      </c>
      <c r="F57344" s="0" t="s">
        <v>1920</v>
      </c>
    </row>
    <row r="57345" customFormat="false" ht="12.8" hidden="false" customHeight="false" outlineLevel="0" collapsed="false">
      <c r="B57345" s="0" t="s">
        <v>8</v>
      </c>
      <c r="C57345" s="0" t="s">
        <v>1921</v>
      </c>
      <c r="E57345" s="0" t="s">
        <v>532</v>
      </c>
      <c r="F57345" s="0" t="s">
        <v>1922</v>
      </c>
    </row>
    <row r="57346" customFormat="false" ht="12.8" hidden="false" customHeight="false" outlineLevel="0" collapsed="false">
      <c r="B57346" s="0" t="s">
        <v>631</v>
      </c>
      <c r="C57346" s="0" t="s">
        <v>1923</v>
      </c>
      <c r="E57346" s="0" t="s">
        <v>1924</v>
      </c>
      <c r="F57346" s="0" t="s">
        <v>1925</v>
      </c>
    </row>
    <row r="57348" customFormat="false" ht="12.8" hidden="false" customHeight="false" outlineLevel="0" collapsed="false">
      <c r="A57348" s="0" t="s">
        <v>19565</v>
      </c>
      <c r="B57348" s="0" t="str">
        <f aca="false">HYPERLINK("https://lindat.mff.cuni.cz/services/teitok/pdtc10/index.php?action=vallex&amp;frame=v-w8076f3_ZU", "vyloučit (v-w8076f3_ZU)")</f>
        <v>vyloučit (v-w8076f3_ZU)</v>
      </c>
      <c r="E57348" s="0" t="str">
        <f aca="false">HYPERLINK("https://lindat.mff.cuni.cz/services/SynSemClass40/SynSemClass40.html?veclass=vec00555#vec00555-ces-cm00039", "vec00555")</f>
        <v>vec00555</v>
      </c>
      <c r="F57348" s="0" t="s">
        <v>1918</v>
      </c>
    </row>
    <row r="57349" customFormat="false" ht="12.8" hidden="false" customHeight="false" outlineLevel="0" collapsed="false">
      <c r="B57349" s="0" t="s">
        <v>1</v>
      </c>
      <c r="C57349" s="0" t="s">
        <v>1919</v>
      </c>
      <c r="E57349" s="0" t="s">
        <v>31</v>
      </c>
      <c r="F57349" s="0" t="s">
        <v>1920</v>
      </c>
    </row>
    <row r="57350" customFormat="false" ht="12.8" hidden="false" customHeight="false" outlineLevel="0" collapsed="false">
      <c r="B57350" s="0" t="s">
        <v>8</v>
      </c>
      <c r="C57350" s="0" t="s">
        <v>1921</v>
      </c>
      <c r="E57350" s="0" t="s">
        <v>532</v>
      </c>
      <c r="F57350" s="0" t="s">
        <v>1922</v>
      </c>
    </row>
    <row r="57351" customFormat="false" ht="12.8" hidden="false" customHeight="false" outlineLevel="0" collapsed="false">
      <c r="B57351" s="0" t="s">
        <v>6273</v>
      </c>
      <c r="C57351" s="0" t="s">
        <v>1923</v>
      </c>
      <c r="E57351" s="0" t="s">
        <v>1924</v>
      </c>
      <c r="F57351" s="0" t="s">
        <v>1925</v>
      </c>
    </row>
    <row r="57353" customFormat="false" ht="12.8" hidden="false" customHeight="false" outlineLevel="0" collapsed="false">
      <c r="A57353" s="0" t="s">
        <v>19566</v>
      </c>
      <c r="B57353" s="0" t="str">
        <f aca="false">HYPERLINK("https://lindat.mff.cuni.cz/services/teitok/pdtc10/index.php?action=vallex&amp;frame=v-w8076f1", "vyloučit (v-w8076f1)")</f>
        <v>vyloučit (v-w8076f1)</v>
      </c>
      <c r="E57353" s="0" t="str">
        <f aca="false">HYPERLINK("https://lindat.mff.cuni.cz/services/SynSemClass40/SynSemClass40.html?veclass=vec00558#vec00558-ces-cm00001", "vec00558")</f>
        <v>vec00558</v>
      </c>
      <c r="F57353" s="0" t="s">
        <v>8910</v>
      </c>
    </row>
    <row r="57354" customFormat="false" ht="12.8" hidden="false" customHeight="false" outlineLevel="0" collapsed="false">
      <c r="B57354" s="0" t="s">
        <v>1</v>
      </c>
      <c r="C57354" s="0" t="s">
        <v>3091</v>
      </c>
      <c r="E57354" s="0" t="s">
        <v>63</v>
      </c>
      <c r="F57354" s="0" t="s">
        <v>8911</v>
      </c>
    </row>
    <row r="57355" customFormat="false" ht="12.8" hidden="false" customHeight="false" outlineLevel="0" collapsed="false">
      <c r="B57355" s="0" t="s">
        <v>59</v>
      </c>
      <c r="C57355" s="0" t="s">
        <v>6985</v>
      </c>
      <c r="E57355" s="0" t="s">
        <v>8912</v>
      </c>
      <c r="F57355" s="0" t="s">
        <v>8913</v>
      </c>
    </row>
    <row r="57357" customFormat="false" ht="12.8" hidden="false" customHeight="false" outlineLevel="0" collapsed="false">
      <c r="A57357" s="0" t="s">
        <v>19567</v>
      </c>
      <c r="B57357" s="0" t="str">
        <f aca="false">HYPERLINK("https://lindat.mff.cuni.cz/services/teitok/pdtc10/index.php?action=vallex&amp;frame=v-w8077f1", "vyloučit se (v-w8077f1)")</f>
        <v>vyloučit se (v-w8077f1)</v>
      </c>
    </row>
    <row r="57358" customFormat="false" ht="12.8" hidden="false" customHeight="false" outlineLevel="0" collapsed="false">
      <c r="B57358" s="0" t="s">
        <v>1</v>
      </c>
    </row>
    <row r="57360" customFormat="false" ht="12.8" hidden="false" customHeight="false" outlineLevel="0" collapsed="false">
      <c r="A57360" s="0" t="s">
        <v>19568</v>
      </c>
      <c r="B57360" s="0" t="str">
        <f aca="false">HYPERLINK("https://lindat.mff.cuni.cz/services/teitok/pdtc10/index.php?action=vallex&amp;frame=v-w8081f1", "vylovit (v-w8081f1)")</f>
        <v>vylovit (v-w8081f1)</v>
      </c>
    </row>
    <row r="57361" customFormat="false" ht="12.8" hidden="false" customHeight="false" outlineLevel="0" collapsed="false">
      <c r="B57361" s="0" t="s">
        <v>1</v>
      </c>
    </row>
    <row r="57362" customFormat="false" ht="12.8" hidden="false" customHeight="false" outlineLevel="0" collapsed="false">
      <c r="B57362" s="0" t="s">
        <v>8</v>
      </c>
    </row>
    <row r="57363" customFormat="false" ht="12.8" hidden="false" customHeight="false" outlineLevel="0" collapsed="false">
      <c r="B57363" s="0" t="s">
        <v>631</v>
      </c>
    </row>
    <row r="57365" customFormat="false" ht="12.8" hidden="false" customHeight="false" outlineLevel="0" collapsed="false">
      <c r="A57365" s="0" t="s">
        <v>19569</v>
      </c>
      <c r="B57365" s="0" t="str">
        <f aca="false">HYPERLINK("https://lindat.mff.cuni.cz/services/teitok/pdtc10/index.php?action=vallex&amp;frame=v-w12132_ZUf1_ZU", "vyloďovat (v-w12132_ZUf1_ZU)")</f>
        <v>vyloďovat (v-w12132_ZUf1_ZU)</v>
      </c>
    </row>
    <row r="57366" customFormat="false" ht="12.8" hidden="false" customHeight="false" outlineLevel="0" collapsed="false">
      <c r="B57366" s="0" t="s">
        <v>1</v>
      </c>
    </row>
    <row r="57367" customFormat="false" ht="12.8" hidden="false" customHeight="false" outlineLevel="0" collapsed="false">
      <c r="B57367" s="0" t="s">
        <v>8</v>
      </c>
    </row>
    <row r="57368" customFormat="false" ht="12.8" hidden="false" customHeight="false" outlineLevel="0" collapsed="false">
      <c r="B57368" s="0" t="s">
        <v>6273</v>
      </c>
    </row>
    <row r="57370" customFormat="false" ht="12.8" hidden="false" customHeight="false" outlineLevel="0" collapsed="false">
      <c r="A57370" s="0" t="s">
        <v>19570</v>
      </c>
      <c r="B57370" s="0" t="str">
        <f aca="false">HYPERLINK("https://lindat.mff.cuni.cz/services/teitok/pdtc10/index.php?action=vallex&amp;frame=v-w8082f1", "vyložit (v-w8082f1)")</f>
        <v>vyložit (v-w8082f1)</v>
      </c>
      <c r="E57370" s="0" t="str">
        <f aca="false">HYPERLINK("https://lindat.mff.cuni.cz/services/SynSemClass40/SynSemClass40.html?veclass=vec00557#vec00557-ces-cm00008", "vec00557")</f>
        <v>vec00557</v>
      </c>
      <c r="F57370" s="0" t="s">
        <v>10681</v>
      </c>
    </row>
    <row r="57371" customFormat="false" ht="12.8" hidden="false" customHeight="false" outlineLevel="0" collapsed="false">
      <c r="B57371" s="0" t="s">
        <v>1</v>
      </c>
      <c r="C57371" s="0" t="s">
        <v>6310</v>
      </c>
      <c r="E57371" s="0" t="s">
        <v>147</v>
      </c>
      <c r="F57371" s="0" t="s">
        <v>10682</v>
      </c>
    </row>
    <row r="57372" customFormat="false" ht="12.8" hidden="false" customHeight="false" outlineLevel="0" collapsed="false">
      <c r="B57372" s="0" t="s">
        <v>8373</v>
      </c>
      <c r="C57372" s="0" t="s">
        <v>4627</v>
      </c>
      <c r="E57372" s="0" t="s">
        <v>218</v>
      </c>
      <c r="F57372" s="0" t="s">
        <v>4978</v>
      </c>
    </row>
    <row r="57373" customFormat="false" ht="12.8" hidden="false" customHeight="false" outlineLevel="0" collapsed="false">
      <c r="B57373" s="0" t="s">
        <v>52</v>
      </c>
      <c r="C57373" s="0" t="s">
        <v>10683</v>
      </c>
      <c r="E57373" s="0" t="s">
        <v>221</v>
      </c>
      <c r="F57373" s="0" t="s">
        <v>10684</v>
      </c>
    </row>
    <row r="57375" customFormat="false" ht="12.8" hidden="false" customHeight="false" outlineLevel="0" collapsed="false">
      <c r="A57375" s="0" t="s">
        <v>19571</v>
      </c>
      <c r="B57375" s="0" t="str">
        <f aca="false">HYPERLINK("https://lindat.mff.cuni.cz/services/teitok/pdtc10/index.php?action=vallex&amp;frame=v-w8082f2", "vyložit (v-w8082f2)")</f>
        <v>vyložit (v-w8082f2)</v>
      </c>
    </row>
    <row r="57376" customFormat="false" ht="12.8" hidden="false" customHeight="false" outlineLevel="0" collapsed="false">
      <c r="B57376" s="0" t="s">
        <v>1</v>
      </c>
    </row>
    <row r="57377" customFormat="false" ht="12.8" hidden="false" customHeight="false" outlineLevel="0" collapsed="false">
      <c r="B57377" s="0" t="s">
        <v>8</v>
      </c>
    </row>
    <row r="57378" customFormat="false" ht="12.8" hidden="false" customHeight="false" outlineLevel="0" collapsed="false">
      <c r="B57378" s="0" t="s">
        <v>631</v>
      </c>
    </row>
    <row r="57380" customFormat="false" ht="12.8" hidden="false" customHeight="false" outlineLevel="0" collapsed="false">
      <c r="A57380" s="0" t="s">
        <v>19572</v>
      </c>
      <c r="B57380" s="0" t="str">
        <f aca="false">HYPERLINK("https://lindat.mff.cuni.cz/services/teitok/pdtc10/index.php?action=vallex&amp;frame=v-w8082f3_ZU", "vyložit (v-w8082f3_ZU)")</f>
        <v>vyložit (v-w8082f3_ZU)</v>
      </c>
      <c r="E57380" s="0" t="str">
        <f aca="false">HYPERLINK("https://lindat.mff.cuni.cz/services/SynSemClass40/SynSemClass40.html?veclass=vec01467#vec01467-ces-cm00001", "vec01467")</f>
        <v>vec01467</v>
      </c>
      <c r="F57380" s="0" t="s">
        <v>19573</v>
      </c>
    </row>
    <row r="57381" customFormat="false" ht="12.8" hidden="false" customHeight="false" outlineLevel="0" collapsed="false">
      <c r="B57381" s="0" t="s">
        <v>1</v>
      </c>
      <c r="C57381" s="0" t="s">
        <v>4114</v>
      </c>
      <c r="E57381" s="0" t="s">
        <v>11</v>
      </c>
      <c r="F57381" s="0" t="s">
        <v>4156</v>
      </c>
    </row>
    <row r="57382" customFormat="false" ht="12.8" hidden="false" customHeight="false" outlineLevel="0" collapsed="false">
      <c r="B57382" s="0" t="s">
        <v>19574</v>
      </c>
    </row>
    <row r="57384" customFormat="false" ht="12.8" hidden="false" customHeight="false" outlineLevel="0" collapsed="false">
      <c r="A57384" s="0" t="s">
        <v>19572</v>
      </c>
      <c r="B57384" s="0" t="str">
        <f aca="false">HYPERLINK("https://lindat.mff.cuni.cz/services/teitok/pdtc10/index.php?action=vallex&amp;frame=v-w8082hsa_332", "vyložit (v-w8082hsa_332) - substituted with v-w8082f3_ZU")</f>
        <v>vyložit (v-w8082hsa_332) - substituted with v-w8082f3_ZU</v>
      </c>
    </row>
    <row r="57385" customFormat="false" ht="12.8" hidden="false" customHeight="false" outlineLevel="0" collapsed="false">
      <c r="B57385" s="0" t="s">
        <v>1</v>
      </c>
    </row>
    <row r="57386" customFormat="false" ht="12.8" hidden="false" customHeight="false" outlineLevel="0" collapsed="false">
      <c r="B57386" s="0" t="s">
        <v>19574</v>
      </c>
    </row>
    <row r="57388" customFormat="false" ht="12.8" hidden="false" customHeight="false" outlineLevel="0" collapsed="false">
      <c r="A57388" s="0" t="s">
        <v>19575</v>
      </c>
      <c r="B57388" s="0" t="str">
        <f aca="false">HYPERLINK("https://lindat.mff.cuni.cz/services/teitok/pdtc10/index.php?action=vallex&amp;frame=v-w11690_ZUf1_ZU", "vyluhovat se (v-w11690_ZUf1_ZU)")</f>
        <v>vyluhovat se (v-w11690_ZUf1_ZU)</v>
      </c>
    </row>
    <row r="57389" customFormat="false" ht="12.8" hidden="false" customHeight="false" outlineLevel="0" collapsed="false">
      <c r="B57389" s="0" t="s">
        <v>1</v>
      </c>
    </row>
    <row r="57391" customFormat="false" ht="12.8" hidden="false" customHeight="false" outlineLevel="0" collapsed="false">
      <c r="A57391" s="0" t="s">
        <v>19576</v>
      </c>
      <c r="B57391" s="0" t="str">
        <f aca="false">HYPERLINK("https://lindat.mff.cuni.cz/services/teitok/pdtc10/index.php?action=vallex&amp;frame=v-w8087f1", "vylustrovat (v-w8087f1)")</f>
        <v>vylustrovat (v-w8087f1)</v>
      </c>
    </row>
    <row r="57392" customFormat="false" ht="12.8" hidden="false" customHeight="false" outlineLevel="0" collapsed="false">
      <c r="B57392" s="0" t="s">
        <v>1</v>
      </c>
    </row>
    <row r="57393" customFormat="false" ht="12.8" hidden="false" customHeight="false" outlineLevel="0" collapsed="false">
      <c r="B57393" s="0" t="s">
        <v>8</v>
      </c>
    </row>
    <row r="57395" customFormat="false" ht="12.8" hidden="false" customHeight="false" outlineLevel="0" collapsed="false">
      <c r="A57395" s="0" t="s">
        <v>19577</v>
      </c>
      <c r="B57395" s="0" t="str">
        <f aca="false">HYPERLINK("https://lindat.mff.cuni.cz/services/teitok/pdtc10/index.php?action=vallex&amp;frame=v-w8084f2", "vylučovat (v-w8084f2)")</f>
        <v>vylučovat (v-w8084f2)</v>
      </c>
    </row>
    <row r="57396" customFormat="false" ht="12.8" hidden="false" customHeight="false" outlineLevel="0" collapsed="false">
      <c r="B57396" s="0" t="s">
        <v>1</v>
      </c>
    </row>
    <row r="57397" customFormat="false" ht="12.8" hidden="false" customHeight="false" outlineLevel="0" collapsed="false">
      <c r="B57397" s="0" t="s">
        <v>8</v>
      </c>
    </row>
    <row r="57398" customFormat="false" ht="12.8" hidden="false" customHeight="false" outlineLevel="0" collapsed="false">
      <c r="B57398" s="0" t="s">
        <v>631</v>
      </c>
    </row>
    <row r="57400" customFormat="false" ht="12.8" hidden="false" customHeight="false" outlineLevel="0" collapsed="false">
      <c r="A57400" s="0" t="s">
        <v>19578</v>
      </c>
      <c r="B57400" s="0" t="str">
        <f aca="false">HYPERLINK("https://lindat.mff.cuni.cz/services/teitok/pdtc10/index.php?action=vallex&amp;frame=v-w8084f4_ZU", "vylučovat (v-w8084f4_ZU)")</f>
        <v>vylučovat (v-w8084f4_ZU)</v>
      </c>
      <c r="E57400" s="0" t="str">
        <f aca="false">HYPERLINK("https://lindat.mff.cuni.cz/services/SynSemClass40/SynSemClass40.html?veclass=vec00558#vec00558-ces-cm00019", "vec00558")</f>
        <v>vec00558</v>
      </c>
      <c r="F57400" s="0" t="s">
        <v>8910</v>
      </c>
    </row>
    <row r="57401" customFormat="false" ht="12.8" hidden="false" customHeight="false" outlineLevel="0" collapsed="false">
      <c r="B57401" s="0" t="s">
        <v>1</v>
      </c>
      <c r="C57401" s="0" t="s">
        <v>3091</v>
      </c>
      <c r="E57401" s="0" t="s">
        <v>63</v>
      </c>
      <c r="F57401" s="0" t="s">
        <v>8911</v>
      </c>
    </row>
    <row r="57402" customFormat="false" ht="12.8" hidden="false" customHeight="false" outlineLevel="0" collapsed="false">
      <c r="B57402" s="0" t="s">
        <v>7589</v>
      </c>
      <c r="C57402" s="0" t="s">
        <v>6985</v>
      </c>
      <c r="E57402" s="0" t="s">
        <v>8912</v>
      </c>
      <c r="F57402" s="0" t="s">
        <v>8913</v>
      </c>
    </row>
    <row r="57404" customFormat="false" ht="12.8" hidden="false" customHeight="false" outlineLevel="0" collapsed="false">
      <c r="A57404" s="0" t="s">
        <v>19578</v>
      </c>
      <c r="B57404" s="0" t="str">
        <f aca="false">HYPERLINK("https://lindat.mff.cuni.cz/services/teitok/pdtc10/index.php?action=vallex&amp;frame=v-w8084f1", "vylučovat (v-w8084f1) - substituted with v-w8084f4_ZU")</f>
        <v>vylučovat (v-w8084f1) - substituted with v-w8084f4_ZU</v>
      </c>
    </row>
    <row r="57405" customFormat="false" ht="12.8" hidden="false" customHeight="false" outlineLevel="0" collapsed="false">
      <c r="B57405" s="0" t="s">
        <v>1</v>
      </c>
    </row>
    <row r="57406" customFormat="false" ht="12.8" hidden="false" customHeight="false" outlineLevel="0" collapsed="false">
      <c r="B57406" s="0" t="s">
        <v>7589</v>
      </c>
    </row>
    <row r="57408" customFormat="false" ht="12.8" hidden="false" customHeight="false" outlineLevel="0" collapsed="false">
      <c r="A57408" s="0" t="s">
        <v>19578</v>
      </c>
      <c r="B57408" s="0" t="str">
        <f aca="false">HYPERLINK("https://lindat.mff.cuni.cz/services/teitok/pdtc10/index.php?action=vallex&amp;frame=v-w8084f3_ZU", "vylučovat (v-w8084f3_ZU) - substituted with v-w8084f4_ZU")</f>
        <v>vylučovat (v-w8084f3_ZU) - substituted with v-w8084f4_ZU</v>
      </c>
    </row>
    <row r="57409" customFormat="false" ht="12.8" hidden="false" customHeight="false" outlineLevel="0" collapsed="false">
      <c r="B57409" s="0" t="s">
        <v>1</v>
      </c>
    </row>
    <row r="57410" customFormat="false" ht="12.8" hidden="false" customHeight="false" outlineLevel="0" collapsed="false">
      <c r="B57410" s="0" t="s">
        <v>7589</v>
      </c>
    </row>
    <row r="57412" customFormat="false" ht="12.8" hidden="false" customHeight="false" outlineLevel="0" collapsed="false">
      <c r="A57412" s="0" t="s">
        <v>19579</v>
      </c>
      <c r="B57412" s="0" t="str">
        <f aca="false">HYPERLINK("https://lindat.mff.cuni.cz/services/teitok/pdtc10/index.php?action=vallex&amp;frame=v-w8084hsa_988", "vylučovat (v-w8084hsa_988)")</f>
        <v>vylučovat (v-w8084hsa_988)</v>
      </c>
      <c r="E57412" s="0" t="str">
        <f aca="false">HYPERLINK("https://lindat.mff.cuni.cz/services/SynSemClass40/SynSemClass40.html?veclass=vec00555#vec00555-ces-cm00041", "vec00555")</f>
        <v>vec00555</v>
      </c>
      <c r="F57412" s="0" t="s">
        <v>1918</v>
      </c>
    </row>
    <row r="57413" customFormat="false" ht="12.8" hidden="false" customHeight="false" outlineLevel="0" collapsed="false">
      <c r="B57413" s="0" t="s">
        <v>1</v>
      </c>
      <c r="C57413" s="0" t="s">
        <v>1919</v>
      </c>
      <c r="E57413" s="0" t="s">
        <v>31</v>
      </c>
      <c r="F57413" s="0" t="s">
        <v>1920</v>
      </c>
    </row>
    <row r="57414" customFormat="false" ht="12.8" hidden="false" customHeight="false" outlineLevel="0" collapsed="false">
      <c r="B57414" s="0" t="s">
        <v>8</v>
      </c>
      <c r="C57414" s="0" t="s">
        <v>1921</v>
      </c>
      <c r="E57414" s="0" t="s">
        <v>532</v>
      </c>
      <c r="F57414" s="0" t="s">
        <v>1922</v>
      </c>
    </row>
    <row r="57415" customFormat="false" ht="12.8" hidden="false" customHeight="false" outlineLevel="0" collapsed="false">
      <c r="B57415" s="0" t="s">
        <v>631</v>
      </c>
      <c r="C57415" s="0" t="s">
        <v>1923</v>
      </c>
      <c r="E57415" s="0" t="s">
        <v>1924</v>
      </c>
      <c r="F57415" s="0" t="s">
        <v>1925</v>
      </c>
    </row>
    <row r="57417" customFormat="false" ht="12.8" hidden="false" customHeight="false" outlineLevel="0" collapsed="false">
      <c r="A57417" s="0" t="s">
        <v>19580</v>
      </c>
      <c r="B57417" s="0" t="str">
        <f aca="false">HYPERLINK("https://lindat.mff.cuni.cz/services/teitok/pdtc10/index.php?action=vallex&amp;frame=v-w8085f1", "vylučovat se (v-w8085f1)")</f>
        <v>vylučovat se (v-w8085f1)</v>
      </c>
    </row>
    <row r="57418" customFormat="false" ht="12.8" hidden="false" customHeight="false" outlineLevel="0" collapsed="false">
      <c r="B57418" s="0" t="s">
        <v>1</v>
      </c>
    </row>
    <row r="57419" customFormat="false" ht="12.8" hidden="false" customHeight="false" outlineLevel="0" collapsed="false">
      <c r="B57419" s="0" t="s">
        <v>721</v>
      </c>
    </row>
    <row r="57421" customFormat="false" ht="12.8" hidden="false" customHeight="false" outlineLevel="0" collapsed="false">
      <c r="A57421" s="0" t="s">
        <v>19581</v>
      </c>
      <c r="B57421" s="0" t="str">
        <f aca="false">HYPERLINK("https://lindat.mff.cuni.cz/services/teitok/pdtc10/index.php?action=vallex&amp;frame=v-w8051f1", "vylákat (v-w8051f1)")</f>
        <v>vylákat (v-w8051f1)</v>
      </c>
    </row>
    <row r="57422" customFormat="false" ht="12.8" hidden="false" customHeight="false" outlineLevel="0" collapsed="false">
      <c r="B57422" s="0" t="s">
        <v>1</v>
      </c>
    </row>
    <row r="57423" customFormat="false" ht="12.8" hidden="false" customHeight="false" outlineLevel="0" collapsed="false">
      <c r="B57423" s="0" t="s">
        <v>8</v>
      </c>
    </row>
    <row r="57424" customFormat="false" ht="12.8" hidden="false" customHeight="false" outlineLevel="0" collapsed="false">
      <c r="B57424" s="0" t="s">
        <v>19582</v>
      </c>
    </row>
    <row r="57426" customFormat="false" ht="12.8" hidden="false" customHeight="false" outlineLevel="0" collapsed="false">
      <c r="A57426" s="0" t="s">
        <v>19583</v>
      </c>
      <c r="B57426" s="0" t="str">
        <f aca="false">HYPERLINK("https://lindat.mff.cuni.cz/services/teitok/pdtc10/index.php?action=vallex&amp;frame=v-whsa_1352hsa_1353", "vylámat (v-whsa_1352hsa_1353)")</f>
        <v>vylámat (v-whsa_1352hsa_1353)</v>
      </c>
    </row>
    <row r="57427" customFormat="false" ht="12.8" hidden="false" customHeight="false" outlineLevel="0" collapsed="false">
      <c r="B57427" s="0" t="s">
        <v>1</v>
      </c>
    </row>
    <row r="57428" customFormat="false" ht="12.8" hidden="false" customHeight="false" outlineLevel="0" collapsed="false">
      <c r="B57428" s="0" t="s">
        <v>8</v>
      </c>
    </row>
    <row r="57430" customFormat="false" ht="12.8" hidden="false" customHeight="false" outlineLevel="0" collapsed="false">
      <c r="A57430" s="0" t="s">
        <v>19584</v>
      </c>
      <c r="B57430" s="0" t="str">
        <f aca="false">HYPERLINK("https://lindat.mff.cuni.cz/services/teitok/pdtc10/index.php?action=vallex&amp;frame=v-w8061f3_ZU", "vylétnout (v-w8061f3_ZU)")</f>
        <v>vylétnout (v-w8061f3_ZU)</v>
      </c>
      <c r="E57430" s="0" t="str">
        <f aca="false">HYPERLINK("https://lindat.mff.cuni.cz/services/SynSemClass40/SynSemClass40.html?veclass=vec00109#vec00109-ces-cm00042", "vec00109")</f>
        <v>vec00109</v>
      </c>
      <c r="F57430" s="0" t="s">
        <v>5143</v>
      </c>
    </row>
    <row r="57431" customFormat="false" ht="12.8" hidden="false" customHeight="false" outlineLevel="0" collapsed="false">
      <c r="B57431" s="0" t="s">
        <v>1</v>
      </c>
      <c r="C57431" s="0" t="s">
        <v>7017</v>
      </c>
      <c r="E57431" s="0" t="s">
        <v>235</v>
      </c>
      <c r="F57431" s="0" t="s">
        <v>5146</v>
      </c>
    </row>
    <row r="57432" customFormat="false" ht="12.8" hidden="false" customHeight="false" outlineLevel="0" collapsed="false">
      <c r="B57432" s="0" t="s">
        <v>69</v>
      </c>
      <c r="C57432" s="0" t="s">
        <v>5148</v>
      </c>
      <c r="E57432" s="0" t="s">
        <v>5149</v>
      </c>
      <c r="F57432" s="0" t="s">
        <v>5150</v>
      </c>
    </row>
    <row r="57433" customFormat="false" ht="12.8" hidden="false" customHeight="false" outlineLevel="0" collapsed="false">
      <c r="B57433" s="0" t="s">
        <v>36</v>
      </c>
      <c r="C57433" s="0" t="s">
        <v>5151</v>
      </c>
      <c r="E57433" s="0" t="s">
        <v>5152</v>
      </c>
      <c r="F57433" s="0" t="s">
        <v>5153</v>
      </c>
    </row>
    <row r="57435" customFormat="false" ht="12.8" hidden="false" customHeight="false" outlineLevel="0" collapsed="false">
      <c r="A57435" s="0" t="s">
        <v>19585</v>
      </c>
      <c r="B57435" s="0" t="str">
        <f aca="false">HYPERLINK("https://lindat.mff.cuni.cz/services/teitok/pdtc10/index.php?action=vallex&amp;frame=v-w8061f1", "vylétnout (v-w8061f1)")</f>
        <v>vylétnout (v-w8061f1)</v>
      </c>
    </row>
    <row r="57436" customFormat="false" ht="12.8" hidden="false" customHeight="false" outlineLevel="0" collapsed="false">
      <c r="B57436" s="0" t="s">
        <v>1</v>
      </c>
    </row>
    <row r="57437" customFormat="false" ht="12.8" hidden="false" customHeight="false" outlineLevel="0" collapsed="false">
      <c r="B57437" s="0" t="s">
        <v>631</v>
      </c>
    </row>
    <row r="57439" customFormat="false" ht="12.8" hidden="false" customHeight="false" outlineLevel="0" collapsed="false">
      <c r="A57439" s="0" t="s">
        <v>19586</v>
      </c>
      <c r="B57439" s="0" t="str">
        <f aca="false">HYPERLINK("https://lindat.mff.cuni.cz/services/teitok/pdtc10/index.php?action=vallex&amp;frame=v-w8061f2", "vylétnout (v-w8061f2)")</f>
        <v>vylétnout (v-w8061f2)</v>
      </c>
    </row>
    <row r="57440" customFormat="false" ht="12.8" hidden="false" customHeight="false" outlineLevel="0" collapsed="false">
      <c r="B57440" s="0" t="s">
        <v>1</v>
      </c>
    </row>
    <row r="57441" customFormat="false" ht="12.8" hidden="false" customHeight="false" outlineLevel="0" collapsed="false">
      <c r="B57441" s="0" t="s">
        <v>164</v>
      </c>
    </row>
    <row r="57443" customFormat="false" ht="12.8" hidden="false" customHeight="false" outlineLevel="0" collapsed="false">
      <c r="A57443" s="0" t="s">
        <v>19587</v>
      </c>
      <c r="B57443" s="0" t="str">
        <f aca="false">HYPERLINK("https://lindat.mff.cuni.cz/services/teitok/pdtc10/index.php?action=vallex&amp;frame=v-w8061f4_ZU", "vylétnout (v-w8061f4_ZU)")</f>
        <v>vylétnout (v-w8061f4_ZU)</v>
      </c>
    </row>
    <row r="57444" customFormat="false" ht="12.8" hidden="false" customHeight="false" outlineLevel="0" collapsed="false">
      <c r="B57444" s="0" t="s">
        <v>1</v>
      </c>
    </row>
    <row r="57445" customFormat="false" ht="12.8" hidden="false" customHeight="false" outlineLevel="0" collapsed="false">
      <c r="B57445" s="0" t="s">
        <v>454</v>
      </c>
    </row>
    <row r="57447" customFormat="false" ht="12.8" hidden="false" customHeight="false" outlineLevel="0" collapsed="false">
      <c r="A57447" s="0" t="s">
        <v>19588</v>
      </c>
      <c r="B57447" s="0" t="str">
        <f aca="false">HYPERLINK("https://lindat.mff.cuni.cz/services/teitok/pdtc10/index.php?action=vallex&amp;frame=v-w8061f5_MM", "vylétnout (v-w8061f5_MM)")</f>
        <v>vylétnout (v-w8061f5_MM)</v>
      </c>
    </row>
    <row r="57448" customFormat="false" ht="12.8" hidden="false" customHeight="false" outlineLevel="0" collapsed="false">
      <c r="B57448" s="0" t="s">
        <v>1</v>
      </c>
    </row>
    <row r="57450" customFormat="false" ht="12.8" hidden="false" customHeight="false" outlineLevel="0" collapsed="false">
      <c r="A57450" s="0" t="s">
        <v>19589</v>
      </c>
      <c r="B57450" s="0" t="str">
        <f aca="false">HYPERLINK("https://lindat.mff.cuni.cz/services/teitok/pdtc10/index.php?action=vallex&amp;frame=v-whsa_14f1_ZU", "vylévat (v-whsa_14f1_ZU)")</f>
        <v>vylévat (v-whsa_14f1_ZU)</v>
      </c>
    </row>
    <row r="57451" customFormat="false" ht="12.8" hidden="false" customHeight="false" outlineLevel="0" collapsed="false">
      <c r="B57451" s="0" t="s">
        <v>1</v>
      </c>
    </row>
    <row r="57452" customFormat="false" ht="12.8" hidden="false" customHeight="false" outlineLevel="0" collapsed="false">
      <c r="B57452" s="0" t="s">
        <v>8</v>
      </c>
    </row>
    <row r="57454" customFormat="false" ht="12.8" hidden="false" customHeight="false" outlineLevel="0" collapsed="false">
      <c r="A57454" s="0" t="s">
        <v>19589</v>
      </c>
      <c r="B57454" s="0" t="str">
        <f aca="false">HYPERLINK("https://lindat.mff.cuni.cz/services/teitok/pdtc10/index.php?action=vallex&amp;frame=v-whsa_14hsa_15", "vylévat (v-whsa_14hsa_15) - substituted with v-whsa_14f1_ZU")</f>
        <v>vylévat (v-whsa_14hsa_15) - substituted with v-whsa_14f1_ZU</v>
      </c>
    </row>
    <row r="57455" customFormat="false" ht="12.8" hidden="false" customHeight="false" outlineLevel="0" collapsed="false">
      <c r="B57455" s="0" t="s">
        <v>1</v>
      </c>
    </row>
    <row r="57456" customFormat="false" ht="12.8" hidden="false" customHeight="false" outlineLevel="0" collapsed="false">
      <c r="B57456" s="0" t="s">
        <v>8</v>
      </c>
    </row>
    <row r="57458" customFormat="false" ht="12.8" hidden="false" customHeight="false" outlineLevel="0" collapsed="false">
      <c r="A57458" s="0" t="s">
        <v>19590</v>
      </c>
      <c r="B57458" s="0" t="str">
        <f aca="false">HYPERLINK("https://lindat.mff.cuni.cz/services/teitok/pdtc10/index.php?action=vallex&amp;frame=v-whsa_1840hsa_1841", "vylévat se (v-whsa_1840hsa_1841)")</f>
        <v>vylévat se (v-whsa_1840hsa_1841)</v>
      </c>
    </row>
    <row r="57459" customFormat="false" ht="12.8" hidden="false" customHeight="false" outlineLevel="0" collapsed="false">
      <c r="B57459" s="0" t="s">
        <v>1</v>
      </c>
    </row>
    <row r="57460" customFormat="false" ht="12.8" hidden="false" customHeight="false" outlineLevel="0" collapsed="false">
      <c r="B57460" s="0" t="s">
        <v>631</v>
      </c>
    </row>
    <row r="57462" customFormat="false" ht="12.8" hidden="false" customHeight="false" outlineLevel="0" collapsed="false">
      <c r="A57462" s="0" t="s">
        <v>19591</v>
      </c>
      <c r="B57462" s="0" t="str">
        <f aca="false">HYPERLINK("https://lindat.mff.cuni.cz/services/teitok/pdtc10/index.php?action=vallex&amp;frame=v-whsa_396f1_ZU", "vylévat si (v-whsa_396f1_ZU)")</f>
        <v>vylévat si (v-whsa_396f1_ZU)</v>
      </c>
      <c r="E57462" s="0" t="str">
        <f aca="false">HYPERLINK("https://lindat.mff.cuni.cz/services/SynSemClass40/SynSemClass40.html?veclass=vec01466#vec01466-ces-cm00011", "vec01466")</f>
        <v>vec01466</v>
      </c>
      <c r="F57462" s="0" t="s">
        <v>16940</v>
      </c>
    </row>
    <row r="57463" customFormat="false" ht="12.8" hidden="false" customHeight="false" outlineLevel="0" collapsed="false">
      <c r="B57463" s="0" t="s">
        <v>1</v>
      </c>
      <c r="C57463" s="0" t="s">
        <v>14372</v>
      </c>
      <c r="E57463" s="0" t="s">
        <v>11</v>
      </c>
      <c r="F57463" s="0" t="s">
        <v>16941</v>
      </c>
    </row>
    <row r="57464" customFormat="false" ht="12.8" hidden="false" customHeight="false" outlineLevel="0" collapsed="false">
      <c r="B57464" s="0" t="s">
        <v>3585</v>
      </c>
      <c r="C57464" s="0" t="s">
        <v>19592</v>
      </c>
      <c r="E57464" s="0" t="s">
        <v>19593</v>
      </c>
      <c r="F57464" s="0" t="s">
        <v>19594</v>
      </c>
    </row>
    <row r="57465" customFormat="false" ht="12.8" hidden="false" customHeight="false" outlineLevel="0" collapsed="false">
      <c r="B57465" s="0" t="s">
        <v>186</v>
      </c>
      <c r="C57465" s="0" t="s">
        <v>5643</v>
      </c>
      <c r="E57465" s="0" t="s">
        <v>150</v>
      </c>
      <c r="F57465" s="0" t="s">
        <v>19595</v>
      </c>
    </row>
    <row r="57467" customFormat="false" ht="12.8" hidden="false" customHeight="false" outlineLevel="0" collapsed="false">
      <c r="A57467" s="0" t="s">
        <v>19591</v>
      </c>
      <c r="B57467" s="0" t="str">
        <f aca="false">HYPERLINK("https://lindat.mff.cuni.cz/services/teitok/pdtc10/index.php?action=vallex&amp;frame=v-whsa_396hsa_397", "vylévat si (v-whsa_396hsa_397) - substituted with v-whsa_396f1_ZU")</f>
        <v>vylévat si (v-whsa_396hsa_397) - substituted with v-whsa_396f1_ZU</v>
      </c>
    </row>
    <row r="57468" customFormat="false" ht="12.8" hidden="false" customHeight="false" outlineLevel="0" collapsed="false">
      <c r="B57468" s="0" t="s">
        <v>1</v>
      </c>
    </row>
    <row r="57469" customFormat="false" ht="12.8" hidden="false" customHeight="false" outlineLevel="0" collapsed="false">
      <c r="B57469" s="0" t="s">
        <v>3585</v>
      </c>
    </row>
    <row r="57470" customFormat="false" ht="12.8" hidden="false" customHeight="false" outlineLevel="0" collapsed="false">
      <c r="B57470" s="0" t="s">
        <v>186</v>
      </c>
    </row>
    <row r="57472" customFormat="false" ht="12.8" hidden="false" customHeight="false" outlineLevel="0" collapsed="false">
      <c r="A57472" s="0" t="s">
        <v>19596</v>
      </c>
      <c r="B57472" s="0" t="str">
        <f aca="false">HYPERLINK("https://lindat.mff.cuni.cz/services/teitok/pdtc10/index.php?action=vallex&amp;frame=v-w10407f2", "vylézat (v-w10407f2)")</f>
        <v>vylézat (v-w10407f2)</v>
      </c>
    </row>
    <row r="57473" customFormat="false" ht="12.8" hidden="false" customHeight="false" outlineLevel="0" collapsed="false">
      <c r="B57473" s="0" t="s">
        <v>1</v>
      </c>
    </row>
    <row r="57474" customFormat="false" ht="12.8" hidden="false" customHeight="false" outlineLevel="0" collapsed="false">
      <c r="B57474" s="0" t="s">
        <v>631</v>
      </c>
    </row>
    <row r="57476" customFormat="false" ht="12.8" hidden="false" customHeight="false" outlineLevel="0" collapsed="false">
      <c r="A57476" s="0" t="s">
        <v>19597</v>
      </c>
      <c r="B57476" s="0" t="str">
        <f aca="false">HYPERLINK("https://lindat.mff.cuni.cz/services/teitok/pdtc10/index.php?action=vallex&amp;frame=v-w8062f1", "vylézt (v-w8062f1)")</f>
        <v>vylézt (v-w8062f1)</v>
      </c>
    </row>
    <row r="57477" customFormat="false" ht="12.8" hidden="false" customHeight="false" outlineLevel="0" collapsed="false">
      <c r="B57477" s="0" t="s">
        <v>1</v>
      </c>
    </row>
    <row r="57478" customFormat="false" ht="12.8" hidden="false" customHeight="false" outlineLevel="0" collapsed="false">
      <c r="B57478" s="0" t="s">
        <v>8</v>
      </c>
    </row>
    <row r="57480" customFormat="false" ht="12.8" hidden="false" customHeight="false" outlineLevel="0" collapsed="false">
      <c r="A57480" s="0" t="s">
        <v>19598</v>
      </c>
      <c r="B57480" s="0" t="str">
        <f aca="false">HYPERLINK("https://lindat.mff.cuni.cz/services/teitok/pdtc10/index.php?action=vallex&amp;frame=v-w8062f3", "vylézt (v-w8062f3)")</f>
        <v>vylézt (v-w8062f3)</v>
      </c>
      <c r="E57480" s="0" t="str">
        <f aca="false">HYPERLINK("https://lindat.mff.cuni.cz/services/SynSemClass40/SynSemClass40.html?veclass=vec00048#vec00048-ces-cm00217", "vec00048")</f>
        <v>vec00048</v>
      </c>
      <c r="F57480" s="0" t="s">
        <v>1945</v>
      </c>
      <c r="H57480" s="0" t="str">
        <f aca="false">HYPERLINK("https://lindat.mff.cuni.cz/services/SynSemClass40/SynSemClass40.html?veclass=vec00811#vec00811-ces-cm00126", "vec00811")</f>
        <v>vec00811</v>
      </c>
      <c r="I57480" s="0" t="s">
        <v>2889</v>
      </c>
    </row>
    <row r="57481" customFormat="false" ht="12.8" hidden="false" customHeight="false" outlineLevel="0" collapsed="false">
      <c r="B57481" s="0" t="s">
        <v>1</v>
      </c>
      <c r="C57481" s="0" t="s">
        <v>4048</v>
      </c>
      <c r="E57481" s="0" t="s">
        <v>334</v>
      </c>
      <c r="F57481" s="0" t="s">
        <v>1947</v>
      </c>
      <c r="H57481" s="0" t="s">
        <v>2892</v>
      </c>
      <c r="I57481" s="0" t="s">
        <v>2893</v>
      </c>
    </row>
    <row r="57482" customFormat="false" ht="12.8" hidden="false" customHeight="false" outlineLevel="0" collapsed="false">
      <c r="B57482" s="0" t="s">
        <v>631</v>
      </c>
      <c r="C57482" s="0" t="s">
        <v>1948</v>
      </c>
      <c r="E57482" s="0" t="s">
        <v>1949</v>
      </c>
      <c r="F57482" s="0" t="s">
        <v>1950</v>
      </c>
      <c r="H57482" s="0" t="s">
        <v>1949</v>
      </c>
      <c r="I57482" s="0" t="s">
        <v>2896</v>
      </c>
    </row>
    <row r="57484" customFormat="false" ht="12.8" hidden="false" customHeight="false" outlineLevel="0" collapsed="false">
      <c r="A57484" s="0" t="s">
        <v>19599</v>
      </c>
      <c r="B57484" s="0" t="str">
        <f aca="false">HYPERLINK("https://lindat.mff.cuni.cz/services/teitok/pdtc10/index.php?action=vallex&amp;frame=v-w8062f2", "vylézt (v-w8062f2)")</f>
        <v>vylézt (v-w8062f2)</v>
      </c>
    </row>
    <row r="57485" customFormat="false" ht="12.8" hidden="false" customHeight="false" outlineLevel="0" collapsed="false">
      <c r="B57485" s="0" t="s">
        <v>1</v>
      </c>
    </row>
    <row r="57486" customFormat="false" ht="12.8" hidden="false" customHeight="false" outlineLevel="0" collapsed="false">
      <c r="B57486" s="0" t="s">
        <v>164</v>
      </c>
    </row>
    <row r="57488" customFormat="false" ht="12.8" hidden="false" customHeight="false" outlineLevel="0" collapsed="false">
      <c r="A57488" s="0" t="s">
        <v>19600</v>
      </c>
      <c r="B57488" s="0" t="str">
        <f aca="false">HYPERLINK("https://lindat.mff.cuni.cz/services/teitok/pdtc10/index.php?action=vallex&amp;frame=v-w8062f4_ZU", "vylézt (v-w8062f4_ZU)")</f>
        <v>vylézt (v-w8062f4_ZU)</v>
      </c>
    </row>
    <row r="57489" customFormat="false" ht="12.8" hidden="false" customHeight="false" outlineLevel="0" collapsed="false">
      <c r="B57489" s="0" t="s">
        <v>1</v>
      </c>
    </row>
    <row r="57491" customFormat="false" ht="12.8" hidden="false" customHeight="false" outlineLevel="0" collapsed="false">
      <c r="A57491" s="0" t="s">
        <v>19600</v>
      </c>
      <c r="B57491" s="0" t="str">
        <f aca="false">HYPERLINK("https://lindat.mff.cuni.cz/services/teitok/pdtc10/index.php?action=vallex&amp;frame=v-w8062hsa_1664", "vylézt (v-w8062hsa_1664) - substituted with v-w8062f4_ZU")</f>
        <v>vylézt (v-w8062hsa_1664) - substituted with v-w8062f4_ZU</v>
      </c>
    </row>
    <row r="57492" customFormat="false" ht="12.8" hidden="false" customHeight="false" outlineLevel="0" collapsed="false">
      <c r="B57492" s="0" t="s">
        <v>1</v>
      </c>
    </row>
    <row r="57494" customFormat="false" ht="12.8" hidden="false" customHeight="false" outlineLevel="0" collapsed="false">
      <c r="A57494" s="0" t="s">
        <v>19601</v>
      </c>
      <c r="B57494" s="0" t="str">
        <f aca="false">HYPERLINK("https://lindat.mff.cuni.cz/services/teitok/pdtc10/index.php?action=vallex&amp;frame=v-w8062f5_ZU", "vylézt (v-w8062f5_ZU)")</f>
        <v>vylézt (v-w8062f5_ZU)</v>
      </c>
    </row>
    <row r="57495" customFormat="false" ht="12.8" hidden="false" customHeight="false" outlineLevel="0" collapsed="false">
      <c r="B57495" s="0" t="s">
        <v>1</v>
      </c>
    </row>
    <row r="57496" customFormat="false" ht="12.8" hidden="false" customHeight="false" outlineLevel="0" collapsed="false">
      <c r="B57496" s="0" t="s">
        <v>6273</v>
      </c>
    </row>
    <row r="57498" customFormat="false" ht="12.8" hidden="false" customHeight="false" outlineLevel="0" collapsed="false">
      <c r="A57498" s="0" t="s">
        <v>19602</v>
      </c>
      <c r="B57498" s="0" t="str">
        <f aca="false">HYPERLINK("https://lindat.mff.cuni.cz/services/teitok/pdtc10/index.php?action=vallex&amp;frame=v-w8062f6_ZU", "vylézt (v-w8062f6_ZU)")</f>
        <v>vylézt (v-w8062f6_ZU)</v>
      </c>
    </row>
    <row r="57499" customFormat="false" ht="12.8" hidden="false" customHeight="false" outlineLevel="0" collapsed="false">
      <c r="B57499" s="0" t="s">
        <v>843</v>
      </c>
    </row>
    <row r="57500" customFormat="false" ht="12.8" hidden="false" customHeight="false" outlineLevel="0" collapsed="false">
      <c r="B57500" s="0" t="s">
        <v>631</v>
      </c>
    </row>
    <row r="57502" customFormat="false" ht="12.8" hidden="false" customHeight="false" outlineLevel="0" collapsed="false">
      <c r="A57502" s="0" t="s">
        <v>19603</v>
      </c>
      <c r="B57502" s="0" t="str">
        <f aca="false">HYPERLINK("https://lindat.mff.cuni.cz/services/teitok/pdtc10/index.php?action=vallex&amp;frame=v-w8062hsa_1665", "vylézt (v-w8062hsa_1665)")</f>
        <v>vylézt (v-w8062hsa_1665)</v>
      </c>
    </row>
    <row r="57503" customFormat="false" ht="12.8" hidden="false" customHeight="false" outlineLevel="0" collapsed="false">
      <c r="B57503" s="0" t="s">
        <v>1</v>
      </c>
    </row>
    <row r="57504" customFormat="false" ht="12.8" hidden="false" customHeight="false" outlineLevel="0" collapsed="false">
      <c r="B57504" s="0" t="s">
        <v>763</v>
      </c>
    </row>
    <row r="57506" customFormat="false" ht="12.8" hidden="false" customHeight="false" outlineLevel="0" collapsed="false">
      <c r="A57506" s="0" t="s">
        <v>19604</v>
      </c>
      <c r="B57506" s="0" t="str">
        <f aca="false">HYPERLINK("https://lindat.mff.cuni.cz/services/teitok/pdtc10/index.php?action=vallex&amp;frame=v-w8053f1", "vyléčit (v-w8053f1)")</f>
        <v>vyléčit (v-w8053f1)</v>
      </c>
      <c r="E57506" s="0" t="str">
        <f aca="false">HYPERLINK("https://lindat.mff.cuni.cz/services/SynSemClass40/SynSemClass40.html?veclass=vec00628#vec00628-ces-cm00005", "vec00628")</f>
        <v>vec00628</v>
      </c>
      <c r="F57506" s="0" t="s">
        <v>6144</v>
      </c>
    </row>
    <row r="57507" customFormat="false" ht="12.8" hidden="false" customHeight="false" outlineLevel="0" collapsed="false">
      <c r="B57507" s="0" t="s">
        <v>1</v>
      </c>
      <c r="C57507" s="0" t="s">
        <v>6145</v>
      </c>
      <c r="E57507" s="0" t="s">
        <v>6146</v>
      </c>
      <c r="F57507" s="0" t="s">
        <v>6147</v>
      </c>
    </row>
    <row r="57508" customFormat="false" ht="12.8" hidden="false" customHeight="false" outlineLevel="0" collapsed="false">
      <c r="B57508" s="0" t="s">
        <v>8</v>
      </c>
      <c r="C57508" s="0" t="s">
        <v>6148</v>
      </c>
      <c r="E57508" s="0" t="s">
        <v>532</v>
      </c>
      <c r="F57508" s="0" t="s">
        <v>6149</v>
      </c>
    </row>
    <row r="57510" customFormat="false" ht="12.8" hidden="false" customHeight="false" outlineLevel="0" collapsed="false">
      <c r="A57510" s="0" t="s">
        <v>19605</v>
      </c>
      <c r="B57510" s="0" t="str">
        <f aca="false">HYPERLINK("https://lindat.mff.cuni.cz/services/teitok/pdtc10/index.php?action=vallex&amp;frame=v-w8053f2", "vyléčit (v-w8053f2)")</f>
        <v>vyléčit (v-w8053f2)</v>
      </c>
    </row>
    <row r="57511" customFormat="false" ht="12.8" hidden="false" customHeight="false" outlineLevel="0" collapsed="false">
      <c r="B57511" s="0" t="s">
        <v>1</v>
      </c>
    </row>
    <row r="57512" customFormat="false" ht="12.8" hidden="false" customHeight="false" outlineLevel="0" collapsed="false">
      <c r="B57512" s="0" t="s">
        <v>98</v>
      </c>
    </row>
    <row r="57513" customFormat="false" ht="12.8" hidden="false" customHeight="false" outlineLevel="0" collapsed="false">
      <c r="B57513" s="0" t="s">
        <v>763</v>
      </c>
    </row>
    <row r="57515" customFormat="false" ht="12.8" hidden="false" customHeight="false" outlineLevel="0" collapsed="false">
      <c r="A57515" s="0" t="s">
        <v>19606</v>
      </c>
      <c r="B57515" s="0" t="str">
        <f aca="false">HYPERLINK("https://lindat.mff.cuni.cz/services/teitok/pdtc10/index.php?action=vallex&amp;frame=v-w12016_ZUf1_ZU", "vyléčit se (v-w12016_ZUf1_ZU)")</f>
        <v>vyléčit se (v-w12016_ZUf1_ZU)</v>
      </c>
    </row>
    <row r="57516" customFormat="false" ht="12.8" hidden="false" customHeight="false" outlineLevel="0" collapsed="false">
      <c r="B57516" s="0" t="s">
        <v>1</v>
      </c>
    </row>
    <row r="57517" customFormat="false" ht="12.8" hidden="false" customHeight="false" outlineLevel="0" collapsed="false">
      <c r="B57517" s="0" t="s">
        <v>763</v>
      </c>
    </row>
    <row r="57519" customFormat="false" ht="12.8" hidden="false" customHeight="false" outlineLevel="0" collapsed="false">
      <c r="A57519" s="0" t="s">
        <v>19607</v>
      </c>
      <c r="B57519" s="0" t="str">
        <f aca="false">HYPERLINK("https://lindat.mff.cuni.cz/services/teitok/pdtc10/index.php?action=vallex&amp;frame=v-w8066f1", "vylít (v-w8066f1)")</f>
        <v>vylít (v-w8066f1)</v>
      </c>
    </row>
    <row r="57520" customFormat="false" ht="12.8" hidden="false" customHeight="false" outlineLevel="0" collapsed="false">
      <c r="B57520" s="0" t="s">
        <v>1</v>
      </c>
    </row>
    <row r="57521" customFormat="false" ht="12.8" hidden="false" customHeight="false" outlineLevel="0" collapsed="false">
      <c r="B57521" s="0" t="s">
        <v>8</v>
      </c>
    </row>
    <row r="57522" customFormat="false" ht="12.8" hidden="false" customHeight="false" outlineLevel="0" collapsed="false">
      <c r="B57522" s="0" t="s">
        <v>631</v>
      </c>
    </row>
    <row r="57524" customFormat="false" ht="12.8" hidden="false" customHeight="false" outlineLevel="0" collapsed="false">
      <c r="A57524" s="0" t="s">
        <v>19608</v>
      </c>
      <c r="B57524" s="0" t="str">
        <f aca="false">HYPERLINK("https://lindat.mff.cuni.cz/services/teitok/pdtc10/index.php?action=vallex&amp;frame=v-w8066f2_ZU", "vylít (v-w8066f2_ZU)")</f>
        <v>vylít (v-w8066f2_ZU)</v>
      </c>
    </row>
    <row r="57525" customFormat="false" ht="12.8" hidden="false" customHeight="false" outlineLevel="0" collapsed="false">
      <c r="B57525" s="0" t="s">
        <v>1</v>
      </c>
    </row>
    <row r="57526" customFormat="false" ht="12.8" hidden="false" customHeight="false" outlineLevel="0" collapsed="false">
      <c r="B57526" s="0" t="s">
        <v>8</v>
      </c>
    </row>
    <row r="57528" customFormat="false" ht="12.8" hidden="false" customHeight="false" outlineLevel="0" collapsed="false">
      <c r="A57528" s="0" t="s">
        <v>19609</v>
      </c>
      <c r="B57528" s="0" t="str">
        <f aca="false">HYPERLINK("https://lindat.mff.cuni.cz/services/teitok/pdtc10/index.php?action=vallex&amp;frame=v-whsa_1480hsa_1481", "vylítat (v-whsa_1480hsa_1481)")</f>
        <v>vylítat (v-whsa_1480hsa_1481)</v>
      </c>
    </row>
    <row r="57529" customFormat="false" ht="12.8" hidden="false" customHeight="false" outlineLevel="0" collapsed="false">
      <c r="B57529" s="0" t="s">
        <v>1</v>
      </c>
    </row>
    <row r="57530" customFormat="false" ht="12.8" hidden="false" customHeight="false" outlineLevel="0" collapsed="false">
      <c r="B57530" s="0" t="s">
        <v>631</v>
      </c>
    </row>
    <row r="57532" customFormat="false" ht="12.8" hidden="false" customHeight="false" outlineLevel="0" collapsed="false">
      <c r="A57532" s="0" t="s">
        <v>19610</v>
      </c>
      <c r="B57532" s="0" t="str">
        <f aca="false">HYPERLINK("https://lindat.mff.cuni.cz/services/teitok/pdtc10/index.php?action=vallex&amp;frame=v-w11992_ZUf1_ZU", "vylítat (v-w11992_ZUf1_ZU)")</f>
        <v>vylítat (v-w11992_ZUf1_ZU)</v>
      </c>
    </row>
    <row r="57533" customFormat="false" ht="12.8" hidden="false" customHeight="false" outlineLevel="0" collapsed="false">
      <c r="B57533" s="0" t="s">
        <v>1</v>
      </c>
    </row>
    <row r="57534" customFormat="false" ht="12.8" hidden="false" customHeight="false" outlineLevel="0" collapsed="false">
      <c r="B57534" s="0" t="s">
        <v>8</v>
      </c>
    </row>
    <row r="57536" customFormat="false" ht="12.8" hidden="false" customHeight="false" outlineLevel="0" collapsed="false">
      <c r="A57536" s="0" t="s">
        <v>19611</v>
      </c>
      <c r="B57536" s="0" t="str">
        <f aca="false">HYPERLINK("https://lindat.mff.cuni.cz/services/teitok/pdtc10/index.php?action=vallex&amp;frame=v-whsa_731f1_ZU", "vylítnout (v-whsa_731f1_ZU)")</f>
        <v>vylítnout (v-whsa_731f1_ZU)</v>
      </c>
    </row>
    <row r="57537" customFormat="false" ht="12.8" hidden="false" customHeight="false" outlineLevel="0" collapsed="false">
      <c r="B57537" s="0" t="s">
        <v>1</v>
      </c>
    </row>
    <row r="57538" customFormat="false" ht="12.8" hidden="false" customHeight="false" outlineLevel="0" collapsed="false">
      <c r="B57538" s="0" t="s">
        <v>69</v>
      </c>
    </row>
    <row r="57539" customFormat="false" ht="12.8" hidden="false" customHeight="false" outlineLevel="0" collapsed="false">
      <c r="B57539" s="0" t="s">
        <v>36</v>
      </c>
    </row>
    <row r="57541" customFormat="false" ht="12.8" hidden="false" customHeight="false" outlineLevel="0" collapsed="false">
      <c r="A57541" s="0" t="s">
        <v>19611</v>
      </c>
      <c r="B57541" s="0" t="str">
        <f aca="false">HYPERLINK("https://lindat.mff.cuni.cz/services/teitok/pdtc10/index.php?action=vallex&amp;frame=v-whsa_731hsa_733", "vylítnout (v-whsa_731hsa_733) - substituted with v-whsa_731f1_ZU")</f>
        <v>vylítnout (v-whsa_731hsa_733) - substituted with v-whsa_731f1_ZU</v>
      </c>
    </row>
    <row r="57542" customFormat="false" ht="12.8" hidden="false" customHeight="false" outlineLevel="0" collapsed="false">
      <c r="B57542" s="0" t="s">
        <v>1</v>
      </c>
    </row>
    <row r="57543" customFormat="false" ht="12.8" hidden="false" customHeight="false" outlineLevel="0" collapsed="false">
      <c r="B57543" s="0" t="s">
        <v>69</v>
      </c>
    </row>
    <row r="57544" customFormat="false" ht="12.8" hidden="false" customHeight="false" outlineLevel="0" collapsed="false">
      <c r="B57544" s="0" t="s">
        <v>36</v>
      </c>
    </row>
    <row r="57546" customFormat="false" ht="12.8" hidden="false" customHeight="false" outlineLevel="0" collapsed="false">
      <c r="A57546" s="0" t="s">
        <v>19612</v>
      </c>
      <c r="B57546" s="0" t="str">
        <f aca="false">HYPERLINK("https://lindat.mff.cuni.cz/services/teitok/pdtc10/index.php?action=vallex&amp;frame=v-whsa_731hsa_732", "vylítnout (v-whsa_731hsa_732)")</f>
        <v>vylítnout (v-whsa_731hsa_732)</v>
      </c>
    </row>
    <row r="57547" customFormat="false" ht="12.8" hidden="false" customHeight="false" outlineLevel="0" collapsed="false">
      <c r="B57547" s="0" t="s">
        <v>1</v>
      </c>
    </row>
    <row r="57548" customFormat="false" ht="12.8" hidden="false" customHeight="false" outlineLevel="0" collapsed="false">
      <c r="B57548" s="0" t="s">
        <v>631</v>
      </c>
    </row>
    <row r="57550" customFormat="false" ht="12.8" hidden="false" customHeight="false" outlineLevel="0" collapsed="false">
      <c r="A57550" s="0" t="s">
        <v>19613</v>
      </c>
      <c r="B57550" s="0" t="str">
        <f aca="false">HYPERLINK("https://lindat.mff.cuni.cz/services/teitok/pdtc10/index.php?action=vallex&amp;frame=v-w12351_MMf1_MM", "vylítávat (v-w12351_MMf1_MM)")</f>
        <v>vylítávat (v-w12351_MMf1_MM)</v>
      </c>
    </row>
    <row r="57551" customFormat="false" ht="12.8" hidden="false" customHeight="false" outlineLevel="0" collapsed="false">
      <c r="B57551" s="0" t="s">
        <v>1</v>
      </c>
    </row>
    <row r="57552" customFormat="false" ht="12.8" hidden="false" customHeight="false" outlineLevel="0" collapsed="false">
      <c r="B57552" s="0" t="s">
        <v>631</v>
      </c>
    </row>
    <row r="57554" customFormat="false" ht="12.8" hidden="false" customHeight="false" outlineLevel="0" collapsed="false">
      <c r="A57554" s="0" t="s">
        <v>19614</v>
      </c>
      <c r="B57554" s="0" t="str">
        <f aca="false">HYPERLINK("https://lindat.mff.cuni.cz/services/teitok/pdtc10/index.php?action=vallex&amp;frame=v-w11891_ZUf1_ZU", "vylízat (v-w11891_ZUf1_ZU)")</f>
        <v>vylízat (v-w11891_ZUf1_ZU)</v>
      </c>
    </row>
    <row r="57555" customFormat="false" ht="12.8" hidden="false" customHeight="false" outlineLevel="0" collapsed="false">
      <c r="B57555" s="0" t="s">
        <v>1</v>
      </c>
    </row>
    <row r="57556" customFormat="false" ht="12.8" hidden="false" customHeight="false" outlineLevel="0" collapsed="false">
      <c r="B57556" s="0" t="s">
        <v>8</v>
      </c>
    </row>
    <row r="57558" customFormat="false" ht="12.8" hidden="false" customHeight="false" outlineLevel="0" collapsed="false">
      <c r="A57558" s="0" t="s">
        <v>19615</v>
      </c>
      <c r="B57558" s="0" t="str">
        <f aca="false">HYPERLINK("https://lindat.mff.cuni.cz/services/teitok/pdtc10/index.php?action=vallex&amp;frame=v-w8067f1", "vylízat se (v-w8067f1)")</f>
        <v>vylízat se (v-w8067f1)</v>
      </c>
    </row>
    <row r="57559" customFormat="false" ht="12.8" hidden="false" customHeight="false" outlineLevel="0" collapsed="false">
      <c r="B57559" s="0" t="s">
        <v>1</v>
      </c>
    </row>
    <row r="57560" customFormat="false" ht="12.8" hidden="false" customHeight="false" outlineLevel="0" collapsed="false">
      <c r="B57560" s="0" t="s">
        <v>763</v>
      </c>
    </row>
    <row r="57562" customFormat="false" ht="12.8" hidden="false" customHeight="false" outlineLevel="0" collapsed="false">
      <c r="A57562" s="0" t="s">
        <v>19616</v>
      </c>
      <c r="B57562" s="0" t="str">
        <f aca="false">HYPERLINK("https://lindat.mff.cuni.cz/services/teitok/pdtc10/index.php?action=vallex&amp;frame=v-w8064f1", "vylíčit (v-w8064f1)")</f>
        <v>vylíčit (v-w8064f1)</v>
      </c>
      <c r="E57562" s="0" t="str">
        <f aca="false">HYPERLINK("https://lindat.mff.cuni.cz/services/SynSemClass40/SynSemClass40.html?veclass=vec00417#vec00417-ces-cm00056", "vec00417")</f>
        <v>vec00417</v>
      </c>
      <c r="F57562" s="0" t="s">
        <v>1372</v>
      </c>
    </row>
    <row r="57563" customFormat="false" ht="12.8" hidden="false" customHeight="false" outlineLevel="0" collapsed="false">
      <c r="B57563" s="0" t="s">
        <v>1</v>
      </c>
      <c r="C57563" s="0" t="s">
        <v>1373</v>
      </c>
      <c r="E57563" s="0" t="s">
        <v>63</v>
      </c>
      <c r="F57563" s="0" t="s">
        <v>1374</v>
      </c>
    </row>
    <row r="57564" customFormat="false" ht="12.8" hidden="false" customHeight="false" outlineLevel="0" collapsed="false">
      <c r="B57564" s="0" t="s">
        <v>19490</v>
      </c>
      <c r="C57564" s="0" t="s">
        <v>1375</v>
      </c>
      <c r="E57564" s="0" t="s">
        <v>1376</v>
      </c>
      <c r="F57564" s="0" t="s">
        <v>1377</v>
      </c>
    </row>
    <row r="57565" customFormat="false" ht="12.8" hidden="false" customHeight="false" outlineLevel="0" collapsed="false">
      <c r="B57565" s="0" t="s">
        <v>52</v>
      </c>
      <c r="E57565" s="0" t="s">
        <v>221</v>
      </c>
      <c r="F57565" s="0" t="s">
        <v>4699</v>
      </c>
    </row>
    <row r="57567" customFormat="false" ht="12.8" hidden="false" customHeight="false" outlineLevel="0" collapsed="false">
      <c r="A57567" s="0" t="s">
        <v>19617</v>
      </c>
      <c r="B57567" s="0" t="str">
        <f aca="false">HYPERLINK("https://lindat.mff.cuni.cz/services/teitok/pdtc10/index.php?action=vallex&amp;frame=v-w8092f1", "vymalovat (v-w8092f1)")</f>
        <v>vymalovat (v-w8092f1)</v>
      </c>
      <c r="E57567" s="0" t="str">
        <f aca="false">HYPERLINK("https://lindat.mff.cuni.cz/services/SynSemClass40/SynSemClass40.html?veclass=vec00638#vec00638-ces-cm00006", "vec00638")</f>
        <v>vec00638</v>
      </c>
      <c r="F57567" s="0" t="s">
        <v>5745</v>
      </c>
      <c r="H57567" s="0" t="str">
        <f aca="false">HYPERLINK("https://lindat.mff.cuni.cz/services/SynSemClass40/SynSemClass40.html?veclass=vec01363#vec01363-ces-cm00004", "vec01363")</f>
        <v>vec01363</v>
      </c>
      <c r="I57567" s="0" t="s">
        <v>7011</v>
      </c>
    </row>
    <row r="57568" customFormat="false" ht="12.8" hidden="false" customHeight="false" outlineLevel="0" collapsed="false">
      <c r="B57568" s="0" t="s">
        <v>1</v>
      </c>
      <c r="C57568" s="0" t="s">
        <v>239</v>
      </c>
      <c r="E57568" s="0" t="s">
        <v>768</v>
      </c>
      <c r="F57568" s="0" t="s">
        <v>5637</v>
      </c>
      <c r="H57568" s="0" t="s">
        <v>31</v>
      </c>
      <c r="I57568" s="0" t="s">
        <v>3001</v>
      </c>
    </row>
    <row r="57569" customFormat="false" ht="12.8" hidden="false" customHeight="false" outlineLevel="0" collapsed="false">
      <c r="B57569" s="0" t="s">
        <v>8</v>
      </c>
      <c r="C57569" s="0" t="s">
        <v>3200</v>
      </c>
      <c r="E57569" s="0" t="s">
        <v>771</v>
      </c>
      <c r="F57569" s="0" t="s">
        <v>5746</v>
      </c>
      <c r="H57569" s="0" t="s">
        <v>4782</v>
      </c>
      <c r="I57569" s="0" t="s">
        <v>7012</v>
      </c>
    </row>
    <row r="57571" customFormat="false" ht="12.8" hidden="false" customHeight="false" outlineLevel="0" collapsed="false">
      <c r="A57571" s="0" t="s">
        <v>19618</v>
      </c>
      <c r="B57571" s="0" t="str">
        <f aca="false">HYPERLINK("https://lindat.mff.cuni.cz/services/teitok/pdtc10/index.php?action=vallex&amp;frame=v-w8093f1", "vymanit (v-w8093f1)")</f>
        <v>vymanit (v-w8093f1)</v>
      </c>
    </row>
    <row r="57572" customFormat="false" ht="12.8" hidden="false" customHeight="false" outlineLevel="0" collapsed="false">
      <c r="B57572" s="0" t="s">
        <v>1</v>
      </c>
    </row>
    <row r="57573" customFormat="false" ht="12.8" hidden="false" customHeight="false" outlineLevel="0" collapsed="false">
      <c r="B57573" s="0" t="s">
        <v>8</v>
      </c>
    </row>
    <row r="57574" customFormat="false" ht="12.8" hidden="false" customHeight="false" outlineLevel="0" collapsed="false">
      <c r="B57574" s="0" t="s">
        <v>631</v>
      </c>
    </row>
    <row r="57576" customFormat="false" ht="12.8" hidden="false" customHeight="false" outlineLevel="0" collapsed="false">
      <c r="A57576" s="0" t="s">
        <v>19619</v>
      </c>
      <c r="B57576" s="0" t="str">
        <f aca="false">HYPERLINK("https://lindat.mff.cuni.cz/services/teitok/pdtc10/index.php?action=vallex&amp;frame=v-w8094f1", "vymanit se (v-w8094f1)")</f>
        <v>vymanit se (v-w8094f1)</v>
      </c>
      <c r="E57576" s="0" t="str">
        <f aca="false">HYPERLINK("https://lindat.mff.cuni.cz/services/SynSemClass40/SynSemClass40.html?veclass=vec00390#vec00390-ces-cm00031", "vec00390")</f>
        <v>vec00390</v>
      </c>
      <c r="F57576" s="0" t="s">
        <v>1595</v>
      </c>
      <c r="H57576" s="0" t="str">
        <f aca="false">HYPERLINK("https://lindat.mff.cuni.cz/services/SynSemClass40/SynSemClass40.html?veclass=vec00811#vec00811-ces-cm00127", "vec00811")</f>
        <v>vec00811</v>
      </c>
      <c r="I57576" s="0" t="s">
        <v>2889</v>
      </c>
    </row>
    <row r="57577" customFormat="false" ht="12.8" hidden="false" customHeight="false" outlineLevel="0" collapsed="false">
      <c r="B57577" s="0" t="s">
        <v>1</v>
      </c>
      <c r="C57577" s="0" t="s">
        <v>19254</v>
      </c>
      <c r="E57577" s="0" t="s">
        <v>1597</v>
      </c>
      <c r="F57577" s="0" t="s">
        <v>1598</v>
      </c>
      <c r="H57577" s="0" t="s">
        <v>2892</v>
      </c>
      <c r="I57577" s="0" t="s">
        <v>2893</v>
      </c>
    </row>
    <row r="57578" customFormat="false" ht="12.8" hidden="false" customHeight="false" outlineLevel="0" collapsed="false">
      <c r="B57578" s="0" t="s">
        <v>631</v>
      </c>
      <c r="E57578" s="0" t="s">
        <v>2818</v>
      </c>
      <c r="F57578" s="0" t="s">
        <v>2819</v>
      </c>
      <c r="H57578" s="0" t="s">
        <v>1949</v>
      </c>
      <c r="I57578" s="0" t="s">
        <v>2896</v>
      </c>
    </row>
    <row r="57580" customFormat="false" ht="12.8" hidden="false" customHeight="false" outlineLevel="0" collapsed="false">
      <c r="A57580" s="0" t="s">
        <v>19620</v>
      </c>
      <c r="B57580" s="0" t="str">
        <f aca="false">HYPERLINK("https://lindat.mff.cuni.cz/services/teitok/pdtc10/index.php?action=vallex&amp;frame=v-w10325f2", "vymanévrovat (v-w10325f2)")</f>
        <v>vymanévrovat (v-w10325f2)</v>
      </c>
    </row>
    <row r="57581" customFormat="false" ht="12.8" hidden="false" customHeight="false" outlineLevel="0" collapsed="false">
      <c r="B57581" s="0" t="s">
        <v>1</v>
      </c>
    </row>
    <row r="57582" customFormat="false" ht="12.8" hidden="false" customHeight="false" outlineLevel="0" collapsed="false">
      <c r="B57582" s="0" t="s">
        <v>8</v>
      </c>
    </row>
    <row r="57584" customFormat="false" ht="12.8" hidden="false" customHeight="false" outlineLevel="0" collapsed="false">
      <c r="A57584" s="0" t="s">
        <v>19621</v>
      </c>
      <c r="B57584" s="0" t="str">
        <f aca="false">HYPERLINK("https://lindat.mff.cuni.cz/services/teitok/pdtc10/index.php?action=vallex&amp;frame=v-w8095f1", "vymazat (v-w8095f1)")</f>
        <v>vymazat (v-w8095f1)</v>
      </c>
      <c r="E57584" s="0" t="str">
        <f aca="false">HYPERLINK("https://lindat.mff.cuni.cz/services/SynSemClass40/SynSemClass40.html?veclass=vec00962#vec00962-ces-cm00001", "vec00962")</f>
        <v>vec00962</v>
      </c>
      <c r="F57584" s="0" t="s">
        <v>9319</v>
      </c>
    </row>
    <row r="57585" customFormat="false" ht="12.8" hidden="false" customHeight="false" outlineLevel="0" collapsed="false">
      <c r="B57585" s="0" t="s">
        <v>1</v>
      </c>
      <c r="C57585" s="0" t="s">
        <v>106</v>
      </c>
      <c r="E57585" s="0" t="s">
        <v>11</v>
      </c>
      <c r="F57585" s="0" t="s">
        <v>9320</v>
      </c>
    </row>
    <row r="57586" customFormat="false" ht="12.8" hidden="false" customHeight="false" outlineLevel="0" collapsed="false">
      <c r="B57586" s="0" t="s">
        <v>8</v>
      </c>
      <c r="C57586" s="0" t="s">
        <v>4392</v>
      </c>
      <c r="E57586" s="0" t="s">
        <v>4094</v>
      </c>
      <c r="F57586" s="0" t="s">
        <v>9321</v>
      </c>
    </row>
    <row r="57587" customFormat="false" ht="12.8" hidden="false" customHeight="false" outlineLevel="0" collapsed="false">
      <c r="B57587" s="0" t="s">
        <v>631</v>
      </c>
      <c r="C57587" s="0" t="s">
        <v>9322</v>
      </c>
      <c r="E57587" s="0" t="s">
        <v>1924</v>
      </c>
      <c r="F57587" s="0" t="s">
        <v>9323</v>
      </c>
    </row>
    <row r="57589" customFormat="false" ht="12.8" hidden="false" customHeight="false" outlineLevel="0" collapsed="false">
      <c r="A57589" s="0" t="s">
        <v>19622</v>
      </c>
      <c r="B57589" s="0" t="str">
        <f aca="false">HYPERLINK("https://lindat.mff.cuni.cz/services/teitok/pdtc10/index.php?action=vallex&amp;frame=v-w8095f3_ZU", "vymazat (v-w8095f3_ZU)")</f>
        <v>vymazat (v-w8095f3_ZU)</v>
      </c>
    </row>
    <row r="57590" customFormat="false" ht="12.8" hidden="false" customHeight="false" outlineLevel="0" collapsed="false">
      <c r="B57590" s="0" t="s">
        <v>1</v>
      </c>
    </row>
    <row r="57591" customFormat="false" ht="12.8" hidden="false" customHeight="false" outlineLevel="0" collapsed="false">
      <c r="B57591" s="0" t="s">
        <v>8</v>
      </c>
    </row>
    <row r="57593" customFormat="false" ht="12.8" hidden="false" customHeight="false" outlineLevel="0" collapsed="false">
      <c r="A57593" s="0" t="s">
        <v>19622</v>
      </c>
      <c r="B57593" s="0" t="str">
        <f aca="false">HYPERLINK("https://lindat.mff.cuni.cz/services/teitok/pdtc10/index.php?action=vallex&amp;frame=v-w8095hsa_360", "vymazat (v-w8095hsa_360) - substituted with v-w8095f3_ZU")</f>
        <v>vymazat (v-w8095hsa_360) - substituted with v-w8095f3_ZU</v>
      </c>
    </row>
    <row r="57594" customFormat="false" ht="12.8" hidden="false" customHeight="false" outlineLevel="0" collapsed="false">
      <c r="B57594" s="0" t="s">
        <v>1</v>
      </c>
    </row>
    <row r="57595" customFormat="false" ht="12.8" hidden="false" customHeight="false" outlineLevel="0" collapsed="false">
      <c r="B57595" s="0" t="s">
        <v>8</v>
      </c>
    </row>
    <row r="57597" customFormat="false" ht="12.8" hidden="false" customHeight="false" outlineLevel="0" collapsed="false">
      <c r="A57597" s="0" t="s">
        <v>19623</v>
      </c>
      <c r="B57597" s="0" t="str">
        <f aca="false">HYPERLINK("https://lindat.mff.cuni.cz/services/teitok/pdtc10/index.php?action=vallex&amp;frame=v-w8095f2_ZU", "vymazat (v-w8095f2_ZU)")</f>
        <v>vymazat (v-w8095f2_ZU)</v>
      </c>
      <c r="E57597" s="0" t="str">
        <f aca="false">HYPERLINK("https://lindat.mff.cuni.cz/services/SynSemClass40/SynSemClass40.html?veclass=vec00962#vec00962-ces-cm00005", "vec00962")</f>
        <v>vec00962</v>
      </c>
      <c r="F57597" s="0" t="s">
        <v>9319</v>
      </c>
    </row>
    <row r="57598" customFormat="false" ht="12.8" hidden="false" customHeight="false" outlineLevel="0" collapsed="false">
      <c r="B57598" s="0" t="s">
        <v>1</v>
      </c>
      <c r="C57598" s="0" t="s">
        <v>106</v>
      </c>
      <c r="E57598" s="0" t="s">
        <v>11</v>
      </c>
      <c r="F57598" s="0" t="s">
        <v>9320</v>
      </c>
    </row>
    <row r="57599" customFormat="false" ht="12.8" hidden="false" customHeight="false" outlineLevel="0" collapsed="false">
      <c r="B57599" s="0" t="s">
        <v>8</v>
      </c>
      <c r="C57599" s="0" t="s">
        <v>4392</v>
      </c>
      <c r="E57599" s="0" t="s">
        <v>4094</v>
      </c>
      <c r="F57599" s="0" t="s">
        <v>9321</v>
      </c>
    </row>
    <row r="57601" customFormat="false" ht="12.8" hidden="false" customHeight="false" outlineLevel="0" collapsed="false">
      <c r="A57601" s="0" t="s">
        <v>19624</v>
      </c>
      <c r="B57601" s="0" t="str">
        <f aca="false">HYPERLINK("https://lindat.mff.cuni.cz/services/teitok/pdtc10/index.php?action=vallex&amp;frame=v-w8095f4_ZU", "vymazat (v-w8095f4_ZU)")</f>
        <v>vymazat (v-w8095f4_ZU)</v>
      </c>
    </row>
    <row r="57602" customFormat="false" ht="12.8" hidden="false" customHeight="false" outlineLevel="0" collapsed="false">
      <c r="B57602" s="0" t="s">
        <v>1</v>
      </c>
    </row>
    <row r="57603" customFormat="false" ht="12.8" hidden="false" customHeight="false" outlineLevel="0" collapsed="false">
      <c r="B57603" s="0" t="s">
        <v>8</v>
      </c>
    </row>
    <row r="57604" customFormat="false" ht="12.8" hidden="false" customHeight="false" outlineLevel="0" collapsed="false">
      <c r="B57604" s="0" t="s">
        <v>19625</v>
      </c>
    </row>
    <row r="57606" customFormat="false" ht="12.8" hidden="false" customHeight="false" outlineLevel="0" collapsed="false">
      <c r="A57606" s="0" t="s">
        <v>19624</v>
      </c>
      <c r="B57606" s="0" t="str">
        <f aca="false">HYPERLINK("https://lindat.mff.cuni.cz/services/teitok/pdtc10/index.php?action=vallex&amp;frame=v-w8095hsa_267", "vymazat (v-w8095hsa_267) - substituted with v-w8095f4_ZU")</f>
        <v>vymazat (v-w8095hsa_267) - substituted with v-w8095f4_ZU</v>
      </c>
    </row>
    <row r="57607" customFormat="false" ht="12.8" hidden="false" customHeight="false" outlineLevel="0" collapsed="false">
      <c r="B57607" s="0" t="s">
        <v>1</v>
      </c>
    </row>
    <row r="57608" customFormat="false" ht="12.8" hidden="false" customHeight="false" outlineLevel="0" collapsed="false">
      <c r="B57608" s="0" t="s">
        <v>8</v>
      </c>
    </row>
    <row r="57609" customFormat="false" ht="12.8" hidden="false" customHeight="false" outlineLevel="0" collapsed="false">
      <c r="B57609" s="0" t="s">
        <v>19625</v>
      </c>
    </row>
    <row r="57611" customFormat="false" ht="12.8" hidden="false" customHeight="false" outlineLevel="0" collapsed="false">
      <c r="A57611" s="0" t="s">
        <v>19626</v>
      </c>
      <c r="B57611" s="0" t="str">
        <f aca="false">HYPERLINK("https://lindat.mff.cuni.cz/services/teitok/pdtc10/index.php?action=vallex&amp;frame=v-w10858f2", "vymačkat (v-w10858f2)")</f>
        <v>vymačkat (v-w10858f2)</v>
      </c>
    </row>
    <row r="57612" customFormat="false" ht="12.8" hidden="false" customHeight="false" outlineLevel="0" collapsed="false">
      <c r="B57612" s="0" t="s">
        <v>1</v>
      </c>
    </row>
    <row r="57613" customFormat="false" ht="12.8" hidden="false" customHeight="false" outlineLevel="0" collapsed="false">
      <c r="B57613" s="0" t="s">
        <v>8</v>
      </c>
    </row>
    <row r="57614" customFormat="false" ht="12.8" hidden="false" customHeight="false" outlineLevel="0" collapsed="false">
      <c r="B57614" s="0" t="s">
        <v>2840</v>
      </c>
    </row>
    <row r="57616" customFormat="false" ht="12.8" hidden="false" customHeight="false" outlineLevel="0" collapsed="false">
      <c r="A57616" s="0" t="s">
        <v>19627</v>
      </c>
      <c r="B57616" s="0" t="str">
        <f aca="false">HYPERLINK("https://lindat.mff.cuni.cz/services/teitok/pdtc10/index.php?action=vallex&amp;frame=v-w10858hsa_170", "vymačkat (v-w10858hsa_170)")</f>
        <v>vymačkat (v-w10858hsa_170)</v>
      </c>
    </row>
    <row r="57617" customFormat="false" ht="12.8" hidden="false" customHeight="false" outlineLevel="0" collapsed="false">
      <c r="B57617" s="0" t="s">
        <v>1</v>
      </c>
    </row>
    <row r="57618" customFormat="false" ht="12.8" hidden="false" customHeight="false" outlineLevel="0" collapsed="false">
      <c r="B57618" s="0" t="s">
        <v>8</v>
      </c>
    </row>
    <row r="57619" customFormat="false" ht="12.8" hidden="false" customHeight="false" outlineLevel="0" collapsed="false">
      <c r="B57619" s="0" t="s">
        <v>631</v>
      </c>
    </row>
    <row r="57621" customFormat="false" ht="12.8" hidden="false" customHeight="false" outlineLevel="0" collapsed="false">
      <c r="A57621" s="0" t="s">
        <v>19628</v>
      </c>
      <c r="B57621" s="0" t="str">
        <f aca="false">HYPERLINK("https://lindat.mff.cuni.cz/services/teitok/pdtc10/index.php?action=vallex&amp;frame=v-w8103f1", "vymetat (v-w8103f1)")</f>
        <v>vymetat (v-w8103f1)</v>
      </c>
    </row>
    <row r="57622" customFormat="false" ht="12.8" hidden="false" customHeight="false" outlineLevel="0" collapsed="false">
      <c r="B57622" s="0" t="s">
        <v>1</v>
      </c>
    </row>
    <row r="57623" customFormat="false" ht="12.8" hidden="false" customHeight="false" outlineLevel="0" collapsed="false">
      <c r="B57623" s="0" t="s">
        <v>8</v>
      </c>
    </row>
    <row r="57625" customFormat="false" ht="12.8" hidden="false" customHeight="false" outlineLevel="0" collapsed="false">
      <c r="A57625" s="0" t="s">
        <v>19629</v>
      </c>
      <c r="B57625" s="0" t="str">
        <f aca="false">HYPERLINK("https://lindat.mff.cuni.cz/services/teitok/pdtc10/index.php?action=vallex&amp;frame=v-w8103hsa_722", "vymetat (v-w8103hsa_722)")</f>
        <v>vymetat (v-w8103hsa_722)</v>
      </c>
    </row>
    <row r="57626" customFormat="false" ht="12.8" hidden="false" customHeight="false" outlineLevel="0" collapsed="false">
      <c r="B57626" s="0" t="s">
        <v>1</v>
      </c>
    </row>
    <row r="57627" customFormat="false" ht="12.8" hidden="false" customHeight="false" outlineLevel="0" collapsed="false">
      <c r="B57627" s="0" t="s">
        <v>8</v>
      </c>
    </row>
    <row r="57629" customFormat="false" ht="12.8" hidden="false" customHeight="false" outlineLevel="0" collapsed="false">
      <c r="A57629" s="0" t="s">
        <v>19630</v>
      </c>
      <c r="B57629" s="0" t="str">
        <f aca="false">HYPERLINK("https://lindat.mff.cuni.cz/services/teitok/pdtc10/index.php?action=vallex&amp;frame=v-w8106f1", "vymezit (v-w8106f1)")</f>
        <v>vymezit (v-w8106f1)</v>
      </c>
      <c r="E57629" s="0" t="str">
        <f aca="false">HYPERLINK("https://lindat.mff.cuni.cz/services/SynSemClass40/SynSemClass40.html?veclass=vec00127#vec00127-ces-cm00070", "vec00127")</f>
        <v>vec00127</v>
      </c>
      <c r="F57629" s="0" t="s">
        <v>1835</v>
      </c>
    </row>
    <row r="57630" customFormat="false" ht="12.8" hidden="false" customHeight="false" outlineLevel="0" collapsed="false">
      <c r="B57630" s="0" t="s">
        <v>1</v>
      </c>
      <c r="C57630" s="0" t="s">
        <v>3461</v>
      </c>
      <c r="E57630" s="0" t="s">
        <v>11</v>
      </c>
      <c r="F57630" s="0" t="s">
        <v>1837</v>
      </c>
    </row>
    <row r="57631" customFormat="false" ht="12.8" hidden="false" customHeight="false" outlineLevel="0" collapsed="false">
      <c r="B57631" s="0" t="s">
        <v>305</v>
      </c>
      <c r="C57631" s="0" t="s">
        <v>3463</v>
      </c>
      <c r="E57631" s="0" t="s">
        <v>1840</v>
      </c>
      <c r="F57631" s="0" t="s">
        <v>1841</v>
      </c>
    </row>
    <row r="57633" customFormat="false" ht="12.8" hidden="false" customHeight="false" outlineLevel="0" collapsed="false">
      <c r="A57633" s="0" t="s">
        <v>19631</v>
      </c>
      <c r="B57633" s="0" t="str">
        <f aca="false">HYPERLINK("https://lindat.mff.cuni.cz/services/teitok/pdtc10/index.php?action=vallex&amp;frame=v-w8109f1", "vymezovat (v-w8109f1)")</f>
        <v>vymezovat (v-w8109f1)</v>
      </c>
      <c r="E57633" s="0" t="str">
        <f aca="false">HYPERLINK("https://lindat.mff.cuni.cz/services/SynSemClass40/SynSemClass40.html?veclass=vec00127#vec00127-ces-cm00071", "vec00127")</f>
        <v>vec00127</v>
      </c>
      <c r="F57633" s="0" t="s">
        <v>1835</v>
      </c>
    </row>
    <row r="57634" customFormat="false" ht="12.8" hidden="false" customHeight="false" outlineLevel="0" collapsed="false">
      <c r="B57634" s="0" t="s">
        <v>1</v>
      </c>
      <c r="C57634" s="0" t="s">
        <v>3461</v>
      </c>
      <c r="E57634" s="0" t="s">
        <v>11</v>
      </c>
      <c r="F57634" s="0" t="s">
        <v>1837</v>
      </c>
    </row>
    <row r="57635" customFormat="false" ht="12.8" hidden="false" customHeight="false" outlineLevel="0" collapsed="false">
      <c r="B57635" s="0" t="s">
        <v>305</v>
      </c>
      <c r="C57635" s="0" t="s">
        <v>3463</v>
      </c>
      <c r="E57635" s="0" t="s">
        <v>1840</v>
      </c>
      <c r="F57635" s="0" t="s">
        <v>1841</v>
      </c>
    </row>
    <row r="57637" customFormat="false" ht="12.8" hidden="false" customHeight="false" outlineLevel="0" collapsed="false">
      <c r="A57637" s="0" t="s">
        <v>19632</v>
      </c>
      <c r="B57637" s="0" t="str">
        <f aca="false">HYPERLINK("https://lindat.mff.cuni.cz/services/teitok/pdtc10/index.php?action=vallex&amp;frame=v-w8112f1", "vymizet (v-w8112f1)")</f>
        <v>vymizet (v-w8112f1)</v>
      </c>
      <c r="E57637" s="0" t="str">
        <f aca="false">HYPERLINK("https://lindat.mff.cuni.cz/services/SynSemClass40/SynSemClass40.html?veclass=vec00755#vec00755-ces-cm00001", "vec00755")</f>
        <v>vec00755</v>
      </c>
      <c r="F57637" s="0" t="s">
        <v>6268</v>
      </c>
    </row>
    <row r="57638" customFormat="false" ht="12.8" hidden="false" customHeight="false" outlineLevel="0" collapsed="false">
      <c r="B57638" s="0" t="s">
        <v>1</v>
      </c>
      <c r="C57638" s="0" t="s">
        <v>6269</v>
      </c>
      <c r="E57638" s="0" t="s">
        <v>6270</v>
      </c>
      <c r="F57638" s="0" t="s">
        <v>6271</v>
      </c>
    </row>
    <row r="57640" customFormat="false" ht="12.8" hidden="false" customHeight="false" outlineLevel="0" collapsed="false">
      <c r="A57640" s="0" t="s">
        <v>19633</v>
      </c>
      <c r="B57640" s="0" t="str">
        <f aca="false">HYPERLINK("https://lindat.mff.cuni.cz/services/teitok/pdtc10/index.php?action=vallex&amp;frame=v-w8111f1", "vymiňovat si (v-w8111f1)")</f>
        <v>vymiňovat si (v-w8111f1)</v>
      </c>
    </row>
    <row r="57641" customFormat="false" ht="12.8" hidden="false" customHeight="false" outlineLevel="0" collapsed="false">
      <c r="B57641" s="0" t="s">
        <v>1</v>
      </c>
    </row>
    <row r="57642" customFormat="false" ht="12.8" hidden="false" customHeight="false" outlineLevel="0" collapsed="false">
      <c r="B57642" s="0" t="s">
        <v>8</v>
      </c>
    </row>
    <row r="57644" customFormat="false" ht="12.8" hidden="false" customHeight="false" outlineLevel="0" collapsed="false">
      <c r="A57644" s="0" t="s">
        <v>19634</v>
      </c>
      <c r="B57644" s="0" t="str">
        <f aca="false">HYPERLINK("https://lindat.mff.cuni.cz/services/teitok/pdtc10/index.php?action=vallex&amp;frame=v-w8113f1", "vymknout se (v-w8113f1)")</f>
        <v>vymknout se (v-w8113f1)</v>
      </c>
      <c r="E57644" s="0" t="str">
        <f aca="false">HYPERLINK("https://lindat.mff.cuni.cz/services/SynSemClass40/SynSemClass40.html?veclass=vec00756#vec00756-ces-cm00001", "vec00756")</f>
        <v>vec00756</v>
      </c>
      <c r="F57644" s="0" t="s">
        <v>19635</v>
      </c>
    </row>
    <row r="57645" customFormat="false" ht="12.8" hidden="false" customHeight="false" outlineLevel="0" collapsed="false">
      <c r="B57645" s="0" t="s">
        <v>1</v>
      </c>
      <c r="C57645" s="0" t="s">
        <v>3000</v>
      </c>
      <c r="E57645" s="0" t="s">
        <v>4943</v>
      </c>
      <c r="F57645" s="0" t="s">
        <v>19636</v>
      </c>
    </row>
    <row r="57646" customFormat="false" ht="12.8" hidden="false" customHeight="false" outlineLevel="0" collapsed="false">
      <c r="B57646" s="0" t="s">
        <v>186</v>
      </c>
      <c r="C57646" s="0" t="s">
        <v>158</v>
      </c>
      <c r="E57646" s="0" t="s">
        <v>1823</v>
      </c>
      <c r="F57646" s="0" t="s">
        <v>19637</v>
      </c>
    </row>
    <row r="57648" customFormat="false" ht="12.8" hidden="false" customHeight="false" outlineLevel="0" collapsed="false">
      <c r="A57648" s="0" t="s">
        <v>19638</v>
      </c>
      <c r="B57648" s="0" t="str">
        <f aca="false">HYPERLINK("https://lindat.mff.cuni.cz/services/teitok/pdtc10/index.php?action=vallex&amp;frame=v-w8113f3_ZU", "vymknout se (v-w8113f3_ZU)")</f>
        <v>vymknout se (v-w8113f3_ZU)</v>
      </c>
    </row>
    <row r="57649" customFormat="false" ht="12.8" hidden="false" customHeight="false" outlineLevel="0" collapsed="false">
      <c r="B57649" s="0" t="s">
        <v>1</v>
      </c>
    </row>
    <row r="57650" customFormat="false" ht="12.8" hidden="false" customHeight="false" outlineLevel="0" collapsed="false">
      <c r="B57650" s="0" t="s">
        <v>19639</v>
      </c>
    </row>
    <row r="57651" customFormat="false" ht="12.8" hidden="false" customHeight="false" outlineLevel="0" collapsed="false">
      <c r="B57651" s="0" t="s">
        <v>186</v>
      </c>
    </row>
    <row r="57653" customFormat="false" ht="12.8" hidden="false" customHeight="false" outlineLevel="0" collapsed="false">
      <c r="A57653" s="0" t="s">
        <v>19638</v>
      </c>
      <c r="B57653" s="0" t="str">
        <f aca="false">HYPERLINK("https://lindat.mff.cuni.cz/services/teitok/pdtc10/index.php?action=vallex&amp;frame=v-w8113f2", "vymknout se (v-w8113f2) - substituted with v-w8113f3_ZU")</f>
        <v>vymknout se (v-w8113f2) - substituted with v-w8113f3_ZU</v>
      </c>
    </row>
    <row r="57654" customFormat="false" ht="12.8" hidden="false" customHeight="false" outlineLevel="0" collapsed="false">
      <c r="B57654" s="0" t="s">
        <v>1</v>
      </c>
    </row>
    <row r="57655" customFormat="false" ht="12.8" hidden="false" customHeight="false" outlineLevel="0" collapsed="false">
      <c r="B57655" s="0" t="s">
        <v>19639</v>
      </c>
    </row>
    <row r="57656" customFormat="false" ht="12.8" hidden="false" customHeight="false" outlineLevel="0" collapsed="false">
      <c r="B57656" s="0" t="s">
        <v>186</v>
      </c>
    </row>
    <row r="57658" customFormat="false" ht="12.8" hidden="false" customHeight="false" outlineLevel="0" collapsed="false">
      <c r="A57658" s="0" t="s">
        <v>19640</v>
      </c>
      <c r="B57658" s="0" t="str">
        <f aca="false">HYPERLINK("https://lindat.mff.cuni.cz/services/teitok/pdtc10/index.php?action=vallex&amp;frame=v-whsa_1436hsa_1437", "vymlouvat (v-whsa_1436hsa_1437)")</f>
        <v>vymlouvat (v-whsa_1436hsa_1437)</v>
      </c>
    </row>
    <row r="57659" customFormat="false" ht="12.8" hidden="false" customHeight="false" outlineLevel="0" collapsed="false">
      <c r="B57659" s="0" t="s">
        <v>1</v>
      </c>
    </row>
    <row r="57660" customFormat="false" ht="12.8" hidden="false" customHeight="false" outlineLevel="0" collapsed="false">
      <c r="B57660" s="0" t="s">
        <v>4687</v>
      </c>
    </row>
    <row r="57661" customFormat="false" ht="12.8" hidden="false" customHeight="false" outlineLevel="0" collapsed="false">
      <c r="B57661" s="0" t="s">
        <v>52</v>
      </c>
    </row>
    <row r="57663" customFormat="false" ht="12.8" hidden="false" customHeight="false" outlineLevel="0" collapsed="false">
      <c r="A57663" s="0" t="s">
        <v>19641</v>
      </c>
      <c r="B57663" s="0" t="str">
        <f aca="false">HYPERLINK("https://lindat.mff.cuni.cz/services/teitok/pdtc10/index.php?action=vallex&amp;frame=v-w8114f1", "vymlouvat se (v-w8114f1)")</f>
        <v>vymlouvat se (v-w8114f1)</v>
      </c>
    </row>
    <row r="57664" customFormat="false" ht="12.8" hidden="false" customHeight="false" outlineLevel="0" collapsed="false">
      <c r="B57664" s="0" t="s">
        <v>1</v>
      </c>
    </row>
    <row r="57665" customFormat="false" ht="12.8" hidden="false" customHeight="false" outlineLevel="0" collapsed="false">
      <c r="B57665" s="0" t="s">
        <v>797</v>
      </c>
    </row>
    <row r="57667" customFormat="false" ht="12.8" hidden="false" customHeight="false" outlineLevel="0" collapsed="false">
      <c r="A57667" s="0" t="s">
        <v>19642</v>
      </c>
      <c r="B57667" s="0" t="str">
        <f aca="false">HYPERLINK("https://lindat.mff.cuni.cz/services/teitok/pdtc10/index.php?action=vallex&amp;frame=v-w8116f1", "vymluvit (v-w8116f1)")</f>
        <v>vymluvit (v-w8116f1)</v>
      </c>
      <c r="E57667" s="0" t="str">
        <f aca="false">HYPERLINK("https://lindat.mff.cuni.cz/services/SynSemClass40/SynSemClass40.html?veclass=vec01309#vec01309-ces-cm00003", "vec01309")</f>
        <v>vec01309</v>
      </c>
      <c r="F57667" s="0" t="s">
        <v>15176</v>
      </c>
    </row>
    <row r="57668" customFormat="false" ht="12.8" hidden="false" customHeight="false" outlineLevel="0" collapsed="false">
      <c r="B57668" s="0" t="s">
        <v>1</v>
      </c>
      <c r="C57668" s="0" t="s">
        <v>4695</v>
      </c>
      <c r="E57668" s="0" t="s">
        <v>147</v>
      </c>
      <c r="F57668" s="0" t="s">
        <v>4696</v>
      </c>
    </row>
    <row r="57669" customFormat="false" ht="12.8" hidden="false" customHeight="false" outlineLevel="0" collapsed="false">
      <c r="B57669" s="0" t="s">
        <v>4687</v>
      </c>
      <c r="C57669" s="0" t="s">
        <v>10577</v>
      </c>
      <c r="E57669" s="0" t="s">
        <v>1556</v>
      </c>
      <c r="F57669" s="0" t="s">
        <v>15177</v>
      </c>
    </row>
    <row r="57670" customFormat="false" ht="12.8" hidden="false" customHeight="false" outlineLevel="0" collapsed="false">
      <c r="B57670" s="0" t="s">
        <v>52</v>
      </c>
      <c r="C57670" s="0" t="s">
        <v>8629</v>
      </c>
      <c r="E57670" s="0" t="s">
        <v>552</v>
      </c>
      <c r="F57670" s="0" t="s">
        <v>15178</v>
      </c>
    </row>
    <row r="57672" customFormat="false" ht="12.8" hidden="false" customHeight="false" outlineLevel="0" collapsed="false">
      <c r="A57672" s="0" t="s">
        <v>19643</v>
      </c>
      <c r="B57672" s="0" t="str">
        <f aca="false">HYPERLINK("https://lindat.mff.cuni.cz/services/teitok/pdtc10/index.php?action=vallex&amp;frame=v-w11859_ZUf1_ZU", "vymluvit se (v-w11859_ZUf1_ZU)")</f>
        <v>vymluvit se (v-w11859_ZUf1_ZU)</v>
      </c>
    </row>
    <row r="57673" customFormat="false" ht="12.8" hidden="false" customHeight="false" outlineLevel="0" collapsed="false">
      <c r="B57673" s="0" t="s">
        <v>1</v>
      </c>
    </row>
    <row r="57674" customFormat="false" ht="12.8" hidden="false" customHeight="false" outlineLevel="0" collapsed="false">
      <c r="B57674" s="0" t="s">
        <v>132</v>
      </c>
    </row>
    <row r="57675" customFormat="false" ht="12.8" hidden="false" customHeight="false" outlineLevel="0" collapsed="false">
      <c r="B57675" s="0" t="s">
        <v>45</v>
      </c>
    </row>
    <row r="57677" customFormat="false" ht="12.8" hidden="false" customHeight="false" outlineLevel="0" collapsed="false">
      <c r="A57677" s="0" t="s">
        <v>19644</v>
      </c>
      <c r="B57677" s="0" t="str">
        <f aca="false">HYPERLINK("https://lindat.mff.cuni.cz/services/teitok/pdtc10/index.php?action=vallex&amp;frame=v-w12012_ZUf2_ZU", "vymlátit (v-w12012_ZUf2_ZU)")</f>
        <v>vymlátit (v-w12012_ZUf2_ZU)</v>
      </c>
    </row>
    <row r="57678" customFormat="false" ht="12.8" hidden="false" customHeight="false" outlineLevel="0" collapsed="false">
      <c r="B57678" s="0" t="s">
        <v>1</v>
      </c>
    </row>
    <row r="57679" customFormat="false" ht="12.8" hidden="false" customHeight="false" outlineLevel="0" collapsed="false">
      <c r="B57679" s="0" t="s">
        <v>8</v>
      </c>
    </row>
    <row r="57681" customFormat="false" ht="12.8" hidden="false" customHeight="false" outlineLevel="0" collapsed="false">
      <c r="A57681" s="0" t="s">
        <v>19644</v>
      </c>
      <c r="B57681" s="0" t="str">
        <f aca="false">HYPERLINK("https://lindat.mff.cuni.cz/services/teitok/pdtc10/index.php?action=vallex&amp;frame=v-w12012_ZUf1_ZU", "vymlátit (v-w12012_ZUf1_ZU) - substituted with v-w12012_ZUf2_ZU")</f>
        <v>vymlátit (v-w12012_ZUf1_ZU) - substituted with v-w12012_ZUf2_ZU</v>
      </c>
    </row>
    <row r="57682" customFormat="false" ht="12.8" hidden="false" customHeight="false" outlineLevel="0" collapsed="false">
      <c r="B57682" s="0" t="s">
        <v>1</v>
      </c>
    </row>
    <row r="57683" customFormat="false" ht="12.8" hidden="false" customHeight="false" outlineLevel="0" collapsed="false">
      <c r="B57683" s="0" t="s">
        <v>8</v>
      </c>
    </row>
    <row r="57685" customFormat="false" ht="12.8" hidden="false" customHeight="false" outlineLevel="0" collapsed="false">
      <c r="A57685" s="0" t="s">
        <v>19645</v>
      </c>
      <c r="B57685" s="0" t="str">
        <f aca="false">HYPERLINK("https://lindat.mff.cuni.cz/services/teitok/pdtc10/index.php?action=vallex&amp;frame=v-w8117f2_ZU", "vymoci (v-w8117f2_ZU)")</f>
        <v>vymoci (v-w8117f2_ZU)</v>
      </c>
    </row>
    <row r="57686" customFormat="false" ht="12.8" hidden="false" customHeight="false" outlineLevel="0" collapsed="false">
      <c r="B57686" s="0" t="s">
        <v>1</v>
      </c>
    </row>
    <row r="57687" customFormat="false" ht="12.8" hidden="false" customHeight="false" outlineLevel="0" collapsed="false">
      <c r="B57687" s="0" t="s">
        <v>8</v>
      </c>
    </row>
    <row r="57688" customFormat="false" ht="12.8" hidden="false" customHeight="false" outlineLevel="0" collapsed="false">
      <c r="B57688" s="0" t="s">
        <v>19646</v>
      </c>
    </row>
    <row r="57690" customFormat="false" ht="12.8" hidden="false" customHeight="false" outlineLevel="0" collapsed="false">
      <c r="A57690" s="0" t="s">
        <v>19645</v>
      </c>
      <c r="B57690" s="0" t="str">
        <f aca="false">HYPERLINK("https://lindat.mff.cuni.cz/services/teitok/pdtc10/index.php?action=vallex&amp;frame=v-w8117f1", "vymoci (v-w8117f1) - substituted with v-w8117f2_ZU")</f>
        <v>vymoci (v-w8117f1) - substituted with v-w8117f2_ZU</v>
      </c>
    </row>
    <row r="57691" customFormat="false" ht="12.8" hidden="false" customHeight="false" outlineLevel="0" collapsed="false">
      <c r="B57691" s="0" t="s">
        <v>1</v>
      </c>
    </row>
    <row r="57692" customFormat="false" ht="12.8" hidden="false" customHeight="false" outlineLevel="0" collapsed="false">
      <c r="B57692" s="0" t="s">
        <v>8</v>
      </c>
    </row>
    <row r="57693" customFormat="false" ht="12.8" hidden="false" customHeight="false" outlineLevel="0" collapsed="false">
      <c r="B57693" s="0" t="s">
        <v>19646</v>
      </c>
    </row>
    <row r="57695" customFormat="false" ht="12.8" hidden="false" customHeight="false" outlineLevel="0" collapsed="false">
      <c r="A57695" s="0" t="s">
        <v>19647</v>
      </c>
      <c r="B57695" s="0" t="str">
        <f aca="false">HYPERLINK("https://lindat.mff.cuni.cz/services/teitok/pdtc10/index.php?action=vallex&amp;frame=v-w8120f1", "vymodlit (v-w8120f1)")</f>
        <v>vymodlit (v-w8120f1)</v>
      </c>
    </row>
    <row r="57696" customFormat="false" ht="12.8" hidden="false" customHeight="false" outlineLevel="0" collapsed="false">
      <c r="B57696" s="0" t="s">
        <v>1</v>
      </c>
    </row>
    <row r="57697" customFormat="false" ht="12.8" hidden="false" customHeight="false" outlineLevel="0" collapsed="false">
      <c r="B57697" s="0" t="s">
        <v>8</v>
      </c>
    </row>
    <row r="57698" customFormat="false" ht="12.8" hidden="false" customHeight="false" outlineLevel="0" collapsed="false">
      <c r="B57698" s="0" t="s">
        <v>773</v>
      </c>
    </row>
    <row r="57700" customFormat="false" ht="12.8" hidden="false" customHeight="false" outlineLevel="0" collapsed="false">
      <c r="A57700" s="0" t="s">
        <v>19648</v>
      </c>
      <c r="B57700" s="0" t="str">
        <f aca="false">HYPERLINK("https://lindat.mff.cuni.cz/services/teitok/pdtc10/index.php?action=vallex&amp;frame=v-w8118f1", "vymočit se (v-w8118f1)")</f>
        <v>vymočit se (v-w8118f1)</v>
      </c>
    </row>
    <row r="57701" customFormat="false" ht="12.8" hidden="false" customHeight="false" outlineLevel="0" collapsed="false">
      <c r="B57701" s="0" t="s">
        <v>1</v>
      </c>
    </row>
    <row r="57703" customFormat="false" ht="12.8" hidden="false" customHeight="false" outlineLevel="0" collapsed="false">
      <c r="A57703" s="0" t="s">
        <v>19649</v>
      </c>
      <c r="B57703" s="0" t="str">
        <f aca="false">HYPERLINK("https://lindat.mff.cuni.cz/services/teitok/pdtc10/index.php?action=vallex&amp;frame=v-whsa_1865hsa_1866", "vymrdat (v-whsa_1865hsa_1866)")</f>
        <v>vymrdat (v-whsa_1865hsa_1866)</v>
      </c>
    </row>
    <row r="57704" customFormat="false" ht="12.8" hidden="false" customHeight="false" outlineLevel="0" collapsed="false">
      <c r="B57704" s="0" t="s">
        <v>1</v>
      </c>
    </row>
    <row r="57705" customFormat="false" ht="12.8" hidden="false" customHeight="false" outlineLevel="0" collapsed="false">
      <c r="B57705" s="0" t="s">
        <v>8</v>
      </c>
    </row>
    <row r="57707" customFormat="false" ht="12.8" hidden="false" customHeight="false" outlineLevel="0" collapsed="false">
      <c r="A57707" s="0" t="s">
        <v>19650</v>
      </c>
      <c r="B57707" s="0" t="str">
        <f aca="false">HYPERLINK("https://lindat.mff.cuni.cz/services/teitok/pdtc10/index.php?action=vallex&amp;frame=v-whsa_1865hsa_1867", "vymrdat (v-whsa_1865hsa_1867)")</f>
        <v>vymrdat (v-whsa_1865hsa_1867)</v>
      </c>
    </row>
    <row r="57708" customFormat="false" ht="12.8" hidden="false" customHeight="false" outlineLevel="0" collapsed="false">
      <c r="B57708" s="0" t="s">
        <v>1</v>
      </c>
    </row>
    <row r="57709" customFormat="false" ht="12.8" hidden="false" customHeight="false" outlineLevel="0" collapsed="false">
      <c r="B57709" s="0" t="s">
        <v>8</v>
      </c>
    </row>
    <row r="57710" customFormat="false" ht="12.8" hidden="false" customHeight="false" outlineLevel="0" collapsed="false">
      <c r="B57710" s="0" t="s">
        <v>631</v>
      </c>
    </row>
    <row r="57712" customFormat="false" ht="12.8" hidden="false" customHeight="false" outlineLevel="0" collapsed="false">
      <c r="A57712" s="0" t="s">
        <v>19651</v>
      </c>
      <c r="B57712" s="0" t="str">
        <f aca="false">HYPERLINK("https://lindat.mff.cuni.cz/services/teitok/pdtc10/index.php?action=vallex&amp;frame=v-w8121f3", "vymrštit (v-w8121f3)")</f>
        <v>vymrštit (v-w8121f3)</v>
      </c>
      <c r="E57712" s="0" t="str">
        <f aca="false">HYPERLINK("https://lindat.mff.cuni.cz/services/SynSemClass40/SynSemClass40.html?veclass=vec00298#vec00298-ces-cm00037", "vec00298")</f>
        <v>vec00298</v>
      </c>
      <c r="F57712" s="0" t="s">
        <v>7194</v>
      </c>
    </row>
    <row r="57713" customFormat="false" ht="12.8" hidden="false" customHeight="false" outlineLevel="0" collapsed="false">
      <c r="B57713" s="0" t="s">
        <v>1</v>
      </c>
      <c r="C57713" s="0" t="s">
        <v>7195</v>
      </c>
      <c r="E57713" s="0" t="s">
        <v>31</v>
      </c>
      <c r="F57713" s="0" t="s">
        <v>7196</v>
      </c>
    </row>
    <row r="57714" customFormat="false" ht="12.8" hidden="false" customHeight="false" outlineLevel="0" collapsed="false">
      <c r="B57714" s="0" t="s">
        <v>8</v>
      </c>
      <c r="C57714" s="0" t="s">
        <v>7197</v>
      </c>
      <c r="E57714" s="0" t="s">
        <v>1569</v>
      </c>
      <c r="F57714" s="0" t="s">
        <v>7198</v>
      </c>
    </row>
    <row r="57715" customFormat="false" ht="12.8" hidden="false" customHeight="false" outlineLevel="0" collapsed="false">
      <c r="B57715" s="0" t="s">
        <v>36</v>
      </c>
      <c r="C57715" s="0" t="s">
        <v>7199</v>
      </c>
      <c r="E57715" s="0" t="s">
        <v>5152</v>
      </c>
      <c r="F57715" s="0" t="s">
        <v>7200</v>
      </c>
    </row>
    <row r="57716" customFormat="false" ht="12.8" hidden="false" customHeight="false" outlineLevel="0" collapsed="false">
      <c r="B57716" s="0" t="s">
        <v>5587</v>
      </c>
      <c r="C57716" s="0" t="s">
        <v>7201</v>
      </c>
      <c r="E57716" s="0" t="s">
        <v>5796</v>
      </c>
      <c r="F57716" s="0" t="s">
        <v>7202</v>
      </c>
    </row>
    <row r="57718" customFormat="false" ht="12.8" hidden="false" customHeight="false" outlineLevel="0" collapsed="false">
      <c r="A57718" s="0" t="s">
        <v>19652</v>
      </c>
      <c r="B57718" s="0" t="str">
        <f aca="false">HYPERLINK("https://lindat.mff.cuni.cz/services/teitok/pdtc10/index.php?action=vallex&amp;frame=v-w8121f1", "vymrštit (v-w8121f1)")</f>
        <v>vymrštit (v-w8121f1)</v>
      </c>
    </row>
    <row r="57719" customFormat="false" ht="12.8" hidden="false" customHeight="false" outlineLevel="0" collapsed="false">
      <c r="B57719" s="0" t="s">
        <v>1</v>
      </c>
    </row>
    <row r="57720" customFormat="false" ht="12.8" hidden="false" customHeight="false" outlineLevel="0" collapsed="false">
      <c r="B57720" s="0" t="s">
        <v>8</v>
      </c>
    </row>
    <row r="57721" customFormat="false" ht="12.8" hidden="false" customHeight="false" outlineLevel="0" collapsed="false">
      <c r="B57721" s="0" t="s">
        <v>631</v>
      </c>
    </row>
    <row r="57723" customFormat="false" ht="12.8" hidden="false" customHeight="false" outlineLevel="0" collapsed="false">
      <c r="A57723" s="0" t="s">
        <v>19653</v>
      </c>
      <c r="B57723" s="0" t="str">
        <f aca="false">HYPERLINK("https://lindat.mff.cuni.cz/services/teitok/pdtc10/index.php?action=vallex&amp;frame=v-w8121f2", "vymrštit (v-w8121f2)")</f>
        <v>vymrštit (v-w8121f2)</v>
      </c>
    </row>
    <row r="57724" customFormat="false" ht="12.8" hidden="false" customHeight="false" outlineLevel="0" collapsed="false">
      <c r="B57724" s="0" t="s">
        <v>1</v>
      </c>
    </row>
    <row r="57725" customFormat="false" ht="12.8" hidden="false" customHeight="false" outlineLevel="0" collapsed="false">
      <c r="B57725" s="0" t="s">
        <v>8</v>
      </c>
    </row>
    <row r="57726" customFormat="false" ht="12.8" hidden="false" customHeight="false" outlineLevel="0" collapsed="false">
      <c r="B57726" s="0" t="s">
        <v>164</v>
      </c>
    </row>
    <row r="57728" customFormat="false" ht="12.8" hidden="false" customHeight="false" outlineLevel="0" collapsed="false">
      <c r="A57728" s="0" t="s">
        <v>19654</v>
      </c>
      <c r="B57728" s="0" t="str">
        <f aca="false">HYPERLINK("https://lindat.mff.cuni.cz/services/teitok/pdtc10/index.php?action=vallex&amp;frame=v-w8124f1", "vymstít se (v-w8124f1)")</f>
        <v>vymstít se (v-w8124f1)</v>
      </c>
      <c r="E57728" s="0" t="str">
        <f aca="false">HYPERLINK("https://lindat.mff.cuni.cz/services/SynSemClass40/SynSemClass40.html?veclass=vec00757#vec00757-ces-cm00008", "vec00757")</f>
        <v>vec00757</v>
      </c>
      <c r="F57728" s="0" t="s">
        <v>10032</v>
      </c>
    </row>
    <row r="57729" customFormat="false" ht="12.8" hidden="false" customHeight="false" outlineLevel="0" collapsed="false">
      <c r="B57729" s="0" t="s">
        <v>947</v>
      </c>
      <c r="C57729" s="0" t="s">
        <v>10033</v>
      </c>
      <c r="E57729" s="0" t="s">
        <v>2151</v>
      </c>
      <c r="F57729" s="0" t="s">
        <v>10034</v>
      </c>
    </row>
    <row r="57730" customFormat="false" ht="12.8" hidden="false" customHeight="false" outlineLevel="0" collapsed="false">
      <c r="B57730" s="0" t="s">
        <v>186</v>
      </c>
      <c r="E57730" s="0" t="s">
        <v>4438</v>
      </c>
      <c r="F57730" s="0" t="s">
        <v>10035</v>
      </c>
    </row>
    <row r="57732" customFormat="false" ht="12.8" hidden="false" customHeight="false" outlineLevel="0" collapsed="false">
      <c r="A57732" s="0" t="s">
        <v>19655</v>
      </c>
      <c r="B57732" s="0" t="str">
        <f aca="false">HYPERLINK("https://lindat.mff.cuni.cz/services/teitok/pdtc10/index.php?action=vallex&amp;frame=v-w8126f1", "vymykat se (v-w8126f1)")</f>
        <v>vymykat se (v-w8126f1)</v>
      </c>
      <c r="E57732" s="0" t="str">
        <f aca="false">HYPERLINK("https://lindat.mff.cuni.cz/services/SynSemClass40/SynSemClass40.html?veclass=vec00756#vec00756-ces-cm00005", "vec00756")</f>
        <v>vec00756</v>
      </c>
      <c r="F57732" s="0" t="s">
        <v>19635</v>
      </c>
    </row>
    <row r="57733" customFormat="false" ht="12.8" hidden="false" customHeight="false" outlineLevel="0" collapsed="false">
      <c r="B57733" s="0" t="s">
        <v>1</v>
      </c>
      <c r="C57733" s="0" t="s">
        <v>3000</v>
      </c>
      <c r="E57733" s="0" t="s">
        <v>4943</v>
      </c>
      <c r="F57733" s="0" t="s">
        <v>19636</v>
      </c>
    </row>
    <row r="57734" customFormat="false" ht="12.8" hidden="false" customHeight="false" outlineLevel="0" collapsed="false">
      <c r="B57734" s="0" t="s">
        <v>186</v>
      </c>
      <c r="C57734" s="0" t="s">
        <v>158</v>
      </c>
      <c r="E57734" s="0" t="s">
        <v>1823</v>
      </c>
      <c r="F57734" s="0" t="s">
        <v>19637</v>
      </c>
    </row>
    <row r="57736" customFormat="false" ht="12.8" hidden="false" customHeight="false" outlineLevel="0" collapsed="false">
      <c r="A57736" s="0" t="s">
        <v>19656</v>
      </c>
      <c r="B57736" s="0" t="str">
        <f aca="false">HYPERLINK("https://lindat.mff.cuni.cz/services/teitok/pdtc10/index.php?action=vallex&amp;frame=v-w8126f2", "vymykat se (v-w8126f2)")</f>
        <v>vymykat se (v-w8126f2)</v>
      </c>
    </row>
    <row r="57737" customFormat="false" ht="12.8" hidden="false" customHeight="false" outlineLevel="0" collapsed="false">
      <c r="B57737" s="0" t="s">
        <v>1</v>
      </c>
    </row>
    <row r="57738" customFormat="false" ht="12.8" hidden="false" customHeight="false" outlineLevel="0" collapsed="false">
      <c r="B57738" s="0" t="s">
        <v>631</v>
      </c>
    </row>
    <row r="57740" customFormat="false" ht="12.8" hidden="false" customHeight="false" outlineLevel="0" collapsed="false">
      <c r="A57740" s="0" t="s">
        <v>19657</v>
      </c>
      <c r="B57740" s="0" t="str">
        <f aca="false">HYPERLINK("https://lindat.mff.cuni.cz/services/teitok/pdtc10/index.php?action=vallex&amp;frame=v-w8128f3_MM", "vymyslet (v-w8128f3_MM)")</f>
        <v>vymyslet (v-w8128f3_MM)</v>
      </c>
    </row>
    <row r="57741" customFormat="false" ht="12.8" hidden="false" customHeight="false" outlineLevel="0" collapsed="false">
      <c r="B57741" s="0" t="s">
        <v>1</v>
      </c>
    </row>
    <row r="57742" customFormat="false" ht="12.8" hidden="false" customHeight="false" outlineLevel="0" collapsed="false">
      <c r="B57742" s="0" t="s">
        <v>19658</v>
      </c>
    </row>
    <row r="57744" customFormat="false" ht="12.8" hidden="false" customHeight="false" outlineLevel="0" collapsed="false">
      <c r="A57744" s="0" t="s">
        <v>19657</v>
      </c>
      <c r="B57744" s="0" t="str">
        <f aca="false">HYPERLINK("https://lindat.mff.cuni.cz/services/teitok/pdtc10/index.php?action=vallex&amp;frame=v-w8128f1", "vymyslet (v-w8128f1) - substituted with v-w8128f3_MM")</f>
        <v>vymyslet (v-w8128f1) - substituted with v-w8128f3_MM</v>
      </c>
      <c r="E57744" s="0" t="str">
        <f aca="false">HYPERLINK("https://lindat.mff.cuni.cz/services/SynSemClass40/SynSemClass40.html?veclass=vec00040#vec00040-ces-cm00023", "vec00040")</f>
        <v>vec00040</v>
      </c>
      <c r="F57744" s="0" t="s">
        <v>5506</v>
      </c>
    </row>
    <row r="57745" customFormat="false" ht="12.8" hidden="false" customHeight="false" outlineLevel="0" collapsed="false">
      <c r="B57745" s="0" t="s">
        <v>1</v>
      </c>
      <c r="C57745" s="0" t="s">
        <v>17706</v>
      </c>
      <c r="E57745" s="0" t="s">
        <v>2619</v>
      </c>
      <c r="F57745" s="0" t="s">
        <v>5509</v>
      </c>
    </row>
    <row r="57746" customFormat="false" ht="12.8" hidden="false" customHeight="false" outlineLevel="0" collapsed="false">
      <c r="B57746" s="0" t="s">
        <v>19658</v>
      </c>
      <c r="C57746" s="0" t="s">
        <v>17707</v>
      </c>
      <c r="E57746" s="0" t="s">
        <v>771</v>
      </c>
      <c r="F57746" s="0" t="s">
        <v>5512</v>
      </c>
    </row>
    <row r="57748" customFormat="false" ht="12.8" hidden="false" customHeight="false" outlineLevel="0" collapsed="false">
      <c r="A57748" s="0" t="s">
        <v>19659</v>
      </c>
      <c r="B57748" s="0" t="str">
        <f aca="false">HYPERLINK("https://lindat.mff.cuni.cz/services/teitok/pdtc10/index.php?action=vallex&amp;frame=v-w8128f2", "vymyslet (v-w8128f2)")</f>
        <v>vymyslet (v-w8128f2)</v>
      </c>
    </row>
    <row r="57749" customFormat="false" ht="12.8" hidden="false" customHeight="false" outlineLevel="0" collapsed="false">
      <c r="B57749" s="0" t="s">
        <v>1</v>
      </c>
    </row>
    <row r="57750" customFormat="false" ht="12.8" hidden="false" customHeight="false" outlineLevel="0" collapsed="false">
      <c r="B57750" s="0" t="s">
        <v>19660</v>
      </c>
    </row>
    <row r="57751" customFormat="false" ht="12.8" hidden="false" customHeight="false" outlineLevel="0" collapsed="false">
      <c r="B57751" s="0" t="s">
        <v>496</v>
      </c>
    </row>
    <row r="57753" customFormat="false" ht="12.8" hidden="false" customHeight="false" outlineLevel="0" collapsed="false">
      <c r="A57753" s="0" t="s">
        <v>19661</v>
      </c>
      <c r="B57753" s="0" t="str">
        <f aca="false">HYPERLINK("https://lindat.mff.cuni.cz/services/teitok/pdtc10/index.php?action=vallex&amp;frame=v-w8129f1", "vymyslet si (v-w8129f1)")</f>
        <v>vymyslet si (v-w8129f1)</v>
      </c>
      <c r="E57753" s="0" t="str">
        <f aca="false">HYPERLINK("https://lindat.mff.cuni.cz/services/SynSemClass40/SynSemClass40.html?veclass=vec01352#vec01352-ces-cm00002", "vec01352")</f>
        <v>vec01352</v>
      </c>
      <c r="F57753" s="0" t="s">
        <v>19662</v>
      </c>
    </row>
    <row r="57754" customFormat="false" ht="12.8" hidden="false" customHeight="false" outlineLevel="0" collapsed="false">
      <c r="B57754" s="0" t="s">
        <v>1</v>
      </c>
      <c r="E57754" s="0" t="s">
        <v>621</v>
      </c>
      <c r="F57754" s="0" t="s">
        <v>4213</v>
      </c>
    </row>
    <row r="57755" customFormat="false" ht="12.8" hidden="false" customHeight="false" outlineLevel="0" collapsed="false">
      <c r="B57755" s="0" t="s">
        <v>1838</v>
      </c>
      <c r="E57755" s="0" t="s">
        <v>209</v>
      </c>
      <c r="F57755" s="0" t="s">
        <v>11127</v>
      </c>
    </row>
    <row r="57757" customFormat="false" ht="12.8" hidden="false" customHeight="false" outlineLevel="0" collapsed="false">
      <c r="A57757" s="0" t="s">
        <v>19663</v>
      </c>
      <c r="B57757" s="0" t="str">
        <f aca="false">HYPERLINK("https://lindat.mff.cuni.cz/services/teitok/pdtc10/index.php?action=vallex&amp;frame=v-w8129f2", "vymyslet si (v-w8129f2)")</f>
        <v>vymyslet si (v-w8129f2)</v>
      </c>
    </row>
    <row r="57758" customFormat="false" ht="12.8" hidden="false" customHeight="false" outlineLevel="0" collapsed="false">
      <c r="B57758" s="0" t="s">
        <v>1</v>
      </c>
    </row>
    <row r="57759" customFormat="false" ht="12.8" hidden="false" customHeight="false" outlineLevel="0" collapsed="false">
      <c r="B57759" s="0" t="s">
        <v>2382</v>
      </c>
    </row>
    <row r="57760" customFormat="false" ht="12.8" hidden="false" customHeight="false" outlineLevel="0" collapsed="false">
      <c r="B57760" s="0" t="s">
        <v>496</v>
      </c>
    </row>
    <row r="57762" customFormat="false" ht="12.8" hidden="false" customHeight="false" outlineLevel="0" collapsed="false">
      <c r="A57762" s="0" t="s">
        <v>19664</v>
      </c>
      <c r="B57762" s="0" t="str">
        <f aca="false">HYPERLINK("https://lindat.mff.cuni.cz/services/teitok/pdtc10/index.php?action=vallex&amp;frame=v-w8129f3_MM", "vymyslet si (v-w8129f3_MM)")</f>
        <v>vymyslet si (v-w8129f3_MM)</v>
      </c>
    </row>
    <row r="57763" customFormat="false" ht="12.8" hidden="false" customHeight="false" outlineLevel="0" collapsed="false">
      <c r="B57763" s="0" t="s">
        <v>1</v>
      </c>
    </row>
    <row r="57764" customFormat="false" ht="12.8" hidden="false" customHeight="false" outlineLevel="0" collapsed="false">
      <c r="B57764" s="0" t="s">
        <v>59</v>
      </c>
    </row>
    <row r="57766" customFormat="false" ht="12.8" hidden="false" customHeight="false" outlineLevel="0" collapsed="false">
      <c r="A57766" s="0" t="s">
        <v>19665</v>
      </c>
      <c r="B57766" s="0" t="str">
        <f aca="false">HYPERLINK("https://lindat.mff.cuni.cz/services/teitok/pdtc10/index.php?action=vallex&amp;frame=v-w8130f1", "vymyslit (v-w8130f1)")</f>
        <v>vymyslit (v-w8130f1)</v>
      </c>
    </row>
    <row r="57767" customFormat="false" ht="12.8" hidden="false" customHeight="false" outlineLevel="0" collapsed="false">
      <c r="B57767" s="0" t="s">
        <v>1</v>
      </c>
    </row>
    <row r="57768" customFormat="false" ht="12.8" hidden="false" customHeight="false" outlineLevel="0" collapsed="false">
      <c r="B57768" s="0" t="s">
        <v>1838</v>
      </c>
    </row>
    <row r="57770" customFormat="false" ht="12.8" hidden="false" customHeight="false" outlineLevel="0" collapsed="false">
      <c r="A57770" s="0" t="s">
        <v>19666</v>
      </c>
      <c r="B57770" s="0" t="str">
        <f aca="false">HYPERLINK("https://lindat.mff.cuni.cz/services/teitok/pdtc10/index.php?action=vallex&amp;frame=v-w8130f2", "vymyslit (v-w8130f2)")</f>
        <v>vymyslit (v-w8130f2)</v>
      </c>
    </row>
    <row r="57771" customFormat="false" ht="12.8" hidden="false" customHeight="false" outlineLevel="0" collapsed="false">
      <c r="B57771" s="0" t="s">
        <v>1</v>
      </c>
    </row>
    <row r="57772" customFormat="false" ht="12.8" hidden="false" customHeight="false" outlineLevel="0" collapsed="false">
      <c r="B57772" s="0" t="s">
        <v>19660</v>
      </c>
    </row>
    <row r="57773" customFormat="false" ht="12.8" hidden="false" customHeight="false" outlineLevel="0" collapsed="false">
      <c r="B57773" s="0" t="s">
        <v>496</v>
      </c>
    </row>
    <row r="57775" customFormat="false" ht="12.8" hidden="false" customHeight="false" outlineLevel="0" collapsed="false">
      <c r="A57775" s="0" t="s">
        <v>19667</v>
      </c>
      <c r="B57775" s="0" t="str">
        <f aca="false">HYPERLINK("https://lindat.mff.cuni.cz/services/teitok/pdtc10/index.php?action=vallex&amp;frame=v-w8131f1", "vymyslit si (v-w8131f1)")</f>
        <v>vymyslit si (v-w8131f1)</v>
      </c>
    </row>
    <row r="57776" customFormat="false" ht="12.8" hidden="false" customHeight="false" outlineLevel="0" collapsed="false">
      <c r="B57776" s="0" t="s">
        <v>1</v>
      </c>
    </row>
    <row r="57777" customFormat="false" ht="12.8" hidden="false" customHeight="false" outlineLevel="0" collapsed="false">
      <c r="B57777" s="0" t="s">
        <v>1838</v>
      </c>
    </row>
    <row r="57779" customFormat="false" ht="12.8" hidden="false" customHeight="false" outlineLevel="0" collapsed="false">
      <c r="A57779" s="0" t="s">
        <v>19668</v>
      </c>
      <c r="B57779" s="0" t="str">
        <f aca="false">HYPERLINK("https://lindat.mff.cuni.cz/services/teitok/pdtc10/index.php?action=vallex&amp;frame=v-w8131hsa_1395", "vymyslit si (v-w8131hsa_1395)")</f>
        <v>vymyslit si (v-w8131hsa_1395)</v>
      </c>
    </row>
    <row r="57780" customFormat="false" ht="12.8" hidden="false" customHeight="false" outlineLevel="0" collapsed="false">
      <c r="B57780" s="0" t="s">
        <v>1</v>
      </c>
    </row>
    <row r="57781" customFormat="false" ht="12.8" hidden="false" customHeight="false" outlineLevel="0" collapsed="false">
      <c r="B57781" s="0" t="s">
        <v>2382</v>
      </c>
    </row>
    <row r="57782" customFormat="false" ht="12.8" hidden="false" customHeight="false" outlineLevel="0" collapsed="false">
      <c r="B57782" s="0" t="s">
        <v>19669</v>
      </c>
    </row>
    <row r="57784" customFormat="false" ht="12.8" hidden="false" customHeight="false" outlineLevel="0" collapsed="false">
      <c r="A57784" s="0" t="s">
        <v>19668</v>
      </c>
      <c r="B57784" s="0" t="str">
        <f aca="false">HYPERLINK("https://lindat.mff.cuni.cz/services/teitok/pdtc10/index.php?action=vallex&amp;frame=v-w8131f2", "vymyslit si (v-w8131f2) - substituted with v-w8131hsa_1395")</f>
        <v>vymyslit si (v-w8131f2) - substituted with v-w8131hsa_1395</v>
      </c>
    </row>
    <row r="57785" customFormat="false" ht="12.8" hidden="false" customHeight="false" outlineLevel="0" collapsed="false">
      <c r="B57785" s="0" t="s">
        <v>1</v>
      </c>
    </row>
    <row r="57786" customFormat="false" ht="12.8" hidden="false" customHeight="false" outlineLevel="0" collapsed="false">
      <c r="B57786" s="0" t="s">
        <v>2382</v>
      </c>
    </row>
    <row r="57787" customFormat="false" ht="12.8" hidden="false" customHeight="false" outlineLevel="0" collapsed="false">
      <c r="B57787" s="0" t="s">
        <v>19669</v>
      </c>
    </row>
    <row r="57789" customFormat="false" ht="12.8" hidden="false" customHeight="false" outlineLevel="0" collapsed="false">
      <c r="A57789" s="0" t="s">
        <v>19670</v>
      </c>
      <c r="B57789" s="0" t="str">
        <f aca="false">HYPERLINK("https://lindat.mff.cuni.cz/services/teitok/pdtc10/index.php?action=vallex&amp;frame=v-whsa_1527hsa_1528", "vymáchat (v-whsa_1527hsa_1528)")</f>
        <v>vymáchat (v-whsa_1527hsa_1528)</v>
      </c>
    </row>
    <row r="57790" customFormat="false" ht="12.8" hidden="false" customHeight="false" outlineLevel="0" collapsed="false">
      <c r="B57790" s="0" t="s">
        <v>1</v>
      </c>
    </row>
    <row r="57791" customFormat="false" ht="12.8" hidden="false" customHeight="false" outlineLevel="0" collapsed="false">
      <c r="B57791" s="0" t="s">
        <v>8</v>
      </c>
    </row>
    <row r="57793" customFormat="false" ht="12.8" hidden="false" customHeight="false" outlineLevel="0" collapsed="false">
      <c r="A57793" s="0" t="s">
        <v>19671</v>
      </c>
      <c r="B57793" s="0" t="str">
        <f aca="false">HYPERLINK("https://lindat.mff.cuni.cz/services/teitok/pdtc10/index.php?action=vallex&amp;frame=v-w8090f1", "vymáhat (v-w8090f1)")</f>
        <v>vymáhat (v-w8090f1)</v>
      </c>
    </row>
    <row r="57794" customFormat="false" ht="12.8" hidden="false" customHeight="false" outlineLevel="0" collapsed="false">
      <c r="B57794" s="0" t="s">
        <v>1</v>
      </c>
    </row>
    <row r="57795" customFormat="false" ht="12.8" hidden="false" customHeight="false" outlineLevel="0" collapsed="false">
      <c r="B57795" s="0" t="s">
        <v>8</v>
      </c>
    </row>
    <row r="57796" customFormat="false" ht="12.8" hidden="false" customHeight="false" outlineLevel="0" collapsed="false">
      <c r="B57796" s="0" t="s">
        <v>19672</v>
      </c>
    </row>
    <row r="57798" customFormat="false" ht="12.8" hidden="false" customHeight="false" outlineLevel="0" collapsed="false">
      <c r="A57798" s="0" t="s">
        <v>19673</v>
      </c>
      <c r="B57798" s="0" t="str">
        <f aca="false">HYPERLINK("https://lindat.mff.cuni.cz/services/teitok/pdtc10/index.php?action=vallex&amp;frame=v-w8088f1", "vymáčknout (v-w8088f1)")</f>
        <v>vymáčknout (v-w8088f1)</v>
      </c>
      <c r="E57798" s="0" t="str">
        <f aca="false">HYPERLINK("https://lindat.mff.cuni.cz/services/SynSemClass40/SynSemClass40.html?veclass=vec00648#vec00648-ces-cm00042", "vec00648")</f>
        <v>vec00648</v>
      </c>
      <c r="F57798" s="0" t="s">
        <v>8797</v>
      </c>
      <c r="H57798" s="0" t="str">
        <f aca="false">HYPERLINK("https://lindat.mff.cuni.cz/services/SynSemClass40/SynSemClass40.html?veclass=vec00704#vec00704-ces-cm00072", "vec00704")</f>
        <v>vec00704</v>
      </c>
      <c r="I57798" s="0" t="s">
        <v>588</v>
      </c>
    </row>
    <row r="57799" customFormat="false" ht="12.8" hidden="false" customHeight="false" outlineLevel="0" collapsed="false">
      <c r="B57799" s="0" t="s">
        <v>1</v>
      </c>
      <c r="C57799" s="0" t="s">
        <v>568</v>
      </c>
      <c r="E57799" s="0" t="s">
        <v>31</v>
      </c>
      <c r="F57799" s="0" t="s">
        <v>8798</v>
      </c>
      <c r="H57799" s="0" t="s">
        <v>31</v>
      </c>
      <c r="I57799" s="0" t="s">
        <v>591</v>
      </c>
    </row>
    <row r="57800" customFormat="false" ht="12.8" hidden="false" customHeight="false" outlineLevel="0" collapsed="false">
      <c r="B57800" s="0" t="s">
        <v>8</v>
      </c>
      <c r="C57800" s="0" t="s">
        <v>19674</v>
      </c>
      <c r="E57800" s="0" t="s">
        <v>110</v>
      </c>
      <c r="F57800" s="0" t="s">
        <v>8800</v>
      </c>
      <c r="H57800" s="0" t="s">
        <v>594</v>
      </c>
      <c r="I57800" s="0" t="s">
        <v>595</v>
      </c>
    </row>
    <row r="57801" customFormat="false" ht="12.8" hidden="false" customHeight="false" outlineLevel="0" collapsed="false">
      <c r="B57801" s="0" t="s">
        <v>2840</v>
      </c>
      <c r="C57801" s="0" t="s">
        <v>19675</v>
      </c>
      <c r="E57801" s="0" t="s">
        <v>19676</v>
      </c>
      <c r="F57801" s="0" t="s">
        <v>19677</v>
      </c>
      <c r="H57801" s="0" t="s">
        <v>12574</v>
      </c>
      <c r="I57801" s="0" t="s">
        <v>19678</v>
      </c>
    </row>
    <row r="57803" customFormat="false" ht="12.8" hidden="false" customHeight="false" outlineLevel="0" collapsed="false">
      <c r="A57803" s="0" t="s">
        <v>19679</v>
      </c>
      <c r="B57803" s="0" t="str">
        <f aca="false">HYPERLINK("https://lindat.mff.cuni.cz/services/teitok/pdtc10/index.php?action=vallex&amp;frame=v-w8088f2", "vymáčknout (v-w8088f2)")</f>
        <v>vymáčknout (v-w8088f2)</v>
      </c>
    </row>
    <row r="57804" customFormat="false" ht="12.8" hidden="false" customHeight="false" outlineLevel="0" collapsed="false">
      <c r="B57804" s="0" t="s">
        <v>1</v>
      </c>
    </row>
    <row r="57805" customFormat="false" ht="12.8" hidden="false" customHeight="false" outlineLevel="0" collapsed="false">
      <c r="B57805" s="0" t="s">
        <v>8</v>
      </c>
    </row>
    <row r="57806" customFormat="false" ht="12.8" hidden="false" customHeight="false" outlineLevel="0" collapsed="false">
      <c r="B57806" s="0" t="s">
        <v>631</v>
      </c>
    </row>
    <row r="57808" customFormat="false" ht="12.8" hidden="false" customHeight="false" outlineLevel="0" collapsed="false">
      <c r="A57808" s="0" t="s">
        <v>19680</v>
      </c>
      <c r="B57808" s="0" t="str">
        <f aca="false">HYPERLINK("https://lindat.mff.cuni.cz/services/teitok/pdtc10/index.php?action=vallex&amp;frame=v-w8102f1", "vymést (v-w8102f1)")</f>
        <v>vymést (v-w8102f1)</v>
      </c>
    </row>
    <row r="57809" customFormat="false" ht="12.8" hidden="false" customHeight="false" outlineLevel="0" collapsed="false">
      <c r="B57809" s="0" t="s">
        <v>1</v>
      </c>
    </row>
    <row r="57810" customFormat="false" ht="12.8" hidden="false" customHeight="false" outlineLevel="0" collapsed="false">
      <c r="B57810" s="0" t="s">
        <v>8</v>
      </c>
    </row>
    <row r="57812" customFormat="false" ht="12.8" hidden="false" customHeight="false" outlineLevel="0" collapsed="false">
      <c r="A57812" s="0" t="s">
        <v>19681</v>
      </c>
      <c r="B57812" s="0" t="str">
        <f aca="false">HYPERLINK("https://lindat.mff.cuni.cz/services/teitok/pdtc10/index.php?action=vallex&amp;frame=v-w8102hsa_535", "vymést (v-w8102hsa_535)")</f>
        <v>vymést (v-w8102hsa_535)</v>
      </c>
    </row>
    <row r="57813" customFormat="false" ht="12.8" hidden="false" customHeight="false" outlineLevel="0" collapsed="false">
      <c r="B57813" s="0" t="s">
        <v>1</v>
      </c>
    </row>
    <row r="57814" customFormat="false" ht="12.8" hidden="false" customHeight="false" outlineLevel="0" collapsed="false">
      <c r="B57814" s="0" t="s">
        <v>8</v>
      </c>
    </row>
    <row r="57816" customFormat="false" ht="12.8" hidden="false" customHeight="false" outlineLevel="0" collapsed="false">
      <c r="A57816" s="0" t="s">
        <v>19682</v>
      </c>
      <c r="B57816" s="0" t="str">
        <f aca="false">HYPERLINK("https://lindat.mff.cuni.cz/services/teitok/pdtc10/index.php?action=vallex&amp;frame=v-w8110f1", "vymínit si (v-w8110f1)")</f>
        <v>vymínit si (v-w8110f1)</v>
      </c>
    </row>
    <row r="57817" customFormat="false" ht="12.8" hidden="false" customHeight="false" outlineLevel="0" collapsed="false">
      <c r="B57817" s="0" t="s">
        <v>1</v>
      </c>
    </row>
    <row r="57818" customFormat="false" ht="12.8" hidden="false" customHeight="false" outlineLevel="0" collapsed="false">
      <c r="B57818" s="0" t="s">
        <v>8</v>
      </c>
    </row>
    <row r="57820" customFormat="false" ht="12.8" hidden="false" customHeight="false" outlineLevel="0" collapsed="false">
      <c r="A57820" s="0" t="s">
        <v>19683</v>
      </c>
      <c r="B57820" s="0" t="str">
        <f aca="false">HYPERLINK("https://lindat.mff.cuni.cz/services/teitok/pdtc10/index.php?action=vallex&amp;frame=v-w10566f2", "vymírat (v-w10566f2)")</f>
        <v>vymírat (v-w10566f2)</v>
      </c>
      <c r="E57820" s="0" t="str">
        <f aca="false">HYPERLINK("https://lindat.mff.cuni.cz/services/SynSemClass40/SynSemClass40.html?veclass=vec00755#vec00755-ces-cm00024", "vec00755")</f>
        <v>vec00755</v>
      </c>
      <c r="F57820" s="0" t="s">
        <v>6268</v>
      </c>
    </row>
    <row r="57821" customFormat="false" ht="12.8" hidden="false" customHeight="false" outlineLevel="0" collapsed="false">
      <c r="B57821" s="0" t="s">
        <v>1</v>
      </c>
      <c r="C57821" s="0" t="s">
        <v>6269</v>
      </c>
      <c r="E57821" s="0" t="s">
        <v>6270</v>
      </c>
      <c r="F57821" s="0" t="s">
        <v>6271</v>
      </c>
    </row>
    <row r="57823" customFormat="false" ht="12.8" hidden="false" customHeight="false" outlineLevel="0" collapsed="false">
      <c r="A57823" s="0" t="s">
        <v>19684</v>
      </c>
      <c r="B57823" s="0" t="str">
        <f aca="false">HYPERLINK("https://lindat.mff.cuni.cz/services/teitok/pdtc10/index.php?action=vallex&amp;frame=v-w12006_ZUf2_ZU", "vymýt (v-w12006_ZUf2_ZU)")</f>
        <v>vymýt (v-w12006_ZUf2_ZU)</v>
      </c>
    </row>
    <row r="57824" customFormat="false" ht="12.8" hidden="false" customHeight="false" outlineLevel="0" collapsed="false">
      <c r="B57824" s="0" t="s">
        <v>1</v>
      </c>
    </row>
    <row r="57825" customFormat="false" ht="12.8" hidden="false" customHeight="false" outlineLevel="0" collapsed="false">
      <c r="B57825" s="0" t="s">
        <v>8</v>
      </c>
    </row>
    <row r="57827" customFormat="false" ht="12.8" hidden="false" customHeight="false" outlineLevel="0" collapsed="false">
      <c r="A57827" s="0" t="s">
        <v>19684</v>
      </c>
      <c r="B57827" s="0" t="str">
        <f aca="false">HYPERLINK("https://lindat.mff.cuni.cz/services/teitok/pdtc10/index.php?action=vallex&amp;frame=v-w12006_ZUf1_ZU", "vymýt (v-w12006_ZUf1_ZU) - substituted with v-w12006_ZUf2_ZU")</f>
        <v>vymýt (v-w12006_ZUf1_ZU) - substituted with v-w12006_ZUf2_ZU</v>
      </c>
    </row>
    <row r="57828" customFormat="false" ht="12.8" hidden="false" customHeight="false" outlineLevel="0" collapsed="false">
      <c r="B57828" s="0" t="s">
        <v>1</v>
      </c>
    </row>
    <row r="57829" customFormat="false" ht="12.8" hidden="false" customHeight="false" outlineLevel="0" collapsed="false">
      <c r="B57829" s="0" t="s">
        <v>8</v>
      </c>
    </row>
    <row r="57831" customFormat="false" ht="12.8" hidden="false" customHeight="false" outlineLevel="0" collapsed="false">
      <c r="A57831" s="0" t="s">
        <v>19685</v>
      </c>
      <c r="B57831" s="0" t="str">
        <f aca="false">HYPERLINK("https://lindat.mff.cuni.cz/services/teitok/pdtc10/index.php?action=vallex&amp;frame=v-w8136f1", "vymýtit (v-w8136f1)")</f>
        <v>vymýtit (v-w8136f1)</v>
      </c>
      <c r="E57831" s="0" t="str">
        <f aca="false">HYPERLINK("https://lindat.mff.cuni.cz/services/SynSemClass40/SynSemClass40.html?veclass=vec00389#vec00389-ces-cm00051", "vec00389")</f>
        <v>vec00389</v>
      </c>
      <c r="F57831" s="0" t="s">
        <v>1888</v>
      </c>
    </row>
    <row r="57832" customFormat="false" ht="12.8" hidden="false" customHeight="false" outlineLevel="0" collapsed="false">
      <c r="B57832" s="0" t="s">
        <v>1</v>
      </c>
      <c r="C57832" s="0" t="s">
        <v>1889</v>
      </c>
      <c r="E57832" s="0" t="s">
        <v>1890</v>
      </c>
      <c r="F57832" s="0" t="s">
        <v>1891</v>
      </c>
    </row>
    <row r="57833" customFormat="false" ht="12.8" hidden="false" customHeight="false" outlineLevel="0" collapsed="false">
      <c r="B57833" s="0" t="s">
        <v>8</v>
      </c>
      <c r="C57833" s="0" t="s">
        <v>1892</v>
      </c>
      <c r="E57833" s="0" t="s">
        <v>1893</v>
      </c>
      <c r="F57833" s="0" t="s">
        <v>1894</v>
      </c>
    </row>
    <row r="57835" customFormat="false" ht="12.8" hidden="false" customHeight="false" outlineLevel="0" collapsed="false">
      <c r="A57835" s="0" t="s">
        <v>19686</v>
      </c>
      <c r="B57835" s="0" t="str">
        <f aca="false">HYPERLINK("https://lindat.mff.cuni.cz/services/teitok/pdtc10/index.php?action=vallex&amp;frame=v-w8136f2_ZU", "vymýtit (v-w8136f2_ZU)")</f>
        <v>vymýtit (v-w8136f2_ZU)</v>
      </c>
    </row>
    <row r="57836" customFormat="false" ht="12.8" hidden="false" customHeight="false" outlineLevel="0" collapsed="false">
      <c r="B57836" s="0" t="s">
        <v>1</v>
      </c>
    </row>
    <row r="57837" customFormat="false" ht="12.8" hidden="false" customHeight="false" outlineLevel="0" collapsed="false">
      <c r="B57837" s="0" t="s">
        <v>8</v>
      </c>
    </row>
    <row r="57839" customFormat="false" ht="12.8" hidden="false" customHeight="false" outlineLevel="0" collapsed="false">
      <c r="A57839" s="0" t="s">
        <v>19687</v>
      </c>
      <c r="B57839" s="0" t="str">
        <f aca="false">HYPERLINK("https://lindat.mff.cuni.cz/services/teitok/pdtc10/index.php?action=vallex&amp;frame=v-w8137f1", "vymývat (v-w8137f1)")</f>
        <v>vymývat (v-w8137f1)</v>
      </c>
      <c r="E57839" s="0" t="str">
        <f aca="false">HYPERLINK("https://lindat.mff.cuni.cz/services/SynSemClass40/SynSemClass40.html?veclass=vec00552#vec00552-ces-cm00023", "vec00552")</f>
        <v>vec00552</v>
      </c>
      <c r="F57839" s="0" t="s">
        <v>5992</v>
      </c>
    </row>
    <row r="57840" customFormat="false" ht="12.8" hidden="false" customHeight="false" outlineLevel="0" collapsed="false">
      <c r="B57840" s="0" t="s">
        <v>1</v>
      </c>
      <c r="C57840" s="0" t="s">
        <v>239</v>
      </c>
      <c r="E57840" s="0" t="s">
        <v>31</v>
      </c>
      <c r="F57840" s="0" t="s">
        <v>5993</v>
      </c>
    </row>
    <row r="57841" customFormat="false" ht="12.8" hidden="false" customHeight="false" outlineLevel="0" collapsed="false">
      <c r="B57841" s="0" t="s">
        <v>8</v>
      </c>
      <c r="C57841" s="0" t="s">
        <v>5994</v>
      </c>
      <c r="E57841" s="0" t="s">
        <v>34</v>
      </c>
      <c r="F57841" s="0" t="s">
        <v>5995</v>
      </c>
    </row>
    <row r="57843" customFormat="false" ht="12.8" hidden="false" customHeight="false" outlineLevel="0" collapsed="false">
      <c r="A57843" s="0" t="s">
        <v>19688</v>
      </c>
      <c r="B57843" s="0" t="str">
        <f aca="false">HYPERLINK("https://lindat.mff.cuni.cz/services/teitok/pdtc10/index.php?action=vallex&amp;frame=v-w8133f1", "vymýšlet (v-w8133f1)")</f>
        <v>vymýšlet (v-w8133f1)</v>
      </c>
      <c r="E57843" s="0" t="str">
        <f aca="false">HYPERLINK("https://lindat.mff.cuni.cz/services/SynSemClass40/SynSemClass40.html?veclass=vec00040#vec00040-ces-cm00039", "vec00040")</f>
        <v>vec00040</v>
      </c>
      <c r="F57843" s="0" t="s">
        <v>5506</v>
      </c>
    </row>
    <row r="57844" customFormat="false" ht="12.8" hidden="false" customHeight="false" outlineLevel="0" collapsed="false">
      <c r="B57844" s="0" t="s">
        <v>1</v>
      </c>
      <c r="C57844" s="0" t="s">
        <v>17706</v>
      </c>
      <c r="E57844" s="0" t="s">
        <v>2619</v>
      </c>
      <c r="F57844" s="0" t="s">
        <v>5509</v>
      </c>
    </row>
    <row r="57845" customFormat="false" ht="12.8" hidden="false" customHeight="false" outlineLevel="0" collapsed="false">
      <c r="B57845" s="0" t="s">
        <v>8</v>
      </c>
      <c r="C57845" s="0" t="s">
        <v>17707</v>
      </c>
      <c r="E57845" s="0" t="s">
        <v>771</v>
      </c>
      <c r="F57845" s="0" t="s">
        <v>5512</v>
      </c>
    </row>
    <row r="57847" customFormat="false" ht="12.8" hidden="false" customHeight="false" outlineLevel="0" collapsed="false">
      <c r="A57847" s="0" t="s">
        <v>19689</v>
      </c>
      <c r="B57847" s="0" t="str">
        <f aca="false">HYPERLINK("https://lindat.mff.cuni.cz/services/teitok/pdtc10/index.php?action=vallex&amp;frame=v-w8133f2", "vymýšlet (v-w8133f2)")</f>
        <v>vymýšlet (v-w8133f2)</v>
      </c>
    </row>
    <row r="57848" customFormat="false" ht="12.8" hidden="false" customHeight="false" outlineLevel="0" collapsed="false">
      <c r="B57848" s="0" t="s">
        <v>1</v>
      </c>
    </row>
    <row r="57849" customFormat="false" ht="12.8" hidden="false" customHeight="false" outlineLevel="0" collapsed="false">
      <c r="B57849" s="0" t="s">
        <v>19660</v>
      </c>
    </row>
    <row r="57850" customFormat="false" ht="12.8" hidden="false" customHeight="false" outlineLevel="0" collapsed="false">
      <c r="B57850" s="0" t="s">
        <v>496</v>
      </c>
    </row>
    <row r="57852" customFormat="false" ht="12.8" hidden="false" customHeight="false" outlineLevel="0" collapsed="false">
      <c r="A57852" s="0" t="s">
        <v>19690</v>
      </c>
      <c r="B57852" s="0" t="str">
        <f aca="false">HYPERLINK("https://lindat.mff.cuni.cz/services/teitok/pdtc10/index.php?action=vallex&amp;frame=v-w8134f1", "vymýšlet si (v-w8134f1)")</f>
        <v>vymýšlet si (v-w8134f1)</v>
      </c>
      <c r="E57852" s="0" t="str">
        <f aca="false">HYPERLINK("https://lindat.mff.cuni.cz/services/SynSemClass40/SynSemClass40.html?veclass=vec01352#vec01352-ces-cm00003", "vec01352")</f>
        <v>vec01352</v>
      </c>
      <c r="F57852" s="0" t="s">
        <v>19662</v>
      </c>
    </row>
    <row r="57853" customFormat="false" ht="12.8" hidden="false" customHeight="false" outlineLevel="0" collapsed="false">
      <c r="B57853" s="0" t="s">
        <v>1</v>
      </c>
      <c r="E57853" s="0" t="s">
        <v>621</v>
      </c>
      <c r="F57853" s="0" t="s">
        <v>4213</v>
      </c>
    </row>
    <row r="57854" customFormat="false" ht="12.8" hidden="false" customHeight="false" outlineLevel="0" collapsed="false">
      <c r="B57854" s="0" t="s">
        <v>1838</v>
      </c>
      <c r="E57854" s="0" t="s">
        <v>209</v>
      </c>
      <c r="F57854" s="0" t="s">
        <v>11127</v>
      </c>
    </row>
    <row r="57856" customFormat="false" ht="12.8" hidden="false" customHeight="false" outlineLevel="0" collapsed="false">
      <c r="A57856" s="0" t="s">
        <v>19691</v>
      </c>
      <c r="B57856" s="0" t="str">
        <f aca="false">HYPERLINK("https://lindat.mff.cuni.cz/services/teitok/pdtc10/index.php?action=vallex&amp;frame=v-w8134f2", "vymýšlet si (v-w8134f2)")</f>
        <v>vymýšlet si (v-w8134f2)</v>
      </c>
      <c r="E57856" s="0" t="str">
        <f aca="false">HYPERLINK("https://lindat.mff.cuni.cz/services/SynSemClass40/SynSemClass40.html?veclass=vec01352#vec01352-ces-cm00004", "vec01352")</f>
        <v>vec01352</v>
      </c>
      <c r="F57856" s="0" t="s">
        <v>19662</v>
      </c>
    </row>
    <row r="57857" customFormat="false" ht="12.8" hidden="false" customHeight="false" outlineLevel="0" collapsed="false">
      <c r="B57857" s="0" t="s">
        <v>1</v>
      </c>
      <c r="E57857" s="0" t="s">
        <v>621</v>
      </c>
      <c r="F57857" s="0" t="s">
        <v>4213</v>
      </c>
    </row>
    <row r="57858" customFormat="false" ht="12.8" hidden="false" customHeight="false" outlineLevel="0" collapsed="false">
      <c r="B57858" s="0" t="s">
        <v>19660</v>
      </c>
      <c r="E57858" s="0" t="s">
        <v>9995</v>
      </c>
      <c r="F57858" s="0" t="s">
        <v>19692</v>
      </c>
    </row>
    <row r="57859" customFormat="false" ht="12.8" hidden="false" customHeight="false" outlineLevel="0" collapsed="false">
      <c r="B57859" s="0" t="s">
        <v>496</v>
      </c>
      <c r="E57859" s="0" t="s">
        <v>209</v>
      </c>
      <c r="F57859" s="0" t="s">
        <v>11127</v>
      </c>
    </row>
    <row r="57861" customFormat="false" ht="12.8" hidden="false" customHeight="false" outlineLevel="0" collapsed="false">
      <c r="A57861" s="0" t="s">
        <v>19693</v>
      </c>
      <c r="B57861" s="0" t="str">
        <f aca="false">HYPERLINK("https://lindat.mff.cuni.cz/services/teitok/pdtc10/index.php?action=vallex&amp;frame=v-w8097f1", "vyměnit (v-w8097f1)")</f>
        <v>vyměnit (v-w8097f1)</v>
      </c>
      <c r="E57861" s="0" t="str">
        <f aca="false">HYPERLINK("https://lindat.mff.cuni.cz/services/SynSemClass40/SynSemClass40.html?veclass=vec00030#vec00030-ces-cm00018", "vec00030")</f>
        <v>vec00030</v>
      </c>
      <c r="F57861" s="0" t="s">
        <v>6942</v>
      </c>
    </row>
    <row r="57862" customFormat="false" ht="12.8" hidden="false" customHeight="false" outlineLevel="0" collapsed="false">
      <c r="B57862" s="0" t="s">
        <v>1</v>
      </c>
      <c r="C57862" s="0" t="s">
        <v>6943</v>
      </c>
      <c r="E57862" s="0" t="s">
        <v>6944</v>
      </c>
      <c r="F57862" s="0" t="s">
        <v>6945</v>
      </c>
    </row>
    <row r="57863" customFormat="false" ht="12.8" hidden="false" customHeight="false" outlineLevel="0" collapsed="false">
      <c r="B57863" s="0" t="s">
        <v>8</v>
      </c>
      <c r="C57863" s="0" t="s">
        <v>6946</v>
      </c>
      <c r="E57863" s="0" t="s">
        <v>4852</v>
      </c>
      <c r="F57863" s="0" t="s">
        <v>6947</v>
      </c>
    </row>
    <row r="57864" customFormat="false" ht="12.8" hidden="false" customHeight="false" outlineLevel="0" collapsed="false">
      <c r="B57864" s="0" t="s">
        <v>3205</v>
      </c>
      <c r="C57864" s="0" t="s">
        <v>6948</v>
      </c>
      <c r="E57864" s="0" t="s">
        <v>6949</v>
      </c>
      <c r="F57864" s="0" t="s">
        <v>6950</v>
      </c>
    </row>
    <row r="57865" customFormat="false" ht="12.8" hidden="false" customHeight="false" outlineLevel="0" collapsed="false">
      <c r="B57865" s="0" t="s">
        <v>723</v>
      </c>
      <c r="C57865" s="0" t="s">
        <v>6951</v>
      </c>
      <c r="E57865" s="0" t="s">
        <v>5445</v>
      </c>
      <c r="F57865" s="0" t="s">
        <v>6952</v>
      </c>
    </row>
    <row r="57867" customFormat="false" ht="12.8" hidden="false" customHeight="false" outlineLevel="0" collapsed="false">
      <c r="A57867" s="0" t="s">
        <v>19694</v>
      </c>
      <c r="B57867" s="0" t="str">
        <f aca="false">HYPERLINK("https://lindat.mff.cuni.cz/services/teitok/pdtc10/index.php?action=vallex&amp;frame=v-w8097f2", "vyměnit (v-w8097f2)")</f>
        <v>vyměnit (v-w8097f2)</v>
      </c>
      <c r="E57867" s="0" t="str">
        <f aca="false">HYPERLINK("https://lindat.mff.cuni.cz/services/SynSemClass40/SynSemClass40.html?veclass=vec00429#vec00429-ces-cm00015", "vec00429")</f>
        <v>vec00429</v>
      </c>
      <c r="F57867" s="0" t="s">
        <v>6957</v>
      </c>
    </row>
    <row r="57868" customFormat="false" ht="12.8" hidden="false" customHeight="false" outlineLevel="0" collapsed="false">
      <c r="B57868" s="0" t="s">
        <v>1</v>
      </c>
      <c r="C57868" s="0" t="s">
        <v>6958</v>
      </c>
      <c r="E57868" s="0" t="s">
        <v>31</v>
      </c>
      <c r="F57868" s="0" t="s">
        <v>6959</v>
      </c>
    </row>
    <row r="57869" customFormat="false" ht="12.8" hidden="false" customHeight="false" outlineLevel="0" collapsed="false">
      <c r="B57869" s="0" t="s">
        <v>8</v>
      </c>
      <c r="C57869" s="0" t="s">
        <v>6960</v>
      </c>
      <c r="E57869" s="0" t="s">
        <v>6961</v>
      </c>
      <c r="F57869" s="0" t="s">
        <v>6962</v>
      </c>
    </row>
    <row r="57870" customFormat="false" ht="12.8" hidden="false" customHeight="false" outlineLevel="0" collapsed="false">
      <c r="B57870" s="0" t="s">
        <v>839</v>
      </c>
      <c r="C57870" s="0" t="s">
        <v>6963</v>
      </c>
      <c r="E57870" s="0" t="s">
        <v>6964</v>
      </c>
      <c r="F57870" s="0" t="s">
        <v>6965</v>
      </c>
    </row>
    <row r="57872" customFormat="false" ht="12.8" hidden="false" customHeight="false" outlineLevel="0" collapsed="false">
      <c r="A57872" s="0" t="s">
        <v>19695</v>
      </c>
      <c r="B57872" s="0" t="str">
        <f aca="false">HYPERLINK("https://lindat.mff.cuni.cz/services/teitok/pdtc10/index.php?action=vallex&amp;frame=v-w8098f1", "vyměňovat (v-w8098f1)")</f>
        <v>vyměňovat (v-w8098f1)</v>
      </c>
      <c r="E57872" s="0" t="str">
        <f aca="false">HYPERLINK("https://lindat.mff.cuni.cz/services/SynSemClass40/SynSemClass40.html?veclass=vec00030#vec00030-ces-cm00030", "vec00030")</f>
        <v>vec00030</v>
      </c>
      <c r="F57872" s="0" t="s">
        <v>6942</v>
      </c>
    </row>
    <row r="57873" customFormat="false" ht="12.8" hidden="false" customHeight="false" outlineLevel="0" collapsed="false">
      <c r="B57873" s="0" t="s">
        <v>1</v>
      </c>
      <c r="C57873" s="0" t="s">
        <v>6943</v>
      </c>
      <c r="E57873" s="0" t="s">
        <v>6944</v>
      </c>
      <c r="F57873" s="0" t="s">
        <v>6945</v>
      </c>
    </row>
    <row r="57874" customFormat="false" ht="12.8" hidden="false" customHeight="false" outlineLevel="0" collapsed="false">
      <c r="B57874" s="0" t="s">
        <v>8</v>
      </c>
      <c r="C57874" s="0" t="s">
        <v>6946</v>
      </c>
      <c r="E57874" s="0" t="s">
        <v>4852</v>
      </c>
      <c r="F57874" s="0" t="s">
        <v>6947</v>
      </c>
    </row>
    <row r="57875" customFormat="false" ht="12.8" hidden="false" customHeight="false" outlineLevel="0" collapsed="false">
      <c r="B57875" s="0" t="s">
        <v>19696</v>
      </c>
      <c r="C57875" s="0" t="s">
        <v>6948</v>
      </c>
      <c r="E57875" s="0" t="s">
        <v>6949</v>
      </c>
      <c r="F57875" s="0" t="s">
        <v>6950</v>
      </c>
    </row>
    <row r="57876" customFormat="false" ht="12.8" hidden="false" customHeight="false" outlineLevel="0" collapsed="false">
      <c r="B57876" s="0" t="s">
        <v>723</v>
      </c>
      <c r="C57876" s="0" t="s">
        <v>6951</v>
      </c>
      <c r="E57876" s="0" t="s">
        <v>5445</v>
      </c>
      <c r="F57876" s="0" t="s">
        <v>6952</v>
      </c>
    </row>
    <row r="57878" customFormat="false" ht="12.8" hidden="false" customHeight="false" outlineLevel="0" collapsed="false">
      <c r="A57878" s="0" t="s">
        <v>19697</v>
      </c>
      <c r="B57878" s="0" t="str">
        <f aca="false">HYPERLINK("https://lindat.mff.cuni.cz/services/teitok/pdtc10/index.php?action=vallex&amp;frame=v-w8098f2", "vyměňovat (v-w8098f2)")</f>
        <v>vyměňovat (v-w8098f2)</v>
      </c>
      <c r="E57878" s="0" t="str">
        <f aca="false">HYPERLINK("https://lindat.mff.cuni.cz/services/SynSemClass40/SynSemClass40.html?veclass=vec00429#vec00429-ces-cm00037", "vec00429")</f>
        <v>vec00429</v>
      </c>
      <c r="F57878" s="0" t="s">
        <v>6957</v>
      </c>
    </row>
    <row r="57879" customFormat="false" ht="12.8" hidden="false" customHeight="false" outlineLevel="0" collapsed="false">
      <c r="B57879" s="0" t="s">
        <v>1</v>
      </c>
      <c r="C57879" s="0" t="s">
        <v>6958</v>
      </c>
      <c r="E57879" s="0" t="s">
        <v>31</v>
      </c>
      <c r="F57879" s="0" t="s">
        <v>6959</v>
      </c>
    </row>
    <row r="57880" customFormat="false" ht="12.8" hidden="false" customHeight="false" outlineLevel="0" collapsed="false">
      <c r="B57880" s="0" t="s">
        <v>8</v>
      </c>
      <c r="C57880" s="0" t="s">
        <v>6960</v>
      </c>
      <c r="E57880" s="0" t="s">
        <v>6961</v>
      </c>
      <c r="F57880" s="0" t="s">
        <v>6962</v>
      </c>
    </row>
    <row r="57881" customFormat="false" ht="12.8" hidden="false" customHeight="false" outlineLevel="0" collapsed="false">
      <c r="B57881" s="0" t="s">
        <v>839</v>
      </c>
      <c r="C57881" s="0" t="s">
        <v>6963</v>
      </c>
      <c r="E57881" s="0" t="s">
        <v>6964</v>
      </c>
      <c r="F57881" s="0" t="s">
        <v>6965</v>
      </c>
    </row>
    <row r="57883" customFormat="false" ht="12.8" hidden="false" customHeight="false" outlineLevel="0" collapsed="false">
      <c r="A57883" s="0" t="s">
        <v>19698</v>
      </c>
      <c r="B57883" s="0" t="str">
        <f aca="false">HYPERLINK("https://lindat.mff.cuni.cz/services/teitok/pdtc10/index.php?action=vallex&amp;frame=v-whsa_90hsa_91", "vyměňovat si (v-whsa_90hsa_91)")</f>
        <v>vyměňovat si (v-whsa_90hsa_91)</v>
      </c>
    </row>
    <row r="57884" customFormat="false" ht="12.8" hidden="false" customHeight="false" outlineLevel="0" collapsed="false">
      <c r="B57884" s="0" t="s">
        <v>1</v>
      </c>
    </row>
    <row r="57885" customFormat="false" ht="12.8" hidden="false" customHeight="false" outlineLevel="0" collapsed="false">
      <c r="B57885" s="0" t="s">
        <v>8</v>
      </c>
    </row>
    <row r="57886" customFormat="false" ht="12.8" hidden="false" customHeight="false" outlineLevel="0" collapsed="false">
      <c r="B57886" s="0" t="s">
        <v>276</v>
      </c>
    </row>
    <row r="57888" customFormat="false" ht="12.8" hidden="false" customHeight="false" outlineLevel="0" collapsed="false">
      <c r="A57888" s="0" t="s">
        <v>19699</v>
      </c>
      <c r="B57888" s="0" t="str">
        <f aca="false">HYPERLINK("https://lindat.mff.cuni.cz/services/teitok/pdtc10/index.php?action=vallex&amp;frame=v-w8100f1", "vyměřit (v-w8100f1)")</f>
        <v>vyměřit (v-w8100f1)</v>
      </c>
    </row>
    <row r="57889" customFormat="false" ht="12.8" hidden="false" customHeight="false" outlineLevel="0" collapsed="false">
      <c r="B57889" s="0" t="s">
        <v>1</v>
      </c>
    </row>
    <row r="57890" customFormat="false" ht="12.8" hidden="false" customHeight="false" outlineLevel="0" collapsed="false">
      <c r="B57890" s="0" t="s">
        <v>8</v>
      </c>
    </row>
    <row r="57892" customFormat="false" ht="12.8" hidden="false" customHeight="false" outlineLevel="0" collapsed="false">
      <c r="A57892" s="0" t="s">
        <v>19700</v>
      </c>
      <c r="B57892" s="0" t="str">
        <f aca="false">HYPERLINK("https://lindat.mff.cuni.cz/services/teitok/pdtc10/index.php?action=vallex&amp;frame=v-w8101f1", "vyměřovat (v-w8101f1)")</f>
        <v>vyměřovat (v-w8101f1)</v>
      </c>
      <c r="E57892" s="0" t="str">
        <f aca="false">HYPERLINK("https://lindat.mff.cuni.cz/services/SynSemClass40/SynSemClass40.html?veclass=vec00127#vec00127-ces-cm00239", "vec00127")</f>
        <v>vec00127</v>
      </c>
      <c r="F57892" s="0" t="s">
        <v>1835</v>
      </c>
    </row>
    <row r="57893" customFormat="false" ht="12.8" hidden="false" customHeight="false" outlineLevel="0" collapsed="false">
      <c r="B57893" s="0" t="s">
        <v>1</v>
      </c>
      <c r="C57893" s="0" t="s">
        <v>3461</v>
      </c>
      <c r="E57893" s="0" t="s">
        <v>11</v>
      </c>
      <c r="F57893" s="0" t="s">
        <v>1837</v>
      </c>
    </row>
    <row r="57894" customFormat="false" ht="12.8" hidden="false" customHeight="false" outlineLevel="0" collapsed="false">
      <c r="B57894" s="0" t="s">
        <v>8</v>
      </c>
      <c r="C57894" s="0" t="s">
        <v>3463</v>
      </c>
      <c r="E57894" s="0" t="s">
        <v>1840</v>
      </c>
      <c r="F57894" s="0" t="s">
        <v>1841</v>
      </c>
    </row>
    <row r="57896" customFormat="false" ht="12.8" hidden="false" customHeight="false" outlineLevel="0" collapsed="false">
      <c r="A57896" s="0" t="s">
        <v>19701</v>
      </c>
      <c r="B57896" s="0" t="str">
        <f aca="false">HYPERLINK("https://lindat.mff.cuni.cz/services/teitok/pdtc10/index.php?action=vallex&amp;frame=v-w8123f1", "vymřít (v-w8123f1)")</f>
        <v>vymřít (v-w8123f1)</v>
      </c>
      <c r="E57896" s="0" t="str">
        <f aca="false">HYPERLINK("https://lindat.mff.cuni.cz/services/SynSemClass40/SynSemClass40.html?veclass=vec00755#vec00755-ces-cm00030", "vec00755")</f>
        <v>vec00755</v>
      </c>
      <c r="F57896" s="0" t="s">
        <v>6268</v>
      </c>
    </row>
    <row r="57897" customFormat="false" ht="12.8" hidden="false" customHeight="false" outlineLevel="0" collapsed="false">
      <c r="B57897" s="0" t="s">
        <v>1</v>
      </c>
      <c r="C57897" s="0" t="s">
        <v>6269</v>
      </c>
      <c r="E57897" s="0" t="s">
        <v>6270</v>
      </c>
      <c r="F57897" s="0" t="s">
        <v>6271</v>
      </c>
    </row>
    <row r="57899" customFormat="false" ht="12.8" hidden="false" customHeight="false" outlineLevel="0" collapsed="false">
      <c r="A57899" s="0" t="s">
        <v>19702</v>
      </c>
      <c r="B57899" s="0" t="str">
        <f aca="false">HYPERLINK("https://lindat.mff.cuni.cz/services/teitok/pdtc10/index.php?action=vallex&amp;frame=v-whsa_1295hsa_1296", "vynachválit si (v-whsa_1295hsa_1296)")</f>
        <v>vynachválit si (v-whsa_1295hsa_1296)</v>
      </c>
    </row>
    <row r="57900" customFormat="false" ht="12.8" hidden="false" customHeight="false" outlineLevel="0" collapsed="false">
      <c r="B57900" s="0" t="s">
        <v>1</v>
      </c>
    </row>
    <row r="57901" customFormat="false" ht="12.8" hidden="false" customHeight="false" outlineLevel="0" collapsed="false">
      <c r="B57901" s="0" t="s">
        <v>19703</v>
      </c>
    </row>
    <row r="57903" customFormat="false" ht="12.8" hidden="false" customHeight="false" outlineLevel="0" collapsed="false">
      <c r="A57903" s="0" t="s">
        <v>19704</v>
      </c>
      <c r="B57903" s="0" t="str">
        <f aca="false">HYPERLINK("https://lindat.mff.cuni.cz/services/teitok/pdtc10/index.php?action=vallex&amp;frame=v-w8140f1", "vynacházet se (v-w8140f1)")</f>
        <v>vynacházet se (v-w8140f1)</v>
      </c>
    </row>
    <row r="57904" customFormat="false" ht="12.8" hidden="false" customHeight="false" outlineLevel="0" collapsed="false">
      <c r="B57904" s="0" t="s">
        <v>1</v>
      </c>
    </row>
    <row r="57906" customFormat="false" ht="12.8" hidden="false" customHeight="false" outlineLevel="0" collapsed="false">
      <c r="A57906" s="0" t="s">
        <v>19705</v>
      </c>
      <c r="B57906" s="0" t="str">
        <f aca="false">HYPERLINK("https://lindat.mff.cuni.cz/services/teitok/pdtc10/index.php?action=vallex&amp;frame=v-w8138f1", "vynadat (v-w8138f1)")</f>
        <v>vynadat (v-w8138f1)</v>
      </c>
    </row>
    <row r="57907" customFormat="false" ht="12.8" hidden="false" customHeight="false" outlineLevel="0" collapsed="false">
      <c r="B57907" s="0" t="s">
        <v>1</v>
      </c>
    </row>
    <row r="57908" customFormat="false" ht="12.8" hidden="false" customHeight="false" outlineLevel="0" collapsed="false">
      <c r="B57908" s="0" t="s">
        <v>52</v>
      </c>
    </row>
    <row r="57909" customFormat="false" ht="12.8" hidden="false" customHeight="false" outlineLevel="0" collapsed="false">
      <c r="B57909" s="0" t="s">
        <v>16419</v>
      </c>
    </row>
    <row r="57911" customFormat="false" ht="12.8" hidden="false" customHeight="false" outlineLevel="0" collapsed="false">
      <c r="A57911" s="0" t="s">
        <v>19706</v>
      </c>
      <c r="B57911" s="0" t="str">
        <f aca="false">HYPERLINK("https://lindat.mff.cuni.cz/services/teitok/pdtc10/index.php?action=vallex&amp;frame=v-w8139f1", "vynahradit (v-w8139f1)")</f>
        <v>vynahradit (v-w8139f1)</v>
      </c>
    </row>
    <row r="57912" customFormat="false" ht="12.8" hidden="false" customHeight="false" outlineLevel="0" collapsed="false">
      <c r="B57912" s="0" t="s">
        <v>1</v>
      </c>
    </row>
    <row r="57913" customFormat="false" ht="12.8" hidden="false" customHeight="false" outlineLevel="0" collapsed="false">
      <c r="B57913" s="0" t="s">
        <v>8</v>
      </c>
    </row>
    <row r="57914" customFormat="false" ht="12.8" hidden="false" customHeight="false" outlineLevel="0" collapsed="false">
      <c r="B57914" s="0" t="s">
        <v>52</v>
      </c>
    </row>
    <row r="57916" customFormat="false" ht="12.8" hidden="false" customHeight="false" outlineLevel="0" collapsed="false">
      <c r="A57916" s="0" t="s">
        <v>19707</v>
      </c>
      <c r="B57916" s="0" t="str">
        <f aca="false">HYPERLINK("https://lindat.mff.cuni.cz/services/teitok/pdtc10/index.php?action=vallex&amp;frame=v-w11624_ZUf1_ZU", "vynahrazovat (v-w11624_ZUf1_ZU)")</f>
        <v>vynahrazovat (v-w11624_ZUf1_ZU)</v>
      </c>
    </row>
    <row r="57917" customFormat="false" ht="12.8" hidden="false" customHeight="false" outlineLevel="0" collapsed="false">
      <c r="B57917" s="0" t="s">
        <v>1</v>
      </c>
    </row>
    <row r="57918" customFormat="false" ht="12.8" hidden="false" customHeight="false" outlineLevel="0" collapsed="false">
      <c r="B57918" s="0" t="s">
        <v>8</v>
      </c>
    </row>
    <row r="57919" customFormat="false" ht="12.8" hidden="false" customHeight="false" outlineLevel="0" collapsed="false">
      <c r="B57919" s="0" t="s">
        <v>52</v>
      </c>
    </row>
    <row r="57921" customFormat="false" ht="12.8" hidden="false" customHeight="false" outlineLevel="0" collapsed="false">
      <c r="A57921" s="0" t="s">
        <v>19708</v>
      </c>
      <c r="B57921" s="0" t="str">
        <f aca="false">HYPERLINK("https://lindat.mff.cuni.cz/services/teitok/pdtc10/index.php?action=vallex&amp;frame=v-w8141f1", "vynakládat (v-w8141f1)")</f>
        <v>vynakládat (v-w8141f1)</v>
      </c>
      <c r="E57921" s="0" t="str">
        <f aca="false">HYPERLINK("https://lindat.mff.cuni.cz/services/SynSemClass40/SynSemClass40.html?veclass=vec00147#vec00147-ces-cm00015", "vec00147")</f>
        <v>vec00147</v>
      </c>
      <c r="F57921" s="0" t="s">
        <v>1698</v>
      </c>
    </row>
    <row r="57922" customFormat="false" ht="12.8" hidden="false" customHeight="false" outlineLevel="0" collapsed="false">
      <c r="B57922" s="0" t="s">
        <v>1</v>
      </c>
      <c r="C57922" s="0" t="s">
        <v>1699</v>
      </c>
      <c r="E57922" s="0" t="s">
        <v>11</v>
      </c>
      <c r="F57922" s="0" t="s">
        <v>1700</v>
      </c>
    </row>
    <row r="57923" customFormat="false" ht="12.8" hidden="false" customHeight="false" outlineLevel="0" collapsed="false">
      <c r="B57923" s="0" t="s">
        <v>8</v>
      </c>
      <c r="C57923" s="0" t="s">
        <v>1701</v>
      </c>
      <c r="E57923" s="0" t="s">
        <v>1702</v>
      </c>
      <c r="F57923" s="0" t="s">
        <v>1703</v>
      </c>
    </row>
    <row r="57925" customFormat="false" ht="12.8" hidden="false" customHeight="false" outlineLevel="0" collapsed="false">
      <c r="A57925" s="0" t="s">
        <v>19709</v>
      </c>
      <c r="B57925" s="0" t="str">
        <f aca="false">HYPERLINK("https://lindat.mff.cuni.cz/services/teitok/pdtc10/index.php?action=vallex&amp;frame=v-w8145f1", "vynaleznout (v-w8145f1)")</f>
        <v>vynaleznout (v-w8145f1)</v>
      </c>
    </row>
    <row r="57926" customFormat="false" ht="12.8" hidden="false" customHeight="false" outlineLevel="0" collapsed="false">
      <c r="B57926" s="0" t="s">
        <v>1</v>
      </c>
    </row>
    <row r="57927" customFormat="false" ht="12.8" hidden="false" customHeight="false" outlineLevel="0" collapsed="false">
      <c r="B57927" s="0" t="s">
        <v>8</v>
      </c>
    </row>
    <row r="57929" customFormat="false" ht="12.8" hidden="false" customHeight="false" outlineLevel="0" collapsed="false">
      <c r="A57929" s="0" t="s">
        <v>19710</v>
      </c>
      <c r="B57929" s="0" t="str">
        <f aca="false">HYPERLINK("https://lindat.mff.cuni.cz/services/teitok/pdtc10/index.php?action=vallex&amp;frame=v-w8146f2", "vynaložit (v-w8146f2)")</f>
        <v>vynaložit (v-w8146f2)</v>
      </c>
    </row>
    <row r="57930" customFormat="false" ht="12.8" hidden="false" customHeight="false" outlineLevel="0" collapsed="false">
      <c r="B57930" s="0" t="s">
        <v>1</v>
      </c>
    </row>
    <row r="57931" customFormat="false" ht="12.8" hidden="false" customHeight="false" outlineLevel="0" collapsed="false">
      <c r="B57931" s="0" t="s">
        <v>8</v>
      </c>
    </row>
    <row r="57932" customFormat="false" ht="12.8" hidden="false" customHeight="false" outlineLevel="0" collapsed="false">
      <c r="B57932" s="0" t="s">
        <v>723</v>
      </c>
    </row>
    <row r="57934" customFormat="false" ht="12.8" hidden="false" customHeight="false" outlineLevel="0" collapsed="false">
      <c r="A57934" s="0" t="s">
        <v>19711</v>
      </c>
      <c r="B57934" s="0" t="str">
        <f aca="false">HYPERLINK("https://lindat.mff.cuni.cz/services/teitok/pdtc10/index.php?action=vallex&amp;frame=v-w8146f1", "vynaložit (v-w8146f1)")</f>
        <v>vynaložit (v-w8146f1)</v>
      </c>
      <c r="E57934" s="0" t="str">
        <f aca="false">HYPERLINK("https://lindat.mff.cuni.cz/services/SynSemClass40/SynSemClass40.html?veclass=vec00147#vec00147-ces-cm00016", "vec00147")</f>
        <v>vec00147</v>
      </c>
      <c r="F57934" s="0" t="s">
        <v>1698</v>
      </c>
    </row>
    <row r="57935" customFormat="false" ht="12.8" hidden="false" customHeight="false" outlineLevel="0" collapsed="false">
      <c r="B57935" s="0" t="s">
        <v>1</v>
      </c>
      <c r="C57935" s="0" t="s">
        <v>1699</v>
      </c>
      <c r="E57935" s="0" t="s">
        <v>11</v>
      </c>
      <c r="F57935" s="0" t="s">
        <v>1700</v>
      </c>
    </row>
    <row r="57936" customFormat="false" ht="12.8" hidden="false" customHeight="false" outlineLevel="0" collapsed="false">
      <c r="B57936" s="0" t="s">
        <v>8</v>
      </c>
      <c r="C57936" s="0" t="s">
        <v>1701</v>
      </c>
      <c r="E57936" s="0" t="s">
        <v>1702</v>
      </c>
      <c r="F57936" s="0" t="s">
        <v>1703</v>
      </c>
    </row>
    <row r="57938" customFormat="false" ht="12.8" hidden="false" customHeight="false" outlineLevel="0" collapsed="false">
      <c r="A57938" s="0" t="s">
        <v>19712</v>
      </c>
      <c r="B57938" s="0" t="str">
        <f aca="false">HYPERLINK("https://lindat.mff.cuni.cz/services/teitok/pdtc10/index.php?action=vallex&amp;frame=v-w8146hsa_1021", "vynaložit (v-w8146hsa_1021)")</f>
        <v>vynaložit (v-w8146hsa_1021)</v>
      </c>
    </row>
    <row r="57939" customFormat="false" ht="12.8" hidden="false" customHeight="false" outlineLevel="0" collapsed="false">
      <c r="B57939" s="0" t="s">
        <v>1</v>
      </c>
    </row>
    <row r="57940" customFormat="false" ht="12.8" hidden="false" customHeight="false" outlineLevel="0" collapsed="false">
      <c r="B57940" s="0" t="s">
        <v>8</v>
      </c>
    </row>
    <row r="57942" customFormat="false" ht="12.8" hidden="false" customHeight="false" outlineLevel="0" collapsed="false">
      <c r="A57942" s="0" t="s">
        <v>19713</v>
      </c>
      <c r="B57942" s="0" t="str">
        <f aca="false">HYPERLINK("https://lindat.mff.cuni.cz/services/teitok/pdtc10/index.php?action=vallex&amp;frame=v-w8144f1", "vynalézat (v-w8144f1)")</f>
        <v>vynalézat (v-w8144f1)</v>
      </c>
    </row>
    <row r="57943" customFormat="false" ht="12.8" hidden="false" customHeight="false" outlineLevel="0" collapsed="false">
      <c r="B57943" s="0" t="s">
        <v>1</v>
      </c>
    </row>
    <row r="57944" customFormat="false" ht="12.8" hidden="false" customHeight="false" outlineLevel="0" collapsed="false">
      <c r="B57944" s="0" t="s">
        <v>8</v>
      </c>
    </row>
    <row r="57946" customFormat="false" ht="12.8" hidden="false" customHeight="false" outlineLevel="0" collapsed="false">
      <c r="A57946" s="0" t="s">
        <v>19714</v>
      </c>
      <c r="B57946" s="0" t="str">
        <f aca="false">HYPERLINK("https://lindat.mff.cuni.cz/services/teitok/pdtc10/index.php?action=vallex&amp;frame=v-w10105f2", "vynalézt (v-w10105f2)")</f>
        <v>vynalézt (v-w10105f2)</v>
      </c>
    </row>
    <row r="57947" customFormat="false" ht="12.8" hidden="false" customHeight="false" outlineLevel="0" collapsed="false">
      <c r="B57947" s="0" t="s">
        <v>1</v>
      </c>
    </row>
    <row r="57948" customFormat="false" ht="12.8" hidden="false" customHeight="false" outlineLevel="0" collapsed="false">
      <c r="B57948" s="0" t="s">
        <v>8</v>
      </c>
    </row>
    <row r="57950" customFormat="false" ht="12.8" hidden="false" customHeight="false" outlineLevel="0" collapsed="false">
      <c r="A57950" s="0" t="s">
        <v>19715</v>
      </c>
      <c r="B57950" s="0" t="str">
        <f aca="false">HYPERLINK("https://lindat.mff.cuni.cz/services/teitok/pdtc10/index.php?action=vallex&amp;frame=v-w8149f1", "vyndat (v-w8149f1)")</f>
        <v>vyndat (v-w8149f1)</v>
      </c>
      <c r="E57950" s="0" t="str">
        <f aca="false">HYPERLINK("https://lindat.mff.cuni.cz/services/SynSemClass40/SynSemClass40.html?veclass=vec01538#vec01538-ces-cm00020", "vec01538")</f>
        <v>vec01538</v>
      </c>
      <c r="F57950" s="0" t="s">
        <v>9675</v>
      </c>
    </row>
    <row r="57951" customFormat="false" ht="12.8" hidden="false" customHeight="false" outlineLevel="0" collapsed="false">
      <c r="B57951" s="0" t="s">
        <v>1</v>
      </c>
      <c r="C57951" s="0" t="s">
        <v>3091</v>
      </c>
      <c r="E57951" s="0" t="s">
        <v>31</v>
      </c>
      <c r="F57951" s="0" t="s">
        <v>3092</v>
      </c>
    </row>
    <row r="57952" customFormat="false" ht="12.8" hidden="false" customHeight="false" outlineLevel="0" collapsed="false">
      <c r="B57952" s="0" t="s">
        <v>8</v>
      </c>
      <c r="C57952" s="0" t="s">
        <v>490</v>
      </c>
      <c r="E57952" s="0" t="s">
        <v>7105</v>
      </c>
      <c r="F57952" s="0" t="s">
        <v>19338</v>
      </c>
    </row>
    <row r="57953" customFormat="false" ht="12.8" hidden="false" customHeight="false" outlineLevel="0" collapsed="false">
      <c r="B57953" s="0" t="s">
        <v>631</v>
      </c>
      <c r="C57953" s="0" t="s">
        <v>19339</v>
      </c>
      <c r="E57953" s="0" t="s">
        <v>19340</v>
      </c>
      <c r="F57953" s="0" t="s">
        <v>19341</v>
      </c>
    </row>
    <row r="57955" customFormat="false" ht="12.8" hidden="false" customHeight="false" outlineLevel="0" collapsed="false">
      <c r="A57955" s="0" t="s">
        <v>19716</v>
      </c>
      <c r="B57955" s="0" t="str">
        <f aca="false">HYPERLINK("https://lindat.mff.cuni.cz/services/teitok/pdtc10/index.php?action=vallex&amp;frame=v-w8149f2_ZU", "vyndat (v-w8149f2_ZU)")</f>
        <v>vyndat (v-w8149f2_ZU)</v>
      </c>
    </row>
    <row r="57956" customFormat="false" ht="12.8" hidden="false" customHeight="false" outlineLevel="0" collapsed="false">
      <c r="B57956" s="0" t="s">
        <v>1</v>
      </c>
    </row>
    <row r="57957" customFormat="false" ht="12.8" hidden="false" customHeight="false" outlineLevel="0" collapsed="false">
      <c r="B57957" s="0" t="s">
        <v>8</v>
      </c>
    </row>
    <row r="57958" customFormat="false" ht="12.8" hidden="false" customHeight="false" outlineLevel="0" collapsed="false">
      <c r="B57958" s="0" t="s">
        <v>6273</v>
      </c>
    </row>
    <row r="57960" customFormat="false" ht="12.8" hidden="false" customHeight="false" outlineLevel="0" collapsed="false">
      <c r="A57960" s="0" t="s">
        <v>19717</v>
      </c>
      <c r="B57960" s="0" t="str">
        <f aca="false">HYPERLINK("https://lindat.mff.cuni.cz/services/teitok/pdtc10/index.php?action=vallex&amp;frame=v-w11808_ZUf1_ZU", "vyndavat (v-w11808_ZUf1_ZU)")</f>
        <v>vyndavat (v-w11808_ZUf1_ZU)</v>
      </c>
    </row>
    <row r="57961" customFormat="false" ht="12.8" hidden="false" customHeight="false" outlineLevel="0" collapsed="false">
      <c r="B57961" s="0" t="s">
        <v>1</v>
      </c>
    </row>
    <row r="57962" customFormat="false" ht="12.8" hidden="false" customHeight="false" outlineLevel="0" collapsed="false">
      <c r="B57962" s="0" t="s">
        <v>8</v>
      </c>
    </row>
    <row r="57963" customFormat="false" ht="12.8" hidden="false" customHeight="false" outlineLevel="0" collapsed="false">
      <c r="B57963" s="0" t="s">
        <v>6273</v>
      </c>
    </row>
    <row r="57965" customFormat="false" ht="12.8" hidden="false" customHeight="false" outlineLevel="0" collapsed="false">
      <c r="A57965" s="0" t="s">
        <v>19718</v>
      </c>
      <c r="B57965" s="0" t="str">
        <f aca="false">HYPERLINK("https://lindat.mff.cuni.cz/services/teitok/pdtc10/index.php?action=vallex&amp;frame=v-whsa_1132hsa_1133", "vyndávat (v-whsa_1132hsa_1133)")</f>
        <v>vyndávat (v-whsa_1132hsa_1133)</v>
      </c>
    </row>
    <row r="57966" customFormat="false" ht="12.8" hidden="false" customHeight="false" outlineLevel="0" collapsed="false">
      <c r="B57966" s="0" t="s">
        <v>1</v>
      </c>
    </row>
    <row r="57967" customFormat="false" ht="12.8" hidden="false" customHeight="false" outlineLevel="0" collapsed="false">
      <c r="B57967" s="0" t="s">
        <v>8</v>
      </c>
    </row>
    <row r="57968" customFormat="false" ht="12.8" hidden="false" customHeight="false" outlineLevel="0" collapsed="false">
      <c r="B57968" s="0" t="s">
        <v>631</v>
      </c>
    </row>
    <row r="57970" customFormat="false" ht="12.8" hidden="false" customHeight="false" outlineLevel="0" collapsed="false">
      <c r="A57970" s="0" t="s">
        <v>19719</v>
      </c>
      <c r="B57970" s="0" t="str">
        <f aca="false">HYPERLINK("https://lindat.mff.cuni.cz/services/teitok/pdtc10/index.php?action=vallex&amp;frame=v-whsa_2063hsa_2064", "vyndávat (v-whsa_2063hsa_2064)")</f>
        <v>vyndávat (v-whsa_2063hsa_2064)</v>
      </c>
    </row>
    <row r="57971" customFormat="false" ht="12.8" hidden="false" customHeight="false" outlineLevel="0" collapsed="false">
      <c r="B57971" s="0" t="s">
        <v>1</v>
      </c>
    </row>
    <row r="57972" customFormat="false" ht="12.8" hidden="false" customHeight="false" outlineLevel="0" collapsed="false">
      <c r="B57972" s="0" t="s">
        <v>8</v>
      </c>
    </row>
    <row r="57974" customFormat="false" ht="12.8" hidden="false" customHeight="false" outlineLevel="0" collapsed="false">
      <c r="A57974" s="0" t="s">
        <v>19720</v>
      </c>
      <c r="B57974" s="0" t="str">
        <f aca="false">HYPERLINK("https://lindat.mff.cuni.cz/services/teitok/pdtc10/index.php?action=vallex&amp;frame=v-w8150f1", "vynechat (v-w8150f1)")</f>
        <v>vynechat (v-w8150f1)</v>
      </c>
      <c r="E57974" s="0" t="str">
        <f aca="false">HYPERLINK("https://lindat.mff.cuni.cz/services/SynSemClass40/SynSemClass40.html?veclass=vec00560#vec00560-ces-cm00001", "vec00560")</f>
        <v>vec00560</v>
      </c>
      <c r="F57974" s="0" t="s">
        <v>13668</v>
      </c>
    </row>
    <row r="57975" customFormat="false" ht="12.8" hidden="false" customHeight="false" outlineLevel="0" collapsed="false">
      <c r="B57975" s="0" t="s">
        <v>1</v>
      </c>
      <c r="C57975" s="0" t="s">
        <v>6199</v>
      </c>
      <c r="E57975" s="0" t="s">
        <v>206</v>
      </c>
      <c r="F57975" s="0" t="s">
        <v>13669</v>
      </c>
    </row>
    <row r="57976" customFormat="false" ht="12.8" hidden="false" customHeight="false" outlineLevel="0" collapsed="false">
      <c r="B57976" s="0" t="s">
        <v>8</v>
      </c>
      <c r="C57976" s="0" t="s">
        <v>1437</v>
      </c>
      <c r="E57976" s="0" t="s">
        <v>13670</v>
      </c>
      <c r="F57976" s="0" t="s">
        <v>13671</v>
      </c>
    </row>
    <row r="57978" customFormat="false" ht="12.8" hidden="false" customHeight="false" outlineLevel="0" collapsed="false">
      <c r="A57978" s="0" t="s">
        <v>19721</v>
      </c>
      <c r="B57978" s="0" t="str">
        <f aca="false">HYPERLINK("https://lindat.mff.cuni.cz/services/teitok/pdtc10/index.php?action=vallex&amp;frame=v-w8150hsa_198", "vynechat (v-w8150hsa_198)")</f>
        <v>vynechat (v-w8150hsa_198)</v>
      </c>
      <c r="E57978" s="0" t="str">
        <f aca="false">HYPERLINK("https://lindat.mff.cuni.cz/services/SynSemClass40/SynSemClass40.html?veclass=vec00560#vec00560-ces-cm00022", "vec00560")</f>
        <v>vec00560</v>
      </c>
      <c r="F57978" s="0" t="s">
        <v>13668</v>
      </c>
    </row>
    <row r="57979" customFormat="false" ht="12.8" hidden="false" customHeight="false" outlineLevel="0" collapsed="false">
      <c r="B57979" s="0" t="s">
        <v>1</v>
      </c>
      <c r="C57979" s="0" t="s">
        <v>6199</v>
      </c>
      <c r="E57979" s="0" t="s">
        <v>206</v>
      </c>
      <c r="F57979" s="0" t="s">
        <v>13669</v>
      </c>
    </row>
    <row r="57980" customFormat="false" ht="12.8" hidden="false" customHeight="false" outlineLevel="0" collapsed="false">
      <c r="B57980" s="0" t="s">
        <v>8</v>
      </c>
      <c r="C57980" s="0" t="s">
        <v>1437</v>
      </c>
      <c r="E57980" s="0" t="s">
        <v>13670</v>
      </c>
      <c r="F57980" s="0" t="s">
        <v>13671</v>
      </c>
    </row>
    <row r="57982" customFormat="false" ht="12.8" hidden="false" customHeight="false" outlineLevel="0" collapsed="false">
      <c r="A57982" s="0" t="s">
        <v>19722</v>
      </c>
      <c r="B57982" s="0" t="str">
        <f aca="false">HYPERLINK("https://lindat.mff.cuni.cz/services/teitok/pdtc10/index.php?action=vallex&amp;frame=v-w8151f1", "vynechávat (v-w8151f1)")</f>
        <v>vynechávat (v-w8151f1)</v>
      </c>
      <c r="E57982" s="0" t="str">
        <f aca="false">HYPERLINK("https://lindat.mff.cuni.cz/services/SynSemClass40/SynSemClass40.html?veclass=vec00560#vec00560-ces-cm00023", "vec00560")</f>
        <v>vec00560</v>
      </c>
      <c r="F57982" s="0" t="s">
        <v>13668</v>
      </c>
    </row>
    <row r="57983" customFormat="false" ht="12.8" hidden="false" customHeight="false" outlineLevel="0" collapsed="false">
      <c r="B57983" s="0" t="s">
        <v>1</v>
      </c>
      <c r="C57983" s="0" t="s">
        <v>6199</v>
      </c>
      <c r="E57983" s="0" t="s">
        <v>206</v>
      </c>
      <c r="F57983" s="0" t="s">
        <v>13669</v>
      </c>
    </row>
    <row r="57984" customFormat="false" ht="12.8" hidden="false" customHeight="false" outlineLevel="0" collapsed="false">
      <c r="B57984" s="0" t="s">
        <v>8</v>
      </c>
      <c r="C57984" s="0" t="s">
        <v>1437</v>
      </c>
      <c r="E57984" s="0" t="s">
        <v>13670</v>
      </c>
      <c r="F57984" s="0" t="s">
        <v>13671</v>
      </c>
    </row>
    <row r="57986" customFormat="false" ht="12.8" hidden="false" customHeight="false" outlineLevel="0" collapsed="false">
      <c r="A57986" s="0" t="s">
        <v>19723</v>
      </c>
      <c r="B57986" s="0" t="str">
        <f aca="false">HYPERLINK("https://lindat.mff.cuni.cz/services/teitok/pdtc10/index.php?action=vallex&amp;frame=v-w8151f2_MM", "vynechávat (v-w8151f2_MM)")</f>
        <v>vynechávat (v-w8151f2_MM)</v>
      </c>
    </row>
    <row r="57987" customFormat="false" ht="12.8" hidden="false" customHeight="false" outlineLevel="0" collapsed="false">
      <c r="B57987" s="0" t="s">
        <v>1</v>
      </c>
    </row>
    <row r="57989" customFormat="false" ht="12.8" hidden="false" customHeight="false" outlineLevel="0" collapsed="false">
      <c r="A57989" s="0" t="s">
        <v>19724</v>
      </c>
      <c r="B57989" s="0" t="str">
        <f aca="false">HYPERLINK("https://lindat.mff.cuni.cz/services/teitok/pdtc10/index.php?action=vallex&amp;frame=v-w8154f1", "vynikat (v-w8154f1)")</f>
        <v>vynikat (v-w8154f1)</v>
      </c>
      <c r="E57989" s="0" t="str">
        <f aca="false">HYPERLINK("https://lindat.mff.cuni.cz/services/SynSemClass40/SynSemClass40.html?veclass=vec00964#vec00964-ces-cm00001", "vec00964")</f>
        <v>vec00964</v>
      </c>
      <c r="F57989" s="0" t="s">
        <v>19725</v>
      </c>
    </row>
    <row r="57990" customFormat="false" ht="12.8" hidden="false" customHeight="false" outlineLevel="0" collapsed="false">
      <c r="B57990" s="0" t="s">
        <v>1</v>
      </c>
      <c r="E57990" s="0" t="s">
        <v>19726</v>
      </c>
      <c r="F57990" s="0" t="s">
        <v>19727</v>
      </c>
    </row>
    <row r="57991" customFormat="false" ht="12.8" hidden="false" customHeight="false" outlineLevel="0" collapsed="false">
      <c r="B57991" s="0" t="s">
        <v>4070</v>
      </c>
      <c r="E57991" s="0" t="s">
        <v>10963</v>
      </c>
      <c r="F57991" s="0" t="s">
        <v>19728</v>
      </c>
    </row>
    <row r="57993" customFormat="false" ht="12.8" hidden="false" customHeight="false" outlineLevel="0" collapsed="false">
      <c r="A57993" s="0" t="s">
        <v>19729</v>
      </c>
      <c r="B57993" s="0" t="str">
        <f aca="false">HYPERLINK("https://lindat.mff.cuni.cz/services/teitok/pdtc10/index.php?action=vallex&amp;frame=v-w8155f1", "vyniknout (v-w8155f1)")</f>
        <v>vyniknout (v-w8155f1)</v>
      </c>
      <c r="E57993" s="0" t="str">
        <f aca="false">HYPERLINK("https://lindat.mff.cuni.cz/services/SynSemClass40/SynSemClass40.html?veclass=vec00964#vec00964-ces-cm00003", "vec00964")</f>
        <v>vec00964</v>
      </c>
      <c r="F57993" s="0" t="s">
        <v>19725</v>
      </c>
    </row>
    <row r="57994" customFormat="false" ht="12.8" hidden="false" customHeight="false" outlineLevel="0" collapsed="false">
      <c r="B57994" s="0" t="s">
        <v>1</v>
      </c>
      <c r="E57994" s="0" t="s">
        <v>19726</v>
      </c>
      <c r="F57994" s="0" t="s">
        <v>19727</v>
      </c>
    </row>
    <row r="57995" customFormat="false" ht="12.8" hidden="false" customHeight="false" outlineLevel="0" collapsed="false">
      <c r="B57995" s="0" t="s">
        <v>4070</v>
      </c>
      <c r="E57995" s="0" t="s">
        <v>10963</v>
      </c>
      <c r="F57995" s="0" t="s">
        <v>19728</v>
      </c>
    </row>
    <row r="57997" customFormat="false" ht="12.8" hidden="false" customHeight="false" outlineLevel="0" collapsed="false">
      <c r="A57997" s="0" t="s">
        <v>19730</v>
      </c>
      <c r="B57997" s="0" t="str">
        <f aca="false">HYPERLINK("https://lindat.mff.cuni.cz/services/teitok/pdtc10/index.php?action=vallex&amp;frame=v-whsa_1468hsa_1469", "vynosit (v-whsa_1468hsa_1469)")</f>
        <v>vynosit (v-whsa_1468hsa_1469)</v>
      </c>
    </row>
    <row r="57998" customFormat="false" ht="12.8" hidden="false" customHeight="false" outlineLevel="0" collapsed="false">
      <c r="B57998" s="0" t="s">
        <v>1</v>
      </c>
    </row>
    <row r="57999" customFormat="false" ht="12.8" hidden="false" customHeight="false" outlineLevel="0" collapsed="false">
      <c r="B57999" s="0" t="s">
        <v>8</v>
      </c>
    </row>
    <row r="58000" customFormat="false" ht="12.8" hidden="false" customHeight="false" outlineLevel="0" collapsed="false">
      <c r="B58000" s="0" t="s">
        <v>631</v>
      </c>
    </row>
    <row r="58002" customFormat="false" ht="12.8" hidden="false" customHeight="false" outlineLevel="0" collapsed="false">
      <c r="A58002" s="0" t="s">
        <v>19731</v>
      </c>
      <c r="B58002" s="0" t="str">
        <f aca="false">HYPERLINK("https://lindat.mff.cuni.cz/services/teitok/pdtc10/index.php?action=vallex&amp;frame=v-w8156f1", "vynořit se (v-w8156f1)")</f>
        <v>vynořit se (v-w8156f1)</v>
      </c>
    </row>
    <row r="58003" customFormat="false" ht="12.8" hidden="false" customHeight="false" outlineLevel="0" collapsed="false">
      <c r="B58003" s="0" t="s">
        <v>1</v>
      </c>
    </row>
    <row r="58004" customFormat="false" ht="12.8" hidden="false" customHeight="false" outlineLevel="0" collapsed="false">
      <c r="B58004" s="0" t="s">
        <v>631</v>
      </c>
    </row>
    <row r="58006" customFormat="false" ht="12.8" hidden="false" customHeight="false" outlineLevel="0" collapsed="false">
      <c r="A58006" s="0" t="s">
        <v>19732</v>
      </c>
      <c r="B58006" s="0" t="str">
        <f aca="false">HYPERLINK("https://lindat.mff.cuni.cz/services/teitok/pdtc10/index.php?action=vallex&amp;frame=v-w8156f2", "vynořit se (v-w8156f2)")</f>
        <v>vynořit se (v-w8156f2)</v>
      </c>
      <c r="E58006" s="0" t="str">
        <f aca="false">HYPERLINK("https://lindat.mff.cuni.cz/services/SynSemClass40/SynSemClass40.html?veclass=vec00086#vec00086-ces-cm00101", "vec00086")</f>
        <v>vec00086</v>
      </c>
      <c r="F58006" s="0" t="s">
        <v>12400</v>
      </c>
    </row>
    <row r="58007" customFormat="false" ht="12.8" hidden="false" customHeight="false" outlineLevel="0" collapsed="false">
      <c r="B58007" s="0" t="s">
        <v>1</v>
      </c>
      <c r="C58007" s="0" t="s">
        <v>2157</v>
      </c>
      <c r="E58007" s="0" t="s">
        <v>4943</v>
      </c>
      <c r="F58007" s="0" t="s">
        <v>5999</v>
      </c>
    </row>
    <row r="58009" customFormat="false" ht="12.8" hidden="false" customHeight="false" outlineLevel="0" collapsed="false">
      <c r="A58009" s="0" t="s">
        <v>19733</v>
      </c>
      <c r="B58009" s="0" t="str">
        <f aca="false">HYPERLINK("https://lindat.mff.cuni.cz/services/teitok/pdtc10/index.php?action=vallex&amp;frame=v-w8156f3_MM", "vynořit se (v-w8156f3_MM)")</f>
        <v>vynořit se (v-w8156f3_MM)</v>
      </c>
    </row>
    <row r="58010" customFormat="false" ht="12.8" hidden="false" customHeight="false" outlineLevel="0" collapsed="false">
      <c r="B58010" s="0" t="s">
        <v>1</v>
      </c>
    </row>
    <row r="58011" customFormat="false" ht="12.8" hidden="false" customHeight="false" outlineLevel="0" collapsed="false">
      <c r="B58011" s="0" t="s">
        <v>631</v>
      </c>
    </row>
    <row r="58013" customFormat="false" ht="12.8" hidden="false" customHeight="false" outlineLevel="0" collapsed="false">
      <c r="A58013" s="0" t="s">
        <v>19734</v>
      </c>
      <c r="B58013" s="0" t="str">
        <f aca="false">HYPERLINK("https://lindat.mff.cuni.cz/services/teitok/pdtc10/index.php?action=vallex&amp;frame=v-w8157f1", "vynořovat se (v-w8157f1)")</f>
        <v>vynořovat se (v-w8157f1)</v>
      </c>
    </row>
    <row r="58014" customFormat="false" ht="12.8" hidden="false" customHeight="false" outlineLevel="0" collapsed="false">
      <c r="B58014" s="0" t="s">
        <v>1</v>
      </c>
    </row>
    <row r="58015" customFormat="false" ht="12.8" hidden="false" customHeight="false" outlineLevel="0" collapsed="false">
      <c r="B58015" s="0" t="s">
        <v>631</v>
      </c>
    </row>
    <row r="58017" customFormat="false" ht="12.8" hidden="false" customHeight="false" outlineLevel="0" collapsed="false">
      <c r="A58017" s="0" t="s">
        <v>19735</v>
      </c>
      <c r="B58017" s="0" t="str">
        <f aca="false">HYPERLINK("https://lindat.mff.cuni.cz/services/teitok/pdtc10/index.php?action=vallex&amp;frame=v-w8157f2", "vynořovat se (v-w8157f2)")</f>
        <v>vynořovat se (v-w8157f2)</v>
      </c>
      <c r="E58017" s="0" t="str">
        <f aca="false">HYPERLINK("https://lindat.mff.cuni.cz/services/SynSemClass40/SynSemClass40.html?veclass=vec00086#vec00086-ces-cm00102", "vec00086")</f>
        <v>vec00086</v>
      </c>
      <c r="F58017" s="0" t="s">
        <v>12400</v>
      </c>
    </row>
    <row r="58018" customFormat="false" ht="12.8" hidden="false" customHeight="false" outlineLevel="0" collapsed="false">
      <c r="B58018" s="0" t="s">
        <v>1</v>
      </c>
      <c r="C58018" s="0" t="s">
        <v>2157</v>
      </c>
      <c r="E58018" s="0" t="s">
        <v>4943</v>
      </c>
      <c r="F58018" s="0" t="s">
        <v>5999</v>
      </c>
    </row>
    <row r="58020" customFormat="false" ht="12.8" hidden="false" customHeight="false" outlineLevel="0" collapsed="false">
      <c r="A58020" s="0" t="s">
        <v>19736</v>
      </c>
      <c r="B58020" s="0" t="str">
        <f aca="false">HYPERLINK("https://lindat.mff.cuni.cz/services/teitok/pdtc10/index.php?action=vallex&amp;frame=v-w8160f1", "vynucovat (v-w8160f1)")</f>
        <v>vynucovat (v-w8160f1)</v>
      </c>
      <c r="E58020" s="0" t="str">
        <f aca="false">HYPERLINK("https://lindat.mff.cuni.cz/services/SynSemClass40/SynSemClass40.html?veclass=vec00272#vec00272-ces-cm00142", "vec00272")</f>
        <v>vec00272</v>
      </c>
      <c r="F58020" s="0" t="s">
        <v>1490</v>
      </c>
    </row>
    <row r="58021" customFormat="false" ht="12.8" hidden="false" customHeight="false" outlineLevel="0" collapsed="false">
      <c r="B58021" s="0" t="s">
        <v>1</v>
      </c>
      <c r="C58021" s="0" t="s">
        <v>1491</v>
      </c>
      <c r="E58021" s="0" t="s">
        <v>1492</v>
      </c>
      <c r="F58021" s="0" t="s">
        <v>1493</v>
      </c>
    </row>
    <row r="58022" customFormat="false" ht="12.8" hidden="false" customHeight="false" outlineLevel="0" collapsed="false">
      <c r="B58022" s="0" t="s">
        <v>8</v>
      </c>
      <c r="C58022" s="0" t="s">
        <v>1494</v>
      </c>
      <c r="E58022" s="0" t="s">
        <v>1495</v>
      </c>
      <c r="F58022" s="0" t="s">
        <v>1496</v>
      </c>
    </row>
    <row r="58023" customFormat="false" ht="12.8" hidden="false" customHeight="false" outlineLevel="0" collapsed="false">
      <c r="B58023" s="0" t="s">
        <v>773</v>
      </c>
      <c r="C58023" s="0" t="s">
        <v>1497</v>
      </c>
      <c r="E58023" s="0" t="s">
        <v>1498</v>
      </c>
      <c r="F58023" s="0" t="s">
        <v>1499</v>
      </c>
    </row>
    <row r="58025" customFormat="false" ht="12.8" hidden="false" customHeight="false" outlineLevel="0" collapsed="false">
      <c r="A58025" s="0" t="s">
        <v>19737</v>
      </c>
      <c r="B58025" s="0" t="str">
        <f aca="false">HYPERLINK("https://lindat.mff.cuni.cz/services/teitok/pdtc10/index.php?action=vallex&amp;frame=v-w8161f2_ZU", "vynucovat si (v-w8161f2_ZU)")</f>
        <v>vynucovat si (v-w8161f2_ZU)</v>
      </c>
    </row>
    <row r="58026" customFormat="false" ht="12.8" hidden="false" customHeight="false" outlineLevel="0" collapsed="false">
      <c r="B58026" s="0" t="s">
        <v>1</v>
      </c>
    </row>
    <row r="58027" customFormat="false" ht="12.8" hidden="false" customHeight="false" outlineLevel="0" collapsed="false">
      <c r="B58027" s="0" t="s">
        <v>59</v>
      </c>
    </row>
    <row r="58028" customFormat="false" ht="12.8" hidden="false" customHeight="false" outlineLevel="0" collapsed="false">
      <c r="B58028" s="0" t="s">
        <v>19582</v>
      </c>
    </row>
    <row r="58030" customFormat="false" ht="12.8" hidden="false" customHeight="false" outlineLevel="0" collapsed="false">
      <c r="A58030" s="0" t="s">
        <v>19737</v>
      </c>
      <c r="B58030" s="0" t="str">
        <f aca="false">HYPERLINK("https://lindat.mff.cuni.cz/services/teitok/pdtc10/index.php?action=vallex&amp;frame=v-w8161f1", "vynucovat si (v-w8161f1) - substituted with v-w8161f2_ZU")</f>
        <v>vynucovat si (v-w8161f1) - substituted with v-w8161f2_ZU</v>
      </c>
      <c r="E58030" s="0" t="str">
        <f aca="false">HYPERLINK("https://lindat.mff.cuni.cz/services/SynSemClass40/SynSemClass40.html?veclass=vec00272#vec00272-ces-cm00143", "vec00272")</f>
        <v>vec00272</v>
      </c>
      <c r="F58030" s="0" t="s">
        <v>1490</v>
      </c>
    </row>
    <row r="58031" customFormat="false" ht="12.8" hidden="false" customHeight="false" outlineLevel="0" collapsed="false">
      <c r="B58031" s="0" t="s">
        <v>1</v>
      </c>
      <c r="C58031" s="0" t="s">
        <v>1491</v>
      </c>
      <c r="E58031" s="0" t="s">
        <v>1492</v>
      </c>
      <c r="F58031" s="0" t="s">
        <v>1493</v>
      </c>
    </row>
    <row r="58032" customFormat="false" ht="12.8" hidden="false" customHeight="false" outlineLevel="0" collapsed="false">
      <c r="B58032" s="0" t="s">
        <v>59</v>
      </c>
      <c r="C58032" s="0" t="s">
        <v>1494</v>
      </c>
      <c r="E58032" s="0" t="s">
        <v>1495</v>
      </c>
      <c r="F58032" s="0" t="s">
        <v>1496</v>
      </c>
    </row>
    <row r="58033" customFormat="false" ht="12.8" hidden="false" customHeight="false" outlineLevel="0" collapsed="false">
      <c r="B58033" s="0" t="s">
        <v>19582</v>
      </c>
      <c r="C58033" s="0" t="s">
        <v>1497</v>
      </c>
      <c r="E58033" s="0" t="s">
        <v>1498</v>
      </c>
      <c r="F58033" s="0" t="s">
        <v>1499</v>
      </c>
    </row>
    <row r="58035" customFormat="false" ht="12.8" hidden="false" customHeight="false" outlineLevel="0" collapsed="false">
      <c r="A58035" s="0" t="s">
        <v>19738</v>
      </c>
      <c r="B58035" s="0" t="str">
        <f aca="false">HYPERLINK("https://lindat.mff.cuni.cz/services/teitok/pdtc10/index.php?action=vallex&amp;frame=v-w8162f3_ZU", "vynulovat (v-w8162f3_ZU)")</f>
        <v>vynulovat (v-w8162f3_ZU)</v>
      </c>
    </row>
    <row r="58036" customFormat="false" ht="12.8" hidden="false" customHeight="false" outlineLevel="0" collapsed="false">
      <c r="B58036" s="0" t="s">
        <v>1</v>
      </c>
    </row>
    <row r="58037" customFormat="false" ht="12.8" hidden="false" customHeight="false" outlineLevel="0" collapsed="false">
      <c r="B58037" s="0" t="s">
        <v>8</v>
      </c>
    </row>
    <row r="58038" customFormat="false" ht="12.8" hidden="false" customHeight="false" outlineLevel="0" collapsed="false">
      <c r="B58038" s="0" t="s">
        <v>101</v>
      </c>
    </row>
    <row r="58040" customFormat="false" ht="12.8" hidden="false" customHeight="false" outlineLevel="0" collapsed="false">
      <c r="A58040" s="0" t="s">
        <v>19738</v>
      </c>
      <c r="B58040" s="0" t="str">
        <f aca="false">HYPERLINK("https://lindat.mff.cuni.cz/services/teitok/pdtc10/index.php?action=vallex&amp;frame=v-w8162f1", "vynulovat (v-w8162f1) - substituted with v-w8162f3_ZU")</f>
        <v>vynulovat (v-w8162f1) - substituted with v-w8162f3_ZU</v>
      </c>
    </row>
    <row r="58041" customFormat="false" ht="12.8" hidden="false" customHeight="false" outlineLevel="0" collapsed="false">
      <c r="B58041" s="0" t="s">
        <v>1</v>
      </c>
    </row>
    <row r="58042" customFormat="false" ht="12.8" hidden="false" customHeight="false" outlineLevel="0" collapsed="false">
      <c r="B58042" s="0" t="s">
        <v>8</v>
      </c>
    </row>
    <row r="58043" customFormat="false" ht="12.8" hidden="false" customHeight="false" outlineLevel="0" collapsed="false">
      <c r="B58043" s="0" t="s">
        <v>101</v>
      </c>
    </row>
    <row r="58045" customFormat="false" ht="12.8" hidden="false" customHeight="false" outlineLevel="0" collapsed="false">
      <c r="A58045" s="0" t="s">
        <v>19738</v>
      </c>
      <c r="B58045" s="0" t="str">
        <f aca="false">HYPERLINK("https://lindat.mff.cuni.cz/services/teitok/pdtc10/index.php?action=vallex&amp;frame=v-w8162f2_ZU", "vynulovat (v-w8162f2_ZU) - substituted with v-w8162f3_ZU")</f>
        <v>vynulovat (v-w8162f2_ZU) - substituted with v-w8162f3_ZU</v>
      </c>
    </row>
    <row r="58046" customFormat="false" ht="12.8" hidden="false" customHeight="false" outlineLevel="0" collapsed="false">
      <c r="B58046" s="0" t="s">
        <v>1</v>
      </c>
    </row>
    <row r="58047" customFormat="false" ht="12.8" hidden="false" customHeight="false" outlineLevel="0" collapsed="false">
      <c r="B58047" s="0" t="s">
        <v>8</v>
      </c>
    </row>
    <row r="58048" customFormat="false" ht="12.8" hidden="false" customHeight="false" outlineLevel="0" collapsed="false">
      <c r="B58048" s="0" t="s">
        <v>101</v>
      </c>
    </row>
    <row r="58050" customFormat="false" ht="12.8" hidden="false" customHeight="false" outlineLevel="0" collapsed="false">
      <c r="A58050" s="0" t="s">
        <v>19738</v>
      </c>
      <c r="B58050" s="0" t="str">
        <f aca="false">HYPERLINK("https://lindat.mff.cuni.cz/services/teitok/pdtc10/index.php?action=vallex&amp;frame=v-w8162hsa_28", "vynulovat (v-w8162hsa_28) - substituted with v-w8162f3_ZU")</f>
        <v>vynulovat (v-w8162hsa_28) - substituted with v-w8162f3_ZU</v>
      </c>
    </row>
    <row r="58051" customFormat="false" ht="12.8" hidden="false" customHeight="false" outlineLevel="0" collapsed="false">
      <c r="B58051" s="0" t="s">
        <v>1</v>
      </c>
    </row>
    <row r="58052" customFormat="false" ht="12.8" hidden="false" customHeight="false" outlineLevel="0" collapsed="false">
      <c r="B58052" s="0" t="s">
        <v>8</v>
      </c>
    </row>
    <row r="58053" customFormat="false" ht="12.8" hidden="false" customHeight="false" outlineLevel="0" collapsed="false">
      <c r="B58053" s="0" t="s">
        <v>101</v>
      </c>
    </row>
    <row r="58055" customFormat="false" ht="12.8" hidden="false" customHeight="false" outlineLevel="0" collapsed="false">
      <c r="A58055" s="0" t="s">
        <v>19739</v>
      </c>
      <c r="B58055" s="0" t="str">
        <f aca="false">HYPERLINK("https://lindat.mff.cuni.cz/services/teitok/pdtc10/index.php?action=vallex&amp;frame=v-w8163f1", "vynutit (v-w8163f1)")</f>
        <v>vynutit (v-w8163f1)</v>
      </c>
    </row>
    <row r="58056" customFormat="false" ht="12.8" hidden="false" customHeight="false" outlineLevel="0" collapsed="false">
      <c r="B58056" s="0" t="s">
        <v>1</v>
      </c>
    </row>
    <row r="58057" customFormat="false" ht="12.8" hidden="false" customHeight="false" outlineLevel="0" collapsed="false">
      <c r="B58057" s="0" t="s">
        <v>8</v>
      </c>
    </row>
    <row r="58058" customFormat="false" ht="12.8" hidden="false" customHeight="false" outlineLevel="0" collapsed="false">
      <c r="B58058" s="0" t="s">
        <v>773</v>
      </c>
    </row>
    <row r="58060" customFormat="false" ht="12.8" hidden="false" customHeight="false" outlineLevel="0" collapsed="false">
      <c r="A58060" s="0" t="s">
        <v>19740</v>
      </c>
      <c r="B58060" s="0" t="str">
        <f aca="false">HYPERLINK("https://lindat.mff.cuni.cz/services/teitok/pdtc10/index.php?action=vallex&amp;frame=v-w8164hsa_740", "vynutit si (v-w8164hsa_740)")</f>
        <v>vynutit si (v-w8164hsa_740)</v>
      </c>
    </row>
    <row r="58061" customFormat="false" ht="12.8" hidden="false" customHeight="false" outlineLevel="0" collapsed="false">
      <c r="B58061" s="0" t="s">
        <v>1</v>
      </c>
    </row>
    <row r="58062" customFormat="false" ht="12.8" hidden="false" customHeight="false" outlineLevel="0" collapsed="false">
      <c r="B58062" s="0" t="s">
        <v>59</v>
      </c>
    </row>
    <row r="58063" customFormat="false" ht="12.8" hidden="false" customHeight="false" outlineLevel="0" collapsed="false">
      <c r="B58063" s="0" t="s">
        <v>2094</v>
      </c>
    </row>
    <row r="58065" customFormat="false" ht="12.8" hidden="false" customHeight="false" outlineLevel="0" collapsed="false">
      <c r="A58065" s="0" t="s">
        <v>19740</v>
      </c>
      <c r="B58065" s="0" t="str">
        <f aca="false">HYPERLINK("https://lindat.mff.cuni.cz/services/teitok/pdtc10/index.php?action=vallex&amp;frame=v-w8164f1", "vynutit si (v-w8164f1) - substituted with v-w8164hsa_740")</f>
        <v>vynutit si (v-w8164f1) - substituted with v-w8164hsa_740</v>
      </c>
    </row>
    <row r="58066" customFormat="false" ht="12.8" hidden="false" customHeight="false" outlineLevel="0" collapsed="false">
      <c r="B58066" s="0" t="s">
        <v>1</v>
      </c>
    </row>
    <row r="58067" customFormat="false" ht="12.8" hidden="false" customHeight="false" outlineLevel="0" collapsed="false">
      <c r="B58067" s="0" t="s">
        <v>59</v>
      </c>
    </row>
    <row r="58068" customFormat="false" ht="12.8" hidden="false" customHeight="false" outlineLevel="0" collapsed="false">
      <c r="B58068" s="0" t="s">
        <v>2094</v>
      </c>
    </row>
    <row r="58070" customFormat="false" ht="12.8" hidden="false" customHeight="false" outlineLevel="0" collapsed="false">
      <c r="A58070" s="0" t="s">
        <v>19741</v>
      </c>
      <c r="B58070" s="0" t="str">
        <f aca="false">HYPERLINK("https://lindat.mff.cuni.cz/services/teitok/pdtc10/index.php?action=vallex&amp;frame=v-w10435f2", "vynásobit (v-w10435f2)")</f>
        <v>vynásobit (v-w10435f2)</v>
      </c>
    </row>
    <row r="58071" customFormat="false" ht="12.8" hidden="false" customHeight="false" outlineLevel="0" collapsed="false">
      <c r="B58071" s="0" t="s">
        <v>1</v>
      </c>
    </row>
    <row r="58072" customFormat="false" ht="12.8" hidden="false" customHeight="false" outlineLevel="0" collapsed="false">
      <c r="B58072" s="0" t="s">
        <v>8</v>
      </c>
    </row>
    <row r="58074" customFormat="false" ht="12.8" hidden="false" customHeight="false" outlineLevel="0" collapsed="false">
      <c r="A58074" s="0" t="s">
        <v>19742</v>
      </c>
      <c r="B58074" s="0" t="str">
        <f aca="false">HYPERLINK("https://lindat.mff.cuni.cz/services/teitok/pdtc10/index.php?action=vallex&amp;frame=v-w10213f3", "vynášet (v-w10213f3)")</f>
        <v>vynášet (v-w10213f3)</v>
      </c>
      <c r="E58074" s="0" t="str">
        <f aca="false">HYPERLINK("https://lindat.mff.cuni.cz/services/SynSemClass40/SynSemClass40.html?veclass=vec00355#vec00355-ces-cm00027", "vec00355")</f>
        <v>vec00355</v>
      </c>
      <c r="F58074" s="0" t="s">
        <v>4217</v>
      </c>
    </row>
    <row r="58075" customFormat="false" ht="12.8" hidden="false" customHeight="false" outlineLevel="0" collapsed="false">
      <c r="B58075" s="0" t="s">
        <v>1</v>
      </c>
      <c r="C58075" s="0" t="s">
        <v>4218</v>
      </c>
      <c r="E58075" s="0" t="s">
        <v>1086</v>
      </c>
      <c r="F58075" s="0" t="s">
        <v>4219</v>
      </c>
    </row>
    <row r="58076" customFormat="false" ht="12.8" hidden="false" customHeight="false" outlineLevel="0" collapsed="false">
      <c r="B58076" s="0" t="s">
        <v>59</v>
      </c>
      <c r="C58076" s="0" t="s">
        <v>4220</v>
      </c>
      <c r="E58076" s="0" t="s">
        <v>2111</v>
      </c>
      <c r="F58076" s="0" t="s">
        <v>4221</v>
      </c>
    </row>
    <row r="58077" customFormat="false" ht="12.8" hidden="false" customHeight="false" outlineLevel="0" collapsed="false">
      <c r="B58077" s="0" t="s">
        <v>52</v>
      </c>
      <c r="C58077" s="0" t="s">
        <v>14309</v>
      </c>
      <c r="E58077" s="0" t="s">
        <v>53</v>
      </c>
      <c r="F58077" s="0" t="s">
        <v>14310</v>
      </c>
    </row>
    <row r="58079" customFormat="false" ht="12.8" hidden="false" customHeight="false" outlineLevel="0" collapsed="false">
      <c r="A58079" s="0" t="s">
        <v>19743</v>
      </c>
      <c r="B58079" s="0" t="str">
        <f aca="false">HYPERLINK("https://lindat.mff.cuni.cz/services/teitok/pdtc10/index.php?action=vallex&amp;frame=v-w10213f5", "vynášet (v-w10213f5)")</f>
        <v>vynášet (v-w10213f5)</v>
      </c>
      <c r="E58079" s="0" t="str">
        <f aca="false">HYPERLINK("https://lindat.mff.cuni.cz/services/SynSemClass40/SynSemClass40.html?veclass=vec01354#vec01354-ces-cm00002", "vec01354")</f>
        <v>vec01354</v>
      </c>
      <c r="F58079" s="0" t="s">
        <v>19744</v>
      </c>
    </row>
    <row r="58080" customFormat="false" ht="12.8" hidden="false" customHeight="false" outlineLevel="0" collapsed="false">
      <c r="B58080" s="0" t="s">
        <v>1</v>
      </c>
      <c r="C58080" s="0" t="s">
        <v>459</v>
      </c>
      <c r="E58080" s="0" t="s">
        <v>3021</v>
      </c>
      <c r="F58080" s="0" t="s">
        <v>6152</v>
      </c>
    </row>
    <row r="58081" customFormat="false" ht="12.8" hidden="false" customHeight="false" outlineLevel="0" collapsed="false">
      <c r="B58081" s="0" t="s">
        <v>8</v>
      </c>
      <c r="C58081" s="0" t="s">
        <v>531</v>
      </c>
      <c r="E58081" s="0" t="s">
        <v>4438</v>
      </c>
      <c r="F58081" s="0" t="s">
        <v>19745</v>
      </c>
    </row>
    <row r="58082" customFormat="false" ht="12.8" hidden="false" customHeight="false" outlineLevel="0" collapsed="false">
      <c r="B58082" s="0" t="s">
        <v>631</v>
      </c>
      <c r="E58082" s="0" t="s">
        <v>2818</v>
      </c>
      <c r="F58082" s="0" t="s">
        <v>2819</v>
      </c>
    </row>
    <row r="58084" customFormat="false" ht="12.8" hidden="false" customHeight="false" outlineLevel="0" collapsed="false">
      <c r="A58084" s="0" t="s">
        <v>19746</v>
      </c>
      <c r="B58084" s="0" t="str">
        <f aca="false">HYPERLINK("https://lindat.mff.cuni.cz/services/teitok/pdtc10/index.php?action=vallex&amp;frame=v-w10213f2", "vynášet (v-w10213f2)")</f>
        <v>vynášet (v-w10213f2)</v>
      </c>
    </row>
    <row r="58085" customFormat="false" ht="12.8" hidden="false" customHeight="false" outlineLevel="0" collapsed="false">
      <c r="B58085" s="0" t="s">
        <v>1</v>
      </c>
    </row>
    <row r="58086" customFormat="false" ht="12.8" hidden="false" customHeight="false" outlineLevel="0" collapsed="false">
      <c r="B58086" s="0" t="s">
        <v>228</v>
      </c>
    </row>
    <row r="58088" customFormat="false" ht="12.8" hidden="false" customHeight="false" outlineLevel="0" collapsed="false">
      <c r="A58088" s="0" t="s">
        <v>19747</v>
      </c>
      <c r="B58088" s="0" t="str">
        <f aca="false">HYPERLINK("https://lindat.mff.cuni.cz/services/teitok/pdtc10/index.php?action=vallex&amp;frame=v-w10213f4", "vynášet (v-w10213f4)")</f>
        <v>vynášet (v-w10213f4)</v>
      </c>
    </row>
    <row r="58089" customFormat="false" ht="12.8" hidden="false" customHeight="false" outlineLevel="0" collapsed="false">
      <c r="B58089" s="0" t="s">
        <v>1</v>
      </c>
    </row>
    <row r="58090" customFormat="false" ht="12.8" hidden="false" customHeight="false" outlineLevel="0" collapsed="false">
      <c r="B58090" s="0" t="s">
        <v>52</v>
      </c>
    </row>
    <row r="58091" customFormat="false" ht="12.8" hidden="false" customHeight="false" outlineLevel="0" collapsed="false">
      <c r="B58091" s="0" t="s">
        <v>12919</v>
      </c>
    </row>
    <row r="58092" customFormat="false" ht="12.8" hidden="false" customHeight="false" outlineLevel="0" collapsed="false">
      <c r="B58092" s="0" t="s">
        <v>69</v>
      </c>
    </row>
    <row r="58094" customFormat="false" ht="12.8" hidden="false" customHeight="false" outlineLevel="0" collapsed="false">
      <c r="A58094" s="0" t="s">
        <v>19748</v>
      </c>
      <c r="B58094" s="0" t="str">
        <f aca="false">HYPERLINK("https://lindat.mff.cuni.cz/services/teitok/pdtc10/index.php?action=vallex&amp;frame=v-w10213f6_ZU", "vynášet (v-w10213f6_ZU)")</f>
        <v>vynášet (v-w10213f6_ZU)</v>
      </c>
    </row>
    <row r="58095" customFormat="false" ht="12.8" hidden="false" customHeight="false" outlineLevel="0" collapsed="false">
      <c r="B58095" s="0" t="s">
        <v>1</v>
      </c>
    </row>
    <row r="58096" customFormat="false" ht="12.8" hidden="false" customHeight="false" outlineLevel="0" collapsed="false">
      <c r="B58096" s="0" t="s">
        <v>19393</v>
      </c>
    </row>
    <row r="58097" customFormat="false" ht="12.8" hidden="false" customHeight="false" outlineLevel="0" collapsed="false">
      <c r="B58097" s="0" t="s">
        <v>8</v>
      </c>
    </row>
    <row r="58099" customFormat="false" ht="12.8" hidden="false" customHeight="false" outlineLevel="0" collapsed="false">
      <c r="A58099" s="0" t="s">
        <v>19748</v>
      </c>
      <c r="B58099" s="0" t="str">
        <f aca="false">HYPERLINK("https://lindat.mff.cuni.cz/services/teitok/pdtc10/index.php?action=vallex&amp;frame=v-w10213hsa_515", "vynášet (v-w10213hsa_515) - substituted with v-w10213f6_ZU")</f>
        <v>vynášet (v-w10213hsa_515) - substituted with v-w10213f6_ZU</v>
      </c>
    </row>
    <row r="58100" customFormat="false" ht="12.8" hidden="false" customHeight="false" outlineLevel="0" collapsed="false">
      <c r="B58100" s="0" t="s">
        <v>1</v>
      </c>
    </row>
    <row r="58101" customFormat="false" ht="12.8" hidden="false" customHeight="false" outlineLevel="0" collapsed="false">
      <c r="B58101" s="0" t="s">
        <v>19393</v>
      </c>
    </row>
    <row r="58102" customFormat="false" ht="12.8" hidden="false" customHeight="false" outlineLevel="0" collapsed="false">
      <c r="B58102" s="0" t="s">
        <v>8</v>
      </c>
    </row>
    <row r="58104" customFormat="false" ht="12.8" hidden="false" customHeight="false" outlineLevel="0" collapsed="false">
      <c r="A58104" s="0" t="s">
        <v>19749</v>
      </c>
      <c r="B58104" s="0" t="str">
        <f aca="false">HYPERLINK("https://lindat.mff.cuni.cz/services/teitok/pdtc10/index.php?action=vallex&amp;frame=v-w8153f4", "vynést (v-w8153f4)")</f>
        <v>vynést (v-w8153f4)</v>
      </c>
    </row>
    <row r="58105" customFormat="false" ht="12.8" hidden="false" customHeight="false" outlineLevel="0" collapsed="false">
      <c r="B58105" s="0" t="s">
        <v>1</v>
      </c>
    </row>
    <row r="58106" customFormat="false" ht="12.8" hidden="false" customHeight="false" outlineLevel="0" collapsed="false">
      <c r="B58106" s="0" t="s">
        <v>8</v>
      </c>
    </row>
    <row r="58107" customFormat="false" ht="12.8" hidden="false" customHeight="false" outlineLevel="0" collapsed="false">
      <c r="B58107" s="0" t="s">
        <v>631</v>
      </c>
    </row>
    <row r="58109" customFormat="false" ht="12.8" hidden="false" customHeight="false" outlineLevel="0" collapsed="false">
      <c r="A58109" s="0" t="s">
        <v>19750</v>
      </c>
      <c r="B58109" s="0" t="str">
        <f aca="false">HYPERLINK("https://lindat.mff.cuni.cz/services/teitok/pdtc10/index.php?action=vallex&amp;frame=v-w8153f3", "vynést (v-w8153f3)")</f>
        <v>vynést (v-w8153f3)</v>
      </c>
      <c r="E58109" s="0" t="str">
        <f aca="false">HYPERLINK("https://lindat.mff.cuni.cz/services/SynSemClass40/SynSemClass40.html?veclass=vec00172#vec00172-ces-cm00018", "vec00172")</f>
        <v>vec00172</v>
      </c>
      <c r="F58109" s="0" t="s">
        <v>2513</v>
      </c>
    </row>
    <row r="58110" customFormat="false" ht="12.8" hidden="false" customHeight="false" outlineLevel="0" collapsed="false">
      <c r="B58110" s="0" t="s">
        <v>1</v>
      </c>
      <c r="C58110" s="0" t="s">
        <v>9473</v>
      </c>
      <c r="E58110" s="0" t="s">
        <v>2196</v>
      </c>
      <c r="F58110" s="0" t="s">
        <v>2515</v>
      </c>
    </row>
    <row r="58111" customFormat="false" ht="12.8" hidden="false" customHeight="false" outlineLevel="0" collapsed="false">
      <c r="B58111" s="0" t="s">
        <v>8</v>
      </c>
      <c r="C58111" s="0" t="s">
        <v>9474</v>
      </c>
      <c r="E58111" s="0" t="s">
        <v>2200</v>
      </c>
      <c r="F58111" s="0" t="s">
        <v>2517</v>
      </c>
    </row>
    <row r="58112" customFormat="false" ht="12.8" hidden="false" customHeight="false" outlineLevel="0" collapsed="false">
      <c r="B58112" s="0" t="s">
        <v>164</v>
      </c>
      <c r="E58112" s="0" t="s">
        <v>1315</v>
      </c>
      <c r="F58112" s="0" t="s">
        <v>1316</v>
      </c>
    </row>
    <row r="58114" customFormat="false" ht="12.8" hidden="false" customHeight="false" outlineLevel="0" collapsed="false">
      <c r="A58114" s="0" t="s">
        <v>19751</v>
      </c>
      <c r="B58114" s="0" t="str">
        <f aca="false">HYPERLINK("https://lindat.mff.cuni.cz/services/teitok/pdtc10/index.php?action=vallex&amp;frame=v-w8153f1", "vynést (v-w8153f1)")</f>
        <v>vynést (v-w8153f1)</v>
      </c>
      <c r="E58114" s="0" t="str">
        <f aca="false">HYPERLINK("https://lindat.mff.cuni.cz/services/SynSemClass40/SynSemClass40.html?veclass=vec00355#vec00355-ces-cm00001", "vec00355")</f>
        <v>vec00355</v>
      </c>
      <c r="F58114" s="0" t="s">
        <v>4217</v>
      </c>
    </row>
    <row r="58115" customFormat="false" ht="12.8" hidden="false" customHeight="false" outlineLevel="0" collapsed="false">
      <c r="B58115" s="0" t="s">
        <v>1</v>
      </c>
      <c r="C58115" s="0" t="s">
        <v>4218</v>
      </c>
      <c r="E58115" s="0" t="s">
        <v>1086</v>
      </c>
      <c r="F58115" s="0" t="s">
        <v>4219</v>
      </c>
    </row>
    <row r="58116" customFormat="false" ht="12.8" hidden="false" customHeight="false" outlineLevel="0" collapsed="false">
      <c r="B58116" s="0" t="s">
        <v>8</v>
      </c>
      <c r="C58116" s="0" t="s">
        <v>4220</v>
      </c>
      <c r="E58116" s="0" t="s">
        <v>2111</v>
      </c>
      <c r="F58116" s="0" t="s">
        <v>4221</v>
      </c>
    </row>
    <row r="58118" customFormat="false" ht="12.8" hidden="false" customHeight="false" outlineLevel="0" collapsed="false">
      <c r="A58118" s="0" t="s">
        <v>19752</v>
      </c>
      <c r="B58118" s="0" t="str">
        <f aca="false">HYPERLINK("https://lindat.mff.cuni.cz/services/teitok/pdtc10/index.php?action=vallex&amp;frame=v-w8153f5", "vynést (v-w8153f5)")</f>
        <v>vynést (v-w8153f5)</v>
      </c>
    </row>
    <row r="58119" customFormat="false" ht="12.8" hidden="false" customHeight="false" outlineLevel="0" collapsed="false">
      <c r="B58119" s="0" t="s">
        <v>1</v>
      </c>
    </row>
    <row r="58120" customFormat="false" ht="12.8" hidden="false" customHeight="false" outlineLevel="0" collapsed="false">
      <c r="B58120" s="0" t="s">
        <v>8</v>
      </c>
    </row>
    <row r="58122" customFormat="false" ht="12.8" hidden="false" customHeight="false" outlineLevel="0" collapsed="false">
      <c r="A58122" s="0" t="s">
        <v>19753</v>
      </c>
      <c r="B58122" s="0" t="str">
        <f aca="false">HYPERLINK("https://lindat.mff.cuni.cz/services/teitok/pdtc10/index.php?action=vallex&amp;frame=v-w8153f6_ZU", "vynést (v-w8153f6_ZU)")</f>
        <v>vynést (v-w8153f6_ZU)</v>
      </c>
      <c r="E58122" s="0" t="str">
        <f aca="false">HYPERLINK("https://lindat.mff.cuni.cz/services/SynSemClass40/SynSemClass40.html?veclass=vec00355#vec00355-ces-cm00028", "vec00355")</f>
        <v>vec00355</v>
      </c>
      <c r="F58122" s="0" t="s">
        <v>4217</v>
      </c>
    </row>
    <row r="58123" customFormat="false" ht="12.8" hidden="false" customHeight="false" outlineLevel="0" collapsed="false">
      <c r="B58123" s="0" t="s">
        <v>1</v>
      </c>
      <c r="C58123" s="0" t="s">
        <v>4218</v>
      </c>
      <c r="E58123" s="0" t="s">
        <v>1086</v>
      </c>
      <c r="F58123" s="0" t="s">
        <v>4219</v>
      </c>
    </row>
    <row r="58124" customFormat="false" ht="12.8" hidden="false" customHeight="false" outlineLevel="0" collapsed="false">
      <c r="B58124" s="0" t="s">
        <v>19101</v>
      </c>
      <c r="C58124" s="0" t="s">
        <v>19754</v>
      </c>
      <c r="E58124" s="0" t="s">
        <v>19755</v>
      </c>
      <c r="F58124" s="0" t="s">
        <v>19756</v>
      </c>
    </row>
    <row r="58126" customFormat="false" ht="12.8" hidden="false" customHeight="false" outlineLevel="0" collapsed="false">
      <c r="A58126" s="0" t="s">
        <v>19757</v>
      </c>
      <c r="B58126" s="0" t="str">
        <f aca="false">HYPERLINK("https://lindat.mff.cuni.cz/services/teitok/pdtc10/index.php?action=vallex&amp;frame=v-w8153f7_ZU", "vynést (v-w8153f7_ZU)")</f>
        <v>vynést (v-w8153f7_ZU)</v>
      </c>
      <c r="E58126" s="0" t="str">
        <f aca="false">HYPERLINK("https://lindat.mff.cuni.cz/services/SynSemClass40/SynSemClass40.html?veclass=vec00089#vec00089-ces-cm00210", "vec00089")</f>
        <v>vec00089</v>
      </c>
      <c r="F58126" s="0" t="s">
        <v>3959</v>
      </c>
      <c r="H58126" s="0" t="str">
        <f aca="false">HYPERLINK("https://lindat.mff.cuni.cz/services/SynSemClass40/SynSemClass40.html?veclass=vec00509#vec00509-ces-cm00034", "vec00509")</f>
        <v>vec00509</v>
      </c>
      <c r="I58126" s="0" t="s">
        <v>15046</v>
      </c>
    </row>
    <row r="58127" customFormat="false" ht="12.8" hidden="false" customHeight="false" outlineLevel="0" collapsed="false">
      <c r="B58127" s="0" t="s">
        <v>1</v>
      </c>
      <c r="C58127" s="0" t="s">
        <v>19758</v>
      </c>
      <c r="E58127" s="0" t="s">
        <v>31</v>
      </c>
      <c r="F58127" s="0" t="s">
        <v>3960</v>
      </c>
      <c r="H58127" s="0" t="s">
        <v>206</v>
      </c>
      <c r="I58127" s="0" t="s">
        <v>15048</v>
      </c>
    </row>
    <row r="58128" customFormat="false" ht="12.8" hidden="false" customHeight="false" outlineLevel="0" collapsed="false">
      <c r="B58128" s="0" t="s">
        <v>19759</v>
      </c>
      <c r="C58128" s="0" t="s">
        <v>19760</v>
      </c>
      <c r="E58128" s="0" t="s">
        <v>5486</v>
      </c>
      <c r="F58128" s="0" t="s">
        <v>5487</v>
      </c>
    </row>
    <row r="58130" customFormat="false" ht="12.8" hidden="false" customHeight="false" outlineLevel="0" collapsed="false">
      <c r="A58130" s="0" t="s">
        <v>19757</v>
      </c>
      <c r="B58130" s="0" t="str">
        <f aca="false">HYPERLINK("https://lindat.mff.cuni.cz/services/teitok/pdtc10/index.php?action=vallex&amp;frame=v-w8153f2", "vynést (v-w8153f2) - substituted with v-w8153f7_ZU")</f>
        <v>vynést (v-w8153f2) - substituted with v-w8153f7_ZU</v>
      </c>
    </row>
    <row r="58131" customFormat="false" ht="12.8" hidden="false" customHeight="false" outlineLevel="0" collapsed="false">
      <c r="B58131" s="0" t="s">
        <v>1</v>
      </c>
    </row>
    <row r="58132" customFormat="false" ht="12.8" hidden="false" customHeight="false" outlineLevel="0" collapsed="false">
      <c r="B58132" s="0" t="s">
        <v>19759</v>
      </c>
    </row>
    <row r="58134" customFormat="false" ht="12.8" hidden="false" customHeight="false" outlineLevel="0" collapsed="false">
      <c r="A58134" s="0" t="s">
        <v>19757</v>
      </c>
      <c r="B58134" s="0" t="str">
        <f aca="false">HYPERLINK("https://lindat.mff.cuni.cz/services/teitok/pdtc10/index.php?action=vallex&amp;frame=v-w8153hsa_1006", "vynést (v-w8153hsa_1006) - substituted with v-w8153f7_ZU")</f>
        <v>vynést (v-w8153hsa_1006) - substituted with v-w8153f7_ZU</v>
      </c>
    </row>
    <row r="58135" customFormat="false" ht="12.8" hidden="false" customHeight="false" outlineLevel="0" collapsed="false">
      <c r="B58135" s="0" t="s">
        <v>1</v>
      </c>
    </row>
    <row r="58136" customFormat="false" ht="12.8" hidden="false" customHeight="false" outlineLevel="0" collapsed="false">
      <c r="B58136" s="0" t="s">
        <v>19759</v>
      </c>
    </row>
    <row r="58138" customFormat="false" ht="12.8" hidden="false" customHeight="false" outlineLevel="0" collapsed="false">
      <c r="A58138" s="0" t="s">
        <v>19761</v>
      </c>
      <c r="B58138" s="0" t="str">
        <f aca="false">HYPERLINK("https://lindat.mff.cuni.cz/services/teitok/pdtc10/index.php?action=vallex&amp;frame=v-w8166f1", "vyobrazit (v-w8166f1)")</f>
        <v>vyobrazit (v-w8166f1)</v>
      </c>
    </row>
    <row r="58139" customFormat="false" ht="12.8" hidden="false" customHeight="false" outlineLevel="0" collapsed="false">
      <c r="B58139" s="0" t="s">
        <v>1</v>
      </c>
    </row>
    <row r="58140" customFormat="false" ht="12.8" hidden="false" customHeight="false" outlineLevel="0" collapsed="false">
      <c r="B58140" s="0" t="s">
        <v>19762</v>
      </c>
    </row>
    <row r="58142" customFormat="false" ht="12.8" hidden="false" customHeight="false" outlineLevel="0" collapsed="false">
      <c r="A58142" s="0" t="s">
        <v>19763</v>
      </c>
      <c r="B58142" s="0" t="str">
        <f aca="false">HYPERLINK("https://lindat.mff.cuni.cz/services/teitok/pdtc10/index.php?action=vallex&amp;frame=v-whsa_1107hsa_1108", "vyoperovat (v-whsa_1107hsa_1108)")</f>
        <v>vyoperovat (v-whsa_1107hsa_1108)</v>
      </c>
    </row>
    <row r="58143" customFormat="false" ht="12.8" hidden="false" customHeight="false" outlineLevel="0" collapsed="false">
      <c r="B58143" s="0" t="s">
        <v>1</v>
      </c>
    </row>
    <row r="58144" customFormat="false" ht="12.8" hidden="false" customHeight="false" outlineLevel="0" collapsed="false">
      <c r="B58144" s="0" t="s">
        <v>8</v>
      </c>
    </row>
    <row r="58146" customFormat="false" ht="12.8" hidden="false" customHeight="false" outlineLevel="0" collapsed="false">
      <c r="A58146" s="0" t="s">
        <v>19764</v>
      </c>
      <c r="B58146" s="0" t="str">
        <f aca="false">HYPERLINK("https://lindat.mff.cuni.cz/services/teitok/pdtc10/index.php?action=vallex&amp;frame=v-w8167f1", "vyostřit se (v-w8167f1)")</f>
        <v>vyostřit se (v-w8167f1)</v>
      </c>
      <c r="E58146" s="0" t="str">
        <f aca="false">HYPERLINK("https://lindat.mff.cuni.cz/services/SynSemClass40/SynSemClass40.html?veclass=vec01498#vec01498-ces-cm00008", "vec01498")</f>
        <v>vec01498</v>
      </c>
      <c r="F58146" s="0" t="s">
        <v>7511</v>
      </c>
    </row>
    <row r="58147" customFormat="false" ht="12.8" hidden="false" customHeight="false" outlineLevel="0" collapsed="false">
      <c r="B58147" s="0" t="s">
        <v>1</v>
      </c>
      <c r="C58147" s="0" t="s">
        <v>7512</v>
      </c>
      <c r="E58147" s="0" t="s">
        <v>84</v>
      </c>
      <c r="F58147" s="0" t="s">
        <v>7513</v>
      </c>
    </row>
    <row r="58149" customFormat="false" ht="12.8" hidden="false" customHeight="false" outlineLevel="0" collapsed="false">
      <c r="A58149" s="0" t="s">
        <v>19765</v>
      </c>
      <c r="B58149" s="0" t="str">
        <f aca="false">HYPERLINK("https://lindat.mff.cuni.cz/services/teitok/pdtc10/index.php?action=vallex&amp;frame=v-w8168f1", "vyostřovat se (v-w8168f1)")</f>
        <v>vyostřovat se (v-w8168f1)</v>
      </c>
      <c r="E58149" s="0" t="str">
        <f aca="false">HYPERLINK("https://lindat.mff.cuni.cz/services/SynSemClass40/SynSemClass40.html?veclass=vec01498#vec01498-ces-cm00009", "vec01498")</f>
        <v>vec01498</v>
      </c>
      <c r="F58149" s="0" t="s">
        <v>7511</v>
      </c>
    </row>
    <row r="58150" customFormat="false" ht="12.8" hidden="false" customHeight="false" outlineLevel="0" collapsed="false">
      <c r="B58150" s="0" t="s">
        <v>1</v>
      </c>
      <c r="C58150" s="0" t="s">
        <v>7512</v>
      </c>
      <c r="E58150" s="0" t="s">
        <v>84</v>
      </c>
      <c r="F58150" s="0" t="s">
        <v>7513</v>
      </c>
    </row>
    <row r="58152" customFormat="false" ht="12.8" hidden="false" customHeight="false" outlineLevel="0" collapsed="false">
      <c r="A58152" s="0" t="s">
        <v>19766</v>
      </c>
      <c r="B58152" s="0" t="str">
        <f aca="false">HYPERLINK("https://lindat.mff.cuni.cz/services/teitok/pdtc10/index.php?action=vallex&amp;frame=v-w8170f7_ZU", "vypadat (v-w8170f7_ZU)")</f>
        <v>vypadat (v-w8170f7_ZU)</v>
      </c>
    </row>
    <row r="58153" customFormat="false" ht="12.8" hidden="false" customHeight="false" outlineLevel="0" collapsed="false">
      <c r="B58153" s="0" t="s">
        <v>1</v>
      </c>
    </row>
    <row r="58154" customFormat="false" ht="12.8" hidden="false" customHeight="false" outlineLevel="0" collapsed="false">
      <c r="B58154" s="0" t="s">
        <v>19767</v>
      </c>
    </row>
    <row r="58156" customFormat="false" ht="12.8" hidden="false" customHeight="false" outlineLevel="0" collapsed="false">
      <c r="A58156" s="0" t="s">
        <v>19766</v>
      </c>
      <c r="B58156" s="0" t="str">
        <f aca="false">HYPERLINK("https://lindat.mff.cuni.cz/services/teitok/pdtc10/index.php?action=vallex&amp;frame=v-w8170f5", "vypadat (v-w8170f5) - substituted with v-w8170f7_ZU")</f>
        <v>vypadat (v-w8170f5) - substituted with v-w8170f7_ZU</v>
      </c>
      <c r="E58156" s="0" t="str">
        <f aca="false">HYPERLINK("https://lindat.mff.cuni.cz/services/SynSemClass40/SynSemClass40.html?veclass=vec00164#vec00164-ces-cm00208", "vec00164")</f>
        <v>vec00164</v>
      </c>
      <c r="F58156" s="0" t="s">
        <v>4941</v>
      </c>
    </row>
    <row r="58157" customFormat="false" ht="12.8" hidden="false" customHeight="false" outlineLevel="0" collapsed="false">
      <c r="B58157" s="0" t="s">
        <v>1</v>
      </c>
      <c r="C58157" s="0" t="s">
        <v>4942</v>
      </c>
      <c r="E58157" s="0" t="s">
        <v>4943</v>
      </c>
      <c r="F58157" s="0" t="s">
        <v>4944</v>
      </c>
    </row>
    <row r="58158" customFormat="false" ht="12.8" hidden="false" customHeight="false" outlineLevel="0" collapsed="false">
      <c r="B58158" s="0" t="s">
        <v>19767</v>
      </c>
      <c r="C58158" s="0" t="s">
        <v>19768</v>
      </c>
      <c r="E58158" s="0" t="s">
        <v>920</v>
      </c>
      <c r="F58158" s="0" t="s">
        <v>19769</v>
      </c>
    </row>
    <row r="58160" customFormat="false" ht="12.8" hidden="false" customHeight="false" outlineLevel="0" collapsed="false">
      <c r="A58160" s="0" t="s">
        <v>19770</v>
      </c>
      <c r="B58160" s="0" t="str">
        <f aca="false">HYPERLINK("https://lindat.mff.cuni.cz/services/teitok/pdtc10/index.php?action=vallex&amp;frame=v-w8170f2", "vypadat (v-w8170f2)")</f>
        <v>vypadat (v-w8170f2)</v>
      </c>
      <c r="E58160" s="0" t="str">
        <f aca="false">HYPERLINK("https://lindat.mff.cuni.cz/services/SynSemClass40/SynSemClass40.html?veclass=vec00381#vec00381-ces-cm00013", "vec00381")</f>
        <v>vec00381</v>
      </c>
      <c r="F58160" s="0" t="s">
        <v>6692</v>
      </c>
    </row>
    <row r="58161" customFormat="false" ht="12.8" hidden="false" customHeight="false" outlineLevel="0" collapsed="false">
      <c r="B58161" s="0" t="s">
        <v>1</v>
      </c>
      <c r="C58161" s="0" t="s">
        <v>14334</v>
      </c>
      <c r="E58161" s="0" t="s">
        <v>621</v>
      </c>
      <c r="F58161" s="0" t="s">
        <v>6694</v>
      </c>
    </row>
    <row r="58162" customFormat="false" ht="12.8" hidden="false" customHeight="false" outlineLevel="0" collapsed="false">
      <c r="B58162" s="0" t="s">
        <v>8939</v>
      </c>
      <c r="C58162" s="0" t="s">
        <v>14335</v>
      </c>
      <c r="E58162" s="0" t="s">
        <v>180</v>
      </c>
      <c r="F58162" s="0" t="s">
        <v>6697</v>
      </c>
    </row>
    <row r="58164" customFormat="false" ht="12.8" hidden="false" customHeight="false" outlineLevel="0" collapsed="false">
      <c r="A58164" s="0" t="s">
        <v>19771</v>
      </c>
      <c r="B58164" s="0" t="str">
        <f aca="false">HYPERLINK("https://lindat.mff.cuni.cz/services/teitok/pdtc10/index.php?action=vallex&amp;frame=v-w8170f10_ZU", "vypadat (v-w8170f10_ZU)")</f>
        <v>vypadat (v-w8170f10_ZU)</v>
      </c>
    </row>
    <row r="58165" customFormat="false" ht="12.8" hidden="false" customHeight="false" outlineLevel="0" collapsed="false">
      <c r="B58165" s="0" t="s">
        <v>1</v>
      </c>
    </row>
    <row r="58166" customFormat="false" ht="12.8" hidden="false" customHeight="false" outlineLevel="0" collapsed="false">
      <c r="B58166" s="0" t="s">
        <v>721</v>
      </c>
    </row>
    <row r="58167" customFormat="false" ht="12.8" hidden="false" customHeight="false" outlineLevel="0" collapsed="false">
      <c r="B58167" s="0" t="s">
        <v>642</v>
      </c>
    </row>
    <row r="58168" customFormat="false" ht="12.8" hidden="false" customHeight="false" outlineLevel="0" collapsed="false">
      <c r="B58168" s="0" t="s">
        <v>648</v>
      </c>
    </row>
    <row r="58169" customFormat="false" ht="12.8" hidden="false" customHeight="false" outlineLevel="0" collapsed="false">
      <c r="B58169" s="0" t="s">
        <v>650</v>
      </c>
    </row>
    <row r="58170" customFormat="false" ht="12.8" hidden="false" customHeight="false" outlineLevel="0" collapsed="false">
      <c r="B58170" s="0" t="s">
        <v>14736</v>
      </c>
    </row>
    <row r="58172" customFormat="false" ht="12.8" hidden="false" customHeight="false" outlineLevel="0" collapsed="false">
      <c r="A58172" s="0" t="s">
        <v>19771</v>
      </c>
      <c r="B58172" s="0" t="str">
        <f aca="false">HYPERLINK("https://lindat.mff.cuni.cz/services/teitok/pdtc10/index.php?action=vallex&amp;frame=v-w8170f3", "vypadat (v-w8170f3) - substituted with v-w8170f10_ZU")</f>
        <v>vypadat (v-w8170f3) - substituted with v-w8170f10_ZU</v>
      </c>
    </row>
    <row r="58173" customFormat="false" ht="12.8" hidden="false" customHeight="false" outlineLevel="0" collapsed="false">
      <c r="B58173" s="0" t="s">
        <v>1</v>
      </c>
    </row>
    <row r="58174" customFormat="false" ht="12.8" hidden="false" customHeight="false" outlineLevel="0" collapsed="false">
      <c r="B58174" s="0" t="s">
        <v>721</v>
      </c>
    </row>
    <row r="58175" customFormat="false" ht="12.8" hidden="false" customHeight="false" outlineLevel="0" collapsed="false">
      <c r="B58175" s="0" t="s">
        <v>642</v>
      </c>
    </row>
    <row r="58176" customFormat="false" ht="12.8" hidden="false" customHeight="false" outlineLevel="0" collapsed="false">
      <c r="B58176" s="0" t="s">
        <v>648</v>
      </c>
    </row>
    <row r="58177" customFormat="false" ht="12.8" hidden="false" customHeight="false" outlineLevel="0" collapsed="false">
      <c r="B58177" s="0" t="s">
        <v>650</v>
      </c>
    </row>
    <row r="58178" customFormat="false" ht="12.8" hidden="false" customHeight="false" outlineLevel="0" collapsed="false">
      <c r="B58178" s="0" t="s">
        <v>14736</v>
      </c>
    </row>
    <row r="58180" customFormat="false" ht="12.8" hidden="false" customHeight="false" outlineLevel="0" collapsed="false">
      <c r="A58180" s="0" t="s">
        <v>19772</v>
      </c>
      <c r="B58180" s="0" t="str">
        <f aca="false">HYPERLINK("https://lindat.mff.cuni.cz/services/teitok/pdtc10/index.php?action=vallex&amp;frame=v-w8170f9_ZU", "vypadat (v-w8170f9_ZU)")</f>
        <v>vypadat (v-w8170f9_ZU)</v>
      </c>
    </row>
    <row r="58181" customFormat="false" ht="12.8" hidden="false" customHeight="false" outlineLevel="0" collapsed="false">
      <c r="B58181" s="0" t="s">
        <v>1</v>
      </c>
    </row>
    <row r="58182" customFormat="false" ht="12.8" hidden="false" customHeight="false" outlineLevel="0" collapsed="false">
      <c r="B58182" s="0" t="s">
        <v>642</v>
      </c>
    </row>
    <row r="58183" customFormat="false" ht="12.8" hidden="false" customHeight="false" outlineLevel="0" collapsed="false">
      <c r="B58183" s="0" t="s">
        <v>648</v>
      </c>
    </row>
    <row r="58184" customFormat="false" ht="12.8" hidden="false" customHeight="false" outlineLevel="0" collapsed="false">
      <c r="B58184" s="0" t="s">
        <v>650</v>
      </c>
    </row>
    <row r="58185" customFormat="false" ht="12.8" hidden="false" customHeight="false" outlineLevel="0" collapsed="false">
      <c r="B58185" s="0" t="s">
        <v>652</v>
      </c>
    </row>
    <row r="58186" customFormat="false" ht="12.8" hidden="false" customHeight="false" outlineLevel="0" collapsed="false">
      <c r="B58186" s="0" t="s">
        <v>19773</v>
      </c>
    </row>
    <row r="58188" customFormat="false" ht="12.8" hidden="false" customHeight="false" outlineLevel="0" collapsed="false">
      <c r="A58188" s="0" t="s">
        <v>19772</v>
      </c>
      <c r="B58188" s="0" t="str">
        <f aca="false">HYPERLINK("https://lindat.mff.cuni.cz/services/teitok/pdtc10/index.php?action=vallex&amp;frame=v-w8170f1", "vypadat (v-w8170f1) - substituted with v-w8170f9_ZU")</f>
        <v>vypadat (v-w8170f1) - substituted with v-w8170f9_ZU</v>
      </c>
      <c r="E58188" s="0" t="str">
        <f aca="false">HYPERLINK("https://lindat.mff.cuni.cz/services/SynSemClass40/SynSemClass40.html?veclass=vec00164#vec00164-ces-cm00001", "vec00164")</f>
        <v>vec00164</v>
      </c>
      <c r="F58188" s="0" t="s">
        <v>4941</v>
      </c>
    </row>
    <row r="58189" customFormat="false" ht="12.8" hidden="false" customHeight="false" outlineLevel="0" collapsed="false">
      <c r="B58189" s="0" t="s">
        <v>1</v>
      </c>
      <c r="C58189" s="0" t="s">
        <v>4942</v>
      </c>
      <c r="E58189" s="0" t="s">
        <v>4943</v>
      </c>
      <c r="F58189" s="0" t="s">
        <v>4944</v>
      </c>
    </row>
    <row r="58190" customFormat="false" ht="12.8" hidden="false" customHeight="false" outlineLevel="0" collapsed="false">
      <c r="B58190" s="0" t="s">
        <v>642</v>
      </c>
      <c r="C58190" s="0" t="s">
        <v>4957</v>
      </c>
      <c r="E58190" s="0" t="s">
        <v>4316</v>
      </c>
      <c r="F58190" s="0" t="s">
        <v>12420</v>
      </c>
    </row>
    <row r="58191" customFormat="false" ht="12.8" hidden="false" customHeight="false" outlineLevel="0" collapsed="false">
      <c r="B58191" s="0" t="s">
        <v>648</v>
      </c>
      <c r="C58191" s="0" t="s">
        <v>12406</v>
      </c>
      <c r="E58191" s="0" t="s">
        <v>4316</v>
      </c>
      <c r="F58191" s="0" t="s">
        <v>12420</v>
      </c>
    </row>
    <row r="58192" customFormat="false" ht="12.8" hidden="false" customHeight="false" outlineLevel="0" collapsed="false">
      <c r="B58192" s="0" t="s">
        <v>650</v>
      </c>
      <c r="C58192" s="0" t="s">
        <v>12421</v>
      </c>
      <c r="E58192" s="0" t="s">
        <v>12422</v>
      </c>
      <c r="F58192" s="0" t="s">
        <v>12423</v>
      </c>
    </row>
    <row r="58193" customFormat="false" ht="12.8" hidden="false" customHeight="false" outlineLevel="0" collapsed="false">
      <c r="B58193" s="0" t="s">
        <v>652</v>
      </c>
      <c r="C58193" s="0" t="s">
        <v>12408</v>
      </c>
      <c r="E58193" s="0" t="s">
        <v>4316</v>
      </c>
      <c r="F58193" s="0" t="s">
        <v>12420</v>
      </c>
    </row>
    <row r="58194" customFormat="false" ht="12.8" hidden="false" customHeight="false" outlineLevel="0" collapsed="false">
      <c r="B58194" s="0" t="s">
        <v>19773</v>
      </c>
      <c r="C58194" s="0" t="s">
        <v>19774</v>
      </c>
    </row>
    <row r="58196" customFormat="false" ht="12.8" hidden="false" customHeight="false" outlineLevel="0" collapsed="false">
      <c r="A58196" s="0" t="s">
        <v>19772</v>
      </c>
      <c r="B58196" s="0" t="str">
        <f aca="false">HYPERLINK("https://lindat.mff.cuni.cz/services/teitok/pdtc10/index.php?action=vallex&amp;frame=v-w8170f8_ZU", "vypadat (v-w8170f8_ZU) - substituted with v-w8170f9_ZU")</f>
        <v>vypadat (v-w8170f8_ZU) - substituted with v-w8170f9_ZU</v>
      </c>
    </row>
    <row r="58197" customFormat="false" ht="12.8" hidden="false" customHeight="false" outlineLevel="0" collapsed="false">
      <c r="B58197" s="0" t="s">
        <v>1</v>
      </c>
    </row>
    <row r="58198" customFormat="false" ht="12.8" hidden="false" customHeight="false" outlineLevel="0" collapsed="false">
      <c r="B58198" s="0" t="s">
        <v>642</v>
      </c>
    </row>
    <row r="58199" customFormat="false" ht="12.8" hidden="false" customHeight="false" outlineLevel="0" collapsed="false">
      <c r="B58199" s="0" t="s">
        <v>648</v>
      </c>
    </row>
    <row r="58200" customFormat="false" ht="12.8" hidden="false" customHeight="false" outlineLevel="0" collapsed="false">
      <c r="B58200" s="0" t="s">
        <v>650</v>
      </c>
    </row>
    <row r="58201" customFormat="false" ht="12.8" hidden="false" customHeight="false" outlineLevel="0" collapsed="false">
      <c r="B58201" s="0" t="s">
        <v>652</v>
      </c>
    </row>
    <row r="58202" customFormat="false" ht="12.8" hidden="false" customHeight="false" outlineLevel="0" collapsed="false">
      <c r="B58202" s="0" t="s">
        <v>19773</v>
      </c>
    </row>
    <row r="58204" customFormat="false" ht="12.8" hidden="false" customHeight="false" outlineLevel="0" collapsed="false">
      <c r="A58204" s="0" t="s">
        <v>19775</v>
      </c>
      <c r="B58204" s="0" t="str">
        <f aca="false">HYPERLINK("https://lindat.mff.cuni.cz/services/teitok/pdtc10/index.php?action=vallex&amp;frame=v-w8170f4", "vypadat (v-w8170f4)")</f>
        <v>vypadat (v-w8170f4)</v>
      </c>
    </row>
    <row r="58205" customFormat="false" ht="12.8" hidden="false" customHeight="false" outlineLevel="0" collapsed="false">
      <c r="B58205" s="0" t="s">
        <v>1</v>
      </c>
    </row>
    <row r="58207" customFormat="false" ht="12.8" hidden="false" customHeight="false" outlineLevel="0" collapsed="false">
      <c r="A58207" s="0" t="s">
        <v>19776</v>
      </c>
      <c r="B58207" s="0" t="str">
        <f aca="false">HYPERLINK("https://lindat.mff.cuni.cz/services/teitok/pdtc10/index.php?action=vallex&amp;frame=v-w8170f6_ZU", "vypadat (v-w8170f6_ZU)")</f>
        <v>vypadat (v-w8170f6_ZU)</v>
      </c>
    </row>
    <row r="58208" customFormat="false" ht="12.8" hidden="false" customHeight="false" outlineLevel="0" collapsed="false">
      <c r="B58208" s="0" t="s">
        <v>1</v>
      </c>
    </row>
    <row r="58209" customFormat="false" ht="12.8" hidden="false" customHeight="false" outlineLevel="0" collapsed="false">
      <c r="B58209" s="0" t="s">
        <v>19777</v>
      </c>
    </row>
    <row r="58211" customFormat="false" ht="12.8" hidden="false" customHeight="false" outlineLevel="0" collapsed="false">
      <c r="A58211" s="0" t="s">
        <v>19778</v>
      </c>
      <c r="B58211" s="0" t="str">
        <f aca="false">HYPERLINK("https://lindat.mff.cuni.cz/services/teitok/pdtc10/index.php?action=vallex&amp;frame=v-w8173f1", "vypadnout (v-w8173f1)")</f>
        <v>vypadnout (v-w8173f1)</v>
      </c>
    </row>
    <row r="58212" customFormat="false" ht="12.8" hidden="false" customHeight="false" outlineLevel="0" collapsed="false">
      <c r="B58212" s="0" t="s">
        <v>1</v>
      </c>
    </row>
    <row r="58213" customFormat="false" ht="12.8" hidden="false" customHeight="false" outlineLevel="0" collapsed="false">
      <c r="B58213" s="0" t="s">
        <v>631</v>
      </c>
    </row>
    <row r="58215" customFormat="false" ht="12.8" hidden="false" customHeight="false" outlineLevel="0" collapsed="false">
      <c r="A58215" s="0" t="s">
        <v>19779</v>
      </c>
      <c r="B58215" s="0" t="str">
        <f aca="false">HYPERLINK("https://lindat.mff.cuni.cz/services/teitok/pdtc10/index.php?action=vallex&amp;frame=v-w8173f2", "vypadnout (v-w8173f2)")</f>
        <v>vypadnout (v-w8173f2)</v>
      </c>
      <c r="E58215" s="0" t="str">
        <f aca="false">HYPERLINK("https://lindat.mff.cuni.cz/services/SynSemClass40/SynSemClass40.html?veclass=vec00467#vec00467-ces-cm00041", "vec00467")</f>
        <v>vec00467</v>
      </c>
      <c r="F58215" s="0" t="s">
        <v>2536</v>
      </c>
    </row>
    <row r="58216" customFormat="false" ht="12.8" hidden="false" customHeight="false" outlineLevel="0" collapsed="false">
      <c r="B58216" s="0" t="s">
        <v>1</v>
      </c>
      <c r="C58216" s="0" t="s">
        <v>2537</v>
      </c>
      <c r="E58216" s="0" t="s">
        <v>2538</v>
      </c>
      <c r="F58216" s="0" t="s">
        <v>2539</v>
      </c>
    </row>
    <row r="58217" customFormat="false" ht="12.8" hidden="false" customHeight="false" outlineLevel="0" collapsed="false">
      <c r="B58217" s="0" t="s">
        <v>631</v>
      </c>
      <c r="E58217" s="0" t="s">
        <v>1949</v>
      </c>
      <c r="F58217" s="0" t="s">
        <v>2896</v>
      </c>
    </row>
    <row r="58219" customFormat="false" ht="12.8" hidden="false" customHeight="false" outlineLevel="0" collapsed="false">
      <c r="A58219" s="0" t="s">
        <v>19780</v>
      </c>
      <c r="B58219" s="0" t="str">
        <f aca="false">HYPERLINK("https://lindat.mff.cuni.cz/services/teitok/pdtc10/index.php?action=vallex&amp;frame=v-w8173f3_ZU", "vypadnout (v-w8173f3_ZU)")</f>
        <v>vypadnout (v-w8173f3_ZU)</v>
      </c>
    </row>
    <row r="58220" customFormat="false" ht="12.8" hidden="false" customHeight="false" outlineLevel="0" collapsed="false">
      <c r="B58220" s="0" t="s">
        <v>1</v>
      </c>
    </row>
    <row r="58221" customFormat="false" ht="12.8" hidden="false" customHeight="false" outlineLevel="0" collapsed="false">
      <c r="B58221" s="0" t="s">
        <v>631</v>
      </c>
    </row>
    <row r="58223" customFormat="false" ht="12.8" hidden="false" customHeight="false" outlineLevel="0" collapsed="false">
      <c r="A58223" s="0" t="s">
        <v>19780</v>
      </c>
      <c r="B58223" s="0" t="str">
        <f aca="false">HYPERLINK("https://lindat.mff.cuni.cz/services/teitok/pdtc10/index.php?action=vallex&amp;frame=v-w8173hsa_601", "vypadnout (v-w8173hsa_601) - substituted with v-w8173f3_ZU")</f>
        <v>vypadnout (v-w8173hsa_601) - substituted with v-w8173f3_ZU</v>
      </c>
    </row>
    <row r="58224" customFormat="false" ht="12.8" hidden="false" customHeight="false" outlineLevel="0" collapsed="false">
      <c r="B58224" s="0" t="s">
        <v>1</v>
      </c>
    </row>
    <row r="58225" customFormat="false" ht="12.8" hidden="false" customHeight="false" outlineLevel="0" collapsed="false">
      <c r="B58225" s="0" t="s">
        <v>631</v>
      </c>
    </row>
    <row r="58227" customFormat="false" ht="12.8" hidden="false" customHeight="false" outlineLevel="0" collapsed="false">
      <c r="A58227" s="0" t="s">
        <v>19781</v>
      </c>
      <c r="B58227" s="0" t="str">
        <f aca="false">HYPERLINK("https://lindat.mff.cuni.cz/services/teitok/pdtc10/index.php?action=vallex&amp;frame=v-w8173f4_ZU", "vypadnout (v-w8173f4_ZU)")</f>
        <v>vypadnout (v-w8173f4_ZU)</v>
      </c>
    </row>
    <row r="58228" customFormat="false" ht="12.8" hidden="false" customHeight="false" outlineLevel="0" collapsed="false">
      <c r="B58228" s="0" t="s">
        <v>1</v>
      </c>
    </row>
    <row r="58229" customFormat="false" ht="12.8" hidden="false" customHeight="false" outlineLevel="0" collapsed="false">
      <c r="B58229" s="0" t="s">
        <v>186</v>
      </c>
    </row>
    <row r="58230" customFormat="false" ht="12.8" hidden="false" customHeight="false" outlineLevel="0" collapsed="false">
      <c r="B58230" s="0" t="s">
        <v>19625</v>
      </c>
    </row>
    <row r="58232" customFormat="false" ht="12.8" hidden="false" customHeight="false" outlineLevel="0" collapsed="false">
      <c r="A58232" s="0" t="s">
        <v>19781</v>
      </c>
      <c r="B58232" s="0" t="str">
        <f aca="false">HYPERLINK("https://lindat.mff.cuni.cz/services/teitok/pdtc10/index.php?action=vallex&amp;frame=v-w8173hsa_521", "vypadnout (v-w8173hsa_521) - substituted with v-w8173f4_ZU")</f>
        <v>vypadnout (v-w8173hsa_521) - substituted with v-w8173f4_ZU</v>
      </c>
    </row>
    <row r="58233" customFormat="false" ht="12.8" hidden="false" customHeight="false" outlineLevel="0" collapsed="false">
      <c r="B58233" s="0" t="s">
        <v>1</v>
      </c>
    </row>
    <row r="58234" customFormat="false" ht="12.8" hidden="false" customHeight="false" outlineLevel="0" collapsed="false">
      <c r="B58234" s="0" t="s">
        <v>186</v>
      </c>
    </row>
    <row r="58235" customFormat="false" ht="12.8" hidden="false" customHeight="false" outlineLevel="0" collapsed="false">
      <c r="B58235" s="0" t="s">
        <v>19625</v>
      </c>
    </row>
    <row r="58237" customFormat="false" ht="12.8" hidden="false" customHeight="false" outlineLevel="0" collapsed="false">
      <c r="A58237" s="0" t="s">
        <v>19782</v>
      </c>
      <c r="B58237" s="0" t="str">
        <f aca="false">HYPERLINK("https://lindat.mff.cuni.cz/services/teitok/pdtc10/index.php?action=vallex&amp;frame=v-w8173f5_ZU", "vypadnout (v-w8173f5_ZU)")</f>
        <v>vypadnout (v-w8173f5_ZU)</v>
      </c>
    </row>
    <row r="58238" customFormat="false" ht="12.8" hidden="false" customHeight="false" outlineLevel="0" collapsed="false">
      <c r="B58238" s="0" t="s">
        <v>843</v>
      </c>
    </row>
    <row r="58239" customFormat="false" ht="12.8" hidden="false" customHeight="false" outlineLevel="0" collapsed="false">
      <c r="B58239" s="0" t="s">
        <v>6273</v>
      </c>
    </row>
    <row r="58241" customFormat="false" ht="12.8" hidden="false" customHeight="false" outlineLevel="0" collapsed="false">
      <c r="A58241" s="0" t="s">
        <v>19783</v>
      </c>
      <c r="B58241" s="0" t="str">
        <f aca="false">HYPERLINK("https://lindat.mff.cuni.cz/services/teitok/pdtc10/index.php?action=vallex&amp;frame=v-w8173f6_ZU", "vypadnout (v-w8173f6_ZU)")</f>
        <v>vypadnout (v-w8173f6_ZU)</v>
      </c>
    </row>
    <row r="58242" customFormat="false" ht="12.8" hidden="false" customHeight="false" outlineLevel="0" collapsed="false">
      <c r="B58242" s="0" t="s">
        <v>1</v>
      </c>
    </row>
    <row r="58244" customFormat="false" ht="12.8" hidden="false" customHeight="false" outlineLevel="0" collapsed="false">
      <c r="A58244" s="0" t="s">
        <v>19784</v>
      </c>
      <c r="B58244" s="0" t="str">
        <f aca="false">HYPERLINK("https://lindat.mff.cuni.cz/services/teitok/pdtc10/index.php?action=vallex&amp;frame=v-w8173hsa_519", "vypadnout (v-w8173hsa_519)")</f>
        <v>vypadnout (v-w8173hsa_519)</v>
      </c>
    </row>
    <row r="58245" customFormat="false" ht="12.8" hidden="false" customHeight="false" outlineLevel="0" collapsed="false">
      <c r="B58245" s="0" t="s">
        <v>1</v>
      </c>
    </row>
    <row r="58246" customFormat="false" ht="12.8" hidden="false" customHeight="false" outlineLevel="0" collapsed="false">
      <c r="B58246" s="0" t="s">
        <v>186</v>
      </c>
    </row>
    <row r="58248" customFormat="false" ht="12.8" hidden="false" customHeight="false" outlineLevel="0" collapsed="false">
      <c r="A58248" s="0" t="s">
        <v>19785</v>
      </c>
      <c r="B58248" s="0" t="str">
        <f aca="false">HYPERLINK("https://lindat.mff.cuni.cz/services/teitok/pdtc10/index.php?action=vallex&amp;frame=v-w8173hsa_520", "vypadnout (v-w8173hsa_520)")</f>
        <v>vypadnout (v-w8173hsa_520)</v>
      </c>
    </row>
    <row r="58249" customFormat="false" ht="12.8" hidden="false" customHeight="false" outlineLevel="0" collapsed="false">
      <c r="B58249" s="0" t="s">
        <v>1</v>
      </c>
    </row>
    <row r="58250" customFormat="false" ht="12.8" hidden="false" customHeight="false" outlineLevel="0" collapsed="false">
      <c r="B58250" s="0" t="s">
        <v>631</v>
      </c>
    </row>
    <row r="58252" customFormat="false" ht="12.8" hidden="false" customHeight="false" outlineLevel="0" collapsed="false">
      <c r="A58252" s="0" t="s">
        <v>19786</v>
      </c>
      <c r="B58252" s="0" t="str">
        <f aca="false">HYPERLINK("https://lindat.mff.cuni.cz/services/teitok/pdtc10/index.php?action=vallex&amp;frame=v-w8171f1", "vypadávat (v-w8171f1)")</f>
        <v>vypadávat (v-w8171f1)</v>
      </c>
    </row>
    <row r="58253" customFormat="false" ht="12.8" hidden="false" customHeight="false" outlineLevel="0" collapsed="false">
      <c r="B58253" s="0" t="s">
        <v>1</v>
      </c>
    </row>
    <row r="58255" customFormat="false" ht="12.8" hidden="false" customHeight="false" outlineLevel="0" collapsed="false">
      <c r="A58255" s="0" t="s">
        <v>19787</v>
      </c>
      <c r="B58255" s="0" t="str">
        <f aca="false">HYPERLINK("https://lindat.mff.cuni.cz/services/teitok/pdtc10/index.php?action=vallex&amp;frame=v-w8171f2_MM", "vypadávat (v-w8171f2_MM)")</f>
        <v>vypadávat (v-w8171f2_MM)</v>
      </c>
    </row>
    <row r="58256" customFormat="false" ht="12.8" hidden="false" customHeight="false" outlineLevel="0" collapsed="false">
      <c r="B58256" s="0" t="s">
        <v>1</v>
      </c>
    </row>
    <row r="58257" customFormat="false" ht="12.8" hidden="false" customHeight="false" outlineLevel="0" collapsed="false">
      <c r="B58257" s="0" t="s">
        <v>186</v>
      </c>
    </row>
    <row r="58259" customFormat="false" ht="12.8" hidden="false" customHeight="false" outlineLevel="0" collapsed="false">
      <c r="A58259" s="0" t="s">
        <v>19788</v>
      </c>
      <c r="B58259" s="0" t="str">
        <f aca="false">HYPERLINK("https://lindat.mff.cuni.cz/services/teitok/pdtc10/index.php?action=vallex&amp;frame=v-w11899_ZUf1_ZU", "vypalovat (v-w11899_ZUf1_ZU)")</f>
        <v>vypalovat (v-w11899_ZUf1_ZU)</v>
      </c>
    </row>
    <row r="58260" customFormat="false" ht="12.8" hidden="false" customHeight="false" outlineLevel="0" collapsed="false">
      <c r="B58260" s="0" t="s">
        <v>1</v>
      </c>
    </row>
    <row r="58261" customFormat="false" ht="12.8" hidden="false" customHeight="false" outlineLevel="0" collapsed="false">
      <c r="B58261" s="0" t="s">
        <v>8</v>
      </c>
    </row>
    <row r="58263" customFormat="false" ht="12.8" hidden="false" customHeight="false" outlineLevel="0" collapsed="false">
      <c r="A58263" s="0" t="s">
        <v>19789</v>
      </c>
      <c r="B58263" s="0" t="str">
        <f aca="false">HYPERLINK("https://lindat.mff.cuni.cz/services/teitok/pdtc10/index.php?action=vallex&amp;frame=v-w11899_ZUf3_ZU", "vypalovat (v-w11899_ZUf3_ZU)")</f>
        <v>vypalovat (v-w11899_ZUf3_ZU)</v>
      </c>
    </row>
    <row r="58264" customFormat="false" ht="12.8" hidden="false" customHeight="false" outlineLevel="0" collapsed="false">
      <c r="B58264" s="0" t="s">
        <v>1</v>
      </c>
    </row>
    <row r="58265" customFormat="false" ht="12.8" hidden="false" customHeight="false" outlineLevel="0" collapsed="false">
      <c r="B58265" s="0" t="s">
        <v>8</v>
      </c>
    </row>
    <row r="58266" customFormat="false" ht="12.8" hidden="false" customHeight="false" outlineLevel="0" collapsed="false">
      <c r="B58266" s="0" t="s">
        <v>454</v>
      </c>
    </row>
    <row r="58268" customFormat="false" ht="12.8" hidden="false" customHeight="false" outlineLevel="0" collapsed="false">
      <c r="A58268" s="0" t="s">
        <v>19789</v>
      </c>
      <c r="B58268" s="0" t="str">
        <f aca="false">HYPERLINK("https://lindat.mff.cuni.cz/services/teitok/pdtc10/index.php?action=vallex&amp;frame=v-w11899_ZUf2_ZU", "vypalovat (v-w11899_ZUf2_ZU) - substituted with v-w11899_ZUf3_ZU")</f>
        <v>vypalovat (v-w11899_ZUf2_ZU) - substituted with v-w11899_ZUf3_ZU</v>
      </c>
    </row>
    <row r="58269" customFormat="false" ht="12.8" hidden="false" customHeight="false" outlineLevel="0" collapsed="false">
      <c r="B58269" s="0" t="s">
        <v>1</v>
      </c>
    </row>
    <row r="58270" customFormat="false" ht="12.8" hidden="false" customHeight="false" outlineLevel="0" collapsed="false">
      <c r="B58270" s="0" t="s">
        <v>8</v>
      </c>
    </row>
    <row r="58271" customFormat="false" ht="12.8" hidden="false" customHeight="false" outlineLevel="0" collapsed="false">
      <c r="B58271" s="0" t="s">
        <v>454</v>
      </c>
    </row>
    <row r="58273" customFormat="false" ht="12.8" hidden="false" customHeight="false" outlineLevel="0" collapsed="false">
      <c r="A58273" s="0" t="s">
        <v>19790</v>
      </c>
      <c r="B58273" s="0" t="str">
        <f aca="false">HYPERLINK("https://lindat.mff.cuni.cz/services/teitok/pdtc10/index.php?action=vallex&amp;frame=v-w11899_ZUf4_ZU", "vypalovat (v-w11899_ZUf4_ZU)")</f>
        <v>vypalovat (v-w11899_ZUf4_ZU)</v>
      </c>
    </row>
    <row r="58274" customFormat="false" ht="12.8" hidden="false" customHeight="false" outlineLevel="0" collapsed="false">
      <c r="B58274" s="0" t="s">
        <v>1</v>
      </c>
    </row>
    <row r="58275" customFormat="false" ht="12.8" hidden="false" customHeight="false" outlineLevel="0" collapsed="false">
      <c r="B58275" s="0" t="s">
        <v>8</v>
      </c>
    </row>
    <row r="58277" customFormat="false" ht="12.8" hidden="false" customHeight="false" outlineLevel="0" collapsed="false">
      <c r="A58277" s="0" t="s">
        <v>19791</v>
      </c>
      <c r="B58277" s="0" t="str">
        <f aca="false">HYPERLINK("https://lindat.mff.cuni.cz/services/teitok/pdtc10/index.php?action=vallex&amp;frame=v-whsa_1098hsa_1099", "vypařit se (v-whsa_1098hsa_1099)")</f>
        <v>vypařit se (v-whsa_1098hsa_1099)</v>
      </c>
    </row>
    <row r="58278" customFormat="false" ht="12.8" hidden="false" customHeight="false" outlineLevel="0" collapsed="false">
      <c r="B58278" s="0" t="s">
        <v>1</v>
      </c>
    </row>
    <row r="58280" customFormat="false" ht="12.8" hidden="false" customHeight="false" outlineLevel="0" collapsed="false">
      <c r="A58280" s="0" t="s">
        <v>19792</v>
      </c>
      <c r="B58280" s="0" t="str">
        <f aca="false">HYPERLINK("https://lindat.mff.cuni.cz/services/teitok/pdtc10/index.php?action=vallex&amp;frame=v-whsa_297hsa_298", "vypařovat se (v-whsa_297hsa_298)")</f>
        <v>vypařovat se (v-whsa_297hsa_298)</v>
      </c>
    </row>
    <row r="58281" customFormat="false" ht="12.8" hidden="false" customHeight="false" outlineLevel="0" collapsed="false">
      <c r="B58281" s="0" t="s">
        <v>1</v>
      </c>
    </row>
    <row r="58283" customFormat="false" ht="12.8" hidden="false" customHeight="false" outlineLevel="0" collapsed="false">
      <c r="A58283" s="0" t="s">
        <v>19793</v>
      </c>
      <c r="B58283" s="0" t="str">
        <f aca="false">HYPERLINK("https://lindat.mff.cuni.cz/services/teitok/pdtc10/index.php?action=vallex&amp;frame=v-w8184f1", "vypisovat (v-w8184f1)")</f>
        <v>vypisovat (v-w8184f1)</v>
      </c>
    </row>
    <row r="58284" customFormat="false" ht="12.8" hidden="false" customHeight="false" outlineLevel="0" collapsed="false">
      <c r="B58284" s="0" t="s">
        <v>1</v>
      </c>
    </row>
    <row r="58285" customFormat="false" ht="12.8" hidden="false" customHeight="false" outlineLevel="0" collapsed="false">
      <c r="B58285" s="0" t="s">
        <v>59</v>
      </c>
    </row>
    <row r="58287" customFormat="false" ht="12.8" hidden="false" customHeight="false" outlineLevel="0" collapsed="false">
      <c r="A58287" s="0" t="s">
        <v>19794</v>
      </c>
      <c r="B58287" s="0" t="str">
        <f aca="false">HYPERLINK("https://lindat.mff.cuni.cz/services/teitok/pdtc10/index.php?action=vallex&amp;frame=v-w8184f3_ZU", "vypisovat (v-w8184f3_ZU)")</f>
        <v>vypisovat (v-w8184f3_ZU)</v>
      </c>
    </row>
    <row r="58288" customFormat="false" ht="12.8" hidden="false" customHeight="false" outlineLevel="0" collapsed="false">
      <c r="B58288" s="0" t="s">
        <v>1</v>
      </c>
    </row>
    <row r="58289" customFormat="false" ht="12.8" hidden="false" customHeight="false" outlineLevel="0" collapsed="false">
      <c r="B58289" s="0" t="s">
        <v>8</v>
      </c>
    </row>
    <row r="58291" customFormat="false" ht="12.8" hidden="false" customHeight="false" outlineLevel="0" collapsed="false">
      <c r="A58291" s="0" t="s">
        <v>19794</v>
      </c>
      <c r="B58291" s="0" t="str">
        <f aca="false">HYPERLINK("https://lindat.mff.cuni.cz/services/teitok/pdtc10/index.php?action=vallex&amp;frame=v-w8184f2_ZU", "vypisovat (v-w8184f2_ZU) - substituted with v-w8184f3_ZU")</f>
        <v>vypisovat (v-w8184f2_ZU) - substituted with v-w8184f3_ZU</v>
      </c>
    </row>
    <row r="58292" customFormat="false" ht="12.8" hidden="false" customHeight="false" outlineLevel="0" collapsed="false">
      <c r="B58292" s="0" t="s">
        <v>1</v>
      </c>
    </row>
    <row r="58293" customFormat="false" ht="12.8" hidden="false" customHeight="false" outlineLevel="0" collapsed="false">
      <c r="B58293" s="0" t="s">
        <v>8</v>
      </c>
    </row>
    <row r="58295" customFormat="false" ht="12.8" hidden="false" customHeight="false" outlineLevel="0" collapsed="false">
      <c r="A58295" s="0" t="s">
        <v>19795</v>
      </c>
      <c r="B58295" s="0" t="str">
        <f aca="false">HYPERLINK("https://lindat.mff.cuni.cz/services/teitok/pdtc10/index.php?action=vallex&amp;frame=v-w8184f4_ZU", "vypisovat (v-w8184f4_ZU)")</f>
        <v>vypisovat (v-w8184f4_ZU)</v>
      </c>
    </row>
    <row r="58296" customFormat="false" ht="12.8" hidden="false" customHeight="false" outlineLevel="0" collapsed="false">
      <c r="B58296" s="0" t="s">
        <v>1</v>
      </c>
    </row>
    <row r="58297" customFormat="false" ht="12.8" hidden="false" customHeight="false" outlineLevel="0" collapsed="false">
      <c r="B58297" s="0" t="s">
        <v>8</v>
      </c>
    </row>
    <row r="58299" customFormat="false" ht="12.8" hidden="false" customHeight="false" outlineLevel="0" collapsed="false">
      <c r="A58299" s="0" t="s">
        <v>19796</v>
      </c>
      <c r="B58299" s="0" t="str">
        <f aca="false">HYPERLINK("https://lindat.mff.cuni.cz/services/teitok/pdtc10/index.php?action=vallex&amp;frame=v-w8184hsa_1394", "vypisovat (v-w8184hsa_1394)")</f>
        <v>vypisovat (v-w8184hsa_1394)</v>
      </c>
    </row>
    <row r="58300" customFormat="false" ht="12.8" hidden="false" customHeight="false" outlineLevel="0" collapsed="false">
      <c r="B58300" s="0" t="s">
        <v>1</v>
      </c>
    </row>
    <row r="58301" customFormat="false" ht="12.8" hidden="false" customHeight="false" outlineLevel="0" collapsed="false">
      <c r="B58301" s="0" t="s">
        <v>8</v>
      </c>
    </row>
    <row r="58303" customFormat="false" ht="12.8" hidden="false" customHeight="false" outlineLevel="0" collapsed="false">
      <c r="A58303" s="0" t="s">
        <v>19797</v>
      </c>
      <c r="B58303" s="0" t="str">
        <f aca="false">HYPERLINK("https://lindat.mff.cuni.cz/services/teitok/pdtc10/index.php?action=vallex&amp;frame=v-w8192f1", "vyplatit (v-w8192f1)")</f>
        <v>vyplatit (v-w8192f1)</v>
      </c>
      <c r="E58303" s="0" t="str">
        <f aca="false">HYPERLINK("https://lindat.mff.cuni.cz/services/SynSemClass40/SynSemClass40.html?veclass=vec00125#vec00125-ces-cm00081", "vec00125")</f>
        <v>vec00125</v>
      </c>
      <c r="F58303" s="0" t="s">
        <v>2552</v>
      </c>
      <c r="H58303" s="0" t="str">
        <f aca="false">HYPERLINK("https://lindat.mff.cuni.cz/services/SynSemClass40/SynSemClass40.html?veclass=vec01356#vec01356-ces-cm00025", "vec01356")</f>
        <v>vec01356</v>
      </c>
      <c r="I58303" s="0" t="s">
        <v>4139</v>
      </c>
    </row>
    <row r="58304" customFormat="false" ht="12.8" hidden="false" customHeight="false" outlineLevel="0" collapsed="false">
      <c r="B58304" s="0" t="s">
        <v>1</v>
      </c>
      <c r="C58304" s="0" t="s">
        <v>4563</v>
      </c>
      <c r="E58304" s="0" t="s">
        <v>2554</v>
      </c>
      <c r="F58304" s="0" t="s">
        <v>2555</v>
      </c>
      <c r="H58304" s="0" t="s">
        <v>2554</v>
      </c>
      <c r="I58304" s="0" t="s">
        <v>4141</v>
      </c>
    </row>
    <row r="58305" customFormat="false" ht="12.8" hidden="false" customHeight="false" outlineLevel="0" collapsed="false">
      <c r="B58305" s="0" t="s">
        <v>8</v>
      </c>
      <c r="C58305" s="0" t="s">
        <v>4564</v>
      </c>
      <c r="E58305" s="0" t="s">
        <v>2557</v>
      </c>
      <c r="F58305" s="0" t="s">
        <v>2558</v>
      </c>
      <c r="H58305" s="0" t="s">
        <v>4565</v>
      </c>
      <c r="I58305" s="0" t="s">
        <v>4566</v>
      </c>
    </row>
    <row r="58306" customFormat="false" ht="12.8" hidden="false" customHeight="false" outlineLevel="0" collapsed="false">
      <c r="B58306" s="0" t="s">
        <v>132</v>
      </c>
      <c r="C58306" s="0" t="s">
        <v>4567</v>
      </c>
      <c r="E58306" s="0" t="s">
        <v>2560</v>
      </c>
      <c r="F58306" s="0" t="s">
        <v>2561</v>
      </c>
      <c r="H58306" s="0" t="s">
        <v>2560</v>
      </c>
      <c r="I58306" s="0" t="s">
        <v>4568</v>
      </c>
    </row>
    <row r="58307" customFormat="false" ht="12.8" hidden="false" customHeight="false" outlineLevel="0" collapsed="false">
      <c r="B58307" s="0" t="s">
        <v>723</v>
      </c>
    </row>
    <row r="58309" customFormat="false" ht="12.8" hidden="false" customHeight="false" outlineLevel="0" collapsed="false">
      <c r="A58309" s="0" t="s">
        <v>19798</v>
      </c>
      <c r="B58309" s="0" t="str">
        <f aca="false">HYPERLINK("https://lindat.mff.cuni.cz/services/teitok/pdtc10/index.php?action=vallex&amp;frame=v-w8192f4", "vyplatit (v-w8192f4)")</f>
        <v>vyplatit (v-w8192f4)</v>
      </c>
    </row>
    <row r="58310" customFormat="false" ht="12.8" hidden="false" customHeight="false" outlineLevel="0" collapsed="false">
      <c r="B58310" s="0" t="s">
        <v>1</v>
      </c>
    </row>
    <row r="58311" customFormat="false" ht="12.8" hidden="false" customHeight="false" outlineLevel="0" collapsed="false">
      <c r="B58311" s="0" t="s">
        <v>8</v>
      </c>
    </row>
    <row r="58312" customFormat="false" ht="12.8" hidden="false" customHeight="false" outlineLevel="0" collapsed="false">
      <c r="B58312" s="0" t="s">
        <v>2840</v>
      </c>
    </row>
    <row r="58314" customFormat="false" ht="12.8" hidden="false" customHeight="false" outlineLevel="0" collapsed="false">
      <c r="A58314" s="0" t="s">
        <v>19799</v>
      </c>
      <c r="B58314" s="0" t="str">
        <f aca="false">HYPERLINK("https://lindat.mff.cuni.cz/services/teitok/pdtc10/index.php?action=vallex&amp;frame=v-w8192f5_ZU", "vyplatit (v-w8192f5_ZU)")</f>
        <v>vyplatit (v-w8192f5_ZU)</v>
      </c>
    </row>
    <row r="58315" customFormat="false" ht="12.8" hidden="false" customHeight="false" outlineLevel="0" collapsed="false">
      <c r="B58315" s="0" t="s">
        <v>1</v>
      </c>
    </row>
    <row r="58316" customFormat="false" ht="12.8" hidden="false" customHeight="false" outlineLevel="0" collapsed="false">
      <c r="B58316" s="0" t="s">
        <v>13159</v>
      </c>
    </row>
    <row r="58318" customFormat="false" ht="12.8" hidden="false" customHeight="false" outlineLevel="0" collapsed="false">
      <c r="A58318" s="0" t="s">
        <v>19799</v>
      </c>
      <c r="B58318" s="0" t="str">
        <f aca="false">HYPERLINK("https://lindat.mff.cuni.cz/services/teitok/pdtc10/index.php?action=vallex&amp;frame=v-w8192f3", "vyplatit (v-w8192f3) - substituted with v-w8192f5_ZU")</f>
        <v>vyplatit (v-w8192f3) - substituted with v-w8192f5_ZU</v>
      </c>
    </row>
    <row r="58319" customFormat="false" ht="12.8" hidden="false" customHeight="false" outlineLevel="0" collapsed="false">
      <c r="B58319" s="0" t="s">
        <v>1</v>
      </c>
    </row>
    <row r="58320" customFormat="false" ht="12.8" hidden="false" customHeight="false" outlineLevel="0" collapsed="false">
      <c r="B58320" s="0" t="s">
        <v>13159</v>
      </c>
    </row>
    <row r="58322" customFormat="false" ht="12.8" hidden="false" customHeight="false" outlineLevel="0" collapsed="false">
      <c r="A58322" s="0" t="s">
        <v>19800</v>
      </c>
      <c r="B58322" s="0" t="str">
        <f aca="false">HYPERLINK("https://lindat.mff.cuni.cz/services/teitok/pdtc10/index.php?action=vallex&amp;frame=v-w8192f2", "vyplatit (v-w8192f2)")</f>
        <v>vyplatit (v-w8192f2)</v>
      </c>
      <c r="E58322" s="0" t="str">
        <f aca="false">HYPERLINK("https://lindat.mff.cuni.cz/services/SynSemClass40/SynSemClass40.html?veclass=vec00125#vec00125-ces-cm00082", "vec00125")</f>
        <v>vec00125</v>
      </c>
      <c r="F58322" s="0" t="s">
        <v>2552</v>
      </c>
      <c r="H58322" s="0" t="str">
        <f aca="false">HYPERLINK("https://lindat.mff.cuni.cz/services/SynSemClass40/SynSemClass40.html?veclass=vec01356#vec01356-ces-cm00002", "vec01356")</f>
        <v>vec01356</v>
      </c>
      <c r="I58322" s="0" t="s">
        <v>4139</v>
      </c>
    </row>
    <row r="58323" customFormat="false" ht="12.8" hidden="false" customHeight="false" outlineLevel="0" collapsed="false">
      <c r="B58323" s="0" t="s">
        <v>1</v>
      </c>
      <c r="C58323" s="0" t="s">
        <v>4563</v>
      </c>
      <c r="E58323" s="0" t="s">
        <v>2554</v>
      </c>
      <c r="F58323" s="0" t="s">
        <v>2555</v>
      </c>
      <c r="H58323" s="0" t="s">
        <v>2554</v>
      </c>
      <c r="I58323" s="0" t="s">
        <v>4141</v>
      </c>
    </row>
    <row r="58324" customFormat="false" ht="12.8" hidden="false" customHeight="false" outlineLevel="0" collapsed="false">
      <c r="B58324" s="0" t="s">
        <v>865</v>
      </c>
      <c r="C58324" s="0" t="s">
        <v>10513</v>
      </c>
      <c r="E58324" s="0" t="s">
        <v>2572</v>
      </c>
      <c r="F58324" s="0" t="s">
        <v>2573</v>
      </c>
      <c r="H58324" s="0" t="s">
        <v>10514</v>
      </c>
      <c r="I58324" s="0" t="s">
        <v>10515</v>
      </c>
    </row>
    <row r="58325" customFormat="false" ht="12.8" hidden="false" customHeight="false" outlineLevel="0" collapsed="false">
      <c r="B58325" s="0" t="s">
        <v>2069</v>
      </c>
    </row>
    <row r="58326" customFormat="false" ht="12.8" hidden="false" customHeight="false" outlineLevel="0" collapsed="false">
      <c r="B58326" s="0" t="s">
        <v>132</v>
      </c>
      <c r="C58326" s="0" t="s">
        <v>4567</v>
      </c>
      <c r="E58326" s="0" t="s">
        <v>2560</v>
      </c>
      <c r="F58326" s="0" t="s">
        <v>2561</v>
      </c>
      <c r="H58326" s="0" t="s">
        <v>2560</v>
      </c>
      <c r="I58326" s="0" t="s">
        <v>4568</v>
      </c>
    </row>
    <row r="58328" customFormat="false" ht="12.8" hidden="false" customHeight="false" outlineLevel="0" collapsed="false">
      <c r="A58328" s="0" t="s">
        <v>19801</v>
      </c>
      <c r="B58328" s="0" t="str">
        <f aca="false">HYPERLINK("https://lindat.mff.cuni.cz/services/teitok/pdtc10/index.php?action=vallex&amp;frame=v-w8192hsa_997", "vyplatit (v-w8192hsa_997)")</f>
        <v>vyplatit (v-w8192hsa_997)</v>
      </c>
      <c r="E58328" s="0" t="str">
        <f aca="false">HYPERLINK("https://lindat.mff.cuni.cz/services/SynSemClass40/SynSemClass40.html?veclass=vec01159#vec01159-ces-cm00001", "vec01159")</f>
        <v>vec01159</v>
      </c>
      <c r="F58328" s="0" t="s">
        <v>19802</v>
      </c>
      <c r="H58328" s="0" t="str">
        <f aca="false">HYPERLINK("https://lindat.mff.cuni.cz/services/SynSemClass40/SynSemClass40.html?veclass=vec01356#vec01356-ces-cm00027", "vec01356")</f>
        <v>vec01356</v>
      </c>
      <c r="I58328" s="0" t="s">
        <v>4139</v>
      </c>
    </row>
    <row r="58329" customFormat="false" ht="12.8" hidden="false" customHeight="false" outlineLevel="0" collapsed="false">
      <c r="B58329" s="0" t="s">
        <v>1</v>
      </c>
      <c r="C58329" s="0" t="s">
        <v>19803</v>
      </c>
      <c r="E58329" s="0" t="s">
        <v>2554</v>
      </c>
      <c r="F58329" s="0" t="s">
        <v>19804</v>
      </c>
      <c r="H58329" s="0" t="s">
        <v>2554</v>
      </c>
      <c r="I58329" s="0" t="s">
        <v>4141</v>
      </c>
    </row>
    <row r="58330" customFormat="false" ht="12.8" hidden="false" customHeight="false" outlineLevel="0" collapsed="false">
      <c r="B58330" s="0" t="s">
        <v>8</v>
      </c>
      <c r="C58330" s="0" t="s">
        <v>19805</v>
      </c>
      <c r="E58330" s="0" t="s">
        <v>4143</v>
      </c>
      <c r="F58330" s="0" t="s">
        <v>19806</v>
      </c>
      <c r="H58330" s="0" t="s">
        <v>4143</v>
      </c>
      <c r="I58330" s="0" t="s">
        <v>4144</v>
      </c>
    </row>
    <row r="58332" customFormat="false" ht="12.8" hidden="false" customHeight="false" outlineLevel="0" collapsed="false">
      <c r="A58332" s="0" t="s">
        <v>19807</v>
      </c>
      <c r="B58332" s="0" t="str">
        <f aca="false">HYPERLINK("https://lindat.mff.cuni.cz/services/teitok/pdtc10/index.php?action=vallex&amp;frame=v-w8193f3_ZU", "vyplatit se (v-w8193f3_ZU)")</f>
        <v>vyplatit se (v-w8193f3_ZU)</v>
      </c>
      <c r="E58332" s="0" t="str">
        <f aca="false">HYPERLINK("https://lindat.mff.cuni.cz/services/SynSemClass40/SynSemClass40.html?veclass=vec00757#vec00757-ces-cm00004", "vec00757")</f>
        <v>vec00757</v>
      </c>
      <c r="F58332" s="0" t="s">
        <v>10032</v>
      </c>
    </row>
    <row r="58333" customFormat="false" ht="12.8" hidden="false" customHeight="false" outlineLevel="0" collapsed="false">
      <c r="B58333" s="0" t="s">
        <v>19808</v>
      </c>
      <c r="C58333" s="0" t="s">
        <v>10033</v>
      </c>
      <c r="E58333" s="0" t="s">
        <v>2151</v>
      </c>
      <c r="F58333" s="0" t="s">
        <v>10034</v>
      </c>
    </row>
    <row r="58334" customFormat="false" ht="12.8" hidden="false" customHeight="false" outlineLevel="0" collapsed="false">
      <c r="B58334" s="0" t="s">
        <v>186</v>
      </c>
      <c r="E58334" s="0" t="s">
        <v>4438</v>
      </c>
      <c r="F58334" s="0" t="s">
        <v>10035</v>
      </c>
    </row>
    <row r="58336" customFormat="false" ht="12.8" hidden="false" customHeight="false" outlineLevel="0" collapsed="false">
      <c r="A58336" s="0" t="s">
        <v>19807</v>
      </c>
      <c r="B58336" s="0" t="str">
        <f aca="false">HYPERLINK("https://lindat.mff.cuni.cz/services/teitok/pdtc10/index.php?action=vallex&amp;frame=v-w8193f1", "vyplatit se (v-w8193f1) - substituted with v-w8193f3_ZU")</f>
        <v>vyplatit se (v-w8193f1) - substituted with v-w8193f3_ZU</v>
      </c>
    </row>
    <row r="58337" customFormat="false" ht="12.8" hidden="false" customHeight="false" outlineLevel="0" collapsed="false">
      <c r="B58337" s="0" t="s">
        <v>19808</v>
      </c>
    </row>
    <row r="58338" customFormat="false" ht="12.8" hidden="false" customHeight="false" outlineLevel="0" collapsed="false">
      <c r="B58338" s="0" t="s">
        <v>186</v>
      </c>
    </row>
    <row r="58340" customFormat="false" ht="12.8" hidden="false" customHeight="false" outlineLevel="0" collapsed="false">
      <c r="A58340" s="0" t="s">
        <v>19809</v>
      </c>
      <c r="B58340" s="0" t="str">
        <f aca="false">HYPERLINK("https://lindat.mff.cuni.cz/services/teitok/pdtc10/index.php?action=vallex&amp;frame=v-w8193f2", "vyplatit se (v-w8193f2)")</f>
        <v>vyplatit se (v-w8193f2)</v>
      </c>
    </row>
    <row r="58341" customFormat="false" ht="12.8" hidden="false" customHeight="false" outlineLevel="0" collapsed="false">
      <c r="B58341" s="0" t="s">
        <v>1</v>
      </c>
    </row>
    <row r="58342" customFormat="false" ht="12.8" hidden="false" customHeight="false" outlineLevel="0" collapsed="false">
      <c r="B58342" s="0" t="s">
        <v>763</v>
      </c>
    </row>
    <row r="58344" customFormat="false" ht="12.8" hidden="false" customHeight="false" outlineLevel="0" collapsed="false">
      <c r="A58344" s="0" t="s">
        <v>19810</v>
      </c>
      <c r="B58344" s="0" t="str">
        <f aca="false">HYPERLINK("https://lindat.mff.cuni.cz/services/teitok/pdtc10/index.php?action=vallex&amp;frame=v-w11084f2", "vyplavat (v-w11084f2)")</f>
        <v>vyplavat (v-w11084f2)</v>
      </c>
    </row>
    <row r="58345" customFormat="false" ht="12.8" hidden="false" customHeight="false" outlineLevel="0" collapsed="false">
      <c r="B58345" s="0" t="s">
        <v>1</v>
      </c>
    </row>
    <row r="58346" customFormat="false" ht="12.8" hidden="false" customHeight="false" outlineLevel="0" collapsed="false">
      <c r="B58346" s="0" t="s">
        <v>19391</v>
      </c>
    </row>
    <row r="58348" customFormat="false" ht="12.8" hidden="false" customHeight="false" outlineLevel="0" collapsed="false">
      <c r="A58348" s="0" t="s">
        <v>19811</v>
      </c>
      <c r="B58348" s="0" t="str">
        <f aca="false">HYPERLINK("https://lindat.mff.cuni.cz/services/teitok/pdtc10/index.php?action=vallex&amp;frame=v-w11084f3_ZU", "vyplavat (v-w11084f3_ZU)")</f>
        <v>vyplavat (v-w11084f3_ZU)</v>
      </c>
    </row>
    <row r="58349" customFormat="false" ht="12.8" hidden="false" customHeight="false" outlineLevel="0" collapsed="false">
      <c r="B58349" s="0" t="s">
        <v>1</v>
      </c>
    </row>
    <row r="58350" customFormat="false" ht="12.8" hidden="false" customHeight="false" outlineLevel="0" collapsed="false">
      <c r="B58350" s="0" t="s">
        <v>6273</v>
      </c>
    </row>
    <row r="58352" customFormat="false" ht="12.8" hidden="false" customHeight="false" outlineLevel="0" collapsed="false">
      <c r="A58352" s="0" t="s">
        <v>19812</v>
      </c>
      <c r="B58352" s="0" t="str">
        <f aca="false">HYPERLINK("https://lindat.mff.cuni.cz/services/teitok/pdtc10/index.php?action=vallex&amp;frame=v-whsb_1023hsa_1024", "vyplavat se (v-whsb_1023hsa_1024)")</f>
        <v>vyplavat se (v-whsb_1023hsa_1024)</v>
      </c>
    </row>
    <row r="58353" customFormat="false" ht="12.8" hidden="false" customHeight="false" outlineLevel="0" collapsed="false">
      <c r="B58353" s="0" t="s">
        <v>1</v>
      </c>
    </row>
    <row r="58355" customFormat="false" ht="12.8" hidden="false" customHeight="false" outlineLevel="0" collapsed="false">
      <c r="A58355" s="0" t="s">
        <v>19813</v>
      </c>
      <c r="B58355" s="0" t="str">
        <f aca="false">HYPERLINK("https://lindat.mff.cuni.cz/services/teitok/pdtc10/index.php?action=vallex&amp;frame=v-w11066f2", "vyplavit (v-w11066f2)")</f>
        <v>vyplavit (v-w11066f2)</v>
      </c>
    </row>
    <row r="58356" customFormat="false" ht="12.8" hidden="false" customHeight="false" outlineLevel="0" collapsed="false">
      <c r="B58356" s="0" t="s">
        <v>1</v>
      </c>
    </row>
    <row r="58357" customFormat="false" ht="12.8" hidden="false" customHeight="false" outlineLevel="0" collapsed="false">
      <c r="B58357" s="0" t="s">
        <v>8</v>
      </c>
    </row>
    <row r="58358" customFormat="false" ht="12.8" hidden="false" customHeight="false" outlineLevel="0" collapsed="false">
      <c r="B58358" s="0" t="s">
        <v>631</v>
      </c>
    </row>
    <row r="58360" customFormat="false" ht="12.8" hidden="false" customHeight="false" outlineLevel="0" collapsed="false">
      <c r="A58360" s="0" t="s">
        <v>19814</v>
      </c>
      <c r="B58360" s="0" t="str">
        <f aca="false">HYPERLINK("https://lindat.mff.cuni.cz/services/teitok/pdtc10/index.php?action=vallex&amp;frame=v-w11066f3_ZU", "vyplavit (v-w11066f3_ZU)")</f>
        <v>vyplavit (v-w11066f3_ZU)</v>
      </c>
    </row>
    <row r="58361" customFormat="false" ht="12.8" hidden="false" customHeight="false" outlineLevel="0" collapsed="false">
      <c r="B58361" s="0" t="s">
        <v>1</v>
      </c>
    </row>
    <row r="58362" customFormat="false" ht="12.8" hidden="false" customHeight="false" outlineLevel="0" collapsed="false">
      <c r="B58362" s="0" t="s">
        <v>8</v>
      </c>
    </row>
    <row r="58364" customFormat="false" ht="12.8" hidden="false" customHeight="false" outlineLevel="0" collapsed="false">
      <c r="A58364" s="0" t="s">
        <v>19815</v>
      </c>
      <c r="B58364" s="0" t="str">
        <f aca="false">HYPERLINK("https://lindat.mff.cuni.cz/services/teitok/pdtc10/index.php?action=vallex&amp;frame=v-w12107_ZUf1_ZU", "vyplazovat (v-w12107_ZUf1_ZU)")</f>
        <v>vyplazovat (v-w12107_ZUf1_ZU)</v>
      </c>
    </row>
    <row r="58365" customFormat="false" ht="12.8" hidden="false" customHeight="false" outlineLevel="0" collapsed="false">
      <c r="B58365" s="0" t="s">
        <v>1</v>
      </c>
    </row>
    <row r="58366" customFormat="false" ht="12.8" hidden="false" customHeight="false" outlineLevel="0" collapsed="false">
      <c r="B58366" s="0" t="s">
        <v>8</v>
      </c>
    </row>
    <row r="58367" customFormat="false" ht="12.8" hidden="false" customHeight="false" outlineLevel="0" collapsed="false">
      <c r="B58367" s="0" t="s">
        <v>4688</v>
      </c>
    </row>
    <row r="58369" customFormat="false" ht="12.8" hidden="false" customHeight="false" outlineLevel="0" collapsed="false">
      <c r="A58369" s="0" t="s">
        <v>19816</v>
      </c>
      <c r="B58369" s="0" t="str">
        <f aca="false">HYPERLINK("https://lindat.mff.cuni.cz/services/teitok/pdtc10/index.php?action=vallex&amp;frame=v-w8190f1", "vyplašit (v-w8190f1)")</f>
        <v>vyplašit (v-w8190f1)</v>
      </c>
      <c r="E58369" s="0" t="str">
        <f aca="false">HYPERLINK("https://lindat.mff.cuni.cz/services/SynSemClass40/SynSemClass40.html?veclass=vec00761#vec00761-ces-cm00008", "vec00761")</f>
        <v>vec00761</v>
      </c>
      <c r="F58369" s="0" t="s">
        <v>4014</v>
      </c>
    </row>
    <row r="58370" customFormat="false" ht="12.8" hidden="false" customHeight="false" outlineLevel="0" collapsed="false">
      <c r="B58370" s="0" t="s">
        <v>1</v>
      </c>
      <c r="C58370" s="0" t="s">
        <v>4015</v>
      </c>
      <c r="E58370" s="0" t="s">
        <v>1103</v>
      </c>
      <c r="F58370" s="0" t="s">
        <v>4016</v>
      </c>
    </row>
    <row r="58371" customFormat="false" ht="12.8" hidden="false" customHeight="false" outlineLevel="0" collapsed="false">
      <c r="B58371" s="0" t="s">
        <v>8</v>
      </c>
      <c r="C58371" s="0" t="s">
        <v>4017</v>
      </c>
      <c r="E58371" s="0" t="s">
        <v>199</v>
      </c>
      <c r="F58371" s="0" t="s">
        <v>4018</v>
      </c>
    </row>
    <row r="58373" customFormat="false" ht="12.8" hidden="false" customHeight="false" outlineLevel="0" collapsed="false">
      <c r="A58373" s="0" t="s">
        <v>19817</v>
      </c>
      <c r="B58373" s="0" t="str">
        <f aca="false">HYPERLINK("https://lindat.mff.cuni.cz/services/teitok/pdtc10/index.php?action=vallex&amp;frame=v-w8194f1", "vyplenit (v-w8194f1)")</f>
        <v>vyplenit (v-w8194f1)</v>
      </c>
    </row>
    <row r="58374" customFormat="false" ht="12.8" hidden="false" customHeight="false" outlineLevel="0" collapsed="false">
      <c r="B58374" s="0" t="s">
        <v>1</v>
      </c>
    </row>
    <row r="58375" customFormat="false" ht="12.8" hidden="false" customHeight="false" outlineLevel="0" collapsed="false">
      <c r="B58375" s="0" t="s">
        <v>8</v>
      </c>
    </row>
    <row r="58377" customFormat="false" ht="12.8" hidden="false" customHeight="false" outlineLevel="0" collapsed="false">
      <c r="A58377" s="0" t="s">
        <v>19818</v>
      </c>
      <c r="B58377" s="0" t="str">
        <f aca="false">HYPERLINK("https://lindat.mff.cuni.cz/services/teitok/pdtc10/index.php?action=vallex&amp;frame=v-w8195f1", "vyplivnout (v-w8195f1)")</f>
        <v>vyplivnout (v-w8195f1)</v>
      </c>
      <c r="E58377" s="0" t="str">
        <f aca="false">HYPERLINK("https://lindat.mff.cuni.cz/services/SynSemClass40/SynSemClass40.html?veclass=vec00614#vec00614-ces-cm00005", "vec00614")</f>
        <v>vec00614</v>
      </c>
      <c r="F58377" s="0" t="s">
        <v>1465</v>
      </c>
    </row>
    <row r="58378" customFormat="false" ht="12.8" hidden="false" customHeight="false" outlineLevel="0" collapsed="false">
      <c r="B58378" s="0" t="s">
        <v>1</v>
      </c>
      <c r="C58378" s="0" t="s">
        <v>512</v>
      </c>
      <c r="E58378" s="0" t="s">
        <v>768</v>
      </c>
      <c r="F58378" s="0" t="s">
        <v>1466</v>
      </c>
    </row>
    <row r="58379" customFormat="false" ht="12.8" hidden="false" customHeight="false" outlineLevel="0" collapsed="false">
      <c r="B58379" s="0" t="s">
        <v>8</v>
      </c>
      <c r="C58379" s="0" t="s">
        <v>531</v>
      </c>
      <c r="E58379" s="0" t="s">
        <v>771</v>
      </c>
      <c r="F58379" s="0" t="s">
        <v>1467</v>
      </c>
    </row>
    <row r="58381" customFormat="false" ht="12.8" hidden="false" customHeight="false" outlineLevel="0" collapsed="false">
      <c r="A58381" s="0" t="s">
        <v>19819</v>
      </c>
      <c r="B58381" s="0" t="str">
        <f aca="false">HYPERLINK("https://lindat.mff.cuni.cz/services/teitok/pdtc10/index.php?action=vallex&amp;frame=v-w11625_ZUf1_ZU", "vyplivovat (v-w11625_ZUf1_ZU)")</f>
        <v>vyplivovat (v-w11625_ZUf1_ZU)</v>
      </c>
      <c r="E58381" s="0" t="str">
        <f aca="false">HYPERLINK("https://lindat.mff.cuni.cz/services/SynSemClass40/SynSemClass40.html?veclass=vec00614#vec00614-ces-cm00004", "vec00614")</f>
        <v>vec00614</v>
      </c>
      <c r="F58381" s="0" t="s">
        <v>1465</v>
      </c>
    </row>
    <row r="58382" customFormat="false" ht="12.8" hidden="false" customHeight="false" outlineLevel="0" collapsed="false">
      <c r="B58382" s="0" t="s">
        <v>1</v>
      </c>
      <c r="C58382" s="0" t="s">
        <v>512</v>
      </c>
      <c r="E58382" s="0" t="s">
        <v>768</v>
      </c>
      <c r="F58382" s="0" t="s">
        <v>1466</v>
      </c>
    </row>
    <row r="58383" customFormat="false" ht="12.8" hidden="false" customHeight="false" outlineLevel="0" collapsed="false">
      <c r="B58383" s="0" t="s">
        <v>8</v>
      </c>
      <c r="C58383" s="0" t="s">
        <v>531</v>
      </c>
      <c r="E58383" s="0" t="s">
        <v>771</v>
      </c>
      <c r="F58383" s="0" t="s">
        <v>1467</v>
      </c>
    </row>
    <row r="58385" customFormat="false" ht="12.8" hidden="false" customHeight="false" outlineLevel="0" collapsed="false">
      <c r="A58385" s="0" t="s">
        <v>19820</v>
      </c>
      <c r="B58385" s="0" t="str">
        <f aca="false">HYPERLINK("https://lindat.mff.cuni.cz/services/teitok/pdtc10/index.php?action=vallex&amp;frame=v-w8197f2_ZU", "vyplnit (v-w8197f2_ZU)")</f>
        <v>vyplnit (v-w8197f2_ZU)</v>
      </c>
      <c r="E58385" s="0" t="str">
        <f aca="false">HYPERLINK("https://lindat.mff.cuni.cz/services/SynSemClass40/SynSemClass40.html?veclass=vec00577#vec00577-ces-cm00009", "vec00577")</f>
        <v>vec00577</v>
      </c>
      <c r="F58385" s="0" t="s">
        <v>7484</v>
      </c>
    </row>
    <row r="58386" customFormat="false" ht="12.8" hidden="false" customHeight="false" outlineLevel="0" collapsed="false">
      <c r="B58386" s="0" t="s">
        <v>1</v>
      </c>
      <c r="C58386" s="0" t="s">
        <v>7485</v>
      </c>
      <c r="E58386" s="0" t="s">
        <v>31</v>
      </c>
      <c r="F58386" s="0" t="s">
        <v>7486</v>
      </c>
    </row>
    <row r="58387" customFormat="false" ht="12.8" hidden="false" customHeight="false" outlineLevel="0" collapsed="false">
      <c r="B58387" s="0" t="s">
        <v>8</v>
      </c>
      <c r="C58387" s="0" t="s">
        <v>7487</v>
      </c>
      <c r="E58387" s="0" t="s">
        <v>7098</v>
      </c>
      <c r="F58387" s="0" t="s">
        <v>7488</v>
      </c>
    </row>
    <row r="58388" customFormat="false" ht="12.8" hidden="false" customHeight="false" outlineLevel="0" collapsed="false">
      <c r="B58388" s="0" t="s">
        <v>7045</v>
      </c>
      <c r="C58388" s="0" t="s">
        <v>7489</v>
      </c>
      <c r="E58388" s="0" t="s">
        <v>7101</v>
      </c>
      <c r="F58388" s="0" t="s">
        <v>7490</v>
      </c>
    </row>
    <row r="58390" customFormat="false" ht="12.8" hidden="false" customHeight="false" outlineLevel="0" collapsed="false">
      <c r="A58390" s="0" t="s">
        <v>19821</v>
      </c>
      <c r="B58390" s="0" t="str">
        <f aca="false">HYPERLINK("https://lindat.mff.cuni.cz/services/teitok/pdtc10/index.php?action=vallex&amp;frame=v-w8197f1", "vyplnit (v-w8197f1)")</f>
        <v>vyplnit (v-w8197f1)</v>
      </c>
      <c r="E58390" s="0" t="str">
        <f aca="false">HYPERLINK("https://lindat.mff.cuni.cz/services/SynSemClass40/SynSemClass40.html?veclass=vec00966#vec00966-ces-cm00060", "vec00966")</f>
        <v>vec00966</v>
      </c>
      <c r="F58390" s="0" t="s">
        <v>19822</v>
      </c>
    </row>
    <row r="58391" customFormat="false" ht="12.8" hidden="false" customHeight="false" outlineLevel="0" collapsed="false">
      <c r="B58391" s="0" t="s">
        <v>1</v>
      </c>
      <c r="E58391" s="0" t="s">
        <v>768</v>
      </c>
      <c r="F58391" s="0" t="s">
        <v>16088</v>
      </c>
    </row>
    <row r="58392" customFormat="false" ht="12.8" hidden="false" customHeight="false" outlineLevel="0" collapsed="false">
      <c r="B58392" s="0" t="s">
        <v>8</v>
      </c>
      <c r="C58392" s="0" t="s">
        <v>744</v>
      </c>
      <c r="E58392" s="0" t="s">
        <v>218</v>
      </c>
      <c r="F58392" s="0" t="s">
        <v>19823</v>
      </c>
    </row>
    <row r="58394" customFormat="false" ht="12.8" hidden="false" customHeight="false" outlineLevel="0" collapsed="false">
      <c r="A58394" s="0" t="s">
        <v>19824</v>
      </c>
      <c r="B58394" s="0" t="str">
        <f aca="false">HYPERLINK("https://lindat.mff.cuni.cz/services/teitok/pdtc10/index.php?action=vallex&amp;frame=v-w8197hsa_1284", "vyplnit (v-w8197hsa_1284)")</f>
        <v>vyplnit (v-w8197hsa_1284)</v>
      </c>
    </row>
    <row r="58395" customFormat="false" ht="12.8" hidden="false" customHeight="false" outlineLevel="0" collapsed="false">
      <c r="B58395" s="0" t="s">
        <v>1</v>
      </c>
    </row>
    <row r="58396" customFormat="false" ht="12.8" hidden="false" customHeight="false" outlineLevel="0" collapsed="false">
      <c r="B58396" s="0" t="s">
        <v>8</v>
      </c>
    </row>
    <row r="58398" customFormat="false" ht="12.8" hidden="false" customHeight="false" outlineLevel="0" collapsed="false">
      <c r="A58398" s="0" t="s">
        <v>19825</v>
      </c>
      <c r="B58398" s="0" t="str">
        <f aca="false">HYPERLINK("https://lindat.mff.cuni.cz/services/teitok/pdtc10/index.php?action=vallex&amp;frame=v-w8198f1", "vyplnit se (v-w8198f1)")</f>
        <v>vyplnit se (v-w8198f1)</v>
      </c>
    </row>
    <row r="58399" customFormat="false" ht="12.8" hidden="false" customHeight="false" outlineLevel="0" collapsed="false">
      <c r="B58399" s="0" t="s">
        <v>1</v>
      </c>
    </row>
    <row r="58401" customFormat="false" ht="12.8" hidden="false" customHeight="false" outlineLevel="0" collapsed="false">
      <c r="A58401" s="0" t="s">
        <v>19826</v>
      </c>
      <c r="B58401" s="0" t="str">
        <f aca="false">HYPERLINK("https://lindat.mff.cuni.cz/services/teitok/pdtc10/index.php?action=vallex&amp;frame=v-w10312f2", "vyplodit (v-w10312f2)")</f>
        <v>vyplodit (v-w10312f2)</v>
      </c>
    </row>
    <row r="58402" customFormat="false" ht="12.8" hidden="false" customHeight="false" outlineLevel="0" collapsed="false">
      <c r="B58402" s="0" t="s">
        <v>1</v>
      </c>
    </row>
    <row r="58403" customFormat="false" ht="12.8" hidden="false" customHeight="false" outlineLevel="0" collapsed="false">
      <c r="B58403" s="0" t="s">
        <v>8</v>
      </c>
    </row>
    <row r="58405" customFormat="false" ht="12.8" hidden="false" customHeight="false" outlineLevel="0" collapsed="false">
      <c r="A58405" s="0" t="s">
        <v>19827</v>
      </c>
      <c r="B58405" s="0" t="str">
        <f aca="false">HYPERLINK("https://lindat.mff.cuni.cz/services/teitok/pdtc10/index.php?action=vallex&amp;frame=v-w8202f1", "vyplout (v-w8202f1)")</f>
        <v>vyplout (v-w8202f1)</v>
      </c>
    </row>
    <row r="58406" customFormat="false" ht="12.8" hidden="false" customHeight="false" outlineLevel="0" collapsed="false">
      <c r="B58406" s="0" t="s">
        <v>1</v>
      </c>
    </row>
    <row r="58407" customFormat="false" ht="12.8" hidden="false" customHeight="false" outlineLevel="0" collapsed="false">
      <c r="B58407" s="0" t="s">
        <v>631</v>
      </c>
    </row>
    <row r="58409" customFormat="false" ht="12.8" hidden="false" customHeight="false" outlineLevel="0" collapsed="false">
      <c r="A58409" s="0" t="s">
        <v>19828</v>
      </c>
      <c r="B58409" s="0" t="str">
        <f aca="false">HYPERLINK("https://lindat.mff.cuni.cz/services/teitok/pdtc10/index.php?action=vallex&amp;frame=v-w8203f1", "vyplouvat (v-w8203f1)")</f>
        <v>vyplouvat (v-w8203f1)</v>
      </c>
    </row>
    <row r="58410" customFormat="false" ht="12.8" hidden="false" customHeight="false" outlineLevel="0" collapsed="false">
      <c r="B58410" s="0" t="s">
        <v>1</v>
      </c>
    </row>
    <row r="58411" customFormat="false" ht="12.8" hidden="false" customHeight="false" outlineLevel="0" collapsed="false">
      <c r="B58411" s="0" t="s">
        <v>631</v>
      </c>
    </row>
    <row r="58413" customFormat="false" ht="12.8" hidden="false" customHeight="false" outlineLevel="0" collapsed="false">
      <c r="A58413" s="0" t="s">
        <v>19829</v>
      </c>
      <c r="B58413" s="0" t="str">
        <f aca="false">HYPERLINK("https://lindat.mff.cuni.cz/services/teitok/pdtc10/index.php?action=vallex&amp;frame=v-w8203f2", "vyplouvat (v-w8203f2)")</f>
        <v>vyplouvat (v-w8203f2)</v>
      </c>
    </row>
    <row r="58414" customFormat="false" ht="12.8" hidden="false" customHeight="false" outlineLevel="0" collapsed="false">
      <c r="B58414" s="0" t="s">
        <v>1</v>
      </c>
    </row>
    <row r="58415" customFormat="false" ht="12.8" hidden="false" customHeight="false" outlineLevel="0" collapsed="false">
      <c r="B58415" s="0" t="s">
        <v>19391</v>
      </c>
    </row>
    <row r="58417" customFormat="false" ht="12.8" hidden="false" customHeight="false" outlineLevel="0" collapsed="false">
      <c r="A58417" s="0" t="s">
        <v>19830</v>
      </c>
      <c r="B58417" s="0" t="str">
        <f aca="false">HYPERLINK("https://lindat.mff.cuni.cz/services/teitok/pdtc10/index.php?action=vallex&amp;frame=v-w8205f1", "vyplynout (v-w8205f1)")</f>
        <v>vyplynout (v-w8205f1)</v>
      </c>
      <c r="E58417" s="0" t="str">
        <f aca="false">HYPERLINK("https://lindat.mff.cuni.cz/services/SynSemClass40/SynSemClass40.html?veclass=vec00258#vec00258-ces-cm00010", "vec00258")</f>
        <v>vec00258</v>
      </c>
      <c r="F58417" s="0" t="s">
        <v>10649</v>
      </c>
    </row>
    <row r="58418" customFormat="false" ht="12.8" hidden="false" customHeight="false" outlineLevel="0" collapsed="false">
      <c r="B58418" s="0" t="s">
        <v>843</v>
      </c>
      <c r="C58418" s="0" t="s">
        <v>10650</v>
      </c>
      <c r="E58418" s="0" t="s">
        <v>957</v>
      </c>
      <c r="F58418" s="0" t="s">
        <v>10651</v>
      </c>
    </row>
    <row r="58419" customFormat="false" ht="12.8" hidden="false" customHeight="false" outlineLevel="0" collapsed="false">
      <c r="B58419" s="0" t="s">
        <v>298</v>
      </c>
      <c r="C58419" s="0" t="s">
        <v>10652</v>
      </c>
      <c r="E58419" s="0" t="s">
        <v>6001</v>
      </c>
      <c r="F58419" s="0" t="s">
        <v>10653</v>
      </c>
    </row>
    <row r="58421" customFormat="false" ht="12.8" hidden="false" customHeight="false" outlineLevel="0" collapsed="false">
      <c r="A58421" s="0" t="s">
        <v>19831</v>
      </c>
      <c r="B58421" s="0" t="str">
        <f aca="false">HYPERLINK("https://lindat.mff.cuni.cz/services/teitok/pdtc10/index.php?action=vallex&amp;frame=v-w11832_ZUf1_ZU", "vyplynovat (v-w11832_ZUf1_ZU)")</f>
        <v>vyplynovat (v-w11832_ZUf1_ZU)</v>
      </c>
    </row>
    <row r="58422" customFormat="false" ht="12.8" hidden="false" customHeight="false" outlineLevel="0" collapsed="false">
      <c r="B58422" s="0" t="s">
        <v>1</v>
      </c>
    </row>
    <row r="58423" customFormat="false" ht="12.8" hidden="false" customHeight="false" outlineLevel="0" collapsed="false">
      <c r="B58423" s="0" t="s">
        <v>8</v>
      </c>
    </row>
    <row r="58425" customFormat="false" ht="12.8" hidden="false" customHeight="false" outlineLevel="0" collapsed="false">
      <c r="A58425" s="0" t="s">
        <v>19832</v>
      </c>
      <c r="B58425" s="0" t="str">
        <f aca="false">HYPERLINK("https://lindat.mff.cuni.cz/services/teitok/pdtc10/index.php?action=vallex&amp;frame=v-w8188f1", "vyplácet (v-w8188f1)")</f>
        <v>vyplácet (v-w8188f1)</v>
      </c>
      <c r="E58425" s="0" t="str">
        <f aca="false">HYPERLINK("https://lindat.mff.cuni.cz/services/SynSemClass40/SynSemClass40.html?veclass=vec01356#vec01356-ces-cm00001", "vec01356")</f>
        <v>vec01356</v>
      </c>
      <c r="F58425" s="0" t="s">
        <v>4139</v>
      </c>
    </row>
    <row r="58426" customFormat="false" ht="12.8" hidden="false" customHeight="false" outlineLevel="0" collapsed="false">
      <c r="B58426" s="0" t="s">
        <v>1</v>
      </c>
      <c r="C58426" s="0" t="s">
        <v>10507</v>
      </c>
      <c r="E58426" s="0" t="s">
        <v>2554</v>
      </c>
      <c r="F58426" s="0" t="s">
        <v>4141</v>
      </c>
    </row>
    <row r="58427" customFormat="false" ht="12.8" hidden="false" customHeight="false" outlineLevel="0" collapsed="false">
      <c r="B58427" s="0" t="s">
        <v>8</v>
      </c>
      <c r="C58427" s="0" t="s">
        <v>19833</v>
      </c>
      <c r="E58427" s="0" t="s">
        <v>4565</v>
      </c>
      <c r="F58427" s="0" t="s">
        <v>4566</v>
      </c>
    </row>
    <row r="58428" customFormat="false" ht="12.8" hidden="false" customHeight="false" outlineLevel="0" collapsed="false">
      <c r="B58428" s="0" t="s">
        <v>52</v>
      </c>
      <c r="C58428" s="0" t="s">
        <v>19834</v>
      </c>
      <c r="E58428" s="0" t="s">
        <v>2560</v>
      </c>
      <c r="F58428" s="0" t="s">
        <v>4568</v>
      </c>
    </row>
    <row r="58430" customFormat="false" ht="12.8" hidden="false" customHeight="false" outlineLevel="0" collapsed="false">
      <c r="A58430" s="0" t="s">
        <v>19835</v>
      </c>
      <c r="B58430" s="0" t="str">
        <f aca="false">HYPERLINK("https://lindat.mff.cuni.cz/services/teitok/pdtc10/index.php?action=vallex&amp;frame=v-w8188f3_ZU", "vyplácet (v-w8188f3_ZU)")</f>
        <v>vyplácet (v-w8188f3_ZU)</v>
      </c>
      <c r="E58430" s="0" t="str">
        <f aca="false">HYPERLINK("https://lindat.mff.cuni.cz/services/SynSemClass40/SynSemClass40.html?veclass=vec01159#vec01159-ces-cm00028", "vec01159")</f>
        <v>vec01159</v>
      </c>
      <c r="F58430" s="0" t="s">
        <v>19802</v>
      </c>
    </row>
    <row r="58431" customFormat="false" ht="12.8" hidden="false" customHeight="false" outlineLevel="0" collapsed="false">
      <c r="B58431" s="0" t="s">
        <v>1</v>
      </c>
      <c r="C58431" s="0" t="s">
        <v>459</v>
      </c>
      <c r="E58431" s="0" t="s">
        <v>2554</v>
      </c>
      <c r="F58431" s="0" t="s">
        <v>19804</v>
      </c>
    </row>
    <row r="58432" customFormat="false" ht="12.8" hidden="false" customHeight="false" outlineLevel="0" collapsed="false">
      <c r="B58432" s="0" t="s">
        <v>8</v>
      </c>
      <c r="C58432" s="0" t="s">
        <v>19836</v>
      </c>
      <c r="E58432" s="0" t="s">
        <v>4143</v>
      </c>
      <c r="F58432" s="0" t="s">
        <v>19806</v>
      </c>
    </row>
    <row r="58434" customFormat="false" ht="12.8" hidden="false" customHeight="false" outlineLevel="0" collapsed="false">
      <c r="A58434" s="0" t="s">
        <v>19837</v>
      </c>
      <c r="B58434" s="0" t="str">
        <f aca="false">HYPERLINK("https://lindat.mff.cuni.cz/services/teitok/pdtc10/index.php?action=vallex&amp;frame=v-w8188f2", "vyplácet (v-w8188f2)")</f>
        <v>vyplácet (v-w8188f2)</v>
      </c>
      <c r="E58434" s="0" t="str">
        <f aca="false">HYPERLINK("https://lindat.mff.cuni.cz/services/SynSemClass40/SynSemClass40.html?veclass=vec00125#vec00125-ces-cm00079", "vec00125")</f>
        <v>vec00125</v>
      </c>
      <c r="F58434" s="0" t="s">
        <v>2552</v>
      </c>
      <c r="H58434" s="0" t="str">
        <f aca="false">HYPERLINK("https://lindat.mff.cuni.cz/services/SynSemClass40/SynSemClass40.html?veclass=vec01356#vec01356-ces-cm00023", "vec01356")</f>
        <v>vec01356</v>
      </c>
      <c r="I58434" s="0" t="s">
        <v>4139</v>
      </c>
    </row>
    <row r="58435" customFormat="false" ht="12.8" hidden="false" customHeight="false" outlineLevel="0" collapsed="false">
      <c r="B58435" s="0" t="s">
        <v>1</v>
      </c>
      <c r="C58435" s="0" t="s">
        <v>4563</v>
      </c>
      <c r="E58435" s="0" t="s">
        <v>2554</v>
      </c>
      <c r="F58435" s="0" t="s">
        <v>2555</v>
      </c>
      <c r="H58435" s="0" t="s">
        <v>2554</v>
      </c>
      <c r="I58435" s="0" t="s">
        <v>4141</v>
      </c>
    </row>
    <row r="58436" customFormat="false" ht="12.8" hidden="false" customHeight="false" outlineLevel="0" collapsed="false">
      <c r="B58436" s="0" t="s">
        <v>865</v>
      </c>
      <c r="C58436" s="0" t="s">
        <v>10513</v>
      </c>
      <c r="E58436" s="0" t="s">
        <v>2572</v>
      </c>
      <c r="F58436" s="0" t="s">
        <v>2573</v>
      </c>
      <c r="H58436" s="0" t="s">
        <v>10514</v>
      </c>
      <c r="I58436" s="0" t="s">
        <v>10515</v>
      </c>
    </row>
    <row r="58437" customFormat="false" ht="12.8" hidden="false" customHeight="false" outlineLevel="0" collapsed="false">
      <c r="B58437" s="0" t="s">
        <v>2069</v>
      </c>
    </row>
    <row r="58438" customFormat="false" ht="12.8" hidden="false" customHeight="false" outlineLevel="0" collapsed="false">
      <c r="B58438" s="0" t="s">
        <v>132</v>
      </c>
      <c r="C58438" s="0" t="s">
        <v>4567</v>
      </c>
      <c r="E58438" s="0" t="s">
        <v>2560</v>
      </c>
      <c r="F58438" s="0" t="s">
        <v>2561</v>
      </c>
      <c r="H58438" s="0" t="s">
        <v>2560</v>
      </c>
      <c r="I58438" s="0" t="s">
        <v>4568</v>
      </c>
    </row>
    <row r="58440" customFormat="false" ht="12.8" hidden="false" customHeight="false" outlineLevel="0" collapsed="false">
      <c r="A58440" s="0" t="s">
        <v>19838</v>
      </c>
      <c r="B58440" s="0" t="str">
        <f aca="false">HYPERLINK("https://lindat.mff.cuni.cz/services/teitok/pdtc10/index.php?action=vallex&amp;frame=v-w8188f4_ZU", "vyplácet (v-w8188f4_ZU)")</f>
        <v>vyplácet (v-w8188f4_ZU)</v>
      </c>
      <c r="E58440" s="0" t="str">
        <f aca="false">HYPERLINK("https://lindat.mff.cuni.cz/services/SynSemClass40/SynSemClass40.html?veclass=vec01159#vec01159-ces-cm00029", "vec01159")</f>
        <v>vec01159</v>
      </c>
      <c r="F58440" s="0" t="s">
        <v>19802</v>
      </c>
    </row>
    <row r="58441" customFormat="false" ht="12.8" hidden="false" customHeight="false" outlineLevel="0" collapsed="false">
      <c r="B58441" s="0" t="s">
        <v>1</v>
      </c>
      <c r="C58441" s="0" t="s">
        <v>459</v>
      </c>
      <c r="E58441" s="0" t="s">
        <v>2554</v>
      </c>
      <c r="F58441" s="0" t="s">
        <v>19804</v>
      </c>
    </row>
    <row r="58442" customFormat="false" ht="12.8" hidden="false" customHeight="false" outlineLevel="0" collapsed="false">
      <c r="B58442" s="0" t="s">
        <v>8</v>
      </c>
      <c r="C58442" s="0" t="s">
        <v>19836</v>
      </c>
      <c r="E58442" s="0" t="s">
        <v>4143</v>
      </c>
      <c r="F58442" s="0" t="s">
        <v>19806</v>
      </c>
    </row>
    <row r="58444" customFormat="false" ht="12.8" hidden="false" customHeight="false" outlineLevel="0" collapsed="false">
      <c r="A58444" s="0" t="s">
        <v>19838</v>
      </c>
      <c r="B58444" s="0" t="str">
        <f aca="false">HYPERLINK("https://lindat.mff.cuni.cz/services/teitok/pdtc10/index.php?action=vallex&amp;frame=v-w8188hsa_240", "vyplácet (v-w8188hsa_240) - substituted with v-w8188f4_ZU")</f>
        <v>vyplácet (v-w8188hsa_240) - substituted with v-w8188f4_ZU</v>
      </c>
    </row>
    <row r="58445" customFormat="false" ht="12.8" hidden="false" customHeight="false" outlineLevel="0" collapsed="false">
      <c r="B58445" s="0" t="s">
        <v>1</v>
      </c>
    </row>
    <row r="58446" customFormat="false" ht="12.8" hidden="false" customHeight="false" outlineLevel="0" collapsed="false">
      <c r="B58446" s="0" t="s">
        <v>8</v>
      </c>
    </row>
    <row r="58448" customFormat="false" ht="12.8" hidden="false" customHeight="false" outlineLevel="0" collapsed="false">
      <c r="A58448" s="0" t="s">
        <v>19839</v>
      </c>
      <c r="B58448" s="0" t="str">
        <f aca="false">HYPERLINK("https://lindat.mff.cuni.cz/services/teitok/pdtc10/index.php?action=vallex&amp;frame=v-w8188f6_ZU", "vyplácet (v-w8188f6_ZU)")</f>
        <v>vyplácet (v-w8188f6_ZU)</v>
      </c>
      <c r="E58448" s="0" t="str">
        <f aca="false">HYPERLINK("https://lindat.mff.cuni.cz/services/SynSemClass40/SynSemClass40.html?veclass=vec00125#vec00125-ces-cm00080", "vec00125")</f>
        <v>vec00125</v>
      </c>
      <c r="F58448" s="0" t="s">
        <v>2552</v>
      </c>
      <c r="H58448" s="0" t="str">
        <f aca="false">HYPERLINK("https://lindat.mff.cuni.cz/services/SynSemClass40/SynSemClass40.html?veclass=vec01356#vec01356-ces-cm00024", "vec01356")</f>
        <v>vec01356</v>
      </c>
      <c r="I58448" s="0" t="s">
        <v>4139</v>
      </c>
    </row>
    <row r="58449" customFormat="false" ht="12.8" hidden="false" customHeight="false" outlineLevel="0" collapsed="false">
      <c r="B58449" s="0" t="s">
        <v>1</v>
      </c>
      <c r="C58449" s="0" t="s">
        <v>4563</v>
      </c>
      <c r="E58449" s="0" t="s">
        <v>2554</v>
      </c>
      <c r="F58449" s="0" t="s">
        <v>2555</v>
      </c>
      <c r="H58449" s="0" t="s">
        <v>2554</v>
      </c>
      <c r="I58449" s="0" t="s">
        <v>4141</v>
      </c>
    </row>
    <row r="58450" customFormat="false" ht="12.8" hidden="false" customHeight="false" outlineLevel="0" collapsed="false">
      <c r="B58450" s="0" t="s">
        <v>8</v>
      </c>
      <c r="C58450" s="0" t="s">
        <v>4564</v>
      </c>
      <c r="E58450" s="0" t="s">
        <v>2557</v>
      </c>
      <c r="F58450" s="0" t="s">
        <v>2558</v>
      </c>
      <c r="H58450" s="0" t="s">
        <v>4565</v>
      </c>
      <c r="I58450" s="0" t="s">
        <v>4566</v>
      </c>
    </row>
    <row r="58451" customFormat="false" ht="12.8" hidden="false" customHeight="false" outlineLevel="0" collapsed="false">
      <c r="B58451" s="0" t="s">
        <v>132</v>
      </c>
      <c r="C58451" s="0" t="s">
        <v>4567</v>
      </c>
      <c r="E58451" s="0" t="s">
        <v>2560</v>
      </c>
      <c r="F58451" s="0" t="s">
        <v>2561</v>
      </c>
      <c r="H58451" s="0" t="s">
        <v>2560</v>
      </c>
      <c r="I58451" s="0" t="s">
        <v>4568</v>
      </c>
    </row>
    <row r="58452" customFormat="false" ht="12.8" hidden="false" customHeight="false" outlineLevel="0" collapsed="false">
      <c r="B58452" s="0" t="s">
        <v>723</v>
      </c>
    </row>
    <row r="58454" customFormat="false" ht="12.8" hidden="false" customHeight="false" outlineLevel="0" collapsed="false">
      <c r="A58454" s="0" t="s">
        <v>19839</v>
      </c>
      <c r="B58454" s="0" t="str">
        <f aca="false">HYPERLINK("https://lindat.mff.cuni.cz/services/teitok/pdtc10/index.php?action=vallex&amp;frame=v-w8188f5_ZU", "vyplácet (v-w8188f5_ZU) - substituted with v-w8188f6_ZU")</f>
        <v>vyplácet (v-w8188f5_ZU) - substituted with v-w8188f6_ZU</v>
      </c>
    </row>
    <row r="58455" customFormat="false" ht="12.8" hidden="false" customHeight="false" outlineLevel="0" collapsed="false">
      <c r="B58455" s="0" t="s">
        <v>1</v>
      </c>
    </row>
    <row r="58456" customFormat="false" ht="12.8" hidden="false" customHeight="false" outlineLevel="0" collapsed="false">
      <c r="B58456" s="0" t="s">
        <v>8</v>
      </c>
    </row>
    <row r="58457" customFormat="false" ht="12.8" hidden="false" customHeight="false" outlineLevel="0" collapsed="false">
      <c r="B58457" s="0" t="s">
        <v>132</v>
      </c>
    </row>
    <row r="58458" customFormat="false" ht="12.8" hidden="false" customHeight="false" outlineLevel="0" collapsed="false">
      <c r="B58458" s="0" t="s">
        <v>723</v>
      </c>
    </row>
    <row r="58460" customFormat="false" ht="12.8" hidden="false" customHeight="false" outlineLevel="0" collapsed="false">
      <c r="A58460" s="0" t="s">
        <v>19840</v>
      </c>
      <c r="B58460" s="0" t="str">
        <f aca="false">HYPERLINK("https://lindat.mff.cuni.cz/services/teitok/pdtc10/index.php?action=vallex&amp;frame=v-w8189f1", "vyplácet se (v-w8189f1)")</f>
        <v>vyplácet se (v-w8189f1)</v>
      </c>
      <c r="E58460" s="0" t="str">
        <f aca="false">HYPERLINK("https://lindat.mff.cuni.cz/services/SynSemClass40/SynSemClass40.html?veclass=vec00757#vec00757-ces-cm00001", "vec00757")</f>
        <v>vec00757</v>
      </c>
      <c r="F58460" s="0" t="s">
        <v>10032</v>
      </c>
    </row>
    <row r="58461" customFormat="false" ht="12.8" hidden="false" customHeight="false" outlineLevel="0" collapsed="false">
      <c r="B58461" s="0" t="s">
        <v>835</v>
      </c>
      <c r="C58461" s="0" t="s">
        <v>10033</v>
      </c>
      <c r="E58461" s="0" t="s">
        <v>2151</v>
      </c>
      <c r="F58461" s="0" t="s">
        <v>10034</v>
      </c>
    </row>
    <row r="58462" customFormat="false" ht="12.8" hidden="false" customHeight="false" outlineLevel="0" collapsed="false">
      <c r="B58462" s="0" t="s">
        <v>186</v>
      </c>
      <c r="E58462" s="0" t="s">
        <v>4438</v>
      </c>
      <c r="F58462" s="0" t="s">
        <v>10035</v>
      </c>
    </row>
    <row r="58464" customFormat="false" ht="12.8" hidden="false" customHeight="false" outlineLevel="0" collapsed="false">
      <c r="A58464" s="0" t="s">
        <v>19841</v>
      </c>
      <c r="B58464" s="0" t="str">
        <f aca="false">HYPERLINK("https://lindat.mff.cuni.cz/services/teitok/pdtc10/index.php?action=vallex&amp;frame=v-whsa_99hsa_100", "vypláchnout (v-whsa_99hsa_100)")</f>
        <v>vypláchnout (v-whsa_99hsa_100)</v>
      </c>
    </row>
    <row r="58465" customFormat="false" ht="12.8" hidden="false" customHeight="false" outlineLevel="0" collapsed="false">
      <c r="B58465" s="0" t="s">
        <v>1</v>
      </c>
    </row>
    <row r="58466" customFormat="false" ht="12.8" hidden="false" customHeight="false" outlineLevel="0" collapsed="false">
      <c r="B58466" s="0" t="s">
        <v>8</v>
      </c>
    </row>
    <row r="58468" customFormat="false" ht="12.8" hidden="false" customHeight="false" outlineLevel="0" collapsed="false">
      <c r="A58468" s="0" t="s">
        <v>19842</v>
      </c>
      <c r="B58468" s="0" t="str">
        <f aca="false">HYPERLINK("https://lindat.mff.cuni.cz/services/teitok/pdtc10/index.php?action=vallex&amp;frame=v-w12254_ZUf1_ZU", "vyplétat (v-w12254_ZUf1_ZU)")</f>
        <v>vyplétat (v-w12254_ZUf1_ZU)</v>
      </c>
    </row>
    <row r="58469" customFormat="false" ht="12.8" hidden="false" customHeight="false" outlineLevel="0" collapsed="false">
      <c r="B58469" s="0" t="s">
        <v>1</v>
      </c>
    </row>
    <row r="58470" customFormat="false" ht="12.8" hidden="false" customHeight="false" outlineLevel="0" collapsed="false">
      <c r="B58470" s="0" t="s">
        <v>8</v>
      </c>
    </row>
    <row r="58472" customFormat="false" ht="12.8" hidden="false" customHeight="false" outlineLevel="0" collapsed="false">
      <c r="A58472" s="0" t="s">
        <v>19843</v>
      </c>
      <c r="B58472" s="0" t="str">
        <f aca="false">HYPERLINK("https://lindat.mff.cuni.cz/services/teitok/pdtc10/index.php?action=vallex&amp;frame=v-w11029f2", "vyplísnit (v-w11029f2)")</f>
        <v>vyplísnit (v-w11029f2)</v>
      </c>
    </row>
    <row r="58473" customFormat="false" ht="12.8" hidden="false" customHeight="false" outlineLevel="0" collapsed="false">
      <c r="B58473" s="0" t="s">
        <v>1</v>
      </c>
    </row>
    <row r="58474" customFormat="false" ht="12.8" hidden="false" customHeight="false" outlineLevel="0" collapsed="false">
      <c r="B58474" s="0" t="s">
        <v>8</v>
      </c>
    </row>
    <row r="58476" customFormat="false" ht="12.8" hidden="false" customHeight="false" outlineLevel="0" collapsed="false">
      <c r="A58476" s="0" t="s">
        <v>19844</v>
      </c>
      <c r="B58476" s="0" t="str">
        <f aca="false">HYPERLINK("https://lindat.mff.cuni.cz/services/teitok/pdtc10/index.php?action=vallex&amp;frame=v-whsa_792f1_ZU", "vyplýtvat (v-whsa_792f1_ZU)")</f>
        <v>vyplýtvat (v-whsa_792f1_ZU)</v>
      </c>
      <c r="E58476" s="0" t="str">
        <f aca="false">HYPERLINK("https://lindat.mff.cuni.cz/services/SynSemClass40/SynSemClass40.html?veclass=vec00886#vec00886-ces-cm00005", "vec00886")</f>
        <v>vec00886</v>
      </c>
      <c r="F58476" s="0" t="s">
        <v>10586</v>
      </c>
    </row>
    <row r="58477" customFormat="false" ht="12.8" hidden="false" customHeight="false" outlineLevel="0" collapsed="false">
      <c r="B58477" s="0" t="s">
        <v>1</v>
      </c>
      <c r="C58477" s="0" t="s">
        <v>4264</v>
      </c>
      <c r="E58477" s="0" t="s">
        <v>10587</v>
      </c>
      <c r="F58477" s="0" t="s">
        <v>10588</v>
      </c>
    </row>
    <row r="58478" customFormat="false" ht="12.8" hidden="false" customHeight="false" outlineLevel="0" collapsed="false">
      <c r="B58478" s="0" t="s">
        <v>8</v>
      </c>
      <c r="C58478" s="0" t="s">
        <v>7124</v>
      </c>
      <c r="E58478" s="0" t="s">
        <v>10589</v>
      </c>
      <c r="F58478" s="0" t="s">
        <v>10590</v>
      </c>
    </row>
    <row r="58479" customFormat="false" ht="12.8" hidden="false" customHeight="false" outlineLevel="0" collapsed="false">
      <c r="B58479" s="0" t="s">
        <v>12559</v>
      </c>
    </row>
    <row r="58481" customFormat="false" ht="12.8" hidden="false" customHeight="false" outlineLevel="0" collapsed="false">
      <c r="A58481" s="0" t="s">
        <v>19844</v>
      </c>
      <c r="B58481" s="0" t="str">
        <f aca="false">HYPERLINK("https://lindat.mff.cuni.cz/services/teitok/pdtc10/index.php?action=vallex&amp;frame=v-whsa_792hsa_793", "vyplýtvat (v-whsa_792hsa_793) - substituted with v-whsa_792f1_ZU")</f>
        <v>vyplýtvat (v-whsa_792hsa_793) - substituted with v-whsa_792f1_ZU</v>
      </c>
    </row>
    <row r="58482" customFormat="false" ht="12.8" hidden="false" customHeight="false" outlineLevel="0" collapsed="false">
      <c r="B58482" s="0" t="s">
        <v>1</v>
      </c>
    </row>
    <row r="58483" customFormat="false" ht="12.8" hidden="false" customHeight="false" outlineLevel="0" collapsed="false">
      <c r="B58483" s="0" t="s">
        <v>8</v>
      </c>
    </row>
    <row r="58484" customFormat="false" ht="12.8" hidden="false" customHeight="false" outlineLevel="0" collapsed="false">
      <c r="B58484" s="0" t="s">
        <v>12559</v>
      </c>
    </row>
    <row r="58486" customFormat="false" ht="12.8" hidden="false" customHeight="false" outlineLevel="0" collapsed="false">
      <c r="A58486" s="0" t="s">
        <v>19845</v>
      </c>
      <c r="B58486" s="0" t="str">
        <f aca="false">HYPERLINK("https://lindat.mff.cuni.cz/services/teitok/pdtc10/index.php?action=vallex&amp;frame=v-w8207f1", "vyplývat (v-w8207f1)")</f>
        <v>vyplývat (v-w8207f1)</v>
      </c>
      <c r="E58486" s="0" t="str">
        <f aca="false">HYPERLINK("https://lindat.mff.cuni.cz/services/SynSemClass40/SynSemClass40.html?veclass=vec00258#vec00258-ces-cm00011", "vec00258")</f>
        <v>vec00258</v>
      </c>
      <c r="F58486" s="0" t="s">
        <v>10649</v>
      </c>
    </row>
    <row r="58487" customFormat="false" ht="12.8" hidden="false" customHeight="false" outlineLevel="0" collapsed="false">
      <c r="B58487" s="0" t="s">
        <v>947</v>
      </c>
      <c r="C58487" s="0" t="s">
        <v>10650</v>
      </c>
      <c r="E58487" s="0" t="s">
        <v>957</v>
      </c>
      <c r="F58487" s="0" t="s">
        <v>10651</v>
      </c>
    </row>
    <row r="58488" customFormat="false" ht="12.8" hidden="false" customHeight="false" outlineLevel="0" collapsed="false">
      <c r="B58488" s="0" t="s">
        <v>298</v>
      </c>
      <c r="C58488" s="0" t="s">
        <v>10652</v>
      </c>
      <c r="E58488" s="0" t="s">
        <v>6001</v>
      </c>
      <c r="F58488" s="0" t="s">
        <v>10653</v>
      </c>
    </row>
    <row r="58490" customFormat="false" ht="12.8" hidden="false" customHeight="false" outlineLevel="0" collapsed="false">
      <c r="A58490" s="0" t="s">
        <v>19846</v>
      </c>
      <c r="B58490" s="0" t="str">
        <f aca="false">HYPERLINK("https://lindat.mff.cuni.cz/services/teitok/pdtc10/index.php?action=vallex&amp;frame=v-w8200f1", "vyplňovat (v-w8200f1)")</f>
        <v>vyplňovat (v-w8200f1)</v>
      </c>
      <c r="E58490" s="0" t="str">
        <f aca="false">HYPERLINK("https://lindat.mff.cuni.cz/services/SynSemClass40/SynSemClass40.html?veclass=vec00966#vec00966-ces-cm00001", "vec00966")</f>
        <v>vec00966</v>
      </c>
      <c r="F58490" s="0" t="s">
        <v>19822</v>
      </c>
    </row>
    <row r="58491" customFormat="false" ht="12.8" hidden="false" customHeight="false" outlineLevel="0" collapsed="false">
      <c r="B58491" s="0" t="s">
        <v>1</v>
      </c>
      <c r="E58491" s="0" t="s">
        <v>768</v>
      </c>
      <c r="F58491" s="0" t="s">
        <v>16088</v>
      </c>
    </row>
    <row r="58492" customFormat="false" ht="12.8" hidden="false" customHeight="false" outlineLevel="0" collapsed="false">
      <c r="B58492" s="0" t="s">
        <v>8</v>
      </c>
      <c r="C58492" s="0" t="s">
        <v>744</v>
      </c>
      <c r="E58492" s="0" t="s">
        <v>218</v>
      </c>
      <c r="F58492" s="0" t="s">
        <v>19823</v>
      </c>
    </row>
    <row r="58494" customFormat="false" ht="12.8" hidden="false" customHeight="false" outlineLevel="0" collapsed="false">
      <c r="A58494" s="0" t="s">
        <v>19847</v>
      </c>
      <c r="B58494" s="0" t="str">
        <f aca="false">HYPERLINK("https://lindat.mff.cuni.cz/services/teitok/pdtc10/index.php?action=vallex&amp;frame=v-w8200f2_ZU", "vyplňovat (v-w8200f2_ZU)")</f>
        <v>vyplňovat (v-w8200f2_ZU)</v>
      </c>
      <c r="E58494" s="0" t="str">
        <f aca="false">HYPERLINK("https://lindat.mff.cuni.cz/services/SynSemClass40/SynSemClass40.html?veclass=vec00577#vec00577-ces-cm00014", "vec00577")</f>
        <v>vec00577</v>
      </c>
      <c r="F58494" s="0" t="s">
        <v>7484</v>
      </c>
    </row>
    <row r="58495" customFormat="false" ht="12.8" hidden="false" customHeight="false" outlineLevel="0" collapsed="false">
      <c r="B58495" s="0" t="s">
        <v>1</v>
      </c>
      <c r="C58495" s="0" t="s">
        <v>7485</v>
      </c>
      <c r="E58495" s="0" t="s">
        <v>31</v>
      </c>
      <c r="F58495" s="0" t="s">
        <v>7486</v>
      </c>
    </row>
    <row r="58496" customFormat="false" ht="12.8" hidden="false" customHeight="false" outlineLevel="0" collapsed="false">
      <c r="B58496" s="0" t="s">
        <v>8</v>
      </c>
      <c r="C58496" s="0" t="s">
        <v>7487</v>
      </c>
      <c r="E58496" s="0" t="s">
        <v>7098</v>
      </c>
      <c r="F58496" s="0" t="s">
        <v>7488</v>
      </c>
    </row>
    <row r="58497" customFormat="false" ht="12.8" hidden="false" customHeight="false" outlineLevel="0" collapsed="false">
      <c r="B58497" s="0" t="s">
        <v>7045</v>
      </c>
      <c r="C58497" s="0" t="s">
        <v>7489</v>
      </c>
      <c r="E58497" s="0" t="s">
        <v>7101</v>
      </c>
      <c r="F58497" s="0" t="s">
        <v>7490</v>
      </c>
    </row>
    <row r="58499" customFormat="false" ht="12.8" hidden="false" customHeight="false" outlineLevel="0" collapsed="false">
      <c r="A58499" s="0" t="s">
        <v>19847</v>
      </c>
      <c r="B58499" s="0" t="str">
        <f aca="false">HYPERLINK("https://lindat.mff.cuni.cz/services/teitok/pdtc10/index.php?action=vallex&amp;frame=v-w8200hsa_495", "vyplňovat (v-w8200hsa_495) - substituted with v-w8200f2_ZU")</f>
        <v>vyplňovat (v-w8200hsa_495) - substituted with v-w8200f2_ZU</v>
      </c>
    </row>
    <row r="58500" customFormat="false" ht="12.8" hidden="false" customHeight="false" outlineLevel="0" collapsed="false">
      <c r="B58500" s="0" t="s">
        <v>1</v>
      </c>
    </row>
    <row r="58501" customFormat="false" ht="12.8" hidden="false" customHeight="false" outlineLevel="0" collapsed="false">
      <c r="B58501" s="0" t="s">
        <v>8</v>
      </c>
    </row>
    <row r="58502" customFormat="false" ht="12.8" hidden="false" customHeight="false" outlineLevel="0" collapsed="false">
      <c r="B58502" s="0" t="s">
        <v>7045</v>
      </c>
    </row>
    <row r="58504" customFormat="false" ht="12.8" hidden="false" customHeight="false" outlineLevel="0" collapsed="false">
      <c r="A58504" s="0" t="s">
        <v>19848</v>
      </c>
      <c r="B58504" s="0" t="str">
        <f aca="false">HYPERLINK("https://lindat.mff.cuni.cz/services/teitok/pdtc10/index.php?action=vallex&amp;frame=v-w8208f1", "vypnout (v-w8208f1)")</f>
        <v>vypnout (v-w8208f1)</v>
      </c>
      <c r="E58504" s="0" t="str">
        <f aca="false">HYPERLINK("https://lindat.mff.cuni.cz/services/SynSemClass40/SynSemClass40.html?veclass=vec00182#vec00182-ces-cm00009", "vec00182")</f>
        <v>vec00182</v>
      </c>
      <c r="F58504" s="0" t="s">
        <v>19849</v>
      </c>
    </row>
    <row r="58505" customFormat="false" ht="12.8" hidden="false" customHeight="false" outlineLevel="0" collapsed="false">
      <c r="B58505" s="0" t="s">
        <v>1</v>
      </c>
      <c r="C58505" s="0" t="s">
        <v>106</v>
      </c>
      <c r="E58505" s="0" t="s">
        <v>19850</v>
      </c>
      <c r="F58505" s="0" t="s">
        <v>19851</v>
      </c>
    </row>
    <row r="58506" customFormat="false" ht="12.8" hidden="false" customHeight="false" outlineLevel="0" collapsed="false">
      <c r="B58506" s="0" t="s">
        <v>8</v>
      </c>
      <c r="C58506" s="0" t="s">
        <v>827</v>
      </c>
      <c r="E58506" s="0" t="s">
        <v>19852</v>
      </c>
      <c r="F58506" s="0" t="s">
        <v>19853</v>
      </c>
    </row>
    <row r="58508" customFormat="false" ht="12.8" hidden="false" customHeight="false" outlineLevel="0" collapsed="false">
      <c r="A58508" s="0" t="s">
        <v>19854</v>
      </c>
      <c r="B58508" s="0" t="str">
        <f aca="false">HYPERLINK("https://lindat.mff.cuni.cz/services/teitok/pdtc10/index.php?action=vallex&amp;frame=v-w8208f2_MM", "vypnout (v-w8208f2_MM)")</f>
        <v>vypnout (v-w8208f2_MM)</v>
      </c>
    </row>
    <row r="58509" customFormat="false" ht="12.8" hidden="false" customHeight="false" outlineLevel="0" collapsed="false">
      <c r="B58509" s="0" t="s">
        <v>1</v>
      </c>
    </row>
    <row r="58511" customFormat="false" ht="12.8" hidden="false" customHeight="false" outlineLevel="0" collapsed="false">
      <c r="A58511" s="0" t="s">
        <v>19855</v>
      </c>
      <c r="B58511" s="0" t="str">
        <f aca="false">HYPERLINK("https://lindat.mff.cuni.cz/services/teitok/pdtc10/index.php?action=vallex&amp;frame=v-w8209f1", "vypnout se (v-w8209f1)")</f>
        <v>vypnout se (v-w8209f1)</v>
      </c>
    </row>
    <row r="58512" customFormat="false" ht="12.8" hidden="false" customHeight="false" outlineLevel="0" collapsed="false">
      <c r="B58512" s="0" t="s">
        <v>1</v>
      </c>
    </row>
    <row r="58513" customFormat="false" ht="12.8" hidden="false" customHeight="false" outlineLevel="0" collapsed="false">
      <c r="B58513" s="0" t="s">
        <v>311</v>
      </c>
    </row>
    <row r="58515" customFormat="false" ht="12.8" hidden="false" customHeight="false" outlineLevel="0" collapsed="false">
      <c r="A58515" s="0" t="s">
        <v>19856</v>
      </c>
      <c r="B58515" s="0" t="str">
        <f aca="false">HYPERLINK("https://lindat.mff.cuni.cz/services/teitok/pdtc10/index.php?action=vallex&amp;frame=v-w11889_ZUf2_ZU", "vypochodovat (v-w11889_ZUf2_ZU)")</f>
        <v>vypochodovat (v-w11889_ZUf2_ZU)</v>
      </c>
    </row>
    <row r="58516" customFormat="false" ht="12.8" hidden="false" customHeight="false" outlineLevel="0" collapsed="false">
      <c r="B58516" s="0" t="s">
        <v>1</v>
      </c>
    </row>
    <row r="58517" customFormat="false" ht="12.8" hidden="false" customHeight="false" outlineLevel="0" collapsed="false">
      <c r="B58517" s="0" t="s">
        <v>6273</v>
      </c>
    </row>
    <row r="58519" customFormat="false" ht="12.8" hidden="false" customHeight="false" outlineLevel="0" collapsed="false">
      <c r="A58519" s="0" t="s">
        <v>19856</v>
      </c>
      <c r="B58519" s="0" t="str">
        <f aca="false">HYPERLINK("https://lindat.mff.cuni.cz/services/teitok/pdtc10/index.php?action=vallex&amp;frame=v-w11889_ZUf1_ZU", "vypochodovat (v-w11889_ZUf1_ZU) - substituted with v-w11889_ZUf2_ZU")</f>
        <v>vypochodovat (v-w11889_ZUf1_ZU) - substituted with v-w11889_ZUf2_ZU</v>
      </c>
    </row>
    <row r="58520" customFormat="false" ht="12.8" hidden="false" customHeight="false" outlineLevel="0" collapsed="false">
      <c r="B58520" s="0" t="s">
        <v>1</v>
      </c>
    </row>
    <row r="58521" customFormat="false" ht="12.8" hidden="false" customHeight="false" outlineLevel="0" collapsed="false">
      <c r="B58521" s="0" t="s">
        <v>6273</v>
      </c>
    </row>
    <row r="58523" customFormat="false" ht="12.8" hidden="false" customHeight="false" outlineLevel="0" collapsed="false">
      <c r="A58523" s="0" t="s">
        <v>19857</v>
      </c>
      <c r="B58523" s="0" t="str">
        <f aca="false">HYPERLINK("https://lindat.mff.cuni.cz/services/teitok/pdtc10/index.php?action=vallex&amp;frame=v-w10201f2", "vypodobňovat (v-w10201f2)")</f>
        <v>vypodobňovat (v-w10201f2)</v>
      </c>
    </row>
    <row r="58524" customFormat="false" ht="12.8" hidden="false" customHeight="false" outlineLevel="0" collapsed="false">
      <c r="B58524" s="0" t="s">
        <v>1</v>
      </c>
    </row>
    <row r="58525" customFormat="false" ht="12.8" hidden="false" customHeight="false" outlineLevel="0" collapsed="false">
      <c r="B58525" s="0" t="s">
        <v>228</v>
      </c>
    </row>
    <row r="58526" customFormat="false" ht="12.8" hidden="false" customHeight="false" outlineLevel="0" collapsed="false">
      <c r="B58526" s="0" t="s">
        <v>132</v>
      </c>
    </row>
    <row r="58528" customFormat="false" ht="12.8" hidden="false" customHeight="false" outlineLevel="0" collapsed="false">
      <c r="A58528" s="0" t="s">
        <v>19858</v>
      </c>
      <c r="B58528" s="0" t="str">
        <f aca="false">HYPERLINK("https://lindat.mff.cuni.cz/services/teitok/pdtc10/index.php?action=vallex&amp;frame=v-w8216f1", "vypomoci (v-w8216f1)")</f>
        <v>vypomoci (v-w8216f1)</v>
      </c>
      <c r="E58528" s="0" t="str">
        <f aca="false">HYPERLINK("https://lindat.mff.cuni.cz/services/SynSemClass40/SynSemClass40.html?veclass=vec00475#vec00475-ces-cm00031", "vec00475")</f>
        <v>vec00475</v>
      </c>
      <c r="F58528" s="0" t="s">
        <v>7533</v>
      </c>
    </row>
    <row r="58529" customFormat="false" ht="12.8" hidden="false" customHeight="false" outlineLevel="0" collapsed="false">
      <c r="B58529" s="0" t="s">
        <v>1</v>
      </c>
      <c r="C58529" s="0" t="s">
        <v>7534</v>
      </c>
      <c r="E58529" s="0" t="s">
        <v>3021</v>
      </c>
      <c r="F58529" s="0" t="s">
        <v>7535</v>
      </c>
    </row>
    <row r="58530" customFormat="false" ht="12.8" hidden="false" customHeight="false" outlineLevel="0" collapsed="false">
      <c r="B58530" s="0" t="s">
        <v>52</v>
      </c>
      <c r="C58530" s="0" t="s">
        <v>7536</v>
      </c>
      <c r="E58530" s="0" t="s">
        <v>4235</v>
      </c>
      <c r="F58530" s="0" t="s">
        <v>7537</v>
      </c>
    </row>
    <row r="58531" customFormat="false" ht="12.8" hidden="false" customHeight="false" outlineLevel="0" collapsed="false">
      <c r="B58531" s="0" t="s">
        <v>19859</v>
      </c>
      <c r="C58531" s="0" t="s">
        <v>7539</v>
      </c>
      <c r="E58531" s="0" t="s">
        <v>523</v>
      </c>
      <c r="F58531" s="0" t="s">
        <v>7540</v>
      </c>
    </row>
    <row r="58533" customFormat="false" ht="12.8" hidden="false" customHeight="false" outlineLevel="0" collapsed="false">
      <c r="A58533" s="0" t="s">
        <v>19860</v>
      </c>
      <c r="B58533" s="0" t="str">
        <f aca="false">HYPERLINK("https://lindat.mff.cuni.cz/services/teitok/pdtc10/index.php?action=vallex&amp;frame=v-w8214f1", "vypomáhat (v-w8214f1)")</f>
        <v>vypomáhat (v-w8214f1)</v>
      </c>
      <c r="E58533" s="0" t="str">
        <f aca="false">HYPERLINK("https://lindat.mff.cuni.cz/services/SynSemClass40/SynSemClass40.html?veclass=vec00475#vec00475-ces-cm00056", "vec00475")</f>
        <v>vec00475</v>
      </c>
      <c r="F58533" s="0" t="s">
        <v>7533</v>
      </c>
    </row>
    <row r="58534" customFormat="false" ht="12.8" hidden="false" customHeight="false" outlineLevel="0" collapsed="false">
      <c r="B58534" s="0" t="s">
        <v>1</v>
      </c>
      <c r="C58534" s="0" t="s">
        <v>7534</v>
      </c>
      <c r="E58534" s="0" t="s">
        <v>3021</v>
      </c>
      <c r="F58534" s="0" t="s">
        <v>7535</v>
      </c>
    </row>
    <row r="58535" customFormat="false" ht="12.8" hidden="false" customHeight="false" outlineLevel="0" collapsed="false">
      <c r="B58535" s="0" t="s">
        <v>52</v>
      </c>
      <c r="C58535" s="0" t="s">
        <v>7536</v>
      </c>
      <c r="E58535" s="0" t="s">
        <v>4235</v>
      </c>
      <c r="F58535" s="0" t="s">
        <v>7537</v>
      </c>
    </row>
    <row r="58536" customFormat="false" ht="12.8" hidden="false" customHeight="false" outlineLevel="0" collapsed="false">
      <c r="B58536" s="0" t="s">
        <v>19859</v>
      </c>
      <c r="C58536" s="0" t="s">
        <v>7539</v>
      </c>
      <c r="E58536" s="0" t="s">
        <v>523</v>
      </c>
      <c r="F58536" s="0" t="s">
        <v>7540</v>
      </c>
    </row>
    <row r="58538" customFormat="false" ht="12.8" hidden="false" customHeight="false" outlineLevel="0" collapsed="false">
      <c r="A58538" s="0" t="s">
        <v>19861</v>
      </c>
      <c r="B58538" s="0" t="str">
        <f aca="false">HYPERLINK("https://lindat.mff.cuni.cz/services/teitok/pdtc10/index.php?action=vallex&amp;frame=v-whsa_1203hsa_1204", "vyporážet (v-whsa_1203hsa_1204)")</f>
        <v>vyporážet (v-whsa_1203hsa_1204)</v>
      </c>
    </row>
    <row r="58539" customFormat="false" ht="12.8" hidden="false" customHeight="false" outlineLevel="0" collapsed="false">
      <c r="B58539" s="0" t="s">
        <v>1</v>
      </c>
    </row>
    <row r="58540" customFormat="false" ht="12.8" hidden="false" customHeight="false" outlineLevel="0" collapsed="false">
      <c r="B58540" s="0" t="s">
        <v>8</v>
      </c>
    </row>
    <row r="58542" customFormat="false" ht="12.8" hidden="false" customHeight="false" outlineLevel="0" collapsed="false">
      <c r="A58542" s="0" t="s">
        <v>19862</v>
      </c>
      <c r="B58542" s="0" t="str">
        <f aca="false">HYPERLINK("https://lindat.mff.cuni.cz/services/teitok/pdtc10/index.php?action=vallex&amp;frame=v-w12039_ZUf1_ZU", "vyposlechnout (v-w12039_ZUf1_ZU)")</f>
        <v>vyposlechnout (v-w12039_ZUf1_ZU)</v>
      </c>
    </row>
    <row r="58543" customFormat="false" ht="12.8" hidden="false" customHeight="false" outlineLevel="0" collapsed="false">
      <c r="B58543" s="0" t="s">
        <v>1</v>
      </c>
    </row>
    <row r="58544" customFormat="false" ht="12.8" hidden="false" customHeight="false" outlineLevel="0" collapsed="false">
      <c r="B58544" s="0" t="s">
        <v>8</v>
      </c>
    </row>
    <row r="58546" customFormat="false" ht="12.8" hidden="false" customHeight="false" outlineLevel="0" collapsed="false">
      <c r="A58546" s="0" t="s">
        <v>19863</v>
      </c>
      <c r="B58546" s="0" t="str">
        <f aca="false">HYPERLINK("https://lindat.mff.cuni.cz/services/teitok/pdtc10/index.php?action=vallex&amp;frame=v-w12003_ZUf1_ZU", "vypotit (v-w12003_ZUf1_ZU)")</f>
        <v>vypotit (v-w12003_ZUf1_ZU)</v>
      </c>
    </row>
    <row r="58547" customFormat="false" ht="12.8" hidden="false" customHeight="false" outlineLevel="0" collapsed="false">
      <c r="B58547" s="0" t="s">
        <v>1</v>
      </c>
    </row>
    <row r="58548" customFormat="false" ht="12.8" hidden="false" customHeight="false" outlineLevel="0" collapsed="false">
      <c r="B58548" s="0" t="s">
        <v>8</v>
      </c>
    </row>
    <row r="58550" customFormat="false" ht="12.8" hidden="false" customHeight="false" outlineLevel="0" collapsed="false">
      <c r="A58550" s="0" t="s">
        <v>19864</v>
      </c>
      <c r="B58550" s="0" t="str">
        <f aca="false">HYPERLINK("https://lindat.mff.cuni.cz/services/teitok/pdtc10/index.php?action=vallex&amp;frame=v-w12003_ZUf2_ZU", "vypotit (v-w12003_ZUf2_ZU)")</f>
        <v>vypotit (v-w12003_ZUf2_ZU)</v>
      </c>
    </row>
    <row r="58551" customFormat="false" ht="12.8" hidden="false" customHeight="false" outlineLevel="0" collapsed="false">
      <c r="B58551" s="0" t="s">
        <v>1</v>
      </c>
    </row>
    <row r="58552" customFormat="false" ht="12.8" hidden="false" customHeight="false" outlineLevel="0" collapsed="false">
      <c r="B58552" s="0" t="s">
        <v>8</v>
      </c>
    </row>
    <row r="58554" customFormat="false" ht="12.8" hidden="false" customHeight="false" outlineLevel="0" collapsed="false">
      <c r="A58554" s="0" t="s">
        <v>19865</v>
      </c>
      <c r="B58554" s="0" t="str">
        <f aca="false">HYPERLINK("https://lindat.mff.cuni.cz/services/teitok/pdtc10/index.php?action=vallex&amp;frame=v-w8225f1", "vypouštět (v-w8225f1)")</f>
        <v>vypouštět (v-w8225f1)</v>
      </c>
    </row>
    <row r="58555" customFormat="false" ht="12.8" hidden="false" customHeight="false" outlineLevel="0" collapsed="false">
      <c r="B58555" s="0" t="s">
        <v>1</v>
      </c>
    </row>
    <row r="58556" customFormat="false" ht="12.8" hidden="false" customHeight="false" outlineLevel="0" collapsed="false">
      <c r="B58556" s="0" t="s">
        <v>8</v>
      </c>
    </row>
    <row r="58557" customFormat="false" ht="12.8" hidden="false" customHeight="false" outlineLevel="0" collapsed="false">
      <c r="B58557" s="0" t="s">
        <v>631</v>
      </c>
    </row>
    <row r="58559" customFormat="false" ht="12.8" hidden="false" customHeight="false" outlineLevel="0" collapsed="false">
      <c r="A58559" s="0" t="s">
        <v>19866</v>
      </c>
      <c r="B58559" s="0" t="str">
        <f aca="false">HYPERLINK("https://lindat.mff.cuni.cz/services/teitok/pdtc10/index.php?action=vallex&amp;frame=v-w8225f2", "vypouštět (v-w8225f2)")</f>
        <v>vypouštět (v-w8225f2)</v>
      </c>
    </row>
    <row r="58560" customFormat="false" ht="12.8" hidden="false" customHeight="false" outlineLevel="0" collapsed="false">
      <c r="B58560" s="0" t="s">
        <v>1</v>
      </c>
    </row>
    <row r="58561" customFormat="false" ht="12.8" hidden="false" customHeight="false" outlineLevel="0" collapsed="false">
      <c r="B58561" s="0" t="s">
        <v>8</v>
      </c>
    </row>
    <row r="58563" customFormat="false" ht="12.8" hidden="false" customHeight="false" outlineLevel="0" collapsed="false">
      <c r="A58563" s="0" t="s">
        <v>19867</v>
      </c>
      <c r="B58563" s="0" t="str">
        <f aca="false">HYPERLINK("https://lindat.mff.cuni.cz/services/teitok/pdtc10/index.php?action=vallex&amp;frame=v-w8232f6", "vypovídat (v-w8232f6)")</f>
        <v>vypovídat (v-w8232f6)</v>
      </c>
    </row>
    <row r="58564" customFormat="false" ht="12.8" hidden="false" customHeight="false" outlineLevel="0" collapsed="false">
      <c r="B58564" s="0" t="s">
        <v>1</v>
      </c>
    </row>
    <row r="58565" customFormat="false" ht="12.8" hidden="false" customHeight="false" outlineLevel="0" collapsed="false">
      <c r="B58565" s="0" t="s">
        <v>8</v>
      </c>
    </row>
    <row r="58566" customFormat="false" ht="12.8" hidden="false" customHeight="false" outlineLevel="0" collapsed="false">
      <c r="B58566" s="0" t="s">
        <v>52</v>
      </c>
    </row>
    <row r="58568" customFormat="false" ht="12.8" hidden="false" customHeight="false" outlineLevel="0" collapsed="false">
      <c r="A58568" s="0" t="s">
        <v>19868</v>
      </c>
      <c r="B58568" s="0" t="str">
        <f aca="false">HYPERLINK("https://lindat.mff.cuni.cz/services/teitok/pdtc10/index.php?action=vallex&amp;frame=v-w8232f3", "vypovídat (v-w8232f3)")</f>
        <v>vypovídat (v-w8232f3)</v>
      </c>
      <c r="E58568" s="0" t="str">
        <f aca="false">HYPERLINK("https://lindat.mff.cuni.cz/services/SynSemClass40/SynSemClass40.html?veclass=vec01234#vec01234-ces-cm00011", "vec01234")</f>
        <v>vec01234</v>
      </c>
      <c r="F58568" s="0" t="s">
        <v>7555</v>
      </c>
    </row>
    <row r="58569" customFormat="false" ht="12.8" hidden="false" customHeight="false" outlineLevel="0" collapsed="false">
      <c r="B58569" s="0" t="s">
        <v>1</v>
      </c>
      <c r="C58569" s="0" t="s">
        <v>7556</v>
      </c>
      <c r="E58569" s="0" t="s">
        <v>63</v>
      </c>
      <c r="F58569" s="0" t="s">
        <v>7557</v>
      </c>
    </row>
    <row r="58570" customFormat="false" ht="12.8" hidden="false" customHeight="false" outlineLevel="0" collapsed="false">
      <c r="B58570" s="0" t="s">
        <v>1339</v>
      </c>
      <c r="C58570" s="0" t="s">
        <v>7558</v>
      </c>
      <c r="E58570" s="0" t="s">
        <v>50</v>
      </c>
      <c r="F58570" s="0" t="s">
        <v>7559</v>
      </c>
    </row>
    <row r="58571" customFormat="false" ht="12.8" hidden="false" customHeight="false" outlineLevel="0" collapsed="false">
      <c r="B58571" s="0" t="s">
        <v>132</v>
      </c>
      <c r="C58571" s="0" t="s">
        <v>6948</v>
      </c>
      <c r="E58571" s="0" t="s">
        <v>221</v>
      </c>
      <c r="F58571" s="0" t="s">
        <v>7560</v>
      </c>
    </row>
    <row r="58573" customFormat="false" ht="12.8" hidden="false" customHeight="false" outlineLevel="0" collapsed="false">
      <c r="A58573" s="0" t="s">
        <v>19869</v>
      </c>
      <c r="B58573" s="0" t="str">
        <f aca="false">HYPERLINK("https://lindat.mff.cuni.cz/services/teitok/pdtc10/index.php?action=vallex&amp;frame=v-w8232f7", "vypovídat (v-w8232f7)")</f>
        <v>vypovídat (v-w8232f7)</v>
      </c>
      <c r="E58573" s="0" t="str">
        <f aca="false">HYPERLINK("https://lindat.mff.cuni.cz/services/SynSemClass40/SynSemClass40.html?veclass=vec00555#vec00555-ces-cm00087", "vec00555")</f>
        <v>vec00555</v>
      </c>
      <c r="F58573" s="0" t="s">
        <v>1918</v>
      </c>
    </row>
    <row r="58574" customFormat="false" ht="12.8" hidden="false" customHeight="false" outlineLevel="0" collapsed="false">
      <c r="B58574" s="0" t="s">
        <v>1</v>
      </c>
      <c r="C58574" s="0" t="s">
        <v>1919</v>
      </c>
      <c r="E58574" s="0" t="s">
        <v>31</v>
      </c>
      <c r="F58574" s="0" t="s">
        <v>1920</v>
      </c>
    </row>
    <row r="58575" customFormat="false" ht="12.8" hidden="false" customHeight="false" outlineLevel="0" collapsed="false">
      <c r="B58575" s="0" t="s">
        <v>8</v>
      </c>
      <c r="C58575" s="0" t="s">
        <v>1921</v>
      </c>
      <c r="E58575" s="0" t="s">
        <v>532</v>
      </c>
      <c r="F58575" s="0" t="s">
        <v>1922</v>
      </c>
    </row>
    <row r="58576" customFormat="false" ht="12.8" hidden="false" customHeight="false" outlineLevel="0" collapsed="false">
      <c r="B58576" s="0" t="s">
        <v>631</v>
      </c>
      <c r="C58576" s="0" t="s">
        <v>1923</v>
      </c>
      <c r="E58576" s="0" t="s">
        <v>1924</v>
      </c>
      <c r="F58576" s="0" t="s">
        <v>1925</v>
      </c>
    </row>
    <row r="58578" customFormat="false" ht="12.8" hidden="false" customHeight="false" outlineLevel="0" collapsed="false">
      <c r="A58578" s="0" t="s">
        <v>19870</v>
      </c>
      <c r="B58578" s="0" t="str">
        <f aca="false">HYPERLINK("https://lindat.mff.cuni.cz/services/teitok/pdtc10/index.php?action=vallex&amp;frame=v-w8232f1", "vypovídat (v-w8232f1)")</f>
        <v>vypovídat (v-w8232f1)</v>
      </c>
      <c r="E58578" s="0" t="str">
        <f aca="false">HYPERLINK("https://lindat.mff.cuni.cz/services/SynSemClass40/SynSemClass40.html?veclass=vec00198#vec00198-ces-cm00218", "vec00198")</f>
        <v>vec00198</v>
      </c>
      <c r="F58578" s="0" t="s">
        <v>134</v>
      </c>
    </row>
    <row r="58579" customFormat="false" ht="12.8" hidden="false" customHeight="false" outlineLevel="0" collapsed="false">
      <c r="B58579" s="0" t="s">
        <v>1</v>
      </c>
      <c r="C58579" s="0" t="s">
        <v>8126</v>
      </c>
      <c r="E58579" s="0" t="s">
        <v>31</v>
      </c>
      <c r="F58579" s="0" t="s">
        <v>137</v>
      </c>
    </row>
    <row r="58580" customFormat="false" ht="12.8" hidden="false" customHeight="false" outlineLevel="0" collapsed="false">
      <c r="B58580" s="0" t="s">
        <v>8</v>
      </c>
      <c r="C58580" s="0" t="s">
        <v>8127</v>
      </c>
      <c r="E58580" s="0" t="s">
        <v>140</v>
      </c>
      <c r="F58580" s="0" t="s">
        <v>141</v>
      </c>
    </row>
    <row r="58582" customFormat="false" ht="12.8" hidden="false" customHeight="false" outlineLevel="0" collapsed="false">
      <c r="A58582" s="0" t="s">
        <v>19871</v>
      </c>
      <c r="B58582" s="0" t="str">
        <f aca="false">HYPERLINK("https://lindat.mff.cuni.cz/services/teitok/pdtc10/index.php?action=vallex&amp;frame=v-w8232f8", "vypovídat (v-w8232f8)")</f>
        <v>vypovídat (v-w8232f8)</v>
      </c>
    </row>
    <row r="58583" customFormat="false" ht="12.8" hidden="false" customHeight="false" outlineLevel="0" collapsed="false">
      <c r="B58583" s="0" t="s">
        <v>1</v>
      </c>
    </row>
    <row r="58584" customFormat="false" ht="12.8" hidden="false" customHeight="false" outlineLevel="0" collapsed="false">
      <c r="B58584" s="0" t="s">
        <v>8</v>
      </c>
    </row>
    <row r="58586" customFormat="false" ht="12.8" hidden="false" customHeight="false" outlineLevel="0" collapsed="false">
      <c r="A58586" s="0" t="s">
        <v>19872</v>
      </c>
      <c r="B58586" s="0" t="str">
        <f aca="false">HYPERLINK("https://lindat.mff.cuni.cz/services/teitok/pdtc10/index.php?action=vallex&amp;frame=v-w8232f5", "vypovídat (v-w8232f5)")</f>
        <v>vypovídat (v-w8232f5)</v>
      </c>
    </row>
    <row r="58587" customFormat="false" ht="12.8" hidden="false" customHeight="false" outlineLevel="0" collapsed="false">
      <c r="B58587" s="0" t="s">
        <v>1</v>
      </c>
    </row>
    <row r="58588" customFormat="false" ht="12.8" hidden="false" customHeight="false" outlineLevel="0" collapsed="false">
      <c r="B58588" s="0" t="s">
        <v>52</v>
      </c>
    </row>
    <row r="58589" customFormat="false" ht="12.8" hidden="false" customHeight="false" outlineLevel="0" collapsed="false">
      <c r="B58589" s="0" t="s">
        <v>6407</v>
      </c>
    </row>
    <row r="58590" customFormat="false" ht="12.8" hidden="false" customHeight="false" outlineLevel="0" collapsed="false">
      <c r="B58590" s="0" t="s">
        <v>496</v>
      </c>
    </row>
    <row r="58592" customFormat="false" ht="12.8" hidden="false" customHeight="false" outlineLevel="0" collapsed="false">
      <c r="A58592" s="0" t="s">
        <v>19873</v>
      </c>
      <c r="B58592" s="0" t="str">
        <f aca="false">HYPERLINK("https://lindat.mff.cuni.cz/services/teitok/pdtc10/index.php?action=vallex&amp;frame=v-w8232f2", "vypovídat (v-w8232f2)")</f>
        <v>vypovídat (v-w8232f2)</v>
      </c>
    </row>
    <row r="58593" customFormat="false" ht="12.8" hidden="false" customHeight="false" outlineLevel="0" collapsed="false">
      <c r="B58593" s="0" t="s">
        <v>1</v>
      </c>
    </row>
    <row r="58594" customFormat="false" ht="12.8" hidden="false" customHeight="false" outlineLevel="0" collapsed="false">
      <c r="B58594" s="0" t="s">
        <v>19874</v>
      </c>
    </row>
    <row r="58595" customFormat="false" ht="12.8" hidden="false" customHeight="false" outlineLevel="0" collapsed="false">
      <c r="B58595" s="0" t="s">
        <v>496</v>
      </c>
    </row>
    <row r="58596" customFormat="false" ht="12.8" hidden="false" customHeight="false" outlineLevel="0" collapsed="false">
      <c r="B58596" s="0" t="s">
        <v>132</v>
      </c>
    </row>
    <row r="58598" customFormat="false" ht="12.8" hidden="false" customHeight="false" outlineLevel="0" collapsed="false">
      <c r="A58598" s="0" t="s">
        <v>19875</v>
      </c>
      <c r="B58598" s="0" t="str">
        <f aca="false">HYPERLINK("https://lindat.mff.cuni.cz/services/teitok/pdtc10/index.php?action=vallex&amp;frame=v-w8232f4", "vypovídat (v-w8232f4)")</f>
        <v>vypovídat (v-w8232f4)</v>
      </c>
      <c r="E58598" s="0" t="str">
        <f aca="false">HYPERLINK("https://lindat.mff.cuni.cz/services/SynSemClass40/SynSemClass40.html?veclass=vec00561#vec00561-ces-cm00001", "vec00561")</f>
        <v>vec00561</v>
      </c>
      <c r="F58598" s="0" t="s">
        <v>4530</v>
      </c>
    </row>
    <row r="58599" customFormat="false" ht="12.8" hidden="false" customHeight="false" outlineLevel="0" collapsed="false">
      <c r="B58599" s="0" t="s">
        <v>1</v>
      </c>
      <c r="C58599" s="0" t="s">
        <v>4471</v>
      </c>
      <c r="E58599" s="0" t="s">
        <v>147</v>
      </c>
      <c r="F58599" s="0" t="s">
        <v>4531</v>
      </c>
    </row>
    <row r="58600" customFormat="false" ht="12.8" hidden="false" customHeight="false" outlineLevel="0" collapsed="false">
      <c r="B58600" s="0" t="s">
        <v>6412</v>
      </c>
      <c r="C58600" s="0" t="s">
        <v>19876</v>
      </c>
      <c r="E58600" s="0" t="s">
        <v>2217</v>
      </c>
      <c r="F58600" s="0" t="s">
        <v>19877</v>
      </c>
    </row>
    <row r="58601" customFormat="false" ht="12.8" hidden="false" customHeight="false" outlineLevel="0" collapsed="false">
      <c r="B58601" s="0" t="s">
        <v>496</v>
      </c>
      <c r="C58601" s="0" t="s">
        <v>4533</v>
      </c>
      <c r="E58601" s="0" t="s">
        <v>1732</v>
      </c>
      <c r="F58601" s="0" t="s">
        <v>4534</v>
      </c>
    </row>
    <row r="58603" customFormat="false" ht="12.8" hidden="false" customHeight="false" outlineLevel="0" collapsed="false">
      <c r="A58603" s="0" t="s">
        <v>19878</v>
      </c>
      <c r="B58603" s="0" t="str">
        <f aca="false">HYPERLINK("https://lindat.mff.cuni.cz/services/teitok/pdtc10/index.php?action=vallex&amp;frame=v-w8233f1", "vypovídat se (v-w8233f1)")</f>
        <v>vypovídat se (v-w8233f1)</v>
      </c>
    </row>
    <row r="58604" customFormat="false" ht="12.8" hidden="false" customHeight="false" outlineLevel="0" collapsed="false">
      <c r="B58604" s="0" t="s">
        <v>1</v>
      </c>
    </row>
    <row r="58605" customFormat="false" ht="12.8" hidden="false" customHeight="false" outlineLevel="0" collapsed="false">
      <c r="B58605" s="0" t="s">
        <v>298</v>
      </c>
    </row>
    <row r="58607" customFormat="false" ht="12.8" hidden="false" customHeight="false" outlineLevel="0" collapsed="false">
      <c r="A58607" s="0" t="s">
        <v>19879</v>
      </c>
      <c r="B58607" s="0" t="str">
        <f aca="false">HYPERLINK("https://lindat.mff.cuni.cz/services/teitok/pdtc10/index.php?action=vallex&amp;frame=v-w8227f3", "vypovědět (v-w8227f3)")</f>
        <v>vypovědět (v-w8227f3)</v>
      </c>
    </row>
    <row r="58608" customFormat="false" ht="12.8" hidden="false" customHeight="false" outlineLevel="0" collapsed="false">
      <c r="B58608" s="0" t="s">
        <v>1</v>
      </c>
    </row>
    <row r="58609" customFormat="false" ht="12.8" hidden="false" customHeight="false" outlineLevel="0" collapsed="false">
      <c r="B58609" s="0" t="s">
        <v>8</v>
      </c>
    </row>
    <row r="58610" customFormat="false" ht="12.8" hidden="false" customHeight="false" outlineLevel="0" collapsed="false">
      <c r="B58610" s="0" t="s">
        <v>631</v>
      </c>
    </row>
    <row r="58612" customFormat="false" ht="12.8" hidden="false" customHeight="false" outlineLevel="0" collapsed="false">
      <c r="A58612" s="0" t="s">
        <v>19880</v>
      </c>
      <c r="B58612" s="0" t="str">
        <f aca="false">HYPERLINK("https://lindat.mff.cuni.cz/services/teitok/pdtc10/index.php?action=vallex&amp;frame=v-w8227f1", "vypovědět (v-w8227f1)")</f>
        <v>vypovědět (v-w8227f1)</v>
      </c>
      <c r="E58612" s="0" t="str">
        <f aca="false">HYPERLINK("https://lindat.mff.cuni.cz/services/SynSemClass40/SynSemClass40.html?veclass=vec00198#vec00198-ces-cm00119", "vec00198")</f>
        <v>vec00198</v>
      </c>
      <c r="F58612" s="0" t="s">
        <v>134</v>
      </c>
    </row>
    <row r="58613" customFormat="false" ht="12.8" hidden="false" customHeight="false" outlineLevel="0" collapsed="false">
      <c r="B58613" s="0" t="s">
        <v>1</v>
      </c>
      <c r="C58613" s="0" t="s">
        <v>8126</v>
      </c>
      <c r="E58613" s="0" t="s">
        <v>31</v>
      </c>
      <c r="F58613" s="0" t="s">
        <v>137</v>
      </c>
    </row>
    <row r="58614" customFormat="false" ht="12.8" hidden="false" customHeight="false" outlineLevel="0" collapsed="false">
      <c r="B58614" s="0" t="s">
        <v>8</v>
      </c>
      <c r="C58614" s="0" t="s">
        <v>8127</v>
      </c>
      <c r="E58614" s="0" t="s">
        <v>140</v>
      </c>
      <c r="F58614" s="0" t="s">
        <v>141</v>
      </c>
    </row>
    <row r="58616" customFormat="false" ht="12.8" hidden="false" customHeight="false" outlineLevel="0" collapsed="false">
      <c r="A58616" s="0" t="s">
        <v>19881</v>
      </c>
      <c r="B58616" s="0" t="str">
        <f aca="false">HYPERLINK("https://lindat.mff.cuni.cz/services/teitok/pdtc10/index.php?action=vallex&amp;frame=v-w8227f2", "vypovědět (v-w8227f2)")</f>
        <v>vypovědět (v-w8227f2)</v>
      </c>
    </row>
    <row r="58617" customFormat="false" ht="12.8" hidden="false" customHeight="false" outlineLevel="0" collapsed="false">
      <c r="B58617" s="0" t="s">
        <v>1</v>
      </c>
    </row>
    <row r="58618" customFormat="false" ht="12.8" hidden="false" customHeight="false" outlineLevel="0" collapsed="false">
      <c r="B58618" s="0" t="s">
        <v>52</v>
      </c>
    </row>
    <row r="58619" customFormat="false" ht="12.8" hidden="false" customHeight="false" outlineLevel="0" collapsed="false">
      <c r="B58619" s="0" t="s">
        <v>6407</v>
      </c>
    </row>
    <row r="58620" customFormat="false" ht="12.8" hidden="false" customHeight="false" outlineLevel="0" collapsed="false">
      <c r="B58620" s="0" t="s">
        <v>496</v>
      </c>
    </row>
    <row r="58622" customFormat="false" ht="12.8" hidden="false" customHeight="false" outlineLevel="0" collapsed="false">
      <c r="A58622" s="0" t="s">
        <v>19882</v>
      </c>
      <c r="B58622" s="0" t="str">
        <f aca="false">HYPERLINK("https://lindat.mff.cuni.cz/services/teitok/pdtc10/index.php?action=vallex&amp;frame=v-w8227f4", "vypovědět (v-w8227f4)")</f>
        <v>vypovědět (v-w8227f4)</v>
      </c>
      <c r="E58622" s="0" t="str">
        <f aca="false">HYPERLINK("https://lindat.mff.cuni.cz/services/SynSemClass40/SynSemClass40.html?veclass=vec00561#vec00561-ces-cm00005", "vec00561")</f>
        <v>vec00561</v>
      </c>
      <c r="F58622" s="0" t="s">
        <v>4530</v>
      </c>
    </row>
    <row r="58623" customFormat="false" ht="12.8" hidden="false" customHeight="false" outlineLevel="0" collapsed="false">
      <c r="B58623" s="0" t="s">
        <v>1</v>
      </c>
      <c r="C58623" s="0" t="s">
        <v>4471</v>
      </c>
      <c r="E58623" s="0" t="s">
        <v>147</v>
      </c>
      <c r="F58623" s="0" t="s">
        <v>4531</v>
      </c>
    </row>
    <row r="58624" customFormat="false" ht="12.8" hidden="false" customHeight="false" outlineLevel="0" collapsed="false">
      <c r="B58624" s="0" t="s">
        <v>6412</v>
      </c>
      <c r="C58624" s="0" t="s">
        <v>19876</v>
      </c>
      <c r="E58624" s="0" t="s">
        <v>2217</v>
      </c>
      <c r="F58624" s="0" t="s">
        <v>19877</v>
      </c>
    </row>
    <row r="58625" customFormat="false" ht="12.8" hidden="false" customHeight="false" outlineLevel="0" collapsed="false">
      <c r="B58625" s="0" t="s">
        <v>496</v>
      </c>
      <c r="C58625" s="0" t="s">
        <v>4533</v>
      </c>
      <c r="E58625" s="0" t="s">
        <v>1732</v>
      </c>
      <c r="F58625" s="0" t="s">
        <v>4534</v>
      </c>
    </row>
    <row r="58627" customFormat="false" ht="12.8" hidden="false" customHeight="false" outlineLevel="0" collapsed="false">
      <c r="A58627" s="0" t="s">
        <v>19883</v>
      </c>
      <c r="B58627" s="0" t="str">
        <f aca="false">HYPERLINK("https://lindat.mff.cuni.cz/services/teitok/pdtc10/index.php?action=vallex&amp;frame=v-w8227f5", "vypovědět (v-w8227f5)")</f>
        <v>vypovědět (v-w8227f5)</v>
      </c>
    </row>
    <row r="58628" customFormat="false" ht="12.8" hidden="false" customHeight="false" outlineLevel="0" collapsed="false">
      <c r="B58628" s="0" t="s">
        <v>1</v>
      </c>
    </row>
    <row r="58630" customFormat="false" ht="12.8" hidden="false" customHeight="false" outlineLevel="0" collapsed="false">
      <c r="A58630" s="0" t="s">
        <v>19884</v>
      </c>
      <c r="B58630" s="0" t="str">
        <f aca="false">HYPERLINK("https://lindat.mff.cuni.cz/services/teitok/pdtc10/index.php?action=vallex&amp;frame=v-w8227f6", "vypovědět (v-w8227f6)")</f>
        <v>vypovědět (v-w8227f6)</v>
      </c>
    </row>
    <row r="58631" customFormat="false" ht="12.8" hidden="false" customHeight="false" outlineLevel="0" collapsed="false">
      <c r="B58631" s="0" t="s">
        <v>1</v>
      </c>
    </row>
    <row r="58632" customFormat="false" ht="12.8" hidden="false" customHeight="false" outlineLevel="0" collapsed="false">
      <c r="B58632" s="0" t="s">
        <v>19885</v>
      </c>
    </row>
    <row r="58633" customFormat="false" ht="12.8" hidden="false" customHeight="false" outlineLevel="0" collapsed="false">
      <c r="B58633" s="0" t="s">
        <v>52</v>
      </c>
    </row>
    <row r="58635" customFormat="false" ht="12.8" hidden="false" customHeight="false" outlineLevel="0" collapsed="false">
      <c r="A58635" s="0" t="s">
        <v>19886</v>
      </c>
      <c r="B58635" s="0" t="str">
        <f aca="false">HYPERLINK("https://lindat.mff.cuni.cz/services/teitok/pdtc10/index.php?action=vallex&amp;frame=v-w8227f7_ZU", "vypovědět (v-w8227f7_ZU)")</f>
        <v>vypovědět (v-w8227f7_ZU)</v>
      </c>
    </row>
    <row r="58636" customFormat="false" ht="12.8" hidden="false" customHeight="false" outlineLevel="0" collapsed="false">
      <c r="B58636" s="0" t="s">
        <v>1</v>
      </c>
    </row>
    <row r="58637" customFormat="false" ht="12.8" hidden="false" customHeight="false" outlineLevel="0" collapsed="false">
      <c r="B58637" s="0" t="s">
        <v>19887</v>
      </c>
    </row>
    <row r="58638" customFormat="false" ht="12.8" hidden="false" customHeight="false" outlineLevel="0" collapsed="false">
      <c r="B58638" s="0" t="s">
        <v>157</v>
      </c>
    </row>
    <row r="58640" customFormat="false" ht="12.8" hidden="false" customHeight="false" outlineLevel="0" collapsed="false">
      <c r="A58640" s="0" t="s">
        <v>19888</v>
      </c>
      <c r="B58640" s="0" t="str">
        <f aca="false">HYPERLINK("https://lindat.mff.cuni.cz/services/teitok/pdtc10/index.php?action=vallex&amp;frame=v-w11997_ZUf2_MM", "vypozorovat (v-w11997_ZUf2_MM)")</f>
        <v>vypozorovat (v-w11997_ZUf2_MM)</v>
      </c>
    </row>
    <row r="58641" customFormat="false" ht="12.8" hidden="false" customHeight="false" outlineLevel="0" collapsed="false">
      <c r="B58641" s="0" t="s">
        <v>1</v>
      </c>
    </row>
    <row r="58642" customFormat="false" ht="12.8" hidden="false" customHeight="false" outlineLevel="0" collapsed="false">
      <c r="B58642" s="0" t="s">
        <v>228</v>
      </c>
    </row>
    <row r="58644" customFormat="false" ht="12.8" hidden="false" customHeight="false" outlineLevel="0" collapsed="false">
      <c r="A58644" s="0" t="s">
        <v>19888</v>
      </c>
      <c r="B58644" s="0" t="str">
        <f aca="false">HYPERLINK("https://lindat.mff.cuni.cz/services/teitok/pdtc10/index.php?action=vallex&amp;frame=v-w11997_ZUf1_ZU", "vypozorovat (v-w11997_ZUf1_ZU) - substituted with v-w11997_ZUf2_MM")</f>
        <v>vypozorovat (v-w11997_ZUf1_ZU) - substituted with v-w11997_ZUf2_MM</v>
      </c>
    </row>
    <row r="58645" customFormat="false" ht="12.8" hidden="false" customHeight="false" outlineLevel="0" collapsed="false">
      <c r="B58645" s="0" t="s">
        <v>1</v>
      </c>
    </row>
    <row r="58646" customFormat="false" ht="12.8" hidden="false" customHeight="false" outlineLevel="0" collapsed="false">
      <c r="B58646" s="0" t="s">
        <v>228</v>
      </c>
    </row>
    <row r="58648" customFormat="false" ht="12.8" hidden="false" customHeight="false" outlineLevel="0" collapsed="false">
      <c r="A58648" s="0" t="s">
        <v>19889</v>
      </c>
      <c r="B58648" s="0" t="str">
        <f aca="false">HYPERLINK("https://lindat.mff.cuni.cz/services/teitok/pdtc10/index.php?action=vallex&amp;frame=v-w8211f1", "vypočíst (v-w8211f1)")</f>
        <v>vypočíst (v-w8211f1)</v>
      </c>
      <c r="E58648" s="0" t="str">
        <f aca="false">HYPERLINK("https://lindat.mff.cuni.cz/services/SynSemClass40/SynSemClass40.html?veclass=vec00166#vec00166-ces-cm00008", "vec00166")</f>
        <v>vec00166</v>
      </c>
      <c r="F58648" s="0" t="s">
        <v>12005</v>
      </c>
    </row>
    <row r="58649" customFormat="false" ht="12.8" hidden="false" customHeight="false" outlineLevel="0" collapsed="false">
      <c r="B58649" s="0" t="s">
        <v>1</v>
      </c>
      <c r="C58649" s="0" t="s">
        <v>12006</v>
      </c>
      <c r="E58649" s="0" t="s">
        <v>31</v>
      </c>
      <c r="F58649" s="0" t="s">
        <v>12007</v>
      </c>
    </row>
    <row r="58650" customFormat="false" ht="12.8" hidden="false" customHeight="false" outlineLevel="0" collapsed="false">
      <c r="B58650" s="0" t="s">
        <v>1838</v>
      </c>
      <c r="C58650" s="0" t="s">
        <v>2664</v>
      </c>
      <c r="E58650" s="0" t="s">
        <v>1347</v>
      </c>
      <c r="F58650" s="0" t="s">
        <v>12008</v>
      </c>
    </row>
    <row r="58651" customFormat="false" ht="12.8" hidden="false" customHeight="false" outlineLevel="0" collapsed="false">
      <c r="B58651" s="0" t="s">
        <v>36</v>
      </c>
      <c r="E58651" s="0" t="s">
        <v>2176</v>
      </c>
      <c r="F58651" s="0" t="s">
        <v>2807</v>
      </c>
    </row>
    <row r="58652" customFormat="false" ht="12.8" hidden="false" customHeight="false" outlineLevel="0" collapsed="false">
      <c r="B58652" s="0" t="s">
        <v>101</v>
      </c>
    </row>
    <row r="58654" customFormat="false" ht="12.8" hidden="false" customHeight="false" outlineLevel="0" collapsed="false">
      <c r="A58654" s="0" t="s">
        <v>19890</v>
      </c>
      <c r="B58654" s="0" t="str">
        <f aca="false">HYPERLINK("https://lindat.mff.cuni.cz/services/teitok/pdtc10/index.php?action=vallex&amp;frame=v-w8212f1", "vypočítat (v-w8212f1)")</f>
        <v>vypočítat (v-w8212f1)</v>
      </c>
      <c r="E58654" s="0" t="str">
        <f aca="false">HYPERLINK("https://lindat.mff.cuni.cz/services/SynSemClass40/SynSemClass40.html?veclass=vec00166#vec00166-ces-cm00009", "vec00166")</f>
        <v>vec00166</v>
      </c>
      <c r="F58654" s="0" t="s">
        <v>12005</v>
      </c>
    </row>
    <row r="58655" customFormat="false" ht="12.8" hidden="false" customHeight="false" outlineLevel="0" collapsed="false">
      <c r="B58655" s="0" t="s">
        <v>1</v>
      </c>
      <c r="C58655" s="0" t="s">
        <v>12006</v>
      </c>
      <c r="E58655" s="0" t="s">
        <v>31</v>
      </c>
      <c r="F58655" s="0" t="s">
        <v>12007</v>
      </c>
    </row>
    <row r="58656" customFormat="false" ht="12.8" hidden="false" customHeight="false" outlineLevel="0" collapsed="false">
      <c r="B58656" s="0" t="s">
        <v>1838</v>
      </c>
      <c r="C58656" s="0" t="s">
        <v>2664</v>
      </c>
      <c r="E58656" s="0" t="s">
        <v>1347</v>
      </c>
      <c r="F58656" s="0" t="s">
        <v>12008</v>
      </c>
    </row>
    <row r="58657" customFormat="false" ht="12.8" hidden="false" customHeight="false" outlineLevel="0" collapsed="false">
      <c r="B58657" s="0" t="s">
        <v>36</v>
      </c>
      <c r="E58657" s="0" t="s">
        <v>2176</v>
      </c>
      <c r="F58657" s="0" t="s">
        <v>2807</v>
      </c>
    </row>
    <row r="58659" customFormat="false" ht="12.8" hidden="false" customHeight="false" outlineLevel="0" collapsed="false">
      <c r="A58659" s="0" t="s">
        <v>19891</v>
      </c>
      <c r="B58659" s="0" t="str">
        <f aca="false">HYPERLINK("https://lindat.mff.cuni.cz/services/teitok/pdtc10/index.php?action=vallex&amp;frame=v-w8213f2", "vypočítávat (v-w8213f2)")</f>
        <v>vypočítávat (v-w8213f2)</v>
      </c>
    </row>
    <row r="58660" customFormat="false" ht="12.8" hidden="false" customHeight="false" outlineLevel="0" collapsed="false">
      <c r="B58660" s="0" t="s">
        <v>1</v>
      </c>
    </row>
    <row r="58661" customFormat="false" ht="12.8" hidden="false" customHeight="false" outlineLevel="0" collapsed="false">
      <c r="B58661" s="0" t="s">
        <v>305</v>
      </c>
    </row>
    <row r="58662" customFormat="false" ht="12.8" hidden="false" customHeight="false" outlineLevel="0" collapsed="false">
      <c r="B58662" s="0" t="s">
        <v>132</v>
      </c>
    </row>
    <row r="58664" customFormat="false" ht="12.8" hidden="false" customHeight="false" outlineLevel="0" collapsed="false">
      <c r="A58664" s="0" t="s">
        <v>19892</v>
      </c>
      <c r="B58664" s="0" t="str">
        <f aca="false">HYPERLINK("https://lindat.mff.cuni.cz/services/teitok/pdtc10/index.php?action=vallex&amp;frame=v-w8213f1", "vypočítávat (v-w8213f1)")</f>
        <v>vypočítávat (v-w8213f1)</v>
      </c>
      <c r="E58664" s="0" t="str">
        <f aca="false">HYPERLINK("https://lindat.mff.cuni.cz/services/SynSemClass40/SynSemClass40.html?veclass=vec00166#vec00166-ces-cm00001", "vec00166")</f>
        <v>vec00166</v>
      </c>
      <c r="F58664" s="0" t="s">
        <v>12005</v>
      </c>
    </row>
    <row r="58665" customFormat="false" ht="12.8" hidden="false" customHeight="false" outlineLevel="0" collapsed="false">
      <c r="B58665" s="0" t="s">
        <v>1</v>
      </c>
      <c r="C58665" s="0" t="s">
        <v>12006</v>
      </c>
      <c r="E58665" s="0" t="s">
        <v>31</v>
      </c>
      <c r="F58665" s="0" t="s">
        <v>12007</v>
      </c>
    </row>
    <row r="58666" customFormat="false" ht="12.8" hidden="false" customHeight="false" outlineLevel="0" collapsed="false">
      <c r="B58666" s="0" t="s">
        <v>1838</v>
      </c>
      <c r="C58666" s="0" t="s">
        <v>2664</v>
      </c>
      <c r="E58666" s="0" t="s">
        <v>1347</v>
      </c>
      <c r="F58666" s="0" t="s">
        <v>12008</v>
      </c>
    </row>
    <row r="58667" customFormat="false" ht="12.8" hidden="false" customHeight="false" outlineLevel="0" collapsed="false">
      <c r="B58667" s="0" t="s">
        <v>36</v>
      </c>
      <c r="E58667" s="0" t="s">
        <v>2176</v>
      </c>
      <c r="F58667" s="0" t="s">
        <v>2807</v>
      </c>
    </row>
    <row r="58669" customFormat="false" ht="12.8" hidden="false" customHeight="false" outlineLevel="0" collapsed="false">
      <c r="A58669" s="0" t="s">
        <v>19893</v>
      </c>
      <c r="B58669" s="0" t="str">
        <f aca="false">HYPERLINK("https://lindat.mff.cuni.cz/services/teitok/pdtc10/index.php?action=vallex&amp;frame=v-w8219f2", "vypořádat (v-w8219f2)")</f>
        <v>vypořádat (v-w8219f2)</v>
      </c>
      <c r="E58669" s="0" t="str">
        <f aca="false">HYPERLINK("https://lindat.mff.cuni.cz/services/SynSemClass40/SynSemClass40.html?veclass=vec01468#vec01468-ces-cm00005", "vec01468")</f>
        <v>vec01468</v>
      </c>
      <c r="F58669" s="0" t="s">
        <v>2308</v>
      </c>
    </row>
    <row r="58670" customFormat="false" ht="12.8" hidden="false" customHeight="false" outlineLevel="0" collapsed="false">
      <c r="B58670" s="0" t="s">
        <v>1</v>
      </c>
      <c r="C58670" s="0" t="s">
        <v>16456</v>
      </c>
      <c r="E58670" s="0" t="s">
        <v>2251</v>
      </c>
      <c r="F58670" s="0" t="s">
        <v>2310</v>
      </c>
    </row>
    <row r="58671" customFormat="false" ht="12.8" hidden="false" customHeight="false" outlineLevel="0" collapsed="false">
      <c r="B58671" s="0" t="s">
        <v>2329</v>
      </c>
      <c r="C58671" s="0" t="s">
        <v>16457</v>
      </c>
      <c r="E58671" s="0" t="s">
        <v>230</v>
      </c>
      <c r="F58671" s="0" t="s">
        <v>2313</v>
      </c>
    </row>
    <row r="58672" customFormat="false" ht="12.8" hidden="false" customHeight="false" outlineLevel="0" collapsed="false">
      <c r="B58672" s="0" t="s">
        <v>276</v>
      </c>
      <c r="C58672" s="0" t="s">
        <v>19894</v>
      </c>
      <c r="E58672" s="0" t="s">
        <v>2256</v>
      </c>
      <c r="F58672" s="0" t="s">
        <v>2316</v>
      </c>
    </row>
    <row r="58674" customFormat="false" ht="12.8" hidden="false" customHeight="false" outlineLevel="0" collapsed="false">
      <c r="A58674" s="0" t="s">
        <v>19895</v>
      </c>
      <c r="B58674" s="0" t="str">
        <f aca="false">HYPERLINK("https://lindat.mff.cuni.cz/services/teitok/pdtc10/index.php?action=vallex&amp;frame=v-w8219f1", "vypořádat (v-w8219f1)")</f>
        <v>vypořádat (v-w8219f1)</v>
      </c>
    </row>
    <row r="58675" customFormat="false" ht="12.8" hidden="false" customHeight="false" outlineLevel="0" collapsed="false">
      <c r="B58675" s="0" t="s">
        <v>1</v>
      </c>
    </row>
    <row r="58676" customFormat="false" ht="12.8" hidden="false" customHeight="false" outlineLevel="0" collapsed="false">
      <c r="B58676" s="0" t="s">
        <v>8</v>
      </c>
    </row>
    <row r="58678" customFormat="false" ht="12.8" hidden="false" customHeight="false" outlineLevel="0" collapsed="false">
      <c r="A58678" s="0" t="s">
        <v>19896</v>
      </c>
      <c r="B58678" s="0" t="str">
        <f aca="false">HYPERLINK("https://lindat.mff.cuni.cz/services/teitok/pdtc10/index.php?action=vallex&amp;frame=v-w8220f1", "vypořádat se (v-w8220f1)")</f>
        <v>vypořádat se (v-w8220f1)</v>
      </c>
    </row>
    <row r="58679" customFormat="false" ht="12.8" hidden="false" customHeight="false" outlineLevel="0" collapsed="false">
      <c r="B58679" s="0" t="s">
        <v>1</v>
      </c>
    </row>
    <row r="58680" customFormat="false" ht="12.8" hidden="false" customHeight="false" outlineLevel="0" collapsed="false">
      <c r="B58680" s="0" t="s">
        <v>721</v>
      </c>
    </row>
    <row r="58682" customFormat="false" ht="12.8" hidden="false" customHeight="false" outlineLevel="0" collapsed="false">
      <c r="A58682" s="0" t="s">
        <v>19897</v>
      </c>
      <c r="B58682" s="0" t="str">
        <f aca="false">HYPERLINK("https://lindat.mff.cuni.cz/services/teitok/pdtc10/index.php?action=vallex&amp;frame=v-w8222f1", "vypořádávat (v-w8222f1)")</f>
        <v>vypořádávat (v-w8222f1)</v>
      </c>
      <c r="E58682" s="0" t="str">
        <f aca="false">HYPERLINK("https://lindat.mff.cuni.cz/services/SynSemClass40/SynSemClass40.html?veclass=vec00301#vec00301-ces-cm00119", "vec00301")</f>
        <v>vec00301</v>
      </c>
      <c r="F58682" s="0" t="s">
        <v>3165</v>
      </c>
    </row>
    <row r="58683" customFormat="false" ht="12.8" hidden="false" customHeight="false" outlineLevel="0" collapsed="false">
      <c r="B58683" s="0" t="s">
        <v>1</v>
      </c>
      <c r="C58683" s="0" t="s">
        <v>10322</v>
      </c>
      <c r="E58683" s="0" t="s">
        <v>31</v>
      </c>
      <c r="F58683" s="0" t="s">
        <v>3167</v>
      </c>
    </row>
    <row r="58684" customFormat="false" ht="12.8" hidden="false" customHeight="false" outlineLevel="0" collapsed="false">
      <c r="B58684" s="0" t="s">
        <v>8</v>
      </c>
      <c r="C58684" s="0" t="s">
        <v>10323</v>
      </c>
      <c r="E58684" s="0" t="s">
        <v>230</v>
      </c>
      <c r="F58684" s="0" t="s">
        <v>3170</v>
      </c>
    </row>
    <row r="58686" customFormat="false" ht="12.8" hidden="false" customHeight="false" outlineLevel="0" collapsed="false">
      <c r="A58686" s="0" t="s">
        <v>19898</v>
      </c>
      <c r="B58686" s="0" t="str">
        <f aca="false">HYPERLINK("https://lindat.mff.cuni.cz/services/teitok/pdtc10/index.php?action=vallex&amp;frame=v-w8223f1", "vypořádávat se (v-w8223f1)")</f>
        <v>vypořádávat se (v-w8223f1)</v>
      </c>
      <c r="E58686" s="0" t="str">
        <f aca="false">HYPERLINK("https://lindat.mff.cuni.cz/services/SynSemClass40/SynSemClass40.html?veclass=vec00205#vec00205-ces-cm00057", "vec00205")</f>
        <v>vec00205</v>
      </c>
      <c r="F58686" s="0" t="s">
        <v>406</v>
      </c>
    </row>
    <row r="58687" customFormat="false" ht="12.8" hidden="false" customHeight="false" outlineLevel="0" collapsed="false">
      <c r="B58687" s="0" t="s">
        <v>1</v>
      </c>
      <c r="C58687" s="0" t="s">
        <v>407</v>
      </c>
      <c r="E58687" s="0" t="s">
        <v>11</v>
      </c>
      <c r="F58687" s="0" t="s">
        <v>408</v>
      </c>
    </row>
    <row r="58688" customFormat="false" ht="12.8" hidden="false" customHeight="false" outlineLevel="0" collapsed="false">
      <c r="B58688" s="0" t="s">
        <v>721</v>
      </c>
      <c r="C58688" s="0" t="s">
        <v>410</v>
      </c>
      <c r="E58688" s="0" t="s">
        <v>411</v>
      </c>
      <c r="F58688" s="0" t="s">
        <v>412</v>
      </c>
    </row>
    <row r="58690" customFormat="false" ht="12.8" hidden="false" customHeight="false" outlineLevel="0" collapsed="false">
      <c r="A58690" s="0" t="s">
        <v>19899</v>
      </c>
      <c r="B58690" s="0" t="str">
        <f aca="false">HYPERLINK("https://lindat.mff.cuni.cz/services/teitok/pdtc10/index.php?action=vallex&amp;frame=v-w8236f1", "vypracovat (v-w8236f1)")</f>
        <v>vypracovat (v-w8236f1)</v>
      </c>
      <c r="E58690" s="0" t="str">
        <f aca="false">HYPERLINK("https://lindat.mff.cuni.cz/services/SynSemClass40/SynSemClass40.html?veclass=vec00562#vec00562-ces-cm00001", "vec00562")</f>
        <v>vec00562</v>
      </c>
      <c r="F58690" s="0" t="s">
        <v>19900</v>
      </c>
    </row>
    <row r="58691" customFormat="false" ht="12.8" hidden="false" customHeight="false" outlineLevel="0" collapsed="false">
      <c r="B58691" s="0" t="s">
        <v>1</v>
      </c>
      <c r="C58691" s="0" t="s">
        <v>19901</v>
      </c>
      <c r="E58691" s="0" t="s">
        <v>768</v>
      </c>
      <c r="F58691" s="0" t="s">
        <v>19902</v>
      </c>
    </row>
    <row r="58692" customFormat="false" ht="12.8" hidden="false" customHeight="false" outlineLevel="0" collapsed="false">
      <c r="B58692" s="0" t="s">
        <v>8</v>
      </c>
      <c r="C58692" s="0" t="s">
        <v>660</v>
      </c>
      <c r="E58692" s="0" t="s">
        <v>771</v>
      </c>
      <c r="F58692" s="0" t="s">
        <v>19903</v>
      </c>
    </row>
    <row r="58694" customFormat="false" ht="12.8" hidden="false" customHeight="false" outlineLevel="0" collapsed="false">
      <c r="A58694" s="0" t="s">
        <v>19904</v>
      </c>
      <c r="B58694" s="0" t="str">
        <f aca="false">HYPERLINK("https://lindat.mff.cuni.cz/services/teitok/pdtc10/index.php?action=vallex&amp;frame=v-w8237hsa_1619", "vypracovat se (v-w8237hsa_1619)")</f>
        <v>vypracovat se (v-w8237hsa_1619)</v>
      </c>
    </row>
    <row r="58695" customFormat="false" ht="12.8" hidden="false" customHeight="false" outlineLevel="0" collapsed="false">
      <c r="B58695" s="0" t="s">
        <v>1</v>
      </c>
    </row>
    <row r="58696" customFormat="false" ht="12.8" hidden="false" customHeight="false" outlineLevel="0" collapsed="false">
      <c r="B58696" s="0" t="s">
        <v>19905</v>
      </c>
    </row>
    <row r="58697" customFormat="false" ht="12.8" hidden="false" customHeight="false" outlineLevel="0" collapsed="false">
      <c r="B58697" s="0" t="s">
        <v>36</v>
      </c>
    </row>
    <row r="58699" customFormat="false" ht="12.8" hidden="false" customHeight="false" outlineLevel="0" collapsed="false">
      <c r="A58699" s="0" t="s">
        <v>19904</v>
      </c>
      <c r="B58699" s="0" t="str">
        <f aca="false">HYPERLINK("https://lindat.mff.cuni.cz/services/teitok/pdtc10/index.php?action=vallex&amp;frame=v-w8237f1", "vypracovat se (v-w8237f1) - substituted with v-w8237hsa_1619")</f>
        <v>vypracovat se (v-w8237f1) - substituted with v-w8237hsa_1619</v>
      </c>
    </row>
    <row r="58700" customFormat="false" ht="12.8" hidden="false" customHeight="false" outlineLevel="0" collapsed="false">
      <c r="B58700" s="0" t="s">
        <v>1</v>
      </c>
    </row>
    <row r="58701" customFormat="false" ht="12.8" hidden="false" customHeight="false" outlineLevel="0" collapsed="false">
      <c r="B58701" s="0" t="s">
        <v>19905</v>
      </c>
    </row>
    <row r="58702" customFormat="false" ht="12.8" hidden="false" customHeight="false" outlineLevel="0" collapsed="false">
      <c r="B58702" s="0" t="s">
        <v>36</v>
      </c>
    </row>
    <row r="58704" customFormat="false" ht="12.8" hidden="false" customHeight="false" outlineLevel="0" collapsed="false">
      <c r="A58704" s="0" t="s">
        <v>19906</v>
      </c>
      <c r="B58704" s="0" t="str">
        <f aca="false">HYPERLINK("https://lindat.mff.cuni.cz/services/teitok/pdtc10/index.php?action=vallex&amp;frame=v-w8240f1", "vypracovávat (v-w8240f1)")</f>
        <v>vypracovávat (v-w8240f1)</v>
      </c>
      <c r="E58704" s="0" t="str">
        <f aca="false">HYPERLINK("https://lindat.mff.cuni.cz/services/SynSemClass40/SynSemClass40.html?veclass=vec00562#vec00562-ces-cm00029", "vec00562")</f>
        <v>vec00562</v>
      </c>
      <c r="F58704" s="0" t="s">
        <v>19900</v>
      </c>
    </row>
    <row r="58705" customFormat="false" ht="12.8" hidden="false" customHeight="false" outlineLevel="0" collapsed="false">
      <c r="B58705" s="0" t="s">
        <v>1</v>
      </c>
      <c r="C58705" s="0" t="s">
        <v>19901</v>
      </c>
      <c r="E58705" s="0" t="s">
        <v>768</v>
      </c>
      <c r="F58705" s="0" t="s">
        <v>19902</v>
      </c>
    </row>
    <row r="58706" customFormat="false" ht="12.8" hidden="false" customHeight="false" outlineLevel="0" collapsed="false">
      <c r="B58706" s="0" t="s">
        <v>8</v>
      </c>
      <c r="C58706" s="0" t="s">
        <v>660</v>
      </c>
      <c r="E58706" s="0" t="s">
        <v>771</v>
      </c>
      <c r="F58706" s="0" t="s">
        <v>19903</v>
      </c>
    </row>
    <row r="58708" customFormat="false" ht="12.8" hidden="false" customHeight="false" outlineLevel="0" collapsed="false">
      <c r="A58708" s="0" t="s">
        <v>19907</v>
      </c>
      <c r="B58708" s="0" t="str">
        <f aca="false">HYPERLINK("https://lindat.mff.cuni.cz/services/teitok/pdtc10/index.php?action=vallex&amp;frame=v-w11626_ZUf1_ZU", "vypracovávat se (v-w11626_ZUf1_ZU)")</f>
        <v>vypracovávat se (v-w11626_ZUf1_ZU)</v>
      </c>
    </row>
    <row r="58709" customFormat="false" ht="12.8" hidden="false" customHeight="false" outlineLevel="0" collapsed="false">
      <c r="B58709" s="0" t="s">
        <v>1</v>
      </c>
    </row>
    <row r="58710" customFormat="false" ht="12.8" hidden="false" customHeight="false" outlineLevel="0" collapsed="false">
      <c r="B58710" s="0" t="s">
        <v>4007</v>
      </c>
    </row>
    <row r="58711" customFormat="false" ht="12.8" hidden="false" customHeight="false" outlineLevel="0" collapsed="false">
      <c r="B58711" s="0" t="s">
        <v>36</v>
      </c>
    </row>
    <row r="58713" customFormat="false" ht="12.8" hidden="false" customHeight="false" outlineLevel="0" collapsed="false">
      <c r="A58713" s="0" t="s">
        <v>19908</v>
      </c>
      <c r="B58713" s="0" t="str">
        <f aca="false">HYPERLINK("https://lindat.mff.cuni.cz/services/teitok/pdtc10/index.php?action=vallex&amp;frame=v-w8241f1", "vyprat (v-w8241f1)")</f>
        <v>vyprat (v-w8241f1)</v>
      </c>
    </row>
    <row r="58714" customFormat="false" ht="12.8" hidden="false" customHeight="false" outlineLevel="0" collapsed="false">
      <c r="B58714" s="0" t="s">
        <v>1</v>
      </c>
    </row>
    <row r="58715" customFormat="false" ht="12.8" hidden="false" customHeight="false" outlineLevel="0" collapsed="false">
      <c r="B58715" s="0" t="s">
        <v>8</v>
      </c>
    </row>
    <row r="58717" customFormat="false" ht="12.8" hidden="false" customHeight="false" outlineLevel="0" collapsed="false">
      <c r="A58717" s="0" t="s">
        <v>19909</v>
      </c>
      <c r="B58717" s="0" t="str">
        <f aca="false">HYPERLINK("https://lindat.mff.cuni.cz/services/teitok/pdtc10/index.php?action=vallex&amp;frame=v-w8241f2", "vyprat (v-w8241f2)")</f>
        <v>vyprat (v-w8241f2)</v>
      </c>
    </row>
    <row r="58718" customFormat="false" ht="12.8" hidden="false" customHeight="false" outlineLevel="0" collapsed="false">
      <c r="B58718" s="0" t="s">
        <v>1</v>
      </c>
    </row>
    <row r="58719" customFormat="false" ht="12.8" hidden="false" customHeight="false" outlineLevel="0" collapsed="false">
      <c r="B58719" s="0" t="s">
        <v>8</v>
      </c>
    </row>
    <row r="58721" customFormat="false" ht="12.8" hidden="false" customHeight="false" outlineLevel="0" collapsed="false">
      <c r="A58721" s="0" t="s">
        <v>19910</v>
      </c>
      <c r="B58721" s="0" t="str">
        <f aca="false">HYPERLINK("https://lindat.mff.cuni.cz/services/teitok/pdtc10/index.php?action=vallex&amp;frame=v-w8247f3_ZU", "vypravit (v-w8247f3_ZU)")</f>
        <v>vypravit (v-w8247f3_ZU)</v>
      </c>
    </row>
    <row r="58722" customFormat="false" ht="12.8" hidden="false" customHeight="false" outlineLevel="0" collapsed="false">
      <c r="B58722" s="0" t="s">
        <v>1</v>
      </c>
    </row>
    <row r="58723" customFormat="false" ht="12.8" hidden="false" customHeight="false" outlineLevel="0" collapsed="false">
      <c r="B58723" s="0" t="s">
        <v>8</v>
      </c>
    </row>
    <row r="58725" customFormat="false" ht="12.8" hidden="false" customHeight="false" outlineLevel="0" collapsed="false">
      <c r="A58725" s="0" t="s">
        <v>19910</v>
      </c>
      <c r="B58725" s="0" t="str">
        <f aca="false">HYPERLINK("https://lindat.mff.cuni.cz/services/teitok/pdtc10/index.php?action=vallex&amp;frame=v-w8247f1", "vypravit (v-w8247f1) - substituted with v-w8247f3_ZU")</f>
        <v>vypravit (v-w8247f1) - substituted with v-w8247f3_ZU</v>
      </c>
    </row>
    <row r="58726" customFormat="false" ht="12.8" hidden="false" customHeight="false" outlineLevel="0" collapsed="false">
      <c r="B58726" s="0" t="s">
        <v>1</v>
      </c>
    </row>
    <row r="58727" customFormat="false" ht="12.8" hidden="false" customHeight="false" outlineLevel="0" collapsed="false">
      <c r="B58727" s="0" t="s">
        <v>8</v>
      </c>
    </row>
    <row r="58729" customFormat="false" ht="12.8" hidden="false" customHeight="false" outlineLevel="0" collapsed="false">
      <c r="A58729" s="0" t="s">
        <v>19911</v>
      </c>
      <c r="B58729" s="0" t="str">
        <f aca="false">HYPERLINK("https://lindat.mff.cuni.cz/services/teitok/pdtc10/index.php?action=vallex&amp;frame=v-w8247f2", "vypravit (v-w8247f2)")</f>
        <v>vypravit (v-w8247f2)</v>
      </c>
    </row>
    <row r="58730" customFormat="false" ht="12.8" hidden="false" customHeight="false" outlineLevel="0" collapsed="false">
      <c r="B58730" s="0" t="s">
        <v>1</v>
      </c>
    </row>
    <row r="58731" customFormat="false" ht="12.8" hidden="false" customHeight="false" outlineLevel="0" collapsed="false">
      <c r="B58731" s="0" t="s">
        <v>19912</v>
      </c>
    </row>
    <row r="58732" customFormat="false" ht="12.8" hidden="false" customHeight="false" outlineLevel="0" collapsed="false">
      <c r="B58732" s="0" t="s">
        <v>8</v>
      </c>
    </row>
    <row r="58734" customFormat="false" ht="12.8" hidden="false" customHeight="false" outlineLevel="0" collapsed="false">
      <c r="A58734" s="0" t="s">
        <v>19913</v>
      </c>
      <c r="B58734" s="0" t="str">
        <f aca="false">HYPERLINK("https://lindat.mff.cuni.cz/services/teitok/pdtc10/index.php?action=vallex&amp;frame=v-w8248f1", "vypravit se (v-w8248f1)")</f>
        <v>vypravit se (v-w8248f1)</v>
      </c>
    </row>
    <row r="58735" customFormat="false" ht="12.8" hidden="false" customHeight="false" outlineLevel="0" collapsed="false">
      <c r="B58735" s="0" t="s">
        <v>1</v>
      </c>
    </row>
    <row r="58736" customFormat="false" ht="12.8" hidden="false" customHeight="false" outlineLevel="0" collapsed="false">
      <c r="B58736" s="0" t="s">
        <v>164</v>
      </c>
    </row>
    <row r="58738" customFormat="false" ht="12.8" hidden="false" customHeight="false" outlineLevel="0" collapsed="false">
      <c r="A58738" s="0" t="s">
        <v>19914</v>
      </c>
      <c r="B58738" s="0" t="str">
        <f aca="false">HYPERLINK("https://lindat.mff.cuni.cz/services/teitok/pdtc10/index.php?action=vallex&amp;frame=v-w8249f3", "vypravovat (v-w8249f3)")</f>
        <v>vypravovat (v-w8249f3)</v>
      </c>
      <c r="E58738" s="0" t="str">
        <f aca="false">HYPERLINK("https://lindat.mff.cuni.cz/services/SynSemClass40/SynSemClass40.html?veclass=vec01353#vec01353-ces-cm00009", "vec01353")</f>
        <v>vec01353</v>
      </c>
      <c r="F58738" s="0" t="s">
        <v>6182</v>
      </c>
    </row>
    <row r="58739" customFormat="false" ht="12.8" hidden="false" customHeight="false" outlineLevel="0" collapsed="false">
      <c r="B58739" s="0" t="s">
        <v>1</v>
      </c>
      <c r="C58739" s="0" t="s">
        <v>11858</v>
      </c>
      <c r="E58739" s="0" t="s">
        <v>147</v>
      </c>
      <c r="F58739" s="0" t="s">
        <v>6184</v>
      </c>
    </row>
    <row r="58740" customFormat="false" ht="12.8" hidden="false" customHeight="false" outlineLevel="0" collapsed="false">
      <c r="B58740" s="0" t="s">
        <v>318</v>
      </c>
    </row>
    <row r="58741" customFormat="false" ht="12.8" hidden="false" customHeight="false" outlineLevel="0" collapsed="false">
      <c r="B58741" s="0" t="s">
        <v>52</v>
      </c>
      <c r="C58741" s="0" t="s">
        <v>6187</v>
      </c>
      <c r="E58741" s="0" t="s">
        <v>221</v>
      </c>
      <c r="F58741" s="0" t="s">
        <v>6188</v>
      </c>
    </row>
    <row r="58743" customFormat="false" ht="12.8" hidden="false" customHeight="false" outlineLevel="0" collapsed="false">
      <c r="A58743" s="0" t="s">
        <v>19915</v>
      </c>
      <c r="B58743" s="0" t="str">
        <f aca="false">HYPERLINK("https://lindat.mff.cuni.cz/services/teitok/pdtc10/index.php?action=vallex&amp;frame=v-w8249f1", "vypravovat (v-w8249f1)")</f>
        <v>vypravovat (v-w8249f1)</v>
      </c>
    </row>
    <row r="58744" customFormat="false" ht="12.8" hidden="false" customHeight="false" outlineLevel="0" collapsed="false">
      <c r="B58744" s="0" t="s">
        <v>1</v>
      </c>
    </row>
    <row r="58745" customFormat="false" ht="12.8" hidden="false" customHeight="false" outlineLevel="0" collapsed="false">
      <c r="B58745" s="0" t="s">
        <v>8</v>
      </c>
    </row>
    <row r="58747" customFormat="false" ht="12.8" hidden="false" customHeight="false" outlineLevel="0" collapsed="false">
      <c r="A58747" s="0" t="s">
        <v>19916</v>
      </c>
      <c r="B58747" s="0" t="str">
        <f aca="false">HYPERLINK("https://lindat.mff.cuni.cz/services/teitok/pdtc10/index.php?action=vallex&amp;frame=v-w8249f2", "vypravovat (v-w8249f2)")</f>
        <v>vypravovat (v-w8249f2)</v>
      </c>
      <c r="E58747" s="0" t="str">
        <f aca="false">HYPERLINK("https://lindat.mff.cuni.cz/services/SynSemClass40/SynSemClass40.html?veclass=vec01353#vec01353-ces-cm00008", "vec01353")</f>
        <v>vec01353</v>
      </c>
      <c r="F58747" s="0" t="s">
        <v>6182</v>
      </c>
    </row>
    <row r="58748" customFormat="false" ht="12.8" hidden="false" customHeight="false" outlineLevel="0" collapsed="false">
      <c r="B58748" s="0" t="s">
        <v>1</v>
      </c>
      <c r="C58748" s="0" t="s">
        <v>11858</v>
      </c>
      <c r="E58748" s="0" t="s">
        <v>147</v>
      </c>
      <c r="F58748" s="0" t="s">
        <v>6184</v>
      </c>
    </row>
    <row r="58749" customFormat="false" ht="12.8" hidden="false" customHeight="false" outlineLevel="0" collapsed="false">
      <c r="B58749" s="0" t="s">
        <v>52</v>
      </c>
      <c r="C58749" s="0" t="s">
        <v>6187</v>
      </c>
      <c r="E58749" s="0" t="s">
        <v>221</v>
      </c>
      <c r="F58749" s="0" t="s">
        <v>6188</v>
      </c>
    </row>
    <row r="58750" customFormat="false" ht="12.8" hidden="false" customHeight="false" outlineLevel="0" collapsed="false">
      <c r="B58750" s="0" t="s">
        <v>6412</v>
      </c>
      <c r="C58750" s="0" t="s">
        <v>13824</v>
      </c>
      <c r="E58750" s="0" t="s">
        <v>2217</v>
      </c>
      <c r="F58750" s="0" t="s">
        <v>11885</v>
      </c>
    </row>
    <row r="58751" customFormat="false" ht="12.8" hidden="false" customHeight="false" outlineLevel="0" collapsed="false">
      <c r="B58751" s="0" t="s">
        <v>496</v>
      </c>
      <c r="C58751" s="0" t="s">
        <v>11859</v>
      </c>
      <c r="E58751" s="0" t="s">
        <v>218</v>
      </c>
      <c r="F58751" s="0" t="s">
        <v>6186</v>
      </c>
    </row>
    <row r="58753" customFormat="false" ht="12.8" hidden="false" customHeight="false" outlineLevel="0" collapsed="false">
      <c r="A58753" s="0" t="s">
        <v>19917</v>
      </c>
      <c r="B58753" s="0" t="str">
        <f aca="false">HYPERLINK("https://lindat.mff.cuni.cz/services/teitok/pdtc10/index.php?action=vallex&amp;frame=v-w11780_ZUf1_ZU", "vypravovat se (v-w11780_ZUf1_ZU)")</f>
        <v>vypravovat se (v-w11780_ZUf1_ZU)</v>
      </c>
    </row>
    <row r="58754" customFormat="false" ht="12.8" hidden="false" customHeight="false" outlineLevel="0" collapsed="false">
      <c r="B58754" s="0" t="s">
        <v>1</v>
      </c>
    </row>
    <row r="58755" customFormat="false" ht="12.8" hidden="false" customHeight="false" outlineLevel="0" collapsed="false">
      <c r="B58755" s="0" t="s">
        <v>454</v>
      </c>
    </row>
    <row r="58757" customFormat="false" ht="12.8" hidden="false" customHeight="false" outlineLevel="0" collapsed="false">
      <c r="A58757" s="0" t="s">
        <v>19918</v>
      </c>
      <c r="B58757" s="0" t="str">
        <f aca="false">HYPERLINK("https://lindat.mff.cuni.cz/services/teitok/pdtc10/index.php?action=vallex&amp;frame=v-w8251f1", "vyprazdňovat (v-w8251f1)")</f>
        <v>vyprazdňovat (v-w8251f1)</v>
      </c>
      <c r="E58757" s="0" t="str">
        <f aca="false">HYPERLINK("https://lindat.mff.cuni.cz/services/SynSemClass40/SynSemClass40.html?veclass=vec01160#vec01160-ces-cm00001", "vec01160")</f>
        <v>vec01160</v>
      </c>
      <c r="F58757" s="0" t="s">
        <v>19919</v>
      </c>
    </row>
    <row r="58758" customFormat="false" ht="12.8" hidden="false" customHeight="false" outlineLevel="0" collapsed="false">
      <c r="B58758" s="0" t="s">
        <v>1</v>
      </c>
      <c r="C58758" s="0" t="s">
        <v>4695</v>
      </c>
      <c r="E58758" s="0" t="s">
        <v>11</v>
      </c>
      <c r="F58758" s="0" t="s">
        <v>5950</v>
      </c>
    </row>
    <row r="58759" customFormat="false" ht="12.8" hidden="false" customHeight="false" outlineLevel="0" collapsed="false">
      <c r="B58759" s="0" t="s">
        <v>8</v>
      </c>
      <c r="C58759" s="0" t="s">
        <v>800</v>
      </c>
      <c r="E58759" s="0" t="s">
        <v>7098</v>
      </c>
      <c r="F58759" s="0" t="s">
        <v>7099</v>
      </c>
    </row>
    <row r="58761" customFormat="false" ht="12.8" hidden="false" customHeight="false" outlineLevel="0" collapsed="false">
      <c r="A58761" s="0" t="s">
        <v>19920</v>
      </c>
      <c r="B58761" s="0" t="str">
        <f aca="false">HYPERLINK("https://lindat.mff.cuni.cz/services/teitok/pdtc10/index.php?action=vallex&amp;frame=v-w8252f1", "vyprchat (v-w8252f1)")</f>
        <v>vyprchat (v-w8252f1)</v>
      </c>
      <c r="E58761" s="0" t="str">
        <f aca="false">HYPERLINK("https://lindat.mff.cuni.cz/services/SynSemClass40/SynSemClass40.html?veclass=vec00755#vec00755-ces-cm00004", "vec00755")</f>
        <v>vec00755</v>
      </c>
      <c r="F58761" s="0" t="s">
        <v>6268</v>
      </c>
    </row>
    <row r="58762" customFormat="false" ht="12.8" hidden="false" customHeight="false" outlineLevel="0" collapsed="false">
      <c r="B58762" s="0" t="s">
        <v>1</v>
      </c>
      <c r="C58762" s="0" t="s">
        <v>6269</v>
      </c>
      <c r="E58762" s="0" t="s">
        <v>6270</v>
      </c>
      <c r="F58762" s="0" t="s">
        <v>6271</v>
      </c>
    </row>
    <row r="58764" customFormat="false" ht="12.8" hidden="false" customHeight="false" outlineLevel="0" collapsed="false">
      <c r="A58764" s="0" t="s">
        <v>19921</v>
      </c>
      <c r="B58764" s="0" t="str">
        <f aca="false">HYPERLINK("https://lindat.mff.cuni.cz/services/teitok/pdtc10/index.php?action=vallex&amp;frame=v-w8253f1", "vyprodat (v-w8253f1)")</f>
        <v>vyprodat (v-w8253f1)</v>
      </c>
      <c r="E58764" s="0" t="str">
        <f aca="false">HYPERLINK("https://lindat.mff.cuni.cz/services/SynSemClass40/SynSemClass40.html?veclass=vec00083#vec00083-ces-cm00018", "vec00083")</f>
        <v>vec00083</v>
      </c>
      <c r="F58764" s="0" t="s">
        <v>9165</v>
      </c>
    </row>
    <row r="58765" customFormat="false" ht="12.8" hidden="false" customHeight="false" outlineLevel="0" collapsed="false">
      <c r="B58765" s="0" t="s">
        <v>1</v>
      </c>
      <c r="C58765" s="0" t="s">
        <v>9166</v>
      </c>
      <c r="E58765" s="0" t="s">
        <v>3198</v>
      </c>
      <c r="F58765" s="0" t="s">
        <v>9167</v>
      </c>
    </row>
    <row r="58766" customFormat="false" ht="12.8" hidden="false" customHeight="false" outlineLevel="0" collapsed="false">
      <c r="B58766" s="0" t="s">
        <v>8</v>
      </c>
      <c r="C58766" s="0" t="s">
        <v>9168</v>
      </c>
      <c r="E58766" s="0" t="s">
        <v>3201</v>
      </c>
      <c r="F58766" s="0" t="s">
        <v>9169</v>
      </c>
    </row>
    <row r="58768" customFormat="false" ht="12.8" hidden="false" customHeight="false" outlineLevel="0" collapsed="false">
      <c r="A58768" s="0" t="s">
        <v>19922</v>
      </c>
      <c r="B58768" s="0" t="str">
        <f aca="false">HYPERLINK("https://lindat.mff.cuni.cz/services/teitok/pdtc10/index.php?action=vallex&amp;frame=v-w8256f1", "vyprodukovat (v-w8256f1)")</f>
        <v>vyprodukovat (v-w8256f1)</v>
      </c>
      <c r="E58768" s="0" t="str">
        <f aca="false">HYPERLINK("https://lindat.mff.cuni.cz/services/SynSemClass40/SynSemClass40.html?veclass=vec00084#vec00084-ces-cm00064", "vec00084")</f>
        <v>vec00084</v>
      </c>
      <c r="F58768" s="0" t="s">
        <v>778</v>
      </c>
    </row>
    <row r="58769" customFormat="false" ht="12.8" hidden="false" customHeight="false" outlineLevel="0" collapsed="false">
      <c r="B58769" s="0" t="s">
        <v>1</v>
      </c>
      <c r="C58769" s="0" t="s">
        <v>5557</v>
      </c>
      <c r="E58769" s="0" t="s">
        <v>31</v>
      </c>
      <c r="F58769" s="0" t="s">
        <v>781</v>
      </c>
    </row>
    <row r="58770" customFormat="false" ht="12.8" hidden="false" customHeight="false" outlineLevel="0" collapsed="false">
      <c r="B58770" s="0" t="s">
        <v>8</v>
      </c>
      <c r="C58770" s="0" t="s">
        <v>5558</v>
      </c>
      <c r="E58770" s="0" t="s">
        <v>771</v>
      </c>
      <c r="F58770" s="0" t="s">
        <v>784</v>
      </c>
    </row>
    <row r="58771" customFormat="false" ht="12.8" hidden="false" customHeight="false" outlineLevel="0" collapsed="false">
      <c r="B58771" s="0" t="s">
        <v>36</v>
      </c>
      <c r="C58771" s="0" t="s">
        <v>6350</v>
      </c>
      <c r="E58771" s="0" t="s">
        <v>787</v>
      </c>
      <c r="F58771" s="0" t="s">
        <v>788</v>
      </c>
    </row>
    <row r="58773" customFormat="false" ht="12.8" hidden="false" customHeight="false" outlineLevel="0" collapsed="false">
      <c r="A58773" s="0" t="s">
        <v>19923</v>
      </c>
      <c r="B58773" s="0" t="str">
        <f aca="false">HYPERLINK("https://lindat.mff.cuni.cz/services/teitok/pdtc10/index.php?action=vallex&amp;frame=v-w8254f1", "vyprodávat (v-w8254f1)")</f>
        <v>vyprodávat (v-w8254f1)</v>
      </c>
    </row>
    <row r="58774" customFormat="false" ht="12.8" hidden="false" customHeight="false" outlineLevel="0" collapsed="false">
      <c r="B58774" s="0" t="s">
        <v>1</v>
      </c>
    </row>
    <row r="58775" customFormat="false" ht="12.8" hidden="false" customHeight="false" outlineLevel="0" collapsed="false">
      <c r="B58775" s="0" t="s">
        <v>8</v>
      </c>
    </row>
    <row r="58777" customFormat="false" ht="12.8" hidden="false" customHeight="false" outlineLevel="0" collapsed="false">
      <c r="A58777" s="0" t="s">
        <v>19924</v>
      </c>
      <c r="B58777" s="0" t="str">
        <f aca="false">HYPERLINK("https://lindat.mff.cuni.cz/services/teitok/pdtc10/index.php?action=vallex&amp;frame=v-w8257f1", "vyprofilovat se (v-w8257f1)")</f>
        <v>vyprofilovat se (v-w8257f1)</v>
      </c>
    </row>
    <row r="58778" customFormat="false" ht="12.8" hidden="false" customHeight="false" outlineLevel="0" collapsed="false">
      <c r="B58778" s="0" t="s">
        <v>1</v>
      </c>
    </row>
    <row r="58779" customFormat="false" ht="12.8" hidden="false" customHeight="false" outlineLevel="0" collapsed="false">
      <c r="B58779" s="0" t="s">
        <v>19925</v>
      </c>
    </row>
    <row r="58780" customFormat="false" ht="12.8" hidden="false" customHeight="false" outlineLevel="0" collapsed="false">
      <c r="B58780" s="0" t="s">
        <v>36</v>
      </c>
    </row>
    <row r="58782" customFormat="false" ht="12.8" hidden="false" customHeight="false" outlineLevel="0" collapsed="false">
      <c r="A58782" s="0" t="s">
        <v>19926</v>
      </c>
      <c r="B58782" s="0" t="str">
        <f aca="false">HYPERLINK("https://lindat.mff.cuni.cz/services/teitok/pdtc10/index.php?action=vallex&amp;frame=v-w8258f1", "vyprojektovat (v-w8258f1)")</f>
        <v>vyprojektovat (v-w8258f1)</v>
      </c>
      <c r="E58782" s="0" t="str">
        <f aca="false">HYPERLINK("https://lindat.mff.cuni.cz/services/SynSemClass40/SynSemClass40.html?veclass=vec00040#vec00040-ces-cm00054", "vec00040")</f>
        <v>vec00040</v>
      </c>
      <c r="F58782" s="0" t="s">
        <v>5506</v>
      </c>
      <c r="H58782" s="0" t="str">
        <f aca="false">HYPERLINK("https://lindat.mff.cuni.cz/services/SynSemClass40/SynSemClass40.html?veclass=vec00360#vec00360-ces-cm00043", "vec00360")</f>
        <v>vec00360</v>
      </c>
      <c r="I58782" s="0" t="s">
        <v>5330</v>
      </c>
    </row>
    <row r="58783" customFormat="false" ht="12.8" hidden="false" customHeight="false" outlineLevel="0" collapsed="false">
      <c r="B58783" s="0" t="s">
        <v>1</v>
      </c>
      <c r="C58783" s="0" t="s">
        <v>19927</v>
      </c>
      <c r="E58783" s="0" t="s">
        <v>2619</v>
      </c>
      <c r="F58783" s="0" t="s">
        <v>5509</v>
      </c>
      <c r="H58783" s="0" t="s">
        <v>768</v>
      </c>
      <c r="I58783" s="0" t="s">
        <v>5332</v>
      </c>
    </row>
    <row r="58784" customFormat="false" ht="12.8" hidden="false" customHeight="false" outlineLevel="0" collapsed="false">
      <c r="B58784" s="0" t="s">
        <v>8</v>
      </c>
      <c r="C58784" s="0" t="s">
        <v>14838</v>
      </c>
      <c r="E58784" s="0" t="s">
        <v>771</v>
      </c>
      <c r="F58784" s="0" t="s">
        <v>5512</v>
      </c>
      <c r="H58784" s="0" t="s">
        <v>771</v>
      </c>
      <c r="I58784" s="0" t="s">
        <v>5334</v>
      </c>
    </row>
    <row r="58785" customFormat="false" ht="12.8" hidden="false" customHeight="false" outlineLevel="0" collapsed="false">
      <c r="B58785" s="0" t="s">
        <v>36</v>
      </c>
      <c r="C58785" s="0" t="s">
        <v>5335</v>
      </c>
      <c r="H58785" s="0" t="s">
        <v>787</v>
      </c>
      <c r="I58785" s="0" t="s">
        <v>5336</v>
      </c>
    </row>
    <row r="58787" customFormat="false" ht="12.8" hidden="false" customHeight="false" outlineLevel="0" collapsed="false">
      <c r="A58787" s="0" t="s">
        <v>19928</v>
      </c>
      <c r="B58787" s="0" t="str">
        <f aca="false">HYPERLINK("https://lindat.mff.cuni.cz/services/teitok/pdtc10/index.php?action=vallex&amp;frame=v-w11299f3_ZU", "vyprostit (v-w11299f3_ZU)")</f>
        <v>vyprostit (v-w11299f3_ZU)</v>
      </c>
      <c r="E58787" s="0" t="str">
        <f aca="false">HYPERLINK("https://lindat.mff.cuni.cz/services/SynSemClass40/SynSemClass40.html?veclass=vec01354#vec01354-ces-cm00003", "vec01354")</f>
        <v>vec01354</v>
      </c>
      <c r="F58787" s="0" t="s">
        <v>19744</v>
      </c>
    </row>
    <row r="58788" customFormat="false" ht="12.8" hidden="false" customHeight="false" outlineLevel="0" collapsed="false">
      <c r="B58788" s="0" t="s">
        <v>1</v>
      </c>
      <c r="C58788" s="0" t="s">
        <v>459</v>
      </c>
      <c r="E58788" s="0" t="s">
        <v>3021</v>
      </c>
      <c r="F58788" s="0" t="s">
        <v>6152</v>
      </c>
    </row>
    <row r="58789" customFormat="false" ht="12.8" hidden="false" customHeight="false" outlineLevel="0" collapsed="false">
      <c r="B58789" s="0" t="s">
        <v>8</v>
      </c>
      <c r="C58789" s="0" t="s">
        <v>531</v>
      </c>
      <c r="E58789" s="0" t="s">
        <v>4438</v>
      </c>
      <c r="F58789" s="0" t="s">
        <v>19745</v>
      </c>
    </row>
    <row r="58790" customFormat="false" ht="12.8" hidden="false" customHeight="false" outlineLevel="0" collapsed="false">
      <c r="B58790" s="0" t="s">
        <v>631</v>
      </c>
      <c r="E58790" s="0" t="s">
        <v>2818</v>
      </c>
      <c r="F58790" s="0" t="s">
        <v>2819</v>
      </c>
    </row>
    <row r="58792" customFormat="false" ht="12.8" hidden="false" customHeight="false" outlineLevel="0" collapsed="false">
      <c r="A58792" s="0" t="s">
        <v>19928</v>
      </c>
      <c r="B58792" s="0" t="str">
        <f aca="false">HYPERLINK("https://lindat.mff.cuni.cz/services/teitok/pdtc10/index.php?action=vallex&amp;frame=v-w11299f1", "vyprostit (v-w11299f1) - substituted with v-w11299f3_ZU")</f>
        <v>vyprostit (v-w11299f1) - substituted with v-w11299f3_ZU</v>
      </c>
    </row>
    <row r="58793" customFormat="false" ht="12.8" hidden="false" customHeight="false" outlineLevel="0" collapsed="false">
      <c r="B58793" s="0" t="s">
        <v>1</v>
      </c>
    </row>
    <row r="58794" customFormat="false" ht="12.8" hidden="false" customHeight="false" outlineLevel="0" collapsed="false">
      <c r="B58794" s="0" t="s">
        <v>8</v>
      </c>
    </row>
    <row r="58795" customFormat="false" ht="12.8" hidden="false" customHeight="false" outlineLevel="0" collapsed="false">
      <c r="B58795" s="0" t="s">
        <v>631</v>
      </c>
    </row>
    <row r="58797" customFormat="false" ht="12.8" hidden="false" customHeight="false" outlineLevel="0" collapsed="false">
      <c r="A58797" s="0" t="s">
        <v>19928</v>
      </c>
      <c r="B58797" s="0" t="str">
        <f aca="false">HYPERLINK("https://lindat.mff.cuni.cz/services/teitok/pdtc10/index.php?action=vallex&amp;frame=v-w11299f2_ZU", "vyprostit (v-w11299f2_ZU) - substituted with v-w11299f3_ZU")</f>
        <v>vyprostit (v-w11299f2_ZU) - substituted with v-w11299f3_ZU</v>
      </c>
    </row>
    <row r="58798" customFormat="false" ht="12.8" hidden="false" customHeight="false" outlineLevel="0" collapsed="false">
      <c r="B58798" s="0" t="s">
        <v>1</v>
      </c>
    </row>
    <row r="58799" customFormat="false" ht="12.8" hidden="false" customHeight="false" outlineLevel="0" collapsed="false">
      <c r="B58799" s="0" t="s">
        <v>8</v>
      </c>
    </row>
    <row r="58800" customFormat="false" ht="12.8" hidden="false" customHeight="false" outlineLevel="0" collapsed="false">
      <c r="B58800" s="0" t="s">
        <v>631</v>
      </c>
    </row>
    <row r="58802" customFormat="false" ht="12.8" hidden="false" customHeight="false" outlineLevel="0" collapsed="false">
      <c r="A58802" s="0" t="s">
        <v>19929</v>
      </c>
      <c r="B58802" s="0" t="str">
        <f aca="false">HYPERLINK("https://lindat.mff.cuni.cz/services/teitok/pdtc10/index.php?action=vallex&amp;frame=v-w11299hsa_201", "vyprostit (v-w11299hsa_201)")</f>
        <v>vyprostit (v-w11299hsa_201)</v>
      </c>
    </row>
    <row r="58803" customFormat="false" ht="12.8" hidden="false" customHeight="false" outlineLevel="0" collapsed="false">
      <c r="B58803" s="0" t="s">
        <v>1</v>
      </c>
    </row>
    <row r="58804" customFormat="false" ht="12.8" hidden="false" customHeight="false" outlineLevel="0" collapsed="false">
      <c r="B58804" s="0" t="s">
        <v>8</v>
      </c>
    </row>
    <row r="58805" customFormat="false" ht="12.8" hidden="false" customHeight="false" outlineLevel="0" collapsed="false">
      <c r="B58805" s="0" t="s">
        <v>631</v>
      </c>
    </row>
    <row r="58807" customFormat="false" ht="12.8" hidden="false" customHeight="false" outlineLevel="0" collapsed="false">
      <c r="A58807" s="0" t="s">
        <v>19930</v>
      </c>
      <c r="B58807" s="0" t="str">
        <f aca="false">HYPERLINK("https://lindat.mff.cuni.cz/services/teitok/pdtc10/index.php?action=vallex&amp;frame=v-w8259f1", "vyprostit se (v-w8259f1)")</f>
        <v>vyprostit se (v-w8259f1)</v>
      </c>
      <c r="E58807" s="0" t="str">
        <f aca="false">HYPERLINK("https://lindat.mff.cuni.cz/services/SynSemClass40/SynSemClass40.html?veclass=vec00811#vec00811-ces-cm00128", "vec00811")</f>
        <v>vec00811</v>
      </c>
      <c r="F58807" s="0" t="s">
        <v>2889</v>
      </c>
      <c r="H58807" s="0" t="str">
        <f aca="false">HYPERLINK("https://lindat.mff.cuni.cz/services/SynSemClass40/SynSemClass40.html?veclass=vec01465#vec01465-ces-cm00006", "vec01465")</f>
        <v>vec01465</v>
      </c>
      <c r="I58807" s="0" t="s">
        <v>2890</v>
      </c>
    </row>
    <row r="58808" customFormat="false" ht="12.8" hidden="false" customHeight="false" outlineLevel="0" collapsed="false">
      <c r="B58808" s="0" t="s">
        <v>1</v>
      </c>
      <c r="C58808" s="0" t="s">
        <v>2891</v>
      </c>
      <c r="E58808" s="0" t="s">
        <v>2892</v>
      </c>
      <c r="F58808" s="0" t="s">
        <v>2893</v>
      </c>
      <c r="H58808" s="0" t="s">
        <v>2892</v>
      </c>
      <c r="I58808" s="0" t="s">
        <v>2894</v>
      </c>
    </row>
    <row r="58809" customFormat="false" ht="12.8" hidden="false" customHeight="false" outlineLevel="0" collapsed="false">
      <c r="B58809" s="0" t="s">
        <v>631</v>
      </c>
      <c r="C58809" s="0" t="s">
        <v>2895</v>
      </c>
      <c r="E58809" s="0" t="s">
        <v>1949</v>
      </c>
      <c r="F58809" s="0" t="s">
        <v>2896</v>
      </c>
      <c r="H58809" s="0" t="s">
        <v>2897</v>
      </c>
      <c r="I58809" s="0" t="s">
        <v>2898</v>
      </c>
    </row>
    <row r="58811" customFormat="false" ht="12.8" hidden="false" customHeight="false" outlineLevel="0" collapsed="false">
      <c r="A58811" s="0" t="s">
        <v>19931</v>
      </c>
      <c r="B58811" s="0" t="str">
        <f aca="false">HYPERLINK("https://lindat.mff.cuni.cz/services/teitok/pdtc10/index.php?action=vallex&amp;frame=v-w8263f1", "vyprovodit (v-w8263f1)")</f>
        <v>vyprovodit (v-w8263f1)</v>
      </c>
    </row>
    <row r="58812" customFormat="false" ht="12.8" hidden="false" customHeight="false" outlineLevel="0" collapsed="false">
      <c r="B58812" s="0" t="s">
        <v>1</v>
      </c>
    </row>
    <row r="58813" customFormat="false" ht="12.8" hidden="false" customHeight="false" outlineLevel="0" collapsed="false">
      <c r="B58813" s="0" t="s">
        <v>8</v>
      </c>
    </row>
    <row r="58815" customFormat="false" ht="12.8" hidden="false" customHeight="false" outlineLevel="0" collapsed="false">
      <c r="A58815" s="0" t="s">
        <v>19932</v>
      </c>
      <c r="B58815" s="0" t="str">
        <f aca="false">HYPERLINK("https://lindat.mff.cuni.cz/services/teitok/pdtc10/index.php?action=vallex&amp;frame=v-w8265f1", "vyprovokovat (v-w8265f1)")</f>
        <v>vyprovokovat (v-w8265f1)</v>
      </c>
    </row>
    <row r="58816" customFormat="false" ht="12.8" hidden="false" customHeight="false" outlineLevel="0" collapsed="false">
      <c r="B58816" s="0" t="s">
        <v>1</v>
      </c>
    </row>
    <row r="58817" customFormat="false" ht="12.8" hidden="false" customHeight="false" outlineLevel="0" collapsed="false">
      <c r="B58817" s="0" t="s">
        <v>8</v>
      </c>
    </row>
    <row r="58819" customFormat="false" ht="12.8" hidden="false" customHeight="false" outlineLevel="0" collapsed="false">
      <c r="A58819" s="0" t="s">
        <v>19933</v>
      </c>
      <c r="B58819" s="0" t="str">
        <f aca="false">HYPERLINK("https://lindat.mff.cuni.cz/services/teitok/pdtc10/index.php?action=vallex&amp;frame=v-w8265f2", "vyprovokovat (v-w8265f2)")</f>
        <v>vyprovokovat (v-w8265f2)</v>
      </c>
      <c r="E58819" s="0" t="str">
        <f aca="false">HYPERLINK("https://lindat.mff.cuni.cz/services/SynSemClass40/SynSemClass40.html?veclass=vec00098#vec00098-ces-cm00088", "vec00098")</f>
        <v>vec00098</v>
      </c>
      <c r="F58819" s="0" t="s">
        <v>2500</v>
      </c>
    </row>
    <row r="58820" customFormat="false" ht="12.8" hidden="false" customHeight="false" outlineLevel="0" collapsed="false">
      <c r="B58820" s="0" t="s">
        <v>1</v>
      </c>
      <c r="C58820" s="0" t="s">
        <v>2501</v>
      </c>
      <c r="E58820" s="0" t="s">
        <v>1665</v>
      </c>
      <c r="F58820" s="0" t="s">
        <v>2502</v>
      </c>
    </row>
    <row r="58821" customFormat="false" ht="12.8" hidden="false" customHeight="false" outlineLevel="0" collapsed="false">
      <c r="B58821" s="0" t="s">
        <v>98</v>
      </c>
      <c r="C58821" s="0" t="s">
        <v>2505</v>
      </c>
      <c r="E58821" s="0" t="s">
        <v>2287</v>
      </c>
      <c r="F58821" s="0" t="s">
        <v>2506</v>
      </c>
    </row>
    <row r="58822" customFormat="false" ht="12.8" hidden="false" customHeight="false" outlineLevel="0" collapsed="false">
      <c r="B58822" s="0" t="s">
        <v>16636</v>
      </c>
      <c r="C58822" s="0" t="s">
        <v>2503</v>
      </c>
      <c r="E58822" s="0" t="s">
        <v>79</v>
      </c>
      <c r="F58822" s="0" t="s">
        <v>2504</v>
      </c>
    </row>
    <row r="58824" customFormat="false" ht="12.8" hidden="false" customHeight="false" outlineLevel="0" collapsed="false">
      <c r="A58824" s="0" t="s">
        <v>19934</v>
      </c>
      <c r="B58824" s="0" t="str">
        <f aca="false">HYPERLINK("https://lindat.mff.cuni.cz/services/teitok/pdtc10/index.php?action=vallex&amp;frame=v-w8262f1", "vyprovázet (v-w8262f1)")</f>
        <v>vyprovázet (v-w8262f1)</v>
      </c>
      <c r="E58824" s="0" t="str">
        <f aca="false">HYPERLINK("https://lindat.mff.cuni.cz/services/SynSemClass40/SynSemClass40.html?veclass=vec00172#vec00172-ces-cm00039", "vec00172")</f>
        <v>vec00172</v>
      </c>
      <c r="F58824" s="0" t="s">
        <v>2513</v>
      </c>
      <c r="H58824" s="0" t="str">
        <f aca="false">HYPERLINK("https://lindat.mff.cuni.cz/services/SynSemClass40/SynSemClass40.html?veclass=vec01282#vec01282-ces-cm00021", "vec01282")</f>
        <v>vec01282</v>
      </c>
      <c r="I58824" s="0" t="s">
        <v>2659</v>
      </c>
    </row>
    <row r="58825" customFormat="false" ht="12.8" hidden="false" customHeight="false" outlineLevel="0" collapsed="false">
      <c r="B58825" s="0" t="s">
        <v>1</v>
      </c>
      <c r="C58825" s="0" t="s">
        <v>19935</v>
      </c>
      <c r="E58825" s="0" t="s">
        <v>2196</v>
      </c>
      <c r="F58825" s="0" t="s">
        <v>2515</v>
      </c>
      <c r="H58825" s="0" t="s">
        <v>2241</v>
      </c>
      <c r="I58825" s="0" t="s">
        <v>2662</v>
      </c>
    </row>
    <row r="58826" customFormat="false" ht="12.8" hidden="false" customHeight="false" outlineLevel="0" collapsed="false">
      <c r="B58826" s="0" t="s">
        <v>8</v>
      </c>
      <c r="C58826" s="0" t="s">
        <v>19936</v>
      </c>
      <c r="E58826" s="0" t="s">
        <v>2200</v>
      </c>
      <c r="F58826" s="0" t="s">
        <v>2517</v>
      </c>
      <c r="H58826" s="0" t="s">
        <v>2665</v>
      </c>
      <c r="I58826" s="0" t="s">
        <v>2666</v>
      </c>
    </row>
    <row r="58828" customFormat="false" ht="12.8" hidden="false" customHeight="false" outlineLevel="0" collapsed="false">
      <c r="A58828" s="0" t="s">
        <v>19937</v>
      </c>
      <c r="B58828" s="0" t="str">
        <f aca="false">HYPERLINK("https://lindat.mff.cuni.cz/services/teitok/pdtc10/index.php?action=vallex&amp;frame=v-w8261f1", "vyprošťovat (v-w8261f1)")</f>
        <v>vyprošťovat (v-w8261f1)</v>
      </c>
      <c r="E58828" s="0" t="str">
        <f aca="false">HYPERLINK("https://lindat.mff.cuni.cz/services/SynSemClass40/SynSemClass40.html?veclass=vec01354#vec01354-ces-cm00004", "vec01354")</f>
        <v>vec01354</v>
      </c>
      <c r="F58828" s="0" t="s">
        <v>19744</v>
      </c>
    </row>
    <row r="58829" customFormat="false" ht="12.8" hidden="false" customHeight="false" outlineLevel="0" collapsed="false">
      <c r="B58829" s="0" t="s">
        <v>1</v>
      </c>
      <c r="C58829" s="0" t="s">
        <v>459</v>
      </c>
      <c r="E58829" s="0" t="s">
        <v>3021</v>
      </c>
      <c r="F58829" s="0" t="s">
        <v>6152</v>
      </c>
    </row>
    <row r="58830" customFormat="false" ht="12.8" hidden="false" customHeight="false" outlineLevel="0" collapsed="false">
      <c r="B58830" s="0" t="s">
        <v>8</v>
      </c>
      <c r="C58830" s="0" t="s">
        <v>531</v>
      </c>
      <c r="E58830" s="0" t="s">
        <v>4438</v>
      </c>
      <c r="F58830" s="0" t="s">
        <v>19745</v>
      </c>
    </row>
    <row r="58831" customFormat="false" ht="12.8" hidden="false" customHeight="false" outlineLevel="0" collapsed="false">
      <c r="B58831" s="0" t="s">
        <v>631</v>
      </c>
      <c r="E58831" s="0" t="s">
        <v>2818</v>
      </c>
      <c r="F58831" s="0" t="s">
        <v>2819</v>
      </c>
    </row>
    <row r="58833" customFormat="false" ht="12.8" hidden="false" customHeight="false" outlineLevel="0" collapsed="false">
      <c r="A58833" s="0" t="s">
        <v>19938</v>
      </c>
      <c r="B58833" s="0" t="str">
        <f aca="false">HYPERLINK("https://lindat.mff.cuni.cz/services/teitok/pdtc10/index.php?action=vallex&amp;frame=v-w8246f2", "vyprávět (v-w8246f2)")</f>
        <v>vyprávět (v-w8246f2)</v>
      </c>
      <c r="E58833" s="0" t="str">
        <f aca="false">HYPERLINK("https://lindat.mff.cuni.cz/services/SynSemClass40/SynSemClass40.html?veclass=vec01353#vec01353-ces-cm00007", "vec01353")</f>
        <v>vec01353</v>
      </c>
      <c r="F58833" s="0" t="s">
        <v>6182</v>
      </c>
    </row>
    <row r="58834" customFormat="false" ht="12.8" hidden="false" customHeight="false" outlineLevel="0" collapsed="false">
      <c r="B58834" s="0" t="s">
        <v>1</v>
      </c>
      <c r="C58834" s="0" t="s">
        <v>11858</v>
      </c>
      <c r="E58834" s="0" t="s">
        <v>147</v>
      </c>
      <c r="F58834" s="0" t="s">
        <v>6184</v>
      </c>
    </row>
    <row r="58835" customFormat="false" ht="12.8" hidden="false" customHeight="false" outlineLevel="0" collapsed="false">
      <c r="B58835" s="0" t="s">
        <v>318</v>
      </c>
      <c r="C58835" s="0" t="s">
        <v>11859</v>
      </c>
      <c r="E58835" s="0" t="s">
        <v>218</v>
      </c>
      <c r="F58835" s="0" t="s">
        <v>6186</v>
      </c>
    </row>
    <row r="58836" customFormat="false" ht="12.8" hidden="false" customHeight="false" outlineLevel="0" collapsed="false">
      <c r="B58836" s="0" t="s">
        <v>52</v>
      </c>
      <c r="C58836" s="0" t="s">
        <v>6187</v>
      </c>
      <c r="E58836" s="0" t="s">
        <v>221</v>
      </c>
      <c r="F58836" s="0" t="s">
        <v>6188</v>
      </c>
    </row>
    <row r="58838" customFormat="false" ht="12.8" hidden="false" customHeight="false" outlineLevel="0" collapsed="false">
      <c r="A58838" s="0" t="s">
        <v>19939</v>
      </c>
      <c r="B58838" s="0" t="str">
        <f aca="false">HYPERLINK("https://lindat.mff.cuni.cz/services/teitok/pdtc10/index.php?action=vallex&amp;frame=v-w8246hsa_903", "vyprávět (v-w8246hsa_903)")</f>
        <v>vyprávět (v-w8246hsa_903)</v>
      </c>
    </row>
    <row r="58839" customFormat="false" ht="12.8" hidden="false" customHeight="false" outlineLevel="0" collapsed="false">
      <c r="B58839" s="0" t="s">
        <v>1</v>
      </c>
    </row>
    <row r="58840" customFormat="false" ht="12.8" hidden="false" customHeight="false" outlineLevel="0" collapsed="false">
      <c r="B58840" s="0" t="s">
        <v>52</v>
      </c>
    </row>
    <row r="58841" customFormat="false" ht="12.8" hidden="false" customHeight="false" outlineLevel="0" collapsed="false">
      <c r="B58841" s="0" t="s">
        <v>19940</v>
      </c>
    </row>
    <row r="58842" customFormat="false" ht="12.8" hidden="false" customHeight="false" outlineLevel="0" collapsed="false">
      <c r="B58842" s="0" t="s">
        <v>496</v>
      </c>
    </row>
    <row r="58844" customFormat="false" ht="12.8" hidden="false" customHeight="false" outlineLevel="0" collapsed="false">
      <c r="A58844" s="0" t="s">
        <v>19939</v>
      </c>
      <c r="B58844" s="0" t="str">
        <f aca="false">HYPERLINK("https://lindat.mff.cuni.cz/services/teitok/pdtc10/index.php?action=vallex&amp;frame=v-w8246f1", "vyprávět (v-w8246f1) - substituted with v-w8246hsa_903")</f>
        <v>vyprávět (v-w8246f1) - substituted with v-w8246hsa_903</v>
      </c>
      <c r="E58844" s="0" t="str">
        <f aca="false">HYPERLINK("https://lindat.mff.cuni.cz/services/SynSemClass40/SynSemClass40.html?veclass=vec01353#vec01353-ces-cm00006", "vec01353")</f>
        <v>vec01353</v>
      </c>
      <c r="F58844" s="0" t="s">
        <v>6182</v>
      </c>
    </row>
    <row r="58845" customFormat="false" ht="12.8" hidden="false" customHeight="false" outlineLevel="0" collapsed="false">
      <c r="B58845" s="0" t="s">
        <v>1</v>
      </c>
      <c r="C58845" s="0" t="s">
        <v>11858</v>
      </c>
      <c r="E58845" s="0" t="s">
        <v>147</v>
      </c>
      <c r="F58845" s="0" t="s">
        <v>6184</v>
      </c>
    </row>
    <row r="58846" customFormat="false" ht="12.8" hidden="false" customHeight="false" outlineLevel="0" collapsed="false">
      <c r="B58846" s="0" t="s">
        <v>52</v>
      </c>
      <c r="C58846" s="0" t="s">
        <v>6187</v>
      </c>
      <c r="E58846" s="0" t="s">
        <v>221</v>
      </c>
      <c r="F58846" s="0" t="s">
        <v>6188</v>
      </c>
    </row>
    <row r="58847" customFormat="false" ht="12.8" hidden="false" customHeight="false" outlineLevel="0" collapsed="false">
      <c r="B58847" s="0" t="s">
        <v>19940</v>
      </c>
      <c r="C58847" s="0" t="s">
        <v>13824</v>
      </c>
      <c r="E58847" s="0" t="s">
        <v>2217</v>
      </c>
      <c r="F58847" s="0" t="s">
        <v>11885</v>
      </c>
    </row>
    <row r="58848" customFormat="false" ht="12.8" hidden="false" customHeight="false" outlineLevel="0" collapsed="false">
      <c r="B58848" s="0" t="s">
        <v>496</v>
      </c>
      <c r="C58848" s="0" t="s">
        <v>11859</v>
      </c>
      <c r="E58848" s="0" t="s">
        <v>218</v>
      </c>
      <c r="F58848" s="0" t="s">
        <v>6186</v>
      </c>
    </row>
    <row r="58850" customFormat="false" ht="12.8" hidden="false" customHeight="false" outlineLevel="0" collapsed="false">
      <c r="A58850" s="0" t="s">
        <v>19941</v>
      </c>
      <c r="B58850" s="0" t="str">
        <f aca="false">HYPERLINK("https://lindat.mff.cuni.cz/services/teitok/pdtc10/index.php?action=vallex&amp;frame=v-w11045f2", "vyprázdnit (v-w11045f2)")</f>
        <v>vyprázdnit (v-w11045f2)</v>
      </c>
      <c r="E58850" s="0" t="str">
        <f aca="false">HYPERLINK("https://lindat.mff.cuni.cz/services/SynSemClass40/SynSemClass40.html?veclass=vec01160#vec01160-ces-cm00003", "vec01160")</f>
        <v>vec01160</v>
      </c>
      <c r="F58850" s="0" t="s">
        <v>19919</v>
      </c>
    </row>
    <row r="58851" customFormat="false" ht="12.8" hidden="false" customHeight="false" outlineLevel="0" collapsed="false">
      <c r="B58851" s="0" t="s">
        <v>1</v>
      </c>
      <c r="C58851" s="0" t="s">
        <v>4695</v>
      </c>
      <c r="E58851" s="0" t="s">
        <v>11</v>
      </c>
      <c r="F58851" s="0" t="s">
        <v>5950</v>
      </c>
    </row>
    <row r="58852" customFormat="false" ht="12.8" hidden="false" customHeight="false" outlineLevel="0" collapsed="false">
      <c r="B58852" s="0" t="s">
        <v>8</v>
      </c>
      <c r="C58852" s="0" t="s">
        <v>800</v>
      </c>
      <c r="E58852" s="0" t="s">
        <v>7098</v>
      </c>
      <c r="F58852" s="0" t="s">
        <v>7099</v>
      </c>
    </row>
    <row r="58854" customFormat="false" ht="12.8" hidden="false" customHeight="false" outlineLevel="0" collapsed="false">
      <c r="A58854" s="0" t="s">
        <v>19942</v>
      </c>
      <c r="B58854" s="0" t="str">
        <f aca="false">HYPERLINK("https://lindat.mff.cuni.cz/services/teitok/pdtc10/index.php?action=vallex&amp;frame=v-whsa_580f1_ZU", "vyprázdnit se (v-whsa_580f1_ZU)")</f>
        <v>vyprázdnit se (v-whsa_580f1_ZU)</v>
      </c>
    </row>
    <row r="58855" customFormat="false" ht="12.8" hidden="false" customHeight="false" outlineLevel="0" collapsed="false">
      <c r="B58855" s="0" t="s">
        <v>1</v>
      </c>
    </row>
    <row r="58857" customFormat="false" ht="12.8" hidden="false" customHeight="false" outlineLevel="0" collapsed="false">
      <c r="A58857" s="0" t="s">
        <v>19942</v>
      </c>
      <c r="B58857" s="0" t="str">
        <f aca="false">HYPERLINK("https://lindat.mff.cuni.cz/services/teitok/pdtc10/index.php?action=vallex&amp;frame=v-whsa_580hsa_581", "vyprázdnit se (v-whsa_580hsa_581) - substituted with v-whsa_580f1_ZU")</f>
        <v>vyprázdnit se (v-whsa_580hsa_581) - substituted with v-whsa_580f1_ZU</v>
      </c>
    </row>
    <row r="58858" customFormat="false" ht="12.8" hidden="false" customHeight="false" outlineLevel="0" collapsed="false">
      <c r="B58858" s="0" t="s">
        <v>1</v>
      </c>
    </row>
    <row r="58860" customFormat="false" ht="12.8" hidden="false" customHeight="false" outlineLevel="0" collapsed="false">
      <c r="A58860" s="0" t="s">
        <v>19943</v>
      </c>
      <c r="B58860" s="0" t="str">
        <f aca="false">HYPERLINK("https://lindat.mff.cuni.cz/services/teitok/pdtc10/index.php?action=vallex&amp;frame=v-w12215_ZUf1_ZU", "vyprášit (v-w12215_ZUf1_ZU)")</f>
        <v>vyprášit (v-w12215_ZUf1_ZU)</v>
      </c>
    </row>
    <row r="58861" customFormat="false" ht="12.8" hidden="false" customHeight="false" outlineLevel="0" collapsed="false">
      <c r="B58861" s="0" t="s">
        <v>1</v>
      </c>
    </row>
    <row r="58862" customFormat="false" ht="12.8" hidden="false" customHeight="false" outlineLevel="0" collapsed="false">
      <c r="B58862" s="0" t="s">
        <v>8</v>
      </c>
    </row>
    <row r="58864" customFormat="false" ht="12.8" hidden="false" customHeight="false" outlineLevel="0" collapsed="false">
      <c r="A58864" s="0" t="s">
        <v>19944</v>
      </c>
      <c r="B58864" s="0" t="str">
        <f aca="false">HYPERLINK("https://lindat.mff.cuni.cz/services/teitok/pdtc10/index.php?action=vallex&amp;frame=v-w8267f1", "vypršet (v-w8267f1)")</f>
        <v>vypršet (v-w8267f1)</v>
      </c>
      <c r="E58864" s="0" t="str">
        <f aca="false">HYPERLINK("https://lindat.mff.cuni.cz/services/SynSemClass40/SynSemClass40.html?veclass=vec00113#vec00113-ces-cm00224", "vec00113")</f>
        <v>vec00113</v>
      </c>
      <c r="F58864" s="0" t="s">
        <v>2122</v>
      </c>
      <c r="H58864" s="0" t="str">
        <f aca="false">HYPERLINK("https://lindat.mff.cuni.cz/services/SynSemClass40/SynSemClass40.html?veclass=vec01328#vec01328-ces-cm00015", "vec01328")</f>
        <v>vec01328</v>
      </c>
      <c r="I58864" s="0" t="s">
        <v>16566</v>
      </c>
    </row>
    <row r="58865" customFormat="false" ht="12.8" hidden="false" customHeight="false" outlineLevel="0" collapsed="false">
      <c r="B58865" s="0" t="s">
        <v>1</v>
      </c>
      <c r="C58865" s="0" t="s">
        <v>19945</v>
      </c>
      <c r="E58865" s="0" t="s">
        <v>1084</v>
      </c>
      <c r="F58865" s="0" t="s">
        <v>2124</v>
      </c>
      <c r="H58865" s="0" t="s">
        <v>14179</v>
      </c>
      <c r="I58865" s="0" t="s">
        <v>19946</v>
      </c>
    </row>
    <row r="58867" customFormat="false" ht="12.8" hidden="false" customHeight="false" outlineLevel="0" collapsed="false">
      <c r="A58867" s="0" t="s">
        <v>19947</v>
      </c>
      <c r="B58867" s="0" t="str">
        <f aca="false">HYPERLINK("https://lindat.mff.cuni.cz/services/teitok/pdtc10/index.php?action=vallex&amp;frame=v-w8270f1", "vypsat (v-w8270f1)")</f>
        <v>vypsat (v-w8270f1)</v>
      </c>
      <c r="E58867" s="0" t="str">
        <f aca="false">HYPERLINK("https://lindat.mff.cuni.cz/services/SynSemClass40/SynSemClass40.html?veclass=vec00127#vec00127-ces-cm00072", "vec00127")</f>
        <v>vec00127</v>
      </c>
      <c r="F58867" s="0" t="s">
        <v>1835</v>
      </c>
    </row>
    <row r="58868" customFormat="false" ht="12.8" hidden="false" customHeight="false" outlineLevel="0" collapsed="false">
      <c r="B58868" s="0" t="s">
        <v>1</v>
      </c>
      <c r="C58868" s="0" t="s">
        <v>3461</v>
      </c>
      <c r="E58868" s="0" t="s">
        <v>11</v>
      </c>
      <c r="F58868" s="0" t="s">
        <v>1837</v>
      </c>
    </row>
    <row r="58869" customFormat="false" ht="12.8" hidden="false" customHeight="false" outlineLevel="0" collapsed="false">
      <c r="B58869" s="0" t="s">
        <v>59</v>
      </c>
      <c r="C58869" s="0" t="s">
        <v>3463</v>
      </c>
      <c r="E58869" s="0" t="s">
        <v>1840</v>
      </c>
      <c r="F58869" s="0" t="s">
        <v>1841</v>
      </c>
    </row>
    <row r="58871" customFormat="false" ht="12.8" hidden="false" customHeight="false" outlineLevel="0" collapsed="false">
      <c r="A58871" s="0" t="s">
        <v>19948</v>
      </c>
      <c r="B58871" s="0" t="str">
        <f aca="false">HYPERLINK("https://lindat.mff.cuni.cz/services/teitok/pdtc10/index.php?action=vallex&amp;frame=v-w8270hsa_2035", "vypsat (v-w8270hsa_2035)")</f>
        <v>vypsat (v-w8270hsa_2035)</v>
      </c>
    </row>
    <row r="58872" customFormat="false" ht="12.8" hidden="false" customHeight="false" outlineLevel="0" collapsed="false">
      <c r="B58872" s="0" t="s">
        <v>1</v>
      </c>
    </row>
    <row r="58873" customFormat="false" ht="12.8" hidden="false" customHeight="false" outlineLevel="0" collapsed="false">
      <c r="B58873" s="0" t="s">
        <v>8</v>
      </c>
    </row>
    <row r="58875" customFormat="false" ht="12.8" hidden="false" customHeight="false" outlineLevel="0" collapsed="false">
      <c r="A58875" s="0" t="s">
        <v>19949</v>
      </c>
      <c r="B58875" s="0" t="str">
        <f aca="false">HYPERLINK("https://lindat.mff.cuni.cz/services/teitok/pdtc10/index.php?action=vallex&amp;frame=v-w8271f1", "vyptat se (v-w8271f1)")</f>
        <v>vyptat se (v-w8271f1)</v>
      </c>
      <c r="E58875" s="0" t="str">
        <f aca="false">HYPERLINK("https://lindat.mff.cuni.cz/services/SynSemClass40/SynSemClass40.html?veclass=vec00384#vec00384-ces-cm00018", "vec00384")</f>
        <v>vec00384</v>
      </c>
      <c r="F58875" s="0" t="s">
        <v>2985</v>
      </c>
    </row>
    <row r="58876" customFormat="false" ht="12.8" hidden="false" customHeight="false" outlineLevel="0" collapsed="false">
      <c r="B58876" s="0" t="s">
        <v>1</v>
      </c>
      <c r="C58876" s="0" t="s">
        <v>2986</v>
      </c>
      <c r="E58876" s="0" t="s">
        <v>147</v>
      </c>
      <c r="F58876" s="0" t="s">
        <v>2987</v>
      </c>
    </row>
    <row r="58877" customFormat="false" ht="12.8" hidden="false" customHeight="false" outlineLevel="0" collapsed="false">
      <c r="B58877" s="0" t="s">
        <v>2988</v>
      </c>
      <c r="C58877" s="0" t="s">
        <v>2989</v>
      </c>
      <c r="E58877" s="0" t="s">
        <v>218</v>
      </c>
      <c r="F58877" s="0" t="s">
        <v>2990</v>
      </c>
    </row>
    <row r="58878" customFormat="false" ht="12.8" hidden="false" customHeight="false" outlineLevel="0" collapsed="false">
      <c r="B58878" s="0" t="s">
        <v>2991</v>
      </c>
      <c r="C58878" s="0" t="s">
        <v>2992</v>
      </c>
      <c r="E58878" s="0" t="s">
        <v>221</v>
      </c>
      <c r="F58878" s="0" t="s">
        <v>2993</v>
      </c>
    </row>
    <row r="58880" customFormat="false" ht="12.8" hidden="false" customHeight="false" outlineLevel="0" collapsed="false">
      <c r="A58880" s="0" t="s">
        <v>19950</v>
      </c>
      <c r="B58880" s="0" t="str">
        <f aca="false">HYPERLINK("https://lindat.mff.cuni.cz/services/teitok/pdtc10/index.php?action=vallex&amp;frame=v-w8273f1", "vyptávat se (v-w8273f1)")</f>
        <v>vyptávat se (v-w8273f1)</v>
      </c>
      <c r="E58880" s="0" t="str">
        <f aca="false">HYPERLINK("https://lindat.mff.cuni.cz/services/SynSemClass40/SynSemClass40.html?veclass=vec00384#vec00384-ces-cm00012", "vec00384")</f>
        <v>vec00384</v>
      </c>
      <c r="F58880" s="0" t="s">
        <v>2985</v>
      </c>
    </row>
    <row r="58881" customFormat="false" ht="12.8" hidden="false" customHeight="false" outlineLevel="0" collapsed="false">
      <c r="B58881" s="0" t="s">
        <v>1</v>
      </c>
      <c r="C58881" s="0" t="s">
        <v>2986</v>
      </c>
      <c r="E58881" s="0" t="s">
        <v>147</v>
      </c>
      <c r="F58881" s="0" t="s">
        <v>2987</v>
      </c>
    </row>
    <row r="58882" customFormat="false" ht="12.8" hidden="false" customHeight="false" outlineLevel="0" collapsed="false">
      <c r="B58882" s="0" t="s">
        <v>2988</v>
      </c>
      <c r="C58882" s="0" t="s">
        <v>2989</v>
      </c>
      <c r="E58882" s="0" t="s">
        <v>218</v>
      </c>
      <c r="F58882" s="0" t="s">
        <v>2990</v>
      </c>
    </row>
    <row r="58883" customFormat="false" ht="12.8" hidden="false" customHeight="false" outlineLevel="0" collapsed="false">
      <c r="B58883" s="0" t="s">
        <v>2991</v>
      </c>
      <c r="C58883" s="0" t="s">
        <v>2992</v>
      </c>
      <c r="E58883" s="0" t="s">
        <v>221</v>
      </c>
      <c r="F58883" s="0" t="s">
        <v>2993</v>
      </c>
    </row>
    <row r="58885" customFormat="false" ht="12.8" hidden="false" customHeight="false" outlineLevel="0" collapsed="false">
      <c r="A58885" s="0" t="s">
        <v>19951</v>
      </c>
      <c r="B58885" s="0" t="str">
        <f aca="false">HYPERLINK("https://lindat.mff.cuni.cz/services/teitok/pdtc10/index.php?action=vallex&amp;frame=v-w12023_ZUf1_ZU", "vypucovat (v-w12023_ZUf1_ZU)")</f>
        <v>vypucovat (v-w12023_ZUf1_ZU)</v>
      </c>
    </row>
    <row r="58886" customFormat="false" ht="12.8" hidden="false" customHeight="false" outlineLevel="0" collapsed="false">
      <c r="B58886" s="0" t="s">
        <v>1</v>
      </c>
    </row>
    <row r="58887" customFormat="false" ht="12.8" hidden="false" customHeight="false" outlineLevel="0" collapsed="false">
      <c r="B58887" s="0" t="s">
        <v>8</v>
      </c>
    </row>
    <row r="58889" customFormat="false" ht="12.8" hidden="false" customHeight="false" outlineLevel="0" collapsed="false">
      <c r="A58889" s="0" t="s">
        <v>19952</v>
      </c>
      <c r="B58889" s="0" t="str">
        <f aca="false">HYPERLINK("https://lindat.mff.cuni.cz/services/teitok/pdtc10/index.php?action=vallex&amp;frame=v-w8274f1", "vypudit (v-w8274f1)")</f>
        <v>vypudit (v-w8274f1)</v>
      </c>
      <c r="E58889" s="0" t="str">
        <f aca="false">HYPERLINK("https://lindat.mff.cuni.cz/services/SynSemClass40/SynSemClass40.html?veclass=vec00555#vec00555-ces-cm00020", "vec00555")</f>
        <v>vec00555</v>
      </c>
      <c r="F58889" s="0" t="s">
        <v>1918</v>
      </c>
    </row>
    <row r="58890" customFormat="false" ht="12.8" hidden="false" customHeight="false" outlineLevel="0" collapsed="false">
      <c r="B58890" s="0" t="s">
        <v>1</v>
      </c>
      <c r="C58890" s="0" t="s">
        <v>1919</v>
      </c>
      <c r="E58890" s="0" t="s">
        <v>31</v>
      </c>
      <c r="F58890" s="0" t="s">
        <v>1920</v>
      </c>
    </row>
    <row r="58891" customFormat="false" ht="12.8" hidden="false" customHeight="false" outlineLevel="0" collapsed="false">
      <c r="B58891" s="0" t="s">
        <v>8</v>
      </c>
      <c r="C58891" s="0" t="s">
        <v>1921</v>
      </c>
      <c r="E58891" s="0" t="s">
        <v>532</v>
      </c>
      <c r="F58891" s="0" t="s">
        <v>1922</v>
      </c>
    </row>
    <row r="58892" customFormat="false" ht="12.8" hidden="false" customHeight="false" outlineLevel="0" collapsed="false">
      <c r="B58892" s="0" t="s">
        <v>631</v>
      </c>
      <c r="C58892" s="0" t="s">
        <v>1923</v>
      </c>
      <c r="E58892" s="0" t="s">
        <v>1924</v>
      </c>
      <c r="F58892" s="0" t="s">
        <v>1925</v>
      </c>
    </row>
    <row r="58894" customFormat="false" ht="12.8" hidden="false" customHeight="false" outlineLevel="0" collapsed="false">
      <c r="A58894" s="0" t="s">
        <v>19953</v>
      </c>
      <c r="B58894" s="0" t="str">
        <f aca="false">HYPERLINK("https://lindat.mff.cuni.cz/services/teitok/pdtc10/index.php?action=vallex&amp;frame=v-w8279f1", "vypuknout (v-w8279f1)")</f>
        <v>vypuknout (v-w8279f1)</v>
      </c>
      <c r="E58894" s="0" t="str">
        <f aca="false">HYPERLINK("https://lindat.mff.cuni.cz/services/SynSemClass40/SynSemClass40.html?veclass=vec00018#vec00018-ces-cm00006", "vec00018")</f>
        <v>vec00018</v>
      </c>
      <c r="F58894" s="0" t="s">
        <v>2155</v>
      </c>
      <c r="H58894" s="0" t="str">
        <f aca="false">HYPERLINK("https://lindat.mff.cuni.cz/services/SynSemClass40/SynSemClass40.html?veclass=vec01518#vec01518-ces-cm00083", "vec01518")</f>
        <v>vec01518</v>
      </c>
      <c r="I58894" s="0" t="s">
        <v>2921</v>
      </c>
    </row>
    <row r="58895" customFormat="false" ht="12.8" hidden="false" customHeight="false" outlineLevel="0" collapsed="false">
      <c r="B58895" s="0" t="s">
        <v>1</v>
      </c>
      <c r="C58895" s="0" t="s">
        <v>12653</v>
      </c>
      <c r="E58895" s="0" t="s">
        <v>2158</v>
      </c>
      <c r="F58895" s="0" t="s">
        <v>2159</v>
      </c>
      <c r="H58895" s="0" t="s">
        <v>2923</v>
      </c>
      <c r="I58895" s="0" t="s">
        <v>2924</v>
      </c>
    </row>
    <row r="58897" customFormat="false" ht="12.8" hidden="false" customHeight="false" outlineLevel="0" collapsed="false">
      <c r="A58897" s="0" t="s">
        <v>19954</v>
      </c>
      <c r="B58897" s="0" t="str">
        <f aca="false">HYPERLINK("https://lindat.mff.cuni.cz/services/teitok/pdtc10/index.php?action=vallex&amp;frame=v-w8281f1", "vypumpovat (v-w8281f1)")</f>
        <v>vypumpovat (v-w8281f1)</v>
      </c>
      <c r="E58897" s="0" t="str">
        <f aca="false">HYPERLINK("https://lindat.mff.cuni.cz/services/SynSemClass40/SynSemClass40.html?veclass=vec00957#vec00957-ces-cm00021", "vec00957")</f>
        <v>vec00957</v>
      </c>
      <c r="F58897" s="0" t="s">
        <v>3187</v>
      </c>
      <c r="H58897" s="0" t="str">
        <f aca="false">HYPERLINK("https://lindat.mff.cuni.cz/services/SynSemClass40/SynSemClass40.html?veclass=vec01160#vec01160-ces-cm00006", "vec01160")</f>
        <v>vec01160</v>
      </c>
      <c r="I58897" s="0" t="s">
        <v>19919</v>
      </c>
    </row>
    <row r="58898" customFormat="false" ht="12.8" hidden="false" customHeight="false" outlineLevel="0" collapsed="false">
      <c r="B58898" s="0" t="s">
        <v>1</v>
      </c>
      <c r="C58898" s="0" t="s">
        <v>6252</v>
      </c>
      <c r="E58898" s="0" t="s">
        <v>20</v>
      </c>
      <c r="F58898" s="0" t="s">
        <v>3190</v>
      </c>
      <c r="H58898" s="0" t="s">
        <v>11</v>
      </c>
      <c r="I58898" s="0" t="s">
        <v>5950</v>
      </c>
    </row>
    <row r="58899" customFormat="false" ht="12.8" hidden="false" customHeight="false" outlineLevel="0" collapsed="false">
      <c r="B58899" s="0" t="s">
        <v>8</v>
      </c>
      <c r="C58899" s="0" t="s">
        <v>4627</v>
      </c>
      <c r="E58899" s="0" t="s">
        <v>1702</v>
      </c>
      <c r="F58899" s="0" t="s">
        <v>3193</v>
      </c>
      <c r="H58899" s="0" t="s">
        <v>7098</v>
      </c>
      <c r="I58899" s="0" t="s">
        <v>7099</v>
      </c>
    </row>
    <row r="58901" customFormat="false" ht="12.8" hidden="false" customHeight="false" outlineLevel="0" collapsed="false">
      <c r="A58901" s="0" t="s">
        <v>19955</v>
      </c>
      <c r="B58901" s="0" t="str">
        <f aca="false">HYPERLINK("https://lindat.mff.cuni.cz/services/teitok/pdtc10/index.php?action=vallex&amp;frame=v-w8282f7_ZU", "vypustit (v-w8282f7_ZU)")</f>
        <v>vypustit (v-w8282f7_ZU)</v>
      </c>
    </row>
    <row r="58902" customFormat="false" ht="12.8" hidden="false" customHeight="false" outlineLevel="0" collapsed="false">
      <c r="B58902" s="0" t="s">
        <v>1</v>
      </c>
    </row>
    <row r="58903" customFormat="false" ht="12.8" hidden="false" customHeight="false" outlineLevel="0" collapsed="false">
      <c r="B58903" s="0" t="s">
        <v>8</v>
      </c>
    </row>
    <row r="58904" customFormat="false" ht="12.8" hidden="false" customHeight="false" outlineLevel="0" collapsed="false">
      <c r="B58904" s="0" t="s">
        <v>631</v>
      </c>
    </row>
    <row r="58906" customFormat="false" ht="12.8" hidden="false" customHeight="false" outlineLevel="0" collapsed="false">
      <c r="A58906" s="0" t="s">
        <v>19955</v>
      </c>
      <c r="B58906" s="0" t="str">
        <f aca="false">HYPERLINK("https://lindat.mff.cuni.cz/services/teitok/pdtc10/index.php?action=vallex&amp;frame=v-w8282f5_ZU", "vypustit (v-w8282f5_ZU) - substituted with v-w8282f7_ZU")</f>
        <v>vypustit (v-w8282f5_ZU) - substituted with v-w8282f7_ZU</v>
      </c>
    </row>
    <row r="58907" customFormat="false" ht="12.8" hidden="false" customHeight="false" outlineLevel="0" collapsed="false">
      <c r="B58907" s="0" t="s">
        <v>1</v>
      </c>
    </row>
    <row r="58908" customFormat="false" ht="12.8" hidden="false" customHeight="false" outlineLevel="0" collapsed="false">
      <c r="B58908" s="0" t="s">
        <v>8</v>
      </c>
    </row>
    <row r="58909" customFormat="false" ht="12.8" hidden="false" customHeight="false" outlineLevel="0" collapsed="false">
      <c r="B58909" s="0" t="s">
        <v>631</v>
      </c>
    </row>
    <row r="58911" customFormat="false" ht="12.8" hidden="false" customHeight="false" outlineLevel="0" collapsed="false">
      <c r="A58911" s="0" t="s">
        <v>19956</v>
      </c>
      <c r="B58911" s="0" t="str">
        <f aca="false">HYPERLINK("https://lindat.mff.cuni.cz/services/teitok/pdtc10/index.php?action=vallex&amp;frame=v-w8282f6_ZU", "vypustit (v-w8282f6_ZU)")</f>
        <v>vypustit (v-w8282f6_ZU)</v>
      </c>
    </row>
    <row r="58912" customFormat="false" ht="12.8" hidden="false" customHeight="false" outlineLevel="0" collapsed="false">
      <c r="B58912" s="0" t="s">
        <v>1</v>
      </c>
    </row>
    <row r="58913" customFormat="false" ht="12.8" hidden="false" customHeight="false" outlineLevel="0" collapsed="false">
      <c r="B58913" s="0" t="s">
        <v>8</v>
      </c>
    </row>
    <row r="58914" customFormat="false" ht="12.8" hidden="false" customHeight="false" outlineLevel="0" collapsed="false">
      <c r="B58914" s="0" t="s">
        <v>631</v>
      </c>
    </row>
    <row r="58916" customFormat="false" ht="12.8" hidden="false" customHeight="false" outlineLevel="0" collapsed="false">
      <c r="A58916" s="0" t="s">
        <v>19956</v>
      </c>
      <c r="B58916" s="0" t="str">
        <f aca="false">HYPERLINK("https://lindat.mff.cuni.cz/services/teitok/pdtc10/index.php?action=vallex&amp;frame=v-w8282f3", "vypustit (v-w8282f3) - substituted with v-w8282f6_ZU")</f>
        <v>vypustit (v-w8282f3) - substituted with v-w8282f6_ZU</v>
      </c>
    </row>
    <row r="58917" customFormat="false" ht="12.8" hidden="false" customHeight="false" outlineLevel="0" collapsed="false">
      <c r="B58917" s="0" t="s">
        <v>1</v>
      </c>
    </row>
    <row r="58918" customFormat="false" ht="12.8" hidden="false" customHeight="false" outlineLevel="0" collapsed="false">
      <c r="B58918" s="0" t="s">
        <v>8</v>
      </c>
    </row>
    <row r="58919" customFormat="false" ht="12.8" hidden="false" customHeight="false" outlineLevel="0" collapsed="false">
      <c r="B58919" s="0" t="s">
        <v>631</v>
      </c>
    </row>
    <row r="58921" customFormat="false" ht="12.8" hidden="false" customHeight="false" outlineLevel="0" collapsed="false">
      <c r="A58921" s="0" t="s">
        <v>19956</v>
      </c>
      <c r="B58921" s="0" t="str">
        <f aca="false">HYPERLINK("https://lindat.mff.cuni.cz/services/teitok/pdtc10/index.php?action=vallex&amp;frame=v-w8282f4_ZU", "vypustit (v-w8282f4_ZU) - substituted with v-w8282f6_ZU")</f>
        <v>vypustit (v-w8282f4_ZU) - substituted with v-w8282f6_ZU</v>
      </c>
    </row>
    <row r="58922" customFormat="false" ht="12.8" hidden="false" customHeight="false" outlineLevel="0" collapsed="false">
      <c r="B58922" s="0" t="s">
        <v>1</v>
      </c>
    </row>
    <row r="58923" customFormat="false" ht="12.8" hidden="false" customHeight="false" outlineLevel="0" collapsed="false">
      <c r="B58923" s="0" t="s">
        <v>8</v>
      </c>
    </row>
    <row r="58924" customFormat="false" ht="12.8" hidden="false" customHeight="false" outlineLevel="0" collapsed="false">
      <c r="B58924" s="0" t="s">
        <v>631</v>
      </c>
    </row>
    <row r="58926" customFormat="false" ht="12.8" hidden="false" customHeight="false" outlineLevel="0" collapsed="false">
      <c r="A58926" s="0" t="s">
        <v>19957</v>
      </c>
      <c r="B58926" s="0" t="str">
        <f aca="false">HYPERLINK("https://lindat.mff.cuni.cz/services/teitok/pdtc10/index.php?action=vallex&amp;frame=v-w8282f9_ZU", "vypustit (v-w8282f9_ZU)")</f>
        <v>vypustit (v-w8282f9_ZU)</v>
      </c>
    </row>
    <row r="58927" customFormat="false" ht="12.8" hidden="false" customHeight="false" outlineLevel="0" collapsed="false">
      <c r="B58927" s="0" t="s">
        <v>1</v>
      </c>
    </row>
    <row r="58928" customFormat="false" ht="12.8" hidden="false" customHeight="false" outlineLevel="0" collapsed="false">
      <c r="B58928" s="0" t="s">
        <v>8</v>
      </c>
    </row>
    <row r="58929" customFormat="false" ht="12.8" hidden="false" customHeight="false" outlineLevel="0" collapsed="false">
      <c r="B58929" s="0" t="s">
        <v>164</v>
      </c>
    </row>
    <row r="58931" customFormat="false" ht="12.8" hidden="false" customHeight="false" outlineLevel="0" collapsed="false">
      <c r="A58931" s="0" t="s">
        <v>19957</v>
      </c>
      <c r="B58931" s="0" t="str">
        <f aca="false">HYPERLINK("https://lindat.mff.cuni.cz/services/teitok/pdtc10/index.php?action=vallex&amp;frame=v-w8282f8_ZU", "vypustit (v-w8282f8_ZU) - substituted with v-w8282f9_ZU")</f>
        <v>vypustit (v-w8282f8_ZU) - substituted with v-w8282f9_ZU</v>
      </c>
    </row>
    <row r="58932" customFormat="false" ht="12.8" hidden="false" customHeight="false" outlineLevel="0" collapsed="false">
      <c r="B58932" s="0" t="s">
        <v>1</v>
      </c>
    </row>
    <row r="58933" customFormat="false" ht="12.8" hidden="false" customHeight="false" outlineLevel="0" collapsed="false">
      <c r="B58933" s="0" t="s">
        <v>8</v>
      </c>
    </row>
    <row r="58934" customFormat="false" ht="12.8" hidden="false" customHeight="false" outlineLevel="0" collapsed="false">
      <c r="B58934" s="0" t="s">
        <v>164</v>
      </c>
    </row>
    <row r="58936" customFormat="false" ht="12.8" hidden="false" customHeight="false" outlineLevel="0" collapsed="false">
      <c r="A58936" s="0" t="s">
        <v>19958</v>
      </c>
      <c r="B58936" s="0" t="str">
        <f aca="false">HYPERLINK("https://lindat.mff.cuni.cz/services/teitok/pdtc10/index.php?action=vallex&amp;frame=v-w8282f1", "vypustit (v-w8282f1)")</f>
        <v>vypustit (v-w8282f1)</v>
      </c>
    </row>
    <row r="58937" customFormat="false" ht="12.8" hidden="false" customHeight="false" outlineLevel="0" collapsed="false">
      <c r="B58937" s="0" t="s">
        <v>1</v>
      </c>
    </row>
    <row r="58938" customFormat="false" ht="12.8" hidden="false" customHeight="false" outlineLevel="0" collapsed="false">
      <c r="B58938" s="0" t="s">
        <v>8</v>
      </c>
    </row>
    <row r="58940" customFormat="false" ht="12.8" hidden="false" customHeight="false" outlineLevel="0" collapsed="false">
      <c r="A58940" s="0" t="s">
        <v>19959</v>
      </c>
      <c r="B58940" s="0" t="str">
        <f aca="false">HYPERLINK("https://lindat.mff.cuni.cz/services/teitok/pdtc10/index.php?action=vallex&amp;frame=v-w8282f2", "vypustit (v-w8282f2)")</f>
        <v>vypustit (v-w8282f2)</v>
      </c>
    </row>
    <row r="58941" customFormat="false" ht="12.8" hidden="false" customHeight="false" outlineLevel="0" collapsed="false">
      <c r="B58941" s="0" t="s">
        <v>1</v>
      </c>
    </row>
    <row r="58942" customFormat="false" ht="12.8" hidden="false" customHeight="false" outlineLevel="0" collapsed="false">
      <c r="B58942" s="0" t="s">
        <v>8</v>
      </c>
    </row>
    <row r="58944" customFormat="false" ht="12.8" hidden="false" customHeight="false" outlineLevel="0" collapsed="false">
      <c r="A58944" s="0" t="s">
        <v>19960</v>
      </c>
      <c r="B58944" s="0" t="str">
        <f aca="false">HYPERLINK("https://lindat.mff.cuni.cz/services/teitok/pdtc10/index.php?action=vallex&amp;frame=v-w8285f1", "vypuzovat (v-w8285f1)")</f>
        <v>vypuzovat (v-w8285f1)</v>
      </c>
      <c r="E58944" s="0" t="str">
        <f aca="false">HYPERLINK("https://lindat.mff.cuni.cz/services/SynSemClass40/SynSemClass40.html?veclass=vec00555#vec00555-ces-cm00042", "vec00555")</f>
        <v>vec00555</v>
      </c>
      <c r="F58944" s="0" t="s">
        <v>1918</v>
      </c>
    </row>
    <row r="58945" customFormat="false" ht="12.8" hidden="false" customHeight="false" outlineLevel="0" collapsed="false">
      <c r="B58945" s="0" t="s">
        <v>1</v>
      </c>
      <c r="C58945" s="0" t="s">
        <v>1919</v>
      </c>
      <c r="E58945" s="0" t="s">
        <v>31</v>
      </c>
      <c r="F58945" s="0" t="s">
        <v>1920</v>
      </c>
    </row>
    <row r="58946" customFormat="false" ht="12.8" hidden="false" customHeight="false" outlineLevel="0" collapsed="false">
      <c r="B58946" s="0" t="s">
        <v>8</v>
      </c>
      <c r="C58946" s="0" t="s">
        <v>1921</v>
      </c>
      <c r="E58946" s="0" t="s">
        <v>532</v>
      </c>
      <c r="F58946" s="0" t="s">
        <v>1922</v>
      </c>
    </row>
    <row r="58947" customFormat="false" ht="12.8" hidden="false" customHeight="false" outlineLevel="0" collapsed="false">
      <c r="B58947" s="0" t="s">
        <v>631</v>
      </c>
      <c r="C58947" s="0" t="s">
        <v>1923</v>
      </c>
      <c r="E58947" s="0" t="s">
        <v>1924</v>
      </c>
      <c r="F58947" s="0" t="s">
        <v>1925</v>
      </c>
    </row>
    <row r="58949" customFormat="false" ht="12.8" hidden="false" customHeight="false" outlineLevel="0" collapsed="false">
      <c r="A58949" s="0" t="s">
        <v>19961</v>
      </c>
      <c r="B58949" s="0" t="str">
        <f aca="false">HYPERLINK("https://lindat.mff.cuni.cz/services/teitok/pdtc10/index.php?action=vallex&amp;frame=v-w8174f1", "vypálit (v-w8174f1)")</f>
        <v>vypálit (v-w8174f1)</v>
      </c>
    </row>
    <row r="58950" customFormat="false" ht="12.8" hidden="false" customHeight="false" outlineLevel="0" collapsed="false">
      <c r="B58950" s="0" t="s">
        <v>1</v>
      </c>
    </row>
    <row r="58951" customFormat="false" ht="12.8" hidden="false" customHeight="false" outlineLevel="0" collapsed="false">
      <c r="B58951" s="0" t="s">
        <v>8</v>
      </c>
    </row>
    <row r="58953" customFormat="false" ht="12.8" hidden="false" customHeight="false" outlineLevel="0" collapsed="false">
      <c r="A58953" s="0" t="s">
        <v>19962</v>
      </c>
      <c r="B58953" s="0" t="str">
        <f aca="false">HYPERLINK("https://lindat.mff.cuni.cz/services/teitok/pdtc10/index.php?action=vallex&amp;frame=v-w8174f2", "vypálit (v-w8174f2)")</f>
        <v>vypálit (v-w8174f2)</v>
      </c>
    </row>
    <row r="58954" customFormat="false" ht="12.8" hidden="false" customHeight="false" outlineLevel="0" collapsed="false">
      <c r="B58954" s="0" t="s">
        <v>1</v>
      </c>
    </row>
    <row r="58955" customFormat="false" ht="12.8" hidden="false" customHeight="false" outlineLevel="0" collapsed="false">
      <c r="B58955" s="0" t="s">
        <v>19963</v>
      </c>
    </row>
    <row r="58956" customFormat="false" ht="12.8" hidden="false" customHeight="false" outlineLevel="0" collapsed="false">
      <c r="B58956" s="0" t="s">
        <v>186</v>
      </c>
    </row>
    <row r="58958" customFormat="false" ht="12.8" hidden="false" customHeight="false" outlineLevel="0" collapsed="false">
      <c r="A58958" s="0" t="s">
        <v>19964</v>
      </c>
      <c r="B58958" s="0" t="str">
        <f aca="false">HYPERLINK("https://lindat.mff.cuni.cz/services/teitok/pdtc10/index.php?action=vallex&amp;frame=v-w8174f3_ZU", "vypálit (v-w8174f3_ZU)")</f>
        <v>vypálit (v-w8174f3_ZU)</v>
      </c>
    </row>
    <row r="58959" customFormat="false" ht="12.8" hidden="false" customHeight="false" outlineLevel="0" collapsed="false">
      <c r="B58959" s="0" t="s">
        <v>1</v>
      </c>
    </row>
    <row r="58960" customFormat="false" ht="12.8" hidden="false" customHeight="false" outlineLevel="0" collapsed="false">
      <c r="B58960" s="0" t="s">
        <v>8</v>
      </c>
    </row>
    <row r="58962" customFormat="false" ht="12.8" hidden="false" customHeight="false" outlineLevel="0" collapsed="false">
      <c r="A58962" s="0" t="s">
        <v>19964</v>
      </c>
      <c r="B58962" s="0" t="str">
        <f aca="false">HYPERLINK("https://lindat.mff.cuni.cz/services/teitok/pdtc10/index.php?action=vallex&amp;frame=v-w8174hsa_514", "vypálit (v-w8174hsa_514) - substituted with v-w8174f3_ZU")</f>
        <v>vypálit (v-w8174hsa_514) - substituted with v-w8174f3_ZU</v>
      </c>
    </row>
    <row r="58963" customFormat="false" ht="12.8" hidden="false" customHeight="false" outlineLevel="0" collapsed="false">
      <c r="B58963" s="0" t="s">
        <v>1</v>
      </c>
    </row>
    <row r="58964" customFormat="false" ht="12.8" hidden="false" customHeight="false" outlineLevel="0" collapsed="false">
      <c r="B58964" s="0" t="s">
        <v>8</v>
      </c>
    </row>
    <row r="58966" customFormat="false" ht="12.8" hidden="false" customHeight="false" outlineLevel="0" collapsed="false">
      <c r="A58966" s="0" t="s">
        <v>19965</v>
      </c>
      <c r="B58966" s="0" t="str">
        <f aca="false">HYPERLINK("https://lindat.mff.cuni.cz/services/teitok/pdtc10/index.php?action=vallex&amp;frame=v-w8174f4_ZU", "vypálit (v-w8174f4_ZU)")</f>
        <v>vypálit (v-w8174f4_ZU)</v>
      </c>
    </row>
    <row r="58967" customFormat="false" ht="12.8" hidden="false" customHeight="false" outlineLevel="0" collapsed="false">
      <c r="B58967" s="0" t="s">
        <v>1</v>
      </c>
    </row>
    <row r="58968" customFormat="false" ht="12.8" hidden="false" customHeight="false" outlineLevel="0" collapsed="false">
      <c r="B58968" s="0" t="s">
        <v>8</v>
      </c>
    </row>
    <row r="58969" customFormat="false" ht="12.8" hidden="false" customHeight="false" outlineLevel="0" collapsed="false">
      <c r="B58969" s="0" t="s">
        <v>454</v>
      </c>
    </row>
    <row r="58971" customFormat="false" ht="12.8" hidden="false" customHeight="false" outlineLevel="0" collapsed="false">
      <c r="A58971" s="0" t="s">
        <v>19966</v>
      </c>
      <c r="B58971" s="0" t="str">
        <f aca="false">HYPERLINK("https://lindat.mff.cuni.cz/services/teitok/pdtc10/index.php?action=vallex&amp;frame=v-w12310_MMf1_MM", "vypárat (v-w12310_MMf1_MM)")</f>
        <v>vypárat (v-w12310_MMf1_MM)</v>
      </c>
    </row>
    <row r="58972" customFormat="false" ht="12.8" hidden="false" customHeight="false" outlineLevel="0" collapsed="false">
      <c r="B58972" s="0" t="s">
        <v>1</v>
      </c>
    </row>
    <row r="58973" customFormat="false" ht="12.8" hidden="false" customHeight="false" outlineLevel="0" collapsed="false">
      <c r="B58973" s="0" t="s">
        <v>8</v>
      </c>
    </row>
    <row r="58974" customFormat="false" ht="12.8" hidden="false" customHeight="false" outlineLevel="0" collapsed="false">
      <c r="B58974" s="0" t="s">
        <v>631</v>
      </c>
    </row>
    <row r="58976" customFormat="false" ht="12.8" hidden="false" customHeight="false" outlineLevel="0" collapsed="false">
      <c r="A58976" s="0" t="s">
        <v>19967</v>
      </c>
      <c r="B58976" s="0" t="str">
        <f aca="false">HYPERLINK("https://lindat.mff.cuni.cz/services/teitok/pdtc10/index.php?action=vallex&amp;frame=v-whsa_200hsa_201", "vypást (v-whsa_200hsa_201)")</f>
        <v>vypást (v-whsa_200hsa_201)</v>
      </c>
    </row>
    <row r="58977" customFormat="false" ht="12.8" hidden="false" customHeight="false" outlineLevel="0" collapsed="false">
      <c r="B58977" s="0" t="s">
        <v>1</v>
      </c>
    </row>
    <row r="58978" customFormat="false" ht="12.8" hidden="false" customHeight="false" outlineLevel="0" collapsed="false">
      <c r="B58978" s="0" t="s">
        <v>8</v>
      </c>
    </row>
    <row r="58980" customFormat="false" ht="12.8" hidden="false" customHeight="false" outlineLevel="0" collapsed="false">
      <c r="A58980" s="0" t="s">
        <v>19968</v>
      </c>
      <c r="B58980" s="0" t="str">
        <f aca="false">HYPERLINK("https://lindat.mff.cuni.cz/services/teitok/pdtc10/index.php?action=vallex&amp;frame=v-whsa_200hsa_202", "vypást (v-whsa_200hsa_202)")</f>
        <v>vypást (v-whsa_200hsa_202)</v>
      </c>
    </row>
    <row r="58981" customFormat="false" ht="12.8" hidden="false" customHeight="false" outlineLevel="0" collapsed="false">
      <c r="B58981" s="0" t="s">
        <v>1</v>
      </c>
    </row>
    <row r="58982" customFormat="false" ht="12.8" hidden="false" customHeight="false" outlineLevel="0" collapsed="false">
      <c r="B58982" s="0" t="s">
        <v>8</v>
      </c>
    </row>
    <row r="58984" customFormat="false" ht="12.8" hidden="false" customHeight="false" outlineLevel="0" collapsed="false">
      <c r="A58984" s="0" t="s">
        <v>19969</v>
      </c>
      <c r="B58984" s="0" t="str">
        <f aca="false">HYPERLINK("https://lindat.mff.cuni.cz/services/teitok/pdtc10/index.php?action=vallex&amp;frame=v-w8176f1", "vypátrat (v-w8176f1)")</f>
        <v>vypátrat (v-w8176f1)</v>
      </c>
    </row>
    <row r="58985" customFormat="false" ht="12.8" hidden="false" customHeight="false" outlineLevel="0" collapsed="false">
      <c r="B58985" s="0" t="s">
        <v>1</v>
      </c>
    </row>
    <row r="58986" customFormat="false" ht="12.8" hidden="false" customHeight="false" outlineLevel="0" collapsed="false">
      <c r="B58986" s="0" t="s">
        <v>1838</v>
      </c>
    </row>
    <row r="58988" customFormat="false" ht="12.8" hidden="false" customHeight="false" outlineLevel="0" collapsed="false">
      <c r="A58988" s="0" t="s">
        <v>19970</v>
      </c>
      <c r="B58988" s="0" t="str">
        <f aca="false">HYPERLINK("https://lindat.mff.cuni.cz/services/teitok/pdtc10/index.php?action=vallex&amp;frame=v-w8178f1", "vypíchnout (v-w8178f1)")</f>
        <v>vypíchnout (v-w8178f1)</v>
      </c>
    </row>
    <row r="58989" customFormat="false" ht="12.8" hidden="false" customHeight="false" outlineLevel="0" collapsed="false">
      <c r="B58989" s="0" t="s">
        <v>1</v>
      </c>
    </row>
    <row r="58990" customFormat="false" ht="12.8" hidden="false" customHeight="false" outlineLevel="0" collapsed="false">
      <c r="B58990" s="0" t="s">
        <v>228</v>
      </c>
    </row>
    <row r="58992" customFormat="false" ht="12.8" hidden="false" customHeight="false" outlineLevel="0" collapsed="false">
      <c r="A58992" s="0" t="s">
        <v>19971</v>
      </c>
      <c r="B58992" s="0" t="str">
        <f aca="false">HYPERLINK("https://lindat.mff.cuni.cz/services/teitok/pdtc10/index.php?action=vallex&amp;frame=v-w8178f2", "vypíchnout (v-w8178f2)")</f>
        <v>vypíchnout (v-w8178f2)</v>
      </c>
    </row>
    <row r="58993" customFormat="false" ht="12.8" hidden="false" customHeight="false" outlineLevel="0" collapsed="false">
      <c r="B58993" s="0" t="s">
        <v>1</v>
      </c>
    </row>
    <row r="58994" customFormat="false" ht="12.8" hidden="false" customHeight="false" outlineLevel="0" collapsed="false">
      <c r="B58994" s="0" t="s">
        <v>8</v>
      </c>
    </row>
    <row r="58996" customFormat="false" ht="12.8" hidden="false" customHeight="false" outlineLevel="0" collapsed="false">
      <c r="A58996" s="0" t="s">
        <v>19972</v>
      </c>
      <c r="B58996" s="0" t="str">
        <f aca="false">HYPERLINK("https://lindat.mff.cuni.cz/services/teitok/pdtc10/index.php?action=vallex&amp;frame=v-w10721f2", "vypínat (v-w10721f2)")</f>
        <v>vypínat (v-w10721f2)</v>
      </c>
      <c r="E58996" s="0" t="str">
        <f aca="false">HYPERLINK("https://lindat.mff.cuni.cz/services/SynSemClass40/SynSemClass40.html?veclass=vec00182#vec00182-ces-cm00007", "vec00182")</f>
        <v>vec00182</v>
      </c>
      <c r="F58996" s="0" t="s">
        <v>19849</v>
      </c>
    </row>
    <row r="58997" customFormat="false" ht="12.8" hidden="false" customHeight="false" outlineLevel="0" collapsed="false">
      <c r="B58997" s="0" t="s">
        <v>1</v>
      </c>
      <c r="C58997" s="0" t="s">
        <v>106</v>
      </c>
      <c r="E58997" s="0" t="s">
        <v>19850</v>
      </c>
      <c r="F58997" s="0" t="s">
        <v>19851</v>
      </c>
    </row>
    <row r="58998" customFormat="false" ht="12.8" hidden="false" customHeight="false" outlineLevel="0" collapsed="false">
      <c r="B58998" s="0" t="s">
        <v>8</v>
      </c>
      <c r="C58998" s="0" t="s">
        <v>827</v>
      </c>
      <c r="E58998" s="0" t="s">
        <v>19852</v>
      </c>
      <c r="F58998" s="0" t="s">
        <v>19853</v>
      </c>
    </row>
    <row r="59000" customFormat="false" ht="12.8" hidden="false" customHeight="false" outlineLevel="0" collapsed="false">
      <c r="A59000" s="0" t="s">
        <v>19973</v>
      </c>
      <c r="B59000" s="0" t="str">
        <f aca="false">HYPERLINK("https://lindat.mff.cuni.cz/services/teitok/pdtc10/index.php?action=vallex&amp;frame=v-w8182f1", "vypískat (v-w8182f1)")</f>
        <v>vypískat (v-w8182f1)</v>
      </c>
    </row>
    <row r="59001" customFormat="false" ht="12.8" hidden="false" customHeight="false" outlineLevel="0" collapsed="false">
      <c r="B59001" s="0" t="s">
        <v>1</v>
      </c>
    </row>
    <row r="59002" customFormat="false" ht="12.8" hidden="false" customHeight="false" outlineLevel="0" collapsed="false">
      <c r="B59002" s="0" t="s">
        <v>8</v>
      </c>
    </row>
    <row r="59004" customFormat="false" ht="12.8" hidden="false" customHeight="false" outlineLevel="0" collapsed="false">
      <c r="A59004" s="0" t="s">
        <v>19974</v>
      </c>
      <c r="B59004" s="0" t="str">
        <f aca="false">HYPERLINK("https://lindat.mff.cuni.cz/services/teitok/pdtc10/index.php?action=vallex&amp;frame=v-w10524f2", "vypískávat (v-w10524f2)")</f>
        <v>vypískávat (v-w10524f2)</v>
      </c>
    </row>
    <row r="59005" customFormat="false" ht="12.8" hidden="false" customHeight="false" outlineLevel="0" collapsed="false">
      <c r="B59005" s="0" t="s">
        <v>1</v>
      </c>
    </row>
    <row r="59006" customFormat="false" ht="12.8" hidden="false" customHeight="false" outlineLevel="0" collapsed="false">
      <c r="B59006" s="0" t="s">
        <v>8</v>
      </c>
    </row>
    <row r="59008" customFormat="false" ht="12.8" hidden="false" customHeight="false" outlineLevel="0" collapsed="false">
      <c r="A59008" s="0" t="s">
        <v>19975</v>
      </c>
      <c r="B59008" s="0" t="str">
        <f aca="false">HYPERLINK("https://lindat.mff.cuni.cz/services/teitok/pdtc10/index.php?action=vallex&amp;frame=v-w8185f1", "vypít (v-w8185f1)")</f>
        <v>vypít (v-w8185f1)</v>
      </c>
    </row>
    <row r="59009" customFormat="false" ht="12.8" hidden="false" customHeight="false" outlineLevel="0" collapsed="false">
      <c r="B59009" s="0" t="s">
        <v>1</v>
      </c>
    </row>
    <row r="59010" customFormat="false" ht="12.8" hidden="false" customHeight="false" outlineLevel="0" collapsed="false">
      <c r="B59010" s="0" t="s">
        <v>8</v>
      </c>
    </row>
    <row r="59012" customFormat="false" ht="12.8" hidden="false" customHeight="false" outlineLevel="0" collapsed="false">
      <c r="A59012" s="0" t="s">
        <v>19976</v>
      </c>
      <c r="B59012" s="0" t="str">
        <f aca="false">HYPERLINK("https://lindat.mff.cuni.cz/services/teitok/pdtc10/index.php?action=vallex&amp;frame=v-w10393f2", "vypěnit (v-w10393f2)")</f>
        <v>vypěnit (v-w10393f2)</v>
      </c>
    </row>
    <row r="59013" customFormat="false" ht="12.8" hidden="false" customHeight="false" outlineLevel="0" collapsed="false">
      <c r="B59013" s="0" t="s">
        <v>1</v>
      </c>
    </row>
    <row r="59015" customFormat="false" ht="12.8" hidden="false" customHeight="false" outlineLevel="0" collapsed="false">
      <c r="A59015" s="0" t="s">
        <v>19977</v>
      </c>
      <c r="B59015" s="0" t="str">
        <f aca="false">HYPERLINK("https://lindat.mff.cuni.cz/services/teitok/pdtc10/index.php?action=vallex&amp;frame=v-w10393f3_ZU", "vypěnit (v-w10393f3_ZU)")</f>
        <v>vypěnit (v-w10393f3_ZU)</v>
      </c>
    </row>
    <row r="59016" customFormat="false" ht="12.8" hidden="false" customHeight="false" outlineLevel="0" collapsed="false">
      <c r="B59016" s="0" t="s">
        <v>1</v>
      </c>
    </row>
    <row r="59018" customFormat="false" ht="12.8" hidden="false" customHeight="false" outlineLevel="0" collapsed="false">
      <c r="A59018" s="0" t="s">
        <v>19978</v>
      </c>
      <c r="B59018" s="0" t="str">
        <f aca="false">HYPERLINK("https://lindat.mff.cuni.cz/services/teitok/pdtc10/index.php?action=vallex&amp;frame=v-w8177f1", "vypěstovat (v-w8177f1)")</f>
        <v>vypěstovat (v-w8177f1)</v>
      </c>
    </row>
    <row r="59019" customFormat="false" ht="12.8" hidden="false" customHeight="false" outlineLevel="0" collapsed="false">
      <c r="B59019" s="0" t="s">
        <v>1</v>
      </c>
    </row>
    <row r="59020" customFormat="false" ht="12.8" hidden="false" customHeight="false" outlineLevel="0" collapsed="false">
      <c r="B59020" s="0" t="s">
        <v>8</v>
      </c>
    </row>
    <row r="59021" customFormat="false" ht="12.8" hidden="false" customHeight="false" outlineLevel="0" collapsed="false">
      <c r="B59021" s="0" t="s">
        <v>36</v>
      </c>
    </row>
    <row r="59023" customFormat="false" ht="12.8" hidden="false" customHeight="false" outlineLevel="0" collapsed="false">
      <c r="A59023" s="0" t="s">
        <v>19979</v>
      </c>
      <c r="B59023" s="0" t="str">
        <f aca="false">HYPERLINK("https://lindat.mff.cuni.cz/services/teitok/pdtc10/index.php?action=vallex&amp;frame=v-w8177f2", "vypěstovat (v-w8177f2)")</f>
        <v>vypěstovat (v-w8177f2)</v>
      </c>
    </row>
    <row r="59024" customFormat="false" ht="12.8" hidden="false" customHeight="false" outlineLevel="0" collapsed="false">
      <c r="B59024" s="0" t="s">
        <v>1</v>
      </c>
    </row>
    <row r="59025" customFormat="false" ht="12.8" hidden="false" customHeight="false" outlineLevel="0" collapsed="false">
      <c r="B59025" s="0" t="s">
        <v>8</v>
      </c>
    </row>
    <row r="59027" customFormat="false" ht="12.8" hidden="false" customHeight="false" outlineLevel="0" collapsed="false">
      <c r="A59027" s="0" t="s">
        <v>19980</v>
      </c>
      <c r="B59027" s="0" t="str">
        <f aca="false">HYPERLINK("https://lindat.mff.cuni.cz/services/teitok/pdtc10/index.php?action=vallex&amp;frame=v-w12025_ZUf2_ZU", "vypřáhnout (v-w12025_ZUf2_ZU)")</f>
        <v>vypřáhnout (v-w12025_ZUf2_ZU)</v>
      </c>
    </row>
    <row r="59028" customFormat="false" ht="12.8" hidden="false" customHeight="false" outlineLevel="0" collapsed="false">
      <c r="B59028" s="0" t="s">
        <v>1</v>
      </c>
    </row>
    <row r="59029" customFormat="false" ht="12.8" hidden="false" customHeight="false" outlineLevel="0" collapsed="false">
      <c r="B59029" s="0" t="s">
        <v>8</v>
      </c>
    </row>
    <row r="59031" customFormat="false" ht="12.8" hidden="false" customHeight="false" outlineLevel="0" collapsed="false">
      <c r="A59031" s="0" t="s">
        <v>19980</v>
      </c>
      <c r="B59031" s="0" t="str">
        <f aca="false">HYPERLINK("https://lindat.mff.cuni.cz/services/teitok/pdtc10/index.php?action=vallex&amp;frame=v-w12025_ZUf1_ZU", "vypřáhnout (v-w12025_ZUf1_ZU) - substituted with v-w12025_ZUf2_ZU")</f>
        <v>vypřáhnout (v-w12025_ZUf1_ZU) - substituted with v-w12025_ZUf2_ZU</v>
      </c>
    </row>
    <row r="59032" customFormat="false" ht="12.8" hidden="false" customHeight="false" outlineLevel="0" collapsed="false">
      <c r="B59032" s="0" t="s">
        <v>1</v>
      </c>
    </row>
    <row r="59033" customFormat="false" ht="12.8" hidden="false" customHeight="false" outlineLevel="0" collapsed="false">
      <c r="B59033" s="0" t="s">
        <v>8</v>
      </c>
    </row>
    <row r="59035" customFormat="false" ht="12.8" hidden="false" customHeight="false" outlineLevel="0" collapsed="false">
      <c r="A59035" s="0" t="s">
        <v>19981</v>
      </c>
      <c r="B59035" s="0" t="str">
        <f aca="false">HYPERLINK("https://lindat.mff.cuni.cz/services/teitok/pdtc10/index.php?action=vallex&amp;frame=v-w8276f1", "vypůjčit (v-w8276f1)")</f>
        <v>vypůjčit (v-w8276f1)</v>
      </c>
    </row>
    <row r="59036" customFormat="false" ht="12.8" hidden="false" customHeight="false" outlineLevel="0" collapsed="false">
      <c r="B59036" s="0" t="s">
        <v>1</v>
      </c>
    </row>
    <row r="59037" customFormat="false" ht="12.8" hidden="false" customHeight="false" outlineLevel="0" collapsed="false">
      <c r="B59037" s="0" t="s">
        <v>8</v>
      </c>
    </row>
    <row r="59038" customFormat="false" ht="12.8" hidden="false" customHeight="false" outlineLevel="0" collapsed="false">
      <c r="B59038" s="0" t="s">
        <v>52</v>
      </c>
    </row>
    <row r="59040" customFormat="false" ht="12.8" hidden="false" customHeight="false" outlineLevel="0" collapsed="false">
      <c r="A59040" s="0" t="s">
        <v>19982</v>
      </c>
      <c r="B59040" s="0" t="str">
        <f aca="false">HYPERLINK("https://lindat.mff.cuni.cz/services/teitok/pdtc10/index.php?action=vallex&amp;frame=v-w8277f1", "vypůjčit si (v-w8277f1)")</f>
        <v>vypůjčit si (v-w8277f1)</v>
      </c>
      <c r="E59040" s="0" t="str">
        <f aca="false">HYPERLINK("https://lindat.mff.cuni.cz/services/SynSemClass40/SynSemClass40.html?veclass=vec00505#vec00505-ces-cm00005", "vec00505")</f>
        <v>vec00505</v>
      </c>
      <c r="F59040" s="0" t="s">
        <v>14720</v>
      </c>
    </row>
    <row r="59041" customFormat="false" ht="12.8" hidden="false" customHeight="false" outlineLevel="0" collapsed="false">
      <c r="B59041" s="0" t="s">
        <v>1</v>
      </c>
      <c r="C59041" s="0" t="s">
        <v>4134</v>
      </c>
      <c r="E59041" s="0" t="s">
        <v>7912</v>
      </c>
      <c r="F59041" s="0" t="s">
        <v>14721</v>
      </c>
    </row>
    <row r="59042" customFormat="false" ht="12.8" hidden="false" customHeight="false" outlineLevel="0" collapsed="false">
      <c r="B59042" s="0" t="s">
        <v>8</v>
      </c>
      <c r="C59042" s="0" t="s">
        <v>5583</v>
      </c>
      <c r="E59042" s="0" t="s">
        <v>7915</v>
      </c>
      <c r="F59042" s="0" t="s">
        <v>14722</v>
      </c>
    </row>
    <row r="59043" customFormat="false" ht="12.8" hidden="false" customHeight="false" outlineLevel="0" collapsed="false">
      <c r="B59043" s="0" t="s">
        <v>1633</v>
      </c>
      <c r="C59043" s="0" t="s">
        <v>14723</v>
      </c>
      <c r="E59043" s="0" t="s">
        <v>14724</v>
      </c>
      <c r="F59043" s="0" t="s">
        <v>14725</v>
      </c>
    </row>
    <row r="59045" customFormat="false" ht="12.8" hidden="false" customHeight="false" outlineLevel="0" collapsed="false">
      <c r="A59045" s="0" t="s">
        <v>19983</v>
      </c>
      <c r="B59045" s="0" t="str">
        <f aca="false">HYPERLINK("https://lindat.mff.cuni.cz/services/teitok/pdtc10/index.php?action=vallex&amp;frame=v-w8278f1", "vypůjčovat si (v-w8278f1)")</f>
        <v>vypůjčovat si (v-w8278f1)</v>
      </c>
      <c r="E59045" s="0" t="str">
        <f aca="false">HYPERLINK("https://lindat.mff.cuni.cz/services/SynSemClass40/SynSemClass40.html?veclass=vec00505#vec00505-ces-cm00024", "vec00505")</f>
        <v>vec00505</v>
      </c>
      <c r="F59045" s="0" t="s">
        <v>14720</v>
      </c>
    </row>
    <row r="59046" customFormat="false" ht="12.8" hidden="false" customHeight="false" outlineLevel="0" collapsed="false">
      <c r="B59046" s="0" t="s">
        <v>1</v>
      </c>
      <c r="C59046" s="0" t="s">
        <v>4134</v>
      </c>
      <c r="E59046" s="0" t="s">
        <v>7912</v>
      </c>
      <c r="F59046" s="0" t="s">
        <v>14721</v>
      </c>
    </row>
    <row r="59047" customFormat="false" ht="12.8" hidden="false" customHeight="false" outlineLevel="0" collapsed="false">
      <c r="B59047" s="0" t="s">
        <v>8</v>
      </c>
      <c r="C59047" s="0" t="s">
        <v>5583</v>
      </c>
      <c r="E59047" s="0" t="s">
        <v>7915</v>
      </c>
      <c r="F59047" s="0" t="s">
        <v>14722</v>
      </c>
    </row>
    <row r="59048" customFormat="false" ht="12.8" hidden="false" customHeight="false" outlineLevel="0" collapsed="false">
      <c r="B59048" s="0" t="s">
        <v>1633</v>
      </c>
      <c r="C59048" s="0" t="s">
        <v>14723</v>
      </c>
      <c r="E59048" s="0" t="s">
        <v>14724</v>
      </c>
      <c r="F59048" s="0" t="s">
        <v>14725</v>
      </c>
    </row>
    <row r="59050" customFormat="false" ht="12.8" hidden="false" customHeight="false" outlineLevel="0" collapsed="false">
      <c r="A59050" s="0" t="s">
        <v>19984</v>
      </c>
      <c r="B59050" s="0" t="str">
        <f aca="false">HYPERLINK("https://lindat.mff.cuni.cz/services/teitok/pdtc10/index.php?action=vallex&amp;frame=v-w8290f2", "vyrazit (v-w8290f2)")</f>
        <v>vyrazit (v-w8290f2)</v>
      </c>
    </row>
    <row r="59051" customFormat="false" ht="12.8" hidden="false" customHeight="false" outlineLevel="0" collapsed="false">
      <c r="B59051" s="0" t="s">
        <v>1</v>
      </c>
    </row>
    <row r="59052" customFormat="false" ht="12.8" hidden="false" customHeight="false" outlineLevel="0" collapsed="false">
      <c r="B59052" s="0" t="s">
        <v>8</v>
      </c>
    </row>
    <row r="59053" customFormat="false" ht="12.8" hidden="false" customHeight="false" outlineLevel="0" collapsed="false">
      <c r="B59053" s="0" t="s">
        <v>631</v>
      </c>
    </row>
    <row r="59055" customFormat="false" ht="12.8" hidden="false" customHeight="false" outlineLevel="0" collapsed="false">
      <c r="A59055" s="0" t="s">
        <v>19985</v>
      </c>
      <c r="B59055" s="0" t="str">
        <f aca="false">HYPERLINK("https://lindat.mff.cuni.cz/services/teitok/pdtc10/index.php?action=vallex&amp;frame=v-w8290f4", "vyrazit (v-w8290f4)")</f>
        <v>vyrazit (v-w8290f4)</v>
      </c>
    </row>
    <row r="59056" customFormat="false" ht="12.8" hidden="false" customHeight="false" outlineLevel="0" collapsed="false">
      <c r="B59056" s="0" t="s">
        <v>1</v>
      </c>
    </row>
    <row r="59057" customFormat="false" ht="12.8" hidden="false" customHeight="false" outlineLevel="0" collapsed="false">
      <c r="B59057" s="0" t="s">
        <v>8</v>
      </c>
    </row>
    <row r="59059" customFormat="false" ht="12.8" hidden="false" customHeight="false" outlineLevel="0" collapsed="false">
      <c r="A59059" s="0" t="s">
        <v>19986</v>
      </c>
      <c r="B59059" s="0" t="str">
        <f aca="false">HYPERLINK("https://lindat.mff.cuni.cz/services/teitok/pdtc10/index.php?action=vallex&amp;frame=v-w8290f3", "vyrazit (v-w8290f3)")</f>
        <v>vyrazit (v-w8290f3)</v>
      </c>
    </row>
    <row r="59060" customFormat="false" ht="12.8" hidden="false" customHeight="false" outlineLevel="0" collapsed="false">
      <c r="B59060" s="0" t="s">
        <v>1</v>
      </c>
    </row>
    <row r="59061" customFormat="false" ht="12.8" hidden="false" customHeight="false" outlineLevel="0" collapsed="false">
      <c r="B59061" s="0" t="s">
        <v>8</v>
      </c>
    </row>
    <row r="59063" customFormat="false" ht="12.8" hidden="false" customHeight="false" outlineLevel="0" collapsed="false">
      <c r="A59063" s="0" t="s">
        <v>19987</v>
      </c>
      <c r="B59063" s="0" t="str">
        <f aca="false">HYPERLINK("https://lindat.mff.cuni.cz/services/teitok/pdtc10/index.php?action=vallex&amp;frame=v-w8290f1", "vyrazit (v-w8290f1)")</f>
        <v>vyrazit (v-w8290f1)</v>
      </c>
      <c r="E59063" s="0" t="str">
        <f aca="false">HYPERLINK("https://lindat.mff.cuni.cz/services/SynSemClass40/SynSemClass40.html?veclass=vec00048#vec00048-ces-cm00141", "vec00048")</f>
        <v>vec00048</v>
      </c>
      <c r="F59063" s="0" t="s">
        <v>1945</v>
      </c>
    </row>
    <row r="59064" customFormat="false" ht="12.8" hidden="false" customHeight="false" outlineLevel="0" collapsed="false">
      <c r="B59064" s="0" t="s">
        <v>1</v>
      </c>
      <c r="C59064" s="0" t="s">
        <v>1946</v>
      </c>
      <c r="E59064" s="0" t="s">
        <v>334</v>
      </c>
      <c r="F59064" s="0" t="s">
        <v>1947</v>
      </c>
    </row>
    <row r="59065" customFormat="false" ht="12.8" hidden="false" customHeight="false" outlineLevel="0" collapsed="false">
      <c r="B59065" s="0" t="s">
        <v>164</v>
      </c>
      <c r="E59065" s="0" t="s">
        <v>1315</v>
      </c>
      <c r="F59065" s="0" t="s">
        <v>1316</v>
      </c>
    </row>
    <row r="59067" customFormat="false" ht="12.8" hidden="false" customHeight="false" outlineLevel="0" collapsed="false">
      <c r="A59067" s="0" t="s">
        <v>19988</v>
      </c>
      <c r="B59067" s="0" t="str">
        <f aca="false">HYPERLINK("https://lindat.mff.cuni.cz/services/teitok/pdtc10/index.php?action=vallex&amp;frame=v-w8290f5_ZU", "vyrazit (v-w8290f5_ZU)")</f>
        <v>vyrazit (v-w8290f5_ZU)</v>
      </c>
    </row>
    <row r="59068" customFormat="false" ht="12.8" hidden="false" customHeight="false" outlineLevel="0" collapsed="false">
      <c r="B59068" s="0" t="s">
        <v>1181</v>
      </c>
    </row>
    <row r="59069" customFormat="false" ht="12.8" hidden="false" customHeight="false" outlineLevel="0" collapsed="false">
      <c r="B59069" s="0" t="s">
        <v>11322</v>
      </c>
    </row>
    <row r="59070" customFormat="false" ht="12.8" hidden="false" customHeight="false" outlineLevel="0" collapsed="false">
      <c r="B59070" s="0" t="s">
        <v>186</v>
      </c>
    </row>
    <row r="59072" customFormat="false" ht="12.8" hidden="false" customHeight="false" outlineLevel="0" collapsed="false">
      <c r="A59072" s="0" t="s">
        <v>19989</v>
      </c>
      <c r="B59072" s="0" t="str">
        <f aca="false">HYPERLINK("https://lindat.mff.cuni.cz/services/teitok/pdtc10/index.php?action=vallex&amp;frame=v-w8290f6_ZU", "vyrazit (v-w8290f6_ZU)")</f>
        <v>vyrazit (v-w8290f6_ZU)</v>
      </c>
    </row>
    <row r="59073" customFormat="false" ht="12.8" hidden="false" customHeight="false" outlineLevel="0" collapsed="false">
      <c r="B59073" s="0" t="s">
        <v>1</v>
      </c>
    </row>
    <row r="59074" customFormat="false" ht="12.8" hidden="false" customHeight="false" outlineLevel="0" collapsed="false">
      <c r="B59074" s="0" t="s">
        <v>69</v>
      </c>
    </row>
    <row r="59075" customFormat="false" ht="12.8" hidden="false" customHeight="false" outlineLevel="0" collapsed="false">
      <c r="B59075" s="0" t="s">
        <v>36</v>
      </c>
    </row>
    <row r="59077" customFormat="false" ht="12.8" hidden="false" customHeight="false" outlineLevel="0" collapsed="false">
      <c r="A59077" s="0" t="s">
        <v>19989</v>
      </c>
      <c r="B59077" s="0" t="str">
        <f aca="false">HYPERLINK("https://lindat.mff.cuni.cz/services/teitok/pdtc10/index.php?action=vallex&amp;frame=v-w8290hsa_162", "vyrazit (v-w8290hsa_162) - substituted with v-w8290f6_ZU")</f>
        <v>vyrazit (v-w8290hsa_162) - substituted with v-w8290f6_ZU</v>
      </c>
    </row>
    <row r="59078" customFormat="false" ht="12.8" hidden="false" customHeight="false" outlineLevel="0" collapsed="false">
      <c r="B59078" s="0" t="s">
        <v>1</v>
      </c>
    </row>
    <row r="59079" customFormat="false" ht="12.8" hidden="false" customHeight="false" outlineLevel="0" collapsed="false">
      <c r="B59079" s="0" t="s">
        <v>69</v>
      </c>
    </row>
    <row r="59080" customFormat="false" ht="12.8" hidden="false" customHeight="false" outlineLevel="0" collapsed="false">
      <c r="B59080" s="0" t="s">
        <v>36</v>
      </c>
    </row>
    <row r="59082" customFormat="false" ht="12.8" hidden="false" customHeight="false" outlineLevel="0" collapsed="false">
      <c r="A59082" s="0" t="s">
        <v>19990</v>
      </c>
      <c r="B59082" s="0" t="str">
        <f aca="false">HYPERLINK("https://lindat.mff.cuni.cz/services/teitok/pdtc10/index.php?action=vallex&amp;frame=v-w8290f7_MM", "vyrazit (v-w8290f7_MM)")</f>
        <v>vyrazit (v-w8290f7_MM)</v>
      </c>
    </row>
    <row r="59083" customFormat="false" ht="12.8" hidden="false" customHeight="false" outlineLevel="0" collapsed="false">
      <c r="B59083" s="0" t="s">
        <v>1</v>
      </c>
    </row>
    <row r="59084" customFormat="false" ht="12.8" hidden="false" customHeight="false" outlineLevel="0" collapsed="false">
      <c r="B59084" s="0" t="s">
        <v>8</v>
      </c>
    </row>
    <row r="59086" customFormat="false" ht="12.8" hidden="false" customHeight="false" outlineLevel="0" collapsed="false">
      <c r="A59086" s="0" t="s">
        <v>19991</v>
      </c>
      <c r="B59086" s="0" t="str">
        <f aca="false">HYPERLINK("https://lindat.mff.cuni.cz/services/teitok/pdtc10/index.php?action=vallex&amp;frame=v-w11935_ZUf2_ZU", "vyrazit si (v-w11935_ZUf2_ZU)")</f>
        <v>vyrazit si (v-w11935_ZUf2_ZU)</v>
      </c>
    </row>
    <row r="59087" customFormat="false" ht="12.8" hidden="false" customHeight="false" outlineLevel="0" collapsed="false">
      <c r="B59087" s="0" t="s">
        <v>1</v>
      </c>
    </row>
    <row r="59088" customFormat="false" ht="12.8" hidden="false" customHeight="false" outlineLevel="0" collapsed="false">
      <c r="B59088" s="0" t="s">
        <v>454</v>
      </c>
    </row>
    <row r="59090" customFormat="false" ht="12.8" hidden="false" customHeight="false" outlineLevel="0" collapsed="false">
      <c r="A59090" s="0" t="s">
        <v>19991</v>
      </c>
      <c r="B59090" s="0" t="str">
        <f aca="false">HYPERLINK("https://lindat.mff.cuni.cz/services/teitok/pdtc10/index.php?action=vallex&amp;frame=v-w11935_ZUf1_ZU", "vyrazit si (v-w11935_ZUf1_ZU) - substituted with v-w11935_ZUf2_ZU")</f>
        <v>vyrazit si (v-w11935_ZUf1_ZU) - substituted with v-w11935_ZUf2_ZU</v>
      </c>
    </row>
    <row r="59091" customFormat="false" ht="12.8" hidden="false" customHeight="false" outlineLevel="0" collapsed="false">
      <c r="B59091" s="0" t="s">
        <v>1</v>
      </c>
    </row>
    <row r="59092" customFormat="false" ht="12.8" hidden="false" customHeight="false" outlineLevel="0" collapsed="false">
      <c r="B59092" s="0" t="s">
        <v>454</v>
      </c>
    </row>
    <row r="59094" customFormat="false" ht="12.8" hidden="false" customHeight="false" outlineLevel="0" collapsed="false">
      <c r="A59094" s="0" t="s">
        <v>19992</v>
      </c>
      <c r="B59094" s="0" t="str">
        <f aca="false">HYPERLINK("https://lindat.mff.cuni.cz/services/teitok/pdtc10/index.php?action=vallex&amp;frame=v-w10802f2", "vyrašit (v-w10802f2)")</f>
        <v>vyrašit (v-w10802f2)</v>
      </c>
    </row>
    <row r="59095" customFormat="false" ht="12.8" hidden="false" customHeight="false" outlineLevel="0" collapsed="false">
      <c r="B59095" s="0" t="s">
        <v>1</v>
      </c>
    </row>
    <row r="59097" customFormat="false" ht="12.8" hidden="false" customHeight="false" outlineLevel="0" collapsed="false">
      <c r="A59097" s="0" t="s">
        <v>19993</v>
      </c>
      <c r="B59097" s="0" t="str">
        <f aca="false">HYPERLINK("https://lindat.mff.cuni.cz/services/teitok/pdtc10/index.php?action=vallex&amp;frame=v-w10802f3_ZU", "vyrašit (v-w10802f3_ZU)")</f>
        <v>vyrašit (v-w10802f3_ZU)</v>
      </c>
    </row>
    <row r="59098" customFormat="false" ht="12.8" hidden="false" customHeight="false" outlineLevel="0" collapsed="false">
      <c r="B59098" s="0" t="s">
        <v>1</v>
      </c>
    </row>
    <row r="59099" customFormat="false" ht="12.8" hidden="false" customHeight="false" outlineLevel="0" collapsed="false">
      <c r="B59099" s="0" t="s">
        <v>8</v>
      </c>
    </row>
    <row r="59101" customFormat="false" ht="12.8" hidden="false" customHeight="false" outlineLevel="0" collapsed="false">
      <c r="A59101" s="0" t="s">
        <v>19994</v>
      </c>
      <c r="B59101" s="0" t="str">
        <f aca="false">HYPERLINK("https://lindat.mff.cuni.cz/services/teitok/pdtc10/index.php?action=vallex&amp;frame=v-w12373_MMf1_MM", "vyreklamovat (v-w12373_MMf1_MM)")</f>
        <v>vyreklamovat (v-w12373_MMf1_MM)</v>
      </c>
    </row>
    <row r="59102" customFormat="false" ht="12.8" hidden="false" customHeight="false" outlineLevel="0" collapsed="false">
      <c r="B59102" s="0" t="s">
        <v>1</v>
      </c>
    </row>
    <row r="59103" customFormat="false" ht="12.8" hidden="false" customHeight="false" outlineLevel="0" collapsed="false">
      <c r="B59103" s="0" t="s">
        <v>8</v>
      </c>
    </row>
    <row r="59105" customFormat="false" ht="12.8" hidden="false" customHeight="false" outlineLevel="0" collapsed="false">
      <c r="A59105" s="0" t="s">
        <v>19995</v>
      </c>
      <c r="B59105" s="0" t="str">
        <f aca="false">HYPERLINK("https://lindat.mff.cuni.cz/services/teitok/pdtc10/index.php?action=vallex&amp;frame=v-w12167_ZUf1_ZU", "vyretušovat (v-w12167_ZUf1_ZU)")</f>
        <v>vyretušovat (v-w12167_ZUf1_ZU)</v>
      </c>
    </row>
    <row r="59106" customFormat="false" ht="12.8" hidden="false" customHeight="false" outlineLevel="0" collapsed="false">
      <c r="B59106" s="0" t="s">
        <v>1</v>
      </c>
    </row>
    <row r="59107" customFormat="false" ht="12.8" hidden="false" customHeight="false" outlineLevel="0" collapsed="false">
      <c r="B59107" s="0" t="s">
        <v>8</v>
      </c>
    </row>
    <row r="59109" customFormat="false" ht="12.8" hidden="false" customHeight="false" outlineLevel="0" collapsed="false">
      <c r="A59109" s="0" t="s">
        <v>19996</v>
      </c>
      <c r="B59109" s="0" t="str">
        <f aca="false">HYPERLINK("https://lindat.mff.cuni.cz/services/teitok/pdtc10/index.php?action=vallex&amp;frame=v-w8298f1", "vyrobit (v-w8298f1)")</f>
        <v>vyrobit (v-w8298f1)</v>
      </c>
      <c r="E59109" s="0" t="str">
        <f aca="false">HYPERLINK("https://lindat.mff.cuni.cz/services/SynSemClass40/SynSemClass40.html?veclass=vec00084#vec00084-ces-cm00066", "vec00084")</f>
        <v>vec00084</v>
      </c>
      <c r="F59109" s="0" t="s">
        <v>778</v>
      </c>
    </row>
    <row r="59110" customFormat="false" ht="12.8" hidden="false" customHeight="false" outlineLevel="0" collapsed="false">
      <c r="B59110" s="0" t="s">
        <v>1</v>
      </c>
      <c r="C59110" s="0" t="s">
        <v>5557</v>
      </c>
      <c r="E59110" s="0" t="s">
        <v>31</v>
      </c>
      <c r="F59110" s="0" t="s">
        <v>781</v>
      </c>
    </row>
    <row r="59111" customFormat="false" ht="12.8" hidden="false" customHeight="false" outlineLevel="0" collapsed="false">
      <c r="B59111" s="0" t="s">
        <v>8</v>
      </c>
      <c r="C59111" s="0" t="s">
        <v>5558</v>
      </c>
      <c r="E59111" s="0" t="s">
        <v>771</v>
      </c>
      <c r="F59111" s="0" t="s">
        <v>784</v>
      </c>
    </row>
    <row r="59112" customFormat="false" ht="12.8" hidden="false" customHeight="false" outlineLevel="0" collapsed="false">
      <c r="B59112" s="0" t="s">
        <v>36</v>
      </c>
      <c r="C59112" s="0" t="s">
        <v>6350</v>
      </c>
      <c r="E59112" s="0" t="s">
        <v>787</v>
      </c>
      <c r="F59112" s="0" t="s">
        <v>788</v>
      </c>
    </row>
    <row r="59114" customFormat="false" ht="12.8" hidden="false" customHeight="false" outlineLevel="0" collapsed="false">
      <c r="A59114" s="0" t="s">
        <v>19997</v>
      </c>
      <c r="B59114" s="0" t="str">
        <f aca="false">HYPERLINK("https://lindat.mff.cuni.cz/services/teitok/pdtc10/index.php?action=vallex&amp;frame=v-whsb_1267hsa_1268", "vyrojit se (v-whsb_1267hsa_1268)")</f>
        <v>vyrojit se (v-whsb_1267hsa_1268)</v>
      </c>
    </row>
    <row r="59115" customFormat="false" ht="12.8" hidden="false" customHeight="false" outlineLevel="0" collapsed="false">
      <c r="B59115" s="0" t="s">
        <v>1</v>
      </c>
    </row>
    <row r="59117" customFormat="false" ht="12.8" hidden="false" customHeight="false" outlineLevel="0" collapsed="false">
      <c r="A59117" s="0" t="s">
        <v>19998</v>
      </c>
      <c r="B59117" s="0" t="str">
        <f aca="false">HYPERLINK("https://lindat.mff.cuni.cz/services/teitok/pdtc10/index.php?action=vallex&amp;frame=v-w8305f2", "vyrovnat (v-w8305f2)")</f>
        <v>vyrovnat (v-w8305f2)</v>
      </c>
      <c r="E59117" s="0" t="str">
        <f aca="false">HYPERLINK("https://lindat.mff.cuni.cz/services/SynSemClass40/SynSemClass40.html?veclass=vec00125#vec00125-ces-cm00152", "vec00125")</f>
        <v>vec00125</v>
      </c>
      <c r="F59117" s="0" t="s">
        <v>2552</v>
      </c>
    </row>
    <row r="59118" customFormat="false" ht="12.8" hidden="false" customHeight="false" outlineLevel="0" collapsed="false">
      <c r="B59118" s="0" t="s">
        <v>1</v>
      </c>
      <c r="C59118" s="0" t="s">
        <v>2553</v>
      </c>
      <c r="E59118" s="0" t="s">
        <v>2554</v>
      </c>
      <c r="F59118" s="0" t="s">
        <v>2555</v>
      </c>
    </row>
    <row r="59119" customFormat="false" ht="12.8" hidden="false" customHeight="false" outlineLevel="0" collapsed="false">
      <c r="B59119" s="0" t="s">
        <v>8</v>
      </c>
      <c r="C59119" s="0" t="s">
        <v>2556</v>
      </c>
      <c r="E59119" s="0" t="s">
        <v>2557</v>
      </c>
      <c r="F59119" s="0" t="s">
        <v>2558</v>
      </c>
    </row>
    <row r="59120" customFormat="false" ht="12.8" hidden="false" customHeight="false" outlineLevel="0" collapsed="false">
      <c r="B59120" s="0" t="s">
        <v>132</v>
      </c>
      <c r="C59120" s="0" t="s">
        <v>2559</v>
      </c>
      <c r="E59120" s="0" t="s">
        <v>2560</v>
      </c>
      <c r="F59120" s="0" t="s">
        <v>2561</v>
      </c>
    </row>
    <row r="59121" customFormat="false" ht="12.8" hidden="false" customHeight="false" outlineLevel="0" collapsed="false">
      <c r="B59121" s="0" t="s">
        <v>723</v>
      </c>
    </row>
    <row r="59123" customFormat="false" ht="12.8" hidden="false" customHeight="false" outlineLevel="0" collapsed="false">
      <c r="A59123" s="0" t="s">
        <v>19999</v>
      </c>
      <c r="B59123" s="0" t="str">
        <f aca="false">HYPERLINK("https://lindat.mff.cuni.cz/services/teitok/pdtc10/index.php?action=vallex&amp;frame=v-w8305f1", "vyrovnat (v-w8305f1)")</f>
        <v>vyrovnat (v-w8305f1)</v>
      </c>
    </row>
    <row r="59124" customFormat="false" ht="12.8" hidden="false" customHeight="false" outlineLevel="0" collapsed="false">
      <c r="B59124" s="0" t="s">
        <v>1</v>
      </c>
    </row>
    <row r="59125" customFormat="false" ht="12.8" hidden="false" customHeight="false" outlineLevel="0" collapsed="false">
      <c r="B59125" s="0" t="s">
        <v>8</v>
      </c>
    </row>
    <row r="59126" customFormat="false" ht="12.8" hidden="false" customHeight="false" outlineLevel="0" collapsed="false">
      <c r="B59126" s="0" t="s">
        <v>36</v>
      </c>
    </row>
    <row r="59127" customFormat="false" ht="12.8" hidden="false" customHeight="false" outlineLevel="0" collapsed="false">
      <c r="B59127" s="0" t="s">
        <v>101</v>
      </c>
    </row>
    <row r="59129" customFormat="false" ht="12.8" hidden="false" customHeight="false" outlineLevel="0" collapsed="false">
      <c r="A59129" s="0" t="s">
        <v>20000</v>
      </c>
      <c r="B59129" s="0" t="str">
        <f aca="false">HYPERLINK("https://lindat.mff.cuni.cz/services/teitok/pdtc10/index.php?action=vallex&amp;frame=v-w8305f3", "vyrovnat (v-w8305f3)")</f>
        <v>vyrovnat (v-w8305f3)</v>
      </c>
      <c r="E59129" s="0" t="str">
        <f aca="false">HYPERLINK("https://lindat.mff.cuni.cz/services/SynSemClass40/SynSemClass40.html?veclass=vec01355#vec01355-ces-cm00004", "vec01355")</f>
        <v>vec01355</v>
      </c>
      <c r="F59129" s="0" t="s">
        <v>20001</v>
      </c>
    </row>
    <row r="59130" customFormat="false" ht="12.8" hidden="false" customHeight="false" outlineLevel="0" collapsed="false">
      <c r="B59130" s="0" t="s">
        <v>1</v>
      </c>
      <c r="C59130" s="0" t="s">
        <v>4695</v>
      </c>
      <c r="E59130" s="0" t="s">
        <v>5529</v>
      </c>
      <c r="F59130" s="0" t="s">
        <v>20002</v>
      </c>
    </row>
    <row r="59131" customFormat="false" ht="12.8" hidden="false" customHeight="false" outlineLevel="0" collapsed="false">
      <c r="B59131" s="0" t="s">
        <v>8</v>
      </c>
      <c r="C59131" s="0" t="s">
        <v>1575</v>
      </c>
      <c r="E59131" s="0" t="s">
        <v>5531</v>
      </c>
      <c r="F59131" s="0" t="s">
        <v>20003</v>
      </c>
    </row>
    <row r="59132" customFormat="false" ht="12.8" hidden="false" customHeight="false" outlineLevel="0" collapsed="false">
      <c r="B59132" s="0" t="s">
        <v>3537</v>
      </c>
      <c r="E59132" s="0" t="s">
        <v>5534</v>
      </c>
      <c r="F59132" s="0" t="s">
        <v>20004</v>
      </c>
    </row>
    <row r="59134" customFormat="false" ht="12.8" hidden="false" customHeight="false" outlineLevel="0" collapsed="false">
      <c r="A59134" s="0" t="s">
        <v>20005</v>
      </c>
      <c r="B59134" s="0" t="str">
        <f aca="false">HYPERLINK("https://lindat.mff.cuni.cz/services/teitok/pdtc10/index.php?action=vallex&amp;frame=v-w8305f4", "vyrovnat (v-w8305f4)")</f>
        <v>vyrovnat (v-w8305f4)</v>
      </c>
    </row>
    <row r="59135" customFormat="false" ht="12.8" hidden="false" customHeight="false" outlineLevel="0" collapsed="false">
      <c r="B59135" s="0" t="s">
        <v>1</v>
      </c>
    </row>
    <row r="59136" customFormat="false" ht="12.8" hidden="false" customHeight="false" outlineLevel="0" collapsed="false">
      <c r="B59136" s="0" t="s">
        <v>8</v>
      </c>
    </row>
    <row r="59137" customFormat="false" ht="12.8" hidden="false" customHeight="false" outlineLevel="0" collapsed="false">
      <c r="B59137" s="0" t="s">
        <v>40</v>
      </c>
    </row>
    <row r="59139" customFormat="false" ht="12.8" hidden="false" customHeight="false" outlineLevel="0" collapsed="false">
      <c r="A59139" s="0" t="s">
        <v>20006</v>
      </c>
      <c r="B59139" s="0" t="str">
        <f aca="false">HYPERLINK("https://lindat.mff.cuni.cz/services/teitok/pdtc10/index.php?action=vallex&amp;frame=v-w8305f5", "vyrovnat (v-w8305f5)")</f>
        <v>vyrovnat (v-w8305f5)</v>
      </c>
      <c r="E59139" s="0" t="str">
        <f aca="false">HYPERLINK("https://lindat.mff.cuni.cz/services/SynSemClass40/SynSemClass40.html?veclass=vec00356#vec00356-ces-cm00001", "vec00356")</f>
        <v>vec00356</v>
      </c>
      <c r="F59139" s="0" t="s">
        <v>5457</v>
      </c>
    </row>
    <row r="59140" customFormat="false" ht="12.8" hidden="false" customHeight="false" outlineLevel="0" collapsed="false">
      <c r="B59140" s="0" t="s">
        <v>1</v>
      </c>
      <c r="C59140" s="0" t="s">
        <v>5458</v>
      </c>
      <c r="E59140" s="0" t="s">
        <v>84</v>
      </c>
      <c r="F59140" s="0" t="s">
        <v>5459</v>
      </c>
    </row>
    <row r="59141" customFormat="false" ht="12.8" hidden="false" customHeight="false" outlineLevel="0" collapsed="false">
      <c r="B59141" s="0" t="s">
        <v>8</v>
      </c>
      <c r="C59141" s="0" t="s">
        <v>5460</v>
      </c>
      <c r="E59141" s="0" t="s">
        <v>4852</v>
      </c>
      <c r="F59141" s="0" t="s">
        <v>5461</v>
      </c>
    </row>
    <row r="59143" customFormat="false" ht="12.8" hidden="false" customHeight="false" outlineLevel="0" collapsed="false">
      <c r="A59143" s="0" t="s">
        <v>20007</v>
      </c>
      <c r="B59143" s="0" t="str">
        <f aca="false">HYPERLINK("https://lindat.mff.cuni.cz/services/teitok/pdtc10/index.php?action=vallex&amp;frame=v-w8305f7", "vyrovnat (v-w8305f7)")</f>
        <v>vyrovnat (v-w8305f7)</v>
      </c>
      <c r="E59143" s="0" t="str">
        <f aca="false">HYPERLINK("https://lindat.mff.cuni.cz/services/SynSemClass40/SynSemClass40.html?veclass=vec00356#vec00356-ces-cm00024", "vec00356")</f>
        <v>vec00356</v>
      </c>
      <c r="F59143" s="0" t="s">
        <v>5457</v>
      </c>
    </row>
    <row r="59144" customFormat="false" ht="12.8" hidden="false" customHeight="false" outlineLevel="0" collapsed="false">
      <c r="B59144" s="0" t="s">
        <v>1</v>
      </c>
      <c r="C59144" s="0" t="s">
        <v>5458</v>
      </c>
      <c r="E59144" s="0" t="s">
        <v>84</v>
      </c>
      <c r="F59144" s="0" t="s">
        <v>5459</v>
      </c>
    </row>
    <row r="59145" customFormat="false" ht="12.8" hidden="false" customHeight="false" outlineLevel="0" collapsed="false">
      <c r="B59145" s="0" t="s">
        <v>8</v>
      </c>
      <c r="C59145" s="0" t="s">
        <v>5460</v>
      </c>
      <c r="E59145" s="0" t="s">
        <v>4852</v>
      </c>
      <c r="F59145" s="0" t="s">
        <v>5461</v>
      </c>
    </row>
    <row r="59147" customFormat="false" ht="12.8" hidden="false" customHeight="false" outlineLevel="0" collapsed="false">
      <c r="A59147" s="0" t="s">
        <v>20008</v>
      </c>
      <c r="B59147" s="0" t="str">
        <f aca="false">HYPERLINK("https://lindat.mff.cuni.cz/services/teitok/pdtc10/index.php?action=vallex&amp;frame=v-w8305f6", "vyrovnat (v-w8305f6)")</f>
        <v>vyrovnat (v-w8305f6)</v>
      </c>
    </row>
    <row r="59148" customFormat="false" ht="12.8" hidden="false" customHeight="false" outlineLevel="0" collapsed="false">
      <c r="B59148" s="0" t="s">
        <v>1</v>
      </c>
    </row>
    <row r="59149" customFormat="false" ht="12.8" hidden="false" customHeight="false" outlineLevel="0" collapsed="false">
      <c r="B59149" s="0" t="s">
        <v>865</v>
      </c>
    </row>
    <row r="59150" customFormat="false" ht="12.8" hidden="false" customHeight="false" outlineLevel="0" collapsed="false">
      <c r="B59150" s="0" t="s">
        <v>2069</v>
      </c>
    </row>
    <row r="59151" customFormat="false" ht="12.8" hidden="false" customHeight="false" outlineLevel="0" collapsed="false">
      <c r="B59151" s="0" t="s">
        <v>132</v>
      </c>
    </row>
    <row r="59153" customFormat="false" ht="12.8" hidden="false" customHeight="false" outlineLevel="0" collapsed="false">
      <c r="A59153" s="0" t="s">
        <v>20009</v>
      </c>
      <c r="B59153" s="0" t="str">
        <f aca="false">HYPERLINK("https://lindat.mff.cuni.cz/services/teitok/pdtc10/index.php?action=vallex&amp;frame=v-w8305hsa_345", "vyrovnat (v-w8305hsa_345)")</f>
        <v>vyrovnat (v-w8305hsa_345)</v>
      </c>
    </row>
    <row r="59154" customFormat="false" ht="12.8" hidden="false" customHeight="false" outlineLevel="0" collapsed="false">
      <c r="B59154" s="0" t="s">
        <v>1</v>
      </c>
    </row>
    <row r="59155" customFormat="false" ht="12.8" hidden="false" customHeight="false" outlineLevel="0" collapsed="false">
      <c r="B59155" s="0" t="s">
        <v>20010</v>
      </c>
    </row>
    <row r="59156" customFormat="false" ht="12.8" hidden="false" customHeight="false" outlineLevel="0" collapsed="false">
      <c r="B59156" s="0" t="s">
        <v>721</v>
      </c>
    </row>
    <row r="59157" customFormat="false" ht="12.8" hidden="false" customHeight="false" outlineLevel="0" collapsed="false">
      <c r="B59157" s="0" t="s">
        <v>723</v>
      </c>
    </row>
    <row r="59159" customFormat="false" ht="12.8" hidden="false" customHeight="false" outlineLevel="0" collapsed="false">
      <c r="A59159" s="0" t="s">
        <v>20011</v>
      </c>
      <c r="B59159" s="0" t="str">
        <f aca="false">HYPERLINK("https://lindat.mff.cuni.cz/services/teitok/pdtc10/index.php?action=vallex&amp;frame=v-w8306f2", "vyrovnat se (v-w8306f2)")</f>
        <v>vyrovnat se (v-w8306f2)</v>
      </c>
      <c r="E59159" s="0" t="str">
        <f aca="false">HYPERLINK("https://lindat.mff.cuni.cz/services/SynSemClass40/SynSemClass40.html?veclass=vec01001#vec01001-ces-cm00047", "vec01001")</f>
        <v>vec01001</v>
      </c>
      <c r="F59159" s="0" t="s">
        <v>343</v>
      </c>
      <c r="H59159" s="0" t="str">
        <f aca="false">HYPERLINK("https://lindat.mff.cuni.cz/services/SynSemClass40/SynSemClass40.html?veclass=vec01017#vec01017-ces-cm00010", "vec01017")</f>
        <v>vec01017</v>
      </c>
      <c r="I59159" s="0" t="s">
        <v>2290</v>
      </c>
    </row>
    <row r="59160" customFormat="false" ht="12.8" hidden="false" customHeight="false" outlineLevel="0" collapsed="false">
      <c r="B59160" s="0" t="s">
        <v>1</v>
      </c>
      <c r="C59160" s="0" t="s">
        <v>20012</v>
      </c>
      <c r="E59160" s="0" t="s">
        <v>347</v>
      </c>
      <c r="F59160" s="0" t="s">
        <v>348</v>
      </c>
      <c r="H59160" s="0" t="s">
        <v>2291</v>
      </c>
      <c r="I59160" s="0" t="s">
        <v>2292</v>
      </c>
    </row>
    <row r="59161" customFormat="false" ht="12.8" hidden="false" customHeight="false" outlineLevel="0" collapsed="false">
      <c r="B59161" s="0" t="s">
        <v>186</v>
      </c>
      <c r="C59161" s="0" t="s">
        <v>20013</v>
      </c>
      <c r="E59161" s="0" t="s">
        <v>352</v>
      </c>
      <c r="F59161" s="0" t="s">
        <v>353</v>
      </c>
      <c r="H59161" s="0" t="s">
        <v>523</v>
      </c>
      <c r="I59161" s="0" t="s">
        <v>2294</v>
      </c>
    </row>
    <row r="59163" customFormat="false" ht="12.8" hidden="false" customHeight="false" outlineLevel="0" collapsed="false">
      <c r="A59163" s="0" t="s">
        <v>20014</v>
      </c>
      <c r="B59163" s="0" t="str">
        <f aca="false">HYPERLINK("https://lindat.mff.cuni.cz/services/teitok/pdtc10/index.php?action=vallex&amp;frame=v-w8306f1", "vyrovnat se (v-w8306f1)")</f>
        <v>vyrovnat se (v-w8306f1)</v>
      </c>
      <c r="E59163" s="0" t="str">
        <f aca="false">HYPERLINK("https://lindat.mff.cuni.cz/services/SynSemClass40/SynSemClass40.html?veclass=vec00696#vec00696-ces-cm00070", "vec00696")</f>
        <v>vec00696</v>
      </c>
      <c r="F59163" s="0" t="s">
        <v>14597</v>
      </c>
      <c r="H59163" s="0" t="str">
        <f aca="false">HYPERLINK("https://lindat.mff.cuni.cz/services/SynSemClass40/SynSemClass40.html?veclass=vec00719#vec00719-ces-cm00010", "vec00719")</f>
        <v>vec00719</v>
      </c>
      <c r="I59163" s="0" t="s">
        <v>16095</v>
      </c>
    </row>
    <row r="59164" customFormat="false" ht="12.8" hidden="false" customHeight="false" outlineLevel="0" collapsed="false">
      <c r="B59164" s="0" t="s">
        <v>1</v>
      </c>
      <c r="C59164" s="0" t="s">
        <v>20015</v>
      </c>
      <c r="E59164" s="0" t="s">
        <v>5401</v>
      </c>
      <c r="F59164" s="0" t="s">
        <v>14599</v>
      </c>
      <c r="H59164" s="0" t="s">
        <v>266</v>
      </c>
      <c r="I59164" s="0" t="s">
        <v>16097</v>
      </c>
    </row>
    <row r="59165" customFormat="false" ht="12.8" hidden="false" customHeight="false" outlineLevel="0" collapsed="false">
      <c r="B59165" s="0" t="s">
        <v>721</v>
      </c>
      <c r="C59165" s="0" t="s">
        <v>20016</v>
      </c>
      <c r="E59165" s="0" t="s">
        <v>1823</v>
      </c>
      <c r="F59165" s="0" t="s">
        <v>14602</v>
      </c>
      <c r="H59165" s="0" t="s">
        <v>532</v>
      </c>
      <c r="I59165" s="0" t="s">
        <v>16099</v>
      </c>
    </row>
    <row r="59167" customFormat="false" ht="12.8" hidden="false" customHeight="false" outlineLevel="0" collapsed="false">
      <c r="A59167" s="0" t="s">
        <v>20017</v>
      </c>
      <c r="B59167" s="0" t="str">
        <f aca="false">HYPERLINK("https://lindat.mff.cuni.cz/services/teitok/pdtc10/index.php?action=vallex&amp;frame=v-w8306f3", "vyrovnat se (v-w8306f3)")</f>
        <v>vyrovnat se (v-w8306f3)</v>
      </c>
      <c r="E59167" s="0" t="str">
        <f aca="false">HYPERLINK("https://lindat.mff.cuni.cz/services/SynSemClass40/SynSemClass40.html?veclass=vec01468#vec01468-ces-cm00017", "vec01468")</f>
        <v>vec01468</v>
      </c>
      <c r="F59167" s="0" t="s">
        <v>2308</v>
      </c>
    </row>
    <row r="59168" customFormat="false" ht="12.8" hidden="false" customHeight="false" outlineLevel="0" collapsed="false">
      <c r="B59168" s="0" t="s">
        <v>1</v>
      </c>
      <c r="C59168" s="0" t="s">
        <v>16456</v>
      </c>
      <c r="E59168" s="0" t="s">
        <v>2251</v>
      </c>
      <c r="F59168" s="0" t="s">
        <v>2310</v>
      </c>
    </row>
    <row r="59169" customFormat="false" ht="12.8" hidden="false" customHeight="false" outlineLevel="0" collapsed="false">
      <c r="B59169" s="0" t="s">
        <v>721</v>
      </c>
      <c r="C59169" s="0" t="s">
        <v>20018</v>
      </c>
      <c r="E59169" s="0" t="s">
        <v>20019</v>
      </c>
      <c r="F59169" s="0" t="s">
        <v>20020</v>
      </c>
    </row>
    <row r="59171" customFormat="false" ht="12.8" hidden="false" customHeight="false" outlineLevel="0" collapsed="false">
      <c r="A59171" s="0" t="s">
        <v>20021</v>
      </c>
      <c r="B59171" s="0" t="str">
        <f aca="false">HYPERLINK("https://lindat.mff.cuni.cz/services/teitok/pdtc10/index.php?action=vallex&amp;frame=v-w8306f4", "vyrovnat se (v-w8306f4)")</f>
        <v>vyrovnat se (v-w8306f4)</v>
      </c>
    </row>
    <row r="59172" customFormat="false" ht="12.8" hidden="false" customHeight="false" outlineLevel="0" collapsed="false">
      <c r="B59172" s="0" t="s">
        <v>1</v>
      </c>
    </row>
    <row r="59174" customFormat="false" ht="12.8" hidden="false" customHeight="false" outlineLevel="0" collapsed="false">
      <c r="A59174" s="0" t="s">
        <v>20022</v>
      </c>
      <c r="B59174" s="0" t="str">
        <f aca="false">HYPERLINK("https://lindat.mff.cuni.cz/services/teitok/pdtc10/index.php?action=vallex&amp;frame=v-w11671_ZUf1_ZU", "vyrovnat si (v-w11671_ZUf1_ZU)")</f>
        <v>vyrovnat si (v-w11671_ZUf1_ZU)</v>
      </c>
      <c r="E59174" s="0" t="str">
        <f aca="false">HYPERLINK("https://lindat.mff.cuni.cz/services/SynSemClass40/SynSemClass40.html?veclass=vec01468#vec01468-ces-cm00006", "vec01468")</f>
        <v>vec01468</v>
      </c>
      <c r="F59174" s="0" t="s">
        <v>2308</v>
      </c>
    </row>
    <row r="59175" customFormat="false" ht="12.8" hidden="false" customHeight="false" outlineLevel="0" collapsed="false">
      <c r="B59175" s="0" t="s">
        <v>1</v>
      </c>
      <c r="C59175" s="0" t="s">
        <v>16456</v>
      </c>
      <c r="E59175" s="0" t="s">
        <v>2251</v>
      </c>
      <c r="F59175" s="0" t="s">
        <v>2310</v>
      </c>
    </row>
    <row r="59176" customFormat="false" ht="12.8" hidden="false" customHeight="false" outlineLevel="0" collapsed="false">
      <c r="B59176" s="0" t="s">
        <v>228</v>
      </c>
      <c r="C59176" s="0" t="s">
        <v>16457</v>
      </c>
      <c r="E59176" s="0" t="s">
        <v>230</v>
      </c>
      <c r="F59176" s="0" t="s">
        <v>2313</v>
      </c>
    </row>
    <row r="59177" customFormat="false" ht="12.8" hidden="false" customHeight="false" outlineLevel="0" collapsed="false">
      <c r="B59177" s="0" t="s">
        <v>276</v>
      </c>
      <c r="C59177" s="0" t="s">
        <v>19894</v>
      </c>
      <c r="E59177" s="0" t="s">
        <v>2256</v>
      </c>
      <c r="F59177" s="0" t="s">
        <v>2316</v>
      </c>
    </row>
    <row r="59179" customFormat="false" ht="12.8" hidden="false" customHeight="false" outlineLevel="0" collapsed="false">
      <c r="A59179" s="0" t="s">
        <v>20023</v>
      </c>
      <c r="B59179" s="0" t="str">
        <f aca="false">HYPERLINK("https://lindat.mff.cuni.cz/services/teitok/pdtc10/index.php?action=vallex&amp;frame=v-w8308f2", "vyrovnávat (v-w8308f2)")</f>
        <v>vyrovnávat (v-w8308f2)</v>
      </c>
    </row>
    <row r="59180" customFormat="false" ht="12.8" hidden="false" customHeight="false" outlineLevel="0" collapsed="false">
      <c r="B59180" s="0" t="s">
        <v>1</v>
      </c>
    </row>
    <row r="59181" customFormat="false" ht="12.8" hidden="false" customHeight="false" outlineLevel="0" collapsed="false">
      <c r="B59181" s="0" t="s">
        <v>8</v>
      </c>
    </row>
    <row r="59182" customFormat="false" ht="12.8" hidden="false" customHeight="false" outlineLevel="0" collapsed="false">
      <c r="B59182" s="0" t="s">
        <v>36</v>
      </c>
    </row>
    <row r="59183" customFormat="false" ht="12.8" hidden="false" customHeight="false" outlineLevel="0" collapsed="false">
      <c r="B59183" s="0" t="s">
        <v>101</v>
      </c>
    </row>
    <row r="59185" customFormat="false" ht="12.8" hidden="false" customHeight="false" outlineLevel="0" collapsed="false">
      <c r="A59185" s="0" t="s">
        <v>20024</v>
      </c>
      <c r="B59185" s="0" t="str">
        <f aca="false">HYPERLINK("https://lindat.mff.cuni.cz/services/teitok/pdtc10/index.php?action=vallex&amp;frame=v-w8308f1", "vyrovnávat (v-w8308f1)")</f>
        <v>vyrovnávat (v-w8308f1)</v>
      </c>
      <c r="E59185" s="0" t="str">
        <f aca="false">HYPERLINK("https://lindat.mff.cuni.cz/services/SynSemClass40/SynSemClass40.html?veclass=vec00356#vec00356-ces-cm00007", "vec00356")</f>
        <v>vec00356</v>
      </c>
      <c r="F59185" s="0" t="s">
        <v>5457</v>
      </c>
    </row>
    <row r="59186" customFormat="false" ht="12.8" hidden="false" customHeight="false" outlineLevel="0" collapsed="false">
      <c r="B59186" s="0" t="s">
        <v>1</v>
      </c>
      <c r="C59186" s="0" t="s">
        <v>5458</v>
      </c>
      <c r="E59186" s="0" t="s">
        <v>84</v>
      </c>
      <c r="F59186" s="0" t="s">
        <v>5459</v>
      </c>
    </row>
    <row r="59187" customFormat="false" ht="12.8" hidden="false" customHeight="false" outlineLevel="0" collapsed="false">
      <c r="B59187" s="0" t="s">
        <v>8</v>
      </c>
      <c r="C59187" s="0" t="s">
        <v>5460</v>
      </c>
      <c r="E59187" s="0" t="s">
        <v>4852</v>
      </c>
      <c r="F59187" s="0" t="s">
        <v>5461</v>
      </c>
    </row>
    <row r="59189" customFormat="false" ht="12.8" hidden="false" customHeight="false" outlineLevel="0" collapsed="false">
      <c r="A59189" s="0" t="s">
        <v>20025</v>
      </c>
      <c r="B59189" s="0" t="str">
        <f aca="false">HYPERLINK("https://lindat.mff.cuni.cz/services/teitok/pdtc10/index.php?action=vallex&amp;frame=v-w8309f1", "vyrovnávat se (v-w8309f1)")</f>
        <v>vyrovnávat se (v-w8309f1)</v>
      </c>
    </row>
    <row r="59190" customFormat="false" ht="12.8" hidden="false" customHeight="false" outlineLevel="0" collapsed="false">
      <c r="B59190" s="0" t="s">
        <v>1</v>
      </c>
    </row>
    <row r="59191" customFormat="false" ht="12.8" hidden="false" customHeight="false" outlineLevel="0" collapsed="false">
      <c r="B59191" s="0" t="s">
        <v>721</v>
      </c>
    </row>
    <row r="59193" customFormat="false" ht="12.8" hidden="false" customHeight="false" outlineLevel="0" collapsed="false">
      <c r="A59193" s="0" t="s">
        <v>20026</v>
      </c>
      <c r="B59193" s="0" t="str">
        <f aca="false">HYPERLINK("https://lindat.mff.cuni.cz/services/teitok/pdtc10/index.php?action=vallex&amp;frame=v-w8310f1", "vyrozumět (v-w8310f1)")</f>
        <v>vyrozumět (v-w8310f1)</v>
      </c>
      <c r="E59193" s="0" t="str">
        <f aca="false">HYPERLINK("https://lindat.mff.cuni.cz/services/SynSemClass40/SynSemClass40.html?veclass=vec00060#vec00060-ces-cm00192", "vec00060")</f>
        <v>vec00060</v>
      </c>
      <c r="F59193" s="0" t="s">
        <v>213</v>
      </c>
    </row>
    <row r="59194" customFormat="false" ht="12.8" hidden="false" customHeight="false" outlineLevel="0" collapsed="false">
      <c r="B59194" s="0" t="s">
        <v>1</v>
      </c>
      <c r="C59194" s="0" t="s">
        <v>214</v>
      </c>
      <c r="E59194" s="0" t="s">
        <v>147</v>
      </c>
      <c r="F59194" s="0" t="s">
        <v>215</v>
      </c>
    </row>
    <row r="59195" customFormat="false" ht="12.8" hidden="false" customHeight="false" outlineLevel="0" collapsed="false">
      <c r="B59195" s="0" t="s">
        <v>20027</v>
      </c>
      <c r="C59195" s="0" t="s">
        <v>217</v>
      </c>
      <c r="E59195" s="0" t="s">
        <v>218</v>
      </c>
      <c r="F59195" s="0" t="s">
        <v>219</v>
      </c>
    </row>
    <row r="59196" customFormat="false" ht="12.8" hidden="false" customHeight="false" outlineLevel="0" collapsed="false">
      <c r="B59196" s="0" t="s">
        <v>98</v>
      </c>
      <c r="C59196" s="0" t="s">
        <v>220</v>
      </c>
      <c r="E59196" s="0" t="s">
        <v>221</v>
      </c>
      <c r="F59196" s="0" t="s">
        <v>222</v>
      </c>
    </row>
    <row r="59198" customFormat="false" ht="12.8" hidden="false" customHeight="false" outlineLevel="0" collapsed="false">
      <c r="A59198" s="0" t="s">
        <v>20028</v>
      </c>
      <c r="B59198" s="0" t="str">
        <f aca="false">HYPERLINK("https://lindat.mff.cuni.cz/services/teitok/pdtc10/index.php?action=vallex&amp;frame=v-w8310f2_ZU", "vyrozumět (v-w8310f2_ZU)")</f>
        <v>vyrozumět (v-w8310f2_ZU)</v>
      </c>
    </row>
    <row r="59199" customFormat="false" ht="12.8" hidden="false" customHeight="false" outlineLevel="0" collapsed="false">
      <c r="B59199" s="0" t="s">
        <v>1</v>
      </c>
    </row>
    <row r="59200" customFormat="false" ht="12.8" hidden="false" customHeight="false" outlineLevel="0" collapsed="false">
      <c r="B59200" s="0" t="s">
        <v>59</v>
      </c>
    </row>
    <row r="59201" customFormat="false" ht="12.8" hidden="false" customHeight="false" outlineLevel="0" collapsed="false">
      <c r="B59201" s="0" t="s">
        <v>36</v>
      </c>
    </row>
    <row r="59203" customFormat="false" ht="12.8" hidden="false" customHeight="false" outlineLevel="0" collapsed="false">
      <c r="A59203" s="0" t="s">
        <v>20029</v>
      </c>
      <c r="B59203" s="0" t="str">
        <f aca="false">HYPERLINK("https://lindat.mff.cuni.cz/services/teitok/pdtc10/index.php?action=vallex&amp;frame=v-whsa_1464hsa_1465", "vyrubat (v-whsa_1464hsa_1465)")</f>
        <v>vyrubat (v-whsa_1464hsa_1465)</v>
      </c>
    </row>
    <row r="59204" customFormat="false" ht="12.8" hidden="false" customHeight="false" outlineLevel="0" collapsed="false">
      <c r="B59204" s="0" t="s">
        <v>1</v>
      </c>
    </row>
    <row r="59205" customFormat="false" ht="12.8" hidden="false" customHeight="false" outlineLevel="0" collapsed="false">
      <c r="B59205" s="0" t="s">
        <v>8</v>
      </c>
    </row>
    <row r="59206" customFormat="false" ht="12.8" hidden="false" customHeight="false" outlineLevel="0" collapsed="false">
      <c r="B59206" s="0" t="s">
        <v>631</v>
      </c>
    </row>
    <row r="59208" customFormat="false" ht="12.8" hidden="false" customHeight="false" outlineLevel="0" collapsed="false">
      <c r="A59208" s="0" t="s">
        <v>20030</v>
      </c>
      <c r="B59208" s="0" t="str">
        <f aca="false">HYPERLINK("https://lindat.mff.cuni.cz/services/teitok/pdtc10/index.php?action=vallex&amp;frame=v-w8311f1", "vyrukovat (v-w8311f1)")</f>
        <v>vyrukovat (v-w8311f1)</v>
      </c>
    </row>
    <row r="59209" customFormat="false" ht="12.8" hidden="false" customHeight="false" outlineLevel="0" collapsed="false">
      <c r="B59209" s="0" t="s">
        <v>1</v>
      </c>
    </row>
    <row r="59210" customFormat="false" ht="12.8" hidden="false" customHeight="false" outlineLevel="0" collapsed="false">
      <c r="B59210" s="0" t="s">
        <v>721</v>
      </c>
    </row>
    <row r="59211" customFormat="false" ht="12.8" hidden="false" customHeight="false" outlineLevel="0" collapsed="false">
      <c r="B59211" s="0" t="s">
        <v>4688</v>
      </c>
    </row>
    <row r="59213" customFormat="false" ht="12.8" hidden="false" customHeight="false" outlineLevel="0" collapsed="false">
      <c r="A59213" s="0" t="s">
        <v>20031</v>
      </c>
      <c r="B59213" s="0" t="str">
        <f aca="false">HYPERLINK("https://lindat.mff.cuni.cz/services/teitok/pdtc10/index.php?action=vallex&amp;frame=v-w8316f1", "vyrušit (v-w8316f1)")</f>
        <v>vyrušit (v-w8316f1)</v>
      </c>
    </row>
    <row r="59214" customFormat="false" ht="12.8" hidden="false" customHeight="false" outlineLevel="0" collapsed="false">
      <c r="B59214" s="0" t="s">
        <v>1</v>
      </c>
    </row>
    <row r="59215" customFormat="false" ht="12.8" hidden="false" customHeight="false" outlineLevel="0" collapsed="false">
      <c r="B59215" s="0" t="s">
        <v>8</v>
      </c>
    </row>
    <row r="59216" customFormat="false" ht="12.8" hidden="false" customHeight="false" outlineLevel="0" collapsed="false">
      <c r="B59216" s="0" t="s">
        <v>2840</v>
      </c>
    </row>
    <row r="59218" customFormat="false" ht="12.8" hidden="false" customHeight="false" outlineLevel="0" collapsed="false">
      <c r="A59218" s="0" t="s">
        <v>20032</v>
      </c>
      <c r="B59218" s="0" t="str">
        <f aca="false">HYPERLINK("https://lindat.mff.cuni.cz/services/teitok/pdtc10/index.php?action=vallex&amp;frame=v-whsa_1532hsa_1533", "vyrušovat (v-whsa_1532hsa_1533)")</f>
        <v>vyrušovat (v-whsa_1532hsa_1533)</v>
      </c>
    </row>
    <row r="59219" customFormat="false" ht="12.8" hidden="false" customHeight="false" outlineLevel="0" collapsed="false">
      <c r="B59219" s="0" t="s">
        <v>1</v>
      </c>
    </row>
    <row r="59220" customFormat="false" ht="12.8" hidden="false" customHeight="false" outlineLevel="0" collapsed="false">
      <c r="B59220" s="0" t="s">
        <v>8</v>
      </c>
    </row>
    <row r="59222" customFormat="false" ht="12.8" hidden="false" customHeight="false" outlineLevel="0" collapsed="false">
      <c r="A59222" s="0" t="s">
        <v>20033</v>
      </c>
      <c r="B59222" s="0" t="str">
        <f aca="false">HYPERLINK("https://lindat.mff.cuni.cz/services/teitok/pdtc10/index.php?action=vallex&amp;frame=v-w8317f1", "vyrvat (v-w8317f1)")</f>
        <v>vyrvat (v-w8317f1)</v>
      </c>
    </row>
    <row r="59223" customFormat="false" ht="12.8" hidden="false" customHeight="false" outlineLevel="0" collapsed="false">
      <c r="B59223" s="0" t="s">
        <v>1</v>
      </c>
    </row>
    <row r="59224" customFormat="false" ht="12.8" hidden="false" customHeight="false" outlineLevel="0" collapsed="false">
      <c r="B59224" s="0" t="s">
        <v>8</v>
      </c>
    </row>
    <row r="59225" customFormat="false" ht="12.8" hidden="false" customHeight="false" outlineLevel="0" collapsed="false">
      <c r="B59225" s="0" t="s">
        <v>631</v>
      </c>
    </row>
    <row r="59227" customFormat="false" ht="12.8" hidden="false" customHeight="false" outlineLevel="0" collapsed="false">
      <c r="A59227" s="0" t="s">
        <v>20034</v>
      </c>
      <c r="B59227" s="0" t="str">
        <f aca="false">HYPERLINK("https://lindat.mff.cuni.cz/services/teitok/pdtc10/index.php?action=vallex&amp;frame=v-w8288f1", "vyrábět (v-w8288f1)")</f>
        <v>vyrábět (v-w8288f1)</v>
      </c>
      <c r="E59227" s="0" t="str">
        <f aca="false">HYPERLINK("https://lindat.mff.cuni.cz/services/SynSemClass40/SynSemClass40.html?veclass=vec00084#vec00084-ces-cm00065", "vec00084")</f>
        <v>vec00084</v>
      </c>
      <c r="F59227" s="0" t="s">
        <v>778</v>
      </c>
    </row>
    <row r="59228" customFormat="false" ht="12.8" hidden="false" customHeight="false" outlineLevel="0" collapsed="false">
      <c r="B59228" s="0" t="s">
        <v>1</v>
      </c>
      <c r="C59228" s="0" t="s">
        <v>5557</v>
      </c>
      <c r="E59228" s="0" t="s">
        <v>31</v>
      </c>
      <c r="F59228" s="0" t="s">
        <v>781</v>
      </c>
    </row>
    <row r="59229" customFormat="false" ht="12.8" hidden="false" customHeight="false" outlineLevel="0" collapsed="false">
      <c r="B59229" s="0" t="s">
        <v>305</v>
      </c>
      <c r="C59229" s="0" t="s">
        <v>5558</v>
      </c>
      <c r="E59229" s="0" t="s">
        <v>771</v>
      </c>
      <c r="F59229" s="0" t="s">
        <v>784</v>
      </c>
    </row>
    <row r="59230" customFormat="false" ht="12.8" hidden="false" customHeight="false" outlineLevel="0" collapsed="false">
      <c r="B59230" s="0" t="s">
        <v>36</v>
      </c>
      <c r="C59230" s="0" t="s">
        <v>6350</v>
      </c>
      <c r="E59230" s="0" t="s">
        <v>787</v>
      </c>
      <c r="F59230" s="0" t="s">
        <v>788</v>
      </c>
    </row>
    <row r="59232" customFormat="false" ht="12.8" hidden="false" customHeight="false" outlineLevel="0" collapsed="false">
      <c r="A59232" s="0" t="s">
        <v>20035</v>
      </c>
      <c r="B59232" s="0" t="str">
        <f aca="false">HYPERLINK("https://lindat.mff.cuni.cz/services/teitok/pdtc10/index.php?action=vallex&amp;frame=v-w8292f2", "vyrážet (v-w8292f2)")</f>
        <v>vyrážet (v-w8292f2)</v>
      </c>
    </row>
    <row r="59233" customFormat="false" ht="12.8" hidden="false" customHeight="false" outlineLevel="0" collapsed="false">
      <c r="B59233" s="0" t="s">
        <v>1</v>
      </c>
    </row>
    <row r="59234" customFormat="false" ht="12.8" hidden="false" customHeight="false" outlineLevel="0" collapsed="false">
      <c r="B59234" s="0" t="s">
        <v>8</v>
      </c>
    </row>
    <row r="59235" customFormat="false" ht="12.8" hidden="false" customHeight="false" outlineLevel="0" collapsed="false">
      <c r="B59235" s="0" t="s">
        <v>631</v>
      </c>
    </row>
    <row r="59237" customFormat="false" ht="12.8" hidden="false" customHeight="false" outlineLevel="0" collapsed="false">
      <c r="A59237" s="0" t="s">
        <v>20036</v>
      </c>
      <c r="B59237" s="0" t="str">
        <f aca="false">HYPERLINK("https://lindat.mff.cuni.cz/services/teitok/pdtc10/index.php?action=vallex&amp;frame=v-w8292f1", "vyrážet (v-w8292f1)")</f>
        <v>vyrážet (v-w8292f1)</v>
      </c>
    </row>
    <row r="59238" customFormat="false" ht="12.8" hidden="false" customHeight="false" outlineLevel="0" collapsed="false">
      <c r="B59238" s="0" t="s">
        <v>1</v>
      </c>
    </row>
    <row r="59239" customFormat="false" ht="12.8" hidden="false" customHeight="false" outlineLevel="0" collapsed="false">
      <c r="B59239" s="0" t="s">
        <v>164</v>
      </c>
    </row>
    <row r="59241" customFormat="false" ht="12.8" hidden="false" customHeight="false" outlineLevel="0" collapsed="false">
      <c r="A59241" s="0" t="s">
        <v>20037</v>
      </c>
      <c r="B59241" s="0" t="str">
        <f aca="false">HYPERLINK("https://lindat.mff.cuni.cz/services/teitok/pdtc10/index.php?action=vallex&amp;frame=v-w8292f3", "vyrážet (v-w8292f3)")</f>
        <v>vyrážet (v-w8292f3)</v>
      </c>
    </row>
    <row r="59242" customFormat="false" ht="12.8" hidden="false" customHeight="false" outlineLevel="0" collapsed="false">
      <c r="B59242" s="0" t="s">
        <v>1</v>
      </c>
    </row>
    <row r="59243" customFormat="false" ht="12.8" hidden="false" customHeight="false" outlineLevel="0" collapsed="false">
      <c r="B59243" s="0" t="s">
        <v>11322</v>
      </c>
    </row>
    <row r="59244" customFormat="false" ht="12.8" hidden="false" customHeight="false" outlineLevel="0" collapsed="false">
      <c r="B59244" s="0" t="s">
        <v>186</v>
      </c>
    </row>
    <row r="59246" customFormat="false" ht="12.8" hidden="false" customHeight="false" outlineLevel="0" collapsed="false">
      <c r="A59246" s="0" t="s">
        <v>20038</v>
      </c>
      <c r="B59246" s="0" t="str">
        <f aca="false">HYPERLINK("https://lindat.mff.cuni.cz/services/teitok/pdtc10/index.php?action=vallex&amp;frame=v-w8318f1", "vyrýt (v-w8318f1)")</f>
        <v>vyrýt (v-w8318f1)</v>
      </c>
    </row>
    <row r="59247" customFormat="false" ht="12.8" hidden="false" customHeight="false" outlineLevel="0" collapsed="false">
      <c r="B59247" s="0" t="s">
        <v>1</v>
      </c>
    </row>
    <row r="59248" customFormat="false" ht="12.8" hidden="false" customHeight="false" outlineLevel="0" collapsed="false">
      <c r="B59248" s="0" t="s">
        <v>8</v>
      </c>
    </row>
    <row r="59250" customFormat="false" ht="12.8" hidden="false" customHeight="false" outlineLevel="0" collapsed="false">
      <c r="A59250" s="0" t="s">
        <v>20039</v>
      </c>
      <c r="B59250" s="0" t="str">
        <f aca="false">HYPERLINK("https://lindat.mff.cuni.cz/services/teitok/pdtc10/index.php?action=vallex&amp;frame=v-w8318f2_ZU", "vyrýt (v-w8318f2_ZU)")</f>
        <v>vyrýt (v-w8318f2_ZU)</v>
      </c>
    </row>
    <row r="59251" customFormat="false" ht="12.8" hidden="false" customHeight="false" outlineLevel="0" collapsed="false">
      <c r="B59251" s="0" t="s">
        <v>1</v>
      </c>
    </row>
    <row r="59252" customFormat="false" ht="12.8" hidden="false" customHeight="false" outlineLevel="0" collapsed="false">
      <c r="B59252" s="0" t="s">
        <v>8</v>
      </c>
    </row>
    <row r="59253" customFormat="false" ht="12.8" hidden="false" customHeight="false" outlineLevel="0" collapsed="false">
      <c r="B59253" s="0" t="s">
        <v>6273</v>
      </c>
    </row>
    <row r="59255" customFormat="false" ht="12.8" hidden="false" customHeight="false" outlineLevel="0" collapsed="false">
      <c r="A59255" s="0" t="s">
        <v>20040</v>
      </c>
      <c r="B59255" s="0" t="str">
        <f aca="false">HYPERLINK("https://lindat.mff.cuni.cz/services/teitok/pdtc10/index.php?action=vallex&amp;frame=v-w8312f5_ZU", "vyrůst (v-w8312f5_ZU)")</f>
        <v>vyrůst (v-w8312f5_ZU)</v>
      </c>
      <c r="E59255" s="0" t="str">
        <f aca="false">HYPERLINK("https://lindat.mff.cuni.cz/services/SynSemClass40/SynSemClass40.html?veclass=vec00109#vec00109-ces-cm00045", "vec00109")</f>
        <v>vec00109</v>
      </c>
      <c r="F59255" s="0" t="s">
        <v>5143</v>
      </c>
    </row>
    <row r="59256" customFormat="false" ht="12.8" hidden="false" customHeight="false" outlineLevel="0" collapsed="false">
      <c r="B59256" s="0" t="s">
        <v>1</v>
      </c>
      <c r="C59256" s="0" t="s">
        <v>7017</v>
      </c>
      <c r="E59256" s="0" t="s">
        <v>235</v>
      </c>
      <c r="F59256" s="0" t="s">
        <v>5146</v>
      </c>
    </row>
    <row r="59257" customFormat="false" ht="12.8" hidden="false" customHeight="false" outlineLevel="0" collapsed="false">
      <c r="B59257" s="0" t="s">
        <v>20041</v>
      </c>
      <c r="C59257" s="0" t="s">
        <v>5148</v>
      </c>
      <c r="E59257" s="0" t="s">
        <v>5149</v>
      </c>
      <c r="F59257" s="0" t="s">
        <v>5150</v>
      </c>
    </row>
    <row r="59258" customFormat="false" ht="12.8" hidden="false" customHeight="false" outlineLevel="0" collapsed="false">
      <c r="B59258" s="0" t="s">
        <v>36</v>
      </c>
      <c r="C59258" s="0" t="s">
        <v>5151</v>
      </c>
      <c r="E59258" s="0" t="s">
        <v>5152</v>
      </c>
      <c r="F59258" s="0" t="s">
        <v>5153</v>
      </c>
    </row>
    <row r="59260" customFormat="false" ht="12.8" hidden="false" customHeight="false" outlineLevel="0" collapsed="false">
      <c r="A59260" s="0" t="s">
        <v>20040</v>
      </c>
      <c r="B59260" s="0" t="str">
        <f aca="false">HYPERLINK("https://lindat.mff.cuni.cz/services/teitok/pdtc10/index.php?action=vallex&amp;frame=v-w8312f3", "vyrůst (v-w8312f3) - substituted with v-w8312f5_ZU")</f>
        <v>vyrůst (v-w8312f3) - substituted with v-w8312f5_ZU</v>
      </c>
    </row>
    <row r="59261" customFormat="false" ht="12.8" hidden="false" customHeight="false" outlineLevel="0" collapsed="false">
      <c r="B59261" s="0" t="s">
        <v>1</v>
      </c>
    </row>
    <row r="59262" customFormat="false" ht="12.8" hidden="false" customHeight="false" outlineLevel="0" collapsed="false">
      <c r="B59262" s="0" t="s">
        <v>20041</v>
      </c>
    </row>
    <row r="59263" customFormat="false" ht="12.8" hidden="false" customHeight="false" outlineLevel="0" collapsed="false">
      <c r="B59263" s="0" t="s">
        <v>36</v>
      </c>
    </row>
    <row r="59265" customFormat="false" ht="12.8" hidden="false" customHeight="false" outlineLevel="0" collapsed="false">
      <c r="A59265" s="0" t="s">
        <v>20042</v>
      </c>
      <c r="B59265" s="0" t="str">
        <f aca="false">HYPERLINK("https://lindat.mff.cuni.cz/services/teitok/pdtc10/index.php?action=vallex&amp;frame=v-w8312f4_ZU", "vyrůst (v-w8312f4_ZU)")</f>
        <v>vyrůst (v-w8312f4_ZU)</v>
      </c>
    </row>
    <row r="59266" customFormat="false" ht="12.8" hidden="false" customHeight="false" outlineLevel="0" collapsed="false">
      <c r="B59266" s="0" t="s">
        <v>1</v>
      </c>
    </row>
    <row r="59267" customFormat="false" ht="12.8" hidden="false" customHeight="false" outlineLevel="0" collapsed="false">
      <c r="B59267" s="0" t="s">
        <v>298</v>
      </c>
    </row>
    <row r="59269" customFormat="false" ht="12.8" hidden="false" customHeight="false" outlineLevel="0" collapsed="false">
      <c r="A59269" s="0" t="s">
        <v>20042</v>
      </c>
      <c r="B59269" s="0" t="str">
        <f aca="false">HYPERLINK("https://lindat.mff.cuni.cz/services/teitok/pdtc10/index.php?action=vallex&amp;frame=v-w8312f2", "vyrůst (v-w8312f2) - substituted with v-w8312f4_ZU")</f>
        <v>vyrůst (v-w8312f2) - substituted with v-w8312f4_ZU</v>
      </c>
    </row>
    <row r="59270" customFormat="false" ht="12.8" hidden="false" customHeight="false" outlineLevel="0" collapsed="false">
      <c r="B59270" s="0" t="s">
        <v>1</v>
      </c>
    </row>
    <row r="59271" customFormat="false" ht="12.8" hidden="false" customHeight="false" outlineLevel="0" collapsed="false">
      <c r="B59271" s="0" t="s">
        <v>298</v>
      </c>
    </row>
    <row r="59273" customFormat="false" ht="12.8" hidden="false" customHeight="false" outlineLevel="0" collapsed="false">
      <c r="A59273" s="0" t="s">
        <v>20043</v>
      </c>
      <c r="B59273" s="0" t="str">
        <f aca="false">HYPERLINK("https://lindat.mff.cuni.cz/services/teitok/pdtc10/index.php?action=vallex&amp;frame=v-w8312f7_ZU", "vyrůst (v-w8312f7_ZU)")</f>
        <v>vyrůst (v-w8312f7_ZU)</v>
      </c>
    </row>
    <row r="59274" customFormat="false" ht="12.8" hidden="false" customHeight="false" outlineLevel="0" collapsed="false">
      <c r="B59274" s="0" t="s">
        <v>1</v>
      </c>
    </row>
    <row r="59276" customFormat="false" ht="12.8" hidden="false" customHeight="false" outlineLevel="0" collapsed="false">
      <c r="A59276" s="0" t="s">
        <v>20043</v>
      </c>
      <c r="B59276" s="0" t="str">
        <f aca="false">HYPERLINK("https://lindat.mff.cuni.cz/services/teitok/pdtc10/index.php?action=vallex&amp;frame=v-w8312f1", "vyrůst (v-w8312f1) - substituted with v-w8312f7_ZU")</f>
        <v>vyrůst (v-w8312f1) - substituted with v-w8312f7_ZU</v>
      </c>
      <c r="E59276" s="0" t="str">
        <f aca="false">HYPERLINK("https://lindat.mff.cuni.cz/services/SynSemClass40/SynSemClass40.html?veclass=vec00167#vec00167-ces-cm00001", "vec00167")</f>
        <v>vec00167</v>
      </c>
      <c r="F59276" s="0" t="s">
        <v>2773</v>
      </c>
    </row>
    <row r="59277" customFormat="false" ht="12.8" hidden="false" customHeight="false" outlineLevel="0" collapsed="false">
      <c r="B59277" s="0" t="s">
        <v>1</v>
      </c>
      <c r="C59277" s="0" t="s">
        <v>2789</v>
      </c>
      <c r="E59277" s="0" t="s">
        <v>2776</v>
      </c>
      <c r="F59277" s="0" t="s">
        <v>2777</v>
      </c>
    </row>
    <row r="59279" customFormat="false" ht="12.8" hidden="false" customHeight="false" outlineLevel="0" collapsed="false">
      <c r="A59279" s="0" t="s">
        <v>20044</v>
      </c>
      <c r="B59279" s="0" t="str">
        <f aca="false">HYPERLINK("https://lindat.mff.cuni.cz/services/teitok/pdtc10/index.php?action=vallex&amp;frame=v-w8312f6_ZU", "vyrůst (v-w8312f6_ZU)")</f>
        <v>vyrůst (v-w8312f6_ZU)</v>
      </c>
    </row>
    <row r="59280" customFormat="false" ht="12.8" hidden="false" customHeight="false" outlineLevel="0" collapsed="false">
      <c r="B59280" s="0" t="s">
        <v>1</v>
      </c>
    </row>
    <row r="59282" customFormat="false" ht="12.8" hidden="false" customHeight="false" outlineLevel="0" collapsed="false">
      <c r="A59282" s="0" t="s">
        <v>20045</v>
      </c>
      <c r="B59282" s="0" t="str">
        <f aca="false">HYPERLINK("https://lindat.mff.cuni.cz/services/teitok/pdtc10/index.php?action=vallex&amp;frame=v-w8312hsa_27", "vyrůst (v-w8312hsa_27)")</f>
        <v>vyrůst (v-w8312hsa_27)</v>
      </c>
    </row>
    <row r="59283" customFormat="false" ht="12.8" hidden="false" customHeight="false" outlineLevel="0" collapsed="false">
      <c r="B59283" s="0" t="s">
        <v>1</v>
      </c>
    </row>
    <row r="59284" customFormat="false" ht="12.8" hidden="false" customHeight="false" outlineLevel="0" collapsed="false">
      <c r="B59284" s="0" t="s">
        <v>298</v>
      </c>
    </row>
    <row r="59286" customFormat="false" ht="12.8" hidden="false" customHeight="false" outlineLevel="0" collapsed="false">
      <c r="A59286" s="0" t="s">
        <v>20046</v>
      </c>
      <c r="B59286" s="0" t="str">
        <f aca="false">HYPERLINK("https://lindat.mff.cuni.cz/services/teitok/pdtc10/index.php?action=vallex&amp;frame=v-w8314f3", "vyrůstat (v-w8314f3)")</f>
        <v>vyrůstat (v-w8314f3)</v>
      </c>
    </row>
    <row r="59287" customFormat="false" ht="12.8" hidden="false" customHeight="false" outlineLevel="0" collapsed="false">
      <c r="B59287" s="0" t="s">
        <v>1</v>
      </c>
    </row>
    <row r="59288" customFormat="false" ht="12.8" hidden="false" customHeight="false" outlineLevel="0" collapsed="false">
      <c r="B59288" s="0" t="s">
        <v>2715</v>
      </c>
    </row>
    <row r="59289" customFormat="false" ht="12.8" hidden="false" customHeight="false" outlineLevel="0" collapsed="false">
      <c r="B59289" s="0" t="s">
        <v>36</v>
      </c>
    </row>
    <row r="59291" customFormat="false" ht="12.8" hidden="false" customHeight="false" outlineLevel="0" collapsed="false">
      <c r="A59291" s="0" t="s">
        <v>20047</v>
      </c>
      <c r="B59291" s="0" t="str">
        <f aca="false">HYPERLINK("https://lindat.mff.cuni.cz/services/teitok/pdtc10/index.php?action=vallex&amp;frame=v-w8314f2", "vyrůstat (v-w8314f2)")</f>
        <v>vyrůstat (v-w8314f2)</v>
      </c>
    </row>
    <row r="59292" customFormat="false" ht="12.8" hidden="false" customHeight="false" outlineLevel="0" collapsed="false">
      <c r="B59292" s="0" t="s">
        <v>1</v>
      </c>
    </row>
    <row r="59293" customFormat="false" ht="12.8" hidden="false" customHeight="false" outlineLevel="0" collapsed="false">
      <c r="B59293" s="0" t="s">
        <v>298</v>
      </c>
    </row>
    <row r="59295" customFormat="false" ht="12.8" hidden="false" customHeight="false" outlineLevel="0" collapsed="false">
      <c r="A59295" s="0" t="s">
        <v>20048</v>
      </c>
      <c r="B59295" s="0" t="str">
        <f aca="false">HYPERLINK("https://lindat.mff.cuni.cz/services/teitok/pdtc10/index.php?action=vallex&amp;frame=v-w8314f1", "vyrůstat (v-w8314f1)")</f>
        <v>vyrůstat (v-w8314f1)</v>
      </c>
    </row>
    <row r="59296" customFormat="false" ht="12.8" hidden="false" customHeight="false" outlineLevel="0" collapsed="false">
      <c r="B59296" s="0" t="s">
        <v>1</v>
      </c>
    </row>
    <row r="59298" customFormat="false" ht="12.8" hidden="false" customHeight="false" outlineLevel="0" collapsed="false">
      <c r="A59298" s="0" t="s">
        <v>20049</v>
      </c>
      <c r="B59298" s="0" t="str">
        <f aca="false">HYPERLINK("https://lindat.mff.cuni.cz/services/teitok/pdtc10/index.php?action=vallex&amp;frame=v-w8314f4_ZU", "vyrůstat (v-w8314f4_ZU)")</f>
        <v>vyrůstat (v-w8314f4_ZU)</v>
      </c>
    </row>
    <row r="59299" customFormat="false" ht="12.8" hidden="false" customHeight="false" outlineLevel="0" collapsed="false">
      <c r="B59299" s="0" t="s">
        <v>1</v>
      </c>
    </row>
    <row r="59301" customFormat="false" ht="12.8" hidden="false" customHeight="false" outlineLevel="0" collapsed="false">
      <c r="A59301" s="0" t="s">
        <v>20050</v>
      </c>
      <c r="B59301" s="0" t="str">
        <f aca="false">HYPERLINK("https://lindat.mff.cuni.cz/services/teitok/pdtc10/index.php?action=vallex&amp;frame=v-w8334f3_ZU", "vysadit (v-w8334f3_ZU)")</f>
        <v>vysadit (v-w8334f3_ZU)</v>
      </c>
    </row>
    <row r="59302" customFormat="false" ht="12.8" hidden="false" customHeight="false" outlineLevel="0" collapsed="false">
      <c r="B59302" s="0" t="s">
        <v>1</v>
      </c>
    </row>
    <row r="59303" customFormat="false" ht="12.8" hidden="false" customHeight="false" outlineLevel="0" collapsed="false">
      <c r="B59303" s="0" t="s">
        <v>8</v>
      </c>
    </row>
    <row r="59304" customFormat="false" ht="12.8" hidden="false" customHeight="false" outlineLevel="0" collapsed="false">
      <c r="B59304" s="0" t="s">
        <v>454</v>
      </c>
    </row>
    <row r="59306" customFormat="false" ht="12.8" hidden="false" customHeight="false" outlineLevel="0" collapsed="false">
      <c r="A59306" s="0" t="s">
        <v>20051</v>
      </c>
      <c r="B59306" s="0" t="str">
        <f aca="false">HYPERLINK("https://lindat.mff.cuni.cz/services/teitok/pdtc10/index.php?action=vallex&amp;frame=v-w8334f1", "vysadit (v-w8334f1)")</f>
        <v>vysadit (v-w8334f1)</v>
      </c>
    </row>
    <row r="59307" customFormat="false" ht="12.8" hidden="false" customHeight="false" outlineLevel="0" collapsed="false">
      <c r="B59307" s="0" t="s">
        <v>1</v>
      </c>
    </row>
    <row r="59308" customFormat="false" ht="12.8" hidden="false" customHeight="false" outlineLevel="0" collapsed="false">
      <c r="B59308" s="0" t="s">
        <v>8</v>
      </c>
    </row>
    <row r="59310" customFormat="false" ht="12.8" hidden="false" customHeight="false" outlineLevel="0" collapsed="false">
      <c r="A59310" s="0" t="s">
        <v>20052</v>
      </c>
      <c r="B59310" s="0" t="str">
        <f aca="false">HYPERLINK("https://lindat.mff.cuni.cz/services/teitok/pdtc10/index.php?action=vallex&amp;frame=v-w8334f2_ZU", "vysadit (v-w8334f2_ZU)")</f>
        <v>vysadit (v-w8334f2_ZU)</v>
      </c>
    </row>
    <row r="59311" customFormat="false" ht="12.8" hidden="false" customHeight="false" outlineLevel="0" collapsed="false">
      <c r="B59311" s="0" t="s">
        <v>1</v>
      </c>
    </row>
    <row r="59312" customFormat="false" ht="12.8" hidden="false" customHeight="false" outlineLevel="0" collapsed="false">
      <c r="B59312" s="0" t="s">
        <v>8</v>
      </c>
    </row>
    <row r="59314" customFormat="false" ht="12.8" hidden="false" customHeight="false" outlineLevel="0" collapsed="false">
      <c r="A59314" s="0" t="s">
        <v>20053</v>
      </c>
      <c r="B59314" s="0" t="str">
        <f aca="false">HYPERLINK("https://lindat.mff.cuni.cz/services/teitok/pdtc10/index.php?action=vallex&amp;frame=v-w8334f4_ZU", "vysadit (v-w8334f4_ZU)")</f>
        <v>vysadit (v-w8334f4_ZU)</v>
      </c>
    </row>
    <row r="59315" customFormat="false" ht="12.8" hidden="false" customHeight="false" outlineLevel="0" collapsed="false">
      <c r="B59315" s="0" t="s">
        <v>1</v>
      </c>
    </row>
    <row r="59317" customFormat="false" ht="12.8" hidden="false" customHeight="false" outlineLevel="0" collapsed="false">
      <c r="A59317" s="0" t="s">
        <v>20054</v>
      </c>
      <c r="B59317" s="0" t="str">
        <f aca="false">HYPERLINK("https://lindat.mff.cuni.cz/services/teitok/pdtc10/index.php?action=vallex&amp;frame=v-w8334hsa_349", "vysadit (v-w8334hsa_349)")</f>
        <v>vysadit (v-w8334hsa_349)</v>
      </c>
    </row>
    <row r="59318" customFormat="false" ht="12.8" hidden="false" customHeight="false" outlineLevel="0" collapsed="false">
      <c r="B59318" s="0" t="s">
        <v>1</v>
      </c>
    </row>
    <row r="59319" customFormat="false" ht="12.8" hidden="false" customHeight="false" outlineLevel="0" collapsed="false">
      <c r="B59319" s="0" t="s">
        <v>8</v>
      </c>
    </row>
    <row r="59320" customFormat="false" ht="12.8" hidden="false" customHeight="false" outlineLevel="0" collapsed="false">
      <c r="B59320" s="0" t="s">
        <v>5</v>
      </c>
    </row>
    <row r="59322" customFormat="false" ht="12.8" hidden="false" customHeight="false" outlineLevel="0" collapsed="false">
      <c r="A59322" s="0" t="s">
        <v>20055</v>
      </c>
      <c r="B59322" s="0" t="str">
        <f aca="false">HYPERLINK("https://lindat.mff.cuni.cz/services/teitok/pdtc10/index.php?action=vallex&amp;frame=v-w8334hsa_350", "vysadit (v-w8334hsa_350)")</f>
        <v>vysadit (v-w8334hsa_350)</v>
      </c>
    </row>
    <row r="59323" customFormat="false" ht="12.8" hidden="false" customHeight="false" outlineLevel="0" collapsed="false">
      <c r="B59323" s="0" t="s">
        <v>1</v>
      </c>
    </row>
    <row r="59324" customFormat="false" ht="12.8" hidden="false" customHeight="false" outlineLevel="0" collapsed="false">
      <c r="B59324" s="0" t="s">
        <v>8</v>
      </c>
    </row>
    <row r="59325" customFormat="false" ht="12.8" hidden="false" customHeight="false" outlineLevel="0" collapsed="false">
      <c r="B59325" s="0" t="s">
        <v>631</v>
      </c>
    </row>
    <row r="59327" customFormat="false" ht="12.8" hidden="false" customHeight="false" outlineLevel="0" collapsed="false">
      <c r="A59327" s="0" t="s">
        <v>20056</v>
      </c>
      <c r="B59327" s="0" t="str">
        <f aca="false">HYPERLINK("https://lindat.mff.cuni.cz/services/teitok/pdtc10/index.php?action=vallex&amp;frame=v-w8337f1", "vysazovat (v-w8337f1)")</f>
        <v>vysazovat (v-w8337f1)</v>
      </c>
    </row>
    <row r="59328" customFormat="false" ht="12.8" hidden="false" customHeight="false" outlineLevel="0" collapsed="false">
      <c r="B59328" s="0" t="s">
        <v>1</v>
      </c>
    </row>
    <row r="59329" customFormat="false" ht="12.8" hidden="false" customHeight="false" outlineLevel="0" collapsed="false">
      <c r="B59329" s="0" t="s">
        <v>8</v>
      </c>
    </row>
    <row r="59330" customFormat="false" ht="12.8" hidden="false" customHeight="false" outlineLevel="0" collapsed="false">
      <c r="B59330" s="0" t="s">
        <v>164</v>
      </c>
    </row>
    <row r="59332" customFormat="false" ht="12.8" hidden="false" customHeight="false" outlineLevel="0" collapsed="false">
      <c r="A59332" s="0" t="s">
        <v>20057</v>
      </c>
      <c r="B59332" s="0" t="str">
        <f aca="false">HYPERLINK("https://lindat.mff.cuni.cz/services/teitok/pdtc10/index.php?action=vallex&amp;frame=v-w8337f2_ZU", "vysazovat (v-w8337f2_ZU)")</f>
        <v>vysazovat (v-w8337f2_ZU)</v>
      </c>
    </row>
    <row r="59333" customFormat="false" ht="12.8" hidden="false" customHeight="false" outlineLevel="0" collapsed="false">
      <c r="B59333" s="0" t="s">
        <v>1</v>
      </c>
    </row>
    <row r="59334" customFormat="false" ht="12.8" hidden="false" customHeight="false" outlineLevel="0" collapsed="false">
      <c r="B59334" s="0" t="s">
        <v>8</v>
      </c>
    </row>
    <row r="59336" customFormat="false" ht="12.8" hidden="false" customHeight="false" outlineLevel="0" collapsed="false">
      <c r="A59336" s="0" t="s">
        <v>20058</v>
      </c>
      <c r="B59336" s="0" t="str">
        <f aca="false">HYPERLINK("https://lindat.mff.cuni.cz/services/teitok/pdtc10/index.php?action=vallex&amp;frame=v-w8341f1", "vyschnout (v-w8341f1)")</f>
        <v>vyschnout (v-w8341f1)</v>
      </c>
      <c r="E59336" s="0" t="str">
        <f aca="false">HYPERLINK("https://lindat.mff.cuni.cz/services/SynSemClass40/SynSemClass40.html?veclass=vec00810#vec00810-ces-cm00005", "vec00810")</f>
        <v>vec00810</v>
      </c>
      <c r="F59336" s="0" t="s">
        <v>2150</v>
      </c>
    </row>
    <row r="59337" customFormat="false" ht="12.8" hidden="false" customHeight="false" outlineLevel="0" collapsed="false">
      <c r="B59337" s="0" t="s">
        <v>1</v>
      </c>
      <c r="C59337" s="0" t="s">
        <v>2087</v>
      </c>
      <c r="E59337" s="0" t="s">
        <v>2151</v>
      </c>
      <c r="F59337" s="0" t="s">
        <v>2152</v>
      </c>
    </row>
    <row r="59339" customFormat="false" ht="12.8" hidden="false" customHeight="false" outlineLevel="0" collapsed="false">
      <c r="A59339" s="0" t="s">
        <v>20059</v>
      </c>
      <c r="B59339" s="0" t="str">
        <f aca="false">HYPERLINK("https://lindat.mff.cuni.cz/services/teitok/pdtc10/index.php?action=vallex&amp;frame=v-w8341f2", "vyschnout (v-w8341f2)")</f>
        <v>vyschnout (v-w8341f2)</v>
      </c>
      <c r="E59339" s="0" t="str">
        <f aca="false">HYPERLINK("https://lindat.mff.cuni.cz/services/SynSemClass40/SynSemClass40.html?veclass=vec00810#vec00810-ces-cm00006", "vec00810")</f>
        <v>vec00810</v>
      </c>
      <c r="F59339" s="0" t="s">
        <v>2150</v>
      </c>
    </row>
    <row r="59340" customFormat="false" ht="12.8" hidden="false" customHeight="false" outlineLevel="0" collapsed="false">
      <c r="B59340" s="0" t="s">
        <v>1</v>
      </c>
      <c r="C59340" s="0" t="s">
        <v>2087</v>
      </c>
      <c r="E59340" s="0" t="s">
        <v>2151</v>
      </c>
      <c r="F59340" s="0" t="s">
        <v>2152</v>
      </c>
    </row>
    <row r="59342" customFormat="false" ht="12.8" hidden="false" customHeight="false" outlineLevel="0" collapsed="false">
      <c r="A59342" s="0" t="s">
        <v>20060</v>
      </c>
      <c r="B59342" s="0" t="str">
        <f aca="false">HYPERLINK("https://lindat.mff.cuni.cz/services/teitok/pdtc10/index.php?action=vallex&amp;frame=v-w8341f4_ZU", "vyschnout (v-w8341f4_ZU)")</f>
        <v>vyschnout (v-w8341f4_ZU)</v>
      </c>
    </row>
    <row r="59343" customFormat="false" ht="12.8" hidden="false" customHeight="false" outlineLevel="0" collapsed="false">
      <c r="B59343" s="0" t="s">
        <v>1</v>
      </c>
    </row>
    <row r="59345" customFormat="false" ht="12.8" hidden="false" customHeight="false" outlineLevel="0" collapsed="false">
      <c r="A59345" s="0" t="s">
        <v>20060</v>
      </c>
      <c r="B59345" s="0" t="str">
        <f aca="false">HYPERLINK("https://lindat.mff.cuni.cz/services/teitok/pdtc10/index.php?action=vallex&amp;frame=v-w8341f3_ZU", "vyschnout (v-w8341f3_ZU) - substituted with v-w8341f4_ZU")</f>
        <v>vyschnout (v-w8341f3_ZU) - substituted with v-w8341f4_ZU</v>
      </c>
    </row>
    <row r="59346" customFormat="false" ht="12.8" hidden="false" customHeight="false" outlineLevel="0" collapsed="false">
      <c r="B59346" s="0" t="s">
        <v>1</v>
      </c>
    </row>
    <row r="59348" customFormat="false" ht="12.8" hidden="false" customHeight="false" outlineLevel="0" collapsed="false">
      <c r="A59348" s="0" t="s">
        <v>20061</v>
      </c>
      <c r="B59348" s="0" t="str">
        <f aca="false">HYPERLINK("https://lindat.mff.cuni.cz/services/teitok/pdtc10/index.php?action=vallex&amp;frame=v-w8338f1", "vysedat (v-w8338f1)")</f>
        <v>vysedat (v-w8338f1)</v>
      </c>
    </row>
    <row r="59349" customFormat="false" ht="12.8" hidden="false" customHeight="false" outlineLevel="0" collapsed="false">
      <c r="B59349" s="0" t="s">
        <v>1</v>
      </c>
    </row>
    <row r="59350" customFormat="false" ht="12.8" hidden="false" customHeight="false" outlineLevel="0" collapsed="false">
      <c r="B59350" s="0" t="s">
        <v>631</v>
      </c>
    </row>
    <row r="59352" customFormat="false" ht="12.8" hidden="false" customHeight="false" outlineLevel="0" collapsed="false">
      <c r="A59352" s="0" t="s">
        <v>20062</v>
      </c>
      <c r="B59352" s="0" t="str">
        <f aca="false">HYPERLINK("https://lindat.mff.cuni.cz/services/teitok/pdtc10/index.php?action=vallex&amp;frame=v-w12069_ZUf1_ZU", "vysednout (v-w12069_ZUf1_ZU)")</f>
        <v>vysednout (v-w12069_ZUf1_ZU)</v>
      </c>
    </row>
    <row r="59353" customFormat="false" ht="12.8" hidden="false" customHeight="false" outlineLevel="0" collapsed="false">
      <c r="B59353" s="0" t="s">
        <v>1</v>
      </c>
    </row>
    <row r="59354" customFormat="false" ht="12.8" hidden="false" customHeight="false" outlineLevel="0" collapsed="false">
      <c r="B59354" s="0" t="s">
        <v>6273</v>
      </c>
    </row>
    <row r="59356" customFormat="false" ht="12.8" hidden="false" customHeight="false" outlineLevel="0" collapsed="false">
      <c r="A59356" s="0" t="s">
        <v>20063</v>
      </c>
      <c r="B59356" s="0" t="str">
        <f aca="false">HYPERLINK("https://lindat.mff.cuni.cz/services/teitok/pdtc10/index.php?action=vallex&amp;frame=v-w8339f1", "vysedávat (v-w8339f1)")</f>
        <v>vysedávat (v-w8339f1)</v>
      </c>
    </row>
    <row r="59357" customFormat="false" ht="12.8" hidden="false" customHeight="false" outlineLevel="0" collapsed="false">
      <c r="B59357" s="0" t="s">
        <v>1</v>
      </c>
    </row>
    <row r="59358" customFormat="false" ht="12.8" hidden="false" customHeight="false" outlineLevel="0" collapsed="false">
      <c r="B59358" s="0" t="s">
        <v>5</v>
      </c>
    </row>
    <row r="59360" customFormat="false" ht="12.8" hidden="false" customHeight="false" outlineLevel="0" collapsed="false">
      <c r="A59360" s="0" t="s">
        <v>20064</v>
      </c>
      <c r="B59360" s="0" t="str">
        <f aca="false">HYPERLINK("https://lindat.mff.cuni.cz/services/teitok/pdtc10/index.php?action=vallex&amp;frame=v-whsa_1289hsa_1290", "vysedět (v-whsa_1289hsa_1290)")</f>
        <v>vysedět (v-whsa_1289hsa_1290)</v>
      </c>
    </row>
    <row r="59361" customFormat="false" ht="12.8" hidden="false" customHeight="false" outlineLevel="0" collapsed="false">
      <c r="B59361" s="0" t="s">
        <v>1</v>
      </c>
    </row>
    <row r="59362" customFormat="false" ht="12.8" hidden="false" customHeight="false" outlineLevel="0" collapsed="false">
      <c r="B59362" s="0" t="s">
        <v>8</v>
      </c>
    </row>
    <row r="59364" customFormat="false" ht="12.8" hidden="false" customHeight="false" outlineLevel="0" collapsed="false">
      <c r="A59364" s="0" t="s">
        <v>20065</v>
      </c>
      <c r="B59364" s="0" t="str">
        <f aca="false">HYPERLINK("https://lindat.mff.cuni.cz/services/teitok/pdtc10/index.php?action=vallex&amp;frame=v-whsa_738hsa_739", "vysekávat (v-whsa_738hsa_739)")</f>
        <v>vysekávat (v-whsa_738hsa_739)</v>
      </c>
    </row>
    <row r="59365" customFormat="false" ht="12.8" hidden="false" customHeight="false" outlineLevel="0" collapsed="false">
      <c r="B59365" s="0" t="s">
        <v>1</v>
      </c>
    </row>
    <row r="59366" customFormat="false" ht="12.8" hidden="false" customHeight="false" outlineLevel="0" collapsed="false">
      <c r="B59366" s="0" t="s">
        <v>8</v>
      </c>
    </row>
    <row r="59368" customFormat="false" ht="12.8" hidden="false" customHeight="false" outlineLevel="0" collapsed="false">
      <c r="A59368" s="0" t="s">
        <v>20066</v>
      </c>
      <c r="B59368" s="0" t="str">
        <f aca="false">HYPERLINK("https://lindat.mff.cuni.cz/services/teitok/pdtc10/index.php?action=vallex&amp;frame=v-w12087_ZUf1_ZU", "vysemenit se (v-w12087_ZUf1_ZU)")</f>
        <v>vysemenit se (v-w12087_ZUf1_ZU)</v>
      </c>
    </row>
    <row r="59369" customFormat="false" ht="12.8" hidden="false" customHeight="false" outlineLevel="0" collapsed="false">
      <c r="B59369" s="0" t="s">
        <v>1</v>
      </c>
    </row>
    <row r="59371" customFormat="false" ht="12.8" hidden="false" customHeight="false" outlineLevel="0" collapsed="false">
      <c r="A59371" s="0" t="s">
        <v>20067</v>
      </c>
      <c r="B59371" s="0" t="str">
        <f aca="false">HYPERLINK("https://lindat.mff.cuni.cz/services/teitok/pdtc10/index.php?action=vallex&amp;frame=v-w10500f2", "vysilovat (v-w10500f2)")</f>
        <v>vysilovat (v-w10500f2)</v>
      </c>
      <c r="E59371" s="0" t="str">
        <f aca="false">HYPERLINK("https://lindat.mff.cuni.cz/services/SynSemClass40/SynSemClass40.html?veclass=vec00740#vec00740-ces-cm00056", "vec00740")</f>
        <v>vec00740</v>
      </c>
      <c r="F59371" s="0" t="s">
        <v>2563</v>
      </c>
    </row>
    <row r="59372" customFormat="false" ht="12.8" hidden="false" customHeight="false" outlineLevel="0" collapsed="false">
      <c r="B59372" s="0" t="s">
        <v>1</v>
      </c>
      <c r="C59372" s="0" t="s">
        <v>16855</v>
      </c>
      <c r="E59372" s="0" t="s">
        <v>76</v>
      </c>
      <c r="F59372" s="0" t="s">
        <v>16856</v>
      </c>
    </row>
    <row r="59373" customFormat="false" ht="12.8" hidden="false" customHeight="false" outlineLevel="0" collapsed="false">
      <c r="B59373" s="0" t="s">
        <v>8</v>
      </c>
      <c r="C59373" s="0" t="s">
        <v>16857</v>
      </c>
      <c r="E59373" s="0" t="s">
        <v>199</v>
      </c>
      <c r="F59373" s="0" t="s">
        <v>16858</v>
      </c>
    </row>
    <row r="59375" customFormat="false" ht="12.8" hidden="false" customHeight="false" outlineLevel="0" collapsed="false">
      <c r="A59375" s="0" t="s">
        <v>20068</v>
      </c>
      <c r="B59375" s="0" t="str">
        <f aca="false">HYPERLINK("https://lindat.mff.cuni.cz/services/teitok/pdtc10/index.php?action=vallex&amp;frame=v-w8346f3_ZU", "vyskočit (v-w8346f3_ZU)")</f>
        <v>vyskočit (v-w8346f3_ZU)</v>
      </c>
      <c r="E59375" s="0" t="str">
        <f aca="false">HYPERLINK("https://lindat.mff.cuni.cz/services/SynSemClass40/SynSemClass40.html?veclass=vec00109#vec00109-ces-cm00114", "vec00109")</f>
        <v>vec00109</v>
      </c>
      <c r="F59375" s="0" t="s">
        <v>5143</v>
      </c>
    </row>
    <row r="59376" customFormat="false" ht="12.8" hidden="false" customHeight="false" outlineLevel="0" collapsed="false">
      <c r="B59376" s="0" t="s">
        <v>1</v>
      </c>
      <c r="C59376" s="0" t="s">
        <v>7017</v>
      </c>
      <c r="E59376" s="0" t="s">
        <v>235</v>
      </c>
      <c r="F59376" s="0" t="s">
        <v>5146</v>
      </c>
    </row>
    <row r="59377" customFormat="false" ht="12.8" hidden="false" customHeight="false" outlineLevel="0" collapsed="false">
      <c r="B59377" s="0" t="s">
        <v>69</v>
      </c>
      <c r="C59377" s="0" t="s">
        <v>5148</v>
      </c>
      <c r="E59377" s="0" t="s">
        <v>5149</v>
      </c>
      <c r="F59377" s="0" t="s">
        <v>5150</v>
      </c>
    </row>
    <row r="59378" customFormat="false" ht="12.8" hidden="false" customHeight="false" outlineLevel="0" collapsed="false">
      <c r="B59378" s="0" t="s">
        <v>36</v>
      </c>
      <c r="C59378" s="0" t="s">
        <v>5151</v>
      </c>
      <c r="E59378" s="0" t="s">
        <v>5152</v>
      </c>
      <c r="F59378" s="0" t="s">
        <v>5153</v>
      </c>
    </row>
    <row r="59380" customFormat="false" ht="12.8" hidden="false" customHeight="false" outlineLevel="0" collapsed="false">
      <c r="A59380" s="0" t="s">
        <v>20069</v>
      </c>
      <c r="B59380" s="0" t="str">
        <f aca="false">HYPERLINK("https://lindat.mff.cuni.cz/services/teitok/pdtc10/index.php?action=vallex&amp;frame=v-w8346f2", "vyskočit (v-w8346f2)")</f>
        <v>vyskočit (v-w8346f2)</v>
      </c>
    </row>
    <row r="59381" customFormat="false" ht="12.8" hidden="false" customHeight="false" outlineLevel="0" collapsed="false">
      <c r="B59381" s="0" t="s">
        <v>1</v>
      </c>
    </row>
    <row r="59382" customFormat="false" ht="12.8" hidden="false" customHeight="false" outlineLevel="0" collapsed="false">
      <c r="B59382" s="0" t="s">
        <v>631</v>
      </c>
    </row>
    <row r="59384" customFormat="false" ht="12.8" hidden="false" customHeight="false" outlineLevel="0" collapsed="false">
      <c r="A59384" s="0" t="s">
        <v>20070</v>
      </c>
      <c r="B59384" s="0" t="str">
        <f aca="false">HYPERLINK("https://lindat.mff.cuni.cz/services/teitok/pdtc10/index.php?action=vallex&amp;frame=v-w8346f1", "vyskočit (v-w8346f1)")</f>
        <v>vyskočit (v-w8346f1)</v>
      </c>
      <c r="E59384" s="0" t="str">
        <f aca="false">HYPERLINK("https://lindat.mff.cuni.cz/services/SynSemClass40/SynSemClass40.html?veclass=vec00759#vec00759-ces-cm00001", "vec00759")</f>
        <v>vec00759</v>
      </c>
      <c r="F59384" s="0" t="s">
        <v>20071</v>
      </c>
    </row>
    <row r="59385" customFormat="false" ht="12.8" hidden="false" customHeight="false" outlineLevel="0" collapsed="false">
      <c r="B59385" s="0" t="s">
        <v>1</v>
      </c>
      <c r="C59385" s="0" t="s">
        <v>4695</v>
      </c>
      <c r="E59385" s="0" t="s">
        <v>334</v>
      </c>
      <c r="F59385" s="0" t="s">
        <v>5245</v>
      </c>
    </row>
    <row r="59387" customFormat="false" ht="12.8" hidden="false" customHeight="false" outlineLevel="0" collapsed="false">
      <c r="A59387" s="0" t="s">
        <v>20072</v>
      </c>
      <c r="B59387" s="0" t="str">
        <f aca="false">HYPERLINK("https://lindat.mff.cuni.cz/services/teitok/pdtc10/index.php?action=vallex&amp;frame=v-w8348f2", "vyskytnout se (v-w8348f2)")</f>
        <v>vyskytnout se (v-w8348f2)</v>
      </c>
      <c r="E59387" s="0" t="str">
        <f aca="false">HYPERLINK("https://lindat.mff.cuni.cz/services/SynSemClass40/SynSemClass40.html?veclass=vec00245#vec00245-ces-cm00042", "vec00245")</f>
        <v>vec00245</v>
      </c>
      <c r="F59387" s="0" t="s">
        <v>6245</v>
      </c>
    </row>
    <row r="59388" customFormat="false" ht="12.8" hidden="false" customHeight="false" outlineLevel="0" collapsed="false">
      <c r="B59388" s="0" t="s">
        <v>1</v>
      </c>
      <c r="C59388" s="0" t="s">
        <v>8384</v>
      </c>
      <c r="E59388" s="0" t="s">
        <v>2923</v>
      </c>
      <c r="F59388" s="0" t="s">
        <v>6248</v>
      </c>
    </row>
    <row r="59389" customFormat="false" ht="12.8" hidden="false" customHeight="false" outlineLevel="0" collapsed="false">
      <c r="B59389" s="0" t="s">
        <v>5</v>
      </c>
      <c r="E59389" s="0" t="s">
        <v>3254</v>
      </c>
      <c r="F59389" s="0" t="s">
        <v>3255</v>
      </c>
    </row>
    <row r="59391" customFormat="false" ht="12.8" hidden="false" customHeight="false" outlineLevel="0" collapsed="false">
      <c r="A59391" s="0" t="s">
        <v>20073</v>
      </c>
      <c r="B59391" s="0" t="str">
        <f aca="false">HYPERLINK("https://lindat.mff.cuni.cz/services/teitok/pdtc10/index.php?action=vallex&amp;frame=v-w8348f1", "vyskytnout se (v-w8348f1)")</f>
        <v>vyskytnout se (v-w8348f1)</v>
      </c>
      <c r="E59391" s="0" t="str">
        <f aca="false">HYPERLINK("https://lindat.mff.cuni.cz/services/SynSemClass40/SynSemClass40.html?veclass=vec00017#vec00017-ces-cm00208", "vec00017")</f>
        <v>vec00017</v>
      </c>
      <c r="F59391" s="0" t="s">
        <v>954</v>
      </c>
    </row>
    <row r="59392" customFormat="false" ht="12.8" hidden="false" customHeight="false" outlineLevel="0" collapsed="false">
      <c r="B59392" s="0" t="s">
        <v>1</v>
      </c>
      <c r="C59392" s="0" t="s">
        <v>956</v>
      </c>
      <c r="E59392" s="0" t="s">
        <v>957</v>
      </c>
      <c r="F59392" s="0" t="s">
        <v>958</v>
      </c>
    </row>
    <row r="59394" customFormat="false" ht="12.8" hidden="false" customHeight="false" outlineLevel="0" collapsed="false">
      <c r="A59394" s="0" t="s">
        <v>20074</v>
      </c>
      <c r="B59394" s="0" t="str">
        <f aca="false">HYPERLINK("https://lindat.mff.cuni.cz/services/teitok/pdtc10/index.php?action=vallex&amp;frame=v-w8349f1", "vyskytovat se (v-w8349f1)")</f>
        <v>vyskytovat se (v-w8349f1)</v>
      </c>
      <c r="E59394" s="0" t="str">
        <f aca="false">HYPERLINK("https://lindat.mff.cuni.cz/services/SynSemClass40/SynSemClass40.html?veclass=vec00245#vec00245-ces-cm00043", "vec00245")</f>
        <v>vec00245</v>
      </c>
      <c r="F59394" s="0" t="s">
        <v>6245</v>
      </c>
    </row>
    <row r="59395" customFormat="false" ht="12.8" hidden="false" customHeight="false" outlineLevel="0" collapsed="false">
      <c r="B59395" s="0" t="s">
        <v>1</v>
      </c>
      <c r="C59395" s="0" t="s">
        <v>8384</v>
      </c>
      <c r="E59395" s="0" t="s">
        <v>2923</v>
      </c>
      <c r="F59395" s="0" t="s">
        <v>6248</v>
      </c>
    </row>
    <row r="59396" customFormat="false" ht="12.8" hidden="false" customHeight="false" outlineLevel="0" collapsed="false">
      <c r="B59396" s="0" t="s">
        <v>5</v>
      </c>
      <c r="E59396" s="0" t="s">
        <v>3254</v>
      </c>
      <c r="F59396" s="0" t="s">
        <v>3255</v>
      </c>
    </row>
    <row r="59398" customFormat="false" ht="12.8" hidden="false" customHeight="false" outlineLevel="0" collapsed="false">
      <c r="A59398" s="0" t="s">
        <v>20075</v>
      </c>
      <c r="B59398" s="0" t="str">
        <f aca="false">HYPERLINK("https://lindat.mff.cuni.cz/services/teitok/pdtc10/index.php?action=vallex&amp;frame=v-w8349f2", "vyskytovat se (v-w8349f2)")</f>
        <v>vyskytovat se (v-w8349f2)</v>
      </c>
    </row>
    <row r="59399" customFormat="false" ht="12.8" hidden="false" customHeight="false" outlineLevel="0" collapsed="false">
      <c r="B59399" s="0" t="s">
        <v>1</v>
      </c>
    </row>
    <row r="59401" customFormat="false" ht="12.8" hidden="false" customHeight="false" outlineLevel="0" collapsed="false">
      <c r="A59401" s="0" t="s">
        <v>20076</v>
      </c>
      <c r="B59401" s="0" t="str">
        <f aca="false">HYPERLINK("https://lindat.mff.cuni.cz/services/teitok/pdtc10/index.php?action=vallex&amp;frame=v-whsb_825hsa_826", "vyskákat (v-whsb_825hsa_826)")</f>
        <v>vyskákat (v-whsb_825hsa_826)</v>
      </c>
    </row>
    <row r="59402" customFormat="false" ht="12.8" hidden="false" customHeight="false" outlineLevel="0" collapsed="false">
      <c r="B59402" s="0" t="s">
        <v>1</v>
      </c>
    </row>
    <row r="59403" customFormat="false" ht="12.8" hidden="false" customHeight="false" outlineLevel="0" collapsed="false">
      <c r="B59403" s="0" t="s">
        <v>631</v>
      </c>
    </row>
    <row r="59405" customFormat="false" ht="12.8" hidden="false" customHeight="false" outlineLevel="0" collapsed="false">
      <c r="A59405" s="0" t="s">
        <v>20077</v>
      </c>
      <c r="B59405" s="0" t="str">
        <f aca="false">HYPERLINK("https://lindat.mff.cuni.cz/services/teitok/pdtc10/index.php?action=vallex&amp;frame=v-w8351f2", "vyslat (v-w8351f2)")</f>
        <v>vyslat (v-w8351f2)</v>
      </c>
    </row>
    <row r="59406" customFormat="false" ht="12.8" hidden="false" customHeight="false" outlineLevel="0" collapsed="false">
      <c r="B59406" s="0" t="s">
        <v>1</v>
      </c>
    </row>
    <row r="59407" customFormat="false" ht="12.8" hidden="false" customHeight="false" outlineLevel="0" collapsed="false">
      <c r="B59407" s="0" t="s">
        <v>8</v>
      </c>
    </row>
    <row r="59408" customFormat="false" ht="12.8" hidden="false" customHeight="false" outlineLevel="0" collapsed="false">
      <c r="B59408" s="0" t="s">
        <v>52</v>
      </c>
    </row>
    <row r="59410" customFormat="false" ht="12.8" hidden="false" customHeight="false" outlineLevel="0" collapsed="false">
      <c r="A59410" s="0" t="s">
        <v>20078</v>
      </c>
      <c r="B59410" s="0" t="str">
        <f aca="false">HYPERLINK("https://lindat.mff.cuni.cz/services/teitok/pdtc10/index.php?action=vallex&amp;frame=v-w8351f1", "vyslat (v-w8351f1)")</f>
        <v>vyslat (v-w8351f1)</v>
      </c>
      <c r="E59410" s="0" t="str">
        <f aca="false">HYPERLINK("https://lindat.mff.cuni.cz/services/SynSemClass40/SynSemClass40.html?veclass=vec00209#vec00209-ces-cm00203", "vec00209")</f>
        <v>vec00209</v>
      </c>
      <c r="F59410" s="0" t="s">
        <v>2040</v>
      </c>
    </row>
    <row r="59411" customFormat="false" ht="12.8" hidden="false" customHeight="false" outlineLevel="0" collapsed="false">
      <c r="B59411" s="0" t="s">
        <v>1</v>
      </c>
      <c r="C59411" s="0" t="s">
        <v>2041</v>
      </c>
      <c r="E59411" s="0" t="s">
        <v>1784</v>
      </c>
      <c r="F59411" s="0" t="s">
        <v>2042</v>
      </c>
    </row>
    <row r="59412" customFormat="false" ht="12.8" hidden="false" customHeight="false" outlineLevel="0" collapsed="false">
      <c r="B59412" s="0" t="s">
        <v>8</v>
      </c>
      <c r="C59412" s="0" t="s">
        <v>2043</v>
      </c>
      <c r="E59412" s="0" t="s">
        <v>1787</v>
      </c>
      <c r="F59412" s="0" t="s">
        <v>2044</v>
      </c>
    </row>
    <row r="59413" customFormat="false" ht="12.8" hidden="false" customHeight="false" outlineLevel="0" collapsed="false">
      <c r="B59413" s="0" t="s">
        <v>164</v>
      </c>
      <c r="C59413" s="0" t="s">
        <v>2654</v>
      </c>
      <c r="E59413" s="0" t="s">
        <v>2212</v>
      </c>
      <c r="F59413" s="0" t="s">
        <v>2651</v>
      </c>
    </row>
    <row r="59415" customFormat="false" ht="12.8" hidden="false" customHeight="false" outlineLevel="0" collapsed="false">
      <c r="A59415" s="0" t="s">
        <v>20079</v>
      </c>
      <c r="B59415" s="0" t="str">
        <f aca="false">HYPERLINK("https://lindat.mff.cuni.cz/services/teitok/pdtc10/index.php?action=vallex&amp;frame=v-w8355f1", "vyslechnout (v-w8355f1)")</f>
        <v>vyslechnout (v-w8355f1)</v>
      </c>
      <c r="E59415" s="0" t="str">
        <f aca="false">HYPERLINK("https://lindat.mff.cuni.cz/services/SynSemClass40/SynSemClass40.html?veclass=vec00445#vec00445-ces-cm00008", "vec00445")</f>
        <v>vec00445</v>
      </c>
      <c r="F59415" s="0" t="s">
        <v>7752</v>
      </c>
    </row>
    <row r="59416" customFormat="false" ht="12.8" hidden="false" customHeight="false" outlineLevel="0" collapsed="false">
      <c r="B59416" s="0" t="s">
        <v>1</v>
      </c>
      <c r="C59416" s="0" t="s">
        <v>333</v>
      </c>
      <c r="E59416" s="0" t="s">
        <v>637</v>
      </c>
      <c r="F59416" s="0" t="s">
        <v>7753</v>
      </c>
    </row>
    <row r="59417" customFormat="false" ht="12.8" hidden="false" customHeight="false" outlineLevel="0" collapsed="false">
      <c r="B59417" s="0" t="s">
        <v>1838</v>
      </c>
      <c r="C59417" s="0" t="s">
        <v>6424</v>
      </c>
      <c r="E59417" s="0" t="s">
        <v>180</v>
      </c>
      <c r="F59417" s="0" t="s">
        <v>7755</v>
      </c>
    </row>
    <row r="59419" customFormat="false" ht="12.8" hidden="false" customHeight="false" outlineLevel="0" collapsed="false">
      <c r="A59419" s="0" t="s">
        <v>20080</v>
      </c>
      <c r="B59419" s="0" t="str">
        <f aca="false">HYPERLINK("https://lindat.mff.cuni.cz/services/teitok/pdtc10/index.php?action=vallex&amp;frame=v-w8355hsa_1097", "vyslechnout (v-w8355hsa_1097)")</f>
        <v>vyslechnout (v-w8355hsa_1097)</v>
      </c>
    </row>
    <row r="59420" customFormat="false" ht="12.8" hidden="false" customHeight="false" outlineLevel="0" collapsed="false">
      <c r="B59420" s="0" t="s">
        <v>1</v>
      </c>
    </row>
    <row r="59421" customFormat="false" ht="12.8" hidden="false" customHeight="false" outlineLevel="0" collapsed="false">
      <c r="B59421" s="0" t="s">
        <v>8</v>
      </c>
    </row>
    <row r="59423" customFormat="false" ht="12.8" hidden="false" customHeight="false" outlineLevel="0" collapsed="false">
      <c r="A59423" s="0" t="s">
        <v>20081</v>
      </c>
      <c r="B59423" s="0" t="str">
        <f aca="false">HYPERLINK("https://lindat.mff.cuni.cz/services/teitok/pdtc10/index.php?action=vallex&amp;frame=v-w8356f1", "vyslechnout si (v-w8356f1)")</f>
        <v>vyslechnout si (v-w8356f1)</v>
      </c>
      <c r="E59423" s="0" t="str">
        <f aca="false">HYPERLINK("https://lindat.mff.cuni.cz/services/SynSemClass40/SynSemClass40.html?veclass=vec00445#vec00445-ces-cm00006", "vec00445")</f>
        <v>vec00445</v>
      </c>
      <c r="F59423" s="0" t="s">
        <v>7752</v>
      </c>
    </row>
    <row r="59424" customFormat="false" ht="12.8" hidden="false" customHeight="false" outlineLevel="0" collapsed="false">
      <c r="B59424" s="0" t="s">
        <v>1</v>
      </c>
      <c r="C59424" s="0" t="s">
        <v>333</v>
      </c>
      <c r="E59424" s="0" t="s">
        <v>637</v>
      </c>
      <c r="F59424" s="0" t="s">
        <v>7753</v>
      </c>
    </row>
    <row r="59425" customFormat="false" ht="12.8" hidden="false" customHeight="false" outlineLevel="0" collapsed="false">
      <c r="B59425" s="0" t="s">
        <v>1838</v>
      </c>
      <c r="C59425" s="0" t="s">
        <v>6424</v>
      </c>
      <c r="E59425" s="0" t="s">
        <v>180</v>
      </c>
      <c r="F59425" s="0" t="s">
        <v>7755</v>
      </c>
    </row>
    <row r="59427" customFormat="false" ht="12.8" hidden="false" customHeight="false" outlineLevel="0" collapsed="false">
      <c r="A59427" s="0" t="s">
        <v>20082</v>
      </c>
      <c r="B59427" s="0" t="str">
        <f aca="false">HYPERLINK("https://lindat.mff.cuni.cz/services/teitok/pdtc10/index.php?action=vallex&amp;frame=v-w8353f1", "vysledovat (v-w8353f1)")</f>
        <v>vysledovat (v-w8353f1)</v>
      </c>
    </row>
    <row r="59428" customFormat="false" ht="12.8" hidden="false" customHeight="false" outlineLevel="0" collapsed="false">
      <c r="B59428" s="0" t="s">
        <v>1</v>
      </c>
    </row>
    <row r="59429" customFormat="false" ht="12.8" hidden="false" customHeight="false" outlineLevel="0" collapsed="false">
      <c r="B59429" s="0" t="s">
        <v>8</v>
      </c>
    </row>
    <row r="59431" customFormat="false" ht="12.8" hidden="false" customHeight="false" outlineLevel="0" collapsed="false">
      <c r="A59431" s="0" t="s">
        <v>20083</v>
      </c>
      <c r="B59431" s="0" t="str">
        <f aca="false">HYPERLINK("https://lindat.mff.cuni.cz/services/teitok/pdtc10/index.php?action=vallex&amp;frame=v-whsa_884hsa_885", "vysloužit (v-whsa_884hsa_885)")</f>
        <v>vysloužit (v-whsa_884hsa_885)</v>
      </c>
    </row>
    <row r="59432" customFormat="false" ht="12.8" hidden="false" customHeight="false" outlineLevel="0" collapsed="false">
      <c r="B59432" s="0" t="s">
        <v>1</v>
      </c>
    </row>
    <row r="59433" customFormat="false" ht="12.8" hidden="false" customHeight="false" outlineLevel="0" collapsed="false">
      <c r="B59433" s="0" t="s">
        <v>8</v>
      </c>
    </row>
    <row r="59434" customFormat="false" ht="12.8" hidden="false" customHeight="false" outlineLevel="0" collapsed="false">
      <c r="B59434" s="0" t="s">
        <v>52</v>
      </c>
    </row>
    <row r="59436" customFormat="false" ht="12.8" hidden="false" customHeight="false" outlineLevel="0" collapsed="false">
      <c r="A59436" s="0" t="s">
        <v>20084</v>
      </c>
      <c r="B59436" s="0" t="str">
        <f aca="false">HYPERLINK("https://lindat.mff.cuni.cz/services/teitok/pdtc10/index.php?action=vallex&amp;frame=v-w8357f1", "vysloužit si (v-w8357f1)")</f>
        <v>vysloužit si (v-w8357f1)</v>
      </c>
    </row>
    <row r="59437" customFormat="false" ht="12.8" hidden="false" customHeight="false" outlineLevel="0" collapsed="false">
      <c r="B59437" s="0" t="s">
        <v>1</v>
      </c>
    </row>
    <row r="59438" customFormat="false" ht="12.8" hidden="false" customHeight="false" outlineLevel="0" collapsed="false">
      <c r="B59438" s="0" t="s">
        <v>2811</v>
      </c>
    </row>
    <row r="59439" customFormat="false" ht="12.8" hidden="false" customHeight="false" outlineLevel="0" collapsed="false">
      <c r="B59439" s="0" t="s">
        <v>602</v>
      </c>
    </row>
    <row r="59441" customFormat="false" ht="12.8" hidden="false" customHeight="false" outlineLevel="0" collapsed="false">
      <c r="A59441" s="0" t="s">
        <v>20085</v>
      </c>
      <c r="B59441" s="0" t="str">
        <f aca="false">HYPERLINK("https://lindat.mff.cuni.cz/services/teitok/pdtc10/index.php?action=vallex&amp;frame=v-w8359f5_ZU", "vyslovit (v-w8359f5_ZU)")</f>
        <v>vyslovit (v-w8359f5_ZU)</v>
      </c>
    </row>
    <row r="59442" customFormat="false" ht="12.8" hidden="false" customHeight="false" outlineLevel="0" collapsed="false">
      <c r="B59442" s="0" t="s">
        <v>1</v>
      </c>
    </row>
    <row r="59443" customFormat="false" ht="12.8" hidden="false" customHeight="false" outlineLevel="0" collapsed="false">
      <c r="B59443" s="0" t="s">
        <v>8</v>
      </c>
    </row>
    <row r="59444" customFormat="false" ht="12.8" hidden="false" customHeight="false" outlineLevel="0" collapsed="false">
      <c r="B59444" s="0" t="s">
        <v>52</v>
      </c>
    </row>
    <row r="59446" customFormat="false" ht="12.8" hidden="false" customHeight="false" outlineLevel="0" collapsed="false">
      <c r="A59446" s="0" t="s">
        <v>20086</v>
      </c>
      <c r="B59446" s="0" t="str">
        <f aca="false">HYPERLINK("https://lindat.mff.cuni.cz/services/teitok/pdtc10/index.php?action=vallex&amp;frame=v-w8359f2", "vyslovit (v-w8359f2)")</f>
        <v>vyslovit (v-w8359f2)</v>
      </c>
      <c r="E59446" s="0" t="str">
        <f aca="false">HYPERLINK("https://lindat.mff.cuni.cz/services/SynSemClass40/SynSemClass40.html?veclass=vec01528#vec01528-ces-cm00035", "vec01528")</f>
        <v>vec01528</v>
      </c>
      <c r="F59446" s="0" t="s">
        <v>20087</v>
      </c>
    </row>
    <row r="59447" customFormat="false" ht="12.8" hidden="false" customHeight="false" outlineLevel="0" collapsed="false">
      <c r="B59447" s="0" t="s">
        <v>1</v>
      </c>
      <c r="E59447" s="0" t="s">
        <v>147</v>
      </c>
      <c r="F59447" s="0" t="s">
        <v>5874</v>
      </c>
    </row>
    <row r="59448" customFormat="false" ht="12.8" hidden="false" customHeight="false" outlineLevel="0" collapsed="false">
      <c r="B59448" s="0" t="s">
        <v>500</v>
      </c>
      <c r="E59448" s="0" t="s">
        <v>180</v>
      </c>
      <c r="F59448" s="0" t="s">
        <v>20088</v>
      </c>
    </row>
    <row r="59450" customFormat="false" ht="12.8" hidden="false" customHeight="false" outlineLevel="0" collapsed="false">
      <c r="A59450" s="0" t="s">
        <v>20089</v>
      </c>
      <c r="B59450" s="0" t="str">
        <f aca="false">HYPERLINK("https://lindat.mff.cuni.cz/services/teitok/pdtc10/index.php?action=vallex&amp;frame=v-w8359f3", "vyslovit (v-w8359f3)")</f>
        <v>vyslovit (v-w8359f3)</v>
      </c>
    </row>
    <row r="59451" customFormat="false" ht="12.8" hidden="false" customHeight="false" outlineLevel="0" collapsed="false">
      <c r="B59451" s="0" t="s">
        <v>1</v>
      </c>
    </row>
    <row r="59452" customFormat="false" ht="12.8" hidden="false" customHeight="false" outlineLevel="0" collapsed="false">
      <c r="B59452" s="0" t="s">
        <v>20090</v>
      </c>
    </row>
    <row r="59453" customFormat="false" ht="12.8" hidden="false" customHeight="false" outlineLevel="0" collapsed="false">
      <c r="B59453" s="0" t="s">
        <v>52</v>
      </c>
    </row>
    <row r="59455" customFormat="false" ht="12.8" hidden="false" customHeight="false" outlineLevel="0" collapsed="false">
      <c r="A59455" s="0" t="s">
        <v>20091</v>
      </c>
      <c r="B59455" s="0" t="str">
        <f aca="false">HYPERLINK("https://lindat.mff.cuni.cz/services/teitok/pdtc10/index.php?action=vallex&amp;frame=v-w8359f4_ZU", "vyslovit (v-w8359f4_ZU)")</f>
        <v>vyslovit (v-w8359f4_ZU)</v>
      </c>
      <c r="E59455" s="0" t="str">
        <f aca="false">HYPERLINK("https://lindat.mff.cuni.cz/services/SynSemClass40/SynSemClass40.html?veclass=vec00032#vec00032-ces-cm00193", "vec00032")</f>
        <v>vec00032</v>
      </c>
      <c r="F59455" s="0" t="s">
        <v>911</v>
      </c>
      <c r="H59455" s="0" t="str">
        <f aca="false">HYPERLINK("https://lindat.mff.cuni.cz/services/SynSemClass40/SynSemClass40.html?veclass=vec00069#vec00069-ces-cm00202", "vec00069")</f>
        <v>vec00069</v>
      </c>
      <c r="I59455" s="0" t="s">
        <v>4300</v>
      </c>
      <c r="K59455" s="0" t="str">
        <f aca="false">HYPERLINK("https://lindat.mff.cuni.cz/services/SynSemClass40/SynSemClass40.html?veclass=vec01333#vec01333-ces-cm00011", "vec01333")</f>
        <v>vec01333</v>
      </c>
      <c r="L59455" s="0" t="s">
        <v>4133</v>
      </c>
    </row>
    <row r="59456" customFormat="false" ht="12.8" hidden="false" customHeight="false" outlineLevel="0" collapsed="false">
      <c r="B59456" s="0" t="s">
        <v>1</v>
      </c>
      <c r="C59456" s="0" t="s">
        <v>20092</v>
      </c>
      <c r="E59456" s="0" t="s">
        <v>914</v>
      </c>
      <c r="F59456" s="0" t="s">
        <v>915</v>
      </c>
      <c r="H59456" s="0" t="s">
        <v>3021</v>
      </c>
      <c r="I59456" s="0" t="s">
        <v>4302</v>
      </c>
      <c r="K59456" s="0" t="s">
        <v>621</v>
      </c>
      <c r="L59456" s="0" t="s">
        <v>4135</v>
      </c>
    </row>
    <row r="59457" customFormat="false" ht="12.8" hidden="false" customHeight="false" outlineLevel="0" collapsed="false">
      <c r="B59457" s="0" t="s">
        <v>20093</v>
      </c>
      <c r="C59457" s="0" t="s">
        <v>20094</v>
      </c>
      <c r="E59457" s="0" t="s">
        <v>20095</v>
      </c>
      <c r="F59457" s="0" t="s">
        <v>20096</v>
      </c>
      <c r="K59457" s="0" t="s">
        <v>20097</v>
      </c>
      <c r="L59457" s="0" t="s">
        <v>20098</v>
      </c>
    </row>
    <row r="59459" customFormat="false" ht="12.8" hidden="false" customHeight="false" outlineLevel="0" collapsed="false">
      <c r="A59459" s="0" t="s">
        <v>20091</v>
      </c>
      <c r="B59459" s="0" t="str">
        <f aca="false">HYPERLINK("https://lindat.mff.cuni.cz/services/teitok/pdtc10/index.php?action=vallex&amp;frame=v-w8359f1", "vyslovit (v-w8359f1) - substituted with v-w8359f4_ZU")</f>
        <v>vyslovit (v-w8359f1) - substituted with v-w8359f4_ZU</v>
      </c>
    </row>
    <row r="59460" customFormat="false" ht="12.8" hidden="false" customHeight="false" outlineLevel="0" collapsed="false">
      <c r="B59460" s="0" t="s">
        <v>1</v>
      </c>
    </row>
    <row r="59461" customFormat="false" ht="12.8" hidden="false" customHeight="false" outlineLevel="0" collapsed="false">
      <c r="B59461" s="0" t="s">
        <v>20093</v>
      </c>
    </row>
    <row r="59463" customFormat="false" ht="12.8" hidden="false" customHeight="false" outlineLevel="0" collapsed="false">
      <c r="A59463" s="0" t="s">
        <v>20099</v>
      </c>
      <c r="B59463" s="0" t="str">
        <f aca="false">HYPERLINK("https://lindat.mff.cuni.cz/services/teitok/pdtc10/index.php?action=vallex&amp;frame=v-w8360f2", "vyslovit se (v-w8360f2)")</f>
        <v>vyslovit se (v-w8360f2)</v>
      </c>
      <c r="E59463" s="0" t="str">
        <f aca="false">HYPERLINK("https://lindat.mff.cuni.cz/services/SynSemClass40/SynSemClass40.html?veclass=vec00161#vec00161-ces-cm00152", "vec00161")</f>
        <v>vec00161</v>
      </c>
      <c r="F59463" s="0" t="s">
        <v>5448</v>
      </c>
    </row>
    <row r="59464" customFormat="false" ht="12.8" hidden="false" customHeight="false" outlineLevel="0" collapsed="false">
      <c r="B59464" s="0" t="s">
        <v>1</v>
      </c>
      <c r="C59464" s="0" t="s">
        <v>5449</v>
      </c>
      <c r="E59464" s="0" t="s">
        <v>63</v>
      </c>
      <c r="F59464" s="0" t="s">
        <v>5450</v>
      </c>
    </row>
    <row r="59465" customFormat="false" ht="12.8" hidden="false" customHeight="false" outlineLevel="0" collapsed="false">
      <c r="B59465" s="0" t="s">
        <v>20100</v>
      </c>
      <c r="C59465" s="0" t="s">
        <v>5452</v>
      </c>
      <c r="E59465" s="0" t="s">
        <v>209</v>
      </c>
      <c r="F59465" s="0" t="s">
        <v>5453</v>
      </c>
    </row>
    <row r="59467" customFormat="false" ht="12.8" hidden="false" customHeight="false" outlineLevel="0" collapsed="false">
      <c r="A59467" s="0" t="s">
        <v>20101</v>
      </c>
      <c r="B59467" s="0" t="str">
        <f aca="false">HYPERLINK("https://lindat.mff.cuni.cz/services/teitok/pdtc10/index.php?action=vallex&amp;frame=v-w8360f1", "vyslovit se (v-w8360f1)")</f>
        <v>vyslovit se (v-w8360f1)</v>
      </c>
      <c r="E59467" s="0" t="str">
        <f aca="false">HYPERLINK("https://lindat.mff.cuni.cz/services/SynSemClass40/SynSemClass40.html?veclass=vec00161#vec00161-ces-cm00125", "vec00161")</f>
        <v>vec00161</v>
      </c>
      <c r="F59467" s="0" t="s">
        <v>5448</v>
      </c>
    </row>
    <row r="59468" customFormat="false" ht="12.8" hidden="false" customHeight="false" outlineLevel="0" collapsed="false">
      <c r="B59468" s="0" t="s">
        <v>1</v>
      </c>
      <c r="C59468" s="0" t="s">
        <v>5449</v>
      </c>
      <c r="E59468" s="0" t="s">
        <v>63</v>
      </c>
      <c r="F59468" s="0" t="s">
        <v>5450</v>
      </c>
    </row>
    <row r="59469" customFormat="false" ht="12.8" hidden="false" customHeight="false" outlineLevel="0" collapsed="false">
      <c r="B59469" s="0" t="s">
        <v>20102</v>
      </c>
      <c r="C59469" s="0" t="s">
        <v>5452</v>
      </c>
      <c r="E59469" s="0" t="s">
        <v>209</v>
      </c>
      <c r="F59469" s="0" t="s">
        <v>5453</v>
      </c>
    </row>
    <row r="59471" customFormat="false" ht="12.8" hidden="false" customHeight="false" outlineLevel="0" collapsed="false">
      <c r="A59471" s="0" t="s">
        <v>20103</v>
      </c>
      <c r="B59471" s="0" t="str">
        <f aca="false">HYPERLINK("https://lindat.mff.cuni.cz/services/teitok/pdtc10/index.php?action=vallex&amp;frame=v-w8362f2", "vyslovovat (v-w8362f2)")</f>
        <v>vyslovovat (v-w8362f2)</v>
      </c>
      <c r="E59471" s="0" t="str">
        <f aca="false">HYPERLINK("https://lindat.mff.cuni.cz/services/SynSemClass40/SynSemClass40.html?veclass=vec01528#vec01528-ces-cm00041", "vec01528")</f>
        <v>vec01528</v>
      </c>
      <c r="F59471" s="0" t="s">
        <v>20087</v>
      </c>
    </row>
    <row r="59472" customFormat="false" ht="12.8" hidden="false" customHeight="false" outlineLevel="0" collapsed="false">
      <c r="B59472" s="0" t="s">
        <v>1</v>
      </c>
      <c r="E59472" s="0" t="s">
        <v>147</v>
      </c>
      <c r="F59472" s="0" t="s">
        <v>5874</v>
      </c>
    </row>
    <row r="59473" customFormat="false" ht="12.8" hidden="false" customHeight="false" outlineLevel="0" collapsed="false">
      <c r="B59473" s="0" t="s">
        <v>500</v>
      </c>
      <c r="E59473" s="0" t="s">
        <v>180</v>
      </c>
      <c r="F59473" s="0" t="s">
        <v>20088</v>
      </c>
    </row>
    <row r="59475" customFormat="false" ht="12.8" hidden="false" customHeight="false" outlineLevel="0" collapsed="false">
      <c r="A59475" s="0" t="s">
        <v>20104</v>
      </c>
      <c r="B59475" s="0" t="str">
        <f aca="false">HYPERLINK("https://lindat.mff.cuni.cz/services/teitok/pdtc10/index.php?action=vallex&amp;frame=v-w8362f3", "vyslovovat (v-w8362f3)")</f>
        <v>vyslovovat (v-w8362f3)</v>
      </c>
    </row>
    <row r="59476" customFormat="false" ht="12.8" hidden="false" customHeight="false" outlineLevel="0" collapsed="false">
      <c r="B59476" s="0" t="s">
        <v>1</v>
      </c>
    </row>
    <row r="59477" customFormat="false" ht="12.8" hidden="false" customHeight="false" outlineLevel="0" collapsed="false">
      <c r="B59477" s="0" t="s">
        <v>20090</v>
      </c>
    </row>
    <row r="59478" customFormat="false" ht="12.8" hidden="false" customHeight="false" outlineLevel="0" collapsed="false">
      <c r="B59478" s="0" t="s">
        <v>52</v>
      </c>
    </row>
    <row r="59480" customFormat="false" ht="12.8" hidden="false" customHeight="false" outlineLevel="0" collapsed="false">
      <c r="A59480" s="0" t="s">
        <v>20105</v>
      </c>
      <c r="B59480" s="0" t="str">
        <f aca="false">HYPERLINK("https://lindat.mff.cuni.cz/services/teitok/pdtc10/index.php?action=vallex&amp;frame=v-w8362f4_ZU", "vyslovovat (v-w8362f4_ZU)")</f>
        <v>vyslovovat (v-w8362f4_ZU)</v>
      </c>
      <c r="E59480" s="0" t="str">
        <f aca="false">HYPERLINK("https://lindat.mff.cuni.cz/services/SynSemClass40/SynSemClass40.html?veclass=vec00069#vec00069-ces-cm00265", "vec00069")</f>
        <v>vec00069</v>
      </c>
      <c r="F59480" s="0" t="s">
        <v>4300</v>
      </c>
    </row>
    <row r="59481" customFormat="false" ht="12.8" hidden="false" customHeight="false" outlineLevel="0" collapsed="false">
      <c r="B59481" s="0" t="s">
        <v>1</v>
      </c>
      <c r="C59481" s="0" t="s">
        <v>7530</v>
      </c>
      <c r="E59481" s="0" t="s">
        <v>3021</v>
      </c>
      <c r="F59481" s="0" t="s">
        <v>4302</v>
      </c>
    </row>
    <row r="59482" customFormat="false" ht="12.8" hidden="false" customHeight="false" outlineLevel="0" collapsed="false">
      <c r="B59482" s="0" t="s">
        <v>20106</v>
      </c>
    </row>
    <row r="59484" customFormat="false" ht="12.8" hidden="false" customHeight="false" outlineLevel="0" collapsed="false">
      <c r="A59484" s="0" t="s">
        <v>20105</v>
      </c>
      <c r="B59484" s="0" t="str">
        <f aca="false">HYPERLINK("https://lindat.mff.cuni.cz/services/teitok/pdtc10/index.php?action=vallex&amp;frame=v-w8362f1", "vyslovovat (v-w8362f1) - substituted with v-w8362f4_ZU")</f>
        <v>vyslovovat (v-w8362f1) - substituted with v-w8362f4_ZU</v>
      </c>
    </row>
    <row r="59485" customFormat="false" ht="12.8" hidden="false" customHeight="false" outlineLevel="0" collapsed="false">
      <c r="B59485" s="0" t="s">
        <v>1</v>
      </c>
    </row>
    <row r="59486" customFormat="false" ht="12.8" hidden="false" customHeight="false" outlineLevel="0" collapsed="false">
      <c r="B59486" s="0" t="s">
        <v>20106</v>
      </c>
    </row>
    <row r="59488" customFormat="false" ht="12.8" hidden="false" customHeight="false" outlineLevel="0" collapsed="false">
      <c r="A59488" s="0" t="s">
        <v>20107</v>
      </c>
      <c r="B59488" s="0" t="str">
        <f aca="false">HYPERLINK("https://lindat.mff.cuni.cz/services/teitok/pdtc10/index.php?action=vallex&amp;frame=v-w8363f1", "vyslovovat se (v-w8363f1)")</f>
        <v>vyslovovat se (v-w8363f1)</v>
      </c>
      <c r="E59488" s="0" t="str">
        <f aca="false">HYPERLINK("https://lindat.mff.cuni.cz/services/SynSemClass40/SynSemClass40.html?veclass=vec00161#vec00161-ces-cm00153", "vec00161")</f>
        <v>vec00161</v>
      </c>
      <c r="F59488" s="0" t="s">
        <v>5448</v>
      </c>
    </row>
    <row r="59489" customFormat="false" ht="12.8" hidden="false" customHeight="false" outlineLevel="0" collapsed="false">
      <c r="B59489" s="0" t="s">
        <v>1</v>
      </c>
      <c r="C59489" s="0" t="s">
        <v>5449</v>
      </c>
      <c r="E59489" s="0" t="s">
        <v>63</v>
      </c>
      <c r="F59489" s="0" t="s">
        <v>5450</v>
      </c>
    </row>
    <row r="59490" customFormat="false" ht="12.8" hidden="false" customHeight="false" outlineLevel="0" collapsed="false">
      <c r="B59490" s="0" t="s">
        <v>20100</v>
      </c>
      <c r="C59490" s="0" t="s">
        <v>5452</v>
      </c>
      <c r="E59490" s="0" t="s">
        <v>209</v>
      </c>
      <c r="F59490" s="0" t="s">
        <v>5453</v>
      </c>
    </row>
    <row r="59492" customFormat="false" ht="12.8" hidden="false" customHeight="false" outlineLevel="0" collapsed="false">
      <c r="A59492" s="0" t="s">
        <v>20108</v>
      </c>
      <c r="B59492" s="0" t="str">
        <f aca="false">HYPERLINK("https://lindat.mff.cuni.cz/services/teitok/pdtc10/index.php?action=vallex&amp;frame=v-w8363f2", "vyslovovat se (v-w8363f2)")</f>
        <v>vyslovovat se (v-w8363f2)</v>
      </c>
      <c r="E59492" s="0" t="str">
        <f aca="false">HYPERLINK("https://lindat.mff.cuni.cz/services/SynSemClass40/SynSemClass40.html?veclass=vec00161#vec00161-ces-cm00154", "vec00161")</f>
        <v>vec00161</v>
      </c>
      <c r="F59492" s="0" t="s">
        <v>5448</v>
      </c>
    </row>
    <row r="59493" customFormat="false" ht="12.8" hidden="false" customHeight="false" outlineLevel="0" collapsed="false">
      <c r="B59493" s="0" t="s">
        <v>1</v>
      </c>
      <c r="C59493" s="0" t="s">
        <v>5449</v>
      </c>
      <c r="E59493" s="0" t="s">
        <v>63</v>
      </c>
      <c r="F59493" s="0" t="s">
        <v>5450</v>
      </c>
    </row>
    <row r="59494" customFormat="false" ht="12.8" hidden="false" customHeight="false" outlineLevel="0" collapsed="false">
      <c r="B59494" s="0" t="s">
        <v>20109</v>
      </c>
      <c r="C59494" s="0" t="s">
        <v>5452</v>
      </c>
      <c r="E59494" s="0" t="s">
        <v>209</v>
      </c>
      <c r="F59494" s="0" t="s">
        <v>5453</v>
      </c>
    </row>
    <row r="59496" customFormat="false" ht="12.8" hidden="false" customHeight="false" outlineLevel="0" collapsed="false">
      <c r="A59496" s="0" t="s">
        <v>20110</v>
      </c>
      <c r="B59496" s="0" t="str">
        <f aca="false">HYPERLINK("https://lindat.mff.cuni.cz/services/teitok/pdtc10/index.php?action=vallex&amp;frame=v-w8367f1", "vyslyšet (v-w8367f1)")</f>
        <v>vyslyšet (v-w8367f1)</v>
      </c>
      <c r="E59496" s="0" t="str">
        <f aca="false">HYPERLINK("https://lindat.mff.cuni.cz/services/SynSemClass40/SynSemClass40.html?veclass=vec00540#vec00540-ces-cm00067", "vec00540")</f>
        <v>vec00540</v>
      </c>
      <c r="F59496" s="0" t="s">
        <v>7492</v>
      </c>
    </row>
    <row r="59497" customFormat="false" ht="12.8" hidden="false" customHeight="false" outlineLevel="0" collapsed="false">
      <c r="B59497" s="0" t="s">
        <v>1</v>
      </c>
      <c r="C59497" s="0" t="s">
        <v>7493</v>
      </c>
      <c r="E59497" s="0" t="s">
        <v>11</v>
      </c>
      <c r="F59497" s="0" t="s">
        <v>7494</v>
      </c>
    </row>
    <row r="59498" customFormat="false" ht="12.8" hidden="false" customHeight="false" outlineLevel="0" collapsed="false">
      <c r="B59498" s="0" t="s">
        <v>8</v>
      </c>
      <c r="C59498" s="0" t="s">
        <v>7495</v>
      </c>
      <c r="E59498" s="0" t="s">
        <v>7496</v>
      </c>
      <c r="F59498" s="0" t="s">
        <v>7497</v>
      </c>
    </row>
    <row r="59500" customFormat="false" ht="12.8" hidden="false" customHeight="false" outlineLevel="0" collapsed="false">
      <c r="A59500" s="0" t="s">
        <v>20111</v>
      </c>
      <c r="B59500" s="0" t="str">
        <f aca="false">HYPERLINK("https://lindat.mff.cuni.cz/services/teitok/pdtc10/index.php?action=vallex&amp;frame=v-w8365f1", "vyslýchat (v-w8365f1)")</f>
        <v>vyslýchat (v-w8365f1)</v>
      </c>
      <c r="E59500" s="0" t="str">
        <f aca="false">HYPERLINK("https://lindat.mff.cuni.cz/services/SynSemClass40/SynSemClass40.html?veclass=vec00384#vec00384-ces-cm00013", "vec00384")</f>
        <v>vec00384</v>
      </c>
      <c r="F59500" s="0" t="s">
        <v>2985</v>
      </c>
    </row>
    <row r="59501" customFormat="false" ht="12.8" hidden="false" customHeight="false" outlineLevel="0" collapsed="false">
      <c r="B59501" s="0" t="s">
        <v>1</v>
      </c>
      <c r="C59501" s="0" t="s">
        <v>2986</v>
      </c>
      <c r="E59501" s="0" t="s">
        <v>147</v>
      </c>
      <c r="F59501" s="0" t="s">
        <v>2987</v>
      </c>
    </row>
    <row r="59502" customFormat="false" ht="12.8" hidden="false" customHeight="false" outlineLevel="0" collapsed="false">
      <c r="B59502" s="0" t="s">
        <v>8</v>
      </c>
      <c r="C59502" s="0" t="s">
        <v>20112</v>
      </c>
      <c r="E59502" s="0" t="s">
        <v>150</v>
      </c>
      <c r="F59502" s="0" t="s">
        <v>20113</v>
      </c>
    </row>
    <row r="59504" customFormat="false" ht="12.8" hidden="false" customHeight="false" outlineLevel="0" collapsed="false">
      <c r="A59504" s="0" t="s">
        <v>20114</v>
      </c>
      <c r="B59504" s="0" t="str">
        <f aca="false">HYPERLINK("https://lindat.mff.cuni.cz/services/teitok/pdtc10/index.php?action=vallex&amp;frame=v-w8368f1", "vysmát se (v-w8368f1)")</f>
        <v>vysmát se (v-w8368f1)</v>
      </c>
      <c r="E59504" s="0" t="str">
        <f aca="false">HYPERLINK("https://lindat.mff.cuni.cz/services/SynSemClass40/SynSemClass40.html?veclass=vec00760#vec00760-ces-cm00003", "vec00760")</f>
        <v>vec00760</v>
      </c>
      <c r="F59504" s="0" t="s">
        <v>11538</v>
      </c>
    </row>
    <row r="59505" customFormat="false" ht="12.8" hidden="false" customHeight="false" outlineLevel="0" collapsed="false">
      <c r="B59505" s="0" t="s">
        <v>1</v>
      </c>
      <c r="C59505" s="0" t="s">
        <v>4114</v>
      </c>
      <c r="E59505" s="0" t="s">
        <v>155</v>
      </c>
      <c r="F59505" s="0" t="s">
        <v>11539</v>
      </c>
    </row>
    <row r="59506" customFormat="false" ht="12.8" hidden="false" customHeight="false" outlineLevel="0" collapsed="false">
      <c r="B59506" s="0" t="s">
        <v>186</v>
      </c>
      <c r="C59506" s="0" t="s">
        <v>449</v>
      </c>
      <c r="E59506" s="0" t="s">
        <v>159</v>
      </c>
      <c r="F59506" s="0" t="s">
        <v>11540</v>
      </c>
    </row>
    <row r="59508" customFormat="false" ht="12.8" hidden="false" customHeight="false" outlineLevel="0" collapsed="false">
      <c r="A59508" s="0" t="s">
        <v>20115</v>
      </c>
      <c r="B59508" s="0" t="str">
        <f aca="false">HYPERLINK("https://lindat.mff.cuni.cz/services/teitok/pdtc10/index.php?action=vallex&amp;frame=v-w8370f1", "vysmívat se (v-w8370f1)")</f>
        <v>vysmívat se (v-w8370f1)</v>
      </c>
      <c r="E59508" s="0" t="str">
        <f aca="false">HYPERLINK("https://lindat.mff.cuni.cz/services/SynSemClass40/SynSemClass40.html?veclass=vec00760#vec00760-ces-cm00001", "vec00760")</f>
        <v>vec00760</v>
      </c>
      <c r="F59508" s="0" t="s">
        <v>11538</v>
      </c>
    </row>
    <row r="59509" customFormat="false" ht="12.8" hidden="false" customHeight="false" outlineLevel="0" collapsed="false">
      <c r="B59509" s="0" t="s">
        <v>1</v>
      </c>
      <c r="C59509" s="0" t="s">
        <v>4114</v>
      </c>
      <c r="E59509" s="0" t="s">
        <v>155</v>
      </c>
      <c r="F59509" s="0" t="s">
        <v>11539</v>
      </c>
    </row>
    <row r="59510" customFormat="false" ht="12.8" hidden="false" customHeight="false" outlineLevel="0" collapsed="false">
      <c r="B59510" s="0" t="s">
        <v>186</v>
      </c>
      <c r="C59510" s="0" t="s">
        <v>449</v>
      </c>
      <c r="E59510" s="0" t="s">
        <v>159</v>
      </c>
      <c r="F59510" s="0" t="s">
        <v>11540</v>
      </c>
    </row>
    <row r="59512" customFormat="false" ht="12.8" hidden="false" customHeight="false" outlineLevel="0" collapsed="false">
      <c r="A59512" s="0" t="s">
        <v>20116</v>
      </c>
      <c r="B59512" s="0" t="str">
        <f aca="false">HYPERLINK("https://lindat.mff.cuni.cz/services/teitok/pdtc10/index.php?action=vallex&amp;frame=v-w10920f2", "vysnít (v-w10920f2)")</f>
        <v>vysnít (v-w10920f2)</v>
      </c>
    </row>
    <row r="59513" customFormat="false" ht="12.8" hidden="false" customHeight="false" outlineLevel="0" collapsed="false">
      <c r="B59513" s="0" t="s">
        <v>1</v>
      </c>
    </row>
    <row r="59514" customFormat="false" ht="12.8" hidden="false" customHeight="false" outlineLevel="0" collapsed="false">
      <c r="B59514" s="0" t="s">
        <v>228</v>
      </c>
    </row>
    <row r="59516" customFormat="false" ht="12.8" hidden="false" customHeight="false" outlineLevel="0" collapsed="false">
      <c r="A59516" s="0" t="s">
        <v>20117</v>
      </c>
      <c r="B59516" s="0" t="str">
        <f aca="false">HYPERLINK("https://lindat.mff.cuni.cz/services/teitok/pdtc10/index.php?action=vallex&amp;frame=v-w8371f1", "vysnívat si (v-w8371f1)")</f>
        <v>vysnívat si (v-w8371f1)</v>
      </c>
    </row>
    <row r="59517" customFormat="false" ht="12.8" hidden="false" customHeight="false" outlineLevel="0" collapsed="false">
      <c r="B59517" s="0" t="s">
        <v>1</v>
      </c>
    </row>
    <row r="59518" customFormat="false" ht="12.8" hidden="false" customHeight="false" outlineLevel="0" collapsed="false">
      <c r="B59518" s="0" t="s">
        <v>228</v>
      </c>
    </row>
    <row r="59520" customFormat="false" ht="12.8" hidden="false" customHeight="false" outlineLevel="0" collapsed="false">
      <c r="A59520" s="0" t="s">
        <v>20118</v>
      </c>
      <c r="B59520" s="0" t="str">
        <f aca="false">HYPERLINK("https://lindat.mff.cuni.cz/services/teitok/pdtc10/index.php?action=vallex&amp;frame=v-w8371f2", "vysnívat si (v-w8371f2)")</f>
        <v>vysnívat si (v-w8371f2)</v>
      </c>
    </row>
    <row r="59521" customFormat="false" ht="12.8" hidden="false" customHeight="false" outlineLevel="0" collapsed="false">
      <c r="B59521" s="0" t="s">
        <v>1</v>
      </c>
    </row>
    <row r="59522" customFormat="false" ht="12.8" hidden="false" customHeight="false" outlineLevel="0" collapsed="false">
      <c r="B59522" s="0" t="s">
        <v>19660</v>
      </c>
    </row>
    <row r="59523" customFormat="false" ht="12.8" hidden="false" customHeight="false" outlineLevel="0" collapsed="false">
      <c r="B59523" s="0" t="s">
        <v>496</v>
      </c>
    </row>
    <row r="59525" customFormat="false" ht="12.8" hidden="false" customHeight="false" outlineLevel="0" collapsed="false">
      <c r="A59525" s="0" t="s">
        <v>20119</v>
      </c>
      <c r="B59525" s="0" t="str">
        <f aca="false">HYPERLINK("https://lindat.mff.cuni.cz/services/teitok/pdtc10/index.php?action=vallex&amp;frame=v-whsa_1449hsa_1450", "vysochat (v-whsa_1449hsa_1450)")</f>
        <v>vysochat (v-whsa_1449hsa_1450)</v>
      </c>
    </row>
    <row r="59526" customFormat="false" ht="12.8" hidden="false" customHeight="false" outlineLevel="0" collapsed="false">
      <c r="B59526" s="0" t="s">
        <v>1</v>
      </c>
    </row>
    <row r="59527" customFormat="false" ht="12.8" hidden="false" customHeight="false" outlineLevel="0" collapsed="false">
      <c r="B59527" s="0" t="s">
        <v>8</v>
      </c>
    </row>
    <row r="59529" customFormat="false" ht="12.8" hidden="false" customHeight="false" outlineLevel="0" collapsed="false">
      <c r="A59529" s="0" t="s">
        <v>20120</v>
      </c>
      <c r="B59529" s="0" t="str">
        <f aca="false">HYPERLINK("https://lindat.mff.cuni.cz/services/teitok/pdtc10/index.php?action=vallex&amp;frame=v-w11038f2", "vysolit (v-w11038f2)")</f>
        <v>vysolit (v-w11038f2)</v>
      </c>
      <c r="E59529" s="0" t="str">
        <f aca="false">HYPERLINK("https://lindat.mff.cuni.cz/services/SynSemClass40/SynSemClass40.html?veclass=vec00147#vec00147-ces-cm00242", "vec00147")</f>
        <v>vec00147</v>
      </c>
      <c r="F59529" s="0" t="s">
        <v>1698</v>
      </c>
    </row>
    <row r="59530" customFormat="false" ht="12.8" hidden="false" customHeight="false" outlineLevel="0" collapsed="false">
      <c r="B59530" s="0" t="s">
        <v>1</v>
      </c>
      <c r="C59530" s="0" t="s">
        <v>1699</v>
      </c>
      <c r="E59530" s="0" t="s">
        <v>11</v>
      </c>
      <c r="F59530" s="0" t="s">
        <v>1700</v>
      </c>
    </row>
    <row r="59531" customFormat="false" ht="12.8" hidden="false" customHeight="false" outlineLevel="0" collapsed="false">
      <c r="B59531" s="0" t="s">
        <v>8</v>
      </c>
      <c r="C59531" s="0" t="s">
        <v>1701</v>
      </c>
      <c r="E59531" s="0" t="s">
        <v>1702</v>
      </c>
      <c r="F59531" s="0" t="s">
        <v>1703</v>
      </c>
    </row>
    <row r="59532" customFormat="false" ht="12.8" hidden="false" customHeight="false" outlineLevel="0" collapsed="false">
      <c r="B59532" s="0" t="s">
        <v>52</v>
      </c>
      <c r="C59532" s="0" t="s">
        <v>20121</v>
      </c>
      <c r="E59532" s="0" t="s">
        <v>20122</v>
      </c>
      <c r="F59532" s="0" t="s">
        <v>20123</v>
      </c>
    </row>
    <row r="59534" customFormat="false" ht="12.8" hidden="false" customHeight="false" outlineLevel="0" collapsed="false">
      <c r="A59534" s="0" t="s">
        <v>20124</v>
      </c>
      <c r="B59534" s="0" t="str">
        <f aca="false">HYPERLINK("https://lindat.mff.cuni.cz/services/teitok/pdtc10/index.php?action=vallex&amp;frame=v-w8372f1", "vysouvat se (v-w8372f1)")</f>
        <v>vysouvat se (v-w8372f1)</v>
      </c>
    </row>
    <row r="59535" customFormat="false" ht="12.8" hidden="false" customHeight="false" outlineLevel="0" collapsed="false">
      <c r="B59535" s="0" t="s">
        <v>1</v>
      </c>
    </row>
    <row r="59536" customFormat="false" ht="12.8" hidden="false" customHeight="false" outlineLevel="0" collapsed="false">
      <c r="B59536" s="0" t="s">
        <v>631</v>
      </c>
    </row>
    <row r="59538" customFormat="false" ht="12.8" hidden="false" customHeight="false" outlineLevel="0" collapsed="false">
      <c r="A59538" s="0" t="s">
        <v>20125</v>
      </c>
      <c r="B59538" s="0" t="str">
        <f aca="false">HYPERLINK("https://lindat.mff.cuni.cz/services/teitok/pdtc10/index.php?action=vallex&amp;frame=v-whsa_492f1_ZU", "vysoušet (v-whsa_492f1_ZU)")</f>
        <v>vysoušet (v-whsa_492f1_ZU)</v>
      </c>
    </row>
    <row r="59539" customFormat="false" ht="12.8" hidden="false" customHeight="false" outlineLevel="0" collapsed="false">
      <c r="B59539" s="0" t="s">
        <v>1</v>
      </c>
    </row>
    <row r="59540" customFormat="false" ht="12.8" hidden="false" customHeight="false" outlineLevel="0" collapsed="false">
      <c r="B59540" s="0" t="s">
        <v>8</v>
      </c>
    </row>
    <row r="59542" customFormat="false" ht="12.8" hidden="false" customHeight="false" outlineLevel="0" collapsed="false">
      <c r="A59542" s="0" t="s">
        <v>20125</v>
      </c>
      <c r="B59542" s="0" t="str">
        <f aca="false">HYPERLINK("https://lindat.mff.cuni.cz/services/teitok/pdtc10/index.php?action=vallex&amp;frame=v-whsa_492hsa_493", "vysoušet (v-whsa_492hsa_493) - substituted with v-whsa_492f1_ZU")</f>
        <v>vysoušet (v-whsa_492hsa_493) - substituted with v-whsa_492f1_ZU</v>
      </c>
    </row>
    <row r="59543" customFormat="false" ht="12.8" hidden="false" customHeight="false" outlineLevel="0" collapsed="false">
      <c r="B59543" s="0" t="s">
        <v>1</v>
      </c>
    </row>
    <row r="59544" customFormat="false" ht="12.8" hidden="false" customHeight="false" outlineLevel="0" collapsed="false">
      <c r="B59544" s="0" t="s">
        <v>8</v>
      </c>
    </row>
    <row r="59546" customFormat="false" ht="12.8" hidden="false" customHeight="false" outlineLevel="0" collapsed="false">
      <c r="A59546" s="0" t="s">
        <v>20126</v>
      </c>
      <c r="B59546" s="0" t="str">
        <f aca="false">HYPERLINK("https://lindat.mff.cuni.cz/services/teitok/pdtc10/index.php?action=vallex&amp;frame=v-w11628_ZUf1_ZU", "vyspat se (v-w11628_ZUf1_ZU)")</f>
        <v>vyspat se (v-w11628_ZUf1_ZU)</v>
      </c>
    </row>
    <row r="59547" customFormat="false" ht="12.8" hidden="false" customHeight="false" outlineLevel="0" collapsed="false">
      <c r="B59547" s="0" t="s">
        <v>1</v>
      </c>
    </row>
    <row r="59549" customFormat="false" ht="12.8" hidden="false" customHeight="false" outlineLevel="0" collapsed="false">
      <c r="A59549" s="0" t="s">
        <v>20127</v>
      </c>
      <c r="B59549" s="0" t="str">
        <f aca="false">HYPERLINK("https://lindat.mff.cuni.cz/services/teitok/pdtc10/index.php?action=vallex&amp;frame=v-w8374f1", "vyspravit (v-w8374f1)")</f>
        <v>vyspravit (v-w8374f1)</v>
      </c>
    </row>
    <row r="59550" customFormat="false" ht="12.8" hidden="false" customHeight="false" outlineLevel="0" collapsed="false">
      <c r="B59550" s="0" t="s">
        <v>1</v>
      </c>
    </row>
    <row r="59551" customFormat="false" ht="12.8" hidden="false" customHeight="false" outlineLevel="0" collapsed="false">
      <c r="B59551" s="0" t="s">
        <v>8</v>
      </c>
    </row>
    <row r="59553" customFormat="false" ht="12.8" hidden="false" customHeight="false" outlineLevel="0" collapsed="false">
      <c r="A59553" s="0" t="s">
        <v>20128</v>
      </c>
      <c r="B59553" s="0" t="str">
        <f aca="false">HYPERLINK("https://lindat.mff.cuni.cz/services/teitok/pdtc10/index.php?action=vallex&amp;frame=v-w8373f3", "vyspět (v-w8373f3)")</f>
        <v>vyspět (v-w8373f3)</v>
      </c>
    </row>
    <row r="59554" customFormat="false" ht="12.8" hidden="false" customHeight="false" outlineLevel="0" collapsed="false">
      <c r="B59554" s="0" t="s">
        <v>1</v>
      </c>
    </row>
    <row r="59555" customFormat="false" ht="12.8" hidden="false" customHeight="false" outlineLevel="0" collapsed="false">
      <c r="B59555" s="0" t="s">
        <v>2769</v>
      </c>
    </row>
    <row r="59556" customFormat="false" ht="12.8" hidden="false" customHeight="false" outlineLevel="0" collapsed="false">
      <c r="B59556" s="0" t="s">
        <v>36</v>
      </c>
    </row>
    <row r="59558" customFormat="false" ht="12.8" hidden="false" customHeight="false" outlineLevel="0" collapsed="false">
      <c r="A59558" s="0" t="s">
        <v>20129</v>
      </c>
      <c r="B59558" s="0" t="str">
        <f aca="false">HYPERLINK("https://lindat.mff.cuni.cz/services/teitok/pdtc10/index.php?action=vallex&amp;frame=v-w8373f1", "vyspět (v-w8373f1)")</f>
        <v>vyspět (v-w8373f1)</v>
      </c>
    </row>
    <row r="59559" customFormat="false" ht="12.8" hidden="false" customHeight="false" outlineLevel="0" collapsed="false">
      <c r="B59559" s="0" t="s">
        <v>1</v>
      </c>
    </row>
    <row r="59560" customFormat="false" ht="12.8" hidden="false" customHeight="false" outlineLevel="0" collapsed="false">
      <c r="B59560" s="0" t="s">
        <v>298</v>
      </c>
    </row>
    <row r="59562" customFormat="false" ht="12.8" hidden="false" customHeight="false" outlineLevel="0" collapsed="false">
      <c r="A59562" s="0" t="s">
        <v>20130</v>
      </c>
      <c r="B59562" s="0" t="str">
        <f aca="false">HYPERLINK("https://lindat.mff.cuni.cz/services/teitok/pdtc10/index.php?action=vallex&amp;frame=v-w8373f2", "vyspět (v-w8373f2)")</f>
        <v>vyspět (v-w8373f2)</v>
      </c>
    </row>
    <row r="59563" customFormat="false" ht="12.8" hidden="false" customHeight="false" outlineLevel="0" collapsed="false">
      <c r="B59563" s="0" t="s">
        <v>1</v>
      </c>
    </row>
    <row r="59565" customFormat="false" ht="12.8" hidden="false" customHeight="false" outlineLevel="0" collapsed="false">
      <c r="A59565" s="0" t="s">
        <v>20131</v>
      </c>
      <c r="B59565" s="0" t="str">
        <f aca="false">HYPERLINK("https://lindat.mff.cuni.cz/services/teitok/pdtc10/index.php?action=vallex&amp;frame=v-whsa_747hsa_748", "vystartovat (v-whsa_747hsa_748)")</f>
        <v>vystartovat (v-whsa_747hsa_748)</v>
      </c>
    </row>
    <row r="59566" customFormat="false" ht="12.8" hidden="false" customHeight="false" outlineLevel="0" collapsed="false">
      <c r="B59566" s="0" t="s">
        <v>1</v>
      </c>
    </row>
    <row r="59567" customFormat="false" ht="12.8" hidden="false" customHeight="false" outlineLevel="0" collapsed="false">
      <c r="B59567" s="0" t="s">
        <v>9931</v>
      </c>
    </row>
    <row r="59569" customFormat="false" ht="12.8" hidden="false" customHeight="false" outlineLevel="0" collapsed="false">
      <c r="A59569" s="0" t="s">
        <v>20132</v>
      </c>
      <c r="B59569" s="0" t="str">
        <f aca="false">HYPERLINK("https://lindat.mff.cuni.cz/services/teitok/pdtc10/index.php?action=vallex&amp;frame=v-whsa_747f1_ZU", "vystartovat (v-whsa_747f1_ZU)")</f>
        <v>vystartovat (v-whsa_747f1_ZU)</v>
      </c>
    </row>
    <row r="59570" customFormat="false" ht="12.8" hidden="false" customHeight="false" outlineLevel="0" collapsed="false">
      <c r="B59570" s="0" t="s">
        <v>1</v>
      </c>
    </row>
    <row r="59571" customFormat="false" ht="12.8" hidden="false" customHeight="false" outlineLevel="0" collapsed="false">
      <c r="B59571" s="0" t="s">
        <v>6273</v>
      </c>
    </row>
    <row r="59573" customFormat="false" ht="12.8" hidden="false" customHeight="false" outlineLevel="0" collapsed="false">
      <c r="A59573" s="0" t="s">
        <v>20133</v>
      </c>
      <c r="B59573" s="0" t="str">
        <f aca="false">HYPERLINK("https://lindat.mff.cuni.cz/services/teitok/pdtc10/index.php?action=vallex&amp;frame=v-w8384f2", "vystavit (v-w8384f2)")</f>
        <v>vystavit (v-w8384f2)</v>
      </c>
      <c r="E59573" s="0" t="str">
        <f aca="false">HYPERLINK("https://lindat.mff.cuni.cz/services/SynSemClass40/SynSemClass40.html?veclass=vec00564#vec00564-ces-cm00001", "vec00564")</f>
        <v>vec00564</v>
      </c>
      <c r="F59573" s="0" t="s">
        <v>10854</v>
      </c>
    </row>
    <row r="59574" customFormat="false" ht="12.8" hidden="false" customHeight="false" outlineLevel="0" collapsed="false">
      <c r="B59574" s="0" t="s">
        <v>1</v>
      </c>
      <c r="C59574" s="0" t="s">
        <v>239</v>
      </c>
      <c r="E59574" s="0" t="s">
        <v>76</v>
      </c>
      <c r="F59574" s="0" t="s">
        <v>10855</v>
      </c>
    </row>
    <row r="59575" customFormat="false" ht="12.8" hidden="false" customHeight="false" outlineLevel="0" collapsed="false">
      <c r="B59575" s="0" t="s">
        <v>186</v>
      </c>
      <c r="C59575" s="0" t="s">
        <v>10856</v>
      </c>
      <c r="E59575" s="0" t="s">
        <v>10857</v>
      </c>
      <c r="F59575" s="0" t="s">
        <v>10858</v>
      </c>
    </row>
    <row r="59576" customFormat="false" ht="12.8" hidden="false" customHeight="false" outlineLevel="0" collapsed="false">
      <c r="B59576" s="0" t="s">
        <v>98</v>
      </c>
      <c r="C59576" s="0" t="s">
        <v>10859</v>
      </c>
      <c r="E59576" s="0" t="s">
        <v>2287</v>
      </c>
      <c r="F59576" s="0" t="s">
        <v>10860</v>
      </c>
    </row>
    <row r="59578" customFormat="false" ht="12.8" hidden="false" customHeight="false" outlineLevel="0" collapsed="false">
      <c r="A59578" s="0" t="s">
        <v>20134</v>
      </c>
      <c r="B59578" s="0" t="str">
        <f aca="false">HYPERLINK("https://lindat.mff.cuni.cz/services/teitok/pdtc10/index.php?action=vallex&amp;frame=v-w8384f4", "vystavit (v-w8384f4)")</f>
        <v>vystavit (v-w8384f4)</v>
      </c>
    </row>
    <row r="59579" customFormat="false" ht="12.8" hidden="false" customHeight="false" outlineLevel="0" collapsed="false">
      <c r="B59579" s="0" t="s">
        <v>1</v>
      </c>
    </row>
    <row r="59580" customFormat="false" ht="12.8" hidden="false" customHeight="false" outlineLevel="0" collapsed="false">
      <c r="B59580" s="0" t="s">
        <v>8</v>
      </c>
    </row>
    <row r="59581" customFormat="false" ht="12.8" hidden="false" customHeight="false" outlineLevel="0" collapsed="false">
      <c r="B59581" s="0" t="s">
        <v>52</v>
      </c>
    </row>
    <row r="59583" customFormat="false" ht="12.8" hidden="false" customHeight="false" outlineLevel="0" collapsed="false">
      <c r="A59583" s="0" t="s">
        <v>20135</v>
      </c>
      <c r="B59583" s="0" t="str">
        <f aca="false">HYPERLINK("https://lindat.mff.cuni.cz/services/teitok/pdtc10/index.php?action=vallex&amp;frame=v-w8384f3", "vystavit (v-w8384f3)")</f>
        <v>vystavit (v-w8384f3)</v>
      </c>
    </row>
    <row r="59584" customFormat="false" ht="12.8" hidden="false" customHeight="false" outlineLevel="0" collapsed="false">
      <c r="B59584" s="0" t="s">
        <v>1</v>
      </c>
    </row>
    <row r="59585" customFormat="false" ht="12.8" hidden="false" customHeight="false" outlineLevel="0" collapsed="false">
      <c r="B59585" s="0" t="s">
        <v>8</v>
      </c>
    </row>
    <row r="59586" customFormat="false" ht="12.8" hidden="false" customHeight="false" outlineLevel="0" collapsed="false">
      <c r="B59586" s="0" t="s">
        <v>36</v>
      </c>
    </row>
    <row r="59588" customFormat="false" ht="12.8" hidden="false" customHeight="false" outlineLevel="0" collapsed="false">
      <c r="A59588" s="0" t="s">
        <v>20136</v>
      </c>
      <c r="B59588" s="0" t="str">
        <f aca="false">HYPERLINK("https://lindat.mff.cuni.cz/services/teitok/pdtc10/index.php?action=vallex&amp;frame=v-w8384f1", "vystavit (v-w8384f1)")</f>
        <v>vystavit (v-w8384f1)</v>
      </c>
      <c r="E59588" s="0" t="str">
        <f aca="false">HYPERLINK("https://lindat.mff.cuni.cz/services/SynSemClass40/SynSemClass40.html?veclass=vec01386#vec01386-ces-cm00001", "vec01386")</f>
        <v>vec01386</v>
      </c>
      <c r="F59588" s="0" t="s">
        <v>8897</v>
      </c>
      <c r="H59588" s="0" t="str">
        <f aca="false">HYPERLINK("https://lindat.mff.cuni.cz/services/SynSemClass40/SynSemClass40.html?veclass=vec01470#vec01470-ces-cm00007", "vec01470")</f>
        <v>vec01470</v>
      </c>
      <c r="I59588" s="0" t="s">
        <v>13291</v>
      </c>
    </row>
    <row r="59589" customFormat="false" ht="12.8" hidden="false" customHeight="false" outlineLevel="0" collapsed="false">
      <c r="B59589" s="0" t="s">
        <v>1</v>
      </c>
      <c r="C59589" s="0" t="s">
        <v>20137</v>
      </c>
      <c r="E59589" s="0" t="s">
        <v>206</v>
      </c>
      <c r="F59589" s="0" t="s">
        <v>8899</v>
      </c>
      <c r="H59589" s="0" t="s">
        <v>31</v>
      </c>
      <c r="I59589" s="0" t="s">
        <v>13293</v>
      </c>
    </row>
    <row r="59590" customFormat="false" ht="12.8" hidden="false" customHeight="false" outlineLevel="0" collapsed="false">
      <c r="B59590" s="0" t="s">
        <v>8</v>
      </c>
      <c r="C59590" s="0" t="s">
        <v>20138</v>
      </c>
      <c r="E59590" s="0" t="s">
        <v>8901</v>
      </c>
      <c r="F59590" s="0" t="s">
        <v>8902</v>
      </c>
      <c r="H59590" s="0" t="s">
        <v>1569</v>
      </c>
      <c r="I59590" s="0" t="s">
        <v>13295</v>
      </c>
    </row>
    <row r="59592" customFormat="false" ht="12.8" hidden="false" customHeight="false" outlineLevel="0" collapsed="false">
      <c r="A59592" s="0" t="s">
        <v>20139</v>
      </c>
      <c r="B59592" s="0" t="str">
        <f aca="false">HYPERLINK("https://lindat.mff.cuni.cz/services/teitok/pdtc10/index.php?action=vallex&amp;frame=v-w8386f2", "vystavovat (v-w8386f2)")</f>
        <v>vystavovat (v-w8386f2)</v>
      </c>
      <c r="E59592" s="0" t="str">
        <f aca="false">HYPERLINK("https://lindat.mff.cuni.cz/services/SynSemClass40/SynSemClass40.html?veclass=vec00564#vec00564-ces-cm00006", "vec00564")</f>
        <v>vec00564</v>
      </c>
      <c r="F59592" s="0" t="s">
        <v>10854</v>
      </c>
    </row>
    <row r="59593" customFormat="false" ht="12.8" hidden="false" customHeight="false" outlineLevel="0" collapsed="false">
      <c r="B59593" s="0" t="s">
        <v>1</v>
      </c>
      <c r="C59593" s="0" t="s">
        <v>239</v>
      </c>
      <c r="E59593" s="0" t="s">
        <v>76</v>
      </c>
      <c r="F59593" s="0" t="s">
        <v>10855</v>
      </c>
    </row>
    <row r="59594" customFormat="false" ht="12.8" hidden="false" customHeight="false" outlineLevel="0" collapsed="false">
      <c r="B59594" s="0" t="s">
        <v>186</v>
      </c>
      <c r="C59594" s="0" t="s">
        <v>10856</v>
      </c>
      <c r="E59594" s="0" t="s">
        <v>10857</v>
      </c>
      <c r="F59594" s="0" t="s">
        <v>10858</v>
      </c>
    </row>
    <row r="59595" customFormat="false" ht="12.8" hidden="false" customHeight="false" outlineLevel="0" collapsed="false">
      <c r="B59595" s="0" t="s">
        <v>98</v>
      </c>
      <c r="C59595" s="0" t="s">
        <v>10859</v>
      </c>
      <c r="E59595" s="0" t="s">
        <v>2287</v>
      </c>
      <c r="F59595" s="0" t="s">
        <v>10860</v>
      </c>
    </row>
    <row r="59597" customFormat="false" ht="12.8" hidden="false" customHeight="false" outlineLevel="0" collapsed="false">
      <c r="A59597" s="0" t="s">
        <v>20140</v>
      </c>
      <c r="B59597" s="0" t="str">
        <f aca="false">HYPERLINK("https://lindat.mff.cuni.cz/services/teitok/pdtc10/index.php?action=vallex&amp;frame=v-w8386f3", "vystavovat (v-w8386f3)")</f>
        <v>vystavovat (v-w8386f3)</v>
      </c>
    </row>
    <row r="59598" customFormat="false" ht="12.8" hidden="false" customHeight="false" outlineLevel="0" collapsed="false">
      <c r="B59598" s="0" t="s">
        <v>1</v>
      </c>
    </row>
    <row r="59599" customFormat="false" ht="12.8" hidden="false" customHeight="false" outlineLevel="0" collapsed="false">
      <c r="B59599" s="0" t="s">
        <v>8</v>
      </c>
    </row>
    <row r="59600" customFormat="false" ht="12.8" hidden="false" customHeight="false" outlineLevel="0" collapsed="false">
      <c r="B59600" s="0" t="s">
        <v>36</v>
      </c>
    </row>
    <row r="59602" customFormat="false" ht="12.8" hidden="false" customHeight="false" outlineLevel="0" collapsed="false">
      <c r="A59602" s="0" t="s">
        <v>20141</v>
      </c>
      <c r="B59602" s="0" t="str">
        <f aca="false">HYPERLINK("https://lindat.mff.cuni.cz/services/teitok/pdtc10/index.php?action=vallex&amp;frame=v-w8386f1", "vystavovat (v-w8386f1)")</f>
        <v>vystavovat (v-w8386f1)</v>
      </c>
      <c r="E59602" s="0" t="str">
        <f aca="false">HYPERLINK("https://lindat.mff.cuni.cz/services/SynSemClass40/SynSemClass40.html?veclass=vec01386#vec01386-ces-cm00002", "vec01386")</f>
        <v>vec01386</v>
      </c>
      <c r="F59602" s="0" t="s">
        <v>8897</v>
      </c>
      <c r="H59602" s="0" t="str">
        <f aca="false">HYPERLINK("https://lindat.mff.cuni.cz/services/SynSemClass40/SynSemClass40.html?veclass=vec01470#vec01470-ces-cm00008", "vec01470")</f>
        <v>vec01470</v>
      </c>
      <c r="I59602" s="0" t="s">
        <v>13291</v>
      </c>
    </row>
    <row r="59603" customFormat="false" ht="12.8" hidden="false" customHeight="false" outlineLevel="0" collapsed="false">
      <c r="B59603" s="0" t="s">
        <v>1</v>
      </c>
      <c r="C59603" s="0" t="s">
        <v>20137</v>
      </c>
      <c r="E59603" s="0" t="s">
        <v>206</v>
      </c>
      <c r="F59603" s="0" t="s">
        <v>8899</v>
      </c>
      <c r="H59603" s="0" t="s">
        <v>31</v>
      </c>
      <c r="I59603" s="0" t="s">
        <v>13293</v>
      </c>
    </row>
    <row r="59604" customFormat="false" ht="12.8" hidden="false" customHeight="false" outlineLevel="0" collapsed="false">
      <c r="B59604" s="0" t="s">
        <v>8</v>
      </c>
      <c r="C59604" s="0" t="s">
        <v>20138</v>
      </c>
      <c r="E59604" s="0" t="s">
        <v>8901</v>
      </c>
      <c r="F59604" s="0" t="s">
        <v>8902</v>
      </c>
      <c r="H59604" s="0" t="s">
        <v>1569</v>
      </c>
      <c r="I59604" s="0" t="s">
        <v>13295</v>
      </c>
    </row>
    <row r="59606" customFormat="false" ht="12.8" hidden="false" customHeight="false" outlineLevel="0" collapsed="false">
      <c r="A59606" s="0" t="s">
        <v>20142</v>
      </c>
      <c r="B59606" s="0" t="str">
        <f aca="false">HYPERLINK("https://lindat.mff.cuni.cz/services/teitok/pdtc10/index.php?action=vallex&amp;frame=v-whsa_1990hsa_1991", "vystavovat se (v-whsa_1990hsa_1991)")</f>
        <v>vystavovat se (v-whsa_1990hsa_1991)</v>
      </c>
    </row>
    <row r="59607" customFormat="false" ht="12.8" hidden="false" customHeight="false" outlineLevel="0" collapsed="false">
      <c r="B59607" s="0" t="s">
        <v>1</v>
      </c>
    </row>
    <row r="59608" customFormat="false" ht="12.8" hidden="false" customHeight="false" outlineLevel="0" collapsed="false">
      <c r="B59608" s="0" t="s">
        <v>1689</v>
      </c>
    </row>
    <row r="59610" customFormat="false" ht="12.8" hidden="false" customHeight="false" outlineLevel="0" collapsed="false">
      <c r="A59610" s="0" t="s">
        <v>20143</v>
      </c>
      <c r="B59610" s="0" t="str">
        <f aca="false">HYPERLINK("https://lindat.mff.cuni.cz/services/teitok/pdtc10/index.php?action=vallex&amp;frame=v-w8383f1", "vystavět (v-w8383f1)")</f>
        <v>vystavět (v-w8383f1)</v>
      </c>
      <c r="E59610" s="0" t="str">
        <f aca="false">HYPERLINK("https://lindat.mff.cuni.cz/services/SynSemClass40/SynSemClass40.html?veclass=vec00179#vec00179-ces-cm00238", "vec00179")</f>
        <v>vec00179</v>
      </c>
      <c r="F59610" s="0" t="s">
        <v>779</v>
      </c>
      <c r="H59610" s="0" t="str">
        <f aca="false">HYPERLINK("https://lindat.mff.cuni.cz/services/SynSemClass40/SynSemClass40.html?veclass=vec01118#vec01118-ces-cm00027", "vec01118")</f>
        <v>vec01118</v>
      </c>
      <c r="I59610" s="0" t="s">
        <v>766</v>
      </c>
    </row>
    <row r="59611" customFormat="false" ht="12.8" hidden="false" customHeight="false" outlineLevel="0" collapsed="false">
      <c r="B59611" s="0" t="s">
        <v>1</v>
      </c>
      <c r="C59611" s="0" t="s">
        <v>18975</v>
      </c>
      <c r="E59611" s="0" t="s">
        <v>768</v>
      </c>
      <c r="F59611" s="0" t="s">
        <v>782</v>
      </c>
      <c r="H59611" s="0" t="s">
        <v>768</v>
      </c>
      <c r="I59611" s="0" t="s">
        <v>769</v>
      </c>
    </row>
    <row r="59612" customFormat="false" ht="12.8" hidden="false" customHeight="false" outlineLevel="0" collapsed="false">
      <c r="B59612" s="0" t="s">
        <v>8</v>
      </c>
      <c r="C59612" s="0" t="s">
        <v>18976</v>
      </c>
      <c r="E59612" s="0" t="s">
        <v>771</v>
      </c>
      <c r="F59612" s="0" t="s">
        <v>785</v>
      </c>
      <c r="H59612" s="0" t="s">
        <v>771</v>
      </c>
      <c r="I59612" s="0" t="s">
        <v>772</v>
      </c>
    </row>
    <row r="59613" customFormat="false" ht="12.8" hidden="false" customHeight="false" outlineLevel="0" collapsed="false">
      <c r="B59613" s="0" t="s">
        <v>397</v>
      </c>
      <c r="C59613" s="0" t="s">
        <v>18977</v>
      </c>
      <c r="E59613" s="0" t="s">
        <v>787</v>
      </c>
      <c r="F59613" s="0" t="s">
        <v>789</v>
      </c>
      <c r="H59613" s="0" t="s">
        <v>775</v>
      </c>
      <c r="I59613" s="0" t="s">
        <v>776</v>
      </c>
    </row>
    <row r="59615" customFormat="false" ht="12.8" hidden="false" customHeight="false" outlineLevel="0" collapsed="false">
      <c r="A59615" s="0" t="s">
        <v>20144</v>
      </c>
      <c r="B59615" s="0" t="str">
        <f aca="false">HYPERLINK("https://lindat.mff.cuni.cz/services/teitok/pdtc10/index.php?action=vallex&amp;frame=v-w8383f2_ZU", "vystavět (v-w8383f2_ZU)")</f>
        <v>vystavět (v-w8383f2_ZU)</v>
      </c>
      <c r="E59615" s="0" t="str">
        <f aca="false">HYPERLINK("https://lindat.mff.cuni.cz/services/SynSemClass40/SynSemClass40.html?veclass=vec00084#vec00084-ces-cm00068", "vec00084")</f>
        <v>vec00084</v>
      </c>
      <c r="F59615" s="0" t="s">
        <v>778</v>
      </c>
    </row>
    <row r="59616" customFormat="false" ht="12.8" hidden="false" customHeight="false" outlineLevel="0" collapsed="false">
      <c r="B59616" s="0" t="s">
        <v>1</v>
      </c>
      <c r="C59616" s="0" t="s">
        <v>5557</v>
      </c>
      <c r="E59616" s="0" t="s">
        <v>31</v>
      </c>
      <c r="F59616" s="0" t="s">
        <v>781</v>
      </c>
    </row>
    <row r="59617" customFormat="false" ht="12.8" hidden="false" customHeight="false" outlineLevel="0" collapsed="false">
      <c r="B59617" s="0" t="s">
        <v>8</v>
      </c>
      <c r="C59617" s="0" t="s">
        <v>5558</v>
      </c>
      <c r="E59617" s="0" t="s">
        <v>771</v>
      </c>
      <c r="F59617" s="0" t="s">
        <v>784</v>
      </c>
    </row>
    <row r="59618" customFormat="false" ht="12.8" hidden="false" customHeight="false" outlineLevel="0" collapsed="false">
      <c r="B59618" s="0" t="s">
        <v>36</v>
      </c>
      <c r="C59618" s="0" t="s">
        <v>6350</v>
      </c>
      <c r="E59618" s="0" t="s">
        <v>787</v>
      </c>
      <c r="F59618" s="0" t="s">
        <v>788</v>
      </c>
    </row>
    <row r="59620" customFormat="false" ht="12.8" hidden="false" customHeight="false" outlineLevel="0" collapsed="false">
      <c r="A59620" s="0" t="s">
        <v>20144</v>
      </c>
      <c r="B59620" s="0" t="str">
        <f aca="false">HYPERLINK("https://lindat.mff.cuni.cz/services/teitok/pdtc10/index.php?action=vallex&amp;frame=v-w8383hsa_1197", "vystavět (v-w8383hsa_1197) - substituted with v-w8383f2_ZU")</f>
        <v>vystavět (v-w8383hsa_1197) - substituted with v-w8383f2_ZU</v>
      </c>
    </row>
    <row r="59621" customFormat="false" ht="12.8" hidden="false" customHeight="false" outlineLevel="0" collapsed="false">
      <c r="B59621" s="0" t="s">
        <v>1</v>
      </c>
    </row>
    <row r="59622" customFormat="false" ht="12.8" hidden="false" customHeight="false" outlineLevel="0" collapsed="false">
      <c r="B59622" s="0" t="s">
        <v>8</v>
      </c>
    </row>
    <row r="59623" customFormat="false" ht="12.8" hidden="false" customHeight="false" outlineLevel="0" collapsed="false">
      <c r="B59623" s="0" t="s">
        <v>36</v>
      </c>
    </row>
    <row r="59625" customFormat="false" ht="12.8" hidden="false" customHeight="false" outlineLevel="0" collapsed="false">
      <c r="A59625" s="0" t="s">
        <v>20145</v>
      </c>
      <c r="B59625" s="0" t="str">
        <f aca="false">HYPERLINK("https://lindat.mff.cuni.cz/services/teitok/pdtc10/index.php?action=vallex&amp;frame=v-w8375f2", "vystačit (v-w8375f2)")</f>
        <v>vystačit (v-w8375f2)</v>
      </c>
    </row>
    <row r="59626" customFormat="false" ht="12.8" hidden="false" customHeight="false" outlineLevel="0" collapsed="false">
      <c r="B59626" s="0" t="s">
        <v>2929</v>
      </c>
    </row>
    <row r="59627" customFormat="false" ht="12.8" hidden="false" customHeight="false" outlineLevel="0" collapsed="false">
      <c r="B59627" s="0" t="s">
        <v>186</v>
      </c>
    </row>
    <row r="59629" customFormat="false" ht="12.8" hidden="false" customHeight="false" outlineLevel="0" collapsed="false">
      <c r="A59629" s="0" t="s">
        <v>20146</v>
      </c>
      <c r="B59629" s="0" t="str">
        <f aca="false">HYPERLINK("https://lindat.mff.cuni.cz/services/teitok/pdtc10/index.php?action=vallex&amp;frame=v-w8375f1", "vystačit (v-w8375f1)")</f>
        <v>vystačit (v-w8375f1)</v>
      </c>
    </row>
    <row r="59630" customFormat="false" ht="12.8" hidden="false" customHeight="false" outlineLevel="0" collapsed="false">
      <c r="B59630" s="0" t="s">
        <v>1</v>
      </c>
    </row>
    <row r="59631" customFormat="false" ht="12.8" hidden="false" customHeight="false" outlineLevel="0" collapsed="false">
      <c r="B59631" s="0" t="s">
        <v>721</v>
      </c>
    </row>
    <row r="59633" customFormat="false" ht="12.8" hidden="false" customHeight="false" outlineLevel="0" collapsed="false">
      <c r="A59633" s="0" t="s">
        <v>20147</v>
      </c>
      <c r="B59633" s="0" t="str">
        <f aca="false">HYPERLINK("https://lindat.mff.cuni.cz/services/teitok/pdtc10/index.php?action=vallex&amp;frame=v-w8376f1", "vystačit si (v-w8376f1)")</f>
        <v>vystačit si (v-w8376f1)</v>
      </c>
      <c r="E59633" s="0" t="str">
        <f aca="false">HYPERLINK("https://lindat.mff.cuni.cz/services/SynSemClass40/SynSemClass40.html?veclass=vec00724#vec00724-ces-cm00008", "vec00724")</f>
        <v>vec00724</v>
      </c>
      <c r="F59633" s="0" t="s">
        <v>16312</v>
      </c>
    </row>
    <row r="59634" customFormat="false" ht="12.8" hidden="false" customHeight="false" outlineLevel="0" collapsed="false">
      <c r="B59634" s="0" t="s">
        <v>1</v>
      </c>
      <c r="C59634" s="0" t="s">
        <v>512</v>
      </c>
      <c r="E59634" s="0" t="s">
        <v>621</v>
      </c>
      <c r="F59634" s="0" t="s">
        <v>16313</v>
      </c>
    </row>
    <row r="59635" customFormat="false" ht="12.8" hidden="false" customHeight="false" outlineLevel="0" collapsed="false">
      <c r="B59635" s="0" t="s">
        <v>721</v>
      </c>
      <c r="C59635" s="0" t="s">
        <v>7578</v>
      </c>
      <c r="E59635" s="0" t="s">
        <v>12997</v>
      </c>
      <c r="F59635" s="0" t="s">
        <v>16314</v>
      </c>
    </row>
    <row r="59637" customFormat="false" ht="12.8" hidden="false" customHeight="false" outlineLevel="0" collapsed="false">
      <c r="A59637" s="0" t="s">
        <v>20148</v>
      </c>
      <c r="B59637" s="0" t="str">
        <f aca="false">HYPERLINK("https://lindat.mff.cuni.cz/services/teitok/pdtc10/index.php?action=vallex&amp;frame=v-w8376f2", "vystačit si (v-w8376f2)")</f>
        <v>vystačit si (v-w8376f2)</v>
      </c>
    </row>
    <row r="59638" customFormat="false" ht="12.8" hidden="false" customHeight="false" outlineLevel="0" collapsed="false">
      <c r="B59638" s="0" t="s">
        <v>1</v>
      </c>
    </row>
    <row r="59639" customFormat="false" ht="12.8" hidden="false" customHeight="false" outlineLevel="0" collapsed="false">
      <c r="B59639" s="0" t="s">
        <v>69</v>
      </c>
    </row>
    <row r="59641" customFormat="false" ht="12.8" hidden="false" customHeight="false" outlineLevel="0" collapsed="false">
      <c r="A59641" s="0" t="s">
        <v>20149</v>
      </c>
      <c r="B59641" s="0" t="str">
        <f aca="false">HYPERLINK("https://lindat.mff.cuni.cz/services/teitok/pdtc10/index.php?action=vallex&amp;frame=v-w8391f1", "vystihnout (v-w8391f1)")</f>
        <v>vystihnout (v-w8391f1)</v>
      </c>
    </row>
    <row r="59642" customFormat="false" ht="12.8" hidden="false" customHeight="false" outlineLevel="0" collapsed="false">
      <c r="B59642" s="0" t="s">
        <v>1</v>
      </c>
    </row>
    <row r="59643" customFormat="false" ht="12.8" hidden="false" customHeight="false" outlineLevel="0" collapsed="false">
      <c r="B59643" s="0" t="s">
        <v>11607</v>
      </c>
    </row>
    <row r="59645" customFormat="false" ht="12.8" hidden="false" customHeight="false" outlineLevel="0" collapsed="false">
      <c r="A59645" s="0" t="s">
        <v>20150</v>
      </c>
      <c r="B59645" s="0" t="str">
        <f aca="false">HYPERLINK("https://lindat.mff.cuni.cz/services/teitok/pdtc10/index.php?action=vallex&amp;frame=v-w8392f1", "vystihovat (v-w8392f1)")</f>
        <v>vystihovat (v-w8392f1)</v>
      </c>
    </row>
    <row r="59646" customFormat="false" ht="12.8" hidden="false" customHeight="false" outlineLevel="0" collapsed="false">
      <c r="B59646" s="0" t="s">
        <v>1</v>
      </c>
    </row>
    <row r="59647" customFormat="false" ht="12.8" hidden="false" customHeight="false" outlineLevel="0" collapsed="false">
      <c r="B59647" s="0" t="s">
        <v>8</v>
      </c>
    </row>
    <row r="59649" customFormat="false" ht="12.8" hidden="false" customHeight="false" outlineLevel="0" collapsed="false">
      <c r="A59649" s="0" t="s">
        <v>20151</v>
      </c>
      <c r="B59649" s="0" t="str">
        <f aca="false">HYPERLINK("https://lindat.mff.cuni.cz/services/teitok/pdtc10/index.php?action=vallex&amp;frame=v-w10065f2", "vystlat (v-w10065f2)")</f>
        <v>vystlat (v-w10065f2)</v>
      </c>
    </row>
    <row r="59650" customFormat="false" ht="12.8" hidden="false" customHeight="false" outlineLevel="0" collapsed="false">
      <c r="B59650" s="0" t="s">
        <v>1</v>
      </c>
    </row>
    <row r="59651" customFormat="false" ht="12.8" hidden="false" customHeight="false" outlineLevel="0" collapsed="false">
      <c r="B59651" s="0" t="s">
        <v>8</v>
      </c>
    </row>
    <row r="59652" customFormat="false" ht="12.8" hidden="false" customHeight="false" outlineLevel="0" collapsed="false">
      <c r="B59652" s="0" t="s">
        <v>7045</v>
      </c>
    </row>
    <row r="59654" customFormat="false" ht="12.8" hidden="false" customHeight="false" outlineLevel="0" collapsed="false">
      <c r="A59654" s="0" t="s">
        <v>20152</v>
      </c>
      <c r="B59654" s="0" t="str">
        <f aca="false">HYPERLINK("https://lindat.mff.cuni.cz/services/teitok/pdtc10/index.php?action=vallex&amp;frame=v-w8394f1", "vystopovat (v-w8394f1)")</f>
        <v>vystopovat (v-w8394f1)</v>
      </c>
      <c r="E59654" s="0" t="str">
        <f aca="false">HYPERLINK("https://lindat.mff.cuni.cz/services/SynSemClass40/SynSemClass40.html?veclass=vec00233#vec00233-ces-cm00062", "vec00233")</f>
        <v>vec00233</v>
      </c>
      <c r="F59654" s="0" t="s">
        <v>1065</v>
      </c>
    </row>
    <row r="59655" customFormat="false" ht="12.8" hidden="false" customHeight="false" outlineLevel="0" collapsed="false">
      <c r="B59655" s="0" t="s">
        <v>1</v>
      </c>
      <c r="C59655" s="0" t="s">
        <v>7077</v>
      </c>
      <c r="E59655" s="0" t="s">
        <v>2263</v>
      </c>
      <c r="F59655" s="0" t="s">
        <v>7078</v>
      </c>
    </row>
    <row r="59656" customFormat="false" ht="12.8" hidden="false" customHeight="false" outlineLevel="0" collapsed="false">
      <c r="B59656" s="0" t="s">
        <v>228</v>
      </c>
      <c r="C59656" s="0" t="s">
        <v>7079</v>
      </c>
      <c r="E59656" s="0" t="s">
        <v>7080</v>
      </c>
      <c r="F59656" s="0" t="s">
        <v>7081</v>
      </c>
    </row>
    <row r="59658" customFormat="false" ht="12.8" hidden="false" customHeight="false" outlineLevel="0" collapsed="false">
      <c r="A59658" s="0" t="s">
        <v>20153</v>
      </c>
      <c r="B59658" s="0" t="str">
        <f aca="false">HYPERLINK("https://lindat.mff.cuni.cz/services/teitok/pdtc10/index.php?action=vallex&amp;frame=v-w11117f3", "vystoupat (v-w11117f3)")</f>
        <v>vystoupat (v-w11117f3)</v>
      </c>
      <c r="E59658" s="0" t="str">
        <f aca="false">HYPERLINK("https://lindat.mff.cuni.cz/services/SynSemClass40/SynSemClass40.html?veclass=vec00109#vec00109-ces-cm00047", "vec00109")</f>
        <v>vec00109</v>
      </c>
      <c r="F59658" s="0" t="s">
        <v>5143</v>
      </c>
    </row>
    <row r="59659" customFormat="false" ht="12.8" hidden="false" customHeight="false" outlineLevel="0" collapsed="false">
      <c r="B59659" s="0" t="s">
        <v>1</v>
      </c>
      <c r="C59659" s="0" t="s">
        <v>7017</v>
      </c>
      <c r="E59659" s="0" t="s">
        <v>235</v>
      </c>
      <c r="F59659" s="0" t="s">
        <v>5146</v>
      </c>
    </row>
    <row r="59660" customFormat="false" ht="12.8" hidden="false" customHeight="false" outlineLevel="0" collapsed="false">
      <c r="B59660" s="0" t="s">
        <v>69</v>
      </c>
      <c r="C59660" s="0" t="s">
        <v>5148</v>
      </c>
      <c r="E59660" s="0" t="s">
        <v>5149</v>
      </c>
      <c r="F59660" s="0" t="s">
        <v>5150</v>
      </c>
    </row>
    <row r="59661" customFormat="false" ht="12.8" hidden="false" customHeight="false" outlineLevel="0" collapsed="false">
      <c r="B59661" s="0" t="s">
        <v>36</v>
      </c>
      <c r="C59661" s="0" t="s">
        <v>5151</v>
      </c>
      <c r="E59661" s="0" t="s">
        <v>5152</v>
      </c>
      <c r="F59661" s="0" t="s">
        <v>5153</v>
      </c>
    </row>
    <row r="59663" customFormat="false" ht="12.8" hidden="false" customHeight="false" outlineLevel="0" collapsed="false">
      <c r="A59663" s="0" t="s">
        <v>20154</v>
      </c>
      <c r="B59663" s="0" t="str">
        <f aca="false">HYPERLINK("https://lindat.mff.cuni.cz/services/teitok/pdtc10/index.php?action=vallex&amp;frame=v-w11117f2", "vystoupat (v-w11117f2)")</f>
        <v>vystoupat (v-w11117f2)</v>
      </c>
      <c r="E59663" s="0" t="str">
        <f aca="false">HYPERLINK("https://lindat.mff.cuni.cz/services/SynSemClass40/SynSemClass40.html?veclass=vec00227#vec00227-ces-cm00105", "vec00227")</f>
        <v>vec00227</v>
      </c>
      <c r="F59663" s="0" t="s">
        <v>1313</v>
      </c>
    </row>
    <row r="59664" customFormat="false" ht="12.8" hidden="false" customHeight="false" outlineLevel="0" collapsed="false">
      <c r="B59664" s="0" t="s">
        <v>1</v>
      </c>
      <c r="C59664" s="0" t="s">
        <v>83</v>
      </c>
      <c r="E59664" s="0" t="s">
        <v>334</v>
      </c>
      <c r="F59664" s="0" t="s">
        <v>1314</v>
      </c>
    </row>
    <row r="59665" customFormat="false" ht="12.8" hidden="false" customHeight="false" outlineLevel="0" collapsed="false">
      <c r="B59665" s="0" t="s">
        <v>164</v>
      </c>
      <c r="E59665" s="0" t="s">
        <v>1315</v>
      </c>
      <c r="F59665" s="0" t="s">
        <v>1316</v>
      </c>
    </row>
    <row r="59667" customFormat="false" ht="12.8" hidden="false" customHeight="false" outlineLevel="0" collapsed="false">
      <c r="A59667" s="0" t="s">
        <v>20155</v>
      </c>
      <c r="B59667" s="0" t="str">
        <f aca="false">HYPERLINK("https://lindat.mff.cuni.cz/services/teitok/pdtc10/index.php?action=vallex&amp;frame=v-w11117hsa_503", "vystoupat (v-w11117hsa_503)")</f>
        <v>vystoupat (v-w11117hsa_503)</v>
      </c>
    </row>
    <row r="59668" customFormat="false" ht="12.8" hidden="false" customHeight="false" outlineLevel="0" collapsed="false">
      <c r="B59668" s="0" t="s">
        <v>1</v>
      </c>
    </row>
    <row r="59669" customFormat="false" ht="12.8" hidden="false" customHeight="false" outlineLevel="0" collapsed="false">
      <c r="B59669" s="0" t="s">
        <v>164</v>
      </c>
    </row>
    <row r="59671" customFormat="false" ht="12.8" hidden="false" customHeight="false" outlineLevel="0" collapsed="false">
      <c r="A59671" s="0" t="s">
        <v>20156</v>
      </c>
      <c r="B59671" s="0" t="str">
        <f aca="false">HYPERLINK("https://lindat.mff.cuni.cz/services/teitok/pdtc10/index.php?action=vallex&amp;frame=v-w8396f4", "vystoupit (v-w8396f4)")</f>
        <v>vystoupit (v-w8396f4)</v>
      </c>
      <c r="E59671" s="0" t="str">
        <f aca="false">HYPERLINK("https://lindat.mff.cuni.cz/services/SynSemClass40/SynSemClass40.html?veclass=vec00461#vec00461-ces-cm00041", "vec00461")</f>
        <v>vec00461</v>
      </c>
      <c r="F59671" s="0" t="s">
        <v>476</v>
      </c>
    </row>
    <row r="59672" customFormat="false" ht="12.8" hidden="false" customHeight="false" outlineLevel="0" collapsed="false">
      <c r="B59672" s="0" t="s">
        <v>1</v>
      </c>
      <c r="C59672" s="0" t="s">
        <v>477</v>
      </c>
      <c r="E59672" s="0" t="s">
        <v>478</v>
      </c>
      <c r="F59672" s="0" t="s">
        <v>479</v>
      </c>
    </row>
    <row r="59673" customFormat="false" ht="12.8" hidden="false" customHeight="false" outlineLevel="0" collapsed="false">
      <c r="B59673" s="0" t="s">
        <v>14730</v>
      </c>
      <c r="C59673" s="0" t="s">
        <v>9606</v>
      </c>
      <c r="E59673" s="0" t="s">
        <v>4306</v>
      </c>
      <c r="F59673" s="0" t="s">
        <v>4307</v>
      </c>
    </row>
    <row r="59675" customFormat="false" ht="12.8" hidden="false" customHeight="false" outlineLevel="0" collapsed="false">
      <c r="A59675" s="0" t="s">
        <v>20157</v>
      </c>
      <c r="B59675" s="0" t="str">
        <f aca="false">HYPERLINK("https://lindat.mff.cuni.cz/services/teitok/pdtc10/index.php?action=vallex&amp;frame=v-w8396f3", "vystoupit (v-w8396f3)")</f>
        <v>vystoupit (v-w8396f3)</v>
      </c>
    </row>
    <row r="59676" customFormat="false" ht="12.8" hidden="false" customHeight="false" outlineLevel="0" collapsed="false">
      <c r="B59676" s="0" t="s">
        <v>1</v>
      </c>
    </row>
    <row r="59677" customFormat="false" ht="12.8" hidden="false" customHeight="false" outlineLevel="0" collapsed="false">
      <c r="B59677" s="0" t="s">
        <v>721</v>
      </c>
    </row>
    <row r="59679" customFormat="false" ht="12.8" hidden="false" customHeight="false" outlineLevel="0" collapsed="false">
      <c r="A59679" s="0" t="s">
        <v>20158</v>
      </c>
      <c r="B59679" s="0" t="str">
        <f aca="false">HYPERLINK("https://lindat.mff.cuni.cz/services/teitok/pdtc10/index.php?action=vallex&amp;frame=v-w8396f1", "vystoupit (v-w8396f1)")</f>
        <v>vystoupit (v-w8396f1)</v>
      </c>
      <c r="E59679" s="0" t="str">
        <f aca="false">HYPERLINK("https://lindat.mff.cuni.cz/services/SynSemClass40/SynSemClass40.html?veclass=vec01493#vec01493-ces-cm00036", "vec01493")</f>
        <v>vec01493</v>
      </c>
      <c r="F59679" s="0" t="s">
        <v>4506</v>
      </c>
    </row>
    <row r="59680" customFormat="false" ht="12.8" hidden="false" customHeight="false" outlineLevel="0" collapsed="false">
      <c r="B59680" s="0" t="s">
        <v>1</v>
      </c>
      <c r="C59680" s="0" t="s">
        <v>4114</v>
      </c>
      <c r="E59680" s="0" t="s">
        <v>31</v>
      </c>
      <c r="F59680" s="0" t="s">
        <v>4507</v>
      </c>
    </row>
    <row r="59681" customFormat="false" ht="12.8" hidden="false" customHeight="false" outlineLevel="0" collapsed="false">
      <c r="B59681" s="0" t="s">
        <v>5</v>
      </c>
      <c r="E59681" s="0" t="s">
        <v>3254</v>
      </c>
      <c r="F59681" s="0" t="s">
        <v>3255</v>
      </c>
    </row>
    <row r="59683" customFormat="false" ht="12.8" hidden="false" customHeight="false" outlineLevel="0" collapsed="false">
      <c r="A59683" s="0" t="s">
        <v>20159</v>
      </c>
      <c r="B59683" s="0" t="str">
        <f aca="false">HYPERLINK("https://lindat.mff.cuni.cz/services/teitok/pdtc10/index.php?action=vallex&amp;frame=v-w8396f8_ZU", "vystoupit (v-w8396f8_ZU)")</f>
        <v>vystoupit (v-w8396f8_ZU)</v>
      </c>
    </row>
    <row r="59684" customFormat="false" ht="12.8" hidden="false" customHeight="false" outlineLevel="0" collapsed="false">
      <c r="B59684" s="0" t="s">
        <v>1</v>
      </c>
    </row>
    <row r="59685" customFormat="false" ht="12.8" hidden="false" customHeight="false" outlineLevel="0" collapsed="false">
      <c r="B59685" s="0" t="s">
        <v>631</v>
      </c>
    </row>
    <row r="59687" customFormat="false" ht="12.8" hidden="false" customHeight="false" outlineLevel="0" collapsed="false">
      <c r="A59687" s="0" t="s">
        <v>20159</v>
      </c>
      <c r="B59687" s="0" t="str">
        <f aca="false">HYPERLINK("https://lindat.mff.cuni.cz/services/teitok/pdtc10/index.php?action=vallex&amp;frame=v-w8396f2", "vystoupit (v-w8396f2) - substituted with v-w8396f8_ZU")</f>
        <v>vystoupit (v-w8396f2) - substituted with v-w8396f8_ZU</v>
      </c>
    </row>
    <row r="59688" customFormat="false" ht="12.8" hidden="false" customHeight="false" outlineLevel="0" collapsed="false">
      <c r="B59688" s="0" t="s">
        <v>1</v>
      </c>
    </row>
    <row r="59689" customFormat="false" ht="12.8" hidden="false" customHeight="false" outlineLevel="0" collapsed="false">
      <c r="B59689" s="0" t="s">
        <v>631</v>
      </c>
    </row>
    <row r="59691" customFormat="false" ht="12.8" hidden="false" customHeight="false" outlineLevel="0" collapsed="false">
      <c r="A59691" s="0" t="s">
        <v>20160</v>
      </c>
      <c r="B59691" s="0" t="str">
        <f aca="false">HYPERLINK("https://lindat.mff.cuni.cz/services/teitok/pdtc10/index.php?action=vallex&amp;frame=v-w8396f6", "vystoupit (v-w8396f6)")</f>
        <v>vystoupit (v-w8396f6)</v>
      </c>
    </row>
    <row r="59692" customFormat="false" ht="12.8" hidden="false" customHeight="false" outlineLevel="0" collapsed="false">
      <c r="B59692" s="0" t="s">
        <v>1</v>
      </c>
    </row>
    <row r="59693" customFormat="false" ht="12.8" hidden="false" customHeight="false" outlineLevel="0" collapsed="false">
      <c r="B59693" s="0" t="s">
        <v>164</v>
      </c>
    </row>
    <row r="59695" customFormat="false" ht="12.8" hidden="false" customHeight="false" outlineLevel="0" collapsed="false">
      <c r="A59695" s="0" t="s">
        <v>20161</v>
      </c>
      <c r="B59695" s="0" t="str">
        <f aca="false">HYPERLINK("https://lindat.mff.cuni.cz/services/teitok/pdtc10/index.php?action=vallex&amp;frame=v-w8396f5", "vystoupit (v-w8396f5)")</f>
        <v>vystoupit (v-w8396f5)</v>
      </c>
    </row>
    <row r="59696" customFormat="false" ht="12.8" hidden="false" customHeight="false" outlineLevel="0" collapsed="false">
      <c r="B59696" s="0" t="s">
        <v>1</v>
      </c>
    </row>
    <row r="59698" customFormat="false" ht="12.8" hidden="false" customHeight="false" outlineLevel="0" collapsed="false">
      <c r="A59698" s="0" t="s">
        <v>20162</v>
      </c>
      <c r="B59698" s="0" t="str">
        <f aca="false">HYPERLINK("https://lindat.mff.cuni.cz/services/teitok/pdtc10/index.php?action=vallex&amp;frame=v-w8396f7", "vystoupit (v-w8396f7)")</f>
        <v>vystoupit (v-w8396f7)</v>
      </c>
    </row>
    <row r="59699" customFormat="false" ht="12.8" hidden="false" customHeight="false" outlineLevel="0" collapsed="false">
      <c r="B59699" s="0" t="s">
        <v>1</v>
      </c>
    </row>
    <row r="59700" customFormat="false" ht="12.8" hidden="false" customHeight="false" outlineLevel="0" collapsed="false">
      <c r="B59700" s="0" t="s">
        <v>725</v>
      </c>
    </row>
    <row r="59701" customFormat="false" ht="12.8" hidden="false" customHeight="false" outlineLevel="0" collapsed="false">
      <c r="B59701" s="0" t="s">
        <v>642</v>
      </c>
    </row>
    <row r="59702" customFormat="false" ht="12.8" hidden="false" customHeight="false" outlineLevel="0" collapsed="false">
      <c r="B59702" s="0" t="s">
        <v>646</v>
      </c>
    </row>
    <row r="59703" customFormat="false" ht="12.8" hidden="false" customHeight="false" outlineLevel="0" collapsed="false">
      <c r="B59703" s="0" t="s">
        <v>648</v>
      </c>
    </row>
    <row r="59704" customFormat="false" ht="12.8" hidden="false" customHeight="false" outlineLevel="0" collapsed="false">
      <c r="B59704" s="0" t="s">
        <v>650</v>
      </c>
    </row>
    <row r="59705" customFormat="false" ht="12.8" hidden="false" customHeight="false" outlineLevel="0" collapsed="false">
      <c r="B59705" s="0" t="s">
        <v>652</v>
      </c>
    </row>
    <row r="59707" customFormat="false" ht="12.8" hidden="false" customHeight="false" outlineLevel="0" collapsed="false">
      <c r="A59707" s="0" t="s">
        <v>20163</v>
      </c>
      <c r="B59707" s="0" t="str">
        <f aca="false">HYPERLINK("https://lindat.mff.cuni.cz/services/teitok/pdtc10/index.php?action=vallex&amp;frame=v-w8396hsa_1005", "vystoupit (v-w8396hsa_1005)")</f>
        <v>vystoupit (v-w8396hsa_1005)</v>
      </c>
      <c r="E59707" s="0" t="str">
        <f aca="false">HYPERLINK("https://lindat.mff.cuni.cz/services/SynSemClass40/SynSemClass40.html?veclass=vec00109#vec00109-ces-cm00048", "vec00109")</f>
        <v>vec00109</v>
      </c>
      <c r="F59707" s="0" t="s">
        <v>5143</v>
      </c>
    </row>
    <row r="59708" customFormat="false" ht="12.8" hidden="false" customHeight="false" outlineLevel="0" collapsed="false">
      <c r="B59708" s="0" t="s">
        <v>1</v>
      </c>
      <c r="C59708" s="0" t="s">
        <v>7017</v>
      </c>
      <c r="E59708" s="0" t="s">
        <v>235</v>
      </c>
      <c r="F59708" s="0" t="s">
        <v>5146</v>
      </c>
    </row>
    <row r="59709" customFormat="false" ht="12.8" hidden="false" customHeight="false" outlineLevel="0" collapsed="false">
      <c r="B59709" s="0" t="s">
        <v>69</v>
      </c>
      <c r="C59709" s="0" t="s">
        <v>5148</v>
      </c>
      <c r="E59709" s="0" t="s">
        <v>5149</v>
      </c>
      <c r="F59709" s="0" t="s">
        <v>5150</v>
      </c>
    </row>
    <row r="59710" customFormat="false" ht="12.8" hidden="false" customHeight="false" outlineLevel="0" collapsed="false">
      <c r="B59710" s="0" t="s">
        <v>36</v>
      </c>
      <c r="C59710" s="0" t="s">
        <v>5151</v>
      </c>
      <c r="E59710" s="0" t="s">
        <v>5152</v>
      </c>
      <c r="F59710" s="0" t="s">
        <v>5153</v>
      </c>
    </row>
    <row r="59712" customFormat="false" ht="12.8" hidden="false" customHeight="false" outlineLevel="0" collapsed="false">
      <c r="A59712" s="0" t="s">
        <v>20164</v>
      </c>
      <c r="B59712" s="0" t="str">
        <f aca="false">HYPERLINK("https://lindat.mff.cuni.cz/services/teitok/pdtc10/index.php?action=vallex&amp;frame=v-w8396hsa_874", "vystoupit (v-w8396hsa_874)")</f>
        <v>vystoupit (v-w8396hsa_874)</v>
      </c>
    </row>
    <row r="59713" customFormat="false" ht="12.8" hidden="false" customHeight="false" outlineLevel="0" collapsed="false">
      <c r="B59713" s="0" t="s">
        <v>1</v>
      </c>
    </row>
    <row r="59714" customFormat="false" ht="12.8" hidden="false" customHeight="false" outlineLevel="0" collapsed="false">
      <c r="B59714" s="0" t="s">
        <v>631</v>
      </c>
    </row>
    <row r="59716" customFormat="false" ht="12.8" hidden="false" customHeight="false" outlineLevel="0" collapsed="false">
      <c r="A59716" s="0" t="s">
        <v>20165</v>
      </c>
      <c r="B59716" s="0" t="str">
        <f aca="false">HYPERLINK("https://lindat.mff.cuni.cz/services/teitok/pdtc10/index.php?action=vallex&amp;frame=v-w8396hsa_1004", "vystoupit (v-w8396hsa_1004)")</f>
        <v>vystoupit (v-w8396hsa_1004)</v>
      </c>
    </row>
    <row r="59717" customFormat="false" ht="12.8" hidden="false" customHeight="false" outlineLevel="0" collapsed="false">
      <c r="B59717" s="0" t="s">
        <v>1</v>
      </c>
    </row>
    <row r="59718" customFormat="false" ht="12.8" hidden="false" customHeight="false" outlineLevel="0" collapsed="false">
      <c r="B59718" s="0" t="s">
        <v>2814</v>
      </c>
    </row>
    <row r="59720" customFormat="false" ht="12.8" hidden="false" customHeight="false" outlineLevel="0" collapsed="false">
      <c r="A59720" s="0" t="s">
        <v>20166</v>
      </c>
      <c r="B59720" s="0" t="str">
        <f aca="false">HYPERLINK("https://lindat.mff.cuni.cz/services/teitok/pdtc10/index.php?action=vallex&amp;frame=v-w8398f1", "vystrašit (v-w8398f1)")</f>
        <v>vystrašit (v-w8398f1)</v>
      </c>
      <c r="E59720" s="0" t="str">
        <f aca="false">HYPERLINK("https://lindat.mff.cuni.cz/services/SynSemClass40/SynSemClass40.html?veclass=vec00761#vec00761-ces-cm00001", "vec00761")</f>
        <v>vec00761</v>
      </c>
      <c r="F59720" s="0" t="s">
        <v>4014</v>
      </c>
    </row>
    <row r="59721" customFormat="false" ht="12.8" hidden="false" customHeight="false" outlineLevel="0" collapsed="false">
      <c r="B59721" s="0" t="s">
        <v>1</v>
      </c>
      <c r="C59721" s="0" t="s">
        <v>4015</v>
      </c>
      <c r="E59721" s="0" t="s">
        <v>1103</v>
      </c>
      <c r="F59721" s="0" t="s">
        <v>4016</v>
      </c>
    </row>
    <row r="59722" customFormat="false" ht="12.8" hidden="false" customHeight="false" outlineLevel="0" collapsed="false">
      <c r="B59722" s="0" t="s">
        <v>8</v>
      </c>
      <c r="C59722" s="0" t="s">
        <v>4017</v>
      </c>
      <c r="E59722" s="0" t="s">
        <v>199</v>
      </c>
      <c r="F59722" s="0" t="s">
        <v>4018</v>
      </c>
    </row>
    <row r="59724" customFormat="false" ht="12.8" hidden="false" customHeight="false" outlineLevel="0" collapsed="false">
      <c r="A59724" s="0" t="s">
        <v>20167</v>
      </c>
      <c r="B59724" s="0" t="str">
        <f aca="false">HYPERLINK("https://lindat.mff.cuni.cz/services/teitok/pdtc10/index.php?action=vallex&amp;frame=v-w8400f2", "vystrkovat (v-w8400f2)")</f>
        <v>vystrkovat (v-w8400f2)</v>
      </c>
      <c r="E59724" s="0" t="str">
        <f aca="false">HYPERLINK("https://lindat.mff.cuni.cz/services/SynSemClass40/SynSemClass40.html?veclass=vec01357#vec01357-ces-cm00003", "vec01357")</f>
        <v>vec01357</v>
      </c>
      <c r="F59724" s="0" t="s">
        <v>20168</v>
      </c>
    </row>
    <row r="59725" customFormat="false" ht="12.8" hidden="false" customHeight="false" outlineLevel="0" collapsed="false">
      <c r="B59725" s="0" t="s">
        <v>1</v>
      </c>
      <c r="C59725" s="0" t="s">
        <v>4695</v>
      </c>
      <c r="E59725" s="0" t="s">
        <v>334</v>
      </c>
      <c r="F59725" s="0" t="s">
        <v>5245</v>
      </c>
    </row>
    <row r="59726" customFormat="false" ht="12.8" hidden="false" customHeight="false" outlineLevel="0" collapsed="false">
      <c r="B59726" s="0" t="s">
        <v>8</v>
      </c>
      <c r="C59726" s="0" t="s">
        <v>798</v>
      </c>
      <c r="E59726" s="0" t="s">
        <v>2648</v>
      </c>
      <c r="F59726" s="0" t="s">
        <v>8927</v>
      </c>
    </row>
    <row r="59727" customFormat="false" ht="12.8" hidden="false" customHeight="false" outlineLevel="0" collapsed="false">
      <c r="B59727" s="0" t="s">
        <v>631</v>
      </c>
      <c r="E59727" s="0" t="s">
        <v>1949</v>
      </c>
      <c r="F59727" s="0" t="s">
        <v>2896</v>
      </c>
    </row>
    <row r="59729" customFormat="false" ht="12.8" hidden="false" customHeight="false" outlineLevel="0" collapsed="false">
      <c r="A59729" s="0" t="s">
        <v>20169</v>
      </c>
      <c r="B59729" s="0" t="str">
        <f aca="false">HYPERLINK("https://lindat.mff.cuni.cz/services/teitok/pdtc10/index.php?action=vallex&amp;frame=v-w8400f3", "vystrkovat (v-w8400f3)")</f>
        <v>vystrkovat (v-w8400f3)</v>
      </c>
    </row>
    <row r="59730" customFormat="false" ht="12.8" hidden="false" customHeight="false" outlineLevel="0" collapsed="false">
      <c r="B59730" s="0" t="s">
        <v>1</v>
      </c>
    </row>
    <row r="59731" customFormat="false" ht="12.8" hidden="false" customHeight="false" outlineLevel="0" collapsed="false">
      <c r="B59731" s="0" t="s">
        <v>20170</v>
      </c>
    </row>
    <row r="59733" customFormat="false" ht="12.8" hidden="false" customHeight="false" outlineLevel="0" collapsed="false">
      <c r="A59733" s="0" t="s">
        <v>20169</v>
      </c>
      <c r="B59733" s="0" t="str">
        <f aca="false">HYPERLINK("https://lindat.mff.cuni.cz/services/teitok/pdtc10/index.php?action=vallex&amp;frame=v-w8400f1", "vystrkovat (v-w8400f1) - substituted with v-w8400f3")</f>
        <v>vystrkovat (v-w8400f1) - substituted with v-w8400f3</v>
      </c>
    </row>
    <row r="59734" customFormat="false" ht="12.8" hidden="false" customHeight="false" outlineLevel="0" collapsed="false">
      <c r="B59734" s="0" t="s">
        <v>1</v>
      </c>
    </row>
    <row r="59735" customFormat="false" ht="12.8" hidden="false" customHeight="false" outlineLevel="0" collapsed="false">
      <c r="B59735" s="0" t="s">
        <v>20170</v>
      </c>
    </row>
    <row r="59737" customFormat="false" ht="12.8" hidden="false" customHeight="false" outlineLevel="0" collapsed="false">
      <c r="A59737" s="0" t="s">
        <v>20171</v>
      </c>
      <c r="B59737" s="0" t="str">
        <f aca="false">HYPERLINK("https://lindat.mff.cuni.cz/services/teitok/pdtc10/index.php?action=vallex&amp;frame=v-w10449f2", "vystrnadit (v-w10449f2)")</f>
        <v>vystrnadit (v-w10449f2)</v>
      </c>
    </row>
    <row r="59738" customFormat="false" ht="12.8" hidden="false" customHeight="false" outlineLevel="0" collapsed="false">
      <c r="B59738" s="0" t="s">
        <v>1</v>
      </c>
    </row>
    <row r="59739" customFormat="false" ht="12.8" hidden="false" customHeight="false" outlineLevel="0" collapsed="false">
      <c r="B59739" s="0" t="s">
        <v>8</v>
      </c>
    </row>
    <row r="59740" customFormat="false" ht="12.8" hidden="false" customHeight="false" outlineLevel="0" collapsed="false">
      <c r="B59740" s="0" t="s">
        <v>631</v>
      </c>
    </row>
    <row r="59742" customFormat="false" ht="12.8" hidden="false" customHeight="false" outlineLevel="0" collapsed="false">
      <c r="A59742" s="0" t="s">
        <v>20172</v>
      </c>
      <c r="B59742" s="0" t="str">
        <f aca="false">HYPERLINK("https://lindat.mff.cuni.cz/services/teitok/pdtc10/index.php?action=vallex&amp;frame=v-w8399f1", "vystrčit (v-w8399f1)")</f>
        <v>vystrčit (v-w8399f1)</v>
      </c>
      <c r="E59742" s="0" t="str">
        <f aca="false">HYPERLINK("https://lindat.mff.cuni.cz/services/SynSemClass40/SynSemClass40.html?veclass=vec01357#vec01357-ces-cm00001", "vec01357")</f>
        <v>vec01357</v>
      </c>
      <c r="F59742" s="0" t="s">
        <v>20168</v>
      </c>
    </row>
    <row r="59743" customFormat="false" ht="12.8" hidden="false" customHeight="false" outlineLevel="0" collapsed="false">
      <c r="B59743" s="0" t="s">
        <v>1</v>
      </c>
      <c r="C59743" s="0" t="s">
        <v>4695</v>
      </c>
      <c r="E59743" s="0" t="s">
        <v>334</v>
      </c>
      <c r="F59743" s="0" t="s">
        <v>5245</v>
      </c>
    </row>
    <row r="59744" customFormat="false" ht="12.8" hidden="false" customHeight="false" outlineLevel="0" collapsed="false">
      <c r="B59744" s="0" t="s">
        <v>8</v>
      </c>
      <c r="C59744" s="0" t="s">
        <v>798</v>
      </c>
      <c r="E59744" s="0" t="s">
        <v>2648</v>
      </c>
      <c r="F59744" s="0" t="s">
        <v>8927</v>
      </c>
    </row>
    <row r="59745" customFormat="false" ht="12.8" hidden="false" customHeight="false" outlineLevel="0" collapsed="false">
      <c r="B59745" s="0" t="s">
        <v>631</v>
      </c>
      <c r="E59745" s="0" t="s">
        <v>1949</v>
      </c>
      <c r="F59745" s="0" t="s">
        <v>2896</v>
      </c>
    </row>
    <row r="59747" customFormat="false" ht="12.8" hidden="false" customHeight="false" outlineLevel="0" collapsed="false">
      <c r="A59747" s="0" t="s">
        <v>20173</v>
      </c>
      <c r="B59747" s="0" t="str">
        <f aca="false">HYPERLINK("https://lindat.mff.cuni.cz/services/teitok/pdtc10/index.php?action=vallex&amp;frame=v-w8399f2", "vystrčit (v-w8399f2)")</f>
        <v>vystrčit (v-w8399f2)</v>
      </c>
      <c r="E59747" s="0" t="str">
        <f aca="false">HYPERLINK("https://lindat.mff.cuni.cz/services/SynSemClass40/SynSemClass40.html?veclass=vec01357#vec01357-ces-cm00002", "vec01357")</f>
        <v>vec01357</v>
      </c>
      <c r="F59747" s="0" t="s">
        <v>20168</v>
      </c>
    </row>
    <row r="59748" customFormat="false" ht="12.8" hidden="false" customHeight="false" outlineLevel="0" collapsed="false">
      <c r="B59748" s="0" t="s">
        <v>1</v>
      </c>
      <c r="C59748" s="0" t="s">
        <v>4695</v>
      </c>
      <c r="E59748" s="0" t="s">
        <v>334</v>
      </c>
      <c r="F59748" s="0" t="s">
        <v>5245</v>
      </c>
    </row>
    <row r="59749" customFormat="false" ht="12.8" hidden="false" customHeight="false" outlineLevel="0" collapsed="false">
      <c r="B59749" s="0" t="s">
        <v>8</v>
      </c>
      <c r="C59749" s="0" t="s">
        <v>798</v>
      </c>
      <c r="E59749" s="0" t="s">
        <v>2648</v>
      </c>
      <c r="F59749" s="0" t="s">
        <v>8927</v>
      </c>
    </row>
    <row r="59750" customFormat="false" ht="12.8" hidden="false" customHeight="false" outlineLevel="0" collapsed="false">
      <c r="B59750" s="0" t="s">
        <v>164</v>
      </c>
      <c r="E59750" s="0" t="s">
        <v>1315</v>
      </c>
      <c r="F59750" s="0" t="s">
        <v>1316</v>
      </c>
    </row>
    <row r="59752" customFormat="false" ht="12.8" hidden="false" customHeight="false" outlineLevel="0" collapsed="false">
      <c r="A59752" s="0" t="s">
        <v>20174</v>
      </c>
      <c r="B59752" s="0" t="str">
        <f aca="false">HYPERLINK("https://lindat.mff.cuni.cz/services/teitok/pdtc10/index.php?action=vallex&amp;frame=v-w8410f2_ZU", "vystudovat (v-w8410f2_ZU)")</f>
        <v>vystudovat (v-w8410f2_ZU)</v>
      </c>
    </row>
    <row r="59753" customFormat="false" ht="12.8" hidden="false" customHeight="false" outlineLevel="0" collapsed="false">
      <c r="B59753" s="0" t="s">
        <v>1</v>
      </c>
    </row>
    <row r="59754" customFormat="false" ht="12.8" hidden="false" customHeight="false" outlineLevel="0" collapsed="false">
      <c r="B59754" s="0" t="s">
        <v>8</v>
      </c>
    </row>
    <row r="59756" customFormat="false" ht="12.8" hidden="false" customHeight="false" outlineLevel="0" collapsed="false">
      <c r="A59756" s="0" t="s">
        <v>20174</v>
      </c>
      <c r="B59756" s="0" t="str">
        <f aca="false">HYPERLINK("https://lindat.mff.cuni.cz/services/teitok/pdtc10/index.php?action=vallex&amp;frame=v-w8410f1", "vystudovat (v-w8410f1) - substituted with v-w8410f2_ZU")</f>
        <v>vystudovat (v-w8410f1) - substituted with v-w8410f2_ZU</v>
      </c>
      <c r="E59756" s="0" t="str">
        <f aca="false">HYPERLINK("https://lindat.mff.cuni.cz/services/SynSemClass40/SynSemClass40.html?veclass=vec00527#vec00527-ces-cm00013", "vec00527")</f>
        <v>vec00527</v>
      </c>
      <c r="F59756" s="0" t="s">
        <v>16680</v>
      </c>
    </row>
    <row r="59757" customFormat="false" ht="12.8" hidden="false" customHeight="false" outlineLevel="0" collapsed="false">
      <c r="B59757" s="0" t="s">
        <v>1</v>
      </c>
      <c r="C59757" s="0" t="s">
        <v>16681</v>
      </c>
      <c r="E59757" s="0" t="s">
        <v>621</v>
      </c>
      <c r="F59757" s="0" t="s">
        <v>16682</v>
      </c>
    </row>
    <row r="59758" customFormat="false" ht="12.8" hidden="false" customHeight="false" outlineLevel="0" collapsed="false">
      <c r="B59758" s="0" t="s">
        <v>8</v>
      </c>
      <c r="C59758" s="0" t="s">
        <v>16683</v>
      </c>
      <c r="E59758" s="0" t="s">
        <v>16262</v>
      </c>
      <c r="F59758" s="0" t="s">
        <v>16684</v>
      </c>
    </row>
    <row r="59760" customFormat="false" ht="12.8" hidden="false" customHeight="false" outlineLevel="0" collapsed="false">
      <c r="A59760" s="0" t="s">
        <v>20175</v>
      </c>
      <c r="B59760" s="0" t="str">
        <f aca="false">HYPERLINK("https://lindat.mff.cuni.cz/services/teitok/pdtc10/index.php?action=vallex&amp;frame=v-w8415f9_ZU", "vystupovat (v-w8415f9_ZU)")</f>
        <v>vystupovat (v-w8415f9_ZU)</v>
      </c>
    </row>
    <row r="59761" customFormat="false" ht="12.8" hidden="false" customHeight="false" outlineLevel="0" collapsed="false">
      <c r="B59761" s="0" t="s">
        <v>1</v>
      </c>
    </row>
    <row r="59762" customFormat="false" ht="12.8" hidden="false" customHeight="false" outlineLevel="0" collapsed="false">
      <c r="B59762" s="0" t="s">
        <v>20176</v>
      </c>
    </row>
    <row r="59764" customFormat="false" ht="12.8" hidden="false" customHeight="false" outlineLevel="0" collapsed="false">
      <c r="A59764" s="0" t="s">
        <v>20175</v>
      </c>
      <c r="B59764" s="0" t="str">
        <f aca="false">HYPERLINK("https://lindat.mff.cuni.cz/services/teitok/pdtc10/index.php?action=vallex&amp;frame=v-w8415f3", "vystupovat (v-w8415f3) - substituted with v-w8415f9_ZU")</f>
        <v>vystupovat (v-w8415f3) - substituted with v-w8415f9_ZU</v>
      </c>
      <c r="E59764" s="0" t="str">
        <f aca="false">HYPERLINK("https://lindat.mff.cuni.cz/services/SynSemClass40/SynSemClass40.html?veclass=vec00461#vec00461-ces-cm00017", "vec00461")</f>
        <v>vec00461</v>
      </c>
      <c r="F59764" s="0" t="s">
        <v>476</v>
      </c>
    </row>
    <row r="59765" customFormat="false" ht="12.8" hidden="false" customHeight="false" outlineLevel="0" collapsed="false">
      <c r="B59765" s="0" t="s">
        <v>1</v>
      </c>
      <c r="C59765" s="0" t="s">
        <v>477</v>
      </c>
      <c r="E59765" s="0" t="s">
        <v>478</v>
      </c>
      <c r="F59765" s="0" t="s">
        <v>479</v>
      </c>
    </row>
    <row r="59766" customFormat="false" ht="12.8" hidden="false" customHeight="false" outlineLevel="0" collapsed="false">
      <c r="B59766" s="0" t="s">
        <v>20176</v>
      </c>
      <c r="C59766" s="0" t="s">
        <v>9606</v>
      </c>
      <c r="E59766" s="0" t="s">
        <v>4306</v>
      </c>
      <c r="F59766" s="0" t="s">
        <v>4307</v>
      </c>
    </row>
    <row r="59768" customFormat="false" ht="12.8" hidden="false" customHeight="false" outlineLevel="0" collapsed="false">
      <c r="A59768" s="0" t="s">
        <v>20177</v>
      </c>
      <c r="B59768" s="0" t="str">
        <f aca="false">HYPERLINK("https://lindat.mff.cuni.cz/services/teitok/pdtc10/index.php?action=vallex&amp;frame=v-w8415f2", "vystupovat (v-w8415f2)")</f>
        <v>vystupovat (v-w8415f2)</v>
      </c>
      <c r="E59768" s="0" t="str">
        <f aca="false">HYPERLINK("https://lindat.mff.cuni.cz/services/SynSemClass40/SynSemClass40.html?veclass=vec00611#vec00611-ces-cm00109", "vec00611")</f>
        <v>vec00611</v>
      </c>
      <c r="F59768" s="0" t="s">
        <v>1828</v>
      </c>
      <c r="H59768" s="0" t="str">
        <f aca="false">HYPERLINK("https://lindat.mff.cuni.cz/services/SynSemClass40/SynSemClass40.html?veclass=vec01493#vec01493-ces-cm00045", "vec01493")</f>
        <v>vec01493</v>
      </c>
      <c r="I59768" s="0" t="s">
        <v>4506</v>
      </c>
    </row>
    <row r="59769" customFormat="false" ht="12.8" hidden="false" customHeight="false" outlineLevel="0" collapsed="false">
      <c r="B59769" s="0" t="s">
        <v>1</v>
      </c>
      <c r="C59769" s="0" t="s">
        <v>20178</v>
      </c>
      <c r="E59769" s="0" t="s">
        <v>1830</v>
      </c>
      <c r="F59769" s="0" t="s">
        <v>1831</v>
      </c>
      <c r="H59769" s="0" t="s">
        <v>31</v>
      </c>
      <c r="I59769" s="0" t="s">
        <v>4507</v>
      </c>
    </row>
    <row r="59770" customFormat="false" ht="12.8" hidden="false" customHeight="false" outlineLevel="0" collapsed="false">
      <c r="B59770" s="0" t="s">
        <v>5</v>
      </c>
      <c r="C59770" s="0" t="s">
        <v>20179</v>
      </c>
      <c r="E59770" s="0" t="s">
        <v>20180</v>
      </c>
      <c r="F59770" s="0" t="s">
        <v>20181</v>
      </c>
      <c r="H59770" s="0" t="s">
        <v>3254</v>
      </c>
      <c r="I59770" s="0" t="s">
        <v>3255</v>
      </c>
    </row>
    <row r="59772" customFormat="false" ht="12.8" hidden="false" customHeight="false" outlineLevel="0" collapsed="false">
      <c r="A59772" s="0" t="s">
        <v>20182</v>
      </c>
      <c r="B59772" s="0" t="str">
        <f aca="false">HYPERLINK("https://lindat.mff.cuni.cz/services/teitok/pdtc10/index.php?action=vallex&amp;frame=v-w8415f5", "vystupovat (v-w8415f5)")</f>
        <v>vystupovat (v-w8415f5)</v>
      </c>
      <c r="E59772" s="0" t="str">
        <f aca="false">HYPERLINK("https://lindat.mff.cuni.cz/services/SynSemClass40/SynSemClass40.html?veclass=vec00048#vec00048-ces-cm00201", "vec00048")</f>
        <v>vec00048</v>
      </c>
      <c r="F59772" s="0" t="s">
        <v>1945</v>
      </c>
    </row>
    <row r="59773" customFormat="false" ht="12.8" hidden="false" customHeight="false" outlineLevel="0" collapsed="false">
      <c r="B59773" s="0" t="s">
        <v>1</v>
      </c>
      <c r="C59773" s="0" t="s">
        <v>1946</v>
      </c>
      <c r="E59773" s="0" t="s">
        <v>334</v>
      </c>
      <c r="F59773" s="0" t="s">
        <v>1947</v>
      </c>
    </row>
    <row r="59774" customFormat="false" ht="12.8" hidden="false" customHeight="false" outlineLevel="0" collapsed="false">
      <c r="B59774" s="0" t="s">
        <v>631</v>
      </c>
      <c r="C59774" s="0" t="s">
        <v>1948</v>
      </c>
      <c r="E59774" s="0" t="s">
        <v>1949</v>
      </c>
      <c r="F59774" s="0" t="s">
        <v>1950</v>
      </c>
    </row>
    <row r="59776" customFormat="false" ht="12.8" hidden="false" customHeight="false" outlineLevel="0" collapsed="false">
      <c r="A59776" s="0" t="s">
        <v>20183</v>
      </c>
      <c r="B59776" s="0" t="str">
        <f aca="false">HYPERLINK("https://lindat.mff.cuni.cz/services/teitok/pdtc10/index.php?action=vallex&amp;frame=v-w8415f1", "vystupovat (v-w8415f1)")</f>
        <v>vystupovat (v-w8415f1)</v>
      </c>
    </row>
    <row r="59777" customFormat="false" ht="12.8" hidden="false" customHeight="false" outlineLevel="0" collapsed="false">
      <c r="B59777" s="0" t="s">
        <v>1</v>
      </c>
    </row>
    <row r="59779" customFormat="false" ht="12.8" hidden="false" customHeight="false" outlineLevel="0" collapsed="false">
      <c r="A59779" s="0" t="s">
        <v>20184</v>
      </c>
      <c r="B59779" s="0" t="str">
        <f aca="false">HYPERLINK("https://lindat.mff.cuni.cz/services/teitok/pdtc10/index.php?action=vallex&amp;frame=v-w8415f4", "vystupovat (v-w8415f4)")</f>
        <v>vystupovat (v-w8415f4)</v>
      </c>
      <c r="E59779" s="0" t="str">
        <f aca="false">HYPERLINK("https://lindat.mff.cuni.cz/services/SynSemClass40/SynSemClass40.html?veclass=vec00225#vec00225-ces-cm00028", "vec00225")</f>
        <v>vec00225</v>
      </c>
      <c r="F59779" s="0" t="s">
        <v>1453</v>
      </c>
    </row>
    <row r="59780" customFormat="false" ht="12.8" hidden="false" customHeight="false" outlineLevel="0" collapsed="false">
      <c r="B59780" s="0" t="s">
        <v>1</v>
      </c>
      <c r="C59780" s="0" t="s">
        <v>4910</v>
      </c>
      <c r="E59780" s="0" t="s">
        <v>11</v>
      </c>
      <c r="F59780" s="0" t="s">
        <v>1456</v>
      </c>
    </row>
    <row r="59781" customFormat="false" ht="12.8" hidden="false" customHeight="false" outlineLevel="0" collapsed="false">
      <c r="B59781" s="0" t="s">
        <v>725</v>
      </c>
    </row>
    <row r="59782" customFormat="false" ht="12.8" hidden="false" customHeight="false" outlineLevel="0" collapsed="false">
      <c r="B59782" s="0" t="s">
        <v>642</v>
      </c>
      <c r="E59782" s="0" t="s">
        <v>930</v>
      </c>
      <c r="F59782" s="0" t="s">
        <v>20185</v>
      </c>
    </row>
    <row r="59783" customFormat="false" ht="12.8" hidden="false" customHeight="false" outlineLevel="0" collapsed="false">
      <c r="B59783" s="0" t="s">
        <v>648</v>
      </c>
    </row>
    <row r="59784" customFormat="false" ht="12.8" hidden="false" customHeight="false" outlineLevel="0" collapsed="false">
      <c r="B59784" s="0" t="s">
        <v>650</v>
      </c>
    </row>
    <row r="59785" customFormat="false" ht="12.8" hidden="false" customHeight="false" outlineLevel="0" collapsed="false">
      <c r="B59785" s="0" t="s">
        <v>652</v>
      </c>
    </row>
    <row r="59787" customFormat="false" ht="12.8" hidden="false" customHeight="false" outlineLevel="0" collapsed="false">
      <c r="A59787" s="0" t="s">
        <v>20186</v>
      </c>
      <c r="B59787" s="0" t="str">
        <f aca="false">HYPERLINK("https://lindat.mff.cuni.cz/services/teitok/pdtc10/index.php?action=vallex&amp;frame=v-w8415f7", "vystupovat (v-w8415f7)")</f>
        <v>vystupovat (v-w8415f7)</v>
      </c>
    </row>
    <row r="59788" customFormat="false" ht="12.8" hidden="false" customHeight="false" outlineLevel="0" collapsed="false">
      <c r="B59788" s="0" t="s">
        <v>1</v>
      </c>
    </row>
    <row r="59789" customFormat="false" ht="12.8" hidden="false" customHeight="false" outlineLevel="0" collapsed="false">
      <c r="B59789" s="0" t="s">
        <v>20187</v>
      </c>
    </row>
    <row r="59791" customFormat="false" ht="12.8" hidden="false" customHeight="false" outlineLevel="0" collapsed="false">
      <c r="A59791" s="0" t="s">
        <v>20188</v>
      </c>
      <c r="B59791" s="0" t="str">
        <f aca="false">HYPERLINK("https://lindat.mff.cuni.cz/services/teitok/pdtc10/index.php?action=vallex&amp;frame=v-w8415f6", "vystupovat (v-w8415f6)")</f>
        <v>vystupovat (v-w8415f6)</v>
      </c>
    </row>
    <row r="59792" customFormat="false" ht="12.8" hidden="false" customHeight="false" outlineLevel="0" collapsed="false">
      <c r="B59792" s="0" t="s">
        <v>1</v>
      </c>
    </row>
    <row r="59793" customFormat="false" ht="12.8" hidden="false" customHeight="false" outlineLevel="0" collapsed="false">
      <c r="B59793" s="0" t="s">
        <v>19391</v>
      </c>
    </row>
    <row r="59795" customFormat="false" ht="12.8" hidden="false" customHeight="false" outlineLevel="0" collapsed="false">
      <c r="A59795" s="0" t="s">
        <v>20189</v>
      </c>
      <c r="B59795" s="0" t="str">
        <f aca="false">HYPERLINK("https://lindat.mff.cuni.cz/services/teitok/pdtc10/index.php?action=vallex&amp;frame=v-w8415hsa_712", "vystupovat (v-w8415hsa_712)")</f>
        <v>vystupovat (v-w8415hsa_712)</v>
      </c>
    </row>
    <row r="59796" customFormat="false" ht="12.8" hidden="false" customHeight="false" outlineLevel="0" collapsed="false">
      <c r="B59796" s="0" t="s">
        <v>1</v>
      </c>
    </row>
    <row r="59797" customFormat="false" ht="12.8" hidden="false" customHeight="false" outlineLevel="0" collapsed="false">
      <c r="B59797" s="0" t="s">
        <v>5</v>
      </c>
    </row>
    <row r="59799" customFormat="false" ht="12.8" hidden="false" customHeight="false" outlineLevel="0" collapsed="false">
      <c r="A59799" s="0" t="s">
        <v>20190</v>
      </c>
      <c r="B59799" s="0" t="str">
        <f aca="false">HYPERLINK("https://lindat.mff.cuni.cz/services/teitok/pdtc10/index.php?action=vallex&amp;frame=v-w8415hsa_713", "vystupovat (v-w8415hsa_713)")</f>
        <v>vystupovat (v-w8415hsa_713)</v>
      </c>
    </row>
    <row r="59800" customFormat="false" ht="12.8" hidden="false" customHeight="false" outlineLevel="0" collapsed="false">
      <c r="B59800" s="0" t="s">
        <v>1</v>
      </c>
    </row>
    <row r="59801" customFormat="false" ht="12.8" hidden="false" customHeight="false" outlineLevel="0" collapsed="false">
      <c r="B59801" s="0" t="s">
        <v>164</v>
      </c>
    </row>
    <row r="59803" customFormat="false" ht="12.8" hidden="false" customHeight="false" outlineLevel="0" collapsed="false">
      <c r="A59803" s="0" t="s">
        <v>20191</v>
      </c>
      <c r="B59803" s="0" t="str">
        <f aca="false">HYPERLINK("https://lindat.mff.cuni.cz/services/teitok/pdtc10/index.php?action=vallex&amp;frame=v-w8415f8_ZU", "vystupovat (v-w8415f8_ZU)")</f>
        <v>vystupovat (v-w8415f8_ZU)</v>
      </c>
    </row>
    <row r="59804" customFormat="false" ht="12.8" hidden="false" customHeight="false" outlineLevel="0" collapsed="false">
      <c r="B59804" s="0" t="s">
        <v>1</v>
      </c>
    </row>
    <row r="59805" customFormat="false" ht="12.8" hidden="false" customHeight="false" outlineLevel="0" collapsed="false">
      <c r="B59805" s="0" t="s">
        <v>20192</v>
      </c>
    </row>
    <row r="59807" customFormat="false" ht="12.8" hidden="false" customHeight="false" outlineLevel="0" collapsed="false">
      <c r="A59807" s="0" t="s">
        <v>20191</v>
      </c>
      <c r="B59807" s="0" t="str">
        <f aca="false">HYPERLINK("https://lindat.mff.cuni.cz/services/teitok/pdtc10/index.php?action=vallex&amp;frame=v-w8415hsa_714", "vystupovat (v-w8415hsa_714) - substituted with v-w8415f8_ZU")</f>
        <v>vystupovat (v-w8415hsa_714) - substituted with v-w8415f8_ZU</v>
      </c>
    </row>
    <row r="59808" customFormat="false" ht="12.8" hidden="false" customHeight="false" outlineLevel="0" collapsed="false">
      <c r="B59808" s="0" t="s">
        <v>1</v>
      </c>
    </row>
    <row r="59809" customFormat="false" ht="12.8" hidden="false" customHeight="false" outlineLevel="0" collapsed="false">
      <c r="B59809" s="0" t="s">
        <v>20192</v>
      </c>
    </row>
    <row r="59811" customFormat="false" ht="12.8" hidden="false" customHeight="false" outlineLevel="0" collapsed="false">
      <c r="A59811" s="0" t="s">
        <v>20193</v>
      </c>
      <c r="B59811" s="0" t="str">
        <f aca="false">HYPERLINK("https://lindat.mff.cuni.cz/services/teitok/pdtc10/index.php?action=vallex&amp;frame=v-w8413f1", "vystupňovat (v-w8413f1)")</f>
        <v>vystupňovat (v-w8413f1)</v>
      </c>
      <c r="E59811" s="0" t="str">
        <f aca="false">HYPERLINK("https://lindat.mff.cuni.cz/services/SynSemClass40/SynSemClass40.html?veclass=vec00298#vec00298-ces-cm00136", "vec00298")</f>
        <v>vec00298</v>
      </c>
      <c r="F59811" s="0" t="s">
        <v>7194</v>
      </c>
    </row>
    <row r="59812" customFormat="false" ht="12.8" hidden="false" customHeight="false" outlineLevel="0" collapsed="false">
      <c r="B59812" s="0" t="s">
        <v>1</v>
      </c>
      <c r="C59812" s="0" t="s">
        <v>7195</v>
      </c>
      <c r="E59812" s="0" t="s">
        <v>31</v>
      </c>
      <c r="F59812" s="0" t="s">
        <v>7196</v>
      </c>
    </row>
    <row r="59813" customFormat="false" ht="12.8" hidden="false" customHeight="false" outlineLevel="0" collapsed="false">
      <c r="B59813" s="0" t="s">
        <v>8</v>
      </c>
      <c r="C59813" s="0" t="s">
        <v>7197</v>
      </c>
      <c r="E59813" s="0" t="s">
        <v>1569</v>
      </c>
      <c r="F59813" s="0" t="s">
        <v>7198</v>
      </c>
    </row>
    <row r="59815" customFormat="false" ht="12.8" hidden="false" customHeight="false" outlineLevel="0" collapsed="false">
      <c r="A59815" s="0" t="s">
        <v>20194</v>
      </c>
      <c r="B59815" s="0" t="str">
        <f aca="false">HYPERLINK("https://lindat.mff.cuni.cz/services/teitok/pdtc10/index.php?action=vallex&amp;frame=v-whsa_370hsa_371", "vystupňovat se (v-whsa_370hsa_371)")</f>
        <v>vystupňovat se (v-whsa_370hsa_371)</v>
      </c>
      <c r="E59815" s="0" t="str">
        <f aca="false">HYPERLINK("https://lindat.mff.cuni.cz/services/SynSemClass40/SynSemClass40.html?veclass=vec01498#vec01498-ces-cm00010", "vec01498")</f>
        <v>vec01498</v>
      </c>
      <c r="F59815" s="0" t="s">
        <v>7511</v>
      </c>
    </row>
    <row r="59816" customFormat="false" ht="12.8" hidden="false" customHeight="false" outlineLevel="0" collapsed="false">
      <c r="B59816" s="0" t="s">
        <v>1</v>
      </c>
      <c r="C59816" s="0" t="s">
        <v>7512</v>
      </c>
      <c r="E59816" s="0" t="s">
        <v>84</v>
      </c>
      <c r="F59816" s="0" t="s">
        <v>7513</v>
      </c>
    </row>
    <row r="59818" customFormat="false" ht="12.8" hidden="false" customHeight="false" outlineLevel="0" collapsed="false">
      <c r="A59818" s="0" t="s">
        <v>20195</v>
      </c>
      <c r="B59818" s="0" t="str">
        <f aca="false">HYPERLINK("https://lindat.mff.cuni.cz/services/teitok/pdtc10/index.php?action=vallex&amp;frame=v-w12005_ZUf1_ZU", "vystydnout (v-w12005_ZUf1_ZU)")</f>
        <v>vystydnout (v-w12005_ZUf1_ZU)</v>
      </c>
    </row>
    <row r="59819" customFormat="false" ht="12.8" hidden="false" customHeight="false" outlineLevel="0" collapsed="false">
      <c r="B59819" s="0" t="s">
        <v>1</v>
      </c>
    </row>
    <row r="59821" customFormat="false" ht="12.8" hidden="false" customHeight="false" outlineLevel="0" collapsed="false">
      <c r="A59821" s="0" t="s">
        <v>20196</v>
      </c>
      <c r="B59821" s="0" t="str">
        <f aca="false">HYPERLINK("https://lindat.mff.cuni.cz/services/teitok/pdtc10/index.php?action=vallex&amp;frame=v-w10378f2", "vystát (v-w10378f2)")</f>
        <v>vystát (v-w10378f2)</v>
      </c>
      <c r="E59821" s="0" t="str">
        <f aca="false">HYPERLINK("https://lindat.mff.cuni.cz/services/SynSemClass40/SynSemClass40.html?veclass=vec00970#vec00970-ces-cm00001", "vec00970")</f>
        <v>vec00970</v>
      </c>
      <c r="F59821" s="0" t="s">
        <v>11407</v>
      </c>
    </row>
    <row r="59822" customFormat="false" ht="12.8" hidden="false" customHeight="false" outlineLevel="0" collapsed="false">
      <c r="B59822" s="0" t="s">
        <v>1</v>
      </c>
      <c r="C59822" s="0" t="s">
        <v>3000</v>
      </c>
      <c r="E59822" s="0" t="s">
        <v>266</v>
      </c>
      <c r="F59822" s="0" t="s">
        <v>11408</v>
      </c>
    </row>
    <row r="59823" customFormat="false" ht="12.8" hidden="false" customHeight="false" outlineLevel="0" collapsed="false">
      <c r="B59823" s="0" t="s">
        <v>8</v>
      </c>
      <c r="C59823" s="0" t="s">
        <v>531</v>
      </c>
      <c r="E59823" s="0" t="s">
        <v>532</v>
      </c>
      <c r="F59823" s="0" t="s">
        <v>11409</v>
      </c>
    </row>
    <row r="59825" customFormat="false" ht="12.8" hidden="false" customHeight="false" outlineLevel="0" collapsed="false">
      <c r="A59825" s="0" t="s">
        <v>20197</v>
      </c>
      <c r="B59825" s="0" t="str">
        <f aca="false">HYPERLINK("https://lindat.mff.cuni.cz/services/teitok/pdtc10/index.php?action=vallex&amp;frame=v-w10378f3_ZU", "vystát (v-w10378f3_ZU)")</f>
        <v>vystát (v-w10378f3_ZU)</v>
      </c>
    </row>
    <row r="59826" customFormat="false" ht="12.8" hidden="false" customHeight="false" outlineLevel="0" collapsed="false">
      <c r="B59826" s="0" t="s">
        <v>1</v>
      </c>
    </row>
    <row r="59827" customFormat="false" ht="12.8" hidden="false" customHeight="false" outlineLevel="0" collapsed="false">
      <c r="B59827" s="0" t="s">
        <v>8</v>
      </c>
    </row>
    <row r="59829" customFormat="false" ht="12.8" hidden="false" customHeight="false" outlineLevel="0" collapsed="false">
      <c r="A59829" s="0" t="s">
        <v>20198</v>
      </c>
      <c r="B59829" s="0" t="str">
        <f aca="false">HYPERLINK("https://lindat.mff.cuni.cz/services/teitok/pdtc10/index.php?action=vallex&amp;frame=v-w8388f1", "vystěhovat (v-w8388f1)")</f>
        <v>vystěhovat (v-w8388f1)</v>
      </c>
    </row>
    <row r="59830" customFormat="false" ht="12.8" hidden="false" customHeight="false" outlineLevel="0" collapsed="false">
      <c r="B59830" s="0" t="s">
        <v>1</v>
      </c>
    </row>
    <row r="59831" customFormat="false" ht="12.8" hidden="false" customHeight="false" outlineLevel="0" collapsed="false">
      <c r="B59831" s="0" t="s">
        <v>8</v>
      </c>
    </row>
    <row r="59832" customFormat="false" ht="12.8" hidden="false" customHeight="false" outlineLevel="0" collapsed="false">
      <c r="B59832" s="0" t="s">
        <v>631</v>
      </c>
    </row>
    <row r="59834" customFormat="false" ht="12.8" hidden="false" customHeight="false" outlineLevel="0" collapsed="false">
      <c r="A59834" s="0" t="s">
        <v>20199</v>
      </c>
      <c r="B59834" s="0" t="str">
        <f aca="false">HYPERLINK("https://lindat.mff.cuni.cz/services/teitok/pdtc10/index.php?action=vallex&amp;frame=v-w8389f1", "vystěhovat se (v-w8389f1)")</f>
        <v>vystěhovat se (v-w8389f1)</v>
      </c>
      <c r="E59834" s="0" t="str">
        <f aca="false">HYPERLINK("https://lindat.mff.cuni.cz/services/SynSemClass40/SynSemClass40.html?veclass=vec00048#vec00048-ces-cm00199", "vec00048")</f>
        <v>vec00048</v>
      </c>
      <c r="F59834" s="0" t="s">
        <v>1945</v>
      </c>
    </row>
    <row r="59835" customFormat="false" ht="12.8" hidden="false" customHeight="false" outlineLevel="0" collapsed="false">
      <c r="B59835" s="0" t="s">
        <v>1</v>
      </c>
      <c r="C59835" s="0" t="s">
        <v>1946</v>
      </c>
      <c r="E59835" s="0" t="s">
        <v>334</v>
      </c>
      <c r="F59835" s="0" t="s">
        <v>1947</v>
      </c>
    </row>
    <row r="59836" customFormat="false" ht="12.8" hidden="false" customHeight="false" outlineLevel="0" collapsed="false">
      <c r="B59836" s="0" t="s">
        <v>631</v>
      </c>
      <c r="C59836" s="0" t="s">
        <v>1948</v>
      </c>
      <c r="E59836" s="0" t="s">
        <v>1949</v>
      </c>
      <c r="F59836" s="0" t="s">
        <v>1950</v>
      </c>
    </row>
    <row r="59838" customFormat="false" ht="12.8" hidden="false" customHeight="false" outlineLevel="0" collapsed="false">
      <c r="A59838" s="0" t="s">
        <v>20200</v>
      </c>
      <c r="B59838" s="0" t="str">
        <f aca="false">HYPERLINK("https://lindat.mff.cuni.cz/services/teitok/pdtc10/index.php?action=vallex&amp;frame=v-w11769_ZUf2_ZU", "vystěhovávat (v-w11769_ZUf2_ZU)")</f>
        <v>vystěhovávat (v-w11769_ZUf2_ZU)</v>
      </c>
    </row>
    <row r="59839" customFormat="false" ht="12.8" hidden="false" customHeight="false" outlineLevel="0" collapsed="false">
      <c r="B59839" s="0" t="s">
        <v>1</v>
      </c>
    </row>
    <row r="59840" customFormat="false" ht="12.8" hidden="false" customHeight="false" outlineLevel="0" collapsed="false">
      <c r="B59840" s="0" t="s">
        <v>8</v>
      </c>
    </row>
    <row r="59841" customFormat="false" ht="12.8" hidden="false" customHeight="false" outlineLevel="0" collapsed="false">
      <c r="B59841" s="0" t="s">
        <v>6273</v>
      </c>
    </row>
    <row r="59843" customFormat="false" ht="12.8" hidden="false" customHeight="false" outlineLevel="0" collapsed="false">
      <c r="A59843" s="0" t="s">
        <v>20200</v>
      </c>
      <c r="B59843" s="0" t="str">
        <f aca="false">HYPERLINK("https://lindat.mff.cuni.cz/services/teitok/pdtc10/index.php?action=vallex&amp;frame=v-w11769_ZUf1_ZU", "vystěhovávat (v-w11769_ZUf1_ZU) - substituted with v-w11769_ZUf2_ZU")</f>
        <v>vystěhovávat (v-w11769_ZUf1_ZU) - substituted with v-w11769_ZUf2_ZU</v>
      </c>
    </row>
    <row r="59844" customFormat="false" ht="12.8" hidden="false" customHeight="false" outlineLevel="0" collapsed="false">
      <c r="B59844" s="0" t="s">
        <v>1</v>
      </c>
    </row>
    <row r="59845" customFormat="false" ht="12.8" hidden="false" customHeight="false" outlineLevel="0" collapsed="false">
      <c r="B59845" s="0" t="s">
        <v>8</v>
      </c>
    </row>
    <row r="59846" customFormat="false" ht="12.8" hidden="false" customHeight="false" outlineLevel="0" collapsed="false">
      <c r="B59846" s="0" t="s">
        <v>6273</v>
      </c>
    </row>
    <row r="59848" customFormat="false" ht="12.8" hidden="false" customHeight="false" outlineLevel="0" collapsed="false">
      <c r="A59848" s="0" t="s">
        <v>20201</v>
      </c>
      <c r="B59848" s="0" t="str">
        <f aca="false">HYPERLINK("https://lindat.mff.cuni.cz/services/teitok/pdtc10/index.php?action=vallex&amp;frame=v-w8401f1", "vystřelit (v-w8401f1)")</f>
        <v>vystřelit (v-w8401f1)</v>
      </c>
      <c r="E59848" s="0" t="str">
        <f aca="false">HYPERLINK("https://lindat.mff.cuni.cz/services/SynSemClass40/SynSemClass40.html?veclass=vec00762#vec00762-ces-cm00001", "vec00762")</f>
        <v>vec00762</v>
      </c>
      <c r="F59848" s="0" t="s">
        <v>20202</v>
      </c>
    </row>
    <row r="59849" customFormat="false" ht="12.8" hidden="false" customHeight="false" outlineLevel="0" collapsed="false">
      <c r="B59849" s="0" t="s">
        <v>1</v>
      </c>
      <c r="C59849" s="0" t="s">
        <v>512</v>
      </c>
      <c r="E59849" s="0" t="s">
        <v>31</v>
      </c>
      <c r="F59849" s="0" t="s">
        <v>513</v>
      </c>
    </row>
    <row r="59850" customFormat="false" ht="12.8" hidden="false" customHeight="false" outlineLevel="0" collapsed="false">
      <c r="B59850" s="0" t="s">
        <v>8</v>
      </c>
      <c r="C59850" s="0" t="s">
        <v>800</v>
      </c>
      <c r="E59850" s="0" t="s">
        <v>16811</v>
      </c>
      <c r="F59850" s="0" t="s">
        <v>20203</v>
      </c>
    </row>
    <row r="59852" customFormat="false" ht="12.8" hidden="false" customHeight="false" outlineLevel="0" collapsed="false">
      <c r="A59852" s="0" t="s">
        <v>20204</v>
      </c>
      <c r="B59852" s="0" t="str">
        <f aca="false">HYPERLINK("https://lindat.mff.cuni.cz/services/teitok/pdtc10/index.php?action=vallex&amp;frame=v-w8401f3", "vystřelit (v-w8401f3)")</f>
        <v>vystřelit (v-w8401f3)</v>
      </c>
    </row>
    <row r="59853" customFormat="false" ht="12.8" hidden="false" customHeight="false" outlineLevel="0" collapsed="false">
      <c r="B59853" s="0" t="s">
        <v>1</v>
      </c>
    </row>
    <row r="59854" customFormat="false" ht="12.8" hidden="false" customHeight="false" outlineLevel="0" collapsed="false">
      <c r="B59854" s="0" t="s">
        <v>8</v>
      </c>
    </row>
    <row r="59856" customFormat="false" ht="12.8" hidden="false" customHeight="false" outlineLevel="0" collapsed="false">
      <c r="A59856" s="0" t="s">
        <v>20205</v>
      </c>
      <c r="B59856" s="0" t="str">
        <f aca="false">HYPERLINK("https://lindat.mff.cuni.cz/services/teitok/pdtc10/index.php?action=vallex&amp;frame=v-w8401f2", "vystřelit (v-w8401f2)")</f>
        <v>vystřelit (v-w8401f2)</v>
      </c>
    </row>
    <row r="59857" customFormat="false" ht="12.8" hidden="false" customHeight="false" outlineLevel="0" collapsed="false">
      <c r="B59857" s="0" t="s">
        <v>1</v>
      </c>
    </row>
    <row r="59858" customFormat="false" ht="12.8" hidden="false" customHeight="false" outlineLevel="0" collapsed="false">
      <c r="B59858" s="0" t="s">
        <v>164</v>
      </c>
    </row>
    <row r="59860" customFormat="false" ht="12.8" hidden="false" customHeight="false" outlineLevel="0" collapsed="false">
      <c r="A59860" s="0" t="s">
        <v>20206</v>
      </c>
      <c r="B59860" s="0" t="str">
        <f aca="false">HYPERLINK("https://lindat.mff.cuni.cz/services/teitok/pdtc10/index.php?action=vallex&amp;frame=v-w8401hsa_556", "vystřelit (v-w8401hsa_556)")</f>
        <v>vystřelit (v-w8401hsa_556)</v>
      </c>
      <c r="E59860" s="0" t="str">
        <f aca="false">HYPERLINK("https://lindat.mff.cuni.cz/services/SynSemClass40/SynSemClass40.html?veclass=vec00109#vec00109-ces-cm00156", "vec00109")</f>
        <v>vec00109</v>
      </c>
      <c r="F59860" s="0" t="s">
        <v>5143</v>
      </c>
    </row>
    <row r="59861" customFormat="false" ht="12.8" hidden="false" customHeight="false" outlineLevel="0" collapsed="false">
      <c r="B59861" s="0" t="s">
        <v>1</v>
      </c>
      <c r="C59861" s="0" t="s">
        <v>7017</v>
      </c>
      <c r="E59861" s="0" t="s">
        <v>235</v>
      </c>
      <c r="F59861" s="0" t="s">
        <v>5146</v>
      </c>
    </row>
    <row r="59862" customFormat="false" ht="12.8" hidden="false" customHeight="false" outlineLevel="0" collapsed="false">
      <c r="B59862" s="0" t="s">
        <v>69</v>
      </c>
      <c r="C59862" s="0" t="s">
        <v>5148</v>
      </c>
      <c r="E59862" s="0" t="s">
        <v>5149</v>
      </c>
      <c r="F59862" s="0" t="s">
        <v>5150</v>
      </c>
    </row>
    <row r="59863" customFormat="false" ht="12.8" hidden="false" customHeight="false" outlineLevel="0" collapsed="false">
      <c r="B59863" s="0" t="s">
        <v>36</v>
      </c>
      <c r="C59863" s="0" t="s">
        <v>5151</v>
      </c>
      <c r="E59863" s="0" t="s">
        <v>5152</v>
      </c>
      <c r="F59863" s="0" t="s">
        <v>5153</v>
      </c>
    </row>
    <row r="59865" customFormat="false" ht="12.8" hidden="false" customHeight="false" outlineLevel="0" collapsed="false">
      <c r="A59865" s="0" t="s">
        <v>20207</v>
      </c>
      <c r="B59865" s="0" t="str">
        <f aca="false">HYPERLINK("https://lindat.mff.cuni.cz/services/teitok/pdtc10/index.php?action=vallex&amp;frame=v-w8402f1", "vystřelovat (v-w8402f1)")</f>
        <v>vystřelovat (v-w8402f1)</v>
      </c>
      <c r="E59865" s="0" t="str">
        <f aca="false">HYPERLINK("https://lindat.mff.cuni.cz/services/SynSemClass40/SynSemClass40.html?veclass=vec00762#vec00762-ces-cm00004", "vec00762")</f>
        <v>vec00762</v>
      </c>
      <c r="F59865" s="0" t="s">
        <v>20202</v>
      </c>
    </row>
    <row r="59866" customFormat="false" ht="12.8" hidden="false" customHeight="false" outlineLevel="0" collapsed="false">
      <c r="B59866" s="0" t="s">
        <v>1</v>
      </c>
      <c r="C59866" s="0" t="s">
        <v>512</v>
      </c>
      <c r="E59866" s="0" t="s">
        <v>31</v>
      </c>
      <c r="F59866" s="0" t="s">
        <v>513</v>
      </c>
    </row>
    <row r="59867" customFormat="false" ht="12.8" hidden="false" customHeight="false" outlineLevel="0" collapsed="false">
      <c r="B59867" s="0" t="s">
        <v>8</v>
      </c>
      <c r="C59867" s="0" t="s">
        <v>800</v>
      </c>
      <c r="E59867" s="0" t="s">
        <v>16811</v>
      </c>
      <c r="F59867" s="0" t="s">
        <v>20203</v>
      </c>
    </row>
    <row r="59869" customFormat="false" ht="12.8" hidden="false" customHeight="false" outlineLevel="0" collapsed="false">
      <c r="A59869" s="0" t="s">
        <v>20208</v>
      </c>
      <c r="B59869" s="0" t="str">
        <f aca="false">HYPERLINK("https://lindat.mff.cuni.cz/services/teitok/pdtc10/index.php?action=vallex&amp;frame=v-w8407f2", "vystřihnout (v-w8407f2)")</f>
        <v>vystřihnout (v-w8407f2)</v>
      </c>
      <c r="E59869" s="0" t="str">
        <f aca="false">HYPERLINK("https://lindat.mff.cuni.cz/services/SynSemClass40/SynSemClass40.html?veclass=vec01161#vec01161-ces-cm00001", "vec01161")</f>
        <v>vec01161</v>
      </c>
      <c r="F59869" s="0" t="s">
        <v>20209</v>
      </c>
    </row>
    <row r="59870" customFormat="false" ht="12.8" hidden="false" customHeight="false" outlineLevel="0" collapsed="false">
      <c r="B59870" s="0" t="s">
        <v>1</v>
      </c>
      <c r="C59870" s="0" t="s">
        <v>4695</v>
      </c>
      <c r="E59870" s="0" t="s">
        <v>107</v>
      </c>
      <c r="F59870" s="0" t="s">
        <v>20210</v>
      </c>
    </row>
    <row r="59871" customFormat="false" ht="12.8" hidden="false" customHeight="false" outlineLevel="0" collapsed="false">
      <c r="B59871" s="0" t="s">
        <v>8</v>
      </c>
      <c r="C59871" s="0" t="s">
        <v>462</v>
      </c>
      <c r="E59871" s="0" t="s">
        <v>4094</v>
      </c>
      <c r="F59871" s="0" t="s">
        <v>20211</v>
      </c>
    </row>
    <row r="59872" customFormat="false" ht="12.8" hidden="false" customHeight="false" outlineLevel="0" collapsed="false">
      <c r="B59872" s="0" t="s">
        <v>631</v>
      </c>
      <c r="C59872" s="0" t="s">
        <v>8843</v>
      </c>
      <c r="E59872" s="0" t="s">
        <v>1924</v>
      </c>
      <c r="F59872" s="0" t="s">
        <v>20212</v>
      </c>
    </row>
    <row r="59874" customFormat="false" ht="12.8" hidden="false" customHeight="false" outlineLevel="0" collapsed="false">
      <c r="A59874" s="0" t="s">
        <v>20213</v>
      </c>
      <c r="B59874" s="0" t="str">
        <f aca="false">HYPERLINK("https://lindat.mff.cuni.cz/services/teitok/pdtc10/index.php?action=vallex&amp;frame=v-w8407f1", "vystřihnout (v-w8407f1)")</f>
        <v>vystřihnout (v-w8407f1)</v>
      </c>
    </row>
    <row r="59875" customFormat="false" ht="12.8" hidden="false" customHeight="false" outlineLevel="0" collapsed="false">
      <c r="B59875" s="0" t="s">
        <v>1</v>
      </c>
    </row>
    <row r="59876" customFormat="false" ht="12.8" hidden="false" customHeight="false" outlineLevel="0" collapsed="false">
      <c r="B59876" s="0" t="s">
        <v>8</v>
      </c>
    </row>
    <row r="59878" customFormat="false" ht="12.8" hidden="false" customHeight="false" outlineLevel="0" collapsed="false">
      <c r="A59878" s="0" t="s">
        <v>20214</v>
      </c>
      <c r="B59878" s="0" t="str">
        <f aca="false">HYPERLINK("https://lindat.mff.cuni.cz/services/teitok/pdtc10/index.php?action=vallex&amp;frame=v-w8406f2", "vystřihávat (v-w8406f2)")</f>
        <v>vystřihávat (v-w8406f2)</v>
      </c>
    </row>
    <row r="59879" customFormat="false" ht="12.8" hidden="false" customHeight="false" outlineLevel="0" collapsed="false">
      <c r="B59879" s="0" t="s">
        <v>1</v>
      </c>
    </row>
    <row r="59880" customFormat="false" ht="12.8" hidden="false" customHeight="false" outlineLevel="0" collapsed="false">
      <c r="B59880" s="0" t="s">
        <v>8</v>
      </c>
    </row>
    <row r="59881" customFormat="false" ht="12.8" hidden="false" customHeight="false" outlineLevel="0" collapsed="false">
      <c r="B59881" s="0" t="s">
        <v>36</v>
      </c>
    </row>
    <row r="59883" customFormat="false" ht="12.8" hidden="false" customHeight="false" outlineLevel="0" collapsed="false">
      <c r="A59883" s="0" t="s">
        <v>20215</v>
      </c>
      <c r="B59883" s="0" t="str">
        <f aca="false">HYPERLINK("https://lindat.mff.cuni.cz/services/teitok/pdtc10/index.php?action=vallex&amp;frame=v-w8406f1", "vystřihávat (v-w8406f1)")</f>
        <v>vystřihávat (v-w8406f1)</v>
      </c>
    </row>
    <row r="59884" customFormat="false" ht="12.8" hidden="false" customHeight="false" outlineLevel="0" collapsed="false">
      <c r="B59884" s="0" t="s">
        <v>1</v>
      </c>
    </row>
    <row r="59885" customFormat="false" ht="12.8" hidden="false" customHeight="false" outlineLevel="0" collapsed="false">
      <c r="B59885" s="0" t="s">
        <v>8</v>
      </c>
    </row>
    <row r="59886" customFormat="false" ht="12.8" hidden="false" customHeight="false" outlineLevel="0" collapsed="false">
      <c r="B59886" s="0" t="s">
        <v>631</v>
      </c>
    </row>
    <row r="59888" customFormat="false" ht="12.8" hidden="false" customHeight="false" outlineLevel="0" collapsed="false">
      <c r="A59888" s="0" t="s">
        <v>20216</v>
      </c>
      <c r="B59888" s="0" t="str">
        <f aca="false">HYPERLINK("https://lindat.mff.cuni.cz/services/teitok/pdtc10/index.php?action=vallex&amp;frame=v-w8406f3", "vystřihávat (v-w8406f3)")</f>
        <v>vystřihávat (v-w8406f3)</v>
      </c>
    </row>
    <row r="59889" customFormat="false" ht="12.8" hidden="false" customHeight="false" outlineLevel="0" collapsed="false">
      <c r="B59889" s="0" t="s">
        <v>1</v>
      </c>
    </row>
    <row r="59890" customFormat="false" ht="12.8" hidden="false" customHeight="false" outlineLevel="0" collapsed="false">
      <c r="B59890" s="0" t="s">
        <v>8</v>
      </c>
    </row>
    <row r="59892" customFormat="false" ht="12.8" hidden="false" customHeight="false" outlineLevel="0" collapsed="false">
      <c r="A59892" s="0" t="s">
        <v>20217</v>
      </c>
      <c r="B59892" s="0" t="str">
        <f aca="false">HYPERLINK("https://lindat.mff.cuni.cz/services/teitok/pdtc10/index.php?action=vallex&amp;frame=v-w8404f2", "vystřídat (v-w8404f2)")</f>
        <v>vystřídat (v-w8404f2)</v>
      </c>
    </row>
    <row r="59893" customFormat="false" ht="12.8" hidden="false" customHeight="false" outlineLevel="0" collapsed="false">
      <c r="B59893" s="0" t="s">
        <v>1</v>
      </c>
    </row>
    <row r="59894" customFormat="false" ht="12.8" hidden="false" customHeight="false" outlineLevel="0" collapsed="false">
      <c r="B59894" s="0" t="s">
        <v>8</v>
      </c>
    </row>
    <row r="59895" customFormat="false" ht="12.8" hidden="false" customHeight="false" outlineLevel="0" collapsed="false">
      <c r="B59895" s="0" t="s">
        <v>16828</v>
      </c>
    </row>
    <row r="59897" customFormat="false" ht="12.8" hidden="false" customHeight="false" outlineLevel="0" collapsed="false">
      <c r="A59897" s="0" t="s">
        <v>20218</v>
      </c>
      <c r="B59897" s="0" t="str">
        <f aca="false">HYPERLINK("https://lindat.mff.cuni.cz/services/teitok/pdtc10/index.php?action=vallex&amp;frame=v-w8404f1", "vystřídat (v-w8404f1)")</f>
        <v>vystřídat (v-w8404f1)</v>
      </c>
      <c r="E59897" s="0" t="str">
        <f aca="false">HYPERLINK("https://lindat.mff.cuni.cz/services/SynSemClass40/SynSemClass40.html?veclass=vec00565#vec00565-ces-cm00001", "vec00565")</f>
        <v>vec00565</v>
      </c>
      <c r="F59897" s="0" t="s">
        <v>7244</v>
      </c>
    </row>
    <row r="59898" customFormat="false" ht="12.8" hidden="false" customHeight="false" outlineLevel="0" collapsed="false">
      <c r="B59898" s="0" t="s">
        <v>1</v>
      </c>
      <c r="C59898" s="0" t="s">
        <v>7245</v>
      </c>
      <c r="E59898" s="0" t="s">
        <v>7246</v>
      </c>
      <c r="F59898" s="0" t="s">
        <v>7247</v>
      </c>
    </row>
    <row r="59899" customFormat="false" ht="12.8" hidden="false" customHeight="false" outlineLevel="0" collapsed="false">
      <c r="B59899" s="0" t="s">
        <v>8</v>
      </c>
      <c r="C59899" s="0" t="s">
        <v>7248</v>
      </c>
      <c r="E59899" s="0" t="s">
        <v>6961</v>
      </c>
      <c r="F59899" s="0" t="s">
        <v>7249</v>
      </c>
    </row>
    <row r="59901" customFormat="false" ht="12.8" hidden="false" customHeight="false" outlineLevel="0" collapsed="false">
      <c r="A59901" s="0" t="s">
        <v>20219</v>
      </c>
      <c r="B59901" s="0" t="str">
        <f aca="false">HYPERLINK("https://lindat.mff.cuni.cz/services/teitok/pdtc10/index.php?action=vallex&amp;frame=v-w8405f1", "vystřídat se (v-w8405f1)")</f>
        <v>vystřídat se (v-w8405f1)</v>
      </c>
    </row>
    <row r="59902" customFormat="false" ht="12.8" hidden="false" customHeight="false" outlineLevel="0" collapsed="false">
      <c r="B59902" s="0" t="s">
        <v>1</v>
      </c>
    </row>
    <row r="59903" customFormat="false" ht="12.8" hidden="false" customHeight="false" outlineLevel="0" collapsed="false">
      <c r="B59903" s="0" t="s">
        <v>721</v>
      </c>
    </row>
    <row r="59905" customFormat="false" ht="12.8" hidden="false" customHeight="false" outlineLevel="0" collapsed="false">
      <c r="A59905" s="0" t="s">
        <v>20220</v>
      </c>
      <c r="B59905" s="0" t="str">
        <f aca="false">HYPERLINK("https://lindat.mff.cuni.cz/services/teitok/pdtc10/index.php?action=vallex&amp;frame=v-whsa_1068f1_ZU", "vystříkat (v-whsa_1068f1_ZU)")</f>
        <v>vystříkat (v-whsa_1068f1_ZU)</v>
      </c>
    </row>
    <row r="59906" customFormat="false" ht="12.8" hidden="false" customHeight="false" outlineLevel="0" collapsed="false">
      <c r="B59906" s="0" t="s">
        <v>1</v>
      </c>
    </row>
    <row r="59907" customFormat="false" ht="12.8" hidden="false" customHeight="false" outlineLevel="0" collapsed="false">
      <c r="B59907" s="0" t="s">
        <v>8</v>
      </c>
    </row>
    <row r="59909" customFormat="false" ht="12.8" hidden="false" customHeight="false" outlineLevel="0" collapsed="false">
      <c r="A59909" s="0" t="s">
        <v>20221</v>
      </c>
      <c r="B59909" s="0" t="str">
        <f aca="false">HYPERLINK("https://lindat.mff.cuni.cz/services/teitok/pdtc10/index.php?action=vallex&amp;frame=v-whsa_1068f2_ZU", "vystříkat (v-whsa_1068f2_ZU)")</f>
        <v>vystříkat (v-whsa_1068f2_ZU)</v>
      </c>
    </row>
    <row r="59910" customFormat="false" ht="12.8" hidden="false" customHeight="false" outlineLevel="0" collapsed="false">
      <c r="B59910" s="0" t="s">
        <v>1</v>
      </c>
    </row>
    <row r="59911" customFormat="false" ht="12.8" hidden="false" customHeight="false" outlineLevel="0" collapsed="false">
      <c r="B59911" s="0" t="s">
        <v>8</v>
      </c>
    </row>
    <row r="59913" customFormat="false" ht="12.8" hidden="false" customHeight="false" outlineLevel="0" collapsed="false">
      <c r="A59913" s="0" t="s">
        <v>20222</v>
      </c>
      <c r="B59913" s="0" t="str">
        <f aca="false">HYPERLINK("https://lindat.mff.cuni.cz/services/teitok/pdtc10/index.php?action=vallex&amp;frame=v-w8408f1", "vystřílet (v-w8408f1)")</f>
        <v>vystřílet (v-w8408f1)</v>
      </c>
    </row>
    <row r="59914" customFormat="false" ht="12.8" hidden="false" customHeight="false" outlineLevel="0" collapsed="false">
      <c r="B59914" s="0" t="s">
        <v>1</v>
      </c>
    </row>
    <row r="59915" customFormat="false" ht="12.8" hidden="false" customHeight="false" outlineLevel="0" collapsed="false">
      <c r="B59915" s="0" t="s">
        <v>8</v>
      </c>
    </row>
    <row r="59917" customFormat="false" ht="12.8" hidden="false" customHeight="false" outlineLevel="0" collapsed="false">
      <c r="A59917" s="0" t="s">
        <v>20223</v>
      </c>
      <c r="B59917" s="0" t="str">
        <f aca="false">HYPERLINK("https://lindat.mff.cuni.cz/services/teitok/pdtc10/index.php?action=vallex&amp;frame=v-w8409f1", "vystřízlivět (v-w8409f1)")</f>
        <v>vystřízlivět (v-w8409f1)</v>
      </c>
    </row>
    <row r="59918" customFormat="false" ht="12.8" hidden="false" customHeight="false" outlineLevel="0" collapsed="false">
      <c r="B59918" s="0" t="s">
        <v>1</v>
      </c>
    </row>
    <row r="59919" customFormat="false" ht="12.8" hidden="false" customHeight="false" outlineLevel="0" collapsed="false">
      <c r="B59919" s="0" t="s">
        <v>763</v>
      </c>
    </row>
    <row r="59921" customFormat="false" ht="12.8" hidden="false" customHeight="false" outlineLevel="0" collapsed="false">
      <c r="A59921" s="0" t="s">
        <v>20224</v>
      </c>
      <c r="B59921" s="0" t="str">
        <f aca="false">HYPERLINK("https://lindat.mff.cuni.cz/services/teitok/pdtc10/index.php?action=vallex&amp;frame=v-w8409hsa_1317", "vystřízlivět (v-w8409hsa_1317)")</f>
        <v>vystřízlivět (v-w8409hsa_1317)</v>
      </c>
      <c r="E59921" s="0" t="str">
        <f aca="false">HYPERLINK("https://lindat.mff.cuni.cz/services/SynSemClass40/SynSemClass40.html?veclass=vec01471#vec01471-ces-cm00006", "vec01471")</f>
        <v>vec01471</v>
      </c>
      <c r="F59921" s="0" t="s">
        <v>742</v>
      </c>
    </row>
    <row r="59922" customFormat="false" ht="12.8" hidden="false" customHeight="false" outlineLevel="0" collapsed="false">
      <c r="B59922" s="0" t="s">
        <v>1</v>
      </c>
      <c r="C59922" s="0" t="s">
        <v>459</v>
      </c>
      <c r="E59922" s="0" t="s">
        <v>76</v>
      </c>
      <c r="F59922" s="0" t="s">
        <v>743</v>
      </c>
    </row>
    <row r="59923" customFormat="false" ht="12.8" hidden="false" customHeight="false" outlineLevel="0" collapsed="false">
      <c r="B59923" s="0" t="s">
        <v>98</v>
      </c>
      <c r="C59923" s="0" t="s">
        <v>4234</v>
      </c>
      <c r="E59923" s="0" t="s">
        <v>2287</v>
      </c>
      <c r="F59923" s="0" t="s">
        <v>20225</v>
      </c>
    </row>
    <row r="59924" customFormat="false" ht="12.8" hidden="false" customHeight="false" outlineLevel="0" collapsed="false">
      <c r="B59924" s="0" t="s">
        <v>763</v>
      </c>
      <c r="E59924" s="0" t="s">
        <v>354</v>
      </c>
      <c r="F59924" s="0" t="s">
        <v>764</v>
      </c>
    </row>
    <row r="59926" customFormat="false" ht="12.8" hidden="false" customHeight="false" outlineLevel="0" collapsed="false">
      <c r="A59926" s="0" t="s">
        <v>20226</v>
      </c>
      <c r="B59926" s="0" t="str">
        <f aca="false">HYPERLINK("https://lindat.mff.cuni.cz/services/teitok/pdtc10/index.php?action=vallex&amp;frame=v-w8416f1", "vysunout se (v-w8416f1)")</f>
        <v>vysunout se (v-w8416f1)</v>
      </c>
    </row>
    <row r="59927" customFormat="false" ht="12.8" hidden="false" customHeight="false" outlineLevel="0" collapsed="false">
      <c r="B59927" s="0" t="s">
        <v>1</v>
      </c>
    </row>
    <row r="59928" customFormat="false" ht="12.8" hidden="false" customHeight="false" outlineLevel="0" collapsed="false">
      <c r="B59928" s="0" t="s">
        <v>631</v>
      </c>
    </row>
    <row r="59930" customFormat="false" ht="12.8" hidden="false" customHeight="false" outlineLevel="0" collapsed="false">
      <c r="A59930" s="0" t="s">
        <v>20227</v>
      </c>
      <c r="B59930" s="0" t="str">
        <f aca="false">HYPERLINK("https://lindat.mff.cuni.cz/services/teitok/pdtc10/index.php?action=vallex&amp;frame=v-w10800f2", "vysušit (v-w10800f2)")</f>
        <v>vysušit (v-w10800f2)</v>
      </c>
      <c r="E59930" s="0" t="str">
        <f aca="false">HYPERLINK("https://lindat.mff.cuni.cz/services/SynSemClass40/SynSemClass40.html?veclass=vec01429#vec01429-ces-cm00002", "vec01429")</f>
        <v>vec01429</v>
      </c>
      <c r="F59930" s="0" t="s">
        <v>12531</v>
      </c>
    </row>
    <row r="59931" customFormat="false" ht="12.8" hidden="false" customHeight="false" outlineLevel="0" collapsed="false">
      <c r="B59931" s="0" t="s">
        <v>1</v>
      </c>
      <c r="E59931" s="0" t="s">
        <v>31</v>
      </c>
      <c r="F59931" s="0" t="s">
        <v>49</v>
      </c>
    </row>
    <row r="59932" customFormat="false" ht="12.8" hidden="false" customHeight="false" outlineLevel="0" collapsed="false">
      <c r="B59932" s="0" t="s">
        <v>8</v>
      </c>
      <c r="E59932" s="0" t="s">
        <v>87</v>
      </c>
      <c r="F59932" s="0" t="s">
        <v>9709</v>
      </c>
    </row>
    <row r="59934" customFormat="false" ht="12.8" hidden="false" customHeight="false" outlineLevel="0" collapsed="false">
      <c r="A59934" s="0" t="s">
        <v>20228</v>
      </c>
      <c r="B59934" s="0" t="str">
        <f aca="false">HYPERLINK("https://lindat.mff.cuni.cz/services/teitok/pdtc10/index.php?action=vallex&amp;frame=v-w12067_ZUf1_ZU", "vysušovat (v-w12067_ZUf1_ZU)")</f>
        <v>vysušovat (v-w12067_ZUf1_ZU)</v>
      </c>
    </row>
    <row r="59935" customFormat="false" ht="12.8" hidden="false" customHeight="false" outlineLevel="0" collapsed="false">
      <c r="B59935" s="0" t="s">
        <v>1</v>
      </c>
    </row>
    <row r="59936" customFormat="false" ht="12.8" hidden="false" customHeight="false" outlineLevel="0" collapsed="false">
      <c r="B59936" s="0" t="s">
        <v>8</v>
      </c>
    </row>
    <row r="59938" customFormat="false" ht="12.8" hidden="false" customHeight="false" outlineLevel="0" collapsed="false">
      <c r="A59938" s="0" t="s">
        <v>20229</v>
      </c>
      <c r="B59938" s="0" t="str">
        <f aca="false">HYPERLINK("https://lindat.mff.cuni.cz/services/teitok/pdtc10/index.php?action=vallex&amp;frame=v-w11869_ZUf1_ZU", "vysvléci (v-w11869_ZUf1_ZU)")</f>
        <v>vysvléci (v-w11869_ZUf1_ZU)</v>
      </c>
    </row>
    <row r="59939" customFormat="false" ht="12.8" hidden="false" customHeight="false" outlineLevel="0" collapsed="false">
      <c r="B59939" s="0" t="s">
        <v>1</v>
      </c>
    </row>
    <row r="59940" customFormat="false" ht="12.8" hidden="false" customHeight="false" outlineLevel="0" collapsed="false">
      <c r="B59940" s="0" t="s">
        <v>8</v>
      </c>
    </row>
    <row r="59941" customFormat="false" ht="12.8" hidden="false" customHeight="false" outlineLevel="0" collapsed="false">
      <c r="B59941" s="0" t="s">
        <v>36</v>
      </c>
    </row>
    <row r="59943" customFormat="false" ht="12.8" hidden="false" customHeight="false" outlineLevel="0" collapsed="false">
      <c r="A59943" s="0" t="s">
        <v>20230</v>
      </c>
      <c r="B59943" s="0" t="str">
        <f aca="false">HYPERLINK("https://lindat.mff.cuni.cz/services/teitok/pdtc10/index.php?action=vallex&amp;frame=v-whsa_1834hsa_1835", "vysvlíknout (v-whsa_1834hsa_1835)")</f>
        <v>vysvlíknout (v-whsa_1834hsa_1835)</v>
      </c>
    </row>
    <row r="59944" customFormat="false" ht="12.8" hidden="false" customHeight="false" outlineLevel="0" collapsed="false">
      <c r="B59944" s="0" t="s">
        <v>1</v>
      </c>
    </row>
    <row r="59945" customFormat="false" ht="12.8" hidden="false" customHeight="false" outlineLevel="0" collapsed="false">
      <c r="B59945" s="0" t="s">
        <v>8</v>
      </c>
    </row>
    <row r="59946" customFormat="false" ht="12.8" hidden="false" customHeight="false" outlineLevel="0" collapsed="false">
      <c r="B59946" s="0" t="s">
        <v>36</v>
      </c>
    </row>
    <row r="59948" customFormat="false" ht="12.8" hidden="false" customHeight="false" outlineLevel="0" collapsed="false">
      <c r="A59948" s="0" t="s">
        <v>20231</v>
      </c>
      <c r="B59948" s="0" t="str">
        <f aca="false">HYPERLINK("https://lindat.mff.cuni.cz/services/teitok/pdtc10/index.php?action=vallex&amp;frame=v-w8426f1", "vysvobodit (v-w8426f1)")</f>
        <v>vysvobodit (v-w8426f1)</v>
      </c>
    </row>
    <row r="59949" customFormat="false" ht="12.8" hidden="false" customHeight="false" outlineLevel="0" collapsed="false">
      <c r="B59949" s="0" t="s">
        <v>1</v>
      </c>
    </row>
    <row r="59950" customFormat="false" ht="12.8" hidden="false" customHeight="false" outlineLevel="0" collapsed="false">
      <c r="B59950" s="0" t="s">
        <v>8</v>
      </c>
    </row>
    <row r="59951" customFormat="false" ht="12.8" hidden="false" customHeight="false" outlineLevel="0" collapsed="false">
      <c r="B59951" s="0" t="s">
        <v>9339</v>
      </c>
    </row>
    <row r="59953" customFormat="false" ht="12.8" hidden="false" customHeight="false" outlineLevel="0" collapsed="false">
      <c r="A59953" s="0" t="s">
        <v>20232</v>
      </c>
      <c r="B59953" s="0" t="str">
        <f aca="false">HYPERLINK("https://lindat.mff.cuni.cz/services/teitok/pdtc10/index.php?action=vallex&amp;frame=v-w8427f1", "vysvobozovat (v-w8427f1)")</f>
        <v>vysvobozovat (v-w8427f1)</v>
      </c>
    </row>
    <row r="59954" customFormat="false" ht="12.8" hidden="false" customHeight="false" outlineLevel="0" collapsed="false">
      <c r="B59954" s="0" t="s">
        <v>1</v>
      </c>
    </row>
    <row r="59955" customFormat="false" ht="12.8" hidden="false" customHeight="false" outlineLevel="0" collapsed="false">
      <c r="B59955" s="0" t="s">
        <v>8</v>
      </c>
    </row>
    <row r="59956" customFormat="false" ht="12.8" hidden="false" customHeight="false" outlineLevel="0" collapsed="false">
      <c r="B59956" s="0" t="s">
        <v>574</v>
      </c>
    </row>
    <row r="59958" customFormat="false" ht="12.8" hidden="false" customHeight="false" outlineLevel="0" collapsed="false">
      <c r="A59958" s="0" t="s">
        <v>20233</v>
      </c>
      <c r="B59958" s="0" t="str">
        <f aca="false">HYPERLINK("https://lindat.mff.cuni.cz/services/teitok/pdtc10/index.php?action=vallex&amp;frame=v-w8425f1", "vysvítat (v-w8425f1)")</f>
        <v>vysvítat (v-w8425f1)</v>
      </c>
    </row>
    <row r="59959" customFormat="false" ht="12.8" hidden="false" customHeight="false" outlineLevel="0" collapsed="false">
      <c r="B59959" s="0" t="s">
        <v>843</v>
      </c>
    </row>
    <row r="59960" customFormat="false" ht="12.8" hidden="false" customHeight="false" outlineLevel="0" collapsed="false">
      <c r="B59960" s="0" t="s">
        <v>298</v>
      </c>
    </row>
    <row r="59962" customFormat="false" ht="12.8" hidden="false" customHeight="false" outlineLevel="0" collapsed="false">
      <c r="A59962" s="0" t="s">
        <v>20234</v>
      </c>
      <c r="B59962" s="0" t="str">
        <f aca="false">HYPERLINK("https://lindat.mff.cuni.cz/services/teitok/pdtc10/index.php?action=vallex&amp;frame=v-whsa_303hsa_304", "vysvětit (v-whsa_303hsa_304)")</f>
        <v>vysvětit (v-whsa_303hsa_304)</v>
      </c>
    </row>
    <row r="59963" customFormat="false" ht="12.8" hidden="false" customHeight="false" outlineLevel="0" collapsed="false">
      <c r="B59963" s="0" t="s">
        <v>1</v>
      </c>
    </row>
    <row r="59964" customFormat="false" ht="12.8" hidden="false" customHeight="false" outlineLevel="0" collapsed="false">
      <c r="B59964" s="0" t="s">
        <v>8</v>
      </c>
    </row>
    <row r="59966" customFormat="false" ht="12.8" hidden="false" customHeight="false" outlineLevel="0" collapsed="false">
      <c r="A59966" s="0" t="s">
        <v>20235</v>
      </c>
      <c r="B59966" s="0" t="str">
        <f aca="false">HYPERLINK("https://lindat.mff.cuni.cz/services/teitok/pdtc10/index.php?action=vallex&amp;frame=v-w8418f1", "vysvětlit (v-w8418f1)")</f>
        <v>vysvětlit (v-w8418f1)</v>
      </c>
      <c r="E59966" s="0" t="str">
        <f aca="false">HYPERLINK("https://lindat.mff.cuni.cz/services/SynSemClass40/SynSemClass40.html?veclass=vec00450#vec00450-ces-cm00017", "vec00450")</f>
        <v>vec00450</v>
      </c>
      <c r="F59966" s="0" t="s">
        <v>8366</v>
      </c>
    </row>
    <row r="59967" customFormat="false" ht="12.8" hidden="false" customHeight="false" outlineLevel="0" collapsed="false">
      <c r="B59967" s="0" t="s">
        <v>1</v>
      </c>
      <c r="C59967" s="0" t="s">
        <v>8367</v>
      </c>
      <c r="E59967" s="0" t="s">
        <v>63</v>
      </c>
      <c r="F59967" s="0" t="s">
        <v>8368</v>
      </c>
    </row>
    <row r="59968" customFormat="false" ht="12.8" hidden="false" customHeight="false" outlineLevel="0" collapsed="false">
      <c r="B59968" s="0" t="s">
        <v>8373</v>
      </c>
      <c r="C59968" s="0" t="s">
        <v>8369</v>
      </c>
      <c r="E59968" s="0" t="s">
        <v>230</v>
      </c>
      <c r="F59968" s="0" t="s">
        <v>8370</v>
      </c>
    </row>
    <row r="59969" customFormat="false" ht="12.8" hidden="false" customHeight="false" outlineLevel="0" collapsed="false">
      <c r="B59969" s="0" t="s">
        <v>52</v>
      </c>
      <c r="C59969" s="0" t="s">
        <v>3733</v>
      </c>
      <c r="E59969" s="0" t="s">
        <v>221</v>
      </c>
      <c r="F59969" s="0" t="s">
        <v>8371</v>
      </c>
    </row>
    <row r="59971" customFormat="false" ht="12.8" hidden="false" customHeight="false" outlineLevel="0" collapsed="false">
      <c r="A59971" s="0" t="s">
        <v>20236</v>
      </c>
      <c r="B59971" s="0" t="str">
        <f aca="false">HYPERLINK("https://lindat.mff.cuni.cz/services/teitok/pdtc10/index.php?action=vallex&amp;frame=v-w8418hsa_544", "vysvětlit (v-w8418hsa_544)")</f>
        <v>vysvětlit (v-w8418hsa_544)</v>
      </c>
    </row>
    <row r="59972" customFormat="false" ht="12.8" hidden="false" customHeight="false" outlineLevel="0" collapsed="false">
      <c r="B59972" s="0" t="s">
        <v>1</v>
      </c>
    </row>
    <row r="59973" customFormat="false" ht="12.8" hidden="false" customHeight="false" outlineLevel="0" collapsed="false">
      <c r="B59973" s="0" t="s">
        <v>52</v>
      </c>
    </row>
    <row r="59974" customFormat="false" ht="12.8" hidden="false" customHeight="false" outlineLevel="0" collapsed="false">
      <c r="B59974" s="0" t="s">
        <v>6414</v>
      </c>
    </row>
    <row r="59975" customFormat="false" ht="12.8" hidden="false" customHeight="false" outlineLevel="0" collapsed="false">
      <c r="B59975" s="0" t="s">
        <v>496</v>
      </c>
    </row>
    <row r="59977" customFormat="false" ht="12.8" hidden="false" customHeight="false" outlineLevel="0" collapsed="false">
      <c r="A59977" s="0" t="s">
        <v>20237</v>
      </c>
      <c r="B59977" s="0" t="str">
        <f aca="false">HYPERLINK("https://lindat.mff.cuni.cz/services/teitok/pdtc10/index.php?action=vallex&amp;frame=v-w8419f1", "vysvětlit si (v-w8419f1)")</f>
        <v>vysvětlit si (v-w8419f1)</v>
      </c>
      <c r="E59977" s="0" t="str">
        <f aca="false">HYPERLINK("https://lindat.mff.cuni.cz/services/SynSemClass40/SynSemClass40.html?veclass=vec00402#vec00402-ces-cm00113", "vec00402")</f>
        <v>vec00402</v>
      </c>
      <c r="F59977" s="0" t="s">
        <v>619</v>
      </c>
    </row>
    <row r="59978" customFormat="false" ht="12.8" hidden="false" customHeight="false" outlineLevel="0" collapsed="false">
      <c r="B59978" s="0" t="s">
        <v>1</v>
      </c>
      <c r="C59978" s="0" t="s">
        <v>620</v>
      </c>
      <c r="E59978" s="0" t="s">
        <v>621</v>
      </c>
      <c r="F59978" s="0" t="s">
        <v>622</v>
      </c>
    </row>
    <row r="59979" customFormat="false" ht="12.8" hidden="false" customHeight="false" outlineLevel="0" collapsed="false">
      <c r="B59979" s="0" t="s">
        <v>8</v>
      </c>
      <c r="C59979" s="0" t="s">
        <v>623</v>
      </c>
      <c r="E59979" s="0" t="s">
        <v>180</v>
      </c>
      <c r="F59979" s="0" t="s">
        <v>624</v>
      </c>
    </row>
    <row r="59980" customFormat="false" ht="12.8" hidden="false" customHeight="false" outlineLevel="0" collapsed="false">
      <c r="B59980" s="0" t="s">
        <v>725</v>
      </c>
      <c r="C59980" s="0" t="s">
        <v>7228</v>
      </c>
      <c r="E59980" s="0" t="s">
        <v>7229</v>
      </c>
      <c r="F59980" s="0" t="s">
        <v>7230</v>
      </c>
    </row>
    <row r="59981" customFormat="false" ht="12.8" hidden="false" customHeight="false" outlineLevel="0" collapsed="false">
      <c r="B59981" s="0" t="s">
        <v>642</v>
      </c>
      <c r="C59981" s="0" t="s">
        <v>3848</v>
      </c>
      <c r="E59981" s="0" t="s">
        <v>7229</v>
      </c>
      <c r="F59981" s="0" t="s">
        <v>7230</v>
      </c>
    </row>
    <row r="59982" customFormat="false" ht="12.8" hidden="false" customHeight="false" outlineLevel="0" collapsed="false">
      <c r="B59982" s="0" t="s">
        <v>646</v>
      </c>
      <c r="C59982" s="0" t="s">
        <v>7231</v>
      </c>
      <c r="E59982" s="0" t="s">
        <v>7229</v>
      </c>
      <c r="F59982" s="0" t="s">
        <v>7230</v>
      </c>
    </row>
    <row r="59983" customFormat="false" ht="12.8" hidden="false" customHeight="false" outlineLevel="0" collapsed="false">
      <c r="B59983" s="0" t="s">
        <v>648</v>
      </c>
      <c r="C59983" s="0" t="s">
        <v>3849</v>
      </c>
      <c r="E59983" s="0" t="s">
        <v>7229</v>
      </c>
      <c r="F59983" s="0" t="s">
        <v>7230</v>
      </c>
    </row>
    <row r="59984" customFormat="false" ht="12.8" hidden="false" customHeight="false" outlineLevel="0" collapsed="false">
      <c r="B59984" s="0" t="s">
        <v>650</v>
      </c>
      <c r="C59984" s="0" t="s">
        <v>3850</v>
      </c>
      <c r="E59984" s="0" t="s">
        <v>7229</v>
      </c>
      <c r="F59984" s="0" t="s">
        <v>7230</v>
      </c>
    </row>
    <row r="59985" customFormat="false" ht="12.8" hidden="false" customHeight="false" outlineLevel="0" collapsed="false">
      <c r="B59985" s="0" t="s">
        <v>652</v>
      </c>
      <c r="C59985" s="0" t="s">
        <v>3851</v>
      </c>
      <c r="E59985" s="0" t="s">
        <v>7229</v>
      </c>
      <c r="F59985" s="0" t="s">
        <v>7230</v>
      </c>
    </row>
    <row r="59987" customFormat="false" ht="12.8" hidden="false" customHeight="false" outlineLevel="0" collapsed="false">
      <c r="A59987" s="0" t="s">
        <v>20238</v>
      </c>
      <c r="B59987" s="0" t="str">
        <f aca="false">HYPERLINK("https://lindat.mff.cuni.cz/services/teitok/pdtc10/index.php?action=vallex&amp;frame=v-w8422f2_ZU", "vysvětlovat (v-w8422f2_ZU)")</f>
        <v>vysvětlovat (v-w8422f2_ZU)</v>
      </c>
      <c r="E59987" s="0" t="str">
        <f aca="false">HYPERLINK("https://lindat.mff.cuni.cz/services/SynSemClass40/SynSemClass40.html?veclass=vec00450#vec00450-ces-cm00018", "vec00450")</f>
        <v>vec00450</v>
      </c>
      <c r="F59987" s="0" t="s">
        <v>8366</v>
      </c>
    </row>
    <row r="59988" customFormat="false" ht="12.8" hidden="false" customHeight="false" outlineLevel="0" collapsed="false">
      <c r="B59988" s="0" t="s">
        <v>1</v>
      </c>
      <c r="C59988" s="0" t="s">
        <v>8367</v>
      </c>
      <c r="E59988" s="0" t="s">
        <v>63</v>
      </c>
      <c r="F59988" s="0" t="s">
        <v>8368</v>
      </c>
    </row>
    <row r="59989" customFormat="false" ht="12.8" hidden="false" customHeight="false" outlineLevel="0" collapsed="false">
      <c r="B59989" s="0" t="s">
        <v>8373</v>
      </c>
      <c r="C59989" s="0" t="s">
        <v>8369</v>
      </c>
      <c r="E59989" s="0" t="s">
        <v>230</v>
      </c>
      <c r="F59989" s="0" t="s">
        <v>8370</v>
      </c>
    </row>
    <row r="59990" customFormat="false" ht="12.8" hidden="false" customHeight="false" outlineLevel="0" collapsed="false">
      <c r="B59990" s="0" t="s">
        <v>52</v>
      </c>
      <c r="C59990" s="0" t="s">
        <v>3733</v>
      </c>
      <c r="E59990" s="0" t="s">
        <v>221</v>
      </c>
      <c r="F59990" s="0" t="s">
        <v>8371</v>
      </c>
    </row>
    <row r="59992" customFormat="false" ht="12.8" hidden="false" customHeight="false" outlineLevel="0" collapsed="false">
      <c r="A59992" s="0" t="s">
        <v>20238</v>
      </c>
      <c r="B59992" s="0" t="str">
        <f aca="false">HYPERLINK("https://lindat.mff.cuni.cz/services/teitok/pdtc10/index.php?action=vallex&amp;frame=v-w8422f1", "vysvětlovat (v-w8422f1) - substituted with v-w8422f2_ZU")</f>
        <v>vysvětlovat (v-w8422f1) - substituted with v-w8422f2_ZU</v>
      </c>
    </row>
    <row r="59993" customFormat="false" ht="12.8" hidden="false" customHeight="false" outlineLevel="0" collapsed="false">
      <c r="B59993" s="0" t="s">
        <v>1</v>
      </c>
    </row>
    <row r="59994" customFormat="false" ht="12.8" hidden="false" customHeight="false" outlineLevel="0" collapsed="false">
      <c r="B59994" s="0" t="s">
        <v>8373</v>
      </c>
    </row>
    <row r="59995" customFormat="false" ht="12.8" hidden="false" customHeight="false" outlineLevel="0" collapsed="false">
      <c r="B59995" s="0" t="s">
        <v>52</v>
      </c>
    </row>
    <row r="59997" customFormat="false" ht="12.8" hidden="false" customHeight="false" outlineLevel="0" collapsed="false">
      <c r="A59997" s="0" t="s">
        <v>20239</v>
      </c>
      <c r="B59997" s="0" t="str">
        <f aca="false">HYPERLINK("https://lindat.mff.cuni.cz/services/teitok/pdtc10/index.php?action=vallex&amp;frame=v-w8422hsa_492", "vysvětlovat (v-w8422hsa_492)")</f>
        <v>vysvětlovat (v-w8422hsa_492)</v>
      </c>
    </row>
    <row r="59998" customFormat="false" ht="12.8" hidden="false" customHeight="false" outlineLevel="0" collapsed="false">
      <c r="B59998" s="0" t="s">
        <v>1</v>
      </c>
    </row>
    <row r="59999" customFormat="false" ht="12.8" hidden="false" customHeight="false" outlineLevel="0" collapsed="false">
      <c r="B59999" s="0" t="s">
        <v>8</v>
      </c>
    </row>
    <row r="60000" customFormat="false" ht="12.8" hidden="false" customHeight="false" outlineLevel="0" collapsed="false">
      <c r="B60000" s="0" t="s">
        <v>1145</v>
      </c>
    </row>
    <row r="60002" customFormat="false" ht="12.8" hidden="false" customHeight="false" outlineLevel="0" collapsed="false">
      <c r="A60002" s="0" t="s">
        <v>20240</v>
      </c>
      <c r="B60002" s="0" t="str">
        <f aca="false">HYPERLINK("https://lindat.mff.cuni.cz/services/teitok/pdtc10/index.php?action=vallex&amp;frame=v-w8423f1", "vysvětlovat si (v-w8423f1)")</f>
        <v>vysvětlovat si (v-w8423f1)</v>
      </c>
    </row>
    <row r="60003" customFormat="false" ht="12.8" hidden="false" customHeight="false" outlineLevel="0" collapsed="false">
      <c r="B60003" s="0" t="s">
        <v>1</v>
      </c>
    </row>
    <row r="60004" customFormat="false" ht="12.8" hidden="false" customHeight="false" outlineLevel="0" collapsed="false">
      <c r="B60004" s="0" t="s">
        <v>8</v>
      </c>
    </row>
    <row r="60005" customFormat="false" ht="12.8" hidden="false" customHeight="false" outlineLevel="0" collapsed="false">
      <c r="B60005" s="0" t="s">
        <v>725</v>
      </c>
    </row>
    <row r="60006" customFormat="false" ht="12.8" hidden="false" customHeight="false" outlineLevel="0" collapsed="false">
      <c r="B60006" s="0" t="s">
        <v>642</v>
      </c>
    </row>
    <row r="60007" customFormat="false" ht="12.8" hidden="false" customHeight="false" outlineLevel="0" collapsed="false">
      <c r="B60007" s="0" t="s">
        <v>646</v>
      </c>
    </row>
    <row r="60008" customFormat="false" ht="12.8" hidden="false" customHeight="false" outlineLevel="0" collapsed="false">
      <c r="B60008" s="0" t="s">
        <v>648</v>
      </c>
    </row>
    <row r="60009" customFormat="false" ht="12.8" hidden="false" customHeight="false" outlineLevel="0" collapsed="false">
      <c r="B60009" s="0" t="s">
        <v>650</v>
      </c>
    </row>
    <row r="60010" customFormat="false" ht="12.8" hidden="false" customHeight="false" outlineLevel="0" collapsed="false">
      <c r="B60010" s="0" t="s">
        <v>652</v>
      </c>
    </row>
    <row r="60012" customFormat="false" ht="12.8" hidden="false" customHeight="false" outlineLevel="0" collapsed="false">
      <c r="A60012" s="0" t="s">
        <v>20241</v>
      </c>
      <c r="B60012" s="0" t="str">
        <f aca="false">HYPERLINK("https://lindat.mff.cuni.cz/services/teitok/pdtc10/index.php?action=vallex&amp;frame=v-w8428f1", "vysychat (v-w8428f1)")</f>
        <v>vysychat (v-w8428f1)</v>
      </c>
      <c r="E60012" s="0" t="str">
        <f aca="false">HYPERLINK("https://lindat.mff.cuni.cz/services/SynSemClass40/SynSemClass40.html?veclass=vec00810#vec00810-ces-cm00007", "vec00810")</f>
        <v>vec00810</v>
      </c>
      <c r="F60012" s="0" t="s">
        <v>2150</v>
      </c>
    </row>
    <row r="60013" customFormat="false" ht="12.8" hidden="false" customHeight="false" outlineLevel="0" collapsed="false">
      <c r="B60013" s="0" t="s">
        <v>1</v>
      </c>
      <c r="C60013" s="0" t="s">
        <v>2087</v>
      </c>
      <c r="E60013" s="0" t="s">
        <v>2151</v>
      </c>
      <c r="F60013" s="0" t="s">
        <v>2152</v>
      </c>
    </row>
    <row r="60015" customFormat="false" ht="12.8" hidden="false" customHeight="false" outlineLevel="0" collapsed="false">
      <c r="A60015" s="0" t="s">
        <v>20242</v>
      </c>
      <c r="B60015" s="0" t="str">
        <f aca="false">HYPERLINK("https://lindat.mff.cuni.cz/services/teitok/pdtc10/index.php?action=vallex&amp;frame=v-w8428hsa_180", "vysychat (v-w8428hsa_180)")</f>
        <v>vysychat (v-w8428hsa_180)</v>
      </c>
    </row>
    <row r="60016" customFormat="false" ht="12.8" hidden="false" customHeight="false" outlineLevel="0" collapsed="false">
      <c r="B60016" s="0" t="s">
        <v>1</v>
      </c>
    </row>
    <row r="60018" customFormat="false" ht="12.8" hidden="false" customHeight="false" outlineLevel="0" collapsed="false">
      <c r="A60018" s="0" t="s">
        <v>20243</v>
      </c>
      <c r="B60018" s="0" t="str">
        <f aca="false">HYPERLINK("https://lindat.mff.cuni.cz/services/teitok/pdtc10/index.php?action=vallex&amp;frame=v-w8429f4", "vysypat (v-w8429f4)")</f>
        <v>vysypat (v-w8429f4)</v>
      </c>
    </row>
    <row r="60019" customFormat="false" ht="12.8" hidden="false" customHeight="false" outlineLevel="0" collapsed="false">
      <c r="B60019" s="0" t="s">
        <v>1</v>
      </c>
    </row>
    <row r="60020" customFormat="false" ht="12.8" hidden="false" customHeight="false" outlineLevel="0" collapsed="false">
      <c r="B60020" s="0" t="s">
        <v>8</v>
      </c>
    </row>
    <row r="60021" customFormat="false" ht="12.8" hidden="false" customHeight="false" outlineLevel="0" collapsed="false">
      <c r="B60021" s="0" t="s">
        <v>631</v>
      </c>
    </row>
    <row r="60023" customFormat="false" ht="12.8" hidden="false" customHeight="false" outlineLevel="0" collapsed="false">
      <c r="A60023" s="0" t="s">
        <v>20244</v>
      </c>
      <c r="B60023" s="0" t="str">
        <f aca="false">HYPERLINK("https://lindat.mff.cuni.cz/services/teitok/pdtc10/index.php?action=vallex&amp;frame=v-w8429f1", "vysypat (v-w8429f1)")</f>
        <v>vysypat (v-w8429f1)</v>
      </c>
      <c r="E60023" s="0" t="str">
        <f aca="false">HYPERLINK("https://lindat.mff.cuni.cz/services/SynSemClass40/SynSemClass40.html?veclass=vec01358#vec01358-ces-cm00004", "vec01358")</f>
        <v>vec01358</v>
      </c>
      <c r="F60023" s="0" t="s">
        <v>4405</v>
      </c>
    </row>
    <row r="60024" customFormat="false" ht="12.8" hidden="false" customHeight="false" outlineLevel="0" collapsed="false">
      <c r="B60024" s="0" t="s">
        <v>1</v>
      </c>
      <c r="C60024" s="0" t="s">
        <v>1540</v>
      </c>
      <c r="E60024" s="0" t="s">
        <v>334</v>
      </c>
      <c r="F60024" s="0" t="s">
        <v>4406</v>
      </c>
    </row>
    <row r="60025" customFormat="false" ht="12.8" hidden="false" customHeight="false" outlineLevel="0" collapsed="false">
      <c r="B60025" s="0" t="s">
        <v>8</v>
      </c>
      <c r="C60025" s="0" t="s">
        <v>1747</v>
      </c>
      <c r="E60025" s="0" t="s">
        <v>2648</v>
      </c>
      <c r="F60025" s="0" t="s">
        <v>4407</v>
      </c>
    </row>
    <row r="60026" customFormat="false" ht="12.8" hidden="false" customHeight="false" outlineLevel="0" collapsed="false">
      <c r="B60026" s="0" t="s">
        <v>164</v>
      </c>
      <c r="E60026" s="0" t="s">
        <v>4408</v>
      </c>
      <c r="F60026" s="0" t="s">
        <v>4409</v>
      </c>
    </row>
    <row r="60028" customFormat="false" ht="12.8" hidden="false" customHeight="false" outlineLevel="0" collapsed="false">
      <c r="A60028" s="0" t="s">
        <v>20245</v>
      </c>
      <c r="B60028" s="0" t="str">
        <f aca="false">HYPERLINK("https://lindat.mff.cuni.cz/services/teitok/pdtc10/index.php?action=vallex&amp;frame=v-w8429f3", "vysypat (v-w8429f3)")</f>
        <v>vysypat (v-w8429f3)</v>
      </c>
    </row>
    <row r="60029" customFormat="false" ht="12.8" hidden="false" customHeight="false" outlineLevel="0" collapsed="false">
      <c r="B60029" s="0" t="s">
        <v>1</v>
      </c>
    </row>
    <row r="60030" customFormat="false" ht="12.8" hidden="false" customHeight="false" outlineLevel="0" collapsed="false">
      <c r="B60030" s="0" t="s">
        <v>8</v>
      </c>
    </row>
    <row r="60032" customFormat="false" ht="12.8" hidden="false" customHeight="false" outlineLevel="0" collapsed="false">
      <c r="A60032" s="0" t="s">
        <v>20246</v>
      </c>
      <c r="B60032" s="0" t="str">
        <f aca="false">HYPERLINK("https://lindat.mff.cuni.cz/services/teitok/pdtc10/index.php?action=vallex&amp;frame=v-w8429f2", "vysypat (v-w8429f2)")</f>
        <v>vysypat (v-w8429f2)</v>
      </c>
      <c r="E60032" s="0" t="str">
        <f aca="false">HYPERLINK("https://lindat.mff.cuni.cz/services/SynSemClass40/SynSemClass40.html?veclass=vec01160#vec01160-ces-cm00004", "vec01160")</f>
        <v>vec01160</v>
      </c>
      <c r="F60032" s="0" t="s">
        <v>19919</v>
      </c>
    </row>
    <row r="60033" customFormat="false" ht="12.8" hidden="false" customHeight="false" outlineLevel="0" collapsed="false">
      <c r="B60033" s="0" t="s">
        <v>1</v>
      </c>
      <c r="C60033" s="0" t="s">
        <v>4695</v>
      </c>
      <c r="E60033" s="0" t="s">
        <v>11</v>
      </c>
      <c r="F60033" s="0" t="s">
        <v>5950</v>
      </c>
    </row>
    <row r="60034" customFormat="false" ht="12.8" hidden="false" customHeight="false" outlineLevel="0" collapsed="false">
      <c r="B60034" s="0" t="s">
        <v>8</v>
      </c>
      <c r="C60034" s="0" t="s">
        <v>800</v>
      </c>
      <c r="E60034" s="0" t="s">
        <v>7098</v>
      </c>
      <c r="F60034" s="0" t="s">
        <v>7099</v>
      </c>
    </row>
    <row r="60036" customFormat="false" ht="12.8" hidden="false" customHeight="false" outlineLevel="0" collapsed="false">
      <c r="A60036" s="0" t="s">
        <v>20247</v>
      </c>
      <c r="B60036" s="0" t="str">
        <f aca="false">HYPERLINK("https://lindat.mff.cuni.cz/services/teitok/pdtc10/index.php?action=vallex&amp;frame=v-w8429f5_ZU", "vysypat (v-w8429f5_ZU)")</f>
        <v>vysypat (v-w8429f5_ZU)</v>
      </c>
    </row>
    <row r="60037" customFormat="false" ht="12.8" hidden="false" customHeight="false" outlineLevel="0" collapsed="false">
      <c r="B60037" s="0" t="s">
        <v>1</v>
      </c>
    </row>
    <row r="60038" customFormat="false" ht="12.8" hidden="false" customHeight="false" outlineLevel="0" collapsed="false">
      <c r="B60038" s="0" t="s">
        <v>52</v>
      </c>
    </row>
    <row r="60039" customFormat="false" ht="12.8" hidden="false" customHeight="false" outlineLevel="0" collapsed="false">
      <c r="B60039" s="0" t="s">
        <v>6414</v>
      </c>
    </row>
    <row r="60040" customFormat="false" ht="12.8" hidden="false" customHeight="false" outlineLevel="0" collapsed="false">
      <c r="B60040" s="0" t="s">
        <v>496</v>
      </c>
    </row>
    <row r="60042" customFormat="false" ht="12.8" hidden="false" customHeight="false" outlineLevel="0" collapsed="false">
      <c r="A60042" s="0" t="s">
        <v>20247</v>
      </c>
      <c r="B60042" s="0" t="str">
        <f aca="false">HYPERLINK("https://lindat.mff.cuni.cz/services/teitok/pdtc10/index.php?action=vallex&amp;frame=v-w8429hsa_628", "vysypat (v-w8429hsa_628) - substituted with v-w8429f5_ZU")</f>
        <v>vysypat (v-w8429hsa_628) - substituted with v-w8429f5_ZU</v>
      </c>
    </row>
    <row r="60043" customFormat="false" ht="12.8" hidden="false" customHeight="false" outlineLevel="0" collapsed="false">
      <c r="B60043" s="0" t="s">
        <v>1</v>
      </c>
    </row>
    <row r="60044" customFormat="false" ht="12.8" hidden="false" customHeight="false" outlineLevel="0" collapsed="false">
      <c r="B60044" s="0" t="s">
        <v>52</v>
      </c>
    </row>
    <row r="60045" customFormat="false" ht="12.8" hidden="false" customHeight="false" outlineLevel="0" collapsed="false">
      <c r="B60045" s="0" t="s">
        <v>6414</v>
      </c>
    </row>
    <row r="60046" customFormat="false" ht="12.8" hidden="false" customHeight="false" outlineLevel="0" collapsed="false">
      <c r="B60046" s="0" t="s">
        <v>496</v>
      </c>
    </row>
    <row r="60048" customFormat="false" ht="12.8" hidden="false" customHeight="false" outlineLevel="0" collapsed="false">
      <c r="A60048" s="0" t="s">
        <v>20248</v>
      </c>
      <c r="B60048" s="0" t="str">
        <f aca="false">HYPERLINK("https://lindat.mff.cuni.cz/services/teitok/pdtc10/index.php?action=vallex&amp;frame=v-w8430f1", "vysypat se (v-w8430f1)")</f>
        <v>vysypat se (v-w8430f1)</v>
      </c>
    </row>
    <row r="60049" customFormat="false" ht="12.8" hidden="false" customHeight="false" outlineLevel="0" collapsed="false">
      <c r="B60049" s="0" t="s">
        <v>1</v>
      </c>
    </row>
    <row r="60051" customFormat="false" ht="12.8" hidden="false" customHeight="false" outlineLevel="0" collapsed="false">
      <c r="A60051" s="0" t="s">
        <v>20249</v>
      </c>
      <c r="B60051" s="0" t="str">
        <f aca="false">HYPERLINK("https://lindat.mff.cuni.cz/services/teitok/pdtc10/index.php?action=vallex&amp;frame=v-w10436f2", "vysypávat (v-w10436f2)")</f>
        <v>vysypávat (v-w10436f2)</v>
      </c>
      <c r="E60051" s="0" t="str">
        <f aca="false">HYPERLINK("https://lindat.mff.cuni.cz/services/SynSemClass40/SynSemClass40.html?veclass=vec01358#vec01358-ces-cm00007", "vec01358")</f>
        <v>vec01358</v>
      </c>
      <c r="F60051" s="0" t="s">
        <v>4405</v>
      </c>
    </row>
    <row r="60052" customFormat="false" ht="12.8" hidden="false" customHeight="false" outlineLevel="0" collapsed="false">
      <c r="B60052" s="0" t="s">
        <v>1</v>
      </c>
      <c r="C60052" s="0" t="s">
        <v>1540</v>
      </c>
      <c r="E60052" s="0" t="s">
        <v>334</v>
      </c>
      <c r="F60052" s="0" t="s">
        <v>4406</v>
      </c>
    </row>
    <row r="60053" customFormat="false" ht="12.8" hidden="false" customHeight="false" outlineLevel="0" collapsed="false">
      <c r="B60053" s="0" t="s">
        <v>8</v>
      </c>
      <c r="C60053" s="0" t="s">
        <v>1747</v>
      </c>
      <c r="E60053" s="0" t="s">
        <v>2648</v>
      </c>
      <c r="F60053" s="0" t="s">
        <v>4407</v>
      </c>
    </row>
    <row r="60054" customFormat="false" ht="12.8" hidden="false" customHeight="false" outlineLevel="0" collapsed="false">
      <c r="B60054" s="0" t="s">
        <v>164</v>
      </c>
      <c r="E60054" s="0" t="s">
        <v>4408</v>
      </c>
      <c r="F60054" s="0" t="s">
        <v>4409</v>
      </c>
    </row>
    <row r="60056" customFormat="false" ht="12.8" hidden="false" customHeight="false" outlineLevel="0" collapsed="false">
      <c r="A60056" s="0" t="s">
        <v>20250</v>
      </c>
      <c r="B60056" s="0" t="str">
        <f aca="false">HYPERLINK("https://lindat.mff.cuni.cz/services/teitok/pdtc10/index.php?action=vallex&amp;frame=v-w10436f3", "vysypávat (v-w10436f3)")</f>
        <v>vysypávat (v-w10436f3)</v>
      </c>
      <c r="E60056" s="0" t="str">
        <f aca="false">HYPERLINK("https://lindat.mff.cuni.cz/services/SynSemClass40/SynSemClass40.html?veclass=vec01160#vec01160-ces-cm00002", "vec01160")</f>
        <v>vec01160</v>
      </c>
      <c r="F60056" s="0" t="s">
        <v>19919</v>
      </c>
    </row>
    <row r="60057" customFormat="false" ht="12.8" hidden="false" customHeight="false" outlineLevel="0" collapsed="false">
      <c r="B60057" s="0" t="s">
        <v>1</v>
      </c>
      <c r="C60057" s="0" t="s">
        <v>4695</v>
      </c>
      <c r="E60057" s="0" t="s">
        <v>11</v>
      </c>
      <c r="F60057" s="0" t="s">
        <v>5950</v>
      </c>
    </row>
    <row r="60058" customFormat="false" ht="12.8" hidden="false" customHeight="false" outlineLevel="0" collapsed="false">
      <c r="B60058" s="0" t="s">
        <v>8</v>
      </c>
      <c r="C60058" s="0" t="s">
        <v>800</v>
      </c>
      <c r="E60058" s="0" t="s">
        <v>7098</v>
      </c>
      <c r="F60058" s="0" t="s">
        <v>7099</v>
      </c>
    </row>
    <row r="60060" customFormat="false" ht="12.8" hidden="false" customHeight="false" outlineLevel="0" collapsed="false">
      <c r="A60060" s="0" t="s">
        <v>20251</v>
      </c>
      <c r="B60060" s="0" t="str">
        <f aca="false">HYPERLINK("https://lindat.mff.cuni.cz/services/teitok/pdtc10/index.php?action=vallex&amp;frame=v-w10436f4_ZU", "vysypávat (v-w10436f4_ZU)")</f>
        <v>vysypávat (v-w10436f4_ZU)</v>
      </c>
    </row>
    <row r="60061" customFormat="false" ht="12.8" hidden="false" customHeight="false" outlineLevel="0" collapsed="false">
      <c r="B60061" s="0" t="s">
        <v>1</v>
      </c>
    </row>
    <row r="60062" customFormat="false" ht="12.8" hidden="false" customHeight="false" outlineLevel="0" collapsed="false">
      <c r="B60062" s="0" t="s">
        <v>8</v>
      </c>
    </row>
    <row r="60064" customFormat="false" ht="12.8" hidden="false" customHeight="false" outlineLevel="0" collapsed="false">
      <c r="A60064" s="0" t="s">
        <v>20251</v>
      </c>
      <c r="B60064" s="0" t="str">
        <f aca="false">HYPERLINK("https://lindat.mff.cuni.cz/services/teitok/pdtc10/index.php?action=vallex&amp;frame=v-w10436hsa_1229", "vysypávat (v-w10436hsa_1229) - substituted with v-w10436f4_ZU")</f>
        <v>vysypávat (v-w10436hsa_1229) - substituted with v-w10436f4_ZU</v>
      </c>
    </row>
    <row r="60065" customFormat="false" ht="12.8" hidden="false" customHeight="false" outlineLevel="0" collapsed="false">
      <c r="B60065" s="0" t="s">
        <v>1</v>
      </c>
    </row>
    <row r="60066" customFormat="false" ht="12.8" hidden="false" customHeight="false" outlineLevel="0" collapsed="false">
      <c r="B60066" s="0" t="s">
        <v>8</v>
      </c>
    </row>
    <row r="60068" customFormat="false" ht="12.8" hidden="false" customHeight="false" outlineLevel="0" collapsed="false">
      <c r="A60068" s="0" t="s">
        <v>20252</v>
      </c>
      <c r="B60068" s="0" t="str">
        <f aca="false">HYPERLINK("https://lindat.mff.cuni.cz/services/teitok/pdtc10/index.php?action=vallex&amp;frame=v-w11313f1", "vysypávat se (v-w11313f1)")</f>
        <v>vysypávat se (v-w11313f1)</v>
      </c>
    </row>
    <row r="60069" customFormat="false" ht="12.8" hidden="false" customHeight="false" outlineLevel="0" collapsed="false">
      <c r="B60069" s="0" t="s">
        <v>1</v>
      </c>
    </row>
    <row r="60071" customFormat="false" ht="12.8" hidden="false" customHeight="false" outlineLevel="0" collapsed="false">
      <c r="A60071" s="0" t="s">
        <v>20253</v>
      </c>
      <c r="B60071" s="0" t="str">
        <f aca="false">HYPERLINK("https://lindat.mff.cuni.cz/services/teitok/pdtc10/index.php?action=vallex&amp;frame=v-w10307f2", "vysát (v-w10307f2)")</f>
        <v>vysát (v-w10307f2)</v>
      </c>
      <c r="E60071" s="0" t="str">
        <f aca="false">HYPERLINK("https://lindat.mff.cuni.cz/services/SynSemClass40/SynSemClass40.html?veclass=vec00847#vec00847-ces-cm00008", "vec00847")</f>
        <v>vec00847</v>
      </c>
      <c r="F60071" s="0" t="s">
        <v>9510</v>
      </c>
    </row>
    <row r="60072" customFormat="false" ht="12.8" hidden="false" customHeight="false" outlineLevel="0" collapsed="false">
      <c r="B60072" s="0" t="s">
        <v>1</v>
      </c>
      <c r="C60072" s="0" t="s">
        <v>4695</v>
      </c>
      <c r="E60072" s="0" t="s">
        <v>92</v>
      </c>
      <c r="F60072" s="0" t="s">
        <v>9511</v>
      </c>
    </row>
    <row r="60073" customFormat="false" ht="12.8" hidden="false" customHeight="false" outlineLevel="0" collapsed="false">
      <c r="B60073" s="0" t="s">
        <v>8</v>
      </c>
      <c r="C60073" s="0" t="s">
        <v>9512</v>
      </c>
      <c r="E60073" s="0" t="s">
        <v>95</v>
      </c>
      <c r="F60073" s="0" t="s">
        <v>9513</v>
      </c>
    </row>
    <row r="60074" customFormat="false" ht="12.8" hidden="false" customHeight="false" outlineLevel="0" collapsed="false">
      <c r="B60074" s="0" t="s">
        <v>631</v>
      </c>
      <c r="E60074" s="0" t="s">
        <v>4096</v>
      </c>
      <c r="F60074" s="0" t="s">
        <v>4097</v>
      </c>
    </row>
    <row r="60076" customFormat="false" ht="12.8" hidden="false" customHeight="false" outlineLevel="0" collapsed="false">
      <c r="A60076" s="0" t="s">
        <v>20254</v>
      </c>
      <c r="B60076" s="0" t="str">
        <f aca="false">HYPERLINK("https://lindat.mff.cuni.cz/services/teitok/pdtc10/index.php?action=vallex&amp;frame=v-w10307f3", "vysát (v-w10307f3)")</f>
        <v>vysát (v-w10307f3)</v>
      </c>
      <c r="E60076" s="0" t="str">
        <f aca="false">HYPERLINK("https://lindat.mff.cuni.cz/services/SynSemClass40/SynSemClass40.html?veclass=vec00957#vec00957-ces-cm00012", "vec00957")</f>
        <v>vec00957</v>
      </c>
      <c r="F60076" s="0" t="s">
        <v>3187</v>
      </c>
    </row>
    <row r="60077" customFormat="false" ht="12.8" hidden="false" customHeight="false" outlineLevel="0" collapsed="false">
      <c r="B60077" s="0" t="s">
        <v>1</v>
      </c>
      <c r="C60077" s="0" t="s">
        <v>428</v>
      </c>
      <c r="E60077" s="0" t="s">
        <v>20</v>
      </c>
      <c r="F60077" s="0" t="s">
        <v>3190</v>
      </c>
    </row>
    <row r="60078" customFormat="false" ht="12.8" hidden="false" customHeight="false" outlineLevel="0" collapsed="false">
      <c r="B60078" s="0" t="s">
        <v>8</v>
      </c>
      <c r="C60078" s="0" t="s">
        <v>4017</v>
      </c>
      <c r="E60078" s="0" t="s">
        <v>1702</v>
      </c>
      <c r="F60078" s="0" t="s">
        <v>3193</v>
      </c>
    </row>
    <row r="60080" customFormat="false" ht="12.8" hidden="false" customHeight="false" outlineLevel="0" collapsed="false">
      <c r="A60080" s="0" t="s">
        <v>20255</v>
      </c>
      <c r="B60080" s="0" t="str">
        <f aca="false">HYPERLINK("https://lindat.mff.cuni.cz/services/teitok/pdtc10/index.php?action=vallex&amp;frame=v-w8336f1", "vysávat (v-w8336f1)")</f>
        <v>vysávat (v-w8336f1)</v>
      </c>
    </row>
    <row r="60081" customFormat="false" ht="12.8" hidden="false" customHeight="false" outlineLevel="0" collapsed="false">
      <c r="B60081" s="0" t="s">
        <v>1</v>
      </c>
    </row>
    <row r="60082" customFormat="false" ht="12.8" hidden="false" customHeight="false" outlineLevel="0" collapsed="false">
      <c r="B60082" s="0" t="s">
        <v>8</v>
      </c>
    </row>
    <row r="60083" customFormat="false" ht="12.8" hidden="false" customHeight="false" outlineLevel="0" collapsed="false">
      <c r="B60083" s="0" t="s">
        <v>631</v>
      </c>
    </row>
    <row r="60085" customFormat="false" ht="12.8" hidden="false" customHeight="false" outlineLevel="0" collapsed="false">
      <c r="A60085" s="0" t="s">
        <v>20256</v>
      </c>
      <c r="B60085" s="0" t="str">
        <f aca="false">HYPERLINK("https://lindat.mff.cuni.cz/services/teitok/pdtc10/index.php?action=vallex&amp;frame=v-w8336f3", "vysávat (v-w8336f3)")</f>
        <v>vysávat (v-w8336f3)</v>
      </c>
      <c r="E60085" s="0" t="str">
        <f aca="false">HYPERLINK("https://lindat.mff.cuni.cz/services/SynSemClass40/SynSemClass40.html?veclass=vec00957#vec00957-ces-cm00018", "vec00957")</f>
        <v>vec00957</v>
      </c>
      <c r="F60085" s="0" t="s">
        <v>3187</v>
      </c>
    </row>
    <row r="60086" customFormat="false" ht="12.8" hidden="false" customHeight="false" outlineLevel="0" collapsed="false">
      <c r="B60086" s="0" t="s">
        <v>1</v>
      </c>
      <c r="C60086" s="0" t="s">
        <v>428</v>
      </c>
      <c r="E60086" s="0" t="s">
        <v>20</v>
      </c>
      <c r="F60086" s="0" t="s">
        <v>3190</v>
      </c>
    </row>
    <row r="60087" customFormat="false" ht="12.8" hidden="false" customHeight="false" outlineLevel="0" collapsed="false">
      <c r="B60087" s="0" t="s">
        <v>8</v>
      </c>
      <c r="C60087" s="0" t="s">
        <v>4017</v>
      </c>
      <c r="E60087" s="0" t="s">
        <v>1702</v>
      </c>
      <c r="F60087" s="0" t="s">
        <v>3193</v>
      </c>
    </row>
    <row r="60089" customFormat="false" ht="12.8" hidden="false" customHeight="false" outlineLevel="0" collapsed="false">
      <c r="A60089" s="0" t="s">
        <v>20257</v>
      </c>
      <c r="B60089" s="0" t="str">
        <f aca="false">HYPERLINK("https://lindat.mff.cuni.cz/services/teitok/pdtc10/index.php?action=vallex&amp;frame=v-w8336f4", "vysávat (v-w8336f4)")</f>
        <v>vysávat (v-w8336f4)</v>
      </c>
      <c r="E60089" s="0" t="str">
        <f aca="false">HYPERLINK("https://lindat.mff.cuni.cz/services/SynSemClass40/SynSemClass40.html?veclass=vec00957#vec00957-ces-cm00019", "vec00957")</f>
        <v>vec00957</v>
      </c>
      <c r="F60089" s="0" t="s">
        <v>3187</v>
      </c>
    </row>
    <row r="60090" customFormat="false" ht="12.8" hidden="false" customHeight="false" outlineLevel="0" collapsed="false">
      <c r="B60090" s="0" t="s">
        <v>1</v>
      </c>
      <c r="C60090" s="0" t="s">
        <v>428</v>
      </c>
      <c r="E60090" s="0" t="s">
        <v>20</v>
      </c>
      <c r="F60090" s="0" t="s">
        <v>3190</v>
      </c>
    </row>
    <row r="60091" customFormat="false" ht="12.8" hidden="false" customHeight="false" outlineLevel="0" collapsed="false">
      <c r="B60091" s="0" t="s">
        <v>8</v>
      </c>
      <c r="C60091" s="0" t="s">
        <v>4017</v>
      </c>
      <c r="E60091" s="0" t="s">
        <v>1702</v>
      </c>
      <c r="F60091" s="0" t="s">
        <v>3193</v>
      </c>
    </row>
    <row r="60093" customFormat="false" ht="12.8" hidden="false" customHeight="false" outlineLevel="0" collapsed="false">
      <c r="A60093" s="0" t="s">
        <v>20258</v>
      </c>
      <c r="B60093" s="0" t="str">
        <f aca="false">HYPERLINK("https://lindat.mff.cuni.cz/services/teitok/pdtc10/index.php?action=vallex&amp;frame=v-w11168f3", "vysázet (v-w11168f3)")</f>
        <v>vysázet (v-w11168f3)</v>
      </c>
      <c r="E60093" s="0" t="str">
        <f aca="false">HYPERLINK("https://lindat.mff.cuni.cz/services/SynSemClass40/SynSemClass40.html?veclass=vec01356#vec01356-ces-cm00003", "vec01356")</f>
        <v>vec01356</v>
      </c>
      <c r="F60093" s="0" t="s">
        <v>4139</v>
      </c>
    </row>
    <row r="60094" customFormat="false" ht="12.8" hidden="false" customHeight="false" outlineLevel="0" collapsed="false">
      <c r="B60094" s="0" t="s">
        <v>1</v>
      </c>
      <c r="C60094" s="0" t="s">
        <v>10507</v>
      </c>
      <c r="E60094" s="0" t="s">
        <v>2554</v>
      </c>
      <c r="F60094" s="0" t="s">
        <v>4141</v>
      </c>
    </row>
    <row r="60095" customFormat="false" ht="12.8" hidden="false" customHeight="false" outlineLevel="0" collapsed="false">
      <c r="B60095" s="0" t="s">
        <v>8</v>
      </c>
      <c r="C60095" s="0" t="s">
        <v>19833</v>
      </c>
      <c r="E60095" s="0" t="s">
        <v>4565</v>
      </c>
      <c r="F60095" s="0" t="s">
        <v>4566</v>
      </c>
    </row>
    <row r="60096" customFormat="false" ht="12.8" hidden="false" customHeight="false" outlineLevel="0" collapsed="false">
      <c r="B60096" s="0" t="s">
        <v>52</v>
      </c>
      <c r="C60096" s="0" t="s">
        <v>19834</v>
      </c>
      <c r="E60096" s="0" t="s">
        <v>2560</v>
      </c>
      <c r="F60096" s="0" t="s">
        <v>4568</v>
      </c>
    </row>
    <row r="60098" customFormat="false" ht="12.8" hidden="false" customHeight="false" outlineLevel="0" collapsed="false">
      <c r="A60098" s="0" t="s">
        <v>20259</v>
      </c>
      <c r="B60098" s="0" t="str">
        <f aca="false">HYPERLINK("https://lindat.mff.cuni.cz/services/teitok/pdtc10/index.php?action=vallex&amp;frame=v-w11168f2", "vysázet (v-w11168f2)")</f>
        <v>vysázet (v-w11168f2)</v>
      </c>
    </row>
    <row r="60099" customFormat="false" ht="12.8" hidden="false" customHeight="false" outlineLevel="0" collapsed="false">
      <c r="B60099" s="0" t="s">
        <v>1</v>
      </c>
    </row>
    <row r="60100" customFormat="false" ht="12.8" hidden="false" customHeight="false" outlineLevel="0" collapsed="false">
      <c r="B60100" s="0" t="s">
        <v>8</v>
      </c>
    </row>
    <row r="60102" customFormat="false" ht="12.8" hidden="false" customHeight="false" outlineLevel="0" collapsed="false">
      <c r="A60102" s="0" t="s">
        <v>20260</v>
      </c>
      <c r="B60102" s="0" t="str">
        <f aca="false">HYPERLINK("https://lindat.mff.cuni.cz/services/teitok/pdtc10/index.php?action=vallex&amp;frame=v-w8345f4_ZU", "vysílat (v-w8345f4_ZU)")</f>
        <v>vysílat (v-w8345f4_ZU)</v>
      </c>
    </row>
    <row r="60103" customFormat="false" ht="12.8" hidden="false" customHeight="false" outlineLevel="0" collapsed="false">
      <c r="B60103" s="0" t="s">
        <v>1</v>
      </c>
    </row>
    <row r="60104" customFormat="false" ht="12.8" hidden="false" customHeight="false" outlineLevel="0" collapsed="false">
      <c r="B60104" s="0" t="s">
        <v>8</v>
      </c>
    </row>
    <row r="60105" customFormat="false" ht="12.8" hidden="false" customHeight="false" outlineLevel="0" collapsed="false">
      <c r="B60105" s="0" t="s">
        <v>52</v>
      </c>
    </row>
    <row r="60107" customFormat="false" ht="12.8" hidden="false" customHeight="false" outlineLevel="0" collapsed="false">
      <c r="A60107" s="0" t="s">
        <v>20261</v>
      </c>
      <c r="B60107" s="0" t="str">
        <f aca="false">HYPERLINK("https://lindat.mff.cuni.cz/services/teitok/pdtc10/index.php?action=vallex&amp;frame=v-w8345f2", "vysílat (v-w8345f2)")</f>
        <v>vysílat (v-w8345f2)</v>
      </c>
      <c r="E60107" s="0" t="str">
        <f aca="false">HYPERLINK("https://lindat.mff.cuni.cz/services/SynSemClass40/SynSemClass40.html?veclass=vec00209#vec00209-ces-cm00048", "vec00209")</f>
        <v>vec00209</v>
      </c>
      <c r="F60107" s="0" t="s">
        <v>2040</v>
      </c>
    </row>
    <row r="60108" customFormat="false" ht="12.8" hidden="false" customHeight="false" outlineLevel="0" collapsed="false">
      <c r="B60108" s="0" t="s">
        <v>1</v>
      </c>
      <c r="C60108" s="0" t="s">
        <v>2041</v>
      </c>
      <c r="E60108" s="0" t="s">
        <v>1784</v>
      </c>
      <c r="F60108" s="0" t="s">
        <v>2042</v>
      </c>
    </row>
    <row r="60109" customFormat="false" ht="12.8" hidden="false" customHeight="false" outlineLevel="0" collapsed="false">
      <c r="B60109" s="0" t="s">
        <v>8</v>
      </c>
      <c r="C60109" s="0" t="s">
        <v>2043</v>
      </c>
      <c r="E60109" s="0" t="s">
        <v>1787</v>
      </c>
      <c r="F60109" s="0" t="s">
        <v>2044</v>
      </c>
    </row>
    <row r="60110" customFormat="false" ht="12.8" hidden="false" customHeight="false" outlineLevel="0" collapsed="false">
      <c r="B60110" s="0" t="s">
        <v>164</v>
      </c>
      <c r="C60110" s="0" t="s">
        <v>2654</v>
      </c>
      <c r="E60110" s="0" t="s">
        <v>2212</v>
      </c>
      <c r="F60110" s="0" t="s">
        <v>2651</v>
      </c>
    </row>
    <row r="60112" customFormat="false" ht="12.8" hidden="false" customHeight="false" outlineLevel="0" collapsed="false">
      <c r="A60112" s="0" t="s">
        <v>20262</v>
      </c>
      <c r="B60112" s="0" t="str">
        <f aca="false">HYPERLINK("https://lindat.mff.cuni.cz/services/teitok/pdtc10/index.php?action=vallex&amp;frame=v-w8345f1", "vysílat (v-w8345f1)")</f>
        <v>vysílat (v-w8345f1)</v>
      </c>
      <c r="E60112" s="0" t="str">
        <f aca="false">HYPERLINK("https://lindat.mff.cuni.cz/services/SynSemClass40/SynSemClass40.html?veclass=vec00358#vec00358-ces-cm00001", "vec00358")</f>
        <v>vec00358</v>
      </c>
      <c r="F60112" s="0" t="s">
        <v>9453</v>
      </c>
    </row>
    <row r="60113" customFormat="false" ht="12.8" hidden="false" customHeight="false" outlineLevel="0" collapsed="false">
      <c r="B60113" s="0" t="s">
        <v>1</v>
      </c>
      <c r="C60113" s="0" t="s">
        <v>9454</v>
      </c>
      <c r="E60113" s="0" t="s">
        <v>9455</v>
      </c>
      <c r="F60113" s="0" t="s">
        <v>9456</v>
      </c>
    </row>
    <row r="60114" customFormat="false" ht="12.8" hidden="false" customHeight="false" outlineLevel="0" collapsed="false">
      <c r="B60114" s="0" t="s">
        <v>8</v>
      </c>
      <c r="C60114" s="0" t="s">
        <v>198</v>
      </c>
      <c r="E60114" s="0" t="s">
        <v>9457</v>
      </c>
      <c r="F60114" s="0" t="s">
        <v>9458</v>
      </c>
    </row>
    <row r="60116" customFormat="false" ht="12.8" hidden="false" customHeight="false" outlineLevel="0" collapsed="false">
      <c r="A60116" s="0" t="s">
        <v>20263</v>
      </c>
      <c r="B60116" s="0" t="str">
        <f aca="false">HYPERLINK("https://lindat.mff.cuni.cz/services/teitok/pdtc10/index.php?action=vallex&amp;frame=v-w8345f3", "vysílat (v-w8345f3)")</f>
        <v>vysílat (v-w8345f3)</v>
      </c>
    </row>
    <row r="60117" customFormat="false" ht="12.8" hidden="false" customHeight="false" outlineLevel="0" collapsed="false">
      <c r="B60117" s="0" t="s">
        <v>1</v>
      </c>
    </row>
    <row r="60118" customFormat="false" ht="12.8" hidden="false" customHeight="false" outlineLevel="0" collapsed="false">
      <c r="B60118" s="0" t="s">
        <v>8</v>
      </c>
    </row>
    <row r="60120" customFormat="false" ht="12.8" hidden="false" customHeight="false" outlineLevel="0" collapsed="false">
      <c r="A60120" s="0" t="s">
        <v>20264</v>
      </c>
      <c r="B60120" s="0" t="str">
        <f aca="false">HYPERLINK("https://lindat.mff.cuni.cz/services/teitok/pdtc10/index.php?action=vallex&amp;frame=v-whsa_1999hsa_2000", "vysýpat (v-whsa_1999hsa_2000)")</f>
        <v>vysýpat (v-whsa_1999hsa_2000)</v>
      </c>
    </row>
    <row r="60121" customFormat="false" ht="12.8" hidden="false" customHeight="false" outlineLevel="0" collapsed="false">
      <c r="B60121" s="0" t="s">
        <v>1</v>
      </c>
    </row>
    <row r="60122" customFormat="false" ht="12.8" hidden="false" customHeight="false" outlineLevel="0" collapsed="false">
      <c r="B60122" s="0" t="s">
        <v>8</v>
      </c>
    </row>
    <row r="60124" customFormat="false" ht="12.8" hidden="false" customHeight="false" outlineLevel="0" collapsed="false">
      <c r="A60124" s="0" t="s">
        <v>20265</v>
      </c>
      <c r="B60124" s="0" t="str">
        <f aca="false">HYPERLINK("https://lindat.mff.cuni.cz/services/teitok/pdtc10/index.php?action=vallex&amp;frame=v-w8455f1", "vytahat (v-w8455f1)")</f>
        <v>vytahat (v-w8455f1)</v>
      </c>
    </row>
    <row r="60125" customFormat="false" ht="12.8" hidden="false" customHeight="false" outlineLevel="0" collapsed="false">
      <c r="B60125" s="0" t="s">
        <v>1</v>
      </c>
    </row>
    <row r="60126" customFormat="false" ht="12.8" hidden="false" customHeight="false" outlineLevel="0" collapsed="false">
      <c r="B60126" s="0" t="s">
        <v>8</v>
      </c>
    </row>
    <row r="60127" customFormat="false" ht="12.8" hidden="false" customHeight="false" outlineLevel="0" collapsed="false">
      <c r="B60127" s="0" t="s">
        <v>631</v>
      </c>
    </row>
    <row r="60129" customFormat="false" ht="12.8" hidden="false" customHeight="false" outlineLevel="0" collapsed="false">
      <c r="A60129" s="0" t="s">
        <v>20266</v>
      </c>
      <c r="B60129" s="0" t="str">
        <f aca="false">HYPERLINK("https://lindat.mff.cuni.cz/services/teitok/pdtc10/index.php?action=vallex&amp;frame=v-w8458f4_ZU", "vytahovat (v-w8458f4_ZU)")</f>
        <v>vytahovat (v-w8458f4_ZU)</v>
      </c>
    </row>
    <row r="60130" customFormat="false" ht="12.8" hidden="false" customHeight="false" outlineLevel="0" collapsed="false">
      <c r="B60130" s="0" t="s">
        <v>1</v>
      </c>
    </row>
    <row r="60131" customFormat="false" ht="12.8" hidden="false" customHeight="false" outlineLevel="0" collapsed="false">
      <c r="B60131" s="0" t="s">
        <v>8</v>
      </c>
    </row>
    <row r="60132" customFormat="false" ht="12.8" hidden="false" customHeight="false" outlineLevel="0" collapsed="false">
      <c r="B60132" s="0" t="s">
        <v>631</v>
      </c>
    </row>
    <row r="60134" customFormat="false" ht="12.8" hidden="false" customHeight="false" outlineLevel="0" collapsed="false">
      <c r="A60134" s="0" t="s">
        <v>20266</v>
      </c>
      <c r="B60134" s="0" t="str">
        <f aca="false">HYPERLINK("https://lindat.mff.cuni.cz/services/teitok/pdtc10/index.php?action=vallex&amp;frame=v-w8458f1", "vytahovat (v-w8458f1) - substituted with v-w8458f4_ZU")</f>
        <v>vytahovat (v-w8458f1) - substituted with v-w8458f4_ZU</v>
      </c>
      <c r="E60134" s="0" t="str">
        <f aca="false">HYPERLINK("https://lindat.mff.cuni.cz/services/SynSemClass40/SynSemClass40.html?veclass=vec00648#vec00648-ces-cm00038", "vec00648")</f>
        <v>vec00648</v>
      </c>
      <c r="F60134" s="0" t="s">
        <v>8797</v>
      </c>
      <c r="H60134" s="0" t="str">
        <f aca="false">HYPERLINK("https://lindat.mff.cuni.cz/services/SynSemClass40/SynSemClass40.html?veclass=vec01538#vec01538-ces-cm00028", "vec01538")</f>
        <v>vec01538</v>
      </c>
      <c r="I60134" s="0" t="s">
        <v>9675</v>
      </c>
    </row>
    <row r="60135" customFormat="false" ht="12.8" hidden="false" customHeight="false" outlineLevel="0" collapsed="false">
      <c r="B60135" s="0" t="s">
        <v>1</v>
      </c>
      <c r="C60135" s="0" t="s">
        <v>12239</v>
      </c>
      <c r="E60135" s="0" t="s">
        <v>31</v>
      </c>
      <c r="F60135" s="0" t="s">
        <v>8798</v>
      </c>
      <c r="H60135" s="0" t="s">
        <v>31</v>
      </c>
      <c r="I60135" s="0" t="s">
        <v>3092</v>
      </c>
    </row>
    <row r="60136" customFormat="false" ht="12.8" hidden="false" customHeight="false" outlineLevel="0" collapsed="false">
      <c r="B60136" s="0" t="s">
        <v>8</v>
      </c>
      <c r="C60136" s="0" t="s">
        <v>16857</v>
      </c>
      <c r="E60136" s="0" t="s">
        <v>110</v>
      </c>
      <c r="F60136" s="0" t="s">
        <v>8800</v>
      </c>
      <c r="H60136" s="0" t="s">
        <v>7105</v>
      </c>
      <c r="I60136" s="0" t="s">
        <v>19338</v>
      </c>
    </row>
    <row r="60137" customFormat="false" ht="12.8" hidden="false" customHeight="false" outlineLevel="0" collapsed="false">
      <c r="B60137" s="0" t="s">
        <v>631</v>
      </c>
      <c r="C60137" s="0" t="s">
        <v>20267</v>
      </c>
      <c r="E60137" s="0" t="s">
        <v>8802</v>
      </c>
      <c r="F60137" s="0" t="s">
        <v>8803</v>
      </c>
      <c r="H60137" s="0" t="s">
        <v>19340</v>
      </c>
      <c r="I60137" s="0" t="s">
        <v>19341</v>
      </c>
    </row>
    <row r="60139" customFormat="false" ht="12.8" hidden="false" customHeight="false" outlineLevel="0" collapsed="false">
      <c r="A60139" s="0" t="s">
        <v>20268</v>
      </c>
      <c r="B60139" s="0" t="str">
        <f aca="false">HYPERLINK("https://lindat.mff.cuni.cz/services/teitok/pdtc10/index.php?action=vallex&amp;frame=v-w8458f2", "vytahovat (v-w8458f2)")</f>
        <v>vytahovat (v-w8458f2)</v>
      </c>
    </row>
    <row r="60140" customFormat="false" ht="12.8" hidden="false" customHeight="false" outlineLevel="0" collapsed="false">
      <c r="B60140" s="0" t="s">
        <v>1</v>
      </c>
    </row>
    <row r="60141" customFormat="false" ht="12.8" hidden="false" customHeight="false" outlineLevel="0" collapsed="false">
      <c r="B60141" s="0" t="s">
        <v>59</v>
      </c>
    </row>
    <row r="60143" customFormat="false" ht="12.8" hidden="false" customHeight="false" outlineLevel="0" collapsed="false">
      <c r="A60143" s="0" t="s">
        <v>20269</v>
      </c>
      <c r="B60143" s="0" t="str">
        <f aca="false">HYPERLINK("https://lindat.mff.cuni.cz/services/teitok/pdtc10/index.php?action=vallex&amp;frame=v-w8458f3_ZU", "vytahovat (v-w8458f3_ZU)")</f>
        <v>vytahovat (v-w8458f3_ZU)</v>
      </c>
    </row>
    <row r="60144" customFormat="false" ht="12.8" hidden="false" customHeight="false" outlineLevel="0" collapsed="false">
      <c r="B60144" s="0" t="s">
        <v>1</v>
      </c>
    </row>
    <row r="60145" customFormat="false" ht="12.8" hidden="false" customHeight="false" outlineLevel="0" collapsed="false">
      <c r="B60145" s="0" t="s">
        <v>8</v>
      </c>
    </row>
    <row r="60146" customFormat="false" ht="12.8" hidden="false" customHeight="false" outlineLevel="0" collapsed="false">
      <c r="B60146" s="0" t="s">
        <v>3889</v>
      </c>
    </row>
    <row r="60148" customFormat="false" ht="12.8" hidden="false" customHeight="false" outlineLevel="0" collapsed="false">
      <c r="A60148" s="0" t="s">
        <v>20270</v>
      </c>
      <c r="B60148" s="0" t="str">
        <f aca="false">HYPERLINK("https://lindat.mff.cuni.cz/services/teitok/pdtc10/index.php?action=vallex&amp;frame=v-w8458f5_ZU", "vytahovat (v-w8458f5_ZU)")</f>
        <v>vytahovat (v-w8458f5_ZU)</v>
      </c>
    </row>
    <row r="60149" customFormat="false" ht="12.8" hidden="false" customHeight="false" outlineLevel="0" collapsed="false">
      <c r="B60149" s="0" t="s">
        <v>1</v>
      </c>
    </row>
    <row r="60150" customFormat="false" ht="12.8" hidden="false" customHeight="false" outlineLevel="0" collapsed="false">
      <c r="B60150" s="0" t="s">
        <v>8</v>
      </c>
    </row>
    <row r="60151" customFormat="false" ht="12.8" hidden="false" customHeight="false" outlineLevel="0" collapsed="false">
      <c r="B60151" s="0" t="s">
        <v>454</v>
      </c>
    </row>
    <row r="60153" customFormat="false" ht="12.8" hidden="false" customHeight="false" outlineLevel="0" collapsed="false">
      <c r="A60153" s="0" t="s">
        <v>20271</v>
      </c>
      <c r="B60153" s="0" t="str">
        <f aca="false">HYPERLINK("https://lindat.mff.cuni.cz/services/teitok/pdtc10/index.php?action=vallex&amp;frame=v-whsa_1260f1_ZU", "vytahovat se (v-whsa_1260f1_ZU)")</f>
        <v>vytahovat se (v-whsa_1260f1_ZU)</v>
      </c>
    </row>
    <row r="60154" customFormat="false" ht="12.8" hidden="false" customHeight="false" outlineLevel="0" collapsed="false">
      <c r="B60154" s="0" t="s">
        <v>1</v>
      </c>
    </row>
    <row r="60155" customFormat="false" ht="12.8" hidden="false" customHeight="false" outlineLevel="0" collapsed="false">
      <c r="B60155" s="0" t="s">
        <v>380</v>
      </c>
    </row>
    <row r="60156" customFormat="false" ht="12.8" hidden="false" customHeight="false" outlineLevel="0" collapsed="false">
      <c r="B60156" s="0" t="s">
        <v>381</v>
      </c>
    </row>
    <row r="60158" customFormat="false" ht="12.8" hidden="false" customHeight="false" outlineLevel="0" collapsed="false">
      <c r="A60158" s="0" t="s">
        <v>20271</v>
      </c>
      <c r="B60158" s="0" t="str">
        <f aca="false">HYPERLINK("https://lindat.mff.cuni.cz/services/teitok/pdtc10/index.php?action=vallex&amp;frame=v-whsb_1260hsa_1261", "vytahovat se (v-whsb_1260hsa_1261) - substituted with v-whsa_1260f1_ZU")</f>
        <v>vytahovat se (v-whsb_1260hsa_1261) - substituted with v-whsa_1260f1_ZU</v>
      </c>
    </row>
    <row r="60159" customFormat="false" ht="12.8" hidden="false" customHeight="false" outlineLevel="0" collapsed="false">
      <c r="B60159" s="0" t="s">
        <v>1</v>
      </c>
    </row>
    <row r="60160" customFormat="false" ht="12.8" hidden="false" customHeight="false" outlineLevel="0" collapsed="false">
      <c r="B60160" s="0" t="s">
        <v>380</v>
      </c>
    </row>
    <row r="60161" customFormat="false" ht="12.8" hidden="false" customHeight="false" outlineLevel="0" collapsed="false">
      <c r="B60161" s="0" t="s">
        <v>381</v>
      </c>
    </row>
    <row r="60163" customFormat="false" ht="12.8" hidden="false" customHeight="false" outlineLevel="0" collapsed="false">
      <c r="A60163" s="0" t="s">
        <v>20272</v>
      </c>
      <c r="B60163" s="0" t="str">
        <f aca="false">HYPERLINK("https://lindat.mff.cuni.cz/services/teitok/pdtc10/index.php?action=vallex&amp;frame=v-whsb_896hsa_897", "vytancovat se (v-whsb_896hsa_897)")</f>
        <v>vytancovat se (v-whsb_896hsa_897)</v>
      </c>
    </row>
    <row r="60164" customFormat="false" ht="12.8" hidden="false" customHeight="false" outlineLevel="0" collapsed="false">
      <c r="B60164" s="0" t="s">
        <v>1</v>
      </c>
    </row>
    <row r="60166" customFormat="false" ht="12.8" hidden="false" customHeight="false" outlineLevel="0" collapsed="false">
      <c r="A60166" s="0" t="s">
        <v>20273</v>
      </c>
      <c r="B60166" s="0" t="str">
        <f aca="false">HYPERLINK("https://lindat.mff.cuni.cz/services/teitok/pdtc10/index.php?action=vallex&amp;frame=v-w8459f1", "vytanout (v-w8459f1)")</f>
        <v>vytanout (v-w8459f1)</v>
      </c>
    </row>
    <row r="60167" customFormat="false" ht="12.8" hidden="false" customHeight="false" outlineLevel="0" collapsed="false">
      <c r="B60167" s="0" t="s">
        <v>843</v>
      </c>
    </row>
    <row r="60168" customFormat="false" ht="12.8" hidden="false" customHeight="false" outlineLevel="0" collapsed="false">
      <c r="B60168" s="0" t="s">
        <v>6626</v>
      </c>
    </row>
    <row r="60169" customFormat="false" ht="12.8" hidden="false" customHeight="false" outlineLevel="0" collapsed="false">
      <c r="B60169" s="0" t="s">
        <v>186</v>
      </c>
    </row>
    <row r="60171" customFormat="false" ht="12.8" hidden="false" customHeight="false" outlineLevel="0" collapsed="false">
      <c r="A60171" s="0" t="s">
        <v>20274</v>
      </c>
      <c r="B60171" s="0" t="str">
        <f aca="false">HYPERLINK("https://lindat.mff.cuni.cz/services/teitok/pdtc10/index.php?action=vallex&amp;frame=v-w8459f2", "vytanout (v-w8459f2)")</f>
        <v>vytanout (v-w8459f2)</v>
      </c>
    </row>
    <row r="60172" customFormat="false" ht="12.8" hidden="false" customHeight="false" outlineLevel="0" collapsed="false">
      <c r="B60172" s="0" t="s">
        <v>843</v>
      </c>
    </row>
    <row r="60173" customFormat="false" ht="12.8" hidden="false" customHeight="false" outlineLevel="0" collapsed="false">
      <c r="B60173" s="0" t="s">
        <v>20275</v>
      </c>
    </row>
    <row r="60174" customFormat="false" ht="12.8" hidden="false" customHeight="false" outlineLevel="0" collapsed="false">
      <c r="B60174" s="0" t="s">
        <v>186</v>
      </c>
    </row>
    <row r="60176" customFormat="false" ht="12.8" hidden="false" customHeight="false" outlineLevel="0" collapsed="false">
      <c r="A60176" s="0" t="s">
        <v>20276</v>
      </c>
      <c r="B60176" s="0" t="str">
        <f aca="false">HYPERLINK("https://lindat.mff.cuni.cz/services/teitok/pdtc10/index.php?action=vallex&amp;frame=v-w8462f1", "vytasit (v-w8462f1)")</f>
        <v>vytasit (v-w8462f1)</v>
      </c>
    </row>
    <row r="60177" customFormat="false" ht="12.8" hidden="false" customHeight="false" outlineLevel="0" collapsed="false">
      <c r="B60177" s="0" t="s">
        <v>1</v>
      </c>
    </row>
    <row r="60178" customFormat="false" ht="12.8" hidden="false" customHeight="false" outlineLevel="0" collapsed="false">
      <c r="B60178" s="0" t="s">
        <v>8</v>
      </c>
    </row>
    <row r="60179" customFormat="false" ht="12.8" hidden="false" customHeight="false" outlineLevel="0" collapsed="false">
      <c r="B60179" s="0" t="s">
        <v>631</v>
      </c>
    </row>
    <row r="60181" customFormat="false" ht="12.8" hidden="false" customHeight="false" outlineLevel="0" collapsed="false">
      <c r="A60181" s="0" t="s">
        <v>20277</v>
      </c>
      <c r="B60181" s="0" t="str">
        <f aca="false">HYPERLINK("https://lindat.mff.cuni.cz/services/teitok/pdtc10/index.php?action=vallex&amp;frame=v-w8463f1", "vytasit se (v-w8463f1)")</f>
        <v>vytasit se (v-w8463f1)</v>
      </c>
    </row>
    <row r="60182" customFormat="false" ht="12.8" hidden="false" customHeight="false" outlineLevel="0" collapsed="false">
      <c r="B60182" s="0" t="s">
        <v>1</v>
      </c>
    </row>
    <row r="60183" customFormat="false" ht="12.8" hidden="false" customHeight="false" outlineLevel="0" collapsed="false">
      <c r="B60183" s="0" t="s">
        <v>721</v>
      </c>
    </row>
    <row r="60185" customFormat="false" ht="12.8" hidden="false" customHeight="false" outlineLevel="0" collapsed="false">
      <c r="A60185" s="0" t="s">
        <v>20278</v>
      </c>
      <c r="B60185" s="0" t="str">
        <f aca="false">HYPERLINK("https://lindat.mff.cuni.cz/services/teitok/pdtc10/index.php?action=vallex&amp;frame=v-w8467f1", "vytempovat (v-w8467f1)")</f>
        <v>vytempovat (v-w8467f1)</v>
      </c>
    </row>
    <row r="60186" customFormat="false" ht="12.8" hidden="false" customHeight="false" outlineLevel="0" collapsed="false">
      <c r="B60186" s="0" t="s">
        <v>1</v>
      </c>
    </row>
    <row r="60187" customFormat="false" ht="12.8" hidden="false" customHeight="false" outlineLevel="0" collapsed="false">
      <c r="B60187" s="0" t="s">
        <v>8</v>
      </c>
    </row>
    <row r="60189" customFormat="false" ht="12.8" hidden="false" customHeight="false" outlineLevel="0" collapsed="false">
      <c r="A60189" s="0" t="s">
        <v>20279</v>
      </c>
      <c r="B60189" s="0" t="str">
        <f aca="false">HYPERLINK("https://lindat.mff.cuni.cz/services/teitok/pdtc10/index.php?action=vallex&amp;frame=v-w8468f1", "vytesat (v-w8468f1)")</f>
        <v>vytesat (v-w8468f1)</v>
      </c>
    </row>
    <row r="60190" customFormat="false" ht="12.8" hidden="false" customHeight="false" outlineLevel="0" collapsed="false">
      <c r="B60190" s="0" t="s">
        <v>1</v>
      </c>
    </row>
    <row r="60191" customFormat="false" ht="12.8" hidden="false" customHeight="false" outlineLevel="0" collapsed="false">
      <c r="B60191" s="0" t="s">
        <v>8</v>
      </c>
    </row>
    <row r="60192" customFormat="false" ht="12.8" hidden="false" customHeight="false" outlineLevel="0" collapsed="false">
      <c r="B60192" s="0" t="s">
        <v>36</v>
      </c>
    </row>
    <row r="60194" customFormat="false" ht="12.8" hidden="false" customHeight="false" outlineLevel="0" collapsed="false">
      <c r="A60194" s="0" t="s">
        <v>20280</v>
      </c>
      <c r="B60194" s="0" t="str">
        <f aca="false">HYPERLINK("https://lindat.mff.cuni.cz/services/teitok/pdtc10/index.php?action=vallex&amp;frame=v-w8469f1", "vytesávat (v-w8469f1)")</f>
        <v>vytesávat (v-w8469f1)</v>
      </c>
    </row>
    <row r="60195" customFormat="false" ht="12.8" hidden="false" customHeight="false" outlineLevel="0" collapsed="false">
      <c r="B60195" s="0" t="s">
        <v>1</v>
      </c>
    </row>
    <row r="60196" customFormat="false" ht="12.8" hidden="false" customHeight="false" outlineLevel="0" collapsed="false">
      <c r="B60196" s="0" t="s">
        <v>8</v>
      </c>
    </row>
    <row r="60197" customFormat="false" ht="12.8" hidden="false" customHeight="false" outlineLevel="0" collapsed="false">
      <c r="B60197" s="0" t="s">
        <v>36</v>
      </c>
    </row>
    <row r="60199" customFormat="false" ht="12.8" hidden="false" customHeight="false" outlineLevel="0" collapsed="false">
      <c r="A60199" s="0" t="s">
        <v>20281</v>
      </c>
      <c r="B60199" s="0" t="str">
        <f aca="false">HYPERLINK("https://lindat.mff.cuni.cz/services/teitok/pdtc10/index.php?action=vallex&amp;frame=v-w8471f1", "vytetovat (v-w8471f1)")</f>
        <v>vytetovat (v-w8471f1)</v>
      </c>
    </row>
    <row r="60200" customFormat="false" ht="12.8" hidden="false" customHeight="false" outlineLevel="0" collapsed="false">
      <c r="B60200" s="0" t="s">
        <v>1</v>
      </c>
    </row>
    <row r="60201" customFormat="false" ht="12.8" hidden="false" customHeight="false" outlineLevel="0" collapsed="false">
      <c r="B60201" s="0" t="s">
        <v>8</v>
      </c>
    </row>
    <row r="60203" customFormat="false" ht="12.8" hidden="false" customHeight="false" outlineLevel="0" collapsed="false">
      <c r="A60203" s="0" t="s">
        <v>20282</v>
      </c>
      <c r="B60203" s="0" t="str">
        <f aca="false">HYPERLINK("https://lindat.mff.cuni.cz/services/teitok/pdtc10/index.php?action=vallex&amp;frame=v-w8466f1", "vytečkovat (v-w8466f1)")</f>
        <v>vytečkovat (v-w8466f1)</v>
      </c>
    </row>
    <row r="60204" customFormat="false" ht="12.8" hidden="false" customHeight="false" outlineLevel="0" collapsed="false">
      <c r="B60204" s="0" t="s">
        <v>1</v>
      </c>
    </row>
    <row r="60205" customFormat="false" ht="12.8" hidden="false" customHeight="false" outlineLevel="0" collapsed="false">
      <c r="B60205" s="0" t="s">
        <v>8</v>
      </c>
    </row>
    <row r="60207" customFormat="false" ht="12.8" hidden="false" customHeight="false" outlineLevel="0" collapsed="false">
      <c r="A60207" s="0" t="s">
        <v>20283</v>
      </c>
      <c r="B60207" s="0" t="str">
        <f aca="false">HYPERLINK("https://lindat.mff.cuni.cz/services/teitok/pdtc10/index.php?action=vallex&amp;frame=v-w8475hsa_524", "vytipovat (v-w8475hsa_524)")</f>
        <v>vytipovat (v-w8475hsa_524)</v>
      </c>
    </row>
    <row r="60208" customFormat="false" ht="12.8" hidden="false" customHeight="false" outlineLevel="0" collapsed="false">
      <c r="B60208" s="0" t="s">
        <v>1</v>
      </c>
    </row>
    <row r="60209" customFormat="false" ht="12.8" hidden="false" customHeight="false" outlineLevel="0" collapsed="false">
      <c r="B60209" s="0" t="s">
        <v>305</v>
      </c>
    </row>
    <row r="60211" customFormat="false" ht="12.8" hidden="false" customHeight="false" outlineLevel="0" collapsed="false">
      <c r="A60211" s="0" t="s">
        <v>20283</v>
      </c>
      <c r="B60211" s="0" t="str">
        <f aca="false">HYPERLINK("https://lindat.mff.cuni.cz/services/teitok/pdtc10/index.php?action=vallex&amp;frame=v-w8475f1", "vytipovat (v-w8475f1) - substituted with v-w8475hsa_524")</f>
        <v>vytipovat (v-w8475f1) - substituted with v-w8475hsa_524</v>
      </c>
    </row>
    <row r="60212" customFormat="false" ht="12.8" hidden="false" customHeight="false" outlineLevel="0" collapsed="false">
      <c r="B60212" s="0" t="s">
        <v>1</v>
      </c>
    </row>
    <row r="60213" customFormat="false" ht="12.8" hidden="false" customHeight="false" outlineLevel="0" collapsed="false">
      <c r="B60213" s="0" t="s">
        <v>305</v>
      </c>
    </row>
    <row r="60215" customFormat="false" ht="12.8" hidden="false" customHeight="false" outlineLevel="0" collapsed="false">
      <c r="A60215" s="0" t="s">
        <v>20284</v>
      </c>
      <c r="B60215" s="0" t="str">
        <f aca="false">HYPERLINK("https://lindat.mff.cuni.cz/services/teitok/pdtc10/index.php?action=vallex&amp;frame=v-w11144f2", "vytipovávat (v-w11144f2)")</f>
        <v>vytipovávat (v-w11144f2)</v>
      </c>
    </row>
    <row r="60216" customFormat="false" ht="12.8" hidden="false" customHeight="false" outlineLevel="0" collapsed="false">
      <c r="B60216" s="0" t="s">
        <v>1</v>
      </c>
    </row>
    <row r="60217" customFormat="false" ht="12.8" hidden="false" customHeight="false" outlineLevel="0" collapsed="false">
      <c r="B60217" s="0" t="s">
        <v>8</v>
      </c>
    </row>
    <row r="60219" customFormat="false" ht="12.8" hidden="false" customHeight="false" outlineLevel="0" collapsed="false">
      <c r="A60219" s="0" t="s">
        <v>20285</v>
      </c>
      <c r="B60219" s="0" t="str">
        <f aca="false">HYPERLINK("https://lindat.mff.cuni.cz/services/teitok/pdtc10/index.php?action=vallex&amp;frame=v-w8477f1", "vytisknout (v-w8477f1)")</f>
        <v>vytisknout (v-w8477f1)</v>
      </c>
      <c r="E60219" s="0" t="str">
        <f aca="false">HYPERLINK("https://lindat.mff.cuni.cz/services/SynSemClass40/SynSemClass40.html?veclass=vec00528#vec00528-ces-cm00005", "vec00528")</f>
        <v>vec00528</v>
      </c>
      <c r="F60219" s="0" t="s">
        <v>17078</v>
      </c>
    </row>
    <row r="60220" customFormat="false" ht="12.8" hidden="false" customHeight="false" outlineLevel="0" collapsed="false">
      <c r="B60220" s="0" t="s">
        <v>1</v>
      </c>
      <c r="C60220" s="0" t="s">
        <v>154</v>
      </c>
      <c r="E60220" s="0" t="s">
        <v>768</v>
      </c>
      <c r="F60220" s="0" t="s">
        <v>17079</v>
      </c>
    </row>
    <row r="60221" customFormat="false" ht="12.8" hidden="false" customHeight="false" outlineLevel="0" collapsed="false">
      <c r="B60221" s="0" t="s">
        <v>1838</v>
      </c>
      <c r="C60221" s="0" t="s">
        <v>5583</v>
      </c>
      <c r="E60221" s="0" t="s">
        <v>771</v>
      </c>
      <c r="F60221" s="0" t="s">
        <v>7594</v>
      </c>
    </row>
    <row r="60223" customFormat="false" ht="12.8" hidden="false" customHeight="false" outlineLevel="0" collapsed="false">
      <c r="A60223" s="0" t="s">
        <v>20286</v>
      </c>
      <c r="B60223" s="0" t="str">
        <f aca="false">HYPERLINK("https://lindat.mff.cuni.cz/services/teitok/pdtc10/index.php?action=vallex&amp;frame=v-w8482f2", "vytknout (v-w8482f2)")</f>
        <v>vytknout (v-w8482f2)</v>
      </c>
    </row>
    <row r="60224" customFormat="false" ht="12.8" hidden="false" customHeight="false" outlineLevel="0" collapsed="false">
      <c r="B60224" s="0" t="s">
        <v>1</v>
      </c>
    </row>
    <row r="60225" customFormat="false" ht="12.8" hidden="false" customHeight="false" outlineLevel="0" collapsed="false">
      <c r="B60225" s="0" t="s">
        <v>6631</v>
      </c>
    </row>
    <row r="60226" customFormat="false" ht="12.8" hidden="false" customHeight="false" outlineLevel="0" collapsed="false">
      <c r="B60226" s="0" t="s">
        <v>132</v>
      </c>
    </row>
    <row r="60227" customFormat="false" ht="12.8" hidden="false" customHeight="false" outlineLevel="0" collapsed="false">
      <c r="B60227" s="0" t="s">
        <v>3406</v>
      </c>
    </row>
    <row r="60229" customFormat="false" ht="12.8" hidden="false" customHeight="false" outlineLevel="0" collapsed="false">
      <c r="A60229" s="0" t="s">
        <v>20287</v>
      </c>
      <c r="B60229" s="0" t="str">
        <f aca="false">HYPERLINK("https://lindat.mff.cuni.cz/services/teitok/pdtc10/index.php?action=vallex&amp;frame=v-w8482f1", "vytknout (v-w8482f1)")</f>
        <v>vytknout (v-w8482f1)</v>
      </c>
      <c r="E60229" s="0" t="str">
        <f aca="false">HYPERLINK("https://lindat.mff.cuni.cz/services/SynSemClass40/SynSemClass40.html?veclass=vec00620#vec00620-ces-cm00005", "vec00620")</f>
        <v>vec00620</v>
      </c>
      <c r="F60229" s="0" t="s">
        <v>4262</v>
      </c>
    </row>
    <row r="60230" customFormat="false" ht="12.8" hidden="false" customHeight="false" outlineLevel="0" collapsed="false">
      <c r="B60230" s="0" t="s">
        <v>1</v>
      </c>
      <c r="C60230" s="0" t="s">
        <v>154</v>
      </c>
      <c r="E60230" s="0" t="s">
        <v>31</v>
      </c>
      <c r="F60230" s="0" t="s">
        <v>4265</v>
      </c>
    </row>
    <row r="60231" customFormat="false" ht="12.8" hidden="false" customHeight="false" outlineLevel="0" collapsed="false">
      <c r="B60231" s="0" t="s">
        <v>228</v>
      </c>
      <c r="C60231" s="0" t="s">
        <v>16420</v>
      </c>
      <c r="E60231" s="0" t="s">
        <v>532</v>
      </c>
      <c r="F60231" s="0" t="s">
        <v>16421</v>
      </c>
    </row>
    <row r="60232" customFormat="false" ht="12.8" hidden="false" customHeight="false" outlineLevel="0" collapsed="false">
      <c r="B60232" s="0" t="s">
        <v>52</v>
      </c>
      <c r="C60232" s="0" t="s">
        <v>20288</v>
      </c>
      <c r="E60232" s="0" t="s">
        <v>2287</v>
      </c>
      <c r="F60232" s="0" t="s">
        <v>16415</v>
      </c>
    </row>
    <row r="60234" customFormat="false" ht="12.8" hidden="false" customHeight="false" outlineLevel="0" collapsed="false">
      <c r="A60234" s="0" t="s">
        <v>20289</v>
      </c>
      <c r="B60234" s="0" t="str">
        <f aca="false">HYPERLINK("https://lindat.mff.cuni.cz/services/teitok/pdtc10/index.php?action=vallex&amp;frame=v-w8482f3", "vytknout (v-w8482f3)")</f>
        <v>vytknout (v-w8482f3)</v>
      </c>
    </row>
    <row r="60235" customFormat="false" ht="12.8" hidden="false" customHeight="false" outlineLevel="0" collapsed="false">
      <c r="B60235" s="0" t="s">
        <v>1</v>
      </c>
    </row>
    <row r="60236" customFormat="false" ht="12.8" hidden="false" customHeight="false" outlineLevel="0" collapsed="false">
      <c r="B60236" s="0" t="s">
        <v>8</v>
      </c>
    </row>
    <row r="60237" customFormat="false" ht="12.8" hidden="false" customHeight="false" outlineLevel="0" collapsed="false">
      <c r="B60237" s="0" t="s">
        <v>164</v>
      </c>
    </row>
    <row r="60239" customFormat="false" ht="12.8" hidden="false" customHeight="false" outlineLevel="0" collapsed="false">
      <c r="A60239" s="0" t="s">
        <v>20290</v>
      </c>
      <c r="B60239" s="0" t="str">
        <f aca="false">HYPERLINK("https://lindat.mff.cuni.cz/services/teitok/pdtc10/index.php?action=vallex&amp;frame=v-w8484f1", "vytlačit (v-w8484f1)")</f>
        <v>vytlačit (v-w8484f1)</v>
      </c>
      <c r="E60239" s="0" t="str">
        <f aca="false">HYPERLINK("https://lindat.mff.cuni.cz/services/SynSemClass40/SynSemClass40.html?veclass=vec00555#vec00555-ces-cm00021", "vec00555")</f>
        <v>vec00555</v>
      </c>
      <c r="F60239" s="0" t="s">
        <v>1918</v>
      </c>
    </row>
    <row r="60240" customFormat="false" ht="12.8" hidden="false" customHeight="false" outlineLevel="0" collapsed="false">
      <c r="B60240" s="0" t="s">
        <v>1</v>
      </c>
      <c r="C60240" s="0" t="s">
        <v>1919</v>
      </c>
      <c r="E60240" s="0" t="s">
        <v>31</v>
      </c>
      <c r="F60240" s="0" t="s">
        <v>1920</v>
      </c>
    </row>
    <row r="60241" customFormat="false" ht="12.8" hidden="false" customHeight="false" outlineLevel="0" collapsed="false">
      <c r="B60241" s="0" t="s">
        <v>8</v>
      </c>
      <c r="C60241" s="0" t="s">
        <v>1921</v>
      </c>
      <c r="E60241" s="0" t="s">
        <v>532</v>
      </c>
      <c r="F60241" s="0" t="s">
        <v>1922</v>
      </c>
    </row>
    <row r="60242" customFormat="false" ht="12.8" hidden="false" customHeight="false" outlineLevel="0" collapsed="false">
      <c r="B60242" s="0" t="s">
        <v>631</v>
      </c>
      <c r="C60242" s="0" t="s">
        <v>1923</v>
      </c>
      <c r="E60242" s="0" t="s">
        <v>1924</v>
      </c>
      <c r="F60242" s="0" t="s">
        <v>1925</v>
      </c>
    </row>
    <row r="60244" customFormat="false" ht="12.8" hidden="false" customHeight="false" outlineLevel="0" collapsed="false">
      <c r="A60244" s="0" t="s">
        <v>20291</v>
      </c>
      <c r="B60244" s="0" t="str">
        <f aca="false">HYPERLINK("https://lindat.mff.cuni.cz/services/teitok/pdtc10/index.php?action=vallex&amp;frame=v-w8484f3", "vytlačit (v-w8484f3)")</f>
        <v>vytlačit (v-w8484f3)</v>
      </c>
      <c r="E60244" s="0" t="str">
        <f aca="false">HYPERLINK("https://lindat.mff.cuni.cz/services/SynSemClass40/SynSemClass40.html?veclass=vec00555#vec00555-ces-cm00043", "vec00555")</f>
        <v>vec00555</v>
      </c>
      <c r="F60244" s="0" t="s">
        <v>1918</v>
      </c>
    </row>
    <row r="60245" customFormat="false" ht="12.8" hidden="false" customHeight="false" outlineLevel="0" collapsed="false">
      <c r="B60245" s="0" t="s">
        <v>1</v>
      </c>
      <c r="C60245" s="0" t="s">
        <v>1919</v>
      </c>
      <c r="E60245" s="0" t="s">
        <v>31</v>
      </c>
      <c r="F60245" s="0" t="s">
        <v>1920</v>
      </c>
    </row>
    <row r="60246" customFormat="false" ht="12.8" hidden="false" customHeight="false" outlineLevel="0" collapsed="false">
      <c r="B60246" s="0" t="s">
        <v>8</v>
      </c>
      <c r="C60246" s="0" t="s">
        <v>1921</v>
      </c>
      <c r="E60246" s="0" t="s">
        <v>532</v>
      </c>
      <c r="F60246" s="0" t="s">
        <v>1922</v>
      </c>
    </row>
    <row r="60247" customFormat="false" ht="12.8" hidden="false" customHeight="false" outlineLevel="0" collapsed="false">
      <c r="B60247" s="0" t="s">
        <v>631</v>
      </c>
      <c r="C60247" s="0" t="s">
        <v>1923</v>
      </c>
      <c r="E60247" s="0" t="s">
        <v>1924</v>
      </c>
      <c r="F60247" s="0" t="s">
        <v>1925</v>
      </c>
    </row>
    <row r="60249" customFormat="false" ht="12.8" hidden="false" customHeight="false" outlineLevel="0" collapsed="false">
      <c r="A60249" s="0" t="s">
        <v>20292</v>
      </c>
      <c r="B60249" s="0" t="str">
        <f aca="false">HYPERLINK("https://lindat.mff.cuni.cz/services/teitok/pdtc10/index.php?action=vallex&amp;frame=v-w8484f2", "vytlačit (v-w8484f2)")</f>
        <v>vytlačit (v-w8484f2)</v>
      </c>
      <c r="E60249" s="0" t="str">
        <f aca="false">HYPERLINK("https://lindat.mff.cuni.cz/services/SynSemClass40/SynSemClass40.html?veclass=vec00298#vec00298-ces-cm00141", "vec00298")</f>
        <v>vec00298</v>
      </c>
      <c r="F60249" s="0" t="s">
        <v>7194</v>
      </c>
      <c r="H60249" s="0" t="str">
        <f aca="false">HYPERLINK("https://lindat.mff.cuni.cz/services/SynSemClass40/SynSemClass40.html?veclass=vec01325#vec01325-ces-cm00004", "vec01325")</f>
        <v>vec01325</v>
      </c>
      <c r="I60249" s="0" t="s">
        <v>16438</v>
      </c>
    </row>
    <row r="60250" customFormat="false" ht="12.8" hidden="false" customHeight="false" outlineLevel="0" collapsed="false">
      <c r="B60250" s="0" t="s">
        <v>1</v>
      </c>
      <c r="C60250" s="0" t="s">
        <v>20293</v>
      </c>
      <c r="E60250" s="0" t="s">
        <v>31</v>
      </c>
      <c r="F60250" s="0" t="s">
        <v>7196</v>
      </c>
      <c r="H60250" s="0" t="s">
        <v>3010</v>
      </c>
      <c r="I60250" s="0" t="s">
        <v>11378</v>
      </c>
    </row>
    <row r="60251" customFormat="false" ht="12.8" hidden="false" customHeight="false" outlineLevel="0" collapsed="false">
      <c r="B60251" s="0" t="s">
        <v>8</v>
      </c>
      <c r="C60251" s="0" t="s">
        <v>20294</v>
      </c>
      <c r="E60251" s="0" t="s">
        <v>1569</v>
      </c>
      <c r="F60251" s="0" t="s">
        <v>7198</v>
      </c>
      <c r="H60251" s="0" t="s">
        <v>142</v>
      </c>
      <c r="I60251" s="0" t="s">
        <v>8814</v>
      </c>
    </row>
    <row r="60252" customFormat="false" ht="12.8" hidden="false" customHeight="false" outlineLevel="0" collapsed="false">
      <c r="B60252" s="0" t="s">
        <v>164</v>
      </c>
      <c r="C60252" s="0" t="s">
        <v>19289</v>
      </c>
      <c r="E60252" s="0" t="s">
        <v>19243</v>
      </c>
      <c r="F60252" s="0" t="s">
        <v>19290</v>
      </c>
      <c r="H60252" s="0" t="s">
        <v>17086</v>
      </c>
      <c r="I60252" s="0" t="s">
        <v>17087</v>
      </c>
    </row>
    <row r="60254" customFormat="false" ht="12.8" hidden="false" customHeight="false" outlineLevel="0" collapsed="false">
      <c r="A60254" s="0" t="s">
        <v>20295</v>
      </c>
      <c r="B60254" s="0" t="str">
        <f aca="false">HYPERLINK("https://lindat.mff.cuni.cz/services/teitok/pdtc10/index.php?action=vallex&amp;frame=v-w8484f4", "vytlačit (v-w8484f4)")</f>
        <v>vytlačit (v-w8484f4)</v>
      </c>
      <c r="E60254" s="0" t="str">
        <f aca="false">HYPERLINK("https://lindat.mff.cuni.cz/services/SynSemClass40/SynSemClass40.html?veclass=vec00565#vec00565-ces-cm00016", "vec00565")</f>
        <v>vec00565</v>
      </c>
      <c r="F60254" s="0" t="s">
        <v>7244</v>
      </c>
    </row>
    <row r="60255" customFormat="false" ht="12.8" hidden="false" customHeight="false" outlineLevel="0" collapsed="false">
      <c r="B60255" s="0" t="s">
        <v>1</v>
      </c>
      <c r="C60255" s="0" t="s">
        <v>7245</v>
      </c>
      <c r="E60255" s="0" t="s">
        <v>7246</v>
      </c>
      <c r="F60255" s="0" t="s">
        <v>7247</v>
      </c>
    </row>
    <row r="60256" customFormat="false" ht="12.8" hidden="false" customHeight="false" outlineLevel="0" collapsed="false">
      <c r="B60256" s="0" t="s">
        <v>8</v>
      </c>
      <c r="C60256" s="0" t="s">
        <v>7248</v>
      </c>
      <c r="E60256" s="0" t="s">
        <v>6961</v>
      </c>
      <c r="F60256" s="0" t="s">
        <v>7249</v>
      </c>
    </row>
    <row r="60258" customFormat="false" ht="12.8" hidden="false" customHeight="false" outlineLevel="0" collapsed="false">
      <c r="A60258" s="0" t="s">
        <v>20296</v>
      </c>
      <c r="B60258" s="0" t="str">
        <f aca="false">HYPERLINK("https://lindat.mff.cuni.cz/services/teitok/pdtc10/index.php?action=vallex&amp;frame=v-w8484hsa_898", "vytlačit (v-w8484hsa_898)")</f>
        <v>vytlačit (v-w8484hsa_898)</v>
      </c>
      <c r="E60258" s="0" t="str">
        <f aca="false">HYPERLINK("https://lindat.mff.cuni.cz/services/SynSemClass40/SynSemClass40.html?veclass=vec01359#vec01359-ces-cm00003", "vec01359")</f>
        <v>vec01359</v>
      </c>
      <c r="F60258" s="0" t="s">
        <v>20297</v>
      </c>
    </row>
    <row r="60259" customFormat="false" ht="12.8" hidden="false" customHeight="false" outlineLevel="0" collapsed="false">
      <c r="B60259" s="0" t="s">
        <v>1</v>
      </c>
      <c r="E60259" s="0" t="s">
        <v>794</v>
      </c>
      <c r="F60259" s="0" t="s">
        <v>20298</v>
      </c>
    </row>
    <row r="60260" customFormat="false" ht="12.8" hidden="false" customHeight="false" outlineLevel="0" collapsed="false">
      <c r="B60260" s="0" t="s">
        <v>8</v>
      </c>
      <c r="E60260" s="0" t="s">
        <v>771</v>
      </c>
      <c r="F60260" s="0" t="s">
        <v>20299</v>
      </c>
    </row>
    <row r="60262" customFormat="false" ht="12.8" hidden="false" customHeight="false" outlineLevel="0" collapsed="false">
      <c r="A60262" s="0" t="s">
        <v>20300</v>
      </c>
      <c r="B60262" s="0" t="str">
        <f aca="false">HYPERLINK("https://lindat.mff.cuni.cz/services/teitok/pdtc10/index.php?action=vallex&amp;frame=v-w8484f5_ZU", "vytlačit (v-w8484f5_ZU)")</f>
        <v>vytlačit (v-w8484f5_ZU)</v>
      </c>
      <c r="E60262" s="0" t="str">
        <f aca="false">HYPERLINK("https://lindat.mff.cuni.cz/services/SynSemClass40/SynSemClass40.html?veclass=vec00298#vec00298-ces-cm00142", "vec00298")</f>
        <v>vec00298</v>
      </c>
      <c r="F60262" s="0" t="s">
        <v>7194</v>
      </c>
    </row>
    <row r="60263" customFormat="false" ht="12.8" hidden="false" customHeight="false" outlineLevel="0" collapsed="false">
      <c r="B60263" s="0" t="s">
        <v>1</v>
      </c>
      <c r="C60263" s="0" t="s">
        <v>7195</v>
      </c>
      <c r="E60263" s="0" t="s">
        <v>31</v>
      </c>
      <c r="F60263" s="0" t="s">
        <v>7196</v>
      </c>
    </row>
    <row r="60264" customFormat="false" ht="12.8" hidden="false" customHeight="false" outlineLevel="0" collapsed="false">
      <c r="B60264" s="0" t="s">
        <v>8</v>
      </c>
      <c r="C60264" s="0" t="s">
        <v>7197</v>
      </c>
      <c r="E60264" s="0" t="s">
        <v>1569</v>
      </c>
      <c r="F60264" s="0" t="s">
        <v>7198</v>
      </c>
    </row>
    <row r="60265" customFormat="false" ht="12.8" hidden="false" customHeight="false" outlineLevel="0" collapsed="false">
      <c r="B60265" s="0" t="s">
        <v>36</v>
      </c>
      <c r="C60265" s="0" t="s">
        <v>7199</v>
      </c>
      <c r="E60265" s="0" t="s">
        <v>5152</v>
      </c>
      <c r="F60265" s="0" t="s">
        <v>7200</v>
      </c>
    </row>
    <row r="60266" customFormat="false" ht="12.8" hidden="false" customHeight="false" outlineLevel="0" collapsed="false">
      <c r="B60266" s="0" t="s">
        <v>20301</v>
      </c>
      <c r="C60266" s="0" t="s">
        <v>7201</v>
      </c>
      <c r="E60266" s="0" t="s">
        <v>5796</v>
      </c>
      <c r="F60266" s="0" t="s">
        <v>7202</v>
      </c>
    </row>
    <row r="60268" customFormat="false" ht="12.8" hidden="false" customHeight="false" outlineLevel="0" collapsed="false">
      <c r="A60268" s="0" t="s">
        <v>20300</v>
      </c>
      <c r="B60268" s="0" t="str">
        <f aca="false">HYPERLINK("https://lindat.mff.cuni.cz/services/teitok/pdtc10/index.php?action=vallex&amp;frame=v-w8484hsa_899", "vytlačit (v-w8484hsa_899) - substituted with v-w8484f5_ZU")</f>
        <v>vytlačit (v-w8484hsa_899) - substituted with v-w8484f5_ZU</v>
      </c>
    </row>
    <row r="60269" customFormat="false" ht="12.8" hidden="false" customHeight="false" outlineLevel="0" collapsed="false">
      <c r="B60269" s="0" t="s">
        <v>1</v>
      </c>
    </row>
    <row r="60270" customFormat="false" ht="12.8" hidden="false" customHeight="false" outlineLevel="0" collapsed="false">
      <c r="B60270" s="0" t="s">
        <v>8</v>
      </c>
    </row>
    <row r="60271" customFormat="false" ht="12.8" hidden="false" customHeight="false" outlineLevel="0" collapsed="false">
      <c r="B60271" s="0" t="s">
        <v>36</v>
      </c>
    </row>
    <row r="60272" customFormat="false" ht="12.8" hidden="false" customHeight="false" outlineLevel="0" collapsed="false">
      <c r="B60272" s="0" t="s">
        <v>20301</v>
      </c>
    </row>
    <row r="60274" customFormat="false" ht="12.8" hidden="false" customHeight="false" outlineLevel="0" collapsed="false">
      <c r="A60274" s="0" t="s">
        <v>20302</v>
      </c>
      <c r="B60274" s="0" t="str">
        <f aca="false">HYPERLINK("https://lindat.mff.cuni.cz/services/teitok/pdtc10/index.php?action=vallex&amp;frame=v-w8486f1", "vytlačovat (v-w8486f1)")</f>
        <v>vytlačovat (v-w8486f1)</v>
      </c>
      <c r="E60274" s="0" t="str">
        <f aca="false">HYPERLINK("https://lindat.mff.cuni.cz/services/SynSemClass40/SynSemClass40.html?veclass=vec00555#vec00555-ces-cm00044", "vec00555")</f>
        <v>vec00555</v>
      </c>
      <c r="F60274" s="0" t="s">
        <v>1918</v>
      </c>
    </row>
    <row r="60275" customFormat="false" ht="12.8" hidden="false" customHeight="false" outlineLevel="0" collapsed="false">
      <c r="B60275" s="0" t="s">
        <v>1</v>
      </c>
      <c r="C60275" s="0" t="s">
        <v>1919</v>
      </c>
      <c r="E60275" s="0" t="s">
        <v>31</v>
      </c>
      <c r="F60275" s="0" t="s">
        <v>1920</v>
      </c>
    </row>
    <row r="60276" customFormat="false" ht="12.8" hidden="false" customHeight="false" outlineLevel="0" collapsed="false">
      <c r="B60276" s="0" t="s">
        <v>8</v>
      </c>
      <c r="C60276" s="0" t="s">
        <v>1921</v>
      </c>
      <c r="E60276" s="0" t="s">
        <v>532</v>
      </c>
      <c r="F60276" s="0" t="s">
        <v>1922</v>
      </c>
    </row>
    <row r="60277" customFormat="false" ht="12.8" hidden="false" customHeight="false" outlineLevel="0" collapsed="false">
      <c r="B60277" s="0" t="s">
        <v>631</v>
      </c>
      <c r="C60277" s="0" t="s">
        <v>1923</v>
      </c>
      <c r="E60277" s="0" t="s">
        <v>1924</v>
      </c>
      <c r="F60277" s="0" t="s">
        <v>1925</v>
      </c>
    </row>
    <row r="60279" customFormat="false" ht="12.8" hidden="false" customHeight="false" outlineLevel="0" collapsed="false">
      <c r="A60279" s="0" t="s">
        <v>20303</v>
      </c>
      <c r="B60279" s="0" t="str">
        <f aca="false">HYPERLINK("https://lindat.mff.cuni.cz/services/teitok/pdtc10/index.php?action=vallex&amp;frame=v-w8486f2", "vytlačovat (v-w8486f2)")</f>
        <v>vytlačovat (v-w8486f2)</v>
      </c>
      <c r="E60279" s="0" t="str">
        <f aca="false">HYPERLINK("https://lindat.mff.cuni.cz/services/SynSemClass40/SynSemClass40.html?veclass=vec00565#vec00565-ces-cm00017", "vec00565")</f>
        <v>vec00565</v>
      </c>
      <c r="F60279" s="0" t="s">
        <v>7244</v>
      </c>
    </row>
    <row r="60280" customFormat="false" ht="12.8" hidden="false" customHeight="false" outlineLevel="0" collapsed="false">
      <c r="B60280" s="0" t="s">
        <v>1</v>
      </c>
      <c r="C60280" s="0" t="s">
        <v>7245</v>
      </c>
      <c r="E60280" s="0" t="s">
        <v>7246</v>
      </c>
      <c r="F60280" s="0" t="s">
        <v>7247</v>
      </c>
    </row>
    <row r="60281" customFormat="false" ht="12.8" hidden="false" customHeight="false" outlineLevel="0" collapsed="false">
      <c r="B60281" s="0" t="s">
        <v>8</v>
      </c>
      <c r="C60281" s="0" t="s">
        <v>7248</v>
      </c>
      <c r="E60281" s="0" t="s">
        <v>6961</v>
      </c>
      <c r="F60281" s="0" t="s">
        <v>7249</v>
      </c>
    </row>
    <row r="60283" customFormat="false" ht="12.8" hidden="false" customHeight="false" outlineLevel="0" collapsed="false">
      <c r="A60283" s="0" t="s">
        <v>20304</v>
      </c>
      <c r="B60283" s="0" t="str">
        <f aca="false">HYPERLINK("https://lindat.mff.cuni.cz/services/teitok/pdtc10/index.php?action=vallex&amp;frame=v-w10207f2", "vytlouci (v-w10207f2)")</f>
        <v>vytlouci (v-w10207f2)</v>
      </c>
    </row>
    <row r="60284" customFormat="false" ht="12.8" hidden="false" customHeight="false" outlineLevel="0" collapsed="false">
      <c r="B60284" s="0" t="s">
        <v>1</v>
      </c>
    </row>
    <row r="60285" customFormat="false" ht="12.8" hidden="false" customHeight="false" outlineLevel="0" collapsed="false">
      <c r="B60285" s="0" t="s">
        <v>8</v>
      </c>
    </row>
    <row r="60286" customFormat="false" ht="12.8" hidden="false" customHeight="false" outlineLevel="0" collapsed="false">
      <c r="B60286" s="0" t="s">
        <v>631</v>
      </c>
    </row>
    <row r="60288" customFormat="false" ht="12.8" hidden="false" customHeight="false" outlineLevel="0" collapsed="false">
      <c r="A60288" s="0" t="s">
        <v>20305</v>
      </c>
      <c r="B60288" s="0" t="str">
        <f aca="false">HYPERLINK("https://lindat.mff.cuni.cz/services/teitok/pdtc10/index.php?action=vallex&amp;frame=v-w8487f1", "vytloukat (v-w8487f1)")</f>
        <v>vytloukat (v-w8487f1)</v>
      </c>
    </row>
    <row r="60289" customFormat="false" ht="12.8" hidden="false" customHeight="false" outlineLevel="0" collapsed="false">
      <c r="B60289" s="0" t="s">
        <v>1</v>
      </c>
    </row>
    <row r="60290" customFormat="false" ht="12.8" hidden="false" customHeight="false" outlineLevel="0" collapsed="false">
      <c r="B60290" s="0" t="s">
        <v>8</v>
      </c>
    </row>
    <row r="60291" customFormat="false" ht="12.8" hidden="false" customHeight="false" outlineLevel="0" collapsed="false">
      <c r="B60291" s="0" t="s">
        <v>36</v>
      </c>
    </row>
    <row r="60293" customFormat="false" ht="12.8" hidden="false" customHeight="false" outlineLevel="0" collapsed="false">
      <c r="A60293" s="0" t="s">
        <v>20306</v>
      </c>
      <c r="B60293" s="0" t="str">
        <f aca="false">HYPERLINK("https://lindat.mff.cuni.cz/services/teitok/pdtc10/index.php?action=vallex&amp;frame=v-whsa_745hsa_746", "vytopit (v-whsa_745hsa_746)")</f>
        <v>vytopit (v-whsa_745hsa_746)</v>
      </c>
    </row>
    <row r="60294" customFormat="false" ht="12.8" hidden="false" customHeight="false" outlineLevel="0" collapsed="false">
      <c r="B60294" s="0" t="s">
        <v>1</v>
      </c>
    </row>
    <row r="60295" customFormat="false" ht="12.8" hidden="false" customHeight="false" outlineLevel="0" collapsed="false">
      <c r="B60295" s="0" t="s">
        <v>8</v>
      </c>
    </row>
    <row r="60297" customFormat="false" ht="12.8" hidden="false" customHeight="false" outlineLevel="0" collapsed="false">
      <c r="A60297" s="0" t="s">
        <v>20307</v>
      </c>
      <c r="B60297" s="0" t="str">
        <f aca="false">HYPERLINK("https://lindat.mff.cuni.cz/services/teitok/pdtc10/index.php?action=vallex&amp;frame=v-w8488f1", "vytočit (v-w8488f1)")</f>
        <v>vytočit (v-w8488f1)</v>
      </c>
      <c r="E60297" s="0" t="str">
        <f aca="false">HYPERLINK("https://lindat.mff.cuni.cz/services/SynSemClass40/SynSemClass40.html?veclass=vec01539#vec01539-ces-cm00017", "vec01539")</f>
        <v>vec01539</v>
      </c>
      <c r="F60297" s="0" t="s">
        <v>18712</v>
      </c>
    </row>
    <row r="60298" customFormat="false" ht="12.8" hidden="false" customHeight="false" outlineLevel="0" collapsed="false">
      <c r="B60298" s="0" t="s">
        <v>1</v>
      </c>
      <c r="C60298" s="0" t="s">
        <v>18713</v>
      </c>
      <c r="E60298" s="0" t="s">
        <v>31</v>
      </c>
      <c r="F60298" s="0" t="s">
        <v>18714</v>
      </c>
    </row>
    <row r="60299" customFormat="false" ht="12.8" hidden="false" customHeight="false" outlineLevel="0" collapsed="false">
      <c r="B60299" s="0" t="s">
        <v>8</v>
      </c>
      <c r="C60299" s="0" t="s">
        <v>10894</v>
      </c>
      <c r="E60299" s="0" t="s">
        <v>4297</v>
      </c>
      <c r="F60299" s="0" t="s">
        <v>18715</v>
      </c>
    </row>
    <row r="60301" customFormat="false" ht="12.8" hidden="false" customHeight="false" outlineLevel="0" collapsed="false">
      <c r="A60301" s="0" t="s">
        <v>20308</v>
      </c>
      <c r="B60301" s="0" t="str">
        <f aca="false">HYPERLINK("https://lindat.mff.cuni.cz/services/teitok/pdtc10/index.php?action=vallex&amp;frame=v-w8488hsa_124", "vytočit (v-w8488hsa_124)")</f>
        <v>vytočit (v-w8488hsa_124)</v>
      </c>
    </row>
    <row r="60302" customFormat="false" ht="12.8" hidden="false" customHeight="false" outlineLevel="0" collapsed="false">
      <c r="B60302" s="0" t="s">
        <v>1</v>
      </c>
    </row>
    <row r="60303" customFormat="false" ht="12.8" hidden="false" customHeight="false" outlineLevel="0" collapsed="false">
      <c r="B60303" s="0" t="s">
        <v>8</v>
      </c>
    </row>
    <row r="60305" customFormat="false" ht="12.8" hidden="false" customHeight="false" outlineLevel="0" collapsed="false">
      <c r="A60305" s="0" t="s">
        <v>20309</v>
      </c>
      <c r="B60305" s="0" t="str">
        <f aca="false">HYPERLINK("https://lindat.mff.cuni.cz/services/teitok/pdtc10/index.php?action=vallex&amp;frame=v-w8488hsa_125", "vytočit (v-w8488hsa_125)")</f>
        <v>vytočit (v-w8488hsa_125)</v>
      </c>
    </row>
    <row r="60306" customFormat="false" ht="12.8" hidden="false" customHeight="false" outlineLevel="0" collapsed="false">
      <c r="B60306" s="0" t="s">
        <v>1</v>
      </c>
    </row>
    <row r="60307" customFormat="false" ht="12.8" hidden="false" customHeight="false" outlineLevel="0" collapsed="false">
      <c r="B60307" s="0" t="s">
        <v>8</v>
      </c>
    </row>
    <row r="60309" customFormat="false" ht="12.8" hidden="false" customHeight="false" outlineLevel="0" collapsed="false">
      <c r="A60309" s="0" t="s">
        <v>20310</v>
      </c>
      <c r="B60309" s="0" t="str">
        <f aca="false">HYPERLINK("https://lindat.mff.cuni.cz/services/teitok/pdtc10/index.php?action=vallex&amp;frame=v-w8490f1", "vytratit se (v-w8490f1)")</f>
        <v>vytratit se (v-w8490f1)</v>
      </c>
      <c r="E60309" s="0" t="str">
        <f aca="false">HYPERLINK("https://lindat.mff.cuni.cz/services/SynSemClass40/SynSemClass40.html?veclass=vec00755#vec00755-ces-cm00006", "vec00755")</f>
        <v>vec00755</v>
      </c>
      <c r="F60309" s="0" t="s">
        <v>6268</v>
      </c>
    </row>
    <row r="60310" customFormat="false" ht="12.8" hidden="false" customHeight="false" outlineLevel="0" collapsed="false">
      <c r="B60310" s="0" t="s">
        <v>1</v>
      </c>
      <c r="C60310" s="0" t="s">
        <v>6269</v>
      </c>
      <c r="E60310" s="0" t="s">
        <v>6270</v>
      </c>
      <c r="F60310" s="0" t="s">
        <v>6271</v>
      </c>
    </row>
    <row r="60312" customFormat="false" ht="12.8" hidden="false" customHeight="false" outlineLevel="0" collapsed="false">
      <c r="A60312" s="0" t="s">
        <v>20311</v>
      </c>
      <c r="B60312" s="0" t="str">
        <f aca="false">HYPERLINK("https://lindat.mff.cuni.cz/services/teitok/pdtc10/index.php?action=vallex&amp;frame=v-w8491f1", "vytrejdovat (v-w8491f1)")</f>
        <v>vytrejdovat (v-w8491f1)</v>
      </c>
    </row>
    <row r="60313" customFormat="false" ht="12.8" hidden="false" customHeight="false" outlineLevel="0" collapsed="false">
      <c r="B60313" s="0" t="s">
        <v>1</v>
      </c>
    </row>
    <row r="60314" customFormat="false" ht="12.8" hidden="false" customHeight="false" outlineLevel="0" collapsed="false">
      <c r="B60314" s="0" t="s">
        <v>8</v>
      </c>
    </row>
    <row r="60315" customFormat="false" ht="12.8" hidden="false" customHeight="false" outlineLevel="0" collapsed="false">
      <c r="B60315" s="0" t="s">
        <v>3205</v>
      </c>
    </row>
    <row r="60316" customFormat="false" ht="12.8" hidden="false" customHeight="false" outlineLevel="0" collapsed="false">
      <c r="B60316" s="0" t="s">
        <v>723</v>
      </c>
    </row>
    <row r="60318" customFormat="false" ht="12.8" hidden="false" customHeight="false" outlineLevel="0" collapsed="false">
      <c r="A60318" s="0" t="s">
        <v>20312</v>
      </c>
      <c r="B60318" s="0" t="str">
        <f aca="false">HYPERLINK("https://lindat.mff.cuni.cz/services/teitok/pdtc10/index.php?action=vallex&amp;frame=v-w11145f2", "vytrhat (v-w11145f2)")</f>
        <v>vytrhat (v-w11145f2)</v>
      </c>
      <c r="E60318" s="0" t="str">
        <f aca="false">HYPERLINK("https://lindat.mff.cuni.cz/services/SynSemClass40/SynSemClass40.html?veclass=vec00962#vec00962-ces-cm00053", "vec00962")</f>
        <v>vec00962</v>
      </c>
      <c r="F60318" s="0" t="s">
        <v>9319</v>
      </c>
    </row>
    <row r="60319" customFormat="false" ht="12.8" hidden="false" customHeight="false" outlineLevel="0" collapsed="false">
      <c r="B60319" s="0" t="s">
        <v>1</v>
      </c>
      <c r="C60319" s="0" t="s">
        <v>106</v>
      </c>
      <c r="E60319" s="0" t="s">
        <v>11</v>
      </c>
      <c r="F60319" s="0" t="s">
        <v>9320</v>
      </c>
    </row>
    <row r="60320" customFormat="false" ht="12.8" hidden="false" customHeight="false" outlineLevel="0" collapsed="false">
      <c r="B60320" s="0" t="s">
        <v>8</v>
      </c>
      <c r="C60320" s="0" t="s">
        <v>4392</v>
      </c>
      <c r="E60320" s="0" t="s">
        <v>4094</v>
      </c>
      <c r="F60320" s="0" t="s">
        <v>9321</v>
      </c>
    </row>
    <row r="60321" customFormat="false" ht="12.8" hidden="false" customHeight="false" outlineLevel="0" collapsed="false">
      <c r="B60321" s="0" t="s">
        <v>631</v>
      </c>
      <c r="C60321" s="0" t="s">
        <v>9322</v>
      </c>
      <c r="E60321" s="0" t="s">
        <v>1924</v>
      </c>
      <c r="F60321" s="0" t="s">
        <v>9323</v>
      </c>
    </row>
    <row r="60323" customFormat="false" ht="12.8" hidden="false" customHeight="false" outlineLevel="0" collapsed="false">
      <c r="A60323" s="0" t="s">
        <v>20313</v>
      </c>
      <c r="B60323" s="0" t="str">
        <f aca="false">HYPERLINK("https://lindat.mff.cuni.cz/services/teitok/pdtc10/index.php?action=vallex&amp;frame=v-w8493f2", "vytrhnout (v-w8493f2)")</f>
        <v>vytrhnout (v-w8493f2)</v>
      </c>
      <c r="E60323" s="0" t="str">
        <f aca="false">HYPERLINK("https://lindat.mff.cuni.cz/services/SynSemClass40/SynSemClass40.html?veclass=vec01162#vec01162-ces-cm00001", "vec01162")</f>
        <v>vec01162</v>
      </c>
      <c r="F60323" s="0" t="s">
        <v>20314</v>
      </c>
    </row>
    <row r="60324" customFormat="false" ht="12.8" hidden="false" customHeight="false" outlineLevel="0" collapsed="false">
      <c r="B60324" s="0" t="s">
        <v>1</v>
      </c>
      <c r="E60324" s="0" t="s">
        <v>31</v>
      </c>
      <c r="F60324" s="0" t="s">
        <v>49</v>
      </c>
    </row>
    <row r="60325" customFormat="false" ht="12.8" hidden="false" customHeight="false" outlineLevel="0" collapsed="false">
      <c r="B60325" s="0" t="s">
        <v>8</v>
      </c>
      <c r="C60325" s="0" t="s">
        <v>462</v>
      </c>
      <c r="E60325" s="0" t="s">
        <v>1930</v>
      </c>
      <c r="F60325" s="0" t="s">
        <v>10595</v>
      </c>
    </row>
    <row r="60326" customFormat="false" ht="12.8" hidden="false" customHeight="false" outlineLevel="0" collapsed="false">
      <c r="B60326" s="0" t="s">
        <v>2840</v>
      </c>
      <c r="E60326" s="0" t="s">
        <v>38</v>
      </c>
      <c r="F60326" s="0" t="s">
        <v>8255</v>
      </c>
    </row>
    <row r="60328" customFormat="false" ht="12.8" hidden="false" customHeight="false" outlineLevel="0" collapsed="false">
      <c r="A60328" s="0" t="s">
        <v>20315</v>
      </c>
      <c r="B60328" s="0" t="str">
        <f aca="false">HYPERLINK("https://lindat.mff.cuni.cz/services/teitok/pdtc10/index.php?action=vallex&amp;frame=v-w8493f1", "vytrhnout (v-w8493f1)")</f>
        <v>vytrhnout (v-w8493f1)</v>
      </c>
      <c r="E60328" s="0" t="str">
        <f aca="false">HYPERLINK("https://lindat.mff.cuni.cz/services/SynSemClass40/SynSemClass40.html?veclass=vec00764#vec00764-ces-cm00001", "vec00764")</f>
        <v>vec00764</v>
      </c>
      <c r="F60328" s="0" t="s">
        <v>20316</v>
      </c>
    </row>
    <row r="60329" customFormat="false" ht="12.8" hidden="false" customHeight="false" outlineLevel="0" collapsed="false">
      <c r="B60329" s="0" t="s">
        <v>1</v>
      </c>
      <c r="C60329" s="0" t="s">
        <v>4695</v>
      </c>
      <c r="E60329" s="0" t="s">
        <v>107</v>
      </c>
      <c r="F60329" s="0" t="s">
        <v>20210</v>
      </c>
    </row>
    <row r="60330" customFormat="false" ht="12.8" hidden="false" customHeight="false" outlineLevel="0" collapsed="false">
      <c r="B60330" s="0" t="s">
        <v>8</v>
      </c>
      <c r="C60330" s="0" t="s">
        <v>798</v>
      </c>
      <c r="E60330" s="0" t="s">
        <v>4094</v>
      </c>
      <c r="F60330" s="0" t="s">
        <v>20317</v>
      </c>
    </row>
    <row r="60331" customFormat="false" ht="12.8" hidden="false" customHeight="false" outlineLevel="0" collapsed="false">
      <c r="B60331" s="0" t="s">
        <v>631</v>
      </c>
      <c r="E60331" s="0" t="s">
        <v>4096</v>
      </c>
      <c r="F60331" s="0" t="s">
        <v>4097</v>
      </c>
    </row>
    <row r="60333" customFormat="false" ht="12.8" hidden="false" customHeight="false" outlineLevel="0" collapsed="false">
      <c r="A60333" s="0" t="s">
        <v>20318</v>
      </c>
      <c r="B60333" s="0" t="str">
        <f aca="false">HYPERLINK("https://lindat.mff.cuni.cz/services/teitok/pdtc10/index.php?action=vallex&amp;frame=v-w8494f2", "vytrhovat (v-w8494f2)")</f>
        <v>vytrhovat (v-w8494f2)</v>
      </c>
      <c r="E60333" s="0" t="str">
        <f aca="false">HYPERLINK("https://lindat.mff.cuni.cz/services/SynSemClass40/SynSemClass40.html?veclass=vec01162#vec01162-ces-cm00004", "vec01162")</f>
        <v>vec01162</v>
      </c>
      <c r="F60333" s="0" t="s">
        <v>20314</v>
      </c>
    </row>
    <row r="60334" customFormat="false" ht="12.8" hidden="false" customHeight="false" outlineLevel="0" collapsed="false">
      <c r="B60334" s="0" t="s">
        <v>1</v>
      </c>
      <c r="E60334" s="0" t="s">
        <v>31</v>
      </c>
      <c r="F60334" s="0" t="s">
        <v>49</v>
      </c>
    </row>
    <row r="60335" customFormat="false" ht="12.8" hidden="false" customHeight="false" outlineLevel="0" collapsed="false">
      <c r="B60335" s="0" t="s">
        <v>8</v>
      </c>
      <c r="C60335" s="0" t="s">
        <v>462</v>
      </c>
      <c r="E60335" s="0" t="s">
        <v>1930</v>
      </c>
      <c r="F60335" s="0" t="s">
        <v>10595</v>
      </c>
    </row>
    <row r="60336" customFormat="false" ht="12.8" hidden="false" customHeight="false" outlineLevel="0" collapsed="false">
      <c r="B60336" s="0" t="s">
        <v>2840</v>
      </c>
      <c r="E60336" s="0" t="s">
        <v>38</v>
      </c>
      <c r="F60336" s="0" t="s">
        <v>8255</v>
      </c>
    </row>
    <row r="60338" customFormat="false" ht="12.8" hidden="false" customHeight="false" outlineLevel="0" collapsed="false">
      <c r="A60338" s="0" t="s">
        <v>20319</v>
      </c>
      <c r="B60338" s="0" t="str">
        <f aca="false">HYPERLINK("https://lindat.mff.cuni.cz/services/teitok/pdtc10/index.php?action=vallex&amp;frame=v-w8494f1", "vytrhovat (v-w8494f1)")</f>
        <v>vytrhovat (v-w8494f1)</v>
      </c>
      <c r="E60338" s="0" t="str">
        <f aca="false">HYPERLINK("https://lindat.mff.cuni.cz/services/SynSemClass40/SynSemClass40.html?veclass=vec00764#vec00764-ces-cm00008", "vec00764")</f>
        <v>vec00764</v>
      </c>
      <c r="F60338" s="0" t="s">
        <v>20316</v>
      </c>
    </row>
    <row r="60339" customFormat="false" ht="12.8" hidden="false" customHeight="false" outlineLevel="0" collapsed="false">
      <c r="B60339" s="0" t="s">
        <v>1</v>
      </c>
      <c r="C60339" s="0" t="s">
        <v>4695</v>
      </c>
      <c r="E60339" s="0" t="s">
        <v>107</v>
      </c>
      <c r="F60339" s="0" t="s">
        <v>20210</v>
      </c>
    </row>
    <row r="60340" customFormat="false" ht="12.8" hidden="false" customHeight="false" outlineLevel="0" collapsed="false">
      <c r="B60340" s="0" t="s">
        <v>8</v>
      </c>
      <c r="C60340" s="0" t="s">
        <v>798</v>
      </c>
      <c r="E60340" s="0" t="s">
        <v>4094</v>
      </c>
      <c r="F60340" s="0" t="s">
        <v>20317</v>
      </c>
    </row>
    <row r="60341" customFormat="false" ht="12.8" hidden="false" customHeight="false" outlineLevel="0" collapsed="false">
      <c r="B60341" s="0" t="s">
        <v>631</v>
      </c>
      <c r="E60341" s="0" t="s">
        <v>4096</v>
      </c>
      <c r="F60341" s="0" t="s">
        <v>4097</v>
      </c>
    </row>
    <row r="60343" customFormat="false" ht="12.8" hidden="false" customHeight="false" outlineLevel="0" collapsed="false">
      <c r="A60343" s="0" t="s">
        <v>20320</v>
      </c>
      <c r="B60343" s="0" t="str">
        <f aca="false">HYPERLINK("https://lindat.mff.cuni.cz/services/teitok/pdtc10/index.php?action=vallex&amp;frame=v-w8492f1", "vytrhávat (v-w8492f1)")</f>
        <v>vytrhávat (v-w8492f1)</v>
      </c>
    </row>
    <row r="60344" customFormat="false" ht="12.8" hidden="false" customHeight="false" outlineLevel="0" collapsed="false">
      <c r="B60344" s="0" t="s">
        <v>1</v>
      </c>
    </row>
    <row r="60345" customFormat="false" ht="12.8" hidden="false" customHeight="false" outlineLevel="0" collapsed="false">
      <c r="B60345" s="0" t="s">
        <v>8</v>
      </c>
    </row>
    <row r="60346" customFormat="false" ht="12.8" hidden="false" customHeight="false" outlineLevel="0" collapsed="false">
      <c r="B60346" s="0" t="s">
        <v>631</v>
      </c>
    </row>
    <row r="60348" customFormat="false" ht="12.8" hidden="false" customHeight="false" outlineLevel="0" collapsed="false">
      <c r="A60348" s="0" t="s">
        <v>20321</v>
      </c>
      <c r="B60348" s="0" t="str">
        <f aca="false">HYPERLINK("https://lindat.mff.cuni.cz/services/teitok/pdtc10/index.php?action=vallex&amp;frame=v-w8492f2_ZU", "vytrhávat (v-w8492f2_ZU)")</f>
        <v>vytrhávat (v-w8492f2_ZU)</v>
      </c>
    </row>
    <row r="60349" customFormat="false" ht="12.8" hidden="false" customHeight="false" outlineLevel="0" collapsed="false">
      <c r="B60349" s="0" t="s">
        <v>1</v>
      </c>
    </row>
    <row r="60350" customFormat="false" ht="12.8" hidden="false" customHeight="false" outlineLevel="0" collapsed="false">
      <c r="B60350" s="0" t="s">
        <v>20322</v>
      </c>
    </row>
    <row r="60351" customFormat="false" ht="12.8" hidden="false" customHeight="false" outlineLevel="0" collapsed="false">
      <c r="B60351" s="0" t="s">
        <v>8</v>
      </c>
    </row>
    <row r="60353" customFormat="false" ht="12.8" hidden="false" customHeight="false" outlineLevel="0" collapsed="false">
      <c r="A60353" s="0" t="s">
        <v>20321</v>
      </c>
      <c r="B60353" s="0" t="str">
        <f aca="false">HYPERLINK("https://lindat.mff.cuni.cz/services/teitok/pdtc10/index.php?action=vallex&amp;frame=v-w8492hsa_611", "vytrhávat (v-w8492hsa_611) - substituted with v-w8492f2_ZU")</f>
        <v>vytrhávat (v-w8492hsa_611) - substituted with v-w8492f2_ZU</v>
      </c>
    </row>
    <row r="60354" customFormat="false" ht="12.8" hidden="false" customHeight="false" outlineLevel="0" collapsed="false">
      <c r="B60354" s="0" t="s">
        <v>1</v>
      </c>
    </row>
    <row r="60355" customFormat="false" ht="12.8" hidden="false" customHeight="false" outlineLevel="0" collapsed="false">
      <c r="B60355" s="0" t="s">
        <v>20322</v>
      </c>
    </row>
    <row r="60356" customFormat="false" ht="12.8" hidden="false" customHeight="false" outlineLevel="0" collapsed="false">
      <c r="B60356" s="0" t="s">
        <v>8</v>
      </c>
    </row>
    <row r="60358" customFormat="false" ht="12.8" hidden="false" customHeight="false" outlineLevel="0" collapsed="false">
      <c r="A60358" s="0" t="s">
        <v>20323</v>
      </c>
      <c r="B60358" s="0" t="str">
        <f aca="false">HYPERLINK("https://lindat.mff.cuni.cz/services/teitok/pdtc10/index.php?action=vallex&amp;frame=v-w11323f1", "vytrpět (v-w11323f1)")</f>
        <v>vytrpět (v-w11323f1)</v>
      </c>
    </row>
    <row r="60359" customFormat="false" ht="12.8" hidden="false" customHeight="false" outlineLevel="0" collapsed="false">
      <c r="B60359" s="0" t="s">
        <v>1</v>
      </c>
    </row>
    <row r="60360" customFormat="false" ht="12.8" hidden="false" customHeight="false" outlineLevel="0" collapsed="false">
      <c r="B60360" s="0" t="s">
        <v>8</v>
      </c>
    </row>
    <row r="60362" customFormat="false" ht="12.8" hidden="false" customHeight="false" outlineLevel="0" collapsed="false">
      <c r="A60362" s="0" t="s">
        <v>20324</v>
      </c>
      <c r="B60362" s="0" t="str">
        <f aca="false">HYPERLINK("https://lindat.mff.cuni.cz/services/teitok/pdtc10/index.php?action=vallex&amp;frame=v-w8495f1", "vytrpět si (v-w8495f1)")</f>
        <v>vytrpět si (v-w8495f1)</v>
      </c>
      <c r="E60362" s="0" t="str">
        <f aca="false">HYPERLINK("https://lindat.mff.cuni.cz/services/SynSemClass40/SynSemClass40.html?veclass=vec00740#vec00740-ces-cm00033", "vec00740")</f>
        <v>vec00740</v>
      </c>
      <c r="F60362" s="0" t="s">
        <v>2563</v>
      </c>
    </row>
    <row r="60363" customFormat="false" ht="12.8" hidden="false" customHeight="false" outlineLevel="0" collapsed="false">
      <c r="B60363" s="0" t="s">
        <v>1</v>
      </c>
      <c r="C60363" s="0" t="s">
        <v>2564</v>
      </c>
      <c r="E60363" s="0" t="s">
        <v>2565</v>
      </c>
      <c r="F60363" s="0" t="s">
        <v>2566</v>
      </c>
    </row>
    <row r="60364" customFormat="false" ht="12.8" hidden="false" customHeight="false" outlineLevel="0" collapsed="false">
      <c r="B60364" s="0" t="s">
        <v>8</v>
      </c>
      <c r="C60364" s="0" t="s">
        <v>2567</v>
      </c>
      <c r="E60364" s="0" t="s">
        <v>2568</v>
      </c>
      <c r="F60364" s="0" t="s">
        <v>2569</v>
      </c>
    </row>
    <row r="60366" customFormat="false" ht="12.8" hidden="false" customHeight="false" outlineLevel="0" collapsed="false">
      <c r="A60366" s="0" t="s">
        <v>20325</v>
      </c>
      <c r="B60366" s="0" t="str">
        <f aca="false">HYPERLINK("https://lindat.mff.cuni.cz/services/teitok/pdtc10/index.php?action=vallex&amp;frame=v-w10961f2", "vytrubovat (v-w10961f2)")</f>
        <v>vytrubovat (v-w10961f2)</v>
      </c>
      <c r="E60366" s="0" t="str">
        <f aca="false">HYPERLINK("https://lindat.mff.cuni.cz/services/SynSemClass40/SynSemClass40.html?veclass=vec01163#vec01163-ces-cm00001", "vec01163")</f>
        <v>vec01163</v>
      </c>
      <c r="F60366" s="0" t="s">
        <v>20326</v>
      </c>
    </row>
    <row r="60367" customFormat="false" ht="12.8" hidden="false" customHeight="false" outlineLevel="0" collapsed="false">
      <c r="B60367" s="0" t="s">
        <v>1</v>
      </c>
      <c r="C60367" s="0" t="s">
        <v>459</v>
      </c>
      <c r="E60367" s="0" t="s">
        <v>147</v>
      </c>
      <c r="F60367" s="0" t="s">
        <v>5888</v>
      </c>
    </row>
    <row r="60368" customFormat="false" ht="12.8" hidden="false" customHeight="false" outlineLevel="0" collapsed="false">
      <c r="B60368" s="0" t="s">
        <v>228</v>
      </c>
      <c r="C60368" s="0" t="s">
        <v>3252</v>
      </c>
      <c r="E60368" s="0" t="s">
        <v>218</v>
      </c>
      <c r="F60368" s="0" t="s">
        <v>20327</v>
      </c>
    </row>
    <row r="60370" customFormat="false" ht="12.8" hidden="false" customHeight="false" outlineLevel="0" collapsed="false">
      <c r="A60370" s="0" t="s">
        <v>20328</v>
      </c>
      <c r="B60370" s="0" t="str">
        <f aca="false">HYPERLINK("https://lindat.mff.cuni.cz/services/teitok/pdtc10/index.php?action=vallex&amp;frame=v-w8496f1", "vytrucovat (v-w8496f1)")</f>
        <v>vytrucovat (v-w8496f1)</v>
      </c>
    </row>
    <row r="60371" customFormat="false" ht="12.8" hidden="false" customHeight="false" outlineLevel="0" collapsed="false">
      <c r="B60371" s="0" t="s">
        <v>1</v>
      </c>
    </row>
    <row r="60372" customFormat="false" ht="12.8" hidden="false" customHeight="false" outlineLevel="0" collapsed="false">
      <c r="B60372" s="0" t="s">
        <v>59</v>
      </c>
    </row>
    <row r="60373" customFormat="false" ht="12.8" hidden="false" customHeight="false" outlineLevel="0" collapsed="false">
      <c r="B60373" s="0" t="s">
        <v>773</v>
      </c>
    </row>
    <row r="60375" customFormat="false" ht="12.8" hidden="false" customHeight="false" outlineLevel="0" collapsed="false">
      <c r="A60375" s="0" t="s">
        <v>20329</v>
      </c>
      <c r="B60375" s="0" t="str">
        <f aca="false">HYPERLINK("https://lindat.mff.cuni.cz/services/teitok/pdtc10/index.php?action=vallex&amp;frame=v-w8497f1", "vytrvat (v-w8497f1)")</f>
        <v>vytrvat (v-w8497f1)</v>
      </c>
      <c r="E60375" s="0" t="str">
        <f aca="false">HYPERLINK("https://lindat.mff.cuni.cz/services/SynSemClass40/SynSemClass40.html?veclass=vec01313#vec01313-ces-cm00004", "vec01313")</f>
        <v>vec01313</v>
      </c>
      <c r="F60375" s="0" t="s">
        <v>15743</v>
      </c>
    </row>
    <row r="60376" customFormat="false" ht="12.8" hidden="false" customHeight="false" outlineLevel="0" collapsed="false">
      <c r="B60376" s="0" t="s">
        <v>1</v>
      </c>
      <c r="C60376" s="0" t="s">
        <v>20330</v>
      </c>
      <c r="E60376" s="0" t="s">
        <v>155</v>
      </c>
      <c r="F60376" s="0" t="s">
        <v>15745</v>
      </c>
    </row>
    <row r="60377" customFormat="false" ht="12.8" hidden="false" customHeight="false" outlineLevel="0" collapsed="false">
      <c r="B60377" s="0" t="s">
        <v>536</v>
      </c>
      <c r="C60377" s="0" t="s">
        <v>18058</v>
      </c>
      <c r="E60377" s="0" t="s">
        <v>15747</v>
      </c>
      <c r="F60377" s="0" t="s">
        <v>15748</v>
      </c>
    </row>
    <row r="60379" customFormat="false" ht="12.8" hidden="false" customHeight="false" outlineLevel="0" collapsed="false">
      <c r="A60379" s="0" t="s">
        <v>20331</v>
      </c>
      <c r="B60379" s="0" t="str">
        <f aca="false">HYPERLINK("https://lindat.mff.cuni.cz/services/teitok/pdtc10/index.php?action=vallex&amp;frame=v-w8497f2", "vytrvat (v-w8497f2)")</f>
        <v>vytrvat (v-w8497f2)</v>
      </c>
      <c r="E60379" s="0" t="str">
        <f aca="false">HYPERLINK("https://lindat.mff.cuni.cz/services/SynSemClass40/SynSemClass40.html?veclass=vec00975#vec00975-ces-cm00001", "vec00975")</f>
        <v>vec00975</v>
      </c>
      <c r="F60379" s="0" t="s">
        <v>13766</v>
      </c>
    </row>
    <row r="60380" customFormat="false" ht="12.8" hidden="false" customHeight="false" outlineLevel="0" collapsed="false">
      <c r="B60380" s="0" t="s">
        <v>1</v>
      </c>
      <c r="C60380" s="0" t="s">
        <v>20332</v>
      </c>
      <c r="E60380" s="0" t="s">
        <v>957</v>
      </c>
      <c r="F60380" s="0" t="s">
        <v>13768</v>
      </c>
    </row>
    <row r="60382" customFormat="false" ht="12.8" hidden="false" customHeight="false" outlineLevel="0" collapsed="false">
      <c r="A60382" s="0" t="s">
        <v>20333</v>
      </c>
      <c r="B60382" s="0" t="str">
        <f aca="false">HYPERLINK("https://lindat.mff.cuni.cz/services/teitok/pdtc10/index.php?action=vallex&amp;frame=v-w10179f2", "vytrvávat (v-w10179f2)")</f>
        <v>vytrvávat (v-w10179f2)</v>
      </c>
      <c r="E60382" s="0" t="str">
        <f aca="false">HYPERLINK("https://lindat.mff.cuni.cz/services/SynSemClass40/SynSemClass40.html?veclass=vec00975#vec00975-ces-cm00007", "vec00975")</f>
        <v>vec00975</v>
      </c>
      <c r="F60382" s="0" t="s">
        <v>13766</v>
      </c>
    </row>
    <row r="60383" customFormat="false" ht="12.8" hidden="false" customHeight="false" outlineLevel="0" collapsed="false">
      <c r="B60383" s="0" t="s">
        <v>1</v>
      </c>
      <c r="C60383" s="0" t="s">
        <v>20332</v>
      </c>
      <c r="E60383" s="0" t="s">
        <v>957</v>
      </c>
      <c r="F60383" s="0" t="s">
        <v>13768</v>
      </c>
    </row>
    <row r="60385" customFormat="false" ht="12.8" hidden="false" customHeight="false" outlineLevel="0" collapsed="false">
      <c r="A60385" s="0" t="s">
        <v>20334</v>
      </c>
      <c r="B60385" s="0" t="str">
        <f aca="false">HYPERLINK("https://lindat.mff.cuni.cz/services/teitok/pdtc10/index.php?action=vallex&amp;frame=v-w8489f1", "vytrácet se (v-w8489f1)")</f>
        <v>vytrácet se (v-w8489f1)</v>
      </c>
      <c r="E60385" s="0" t="str">
        <f aca="false">HYPERLINK("https://lindat.mff.cuni.cz/services/SynSemClass40/SynSemClass40.html?veclass=vec00755#vec00755-ces-cm00031", "vec00755")</f>
        <v>vec00755</v>
      </c>
      <c r="F60385" s="0" t="s">
        <v>6268</v>
      </c>
    </row>
    <row r="60386" customFormat="false" ht="12.8" hidden="false" customHeight="false" outlineLevel="0" collapsed="false">
      <c r="B60386" s="0" t="s">
        <v>1</v>
      </c>
      <c r="C60386" s="0" t="s">
        <v>6269</v>
      </c>
      <c r="E60386" s="0" t="s">
        <v>6270</v>
      </c>
      <c r="F60386" s="0" t="s">
        <v>6271</v>
      </c>
    </row>
    <row r="60388" customFormat="false" ht="12.8" hidden="false" customHeight="false" outlineLevel="0" collapsed="false">
      <c r="A60388" s="0" t="s">
        <v>20335</v>
      </c>
      <c r="B60388" s="0" t="str">
        <f aca="false">HYPERLINK("https://lindat.mff.cuni.cz/services/teitok/pdtc10/index.php?action=vallex&amp;frame=v-w11630_ZUf1_ZU", "vytrénovat (v-w11630_ZUf1_ZU)")</f>
        <v>vytrénovat (v-w11630_ZUf1_ZU)</v>
      </c>
      <c r="E60388" s="0" t="str">
        <f aca="false">HYPERLINK("https://lindat.mff.cuni.cz/services/SynSemClass40/SynSemClass40.html?veclass=vec00763#vec00763-ces-cm00007", "vec00763")</f>
        <v>vec00763</v>
      </c>
      <c r="F60388" s="0" t="s">
        <v>19016</v>
      </c>
    </row>
    <row r="60389" customFormat="false" ht="12.8" hidden="false" customHeight="false" outlineLevel="0" collapsed="false">
      <c r="B60389" s="0" t="s">
        <v>1</v>
      </c>
      <c r="C60389" s="0" t="s">
        <v>19017</v>
      </c>
      <c r="E60389" s="0" t="s">
        <v>206</v>
      </c>
      <c r="F60389" s="0" t="s">
        <v>19018</v>
      </c>
    </row>
    <row r="60390" customFormat="false" ht="12.8" hidden="false" customHeight="false" outlineLevel="0" collapsed="false">
      <c r="B60390" s="0" t="s">
        <v>8</v>
      </c>
      <c r="C60390" s="0" t="s">
        <v>19019</v>
      </c>
      <c r="E60390" s="0" t="s">
        <v>3002</v>
      </c>
      <c r="F60390" s="0" t="s">
        <v>19020</v>
      </c>
    </row>
    <row r="60392" customFormat="false" ht="12.8" hidden="false" customHeight="false" outlineLevel="0" collapsed="false">
      <c r="A60392" s="0" t="s">
        <v>20336</v>
      </c>
      <c r="B60392" s="0" t="str">
        <f aca="false">HYPERLINK("https://lindat.mff.cuni.cz/services/teitok/pdtc10/index.php?action=vallex&amp;frame=v-w8500f1", "vytušit (v-w8500f1)")</f>
        <v>vytušit (v-w8500f1)</v>
      </c>
    </row>
    <row r="60393" customFormat="false" ht="12.8" hidden="false" customHeight="false" outlineLevel="0" collapsed="false">
      <c r="B60393" s="0" t="s">
        <v>1</v>
      </c>
    </row>
    <row r="60394" customFormat="false" ht="12.8" hidden="false" customHeight="false" outlineLevel="0" collapsed="false">
      <c r="B60394" s="0" t="s">
        <v>59</v>
      </c>
    </row>
    <row r="60396" customFormat="false" ht="12.8" hidden="false" customHeight="false" outlineLevel="0" collapsed="false">
      <c r="A60396" s="0" t="s">
        <v>20337</v>
      </c>
      <c r="B60396" s="0" t="str">
        <f aca="false">HYPERLINK("https://lindat.mff.cuni.cz/services/teitok/pdtc10/index.php?action=vallex&amp;frame=v-w8501f1", "vytvarovat (v-w8501f1)")</f>
        <v>vytvarovat (v-w8501f1)</v>
      </c>
    </row>
    <row r="60397" customFormat="false" ht="12.8" hidden="false" customHeight="false" outlineLevel="0" collapsed="false">
      <c r="B60397" s="0" t="s">
        <v>1</v>
      </c>
    </row>
    <row r="60398" customFormat="false" ht="12.8" hidden="false" customHeight="false" outlineLevel="0" collapsed="false">
      <c r="B60398" s="0" t="s">
        <v>8</v>
      </c>
    </row>
    <row r="60399" customFormat="false" ht="12.8" hidden="false" customHeight="false" outlineLevel="0" collapsed="false">
      <c r="B60399" s="0" t="s">
        <v>245</v>
      </c>
    </row>
    <row r="60401" customFormat="false" ht="12.8" hidden="false" customHeight="false" outlineLevel="0" collapsed="false">
      <c r="A60401" s="0" t="s">
        <v>20338</v>
      </c>
      <c r="B60401" s="0" t="str">
        <f aca="false">HYPERLINK("https://lindat.mff.cuni.cz/services/teitok/pdtc10/index.php?action=vallex&amp;frame=v-w8510f1", "vytvořit (v-w8510f1)")</f>
        <v>vytvořit (v-w8510f1)</v>
      </c>
      <c r="E60401" s="0" t="str">
        <f aca="false">HYPERLINK("https://lindat.mff.cuni.cz/services/SynSemClass40/SynSemClass40.html?veclass=vec00360#vec00360-ces-cm00020", "vec00360")</f>
        <v>vec00360</v>
      </c>
      <c r="F60401" s="0" t="s">
        <v>5330</v>
      </c>
      <c r="H60401" s="0" t="str">
        <f aca="false">HYPERLINK("https://lindat.mff.cuni.cz/services/SynSemClass40/SynSemClass40.html?veclass=vec01464#vec01464-ces-cm00008", "vec01464")</f>
        <v>vec01464</v>
      </c>
      <c r="I60401" s="0" t="s">
        <v>2074</v>
      </c>
    </row>
    <row r="60402" customFormat="false" ht="12.8" hidden="false" customHeight="false" outlineLevel="0" collapsed="false">
      <c r="B60402" s="0" t="s">
        <v>1</v>
      </c>
      <c r="C60402" s="0" t="s">
        <v>20339</v>
      </c>
      <c r="E60402" s="0" t="s">
        <v>768</v>
      </c>
      <c r="F60402" s="0" t="s">
        <v>5332</v>
      </c>
      <c r="H60402" s="0" t="s">
        <v>31</v>
      </c>
      <c r="I60402" s="0" t="s">
        <v>513</v>
      </c>
    </row>
    <row r="60403" customFormat="false" ht="12.8" hidden="false" customHeight="false" outlineLevel="0" collapsed="false">
      <c r="B60403" s="0" t="s">
        <v>8</v>
      </c>
      <c r="C60403" s="0" t="s">
        <v>20340</v>
      </c>
      <c r="E60403" s="0" t="s">
        <v>771</v>
      </c>
      <c r="F60403" s="0" t="s">
        <v>5334</v>
      </c>
      <c r="H60403" s="0" t="s">
        <v>523</v>
      </c>
      <c r="I60403" s="0" t="s">
        <v>14434</v>
      </c>
    </row>
    <row r="60404" customFormat="false" ht="12.8" hidden="false" customHeight="false" outlineLevel="0" collapsed="false">
      <c r="B60404" s="0" t="s">
        <v>2410</v>
      </c>
    </row>
    <row r="60405" customFormat="false" ht="12.8" hidden="false" customHeight="false" outlineLevel="0" collapsed="false">
      <c r="B60405" s="0" t="s">
        <v>36</v>
      </c>
      <c r="C60405" s="0" t="s">
        <v>5335</v>
      </c>
      <c r="E60405" s="0" t="s">
        <v>787</v>
      </c>
      <c r="F60405" s="0" t="s">
        <v>5336</v>
      </c>
    </row>
    <row r="60407" customFormat="false" ht="12.8" hidden="false" customHeight="false" outlineLevel="0" collapsed="false">
      <c r="A60407" s="0" t="s">
        <v>20341</v>
      </c>
      <c r="B60407" s="0" t="str">
        <f aca="false">HYPERLINK("https://lindat.mff.cuni.cz/services/teitok/pdtc10/index.php?action=vallex&amp;frame=v-w8510f4", "vytvořit (v-w8510f4)")</f>
        <v>vytvořit (v-w8510f4)</v>
      </c>
      <c r="E60407" s="0" t="str">
        <f aca="false">HYPERLINK("https://lindat.mff.cuni.cz/services/SynSemClass40/SynSemClass40.html?veclass=vec00179#vec00179-ces-cm00072", "vec00179")</f>
        <v>vec00179</v>
      </c>
      <c r="F60407" s="0" t="s">
        <v>779</v>
      </c>
      <c r="H60407" s="0" t="str">
        <f aca="false">HYPERLINK("https://lindat.mff.cuni.cz/services/SynSemClass40/SynSemClass40.html?veclass=vec01490#vec01490-ces-cm00026", "vec01490")</f>
        <v>vec01490</v>
      </c>
      <c r="I60407" s="0" t="s">
        <v>2391</v>
      </c>
    </row>
    <row r="60408" customFormat="false" ht="12.8" hidden="false" customHeight="false" outlineLevel="0" collapsed="false">
      <c r="B60408" s="0" t="s">
        <v>1</v>
      </c>
      <c r="C60408" s="0" t="s">
        <v>20342</v>
      </c>
      <c r="E60408" s="0" t="s">
        <v>768</v>
      </c>
      <c r="F60408" s="0" t="s">
        <v>782</v>
      </c>
      <c r="H60408" s="0" t="s">
        <v>768</v>
      </c>
      <c r="I60408" s="0" t="s">
        <v>2393</v>
      </c>
    </row>
    <row r="60409" customFormat="false" ht="12.8" hidden="false" customHeight="false" outlineLevel="0" collapsed="false">
      <c r="B60409" s="0" t="s">
        <v>8</v>
      </c>
      <c r="C60409" s="0" t="s">
        <v>20343</v>
      </c>
      <c r="E60409" s="0" t="s">
        <v>771</v>
      </c>
      <c r="F60409" s="0" t="s">
        <v>785</v>
      </c>
      <c r="H60409" s="0" t="s">
        <v>771</v>
      </c>
      <c r="I60409" s="0" t="s">
        <v>2395</v>
      </c>
    </row>
    <row r="60410" customFormat="false" ht="12.8" hidden="false" customHeight="false" outlineLevel="0" collapsed="false">
      <c r="B60410" s="0" t="s">
        <v>36</v>
      </c>
      <c r="C60410" s="0" t="s">
        <v>20344</v>
      </c>
      <c r="E60410" s="0" t="s">
        <v>787</v>
      </c>
      <c r="F60410" s="0" t="s">
        <v>789</v>
      </c>
      <c r="H60410" s="0" t="s">
        <v>38</v>
      </c>
      <c r="I60410" s="0" t="s">
        <v>2397</v>
      </c>
    </row>
    <row r="60412" customFormat="false" ht="12.8" hidden="false" customHeight="false" outlineLevel="0" collapsed="false">
      <c r="A60412" s="0" t="s">
        <v>20345</v>
      </c>
      <c r="B60412" s="0" t="str">
        <f aca="false">HYPERLINK("https://lindat.mff.cuni.cz/services/teitok/pdtc10/index.php?action=vallex&amp;frame=v-w8510f2", "vytvořit (v-w8510f2)")</f>
        <v>vytvořit (v-w8510f2)</v>
      </c>
      <c r="E60412" s="0" t="str">
        <f aca="false">HYPERLINK("https://lindat.mff.cuni.cz/services/SynSemClass40/SynSemClass40.html?veclass=vec00127#vec00127-ces-cm00074", "vec00127")</f>
        <v>vec00127</v>
      </c>
      <c r="F60412" s="0" t="s">
        <v>1835</v>
      </c>
    </row>
    <row r="60413" customFormat="false" ht="12.8" hidden="false" customHeight="false" outlineLevel="0" collapsed="false">
      <c r="B60413" s="0" t="s">
        <v>1</v>
      </c>
      <c r="C60413" s="0" t="s">
        <v>3461</v>
      </c>
      <c r="E60413" s="0" t="s">
        <v>11</v>
      </c>
      <c r="F60413" s="0" t="s">
        <v>1837</v>
      </c>
    </row>
    <row r="60414" customFormat="false" ht="12.8" hidden="false" customHeight="false" outlineLevel="0" collapsed="false">
      <c r="B60414" s="0" t="s">
        <v>8</v>
      </c>
      <c r="C60414" s="0" t="s">
        <v>3463</v>
      </c>
      <c r="E60414" s="0" t="s">
        <v>1840</v>
      </c>
      <c r="F60414" s="0" t="s">
        <v>1841</v>
      </c>
    </row>
    <row r="60416" customFormat="false" ht="12.8" hidden="false" customHeight="false" outlineLevel="0" collapsed="false">
      <c r="A60416" s="0" t="s">
        <v>20346</v>
      </c>
      <c r="B60416" s="0" t="str">
        <f aca="false">HYPERLINK("https://lindat.mff.cuni.cz/services/teitok/pdtc10/index.php?action=vallex&amp;frame=v-w8510f3", "vytvořit (v-w8510f3)")</f>
        <v>vytvořit (v-w8510f3)</v>
      </c>
      <c r="E60416" s="0" t="str">
        <f aca="false">HYPERLINK("https://lindat.mff.cuni.cz/services/SynSemClass40/SynSemClass40.html?veclass=vec00127#vec00127-ces-cm00075", "vec00127")</f>
        <v>vec00127</v>
      </c>
      <c r="F60416" s="0" t="s">
        <v>1835</v>
      </c>
    </row>
    <row r="60417" customFormat="false" ht="12.8" hidden="false" customHeight="false" outlineLevel="0" collapsed="false">
      <c r="B60417" s="0" t="s">
        <v>1</v>
      </c>
      <c r="C60417" s="0" t="s">
        <v>3461</v>
      </c>
      <c r="E60417" s="0" t="s">
        <v>11</v>
      </c>
      <c r="F60417" s="0" t="s">
        <v>1837</v>
      </c>
    </row>
    <row r="60418" customFormat="false" ht="12.8" hidden="false" customHeight="false" outlineLevel="0" collapsed="false">
      <c r="B60418" s="0" t="s">
        <v>8</v>
      </c>
      <c r="C60418" s="0" t="s">
        <v>3463</v>
      </c>
      <c r="E60418" s="0" t="s">
        <v>1840</v>
      </c>
      <c r="F60418" s="0" t="s">
        <v>1841</v>
      </c>
    </row>
    <row r="60420" customFormat="false" ht="12.8" hidden="false" customHeight="false" outlineLevel="0" collapsed="false">
      <c r="A60420" s="0" t="s">
        <v>20347</v>
      </c>
      <c r="B60420" s="0" t="str">
        <f aca="false">HYPERLINK("https://lindat.mff.cuni.cz/services/teitok/pdtc10/index.php?action=vallex&amp;frame=v-w8510f5", "vytvořit (v-w8510f5)")</f>
        <v>vytvořit (v-w8510f5)</v>
      </c>
    </row>
    <row r="60421" customFormat="false" ht="12.8" hidden="false" customHeight="false" outlineLevel="0" collapsed="false">
      <c r="B60421" s="0" t="s">
        <v>1</v>
      </c>
    </row>
    <row r="60422" customFormat="false" ht="12.8" hidden="false" customHeight="false" outlineLevel="0" collapsed="false">
      <c r="B60422" s="0" t="s">
        <v>20348</v>
      </c>
    </row>
    <row r="60424" customFormat="false" ht="12.8" hidden="false" customHeight="false" outlineLevel="0" collapsed="false">
      <c r="A60424" s="0" t="s">
        <v>20349</v>
      </c>
      <c r="B60424" s="0" t="str">
        <f aca="false">HYPERLINK("https://lindat.mff.cuni.cz/services/teitok/pdtc10/index.php?action=vallex&amp;frame=v-w8510hsa_720", "vytvořit (v-w8510hsa_720)")</f>
        <v>vytvořit (v-w8510hsa_720)</v>
      </c>
    </row>
    <row r="60425" customFormat="false" ht="12.8" hidden="false" customHeight="false" outlineLevel="0" collapsed="false">
      <c r="B60425" s="0" t="s">
        <v>1</v>
      </c>
    </row>
    <row r="60426" customFormat="false" ht="12.8" hidden="false" customHeight="false" outlineLevel="0" collapsed="false">
      <c r="B60426" s="0" t="s">
        <v>20350</v>
      </c>
    </row>
    <row r="60428" customFormat="false" ht="12.8" hidden="false" customHeight="false" outlineLevel="0" collapsed="false">
      <c r="A60428" s="0" t="s">
        <v>20351</v>
      </c>
      <c r="B60428" s="0" t="str">
        <f aca="false">HYPERLINK("https://lindat.mff.cuni.cz/services/teitok/pdtc10/index.php?action=vallex&amp;frame=v-w8511f1", "vytvořit se (v-w8511f1)")</f>
        <v>vytvořit se (v-w8511f1)</v>
      </c>
    </row>
    <row r="60429" customFormat="false" ht="12.8" hidden="false" customHeight="false" outlineLevel="0" collapsed="false">
      <c r="B60429" s="0" t="s">
        <v>1</v>
      </c>
    </row>
    <row r="60430" customFormat="false" ht="12.8" hidden="false" customHeight="false" outlineLevel="0" collapsed="false">
      <c r="B60430" s="0" t="s">
        <v>763</v>
      </c>
    </row>
    <row r="60432" customFormat="false" ht="12.8" hidden="false" customHeight="false" outlineLevel="0" collapsed="false">
      <c r="A60432" s="0" t="s">
        <v>20352</v>
      </c>
      <c r="B60432" s="0" t="str">
        <f aca="false">HYPERLINK("https://lindat.mff.cuni.cz/services/teitok/pdtc10/index.php?action=vallex&amp;frame=v-w8505f2", "vytvářet (v-w8505f2)")</f>
        <v>vytvářet (v-w8505f2)</v>
      </c>
      <c r="E60432" s="0" t="str">
        <f aca="false">HYPERLINK("https://lindat.mff.cuni.cz/services/SynSemClass40/SynSemClass40.html?veclass=vec00084#vec00084-ces-cm00070", "vec00084")</f>
        <v>vec00084</v>
      </c>
      <c r="F60432" s="0" t="s">
        <v>778</v>
      </c>
      <c r="H60432" s="0" t="str">
        <f aca="false">HYPERLINK("https://lindat.mff.cuni.cz/services/SynSemClass40/SynSemClass40.html?veclass=vec01464#vec01464-ces-cm00007", "vec01464")</f>
        <v>vec01464</v>
      </c>
      <c r="I60432" s="0" t="s">
        <v>2074</v>
      </c>
    </row>
    <row r="60433" customFormat="false" ht="12.8" hidden="false" customHeight="false" outlineLevel="0" collapsed="false">
      <c r="B60433" s="0" t="s">
        <v>1</v>
      </c>
      <c r="C60433" s="0" t="s">
        <v>20353</v>
      </c>
      <c r="E60433" s="0" t="s">
        <v>31</v>
      </c>
      <c r="F60433" s="0" t="s">
        <v>781</v>
      </c>
      <c r="H60433" s="0" t="s">
        <v>31</v>
      </c>
      <c r="I60433" s="0" t="s">
        <v>513</v>
      </c>
    </row>
    <row r="60434" customFormat="false" ht="12.8" hidden="false" customHeight="false" outlineLevel="0" collapsed="false">
      <c r="B60434" s="0" t="s">
        <v>8</v>
      </c>
      <c r="C60434" s="0" t="s">
        <v>20354</v>
      </c>
      <c r="E60434" s="0" t="s">
        <v>771</v>
      </c>
      <c r="F60434" s="0" t="s">
        <v>784</v>
      </c>
      <c r="H60434" s="0" t="s">
        <v>523</v>
      </c>
      <c r="I60434" s="0" t="s">
        <v>14434</v>
      </c>
    </row>
    <row r="60435" customFormat="false" ht="12.8" hidden="false" customHeight="false" outlineLevel="0" collapsed="false">
      <c r="B60435" s="0" t="s">
        <v>2410</v>
      </c>
    </row>
    <row r="60436" customFormat="false" ht="12.8" hidden="false" customHeight="false" outlineLevel="0" collapsed="false">
      <c r="B60436" s="0" t="s">
        <v>36</v>
      </c>
      <c r="C60436" s="0" t="s">
        <v>6350</v>
      </c>
      <c r="E60436" s="0" t="s">
        <v>787</v>
      </c>
      <c r="F60436" s="0" t="s">
        <v>788</v>
      </c>
    </row>
    <row r="60438" customFormat="false" ht="12.8" hidden="false" customHeight="false" outlineLevel="0" collapsed="false">
      <c r="A60438" s="0" t="s">
        <v>20355</v>
      </c>
      <c r="B60438" s="0" t="str">
        <f aca="false">HYPERLINK("https://lindat.mff.cuni.cz/services/teitok/pdtc10/index.php?action=vallex&amp;frame=v-w8505f3", "vytvářet (v-w8505f3)")</f>
        <v>vytvářet (v-w8505f3)</v>
      </c>
      <c r="E60438" s="0" t="str">
        <f aca="false">HYPERLINK("https://lindat.mff.cuni.cz/services/SynSemClass40/SynSemClass40.html?veclass=vec00084#vec00084-ces-cm00071", "vec00084")</f>
        <v>vec00084</v>
      </c>
      <c r="F60438" s="0" t="s">
        <v>778</v>
      </c>
      <c r="H60438" s="0" t="str">
        <f aca="false">HYPERLINK("https://lindat.mff.cuni.cz/services/SynSemClass40/SynSemClass40.html?veclass=vec00179#vec00179-ces-cm00068", "vec00179")</f>
        <v>vec00179</v>
      </c>
      <c r="I60438" s="0" t="s">
        <v>779</v>
      </c>
      <c r="K60438" s="0" t="str">
        <f aca="false">HYPERLINK("https://lindat.mff.cuni.cz/services/SynSemClass40/SynSemClass40.html?veclass=vec01490#vec01490-ces-cm00020", "vec01490")</f>
        <v>vec01490</v>
      </c>
      <c r="L60438" s="0" t="s">
        <v>2391</v>
      </c>
    </row>
    <row r="60439" customFormat="false" ht="12.8" hidden="false" customHeight="false" outlineLevel="0" collapsed="false">
      <c r="B60439" s="0" t="s">
        <v>1</v>
      </c>
      <c r="C60439" s="0" t="s">
        <v>20356</v>
      </c>
      <c r="E60439" s="0" t="s">
        <v>31</v>
      </c>
      <c r="F60439" s="0" t="s">
        <v>781</v>
      </c>
      <c r="H60439" s="0" t="s">
        <v>768</v>
      </c>
      <c r="I60439" s="0" t="s">
        <v>782</v>
      </c>
      <c r="K60439" s="0" t="s">
        <v>768</v>
      </c>
      <c r="L60439" s="0" t="s">
        <v>2393</v>
      </c>
    </row>
    <row r="60440" customFormat="false" ht="12.8" hidden="false" customHeight="false" outlineLevel="0" collapsed="false">
      <c r="B60440" s="0" t="s">
        <v>8</v>
      </c>
      <c r="C60440" s="0" t="s">
        <v>20357</v>
      </c>
      <c r="E60440" s="0" t="s">
        <v>771</v>
      </c>
      <c r="F60440" s="0" t="s">
        <v>784</v>
      </c>
      <c r="H60440" s="0" t="s">
        <v>771</v>
      </c>
      <c r="I60440" s="0" t="s">
        <v>785</v>
      </c>
      <c r="K60440" s="0" t="s">
        <v>771</v>
      </c>
      <c r="L60440" s="0" t="s">
        <v>2395</v>
      </c>
    </row>
    <row r="60441" customFormat="false" ht="12.8" hidden="false" customHeight="false" outlineLevel="0" collapsed="false">
      <c r="B60441" s="0" t="s">
        <v>36</v>
      </c>
      <c r="C60441" s="0" t="s">
        <v>20358</v>
      </c>
      <c r="E60441" s="0" t="s">
        <v>787</v>
      </c>
      <c r="F60441" s="0" t="s">
        <v>788</v>
      </c>
      <c r="H60441" s="0" t="s">
        <v>787</v>
      </c>
      <c r="I60441" s="0" t="s">
        <v>789</v>
      </c>
      <c r="K60441" s="0" t="s">
        <v>38</v>
      </c>
      <c r="L60441" s="0" t="s">
        <v>2397</v>
      </c>
    </row>
    <row r="60443" customFormat="false" ht="12.8" hidden="false" customHeight="false" outlineLevel="0" collapsed="false">
      <c r="A60443" s="0" t="s">
        <v>20359</v>
      </c>
      <c r="B60443" s="0" t="str">
        <f aca="false">HYPERLINK("https://lindat.mff.cuni.cz/services/teitok/pdtc10/index.php?action=vallex&amp;frame=v-w8505f1", "vytvářet (v-w8505f1)")</f>
        <v>vytvářet (v-w8505f1)</v>
      </c>
    </row>
    <row r="60444" customFormat="false" ht="12.8" hidden="false" customHeight="false" outlineLevel="0" collapsed="false">
      <c r="B60444" s="0" t="s">
        <v>1</v>
      </c>
    </row>
    <row r="60445" customFormat="false" ht="12.8" hidden="false" customHeight="false" outlineLevel="0" collapsed="false">
      <c r="B60445" s="0" t="s">
        <v>8</v>
      </c>
    </row>
    <row r="60447" customFormat="false" ht="12.8" hidden="false" customHeight="false" outlineLevel="0" collapsed="false">
      <c r="A60447" s="0" t="s">
        <v>20360</v>
      </c>
      <c r="B60447" s="0" t="str">
        <f aca="false">HYPERLINK("https://lindat.mff.cuni.cz/services/teitok/pdtc10/index.php?action=vallex&amp;frame=v-w8505f4", "vytvářet (v-w8505f4)")</f>
        <v>vytvářet (v-w8505f4)</v>
      </c>
    </row>
    <row r="60448" customFormat="false" ht="12.8" hidden="false" customHeight="false" outlineLevel="0" collapsed="false">
      <c r="B60448" s="0" t="s">
        <v>1</v>
      </c>
    </row>
    <row r="60449" customFormat="false" ht="12.8" hidden="false" customHeight="false" outlineLevel="0" collapsed="false">
      <c r="B60449" s="0" t="s">
        <v>865</v>
      </c>
    </row>
    <row r="60451" customFormat="false" ht="12.8" hidden="false" customHeight="false" outlineLevel="0" collapsed="false">
      <c r="A60451" s="0" t="s">
        <v>20361</v>
      </c>
      <c r="B60451" s="0" t="str">
        <f aca="false">HYPERLINK("https://lindat.mff.cuni.cz/services/teitok/pdtc10/index.php?action=vallex&amp;frame=v-w8506f1", "vytvářet se (v-w8506f1)")</f>
        <v>vytvářet se (v-w8506f1)</v>
      </c>
    </row>
    <row r="60452" customFormat="false" ht="12.8" hidden="false" customHeight="false" outlineLevel="0" collapsed="false">
      <c r="B60452" s="0" t="s">
        <v>1</v>
      </c>
    </row>
    <row r="60453" customFormat="false" ht="12.8" hidden="false" customHeight="false" outlineLevel="0" collapsed="false">
      <c r="B60453" s="0" t="s">
        <v>763</v>
      </c>
    </row>
    <row r="60455" customFormat="false" ht="12.8" hidden="false" customHeight="false" outlineLevel="0" collapsed="false">
      <c r="A60455" s="0" t="s">
        <v>20362</v>
      </c>
      <c r="B60455" s="0" t="str">
        <f aca="false">HYPERLINK("https://lindat.mff.cuni.cz/services/teitok/pdtc10/index.php?action=vallex&amp;frame=v-whsa_1291hsa_1292", "vytypovat (v-whsa_1291hsa_1292)")</f>
        <v>vytypovat (v-whsa_1291hsa_1292)</v>
      </c>
    </row>
    <row r="60456" customFormat="false" ht="12.8" hidden="false" customHeight="false" outlineLevel="0" collapsed="false">
      <c r="B60456" s="0" t="s">
        <v>1</v>
      </c>
    </row>
    <row r="60457" customFormat="false" ht="12.8" hidden="false" customHeight="false" outlineLevel="0" collapsed="false">
      <c r="B60457" s="0" t="s">
        <v>8</v>
      </c>
    </row>
    <row r="60459" customFormat="false" ht="12.8" hidden="false" customHeight="false" outlineLevel="0" collapsed="false">
      <c r="A60459" s="0" t="s">
        <v>20363</v>
      </c>
      <c r="B60459" s="0" t="str">
        <f aca="false">HYPERLINK("https://lindat.mff.cuni.cz/services/teitok/pdtc10/index.php?action=vallex&amp;frame=v-w8513f1", "vytyčit (v-w8513f1)")</f>
        <v>vytyčit (v-w8513f1)</v>
      </c>
      <c r="E60459" s="0" t="str">
        <f aca="false">HYPERLINK("https://lindat.mff.cuni.cz/services/SynSemClass40/SynSemClass40.html?veclass=vec00127#vec00127-ces-cm00076", "vec00127")</f>
        <v>vec00127</v>
      </c>
      <c r="F60459" s="0" t="s">
        <v>1835</v>
      </c>
    </row>
    <row r="60460" customFormat="false" ht="12.8" hidden="false" customHeight="false" outlineLevel="0" collapsed="false">
      <c r="B60460" s="0" t="s">
        <v>1</v>
      </c>
      <c r="C60460" s="0" t="s">
        <v>3461</v>
      </c>
      <c r="E60460" s="0" t="s">
        <v>11</v>
      </c>
      <c r="F60460" s="0" t="s">
        <v>1837</v>
      </c>
    </row>
    <row r="60461" customFormat="false" ht="12.8" hidden="false" customHeight="false" outlineLevel="0" collapsed="false">
      <c r="B60461" s="0" t="s">
        <v>228</v>
      </c>
      <c r="C60461" s="0" t="s">
        <v>3463</v>
      </c>
      <c r="E60461" s="0" t="s">
        <v>1840</v>
      </c>
      <c r="F60461" s="0" t="s">
        <v>1841</v>
      </c>
    </row>
    <row r="60462" customFormat="false" ht="12.8" hidden="false" customHeight="false" outlineLevel="0" collapsed="false">
      <c r="B60462" s="0" t="s">
        <v>132</v>
      </c>
    </row>
    <row r="60463" customFormat="false" ht="12.8" hidden="false" customHeight="false" outlineLevel="0" collapsed="false">
      <c r="B60463" s="0" t="s">
        <v>123</v>
      </c>
    </row>
    <row r="60465" customFormat="false" ht="12.8" hidden="false" customHeight="false" outlineLevel="0" collapsed="false">
      <c r="A60465" s="0" t="s">
        <v>20364</v>
      </c>
      <c r="B60465" s="0" t="str">
        <f aca="false">HYPERLINK("https://lindat.mff.cuni.cz/services/teitok/pdtc10/index.php?action=vallex&amp;frame=v-w8516f1", "vytyčovat (v-w8516f1)")</f>
        <v>vytyčovat (v-w8516f1)</v>
      </c>
      <c r="E60465" s="0" t="str">
        <f aca="false">HYPERLINK("https://lindat.mff.cuni.cz/services/SynSemClass40/SynSemClass40.html?veclass=vec00127#vec00127-ces-cm00240", "vec00127")</f>
        <v>vec00127</v>
      </c>
      <c r="F60465" s="0" t="s">
        <v>1835</v>
      </c>
    </row>
    <row r="60466" customFormat="false" ht="12.8" hidden="false" customHeight="false" outlineLevel="0" collapsed="false">
      <c r="B60466" s="0" t="s">
        <v>1</v>
      </c>
      <c r="C60466" s="0" t="s">
        <v>3461</v>
      </c>
      <c r="E60466" s="0" t="s">
        <v>11</v>
      </c>
      <c r="F60466" s="0" t="s">
        <v>1837</v>
      </c>
    </row>
    <row r="60467" customFormat="false" ht="12.8" hidden="false" customHeight="false" outlineLevel="0" collapsed="false">
      <c r="B60467" s="0" t="s">
        <v>228</v>
      </c>
      <c r="C60467" s="0" t="s">
        <v>3463</v>
      </c>
      <c r="E60467" s="0" t="s">
        <v>1840</v>
      </c>
      <c r="F60467" s="0" t="s">
        <v>1841</v>
      </c>
    </row>
    <row r="60469" customFormat="false" ht="12.8" hidden="false" customHeight="false" outlineLevel="0" collapsed="false">
      <c r="A60469" s="0" t="s">
        <v>20365</v>
      </c>
      <c r="B60469" s="0" t="str">
        <f aca="false">HYPERLINK("https://lindat.mff.cuni.cz/services/teitok/pdtc10/index.php?action=vallex&amp;frame=v-w8456f1", "vytáhnout (v-w8456f1)")</f>
        <v>vytáhnout (v-w8456f1)</v>
      </c>
      <c r="E60469" s="0" t="str">
        <f aca="false">HYPERLINK("https://lindat.mff.cuni.cz/services/SynSemClass40/SynSemClass40.html?veclass=vec00648#vec00648-ces-cm00021", "vec00648")</f>
        <v>vec00648</v>
      </c>
      <c r="F60469" s="0" t="s">
        <v>8797</v>
      </c>
      <c r="H60469" s="0" t="str">
        <f aca="false">HYPERLINK("https://lindat.mff.cuni.cz/services/SynSemClass40/SynSemClass40.html?veclass=vec01538#vec01538-ces-cm00021", "vec01538")</f>
        <v>vec01538</v>
      </c>
      <c r="I60469" s="0" t="s">
        <v>9675</v>
      </c>
    </row>
    <row r="60470" customFormat="false" ht="12.8" hidden="false" customHeight="false" outlineLevel="0" collapsed="false">
      <c r="B60470" s="0" t="s">
        <v>1</v>
      </c>
      <c r="C60470" s="0" t="s">
        <v>12239</v>
      </c>
      <c r="E60470" s="0" t="s">
        <v>31</v>
      </c>
      <c r="F60470" s="0" t="s">
        <v>8798</v>
      </c>
      <c r="H60470" s="0" t="s">
        <v>31</v>
      </c>
      <c r="I60470" s="0" t="s">
        <v>3092</v>
      </c>
    </row>
    <row r="60471" customFormat="false" ht="12.8" hidden="false" customHeight="false" outlineLevel="0" collapsed="false">
      <c r="B60471" s="0" t="s">
        <v>8</v>
      </c>
      <c r="C60471" s="0" t="s">
        <v>16857</v>
      </c>
      <c r="E60471" s="0" t="s">
        <v>110</v>
      </c>
      <c r="F60471" s="0" t="s">
        <v>8800</v>
      </c>
      <c r="H60471" s="0" t="s">
        <v>7105</v>
      </c>
      <c r="I60471" s="0" t="s">
        <v>19338</v>
      </c>
    </row>
    <row r="60472" customFormat="false" ht="12.8" hidden="false" customHeight="false" outlineLevel="0" collapsed="false">
      <c r="B60472" s="0" t="s">
        <v>631</v>
      </c>
      <c r="C60472" s="0" t="s">
        <v>20267</v>
      </c>
      <c r="E60472" s="0" t="s">
        <v>8802</v>
      </c>
      <c r="F60472" s="0" t="s">
        <v>8803</v>
      </c>
      <c r="H60472" s="0" t="s">
        <v>19340</v>
      </c>
      <c r="I60472" s="0" t="s">
        <v>19341</v>
      </c>
    </row>
    <row r="60474" customFormat="false" ht="12.8" hidden="false" customHeight="false" outlineLevel="0" collapsed="false">
      <c r="A60474" s="0" t="s">
        <v>20366</v>
      </c>
      <c r="B60474" s="0" t="str">
        <f aca="false">HYPERLINK("https://lindat.mff.cuni.cz/services/teitok/pdtc10/index.php?action=vallex&amp;frame=v-w8456f4_ZU", "vytáhnout (v-w8456f4_ZU)")</f>
        <v>vytáhnout (v-w8456f4_ZU)</v>
      </c>
    </row>
    <row r="60475" customFormat="false" ht="12.8" hidden="false" customHeight="false" outlineLevel="0" collapsed="false">
      <c r="B60475" s="0" t="s">
        <v>1</v>
      </c>
    </row>
    <row r="60476" customFormat="false" ht="12.8" hidden="false" customHeight="false" outlineLevel="0" collapsed="false">
      <c r="B60476" s="0" t="s">
        <v>8</v>
      </c>
    </row>
    <row r="60477" customFormat="false" ht="12.8" hidden="false" customHeight="false" outlineLevel="0" collapsed="false">
      <c r="B60477" s="0" t="s">
        <v>6273</v>
      </c>
    </row>
    <row r="60479" customFormat="false" ht="12.8" hidden="false" customHeight="false" outlineLevel="0" collapsed="false">
      <c r="A60479" s="0" t="s">
        <v>20367</v>
      </c>
      <c r="B60479" s="0" t="str">
        <f aca="false">HYPERLINK("https://lindat.mff.cuni.cz/services/teitok/pdtc10/index.php?action=vallex&amp;frame=v-w8456f3_ZU", "vytáhnout (v-w8456f3_ZU)")</f>
        <v>vytáhnout (v-w8456f3_ZU)</v>
      </c>
    </row>
    <row r="60480" customFormat="false" ht="12.8" hidden="false" customHeight="false" outlineLevel="0" collapsed="false">
      <c r="B60480" s="0" t="s">
        <v>1</v>
      </c>
    </row>
    <row r="60481" customFormat="false" ht="12.8" hidden="false" customHeight="false" outlineLevel="0" collapsed="false">
      <c r="B60481" s="0" t="s">
        <v>36</v>
      </c>
    </row>
    <row r="60482" customFormat="false" ht="12.8" hidden="false" customHeight="false" outlineLevel="0" collapsed="false">
      <c r="B60482" s="0" t="s">
        <v>101</v>
      </c>
    </row>
    <row r="60484" customFormat="false" ht="12.8" hidden="false" customHeight="false" outlineLevel="0" collapsed="false">
      <c r="A60484" s="0" t="s">
        <v>20368</v>
      </c>
      <c r="B60484" s="0" t="str">
        <f aca="false">HYPERLINK("https://lindat.mff.cuni.cz/services/teitok/pdtc10/index.php?action=vallex&amp;frame=v-w8456f2", "vytáhnout (v-w8456f2)")</f>
        <v>vytáhnout (v-w8456f2)</v>
      </c>
    </row>
    <row r="60485" customFormat="false" ht="12.8" hidden="false" customHeight="false" outlineLevel="0" collapsed="false">
      <c r="B60485" s="0" t="s">
        <v>1</v>
      </c>
    </row>
    <row r="60486" customFormat="false" ht="12.8" hidden="false" customHeight="false" outlineLevel="0" collapsed="false">
      <c r="B60486" s="0" t="s">
        <v>164</v>
      </c>
    </row>
    <row r="60488" customFormat="false" ht="12.8" hidden="false" customHeight="false" outlineLevel="0" collapsed="false">
      <c r="A60488" s="0" t="s">
        <v>20369</v>
      </c>
      <c r="B60488" s="0" t="str">
        <f aca="false">HYPERLINK("https://lindat.mff.cuni.cz/services/teitok/pdtc10/index.php?action=vallex&amp;frame=v-w8456hsa_1242", "vytáhnout (v-w8456hsa_1242)")</f>
        <v>vytáhnout (v-w8456hsa_1242)</v>
      </c>
      <c r="E60488" s="0" t="str">
        <f aca="false">HYPERLINK("https://lindat.mff.cuni.cz/services/SynSemClass40/SynSemClass40.html?veclass=vec01214#vec01214-ces-cm00006", "vec01214")</f>
        <v>vec01214</v>
      </c>
      <c r="F60488" s="0" t="s">
        <v>2816</v>
      </c>
      <c r="H60488" s="0" t="str">
        <f aca="false">HYPERLINK("https://lindat.mff.cuni.cz/services/SynSemClass40/SynSemClass40.html?veclass=vec01354#vec01354-ces-cm00005", "vec01354")</f>
        <v>vec01354</v>
      </c>
      <c r="I60488" s="0" t="s">
        <v>19744</v>
      </c>
    </row>
    <row r="60489" customFormat="false" ht="12.8" hidden="false" customHeight="false" outlineLevel="0" collapsed="false">
      <c r="B60489" s="0" t="s">
        <v>1</v>
      </c>
      <c r="C60489" s="0" t="s">
        <v>459</v>
      </c>
      <c r="E60489" s="0" t="s">
        <v>206</v>
      </c>
      <c r="F60489" s="0" t="s">
        <v>1359</v>
      </c>
      <c r="H60489" s="0" t="s">
        <v>3021</v>
      </c>
      <c r="I60489" s="0" t="s">
        <v>6152</v>
      </c>
    </row>
    <row r="60490" customFormat="false" ht="12.8" hidden="false" customHeight="false" outlineLevel="0" collapsed="false">
      <c r="B60490" s="0" t="s">
        <v>8</v>
      </c>
      <c r="C60490" s="0" t="s">
        <v>4083</v>
      </c>
      <c r="E60490" s="0" t="s">
        <v>2648</v>
      </c>
      <c r="F60490" s="0" t="s">
        <v>2817</v>
      </c>
      <c r="H60490" s="0" t="s">
        <v>4438</v>
      </c>
      <c r="I60490" s="0" t="s">
        <v>19745</v>
      </c>
    </row>
    <row r="60491" customFormat="false" ht="12.8" hidden="false" customHeight="false" outlineLevel="0" collapsed="false">
      <c r="B60491" s="0" t="s">
        <v>631</v>
      </c>
      <c r="E60491" s="0" t="s">
        <v>2818</v>
      </c>
      <c r="F60491" s="0" t="s">
        <v>2819</v>
      </c>
      <c r="H60491" s="0" t="s">
        <v>2818</v>
      </c>
      <c r="I60491" s="0" t="s">
        <v>2819</v>
      </c>
    </row>
    <row r="60493" customFormat="false" ht="12.8" hidden="false" customHeight="false" outlineLevel="0" collapsed="false">
      <c r="A60493" s="0" t="s">
        <v>20370</v>
      </c>
      <c r="B60493" s="0" t="str">
        <f aca="false">HYPERLINK("https://lindat.mff.cuni.cz/services/teitok/pdtc10/index.php?action=vallex&amp;frame=v-w8456f5_ZU", "vytáhnout (v-w8456f5_ZU)")</f>
        <v>vytáhnout (v-w8456f5_ZU)</v>
      </c>
    </row>
    <row r="60494" customFormat="false" ht="12.8" hidden="false" customHeight="false" outlineLevel="0" collapsed="false">
      <c r="B60494" s="0" t="s">
        <v>1</v>
      </c>
    </row>
    <row r="60495" customFormat="false" ht="12.8" hidden="false" customHeight="false" outlineLevel="0" collapsed="false">
      <c r="B60495" s="0" t="s">
        <v>8</v>
      </c>
    </row>
    <row r="60496" customFormat="false" ht="12.8" hidden="false" customHeight="false" outlineLevel="0" collapsed="false">
      <c r="B60496" s="0" t="s">
        <v>164</v>
      </c>
    </row>
    <row r="60498" customFormat="false" ht="12.8" hidden="false" customHeight="false" outlineLevel="0" collapsed="false">
      <c r="A60498" s="0" t="s">
        <v>20370</v>
      </c>
      <c r="B60498" s="0" t="str">
        <f aca="false">HYPERLINK("https://lindat.mff.cuni.cz/services/teitok/pdtc10/index.php?action=vallex&amp;frame=v-w8456hsa_1058", "vytáhnout (v-w8456hsa_1058) - substituted with v-w8456f5_ZU")</f>
        <v>vytáhnout (v-w8456hsa_1058) - substituted with v-w8456f5_ZU</v>
      </c>
    </row>
    <row r="60499" customFormat="false" ht="12.8" hidden="false" customHeight="false" outlineLevel="0" collapsed="false">
      <c r="B60499" s="0" t="s">
        <v>1</v>
      </c>
    </row>
    <row r="60500" customFormat="false" ht="12.8" hidden="false" customHeight="false" outlineLevel="0" collapsed="false">
      <c r="B60500" s="0" t="s">
        <v>8</v>
      </c>
    </row>
    <row r="60501" customFormat="false" ht="12.8" hidden="false" customHeight="false" outlineLevel="0" collapsed="false">
      <c r="B60501" s="0" t="s">
        <v>164</v>
      </c>
    </row>
    <row r="60503" customFormat="false" ht="12.8" hidden="false" customHeight="false" outlineLevel="0" collapsed="false">
      <c r="A60503" s="0" t="s">
        <v>20371</v>
      </c>
      <c r="B60503" s="0" t="str">
        <f aca="false">HYPERLINK("https://lindat.mff.cuni.cz/services/teitok/pdtc10/index.php?action=vallex&amp;frame=v-w8456f8_ZU", "vytáhnout (v-w8456f8_ZU)")</f>
        <v>vytáhnout (v-w8456f8_ZU)</v>
      </c>
    </row>
    <row r="60504" customFormat="false" ht="12.8" hidden="false" customHeight="false" outlineLevel="0" collapsed="false">
      <c r="B60504" s="0" t="s">
        <v>1</v>
      </c>
    </row>
    <row r="60505" customFormat="false" ht="12.8" hidden="false" customHeight="false" outlineLevel="0" collapsed="false">
      <c r="B60505" s="0" t="s">
        <v>305</v>
      </c>
    </row>
    <row r="60506" customFormat="false" ht="12.8" hidden="false" customHeight="false" outlineLevel="0" collapsed="false">
      <c r="B60506" s="0" t="s">
        <v>20372</v>
      </c>
    </row>
    <row r="60508" customFormat="false" ht="12.8" hidden="false" customHeight="false" outlineLevel="0" collapsed="false">
      <c r="A60508" s="0" t="s">
        <v>20371</v>
      </c>
      <c r="B60508" s="0" t="str">
        <f aca="false">HYPERLINK("https://lindat.mff.cuni.cz/services/teitok/pdtc10/index.php?action=vallex&amp;frame=v-w8456f7_ZU", "vytáhnout (v-w8456f7_ZU) - substituted with v-w8456f8_ZU")</f>
        <v>vytáhnout (v-w8456f7_ZU) - substituted with v-w8456f8_ZU</v>
      </c>
    </row>
    <row r="60509" customFormat="false" ht="12.8" hidden="false" customHeight="false" outlineLevel="0" collapsed="false">
      <c r="B60509" s="0" t="s">
        <v>1</v>
      </c>
    </row>
    <row r="60510" customFormat="false" ht="12.8" hidden="false" customHeight="false" outlineLevel="0" collapsed="false">
      <c r="B60510" s="0" t="s">
        <v>305</v>
      </c>
    </row>
    <row r="60511" customFormat="false" ht="12.8" hidden="false" customHeight="false" outlineLevel="0" collapsed="false">
      <c r="B60511" s="0" t="s">
        <v>20372</v>
      </c>
    </row>
    <row r="60513" customFormat="false" ht="12.8" hidden="false" customHeight="false" outlineLevel="0" collapsed="false">
      <c r="A60513" s="0" t="s">
        <v>20371</v>
      </c>
      <c r="B60513" s="0" t="str">
        <f aca="false">HYPERLINK("https://lindat.mff.cuni.cz/services/teitok/pdtc10/index.php?action=vallex&amp;frame=v-w8456hsa_1059", "vytáhnout (v-w8456hsa_1059) - substituted with v-w8456f8_ZU")</f>
        <v>vytáhnout (v-w8456hsa_1059) - substituted with v-w8456f8_ZU</v>
      </c>
    </row>
    <row r="60514" customFormat="false" ht="12.8" hidden="false" customHeight="false" outlineLevel="0" collapsed="false">
      <c r="B60514" s="0" t="s">
        <v>1</v>
      </c>
    </row>
    <row r="60515" customFormat="false" ht="12.8" hidden="false" customHeight="false" outlineLevel="0" collapsed="false">
      <c r="B60515" s="0" t="s">
        <v>305</v>
      </c>
    </row>
    <row r="60516" customFormat="false" ht="12.8" hidden="false" customHeight="false" outlineLevel="0" collapsed="false">
      <c r="B60516" s="0" t="s">
        <v>20372</v>
      </c>
    </row>
    <row r="60518" customFormat="false" ht="12.8" hidden="false" customHeight="false" outlineLevel="0" collapsed="false">
      <c r="A60518" s="0" t="s">
        <v>20373</v>
      </c>
      <c r="B60518" s="0" t="str">
        <f aca="false">HYPERLINK("https://lindat.mff.cuni.cz/services/teitok/pdtc10/index.php?action=vallex&amp;frame=v-w8456f9_ZU", "vytáhnout (v-w8456f9_ZU)")</f>
        <v>vytáhnout (v-w8456f9_ZU)</v>
      </c>
    </row>
    <row r="60519" customFormat="false" ht="12.8" hidden="false" customHeight="false" outlineLevel="0" collapsed="false">
      <c r="B60519" s="0" t="s">
        <v>1</v>
      </c>
    </row>
    <row r="60520" customFormat="false" ht="12.8" hidden="false" customHeight="false" outlineLevel="0" collapsed="false">
      <c r="B60520" s="0" t="s">
        <v>8</v>
      </c>
    </row>
    <row r="60521" customFormat="false" ht="12.8" hidden="false" customHeight="false" outlineLevel="0" collapsed="false">
      <c r="B60521" s="0" t="s">
        <v>164</v>
      </c>
    </row>
    <row r="60523" customFormat="false" ht="12.8" hidden="false" customHeight="false" outlineLevel="0" collapsed="false">
      <c r="A60523" s="0" t="s">
        <v>20373</v>
      </c>
      <c r="B60523" s="0" t="str">
        <f aca="false">HYPERLINK("https://lindat.mff.cuni.cz/services/teitok/pdtc10/index.php?action=vallex&amp;frame=v-w8456f6_ZU", "vytáhnout (v-w8456f6_ZU) - substituted with v-w8456f9_ZU")</f>
        <v>vytáhnout (v-w8456f6_ZU) - substituted with v-w8456f9_ZU</v>
      </c>
    </row>
    <row r="60524" customFormat="false" ht="12.8" hidden="false" customHeight="false" outlineLevel="0" collapsed="false">
      <c r="B60524" s="0" t="s">
        <v>1</v>
      </c>
    </row>
    <row r="60525" customFormat="false" ht="12.8" hidden="false" customHeight="false" outlineLevel="0" collapsed="false">
      <c r="B60525" s="0" t="s">
        <v>8</v>
      </c>
    </row>
    <row r="60526" customFormat="false" ht="12.8" hidden="false" customHeight="false" outlineLevel="0" collapsed="false">
      <c r="B60526" s="0" t="s">
        <v>164</v>
      </c>
    </row>
    <row r="60528" customFormat="false" ht="12.8" hidden="false" customHeight="false" outlineLevel="0" collapsed="false">
      <c r="A60528" s="0" t="s">
        <v>20373</v>
      </c>
      <c r="B60528" s="0" t="str">
        <f aca="false">HYPERLINK("https://lindat.mff.cuni.cz/services/teitok/pdtc10/index.php?action=vallex&amp;frame=v-w8456hsa_1057", "vytáhnout (v-w8456hsa_1057) - substituted with v-w8456f9_ZU")</f>
        <v>vytáhnout (v-w8456hsa_1057) - substituted with v-w8456f9_ZU</v>
      </c>
    </row>
    <row r="60529" customFormat="false" ht="12.8" hidden="false" customHeight="false" outlineLevel="0" collapsed="false">
      <c r="B60529" s="0" t="s">
        <v>1</v>
      </c>
    </row>
    <row r="60530" customFormat="false" ht="12.8" hidden="false" customHeight="false" outlineLevel="0" collapsed="false">
      <c r="B60530" s="0" t="s">
        <v>8</v>
      </c>
    </row>
    <row r="60531" customFormat="false" ht="12.8" hidden="false" customHeight="false" outlineLevel="0" collapsed="false">
      <c r="B60531" s="0" t="s">
        <v>164</v>
      </c>
    </row>
    <row r="60533" customFormat="false" ht="12.8" hidden="false" customHeight="false" outlineLevel="0" collapsed="false">
      <c r="A60533" s="0" t="s">
        <v>20374</v>
      </c>
      <c r="B60533" s="0" t="str">
        <f aca="false">HYPERLINK("https://lindat.mff.cuni.cz/services/teitok/pdtc10/index.php?action=vallex&amp;frame=v-w8456hsa_1060", "vytáhnout (v-w8456hsa_1060)")</f>
        <v>vytáhnout (v-w8456hsa_1060)</v>
      </c>
    </row>
    <row r="60534" customFormat="false" ht="12.8" hidden="false" customHeight="false" outlineLevel="0" collapsed="false">
      <c r="B60534" s="0" t="s">
        <v>1</v>
      </c>
    </row>
    <row r="60535" customFormat="false" ht="12.8" hidden="false" customHeight="false" outlineLevel="0" collapsed="false">
      <c r="B60535" s="0" t="s">
        <v>8</v>
      </c>
    </row>
    <row r="60536" customFormat="false" ht="12.8" hidden="false" customHeight="false" outlineLevel="0" collapsed="false">
      <c r="B60536" s="0" t="s">
        <v>162</v>
      </c>
    </row>
    <row r="60538" customFormat="false" ht="12.8" hidden="false" customHeight="false" outlineLevel="0" collapsed="false">
      <c r="A60538" s="0" t="s">
        <v>20375</v>
      </c>
      <c r="B60538" s="0" t="str">
        <f aca="false">HYPERLINK("https://lindat.mff.cuni.cz/services/teitok/pdtc10/index.php?action=vallex&amp;frame=v-w8456hsa_1243", "vytáhnout (v-w8456hsa_1243)")</f>
        <v>vytáhnout (v-w8456hsa_1243)</v>
      </c>
      <c r="E60538" s="0" t="str">
        <f aca="false">HYPERLINK("https://lindat.mff.cuni.cz/services/SynSemClass40/SynSemClass40.html?veclass=vec00298#vec00298-ces-cm00170", "vec00298")</f>
        <v>vec00298</v>
      </c>
      <c r="F60538" s="0" t="s">
        <v>7194</v>
      </c>
    </row>
    <row r="60539" customFormat="false" ht="12.8" hidden="false" customHeight="false" outlineLevel="0" collapsed="false">
      <c r="B60539" s="0" t="s">
        <v>1</v>
      </c>
      <c r="C60539" s="0" t="s">
        <v>7195</v>
      </c>
      <c r="E60539" s="0" t="s">
        <v>31</v>
      </c>
      <c r="F60539" s="0" t="s">
        <v>7196</v>
      </c>
    </row>
    <row r="60540" customFormat="false" ht="12.8" hidden="false" customHeight="false" outlineLevel="0" collapsed="false">
      <c r="B60540" s="0" t="s">
        <v>8</v>
      </c>
      <c r="C60540" s="0" t="s">
        <v>7197</v>
      </c>
      <c r="E60540" s="0" t="s">
        <v>1569</v>
      </c>
      <c r="F60540" s="0" t="s">
        <v>7198</v>
      </c>
    </row>
    <row r="60541" customFormat="false" ht="12.8" hidden="false" customHeight="false" outlineLevel="0" collapsed="false">
      <c r="B60541" s="0" t="s">
        <v>36</v>
      </c>
      <c r="C60541" s="0" t="s">
        <v>7199</v>
      </c>
      <c r="E60541" s="0" t="s">
        <v>5152</v>
      </c>
      <c r="F60541" s="0" t="s">
        <v>7200</v>
      </c>
    </row>
    <row r="60542" customFormat="false" ht="12.8" hidden="false" customHeight="false" outlineLevel="0" collapsed="false">
      <c r="B60542" s="0" t="s">
        <v>101</v>
      </c>
      <c r="C60542" s="0" t="s">
        <v>7201</v>
      </c>
      <c r="E60542" s="0" t="s">
        <v>5796</v>
      </c>
      <c r="F60542" s="0" t="s">
        <v>7202</v>
      </c>
    </row>
    <row r="60544" customFormat="false" ht="12.8" hidden="false" customHeight="false" outlineLevel="0" collapsed="false">
      <c r="A60544" s="0" t="s">
        <v>20376</v>
      </c>
      <c r="B60544" s="0" t="str">
        <f aca="false">HYPERLINK("https://lindat.mff.cuni.cz/services/teitok/pdtc10/index.php?action=vallex&amp;frame=v-w8457f1", "vytáhnout se (v-w8457f1)")</f>
        <v>vytáhnout se (v-w8457f1)</v>
      </c>
    </row>
    <row r="60545" customFormat="false" ht="12.8" hidden="false" customHeight="false" outlineLevel="0" collapsed="false">
      <c r="B60545" s="0" t="s">
        <v>1</v>
      </c>
    </row>
    <row r="60546" customFormat="false" ht="12.8" hidden="false" customHeight="false" outlineLevel="0" collapsed="false">
      <c r="B60546" s="0" t="s">
        <v>380</v>
      </c>
    </row>
    <row r="60547" customFormat="false" ht="12.8" hidden="false" customHeight="false" outlineLevel="0" collapsed="false">
      <c r="B60547" s="0" t="s">
        <v>4487</v>
      </c>
    </row>
    <row r="60549" customFormat="false" ht="12.8" hidden="false" customHeight="false" outlineLevel="0" collapsed="false">
      <c r="A60549" s="0" t="s">
        <v>20377</v>
      </c>
      <c r="B60549" s="0" t="str">
        <f aca="false">HYPERLINK("https://lindat.mff.cuni.cz/services/teitok/pdtc10/index.php?action=vallex&amp;frame=v-w8461f1", "vytápět (v-w8461f1)")</f>
        <v>vytápět (v-w8461f1)</v>
      </c>
    </row>
    <row r="60550" customFormat="false" ht="12.8" hidden="false" customHeight="false" outlineLevel="0" collapsed="false">
      <c r="B60550" s="0" t="s">
        <v>1</v>
      </c>
    </row>
    <row r="60551" customFormat="false" ht="12.8" hidden="false" customHeight="false" outlineLevel="0" collapsed="false">
      <c r="B60551" s="0" t="s">
        <v>8</v>
      </c>
    </row>
    <row r="60553" customFormat="false" ht="12.8" hidden="false" customHeight="false" outlineLevel="0" collapsed="false">
      <c r="A60553" s="0" t="s">
        <v>20378</v>
      </c>
      <c r="B60553" s="0" t="str">
        <f aca="false">HYPERLINK("https://lindat.mff.cuni.cz/services/teitok/pdtc10/index.php?action=vallex&amp;frame=v-w8454f1", "vytáčet (v-w8454f1)")</f>
        <v>vytáčet (v-w8454f1)</v>
      </c>
      <c r="E60553" s="0" t="str">
        <f aca="false">HYPERLINK("https://lindat.mff.cuni.cz/services/SynSemClass40/SynSemClass40.html?veclass=vec01539#vec01539-ces-cm00015", "vec01539")</f>
        <v>vec01539</v>
      </c>
      <c r="F60553" s="0" t="s">
        <v>18712</v>
      </c>
    </row>
    <row r="60554" customFormat="false" ht="12.8" hidden="false" customHeight="false" outlineLevel="0" collapsed="false">
      <c r="B60554" s="0" t="s">
        <v>1</v>
      </c>
      <c r="C60554" s="0" t="s">
        <v>18713</v>
      </c>
      <c r="E60554" s="0" t="s">
        <v>31</v>
      </c>
      <c r="F60554" s="0" t="s">
        <v>18714</v>
      </c>
    </row>
    <row r="60555" customFormat="false" ht="12.8" hidden="false" customHeight="false" outlineLevel="0" collapsed="false">
      <c r="B60555" s="0" t="s">
        <v>8</v>
      </c>
      <c r="C60555" s="0" t="s">
        <v>10894</v>
      </c>
      <c r="E60555" s="0" t="s">
        <v>4297</v>
      </c>
      <c r="F60555" s="0" t="s">
        <v>18715</v>
      </c>
    </row>
    <row r="60557" customFormat="false" ht="12.8" hidden="false" customHeight="false" outlineLevel="0" collapsed="false">
      <c r="A60557" s="0" t="s">
        <v>20379</v>
      </c>
      <c r="B60557" s="0" t="str">
        <f aca="false">HYPERLINK("https://lindat.mff.cuni.cz/services/teitok/pdtc10/index.php?action=vallex&amp;frame=v-w8454f2", "vytáčet (v-w8454f2)")</f>
        <v>vytáčet (v-w8454f2)</v>
      </c>
    </row>
    <row r="60558" customFormat="false" ht="12.8" hidden="false" customHeight="false" outlineLevel="0" collapsed="false">
      <c r="B60558" s="0" t="s">
        <v>1</v>
      </c>
    </row>
    <row r="60559" customFormat="false" ht="12.8" hidden="false" customHeight="false" outlineLevel="0" collapsed="false">
      <c r="B60559" s="0" t="s">
        <v>8</v>
      </c>
    </row>
    <row r="60561" customFormat="false" ht="12.8" hidden="false" customHeight="false" outlineLevel="0" collapsed="false">
      <c r="A60561" s="0" t="s">
        <v>20380</v>
      </c>
      <c r="B60561" s="0" t="str">
        <f aca="false">HYPERLINK("https://lindat.mff.cuni.cz/services/teitok/pdtc10/index.php?action=vallex&amp;frame=v-w8454f3_ZU", "vytáčet (v-w8454f3_ZU)")</f>
        <v>vytáčet (v-w8454f3_ZU)</v>
      </c>
    </row>
    <row r="60562" customFormat="false" ht="12.8" hidden="false" customHeight="false" outlineLevel="0" collapsed="false">
      <c r="B60562" s="0" t="s">
        <v>1</v>
      </c>
    </row>
    <row r="60563" customFormat="false" ht="12.8" hidden="false" customHeight="false" outlineLevel="0" collapsed="false">
      <c r="B60563" s="0" t="s">
        <v>8</v>
      </c>
    </row>
    <row r="60565" customFormat="false" ht="12.8" hidden="false" customHeight="false" outlineLevel="0" collapsed="false">
      <c r="A60565" s="0" t="s">
        <v>20381</v>
      </c>
      <c r="B60565" s="0" t="str">
        <f aca="false">HYPERLINK("https://lindat.mff.cuni.cz/services/teitok/pdtc10/index.php?action=vallex&amp;frame=v-w8454f4_ZU", "vytáčet (v-w8454f4_ZU)")</f>
        <v>vytáčet (v-w8454f4_ZU)</v>
      </c>
    </row>
    <row r="60566" customFormat="false" ht="12.8" hidden="false" customHeight="false" outlineLevel="0" collapsed="false">
      <c r="B60566" s="0" t="s">
        <v>1</v>
      </c>
    </row>
    <row r="60567" customFormat="false" ht="12.8" hidden="false" customHeight="false" outlineLevel="0" collapsed="false">
      <c r="B60567" s="0" t="s">
        <v>8</v>
      </c>
    </row>
    <row r="60568" customFormat="false" ht="12.8" hidden="false" customHeight="false" outlineLevel="0" collapsed="false">
      <c r="B60568" s="0" t="s">
        <v>6273</v>
      </c>
    </row>
    <row r="60570" customFormat="false" ht="12.8" hidden="false" customHeight="false" outlineLevel="0" collapsed="false">
      <c r="A60570" s="0" t="s">
        <v>20382</v>
      </c>
      <c r="B60570" s="0" t="str">
        <f aca="false">HYPERLINK("https://lindat.mff.cuni.cz/services/teitok/pdtc10/index.php?action=vallex&amp;frame=v-w8465f1", "vytéci (v-w8465f1)")</f>
        <v>vytéci (v-w8465f1)</v>
      </c>
    </row>
    <row r="60571" customFormat="false" ht="12.8" hidden="false" customHeight="false" outlineLevel="0" collapsed="false">
      <c r="B60571" s="0" t="s">
        <v>1</v>
      </c>
    </row>
    <row r="60572" customFormat="false" ht="12.8" hidden="false" customHeight="false" outlineLevel="0" collapsed="false">
      <c r="B60572" s="0" t="s">
        <v>631</v>
      </c>
    </row>
    <row r="60574" customFormat="false" ht="12.8" hidden="false" customHeight="false" outlineLevel="0" collapsed="false">
      <c r="A60574" s="0" t="s">
        <v>20383</v>
      </c>
      <c r="B60574" s="0" t="str">
        <f aca="false">HYPERLINK("https://lindat.mff.cuni.cz/services/teitok/pdtc10/index.php?action=vallex&amp;frame=v-w11114f2", "vytékat (v-w11114f2)")</f>
        <v>vytékat (v-w11114f2)</v>
      </c>
      <c r="E60574" s="0" t="str">
        <f aca="false">HYPERLINK("https://lindat.mff.cuni.cz/services/SynSemClass40/SynSemClass40.html?veclass=vec00258#vec00258-ces-cm00062", "vec00258")</f>
        <v>vec00258</v>
      </c>
      <c r="F60574" s="0" t="s">
        <v>10649</v>
      </c>
    </row>
    <row r="60575" customFormat="false" ht="12.8" hidden="false" customHeight="false" outlineLevel="0" collapsed="false">
      <c r="B60575" s="0" t="s">
        <v>1</v>
      </c>
      <c r="C60575" s="0" t="s">
        <v>10650</v>
      </c>
      <c r="E60575" s="0" t="s">
        <v>957</v>
      </c>
      <c r="F60575" s="0" t="s">
        <v>10651</v>
      </c>
    </row>
    <row r="60576" customFormat="false" ht="12.8" hidden="false" customHeight="false" outlineLevel="0" collapsed="false">
      <c r="B60576" s="0" t="s">
        <v>631</v>
      </c>
      <c r="C60576" s="0" t="s">
        <v>17231</v>
      </c>
      <c r="E60576" s="0" t="s">
        <v>4096</v>
      </c>
      <c r="F60576" s="0" t="s">
        <v>17232</v>
      </c>
    </row>
    <row r="60578" customFormat="false" ht="12.8" hidden="false" customHeight="false" outlineLevel="0" collapsed="false">
      <c r="A60578" s="0" t="s">
        <v>20384</v>
      </c>
      <c r="B60578" s="0" t="str">
        <f aca="false">HYPERLINK("https://lindat.mff.cuni.cz/services/teitok/pdtc10/index.php?action=vallex&amp;frame=v-whsa_258hsa_259", "vytírat (v-whsa_258hsa_259)")</f>
        <v>vytírat (v-whsa_258hsa_259)</v>
      </c>
    </row>
    <row r="60579" customFormat="false" ht="12.8" hidden="false" customHeight="false" outlineLevel="0" collapsed="false">
      <c r="B60579" s="0" t="s">
        <v>1</v>
      </c>
    </row>
    <row r="60580" customFormat="false" ht="12.8" hidden="false" customHeight="false" outlineLevel="0" collapsed="false">
      <c r="B60580" s="0" t="s">
        <v>8</v>
      </c>
    </row>
    <row r="60582" customFormat="false" ht="12.8" hidden="false" customHeight="false" outlineLevel="0" collapsed="false">
      <c r="A60582" s="0" t="s">
        <v>20385</v>
      </c>
      <c r="B60582" s="0" t="str">
        <f aca="false">HYPERLINK("https://lindat.mff.cuni.cz/services/teitok/pdtc10/index.php?action=vallex&amp;frame=v-w8480f1", "vytížit (v-w8480f1)")</f>
        <v>vytížit (v-w8480f1)</v>
      </c>
    </row>
    <row r="60583" customFormat="false" ht="12.8" hidden="false" customHeight="false" outlineLevel="0" collapsed="false">
      <c r="B60583" s="0" t="s">
        <v>1</v>
      </c>
    </row>
    <row r="60584" customFormat="false" ht="12.8" hidden="false" customHeight="false" outlineLevel="0" collapsed="false">
      <c r="B60584" s="0" t="s">
        <v>8</v>
      </c>
    </row>
    <row r="60586" customFormat="false" ht="12.8" hidden="false" customHeight="false" outlineLevel="0" collapsed="false">
      <c r="A60586" s="0" t="s">
        <v>20386</v>
      </c>
      <c r="B60586" s="0" t="str">
        <f aca="false">HYPERLINK("https://lindat.mff.cuni.cz/services/teitok/pdtc10/index.php?action=vallex&amp;frame=v-w8517f2", "vytýkat (v-w8517f2)")</f>
        <v>vytýkat (v-w8517f2)</v>
      </c>
    </row>
    <row r="60587" customFormat="false" ht="12.8" hidden="false" customHeight="false" outlineLevel="0" collapsed="false">
      <c r="B60587" s="0" t="s">
        <v>1</v>
      </c>
    </row>
    <row r="60588" customFormat="false" ht="12.8" hidden="false" customHeight="false" outlineLevel="0" collapsed="false">
      <c r="B60588" s="0" t="s">
        <v>6631</v>
      </c>
    </row>
    <row r="60589" customFormat="false" ht="12.8" hidden="false" customHeight="false" outlineLevel="0" collapsed="false">
      <c r="B60589" s="0" t="s">
        <v>132</v>
      </c>
    </row>
    <row r="60590" customFormat="false" ht="12.8" hidden="false" customHeight="false" outlineLevel="0" collapsed="false">
      <c r="B60590" s="0" t="s">
        <v>3406</v>
      </c>
    </row>
    <row r="60592" customFormat="false" ht="12.8" hidden="false" customHeight="false" outlineLevel="0" collapsed="false">
      <c r="A60592" s="0" t="s">
        <v>20387</v>
      </c>
      <c r="B60592" s="0" t="str">
        <f aca="false">HYPERLINK("https://lindat.mff.cuni.cz/services/teitok/pdtc10/index.php?action=vallex&amp;frame=v-w8517f1", "vytýkat (v-w8517f1)")</f>
        <v>vytýkat (v-w8517f1)</v>
      </c>
      <c r="E60592" s="0" t="str">
        <f aca="false">HYPERLINK("https://lindat.mff.cuni.cz/services/SynSemClass40/SynSemClass40.html?veclass=vec00620#vec00620-ces-cm00015", "vec00620")</f>
        <v>vec00620</v>
      </c>
      <c r="F60592" s="0" t="s">
        <v>4262</v>
      </c>
    </row>
    <row r="60593" customFormat="false" ht="12.8" hidden="false" customHeight="false" outlineLevel="0" collapsed="false">
      <c r="B60593" s="0" t="s">
        <v>1</v>
      </c>
      <c r="C60593" s="0" t="s">
        <v>154</v>
      </c>
      <c r="E60593" s="0" t="s">
        <v>31</v>
      </c>
      <c r="F60593" s="0" t="s">
        <v>4265</v>
      </c>
    </row>
    <row r="60594" customFormat="false" ht="12.8" hidden="false" customHeight="false" outlineLevel="0" collapsed="false">
      <c r="B60594" s="0" t="s">
        <v>228</v>
      </c>
      <c r="C60594" s="0" t="s">
        <v>16420</v>
      </c>
      <c r="E60594" s="0" t="s">
        <v>532</v>
      </c>
      <c r="F60594" s="0" t="s">
        <v>16421</v>
      </c>
    </row>
    <row r="60595" customFormat="false" ht="12.8" hidden="false" customHeight="false" outlineLevel="0" collapsed="false">
      <c r="B60595" s="0" t="s">
        <v>52</v>
      </c>
      <c r="C60595" s="0" t="s">
        <v>20288</v>
      </c>
      <c r="E60595" s="0" t="s">
        <v>2287</v>
      </c>
      <c r="F60595" s="0" t="s">
        <v>16415</v>
      </c>
    </row>
    <row r="60597" customFormat="false" ht="12.8" hidden="false" customHeight="false" outlineLevel="0" collapsed="false">
      <c r="A60597" s="0" t="s">
        <v>20388</v>
      </c>
      <c r="B60597" s="0" t="str">
        <f aca="false">HYPERLINK("https://lindat.mff.cuni.cz/services/teitok/pdtc10/index.php?action=vallex&amp;frame=v-w8514f1", "vytýčit (v-w8514f1)")</f>
        <v>vytýčit (v-w8514f1)</v>
      </c>
    </row>
    <row r="60598" customFormat="false" ht="12.8" hidden="false" customHeight="false" outlineLevel="0" collapsed="false">
      <c r="B60598" s="0" t="s">
        <v>1</v>
      </c>
    </row>
    <row r="60599" customFormat="false" ht="12.8" hidden="false" customHeight="false" outlineLevel="0" collapsed="false">
      <c r="B60599" s="0" t="s">
        <v>228</v>
      </c>
    </row>
    <row r="60601" customFormat="false" ht="12.8" hidden="false" customHeight="false" outlineLevel="0" collapsed="false">
      <c r="A60601" s="0" t="s">
        <v>20389</v>
      </c>
      <c r="B60601" s="0" t="str">
        <f aca="false">HYPERLINK("https://lindat.mff.cuni.cz/services/teitok/pdtc10/index.php?action=vallex&amp;frame=v-w8470f1", "vytěsnit (v-w8470f1)")</f>
        <v>vytěsnit (v-w8470f1)</v>
      </c>
      <c r="E60601" s="0" t="str">
        <f aca="false">HYPERLINK("https://lindat.mff.cuni.cz/services/SynSemClass40/SynSemClass40.html?veclass=vec00973#vec00973-ces-cm00001", "vec00973")</f>
        <v>vec00973</v>
      </c>
      <c r="F60601" s="0" t="s">
        <v>20390</v>
      </c>
    </row>
    <row r="60602" customFormat="false" ht="12.8" hidden="false" customHeight="false" outlineLevel="0" collapsed="false">
      <c r="B60602" s="0" t="s">
        <v>1</v>
      </c>
      <c r="E60602" s="0" t="s">
        <v>76</v>
      </c>
      <c r="F60602" s="0" t="s">
        <v>704</v>
      </c>
    </row>
    <row r="60603" customFormat="false" ht="12.8" hidden="false" customHeight="false" outlineLevel="0" collapsed="false">
      <c r="B60603" s="0" t="s">
        <v>8</v>
      </c>
      <c r="C60603" s="0" t="s">
        <v>798</v>
      </c>
      <c r="E60603" s="0" t="s">
        <v>4094</v>
      </c>
      <c r="F60603" s="0" t="s">
        <v>20317</v>
      </c>
    </row>
    <row r="60604" customFormat="false" ht="12.8" hidden="false" customHeight="false" outlineLevel="0" collapsed="false">
      <c r="B60604" s="0" t="s">
        <v>631</v>
      </c>
      <c r="C60604" s="0" t="s">
        <v>20391</v>
      </c>
      <c r="E60604" s="0" t="s">
        <v>1924</v>
      </c>
      <c r="F60604" s="0" t="s">
        <v>20392</v>
      </c>
    </row>
    <row r="60606" customFormat="false" ht="12.8" hidden="false" customHeight="false" outlineLevel="0" collapsed="false">
      <c r="A60606" s="0" t="s">
        <v>20393</v>
      </c>
      <c r="B60606" s="0" t="str">
        <f aca="false">HYPERLINK("https://lindat.mff.cuni.cz/services/teitok/pdtc10/index.php?action=vallex&amp;frame=v-w8473f2", "vytěžit (v-w8473f2)")</f>
        <v>vytěžit (v-w8473f2)</v>
      </c>
      <c r="E60606" s="0" t="str">
        <f aca="false">HYPERLINK("https://lindat.mff.cuni.cz/services/SynSemClass40/SynSemClass40.html?veclass=vec00169#vec00169-ces-cm00001", "vec00169")</f>
        <v>vec00169</v>
      </c>
      <c r="F60606" s="0" t="s">
        <v>12277</v>
      </c>
    </row>
    <row r="60607" customFormat="false" ht="12.8" hidden="false" customHeight="false" outlineLevel="0" collapsed="false">
      <c r="B60607" s="0" t="s">
        <v>1</v>
      </c>
      <c r="C60607" s="0" t="s">
        <v>12278</v>
      </c>
      <c r="E60607" s="0" t="s">
        <v>1567</v>
      </c>
      <c r="F60607" s="0" t="s">
        <v>12279</v>
      </c>
    </row>
    <row r="60608" customFormat="false" ht="12.8" hidden="false" customHeight="false" outlineLevel="0" collapsed="false">
      <c r="B60608" s="0" t="s">
        <v>8</v>
      </c>
      <c r="E60608" s="0" t="s">
        <v>2111</v>
      </c>
      <c r="F60608" s="0" t="s">
        <v>18196</v>
      </c>
    </row>
    <row r="60609" customFormat="false" ht="12.8" hidden="false" customHeight="false" outlineLevel="0" collapsed="false">
      <c r="B60609" s="0" t="s">
        <v>36</v>
      </c>
      <c r="C60609" s="0" t="s">
        <v>18197</v>
      </c>
      <c r="E60609" s="0" t="s">
        <v>2176</v>
      </c>
      <c r="F60609" s="0" t="s">
        <v>18198</v>
      </c>
    </row>
    <row r="60611" customFormat="false" ht="12.8" hidden="false" customHeight="false" outlineLevel="0" collapsed="false">
      <c r="A60611" s="0" t="s">
        <v>20394</v>
      </c>
      <c r="B60611" s="0" t="str">
        <f aca="false">HYPERLINK("https://lindat.mff.cuni.cz/services/teitok/pdtc10/index.php?action=vallex&amp;frame=v-w8473f1", "vytěžit (v-w8473f1)")</f>
        <v>vytěžit (v-w8473f1)</v>
      </c>
    </row>
    <row r="60612" customFormat="false" ht="12.8" hidden="false" customHeight="false" outlineLevel="0" collapsed="false">
      <c r="B60612" s="0" t="s">
        <v>1</v>
      </c>
    </row>
    <row r="60613" customFormat="false" ht="12.8" hidden="false" customHeight="false" outlineLevel="0" collapsed="false">
      <c r="B60613" s="0" t="s">
        <v>8</v>
      </c>
    </row>
    <row r="60614" customFormat="false" ht="12.8" hidden="false" customHeight="false" outlineLevel="0" collapsed="false">
      <c r="B60614" s="0" t="s">
        <v>631</v>
      </c>
    </row>
    <row r="60616" customFormat="false" ht="12.8" hidden="false" customHeight="false" outlineLevel="0" collapsed="false">
      <c r="A60616" s="0" t="s">
        <v>20395</v>
      </c>
      <c r="B60616" s="0" t="str">
        <f aca="false">HYPERLINK("https://lindat.mff.cuni.cz/services/teitok/pdtc10/index.php?action=vallex&amp;frame=v-w11672_ZUf1_ZU", "vytřást (v-w11672_ZUf1_ZU)")</f>
        <v>vytřást (v-w11672_ZUf1_ZU)</v>
      </c>
    </row>
    <row r="60617" customFormat="false" ht="12.8" hidden="false" customHeight="false" outlineLevel="0" collapsed="false">
      <c r="B60617" s="0" t="s">
        <v>1</v>
      </c>
    </row>
    <row r="60618" customFormat="false" ht="12.8" hidden="false" customHeight="false" outlineLevel="0" collapsed="false">
      <c r="B60618" s="0" t="s">
        <v>8</v>
      </c>
    </row>
    <row r="60620" customFormat="false" ht="12.8" hidden="false" customHeight="false" outlineLevel="0" collapsed="false">
      <c r="A60620" s="0" t="s">
        <v>20396</v>
      </c>
      <c r="B60620" s="0" t="str">
        <f aca="false">HYPERLINK("https://lindat.mff.cuni.cz/services/teitok/pdtc10/index.php?action=vallex&amp;frame=v-w11631_ZUf1_ZU", "vytříbit (v-w11631_ZUf1_ZU)")</f>
        <v>vytříbit (v-w11631_ZUf1_ZU)</v>
      </c>
      <c r="E60620" s="0" t="str">
        <f aca="false">HYPERLINK("https://lindat.mff.cuni.cz/services/SynSemClass40/SynSemClass40.html?veclass=vec00976#vec00976-ces-cm00001", "vec00976")</f>
        <v>vec00976</v>
      </c>
      <c r="F60620" s="0" t="s">
        <v>20397</v>
      </c>
    </row>
    <row r="60621" customFormat="false" ht="12.8" hidden="false" customHeight="false" outlineLevel="0" collapsed="false">
      <c r="B60621" s="0" t="s">
        <v>1</v>
      </c>
      <c r="E60621" s="0" t="s">
        <v>76</v>
      </c>
      <c r="F60621" s="0" t="s">
        <v>704</v>
      </c>
    </row>
    <row r="60622" customFormat="false" ht="12.8" hidden="false" customHeight="false" outlineLevel="0" collapsed="false">
      <c r="B60622" s="0" t="s">
        <v>8</v>
      </c>
      <c r="E60622" s="0" t="s">
        <v>4782</v>
      </c>
      <c r="F60622" s="0" t="s">
        <v>20398</v>
      </c>
    </row>
    <row r="60624" customFormat="false" ht="12.8" hidden="false" customHeight="false" outlineLevel="0" collapsed="false">
      <c r="A60624" s="0" t="s">
        <v>20399</v>
      </c>
      <c r="B60624" s="0" t="str">
        <f aca="false">HYPERLINK("https://lindat.mff.cuni.cz/services/teitok/pdtc10/index.php?action=vallex&amp;frame=v-w8498f1", "vytříbit se (v-w8498f1)")</f>
        <v>vytříbit se (v-w8498f1)</v>
      </c>
    </row>
    <row r="60625" customFormat="false" ht="12.8" hidden="false" customHeight="false" outlineLevel="0" collapsed="false">
      <c r="B60625" s="0" t="s">
        <v>1</v>
      </c>
    </row>
    <row r="60627" customFormat="false" ht="12.8" hidden="false" customHeight="false" outlineLevel="0" collapsed="false">
      <c r="A60627" s="0" t="s">
        <v>20400</v>
      </c>
      <c r="B60627" s="0" t="str">
        <f aca="false">HYPERLINK("https://lindat.mff.cuni.cz/services/teitok/pdtc10/index.php?action=vallex&amp;frame=v-w8499f2", "vytřídit (v-w8499f2)")</f>
        <v>vytřídit (v-w8499f2)</v>
      </c>
    </row>
    <row r="60628" customFormat="false" ht="12.8" hidden="false" customHeight="false" outlineLevel="0" collapsed="false">
      <c r="B60628" s="0" t="s">
        <v>1</v>
      </c>
    </row>
    <row r="60629" customFormat="false" ht="12.8" hidden="false" customHeight="false" outlineLevel="0" collapsed="false">
      <c r="B60629" s="0" t="s">
        <v>8</v>
      </c>
    </row>
    <row r="60630" customFormat="false" ht="12.8" hidden="false" customHeight="false" outlineLevel="0" collapsed="false">
      <c r="B60630" s="0" t="s">
        <v>631</v>
      </c>
    </row>
    <row r="60632" customFormat="false" ht="12.8" hidden="false" customHeight="false" outlineLevel="0" collapsed="false">
      <c r="A60632" s="0" t="s">
        <v>20401</v>
      </c>
      <c r="B60632" s="0" t="str">
        <f aca="false">HYPERLINK("https://lindat.mff.cuni.cz/services/teitok/pdtc10/index.php?action=vallex&amp;frame=v-w8499f1", "vytřídit (v-w8499f1)")</f>
        <v>vytřídit (v-w8499f1)</v>
      </c>
    </row>
    <row r="60633" customFormat="false" ht="12.8" hidden="false" customHeight="false" outlineLevel="0" collapsed="false">
      <c r="B60633" s="0" t="s">
        <v>1</v>
      </c>
    </row>
    <row r="60634" customFormat="false" ht="12.8" hidden="false" customHeight="false" outlineLevel="0" collapsed="false">
      <c r="B60634" s="0" t="s">
        <v>8</v>
      </c>
    </row>
    <row r="60636" customFormat="false" ht="12.8" hidden="false" customHeight="false" outlineLevel="0" collapsed="false">
      <c r="A60636" s="0" t="s">
        <v>20402</v>
      </c>
      <c r="B60636" s="0" t="str">
        <f aca="false">HYPERLINK("https://lindat.mff.cuni.cz/services/teitok/pdtc10/index.php?action=vallex&amp;frame=v-whsa_1379hsa_1380", "vytřít (v-whsa_1379hsa_1380)")</f>
        <v>vytřít (v-whsa_1379hsa_1380)</v>
      </c>
    </row>
    <row r="60637" customFormat="false" ht="12.8" hidden="false" customHeight="false" outlineLevel="0" collapsed="false">
      <c r="B60637" s="0" t="s">
        <v>1</v>
      </c>
    </row>
    <row r="60638" customFormat="false" ht="12.8" hidden="false" customHeight="false" outlineLevel="0" collapsed="false">
      <c r="B60638" s="0" t="s">
        <v>8</v>
      </c>
    </row>
    <row r="60640" customFormat="false" ht="12.8" hidden="false" customHeight="false" outlineLevel="0" collapsed="false">
      <c r="A60640" s="0" t="s">
        <v>20403</v>
      </c>
      <c r="B60640" s="0" t="str">
        <f aca="false">HYPERLINK("https://lindat.mff.cuni.cz/services/teitok/pdtc10/index.php?action=vallex&amp;frame=v-w11807_ZUf1_ZU", "vyudit (v-w11807_ZUf1_ZU)")</f>
        <v>vyudit (v-w11807_ZUf1_ZU)</v>
      </c>
    </row>
    <row r="60641" customFormat="false" ht="12.8" hidden="false" customHeight="false" outlineLevel="0" collapsed="false">
      <c r="B60641" s="0" t="s">
        <v>1</v>
      </c>
    </row>
    <row r="60642" customFormat="false" ht="12.8" hidden="false" customHeight="false" outlineLevel="0" collapsed="false">
      <c r="B60642" s="0" t="s">
        <v>8</v>
      </c>
    </row>
    <row r="60644" customFormat="false" ht="12.8" hidden="false" customHeight="false" outlineLevel="0" collapsed="false">
      <c r="A60644" s="0" t="s">
        <v>20404</v>
      </c>
      <c r="B60644" s="0" t="str">
        <f aca="false">HYPERLINK("https://lindat.mff.cuni.cz/services/teitok/pdtc10/index.php?action=vallex&amp;frame=v-w8519f2_ZU", "vyučit (v-w8519f2_ZU)")</f>
        <v>vyučit (v-w8519f2_ZU)</v>
      </c>
    </row>
    <row r="60645" customFormat="false" ht="12.8" hidden="false" customHeight="false" outlineLevel="0" collapsed="false">
      <c r="B60645" s="0" t="s">
        <v>1</v>
      </c>
    </row>
    <row r="60646" customFormat="false" ht="12.8" hidden="false" customHeight="false" outlineLevel="0" collapsed="false">
      <c r="B60646" s="0" t="s">
        <v>20405</v>
      </c>
    </row>
    <row r="60647" customFormat="false" ht="12.8" hidden="false" customHeight="false" outlineLevel="0" collapsed="false">
      <c r="B60647" s="0" t="s">
        <v>98</v>
      </c>
    </row>
    <row r="60649" customFormat="false" ht="12.8" hidden="false" customHeight="false" outlineLevel="0" collapsed="false">
      <c r="A60649" s="0" t="s">
        <v>20404</v>
      </c>
      <c r="B60649" s="0" t="str">
        <f aca="false">HYPERLINK("https://lindat.mff.cuni.cz/services/teitok/pdtc10/index.php?action=vallex&amp;frame=v-w8519f1", "vyučit (v-w8519f1) - substituted with v-w8519f2_ZU")</f>
        <v>vyučit (v-w8519f1) - substituted with v-w8519f2_ZU</v>
      </c>
      <c r="E60649" s="0" t="str">
        <f aca="false">HYPERLINK("https://lindat.mff.cuni.cz/services/SynSemClass40/SynSemClass40.html?veclass=vec00531#vec00531-ces-cm00016", "vec00531")</f>
        <v>vec00531</v>
      </c>
      <c r="F60649" s="0" t="s">
        <v>7870</v>
      </c>
    </row>
    <row r="60650" customFormat="false" ht="12.8" hidden="false" customHeight="false" outlineLevel="0" collapsed="false">
      <c r="B60650" s="0" t="s">
        <v>1</v>
      </c>
      <c r="C60650" s="0" t="s">
        <v>4001</v>
      </c>
      <c r="E60650" s="0" t="s">
        <v>206</v>
      </c>
      <c r="F60650" s="0" t="s">
        <v>7871</v>
      </c>
    </row>
    <row r="60651" customFormat="false" ht="12.8" hidden="false" customHeight="false" outlineLevel="0" collapsed="false">
      <c r="B60651" s="0" t="s">
        <v>20405</v>
      </c>
      <c r="C60651" s="0" t="s">
        <v>7873</v>
      </c>
      <c r="E60651" s="0" t="s">
        <v>7874</v>
      </c>
      <c r="F60651" s="0" t="s">
        <v>7875</v>
      </c>
    </row>
    <row r="60652" customFormat="false" ht="12.8" hidden="false" customHeight="false" outlineLevel="0" collapsed="false">
      <c r="B60652" s="0" t="s">
        <v>98</v>
      </c>
      <c r="C60652" s="0" t="s">
        <v>7876</v>
      </c>
      <c r="E60652" s="0" t="s">
        <v>564</v>
      </c>
      <c r="F60652" s="0" t="s">
        <v>7877</v>
      </c>
    </row>
    <row r="60654" customFormat="false" ht="12.8" hidden="false" customHeight="false" outlineLevel="0" collapsed="false">
      <c r="A60654" s="0" t="s">
        <v>20404</v>
      </c>
      <c r="B60654" s="0" t="str">
        <f aca="false">HYPERLINK("https://lindat.mff.cuni.cz/services/teitok/pdtc10/index.php?action=vallex&amp;frame=v-w8519hsa_777", "vyučit (v-w8519hsa_777) - substituted with v-w8519f2_ZU")</f>
        <v>vyučit (v-w8519hsa_777) - substituted with v-w8519f2_ZU</v>
      </c>
    </row>
    <row r="60655" customFormat="false" ht="12.8" hidden="false" customHeight="false" outlineLevel="0" collapsed="false">
      <c r="B60655" s="0" t="s">
        <v>1</v>
      </c>
    </row>
    <row r="60656" customFormat="false" ht="12.8" hidden="false" customHeight="false" outlineLevel="0" collapsed="false">
      <c r="B60656" s="0" t="s">
        <v>20405</v>
      </c>
    </row>
    <row r="60657" customFormat="false" ht="12.8" hidden="false" customHeight="false" outlineLevel="0" collapsed="false">
      <c r="B60657" s="0" t="s">
        <v>98</v>
      </c>
    </row>
    <row r="60659" customFormat="false" ht="12.8" hidden="false" customHeight="false" outlineLevel="0" collapsed="false">
      <c r="A60659" s="0" t="s">
        <v>20406</v>
      </c>
      <c r="B60659" s="0" t="str">
        <f aca="false">HYPERLINK("https://lindat.mff.cuni.cz/services/teitok/pdtc10/index.php?action=vallex&amp;frame=v-w8520f3_ZU", "vyučit se (v-w8520f3_ZU)")</f>
        <v>vyučit se (v-w8520f3_ZU)</v>
      </c>
    </row>
    <row r="60660" customFormat="false" ht="12.8" hidden="false" customHeight="false" outlineLevel="0" collapsed="false">
      <c r="B60660" s="0" t="s">
        <v>1</v>
      </c>
    </row>
    <row r="60661" customFormat="false" ht="12.8" hidden="false" customHeight="false" outlineLevel="0" collapsed="false">
      <c r="B60661" s="0" t="s">
        <v>20407</v>
      </c>
    </row>
    <row r="60663" customFormat="false" ht="12.8" hidden="false" customHeight="false" outlineLevel="0" collapsed="false">
      <c r="A60663" s="0" t="s">
        <v>20406</v>
      </c>
      <c r="B60663" s="0" t="str">
        <f aca="false">HYPERLINK("https://lindat.mff.cuni.cz/services/teitok/pdtc10/index.php?action=vallex&amp;frame=v-w8520f1", "vyučit se (v-w8520f1) - substituted with v-w8520f3_ZU")</f>
        <v>vyučit se (v-w8520f1) - substituted with v-w8520f3_ZU</v>
      </c>
      <c r="E60663" s="0" t="str">
        <f aca="false">HYPERLINK("https://lindat.mff.cuni.cz/services/SynSemClass40/SynSemClass40.html?veclass=vec00527#vec00527-ces-cm00027", "vec00527")</f>
        <v>vec00527</v>
      </c>
      <c r="F60663" s="0" t="s">
        <v>16680</v>
      </c>
      <c r="H60663" s="0" t="str">
        <f aca="false">HYPERLINK("https://lindat.mff.cuni.cz/services/SynSemClass40/SynSemClass40.html?veclass=vec00763#vec00763-ces-cm00008", "vec00763")</f>
        <v>vec00763</v>
      </c>
      <c r="I60663" s="0" t="s">
        <v>19016</v>
      </c>
    </row>
    <row r="60664" customFormat="false" ht="12.8" hidden="false" customHeight="false" outlineLevel="0" collapsed="false">
      <c r="B60664" s="0" t="s">
        <v>1</v>
      </c>
      <c r="C60664" s="0" t="s">
        <v>20408</v>
      </c>
      <c r="E60664" s="0" t="s">
        <v>621</v>
      </c>
      <c r="F60664" s="0" t="s">
        <v>16682</v>
      </c>
      <c r="H60664" s="0" t="s">
        <v>20409</v>
      </c>
      <c r="I60664" s="0" t="s">
        <v>20410</v>
      </c>
    </row>
    <row r="60665" customFormat="false" ht="12.8" hidden="false" customHeight="false" outlineLevel="0" collapsed="false">
      <c r="B60665" s="0" t="s">
        <v>20407</v>
      </c>
      <c r="C60665" s="0" t="s">
        <v>20411</v>
      </c>
      <c r="E60665" s="0" t="s">
        <v>16262</v>
      </c>
      <c r="F60665" s="0" t="s">
        <v>16684</v>
      </c>
      <c r="H60665" s="0" t="s">
        <v>893</v>
      </c>
      <c r="I60665" s="0" t="s">
        <v>20412</v>
      </c>
    </row>
    <row r="60667" customFormat="false" ht="12.8" hidden="false" customHeight="false" outlineLevel="0" collapsed="false">
      <c r="A60667" s="0" t="s">
        <v>20406</v>
      </c>
      <c r="B60667" s="0" t="str">
        <f aca="false">HYPERLINK("https://lindat.mff.cuni.cz/services/teitok/pdtc10/index.php?action=vallex&amp;frame=v-w8520f2_ZU", "vyučit se (v-w8520f2_ZU) - substituted with v-w8520f3_ZU")</f>
        <v>vyučit se (v-w8520f2_ZU) - substituted with v-w8520f3_ZU</v>
      </c>
    </row>
    <row r="60668" customFormat="false" ht="12.8" hidden="false" customHeight="false" outlineLevel="0" collapsed="false">
      <c r="B60668" s="0" t="s">
        <v>1</v>
      </c>
    </row>
    <row r="60669" customFormat="false" ht="12.8" hidden="false" customHeight="false" outlineLevel="0" collapsed="false">
      <c r="B60669" s="0" t="s">
        <v>20407</v>
      </c>
    </row>
    <row r="60671" customFormat="false" ht="12.8" hidden="false" customHeight="false" outlineLevel="0" collapsed="false">
      <c r="A60671" s="0" t="s">
        <v>20406</v>
      </c>
      <c r="B60671" s="0" t="str">
        <f aca="false">HYPERLINK("https://lindat.mff.cuni.cz/services/teitok/pdtc10/index.php?action=vallex&amp;frame=v-w8520hsa_667", "vyučit se (v-w8520hsa_667) - substituted with v-w8520f3_ZU")</f>
        <v>vyučit se (v-w8520hsa_667) - substituted with v-w8520f3_ZU</v>
      </c>
    </row>
    <row r="60672" customFormat="false" ht="12.8" hidden="false" customHeight="false" outlineLevel="0" collapsed="false">
      <c r="B60672" s="0" t="s">
        <v>1</v>
      </c>
    </row>
    <row r="60673" customFormat="false" ht="12.8" hidden="false" customHeight="false" outlineLevel="0" collapsed="false">
      <c r="B60673" s="0" t="s">
        <v>20407</v>
      </c>
    </row>
    <row r="60675" customFormat="false" ht="12.8" hidden="false" customHeight="false" outlineLevel="0" collapsed="false">
      <c r="A60675" s="0" t="s">
        <v>20413</v>
      </c>
      <c r="B60675" s="0" t="str">
        <f aca="false">HYPERLINK("https://lindat.mff.cuni.cz/services/teitok/pdtc10/index.php?action=vallex&amp;frame=v-w8522f1", "vyučovat (v-w8522f1)")</f>
        <v>vyučovat (v-w8522f1)</v>
      </c>
      <c r="E60675" s="0" t="str">
        <f aca="false">HYPERLINK("https://lindat.mff.cuni.cz/services/SynSemClass40/SynSemClass40.html?veclass=vec00531#vec00531-ces-cm00007", "vec00531")</f>
        <v>vec00531</v>
      </c>
      <c r="F60675" s="0" t="s">
        <v>7870</v>
      </c>
    </row>
    <row r="60676" customFormat="false" ht="12.8" hidden="false" customHeight="false" outlineLevel="0" collapsed="false">
      <c r="B60676" s="0" t="s">
        <v>1</v>
      </c>
      <c r="C60676" s="0" t="s">
        <v>4001</v>
      </c>
      <c r="E60676" s="0" t="s">
        <v>206</v>
      </c>
      <c r="F60676" s="0" t="s">
        <v>7871</v>
      </c>
    </row>
    <row r="60677" customFormat="false" ht="12.8" hidden="false" customHeight="false" outlineLevel="0" collapsed="false">
      <c r="B60677" s="0" t="s">
        <v>18455</v>
      </c>
      <c r="C60677" s="0" t="s">
        <v>7873</v>
      </c>
      <c r="E60677" s="0" t="s">
        <v>7874</v>
      </c>
      <c r="F60677" s="0" t="s">
        <v>7875</v>
      </c>
    </row>
    <row r="60678" customFormat="false" ht="12.8" hidden="false" customHeight="false" outlineLevel="0" collapsed="false">
      <c r="B60678" s="0" t="s">
        <v>3067</v>
      </c>
      <c r="C60678" s="0" t="s">
        <v>7876</v>
      </c>
      <c r="E60678" s="0" t="s">
        <v>564</v>
      </c>
      <c r="F60678" s="0" t="s">
        <v>7877</v>
      </c>
    </row>
    <row r="60680" customFormat="false" ht="12.8" hidden="false" customHeight="false" outlineLevel="0" collapsed="false">
      <c r="A60680" s="0" t="s">
        <v>20414</v>
      </c>
      <c r="B60680" s="0" t="str">
        <f aca="false">HYPERLINK("https://lindat.mff.cuni.cz/services/teitok/pdtc10/index.php?action=vallex&amp;frame=v-w8528f1", "využít (v-w8528f1)")</f>
        <v>využít (v-w8528f1)</v>
      </c>
      <c r="E60680" s="0" t="str">
        <f aca="false">HYPERLINK("https://lindat.mff.cuni.cz/services/SynSemClass40/SynSemClass40.html?veclass=vec00079#vec00079-ces-cm00033", "vec00079")</f>
        <v>vec00079</v>
      </c>
      <c r="F60680" s="0" t="s">
        <v>166</v>
      </c>
      <c r="H60680" s="0" t="str">
        <f aca="false">HYPERLINK("https://lindat.mff.cuni.cz/services/SynSemClass40/SynSemClass40.html?veclass=vec00591#vec00591-ces-cm00025", "vec00591")</f>
        <v>vec00591</v>
      </c>
      <c r="I60680" s="0" t="s">
        <v>7158</v>
      </c>
    </row>
    <row r="60681" customFormat="false" ht="12.8" hidden="false" customHeight="false" outlineLevel="0" collapsed="false">
      <c r="B60681" s="0" t="s">
        <v>1</v>
      </c>
      <c r="C60681" s="0" t="s">
        <v>167</v>
      </c>
      <c r="E60681" s="0" t="s">
        <v>11</v>
      </c>
      <c r="F60681" s="0" t="s">
        <v>168</v>
      </c>
      <c r="H60681" s="0" t="s">
        <v>2005</v>
      </c>
      <c r="I60681" s="0" t="s">
        <v>7159</v>
      </c>
    </row>
    <row r="60682" customFormat="false" ht="12.8" hidden="false" customHeight="false" outlineLevel="0" collapsed="false">
      <c r="B60682" s="0" t="s">
        <v>20415</v>
      </c>
      <c r="C60682" s="0" t="s">
        <v>169</v>
      </c>
      <c r="E60682" s="0" t="s">
        <v>170</v>
      </c>
      <c r="F60682" s="0" t="s">
        <v>171</v>
      </c>
      <c r="H60682" s="0" t="s">
        <v>2007</v>
      </c>
      <c r="I60682" s="0" t="s">
        <v>7160</v>
      </c>
    </row>
    <row r="60684" customFormat="false" ht="12.8" hidden="false" customHeight="false" outlineLevel="0" collapsed="false">
      <c r="A60684" s="0" t="s">
        <v>20416</v>
      </c>
      <c r="B60684" s="0" t="str">
        <f aca="false">HYPERLINK("https://lindat.mff.cuni.cz/services/teitok/pdtc10/index.php?action=vallex&amp;frame=v-w8533f1", "využívat (v-w8533f1)")</f>
        <v>využívat (v-w8533f1)</v>
      </c>
      <c r="E60684" s="0" t="str">
        <f aca="false">HYPERLINK("https://lindat.mff.cuni.cz/services/SynSemClass40/SynSemClass40.html?veclass=vec00079#vec00079-ces-cm00034", "vec00079")</f>
        <v>vec00079</v>
      </c>
      <c r="F60684" s="0" t="s">
        <v>166</v>
      </c>
      <c r="H60684" s="0" t="str">
        <f aca="false">HYPERLINK("https://lindat.mff.cuni.cz/services/SynSemClass40/SynSemClass40.html?veclass=vec00591#vec00591-ces-cm00026", "vec00591")</f>
        <v>vec00591</v>
      </c>
      <c r="I60684" s="0" t="s">
        <v>7158</v>
      </c>
    </row>
    <row r="60685" customFormat="false" ht="12.8" hidden="false" customHeight="false" outlineLevel="0" collapsed="false">
      <c r="B60685" s="0" t="s">
        <v>1</v>
      </c>
      <c r="C60685" s="0" t="s">
        <v>167</v>
      </c>
      <c r="E60685" s="0" t="s">
        <v>11</v>
      </c>
      <c r="F60685" s="0" t="s">
        <v>168</v>
      </c>
      <c r="H60685" s="0" t="s">
        <v>2005</v>
      </c>
      <c r="I60685" s="0" t="s">
        <v>7159</v>
      </c>
    </row>
    <row r="60686" customFormat="false" ht="12.8" hidden="false" customHeight="false" outlineLevel="0" collapsed="false">
      <c r="B60686" s="0" t="s">
        <v>1356</v>
      </c>
      <c r="C60686" s="0" t="s">
        <v>169</v>
      </c>
      <c r="E60686" s="0" t="s">
        <v>170</v>
      </c>
      <c r="F60686" s="0" t="s">
        <v>171</v>
      </c>
      <c r="H60686" s="0" t="s">
        <v>2007</v>
      </c>
      <c r="I60686" s="0" t="s">
        <v>7160</v>
      </c>
    </row>
    <row r="60688" customFormat="false" ht="12.8" hidden="false" customHeight="false" outlineLevel="0" collapsed="false">
      <c r="A60688" s="0" t="s">
        <v>20417</v>
      </c>
      <c r="B60688" s="0" t="str">
        <f aca="false">HYPERLINK("https://lindat.mff.cuni.cz/services/teitok/pdtc10/index.php?action=vallex&amp;frame=v-w8533f2", "využívat (v-w8533f2)")</f>
        <v>využívat (v-w8533f2)</v>
      </c>
    </row>
    <row r="60689" customFormat="false" ht="12.8" hidden="false" customHeight="false" outlineLevel="0" collapsed="false">
      <c r="B60689" s="0" t="s">
        <v>1</v>
      </c>
    </row>
    <row r="60690" customFormat="false" ht="12.8" hidden="false" customHeight="false" outlineLevel="0" collapsed="false">
      <c r="B60690" s="0" t="s">
        <v>8</v>
      </c>
    </row>
    <row r="60692" customFormat="false" ht="12.8" hidden="false" customHeight="false" outlineLevel="0" collapsed="false">
      <c r="A60692" s="0" t="s">
        <v>20418</v>
      </c>
      <c r="B60692" s="0" t="str">
        <f aca="false">HYPERLINK("https://lindat.mff.cuni.cz/services/teitok/pdtc10/index.php?action=vallex&amp;frame=v-whsa_103hsa_104", "vyvalit (v-whsa_103hsa_104)")</f>
        <v>vyvalit (v-whsa_103hsa_104)</v>
      </c>
    </row>
    <row r="60693" customFormat="false" ht="12.8" hidden="false" customHeight="false" outlineLevel="0" collapsed="false">
      <c r="B60693" s="0" t="s">
        <v>1</v>
      </c>
    </row>
    <row r="60694" customFormat="false" ht="12.8" hidden="false" customHeight="false" outlineLevel="0" collapsed="false">
      <c r="B60694" s="0" t="s">
        <v>8</v>
      </c>
    </row>
    <row r="60696" customFormat="false" ht="12.8" hidden="false" customHeight="false" outlineLevel="0" collapsed="false">
      <c r="A60696" s="0" t="s">
        <v>20419</v>
      </c>
      <c r="B60696" s="0" t="str">
        <f aca="false">HYPERLINK("https://lindat.mff.cuni.cz/services/teitok/pdtc10/index.php?action=vallex&amp;frame=v-w8534f1", "vyvalit se (v-w8534f1)")</f>
        <v>vyvalit se (v-w8534f1)</v>
      </c>
    </row>
    <row r="60697" customFormat="false" ht="12.8" hidden="false" customHeight="false" outlineLevel="0" collapsed="false">
      <c r="B60697" s="0" t="s">
        <v>1</v>
      </c>
    </row>
    <row r="60698" customFormat="false" ht="12.8" hidden="false" customHeight="false" outlineLevel="0" collapsed="false">
      <c r="B60698" s="0" t="s">
        <v>763</v>
      </c>
    </row>
    <row r="60700" customFormat="false" ht="12.8" hidden="false" customHeight="false" outlineLevel="0" collapsed="false">
      <c r="A60700" s="0" t="s">
        <v>20420</v>
      </c>
      <c r="B60700" s="0" t="str">
        <f aca="false">HYPERLINK("https://lindat.mff.cuni.cz/services/teitok/pdtc10/index.php?action=vallex&amp;frame=v-w8534f2", "vyvalit se (v-w8534f2)")</f>
        <v>vyvalit se (v-w8534f2)</v>
      </c>
    </row>
    <row r="60701" customFormat="false" ht="12.8" hidden="false" customHeight="false" outlineLevel="0" collapsed="false">
      <c r="B60701" s="0" t="s">
        <v>1</v>
      </c>
    </row>
    <row r="60702" customFormat="false" ht="12.8" hidden="false" customHeight="false" outlineLevel="0" collapsed="false">
      <c r="B60702" s="0" t="s">
        <v>631</v>
      </c>
    </row>
    <row r="60704" customFormat="false" ht="12.8" hidden="false" customHeight="false" outlineLevel="0" collapsed="false">
      <c r="A60704" s="0" t="s">
        <v>20421</v>
      </c>
      <c r="B60704" s="0" t="str">
        <f aca="false">HYPERLINK("https://lindat.mff.cuni.cz/services/teitok/pdtc10/index.php?action=vallex&amp;frame=v-w8536f1", "vyvarovat se (v-w8536f1)")</f>
        <v>vyvarovat se (v-w8536f1)</v>
      </c>
      <c r="E60704" s="0" t="str">
        <f aca="false">HYPERLINK("https://lindat.mff.cuni.cz/services/SynSemClass40/SynSemClass40.html?veclass=vec00045#vec00045-ces-cm00010", "vec00045")</f>
        <v>vec00045</v>
      </c>
      <c r="F60704" s="0" t="s">
        <v>8307</v>
      </c>
    </row>
    <row r="60705" customFormat="false" ht="12.8" hidden="false" customHeight="false" outlineLevel="0" collapsed="false">
      <c r="B60705" s="0" t="s">
        <v>1</v>
      </c>
      <c r="C60705" s="0" t="s">
        <v>6471</v>
      </c>
      <c r="E60705" s="0" t="s">
        <v>2892</v>
      </c>
      <c r="F60705" s="0" t="s">
        <v>8308</v>
      </c>
    </row>
    <row r="60706" customFormat="false" ht="12.8" hidden="false" customHeight="false" outlineLevel="0" collapsed="false">
      <c r="B60706" s="0" t="s">
        <v>20422</v>
      </c>
      <c r="C60706" s="0" t="s">
        <v>8309</v>
      </c>
      <c r="E60706" s="0" t="s">
        <v>411</v>
      </c>
      <c r="F60706" s="0" t="s">
        <v>8310</v>
      </c>
    </row>
    <row r="60708" customFormat="false" ht="12.8" hidden="false" customHeight="false" outlineLevel="0" collapsed="false">
      <c r="A60708" s="0" t="s">
        <v>20423</v>
      </c>
      <c r="B60708" s="0" t="str">
        <f aca="false">HYPERLINK("https://lindat.mff.cuni.cz/services/teitok/pdtc10/index.php?action=vallex&amp;frame=v-w11098f2", "vyvařit (v-w11098f2)")</f>
        <v>vyvařit (v-w11098f2)</v>
      </c>
    </row>
    <row r="60709" customFormat="false" ht="12.8" hidden="false" customHeight="false" outlineLevel="0" collapsed="false">
      <c r="B60709" s="0" t="s">
        <v>1</v>
      </c>
    </row>
    <row r="60710" customFormat="false" ht="12.8" hidden="false" customHeight="false" outlineLevel="0" collapsed="false">
      <c r="B60710" s="0" t="s">
        <v>8</v>
      </c>
    </row>
    <row r="60712" customFormat="false" ht="12.8" hidden="false" customHeight="false" outlineLevel="0" collapsed="false">
      <c r="A60712" s="0" t="s">
        <v>20424</v>
      </c>
      <c r="B60712" s="0" t="str">
        <f aca="false">HYPERLINK("https://lindat.mff.cuni.cz/services/teitok/pdtc10/index.php?action=vallex&amp;frame=v-w11724_ZUf1_ZU", "vyvařovat (v-w11724_ZUf1_ZU)")</f>
        <v>vyvařovat (v-w11724_ZUf1_ZU)</v>
      </c>
    </row>
    <row r="60713" customFormat="false" ht="12.8" hidden="false" customHeight="false" outlineLevel="0" collapsed="false">
      <c r="B60713" s="0" t="s">
        <v>1</v>
      </c>
    </row>
    <row r="60714" customFormat="false" ht="12.8" hidden="false" customHeight="false" outlineLevel="0" collapsed="false">
      <c r="B60714" s="0" t="s">
        <v>8</v>
      </c>
    </row>
    <row r="60716" customFormat="false" ht="12.8" hidden="false" customHeight="false" outlineLevel="0" collapsed="false">
      <c r="A60716" s="0" t="s">
        <v>20425</v>
      </c>
      <c r="B60716" s="0" t="str">
        <f aca="false">HYPERLINK("https://lindat.mff.cuni.cz/services/teitok/pdtc10/index.php?action=vallex&amp;frame=v-w8541f1", "vyvažovat (v-w8541f1)")</f>
        <v>vyvažovat (v-w8541f1)</v>
      </c>
      <c r="E60716" s="0" t="str">
        <f aca="false">HYPERLINK("https://lindat.mff.cuni.cz/services/SynSemClass40/SynSemClass40.html?veclass=vec00356#vec00356-ces-cm00010", "vec00356")</f>
        <v>vec00356</v>
      </c>
      <c r="F60716" s="0" t="s">
        <v>5457</v>
      </c>
    </row>
    <row r="60717" customFormat="false" ht="12.8" hidden="false" customHeight="false" outlineLevel="0" collapsed="false">
      <c r="B60717" s="0" t="s">
        <v>1</v>
      </c>
      <c r="C60717" s="0" t="s">
        <v>5458</v>
      </c>
      <c r="E60717" s="0" t="s">
        <v>84</v>
      </c>
      <c r="F60717" s="0" t="s">
        <v>5459</v>
      </c>
    </row>
    <row r="60718" customFormat="false" ht="12.8" hidden="false" customHeight="false" outlineLevel="0" collapsed="false">
      <c r="B60718" s="0" t="s">
        <v>8</v>
      </c>
      <c r="C60718" s="0" t="s">
        <v>5460</v>
      </c>
      <c r="E60718" s="0" t="s">
        <v>4852</v>
      </c>
      <c r="F60718" s="0" t="s">
        <v>5461</v>
      </c>
    </row>
    <row r="60719" customFormat="false" ht="12.8" hidden="false" customHeight="false" outlineLevel="0" collapsed="false">
      <c r="B60719" s="0" t="s">
        <v>7045</v>
      </c>
      <c r="C60719" s="0" t="s">
        <v>13394</v>
      </c>
      <c r="E60719" s="0" t="s">
        <v>5445</v>
      </c>
      <c r="F60719" s="0" t="s">
        <v>20426</v>
      </c>
    </row>
    <row r="60721" customFormat="false" ht="12.8" hidden="false" customHeight="false" outlineLevel="0" collapsed="false">
      <c r="A60721" s="0" t="s">
        <v>20427</v>
      </c>
      <c r="B60721" s="0" t="str">
        <f aca="false">HYPERLINK("https://lindat.mff.cuni.cz/services/teitok/pdtc10/index.php?action=vallex&amp;frame=v-whsa_795hsa_796", "vyvdat (v-whsa_795hsa_796)")</f>
        <v>vyvdat (v-whsa_795hsa_796)</v>
      </c>
    </row>
    <row r="60722" customFormat="false" ht="12.8" hidden="false" customHeight="false" outlineLevel="0" collapsed="false">
      <c r="B60722" s="0" t="s">
        <v>1</v>
      </c>
    </row>
    <row r="60723" customFormat="false" ht="12.8" hidden="false" customHeight="false" outlineLevel="0" collapsed="false">
      <c r="B60723" s="0" t="s">
        <v>8</v>
      </c>
    </row>
    <row r="60724" customFormat="false" ht="12.8" hidden="false" customHeight="false" outlineLevel="0" collapsed="false">
      <c r="B60724" s="0" t="s">
        <v>2840</v>
      </c>
    </row>
    <row r="60726" customFormat="false" ht="12.8" hidden="false" customHeight="false" outlineLevel="0" collapsed="false">
      <c r="A60726" s="0" t="s">
        <v>20428</v>
      </c>
      <c r="B60726" s="0" t="str">
        <f aca="false">HYPERLINK("https://lindat.mff.cuni.cz/services/teitok/pdtc10/index.php?action=vallex&amp;frame=v-w8551f2", "vyvinout (v-w8551f2)")</f>
        <v>vyvinout (v-w8551f2)</v>
      </c>
      <c r="E60726" s="0" t="str">
        <f aca="false">HYPERLINK("https://lindat.mff.cuni.cz/services/SynSemClass40/SynSemClass40.html?veclass=vec00360#vec00360-ces-cm00001", "vec00360")</f>
        <v>vec00360</v>
      </c>
      <c r="F60726" s="0" t="s">
        <v>5330</v>
      </c>
    </row>
    <row r="60727" customFormat="false" ht="12.8" hidden="false" customHeight="false" outlineLevel="0" collapsed="false">
      <c r="B60727" s="0" t="s">
        <v>1</v>
      </c>
      <c r="C60727" s="0" t="s">
        <v>5331</v>
      </c>
      <c r="E60727" s="0" t="s">
        <v>768</v>
      </c>
      <c r="F60727" s="0" t="s">
        <v>5332</v>
      </c>
    </row>
    <row r="60728" customFormat="false" ht="12.8" hidden="false" customHeight="false" outlineLevel="0" collapsed="false">
      <c r="B60728" s="0" t="s">
        <v>8</v>
      </c>
      <c r="C60728" s="0" t="s">
        <v>5333</v>
      </c>
      <c r="E60728" s="0" t="s">
        <v>771</v>
      </c>
      <c r="F60728" s="0" t="s">
        <v>5334</v>
      </c>
    </row>
    <row r="60729" customFormat="false" ht="12.8" hidden="false" customHeight="false" outlineLevel="0" collapsed="false">
      <c r="B60729" s="0" t="s">
        <v>36</v>
      </c>
      <c r="C60729" s="0" t="s">
        <v>5335</v>
      </c>
      <c r="E60729" s="0" t="s">
        <v>787</v>
      </c>
      <c r="F60729" s="0" t="s">
        <v>5336</v>
      </c>
    </row>
    <row r="60731" customFormat="false" ht="12.8" hidden="false" customHeight="false" outlineLevel="0" collapsed="false">
      <c r="A60731" s="0" t="s">
        <v>20429</v>
      </c>
      <c r="B60731" s="0" t="str">
        <f aca="false">HYPERLINK("https://lindat.mff.cuni.cz/services/teitok/pdtc10/index.php?action=vallex&amp;frame=v-w8551f1", "vyvinout (v-w8551f1)")</f>
        <v>vyvinout (v-w8551f1)</v>
      </c>
      <c r="E60731" s="0" t="str">
        <f aca="false">HYPERLINK("https://lindat.mff.cuni.cz/services/SynSemClass40/SynSemClass40.html?veclass=vec01188#vec01188-ces-cm00257", "vec01188")</f>
        <v>vec01188</v>
      </c>
      <c r="F60731" s="0" t="s">
        <v>5481</v>
      </c>
    </row>
    <row r="60732" customFormat="false" ht="12.8" hidden="false" customHeight="false" outlineLevel="0" collapsed="false">
      <c r="B60732" s="0" t="s">
        <v>1</v>
      </c>
      <c r="C60732" s="0" t="s">
        <v>10802</v>
      </c>
      <c r="E60732" s="0" t="s">
        <v>31</v>
      </c>
      <c r="F60732" s="0" t="s">
        <v>5483</v>
      </c>
    </row>
    <row r="60733" customFormat="false" ht="12.8" hidden="false" customHeight="false" outlineLevel="0" collapsed="false">
      <c r="B60733" s="0" t="s">
        <v>20430</v>
      </c>
      <c r="C60733" s="0" t="s">
        <v>10804</v>
      </c>
      <c r="E60733" s="0" t="s">
        <v>3478</v>
      </c>
      <c r="F60733" s="0" t="s">
        <v>5488</v>
      </c>
    </row>
    <row r="60735" customFormat="false" ht="12.8" hidden="false" customHeight="false" outlineLevel="0" collapsed="false">
      <c r="A60735" s="0" t="s">
        <v>20431</v>
      </c>
      <c r="B60735" s="0" t="str">
        <f aca="false">HYPERLINK("https://lindat.mff.cuni.cz/services/teitok/pdtc10/index.php?action=vallex&amp;frame=v-w8552f1", "vyvinout se (v-w8552f1)")</f>
        <v>vyvinout se (v-w8552f1)</v>
      </c>
      <c r="E60735" s="0" t="str">
        <f aca="false">HYPERLINK("https://lindat.mff.cuni.cz/services/SynSemClass40/SynSemClass40.html?veclass=vec01132#vec01132-ces-cm00137", "vec01132")</f>
        <v>vec01132</v>
      </c>
      <c r="F60735" s="0" t="s">
        <v>6967</v>
      </c>
    </row>
    <row r="60736" customFormat="false" ht="12.8" hidden="false" customHeight="false" outlineLevel="0" collapsed="false">
      <c r="B60736" s="0" t="s">
        <v>1</v>
      </c>
      <c r="C60736" s="0" t="s">
        <v>6968</v>
      </c>
      <c r="E60736" s="0" t="s">
        <v>84</v>
      </c>
      <c r="F60736" s="0" t="s">
        <v>6969</v>
      </c>
    </row>
    <row r="60737" customFormat="false" ht="12.8" hidden="false" customHeight="false" outlineLevel="0" collapsed="false">
      <c r="B60737" s="0" t="s">
        <v>2715</v>
      </c>
      <c r="C60737" s="0" t="s">
        <v>6971</v>
      </c>
      <c r="E60737" s="0" t="s">
        <v>1592</v>
      </c>
      <c r="F60737" s="0" t="s">
        <v>6972</v>
      </c>
    </row>
    <row r="60738" customFormat="false" ht="12.8" hidden="false" customHeight="false" outlineLevel="0" collapsed="false">
      <c r="B60738" s="0" t="s">
        <v>36</v>
      </c>
      <c r="C60738" s="0" t="s">
        <v>6973</v>
      </c>
      <c r="E60738" s="0" t="s">
        <v>38</v>
      </c>
      <c r="F60738" s="0" t="s">
        <v>6974</v>
      </c>
    </row>
    <row r="60740" customFormat="false" ht="12.8" hidden="false" customHeight="false" outlineLevel="0" collapsed="false">
      <c r="A60740" s="0" t="s">
        <v>20432</v>
      </c>
      <c r="B60740" s="0" t="str">
        <f aca="false">HYPERLINK("https://lindat.mff.cuni.cz/services/teitok/pdtc10/index.php?action=vallex&amp;frame=v-w8552f2", "vyvinout se (v-w8552f2)")</f>
        <v>vyvinout se (v-w8552f2)</v>
      </c>
    </row>
    <row r="60741" customFormat="false" ht="12.8" hidden="false" customHeight="false" outlineLevel="0" collapsed="false">
      <c r="B60741" s="0" t="s">
        <v>1</v>
      </c>
    </row>
    <row r="60742" customFormat="false" ht="12.8" hidden="false" customHeight="false" outlineLevel="0" collapsed="false">
      <c r="B60742" s="0" t="s">
        <v>298</v>
      </c>
    </row>
    <row r="60744" customFormat="false" ht="12.8" hidden="false" customHeight="false" outlineLevel="0" collapsed="false">
      <c r="A60744" s="0" t="s">
        <v>20433</v>
      </c>
      <c r="B60744" s="0" t="str">
        <f aca="false">HYPERLINK("https://lindat.mff.cuni.cz/services/teitok/pdtc10/index.php?action=vallex&amp;frame=v-w8552f4_ZU", "vyvinout se (v-w8552f4_ZU)")</f>
        <v>vyvinout se (v-w8552f4_ZU)</v>
      </c>
      <c r="E60744" s="0" t="str">
        <f aca="false">HYPERLINK("https://lindat.mff.cuni.cz/services/SynSemClass40/SynSemClass40.html?veclass=vec00510#vec00510-ces-cm00032", "vec00510")</f>
        <v>vec00510</v>
      </c>
      <c r="F60744" s="0" t="s">
        <v>4074</v>
      </c>
    </row>
    <row r="60745" customFormat="false" ht="12.8" hidden="false" customHeight="false" outlineLevel="0" collapsed="false">
      <c r="B60745" s="0" t="s">
        <v>1</v>
      </c>
      <c r="C60745" s="0" t="s">
        <v>5871</v>
      </c>
      <c r="E60745" s="0" t="s">
        <v>84</v>
      </c>
      <c r="F60745" s="0" t="s">
        <v>4077</v>
      </c>
    </row>
    <row r="60747" customFormat="false" ht="12.8" hidden="false" customHeight="false" outlineLevel="0" collapsed="false">
      <c r="A60747" s="0" t="s">
        <v>20433</v>
      </c>
      <c r="B60747" s="0" t="str">
        <f aca="false">HYPERLINK("https://lindat.mff.cuni.cz/services/teitok/pdtc10/index.php?action=vallex&amp;frame=v-w8552f3_ZU", "vyvinout se (v-w8552f3_ZU) - substituted with v-w8552f4_ZU")</f>
        <v>vyvinout se (v-w8552f3_ZU) - substituted with v-w8552f4_ZU</v>
      </c>
    </row>
    <row r="60748" customFormat="false" ht="12.8" hidden="false" customHeight="false" outlineLevel="0" collapsed="false">
      <c r="B60748" s="0" t="s">
        <v>1</v>
      </c>
    </row>
    <row r="60750" customFormat="false" ht="12.8" hidden="false" customHeight="false" outlineLevel="0" collapsed="false">
      <c r="A60750" s="0" t="s">
        <v>20434</v>
      </c>
      <c r="B60750" s="0" t="str">
        <f aca="false">HYPERLINK("https://lindat.mff.cuni.cz/services/teitok/pdtc10/index.php?action=vallex&amp;frame=v-w8552hsa_190", "vyvinout se (v-w8552hsa_190)")</f>
        <v>vyvinout se (v-w8552hsa_190)</v>
      </c>
    </row>
    <row r="60751" customFormat="false" ht="12.8" hidden="false" customHeight="false" outlineLevel="0" collapsed="false">
      <c r="B60751" s="0" t="s">
        <v>1</v>
      </c>
    </row>
    <row r="60753" customFormat="false" ht="12.8" hidden="false" customHeight="false" outlineLevel="0" collapsed="false">
      <c r="A60753" s="0" t="s">
        <v>20435</v>
      </c>
      <c r="B60753" s="0" t="str">
        <f aca="false">HYPERLINK("https://lindat.mff.cuni.cz/services/teitok/pdtc10/index.php?action=vallex&amp;frame=v-w8554f1", "vyvlastnit (v-w8554f1)")</f>
        <v>vyvlastnit (v-w8554f1)</v>
      </c>
      <c r="E60753" s="0" t="str">
        <f aca="false">HYPERLINK("https://lindat.mff.cuni.cz/services/SynSemClass40/SynSemClass40.html?veclass=vec00569#vec00569-ces-cm00010", "vec00569")</f>
        <v>vec00569</v>
      </c>
      <c r="F60753" s="0" t="s">
        <v>5518</v>
      </c>
    </row>
    <row r="60754" customFormat="false" ht="12.8" hidden="false" customHeight="false" outlineLevel="0" collapsed="false">
      <c r="B60754" s="0" t="s">
        <v>1</v>
      </c>
      <c r="C60754" s="0" t="s">
        <v>4725</v>
      </c>
      <c r="E60754" s="0" t="s">
        <v>206</v>
      </c>
      <c r="F60754" s="0" t="s">
        <v>5519</v>
      </c>
    </row>
    <row r="60755" customFormat="false" ht="12.8" hidden="false" customHeight="false" outlineLevel="0" collapsed="false">
      <c r="B60755" s="0" t="s">
        <v>8</v>
      </c>
      <c r="C60755" s="0" t="s">
        <v>5520</v>
      </c>
      <c r="E60755" s="0" t="s">
        <v>5521</v>
      </c>
      <c r="F60755" s="0" t="s">
        <v>5522</v>
      </c>
    </row>
    <row r="60757" customFormat="false" ht="12.8" hidden="false" customHeight="false" outlineLevel="0" collapsed="false">
      <c r="A60757" s="0" t="s">
        <v>20436</v>
      </c>
      <c r="B60757" s="0" t="str">
        <f aca="false">HYPERLINK("https://lindat.mff.cuni.cz/services/teitok/pdtc10/index.php?action=vallex&amp;frame=v-w8554f2_ZU", "vyvlastnit (v-w8554f2_ZU)")</f>
        <v>vyvlastnit (v-w8554f2_ZU)</v>
      </c>
    </row>
    <row r="60758" customFormat="false" ht="12.8" hidden="false" customHeight="false" outlineLevel="0" collapsed="false">
      <c r="B60758" s="0" t="s">
        <v>1</v>
      </c>
    </row>
    <row r="60759" customFormat="false" ht="12.8" hidden="false" customHeight="false" outlineLevel="0" collapsed="false">
      <c r="B60759" s="0" t="s">
        <v>8</v>
      </c>
    </row>
    <row r="60761" customFormat="false" ht="12.8" hidden="false" customHeight="false" outlineLevel="0" collapsed="false">
      <c r="A60761" s="0" t="s">
        <v>20437</v>
      </c>
      <c r="B60761" s="0" t="str">
        <f aca="false">HYPERLINK("https://lindat.mff.cuni.cz/services/teitok/pdtc10/index.php?action=vallex&amp;frame=v-w11395f1", "vyvléci se (v-w11395f1)")</f>
        <v>vyvléci se (v-w11395f1)</v>
      </c>
      <c r="E60761" s="0" t="str">
        <f aca="false">HYPERLINK("https://lindat.mff.cuni.cz/services/SynSemClass40/SynSemClass40.html?veclass=vec01465#vec01465-ces-cm00008", "vec01465")</f>
        <v>vec01465</v>
      </c>
      <c r="F60761" s="0" t="s">
        <v>2890</v>
      </c>
    </row>
    <row r="60762" customFormat="false" ht="12.8" hidden="false" customHeight="false" outlineLevel="0" collapsed="false">
      <c r="B60762" s="0" t="s">
        <v>1</v>
      </c>
      <c r="C60762" s="0" t="s">
        <v>17834</v>
      </c>
      <c r="E60762" s="0" t="s">
        <v>2892</v>
      </c>
      <c r="F60762" s="0" t="s">
        <v>2894</v>
      </c>
    </row>
    <row r="60763" customFormat="false" ht="12.8" hidden="false" customHeight="false" outlineLevel="0" collapsed="false">
      <c r="B60763" s="0" t="s">
        <v>298</v>
      </c>
      <c r="C60763" s="0" t="s">
        <v>15707</v>
      </c>
      <c r="E60763" s="0" t="s">
        <v>411</v>
      </c>
      <c r="F60763" s="0" t="s">
        <v>19497</v>
      </c>
    </row>
    <row r="60765" customFormat="false" ht="12.8" hidden="false" customHeight="false" outlineLevel="0" collapsed="false">
      <c r="A60765" s="0" t="s">
        <v>20438</v>
      </c>
      <c r="B60765" s="0" t="str">
        <f aca="false">HYPERLINK("https://lindat.mff.cuni.cz/services/teitok/pdtc10/index.php?action=vallex&amp;frame=v-w8556f1", "vyvléknout se (v-w8556f1)")</f>
        <v>vyvléknout se (v-w8556f1)</v>
      </c>
    </row>
    <row r="60766" customFormat="false" ht="12.8" hidden="false" customHeight="false" outlineLevel="0" collapsed="false">
      <c r="B60766" s="0" t="s">
        <v>1</v>
      </c>
    </row>
    <row r="60767" customFormat="false" ht="12.8" hidden="false" customHeight="false" outlineLevel="0" collapsed="false">
      <c r="B60767" s="0" t="s">
        <v>298</v>
      </c>
    </row>
    <row r="60769" customFormat="false" ht="12.8" hidden="false" customHeight="false" outlineLevel="0" collapsed="false">
      <c r="A60769" s="0" t="s">
        <v>20439</v>
      </c>
      <c r="B60769" s="0" t="str">
        <f aca="false">HYPERLINK("https://lindat.mff.cuni.cz/services/teitok/pdtc10/index.php?action=vallex&amp;frame=v-w8556f2", "vyvléknout se (v-w8556f2)")</f>
        <v>vyvléknout se (v-w8556f2)</v>
      </c>
    </row>
    <row r="60770" customFormat="false" ht="12.8" hidden="false" customHeight="false" outlineLevel="0" collapsed="false">
      <c r="B60770" s="0" t="s">
        <v>1</v>
      </c>
    </row>
    <row r="60771" customFormat="false" ht="12.8" hidden="false" customHeight="false" outlineLevel="0" collapsed="false">
      <c r="B60771" s="0" t="s">
        <v>631</v>
      </c>
    </row>
    <row r="60773" customFormat="false" ht="12.8" hidden="false" customHeight="false" outlineLevel="0" collapsed="false">
      <c r="A60773" s="0" t="s">
        <v>20440</v>
      </c>
      <c r="B60773" s="0" t="str">
        <f aca="false">HYPERLINK("https://lindat.mff.cuni.cz/services/teitok/pdtc10/index.php?action=vallex&amp;frame=v-whsa_765hsa_766", "vyvlíknout se (v-whsa_765hsa_766)")</f>
        <v>vyvlíknout se (v-whsa_765hsa_766)</v>
      </c>
    </row>
    <row r="60774" customFormat="false" ht="12.8" hidden="false" customHeight="false" outlineLevel="0" collapsed="false">
      <c r="B60774" s="0" t="s">
        <v>1</v>
      </c>
    </row>
    <row r="60775" customFormat="false" ht="12.8" hidden="false" customHeight="false" outlineLevel="0" collapsed="false">
      <c r="B60775" s="0" t="s">
        <v>631</v>
      </c>
    </row>
    <row r="60777" customFormat="false" ht="12.8" hidden="false" customHeight="false" outlineLevel="0" collapsed="false">
      <c r="A60777" s="0" t="s">
        <v>20441</v>
      </c>
      <c r="B60777" s="0" t="str">
        <f aca="false">HYPERLINK("https://lindat.mff.cuni.cz/services/teitok/pdtc10/index.php?action=vallex&amp;frame=v-w8557f1", "vyvodit (v-w8557f1)")</f>
        <v>vyvodit (v-w8557f1)</v>
      </c>
      <c r="E60777" s="0" t="str">
        <f aca="false">HYPERLINK("https://lindat.mff.cuni.cz/services/SynSemClass40/SynSemClass40.html?veclass=vec01361#vec01361-ces-cm00002", "vec01361")</f>
        <v>vec01361</v>
      </c>
      <c r="F60777" s="0" t="s">
        <v>2781</v>
      </c>
    </row>
    <row r="60778" customFormat="false" ht="12.8" hidden="false" customHeight="false" outlineLevel="0" collapsed="false">
      <c r="B60778" s="0" t="s">
        <v>1</v>
      </c>
      <c r="C60778" s="0" t="s">
        <v>18117</v>
      </c>
      <c r="E60778" s="0" t="s">
        <v>621</v>
      </c>
      <c r="F60778" s="0" t="s">
        <v>2783</v>
      </c>
    </row>
    <row r="60779" customFormat="false" ht="12.8" hidden="false" customHeight="false" outlineLevel="0" collapsed="false">
      <c r="B60779" s="0" t="s">
        <v>14422</v>
      </c>
      <c r="C60779" s="0" t="s">
        <v>18118</v>
      </c>
      <c r="E60779" s="0" t="s">
        <v>2138</v>
      </c>
      <c r="F60779" s="0" t="s">
        <v>2785</v>
      </c>
    </row>
    <row r="60780" customFormat="false" ht="12.8" hidden="false" customHeight="false" outlineLevel="0" collapsed="false">
      <c r="B60780" s="0" t="s">
        <v>20442</v>
      </c>
      <c r="E60780" s="0" t="s">
        <v>2176</v>
      </c>
      <c r="F60780" s="0" t="s">
        <v>2807</v>
      </c>
    </row>
    <row r="60782" customFormat="false" ht="12.8" hidden="false" customHeight="false" outlineLevel="0" collapsed="false">
      <c r="A60782" s="0" t="s">
        <v>20443</v>
      </c>
      <c r="B60782" s="0" t="str">
        <f aca="false">HYPERLINK("https://lindat.mff.cuni.cz/services/teitok/pdtc10/index.php?action=vallex&amp;frame=v-w8557f2", "vyvodit (v-w8557f2)")</f>
        <v>vyvodit (v-w8557f2)</v>
      </c>
      <c r="E60782" s="0" t="str">
        <f aca="false">HYPERLINK("https://lindat.mff.cuni.cz/services/SynSemClass40/SynSemClass40.html?veclass=vec00032#vec00032-ces-cm00149", "vec00032")</f>
        <v>vec00032</v>
      </c>
      <c r="F60782" s="0" t="s">
        <v>911</v>
      </c>
    </row>
    <row r="60783" customFormat="false" ht="12.8" hidden="false" customHeight="false" outlineLevel="0" collapsed="false">
      <c r="B60783" s="0" t="s">
        <v>1</v>
      </c>
      <c r="C60783" s="0" t="s">
        <v>2485</v>
      </c>
      <c r="E60783" s="0" t="s">
        <v>914</v>
      </c>
      <c r="F60783" s="0" t="s">
        <v>915</v>
      </c>
    </row>
    <row r="60784" customFormat="false" ht="12.8" hidden="false" customHeight="false" outlineLevel="0" collapsed="false">
      <c r="B60784" s="0" t="s">
        <v>9420</v>
      </c>
      <c r="C60784" s="0" t="s">
        <v>2487</v>
      </c>
      <c r="E60784" s="0" t="s">
        <v>626</v>
      </c>
      <c r="F60784" s="0" t="s">
        <v>2488</v>
      </c>
    </row>
    <row r="60785" customFormat="false" ht="12.8" hidden="false" customHeight="false" outlineLevel="0" collapsed="false">
      <c r="B60785" s="0" t="s">
        <v>496</v>
      </c>
      <c r="C60785" s="0" t="s">
        <v>2489</v>
      </c>
      <c r="E60785" s="0" t="s">
        <v>180</v>
      </c>
      <c r="F60785" s="0" t="s">
        <v>2490</v>
      </c>
    </row>
    <row r="60787" customFormat="false" ht="12.8" hidden="false" customHeight="false" outlineLevel="0" collapsed="false">
      <c r="A60787" s="0" t="s">
        <v>20444</v>
      </c>
      <c r="B60787" s="0" t="str">
        <f aca="false">HYPERLINK("https://lindat.mff.cuni.cz/services/teitok/pdtc10/index.php?action=vallex&amp;frame=v-w8561f12_ZU", "vyvolat (v-w8561f12_ZU)")</f>
        <v>vyvolat (v-w8561f12_ZU)</v>
      </c>
      <c r="E60787" s="0" t="str">
        <f aca="false">HYPERLINK("https://lindat.mff.cuni.cz/services/SynSemClass40/SynSemClass40.html?veclass=vec00196#vec00196-ces-cm00210", "vec00196")</f>
        <v>vec00196</v>
      </c>
      <c r="F60787" s="0" t="s">
        <v>749</v>
      </c>
    </row>
    <row r="60788" customFormat="false" ht="12.8" hidden="false" customHeight="false" outlineLevel="0" collapsed="false">
      <c r="B60788" s="0" t="s">
        <v>1</v>
      </c>
      <c r="C60788" s="0" t="s">
        <v>750</v>
      </c>
      <c r="E60788" s="0" t="s">
        <v>76</v>
      </c>
      <c r="F60788" s="0" t="s">
        <v>751</v>
      </c>
    </row>
    <row r="60789" customFormat="false" ht="12.8" hidden="false" customHeight="false" outlineLevel="0" collapsed="false">
      <c r="B60789" s="0" t="s">
        <v>8</v>
      </c>
      <c r="C60789" s="0" t="s">
        <v>6686</v>
      </c>
      <c r="E60789" s="0" t="s">
        <v>6358</v>
      </c>
      <c r="F60789" s="0" t="s">
        <v>6645</v>
      </c>
    </row>
    <row r="60791" customFormat="false" ht="12.8" hidden="false" customHeight="false" outlineLevel="0" collapsed="false">
      <c r="A60791" s="0" t="s">
        <v>20444</v>
      </c>
      <c r="B60791" s="0" t="str">
        <f aca="false">HYPERLINK("https://lindat.mff.cuni.cz/services/teitok/pdtc10/index.php?action=vallex&amp;frame=v-w8561f1", "vyvolat (v-w8561f1) - substituted with v-w8561f12_ZU")</f>
        <v>vyvolat (v-w8561f1) - substituted with v-w8561f12_ZU</v>
      </c>
    </row>
    <row r="60792" customFormat="false" ht="12.8" hidden="false" customHeight="false" outlineLevel="0" collapsed="false">
      <c r="B60792" s="0" t="s">
        <v>1</v>
      </c>
    </row>
    <row r="60793" customFormat="false" ht="12.8" hidden="false" customHeight="false" outlineLevel="0" collapsed="false">
      <c r="B60793" s="0" t="s">
        <v>8</v>
      </c>
    </row>
    <row r="60795" customFormat="false" ht="12.8" hidden="false" customHeight="false" outlineLevel="0" collapsed="false">
      <c r="A60795" s="0" t="s">
        <v>20445</v>
      </c>
      <c r="B60795" s="0" t="str">
        <f aca="false">HYPERLINK("https://lindat.mff.cuni.cz/services/teitok/pdtc10/index.php?action=vallex&amp;frame=v-w8561f3", "vyvolat (v-w8561f3)")</f>
        <v>vyvolat (v-w8561f3)</v>
      </c>
    </row>
    <row r="60796" customFormat="false" ht="12.8" hidden="false" customHeight="false" outlineLevel="0" collapsed="false">
      <c r="B60796" s="0" t="s">
        <v>1</v>
      </c>
    </row>
    <row r="60797" customFormat="false" ht="12.8" hidden="false" customHeight="false" outlineLevel="0" collapsed="false">
      <c r="B60797" s="0" t="s">
        <v>8</v>
      </c>
    </row>
    <row r="60799" customFormat="false" ht="12.8" hidden="false" customHeight="false" outlineLevel="0" collapsed="false">
      <c r="A60799" s="0" t="s">
        <v>20446</v>
      </c>
      <c r="B60799" s="0" t="str">
        <f aca="false">HYPERLINK("https://lindat.mff.cuni.cz/services/teitok/pdtc10/index.php?action=vallex&amp;frame=v-w8561f4", "vyvolat (v-w8561f4)")</f>
        <v>vyvolat (v-w8561f4)</v>
      </c>
    </row>
    <row r="60800" customFormat="false" ht="12.8" hidden="false" customHeight="false" outlineLevel="0" collapsed="false">
      <c r="B60800" s="0" t="s">
        <v>1</v>
      </c>
    </row>
    <row r="60801" customFormat="false" ht="12.8" hidden="false" customHeight="false" outlineLevel="0" collapsed="false">
      <c r="B60801" s="0" t="s">
        <v>8</v>
      </c>
    </row>
    <row r="60803" customFormat="false" ht="12.8" hidden="false" customHeight="false" outlineLevel="0" collapsed="false">
      <c r="A60803" s="0" t="s">
        <v>20447</v>
      </c>
      <c r="B60803" s="0" t="str">
        <f aca="false">HYPERLINK("https://lindat.mff.cuni.cz/services/teitok/pdtc10/index.php?action=vallex&amp;frame=v-w8561f13_ZU", "vyvolat (v-w8561f13_ZU)")</f>
        <v>vyvolat (v-w8561f13_ZU)</v>
      </c>
      <c r="E60803" s="0" t="str">
        <f aca="false">HYPERLINK("https://lindat.mff.cuni.cz/services/SynSemClass40/SynSemClass40.html?veclass=vec00196#vec00196-ces-cm00211", "vec00196")</f>
        <v>vec00196</v>
      </c>
      <c r="F60803" s="0" t="s">
        <v>749</v>
      </c>
    </row>
    <row r="60804" customFormat="false" ht="12.8" hidden="false" customHeight="false" outlineLevel="0" collapsed="false">
      <c r="B60804" s="0" t="s">
        <v>629</v>
      </c>
      <c r="C60804" s="0" t="s">
        <v>750</v>
      </c>
      <c r="E60804" s="0" t="s">
        <v>76</v>
      </c>
      <c r="F60804" s="0" t="s">
        <v>751</v>
      </c>
    </row>
    <row r="60805" customFormat="false" ht="12.8" hidden="false" customHeight="false" outlineLevel="0" collapsed="false">
      <c r="B60805" s="0" t="s">
        <v>20448</v>
      </c>
      <c r="C60805" s="0" t="s">
        <v>753</v>
      </c>
      <c r="E60805" s="0" t="s">
        <v>754</v>
      </c>
      <c r="F60805" s="0" t="s">
        <v>755</v>
      </c>
    </row>
    <row r="60806" customFormat="false" ht="12.8" hidden="false" customHeight="false" outlineLevel="0" collapsed="false">
      <c r="B60806" s="0" t="s">
        <v>5</v>
      </c>
      <c r="C60806" s="0" t="s">
        <v>756</v>
      </c>
      <c r="E60806" s="0" t="s">
        <v>757</v>
      </c>
      <c r="F60806" s="0" t="s">
        <v>758</v>
      </c>
    </row>
    <row r="60808" customFormat="false" ht="12.8" hidden="false" customHeight="false" outlineLevel="0" collapsed="false">
      <c r="A60808" s="0" t="s">
        <v>20447</v>
      </c>
      <c r="B60808" s="0" t="str">
        <f aca="false">HYPERLINK("https://lindat.mff.cuni.cz/services/teitok/pdtc10/index.php?action=vallex&amp;frame=v-w8561f10_ZU", "vyvolat (v-w8561f10_ZU) - substituted with v-w8561f13_ZU")</f>
        <v>vyvolat (v-w8561f10_ZU) - substituted with v-w8561f13_ZU</v>
      </c>
    </row>
    <row r="60809" customFormat="false" ht="12.8" hidden="false" customHeight="false" outlineLevel="0" collapsed="false">
      <c r="B60809" s="0" t="s">
        <v>629</v>
      </c>
    </row>
    <row r="60810" customFormat="false" ht="12.8" hidden="false" customHeight="false" outlineLevel="0" collapsed="false">
      <c r="B60810" s="0" t="s">
        <v>20448</v>
      </c>
    </row>
    <row r="60811" customFormat="false" ht="12.8" hidden="false" customHeight="false" outlineLevel="0" collapsed="false">
      <c r="B60811" s="0" t="s">
        <v>5</v>
      </c>
    </row>
    <row r="60813" customFormat="false" ht="12.8" hidden="false" customHeight="false" outlineLevel="0" collapsed="false">
      <c r="A60813" s="0" t="s">
        <v>20447</v>
      </c>
      <c r="B60813" s="0" t="str">
        <f aca="false">HYPERLINK("https://lindat.mff.cuni.cz/services/teitok/pdtc10/index.php?action=vallex&amp;frame=v-w8561f11_ZU", "vyvolat (v-w8561f11_ZU) - substituted with v-w8561f13_ZU")</f>
        <v>vyvolat (v-w8561f11_ZU) - substituted with v-w8561f13_ZU</v>
      </c>
    </row>
    <row r="60814" customFormat="false" ht="12.8" hidden="false" customHeight="false" outlineLevel="0" collapsed="false">
      <c r="B60814" s="0" t="s">
        <v>629</v>
      </c>
    </row>
    <row r="60815" customFormat="false" ht="12.8" hidden="false" customHeight="false" outlineLevel="0" collapsed="false">
      <c r="B60815" s="0" t="s">
        <v>20448</v>
      </c>
    </row>
    <row r="60816" customFormat="false" ht="12.8" hidden="false" customHeight="false" outlineLevel="0" collapsed="false">
      <c r="B60816" s="0" t="s">
        <v>5</v>
      </c>
    </row>
    <row r="60818" customFormat="false" ht="12.8" hidden="false" customHeight="false" outlineLevel="0" collapsed="false">
      <c r="A60818" s="0" t="s">
        <v>20447</v>
      </c>
      <c r="B60818" s="0" t="str">
        <f aca="false">HYPERLINK("https://lindat.mff.cuni.cz/services/teitok/pdtc10/index.php?action=vallex&amp;frame=v-w8561f2", "vyvolat (v-w8561f2) - substituted with v-w8561f13_ZU")</f>
        <v>vyvolat (v-w8561f2) - substituted with v-w8561f13_ZU</v>
      </c>
    </row>
    <row r="60819" customFormat="false" ht="12.8" hidden="false" customHeight="false" outlineLevel="0" collapsed="false">
      <c r="B60819" s="0" t="s">
        <v>629</v>
      </c>
    </row>
    <row r="60820" customFormat="false" ht="12.8" hidden="false" customHeight="false" outlineLevel="0" collapsed="false">
      <c r="B60820" s="0" t="s">
        <v>20448</v>
      </c>
    </row>
    <row r="60821" customFormat="false" ht="12.8" hidden="false" customHeight="false" outlineLevel="0" collapsed="false">
      <c r="B60821" s="0" t="s">
        <v>5</v>
      </c>
    </row>
    <row r="60823" customFormat="false" ht="12.8" hidden="false" customHeight="false" outlineLevel="0" collapsed="false">
      <c r="A60823" s="0" t="s">
        <v>20447</v>
      </c>
      <c r="B60823" s="0" t="str">
        <f aca="false">HYPERLINK("https://lindat.mff.cuni.cz/services/teitok/pdtc10/index.php?action=vallex&amp;frame=v-w8561f5_ZU", "vyvolat (v-w8561f5_ZU) - substituted with v-w8561f13_ZU")</f>
        <v>vyvolat (v-w8561f5_ZU) - substituted with v-w8561f13_ZU</v>
      </c>
    </row>
    <row r="60824" customFormat="false" ht="12.8" hidden="false" customHeight="false" outlineLevel="0" collapsed="false">
      <c r="B60824" s="0" t="s">
        <v>629</v>
      </c>
    </row>
    <row r="60825" customFormat="false" ht="12.8" hidden="false" customHeight="false" outlineLevel="0" collapsed="false">
      <c r="B60825" s="0" t="s">
        <v>20448</v>
      </c>
    </row>
    <row r="60826" customFormat="false" ht="12.8" hidden="false" customHeight="false" outlineLevel="0" collapsed="false">
      <c r="B60826" s="0" t="s">
        <v>5</v>
      </c>
    </row>
    <row r="60828" customFormat="false" ht="12.8" hidden="false" customHeight="false" outlineLevel="0" collapsed="false">
      <c r="A60828" s="0" t="s">
        <v>20447</v>
      </c>
      <c r="B60828" s="0" t="str">
        <f aca="false">HYPERLINK("https://lindat.mff.cuni.cz/services/teitok/pdtc10/index.php?action=vallex&amp;frame=v-w8561f6_ZU", "vyvolat (v-w8561f6_ZU) - substituted with v-w8561f13_ZU")</f>
        <v>vyvolat (v-w8561f6_ZU) - substituted with v-w8561f13_ZU</v>
      </c>
    </row>
    <row r="60829" customFormat="false" ht="12.8" hidden="false" customHeight="false" outlineLevel="0" collapsed="false">
      <c r="B60829" s="0" t="s">
        <v>629</v>
      </c>
    </row>
    <row r="60830" customFormat="false" ht="12.8" hidden="false" customHeight="false" outlineLevel="0" collapsed="false">
      <c r="B60830" s="0" t="s">
        <v>20448</v>
      </c>
    </row>
    <row r="60831" customFormat="false" ht="12.8" hidden="false" customHeight="false" outlineLevel="0" collapsed="false">
      <c r="B60831" s="0" t="s">
        <v>5</v>
      </c>
    </row>
    <row r="60833" customFormat="false" ht="12.8" hidden="false" customHeight="false" outlineLevel="0" collapsed="false">
      <c r="A60833" s="0" t="s">
        <v>20447</v>
      </c>
      <c r="B60833" s="0" t="str">
        <f aca="false">HYPERLINK("https://lindat.mff.cuni.cz/services/teitok/pdtc10/index.php?action=vallex&amp;frame=v-w8561f7_ZU", "vyvolat (v-w8561f7_ZU) - substituted with v-w8561f13_ZU")</f>
        <v>vyvolat (v-w8561f7_ZU) - substituted with v-w8561f13_ZU</v>
      </c>
    </row>
    <row r="60834" customFormat="false" ht="12.8" hidden="false" customHeight="false" outlineLevel="0" collapsed="false">
      <c r="B60834" s="0" t="s">
        <v>629</v>
      </c>
    </row>
    <row r="60835" customFormat="false" ht="12.8" hidden="false" customHeight="false" outlineLevel="0" collapsed="false">
      <c r="B60835" s="0" t="s">
        <v>20448</v>
      </c>
    </row>
    <row r="60836" customFormat="false" ht="12.8" hidden="false" customHeight="false" outlineLevel="0" collapsed="false">
      <c r="B60836" s="0" t="s">
        <v>5</v>
      </c>
    </row>
    <row r="60838" customFormat="false" ht="12.8" hidden="false" customHeight="false" outlineLevel="0" collapsed="false">
      <c r="A60838" s="0" t="s">
        <v>20447</v>
      </c>
      <c r="B60838" s="0" t="str">
        <f aca="false">HYPERLINK("https://lindat.mff.cuni.cz/services/teitok/pdtc10/index.php?action=vallex&amp;frame=v-w8561f8_ZU", "vyvolat (v-w8561f8_ZU) - substituted with v-w8561f13_ZU")</f>
        <v>vyvolat (v-w8561f8_ZU) - substituted with v-w8561f13_ZU</v>
      </c>
    </row>
    <row r="60839" customFormat="false" ht="12.8" hidden="false" customHeight="false" outlineLevel="0" collapsed="false">
      <c r="B60839" s="0" t="s">
        <v>629</v>
      </c>
    </row>
    <row r="60840" customFormat="false" ht="12.8" hidden="false" customHeight="false" outlineLevel="0" collapsed="false">
      <c r="B60840" s="0" t="s">
        <v>20448</v>
      </c>
    </row>
    <row r="60841" customFormat="false" ht="12.8" hidden="false" customHeight="false" outlineLevel="0" collapsed="false">
      <c r="B60841" s="0" t="s">
        <v>5</v>
      </c>
    </row>
    <row r="60843" customFormat="false" ht="12.8" hidden="false" customHeight="false" outlineLevel="0" collapsed="false">
      <c r="A60843" s="0" t="s">
        <v>20447</v>
      </c>
      <c r="B60843" s="0" t="str">
        <f aca="false">HYPERLINK("https://lindat.mff.cuni.cz/services/teitok/pdtc10/index.php?action=vallex&amp;frame=v-w8561f9_ZU", "vyvolat (v-w8561f9_ZU) - substituted with v-w8561f13_ZU")</f>
        <v>vyvolat (v-w8561f9_ZU) - substituted with v-w8561f13_ZU</v>
      </c>
    </row>
    <row r="60844" customFormat="false" ht="12.8" hidden="false" customHeight="false" outlineLevel="0" collapsed="false">
      <c r="B60844" s="0" t="s">
        <v>629</v>
      </c>
    </row>
    <row r="60845" customFormat="false" ht="12.8" hidden="false" customHeight="false" outlineLevel="0" collapsed="false">
      <c r="B60845" s="0" t="s">
        <v>20448</v>
      </c>
    </row>
    <row r="60846" customFormat="false" ht="12.8" hidden="false" customHeight="false" outlineLevel="0" collapsed="false">
      <c r="B60846" s="0" t="s">
        <v>5</v>
      </c>
    </row>
    <row r="60848" customFormat="false" ht="12.8" hidden="false" customHeight="false" outlineLevel="0" collapsed="false">
      <c r="A60848" s="0" t="s">
        <v>20447</v>
      </c>
      <c r="B60848" s="0" t="str">
        <f aca="false">HYPERLINK("https://lindat.mff.cuni.cz/services/teitok/pdtc10/index.php?action=vallex&amp;frame=v-w8561hsa_638", "vyvolat (v-w8561hsa_638) - substituted with v-w8561f13_ZU")</f>
        <v>vyvolat (v-w8561hsa_638) - substituted with v-w8561f13_ZU</v>
      </c>
    </row>
    <row r="60849" customFormat="false" ht="12.8" hidden="false" customHeight="false" outlineLevel="0" collapsed="false">
      <c r="B60849" s="0" t="s">
        <v>629</v>
      </c>
    </row>
    <row r="60850" customFormat="false" ht="12.8" hidden="false" customHeight="false" outlineLevel="0" collapsed="false">
      <c r="B60850" s="0" t="s">
        <v>20448</v>
      </c>
    </row>
    <row r="60851" customFormat="false" ht="12.8" hidden="false" customHeight="false" outlineLevel="0" collapsed="false">
      <c r="B60851" s="0" t="s">
        <v>5</v>
      </c>
    </row>
    <row r="60853" customFormat="false" ht="12.8" hidden="false" customHeight="false" outlineLevel="0" collapsed="false">
      <c r="A60853" s="0" t="s">
        <v>20449</v>
      </c>
      <c r="B60853" s="0" t="str">
        <f aca="false">HYPERLINK("https://lindat.mff.cuni.cz/services/teitok/pdtc10/index.php?action=vallex&amp;frame=v-w8561hsa_637", "vyvolat (v-w8561hsa_637)")</f>
        <v>vyvolat (v-w8561hsa_637)</v>
      </c>
    </row>
    <row r="60854" customFormat="false" ht="12.8" hidden="false" customHeight="false" outlineLevel="0" collapsed="false">
      <c r="B60854" s="0" t="s">
        <v>1</v>
      </c>
    </row>
    <row r="60855" customFormat="false" ht="12.8" hidden="false" customHeight="false" outlineLevel="0" collapsed="false">
      <c r="B60855" s="0" t="s">
        <v>8</v>
      </c>
    </row>
    <row r="60857" customFormat="false" ht="12.8" hidden="false" customHeight="false" outlineLevel="0" collapsed="false">
      <c r="A60857" s="0" t="s">
        <v>20450</v>
      </c>
      <c r="B60857" s="0" t="str">
        <f aca="false">HYPERLINK("https://lindat.mff.cuni.cz/services/teitok/pdtc10/index.php?action=vallex&amp;frame=v-w8561f14_ZU", "vyvolat (v-w8561f14_ZU)")</f>
        <v>vyvolat (v-w8561f14_ZU)</v>
      </c>
    </row>
    <row r="60858" customFormat="false" ht="12.8" hidden="false" customHeight="false" outlineLevel="0" collapsed="false">
      <c r="B60858" s="0" t="s">
        <v>1</v>
      </c>
    </row>
    <row r="60859" customFormat="false" ht="12.8" hidden="false" customHeight="false" outlineLevel="0" collapsed="false">
      <c r="B60859" s="0" t="s">
        <v>59</v>
      </c>
    </row>
    <row r="60861" customFormat="false" ht="12.8" hidden="false" customHeight="false" outlineLevel="0" collapsed="false">
      <c r="A60861" s="0" t="s">
        <v>20451</v>
      </c>
      <c r="B60861" s="0" t="str">
        <f aca="false">HYPERLINK("https://lindat.mff.cuni.cz/services/teitok/pdtc10/index.php?action=vallex&amp;frame=v-w8565f4", "vyvolávat (v-w8565f4)")</f>
        <v>vyvolávat (v-w8565f4)</v>
      </c>
    </row>
    <row r="60862" customFormat="false" ht="12.8" hidden="false" customHeight="false" outlineLevel="0" collapsed="false">
      <c r="B60862" s="0" t="s">
        <v>629</v>
      </c>
    </row>
    <row r="60863" customFormat="false" ht="12.8" hidden="false" customHeight="false" outlineLevel="0" collapsed="false">
      <c r="B60863" s="0" t="s">
        <v>8</v>
      </c>
    </row>
    <row r="60865" customFormat="false" ht="12.8" hidden="false" customHeight="false" outlineLevel="0" collapsed="false">
      <c r="A60865" s="0" t="s">
        <v>20452</v>
      </c>
      <c r="B60865" s="0" t="str">
        <f aca="false">HYPERLINK("https://lindat.mff.cuni.cz/services/teitok/pdtc10/index.php?action=vallex&amp;frame=v-w8565f1", "vyvolávat (v-w8565f1)")</f>
        <v>vyvolávat (v-w8565f1)</v>
      </c>
      <c r="E60865" s="0" t="str">
        <f aca="false">HYPERLINK("https://lindat.mff.cuni.cz/services/SynSemClass40/SynSemClass40.html?veclass=vec00196#vec00196-ces-cm00212", "vec00196")</f>
        <v>vec00196</v>
      </c>
      <c r="F60865" s="0" t="s">
        <v>749</v>
      </c>
    </row>
    <row r="60866" customFormat="false" ht="12.8" hidden="false" customHeight="false" outlineLevel="0" collapsed="false">
      <c r="B60866" s="0" t="s">
        <v>1</v>
      </c>
      <c r="C60866" s="0" t="s">
        <v>750</v>
      </c>
      <c r="E60866" s="0" t="s">
        <v>76</v>
      </c>
      <c r="F60866" s="0" t="s">
        <v>751</v>
      </c>
    </row>
    <row r="60867" customFormat="false" ht="12.8" hidden="false" customHeight="false" outlineLevel="0" collapsed="false">
      <c r="B60867" s="0" t="s">
        <v>8</v>
      </c>
      <c r="C60867" s="0" t="s">
        <v>6686</v>
      </c>
      <c r="E60867" s="0" t="s">
        <v>6358</v>
      </c>
      <c r="F60867" s="0" t="s">
        <v>6645</v>
      </c>
    </row>
    <row r="60869" customFormat="false" ht="12.8" hidden="false" customHeight="false" outlineLevel="0" collapsed="false">
      <c r="A60869" s="0" t="s">
        <v>20453</v>
      </c>
      <c r="B60869" s="0" t="str">
        <f aca="false">HYPERLINK("https://lindat.mff.cuni.cz/services/teitok/pdtc10/index.php?action=vallex&amp;frame=v-w8565f10_ZU", "vyvolávat (v-w8565f10_ZU)")</f>
        <v>vyvolávat (v-w8565f10_ZU)</v>
      </c>
    </row>
    <row r="60870" customFormat="false" ht="12.8" hidden="false" customHeight="false" outlineLevel="0" collapsed="false">
      <c r="B60870" s="0" t="s">
        <v>629</v>
      </c>
    </row>
    <row r="60871" customFormat="false" ht="12.8" hidden="false" customHeight="false" outlineLevel="0" collapsed="false">
      <c r="B60871" s="0" t="s">
        <v>20454</v>
      </c>
    </row>
    <row r="60872" customFormat="false" ht="12.8" hidden="false" customHeight="false" outlineLevel="0" collapsed="false">
      <c r="B60872" s="0" t="s">
        <v>5</v>
      </c>
    </row>
    <row r="60874" customFormat="false" ht="12.8" hidden="false" customHeight="false" outlineLevel="0" collapsed="false">
      <c r="A60874" s="0" t="s">
        <v>20453</v>
      </c>
      <c r="B60874" s="0" t="str">
        <f aca="false">HYPERLINK("https://lindat.mff.cuni.cz/services/teitok/pdtc10/index.php?action=vallex&amp;frame=v-w8565f2", "vyvolávat (v-w8565f2) - substituted with v-w8565f10_ZU")</f>
        <v>vyvolávat (v-w8565f2) - substituted with v-w8565f10_ZU</v>
      </c>
    </row>
    <row r="60875" customFormat="false" ht="12.8" hidden="false" customHeight="false" outlineLevel="0" collapsed="false">
      <c r="B60875" s="0" t="s">
        <v>629</v>
      </c>
    </row>
    <row r="60876" customFormat="false" ht="12.8" hidden="false" customHeight="false" outlineLevel="0" collapsed="false">
      <c r="B60876" s="0" t="s">
        <v>20454</v>
      </c>
    </row>
    <row r="60877" customFormat="false" ht="12.8" hidden="false" customHeight="false" outlineLevel="0" collapsed="false">
      <c r="B60877" s="0" t="s">
        <v>5</v>
      </c>
    </row>
    <row r="60879" customFormat="false" ht="12.8" hidden="false" customHeight="false" outlineLevel="0" collapsed="false">
      <c r="A60879" s="0" t="s">
        <v>20453</v>
      </c>
      <c r="B60879" s="0" t="str">
        <f aca="false">HYPERLINK("https://lindat.mff.cuni.cz/services/teitok/pdtc10/index.php?action=vallex&amp;frame=v-w8565f5_ZU", "vyvolávat (v-w8565f5_ZU) - substituted with v-w8565f10_ZU")</f>
        <v>vyvolávat (v-w8565f5_ZU) - substituted with v-w8565f10_ZU</v>
      </c>
    </row>
    <row r="60880" customFormat="false" ht="12.8" hidden="false" customHeight="false" outlineLevel="0" collapsed="false">
      <c r="B60880" s="0" t="s">
        <v>629</v>
      </c>
    </row>
    <row r="60881" customFormat="false" ht="12.8" hidden="false" customHeight="false" outlineLevel="0" collapsed="false">
      <c r="B60881" s="0" t="s">
        <v>20454</v>
      </c>
    </row>
    <row r="60882" customFormat="false" ht="12.8" hidden="false" customHeight="false" outlineLevel="0" collapsed="false">
      <c r="B60882" s="0" t="s">
        <v>5</v>
      </c>
    </row>
    <row r="60884" customFormat="false" ht="12.8" hidden="false" customHeight="false" outlineLevel="0" collapsed="false">
      <c r="A60884" s="0" t="s">
        <v>20453</v>
      </c>
      <c r="B60884" s="0" t="str">
        <f aca="false">HYPERLINK("https://lindat.mff.cuni.cz/services/teitok/pdtc10/index.php?action=vallex&amp;frame=v-w8565f6_ZU", "vyvolávat (v-w8565f6_ZU) - substituted with v-w8565f10_ZU")</f>
        <v>vyvolávat (v-w8565f6_ZU) - substituted with v-w8565f10_ZU</v>
      </c>
    </row>
    <row r="60885" customFormat="false" ht="12.8" hidden="false" customHeight="false" outlineLevel="0" collapsed="false">
      <c r="B60885" s="0" t="s">
        <v>629</v>
      </c>
    </row>
    <row r="60886" customFormat="false" ht="12.8" hidden="false" customHeight="false" outlineLevel="0" collapsed="false">
      <c r="B60886" s="0" t="s">
        <v>20454</v>
      </c>
    </row>
    <row r="60887" customFormat="false" ht="12.8" hidden="false" customHeight="false" outlineLevel="0" collapsed="false">
      <c r="B60887" s="0" t="s">
        <v>5</v>
      </c>
    </row>
    <row r="60889" customFormat="false" ht="12.8" hidden="false" customHeight="false" outlineLevel="0" collapsed="false">
      <c r="A60889" s="0" t="s">
        <v>20453</v>
      </c>
      <c r="B60889" s="0" t="str">
        <f aca="false">HYPERLINK("https://lindat.mff.cuni.cz/services/teitok/pdtc10/index.php?action=vallex&amp;frame=v-w8565f7_ZU", "vyvolávat (v-w8565f7_ZU) - substituted with v-w8565f10_ZU")</f>
        <v>vyvolávat (v-w8565f7_ZU) - substituted with v-w8565f10_ZU</v>
      </c>
    </row>
    <row r="60890" customFormat="false" ht="12.8" hidden="false" customHeight="false" outlineLevel="0" collapsed="false">
      <c r="B60890" s="0" t="s">
        <v>629</v>
      </c>
    </row>
    <row r="60891" customFormat="false" ht="12.8" hidden="false" customHeight="false" outlineLevel="0" collapsed="false">
      <c r="B60891" s="0" t="s">
        <v>20454</v>
      </c>
    </row>
    <row r="60892" customFormat="false" ht="12.8" hidden="false" customHeight="false" outlineLevel="0" collapsed="false">
      <c r="B60892" s="0" t="s">
        <v>5</v>
      </c>
    </row>
    <row r="60894" customFormat="false" ht="12.8" hidden="false" customHeight="false" outlineLevel="0" collapsed="false">
      <c r="A60894" s="0" t="s">
        <v>20453</v>
      </c>
      <c r="B60894" s="0" t="str">
        <f aca="false">HYPERLINK("https://lindat.mff.cuni.cz/services/teitok/pdtc10/index.php?action=vallex&amp;frame=v-w8565f8_ZU", "vyvolávat (v-w8565f8_ZU) - substituted with v-w8565f10_ZU")</f>
        <v>vyvolávat (v-w8565f8_ZU) - substituted with v-w8565f10_ZU</v>
      </c>
      <c r="E60894" s="0" t="str">
        <f aca="false">HYPERLINK("https://lindat.mff.cuni.cz/services/SynSemClass40/SynSemClass40.html?veclass=vec00196#vec00196-ces-cm00213", "vec00196")</f>
        <v>vec00196</v>
      </c>
      <c r="F60894" s="0" t="s">
        <v>749</v>
      </c>
    </row>
    <row r="60895" customFormat="false" ht="12.8" hidden="false" customHeight="false" outlineLevel="0" collapsed="false">
      <c r="B60895" s="0" t="s">
        <v>629</v>
      </c>
      <c r="C60895" s="0" t="s">
        <v>750</v>
      </c>
      <c r="E60895" s="0" t="s">
        <v>76</v>
      </c>
      <c r="F60895" s="0" t="s">
        <v>751</v>
      </c>
    </row>
    <row r="60896" customFormat="false" ht="12.8" hidden="false" customHeight="false" outlineLevel="0" collapsed="false">
      <c r="B60896" s="0" t="s">
        <v>20454</v>
      </c>
      <c r="C60896" s="0" t="s">
        <v>753</v>
      </c>
      <c r="E60896" s="0" t="s">
        <v>754</v>
      </c>
      <c r="F60896" s="0" t="s">
        <v>755</v>
      </c>
    </row>
    <row r="60897" customFormat="false" ht="12.8" hidden="false" customHeight="false" outlineLevel="0" collapsed="false">
      <c r="B60897" s="0" t="s">
        <v>5</v>
      </c>
      <c r="C60897" s="0" t="s">
        <v>756</v>
      </c>
      <c r="E60897" s="0" t="s">
        <v>757</v>
      </c>
      <c r="F60897" s="0" t="s">
        <v>758</v>
      </c>
    </row>
    <row r="60899" customFormat="false" ht="12.8" hidden="false" customHeight="false" outlineLevel="0" collapsed="false">
      <c r="A60899" s="0" t="s">
        <v>20453</v>
      </c>
      <c r="B60899" s="0" t="str">
        <f aca="false">HYPERLINK("https://lindat.mff.cuni.cz/services/teitok/pdtc10/index.php?action=vallex&amp;frame=v-w8565hsa_446", "vyvolávat (v-w8565hsa_446) - substituted with v-w8565f10_ZU")</f>
        <v>vyvolávat (v-w8565hsa_446) - substituted with v-w8565f10_ZU</v>
      </c>
    </row>
    <row r="60900" customFormat="false" ht="12.8" hidden="false" customHeight="false" outlineLevel="0" collapsed="false">
      <c r="B60900" s="0" t="s">
        <v>629</v>
      </c>
    </row>
    <row r="60901" customFormat="false" ht="12.8" hidden="false" customHeight="false" outlineLevel="0" collapsed="false">
      <c r="B60901" s="0" t="s">
        <v>20454</v>
      </c>
    </row>
    <row r="60902" customFormat="false" ht="12.8" hidden="false" customHeight="false" outlineLevel="0" collapsed="false">
      <c r="B60902" s="0" t="s">
        <v>5</v>
      </c>
    </row>
    <row r="60904" customFormat="false" ht="12.8" hidden="false" customHeight="false" outlineLevel="0" collapsed="false">
      <c r="A60904" s="0" t="s">
        <v>20453</v>
      </c>
      <c r="B60904" s="0" t="str">
        <f aca="false">HYPERLINK("https://lindat.mff.cuni.cz/services/teitok/pdtc10/index.php?action=vallex&amp;frame=v-w8565hsa_517", "vyvolávat (v-w8565hsa_517) - substituted with v-w8565f10_ZU")</f>
        <v>vyvolávat (v-w8565hsa_517) - substituted with v-w8565f10_ZU</v>
      </c>
    </row>
    <row r="60905" customFormat="false" ht="12.8" hidden="false" customHeight="false" outlineLevel="0" collapsed="false">
      <c r="B60905" s="0" t="s">
        <v>629</v>
      </c>
    </row>
    <row r="60906" customFormat="false" ht="12.8" hidden="false" customHeight="false" outlineLevel="0" collapsed="false">
      <c r="B60906" s="0" t="s">
        <v>20454</v>
      </c>
    </row>
    <row r="60907" customFormat="false" ht="12.8" hidden="false" customHeight="false" outlineLevel="0" collapsed="false">
      <c r="B60907" s="0" t="s">
        <v>5</v>
      </c>
    </row>
    <row r="60909" customFormat="false" ht="12.8" hidden="false" customHeight="false" outlineLevel="0" collapsed="false">
      <c r="A60909" s="0" t="s">
        <v>20455</v>
      </c>
      <c r="B60909" s="0" t="str">
        <f aca="false">HYPERLINK("https://lindat.mff.cuni.cz/services/teitok/pdtc10/index.php?action=vallex&amp;frame=v-w8565f3", "vyvolávat (v-w8565f3)")</f>
        <v>vyvolávat (v-w8565f3)</v>
      </c>
    </row>
    <row r="60910" customFormat="false" ht="12.8" hidden="false" customHeight="false" outlineLevel="0" collapsed="false">
      <c r="B60910" s="0" t="s">
        <v>1</v>
      </c>
    </row>
    <row r="60911" customFormat="false" ht="12.8" hidden="false" customHeight="false" outlineLevel="0" collapsed="false">
      <c r="B60911" s="0" t="s">
        <v>18308</v>
      </c>
    </row>
    <row r="60912" customFormat="false" ht="12.8" hidden="false" customHeight="false" outlineLevel="0" collapsed="false">
      <c r="B60912" s="0" t="s">
        <v>8</v>
      </c>
    </row>
    <row r="60914" customFormat="false" ht="12.8" hidden="false" customHeight="false" outlineLevel="0" collapsed="false">
      <c r="A60914" s="0" t="s">
        <v>20456</v>
      </c>
      <c r="B60914" s="0" t="str">
        <f aca="false">HYPERLINK("https://lindat.mff.cuni.cz/services/teitok/pdtc10/index.php?action=vallex&amp;frame=v-w8565f9_ZU", "vyvolávat (v-w8565f9_ZU)")</f>
        <v>vyvolávat (v-w8565f9_ZU)</v>
      </c>
    </row>
    <row r="60915" customFormat="false" ht="12.8" hidden="false" customHeight="false" outlineLevel="0" collapsed="false">
      <c r="B60915" s="0" t="s">
        <v>1</v>
      </c>
    </row>
    <row r="60916" customFormat="false" ht="12.8" hidden="false" customHeight="false" outlineLevel="0" collapsed="false">
      <c r="B60916" s="0" t="s">
        <v>8</v>
      </c>
    </row>
    <row r="60918" customFormat="false" ht="12.8" hidden="false" customHeight="false" outlineLevel="0" collapsed="false">
      <c r="A60918" s="0" t="s">
        <v>20456</v>
      </c>
      <c r="B60918" s="0" t="str">
        <f aca="false">HYPERLINK("https://lindat.mff.cuni.cz/services/teitok/pdtc10/index.php?action=vallex&amp;frame=v-w8565hsa_445", "vyvolávat (v-w8565hsa_445) - substituted with v-w8565f9_ZU")</f>
        <v>vyvolávat (v-w8565hsa_445) - substituted with v-w8565f9_ZU</v>
      </c>
    </row>
    <row r="60919" customFormat="false" ht="12.8" hidden="false" customHeight="false" outlineLevel="0" collapsed="false">
      <c r="B60919" s="0" t="s">
        <v>1</v>
      </c>
    </row>
    <row r="60920" customFormat="false" ht="12.8" hidden="false" customHeight="false" outlineLevel="0" collapsed="false">
      <c r="B60920" s="0" t="s">
        <v>8</v>
      </c>
    </row>
    <row r="60922" customFormat="false" ht="12.8" hidden="false" customHeight="false" outlineLevel="0" collapsed="false">
      <c r="A60922" s="0" t="s">
        <v>20457</v>
      </c>
      <c r="B60922" s="0" t="str">
        <f aca="false">HYPERLINK("https://lindat.mff.cuni.cz/services/teitok/pdtc10/index.php?action=vallex&amp;frame=v-whsa_512hsa_513", "vyvozit (v-whsa_512hsa_513)")</f>
        <v>vyvozit (v-whsa_512hsa_513)</v>
      </c>
    </row>
    <row r="60923" customFormat="false" ht="12.8" hidden="false" customHeight="false" outlineLevel="0" collapsed="false">
      <c r="B60923" s="0" t="s">
        <v>1</v>
      </c>
    </row>
    <row r="60924" customFormat="false" ht="12.8" hidden="false" customHeight="false" outlineLevel="0" collapsed="false">
      <c r="B60924" s="0" t="s">
        <v>8</v>
      </c>
    </row>
    <row r="60925" customFormat="false" ht="12.8" hidden="false" customHeight="false" outlineLevel="0" collapsed="false">
      <c r="B60925" s="0" t="s">
        <v>631</v>
      </c>
    </row>
    <row r="60927" customFormat="false" ht="12.8" hidden="false" customHeight="false" outlineLevel="0" collapsed="false">
      <c r="A60927" s="0" t="s">
        <v>20458</v>
      </c>
      <c r="B60927" s="0" t="str">
        <f aca="false">HYPERLINK("https://lindat.mff.cuni.cz/services/teitok/pdtc10/index.php?action=vallex&amp;frame=v-w8569f1", "vyvozovat (v-w8569f1)")</f>
        <v>vyvozovat (v-w8569f1)</v>
      </c>
      <c r="E60927" s="0" t="str">
        <f aca="false">HYPERLINK("https://lindat.mff.cuni.cz/services/SynSemClass40/SynSemClass40.html?veclass=vec01361#vec01361-ces-cm00004", "vec01361")</f>
        <v>vec01361</v>
      </c>
      <c r="F60927" s="0" t="s">
        <v>2781</v>
      </c>
    </row>
    <row r="60928" customFormat="false" ht="12.8" hidden="false" customHeight="false" outlineLevel="0" collapsed="false">
      <c r="B60928" s="0" t="s">
        <v>1</v>
      </c>
      <c r="C60928" s="0" t="s">
        <v>18117</v>
      </c>
      <c r="E60928" s="0" t="s">
        <v>621</v>
      </c>
      <c r="F60928" s="0" t="s">
        <v>2783</v>
      </c>
    </row>
    <row r="60929" customFormat="false" ht="12.8" hidden="false" customHeight="false" outlineLevel="0" collapsed="false">
      <c r="B60929" s="0" t="s">
        <v>14422</v>
      </c>
      <c r="C60929" s="0" t="s">
        <v>18118</v>
      </c>
      <c r="E60929" s="0" t="s">
        <v>2138</v>
      </c>
      <c r="F60929" s="0" t="s">
        <v>2785</v>
      </c>
    </row>
    <row r="60930" customFormat="false" ht="12.8" hidden="false" customHeight="false" outlineLevel="0" collapsed="false">
      <c r="B60930" s="0" t="s">
        <v>20442</v>
      </c>
      <c r="E60930" s="0" t="s">
        <v>2176</v>
      </c>
      <c r="F60930" s="0" t="s">
        <v>2807</v>
      </c>
    </row>
    <row r="60932" customFormat="false" ht="12.8" hidden="false" customHeight="false" outlineLevel="0" collapsed="false">
      <c r="A60932" s="0" t="s">
        <v>20459</v>
      </c>
      <c r="B60932" s="0" t="str">
        <f aca="false">HYPERLINK("https://lindat.mff.cuni.cz/services/teitok/pdtc10/index.php?action=vallex&amp;frame=v-w8569f2", "vyvozovat (v-w8569f2)")</f>
        <v>vyvozovat (v-w8569f2)</v>
      </c>
      <c r="E60932" s="0" t="str">
        <f aca="false">HYPERLINK("https://lindat.mff.cuni.cz/services/SynSemClass40/SynSemClass40.html?veclass=vec00032#vec00032-ces-cm00190", "vec00032")</f>
        <v>vec00032</v>
      </c>
      <c r="F60932" s="0" t="s">
        <v>911</v>
      </c>
    </row>
    <row r="60933" customFormat="false" ht="12.8" hidden="false" customHeight="false" outlineLevel="0" collapsed="false">
      <c r="B60933" s="0" t="s">
        <v>1</v>
      </c>
      <c r="C60933" s="0" t="s">
        <v>2485</v>
      </c>
      <c r="E60933" s="0" t="s">
        <v>914</v>
      </c>
      <c r="F60933" s="0" t="s">
        <v>915</v>
      </c>
    </row>
    <row r="60934" customFormat="false" ht="12.8" hidden="false" customHeight="false" outlineLevel="0" collapsed="false">
      <c r="B60934" s="0" t="s">
        <v>9420</v>
      </c>
      <c r="C60934" s="0" t="s">
        <v>2487</v>
      </c>
      <c r="E60934" s="0" t="s">
        <v>626</v>
      </c>
      <c r="F60934" s="0" t="s">
        <v>2488</v>
      </c>
    </row>
    <row r="60935" customFormat="false" ht="12.8" hidden="false" customHeight="false" outlineLevel="0" collapsed="false">
      <c r="B60935" s="0" t="s">
        <v>496</v>
      </c>
      <c r="C60935" s="0" t="s">
        <v>2489</v>
      </c>
      <c r="E60935" s="0" t="s">
        <v>180</v>
      </c>
      <c r="F60935" s="0" t="s">
        <v>2490</v>
      </c>
    </row>
    <row r="60937" customFormat="false" ht="12.8" hidden="false" customHeight="false" outlineLevel="0" collapsed="false">
      <c r="A60937" s="0" t="s">
        <v>20460</v>
      </c>
      <c r="B60937" s="0" t="str">
        <f aca="false">HYPERLINK("https://lindat.mff.cuni.cz/services/teitok/pdtc10/index.php?action=vallex&amp;frame=v-w8570f1", "vyvracet (v-w8570f1)")</f>
        <v>vyvracet (v-w8570f1)</v>
      </c>
      <c r="E60937" s="0" t="str">
        <f aca="false">HYPERLINK("https://lindat.mff.cuni.cz/services/SynSemClass40/SynSemClass40.html?veclass=vec00765#vec00765-ces-cm00024", "vec00765")</f>
        <v>vec00765</v>
      </c>
      <c r="F60937" s="0" t="s">
        <v>20461</v>
      </c>
    </row>
    <row r="60938" customFormat="false" ht="12.8" hidden="false" customHeight="false" outlineLevel="0" collapsed="false">
      <c r="B60938" s="0" t="s">
        <v>1</v>
      </c>
      <c r="C60938" s="0" t="s">
        <v>459</v>
      </c>
      <c r="E60938" s="0" t="s">
        <v>63</v>
      </c>
      <c r="F60938" s="0" t="s">
        <v>6023</v>
      </c>
    </row>
    <row r="60939" customFormat="false" ht="12.8" hidden="false" customHeight="false" outlineLevel="0" collapsed="false">
      <c r="B60939" s="0" t="s">
        <v>59</v>
      </c>
      <c r="C60939" s="0" t="s">
        <v>800</v>
      </c>
      <c r="E60939" s="0" t="s">
        <v>50</v>
      </c>
      <c r="F60939" s="0" t="s">
        <v>8888</v>
      </c>
    </row>
    <row r="60940" customFormat="false" ht="12.8" hidden="false" customHeight="false" outlineLevel="0" collapsed="false">
      <c r="B60940" s="0" t="s">
        <v>132</v>
      </c>
      <c r="E60940" s="0" t="s">
        <v>221</v>
      </c>
      <c r="F60940" s="0" t="s">
        <v>4699</v>
      </c>
    </row>
    <row r="60942" customFormat="false" ht="12.8" hidden="false" customHeight="false" outlineLevel="0" collapsed="false">
      <c r="A60942" s="0" t="s">
        <v>20462</v>
      </c>
      <c r="B60942" s="0" t="str">
        <f aca="false">HYPERLINK("https://lindat.mff.cuni.cz/services/teitok/pdtc10/index.php?action=vallex&amp;frame=v-w12046_ZUf1_ZU", "vyvraždit (v-w12046_ZUf1_ZU)")</f>
        <v>vyvraždit (v-w12046_ZUf1_ZU)</v>
      </c>
    </row>
    <row r="60943" customFormat="false" ht="12.8" hidden="false" customHeight="false" outlineLevel="0" collapsed="false">
      <c r="B60943" s="0" t="s">
        <v>1</v>
      </c>
    </row>
    <row r="60944" customFormat="false" ht="12.8" hidden="false" customHeight="false" outlineLevel="0" collapsed="false">
      <c r="B60944" s="0" t="s">
        <v>8</v>
      </c>
    </row>
    <row r="60946" customFormat="false" ht="12.8" hidden="false" customHeight="false" outlineLevel="0" collapsed="false">
      <c r="A60946" s="0" t="s">
        <v>20463</v>
      </c>
      <c r="B60946" s="0" t="str">
        <f aca="false">HYPERLINK("https://lindat.mff.cuni.cz/services/teitok/pdtc10/index.php?action=vallex&amp;frame=v-w8572f1", "vyvražďovat (v-w8572f1)")</f>
        <v>vyvražďovat (v-w8572f1)</v>
      </c>
    </row>
    <row r="60947" customFormat="false" ht="12.8" hidden="false" customHeight="false" outlineLevel="0" collapsed="false">
      <c r="B60947" s="0" t="s">
        <v>1</v>
      </c>
    </row>
    <row r="60948" customFormat="false" ht="12.8" hidden="false" customHeight="false" outlineLevel="0" collapsed="false">
      <c r="B60948" s="0" t="s">
        <v>8</v>
      </c>
    </row>
    <row r="60950" customFormat="false" ht="12.8" hidden="false" customHeight="false" outlineLevel="0" collapsed="false">
      <c r="A60950" s="0" t="s">
        <v>20464</v>
      </c>
      <c r="B60950" s="0" t="str">
        <f aca="false">HYPERLINK("https://lindat.mff.cuni.cz/services/teitok/pdtc10/index.php?action=vallex&amp;frame=v-w8574f1", "vyvrcholit (v-w8574f1)")</f>
        <v>vyvrcholit (v-w8574f1)</v>
      </c>
      <c r="E60950" s="0" t="str">
        <f aca="false">HYPERLINK("https://lindat.mff.cuni.cz/services/SynSemClass40/SynSemClass40.html?veclass=vec00977#vec00977-ces-cm00001", "vec00977")</f>
        <v>vec00977</v>
      </c>
      <c r="F60950" s="0" t="s">
        <v>18777</v>
      </c>
    </row>
    <row r="60951" customFormat="false" ht="12.8" hidden="false" customHeight="false" outlineLevel="0" collapsed="false">
      <c r="B60951" s="0" t="s">
        <v>1</v>
      </c>
      <c r="C60951" s="0" t="s">
        <v>18778</v>
      </c>
      <c r="E60951" s="0" t="s">
        <v>18779</v>
      </c>
      <c r="F60951" s="0" t="s">
        <v>18780</v>
      </c>
    </row>
    <row r="60953" customFormat="false" ht="12.8" hidden="false" customHeight="false" outlineLevel="0" collapsed="false">
      <c r="A60953" s="0" t="s">
        <v>20465</v>
      </c>
      <c r="B60953" s="0" t="str">
        <f aca="false">HYPERLINK("https://lindat.mff.cuni.cz/services/teitok/pdtc10/index.php?action=vallex&amp;frame=v-w10529f3", "vyvrhnout (v-w10529f3)")</f>
        <v>vyvrhnout (v-w10529f3)</v>
      </c>
    </row>
    <row r="60954" customFormat="false" ht="12.8" hidden="false" customHeight="false" outlineLevel="0" collapsed="false">
      <c r="B60954" s="0" t="s">
        <v>1</v>
      </c>
    </row>
    <row r="60955" customFormat="false" ht="12.8" hidden="false" customHeight="false" outlineLevel="0" collapsed="false">
      <c r="B60955" s="0" t="s">
        <v>8</v>
      </c>
    </row>
    <row r="60956" customFormat="false" ht="12.8" hidden="false" customHeight="false" outlineLevel="0" collapsed="false">
      <c r="B60956" s="0" t="s">
        <v>631</v>
      </c>
    </row>
    <row r="60958" customFormat="false" ht="12.8" hidden="false" customHeight="false" outlineLevel="0" collapsed="false">
      <c r="A60958" s="0" t="s">
        <v>20466</v>
      </c>
      <c r="B60958" s="0" t="str">
        <f aca="false">HYPERLINK("https://lindat.mff.cuni.cz/services/teitok/pdtc10/index.php?action=vallex&amp;frame=v-w10529f2", "vyvrhnout (v-w10529f2)")</f>
        <v>vyvrhnout (v-w10529f2)</v>
      </c>
    </row>
    <row r="60959" customFormat="false" ht="12.8" hidden="false" customHeight="false" outlineLevel="0" collapsed="false">
      <c r="B60959" s="0" t="s">
        <v>1</v>
      </c>
    </row>
    <row r="60960" customFormat="false" ht="12.8" hidden="false" customHeight="false" outlineLevel="0" collapsed="false">
      <c r="B60960" s="0" t="s">
        <v>8</v>
      </c>
    </row>
    <row r="60962" customFormat="false" ht="12.8" hidden="false" customHeight="false" outlineLevel="0" collapsed="false">
      <c r="A60962" s="0" t="s">
        <v>20467</v>
      </c>
      <c r="B60962" s="0" t="str">
        <f aca="false">HYPERLINK("https://lindat.mff.cuni.cz/services/teitok/pdtc10/index.php?action=vallex&amp;frame=v-w10529hsa_470", "vyvrhnout (v-w10529hsa_470)")</f>
        <v>vyvrhnout (v-w10529hsa_470)</v>
      </c>
    </row>
    <row r="60963" customFormat="false" ht="12.8" hidden="false" customHeight="false" outlineLevel="0" collapsed="false">
      <c r="B60963" s="0" t="s">
        <v>1</v>
      </c>
    </row>
    <row r="60964" customFormat="false" ht="12.8" hidden="false" customHeight="false" outlineLevel="0" collapsed="false">
      <c r="B60964" s="0" t="s">
        <v>8</v>
      </c>
    </row>
    <row r="60966" customFormat="false" ht="12.8" hidden="false" customHeight="false" outlineLevel="0" collapsed="false">
      <c r="A60966" s="0" t="s">
        <v>20468</v>
      </c>
      <c r="B60966" s="0" t="str">
        <f aca="false">HYPERLINK("https://lindat.mff.cuni.cz/services/teitok/pdtc10/index.php?action=vallex&amp;frame=v-w11632_ZUf1_ZU", "vyvrtat (v-w11632_ZUf1_ZU)")</f>
        <v>vyvrtat (v-w11632_ZUf1_ZU)</v>
      </c>
    </row>
    <row r="60967" customFormat="false" ht="12.8" hidden="false" customHeight="false" outlineLevel="0" collapsed="false">
      <c r="B60967" s="0" t="s">
        <v>1</v>
      </c>
    </row>
    <row r="60968" customFormat="false" ht="12.8" hidden="false" customHeight="false" outlineLevel="0" collapsed="false">
      <c r="B60968" s="0" t="s">
        <v>8</v>
      </c>
    </row>
    <row r="60970" customFormat="false" ht="12.8" hidden="false" customHeight="false" outlineLevel="0" collapsed="false">
      <c r="A60970" s="0" t="s">
        <v>20469</v>
      </c>
      <c r="B60970" s="0" t="str">
        <f aca="false">HYPERLINK("https://lindat.mff.cuni.cz/services/teitok/pdtc10/index.php?action=vallex&amp;frame=v-w8571f1", "vyvrátit (v-w8571f1)")</f>
        <v>vyvrátit (v-w8571f1)</v>
      </c>
      <c r="E60970" s="0" t="str">
        <f aca="false">HYPERLINK("https://lindat.mff.cuni.cz/services/SynSemClass40/SynSemClass40.html?veclass=vec00765#vec00765-ces-cm00001", "vec00765")</f>
        <v>vec00765</v>
      </c>
      <c r="F60970" s="0" t="s">
        <v>20461</v>
      </c>
    </row>
    <row r="60971" customFormat="false" ht="12.8" hidden="false" customHeight="false" outlineLevel="0" collapsed="false">
      <c r="B60971" s="0" t="s">
        <v>1</v>
      </c>
      <c r="C60971" s="0" t="s">
        <v>459</v>
      </c>
      <c r="E60971" s="0" t="s">
        <v>63</v>
      </c>
      <c r="F60971" s="0" t="s">
        <v>6023</v>
      </c>
    </row>
    <row r="60972" customFormat="false" ht="12.8" hidden="false" customHeight="false" outlineLevel="0" collapsed="false">
      <c r="B60972" s="0" t="s">
        <v>2419</v>
      </c>
      <c r="C60972" s="0" t="s">
        <v>800</v>
      </c>
      <c r="E60972" s="0" t="s">
        <v>50</v>
      </c>
      <c r="F60972" s="0" t="s">
        <v>8888</v>
      </c>
    </row>
    <row r="60973" customFormat="false" ht="12.8" hidden="false" customHeight="false" outlineLevel="0" collapsed="false">
      <c r="B60973" s="0" t="s">
        <v>132</v>
      </c>
      <c r="E60973" s="0" t="s">
        <v>221</v>
      </c>
      <c r="F60973" s="0" t="s">
        <v>4699</v>
      </c>
    </row>
    <row r="60975" customFormat="false" ht="12.8" hidden="false" customHeight="false" outlineLevel="0" collapsed="false">
      <c r="A60975" s="0" t="s">
        <v>20470</v>
      </c>
      <c r="B60975" s="0" t="str">
        <f aca="false">HYPERLINK("https://lindat.mff.cuni.cz/services/teitok/pdtc10/index.php?action=vallex&amp;frame=v-w8575f1", "vyvstat (v-w8575f1)")</f>
        <v>vyvstat (v-w8575f1)</v>
      </c>
      <c r="E60975" s="0" t="str">
        <f aca="false">HYPERLINK("https://lindat.mff.cuni.cz/services/SynSemClass40/SynSemClass40.html?veclass=vec00978#vec00978-ces-cm00074", "vec00978")</f>
        <v>vec00978</v>
      </c>
      <c r="F60975" s="0" t="s">
        <v>8386</v>
      </c>
    </row>
    <row r="60976" customFormat="false" ht="12.8" hidden="false" customHeight="false" outlineLevel="0" collapsed="false">
      <c r="B60976" s="0" t="s">
        <v>1</v>
      </c>
      <c r="C60976" s="0" t="s">
        <v>8387</v>
      </c>
      <c r="E60976" s="0" t="s">
        <v>2923</v>
      </c>
      <c r="F60976" s="0" t="s">
        <v>8388</v>
      </c>
    </row>
    <row r="60978" customFormat="false" ht="12.8" hidden="false" customHeight="false" outlineLevel="0" collapsed="false">
      <c r="A60978" s="0" t="s">
        <v>20471</v>
      </c>
      <c r="B60978" s="0" t="str">
        <f aca="false">HYPERLINK("https://lindat.mff.cuni.cz/services/teitok/pdtc10/index.php?action=vallex&amp;frame=v-w8576f1", "vyvstávat (v-w8576f1)")</f>
        <v>vyvstávat (v-w8576f1)</v>
      </c>
      <c r="E60978" s="0" t="str">
        <f aca="false">HYPERLINK("https://lindat.mff.cuni.cz/services/SynSemClass40/SynSemClass40.html?veclass=vec00978#vec00978-ces-cm00001", "vec00978")</f>
        <v>vec00978</v>
      </c>
      <c r="F60978" s="0" t="s">
        <v>8386</v>
      </c>
    </row>
    <row r="60979" customFormat="false" ht="12.8" hidden="false" customHeight="false" outlineLevel="0" collapsed="false">
      <c r="B60979" s="0" t="s">
        <v>1</v>
      </c>
      <c r="C60979" s="0" t="s">
        <v>8387</v>
      </c>
      <c r="E60979" s="0" t="s">
        <v>2923</v>
      </c>
      <c r="F60979" s="0" t="s">
        <v>8388</v>
      </c>
    </row>
    <row r="60981" customFormat="false" ht="12.8" hidden="false" customHeight="false" outlineLevel="0" collapsed="false">
      <c r="A60981" s="0" t="s">
        <v>20472</v>
      </c>
      <c r="B60981" s="0" t="str">
        <f aca="false">HYPERLINK("https://lindat.mff.cuni.cz/services/teitok/pdtc10/index.php?action=vallex&amp;frame=v-whsa_671hsa_672", "vyvyšovat se (v-whsa_671hsa_672)")</f>
        <v>vyvyšovat se (v-whsa_671hsa_672)</v>
      </c>
    </row>
    <row r="60982" customFormat="false" ht="12.8" hidden="false" customHeight="false" outlineLevel="0" collapsed="false">
      <c r="B60982" s="0" t="s">
        <v>1</v>
      </c>
    </row>
    <row r="60983" customFormat="false" ht="12.8" hidden="false" customHeight="false" outlineLevel="0" collapsed="false">
      <c r="B60983" s="0" t="s">
        <v>20473</v>
      </c>
    </row>
    <row r="60985" customFormat="false" ht="12.8" hidden="false" customHeight="false" outlineLevel="0" collapsed="false">
      <c r="A60985" s="0" t="s">
        <v>20474</v>
      </c>
      <c r="B60985" s="0" t="str">
        <f aca="false">HYPERLINK("https://lindat.mff.cuni.cz/services/teitok/pdtc10/index.php?action=vallex&amp;frame=v-w8577f1", "vyvzdorovat (v-w8577f1)")</f>
        <v>vyvzdorovat (v-w8577f1)</v>
      </c>
    </row>
    <row r="60986" customFormat="false" ht="12.8" hidden="false" customHeight="false" outlineLevel="0" collapsed="false">
      <c r="B60986" s="0" t="s">
        <v>1</v>
      </c>
    </row>
    <row r="60987" customFormat="false" ht="12.8" hidden="false" customHeight="false" outlineLevel="0" collapsed="false">
      <c r="B60987" s="0" t="s">
        <v>8</v>
      </c>
    </row>
    <row r="60988" customFormat="false" ht="12.8" hidden="false" customHeight="false" outlineLevel="0" collapsed="false">
      <c r="B60988" s="0" t="s">
        <v>8050</v>
      </c>
    </row>
    <row r="60990" customFormat="false" ht="12.8" hidden="false" customHeight="false" outlineLevel="0" collapsed="false">
      <c r="A60990" s="0" t="s">
        <v>20475</v>
      </c>
      <c r="B60990" s="0" t="str">
        <f aca="false">HYPERLINK("https://lindat.mff.cuni.cz/services/teitok/pdtc10/index.php?action=vallex&amp;frame=v-w11202f3", "vyvádět (v-w11202f3)")</f>
        <v>vyvádět (v-w11202f3)</v>
      </c>
    </row>
    <row r="60991" customFormat="false" ht="12.8" hidden="false" customHeight="false" outlineLevel="0" collapsed="false">
      <c r="B60991" s="0" t="s">
        <v>1</v>
      </c>
    </row>
    <row r="60992" customFormat="false" ht="12.8" hidden="false" customHeight="false" outlineLevel="0" collapsed="false">
      <c r="B60992" s="0" t="s">
        <v>8</v>
      </c>
    </row>
    <row r="60993" customFormat="false" ht="12.8" hidden="false" customHeight="false" outlineLevel="0" collapsed="false">
      <c r="B60993" s="0" t="s">
        <v>631</v>
      </c>
    </row>
    <row r="60995" customFormat="false" ht="12.8" hidden="false" customHeight="false" outlineLevel="0" collapsed="false">
      <c r="A60995" s="0" t="s">
        <v>20476</v>
      </c>
      <c r="B60995" s="0" t="str">
        <f aca="false">HYPERLINK("https://lindat.mff.cuni.cz/services/teitok/pdtc10/index.php?action=vallex&amp;frame=v-w11202f2", "vyvádět (v-w11202f2)")</f>
        <v>vyvádět (v-w11202f2)</v>
      </c>
      <c r="E60995" s="0" t="str">
        <f aca="false">HYPERLINK("https://lindat.mff.cuni.cz/services/SynSemClass40/SynSemClass40.html?veclass=vec01015#vec01015-ces-cm00027", "vec01015")</f>
        <v>vec01015</v>
      </c>
      <c r="F60995" s="0" t="s">
        <v>2281</v>
      </c>
      <c r="H60995" s="0" t="str">
        <f aca="false">HYPERLINK("https://lindat.mff.cuni.cz/services/SynSemClass40/SynSemClass40.html?veclass=vec01162#vec01162-ces-cm00007", "vec01162")</f>
        <v>vec01162</v>
      </c>
      <c r="I60995" s="0" t="s">
        <v>20314</v>
      </c>
      <c r="K60995" s="0" t="str">
        <f aca="false">HYPERLINK("https://lindat.mff.cuni.cz/services/SynSemClass40/SynSemClass40.html?veclass=vec01385#vec01385-ces-cm00013", "vec01385")</f>
        <v>vec01385</v>
      </c>
      <c r="L60995" s="0" t="s">
        <v>15033</v>
      </c>
    </row>
    <row r="60996" customFormat="false" ht="12.8" hidden="false" customHeight="false" outlineLevel="0" collapsed="false">
      <c r="B60996" s="0" t="s">
        <v>1</v>
      </c>
      <c r="C60996" s="0" t="s">
        <v>20477</v>
      </c>
      <c r="E60996" s="0" t="s">
        <v>76</v>
      </c>
      <c r="F60996" s="0" t="s">
        <v>2283</v>
      </c>
      <c r="H60996" s="0" t="s">
        <v>31</v>
      </c>
      <c r="I60996" s="0" t="s">
        <v>49</v>
      </c>
      <c r="K60996" s="0" t="s">
        <v>1103</v>
      </c>
      <c r="L60996" s="0" t="s">
        <v>15035</v>
      </c>
    </row>
    <row r="60997" customFormat="false" ht="12.8" hidden="false" customHeight="false" outlineLevel="0" collapsed="false">
      <c r="B60997" s="0" t="s">
        <v>20478</v>
      </c>
      <c r="C60997" s="0" t="s">
        <v>20479</v>
      </c>
      <c r="E60997" s="0" t="s">
        <v>20480</v>
      </c>
      <c r="F60997" s="0" t="s">
        <v>20481</v>
      </c>
      <c r="H60997" s="0" t="s">
        <v>20482</v>
      </c>
      <c r="I60997" s="0" t="s">
        <v>20483</v>
      </c>
    </row>
    <row r="60998" customFormat="false" ht="12.8" hidden="false" customHeight="false" outlineLevel="0" collapsed="false">
      <c r="B60998" s="0" t="s">
        <v>8</v>
      </c>
      <c r="C60998" s="0" t="s">
        <v>20484</v>
      </c>
      <c r="E60998" s="0" t="s">
        <v>142</v>
      </c>
      <c r="F60998" s="0" t="s">
        <v>20485</v>
      </c>
      <c r="H60998" s="0" t="s">
        <v>1930</v>
      </c>
      <c r="I60998" s="0" t="s">
        <v>10595</v>
      </c>
      <c r="K60998" s="0" t="s">
        <v>142</v>
      </c>
      <c r="L60998" s="0" t="s">
        <v>15037</v>
      </c>
    </row>
    <row r="61000" customFormat="false" ht="12.8" hidden="false" customHeight="false" outlineLevel="0" collapsed="false">
      <c r="A61000" s="0" t="s">
        <v>20486</v>
      </c>
      <c r="B61000" s="0" t="str">
        <f aca="false">HYPERLINK("https://lindat.mff.cuni.cz/services/teitok/pdtc10/index.php?action=vallex&amp;frame=v-w11202f4_ZU", "vyvádět (v-w11202f4_ZU)")</f>
        <v>vyvádět (v-w11202f4_ZU)</v>
      </c>
    </row>
    <row r="61001" customFormat="false" ht="12.8" hidden="false" customHeight="false" outlineLevel="0" collapsed="false">
      <c r="B61001" s="0" t="s">
        <v>1</v>
      </c>
    </row>
    <row r="61002" customFormat="false" ht="12.8" hidden="false" customHeight="false" outlineLevel="0" collapsed="false">
      <c r="B61002" s="0" t="s">
        <v>390</v>
      </c>
    </row>
    <row r="61004" customFormat="false" ht="12.8" hidden="false" customHeight="false" outlineLevel="0" collapsed="false">
      <c r="A61004" s="0" t="s">
        <v>20486</v>
      </c>
      <c r="B61004" s="0" t="str">
        <f aca="false">HYPERLINK("https://lindat.mff.cuni.cz/services/teitok/pdtc10/index.php?action=vallex&amp;frame=v-w11202hsa_1612", "vyvádět (v-w11202hsa_1612) - substituted with v-w11202f4_ZU")</f>
        <v>vyvádět (v-w11202hsa_1612) - substituted with v-w11202f4_ZU</v>
      </c>
    </row>
    <row r="61005" customFormat="false" ht="12.8" hidden="false" customHeight="false" outlineLevel="0" collapsed="false">
      <c r="B61005" s="0" t="s">
        <v>1</v>
      </c>
    </row>
    <row r="61006" customFormat="false" ht="12.8" hidden="false" customHeight="false" outlineLevel="0" collapsed="false">
      <c r="B61006" s="0" t="s">
        <v>390</v>
      </c>
    </row>
    <row r="61008" customFormat="false" ht="12.8" hidden="false" customHeight="false" outlineLevel="0" collapsed="false">
      <c r="A61008" s="0" t="s">
        <v>20487</v>
      </c>
      <c r="B61008" s="0" t="str">
        <f aca="false">HYPERLINK("https://lindat.mff.cuni.cz/services/teitok/pdtc10/index.php?action=vallex&amp;frame=v-w11202f5_ZU", "vyvádět (v-w11202f5_ZU)")</f>
        <v>vyvádět (v-w11202f5_ZU)</v>
      </c>
    </row>
    <row r="61009" customFormat="false" ht="12.8" hidden="false" customHeight="false" outlineLevel="0" collapsed="false">
      <c r="B61009" s="0" t="s">
        <v>1</v>
      </c>
    </row>
    <row r="61010" customFormat="false" ht="12.8" hidden="false" customHeight="false" outlineLevel="0" collapsed="false">
      <c r="B61010" s="0" t="s">
        <v>8</v>
      </c>
    </row>
    <row r="61012" customFormat="false" ht="12.8" hidden="false" customHeight="false" outlineLevel="0" collapsed="false">
      <c r="A61012" s="0" t="s">
        <v>20488</v>
      </c>
      <c r="B61012" s="0" t="str">
        <f aca="false">HYPERLINK("https://lindat.mff.cuni.cz/services/teitok/pdtc10/index.php?action=vallex&amp;frame=v-w12392_MMf1_MM", "vyválet (v-w12392_MMf1_MM)")</f>
        <v>vyválet (v-w12392_MMf1_MM)</v>
      </c>
    </row>
    <row r="61013" customFormat="false" ht="12.8" hidden="false" customHeight="false" outlineLevel="0" collapsed="false">
      <c r="B61013" s="0" t="s">
        <v>1</v>
      </c>
    </row>
    <row r="61014" customFormat="false" ht="12.8" hidden="false" customHeight="false" outlineLevel="0" collapsed="false">
      <c r="B61014" s="0" t="s">
        <v>8</v>
      </c>
    </row>
    <row r="61015" customFormat="false" ht="12.8" hidden="false" customHeight="false" outlineLevel="0" collapsed="false">
      <c r="B61015" s="0" t="s">
        <v>36</v>
      </c>
    </row>
    <row r="61017" customFormat="false" ht="12.8" hidden="false" customHeight="false" outlineLevel="0" collapsed="false">
      <c r="A61017" s="0" t="s">
        <v>20489</v>
      </c>
      <c r="B61017" s="0" t="str">
        <f aca="false">HYPERLINK("https://lindat.mff.cuni.cz/services/teitok/pdtc10/index.php?action=vallex&amp;frame=v-whsa_1369hsa_1370", "vyválet se (v-whsa_1369hsa_1370)")</f>
        <v>vyválet se (v-whsa_1369hsa_1370)</v>
      </c>
    </row>
    <row r="61018" customFormat="false" ht="12.8" hidden="false" customHeight="false" outlineLevel="0" collapsed="false">
      <c r="B61018" s="0" t="s">
        <v>1</v>
      </c>
    </row>
    <row r="61020" customFormat="false" ht="12.8" hidden="false" customHeight="false" outlineLevel="0" collapsed="false">
      <c r="A61020" s="0" t="s">
        <v>20490</v>
      </c>
      <c r="B61020" s="0" t="str">
        <f aca="false">HYPERLINK("https://lindat.mff.cuni.cz/services/teitok/pdtc10/index.php?action=vallex&amp;frame=v-w10862f2", "vyvázat (v-w10862f2)")</f>
        <v>vyvázat (v-w10862f2)</v>
      </c>
    </row>
    <row r="61021" customFormat="false" ht="12.8" hidden="false" customHeight="false" outlineLevel="0" collapsed="false">
      <c r="B61021" s="0" t="s">
        <v>1</v>
      </c>
    </row>
    <row r="61022" customFormat="false" ht="12.8" hidden="false" customHeight="false" outlineLevel="0" collapsed="false">
      <c r="B61022" s="0" t="s">
        <v>8</v>
      </c>
    </row>
    <row r="61023" customFormat="false" ht="12.8" hidden="false" customHeight="false" outlineLevel="0" collapsed="false">
      <c r="B61023" s="0" t="s">
        <v>3889</v>
      </c>
    </row>
    <row r="61025" customFormat="false" ht="12.8" hidden="false" customHeight="false" outlineLevel="0" collapsed="false">
      <c r="A61025" s="0" t="s">
        <v>20491</v>
      </c>
      <c r="B61025" s="0" t="str">
        <f aca="false">HYPERLINK("https://lindat.mff.cuni.cz/services/teitok/pdtc10/index.php?action=vallex&amp;frame=v-w8538f1", "vyváznout (v-w8538f1)")</f>
        <v>vyváznout (v-w8538f1)</v>
      </c>
      <c r="E61025" s="0" t="str">
        <f aca="false">HYPERLINK("https://lindat.mff.cuni.cz/services/SynSemClass40/SynSemClass40.html?veclass=vec00811#vec00811-ces-cm00130", "vec00811")</f>
        <v>vec00811</v>
      </c>
      <c r="F61025" s="0" t="s">
        <v>2889</v>
      </c>
      <c r="H61025" s="0" t="str">
        <f aca="false">HYPERLINK("https://lindat.mff.cuni.cz/services/SynSemClass40/SynSemClass40.html?veclass=vec01465#vec01465-ces-cm00007", "vec01465")</f>
        <v>vec01465</v>
      </c>
      <c r="I61025" s="0" t="s">
        <v>2890</v>
      </c>
    </row>
    <row r="61026" customFormat="false" ht="12.8" hidden="false" customHeight="false" outlineLevel="0" collapsed="false">
      <c r="B61026" s="0" t="s">
        <v>1</v>
      </c>
      <c r="C61026" s="0" t="s">
        <v>2891</v>
      </c>
      <c r="E61026" s="0" t="s">
        <v>2892</v>
      </c>
      <c r="F61026" s="0" t="s">
        <v>2893</v>
      </c>
      <c r="H61026" s="0" t="s">
        <v>2892</v>
      </c>
      <c r="I61026" s="0" t="s">
        <v>2894</v>
      </c>
    </row>
    <row r="61027" customFormat="false" ht="12.8" hidden="false" customHeight="false" outlineLevel="0" collapsed="false">
      <c r="B61027" s="0" t="s">
        <v>631</v>
      </c>
      <c r="C61027" s="0" t="s">
        <v>2895</v>
      </c>
      <c r="E61027" s="0" t="s">
        <v>1949</v>
      </c>
      <c r="F61027" s="0" t="s">
        <v>2896</v>
      </c>
      <c r="H61027" s="0" t="s">
        <v>2897</v>
      </c>
      <c r="I61027" s="0" t="s">
        <v>2898</v>
      </c>
    </row>
    <row r="61029" customFormat="false" ht="12.8" hidden="false" customHeight="false" outlineLevel="0" collapsed="false">
      <c r="A61029" s="0" t="s">
        <v>20492</v>
      </c>
      <c r="B61029" s="0" t="str">
        <f aca="false">HYPERLINK("https://lindat.mff.cuni.cz/services/teitok/pdtc10/index.php?action=vallex&amp;frame=v-w8538f2_ZU", "vyváznout (v-w8538f2_ZU)")</f>
        <v>vyváznout (v-w8538f2_ZU)</v>
      </c>
    </row>
    <row r="61030" customFormat="false" ht="12.8" hidden="false" customHeight="false" outlineLevel="0" collapsed="false">
      <c r="B61030" s="0" t="s">
        <v>1</v>
      </c>
    </row>
    <row r="61031" customFormat="false" ht="12.8" hidden="false" customHeight="false" outlineLevel="0" collapsed="false">
      <c r="B61031" s="0" t="s">
        <v>298</v>
      </c>
    </row>
    <row r="61033" customFormat="false" ht="12.8" hidden="false" customHeight="false" outlineLevel="0" collapsed="false">
      <c r="A61033" s="0" t="s">
        <v>20493</v>
      </c>
      <c r="B61033" s="0" t="str">
        <f aca="false">HYPERLINK("https://lindat.mff.cuni.cz/services/teitok/pdtc10/index.php?action=vallex&amp;frame=v-w11723_ZUf1_ZU", "vyvářet (v-w11723_ZUf1_ZU)")</f>
        <v>vyvářet (v-w11723_ZUf1_ZU)</v>
      </c>
    </row>
    <row r="61034" customFormat="false" ht="12.8" hidden="false" customHeight="false" outlineLevel="0" collapsed="false">
      <c r="B61034" s="0" t="s">
        <v>1</v>
      </c>
    </row>
    <row r="61035" customFormat="false" ht="12.8" hidden="false" customHeight="false" outlineLevel="0" collapsed="false">
      <c r="B61035" s="0" t="s">
        <v>8</v>
      </c>
    </row>
    <row r="61037" customFormat="false" ht="12.8" hidden="false" customHeight="false" outlineLevel="0" collapsed="false">
      <c r="A61037" s="0" t="s">
        <v>20494</v>
      </c>
      <c r="B61037" s="0" t="str">
        <f aca="false">HYPERLINK("https://lindat.mff.cuni.cz/services/teitok/pdtc10/index.php?action=vallex&amp;frame=v-w8539f1", "vyvážet (v-w8539f1)")</f>
        <v>vyvážet (v-w8539f1)</v>
      </c>
      <c r="E61037" s="0" t="str">
        <f aca="false">HYPERLINK("https://lindat.mff.cuni.cz/services/SynSemClass40/SynSemClass40.html?veclass=vec00566#vec00566-ces-cm00001", "vec00566")</f>
        <v>vec00566</v>
      </c>
      <c r="F61037" s="0" t="s">
        <v>7991</v>
      </c>
    </row>
    <row r="61038" customFormat="false" ht="12.8" hidden="false" customHeight="false" outlineLevel="0" collapsed="false">
      <c r="B61038" s="0" t="s">
        <v>1</v>
      </c>
      <c r="C61038" s="0" t="s">
        <v>255</v>
      </c>
      <c r="E61038" s="0" t="s">
        <v>2196</v>
      </c>
      <c r="F61038" s="0" t="s">
        <v>4400</v>
      </c>
    </row>
    <row r="61039" customFormat="false" ht="12.8" hidden="false" customHeight="false" outlineLevel="0" collapsed="false">
      <c r="B61039" s="0" t="s">
        <v>8</v>
      </c>
      <c r="C61039" s="0" t="s">
        <v>10471</v>
      </c>
      <c r="E61039" s="0" t="s">
        <v>2200</v>
      </c>
      <c r="F61039" s="0" t="s">
        <v>7993</v>
      </c>
    </row>
    <row r="61040" customFormat="false" ht="12.8" hidden="false" customHeight="false" outlineLevel="0" collapsed="false">
      <c r="B61040" s="0" t="s">
        <v>631</v>
      </c>
      <c r="E61040" s="0" t="s">
        <v>1949</v>
      </c>
      <c r="F61040" s="0" t="s">
        <v>2896</v>
      </c>
    </row>
    <row r="61042" customFormat="false" ht="12.8" hidden="false" customHeight="false" outlineLevel="0" collapsed="false">
      <c r="A61042" s="0" t="s">
        <v>20495</v>
      </c>
      <c r="B61042" s="0" t="str">
        <f aca="false">HYPERLINK("https://lindat.mff.cuni.cz/services/teitok/pdtc10/index.php?action=vallex&amp;frame=v-w8540f1", "vyvážit (v-w8540f1)")</f>
        <v>vyvážit (v-w8540f1)</v>
      </c>
      <c r="E61042" s="0" t="str">
        <f aca="false">HYPERLINK("https://lindat.mff.cuni.cz/services/SynSemClass40/SynSemClass40.html?veclass=vec00356#vec00356-ces-cm00008", "vec00356")</f>
        <v>vec00356</v>
      </c>
      <c r="F61042" s="0" t="s">
        <v>5457</v>
      </c>
    </row>
    <row r="61043" customFormat="false" ht="12.8" hidden="false" customHeight="false" outlineLevel="0" collapsed="false">
      <c r="B61043" s="0" t="s">
        <v>1</v>
      </c>
      <c r="C61043" s="0" t="s">
        <v>5458</v>
      </c>
      <c r="E61043" s="0" t="s">
        <v>84</v>
      </c>
      <c r="F61043" s="0" t="s">
        <v>5459</v>
      </c>
    </row>
    <row r="61044" customFormat="false" ht="12.8" hidden="false" customHeight="false" outlineLevel="0" collapsed="false">
      <c r="B61044" s="0" t="s">
        <v>8</v>
      </c>
      <c r="C61044" s="0" t="s">
        <v>5460</v>
      </c>
      <c r="E61044" s="0" t="s">
        <v>4852</v>
      </c>
      <c r="F61044" s="0" t="s">
        <v>5461</v>
      </c>
    </row>
    <row r="61045" customFormat="false" ht="12.8" hidden="false" customHeight="false" outlineLevel="0" collapsed="false">
      <c r="B61045" s="0" t="s">
        <v>7045</v>
      </c>
      <c r="C61045" s="0" t="s">
        <v>13394</v>
      </c>
      <c r="E61045" s="0" t="s">
        <v>5445</v>
      </c>
      <c r="F61045" s="0" t="s">
        <v>20426</v>
      </c>
    </row>
    <row r="61047" customFormat="false" ht="12.8" hidden="false" customHeight="false" outlineLevel="0" collapsed="false">
      <c r="A61047" s="0" t="s">
        <v>20496</v>
      </c>
      <c r="B61047" s="0" t="str">
        <f aca="false">HYPERLINK("https://lindat.mff.cuni.cz/services/teitok/pdtc10/index.php?action=vallex&amp;frame=v-w8540f2_ZU", "vyvážit (v-w8540f2_ZU)")</f>
        <v>vyvážit (v-w8540f2_ZU)</v>
      </c>
      <c r="E61047" s="0" t="str">
        <f aca="false">HYPERLINK("https://lindat.mff.cuni.cz/services/SynSemClass40/SynSemClass40.html?veclass=vec00356#vec00356-ces-cm00009", "vec00356")</f>
        <v>vec00356</v>
      </c>
      <c r="F61047" s="0" t="s">
        <v>5457</v>
      </c>
      <c r="H61047" s="0" t="str">
        <f aca="false">HYPERLINK("https://lindat.mff.cuni.cz/services/SynSemClass40/SynSemClass40.html?veclass=vec01355#vec01355-ces-cm00009", "vec01355")</f>
        <v>vec01355</v>
      </c>
      <c r="I61047" s="0" t="s">
        <v>20001</v>
      </c>
    </row>
    <row r="61048" customFormat="false" ht="12.8" hidden="false" customHeight="false" outlineLevel="0" collapsed="false">
      <c r="B61048" s="0" t="s">
        <v>1</v>
      </c>
      <c r="C61048" s="0" t="s">
        <v>20497</v>
      </c>
      <c r="E61048" s="0" t="s">
        <v>84</v>
      </c>
      <c r="F61048" s="0" t="s">
        <v>5459</v>
      </c>
      <c r="H61048" s="0" t="s">
        <v>5529</v>
      </c>
      <c r="I61048" s="0" t="s">
        <v>20002</v>
      </c>
    </row>
    <row r="61049" customFormat="false" ht="12.8" hidden="false" customHeight="false" outlineLevel="0" collapsed="false">
      <c r="B61049" s="0" t="s">
        <v>8</v>
      </c>
      <c r="C61049" s="0" t="s">
        <v>20498</v>
      </c>
      <c r="E61049" s="0" t="s">
        <v>4852</v>
      </c>
      <c r="F61049" s="0" t="s">
        <v>5461</v>
      </c>
      <c r="H61049" s="0" t="s">
        <v>5531</v>
      </c>
      <c r="I61049" s="0" t="s">
        <v>20003</v>
      </c>
    </row>
    <row r="61051" customFormat="false" ht="12.8" hidden="false" customHeight="false" outlineLevel="0" collapsed="false">
      <c r="A61051" s="0" t="s">
        <v>20496</v>
      </c>
      <c r="B61051" s="0" t="str">
        <f aca="false">HYPERLINK("https://lindat.mff.cuni.cz/services/teitok/pdtc10/index.php?action=vallex&amp;frame=v-w8540hsa_1091", "vyvážit (v-w8540hsa_1091) - substituted with v-w8540f2_ZU")</f>
        <v>vyvážit (v-w8540hsa_1091) - substituted with v-w8540f2_ZU</v>
      </c>
    </row>
    <row r="61052" customFormat="false" ht="12.8" hidden="false" customHeight="false" outlineLevel="0" collapsed="false">
      <c r="B61052" s="0" t="s">
        <v>1</v>
      </c>
    </row>
    <row r="61053" customFormat="false" ht="12.8" hidden="false" customHeight="false" outlineLevel="0" collapsed="false">
      <c r="B61053" s="0" t="s">
        <v>8</v>
      </c>
    </row>
    <row r="61055" customFormat="false" ht="12.8" hidden="false" customHeight="false" outlineLevel="0" collapsed="false">
      <c r="A61055" s="0" t="s">
        <v>20499</v>
      </c>
      <c r="B61055" s="0" t="str">
        <f aca="false">HYPERLINK("https://lindat.mff.cuni.cz/services/teitok/pdtc10/index.php?action=vallex&amp;frame=v-w8544f1", "vyvést (v-w8544f1)")</f>
        <v>vyvést (v-w8544f1)</v>
      </c>
    </row>
    <row r="61056" customFormat="false" ht="12.8" hidden="false" customHeight="false" outlineLevel="0" collapsed="false">
      <c r="B61056" s="0" t="s">
        <v>1</v>
      </c>
    </row>
    <row r="61057" customFormat="false" ht="12.8" hidden="false" customHeight="false" outlineLevel="0" collapsed="false">
      <c r="B61057" s="0" t="s">
        <v>8</v>
      </c>
    </row>
    <row r="61058" customFormat="false" ht="12.8" hidden="false" customHeight="false" outlineLevel="0" collapsed="false">
      <c r="B61058" s="0" t="s">
        <v>36</v>
      </c>
    </row>
    <row r="61060" customFormat="false" ht="12.8" hidden="false" customHeight="false" outlineLevel="0" collapsed="false">
      <c r="A61060" s="0" t="s">
        <v>20500</v>
      </c>
      <c r="B61060" s="0" t="str">
        <f aca="false">HYPERLINK("https://lindat.mff.cuni.cz/services/teitok/pdtc10/index.php?action=vallex&amp;frame=v-w8544f3", "vyvést (v-w8544f3)")</f>
        <v>vyvést (v-w8544f3)</v>
      </c>
      <c r="E61060" s="0" t="str">
        <f aca="false">HYPERLINK("https://lindat.mff.cuni.cz/services/SynSemClass40/SynSemClass40.html?veclass=vec00172#vec00172-ces-cm00019", "vec00172")</f>
        <v>vec00172</v>
      </c>
      <c r="F61060" s="0" t="s">
        <v>2513</v>
      </c>
    </row>
    <row r="61061" customFormat="false" ht="12.8" hidden="false" customHeight="false" outlineLevel="0" collapsed="false">
      <c r="B61061" s="0" t="s">
        <v>1</v>
      </c>
      <c r="C61061" s="0" t="s">
        <v>9473</v>
      </c>
      <c r="E61061" s="0" t="s">
        <v>2196</v>
      </c>
      <c r="F61061" s="0" t="s">
        <v>2515</v>
      </c>
    </row>
    <row r="61062" customFormat="false" ht="12.8" hidden="false" customHeight="false" outlineLevel="0" collapsed="false">
      <c r="B61062" s="0" t="s">
        <v>8</v>
      </c>
      <c r="C61062" s="0" t="s">
        <v>9474</v>
      </c>
      <c r="E61062" s="0" t="s">
        <v>2200</v>
      </c>
      <c r="F61062" s="0" t="s">
        <v>2517</v>
      </c>
    </row>
    <row r="61063" customFormat="false" ht="12.8" hidden="false" customHeight="false" outlineLevel="0" collapsed="false">
      <c r="B61063" s="0" t="s">
        <v>631</v>
      </c>
      <c r="E61063" s="0" t="s">
        <v>1949</v>
      </c>
      <c r="F61063" s="0" t="s">
        <v>2896</v>
      </c>
    </row>
    <row r="61065" customFormat="false" ht="12.8" hidden="false" customHeight="false" outlineLevel="0" collapsed="false">
      <c r="A61065" s="0" t="s">
        <v>20501</v>
      </c>
      <c r="B61065" s="0" t="str">
        <f aca="false">HYPERLINK("https://lindat.mff.cuni.cz/services/teitok/pdtc10/index.php?action=vallex&amp;frame=v-w8544f2", "vyvést (v-w8544f2)")</f>
        <v>vyvést (v-w8544f2)</v>
      </c>
      <c r="E61065" s="0" t="str">
        <f aca="false">HYPERLINK("https://lindat.mff.cuni.cz/services/SynSemClass40/SynSemClass40.html?veclass=vec01385#vec01385-ces-cm00014", "vec01385")</f>
        <v>vec01385</v>
      </c>
      <c r="F61065" s="0" t="s">
        <v>15033</v>
      </c>
    </row>
    <row r="61066" customFormat="false" ht="12.8" hidden="false" customHeight="false" outlineLevel="0" collapsed="false">
      <c r="B61066" s="0" t="s">
        <v>1</v>
      </c>
      <c r="C61066" s="0" t="s">
        <v>15034</v>
      </c>
      <c r="E61066" s="0" t="s">
        <v>1103</v>
      </c>
      <c r="F61066" s="0" t="s">
        <v>15035</v>
      </c>
    </row>
    <row r="61067" customFormat="false" ht="12.8" hidden="false" customHeight="false" outlineLevel="0" collapsed="false">
      <c r="B61067" s="0" t="s">
        <v>20478</v>
      </c>
    </row>
    <row r="61068" customFormat="false" ht="12.8" hidden="false" customHeight="false" outlineLevel="0" collapsed="false">
      <c r="B61068" s="0" t="s">
        <v>8</v>
      </c>
      <c r="C61068" s="0" t="s">
        <v>15036</v>
      </c>
      <c r="E61068" s="0" t="s">
        <v>142</v>
      </c>
      <c r="F61068" s="0" t="s">
        <v>15037</v>
      </c>
    </row>
    <row r="61070" customFormat="false" ht="12.8" hidden="false" customHeight="false" outlineLevel="0" collapsed="false">
      <c r="A61070" s="0" t="s">
        <v>20502</v>
      </c>
      <c r="B61070" s="0" t="str">
        <f aca="false">HYPERLINK("https://lindat.mff.cuni.cz/services/teitok/pdtc10/index.php?action=vallex&amp;frame=v-w8544f4_ZU", "vyvést (v-w8544f4_ZU)")</f>
        <v>vyvést (v-w8544f4_ZU)</v>
      </c>
      <c r="E61070" s="0" t="str">
        <f aca="false">HYPERLINK("https://lindat.mff.cuni.cz/services/SynSemClass40/SynSemClass40.html?veclass=vec01162#vec01162-ces-cm00008", "vec01162")</f>
        <v>vec01162</v>
      </c>
      <c r="F61070" s="0" t="s">
        <v>20314</v>
      </c>
      <c r="H61070" s="0" t="str">
        <f aca="false">HYPERLINK("https://lindat.mff.cuni.cz/services/SynSemClass40/SynSemClass40.html?veclass=vec01385#vec01385-ces-cm00015", "vec01385")</f>
        <v>vec01385</v>
      </c>
      <c r="I61070" s="0" t="s">
        <v>15033</v>
      </c>
    </row>
    <row r="61071" customFormat="false" ht="12.8" hidden="false" customHeight="false" outlineLevel="0" collapsed="false">
      <c r="B61071" s="0" t="s">
        <v>1</v>
      </c>
      <c r="C61071" s="0" t="s">
        <v>15034</v>
      </c>
      <c r="E61071" s="0" t="s">
        <v>31</v>
      </c>
      <c r="F61071" s="0" t="s">
        <v>49</v>
      </c>
      <c r="H61071" s="0" t="s">
        <v>1103</v>
      </c>
      <c r="I61071" s="0" t="s">
        <v>15035</v>
      </c>
    </row>
    <row r="61072" customFormat="false" ht="12.8" hidden="false" customHeight="false" outlineLevel="0" collapsed="false">
      <c r="B61072" s="0" t="s">
        <v>20503</v>
      </c>
      <c r="E61072" s="0" t="s">
        <v>20504</v>
      </c>
      <c r="F61072" s="0" t="s">
        <v>20505</v>
      </c>
    </row>
    <row r="61073" customFormat="false" ht="12.8" hidden="false" customHeight="false" outlineLevel="0" collapsed="false">
      <c r="B61073" s="0" t="s">
        <v>8</v>
      </c>
      <c r="C61073" s="0" t="s">
        <v>20506</v>
      </c>
      <c r="E61073" s="0" t="s">
        <v>1930</v>
      </c>
      <c r="F61073" s="0" t="s">
        <v>10595</v>
      </c>
      <c r="H61073" s="0" t="s">
        <v>142</v>
      </c>
      <c r="I61073" s="0" t="s">
        <v>15037</v>
      </c>
    </row>
    <row r="61075" customFormat="false" ht="12.8" hidden="false" customHeight="false" outlineLevel="0" collapsed="false">
      <c r="A61075" s="0" t="s">
        <v>20502</v>
      </c>
      <c r="B61075" s="0" t="str">
        <f aca="false">HYPERLINK("https://lindat.mff.cuni.cz/services/teitok/pdtc10/index.php?action=vallex&amp;frame=v-w8544hsa_501", "vyvést (v-w8544hsa_501) - substituted with v-w8544f4_ZU")</f>
        <v>vyvést (v-w8544hsa_501) - substituted with v-w8544f4_ZU</v>
      </c>
    </row>
    <row r="61076" customFormat="false" ht="12.8" hidden="false" customHeight="false" outlineLevel="0" collapsed="false">
      <c r="B61076" s="0" t="s">
        <v>1</v>
      </c>
    </row>
    <row r="61077" customFormat="false" ht="12.8" hidden="false" customHeight="false" outlineLevel="0" collapsed="false">
      <c r="B61077" s="0" t="s">
        <v>20503</v>
      </c>
    </row>
    <row r="61078" customFormat="false" ht="12.8" hidden="false" customHeight="false" outlineLevel="0" collapsed="false">
      <c r="B61078" s="0" t="s">
        <v>8</v>
      </c>
    </row>
    <row r="61080" customFormat="false" ht="12.8" hidden="false" customHeight="false" outlineLevel="0" collapsed="false">
      <c r="A61080" s="0" t="s">
        <v>20507</v>
      </c>
      <c r="B61080" s="0" t="str">
        <f aca="false">HYPERLINK("https://lindat.mff.cuni.cz/services/teitok/pdtc10/index.php?action=vallex&amp;frame=v-w8544hsa_1504", "vyvést (v-w8544hsa_1504)")</f>
        <v>vyvést (v-w8544hsa_1504)</v>
      </c>
    </row>
    <row r="61081" customFormat="false" ht="12.8" hidden="false" customHeight="false" outlineLevel="0" collapsed="false">
      <c r="B61081" s="0" t="s">
        <v>1</v>
      </c>
    </row>
    <row r="61082" customFormat="false" ht="12.8" hidden="false" customHeight="false" outlineLevel="0" collapsed="false">
      <c r="B61082" s="0" t="s">
        <v>8</v>
      </c>
    </row>
    <row r="61084" customFormat="false" ht="12.8" hidden="false" customHeight="false" outlineLevel="0" collapsed="false">
      <c r="A61084" s="0" t="s">
        <v>20508</v>
      </c>
      <c r="B61084" s="0" t="str">
        <f aca="false">HYPERLINK("https://lindat.mff.cuni.cz/services/teitok/pdtc10/index.php?action=vallex&amp;frame=v-w8545f1", "vyvést se (v-w8545f1)")</f>
        <v>vyvést se (v-w8545f1)</v>
      </c>
    </row>
    <row r="61085" customFormat="false" ht="12.8" hidden="false" customHeight="false" outlineLevel="0" collapsed="false">
      <c r="B61085" s="0" t="s">
        <v>804</v>
      </c>
    </row>
    <row r="61086" customFormat="false" ht="12.8" hidden="false" customHeight="false" outlineLevel="0" collapsed="false">
      <c r="B61086" s="0" t="s">
        <v>10717</v>
      </c>
    </row>
    <row r="61088" customFormat="false" ht="12.8" hidden="false" customHeight="false" outlineLevel="0" collapsed="false">
      <c r="A61088" s="0" t="s">
        <v>20509</v>
      </c>
      <c r="B61088" s="0" t="str">
        <f aca="false">HYPERLINK("https://lindat.mff.cuni.cz/services/teitok/pdtc10/index.php?action=vallex&amp;frame=v-w8547f1", "vyvézt (v-w8547f1)")</f>
        <v>vyvézt (v-w8547f1)</v>
      </c>
      <c r="E61088" s="0" t="str">
        <f aca="false">HYPERLINK("https://lindat.mff.cuni.cz/services/SynSemClass40/SynSemClass40.html?veclass=vec00566#vec00566-ces-cm00007", "vec00566")</f>
        <v>vec00566</v>
      </c>
      <c r="F61088" s="0" t="s">
        <v>7991</v>
      </c>
    </row>
    <row r="61089" customFormat="false" ht="12.8" hidden="false" customHeight="false" outlineLevel="0" collapsed="false">
      <c r="B61089" s="0" t="s">
        <v>1</v>
      </c>
      <c r="C61089" s="0" t="s">
        <v>255</v>
      </c>
      <c r="E61089" s="0" t="s">
        <v>2196</v>
      </c>
      <c r="F61089" s="0" t="s">
        <v>4400</v>
      </c>
    </row>
    <row r="61090" customFormat="false" ht="12.8" hidden="false" customHeight="false" outlineLevel="0" collapsed="false">
      <c r="B61090" s="0" t="s">
        <v>8</v>
      </c>
      <c r="C61090" s="0" t="s">
        <v>10471</v>
      </c>
      <c r="E61090" s="0" t="s">
        <v>2200</v>
      </c>
      <c r="F61090" s="0" t="s">
        <v>7993</v>
      </c>
    </row>
    <row r="61091" customFormat="false" ht="12.8" hidden="false" customHeight="false" outlineLevel="0" collapsed="false">
      <c r="B61091" s="0" t="s">
        <v>631</v>
      </c>
      <c r="E61091" s="0" t="s">
        <v>1949</v>
      </c>
      <c r="F61091" s="0" t="s">
        <v>2896</v>
      </c>
    </row>
    <row r="61093" customFormat="false" ht="12.8" hidden="false" customHeight="false" outlineLevel="0" collapsed="false">
      <c r="A61093" s="0" t="s">
        <v>20510</v>
      </c>
      <c r="B61093" s="0" t="str">
        <f aca="false">HYPERLINK("https://lindat.mff.cuni.cz/services/teitok/pdtc10/index.php?action=vallex&amp;frame=v-w8547f2_ZU", "vyvézt (v-w8547f2_ZU)")</f>
        <v>vyvézt (v-w8547f2_ZU)</v>
      </c>
    </row>
    <row r="61094" customFormat="false" ht="12.8" hidden="false" customHeight="false" outlineLevel="0" collapsed="false">
      <c r="B61094" s="0" t="s">
        <v>1</v>
      </c>
    </row>
    <row r="61095" customFormat="false" ht="12.8" hidden="false" customHeight="false" outlineLevel="0" collapsed="false">
      <c r="B61095" s="0" t="s">
        <v>8</v>
      </c>
    </row>
    <row r="61096" customFormat="false" ht="12.8" hidden="false" customHeight="false" outlineLevel="0" collapsed="false">
      <c r="B61096" s="0" t="s">
        <v>454</v>
      </c>
    </row>
    <row r="61098" customFormat="false" ht="12.8" hidden="false" customHeight="false" outlineLevel="0" collapsed="false">
      <c r="A61098" s="0" t="s">
        <v>20511</v>
      </c>
      <c r="B61098" s="0" t="str">
        <f aca="false">HYPERLINK("https://lindat.mff.cuni.cz/services/teitok/pdtc10/index.php?action=vallex&amp;frame=v-w8549f2", "vyvíjet (v-w8549f2)")</f>
        <v>vyvíjet (v-w8549f2)</v>
      </c>
      <c r="E61098" s="0" t="str">
        <f aca="false">HYPERLINK("https://lindat.mff.cuni.cz/services/SynSemClass40/SynSemClass40.html?veclass=vec00360#vec00360-ces-cm00022", "vec00360")</f>
        <v>vec00360</v>
      </c>
      <c r="F61098" s="0" t="s">
        <v>5330</v>
      </c>
    </row>
    <row r="61099" customFormat="false" ht="12.8" hidden="false" customHeight="false" outlineLevel="0" collapsed="false">
      <c r="B61099" s="0" t="s">
        <v>1</v>
      </c>
      <c r="C61099" s="0" t="s">
        <v>5331</v>
      </c>
      <c r="E61099" s="0" t="s">
        <v>768</v>
      </c>
      <c r="F61099" s="0" t="s">
        <v>5332</v>
      </c>
    </row>
    <row r="61100" customFormat="false" ht="12.8" hidden="false" customHeight="false" outlineLevel="0" collapsed="false">
      <c r="B61100" s="0" t="s">
        <v>8</v>
      </c>
      <c r="C61100" s="0" t="s">
        <v>5333</v>
      </c>
      <c r="E61100" s="0" t="s">
        <v>771</v>
      </c>
      <c r="F61100" s="0" t="s">
        <v>5334</v>
      </c>
    </row>
    <row r="61101" customFormat="false" ht="12.8" hidden="false" customHeight="false" outlineLevel="0" collapsed="false">
      <c r="B61101" s="0" t="s">
        <v>36</v>
      </c>
      <c r="C61101" s="0" t="s">
        <v>5335</v>
      </c>
      <c r="E61101" s="0" t="s">
        <v>787</v>
      </c>
      <c r="F61101" s="0" t="s">
        <v>5336</v>
      </c>
    </row>
    <row r="61103" customFormat="false" ht="12.8" hidden="false" customHeight="false" outlineLevel="0" collapsed="false">
      <c r="A61103" s="0" t="s">
        <v>20512</v>
      </c>
      <c r="B61103" s="0" t="str">
        <f aca="false">HYPERLINK("https://lindat.mff.cuni.cz/services/teitok/pdtc10/index.php?action=vallex&amp;frame=v-w8549hsa_298", "vyvíjet (v-w8549hsa_298)")</f>
        <v>vyvíjet (v-w8549hsa_298)</v>
      </c>
    </row>
    <row r="61104" customFormat="false" ht="12.8" hidden="false" customHeight="false" outlineLevel="0" collapsed="false">
      <c r="B61104" s="0" t="s">
        <v>1</v>
      </c>
    </row>
    <row r="61105" customFormat="false" ht="12.8" hidden="false" customHeight="false" outlineLevel="0" collapsed="false">
      <c r="B61105" s="0" t="s">
        <v>20513</v>
      </c>
    </row>
    <row r="61107" customFormat="false" ht="12.8" hidden="false" customHeight="false" outlineLevel="0" collapsed="false">
      <c r="A61107" s="0" t="s">
        <v>20512</v>
      </c>
      <c r="B61107" s="0" t="str">
        <f aca="false">HYPERLINK("https://lindat.mff.cuni.cz/services/teitok/pdtc10/index.php?action=vallex&amp;frame=v-w8549f1", "vyvíjet (v-w8549f1) - substituted with v-w8549hsa_298")</f>
        <v>vyvíjet (v-w8549f1) - substituted with v-w8549hsa_298</v>
      </c>
    </row>
    <row r="61108" customFormat="false" ht="12.8" hidden="false" customHeight="false" outlineLevel="0" collapsed="false">
      <c r="B61108" s="0" t="s">
        <v>1</v>
      </c>
    </row>
    <row r="61109" customFormat="false" ht="12.8" hidden="false" customHeight="false" outlineLevel="0" collapsed="false">
      <c r="B61109" s="0" t="s">
        <v>20513</v>
      </c>
    </row>
    <row r="61111" customFormat="false" ht="12.8" hidden="false" customHeight="false" outlineLevel="0" collapsed="false">
      <c r="A61111" s="0" t="s">
        <v>20512</v>
      </c>
      <c r="B61111" s="0" t="str">
        <f aca="false">HYPERLINK("https://lindat.mff.cuni.cz/services/teitok/pdtc10/index.php?action=vallex&amp;frame=v-w8549f3_ZU", "vyvíjet (v-w8549f3_ZU) - substituted with v-w8549hsa_298")</f>
        <v>vyvíjet (v-w8549f3_ZU) - substituted with v-w8549hsa_298</v>
      </c>
    </row>
    <row r="61112" customFormat="false" ht="12.8" hidden="false" customHeight="false" outlineLevel="0" collapsed="false">
      <c r="B61112" s="0" t="s">
        <v>1</v>
      </c>
    </row>
    <row r="61113" customFormat="false" ht="12.8" hidden="false" customHeight="false" outlineLevel="0" collapsed="false">
      <c r="B61113" s="0" t="s">
        <v>20513</v>
      </c>
    </row>
    <row r="61115" customFormat="false" ht="12.8" hidden="false" customHeight="false" outlineLevel="0" collapsed="false">
      <c r="A61115" s="0" t="s">
        <v>20514</v>
      </c>
      <c r="B61115" s="0" t="str">
        <f aca="false">HYPERLINK("https://lindat.mff.cuni.cz/services/teitok/pdtc10/index.php?action=vallex&amp;frame=v-w8550f1", "vyvíjet se (v-w8550f1)")</f>
        <v>vyvíjet se (v-w8550f1)</v>
      </c>
      <c r="E61115" s="0" t="str">
        <f aca="false">HYPERLINK("https://lindat.mff.cuni.cz/services/SynSemClass40/SynSemClass40.html?veclass=vec00510#vec00510-ces-cm00029", "vec00510")</f>
        <v>vec00510</v>
      </c>
      <c r="F61115" s="0" t="s">
        <v>4074</v>
      </c>
    </row>
    <row r="61116" customFormat="false" ht="12.8" hidden="false" customHeight="false" outlineLevel="0" collapsed="false">
      <c r="B61116" s="0" t="s">
        <v>1</v>
      </c>
      <c r="C61116" s="0" t="s">
        <v>5871</v>
      </c>
      <c r="E61116" s="0" t="s">
        <v>84</v>
      </c>
      <c r="F61116" s="0" t="s">
        <v>4077</v>
      </c>
    </row>
    <row r="61118" customFormat="false" ht="12.8" hidden="false" customHeight="false" outlineLevel="0" collapsed="false">
      <c r="A61118" s="0" t="s">
        <v>20515</v>
      </c>
      <c r="B61118" s="0" t="str">
        <f aca="false">HYPERLINK("https://lindat.mff.cuni.cz/services/teitok/pdtc10/index.php?action=vallex&amp;frame=v-w10104f2", "vyvěrat (v-w10104f2)")</f>
        <v>vyvěrat (v-w10104f2)</v>
      </c>
      <c r="E61118" s="0" t="str">
        <f aca="false">HYPERLINK("https://lindat.mff.cuni.cz/services/SynSemClass40/SynSemClass40.html?veclass=vec00258#vec00258-ces-cm00012", "vec00258")</f>
        <v>vec00258</v>
      </c>
      <c r="F61118" s="0" t="s">
        <v>10649</v>
      </c>
    </row>
    <row r="61119" customFormat="false" ht="12.8" hidden="false" customHeight="false" outlineLevel="0" collapsed="false">
      <c r="B61119" s="0" t="s">
        <v>1</v>
      </c>
      <c r="C61119" s="0" t="s">
        <v>10650</v>
      </c>
      <c r="E61119" s="0" t="s">
        <v>957</v>
      </c>
      <c r="F61119" s="0" t="s">
        <v>10651</v>
      </c>
    </row>
    <row r="61120" customFormat="false" ht="12.8" hidden="false" customHeight="false" outlineLevel="0" collapsed="false">
      <c r="B61120" s="0" t="s">
        <v>298</v>
      </c>
      <c r="C61120" s="0" t="s">
        <v>10652</v>
      </c>
      <c r="E61120" s="0" t="s">
        <v>6001</v>
      </c>
      <c r="F61120" s="0" t="s">
        <v>10653</v>
      </c>
    </row>
    <row r="61122" customFormat="false" ht="12.8" hidden="false" customHeight="false" outlineLevel="0" collapsed="false">
      <c r="A61122" s="0" t="s">
        <v>20516</v>
      </c>
      <c r="B61122" s="0" t="str">
        <f aca="false">HYPERLINK("https://lindat.mff.cuni.cz/services/teitok/pdtc10/index.php?action=vallex&amp;frame=v-w10104hsa_1753", "vyvěrat (v-w10104hsa_1753)")</f>
        <v>vyvěrat (v-w10104hsa_1753)</v>
      </c>
    </row>
    <row r="61123" customFormat="false" ht="12.8" hidden="false" customHeight="false" outlineLevel="0" collapsed="false">
      <c r="B61123" s="0" t="s">
        <v>1</v>
      </c>
    </row>
    <row r="61124" customFormat="false" ht="12.8" hidden="false" customHeight="false" outlineLevel="0" collapsed="false">
      <c r="B61124" s="0" t="s">
        <v>631</v>
      </c>
    </row>
    <row r="61126" customFormat="false" ht="12.8" hidden="false" customHeight="false" outlineLevel="0" collapsed="false">
      <c r="A61126" s="0" t="s">
        <v>20517</v>
      </c>
      <c r="B61126" s="0" t="str">
        <f aca="false">HYPERLINK("https://lindat.mff.cuni.cz/services/teitok/pdtc10/index.php?action=vallex&amp;frame=v-w8543f1", "vyvěsit (v-w8543f1)")</f>
        <v>vyvěsit (v-w8543f1)</v>
      </c>
      <c r="E61126" s="0" t="str">
        <f aca="false">HYPERLINK("https://lindat.mff.cuni.cz/services/SynSemClass40/SynSemClass40.html?veclass=vec00735#vec00735-ces-cm00162", "vec00735")</f>
        <v>vec00735</v>
      </c>
      <c r="F61126" s="0" t="s">
        <v>2719</v>
      </c>
    </row>
    <row r="61127" customFormat="false" ht="12.8" hidden="false" customHeight="false" outlineLevel="0" collapsed="false">
      <c r="B61127" s="0" t="s">
        <v>1</v>
      </c>
      <c r="C61127" s="0" t="s">
        <v>2720</v>
      </c>
      <c r="E61127" s="0" t="s">
        <v>334</v>
      </c>
      <c r="F61127" s="0" t="s">
        <v>2721</v>
      </c>
    </row>
    <row r="61128" customFormat="false" ht="12.8" hidden="false" customHeight="false" outlineLevel="0" collapsed="false">
      <c r="B61128" s="0" t="s">
        <v>228</v>
      </c>
      <c r="C61128" s="0" t="s">
        <v>2722</v>
      </c>
      <c r="E61128" s="0" t="s">
        <v>2648</v>
      </c>
      <c r="F61128" s="0" t="s">
        <v>2723</v>
      </c>
    </row>
    <row r="61130" customFormat="false" ht="12.8" hidden="false" customHeight="false" outlineLevel="0" collapsed="false">
      <c r="A61130" s="0" t="s">
        <v>20518</v>
      </c>
      <c r="B61130" s="0" t="str">
        <f aca="false">HYPERLINK("https://lindat.mff.cuni.cz/services/teitok/pdtc10/index.php?action=vallex&amp;frame=v-w12321_MMf1_MM", "vyvětrat (v-w12321_MMf1_MM)")</f>
        <v>vyvětrat (v-w12321_MMf1_MM)</v>
      </c>
    </row>
    <row r="61131" customFormat="false" ht="12.8" hidden="false" customHeight="false" outlineLevel="0" collapsed="false">
      <c r="B61131" s="0" t="s">
        <v>1</v>
      </c>
    </row>
    <row r="61132" customFormat="false" ht="12.8" hidden="false" customHeight="false" outlineLevel="0" collapsed="false">
      <c r="B61132" s="0" t="s">
        <v>8</v>
      </c>
    </row>
    <row r="61134" customFormat="false" ht="12.8" hidden="false" customHeight="false" outlineLevel="0" collapsed="false">
      <c r="A61134" s="0" t="s">
        <v>20519</v>
      </c>
      <c r="B61134" s="0" t="str">
        <f aca="false">HYPERLINK("https://lindat.mff.cuni.cz/services/teitok/pdtc10/index.php?action=vallex&amp;frame=v-w10904f2", "vyvěšovat (v-w10904f2)")</f>
        <v>vyvěšovat (v-w10904f2)</v>
      </c>
    </row>
    <row r="61135" customFormat="false" ht="12.8" hidden="false" customHeight="false" outlineLevel="0" collapsed="false">
      <c r="B61135" s="0" t="s">
        <v>1</v>
      </c>
    </row>
    <row r="61136" customFormat="false" ht="12.8" hidden="false" customHeight="false" outlineLevel="0" collapsed="false">
      <c r="B61136" s="0" t="s">
        <v>228</v>
      </c>
    </row>
    <row r="61138" customFormat="false" ht="12.8" hidden="false" customHeight="false" outlineLevel="0" collapsed="false">
      <c r="A61138" s="0" t="s">
        <v>20520</v>
      </c>
      <c r="B61138" s="0" t="str">
        <f aca="false">HYPERLINK("https://lindat.mff.cuni.cz/services/teitok/pdtc10/index.php?action=vallex&amp;frame=v-w8578f2", "vyzařovat (v-w8578f2)")</f>
        <v>vyzařovat (v-w8578f2)</v>
      </c>
      <c r="E61138" s="0" t="str">
        <f aca="false">HYPERLINK("https://lindat.mff.cuni.cz/services/SynSemClass40/SynSemClass40.html?veclass=vec00258#vec00258-ces-cm00064", "vec00258")</f>
        <v>vec00258</v>
      </c>
      <c r="F61138" s="0" t="s">
        <v>10649</v>
      </c>
    </row>
    <row r="61139" customFormat="false" ht="12.8" hidden="false" customHeight="false" outlineLevel="0" collapsed="false">
      <c r="B61139" s="0" t="s">
        <v>1</v>
      </c>
      <c r="C61139" s="0" t="s">
        <v>20521</v>
      </c>
      <c r="E61139" s="0" t="s">
        <v>472</v>
      </c>
      <c r="F61139" s="0" t="s">
        <v>20522</v>
      </c>
    </row>
    <row r="61140" customFormat="false" ht="12.8" hidden="false" customHeight="false" outlineLevel="0" collapsed="false">
      <c r="B61140" s="0" t="s">
        <v>8</v>
      </c>
      <c r="C61140" s="0" t="s">
        <v>20523</v>
      </c>
      <c r="E61140" s="0" t="s">
        <v>34</v>
      </c>
      <c r="F61140" s="0" t="s">
        <v>20524</v>
      </c>
    </row>
    <row r="61142" customFormat="false" ht="12.8" hidden="false" customHeight="false" outlineLevel="0" collapsed="false">
      <c r="A61142" s="0" t="s">
        <v>20525</v>
      </c>
      <c r="B61142" s="0" t="str">
        <f aca="false">HYPERLINK("https://lindat.mff.cuni.cz/services/teitok/pdtc10/index.php?action=vallex&amp;frame=v-w8578f1", "vyzařovat (v-w8578f1)")</f>
        <v>vyzařovat (v-w8578f1)</v>
      </c>
      <c r="E61142" s="0" t="str">
        <f aca="false">HYPERLINK("https://lindat.mff.cuni.cz/services/SynSemClass40/SynSemClass40.html?veclass=vec00258#vec00258-ces-cm00063", "vec00258")</f>
        <v>vec00258</v>
      </c>
      <c r="F61142" s="0" t="s">
        <v>10649</v>
      </c>
    </row>
    <row r="61143" customFormat="false" ht="12.8" hidden="false" customHeight="false" outlineLevel="0" collapsed="false">
      <c r="B61143" s="0" t="s">
        <v>1</v>
      </c>
      <c r="C61143" s="0" t="s">
        <v>10650</v>
      </c>
      <c r="E61143" s="0" t="s">
        <v>957</v>
      </c>
      <c r="F61143" s="0" t="s">
        <v>10651</v>
      </c>
    </row>
    <row r="61144" customFormat="false" ht="12.8" hidden="false" customHeight="false" outlineLevel="0" collapsed="false">
      <c r="B61144" s="0" t="s">
        <v>631</v>
      </c>
      <c r="C61144" s="0" t="s">
        <v>17231</v>
      </c>
      <c r="E61144" s="0" t="s">
        <v>4096</v>
      </c>
      <c r="F61144" s="0" t="s">
        <v>17232</v>
      </c>
    </row>
    <row r="61146" customFormat="false" ht="12.8" hidden="false" customHeight="false" outlineLevel="0" collapsed="false">
      <c r="A61146" s="0" t="s">
        <v>20526</v>
      </c>
      <c r="B61146" s="0" t="str">
        <f aca="false">HYPERLINK("https://lindat.mff.cuni.cz/services/teitok/pdtc10/index.php?action=vallex&amp;frame=v-w8579f1", "vyzbrojit (v-w8579f1)")</f>
        <v>vyzbrojit (v-w8579f1)</v>
      </c>
      <c r="E61146" s="0" t="str">
        <f aca="false">HYPERLINK("https://lindat.mff.cuni.cz/services/SynSemClass40/SynSemClass40.html?veclass=vec00752#vec00752-ces-cm00084", "vec00752")</f>
        <v>vec00752</v>
      </c>
      <c r="F61146" s="0" t="s">
        <v>9764</v>
      </c>
    </row>
    <row r="61147" customFormat="false" ht="12.8" hidden="false" customHeight="false" outlineLevel="0" collapsed="false">
      <c r="B61147" s="0" t="s">
        <v>1</v>
      </c>
      <c r="C61147" s="0" t="s">
        <v>9765</v>
      </c>
      <c r="E61147" s="0" t="s">
        <v>9766</v>
      </c>
      <c r="F61147" s="0" t="s">
        <v>9767</v>
      </c>
    </row>
    <row r="61148" customFormat="false" ht="12.8" hidden="false" customHeight="false" outlineLevel="0" collapsed="false">
      <c r="B61148" s="0" t="s">
        <v>8</v>
      </c>
      <c r="C61148" s="0" t="s">
        <v>9768</v>
      </c>
      <c r="E61148" s="0" t="s">
        <v>2588</v>
      </c>
      <c r="F61148" s="0" t="s">
        <v>9769</v>
      </c>
    </row>
    <row r="61149" customFormat="false" ht="12.8" hidden="false" customHeight="false" outlineLevel="0" collapsed="false">
      <c r="B61149" s="0" t="s">
        <v>7045</v>
      </c>
      <c r="C61149" s="0" t="s">
        <v>9770</v>
      </c>
      <c r="E61149" s="0" t="s">
        <v>9771</v>
      </c>
      <c r="F61149" s="0" t="s">
        <v>9772</v>
      </c>
    </row>
    <row r="61151" customFormat="false" ht="12.8" hidden="false" customHeight="false" outlineLevel="0" collapsed="false">
      <c r="A61151" s="0" t="s">
        <v>20527</v>
      </c>
      <c r="B61151" s="0" t="str">
        <f aca="false">HYPERLINK("https://lindat.mff.cuni.cz/services/teitok/pdtc10/index.php?action=vallex&amp;frame=v-w11404f2_ZU", "vyzbrojit se (v-w11404f2_ZU)")</f>
        <v>vyzbrojit se (v-w11404f2_ZU)</v>
      </c>
      <c r="E61151" s="0" t="str">
        <f aca="false">HYPERLINK("https://lindat.mff.cuni.cz/services/SynSemClass40/SynSemClass40.html?veclass=vec01415#vec01415-ces-cm00004", "vec01415")</f>
        <v>vec01415</v>
      </c>
      <c r="F61151" s="0" t="s">
        <v>9498</v>
      </c>
    </row>
    <row r="61152" customFormat="false" ht="12.8" hidden="false" customHeight="false" outlineLevel="0" collapsed="false">
      <c r="B61152" s="0" t="s">
        <v>1</v>
      </c>
      <c r="E61152" s="0" t="s">
        <v>9501</v>
      </c>
      <c r="F61152" s="0" t="s">
        <v>9502</v>
      </c>
    </row>
    <row r="61153" customFormat="false" ht="12.8" hidden="false" customHeight="false" outlineLevel="0" collapsed="false">
      <c r="B61153" s="0" t="s">
        <v>4287</v>
      </c>
    </row>
    <row r="61155" customFormat="false" ht="12.8" hidden="false" customHeight="false" outlineLevel="0" collapsed="false">
      <c r="A61155" s="0" t="s">
        <v>20527</v>
      </c>
      <c r="B61155" s="0" t="str">
        <f aca="false">HYPERLINK("https://lindat.mff.cuni.cz/services/teitok/pdtc10/index.php?action=vallex&amp;frame=v-w11404f1", "vyzbrojit se (v-w11404f1) - substituted with v-w11404f2_ZU")</f>
        <v>vyzbrojit se (v-w11404f1) - substituted with v-w11404f2_ZU</v>
      </c>
    </row>
    <row r="61156" customFormat="false" ht="12.8" hidden="false" customHeight="false" outlineLevel="0" collapsed="false">
      <c r="B61156" s="0" t="s">
        <v>1</v>
      </c>
    </row>
    <row r="61157" customFormat="false" ht="12.8" hidden="false" customHeight="false" outlineLevel="0" collapsed="false">
      <c r="B61157" s="0" t="s">
        <v>4287</v>
      </c>
    </row>
    <row r="61159" customFormat="false" ht="12.8" hidden="false" customHeight="false" outlineLevel="0" collapsed="false">
      <c r="A61159" s="0" t="s">
        <v>20528</v>
      </c>
      <c r="B61159" s="0" t="str">
        <f aca="false">HYPERLINK("https://lindat.mff.cuni.cz/services/teitok/pdtc10/index.php?action=vallex&amp;frame=v-w8580f1", "vyzbrojovat (v-w8580f1)")</f>
        <v>vyzbrojovat (v-w8580f1)</v>
      </c>
    </row>
    <row r="61160" customFormat="false" ht="12.8" hidden="false" customHeight="false" outlineLevel="0" collapsed="false">
      <c r="B61160" s="0" t="s">
        <v>1</v>
      </c>
    </row>
    <row r="61161" customFormat="false" ht="12.8" hidden="false" customHeight="false" outlineLevel="0" collapsed="false">
      <c r="B61161" s="0" t="s">
        <v>8</v>
      </c>
    </row>
    <row r="61163" customFormat="false" ht="12.8" hidden="false" customHeight="false" outlineLevel="0" collapsed="false">
      <c r="A61163" s="0" t="s">
        <v>20529</v>
      </c>
      <c r="B61163" s="0" t="str">
        <f aca="false">HYPERLINK("https://lindat.mff.cuni.cz/services/teitok/pdtc10/index.php?action=vallex&amp;frame=v-w8581f1", "vyzdobit (v-w8581f1)")</f>
        <v>vyzdobit (v-w8581f1)</v>
      </c>
      <c r="E61163" s="0" t="str">
        <f aca="false">HYPERLINK("https://lindat.mff.cuni.cz/services/SynSemClass40/SynSemClass40.html?veclass=vec01363#vec01363-ces-cm00006", "vec01363")</f>
        <v>vec01363</v>
      </c>
      <c r="F61163" s="0" t="s">
        <v>7011</v>
      </c>
    </row>
    <row r="61164" customFormat="false" ht="12.8" hidden="false" customHeight="false" outlineLevel="0" collapsed="false">
      <c r="B61164" s="0" t="s">
        <v>1</v>
      </c>
      <c r="C61164" s="0" t="s">
        <v>3000</v>
      </c>
      <c r="E61164" s="0" t="s">
        <v>31</v>
      </c>
      <c r="F61164" s="0" t="s">
        <v>3001</v>
      </c>
    </row>
    <row r="61165" customFormat="false" ht="12.8" hidden="false" customHeight="false" outlineLevel="0" collapsed="false">
      <c r="B61165" s="0" t="s">
        <v>8</v>
      </c>
      <c r="C61165" s="0" t="s">
        <v>639</v>
      </c>
      <c r="E61165" s="0" t="s">
        <v>4782</v>
      </c>
      <c r="F61165" s="0" t="s">
        <v>7012</v>
      </c>
    </row>
    <row r="61167" customFormat="false" ht="12.8" hidden="false" customHeight="false" outlineLevel="0" collapsed="false">
      <c r="A61167" s="0" t="s">
        <v>20530</v>
      </c>
      <c r="B61167" s="0" t="str">
        <f aca="false">HYPERLINK("https://lindat.mff.cuni.cz/services/teitok/pdtc10/index.php?action=vallex&amp;frame=v-w8582f2", "vyzdvihnout (v-w8582f2)")</f>
        <v>vyzdvihnout (v-w8582f2)</v>
      </c>
    </row>
    <row r="61168" customFormat="false" ht="12.8" hidden="false" customHeight="false" outlineLevel="0" collapsed="false">
      <c r="B61168" s="0" t="s">
        <v>1</v>
      </c>
    </row>
    <row r="61169" customFormat="false" ht="12.8" hidden="false" customHeight="false" outlineLevel="0" collapsed="false">
      <c r="B61169" s="0" t="s">
        <v>8</v>
      </c>
    </row>
    <row r="61170" customFormat="false" ht="12.8" hidden="false" customHeight="false" outlineLevel="0" collapsed="false">
      <c r="B61170" s="0" t="s">
        <v>631</v>
      </c>
    </row>
    <row r="61172" customFormat="false" ht="12.8" hidden="false" customHeight="false" outlineLevel="0" collapsed="false">
      <c r="A61172" s="0" t="s">
        <v>20531</v>
      </c>
      <c r="B61172" s="0" t="str">
        <f aca="false">HYPERLINK("https://lindat.mff.cuni.cz/services/teitok/pdtc10/index.php?action=vallex&amp;frame=v-w8582f1", "vyzdvihnout (v-w8582f1)")</f>
        <v>vyzdvihnout (v-w8582f1)</v>
      </c>
      <c r="E61172" s="0" t="str">
        <f aca="false">HYPERLINK("https://lindat.mff.cuni.cz/services/SynSemClass40/SynSemClass40.html?veclass=vec00382#vec00382-ces-cm00023", "vec00382")</f>
        <v>vec00382</v>
      </c>
      <c r="F61172" s="0" t="s">
        <v>5369</v>
      </c>
    </row>
    <row r="61173" customFormat="false" ht="12.8" hidden="false" customHeight="false" outlineLevel="0" collapsed="false">
      <c r="B61173" s="0" t="s">
        <v>1</v>
      </c>
      <c r="C61173" s="0" t="s">
        <v>5370</v>
      </c>
      <c r="E61173" s="0" t="s">
        <v>63</v>
      </c>
      <c r="F61173" s="0" t="s">
        <v>5371</v>
      </c>
    </row>
    <row r="61174" customFormat="false" ht="12.8" hidden="false" customHeight="false" outlineLevel="0" collapsed="false">
      <c r="B61174" s="0" t="s">
        <v>8</v>
      </c>
      <c r="C61174" s="0" t="s">
        <v>10894</v>
      </c>
      <c r="E61174" s="0" t="s">
        <v>218</v>
      </c>
      <c r="F61174" s="0" t="s">
        <v>10895</v>
      </c>
    </row>
    <row r="61176" customFormat="false" ht="12.8" hidden="false" customHeight="false" outlineLevel="0" collapsed="false">
      <c r="A61176" s="0" t="s">
        <v>20532</v>
      </c>
      <c r="B61176" s="0" t="str">
        <f aca="false">HYPERLINK("https://lindat.mff.cuni.cz/services/teitok/pdtc10/index.php?action=vallex&amp;frame=v-w8582hsa_1951", "vyzdvihnout (v-w8582hsa_1951)")</f>
        <v>vyzdvihnout (v-w8582hsa_1951)</v>
      </c>
    </row>
    <row r="61177" customFormat="false" ht="12.8" hidden="false" customHeight="false" outlineLevel="0" collapsed="false">
      <c r="B61177" s="0" t="s">
        <v>1</v>
      </c>
    </row>
    <row r="61178" customFormat="false" ht="12.8" hidden="false" customHeight="false" outlineLevel="0" collapsed="false">
      <c r="B61178" s="0" t="s">
        <v>8</v>
      </c>
    </row>
    <row r="61179" customFormat="false" ht="12.8" hidden="false" customHeight="false" outlineLevel="0" collapsed="false">
      <c r="B61179" s="0" t="s">
        <v>164</v>
      </c>
    </row>
    <row r="61181" customFormat="false" ht="12.8" hidden="false" customHeight="false" outlineLevel="0" collapsed="false">
      <c r="A61181" s="0" t="s">
        <v>20533</v>
      </c>
      <c r="B61181" s="0" t="str">
        <f aca="false">HYPERLINK("https://lindat.mff.cuni.cz/services/teitok/pdtc10/index.php?action=vallex&amp;frame=v-w10558f4_ZU", "vyzdvihovat (v-w10558f4_ZU)")</f>
        <v>vyzdvihovat (v-w10558f4_ZU)</v>
      </c>
      <c r="E61181" s="0" t="str">
        <f aca="false">HYPERLINK("https://lindat.mff.cuni.cz/services/SynSemClass40/SynSemClass40.html?veclass=vec00382#vec00382-ces-cm00013", "vec00382")</f>
        <v>vec00382</v>
      </c>
      <c r="F61181" s="0" t="s">
        <v>5369</v>
      </c>
    </row>
    <row r="61182" customFormat="false" ht="12.8" hidden="false" customHeight="false" outlineLevel="0" collapsed="false">
      <c r="B61182" s="0" t="s">
        <v>1</v>
      </c>
      <c r="C61182" s="0" t="s">
        <v>5370</v>
      </c>
      <c r="E61182" s="0" t="s">
        <v>63</v>
      </c>
      <c r="F61182" s="0" t="s">
        <v>5371</v>
      </c>
    </row>
    <row r="61183" customFormat="false" ht="12.8" hidden="false" customHeight="false" outlineLevel="0" collapsed="false">
      <c r="B61183" s="0" t="s">
        <v>8</v>
      </c>
      <c r="C61183" s="0" t="s">
        <v>10894</v>
      </c>
      <c r="E61183" s="0" t="s">
        <v>218</v>
      </c>
      <c r="F61183" s="0" t="s">
        <v>10895</v>
      </c>
    </row>
    <row r="61185" customFormat="false" ht="12.8" hidden="false" customHeight="false" outlineLevel="0" collapsed="false">
      <c r="A61185" s="0" t="s">
        <v>20533</v>
      </c>
      <c r="B61185" s="0" t="str">
        <f aca="false">HYPERLINK("https://lindat.mff.cuni.cz/services/teitok/pdtc10/index.php?action=vallex&amp;frame=v-w10558f2", "vyzdvihovat (v-w10558f2) - substituted with v-w10558f4_ZU")</f>
        <v>vyzdvihovat (v-w10558f2) - substituted with v-w10558f4_ZU</v>
      </c>
    </row>
    <row r="61186" customFormat="false" ht="12.8" hidden="false" customHeight="false" outlineLevel="0" collapsed="false">
      <c r="B61186" s="0" t="s">
        <v>1</v>
      </c>
    </row>
    <row r="61187" customFormat="false" ht="12.8" hidden="false" customHeight="false" outlineLevel="0" collapsed="false">
      <c r="B61187" s="0" t="s">
        <v>8</v>
      </c>
    </row>
    <row r="61189" customFormat="false" ht="12.8" hidden="false" customHeight="false" outlineLevel="0" collapsed="false">
      <c r="A61189" s="0" t="s">
        <v>20533</v>
      </c>
      <c r="B61189" s="0" t="str">
        <f aca="false">HYPERLINK("https://lindat.mff.cuni.cz/services/teitok/pdtc10/index.php?action=vallex&amp;frame=v-w10558f3_ZU", "vyzdvihovat (v-w10558f3_ZU) - substituted with v-w10558f4_ZU")</f>
        <v>vyzdvihovat (v-w10558f3_ZU) - substituted with v-w10558f4_ZU</v>
      </c>
    </row>
    <row r="61190" customFormat="false" ht="12.8" hidden="false" customHeight="false" outlineLevel="0" collapsed="false">
      <c r="B61190" s="0" t="s">
        <v>1</v>
      </c>
    </row>
    <row r="61191" customFormat="false" ht="12.8" hidden="false" customHeight="false" outlineLevel="0" collapsed="false">
      <c r="B61191" s="0" t="s">
        <v>8</v>
      </c>
    </row>
    <row r="61193" customFormat="false" ht="12.8" hidden="false" customHeight="false" outlineLevel="0" collapsed="false">
      <c r="A61193" s="0" t="s">
        <v>20534</v>
      </c>
      <c r="B61193" s="0" t="str">
        <f aca="false">HYPERLINK("https://lindat.mff.cuni.cz/services/teitok/pdtc10/index.php?action=vallex&amp;frame=v-w11768_ZUf1_ZU", "vyzdívat (v-w11768_ZUf1_ZU)")</f>
        <v>vyzdívat (v-w11768_ZUf1_ZU)</v>
      </c>
    </row>
    <row r="61194" customFormat="false" ht="12.8" hidden="false" customHeight="false" outlineLevel="0" collapsed="false">
      <c r="B61194" s="0" t="s">
        <v>1</v>
      </c>
    </row>
    <row r="61195" customFormat="false" ht="12.8" hidden="false" customHeight="false" outlineLevel="0" collapsed="false">
      <c r="B61195" s="0" t="s">
        <v>8</v>
      </c>
    </row>
    <row r="61197" customFormat="false" ht="12.8" hidden="false" customHeight="false" outlineLevel="0" collapsed="false">
      <c r="A61197" s="0" t="s">
        <v>20535</v>
      </c>
      <c r="B61197" s="0" t="str">
        <f aca="false">HYPERLINK("https://lindat.mff.cuni.cz/services/teitok/pdtc10/index.php?action=vallex&amp;frame=v-w8586f1", "vyzkoumat (v-w8586f1)")</f>
        <v>vyzkoumat (v-w8586f1)</v>
      </c>
    </row>
    <row r="61198" customFormat="false" ht="12.8" hidden="false" customHeight="false" outlineLevel="0" collapsed="false">
      <c r="B61198" s="0" t="s">
        <v>1</v>
      </c>
    </row>
    <row r="61199" customFormat="false" ht="12.8" hidden="false" customHeight="false" outlineLevel="0" collapsed="false">
      <c r="B61199" s="0" t="s">
        <v>2493</v>
      </c>
    </row>
    <row r="61201" customFormat="false" ht="12.8" hidden="false" customHeight="false" outlineLevel="0" collapsed="false">
      <c r="A61201" s="0" t="s">
        <v>20536</v>
      </c>
      <c r="B61201" s="0" t="str">
        <f aca="false">HYPERLINK("https://lindat.mff.cuni.cz/services/teitok/pdtc10/index.php?action=vallex&amp;frame=v-w8588f1", "vyzkoušet (v-w8588f1)")</f>
        <v>vyzkoušet (v-w8588f1)</v>
      </c>
      <c r="E61201" s="0" t="str">
        <f aca="false">HYPERLINK("https://lindat.mff.cuni.cz/services/SynSemClass40/SynSemClass40.html?veclass=vec00058#vec00058-ces-cm00007", "vec00058")</f>
        <v>vec00058</v>
      </c>
      <c r="F61201" s="0" t="s">
        <v>8689</v>
      </c>
    </row>
    <row r="61202" customFormat="false" ht="12.8" hidden="false" customHeight="false" outlineLevel="0" collapsed="false">
      <c r="B61202" s="0" t="s">
        <v>1</v>
      </c>
      <c r="C61202" s="0" t="s">
        <v>1322</v>
      </c>
      <c r="E61202" s="0" t="s">
        <v>4455</v>
      </c>
      <c r="F61202" s="0" t="s">
        <v>8690</v>
      </c>
    </row>
    <row r="61203" customFormat="false" ht="12.8" hidden="false" customHeight="false" outlineLevel="0" collapsed="false">
      <c r="B61203" s="0" t="s">
        <v>1838</v>
      </c>
      <c r="C61203" s="0" t="s">
        <v>8691</v>
      </c>
      <c r="E61203" s="0" t="s">
        <v>180</v>
      </c>
      <c r="F61203" s="0" t="s">
        <v>8692</v>
      </c>
    </row>
    <row r="61205" customFormat="false" ht="12.8" hidden="false" customHeight="false" outlineLevel="0" collapsed="false">
      <c r="A61205" s="0" t="s">
        <v>20537</v>
      </c>
      <c r="B61205" s="0" t="str">
        <f aca="false">HYPERLINK("https://lindat.mff.cuni.cz/services/teitok/pdtc10/index.php?action=vallex&amp;frame=v-w8589f1", "vyzkoušet si (v-w8589f1)")</f>
        <v>vyzkoušet si (v-w8589f1)</v>
      </c>
    </row>
    <row r="61206" customFormat="false" ht="12.8" hidden="false" customHeight="false" outlineLevel="0" collapsed="false">
      <c r="B61206" s="0" t="s">
        <v>1</v>
      </c>
    </row>
    <row r="61207" customFormat="false" ht="12.8" hidden="false" customHeight="false" outlineLevel="0" collapsed="false">
      <c r="B61207" s="0" t="s">
        <v>402</v>
      </c>
    </row>
    <row r="61209" customFormat="false" ht="12.8" hidden="false" customHeight="false" outlineLevel="0" collapsed="false">
      <c r="A61209" s="0" t="s">
        <v>20538</v>
      </c>
      <c r="B61209" s="0" t="str">
        <f aca="false">HYPERLINK("https://lindat.mff.cuni.cz/services/teitok/pdtc10/index.php?action=vallex&amp;frame=v-w8596f1", "vyznamenat (v-w8596f1)")</f>
        <v>vyznamenat (v-w8596f1)</v>
      </c>
    </row>
    <row r="61210" customFormat="false" ht="12.8" hidden="false" customHeight="false" outlineLevel="0" collapsed="false">
      <c r="B61210" s="0" t="s">
        <v>1</v>
      </c>
    </row>
    <row r="61211" customFormat="false" ht="12.8" hidden="false" customHeight="false" outlineLevel="0" collapsed="false">
      <c r="B61211" s="0" t="s">
        <v>8</v>
      </c>
    </row>
    <row r="61213" customFormat="false" ht="12.8" hidden="false" customHeight="false" outlineLevel="0" collapsed="false">
      <c r="A61213" s="0" t="s">
        <v>20539</v>
      </c>
      <c r="B61213" s="0" t="str">
        <f aca="false">HYPERLINK("https://lindat.mff.cuni.cz/services/teitok/pdtc10/index.php?action=vallex&amp;frame=v-w12147_ZUf1_ZU", "vyznamenat se (v-w12147_ZUf1_ZU)")</f>
        <v>vyznamenat se (v-w12147_ZUf1_ZU)</v>
      </c>
    </row>
    <row r="61214" customFormat="false" ht="12.8" hidden="false" customHeight="false" outlineLevel="0" collapsed="false">
      <c r="B61214" s="0" t="s">
        <v>1</v>
      </c>
    </row>
    <row r="61216" customFormat="false" ht="12.8" hidden="false" customHeight="false" outlineLevel="0" collapsed="false">
      <c r="A61216" s="0" t="s">
        <v>20540</v>
      </c>
      <c r="B61216" s="0" t="str">
        <f aca="false">HYPERLINK("https://lindat.mff.cuni.cz/services/teitok/pdtc10/index.php?action=vallex&amp;frame=v-w8598f1", "vyznat se (v-w8598f1)")</f>
        <v>vyznat se (v-w8598f1)</v>
      </c>
    </row>
    <row r="61217" customFormat="false" ht="12.8" hidden="false" customHeight="false" outlineLevel="0" collapsed="false">
      <c r="B61217" s="0" t="s">
        <v>1</v>
      </c>
    </row>
    <row r="61218" customFormat="false" ht="12.8" hidden="false" customHeight="false" outlineLevel="0" collapsed="false">
      <c r="B61218" s="0" t="s">
        <v>536</v>
      </c>
    </row>
    <row r="61220" customFormat="false" ht="12.8" hidden="false" customHeight="false" outlineLevel="0" collapsed="false">
      <c r="A61220" s="0" t="s">
        <v>20541</v>
      </c>
      <c r="B61220" s="0" t="str">
        <f aca="false">HYPERLINK("https://lindat.mff.cuni.cz/services/teitok/pdtc10/index.php?action=vallex&amp;frame=v-w8598f2", "vyznat se (v-w8598f2)")</f>
        <v>vyznat se (v-w8598f2)</v>
      </c>
    </row>
    <row r="61221" customFormat="false" ht="12.8" hidden="false" customHeight="false" outlineLevel="0" collapsed="false">
      <c r="B61221" s="0" t="s">
        <v>1</v>
      </c>
    </row>
    <row r="61222" customFormat="false" ht="12.8" hidden="false" customHeight="false" outlineLevel="0" collapsed="false">
      <c r="B61222" s="0" t="s">
        <v>298</v>
      </c>
    </row>
    <row r="61224" customFormat="false" ht="12.8" hidden="false" customHeight="false" outlineLevel="0" collapsed="false">
      <c r="A61224" s="0" t="s">
        <v>20542</v>
      </c>
      <c r="B61224" s="0" t="str">
        <f aca="false">HYPERLINK("https://lindat.mff.cuni.cz/services/teitok/pdtc10/index.php?action=vallex&amp;frame=v-w8598f3_ZU", "vyznat se (v-w8598f3_ZU)")</f>
        <v>vyznat se (v-w8598f3_ZU)</v>
      </c>
    </row>
    <row r="61225" customFormat="false" ht="12.8" hidden="false" customHeight="false" outlineLevel="0" collapsed="false">
      <c r="B61225" s="0" t="s">
        <v>1</v>
      </c>
    </row>
    <row r="61226" customFormat="false" ht="12.8" hidden="false" customHeight="false" outlineLevel="0" collapsed="false">
      <c r="B61226" s="0" t="s">
        <v>1262</v>
      </c>
    </row>
    <row r="61228" customFormat="false" ht="12.8" hidden="false" customHeight="false" outlineLevel="0" collapsed="false">
      <c r="A61228" s="0" t="s">
        <v>20543</v>
      </c>
      <c r="B61228" s="0" t="str">
        <f aca="false">HYPERLINK("https://lindat.mff.cuni.cz/services/teitok/pdtc10/index.php?action=vallex&amp;frame=v-w8598hsa_485", "vyznat se (v-w8598hsa_485)")</f>
        <v>vyznat se (v-w8598hsa_485)</v>
      </c>
    </row>
    <row r="61229" customFormat="false" ht="12.8" hidden="false" customHeight="false" outlineLevel="0" collapsed="false">
      <c r="B61229" s="0" t="s">
        <v>1</v>
      </c>
    </row>
    <row r="61230" customFormat="false" ht="12.8" hidden="false" customHeight="false" outlineLevel="0" collapsed="false">
      <c r="B61230" s="0" t="s">
        <v>536</v>
      </c>
    </row>
    <row r="61232" customFormat="false" ht="12.8" hidden="false" customHeight="false" outlineLevel="0" collapsed="false">
      <c r="A61232" s="0" t="s">
        <v>20544</v>
      </c>
      <c r="B61232" s="0" t="str">
        <f aca="false">HYPERLINK("https://lindat.mff.cuni.cz/services/teitok/pdtc10/index.php?action=vallex&amp;frame=v-w8592f1", "vyznačit (v-w8592f1)")</f>
        <v>vyznačit (v-w8592f1)</v>
      </c>
    </row>
    <row r="61233" customFormat="false" ht="12.8" hidden="false" customHeight="false" outlineLevel="0" collapsed="false">
      <c r="B61233" s="0" t="s">
        <v>1</v>
      </c>
    </row>
    <row r="61234" customFormat="false" ht="12.8" hidden="false" customHeight="false" outlineLevel="0" collapsed="false">
      <c r="B61234" s="0" t="s">
        <v>1838</v>
      </c>
    </row>
    <row r="61236" customFormat="false" ht="12.8" hidden="false" customHeight="false" outlineLevel="0" collapsed="false">
      <c r="A61236" s="0" t="s">
        <v>20545</v>
      </c>
      <c r="B61236" s="0" t="str">
        <f aca="false">HYPERLINK("https://lindat.mff.cuni.cz/services/teitok/pdtc10/index.php?action=vallex&amp;frame=v-w8593f1", "vyznačovat se (v-w8593f1)")</f>
        <v>vyznačovat se (v-w8593f1)</v>
      </c>
      <c r="E61236" s="0" t="str">
        <f aca="false">HYPERLINK("https://lindat.mff.cuni.cz/services/SynSemClass40/SynSemClass40.html?veclass=vec01364#vec01364-ces-cm00003", "vec01364")</f>
        <v>vec01364</v>
      </c>
      <c r="F61236" s="0" t="s">
        <v>20546</v>
      </c>
    </row>
    <row r="61237" customFormat="false" ht="12.8" hidden="false" customHeight="false" outlineLevel="0" collapsed="false">
      <c r="B61237" s="0" t="s">
        <v>1</v>
      </c>
      <c r="C61237" s="0" t="s">
        <v>20547</v>
      </c>
      <c r="E61237" s="0" t="s">
        <v>957</v>
      </c>
      <c r="F61237" s="0" t="s">
        <v>20548</v>
      </c>
    </row>
    <row r="61238" customFormat="false" ht="12.8" hidden="false" customHeight="false" outlineLevel="0" collapsed="false">
      <c r="B61238" s="0" t="s">
        <v>286</v>
      </c>
      <c r="C61238" s="0" t="s">
        <v>20549</v>
      </c>
      <c r="E61238" s="0" t="s">
        <v>1544</v>
      </c>
      <c r="F61238" s="0" t="s">
        <v>20550</v>
      </c>
    </row>
    <row r="61240" customFormat="false" ht="12.8" hidden="false" customHeight="false" outlineLevel="0" collapsed="false">
      <c r="A61240" s="0" t="s">
        <v>20551</v>
      </c>
      <c r="B61240" s="0" t="str">
        <f aca="false">HYPERLINK("https://lindat.mff.cuni.cz/services/teitok/pdtc10/index.php?action=vallex&amp;frame=v-w8600f1", "vyznávat (v-w8600f1)")</f>
        <v>vyznávat (v-w8600f1)</v>
      </c>
    </row>
    <row r="61241" customFormat="false" ht="12.8" hidden="false" customHeight="false" outlineLevel="0" collapsed="false">
      <c r="B61241" s="0" t="s">
        <v>1</v>
      </c>
    </row>
    <row r="61242" customFormat="false" ht="12.8" hidden="false" customHeight="false" outlineLevel="0" collapsed="false">
      <c r="B61242" s="0" t="s">
        <v>8</v>
      </c>
    </row>
    <row r="61244" customFormat="false" ht="12.8" hidden="false" customHeight="false" outlineLevel="0" collapsed="false">
      <c r="A61244" s="0" t="s">
        <v>20552</v>
      </c>
      <c r="B61244" s="0" t="str">
        <f aca="false">HYPERLINK("https://lindat.mff.cuni.cz/services/teitok/pdtc10/index.php?action=vallex&amp;frame=v-w8602f1", "vyznít (v-w8602f1)")</f>
        <v>vyznít (v-w8602f1)</v>
      </c>
      <c r="E61244" s="0" t="str">
        <f aca="false">HYPERLINK("https://lindat.mff.cuni.cz/services/SynSemClass40/SynSemClass40.html?veclass=vec00164#vec00164-ces-cm00213", "vec00164")</f>
        <v>vec00164</v>
      </c>
      <c r="F61244" s="0" t="s">
        <v>4941</v>
      </c>
    </row>
    <row r="61245" customFormat="false" ht="12.8" hidden="false" customHeight="false" outlineLevel="0" collapsed="false">
      <c r="B61245" s="0" t="s">
        <v>1</v>
      </c>
      <c r="C61245" s="0" t="s">
        <v>4942</v>
      </c>
      <c r="E61245" s="0" t="s">
        <v>4943</v>
      </c>
      <c r="F61245" s="0" t="s">
        <v>4944</v>
      </c>
    </row>
    <row r="61246" customFormat="false" ht="12.8" hidden="false" customHeight="false" outlineLevel="0" collapsed="false">
      <c r="B61246" s="0" t="s">
        <v>725</v>
      </c>
      <c r="C61246" s="0" t="s">
        <v>12402</v>
      </c>
      <c r="E61246" s="0" t="s">
        <v>20553</v>
      </c>
      <c r="F61246" s="0" t="s">
        <v>20554</v>
      </c>
    </row>
    <row r="61247" customFormat="false" ht="12.8" hidden="false" customHeight="false" outlineLevel="0" collapsed="false">
      <c r="B61247" s="0" t="s">
        <v>642</v>
      </c>
      <c r="C61247" s="0" t="s">
        <v>4957</v>
      </c>
      <c r="E61247" s="0" t="s">
        <v>20553</v>
      </c>
      <c r="F61247" s="0" t="s">
        <v>20554</v>
      </c>
    </row>
    <row r="61249" customFormat="false" ht="12.8" hidden="false" customHeight="false" outlineLevel="0" collapsed="false">
      <c r="A61249" s="0" t="s">
        <v>20555</v>
      </c>
      <c r="B61249" s="0" t="str">
        <f aca="false">HYPERLINK("https://lindat.mff.cuni.cz/services/teitok/pdtc10/index.php?action=vallex&amp;frame=v-w8603f1", "vyznívat (v-w8603f1)")</f>
        <v>vyznívat (v-w8603f1)</v>
      </c>
      <c r="E61249" s="0" t="str">
        <f aca="false">HYPERLINK("https://lindat.mff.cuni.cz/services/SynSemClass40/SynSemClass40.html?veclass=vec00164#vec00164-ces-cm00256", "vec00164")</f>
        <v>vec00164</v>
      </c>
      <c r="F61249" s="0" t="s">
        <v>4941</v>
      </c>
    </row>
    <row r="61250" customFormat="false" ht="12.8" hidden="false" customHeight="false" outlineLevel="0" collapsed="false">
      <c r="B61250" s="0" t="s">
        <v>1</v>
      </c>
      <c r="C61250" s="0" t="s">
        <v>4942</v>
      </c>
      <c r="E61250" s="0" t="s">
        <v>4943</v>
      </c>
      <c r="F61250" s="0" t="s">
        <v>4944</v>
      </c>
    </row>
    <row r="61251" customFormat="false" ht="12.8" hidden="false" customHeight="false" outlineLevel="0" collapsed="false">
      <c r="B61251" s="0" t="s">
        <v>725</v>
      </c>
      <c r="C61251" s="0" t="s">
        <v>12402</v>
      </c>
      <c r="E61251" s="0" t="s">
        <v>20553</v>
      </c>
      <c r="F61251" s="0" t="s">
        <v>20554</v>
      </c>
    </row>
    <row r="61252" customFormat="false" ht="12.8" hidden="false" customHeight="false" outlineLevel="0" collapsed="false">
      <c r="B61252" s="0" t="s">
        <v>642</v>
      </c>
      <c r="C61252" s="0" t="s">
        <v>4957</v>
      </c>
      <c r="E61252" s="0" t="s">
        <v>20553</v>
      </c>
      <c r="F61252" s="0" t="s">
        <v>20554</v>
      </c>
    </row>
    <row r="61254" customFormat="false" ht="12.8" hidden="false" customHeight="false" outlineLevel="0" collapsed="false">
      <c r="A61254" s="0" t="s">
        <v>20556</v>
      </c>
      <c r="B61254" s="0" t="str">
        <f aca="false">HYPERLINK("https://lindat.mff.cuni.cz/services/teitok/pdtc10/index.php?action=vallex&amp;frame=v-w8604f1", "vyzobávat (v-w8604f1)")</f>
        <v>vyzobávat (v-w8604f1)</v>
      </c>
    </row>
    <row r="61255" customFormat="false" ht="12.8" hidden="false" customHeight="false" outlineLevel="0" collapsed="false">
      <c r="B61255" s="0" t="s">
        <v>1</v>
      </c>
    </row>
    <row r="61256" customFormat="false" ht="12.8" hidden="false" customHeight="false" outlineLevel="0" collapsed="false">
      <c r="B61256" s="0" t="s">
        <v>8</v>
      </c>
    </row>
    <row r="61257" customFormat="false" ht="12.8" hidden="false" customHeight="false" outlineLevel="0" collapsed="false">
      <c r="B61257" s="0" t="s">
        <v>631</v>
      </c>
    </row>
    <row r="61259" customFormat="false" ht="12.8" hidden="false" customHeight="false" outlineLevel="0" collapsed="false">
      <c r="A61259" s="0" t="s">
        <v>20557</v>
      </c>
      <c r="B61259" s="0" t="str">
        <f aca="false">HYPERLINK("https://lindat.mff.cuni.cz/services/teitok/pdtc10/index.php?action=vallex&amp;frame=v-whsa_1054f2_ZU", "vyzpovídat (v-whsa_1054f2_ZU)")</f>
        <v>vyzpovídat (v-whsa_1054f2_ZU)</v>
      </c>
    </row>
    <row r="61260" customFormat="false" ht="12.8" hidden="false" customHeight="false" outlineLevel="0" collapsed="false">
      <c r="B61260" s="0" t="s">
        <v>1</v>
      </c>
    </row>
    <row r="61261" customFormat="false" ht="12.8" hidden="false" customHeight="false" outlineLevel="0" collapsed="false">
      <c r="B61261" s="0" t="s">
        <v>98</v>
      </c>
    </row>
    <row r="61262" customFormat="false" ht="12.8" hidden="false" customHeight="false" outlineLevel="0" collapsed="false">
      <c r="B61262" s="0" t="s">
        <v>763</v>
      </c>
    </row>
    <row r="61264" customFormat="false" ht="12.8" hidden="false" customHeight="false" outlineLevel="0" collapsed="false">
      <c r="A61264" s="0" t="s">
        <v>20557</v>
      </c>
      <c r="B61264" s="0" t="str">
        <f aca="false">HYPERLINK("https://lindat.mff.cuni.cz/services/teitok/pdtc10/index.php?action=vallex&amp;frame=v-whsa_1054f1_ZU", "vyzpovídat (v-whsa_1054f1_ZU) - substituted with v-whsa_1054f2_ZU")</f>
        <v>vyzpovídat (v-whsa_1054f1_ZU) - substituted with v-whsa_1054f2_ZU</v>
      </c>
    </row>
    <row r="61265" customFormat="false" ht="12.8" hidden="false" customHeight="false" outlineLevel="0" collapsed="false">
      <c r="B61265" s="0" t="s">
        <v>1</v>
      </c>
    </row>
    <row r="61266" customFormat="false" ht="12.8" hidden="false" customHeight="false" outlineLevel="0" collapsed="false">
      <c r="B61266" s="0" t="s">
        <v>98</v>
      </c>
    </row>
    <row r="61267" customFormat="false" ht="12.8" hidden="false" customHeight="false" outlineLevel="0" collapsed="false">
      <c r="B61267" s="0" t="s">
        <v>763</v>
      </c>
    </row>
    <row r="61269" customFormat="false" ht="12.8" hidden="false" customHeight="false" outlineLevel="0" collapsed="false">
      <c r="A61269" s="0" t="s">
        <v>20557</v>
      </c>
      <c r="B61269" s="0" t="str">
        <f aca="false">HYPERLINK("https://lindat.mff.cuni.cz/services/teitok/pdtc10/index.php?action=vallex&amp;frame=v-whsa_1054hsa_1055", "vyzpovídat (v-whsa_1054hsa_1055) - substituted with v-whsa_1054f2_ZU")</f>
        <v>vyzpovídat (v-whsa_1054hsa_1055) - substituted with v-whsa_1054f2_ZU</v>
      </c>
      <c r="E61269" s="0" t="str">
        <f aca="false">HYPERLINK("https://lindat.mff.cuni.cz/services/SynSemClass40/SynSemClass40.html?veclass=vec00384#vec00384-ces-cm00021", "vec00384")</f>
        <v>vec00384</v>
      </c>
      <c r="F61269" s="0" t="s">
        <v>2985</v>
      </c>
    </row>
    <row r="61270" customFormat="false" ht="12.8" hidden="false" customHeight="false" outlineLevel="0" collapsed="false">
      <c r="B61270" s="0" t="s">
        <v>1</v>
      </c>
      <c r="C61270" s="0" t="s">
        <v>2986</v>
      </c>
      <c r="E61270" s="0" t="s">
        <v>147</v>
      </c>
      <c r="F61270" s="0" t="s">
        <v>2987</v>
      </c>
    </row>
    <row r="61271" customFormat="false" ht="12.8" hidden="false" customHeight="false" outlineLevel="0" collapsed="false">
      <c r="B61271" s="0" t="s">
        <v>98</v>
      </c>
      <c r="C61271" s="0" t="s">
        <v>2992</v>
      </c>
      <c r="E61271" s="0" t="s">
        <v>221</v>
      </c>
      <c r="F61271" s="0" t="s">
        <v>2993</v>
      </c>
    </row>
    <row r="61272" customFormat="false" ht="12.8" hidden="false" customHeight="false" outlineLevel="0" collapsed="false">
      <c r="B61272" s="0" t="s">
        <v>763</v>
      </c>
      <c r="C61272" s="0" t="s">
        <v>2989</v>
      </c>
      <c r="E61272" s="0" t="s">
        <v>218</v>
      </c>
      <c r="F61272" s="0" t="s">
        <v>2990</v>
      </c>
    </row>
    <row r="61274" customFormat="false" ht="12.8" hidden="false" customHeight="false" outlineLevel="0" collapsed="false">
      <c r="A61274" s="0" t="s">
        <v>20558</v>
      </c>
      <c r="B61274" s="0" t="str">
        <f aca="false">HYPERLINK("https://lindat.mff.cuni.cz/services/teitok/pdtc10/index.php?action=vallex&amp;frame=v-w8606f1", "vyzpovídat se (v-w8606f1)")</f>
        <v>vyzpovídat se (v-w8606f1)</v>
      </c>
    </row>
    <row r="61275" customFormat="false" ht="12.8" hidden="false" customHeight="false" outlineLevel="0" collapsed="false">
      <c r="B61275" s="0" t="s">
        <v>1</v>
      </c>
    </row>
    <row r="61276" customFormat="false" ht="12.8" hidden="false" customHeight="false" outlineLevel="0" collapsed="false">
      <c r="B61276" s="0" t="s">
        <v>763</v>
      </c>
    </row>
    <row r="61277" customFormat="false" ht="12.8" hidden="false" customHeight="false" outlineLevel="0" collapsed="false">
      <c r="B61277" s="0" t="s">
        <v>132</v>
      </c>
    </row>
    <row r="61279" customFormat="false" ht="12.8" hidden="false" customHeight="false" outlineLevel="0" collapsed="false">
      <c r="A61279" s="0" t="s">
        <v>20559</v>
      </c>
      <c r="B61279" s="0" t="str">
        <f aca="false">HYPERLINK("https://lindat.mff.cuni.cz/services/teitok/pdtc10/index.php?action=vallex&amp;frame=v-w8605f1", "vyzpívat (v-w8605f1)")</f>
        <v>vyzpívat (v-w8605f1)</v>
      </c>
    </row>
    <row r="61280" customFormat="false" ht="12.8" hidden="false" customHeight="false" outlineLevel="0" collapsed="false">
      <c r="B61280" s="0" t="s">
        <v>1</v>
      </c>
    </row>
    <row r="61281" customFormat="false" ht="12.8" hidden="false" customHeight="false" outlineLevel="0" collapsed="false">
      <c r="B61281" s="0" t="s">
        <v>8</v>
      </c>
    </row>
    <row r="61283" customFormat="false" ht="12.8" hidden="false" customHeight="false" outlineLevel="0" collapsed="false">
      <c r="A61283" s="0" t="s">
        <v>20560</v>
      </c>
      <c r="B61283" s="0" t="str">
        <f aca="false">HYPERLINK("https://lindat.mff.cuni.cz/services/teitok/pdtc10/index.php?action=vallex&amp;frame=v-w8607f1", "vyzradit (v-w8607f1)")</f>
        <v>vyzradit (v-w8607f1)</v>
      </c>
    </row>
    <row r="61284" customFormat="false" ht="12.8" hidden="false" customHeight="false" outlineLevel="0" collapsed="false">
      <c r="B61284" s="0" t="s">
        <v>1</v>
      </c>
    </row>
    <row r="61285" customFormat="false" ht="12.8" hidden="false" customHeight="false" outlineLevel="0" collapsed="false">
      <c r="B61285" s="0" t="s">
        <v>52</v>
      </c>
    </row>
    <row r="61286" customFormat="false" ht="12.8" hidden="false" customHeight="false" outlineLevel="0" collapsed="false">
      <c r="B61286" s="0" t="s">
        <v>19330</v>
      </c>
    </row>
    <row r="61287" customFormat="false" ht="12.8" hidden="false" customHeight="false" outlineLevel="0" collapsed="false">
      <c r="B61287" s="0" t="s">
        <v>12920</v>
      </c>
    </row>
    <row r="61289" customFormat="false" ht="12.8" hidden="false" customHeight="false" outlineLevel="0" collapsed="false">
      <c r="A61289" s="0" t="s">
        <v>20561</v>
      </c>
      <c r="B61289" s="0" t="str">
        <f aca="false">HYPERLINK("https://lindat.mff.cuni.cz/services/teitok/pdtc10/index.php?action=vallex&amp;frame=v-w8608f2", "vyzrát (v-w8608f2)")</f>
        <v>vyzrát (v-w8608f2)</v>
      </c>
      <c r="E61289" s="0" t="str">
        <f aca="false">HYPERLINK("https://lindat.mff.cuni.cz/services/SynSemClass40/SynSemClass40.html?veclass=vec00766#vec00766-ces-cm00001", "vec00766")</f>
        <v>vec00766</v>
      </c>
      <c r="F61289" s="0" t="s">
        <v>13514</v>
      </c>
    </row>
    <row r="61290" customFormat="false" ht="12.8" hidden="false" customHeight="false" outlineLevel="0" collapsed="false">
      <c r="B61290" s="0" t="s">
        <v>1</v>
      </c>
      <c r="E61290" s="0" t="s">
        <v>2106</v>
      </c>
      <c r="F61290" s="0" t="s">
        <v>5389</v>
      </c>
    </row>
    <row r="61291" customFormat="false" ht="12.8" hidden="false" customHeight="false" outlineLevel="0" collapsed="false">
      <c r="B61291" s="0" t="s">
        <v>45</v>
      </c>
      <c r="C61291" s="0" t="s">
        <v>1910</v>
      </c>
      <c r="E61291" s="0" t="s">
        <v>5392</v>
      </c>
      <c r="F61291" s="0" t="s">
        <v>13515</v>
      </c>
    </row>
    <row r="61293" customFormat="false" ht="12.8" hidden="false" customHeight="false" outlineLevel="0" collapsed="false">
      <c r="A61293" s="0" t="s">
        <v>20562</v>
      </c>
      <c r="B61293" s="0" t="str">
        <f aca="false">HYPERLINK("https://lindat.mff.cuni.cz/services/teitok/pdtc10/index.php?action=vallex&amp;frame=v-w8608f1", "vyzrát (v-w8608f1)")</f>
        <v>vyzrát (v-w8608f1)</v>
      </c>
    </row>
    <row r="61294" customFormat="false" ht="12.8" hidden="false" customHeight="false" outlineLevel="0" collapsed="false">
      <c r="B61294" s="0" t="s">
        <v>1</v>
      </c>
    </row>
    <row r="61296" customFormat="false" ht="12.8" hidden="false" customHeight="false" outlineLevel="0" collapsed="false">
      <c r="A61296" s="0" t="s">
        <v>20563</v>
      </c>
      <c r="B61296" s="0" t="str">
        <f aca="false">HYPERLINK("https://lindat.mff.cuni.cz/services/teitok/pdtc10/index.php?action=vallex&amp;frame=v-w11182f2", "vyzrávat (v-w11182f2)")</f>
        <v>vyzrávat (v-w11182f2)</v>
      </c>
      <c r="E61296" s="0" t="str">
        <f aca="false">HYPERLINK("https://lindat.mff.cuni.cz/services/SynSemClass40/SynSemClass40.html?veclass=vec01018#vec01018-ces-cm00006", "vec01018")</f>
        <v>vec01018</v>
      </c>
      <c r="F61296" s="0" t="s">
        <v>3141</v>
      </c>
    </row>
    <row r="61297" customFormat="false" ht="12.8" hidden="false" customHeight="false" outlineLevel="0" collapsed="false">
      <c r="B61297" s="0" t="s">
        <v>1</v>
      </c>
      <c r="C61297" s="0" t="s">
        <v>10</v>
      </c>
      <c r="E61297" s="0" t="s">
        <v>3142</v>
      </c>
      <c r="F61297" s="0" t="s">
        <v>3143</v>
      </c>
    </row>
    <row r="61299" customFormat="false" ht="12.8" hidden="false" customHeight="false" outlineLevel="0" collapsed="false">
      <c r="A61299" s="0" t="s">
        <v>20564</v>
      </c>
      <c r="B61299" s="0" t="str">
        <f aca="false">HYPERLINK("https://lindat.mff.cuni.cz/services/teitok/pdtc10/index.php?action=vallex&amp;frame=v-w8610f1", "vyztužit (v-w8610f1)")</f>
        <v>vyztužit (v-w8610f1)</v>
      </c>
    </row>
    <row r="61300" customFormat="false" ht="12.8" hidden="false" customHeight="false" outlineLevel="0" collapsed="false">
      <c r="B61300" s="0" t="s">
        <v>1</v>
      </c>
    </row>
    <row r="61301" customFormat="false" ht="12.8" hidden="false" customHeight="false" outlineLevel="0" collapsed="false">
      <c r="B61301" s="0" t="s">
        <v>8</v>
      </c>
    </row>
    <row r="61303" customFormat="false" ht="12.8" hidden="false" customHeight="false" outlineLevel="0" collapsed="false">
      <c r="A61303" s="0" t="s">
        <v>20565</v>
      </c>
      <c r="B61303" s="0" t="str">
        <f aca="false">HYPERLINK("https://lindat.mff.cuni.cz/services/teitok/pdtc10/index.php?action=vallex&amp;frame=v-w8614f1", "vyzvat (v-w8614f1)")</f>
        <v>vyzvat (v-w8614f1)</v>
      </c>
      <c r="E61303" s="0" t="str">
        <f aca="false">HYPERLINK("https://lindat.mff.cuni.cz/services/SynSemClass40/SynSemClass40.html?veclass=vec00361#vec00361-ces-cm00001", "vec00361")</f>
        <v>vec00361</v>
      </c>
      <c r="F61303" s="0" t="s">
        <v>7548</v>
      </c>
    </row>
    <row r="61304" customFormat="false" ht="12.8" hidden="false" customHeight="false" outlineLevel="0" collapsed="false">
      <c r="B61304" s="0" t="s">
        <v>1</v>
      </c>
      <c r="C61304" s="0" t="s">
        <v>4725</v>
      </c>
      <c r="E61304" s="0" t="s">
        <v>31</v>
      </c>
      <c r="F61304" s="0" t="s">
        <v>7550</v>
      </c>
    </row>
    <row r="61305" customFormat="false" ht="12.8" hidden="false" customHeight="false" outlineLevel="0" collapsed="false">
      <c r="B61305" s="0" t="s">
        <v>10622</v>
      </c>
      <c r="C61305" s="0" t="s">
        <v>10612</v>
      </c>
      <c r="E61305" s="0" t="s">
        <v>523</v>
      </c>
      <c r="F61305" s="0" t="s">
        <v>10613</v>
      </c>
    </row>
    <row r="61306" customFormat="false" ht="12.8" hidden="false" customHeight="false" outlineLevel="0" collapsed="false">
      <c r="B61306" s="0" t="s">
        <v>98</v>
      </c>
      <c r="C61306" s="0" t="s">
        <v>10614</v>
      </c>
      <c r="E61306" s="0" t="s">
        <v>564</v>
      </c>
      <c r="F61306" s="0" t="s">
        <v>10615</v>
      </c>
    </row>
    <row r="61308" customFormat="false" ht="12.8" hidden="false" customHeight="false" outlineLevel="0" collapsed="false">
      <c r="A61308" s="0" t="s">
        <v>20566</v>
      </c>
      <c r="B61308" s="0" t="str">
        <f aca="false">HYPERLINK("https://lindat.mff.cuni.cz/services/teitok/pdtc10/index.php?action=vallex&amp;frame=v-w8617f2", "vyzvednout (v-w8617f2)")</f>
        <v>vyzvednout (v-w8617f2)</v>
      </c>
    </row>
    <row r="61309" customFormat="false" ht="12.8" hidden="false" customHeight="false" outlineLevel="0" collapsed="false">
      <c r="B61309" s="0" t="s">
        <v>1</v>
      </c>
    </row>
    <row r="61310" customFormat="false" ht="12.8" hidden="false" customHeight="false" outlineLevel="0" collapsed="false">
      <c r="B61310" s="0" t="s">
        <v>8</v>
      </c>
    </row>
    <row r="61311" customFormat="false" ht="12.8" hidden="false" customHeight="false" outlineLevel="0" collapsed="false">
      <c r="B61311" s="0" t="s">
        <v>631</v>
      </c>
    </row>
    <row r="61313" customFormat="false" ht="12.8" hidden="false" customHeight="false" outlineLevel="0" collapsed="false">
      <c r="A61313" s="0" t="s">
        <v>20567</v>
      </c>
      <c r="B61313" s="0" t="str">
        <f aca="false">HYPERLINK("https://lindat.mff.cuni.cz/services/teitok/pdtc10/index.php?action=vallex&amp;frame=v-w8617f3", "vyzvednout (v-w8617f3)")</f>
        <v>vyzvednout (v-w8617f3)</v>
      </c>
    </row>
    <row r="61314" customFormat="false" ht="12.8" hidden="false" customHeight="false" outlineLevel="0" collapsed="false">
      <c r="B61314" s="0" t="s">
        <v>1</v>
      </c>
    </row>
    <row r="61315" customFormat="false" ht="12.8" hidden="false" customHeight="false" outlineLevel="0" collapsed="false">
      <c r="B61315" s="0" t="s">
        <v>228</v>
      </c>
    </row>
    <row r="61317" customFormat="false" ht="12.8" hidden="false" customHeight="false" outlineLevel="0" collapsed="false">
      <c r="A61317" s="0" t="s">
        <v>20568</v>
      </c>
      <c r="B61317" s="0" t="str">
        <f aca="false">HYPERLINK("https://lindat.mff.cuni.cz/services/teitok/pdtc10/index.php?action=vallex&amp;frame=v-w8617f1", "vyzvednout (v-w8617f1)")</f>
        <v>vyzvednout (v-w8617f1)</v>
      </c>
      <c r="E61317" s="0" t="str">
        <f aca="false">HYPERLINK("https://lindat.mff.cuni.cz/services/SynSemClass40/SynSemClass40.html?veclass=vec01164#vec01164-ces-cm00001", "vec01164")</f>
        <v>vec01164</v>
      </c>
      <c r="F61317" s="0" t="s">
        <v>20569</v>
      </c>
    </row>
    <row r="61318" customFormat="false" ht="12.8" hidden="false" customHeight="false" outlineLevel="0" collapsed="false">
      <c r="B61318" s="0" t="s">
        <v>1</v>
      </c>
      <c r="C61318" s="0" t="s">
        <v>1752</v>
      </c>
      <c r="E61318" s="0" t="s">
        <v>1567</v>
      </c>
      <c r="F61318" s="0" t="s">
        <v>20570</v>
      </c>
    </row>
    <row r="61319" customFormat="false" ht="12.8" hidden="false" customHeight="false" outlineLevel="0" collapsed="false">
      <c r="B61319" s="0" t="s">
        <v>8</v>
      </c>
      <c r="C61319" s="0" t="s">
        <v>158</v>
      </c>
      <c r="E61319" s="0" t="s">
        <v>1569</v>
      </c>
      <c r="F61319" s="0" t="s">
        <v>20571</v>
      </c>
    </row>
    <row r="61321" customFormat="false" ht="12.8" hidden="false" customHeight="false" outlineLevel="0" collapsed="false">
      <c r="A61321" s="0" t="s">
        <v>20572</v>
      </c>
      <c r="B61321" s="0" t="str">
        <f aca="false">HYPERLINK("https://lindat.mff.cuni.cz/services/teitok/pdtc10/index.php?action=vallex&amp;frame=v-w8615f2", "vyzvedávat (v-w8615f2)")</f>
        <v>vyzvedávat (v-w8615f2)</v>
      </c>
    </row>
    <row r="61322" customFormat="false" ht="12.8" hidden="false" customHeight="false" outlineLevel="0" collapsed="false">
      <c r="B61322" s="0" t="s">
        <v>1</v>
      </c>
    </row>
    <row r="61323" customFormat="false" ht="12.8" hidden="false" customHeight="false" outlineLevel="0" collapsed="false">
      <c r="B61323" s="0" t="s">
        <v>228</v>
      </c>
    </row>
    <row r="61325" customFormat="false" ht="12.8" hidden="false" customHeight="false" outlineLevel="0" collapsed="false">
      <c r="A61325" s="0" t="s">
        <v>20572</v>
      </c>
      <c r="B61325" s="0" t="str">
        <f aca="false">HYPERLINK("https://lindat.mff.cuni.cz/services/teitok/pdtc10/index.php?action=vallex&amp;frame=v-w8615f1", "vyzvedávat (v-w8615f1) - substituted with v-w8615f2")</f>
        <v>vyzvedávat (v-w8615f1) - substituted with v-w8615f2</v>
      </c>
    </row>
    <row r="61326" customFormat="false" ht="12.8" hidden="false" customHeight="false" outlineLevel="0" collapsed="false">
      <c r="B61326" s="0" t="s">
        <v>1</v>
      </c>
    </row>
    <row r="61327" customFormat="false" ht="12.8" hidden="false" customHeight="false" outlineLevel="0" collapsed="false">
      <c r="B61327" s="0" t="s">
        <v>228</v>
      </c>
    </row>
    <row r="61329" customFormat="false" ht="12.8" hidden="false" customHeight="false" outlineLevel="0" collapsed="false">
      <c r="A61329" s="0" t="s">
        <v>20573</v>
      </c>
      <c r="B61329" s="0" t="str">
        <f aca="false">HYPERLINK("https://lindat.mff.cuni.cz/services/teitok/pdtc10/index.php?action=vallex&amp;frame=v-w8615hsa_565", "vyzvedávat (v-w8615hsa_565)")</f>
        <v>vyzvedávat (v-w8615hsa_565)</v>
      </c>
    </row>
    <row r="61330" customFormat="false" ht="12.8" hidden="false" customHeight="false" outlineLevel="0" collapsed="false">
      <c r="B61330" s="0" t="s">
        <v>1</v>
      </c>
    </row>
    <row r="61331" customFormat="false" ht="12.8" hidden="false" customHeight="false" outlineLevel="0" collapsed="false">
      <c r="B61331" s="0" t="s">
        <v>8</v>
      </c>
    </row>
    <row r="61333" customFormat="false" ht="12.8" hidden="false" customHeight="false" outlineLevel="0" collapsed="false">
      <c r="A61333" s="0" t="s">
        <v>20574</v>
      </c>
      <c r="B61333" s="0" t="str">
        <f aca="false">HYPERLINK("https://lindat.mff.cuni.cz/services/teitok/pdtc10/index.php?action=vallex&amp;frame=v-w11072f2", "vyzvonit (v-w11072f2)")</f>
        <v>vyzvonit (v-w11072f2)</v>
      </c>
      <c r="E61333" s="0" t="str">
        <f aca="false">HYPERLINK("https://lindat.mff.cuni.cz/services/SynSemClass40/SynSemClass40.html?veclass=vec00060#vec00060-ces-cm00465", "vec00060")</f>
        <v>vec00060</v>
      </c>
      <c r="F61333" s="0" t="s">
        <v>213</v>
      </c>
    </row>
    <row r="61334" customFormat="false" ht="12.8" hidden="false" customHeight="false" outlineLevel="0" collapsed="false">
      <c r="B61334" s="0" t="s">
        <v>1</v>
      </c>
      <c r="C61334" s="0" t="s">
        <v>214</v>
      </c>
      <c r="E61334" s="0" t="s">
        <v>147</v>
      </c>
      <c r="F61334" s="0" t="s">
        <v>215</v>
      </c>
    </row>
    <row r="61335" customFormat="false" ht="12.8" hidden="false" customHeight="false" outlineLevel="0" collapsed="false">
      <c r="B61335" s="0" t="s">
        <v>52</v>
      </c>
      <c r="C61335" s="0" t="s">
        <v>220</v>
      </c>
      <c r="E61335" s="0" t="s">
        <v>221</v>
      </c>
      <c r="F61335" s="0" t="s">
        <v>222</v>
      </c>
    </row>
    <row r="61336" customFormat="false" ht="12.8" hidden="false" customHeight="false" outlineLevel="0" collapsed="false">
      <c r="B61336" s="0" t="s">
        <v>19330</v>
      </c>
      <c r="C61336" s="0" t="s">
        <v>2216</v>
      </c>
      <c r="E61336" s="0" t="s">
        <v>2217</v>
      </c>
      <c r="F61336" s="0" t="s">
        <v>2218</v>
      </c>
    </row>
    <row r="61337" customFormat="false" ht="12.8" hidden="false" customHeight="false" outlineLevel="0" collapsed="false">
      <c r="B61337" s="0" t="s">
        <v>12920</v>
      </c>
      <c r="C61337" s="0" t="s">
        <v>217</v>
      </c>
      <c r="E61337" s="0" t="s">
        <v>218</v>
      </c>
      <c r="F61337" s="0" t="s">
        <v>219</v>
      </c>
    </row>
    <row r="61339" customFormat="false" ht="12.8" hidden="false" customHeight="false" outlineLevel="0" collapsed="false">
      <c r="A61339" s="0" t="s">
        <v>20575</v>
      </c>
      <c r="B61339" s="0" t="str">
        <f aca="false">HYPERLINK("https://lindat.mff.cuni.cz/services/teitok/pdtc10/index.php?action=vallex&amp;frame=v-w12220_ZUf1_ZU", "vyzvrátit (v-w12220_ZUf1_ZU)")</f>
        <v>vyzvrátit (v-w12220_ZUf1_ZU)</v>
      </c>
    </row>
    <row r="61340" customFormat="false" ht="12.8" hidden="false" customHeight="false" outlineLevel="0" collapsed="false">
      <c r="B61340" s="0" t="s">
        <v>1</v>
      </c>
    </row>
    <row r="61341" customFormat="false" ht="12.8" hidden="false" customHeight="false" outlineLevel="0" collapsed="false">
      <c r="B61341" s="0" t="s">
        <v>305</v>
      </c>
    </row>
    <row r="61343" customFormat="false" ht="12.8" hidden="false" customHeight="false" outlineLevel="0" collapsed="false">
      <c r="A61343" s="0" t="s">
        <v>20576</v>
      </c>
      <c r="B61343" s="0" t="str">
        <f aca="false">HYPERLINK("https://lindat.mff.cuni.cz/services/teitok/pdtc10/index.php?action=vallex&amp;frame=v-w8612f1", "vyzvánět (v-w8612f1)")</f>
        <v>vyzvánět (v-w8612f1)</v>
      </c>
      <c r="E61343" s="0" t="str">
        <f aca="false">HYPERLINK("https://lindat.mff.cuni.cz/services/SynSemClass40/SynSemClass40.html?veclass=vec01254#vec01254-ces-cm00003", "vec01254")</f>
        <v>vec01254</v>
      </c>
      <c r="F61343" s="0" t="s">
        <v>10262</v>
      </c>
    </row>
    <row r="61344" customFormat="false" ht="12.8" hidden="false" customHeight="false" outlineLevel="0" collapsed="false">
      <c r="B61344" s="0" t="s">
        <v>1</v>
      </c>
      <c r="C61344" s="0" t="s">
        <v>1507</v>
      </c>
      <c r="E61344" s="0" t="s">
        <v>957</v>
      </c>
      <c r="F61344" s="0" t="s">
        <v>10263</v>
      </c>
    </row>
    <row r="61346" customFormat="false" ht="12.8" hidden="false" customHeight="false" outlineLevel="0" collapsed="false">
      <c r="A61346" s="0" t="s">
        <v>20577</v>
      </c>
      <c r="B61346" s="0" t="str">
        <f aca="false">HYPERLINK("https://lindat.mff.cuni.cz/services/teitok/pdtc10/index.php?action=vallex&amp;frame=v-w8619f1", "vyzvídat (v-w8619f1)")</f>
        <v>vyzvídat (v-w8619f1)</v>
      </c>
    </row>
    <row r="61347" customFormat="false" ht="12.8" hidden="false" customHeight="false" outlineLevel="0" collapsed="false">
      <c r="B61347" s="0" t="s">
        <v>1</v>
      </c>
    </row>
    <row r="61348" customFormat="false" ht="12.8" hidden="false" customHeight="false" outlineLevel="0" collapsed="false">
      <c r="B61348" s="0" t="s">
        <v>2745</v>
      </c>
    </row>
    <row r="61349" customFormat="false" ht="12.8" hidden="false" customHeight="false" outlineLevel="0" collapsed="false">
      <c r="B61349" s="0" t="s">
        <v>496</v>
      </c>
    </row>
    <row r="61350" customFormat="false" ht="12.8" hidden="false" customHeight="false" outlineLevel="0" collapsed="false">
      <c r="B61350" s="0" t="s">
        <v>20578</v>
      </c>
    </row>
    <row r="61352" customFormat="false" ht="12.8" hidden="false" customHeight="false" outlineLevel="0" collapsed="false">
      <c r="A61352" s="0" t="s">
        <v>20579</v>
      </c>
      <c r="B61352" s="0" t="str">
        <f aca="false">HYPERLINK("https://lindat.mff.cuni.cz/services/teitok/pdtc10/index.php?action=vallex&amp;frame=v-w8616f1", "vyzvědět (v-w8616f1)")</f>
        <v>vyzvědět (v-w8616f1)</v>
      </c>
    </row>
    <row r="61353" customFormat="false" ht="12.8" hidden="false" customHeight="false" outlineLevel="0" collapsed="false">
      <c r="B61353" s="0" t="s">
        <v>1</v>
      </c>
    </row>
    <row r="61354" customFormat="false" ht="12.8" hidden="false" customHeight="false" outlineLevel="0" collapsed="false">
      <c r="B61354" s="0" t="s">
        <v>2745</v>
      </c>
    </row>
    <row r="61355" customFormat="false" ht="12.8" hidden="false" customHeight="false" outlineLevel="0" collapsed="false">
      <c r="B61355" s="0" t="s">
        <v>496</v>
      </c>
    </row>
    <row r="61356" customFormat="false" ht="12.8" hidden="false" customHeight="false" outlineLevel="0" collapsed="false">
      <c r="B61356" s="0" t="s">
        <v>20578</v>
      </c>
    </row>
    <row r="61358" customFormat="false" ht="12.8" hidden="false" customHeight="false" outlineLevel="0" collapsed="false">
      <c r="A61358" s="0" t="s">
        <v>20580</v>
      </c>
      <c r="B61358" s="0" t="str">
        <f aca="false">HYPERLINK("https://lindat.mff.cuni.cz/services/teitok/pdtc10/index.php?action=vallex&amp;frame=v-w10864f2", "vyzískat (v-w10864f2)")</f>
        <v>vyzískat (v-w10864f2)</v>
      </c>
    </row>
    <row r="61359" customFormat="false" ht="12.8" hidden="false" customHeight="false" outlineLevel="0" collapsed="false">
      <c r="B61359" s="0" t="s">
        <v>1</v>
      </c>
    </row>
    <row r="61360" customFormat="false" ht="12.8" hidden="false" customHeight="false" outlineLevel="0" collapsed="false">
      <c r="B61360" s="0" t="s">
        <v>8</v>
      </c>
    </row>
    <row r="61361" customFormat="false" ht="12.8" hidden="false" customHeight="false" outlineLevel="0" collapsed="false">
      <c r="B61361" s="0" t="s">
        <v>8050</v>
      </c>
    </row>
    <row r="61363" customFormat="false" ht="12.8" hidden="false" customHeight="false" outlineLevel="0" collapsed="false">
      <c r="A61363" s="0" t="s">
        <v>20581</v>
      </c>
      <c r="B61363" s="0" t="str">
        <f aca="false">HYPERLINK("https://lindat.mff.cuni.cz/services/teitok/pdtc10/index.php?action=vallex&amp;frame=v-w8621f2_ZU", "vyzývat (v-w8621f2_ZU)")</f>
        <v>vyzývat (v-w8621f2_ZU)</v>
      </c>
      <c r="E61363" s="0" t="str">
        <f aca="false">HYPERLINK("https://lindat.mff.cuni.cz/services/SynSemClass40/SynSemClass40.html?veclass=vec00361#vec00361-ces-cm00041", "vec00361")</f>
        <v>vec00361</v>
      </c>
      <c r="F61363" s="0" t="s">
        <v>7548</v>
      </c>
    </row>
    <row r="61364" customFormat="false" ht="12.8" hidden="false" customHeight="false" outlineLevel="0" collapsed="false">
      <c r="B61364" s="0" t="s">
        <v>1</v>
      </c>
      <c r="C61364" s="0" t="s">
        <v>4725</v>
      </c>
      <c r="E61364" s="0" t="s">
        <v>31</v>
      </c>
      <c r="F61364" s="0" t="s">
        <v>7550</v>
      </c>
    </row>
    <row r="61365" customFormat="false" ht="12.8" hidden="false" customHeight="false" outlineLevel="0" collapsed="false">
      <c r="B61365" s="0" t="s">
        <v>20582</v>
      </c>
      <c r="C61365" s="0" t="s">
        <v>10612</v>
      </c>
      <c r="E61365" s="0" t="s">
        <v>523</v>
      </c>
      <c r="F61365" s="0" t="s">
        <v>10613</v>
      </c>
    </row>
    <row r="61366" customFormat="false" ht="12.8" hidden="false" customHeight="false" outlineLevel="0" collapsed="false">
      <c r="B61366" s="0" t="s">
        <v>98</v>
      </c>
      <c r="C61366" s="0" t="s">
        <v>10614</v>
      </c>
      <c r="E61366" s="0" t="s">
        <v>564</v>
      </c>
      <c r="F61366" s="0" t="s">
        <v>10615</v>
      </c>
    </row>
    <row r="61368" customFormat="false" ht="12.8" hidden="false" customHeight="false" outlineLevel="0" collapsed="false">
      <c r="A61368" s="0" t="s">
        <v>20581</v>
      </c>
      <c r="B61368" s="0" t="str">
        <f aca="false">HYPERLINK("https://lindat.mff.cuni.cz/services/teitok/pdtc10/index.php?action=vallex&amp;frame=v-w8621f1", "vyzývat (v-w8621f1) - substituted with v-w8621f2_ZU")</f>
        <v>vyzývat (v-w8621f1) - substituted with v-w8621f2_ZU</v>
      </c>
    </row>
    <row r="61369" customFormat="false" ht="12.8" hidden="false" customHeight="false" outlineLevel="0" collapsed="false">
      <c r="B61369" s="0" t="s">
        <v>1</v>
      </c>
    </row>
    <row r="61370" customFormat="false" ht="12.8" hidden="false" customHeight="false" outlineLevel="0" collapsed="false">
      <c r="B61370" s="0" t="s">
        <v>20582</v>
      </c>
    </row>
    <row r="61371" customFormat="false" ht="12.8" hidden="false" customHeight="false" outlineLevel="0" collapsed="false">
      <c r="B61371" s="0" t="s">
        <v>98</v>
      </c>
    </row>
    <row r="61373" customFormat="false" ht="12.8" hidden="false" customHeight="false" outlineLevel="0" collapsed="false">
      <c r="A61373" s="0" t="s">
        <v>20583</v>
      </c>
      <c r="B61373" s="0" t="str">
        <f aca="false">HYPERLINK("https://lindat.mff.cuni.cz/services/teitok/pdtc10/index.php?action=vallex&amp;frame=v-w8527f1", "vyústit (v-w8527f1)")</f>
        <v>vyústit (v-w8527f1)</v>
      </c>
      <c r="E61373" s="0" t="str">
        <f aca="false">HYPERLINK("https://lindat.mff.cuni.cz/services/SynSemClass40/SynSemClass40.html?veclass=vec00359#vec00359-ces-cm00001", "vec00359")</f>
        <v>vec00359</v>
      </c>
      <c r="F61373" s="0" t="s">
        <v>20584</v>
      </c>
    </row>
    <row r="61374" customFormat="false" ht="12.8" hidden="false" customHeight="false" outlineLevel="0" collapsed="false">
      <c r="B61374" s="0" t="s">
        <v>1</v>
      </c>
      <c r="C61374" s="0" t="s">
        <v>486</v>
      </c>
      <c r="E61374" s="0" t="s">
        <v>76</v>
      </c>
      <c r="F61374" s="0" t="s">
        <v>20585</v>
      </c>
    </row>
    <row r="61375" customFormat="false" ht="12.8" hidden="false" customHeight="false" outlineLevel="0" collapsed="false">
      <c r="B61375" s="0" t="s">
        <v>20586</v>
      </c>
      <c r="C61375" s="0" t="s">
        <v>20587</v>
      </c>
      <c r="E61375" s="0" t="s">
        <v>6358</v>
      </c>
      <c r="F61375" s="0" t="s">
        <v>20588</v>
      </c>
    </row>
    <row r="61377" customFormat="false" ht="12.8" hidden="false" customHeight="false" outlineLevel="0" collapsed="false">
      <c r="A61377" s="0" t="s">
        <v>20589</v>
      </c>
      <c r="B61377" s="0" t="str">
        <f aca="false">HYPERLINK("https://lindat.mff.cuni.cz/services/teitok/pdtc10/index.php?action=vallex&amp;frame=v-w8527f3", "vyústit (v-w8527f3)")</f>
        <v>vyústit (v-w8527f3)</v>
      </c>
    </row>
    <row r="61378" customFormat="false" ht="12.8" hidden="false" customHeight="false" outlineLevel="0" collapsed="false">
      <c r="B61378" s="0" t="s">
        <v>1</v>
      </c>
    </row>
    <row r="61379" customFormat="false" ht="12.8" hidden="false" customHeight="false" outlineLevel="0" collapsed="false">
      <c r="B61379" s="0" t="s">
        <v>5</v>
      </c>
    </row>
    <row r="61381" customFormat="false" ht="12.8" hidden="false" customHeight="false" outlineLevel="0" collapsed="false">
      <c r="A61381" s="0" t="s">
        <v>20590</v>
      </c>
      <c r="B61381" s="0" t="str">
        <f aca="false">HYPERLINK("https://lindat.mff.cuni.cz/services/teitok/pdtc10/index.php?action=vallex&amp;frame=v-w8527f2", "vyústit (v-w8527f2)")</f>
        <v>vyústit (v-w8527f2)</v>
      </c>
    </row>
    <row r="61382" customFormat="false" ht="12.8" hidden="false" customHeight="false" outlineLevel="0" collapsed="false">
      <c r="B61382" s="0" t="s">
        <v>1</v>
      </c>
    </row>
    <row r="61383" customFormat="false" ht="12.8" hidden="false" customHeight="false" outlineLevel="0" collapsed="false">
      <c r="B61383" s="0" t="s">
        <v>164</v>
      </c>
    </row>
    <row r="61385" customFormat="false" ht="12.8" hidden="false" customHeight="false" outlineLevel="0" collapsed="false">
      <c r="A61385" s="0" t="s">
        <v>20591</v>
      </c>
      <c r="B61385" s="0" t="str">
        <f aca="false">HYPERLINK("https://lindat.mff.cuni.cz/services/teitok/pdtc10/index.php?action=vallex&amp;frame=v-w8524f1", "vyúčtovat (v-w8524f1)")</f>
        <v>vyúčtovat (v-w8524f1)</v>
      </c>
      <c r="E61385" s="0" t="str">
        <f aca="false">HYPERLINK("https://lindat.mff.cuni.cz/services/SynSemClass40/SynSemClass40.html?veclass=vec00163#vec00163-ces-cm00295", "vec00163")</f>
        <v>vec00163</v>
      </c>
      <c r="F61385" s="0" t="s">
        <v>12451</v>
      </c>
      <c r="H61385" s="0" t="str">
        <f aca="false">HYPERLINK("https://lindat.mff.cuni.cz/services/SynSemClass40/SynSemClass40.html?veclass=vec00778#vec00778-ces-cm00016", "vec00778")</f>
        <v>vec00778</v>
      </c>
      <c r="I61385" s="0" t="s">
        <v>18636</v>
      </c>
    </row>
    <row r="61386" customFormat="false" ht="12.8" hidden="false" customHeight="false" outlineLevel="0" collapsed="false">
      <c r="B61386" s="0" t="s">
        <v>1</v>
      </c>
      <c r="C61386" s="0" t="s">
        <v>6344</v>
      </c>
      <c r="E61386" s="0" t="s">
        <v>31</v>
      </c>
      <c r="F61386" s="0" t="s">
        <v>608</v>
      </c>
      <c r="H61386" s="0" t="s">
        <v>31</v>
      </c>
      <c r="I61386" s="0" t="s">
        <v>18638</v>
      </c>
    </row>
    <row r="61387" customFormat="false" ht="12.8" hidden="false" customHeight="false" outlineLevel="0" collapsed="false">
      <c r="B61387" s="0" t="s">
        <v>8</v>
      </c>
      <c r="C61387" s="0" t="s">
        <v>2029</v>
      </c>
      <c r="E61387" s="0" t="s">
        <v>1347</v>
      </c>
      <c r="F61387" s="0" t="s">
        <v>12452</v>
      </c>
      <c r="H61387" s="0" t="s">
        <v>610</v>
      </c>
      <c r="I61387" s="0" t="s">
        <v>18640</v>
      </c>
    </row>
    <row r="61389" customFormat="false" ht="12.8" hidden="false" customHeight="false" outlineLevel="0" collapsed="false">
      <c r="A61389" s="0" t="s">
        <v>20592</v>
      </c>
      <c r="B61389" s="0" t="str">
        <f aca="false">HYPERLINK("https://lindat.mff.cuni.cz/services/teitok/pdtc10/index.php?action=vallex&amp;frame=v-w7816f2", "vyčerpat (v-w7816f2)")</f>
        <v>vyčerpat (v-w7816f2)</v>
      </c>
    </row>
    <row r="61390" customFormat="false" ht="12.8" hidden="false" customHeight="false" outlineLevel="0" collapsed="false">
      <c r="B61390" s="0" t="s">
        <v>1</v>
      </c>
    </row>
    <row r="61391" customFormat="false" ht="12.8" hidden="false" customHeight="false" outlineLevel="0" collapsed="false">
      <c r="B61391" s="0" t="s">
        <v>8</v>
      </c>
    </row>
    <row r="61392" customFormat="false" ht="12.8" hidden="false" customHeight="false" outlineLevel="0" collapsed="false">
      <c r="B61392" s="0" t="s">
        <v>631</v>
      </c>
    </row>
    <row r="61394" customFormat="false" ht="12.8" hidden="false" customHeight="false" outlineLevel="0" collapsed="false">
      <c r="A61394" s="0" t="s">
        <v>20593</v>
      </c>
      <c r="B61394" s="0" t="str">
        <f aca="false">HYPERLINK("https://lindat.mff.cuni.cz/services/teitok/pdtc10/index.php?action=vallex&amp;frame=v-w7816f1", "vyčerpat (v-w7816f1)")</f>
        <v>vyčerpat (v-w7816f1)</v>
      </c>
      <c r="E61394" s="0" t="str">
        <f aca="false">HYPERLINK("https://lindat.mff.cuni.cz/services/SynSemClass40/SynSemClass40.html?veclass=vec00147#vec00147-ces-cm00010", "vec00147")</f>
        <v>vec00147</v>
      </c>
      <c r="F61394" s="0" t="s">
        <v>1698</v>
      </c>
    </row>
    <row r="61395" customFormat="false" ht="12.8" hidden="false" customHeight="false" outlineLevel="0" collapsed="false">
      <c r="B61395" s="0" t="s">
        <v>1</v>
      </c>
      <c r="C61395" s="0" t="s">
        <v>1699</v>
      </c>
      <c r="E61395" s="0" t="s">
        <v>11</v>
      </c>
      <c r="F61395" s="0" t="s">
        <v>1700</v>
      </c>
    </row>
    <row r="61396" customFormat="false" ht="12.8" hidden="false" customHeight="false" outlineLevel="0" collapsed="false">
      <c r="B61396" s="0" t="s">
        <v>8</v>
      </c>
      <c r="C61396" s="0" t="s">
        <v>1701</v>
      </c>
      <c r="E61396" s="0" t="s">
        <v>1702</v>
      </c>
      <c r="F61396" s="0" t="s">
        <v>1703</v>
      </c>
    </row>
    <row r="61398" customFormat="false" ht="12.8" hidden="false" customHeight="false" outlineLevel="0" collapsed="false">
      <c r="A61398" s="0" t="s">
        <v>20594</v>
      </c>
      <c r="B61398" s="0" t="str">
        <f aca="false">HYPERLINK("https://lindat.mff.cuni.cz/services/teitok/pdtc10/index.php?action=vallex&amp;frame=v-w7816f3_ZU", "vyčerpat (v-w7816f3_ZU)")</f>
        <v>vyčerpat (v-w7816f3_ZU)</v>
      </c>
    </row>
    <row r="61399" customFormat="false" ht="12.8" hidden="false" customHeight="false" outlineLevel="0" collapsed="false">
      <c r="B61399" s="0" t="s">
        <v>1</v>
      </c>
    </row>
    <row r="61400" customFormat="false" ht="12.8" hidden="false" customHeight="false" outlineLevel="0" collapsed="false">
      <c r="B61400" s="0" t="s">
        <v>8</v>
      </c>
    </row>
    <row r="61402" customFormat="false" ht="12.8" hidden="false" customHeight="false" outlineLevel="0" collapsed="false">
      <c r="A61402" s="0" t="s">
        <v>20595</v>
      </c>
      <c r="B61402" s="0" t="str">
        <f aca="false">HYPERLINK("https://lindat.mff.cuni.cz/services/teitok/pdtc10/index.php?action=vallex&amp;frame=v-w7816f4_ZU", "vyčerpat (v-w7816f4_ZU)")</f>
        <v>vyčerpat (v-w7816f4_ZU)</v>
      </c>
    </row>
    <row r="61403" customFormat="false" ht="12.8" hidden="false" customHeight="false" outlineLevel="0" collapsed="false">
      <c r="B61403" s="0" t="s">
        <v>1</v>
      </c>
    </row>
    <row r="61404" customFormat="false" ht="12.8" hidden="false" customHeight="false" outlineLevel="0" collapsed="false">
      <c r="B61404" s="0" t="s">
        <v>8</v>
      </c>
    </row>
    <row r="61406" customFormat="false" ht="12.8" hidden="false" customHeight="false" outlineLevel="0" collapsed="false">
      <c r="A61406" s="0" t="s">
        <v>20596</v>
      </c>
      <c r="B61406" s="0" t="str">
        <f aca="false">HYPERLINK("https://lindat.mff.cuni.cz/services/teitok/pdtc10/index.php?action=vallex&amp;frame=v-w7817f1", "vyčerpat se (v-w7817f1)")</f>
        <v>vyčerpat se (v-w7817f1)</v>
      </c>
      <c r="E61406" s="0" t="str">
        <f aca="false">HYPERLINK("https://lindat.mff.cuni.cz/services/SynSemClass40/SynSemClass40.html?veclass=vec01463#vec01463-ces-cm00003", "vec01463")</f>
        <v>vec01463</v>
      </c>
      <c r="F61406" s="0" t="s">
        <v>17821</v>
      </c>
    </row>
    <row r="61407" customFormat="false" ht="12.8" hidden="false" customHeight="false" outlineLevel="0" collapsed="false">
      <c r="B61407" s="0" t="s">
        <v>1</v>
      </c>
      <c r="C61407" s="0" t="s">
        <v>17822</v>
      </c>
      <c r="E61407" s="0" t="s">
        <v>11</v>
      </c>
      <c r="F61407" s="0" t="s">
        <v>17823</v>
      </c>
    </row>
    <row r="61409" customFormat="false" ht="12.8" hidden="false" customHeight="false" outlineLevel="0" collapsed="false">
      <c r="A61409" s="0" t="s">
        <v>20597</v>
      </c>
      <c r="B61409" s="0" t="str">
        <f aca="false">HYPERLINK("https://lindat.mff.cuni.cz/services/teitok/pdtc10/index.php?action=vallex&amp;frame=v-w11112f3", "vyčerpávat (v-w11112f3)")</f>
        <v>vyčerpávat (v-w11112f3)</v>
      </c>
      <c r="E61409" s="0" t="str">
        <f aca="false">HYPERLINK("https://lindat.mff.cuni.cz/services/SynSemClass40/SynSemClass40.html?veclass=vec00147#vec00147-ces-cm00237", "vec00147")</f>
        <v>vec00147</v>
      </c>
      <c r="F61409" s="0" t="s">
        <v>1698</v>
      </c>
    </row>
    <row r="61410" customFormat="false" ht="12.8" hidden="false" customHeight="false" outlineLevel="0" collapsed="false">
      <c r="B61410" s="0" t="s">
        <v>1</v>
      </c>
      <c r="C61410" s="0" t="s">
        <v>1699</v>
      </c>
      <c r="E61410" s="0" t="s">
        <v>11</v>
      </c>
      <c r="F61410" s="0" t="s">
        <v>1700</v>
      </c>
    </row>
    <row r="61411" customFormat="false" ht="12.8" hidden="false" customHeight="false" outlineLevel="0" collapsed="false">
      <c r="B61411" s="0" t="s">
        <v>8</v>
      </c>
      <c r="C61411" s="0" t="s">
        <v>1701</v>
      </c>
      <c r="E61411" s="0" t="s">
        <v>1702</v>
      </c>
      <c r="F61411" s="0" t="s">
        <v>1703</v>
      </c>
    </row>
    <row r="61413" customFormat="false" ht="12.8" hidden="false" customHeight="false" outlineLevel="0" collapsed="false">
      <c r="A61413" s="0" t="s">
        <v>20598</v>
      </c>
      <c r="B61413" s="0" t="str">
        <f aca="false">HYPERLINK("https://lindat.mff.cuni.cz/services/teitok/pdtc10/index.php?action=vallex&amp;frame=v-w11112f4", "vyčerpávat (v-w11112f4)")</f>
        <v>vyčerpávat (v-w11112f4)</v>
      </c>
      <c r="E61413" s="0" t="str">
        <f aca="false">HYPERLINK("https://lindat.mff.cuni.cz/services/SynSemClass40/SynSemClass40.html?veclass=vec00957#vec00957-ces-cm00001", "vec00957")</f>
        <v>vec00957</v>
      </c>
      <c r="F61413" s="0" t="s">
        <v>3187</v>
      </c>
    </row>
    <row r="61414" customFormat="false" ht="12.8" hidden="false" customHeight="false" outlineLevel="0" collapsed="false">
      <c r="B61414" s="0" t="s">
        <v>1</v>
      </c>
      <c r="C61414" s="0" t="s">
        <v>428</v>
      </c>
      <c r="E61414" s="0" t="s">
        <v>20</v>
      </c>
      <c r="F61414" s="0" t="s">
        <v>3190</v>
      </c>
    </row>
    <row r="61415" customFormat="false" ht="12.8" hidden="false" customHeight="false" outlineLevel="0" collapsed="false">
      <c r="B61415" s="0" t="s">
        <v>8</v>
      </c>
      <c r="C61415" s="0" t="s">
        <v>4017</v>
      </c>
      <c r="E61415" s="0" t="s">
        <v>1702</v>
      </c>
      <c r="F61415" s="0" t="s">
        <v>3193</v>
      </c>
    </row>
    <row r="61417" customFormat="false" ht="12.8" hidden="false" customHeight="false" outlineLevel="0" collapsed="false">
      <c r="A61417" s="0" t="s">
        <v>20599</v>
      </c>
      <c r="B61417" s="0" t="str">
        <f aca="false">HYPERLINK("https://lindat.mff.cuni.cz/services/teitok/pdtc10/index.php?action=vallex&amp;frame=v-w11112f5_ZU", "vyčerpávat (v-w11112f5_ZU)")</f>
        <v>vyčerpávat (v-w11112f5_ZU)</v>
      </c>
    </row>
    <row r="61418" customFormat="false" ht="12.8" hidden="false" customHeight="false" outlineLevel="0" collapsed="false">
      <c r="B61418" s="0" t="s">
        <v>1</v>
      </c>
    </row>
    <row r="61419" customFormat="false" ht="12.8" hidden="false" customHeight="false" outlineLevel="0" collapsed="false">
      <c r="B61419" s="0" t="s">
        <v>8</v>
      </c>
    </row>
    <row r="61421" customFormat="false" ht="12.8" hidden="false" customHeight="false" outlineLevel="0" collapsed="false">
      <c r="A61421" s="0" t="s">
        <v>20600</v>
      </c>
      <c r="B61421" s="0" t="str">
        <f aca="false">HYPERLINK("https://lindat.mff.cuni.cz/services/teitok/pdtc10/index.php?action=vallex&amp;frame=v-w11618_ZUf1_ZU", "vyčinit (v-w11618_ZUf1_ZU)")</f>
        <v>vyčinit (v-w11618_ZUf1_ZU)</v>
      </c>
      <c r="E61421" s="0" t="str">
        <f aca="false">HYPERLINK("https://lindat.mff.cuni.cz/services/SynSemClass40/SynSemClass40.html?veclass=vec00958#vec00958-ces-cm00001", "vec00958")</f>
        <v>vec00958</v>
      </c>
      <c r="F61421" s="0" t="s">
        <v>8464</v>
      </c>
    </row>
    <row r="61422" customFormat="false" ht="12.8" hidden="false" customHeight="false" outlineLevel="0" collapsed="false">
      <c r="B61422" s="0" t="s">
        <v>1</v>
      </c>
      <c r="C61422" s="0" t="s">
        <v>459</v>
      </c>
      <c r="E61422" s="0" t="s">
        <v>206</v>
      </c>
      <c r="F61422" s="0" t="s">
        <v>1365</v>
      </c>
    </row>
    <row r="61423" customFormat="false" ht="12.8" hidden="false" customHeight="false" outlineLevel="0" collapsed="false">
      <c r="B61423" s="0" t="s">
        <v>52</v>
      </c>
      <c r="C61423" s="0" t="s">
        <v>8354</v>
      </c>
      <c r="E61423" s="0" t="s">
        <v>3701</v>
      </c>
      <c r="F61423" s="0" t="s">
        <v>16418</v>
      </c>
    </row>
    <row r="61424" customFormat="false" ht="12.8" hidden="false" customHeight="false" outlineLevel="0" collapsed="false">
      <c r="B61424" s="0" t="s">
        <v>16419</v>
      </c>
    </row>
    <row r="61426" customFormat="false" ht="12.8" hidden="false" customHeight="false" outlineLevel="0" collapsed="false">
      <c r="A61426" s="0" t="s">
        <v>20601</v>
      </c>
      <c r="B61426" s="0" t="str">
        <f aca="false">HYPERLINK("https://lindat.mff.cuni.cz/services/teitok/pdtc10/index.php?action=vallex&amp;frame=v-w7822f2_ZU", "vyčistit (v-w7822f2_ZU)")</f>
        <v>vyčistit (v-w7822f2_ZU)</v>
      </c>
    </row>
    <row r="61427" customFormat="false" ht="12.8" hidden="false" customHeight="false" outlineLevel="0" collapsed="false">
      <c r="B61427" s="0" t="s">
        <v>1</v>
      </c>
    </row>
    <row r="61428" customFormat="false" ht="12.8" hidden="false" customHeight="false" outlineLevel="0" collapsed="false">
      <c r="B61428" s="0" t="s">
        <v>8</v>
      </c>
    </row>
    <row r="61429" customFormat="false" ht="12.8" hidden="false" customHeight="false" outlineLevel="0" collapsed="false">
      <c r="B61429" s="0" t="s">
        <v>602</v>
      </c>
    </row>
    <row r="61431" customFormat="false" ht="12.8" hidden="false" customHeight="false" outlineLevel="0" collapsed="false">
      <c r="A61431" s="0" t="s">
        <v>20601</v>
      </c>
      <c r="B61431" s="0" t="str">
        <f aca="false">HYPERLINK("https://lindat.mff.cuni.cz/services/teitok/pdtc10/index.php?action=vallex&amp;frame=v-w7822f1", "vyčistit (v-w7822f1) - substituted with v-w7822f2_ZU")</f>
        <v>vyčistit (v-w7822f1) - substituted with v-w7822f2_ZU</v>
      </c>
      <c r="E61431" s="0" t="str">
        <f aca="false">HYPERLINK("https://lindat.mff.cuni.cz/services/SynSemClass40/SynSemClass40.html?veclass=vec00552#vec00552-ces-cm00001", "vec00552")</f>
        <v>vec00552</v>
      </c>
      <c r="F61431" s="0" t="s">
        <v>5992</v>
      </c>
      <c r="H61431" s="0" t="str">
        <f aca="false">HYPERLINK("https://lindat.mff.cuni.cz/services/SynSemClass40/SynSemClass40.html?veclass=vec00595#vec00595-ces-cm00006", "vec00595")</f>
        <v>vec00595</v>
      </c>
      <c r="I61431" s="0" t="s">
        <v>9863</v>
      </c>
    </row>
    <row r="61432" customFormat="false" ht="12.8" hidden="false" customHeight="false" outlineLevel="0" collapsed="false">
      <c r="B61432" s="0" t="s">
        <v>1</v>
      </c>
      <c r="C61432" s="0" t="s">
        <v>255</v>
      </c>
      <c r="E61432" s="0" t="s">
        <v>31</v>
      </c>
      <c r="F61432" s="0" t="s">
        <v>5993</v>
      </c>
      <c r="H61432" s="0" t="s">
        <v>206</v>
      </c>
      <c r="I61432" s="0" t="s">
        <v>9275</v>
      </c>
    </row>
    <row r="61433" customFormat="false" ht="12.8" hidden="false" customHeight="false" outlineLevel="0" collapsed="false">
      <c r="B61433" s="0" t="s">
        <v>8</v>
      </c>
      <c r="C61433" s="0" t="s">
        <v>10307</v>
      </c>
      <c r="E61433" s="0" t="s">
        <v>34</v>
      </c>
      <c r="F61433" s="0" t="s">
        <v>5995</v>
      </c>
      <c r="H61433" s="0" t="s">
        <v>1847</v>
      </c>
      <c r="I61433" s="0" t="s">
        <v>9865</v>
      </c>
    </row>
    <row r="61434" customFormat="false" ht="12.8" hidden="false" customHeight="false" outlineLevel="0" collapsed="false">
      <c r="B61434" s="0" t="s">
        <v>602</v>
      </c>
      <c r="C61434" s="0" t="s">
        <v>10301</v>
      </c>
      <c r="E61434" s="0" t="s">
        <v>9867</v>
      </c>
      <c r="F61434" s="0" t="s">
        <v>10302</v>
      </c>
      <c r="H61434" s="0" t="s">
        <v>9867</v>
      </c>
      <c r="I61434" s="0" t="s">
        <v>9868</v>
      </c>
    </row>
    <row r="61436" customFormat="false" ht="12.8" hidden="false" customHeight="false" outlineLevel="0" collapsed="false">
      <c r="A61436" s="0" t="s">
        <v>20602</v>
      </c>
      <c r="B61436" s="0" t="str">
        <f aca="false">HYPERLINK("https://lindat.mff.cuni.cz/services/teitok/pdtc10/index.php?action=vallex&amp;frame=v-w7822hsa_1995", "vyčistit (v-w7822hsa_1995)")</f>
        <v>vyčistit (v-w7822hsa_1995)</v>
      </c>
    </row>
    <row r="61437" customFormat="false" ht="12.8" hidden="false" customHeight="false" outlineLevel="0" collapsed="false">
      <c r="B61437" s="0" t="s">
        <v>1</v>
      </c>
    </row>
    <row r="61438" customFormat="false" ht="12.8" hidden="false" customHeight="false" outlineLevel="0" collapsed="false">
      <c r="B61438" s="0" t="s">
        <v>8</v>
      </c>
    </row>
    <row r="61440" customFormat="false" ht="12.8" hidden="false" customHeight="false" outlineLevel="0" collapsed="false">
      <c r="A61440" s="0" t="s">
        <v>20603</v>
      </c>
      <c r="B61440" s="0" t="str">
        <f aca="false">HYPERLINK("https://lindat.mff.cuni.cz/services/teitok/pdtc10/index.php?action=vallex&amp;frame=v-w7822hsa_1996", "vyčistit (v-w7822hsa_1996)")</f>
        <v>vyčistit (v-w7822hsa_1996)</v>
      </c>
    </row>
    <row r="61441" customFormat="false" ht="12.8" hidden="false" customHeight="false" outlineLevel="0" collapsed="false">
      <c r="B61441" s="0" t="s">
        <v>1</v>
      </c>
    </row>
    <row r="61442" customFormat="false" ht="12.8" hidden="false" customHeight="false" outlineLevel="0" collapsed="false">
      <c r="B61442" s="0" t="s">
        <v>8</v>
      </c>
    </row>
    <row r="61444" customFormat="false" ht="12.8" hidden="false" customHeight="false" outlineLevel="0" collapsed="false">
      <c r="A61444" s="0" t="s">
        <v>20604</v>
      </c>
      <c r="B61444" s="0" t="str">
        <f aca="false">HYPERLINK("https://lindat.mff.cuni.cz/services/teitok/pdtc10/index.php?action=vallex&amp;frame=v-w7827f2", "vyčkat (v-w7827f2)")</f>
        <v>vyčkat (v-w7827f2)</v>
      </c>
    </row>
    <row r="61445" customFormat="false" ht="12.8" hidden="false" customHeight="false" outlineLevel="0" collapsed="false">
      <c r="B61445" s="0" t="s">
        <v>1</v>
      </c>
    </row>
    <row r="61446" customFormat="false" ht="12.8" hidden="false" customHeight="false" outlineLevel="0" collapsed="false">
      <c r="B61446" s="0" t="s">
        <v>721</v>
      </c>
    </row>
    <row r="61448" customFormat="false" ht="12.8" hidden="false" customHeight="false" outlineLevel="0" collapsed="false">
      <c r="A61448" s="0" t="s">
        <v>20605</v>
      </c>
      <c r="B61448" s="0" t="str">
        <f aca="false">HYPERLINK("https://lindat.mff.cuni.cz/services/teitok/pdtc10/index.php?action=vallex&amp;frame=v-w7827f4_ZU", "vyčkat (v-w7827f4_ZU)")</f>
        <v>vyčkat (v-w7827f4_ZU)</v>
      </c>
    </row>
    <row r="61449" customFormat="false" ht="12.8" hidden="false" customHeight="false" outlineLevel="0" collapsed="false">
      <c r="B61449" s="0" t="s">
        <v>1</v>
      </c>
    </row>
    <row r="61450" customFormat="false" ht="12.8" hidden="false" customHeight="false" outlineLevel="0" collapsed="false">
      <c r="B61450" s="0" t="s">
        <v>20606</v>
      </c>
    </row>
    <row r="61452" customFormat="false" ht="12.8" hidden="false" customHeight="false" outlineLevel="0" collapsed="false">
      <c r="A61452" s="0" t="s">
        <v>20605</v>
      </c>
      <c r="B61452" s="0" t="str">
        <f aca="false">HYPERLINK("https://lindat.mff.cuni.cz/services/teitok/pdtc10/index.php?action=vallex&amp;frame=v-w7827f1", "vyčkat (v-w7827f1) - substituted with v-w7827f4_ZU")</f>
        <v>vyčkat (v-w7827f1) - substituted with v-w7827f4_ZU</v>
      </c>
      <c r="E61452" s="0" t="str">
        <f aca="false">HYPERLINK("https://lindat.mff.cuni.cz/services/SynSemClass40/SynSemClass40.html?veclass=vec00003#vec00003-ces-cm00014", "vec00003")</f>
        <v>vec00003</v>
      </c>
      <c r="F61452" s="0" t="s">
        <v>10280</v>
      </c>
    </row>
    <row r="61453" customFormat="false" ht="12.8" hidden="false" customHeight="false" outlineLevel="0" collapsed="false">
      <c r="B61453" s="0" t="s">
        <v>1</v>
      </c>
      <c r="C61453" s="0" t="s">
        <v>10281</v>
      </c>
      <c r="E61453" s="0" t="s">
        <v>11</v>
      </c>
      <c r="F61453" s="0" t="s">
        <v>10282</v>
      </c>
    </row>
    <row r="61454" customFormat="false" ht="12.8" hidden="false" customHeight="false" outlineLevel="0" collapsed="false">
      <c r="B61454" s="0" t="s">
        <v>20606</v>
      </c>
      <c r="C61454" s="0" t="s">
        <v>10284</v>
      </c>
      <c r="E61454" s="0" t="s">
        <v>3054</v>
      </c>
      <c r="F61454" s="0" t="s">
        <v>10285</v>
      </c>
    </row>
    <row r="61456" customFormat="false" ht="12.8" hidden="false" customHeight="false" outlineLevel="0" collapsed="false">
      <c r="A61456" s="0" t="s">
        <v>20605</v>
      </c>
      <c r="B61456" s="0" t="str">
        <f aca="false">HYPERLINK("https://lindat.mff.cuni.cz/services/teitok/pdtc10/index.php?action=vallex&amp;frame=v-w7827f3_ZU", "vyčkat (v-w7827f3_ZU) - substituted with v-w7827f4_ZU")</f>
        <v>vyčkat (v-w7827f3_ZU) - substituted with v-w7827f4_ZU</v>
      </c>
    </row>
    <row r="61457" customFormat="false" ht="12.8" hidden="false" customHeight="false" outlineLevel="0" collapsed="false">
      <c r="B61457" s="0" t="s">
        <v>1</v>
      </c>
    </row>
    <row r="61458" customFormat="false" ht="12.8" hidden="false" customHeight="false" outlineLevel="0" collapsed="false">
      <c r="B61458" s="0" t="s">
        <v>20606</v>
      </c>
    </row>
    <row r="61460" customFormat="false" ht="12.8" hidden="false" customHeight="false" outlineLevel="0" collapsed="false">
      <c r="A61460" s="0" t="s">
        <v>20607</v>
      </c>
      <c r="B61460" s="0" t="str">
        <f aca="false">HYPERLINK("https://lindat.mff.cuni.cz/services/teitok/pdtc10/index.php?action=vallex&amp;frame=v-w7829f2", "vyčkávat (v-w7829f2)")</f>
        <v>vyčkávat (v-w7829f2)</v>
      </c>
    </row>
    <row r="61461" customFormat="false" ht="12.8" hidden="false" customHeight="false" outlineLevel="0" collapsed="false">
      <c r="B61461" s="0" t="s">
        <v>1</v>
      </c>
    </row>
    <row r="61462" customFormat="false" ht="12.8" hidden="false" customHeight="false" outlineLevel="0" collapsed="false">
      <c r="B61462" s="0" t="s">
        <v>721</v>
      </c>
    </row>
    <row r="61464" customFormat="false" ht="12.8" hidden="false" customHeight="false" outlineLevel="0" collapsed="false">
      <c r="A61464" s="0" t="s">
        <v>20608</v>
      </c>
      <c r="B61464" s="0" t="str">
        <f aca="false">HYPERLINK("https://lindat.mff.cuni.cz/services/teitok/pdtc10/index.php?action=vallex&amp;frame=v-w7829f1", "vyčkávat (v-w7829f1)")</f>
        <v>vyčkávat (v-w7829f1)</v>
      </c>
      <c r="E61464" s="0" t="str">
        <f aca="false">HYPERLINK("https://lindat.mff.cuni.cz/services/SynSemClass40/SynSemClass40.html?veclass=vec00003#vec00003-ces-cm00016", "vec00003")</f>
        <v>vec00003</v>
      </c>
      <c r="F61464" s="0" t="s">
        <v>10280</v>
      </c>
    </row>
    <row r="61465" customFormat="false" ht="12.8" hidden="false" customHeight="false" outlineLevel="0" collapsed="false">
      <c r="B61465" s="0" t="s">
        <v>1</v>
      </c>
      <c r="C61465" s="0" t="s">
        <v>10281</v>
      </c>
      <c r="E61465" s="0" t="s">
        <v>11</v>
      </c>
      <c r="F61465" s="0" t="s">
        <v>10282</v>
      </c>
    </row>
    <row r="61466" customFormat="false" ht="12.8" hidden="false" customHeight="false" outlineLevel="0" collapsed="false">
      <c r="B61466" s="0" t="s">
        <v>20609</v>
      </c>
      <c r="C61466" s="0" t="s">
        <v>10284</v>
      </c>
      <c r="E61466" s="0" t="s">
        <v>3054</v>
      </c>
      <c r="F61466" s="0" t="s">
        <v>10285</v>
      </c>
    </row>
    <row r="61468" customFormat="false" ht="12.8" hidden="false" customHeight="false" outlineLevel="0" collapsed="false">
      <c r="A61468" s="0" t="s">
        <v>20610</v>
      </c>
      <c r="B61468" s="0" t="str">
        <f aca="false">HYPERLINK("https://lindat.mff.cuni.cz/services/teitok/pdtc10/index.php?action=vallex&amp;frame=v-w7832f1", "vyčlenit (v-w7832f1)")</f>
        <v>vyčlenit (v-w7832f1)</v>
      </c>
    </row>
    <row r="61469" customFormat="false" ht="12.8" hidden="false" customHeight="false" outlineLevel="0" collapsed="false">
      <c r="B61469" s="0" t="s">
        <v>1</v>
      </c>
    </row>
    <row r="61470" customFormat="false" ht="12.8" hidden="false" customHeight="false" outlineLevel="0" collapsed="false">
      <c r="B61470" s="0" t="s">
        <v>8</v>
      </c>
    </row>
    <row r="61471" customFormat="false" ht="12.8" hidden="false" customHeight="false" outlineLevel="0" collapsed="false">
      <c r="B61471" s="0" t="s">
        <v>631</v>
      </c>
    </row>
    <row r="61473" customFormat="false" ht="12.8" hidden="false" customHeight="false" outlineLevel="0" collapsed="false">
      <c r="A61473" s="0" t="s">
        <v>20611</v>
      </c>
      <c r="B61473" s="0" t="str">
        <f aca="false">HYPERLINK("https://lindat.mff.cuni.cz/services/teitok/pdtc10/index.php?action=vallex&amp;frame=v-w7832hsa_142", "vyčlenit (v-w7832hsa_142)")</f>
        <v>vyčlenit (v-w7832hsa_142)</v>
      </c>
    </row>
    <row r="61474" customFormat="false" ht="12.8" hidden="false" customHeight="false" outlineLevel="0" collapsed="false">
      <c r="B61474" s="0" t="s">
        <v>1</v>
      </c>
    </row>
    <row r="61475" customFormat="false" ht="12.8" hidden="false" customHeight="false" outlineLevel="0" collapsed="false">
      <c r="B61475" s="0" t="s">
        <v>8</v>
      </c>
    </row>
    <row r="61476" customFormat="false" ht="12.8" hidden="false" customHeight="false" outlineLevel="0" collapsed="false">
      <c r="B61476" s="0" t="s">
        <v>631</v>
      </c>
    </row>
    <row r="61478" customFormat="false" ht="12.8" hidden="false" customHeight="false" outlineLevel="0" collapsed="false">
      <c r="A61478" s="0" t="s">
        <v>20612</v>
      </c>
      <c r="B61478" s="0" t="str">
        <f aca="false">HYPERLINK("https://lindat.mff.cuni.cz/services/teitok/pdtc10/index.php?action=vallex&amp;frame=v-w7833f1", "vyčlenit se (v-w7833f1)")</f>
        <v>vyčlenit se (v-w7833f1)</v>
      </c>
    </row>
    <row r="61479" customFormat="false" ht="12.8" hidden="false" customHeight="false" outlineLevel="0" collapsed="false">
      <c r="B61479" s="0" t="s">
        <v>1</v>
      </c>
    </row>
    <row r="61480" customFormat="false" ht="12.8" hidden="false" customHeight="false" outlineLevel="0" collapsed="false">
      <c r="B61480" s="0" t="s">
        <v>631</v>
      </c>
    </row>
    <row r="61482" customFormat="false" ht="12.8" hidden="false" customHeight="false" outlineLevel="0" collapsed="false">
      <c r="A61482" s="0" t="s">
        <v>20613</v>
      </c>
      <c r="B61482" s="0" t="str">
        <f aca="false">HYPERLINK("https://lindat.mff.cuni.cz/services/teitok/pdtc10/index.php?action=vallex&amp;frame=v-w7835f1", "vyčleňovat (v-w7835f1)")</f>
        <v>vyčleňovat (v-w7835f1)</v>
      </c>
      <c r="E61482" s="0" t="str">
        <f aca="false">HYPERLINK("https://lindat.mff.cuni.cz/services/SynSemClass40/SynSemClass40.html?veclass=vec00047#vec00047-ces-cm00037", "vec00047")</f>
        <v>vec00047</v>
      </c>
      <c r="F61482" s="0" t="s">
        <v>4894</v>
      </c>
    </row>
    <row r="61483" customFormat="false" ht="12.8" hidden="false" customHeight="false" outlineLevel="0" collapsed="false">
      <c r="B61483" s="0" t="s">
        <v>1</v>
      </c>
      <c r="C61483" s="0" t="s">
        <v>4895</v>
      </c>
      <c r="E61483" s="0" t="s">
        <v>31</v>
      </c>
      <c r="F61483" s="0" t="s">
        <v>4896</v>
      </c>
    </row>
    <row r="61484" customFormat="false" ht="12.8" hidden="false" customHeight="false" outlineLevel="0" collapsed="false">
      <c r="B61484" s="0" t="s">
        <v>8</v>
      </c>
      <c r="C61484" s="0" t="s">
        <v>4897</v>
      </c>
      <c r="E61484" s="0" t="s">
        <v>4852</v>
      </c>
      <c r="F61484" s="0" t="s">
        <v>4898</v>
      </c>
    </row>
    <row r="61485" customFormat="false" ht="12.8" hidden="false" customHeight="false" outlineLevel="0" collapsed="false">
      <c r="B61485" s="0" t="s">
        <v>631</v>
      </c>
      <c r="C61485" s="0" t="s">
        <v>9347</v>
      </c>
      <c r="E61485" s="0" t="s">
        <v>9348</v>
      </c>
      <c r="F61485" s="0" t="s">
        <v>9349</v>
      </c>
    </row>
    <row r="61487" customFormat="false" ht="12.8" hidden="false" customHeight="false" outlineLevel="0" collapsed="false">
      <c r="A61487" s="0" t="s">
        <v>20614</v>
      </c>
      <c r="B61487" s="0" t="str">
        <f aca="false">HYPERLINK("https://lindat.mff.cuni.cz/services/teitok/pdtc10/index.php?action=vallex&amp;frame=v-w7836f1", "vyčleňovat se (v-w7836f1)")</f>
        <v>vyčleňovat se (v-w7836f1)</v>
      </c>
    </row>
    <row r="61488" customFormat="false" ht="12.8" hidden="false" customHeight="false" outlineLevel="0" collapsed="false">
      <c r="B61488" s="0" t="s">
        <v>1</v>
      </c>
    </row>
    <row r="61489" customFormat="false" ht="12.8" hidden="false" customHeight="false" outlineLevel="0" collapsed="false">
      <c r="B61489" s="0" t="s">
        <v>631</v>
      </c>
    </row>
    <row r="61491" customFormat="false" ht="12.8" hidden="false" customHeight="false" outlineLevel="0" collapsed="false">
      <c r="A61491" s="0" t="s">
        <v>20615</v>
      </c>
      <c r="B61491" s="0" t="str">
        <f aca="false">HYPERLINK("https://lindat.mff.cuni.cz/services/teitok/pdtc10/index.php?action=vallex&amp;frame=v-w7837f1", "vyčnívat (v-w7837f1)")</f>
        <v>vyčnívat (v-w7837f1)</v>
      </c>
    </row>
    <row r="61492" customFormat="false" ht="12.8" hidden="false" customHeight="false" outlineLevel="0" collapsed="false">
      <c r="B61492" s="0" t="s">
        <v>1</v>
      </c>
    </row>
    <row r="61493" customFormat="false" ht="12.8" hidden="false" customHeight="false" outlineLevel="0" collapsed="false">
      <c r="B61493" s="0" t="s">
        <v>631</v>
      </c>
    </row>
    <row r="61495" customFormat="false" ht="12.8" hidden="false" customHeight="false" outlineLevel="0" collapsed="false">
      <c r="A61495" s="0" t="s">
        <v>20616</v>
      </c>
      <c r="B61495" s="0" t="str">
        <f aca="false">HYPERLINK("https://lindat.mff.cuni.cz/services/teitok/pdtc10/index.php?action=vallex&amp;frame=v-w7837f2", "vyčnívat (v-w7837f2)")</f>
        <v>vyčnívat (v-w7837f2)</v>
      </c>
      <c r="E61495" s="0" t="str">
        <f aca="false">HYPERLINK("https://lindat.mff.cuni.cz/services/SynSemClass40/SynSemClass40.html?veclass=vec00964#vec00964-ces-cm00002", "vec00964")</f>
        <v>vec00964</v>
      </c>
      <c r="F61495" s="0" t="s">
        <v>19725</v>
      </c>
    </row>
    <row r="61496" customFormat="false" ht="12.8" hidden="false" customHeight="false" outlineLevel="0" collapsed="false">
      <c r="B61496" s="0" t="s">
        <v>1</v>
      </c>
      <c r="E61496" s="0" t="s">
        <v>19726</v>
      </c>
      <c r="F61496" s="0" t="s">
        <v>19727</v>
      </c>
    </row>
    <row r="61498" customFormat="false" ht="12.8" hidden="false" customHeight="false" outlineLevel="0" collapsed="false">
      <c r="A61498" s="0" t="s">
        <v>20617</v>
      </c>
      <c r="B61498" s="0" t="str">
        <f aca="false">HYPERLINK("https://lindat.mff.cuni.cz/services/teitok/pdtc10/index.php?action=vallex&amp;frame=v-w11841_ZUf2_ZU", "vyčíhnout si (v-w11841_ZUf2_ZU)")</f>
        <v>vyčíhnout si (v-w11841_ZUf2_ZU)</v>
      </c>
    </row>
    <row r="61499" customFormat="false" ht="12.8" hidden="false" customHeight="false" outlineLevel="0" collapsed="false">
      <c r="B61499" s="0" t="s">
        <v>1</v>
      </c>
    </row>
    <row r="61500" customFormat="false" ht="12.8" hidden="false" customHeight="false" outlineLevel="0" collapsed="false">
      <c r="B61500" s="0" t="s">
        <v>59</v>
      </c>
    </row>
    <row r="61502" customFormat="false" ht="12.8" hidden="false" customHeight="false" outlineLevel="0" collapsed="false">
      <c r="A61502" s="0" t="s">
        <v>20617</v>
      </c>
      <c r="B61502" s="0" t="str">
        <f aca="false">HYPERLINK("https://lindat.mff.cuni.cz/services/teitok/pdtc10/index.php?action=vallex&amp;frame=v-w11841_ZUf1_ZU", "vyčíhnout si (v-w11841_ZUf1_ZU) - substituted with v-w11841_ZUf2_ZU")</f>
        <v>vyčíhnout si (v-w11841_ZUf1_ZU) - substituted with v-w11841_ZUf2_ZU</v>
      </c>
    </row>
    <row r="61503" customFormat="false" ht="12.8" hidden="false" customHeight="false" outlineLevel="0" collapsed="false">
      <c r="B61503" s="0" t="s">
        <v>1</v>
      </c>
    </row>
    <row r="61504" customFormat="false" ht="12.8" hidden="false" customHeight="false" outlineLevel="0" collapsed="false">
      <c r="B61504" s="0" t="s">
        <v>59</v>
      </c>
    </row>
    <row r="61506" customFormat="false" ht="12.8" hidden="false" customHeight="false" outlineLevel="0" collapsed="false">
      <c r="A61506" s="0" t="s">
        <v>20618</v>
      </c>
      <c r="B61506" s="0" t="str">
        <f aca="false">HYPERLINK("https://lindat.mff.cuni.cz/services/teitok/pdtc10/index.php?action=vallex&amp;frame=v-w7819f1", "vyčíslit (v-w7819f1)")</f>
        <v>vyčíslit (v-w7819f1)</v>
      </c>
      <c r="E61506" s="0" t="str">
        <f aca="false">HYPERLINK("https://lindat.mff.cuni.cz/services/SynSemClass40/SynSemClass40.html?veclass=vec00322#vec00322-ces-cm00072", "vec00322")</f>
        <v>vec00322</v>
      </c>
      <c r="F61506" s="0" t="s">
        <v>1343</v>
      </c>
    </row>
    <row r="61507" customFormat="false" ht="12.8" hidden="false" customHeight="false" outlineLevel="0" collapsed="false">
      <c r="B61507" s="0" t="s">
        <v>1</v>
      </c>
      <c r="C61507" s="0" t="s">
        <v>1344</v>
      </c>
      <c r="E61507" s="0" t="s">
        <v>206</v>
      </c>
      <c r="F61507" s="0" t="s">
        <v>1345</v>
      </c>
    </row>
    <row r="61508" customFormat="false" ht="12.8" hidden="false" customHeight="false" outlineLevel="0" collapsed="false">
      <c r="B61508" s="0" t="s">
        <v>305</v>
      </c>
      <c r="C61508" s="0" t="s">
        <v>1346</v>
      </c>
      <c r="E61508" s="0" t="s">
        <v>1347</v>
      </c>
      <c r="F61508" s="0" t="s">
        <v>1348</v>
      </c>
    </row>
    <row r="61509" customFormat="false" ht="12.8" hidden="false" customHeight="false" outlineLevel="0" collapsed="false">
      <c r="B61509" s="0" t="s">
        <v>101</v>
      </c>
      <c r="C61509" s="0" t="s">
        <v>1349</v>
      </c>
      <c r="E61509" s="0" t="s">
        <v>1350</v>
      </c>
      <c r="F61509" s="0" t="s">
        <v>1351</v>
      </c>
    </row>
    <row r="61511" customFormat="false" ht="12.8" hidden="false" customHeight="false" outlineLevel="0" collapsed="false">
      <c r="A61511" s="0" t="s">
        <v>20619</v>
      </c>
      <c r="B61511" s="0" t="str">
        <f aca="false">HYPERLINK("https://lindat.mff.cuni.cz/services/teitok/pdtc10/index.php?action=vallex&amp;frame=v-w7820f1", "vyčíslovat (v-w7820f1)")</f>
        <v>vyčíslovat (v-w7820f1)</v>
      </c>
      <c r="E61511" s="0" t="str">
        <f aca="false">HYPERLINK("https://lindat.mff.cuni.cz/services/SynSemClass40/SynSemClass40.html?veclass=vec00322#vec00322-ces-cm00152", "vec00322")</f>
        <v>vec00322</v>
      </c>
      <c r="F61511" s="0" t="s">
        <v>1343</v>
      </c>
    </row>
    <row r="61512" customFormat="false" ht="12.8" hidden="false" customHeight="false" outlineLevel="0" collapsed="false">
      <c r="B61512" s="0" t="s">
        <v>1</v>
      </c>
      <c r="C61512" s="0" t="s">
        <v>1344</v>
      </c>
      <c r="E61512" s="0" t="s">
        <v>206</v>
      </c>
      <c r="F61512" s="0" t="s">
        <v>1345</v>
      </c>
    </row>
    <row r="61513" customFormat="false" ht="12.8" hidden="false" customHeight="false" outlineLevel="0" collapsed="false">
      <c r="B61513" s="0" t="s">
        <v>8</v>
      </c>
      <c r="C61513" s="0" t="s">
        <v>1346</v>
      </c>
      <c r="E61513" s="0" t="s">
        <v>1347</v>
      </c>
      <c r="F61513" s="0" t="s">
        <v>1348</v>
      </c>
    </row>
    <row r="61514" customFormat="false" ht="12.8" hidden="false" customHeight="false" outlineLevel="0" collapsed="false">
      <c r="B61514" s="0" t="s">
        <v>101</v>
      </c>
      <c r="C61514" s="0" t="s">
        <v>1349</v>
      </c>
      <c r="E61514" s="0" t="s">
        <v>1350</v>
      </c>
      <c r="F61514" s="0" t="s">
        <v>1351</v>
      </c>
    </row>
    <row r="61516" customFormat="false" ht="12.8" hidden="false" customHeight="false" outlineLevel="0" collapsed="false">
      <c r="A61516" s="0" t="s">
        <v>20620</v>
      </c>
      <c r="B61516" s="0" t="str">
        <f aca="false">HYPERLINK("https://lindat.mff.cuni.cz/services/teitok/pdtc10/index.php?action=vallex&amp;frame=v-w7821f2", "vyčíst (v-w7821f2)")</f>
        <v>vyčíst (v-w7821f2)</v>
      </c>
      <c r="E61516" s="0" t="str">
        <f aca="false">HYPERLINK("https://lindat.mff.cuni.cz/services/SynSemClass40/SynSemClass40.html?veclass=vec00620#vec00620-ces-cm00014", "vec00620")</f>
        <v>vec00620</v>
      </c>
      <c r="F61516" s="0" t="s">
        <v>4262</v>
      </c>
    </row>
    <row r="61517" customFormat="false" ht="12.8" hidden="false" customHeight="false" outlineLevel="0" collapsed="false">
      <c r="B61517" s="0" t="s">
        <v>1</v>
      </c>
      <c r="C61517" s="0" t="s">
        <v>154</v>
      </c>
      <c r="E61517" s="0" t="s">
        <v>31</v>
      </c>
      <c r="F61517" s="0" t="s">
        <v>4265</v>
      </c>
    </row>
    <row r="61518" customFormat="false" ht="12.8" hidden="false" customHeight="false" outlineLevel="0" collapsed="false">
      <c r="B61518" s="0" t="s">
        <v>228</v>
      </c>
      <c r="C61518" s="0" t="s">
        <v>16420</v>
      </c>
      <c r="E61518" s="0" t="s">
        <v>532</v>
      </c>
      <c r="F61518" s="0" t="s">
        <v>16421</v>
      </c>
    </row>
    <row r="61519" customFormat="false" ht="12.8" hidden="false" customHeight="false" outlineLevel="0" collapsed="false">
      <c r="B61519" s="0" t="s">
        <v>52</v>
      </c>
      <c r="C61519" s="0" t="s">
        <v>20288</v>
      </c>
      <c r="E61519" s="0" t="s">
        <v>2287</v>
      </c>
      <c r="F61519" s="0" t="s">
        <v>16415</v>
      </c>
    </row>
    <row r="61521" customFormat="false" ht="12.8" hidden="false" customHeight="false" outlineLevel="0" collapsed="false">
      <c r="A61521" s="0" t="s">
        <v>20621</v>
      </c>
      <c r="B61521" s="0" t="str">
        <f aca="false">HYPERLINK("https://lindat.mff.cuni.cz/services/teitok/pdtc10/index.php?action=vallex&amp;frame=v-w7821f1", "vyčíst (v-w7821f1)")</f>
        <v>vyčíst (v-w7821f1)</v>
      </c>
    </row>
    <row r="61522" customFormat="false" ht="12.8" hidden="false" customHeight="false" outlineLevel="0" collapsed="false">
      <c r="B61522" s="0" t="s">
        <v>1</v>
      </c>
    </row>
    <row r="61523" customFormat="false" ht="12.8" hidden="false" customHeight="false" outlineLevel="0" collapsed="false">
      <c r="B61523" s="0" t="s">
        <v>1838</v>
      </c>
    </row>
    <row r="61525" customFormat="false" ht="12.8" hidden="false" customHeight="false" outlineLevel="0" collapsed="false">
      <c r="A61525" s="0" t="s">
        <v>20622</v>
      </c>
      <c r="B61525" s="0" t="str">
        <f aca="false">HYPERLINK("https://lindat.mff.cuni.cz/services/teitok/pdtc10/index.php?action=vallex&amp;frame=v-w7825f1", "vyčítat (v-w7825f1)")</f>
        <v>vyčítat (v-w7825f1)</v>
      </c>
      <c r="E61525" s="0" t="str">
        <f aca="false">HYPERLINK("https://lindat.mff.cuni.cz/services/SynSemClass40/SynSemClass40.html?veclass=vec00620#vec00620-ces-cm00004", "vec00620")</f>
        <v>vec00620</v>
      </c>
      <c r="F61525" s="0" t="s">
        <v>4262</v>
      </c>
    </row>
    <row r="61526" customFormat="false" ht="12.8" hidden="false" customHeight="false" outlineLevel="0" collapsed="false">
      <c r="B61526" s="0" t="s">
        <v>1</v>
      </c>
      <c r="C61526" s="0" t="s">
        <v>154</v>
      </c>
      <c r="E61526" s="0" t="s">
        <v>31</v>
      </c>
      <c r="F61526" s="0" t="s">
        <v>4265</v>
      </c>
    </row>
    <row r="61527" customFormat="false" ht="12.8" hidden="false" customHeight="false" outlineLevel="0" collapsed="false">
      <c r="B61527" s="0" t="s">
        <v>13187</v>
      </c>
      <c r="C61527" s="0" t="s">
        <v>16420</v>
      </c>
      <c r="E61527" s="0" t="s">
        <v>532</v>
      </c>
      <c r="F61527" s="0" t="s">
        <v>16421</v>
      </c>
    </row>
    <row r="61528" customFormat="false" ht="12.8" hidden="false" customHeight="false" outlineLevel="0" collapsed="false">
      <c r="B61528" s="0" t="s">
        <v>52</v>
      </c>
      <c r="C61528" s="0" t="s">
        <v>20288</v>
      </c>
      <c r="E61528" s="0" t="s">
        <v>2287</v>
      </c>
      <c r="F61528" s="0" t="s">
        <v>16415</v>
      </c>
    </row>
    <row r="61530" customFormat="false" ht="12.8" hidden="false" customHeight="false" outlineLevel="0" collapsed="false">
      <c r="A61530" s="0" t="s">
        <v>20623</v>
      </c>
      <c r="B61530" s="0" t="str">
        <f aca="false">HYPERLINK("https://lindat.mff.cuni.cz/services/teitok/pdtc10/index.php?action=vallex&amp;frame=v-w7825f2_ZU", "vyčítat (v-w7825f2_ZU)")</f>
        <v>vyčítat (v-w7825f2_ZU)</v>
      </c>
    </row>
    <row r="61531" customFormat="false" ht="12.8" hidden="false" customHeight="false" outlineLevel="0" collapsed="false">
      <c r="B61531" s="0" t="s">
        <v>1</v>
      </c>
    </row>
    <row r="61532" customFormat="false" ht="12.8" hidden="false" customHeight="false" outlineLevel="0" collapsed="false">
      <c r="B61532" s="0" t="s">
        <v>8</v>
      </c>
    </row>
    <row r="61534" customFormat="false" ht="12.8" hidden="false" customHeight="false" outlineLevel="0" collapsed="false">
      <c r="A61534" s="0" t="s">
        <v>20623</v>
      </c>
      <c r="B61534" s="0" t="str">
        <f aca="false">HYPERLINK("https://lindat.mff.cuni.cz/services/teitok/pdtc10/index.php?action=vallex&amp;frame=v-w7825hsa_28", "vyčítat (v-w7825hsa_28) - substituted with v-w7825f2_ZU")</f>
        <v>vyčítat (v-w7825hsa_28) - substituted with v-w7825f2_ZU</v>
      </c>
    </row>
    <row r="61535" customFormat="false" ht="12.8" hidden="false" customHeight="false" outlineLevel="0" collapsed="false">
      <c r="B61535" s="0" t="s">
        <v>1</v>
      </c>
    </row>
    <row r="61536" customFormat="false" ht="12.8" hidden="false" customHeight="false" outlineLevel="0" collapsed="false">
      <c r="B61536" s="0" t="s">
        <v>8</v>
      </c>
    </row>
    <row r="61538" customFormat="false" ht="12.8" hidden="false" customHeight="false" outlineLevel="0" collapsed="false">
      <c r="A61538" s="0" t="s">
        <v>20624</v>
      </c>
      <c r="B61538" s="0" t="str">
        <f aca="false">HYPERLINK("https://lindat.mff.cuni.cz/services/teitok/pdtc10/index.php?action=vallex&amp;frame=v-w8319f1", "vyřadit (v-w8319f1)")</f>
        <v>vyřadit (v-w8319f1)</v>
      </c>
      <c r="E61538" s="0" t="str">
        <f aca="false">HYPERLINK("https://lindat.mff.cuni.cz/services/SynSemClass40/SynSemClass40.html?veclass=vec00555#vec00555-ces-cm00008", "vec00555")</f>
        <v>vec00555</v>
      </c>
      <c r="F61538" s="0" t="s">
        <v>1918</v>
      </c>
      <c r="H61538" s="0" t="str">
        <f aca="false">HYPERLINK("https://lindat.mff.cuni.cz/services/SynSemClass40/SynSemClass40.html?veclass=vec01469#vec01469-ces-cm00011", "vec01469")</f>
        <v>vec01469</v>
      </c>
      <c r="I61538" s="0" t="s">
        <v>20625</v>
      </c>
    </row>
    <row r="61539" customFormat="false" ht="12.8" hidden="false" customHeight="false" outlineLevel="0" collapsed="false">
      <c r="B61539" s="0" t="s">
        <v>1</v>
      </c>
      <c r="C61539" s="0" t="s">
        <v>20626</v>
      </c>
      <c r="E61539" s="0" t="s">
        <v>31</v>
      </c>
      <c r="F61539" s="0" t="s">
        <v>1920</v>
      </c>
      <c r="H61539" s="0" t="s">
        <v>31</v>
      </c>
      <c r="I61539" s="0" t="s">
        <v>20627</v>
      </c>
    </row>
    <row r="61540" customFormat="false" ht="12.8" hidden="false" customHeight="false" outlineLevel="0" collapsed="false">
      <c r="B61540" s="0" t="s">
        <v>8</v>
      </c>
      <c r="C61540" s="0" t="s">
        <v>20628</v>
      </c>
      <c r="E61540" s="0" t="s">
        <v>532</v>
      </c>
      <c r="F61540" s="0" t="s">
        <v>1922</v>
      </c>
      <c r="H61540" s="0" t="s">
        <v>142</v>
      </c>
      <c r="I61540" s="0" t="s">
        <v>20629</v>
      </c>
    </row>
    <row r="61541" customFormat="false" ht="12.8" hidden="false" customHeight="false" outlineLevel="0" collapsed="false">
      <c r="B61541" s="0" t="s">
        <v>631</v>
      </c>
      <c r="C61541" s="0" t="s">
        <v>1923</v>
      </c>
      <c r="E61541" s="0" t="s">
        <v>1924</v>
      </c>
      <c r="F61541" s="0" t="s">
        <v>1925</v>
      </c>
      <c r="H61541" s="0" t="s">
        <v>20630</v>
      </c>
      <c r="I61541" s="0" t="s">
        <v>20631</v>
      </c>
    </row>
    <row r="61543" customFormat="false" ht="12.8" hidden="false" customHeight="false" outlineLevel="0" collapsed="false">
      <c r="A61543" s="0" t="s">
        <v>20632</v>
      </c>
      <c r="B61543" s="0" t="str">
        <f aca="false">HYPERLINK("https://lindat.mff.cuni.cz/services/teitok/pdtc10/index.php?action=vallex&amp;frame=v-w8319hsa_756", "vyřadit (v-w8319hsa_756)")</f>
        <v>vyřadit (v-w8319hsa_756)</v>
      </c>
      <c r="E61543" s="0" t="str">
        <f aca="false">HYPERLINK("https://lindat.mff.cuni.cz/services/SynSemClass40/SynSemClass40.html?veclass=vec01469#vec01469-ces-cm00005", "vec01469")</f>
        <v>vec01469</v>
      </c>
      <c r="F61543" s="0" t="s">
        <v>20625</v>
      </c>
    </row>
    <row r="61544" customFormat="false" ht="12.8" hidden="false" customHeight="false" outlineLevel="0" collapsed="false">
      <c r="B61544" s="0" t="s">
        <v>1</v>
      </c>
      <c r="C61544" s="0" t="s">
        <v>20633</v>
      </c>
      <c r="E61544" s="0" t="s">
        <v>31</v>
      </c>
      <c r="F61544" s="0" t="s">
        <v>20627</v>
      </c>
    </row>
    <row r="61545" customFormat="false" ht="12.8" hidden="false" customHeight="false" outlineLevel="0" collapsed="false">
      <c r="B61545" s="0" t="s">
        <v>8</v>
      </c>
      <c r="C61545" s="0" t="s">
        <v>20634</v>
      </c>
      <c r="E61545" s="0" t="s">
        <v>142</v>
      </c>
      <c r="F61545" s="0" t="s">
        <v>20629</v>
      </c>
    </row>
    <row r="61546" customFormat="false" ht="12.8" hidden="false" customHeight="false" outlineLevel="0" collapsed="false">
      <c r="B61546" s="0" t="s">
        <v>2814</v>
      </c>
      <c r="E61546" s="0" t="s">
        <v>20630</v>
      </c>
      <c r="F61546" s="0" t="s">
        <v>20631</v>
      </c>
    </row>
    <row r="61548" customFormat="false" ht="12.8" hidden="false" customHeight="false" outlineLevel="0" collapsed="false">
      <c r="A61548" s="0" t="s">
        <v>20635</v>
      </c>
      <c r="B61548" s="0" t="str">
        <f aca="false">HYPERLINK("https://lindat.mff.cuni.cz/services/teitok/pdtc10/index.php?action=vallex&amp;frame=v-w8321f1", "vyřazovat (v-w8321f1)")</f>
        <v>vyřazovat (v-w8321f1)</v>
      </c>
      <c r="E61548" s="0" t="str">
        <f aca="false">HYPERLINK("https://lindat.mff.cuni.cz/services/SynSemClass40/SynSemClass40.html?veclass=vec00555#vec00555-ces-cm00107", "vec00555")</f>
        <v>vec00555</v>
      </c>
      <c r="F61548" s="0" t="s">
        <v>1918</v>
      </c>
    </row>
    <row r="61549" customFormat="false" ht="12.8" hidden="false" customHeight="false" outlineLevel="0" collapsed="false">
      <c r="B61549" s="0" t="s">
        <v>1</v>
      </c>
      <c r="C61549" s="0" t="s">
        <v>1919</v>
      </c>
      <c r="E61549" s="0" t="s">
        <v>31</v>
      </c>
      <c r="F61549" s="0" t="s">
        <v>1920</v>
      </c>
    </row>
    <row r="61550" customFormat="false" ht="12.8" hidden="false" customHeight="false" outlineLevel="0" collapsed="false">
      <c r="B61550" s="0" t="s">
        <v>8</v>
      </c>
      <c r="C61550" s="0" t="s">
        <v>1921</v>
      </c>
      <c r="E61550" s="0" t="s">
        <v>532</v>
      </c>
      <c r="F61550" s="0" t="s">
        <v>1922</v>
      </c>
    </row>
    <row r="61551" customFormat="false" ht="12.8" hidden="false" customHeight="false" outlineLevel="0" collapsed="false">
      <c r="B61551" s="0" t="s">
        <v>631</v>
      </c>
      <c r="C61551" s="0" t="s">
        <v>1923</v>
      </c>
      <c r="E61551" s="0" t="s">
        <v>1924</v>
      </c>
      <c r="F61551" s="0" t="s">
        <v>1925</v>
      </c>
    </row>
    <row r="61553" customFormat="false" ht="12.8" hidden="false" customHeight="false" outlineLevel="0" collapsed="false">
      <c r="A61553" s="0" t="s">
        <v>20636</v>
      </c>
      <c r="B61553" s="0" t="str">
        <f aca="false">HYPERLINK("https://lindat.mff.cuni.cz/services/teitok/pdtc10/index.php?action=vallex&amp;frame=v-w8324f1", "vyřezat (v-w8324f1)")</f>
        <v>vyřezat (v-w8324f1)</v>
      </c>
    </row>
    <row r="61554" customFormat="false" ht="12.8" hidden="false" customHeight="false" outlineLevel="0" collapsed="false">
      <c r="B61554" s="0" t="s">
        <v>1</v>
      </c>
    </row>
    <row r="61555" customFormat="false" ht="12.8" hidden="false" customHeight="false" outlineLevel="0" collapsed="false">
      <c r="B61555" s="0" t="s">
        <v>8</v>
      </c>
    </row>
    <row r="61557" customFormat="false" ht="12.8" hidden="false" customHeight="false" outlineLevel="0" collapsed="false">
      <c r="A61557" s="0" t="s">
        <v>20637</v>
      </c>
      <c r="B61557" s="0" t="str">
        <f aca="false">HYPERLINK("https://lindat.mff.cuni.cz/services/teitok/pdtc10/index.php?action=vallex&amp;frame=v-whsa_1795f1_ZU", "vyřezávat (v-whsa_1795f1_ZU)")</f>
        <v>vyřezávat (v-whsa_1795f1_ZU)</v>
      </c>
    </row>
    <row r="61558" customFormat="false" ht="12.8" hidden="false" customHeight="false" outlineLevel="0" collapsed="false">
      <c r="B61558" s="0" t="s">
        <v>1</v>
      </c>
    </row>
    <row r="61559" customFormat="false" ht="12.8" hidden="false" customHeight="false" outlineLevel="0" collapsed="false">
      <c r="B61559" s="0" t="s">
        <v>8</v>
      </c>
    </row>
    <row r="61560" customFormat="false" ht="12.8" hidden="false" customHeight="false" outlineLevel="0" collapsed="false">
      <c r="B61560" s="0" t="s">
        <v>36</v>
      </c>
    </row>
    <row r="61562" customFormat="false" ht="12.8" hidden="false" customHeight="false" outlineLevel="0" collapsed="false">
      <c r="A61562" s="0" t="s">
        <v>20637</v>
      </c>
      <c r="B61562" s="0" t="str">
        <f aca="false">HYPERLINK("https://lindat.mff.cuni.cz/services/teitok/pdtc10/index.php?action=vallex&amp;frame=v-whsa_1795hsa_1796", "vyřezávat (v-whsa_1795hsa_1796) - substituted with v-whsa_1795f1_ZU")</f>
        <v>vyřezávat (v-whsa_1795hsa_1796) - substituted with v-whsa_1795f1_ZU</v>
      </c>
    </row>
    <row r="61563" customFormat="false" ht="12.8" hidden="false" customHeight="false" outlineLevel="0" collapsed="false">
      <c r="B61563" s="0" t="s">
        <v>1</v>
      </c>
    </row>
    <row r="61564" customFormat="false" ht="12.8" hidden="false" customHeight="false" outlineLevel="0" collapsed="false">
      <c r="B61564" s="0" t="s">
        <v>8</v>
      </c>
    </row>
    <row r="61565" customFormat="false" ht="12.8" hidden="false" customHeight="false" outlineLevel="0" collapsed="false">
      <c r="B61565" s="0" t="s">
        <v>36</v>
      </c>
    </row>
    <row r="61567" customFormat="false" ht="12.8" hidden="false" customHeight="false" outlineLevel="0" collapsed="false">
      <c r="A61567" s="0" t="s">
        <v>20638</v>
      </c>
      <c r="B61567" s="0" t="str">
        <f aca="false">HYPERLINK("https://lindat.mff.cuni.cz/services/teitok/pdtc10/index.php?action=vallex&amp;frame=v-whsa_1795f2_ZU", "vyřezávat (v-whsa_1795f2_ZU)")</f>
        <v>vyřezávat (v-whsa_1795f2_ZU)</v>
      </c>
    </row>
    <row r="61568" customFormat="false" ht="12.8" hidden="false" customHeight="false" outlineLevel="0" collapsed="false">
      <c r="B61568" s="0" t="s">
        <v>1</v>
      </c>
    </row>
    <row r="61569" customFormat="false" ht="12.8" hidden="false" customHeight="false" outlineLevel="0" collapsed="false">
      <c r="B61569" s="0" t="s">
        <v>8</v>
      </c>
    </row>
    <row r="61570" customFormat="false" ht="12.8" hidden="false" customHeight="false" outlineLevel="0" collapsed="false">
      <c r="B61570" s="0" t="s">
        <v>6273</v>
      </c>
    </row>
    <row r="61572" customFormat="false" ht="12.8" hidden="false" customHeight="false" outlineLevel="0" collapsed="false">
      <c r="A61572" s="0" t="s">
        <v>20639</v>
      </c>
      <c r="B61572" s="0" t="str">
        <f aca="false">HYPERLINK("https://lindat.mff.cuni.cz/services/teitok/pdtc10/index.php?action=vallex&amp;frame=v-w8323f1", "vyřešit (v-w8323f1)")</f>
        <v>vyřešit (v-w8323f1)</v>
      </c>
      <c r="E61572" s="0" t="str">
        <f aca="false">HYPERLINK("https://lindat.mff.cuni.cz/services/SynSemClass40/SynSemClass40.html?veclass=vec00301#vec00301-ces-cm00080", "vec00301")</f>
        <v>vec00301</v>
      </c>
      <c r="F61572" s="0" t="s">
        <v>3165</v>
      </c>
      <c r="H61572" s="0" t="str">
        <f aca="false">HYPERLINK("https://lindat.mff.cuni.cz/services/SynSemClass40/SynSemClass40.html?veclass=vec01468#vec01468-ces-cm00018", "vec01468")</f>
        <v>vec01468</v>
      </c>
      <c r="I61572" s="0" t="s">
        <v>2308</v>
      </c>
    </row>
    <row r="61573" customFormat="false" ht="12.8" hidden="false" customHeight="false" outlineLevel="0" collapsed="false">
      <c r="B61573" s="0" t="s">
        <v>1</v>
      </c>
      <c r="C61573" s="0" t="s">
        <v>3166</v>
      </c>
      <c r="E61573" s="0" t="s">
        <v>31</v>
      </c>
      <c r="F61573" s="0" t="s">
        <v>3167</v>
      </c>
      <c r="H61573" s="0" t="s">
        <v>2251</v>
      </c>
      <c r="I61573" s="0" t="s">
        <v>2310</v>
      </c>
    </row>
    <row r="61574" customFormat="false" ht="12.8" hidden="false" customHeight="false" outlineLevel="0" collapsed="false">
      <c r="B61574" s="0" t="s">
        <v>2493</v>
      </c>
      <c r="C61574" s="0" t="s">
        <v>3169</v>
      </c>
      <c r="E61574" s="0" t="s">
        <v>230</v>
      </c>
      <c r="F61574" s="0" t="s">
        <v>3170</v>
      </c>
      <c r="H61574" s="0" t="s">
        <v>230</v>
      </c>
      <c r="I61574" s="0" t="s">
        <v>2313</v>
      </c>
    </row>
    <row r="61576" customFormat="false" ht="12.8" hidden="false" customHeight="false" outlineLevel="0" collapsed="false">
      <c r="A61576" s="0" t="s">
        <v>20640</v>
      </c>
      <c r="B61576" s="0" t="str">
        <f aca="false">HYPERLINK("https://lindat.mff.cuni.cz/services/teitok/pdtc10/index.php?action=vallex&amp;frame=v-w8323f2", "vyřešit (v-w8323f2)")</f>
        <v>vyřešit (v-w8323f2)</v>
      </c>
    </row>
    <row r="61577" customFormat="false" ht="12.8" hidden="false" customHeight="false" outlineLevel="0" collapsed="false">
      <c r="B61577" s="0" t="s">
        <v>1</v>
      </c>
    </row>
    <row r="61578" customFormat="false" ht="12.8" hidden="false" customHeight="false" outlineLevel="0" collapsed="false">
      <c r="B61578" s="0" t="s">
        <v>8</v>
      </c>
    </row>
    <row r="61580" customFormat="false" ht="12.8" hidden="false" customHeight="false" outlineLevel="0" collapsed="false">
      <c r="A61580" s="0" t="s">
        <v>20641</v>
      </c>
      <c r="B61580" s="0" t="str">
        <f aca="false">HYPERLINK("https://lindat.mff.cuni.cz/services/teitok/pdtc10/index.php?action=vallex&amp;frame=v-w8331f4", "vyřizovat (v-w8331f4)")</f>
        <v>vyřizovat (v-w8331f4)</v>
      </c>
    </row>
    <row r="61581" customFormat="false" ht="12.8" hidden="false" customHeight="false" outlineLevel="0" collapsed="false">
      <c r="B61581" s="0" t="s">
        <v>1</v>
      </c>
    </row>
    <row r="61582" customFormat="false" ht="12.8" hidden="false" customHeight="false" outlineLevel="0" collapsed="false">
      <c r="B61582" s="0" t="s">
        <v>500</v>
      </c>
    </row>
    <row r="61583" customFormat="false" ht="12.8" hidden="false" customHeight="false" outlineLevel="0" collapsed="false">
      <c r="B61583" s="0" t="s">
        <v>52</v>
      </c>
    </row>
    <row r="61585" customFormat="false" ht="12.8" hidden="false" customHeight="false" outlineLevel="0" collapsed="false">
      <c r="A61585" s="0" t="s">
        <v>20642</v>
      </c>
      <c r="B61585" s="0" t="str">
        <f aca="false">HYPERLINK("https://lindat.mff.cuni.cz/services/teitok/pdtc10/index.php?action=vallex&amp;frame=v-w8331f3", "vyřizovat (v-w8331f3)")</f>
        <v>vyřizovat (v-w8331f3)</v>
      </c>
    </row>
    <row r="61586" customFormat="false" ht="12.8" hidden="false" customHeight="false" outlineLevel="0" collapsed="false">
      <c r="B61586" s="0" t="s">
        <v>1</v>
      </c>
    </row>
    <row r="61587" customFormat="false" ht="12.8" hidden="false" customHeight="false" outlineLevel="0" collapsed="false">
      <c r="B61587" s="0" t="s">
        <v>8</v>
      </c>
    </row>
    <row r="61588" customFormat="false" ht="12.8" hidden="false" customHeight="false" outlineLevel="0" collapsed="false">
      <c r="B61588" s="0" t="s">
        <v>276</v>
      </c>
    </row>
    <row r="61590" customFormat="false" ht="12.8" hidden="false" customHeight="false" outlineLevel="0" collapsed="false">
      <c r="A61590" s="0" t="s">
        <v>20643</v>
      </c>
      <c r="B61590" s="0" t="str">
        <f aca="false">HYPERLINK("https://lindat.mff.cuni.cz/services/teitok/pdtc10/index.php?action=vallex&amp;frame=v-w8331f1", "vyřizovat (v-w8331f1)")</f>
        <v>vyřizovat (v-w8331f1)</v>
      </c>
      <c r="E61590" s="0" t="str">
        <f aca="false">HYPERLINK("https://lindat.mff.cuni.cz/services/SynSemClass40/SynSemClass40.html?veclass=vec00301#vec00301-ces-cm00083", "vec00301")</f>
        <v>vec00301</v>
      </c>
      <c r="F61590" s="0" t="s">
        <v>3165</v>
      </c>
    </row>
    <row r="61591" customFormat="false" ht="12.8" hidden="false" customHeight="false" outlineLevel="0" collapsed="false">
      <c r="B61591" s="0" t="s">
        <v>1</v>
      </c>
      <c r="C61591" s="0" t="s">
        <v>10322</v>
      </c>
      <c r="E61591" s="0" t="s">
        <v>31</v>
      </c>
      <c r="F61591" s="0" t="s">
        <v>3167</v>
      </c>
    </row>
    <row r="61592" customFormat="false" ht="12.8" hidden="false" customHeight="false" outlineLevel="0" collapsed="false">
      <c r="B61592" s="0" t="s">
        <v>59</v>
      </c>
      <c r="C61592" s="0" t="s">
        <v>10323</v>
      </c>
      <c r="E61592" s="0" t="s">
        <v>230</v>
      </c>
      <c r="F61592" s="0" t="s">
        <v>3170</v>
      </c>
    </row>
    <row r="61594" customFormat="false" ht="12.8" hidden="false" customHeight="false" outlineLevel="0" collapsed="false">
      <c r="A61594" s="0" t="s">
        <v>20644</v>
      </c>
      <c r="B61594" s="0" t="str">
        <f aca="false">HYPERLINK("https://lindat.mff.cuni.cz/services/teitok/pdtc10/index.php?action=vallex&amp;frame=v-w8331f2", "vyřizovat (v-w8331f2)")</f>
        <v>vyřizovat (v-w8331f2)</v>
      </c>
    </row>
    <row r="61595" customFormat="false" ht="12.8" hidden="false" customHeight="false" outlineLevel="0" collapsed="false">
      <c r="B61595" s="0" t="s">
        <v>1</v>
      </c>
    </row>
    <row r="61596" customFormat="false" ht="12.8" hidden="false" customHeight="false" outlineLevel="0" collapsed="false">
      <c r="B61596" s="0" t="s">
        <v>20645</v>
      </c>
    </row>
    <row r="61597" customFormat="false" ht="12.8" hidden="false" customHeight="false" outlineLevel="0" collapsed="false">
      <c r="B61597" s="0" t="s">
        <v>721</v>
      </c>
    </row>
    <row r="61599" customFormat="false" ht="12.8" hidden="false" customHeight="false" outlineLevel="0" collapsed="false">
      <c r="A61599" s="0" t="s">
        <v>20646</v>
      </c>
      <c r="B61599" s="0" t="str">
        <f aca="false">HYPERLINK("https://lindat.mff.cuni.cz/services/teitok/pdtc10/index.php?action=vallex&amp;frame=v-w8332f1", "vyřknout (v-w8332f1)")</f>
        <v>vyřknout (v-w8332f1)</v>
      </c>
      <c r="E61599" s="0" t="str">
        <f aca="false">HYPERLINK("https://lindat.mff.cuni.cz/services/SynSemClass40/SynSemClass40.html?veclass=vec01009#vec01009-ces-cm00049", "vec01009")</f>
        <v>vec01009</v>
      </c>
      <c r="F61599" s="0" t="s">
        <v>1672</v>
      </c>
      <c r="H61599" s="0" t="str">
        <f aca="false">HYPERLINK("https://lindat.mff.cuni.cz/services/SynSemClass40/SynSemClass40.html?veclass=vec01528#vec01528-ces-cm00034", "vec01528")</f>
        <v>vec01528</v>
      </c>
      <c r="I61599" s="0" t="s">
        <v>20087</v>
      </c>
    </row>
    <row r="61600" customFormat="false" ht="12.8" hidden="false" customHeight="false" outlineLevel="0" collapsed="false">
      <c r="B61600" s="0" t="s">
        <v>1</v>
      </c>
      <c r="C61600" s="0" t="s">
        <v>1673</v>
      </c>
      <c r="E61600" s="0" t="s">
        <v>147</v>
      </c>
      <c r="F61600" s="0" t="s">
        <v>1674</v>
      </c>
      <c r="H61600" s="0" t="s">
        <v>147</v>
      </c>
      <c r="I61600" s="0" t="s">
        <v>5874</v>
      </c>
    </row>
    <row r="61601" customFormat="false" ht="12.8" hidden="false" customHeight="false" outlineLevel="0" collapsed="false">
      <c r="B61601" s="0" t="s">
        <v>19490</v>
      </c>
      <c r="C61601" s="0" t="s">
        <v>1675</v>
      </c>
      <c r="E61601" s="0" t="s">
        <v>50</v>
      </c>
      <c r="F61601" s="0" t="s">
        <v>1676</v>
      </c>
      <c r="H61601" s="0" t="s">
        <v>180</v>
      </c>
      <c r="I61601" s="0" t="s">
        <v>20088</v>
      </c>
    </row>
    <row r="61603" customFormat="false" ht="12.8" hidden="false" customHeight="false" outlineLevel="0" collapsed="false">
      <c r="A61603" s="0" t="s">
        <v>20647</v>
      </c>
      <c r="B61603" s="0" t="str">
        <f aca="false">HYPERLINK("https://lindat.mff.cuni.cz/services/teitok/pdtc10/index.php?action=vallex&amp;frame=v-w10796f2", "vyřvávat (v-w10796f2)")</f>
        <v>vyřvávat (v-w10796f2)</v>
      </c>
    </row>
    <row r="61604" customFormat="false" ht="12.8" hidden="false" customHeight="false" outlineLevel="0" collapsed="false">
      <c r="B61604" s="0" t="s">
        <v>1</v>
      </c>
    </row>
    <row r="61605" customFormat="false" ht="12.8" hidden="false" customHeight="false" outlineLevel="0" collapsed="false">
      <c r="B61605" s="0" t="s">
        <v>6407</v>
      </c>
    </row>
    <row r="61606" customFormat="false" ht="12.8" hidden="false" customHeight="false" outlineLevel="0" collapsed="false">
      <c r="B61606" s="0" t="s">
        <v>496</v>
      </c>
    </row>
    <row r="61608" customFormat="false" ht="12.8" hidden="false" customHeight="false" outlineLevel="0" collapsed="false">
      <c r="A61608" s="0" t="s">
        <v>20648</v>
      </c>
      <c r="B61608" s="0" t="str">
        <f aca="false">HYPERLINK("https://lindat.mff.cuni.cz/services/teitok/pdtc10/index.php?action=vallex&amp;frame=v-whsa_1297hsa_1298", "vyřádit se (v-whsa_1297hsa_1298)")</f>
        <v>vyřádit se (v-whsa_1297hsa_1298)</v>
      </c>
    </row>
    <row r="61609" customFormat="false" ht="12.8" hidden="false" customHeight="false" outlineLevel="0" collapsed="false">
      <c r="B61609" s="0" t="s">
        <v>1</v>
      </c>
    </row>
    <row r="61611" customFormat="false" ht="12.8" hidden="false" customHeight="false" outlineLevel="0" collapsed="false">
      <c r="A61611" s="0" t="s">
        <v>20649</v>
      </c>
      <c r="B61611" s="0" t="str">
        <f aca="false">HYPERLINK("https://lindat.mff.cuni.cz/services/teitok/pdtc10/index.php?action=vallex&amp;frame=v-w8325f3", "vyřídit (v-w8325f3)")</f>
        <v>vyřídit (v-w8325f3)</v>
      </c>
    </row>
    <row r="61612" customFormat="false" ht="12.8" hidden="false" customHeight="false" outlineLevel="0" collapsed="false">
      <c r="B61612" s="0" t="s">
        <v>1</v>
      </c>
    </row>
    <row r="61613" customFormat="false" ht="12.8" hidden="false" customHeight="false" outlineLevel="0" collapsed="false">
      <c r="B61613" s="0" t="s">
        <v>500</v>
      </c>
    </row>
    <row r="61614" customFormat="false" ht="12.8" hidden="false" customHeight="false" outlineLevel="0" collapsed="false">
      <c r="B61614" s="0" t="s">
        <v>52</v>
      </c>
    </row>
    <row r="61616" customFormat="false" ht="12.8" hidden="false" customHeight="false" outlineLevel="0" collapsed="false">
      <c r="A61616" s="0" t="s">
        <v>20650</v>
      </c>
      <c r="B61616" s="0" t="str">
        <f aca="false">HYPERLINK("https://lindat.mff.cuni.cz/services/teitok/pdtc10/index.php?action=vallex&amp;frame=v-w8325f4", "vyřídit (v-w8325f4)")</f>
        <v>vyřídit (v-w8325f4)</v>
      </c>
    </row>
    <row r="61617" customFormat="false" ht="12.8" hidden="false" customHeight="false" outlineLevel="0" collapsed="false">
      <c r="B61617" s="0" t="s">
        <v>1</v>
      </c>
    </row>
    <row r="61618" customFormat="false" ht="12.8" hidden="false" customHeight="false" outlineLevel="0" collapsed="false">
      <c r="B61618" s="0" t="s">
        <v>8</v>
      </c>
    </row>
    <row r="61619" customFormat="false" ht="12.8" hidden="false" customHeight="false" outlineLevel="0" collapsed="false">
      <c r="B61619" s="0" t="s">
        <v>276</v>
      </c>
    </row>
    <row r="61621" customFormat="false" ht="12.8" hidden="false" customHeight="false" outlineLevel="0" collapsed="false">
      <c r="A61621" s="0" t="s">
        <v>20651</v>
      </c>
      <c r="B61621" s="0" t="str">
        <f aca="false">HYPERLINK("https://lindat.mff.cuni.cz/services/teitok/pdtc10/index.php?action=vallex&amp;frame=v-w8325f1", "vyřídit (v-w8325f1)")</f>
        <v>vyřídit (v-w8325f1)</v>
      </c>
      <c r="E61621" s="0" t="str">
        <f aca="false">HYPERLINK("https://lindat.mff.cuni.cz/services/SynSemClass40/SynSemClass40.html?veclass=vec00301#vec00301-ces-cm00081", "vec00301")</f>
        <v>vec00301</v>
      </c>
      <c r="F61621" s="0" t="s">
        <v>3165</v>
      </c>
    </row>
    <row r="61622" customFormat="false" ht="12.8" hidden="false" customHeight="false" outlineLevel="0" collapsed="false">
      <c r="B61622" s="0" t="s">
        <v>1</v>
      </c>
      <c r="C61622" s="0" t="s">
        <v>10322</v>
      </c>
      <c r="E61622" s="0" t="s">
        <v>31</v>
      </c>
      <c r="F61622" s="0" t="s">
        <v>3167</v>
      </c>
    </row>
    <row r="61623" customFormat="false" ht="12.8" hidden="false" customHeight="false" outlineLevel="0" collapsed="false">
      <c r="B61623" s="0" t="s">
        <v>59</v>
      </c>
      <c r="C61623" s="0" t="s">
        <v>10323</v>
      </c>
      <c r="E61623" s="0" t="s">
        <v>230</v>
      </c>
      <c r="F61623" s="0" t="s">
        <v>3170</v>
      </c>
    </row>
    <row r="61625" customFormat="false" ht="12.8" hidden="false" customHeight="false" outlineLevel="0" collapsed="false">
      <c r="A61625" s="0" t="s">
        <v>20652</v>
      </c>
      <c r="B61625" s="0" t="str">
        <f aca="false">HYPERLINK("https://lindat.mff.cuni.cz/services/teitok/pdtc10/index.php?action=vallex&amp;frame=v-w8325f2", "vyřídit (v-w8325f2)")</f>
        <v>vyřídit (v-w8325f2)</v>
      </c>
    </row>
    <row r="61626" customFormat="false" ht="12.8" hidden="false" customHeight="false" outlineLevel="0" collapsed="false">
      <c r="B61626" s="0" t="s">
        <v>1</v>
      </c>
    </row>
    <row r="61627" customFormat="false" ht="12.8" hidden="false" customHeight="false" outlineLevel="0" collapsed="false">
      <c r="B61627" s="0" t="s">
        <v>8</v>
      </c>
    </row>
    <row r="61629" customFormat="false" ht="12.8" hidden="false" customHeight="false" outlineLevel="0" collapsed="false">
      <c r="A61629" s="0" t="s">
        <v>20653</v>
      </c>
      <c r="B61629" s="0" t="str">
        <f aca="false">HYPERLINK("https://lindat.mff.cuni.cz/services/teitok/pdtc10/index.php?action=vallex&amp;frame=v-w8326f1", "vyřídit si (v-w8326f1)")</f>
        <v>vyřídit si (v-w8326f1)</v>
      </c>
      <c r="E61629" s="0" t="str">
        <f aca="false">HYPERLINK("https://lindat.mff.cuni.cz/services/SynSemClass40/SynSemClass40.html?veclass=vec01468#vec01468-ces-cm00007", "vec01468")</f>
        <v>vec01468</v>
      </c>
      <c r="F61629" s="0" t="s">
        <v>2308</v>
      </c>
    </row>
    <row r="61630" customFormat="false" ht="12.8" hidden="false" customHeight="false" outlineLevel="0" collapsed="false">
      <c r="B61630" s="0" t="s">
        <v>1</v>
      </c>
      <c r="C61630" s="0" t="s">
        <v>16456</v>
      </c>
      <c r="E61630" s="0" t="s">
        <v>2251</v>
      </c>
      <c r="F61630" s="0" t="s">
        <v>2310</v>
      </c>
    </row>
    <row r="61631" customFormat="false" ht="12.8" hidden="false" customHeight="false" outlineLevel="0" collapsed="false">
      <c r="B61631" s="0" t="s">
        <v>228</v>
      </c>
      <c r="C61631" s="0" t="s">
        <v>16457</v>
      </c>
      <c r="E61631" s="0" t="s">
        <v>230</v>
      </c>
      <c r="F61631" s="0" t="s">
        <v>2313</v>
      </c>
    </row>
    <row r="61632" customFormat="false" ht="12.8" hidden="false" customHeight="false" outlineLevel="0" collapsed="false">
      <c r="B61632" s="0" t="s">
        <v>276</v>
      </c>
      <c r="C61632" s="0" t="s">
        <v>19894</v>
      </c>
      <c r="E61632" s="0" t="s">
        <v>2256</v>
      </c>
      <c r="F61632" s="0" t="s">
        <v>2316</v>
      </c>
    </row>
    <row r="61634" customFormat="false" ht="12.8" hidden="false" customHeight="false" outlineLevel="0" collapsed="false">
      <c r="A61634" s="0" t="s">
        <v>20654</v>
      </c>
      <c r="B61634" s="0" t="str">
        <f aca="false">HYPERLINK("https://lindat.mff.cuni.cz/services/teitok/pdtc10/index.php?action=vallex&amp;frame=v-w8327f1", "vyříkat si (v-w8327f1)")</f>
        <v>vyříkat si (v-w8327f1)</v>
      </c>
      <c r="E61634" s="0" t="str">
        <f aca="false">HYPERLINK("https://lindat.mff.cuni.cz/services/SynSemClass40/SynSemClass40.html?veclass=vec01468#vec01468-ces-cm00008", "vec01468")</f>
        <v>vec01468</v>
      </c>
      <c r="F61634" s="0" t="s">
        <v>2308</v>
      </c>
    </row>
    <row r="61635" customFormat="false" ht="12.8" hidden="false" customHeight="false" outlineLevel="0" collapsed="false">
      <c r="B61635" s="0" t="s">
        <v>1</v>
      </c>
      <c r="C61635" s="0" t="s">
        <v>16456</v>
      </c>
      <c r="E61635" s="0" t="s">
        <v>2251</v>
      </c>
      <c r="F61635" s="0" t="s">
        <v>2310</v>
      </c>
    </row>
    <row r="61636" customFormat="false" ht="12.8" hidden="false" customHeight="false" outlineLevel="0" collapsed="false">
      <c r="B61636" s="0" t="s">
        <v>228</v>
      </c>
      <c r="C61636" s="0" t="s">
        <v>16457</v>
      </c>
      <c r="E61636" s="0" t="s">
        <v>230</v>
      </c>
      <c r="F61636" s="0" t="s">
        <v>2313</v>
      </c>
    </row>
    <row r="61637" customFormat="false" ht="12.8" hidden="false" customHeight="false" outlineLevel="0" collapsed="false">
      <c r="B61637" s="0" t="s">
        <v>276</v>
      </c>
      <c r="C61637" s="0" t="s">
        <v>19894</v>
      </c>
      <c r="E61637" s="0" t="s">
        <v>2256</v>
      </c>
      <c r="F61637" s="0" t="s">
        <v>2316</v>
      </c>
    </row>
    <row r="61639" customFormat="false" ht="12.8" hidden="false" customHeight="false" outlineLevel="0" collapsed="false">
      <c r="A61639" s="0" t="s">
        <v>20655</v>
      </c>
      <c r="B61639" s="0" t="str">
        <f aca="false">HYPERLINK("https://lindat.mff.cuni.cz/services/teitok/pdtc10/index.php?action=vallex&amp;frame=v-w8329f1", "vyříznout (v-w8329f1)")</f>
        <v>vyříznout (v-w8329f1)</v>
      </c>
    </row>
    <row r="61640" customFormat="false" ht="12.8" hidden="false" customHeight="false" outlineLevel="0" collapsed="false">
      <c r="B61640" s="0" t="s">
        <v>1</v>
      </c>
    </row>
    <row r="61641" customFormat="false" ht="12.8" hidden="false" customHeight="false" outlineLevel="0" collapsed="false">
      <c r="B61641" s="0" t="s">
        <v>8</v>
      </c>
    </row>
    <row r="61642" customFormat="false" ht="12.8" hidden="false" customHeight="false" outlineLevel="0" collapsed="false">
      <c r="B61642" s="0" t="s">
        <v>631</v>
      </c>
    </row>
    <row r="61644" customFormat="false" ht="12.8" hidden="false" customHeight="false" outlineLevel="0" collapsed="false">
      <c r="A61644" s="0" t="s">
        <v>20656</v>
      </c>
      <c r="B61644" s="0" t="str">
        <f aca="false">HYPERLINK("https://lindat.mff.cuni.cz/services/teitok/pdtc10/index.php?action=vallex&amp;frame=v-w8432f1", "vyšachovat (v-w8432f1)")</f>
        <v>vyšachovat (v-w8432f1)</v>
      </c>
    </row>
    <row r="61645" customFormat="false" ht="12.8" hidden="false" customHeight="false" outlineLevel="0" collapsed="false">
      <c r="B61645" s="0" t="s">
        <v>1</v>
      </c>
    </row>
    <row r="61646" customFormat="false" ht="12.8" hidden="false" customHeight="false" outlineLevel="0" collapsed="false">
      <c r="B61646" s="0" t="s">
        <v>8</v>
      </c>
    </row>
    <row r="61648" customFormat="false" ht="12.8" hidden="false" customHeight="false" outlineLevel="0" collapsed="false">
      <c r="A61648" s="0" t="s">
        <v>20657</v>
      </c>
      <c r="B61648" s="0" t="str">
        <f aca="false">HYPERLINK("https://lindat.mff.cuni.cz/services/teitok/pdtc10/index.php?action=vallex&amp;frame=v-w8435f1", "vyšetřit (v-w8435f1)")</f>
        <v>vyšetřit (v-w8435f1)</v>
      </c>
    </row>
    <row r="61649" customFormat="false" ht="12.8" hidden="false" customHeight="false" outlineLevel="0" collapsed="false">
      <c r="B61649" s="0" t="s">
        <v>1</v>
      </c>
    </row>
    <row r="61650" customFormat="false" ht="12.8" hidden="false" customHeight="false" outlineLevel="0" collapsed="false">
      <c r="B61650" s="0" t="s">
        <v>2493</v>
      </c>
    </row>
    <row r="61652" customFormat="false" ht="12.8" hidden="false" customHeight="false" outlineLevel="0" collapsed="false">
      <c r="A61652" s="0" t="s">
        <v>20658</v>
      </c>
      <c r="B61652" s="0" t="str">
        <f aca="false">HYPERLINK("https://lindat.mff.cuni.cz/services/teitok/pdtc10/index.php?action=vallex&amp;frame=v-w8435f2", "vyšetřit (v-w8435f2)")</f>
        <v>vyšetřit (v-w8435f2)</v>
      </c>
    </row>
    <row r="61653" customFormat="false" ht="12.8" hidden="false" customHeight="false" outlineLevel="0" collapsed="false">
      <c r="B61653" s="0" t="s">
        <v>1</v>
      </c>
    </row>
    <row r="61654" customFormat="false" ht="12.8" hidden="false" customHeight="false" outlineLevel="0" collapsed="false">
      <c r="B61654" s="0" t="s">
        <v>2493</v>
      </c>
    </row>
    <row r="61656" customFormat="false" ht="12.8" hidden="false" customHeight="false" outlineLevel="0" collapsed="false">
      <c r="A61656" s="0" t="s">
        <v>20659</v>
      </c>
      <c r="B61656" s="0" t="str">
        <f aca="false">HYPERLINK("https://lindat.mff.cuni.cz/services/teitok/pdtc10/index.php?action=vallex&amp;frame=v-w11948_ZUf1_ZU", "vyšetřit si (v-w11948_ZUf1_ZU)")</f>
        <v>vyšetřit si (v-w11948_ZUf1_ZU)</v>
      </c>
    </row>
    <row r="61657" customFormat="false" ht="12.8" hidden="false" customHeight="false" outlineLevel="0" collapsed="false">
      <c r="B61657" s="0" t="s">
        <v>1</v>
      </c>
    </row>
    <row r="61658" customFormat="false" ht="12.8" hidden="false" customHeight="false" outlineLevel="0" collapsed="false">
      <c r="B61658" s="0" t="s">
        <v>8</v>
      </c>
    </row>
    <row r="61660" customFormat="false" ht="12.8" hidden="false" customHeight="false" outlineLevel="0" collapsed="false">
      <c r="A61660" s="0" t="s">
        <v>20660</v>
      </c>
      <c r="B61660" s="0" t="str">
        <f aca="false">HYPERLINK("https://lindat.mff.cuni.cz/services/teitok/pdtc10/index.php?action=vallex&amp;frame=v-w8437f1", "vyšetřovat (v-w8437f1)")</f>
        <v>vyšetřovat (v-w8437f1)</v>
      </c>
      <c r="E61660" s="0" t="str">
        <f aca="false">HYPERLINK("https://lindat.mff.cuni.cz/services/SynSemClass40/SynSemClass40.html?veclass=vec00090#vec00090-ces-cm00034", "vec00090")</f>
        <v>vec00090</v>
      </c>
      <c r="F61660" s="0" t="s">
        <v>113</v>
      </c>
    </row>
    <row r="61661" customFormat="false" ht="12.8" hidden="false" customHeight="false" outlineLevel="0" collapsed="false">
      <c r="B61661" s="0" t="s">
        <v>1</v>
      </c>
      <c r="C61661" s="0" t="s">
        <v>114</v>
      </c>
      <c r="E61661" s="0" t="s">
        <v>115</v>
      </c>
      <c r="F61661" s="0" t="s">
        <v>116</v>
      </c>
    </row>
    <row r="61662" customFormat="false" ht="12.8" hidden="false" customHeight="false" outlineLevel="0" collapsed="false">
      <c r="B61662" s="0" t="s">
        <v>2493</v>
      </c>
      <c r="C61662" s="0" t="s">
        <v>118</v>
      </c>
      <c r="E61662" s="0" t="s">
        <v>119</v>
      </c>
      <c r="F61662" s="0" t="s">
        <v>120</v>
      </c>
    </row>
    <row r="61664" customFormat="false" ht="12.8" hidden="false" customHeight="false" outlineLevel="0" collapsed="false">
      <c r="A61664" s="0" t="s">
        <v>20661</v>
      </c>
      <c r="B61664" s="0" t="str">
        <f aca="false">HYPERLINK("https://lindat.mff.cuni.cz/services/teitok/pdtc10/index.php?action=vallex&amp;frame=v-w8437hsa_746", "vyšetřovat (v-w8437hsa_746)")</f>
        <v>vyšetřovat (v-w8437hsa_746)</v>
      </c>
    </row>
    <row r="61665" customFormat="false" ht="12.8" hidden="false" customHeight="false" outlineLevel="0" collapsed="false">
      <c r="B61665" s="0" t="s">
        <v>1</v>
      </c>
    </row>
    <row r="61666" customFormat="false" ht="12.8" hidden="false" customHeight="false" outlineLevel="0" collapsed="false">
      <c r="B61666" s="0" t="s">
        <v>8</v>
      </c>
    </row>
    <row r="61668" customFormat="false" ht="12.8" hidden="false" customHeight="false" outlineLevel="0" collapsed="false">
      <c r="A61668" s="0" t="s">
        <v>20662</v>
      </c>
      <c r="B61668" s="0" t="str">
        <f aca="false">HYPERLINK("https://lindat.mff.cuni.cz/services/teitok/pdtc10/index.php?action=vallex&amp;frame=v-w8439f1", "vyškemrat (v-w8439f1)")</f>
        <v>vyškemrat (v-w8439f1)</v>
      </c>
    </row>
    <row r="61669" customFormat="false" ht="12.8" hidden="false" customHeight="false" outlineLevel="0" collapsed="false">
      <c r="B61669" s="0" t="s">
        <v>1</v>
      </c>
    </row>
    <row r="61670" customFormat="false" ht="12.8" hidden="false" customHeight="false" outlineLevel="0" collapsed="false">
      <c r="B61670" s="0" t="s">
        <v>7589</v>
      </c>
    </row>
    <row r="61671" customFormat="false" ht="12.8" hidden="false" customHeight="false" outlineLevel="0" collapsed="false">
      <c r="B61671" s="0" t="s">
        <v>2094</v>
      </c>
    </row>
    <row r="61673" customFormat="false" ht="12.8" hidden="false" customHeight="false" outlineLevel="0" collapsed="false">
      <c r="A61673" s="0" t="s">
        <v>20663</v>
      </c>
      <c r="B61673" s="0" t="str">
        <f aca="false">HYPERLINK("https://lindat.mff.cuni.cz/services/teitok/pdtc10/index.php?action=vallex&amp;frame=v-w8441f1", "vyškolit (v-w8441f1)")</f>
        <v>vyškolit (v-w8441f1)</v>
      </c>
      <c r="E61673" s="0" t="str">
        <f aca="false">HYPERLINK("https://lindat.mff.cuni.cz/services/SynSemClass40/SynSemClass40.html?veclass=vec00763#vec00763-ces-cm00001", "vec00763")</f>
        <v>vec00763</v>
      </c>
      <c r="F61673" s="0" t="s">
        <v>19016</v>
      </c>
    </row>
    <row r="61674" customFormat="false" ht="12.8" hidden="false" customHeight="false" outlineLevel="0" collapsed="false">
      <c r="B61674" s="0" t="s">
        <v>1</v>
      </c>
      <c r="C61674" s="0" t="s">
        <v>19017</v>
      </c>
      <c r="E61674" s="0" t="s">
        <v>206</v>
      </c>
      <c r="F61674" s="0" t="s">
        <v>19018</v>
      </c>
    </row>
    <row r="61675" customFormat="false" ht="12.8" hidden="false" customHeight="false" outlineLevel="0" collapsed="false">
      <c r="B61675" s="0" t="s">
        <v>8</v>
      </c>
      <c r="C61675" s="0" t="s">
        <v>19019</v>
      </c>
      <c r="E61675" s="0" t="s">
        <v>3002</v>
      </c>
      <c r="F61675" s="0" t="s">
        <v>19020</v>
      </c>
    </row>
    <row r="61677" customFormat="false" ht="12.8" hidden="false" customHeight="false" outlineLevel="0" collapsed="false">
      <c r="A61677" s="0" t="s">
        <v>20664</v>
      </c>
      <c r="B61677" s="0" t="str">
        <f aca="false">HYPERLINK("https://lindat.mff.cuni.cz/services/teitok/pdtc10/index.php?action=vallex&amp;frame=v-w12140_ZUf1_ZU", "vyškrabat (v-w12140_ZUf1_ZU)")</f>
        <v>vyškrabat (v-w12140_ZUf1_ZU)</v>
      </c>
    </row>
    <row r="61678" customFormat="false" ht="12.8" hidden="false" customHeight="false" outlineLevel="0" collapsed="false">
      <c r="B61678" s="0" t="s">
        <v>1</v>
      </c>
    </row>
    <row r="61679" customFormat="false" ht="12.8" hidden="false" customHeight="false" outlineLevel="0" collapsed="false">
      <c r="B61679" s="0" t="s">
        <v>8</v>
      </c>
    </row>
    <row r="61681" customFormat="false" ht="12.8" hidden="false" customHeight="false" outlineLevel="0" collapsed="false">
      <c r="A61681" s="0" t="s">
        <v>20665</v>
      </c>
      <c r="B61681" s="0" t="str">
        <f aca="false">HYPERLINK("https://lindat.mff.cuni.cz/services/teitok/pdtc10/index.php?action=vallex&amp;frame=v-w12140_ZUf2_MM", "vyškrabat (v-w12140_ZUf2_MM)")</f>
        <v>vyškrabat (v-w12140_ZUf2_MM)</v>
      </c>
    </row>
    <row r="61682" customFormat="false" ht="12.8" hidden="false" customHeight="false" outlineLevel="0" collapsed="false">
      <c r="B61682" s="0" t="s">
        <v>1</v>
      </c>
    </row>
    <row r="61683" customFormat="false" ht="12.8" hidden="false" customHeight="false" outlineLevel="0" collapsed="false">
      <c r="B61683" s="0" t="s">
        <v>8</v>
      </c>
    </row>
    <row r="61684" customFormat="false" ht="12.8" hidden="false" customHeight="false" outlineLevel="0" collapsed="false">
      <c r="B61684" s="0" t="s">
        <v>631</v>
      </c>
    </row>
    <row r="61686" customFormat="false" ht="12.8" hidden="false" customHeight="false" outlineLevel="0" collapsed="false">
      <c r="A61686" s="0" t="s">
        <v>20666</v>
      </c>
      <c r="B61686" s="0" t="str">
        <f aca="false">HYPERLINK("https://lindat.mff.cuni.cz/services/teitok/pdtc10/index.php?action=vallex&amp;frame=v-w8442f1", "vyškrtnout (v-w8442f1)")</f>
        <v>vyškrtnout (v-w8442f1)</v>
      </c>
      <c r="E61686" s="0" t="str">
        <f aca="false">HYPERLINK("https://lindat.mff.cuni.cz/services/SynSemClass40/SynSemClass40.html?veclass=vec00962#vec00962-ces-cm00007", "vec00962")</f>
        <v>vec00962</v>
      </c>
      <c r="F61686" s="0" t="s">
        <v>9319</v>
      </c>
    </row>
    <row r="61687" customFormat="false" ht="12.8" hidden="false" customHeight="false" outlineLevel="0" collapsed="false">
      <c r="B61687" s="0" t="s">
        <v>1</v>
      </c>
      <c r="C61687" s="0" t="s">
        <v>106</v>
      </c>
      <c r="E61687" s="0" t="s">
        <v>11</v>
      </c>
      <c r="F61687" s="0" t="s">
        <v>9320</v>
      </c>
    </row>
    <row r="61688" customFormat="false" ht="12.8" hidden="false" customHeight="false" outlineLevel="0" collapsed="false">
      <c r="B61688" s="0" t="s">
        <v>8</v>
      </c>
      <c r="C61688" s="0" t="s">
        <v>4392</v>
      </c>
      <c r="E61688" s="0" t="s">
        <v>4094</v>
      </c>
      <c r="F61688" s="0" t="s">
        <v>9321</v>
      </c>
    </row>
    <row r="61689" customFormat="false" ht="12.8" hidden="false" customHeight="false" outlineLevel="0" collapsed="false">
      <c r="B61689" s="0" t="s">
        <v>631</v>
      </c>
      <c r="C61689" s="0" t="s">
        <v>9322</v>
      </c>
      <c r="E61689" s="0" t="s">
        <v>1924</v>
      </c>
      <c r="F61689" s="0" t="s">
        <v>9323</v>
      </c>
    </row>
    <row r="61691" customFormat="false" ht="12.8" hidden="false" customHeight="false" outlineLevel="0" collapsed="false">
      <c r="A61691" s="0" t="s">
        <v>20667</v>
      </c>
      <c r="B61691" s="0" t="str">
        <f aca="false">HYPERLINK("https://lindat.mff.cuni.cz/services/teitok/pdtc10/index.php?action=vallex&amp;frame=v-w11991_ZUf1_ZU", "vyškrábat (v-w11991_ZUf1_ZU)")</f>
        <v>vyškrábat (v-w11991_ZUf1_ZU)</v>
      </c>
    </row>
    <row r="61692" customFormat="false" ht="12.8" hidden="false" customHeight="false" outlineLevel="0" collapsed="false">
      <c r="B61692" s="0" t="s">
        <v>1</v>
      </c>
    </row>
    <row r="61693" customFormat="false" ht="12.8" hidden="false" customHeight="false" outlineLevel="0" collapsed="false">
      <c r="B61693" s="0" t="s">
        <v>8</v>
      </c>
    </row>
    <row r="61695" customFormat="false" ht="12.8" hidden="false" customHeight="false" outlineLevel="0" collapsed="false">
      <c r="A61695" s="0" t="s">
        <v>20668</v>
      </c>
      <c r="B61695" s="0" t="str">
        <f aca="false">HYPERLINK("https://lindat.mff.cuni.cz/services/teitok/pdtc10/index.php?action=vallex&amp;frame=v-whsa_703hsa_704", "vyškrábat se (v-whsa_703hsa_704)")</f>
        <v>vyškrábat se (v-whsa_703hsa_704)</v>
      </c>
      <c r="E61695" s="0" t="str">
        <f aca="false">HYPERLINK("https://lindat.mff.cuni.cz/services/SynSemClass40/SynSemClass40.html?veclass=vec00218#vec00218-ces-cm00270", "vec00218")</f>
        <v>vec00218</v>
      </c>
      <c r="F61695" s="0" t="s">
        <v>2143</v>
      </c>
    </row>
    <row r="61696" customFormat="false" ht="12.8" hidden="false" customHeight="false" outlineLevel="0" collapsed="false">
      <c r="B61696" s="0" t="s">
        <v>1</v>
      </c>
      <c r="C61696" s="0" t="s">
        <v>2144</v>
      </c>
      <c r="E61696" s="0" t="s">
        <v>11</v>
      </c>
      <c r="F61696" s="0" t="s">
        <v>2145</v>
      </c>
    </row>
    <row r="61697" customFormat="false" ht="12.8" hidden="false" customHeight="false" outlineLevel="0" collapsed="false">
      <c r="B61697" s="0" t="s">
        <v>164</v>
      </c>
      <c r="C61697" s="0" t="s">
        <v>2146</v>
      </c>
      <c r="E61697" s="0" t="s">
        <v>370</v>
      </c>
      <c r="F61697" s="0" t="s">
        <v>2147</v>
      </c>
    </row>
    <row r="61699" customFormat="false" ht="12.8" hidden="false" customHeight="false" outlineLevel="0" collapsed="false">
      <c r="A61699" s="0" t="s">
        <v>20669</v>
      </c>
      <c r="B61699" s="0" t="str">
        <f aca="false">HYPERLINK("https://lindat.mff.cuni.cz/services/teitok/pdtc10/index.php?action=vallex&amp;frame=v-whsa_703f1_ZU", "vyškrábat se (v-whsa_703f1_ZU)")</f>
        <v>vyškrábat se (v-whsa_703f1_ZU)</v>
      </c>
      <c r="E61699" s="0" t="str">
        <f aca="false">HYPERLINK("https://lindat.mff.cuni.cz/services/SynSemClass40/SynSemClass40.html?veclass=vec00028#vec00028-ces-cm00140", "vec00028")</f>
        <v>vec00028</v>
      </c>
      <c r="F61699" s="0" t="s">
        <v>5301</v>
      </c>
      <c r="H61699" s="0" t="str">
        <f aca="false">HYPERLINK("https://lindat.mff.cuni.cz/services/SynSemClass40/SynSemClass40.html?veclass=vec00109#vec00109-ces-cm00171", "vec00109")</f>
        <v>vec00109</v>
      </c>
      <c r="I61699" s="0" t="s">
        <v>5143</v>
      </c>
    </row>
    <row r="61700" customFormat="false" ht="12.8" hidden="false" customHeight="false" outlineLevel="0" collapsed="false">
      <c r="B61700" s="0" t="s">
        <v>1</v>
      </c>
      <c r="C61700" s="0" t="s">
        <v>19542</v>
      </c>
      <c r="E61700" s="0" t="s">
        <v>235</v>
      </c>
      <c r="F61700" s="0" t="s">
        <v>5304</v>
      </c>
      <c r="H61700" s="0" t="s">
        <v>235</v>
      </c>
      <c r="I61700" s="0" t="s">
        <v>5146</v>
      </c>
    </row>
    <row r="61701" customFormat="false" ht="12.8" hidden="false" customHeight="false" outlineLevel="0" collapsed="false">
      <c r="B61701" s="0" t="s">
        <v>36</v>
      </c>
      <c r="C61701" s="0" t="s">
        <v>20670</v>
      </c>
      <c r="E61701" s="0" t="s">
        <v>5152</v>
      </c>
      <c r="F61701" s="0" t="s">
        <v>5311</v>
      </c>
      <c r="H61701" s="0" t="s">
        <v>5152</v>
      </c>
      <c r="I61701" s="0" t="s">
        <v>5153</v>
      </c>
    </row>
    <row r="61702" customFormat="false" ht="12.8" hidden="false" customHeight="false" outlineLevel="0" collapsed="false">
      <c r="B61702" s="0" t="s">
        <v>69</v>
      </c>
      <c r="C61702" s="0" t="s">
        <v>20671</v>
      </c>
      <c r="E61702" s="0" t="s">
        <v>5149</v>
      </c>
      <c r="F61702" s="0" t="s">
        <v>5307</v>
      </c>
      <c r="H61702" s="0" t="s">
        <v>5149</v>
      </c>
      <c r="I61702" s="0" t="s">
        <v>5150</v>
      </c>
    </row>
    <row r="61704" customFormat="false" ht="12.8" hidden="false" customHeight="false" outlineLevel="0" collapsed="false">
      <c r="A61704" s="0" t="s">
        <v>20672</v>
      </c>
      <c r="B61704" s="0" t="str">
        <f aca="false">HYPERLINK("https://lindat.mff.cuni.cz/services/teitok/pdtc10/index.php?action=vallex&amp;frame=v-whsa_701hsa_702", "vyškrábat se (v-whsa_701hsa_702)")</f>
        <v>vyškrábat se (v-whsa_701hsa_702)</v>
      </c>
    </row>
    <row r="61705" customFormat="false" ht="12.8" hidden="false" customHeight="false" outlineLevel="0" collapsed="false">
      <c r="B61705" s="0" t="s">
        <v>1</v>
      </c>
    </row>
    <row r="61706" customFormat="false" ht="12.8" hidden="false" customHeight="false" outlineLevel="0" collapsed="false">
      <c r="B61706" s="0" t="s">
        <v>36</v>
      </c>
    </row>
    <row r="61707" customFormat="false" ht="12.8" hidden="false" customHeight="false" outlineLevel="0" collapsed="false">
      <c r="B61707" s="0" t="s">
        <v>69</v>
      </c>
    </row>
    <row r="61709" customFormat="false" ht="12.8" hidden="false" customHeight="false" outlineLevel="0" collapsed="false">
      <c r="A61709" s="0" t="s">
        <v>20673</v>
      </c>
      <c r="B61709" s="0" t="str">
        <f aca="false">HYPERLINK("https://lindat.mff.cuni.cz/services/teitok/pdtc10/index.php?action=vallex&amp;frame=v-w8444f1", "vyšlapat (v-w8444f1)")</f>
        <v>vyšlapat (v-w8444f1)</v>
      </c>
    </row>
    <row r="61710" customFormat="false" ht="12.8" hidden="false" customHeight="false" outlineLevel="0" collapsed="false">
      <c r="B61710" s="0" t="s">
        <v>1</v>
      </c>
    </row>
    <row r="61711" customFormat="false" ht="12.8" hidden="false" customHeight="false" outlineLevel="0" collapsed="false">
      <c r="B61711" s="0" t="s">
        <v>8</v>
      </c>
    </row>
    <row r="61713" customFormat="false" ht="12.8" hidden="false" customHeight="false" outlineLevel="0" collapsed="false">
      <c r="A61713" s="0" t="s">
        <v>20674</v>
      </c>
      <c r="B61713" s="0" t="str">
        <f aca="false">HYPERLINK("https://lindat.mff.cuni.cz/services/teitok/pdtc10/index.php?action=vallex&amp;frame=v-w8444f4_ZU", "vyšlapat (v-w8444f4_ZU)")</f>
        <v>vyšlapat (v-w8444f4_ZU)</v>
      </c>
    </row>
    <row r="61714" customFormat="false" ht="12.8" hidden="false" customHeight="false" outlineLevel="0" collapsed="false">
      <c r="B61714" s="0" t="s">
        <v>1</v>
      </c>
    </row>
    <row r="61715" customFormat="false" ht="12.8" hidden="false" customHeight="false" outlineLevel="0" collapsed="false">
      <c r="B61715" s="0" t="s">
        <v>454</v>
      </c>
    </row>
    <row r="61717" customFormat="false" ht="12.8" hidden="false" customHeight="false" outlineLevel="0" collapsed="false">
      <c r="A61717" s="0" t="s">
        <v>20675</v>
      </c>
      <c r="B61717" s="0" t="str">
        <f aca="false">HYPERLINK("https://lindat.mff.cuni.cz/services/teitok/pdtc10/index.php?action=vallex&amp;frame=v-w8444f5_ZU", "vyšlapat (v-w8444f5_ZU)")</f>
        <v>vyšlapat (v-w8444f5_ZU)</v>
      </c>
    </row>
    <row r="61718" customFormat="false" ht="12.8" hidden="false" customHeight="false" outlineLevel="0" collapsed="false">
      <c r="B61718" s="0" t="s">
        <v>1</v>
      </c>
    </row>
    <row r="61719" customFormat="false" ht="12.8" hidden="false" customHeight="false" outlineLevel="0" collapsed="false">
      <c r="B61719" s="0" t="s">
        <v>8</v>
      </c>
    </row>
    <row r="61721" customFormat="false" ht="12.8" hidden="false" customHeight="false" outlineLevel="0" collapsed="false">
      <c r="A61721" s="0" t="s">
        <v>20675</v>
      </c>
      <c r="B61721" s="0" t="str">
        <f aca="false">HYPERLINK("https://lindat.mff.cuni.cz/services/teitok/pdtc10/index.php?action=vallex&amp;frame=v-w8444f2_ZU", "vyšlapat (v-w8444f2_ZU) - substituted with v-w8444f5_ZU")</f>
        <v>vyšlapat (v-w8444f2_ZU) - substituted with v-w8444f5_ZU</v>
      </c>
    </row>
    <row r="61722" customFormat="false" ht="12.8" hidden="false" customHeight="false" outlineLevel="0" collapsed="false">
      <c r="B61722" s="0" t="s">
        <v>1</v>
      </c>
    </row>
    <row r="61723" customFormat="false" ht="12.8" hidden="false" customHeight="false" outlineLevel="0" collapsed="false">
      <c r="B61723" s="0" t="s">
        <v>8</v>
      </c>
    </row>
    <row r="61725" customFormat="false" ht="12.8" hidden="false" customHeight="false" outlineLevel="0" collapsed="false">
      <c r="A61725" s="0" t="s">
        <v>20675</v>
      </c>
      <c r="B61725" s="0" t="str">
        <f aca="false">HYPERLINK("https://lindat.mff.cuni.cz/services/teitok/pdtc10/index.php?action=vallex&amp;frame=v-w8444f3_ZU", "vyšlapat (v-w8444f3_ZU) - substituted with v-w8444f5_ZU")</f>
        <v>vyšlapat (v-w8444f3_ZU) - substituted with v-w8444f5_ZU</v>
      </c>
    </row>
    <row r="61726" customFormat="false" ht="12.8" hidden="false" customHeight="false" outlineLevel="0" collapsed="false">
      <c r="B61726" s="0" t="s">
        <v>1</v>
      </c>
    </row>
    <row r="61727" customFormat="false" ht="12.8" hidden="false" customHeight="false" outlineLevel="0" collapsed="false">
      <c r="B61727" s="0" t="s">
        <v>8</v>
      </c>
    </row>
    <row r="61729" customFormat="false" ht="12.8" hidden="false" customHeight="false" outlineLevel="0" collapsed="false">
      <c r="A61729" s="0" t="s">
        <v>20676</v>
      </c>
      <c r="B61729" s="0" t="str">
        <f aca="false">HYPERLINK("https://lindat.mff.cuni.cz/services/teitok/pdtc10/index.php?action=vallex&amp;frame=v-w12120_ZUf1_ZU", "vyšlapávat (v-w12120_ZUf1_ZU)")</f>
        <v>vyšlapávat (v-w12120_ZUf1_ZU)</v>
      </c>
    </row>
    <row r="61730" customFormat="false" ht="12.8" hidden="false" customHeight="false" outlineLevel="0" collapsed="false">
      <c r="B61730" s="0" t="s">
        <v>1</v>
      </c>
    </row>
    <row r="61731" customFormat="false" ht="12.8" hidden="false" customHeight="false" outlineLevel="0" collapsed="false">
      <c r="B61731" s="0" t="s">
        <v>8</v>
      </c>
    </row>
    <row r="61733" customFormat="false" ht="12.8" hidden="false" customHeight="false" outlineLevel="0" collapsed="false">
      <c r="A61733" s="0" t="s">
        <v>20677</v>
      </c>
      <c r="B61733" s="0" t="str">
        <f aca="false">HYPERLINK("https://lindat.mff.cuni.cz/services/teitok/pdtc10/index.php?action=vallex&amp;frame=v-w8447f1", "vyšlechtit (v-w8447f1)")</f>
        <v>vyšlechtit (v-w8447f1)</v>
      </c>
    </row>
    <row r="61734" customFormat="false" ht="12.8" hidden="false" customHeight="false" outlineLevel="0" collapsed="false">
      <c r="B61734" s="0" t="s">
        <v>1</v>
      </c>
    </row>
    <row r="61735" customFormat="false" ht="12.8" hidden="false" customHeight="false" outlineLevel="0" collapsed="false">
      <c r="B61735" s="0" t="s">
        <v>8</v>
      </c>
    </row>
    <row r="61736" customFormat="false" ht="12.8" hidden="false" customHeight="false" outlineLevel="0" collapsed="false">
      <c r="B61736" s="0" t="s">
        <v>36</v>
      </c>
    </row>
    <row r="61738" customFormat="false" ht="12.8" hidden="false" customHeight="false" outlineLevel="0" collapsed="false">
      <c r="A61738" s="0" t="s">
        <v>20678</v>
      </c>
      <c r="B61738" s="0" t="str">
        <f aca="false">HYPERLINK("https://lindat.mff.cuni.cz/services/teitok/pdtc10/index.php?action=vallex&amp;frame=v-w8446f1", "vyšlehnout (v-w8446f1)")</f>
        <v>vyšlehnout (v-w8446f1)</v>
      </c>
    </row>
    <row r="61739" customFormat="false" ht="12.8" hidden="false" customHeight="false" outlineLevel="0" collapsed="false">
      <c r="B61739" s="0" t="s">
        <v>1</v>
      </c>
    </row>
    <row r="61740" customFormat="false" ht="12.8" hidden="false" customHeight="false" outlineLevel="0" collapsed="false">
      <c r="B61740" s="0" t="s">
        <v>631</v>
      </c>
    </row>
    <row r="61742" customFormat="false" ht="12.8" hidden="false" customHeight="false" outlineLevel="0" collapsed="false">
      <c r="A61742" s="0" t="s">
        <v>20679</v>
      </c>
      <c r="B61742" s="0" t="str">
        <f aca="false">HYPERLINK("https://lindat.mff.cuni.cz/services/teitok/pdtc10/index.php?action=vallex&amp;frame=v-w8445f1", "vyšlápnout si (v-w8445f1)")</f>
        <v>vyšlápnout si (v-w8445f1)</v>
      </c>
    </row>
    <row r="61743" customFormat="false" ht="12.8" hidden="false" customHeight="false" outlineLevel="0" collapsed="false">
      <c r="B61743" s="0" t="s">
        <v>1</v>
      </c>
    </row>
    <row r="61744" customFormat="false" ht="12.8" hidden="false" customHeight="false" outlineLevel="0" collapsed="false">
      <c r="B61744" s="0" t="s">
        <v>45</v>
      </c>
    </row>
    <row r="61746" customFormat="false" ht="12.8" hidden="false" customHeight="false" outlineLevel="0" collapsed="false">
      <c r="A61746" s="0" t="s">
        <v>20680</v>
      </c>
      <c r="B61746" s="0" t="str">
        <f aca="false">HYPERLINK("https://lindat.mff.cuni.cz/services/teitok/pdtc10/index.php?action=vallex&amp;frame=v-w8445hsa_830", "vyšlápnout si (v-w8445hsa_830)")</f>
        <v>vyšlápnout si (v-w8445hsa_830)</v>
      </c>
    </row>
    <row r="61747" customFormat="false" ht="12.8" hidden="false" customHeight="false" outlineLevel="0" collapsed="false">
      <c r="B61747" s="0" t="s">
        <v>1</v>
      </c>
    </row>
    <row r="61749" customFormat="false" ht="12.8" hidden="false" customHeight="false" outlineLevel="0" collapsed="false">
      <c r="A61749" s="0" t="s">
        <v>20681</v>
      </c>
      <c r="B61749" s="0" t="str">
        <f aca="false">HYPERLINK("https://lindat.mff.cuni.cz/services/teitok/pdtc10/index.php?action=vallex&amp;frame=v-w12018_ZUf1_ZU", "vyšmátrat (v-w12018_ZUf1_ZU)")</f>
        <v>vyšmátrat (v-w12018_ZUf1_ZU)</v>
      </c>
    </row>
    <row r="61750" customFormat="false" ht="12.8" hidden="false" customHeight="false" outlineLevel="0" collapsed="false">
      <c r="B61750" s="0" t="s">
        <v>1</v>
      </c>
    </row>
    <row r="61751" customFormat="false" ht="12.8" hidden="false" customHeight="false" outlineLevel="0" collapsed="false">
      <c r="B61751" s="0" t="s">
        <v>8</v>
      </c>
    </row>
    <row r="61753" customFormat="false" ht="12.8" hidden="false" customHeight="false" outlineLevel="0" collapsed="false">
      <c r="A61753" s="0" t="s">
        <v>20682</v>
      </c>
      <c r="B61753" s="0" t="str">
        <f aca="false">HYPERLINK("https://lindat.mff.cuni.cz/services/teitok/pdtc10/index.php?action=vallex&amp;frame=v-w11627_ZUf1_ZU", "vyšoupnout (v-w11627_ZUf1_ZU)")</f>
        <v>vyšoupnout (v-w11627_ZUf1_ZU)</v>
      </c>
    </row>
    <row r="61754" customFormat="false" ht="12.8" hidden="false" customHeight="false" outlineLevel="0" collapsed="false">
      <c r="B61754" s="0" t="s">
        <v>1</v>
      </c>
    </row>
    <row r="61755" customFormat="false" ht="12.8" hidden="false" customHeight="false" outlineLevel="0" collapsed="false">
      <c r="B61755" s="0" t="s">
        <v>8</v>
      </c>
    </row>
    <row r="61756" customFormat="false" ht="12.8" hidden="false" customHeight="false" outlineLevel="0" collapsed="false">
      <c r="B61756" s="0" t="s">
        <v>6273</v>
      </c>
    </row>
    <row r="61758" customFormat="false" ht="12.8" hidden="false" customHeight="false" outlineLevel="0" collapsed="false">
      <c r="A61758" s="0" t="s">
        <v>20683</v>
      </c>
      <c r="B61758" s="0" t="str">
        <f aca="false">HYPERLINK("https://lindat.mff.cuni.cz/services/teitok/pdtc10/index.php?action=vallex&amp;frame=v-w11190f2", "vyšperkovat (v-w11190f2)")</f>
        <v>vyšperkovat (v-w11190f2)</v>
      </c>
      <c r="E61758" s="0" t="str">
        <f aca="false">HYPERLINK("https://lindat.mff.cuni.cz/services/SynSemClass40/SynSemClass40.html?veclass=vec00972#vec00972-ces-cm00001", "vec00972")</f>
        <v>vec00972</v>
      </c>
      <c r="F61758" s="0" t="s">
        <v>10221</v>
      </c>
      <c r="H61758" s="0" t="str">
        <f aca="false">HYPERLINK("https://lindat.mff.cuni.cz/services/SynSemClass40/SynSemClass40.html?veclass=vec01363#vec01363-ces-cm00005", "vec01363")</f>
        <v>vec01363</v>
      </c>
      <c r="I61758" s="0" t="s">
        <v>7011</v>
      </c>
    </row>
    <row r="61759" customFormat="false" ht="12.8" hidden="false" customHeight="false" outlineLevel="0" collapsed="false">
      <c r="B61759" s="0" t="s">
        <v>1</v>
      </c>
      <c r="C61759" s="0" t="s">
        <v>825</v>
      </c>
      <c r="E61759" s="0" t="s">
        <v>31</v>
      </c>
      <c r="F61759" s="0" t="s">
        <v>2437</v>
      </c>
      <c r="H61759" s="0" t="s">
        <v>31</v>
      </c>
      <c r="I61759" s="0" t="s">
        <v>3001</v>
      </c>
    </row>
    <row r="61760" customFormat="false" ht="12.8" hidden="false" customHeight="false" outlineLevel="0" collapsed="false">
      <c r="B61760" s="0" t="s">
        <v>8</v>
      </c>
      <c r="C61760" s="0" t="s">
        <v>2627</v>
      </c>
      <c r="E61760" s="0" t="s">
        <v>4782</v>
      </c>
      <c r="F61760" s="0" t="s">
        <v>10222</v>
      </c>
      <c r="H61760" s="0" t="s">
        <v>4782</v>
      </c>
      <c r="I61760" s="0" t="s">
        <v>7012</v>
      </c>
    </row>
    <row r="61762" customFormat="false" ht="12.8" hidden="false" customHeight="false" outlineLevel="0" collapsed="false">
      <c r="A61762" s="0" t="s">
        <v>20684</v>
      </c>
      <c r="B61762" s="0" t="str">
        <f aca="false">HYPERLINK("https://lindat.mff.cuni.cz/services/teitok/pdtc10/index.php?action=vallex&amp;frame=v-w11629_ZUf1_ZU", "vyšplhat (v-w11629_ZUf1_ZU)")</f>
        <v>vyšplhat (v-w11629_ZUf1_ZU)</v>
      </c>
      <c r="E61762" s="0" t="str">
        <f aca="false">HYPERLINK("https://lindat.mff.cuni.cz/services/SynSemClass40/SynSemClass40.html?veclass=vec00109#vec00109-ces-cm00049", "vec00109")</f>
        <v>vec00109</v>
      </c>
      <c r="F61762" s="0" t="s">
        <v>5143</v>
      </c>
    </row>
    <row r="61763" customFormat="false" ht="12.8" hidden="false" customHeight="false" outlineLevel="0" collapsed="false">
      <c r="B61763" s="0" t="s">
        <v>1</v>
      </c>
      <c r="C61763" s="0" t="s">
        <v>7017</v>
      </c>
      <c r="E61763" s="0" t="s">
        <v>235</v>
      </c>
      <c r="F61763" s="0" t="s">
        <v>5146</v>
      </c>
    </row>
    <row r="61764" customFormat="false" ht="12.8" hidden="false" customHeight="false" outlineLevel="0" collapsed="false">
      <c r="B61764" s="0" t="s">
        <v>69</v>
      </c>
      <c r="C61764" s="0" t="s">
        <v>5148</v>
      </c>
      <c r="E61764" s="0" t="s">
        <v>5149</v>
      </c>
      <c r="F61764" s="0" t="s">
        <v>5150</v>
      </c>
    </row>
    <row r="61765" customFormat="false" ht="12.8" hidden="false" customHeight="false" outlineLevel="0" collapsed="false">
      <c r="B61765" s="0" t="s">
        <v>36</v>
      </c>
      <c r="C61765" s="0" t="s">
        <v>5151</v>
      </c>
      <c r="E61765" s="0" t="s">
        <v>5152</v>
      </c>
      <c r="F61765" s="0" t="s">
        <v>5153</v>
      </c>
    </row>
    <row r="61767" customFormat="false" ht="12.8" hidden="false" customHeight="false" outlineLevel="0" collapsed="false">
      <c r="A61767" s="0" t="s">
        <v>20685</v>
      </c>
      <c r="B61767" s="0" t="str">
        <f aca="false">HYPERLINK("https://lindat.mff.cuni.cz/services/teitok/pdtc10/index.php?action=vallex&amp;frame=v-w8448f5_ZU", "vyšplhat se (v-w8448f5_ZU)")</f>
        <v>vyšplhat se (v-w8448f5_ZU)</v>
      </c>
      <c r="E61767" s="0" t="str">
        <f aca="false">HYPERLINK("https://lindat.mff.cuni.cz/services/SynSemClass40/SynSemClass40.html?veclass=vec00109#vec00109-ces-cm00051", "vec00109")</f>
        <v>vec00109</v>
      </c>
      <c r="F61767" s="0" t="s">
        <v>5143</v>
      </c>
    </row>
    <row r="61768" customFormat="false" ht="12.8" hidden="false" customHeight="false" outlineLevel="0" collapsed="false">
      <c r="B61768" s="0" t="s">
        <v>1</v>
      </c>
      <c r="C61768" s="0" t="s">
        <v>7017</v>
      </c>
      <c r="E61768" s="0" t="s">
        <v>235</v>
      </c>
      <c r="F61768" s="0" t="s">
        <v>5146</v>
      </c>
    </row>
    <row r="61769" customFormat="false" ht="12.8" hidden="false" customHeight="false" outlineLevel="0" collapsed="false">
      <c r="B61769" s="0" t="s">
        <v>20686</v>
      </c>
      <c r="C61769" s="0" t="s">
        <v>5148</v>
      </c>
      <c r="E61769" s="0" t="s">
        <v>5149</v>
      </c>
      <c r="F61769" s="0" t="s">
        <v>5150</v>
      </c>
    </row>
    <row r="61770" customFormat="false" ht="12.8" hidden="false" customHeight="false" outlineLevel="0" collapsed="false">
      <c r="B61770" s="0" t="s">
        <v>36</v>
      </c>
      <c r="C61770" s="0" t="s">
        <v>5151</v>
      </c>
      <c r="E61770" s="0" t="s">
        <v>5152</v>
      </c>
      <c r="F61770" s="0" t="s">
        <v>5153</v>
      </c>
    </row>
    <row r="61772" customFormat="false" ht="12.8" hidden="false" customHeight="false" outlineLevel="0" collapsed="false">
      <c r="A61772" s="0" t="s">
        <v>20685</v>
      </c>
      <c r="B61772" s="0" t="str">
        <f aca="false">HYPERLINK("https://lindat.mff.cuni.cz/services/teitok/pdtc10/index.php?action=vallex&amp;frame=v-w8448f2_ZU", "vyšplhat se (v-w8448f2_ZU) - substituted with v-w8448f5_ZU")</f>
        <v>vyšplhat se (v-w8448f2_ZU) - substituted with v-w8448f5_ZU</v>
      </c>
    </row>
    <row r="61773" customFormat="false" ht="12.8" hidden="false" customHeight="false" outlineLevel="0" collapsed="false">
      <c r="B61773" s="0" t="s">
        <v>1</v>
      </c>
    </row>
    <row r="61774" customFormat="false" ht="12.8" hidden="false" customHeight="false" outlineLevel="0" collapsed="false">
      <c r="B61774" s="0" t="s">
        <v>20686</v>
      </c>
    </row>
    <row r="61775" customFormat="false" ht="12.8" hidden="false" customHeight="false" outlineLevel="0" collapsed="false">
      <c r="B61775" s="0" t="s">
        <v>36</v>
      </c>
    </row>
    <row r="61777" customFormat="false" ht="12.8" hidden="false" customHeight="false" outlineLevel="0" collapsed="false">
      <c r="A61777" s="0" t="s">
        <v>20685</v>
      </c>
      <c r="B61777" s="0" t="str">
        <f aca="false">HYPERLINK("https://lindat.mff.cuni.cz/services/teitok/pdtc10/index.php?action=vallex&amp;frame=v-w8448f4_ZU", "vyšplhat se (v-w8448f4_ZU) - substituted with v-w8448f5_ZU")</f>
        <v>vyšplhat se (v-w8448f4_ZU) - substituted with v-w8448f5_ZU</v>
      </c>
    </row>
    <row r="61778" customFormat="false" ht="12.8" hidden="false" customHeight="false" outlineLevel="0" collapsed="false">
      <c r="B61778" s="0" t="s">
        <v>1</v>
      </c>
    </row>
    <row r="61779" customFormat="false" ht="12.8" hidden="false" customHeight="false" outlineLevel="0" collapsed="false">
      <c r="B61779" s="0" t="s">
        <v>20686</v>
      </c>
    </row>
    <row r="61780" customFormat="false" ht="12.8" hidden="false" customHeight="false" outlineLevel="0" collapsed="false">
      <c r="B61780" s="0" t="s">
        <v>36</v>
      </c>
    </row>
    <row r="61782" customFormat="false" ht="12.8" hidden="false" customHeight="false" outlineLevel="0" collapsed="false">
      <c r="A61782" s="0" t="s">
        <v>20687</v>
      </c>
      <c r="B61782" s="0" t="str">
        <f aca="false">HYPERLINK("https://lindat.mff.cuni.cz/services/teitok/pdtc10/index.php?action=vallex&amp;frame=v-w8448f3_ZU", "vyšplhat se (v-w8448f3_ZU)")</f>
        <v>vyšplhat se (v-w8448f3_ZU)</v>
      </c>
      <c r="E61782" s="0" t="str">
        <f aca="false">HYPERLINK("https://lindat.mff.cuni.cz/services/SynSemClass40/SynSemClass40.html?veclass=vec00218#vec00218-ces-cm00209", "vec00218")</f>
        <v>vec00218</v>
      </c>
      <c r="F61782" s="0" t="s">
        <v>2143</v>
      </c>
    </row>
    <row r="61783" customFormat="false" ht="12.8" hidden="false" customHeight="false" outlineLevel="0" collapsed="false">
      <c r="B61783" s="0" t="s">
        <v>1</v>
      </c>
      <c r="C61783" s="0" t="s">
        <v>2144</v>
      </c>
      <c r="E61783" s="0" t="s">
        <v>11</v>
      </c>
      <c r="F61783" s="0" t="s">
        <v>2145</v>
      </c>
    </row>
    <row r="61784" customFormat="false" ht="12.8" hidden="false" customHeight="false" outlineLevel="0" collapsed="false">
      <c r="B61784" s="0" t="s">
        <v>164</v>
      </c>
      <c r="C61784" s="0" t="s">
        <v>2146</v>
      </c>
      <c r="E61784" s="0" t="s">
        <v>370</v>
      </c>
      <c r="F61784" s="0" t="s">
        <v>2147</v>
      </c>
    </row>
    <row r="61786" customFormat="false" ht="12.8" hidden="false" customHeight="false" outlineLevel="0" collapsed="false">
      <c r="A61786" s="0" t="s">
        <v>20687</v>
      </c>
      <c r="B61786" s="0" t="str">
        <f aca="false">HYPERLINK("https://lindat.mff.cuni.cz/services/teitok/pdtc10/index.php?action=vallex&amp;frame=v-w8448f1", "vyšplhat se (v-w8448f1) - substituted with v-w8448f3_ZU")</f>
        <v>vyšplhat se (v-w8448f1) - substituted with v-w8448f3_ZU</v>
      </c>
    </row>
    <row r="61787" customFormat="false" ht="12.8" hidden="false" customHeight="false" outlineLevel="0" collapsed="false">
      <c r="B61787" s="0" t="s">
        <v>1</v>
      </c>
    </row>
    <row r="61788" customFormat="false" ht="12.8" hidden="false" customHeight="false" outlineLevel="0" collapsed="false">
      <c r="B61788" s="0" t="s">
        <v>164</v>
      </c>
    </row>
    <row r="61790" customFormat="false" ht="12.8" hidden="false" customHeight="false" outlineLevel="0" collapsed="false">
      <c r="A61790" s="0" t="s">
        <v>20688</v>
      </c>
      <c r="B61790" s="0" t="str">
        <f aca="false">HYPERLINK("https://lindat.mff.cuni.cz/services/teitok/pdtc10/index.php?action=vallex&amp;frame=v-w8449f1", "vyšroubovat (v-w8449f1)")</f>
        <v>vyšroubovat (v-w8449f1)</v>
      </c>
      <c r="E61790" s="0" t="str">
        <f aca="false">HYPERLINK("https://lindat.mff.cuni.cz/services/SynSemClass40/SynSemClass40.html?veclass=vec00298#vec00298-ces-cm00137", "vec00298")</f>
        <v>vec00298</v>
      </c>
      <c r="F61790" s="0" t="s">
        <v>7194</v>
      </c>
    </row>
    <row r="61791" customFormat="false" ht="12.8" hidden="false" customHeight="false" outlineLevel="0" collapsed="false">
      <c r="B61791" s="0" t="s">
        <v>1</v>
      </c>
      <c r="C61791" s="0" t="s">
        <v>7195</v>
      </c>
      <c r="E61791" s="0" t="s">
        <v>31</v>
      </c>
      <c r="F61791" s="0" t="s">
        <v>7196</v>
      </c>
    </row>
    <row r="61792" customFormat="false" ht="12.8" hidden="false" customHeight="false" outlineLevel="0" collapsed="false">
      <c r="B61792" s="0" t="s">
        <v>8</v>
      </c>
      <c r="C61792" s="0" t="s">
        <v>7197</v>
      </c>
      <c r="E61792" s="0" t="s">
        <v>1569</v>
      </c>
      <c r="F61792" s="0" t="s">
        <v>7198</v>
      </c>
    </row>
    <row r="61793" customFormat="false" ht="12.8" hidden="false" customHeight="false" outlineLevel="0" collapsed="false">
      <c r="B61793" s="0" t="s">
        <v>36</v>
      </c>
      <c r="C61793" s="0" t="s">
        <v>7199</v>
      </c>
      <c r="E61793" s="0" t="s">
        <v>5152</v>
      </c>
      <c r="F61793" s="0" t="s">
        <v>7200</v>
      </c>
    </row>
    <row r="61794" customFormat="false" ht="12.8" hidden="false" customHeight="false" outlineLevel="0" collapsed="false">
      <c r="B61794" s="0" t="s">
        <v>101</v>
      </c>
      <c r="C61794" s="0" t="s">
        <v>7201</v>
      </c>
      <c r="E61794" s="0" t="s">
        <v>5796</v>
      </c>
      <c r="F61794" s="0" t="s">
        <v>7202</v>
      </c>
    </row>
    <row r="61796" customFormat="false" ht="12.8" hidden="false" customHeight="false" outlineLevel="0" collapsed="false">
      <c r="A61796" s="0" t="s">
        <v>20689</v>
      </c>
      <c r="B61796" s="0" t="str">
        <f aca="false">HYPERLINK("https://lindat.mff.cuni.cz/services/teitok/pdtc10/index.php?action=vallex&amp;frame=v-w11860_ZUf2_ZU", "vyštvat (v-w11860_ZUf2_ZU)")</f>
        <v>vyštvat (v-w11860_ZUf2_ZU)</v>
      </c>
    </row>
    <row r="61797" customFormat="false" ht="12.8" hidden="false" customHeight="false" outlineLevel="0" collapsed="false">
      <c r="B61797" s="0" t="s">
        <v>1</v>
      </c>
    </row>
    <row r="61798" customFormat="false" ht="12.8" hidden="false" customHeight="false" outlineLevel="0" collapsed="false">
      <c r="B61798" s="0" t="s">
        <v>8</v>
      </c>
    </row>
    <row r="61799" customFormat="false" ht="12.8" hidden="false" customHeight="false" outlineLevel="0" collapsed="false">
      <c r="B61799" s="0" t="s">
        <v>6273</v>
      </c>
    </row>
    <row r="61801" customFormat="false" ht="12.8" hidden="false" customHeight="false" outlineLevel="0" collapsed="false">
      <c r="A61801" s="0" t="s">
        <v>20689</v>
      </c>
      <c r="B61801" s="0" t="str">
        <f aca="false">HYPERLINK("https://lindat.mff.cuni.cz/services/teitok/pdtc10/index.php?action=vallex&amp;frame=v-w11860_ZUf1_ZU", "vyštvat (v-w11860_ZUf1_ZU) - substituted with v-w11860_ZUf2_ZU")</f>
        <v>vyštvat (v-w11860_ZUf1_ZU) - substituted with v-w11860_ZUf2_ZU</v>
      </c>
    </row>
    <row r="61802" customFormat="false" ht="12.8" hidden="false" customHeight="false" outlineLevel="0" collapsed="false">
      <c r="B61802" s="0" t="s">
        <v>1</v>
      </c>
    </row>
    <row r="61803" customFormat="false" ht="12.8" hidden="false" customHeight="false" outlineLevel="0" collapsed="false">
      <c r="B61803" s="0" t="s">
        <v>8</v>
      </c>
    </row>
    <row r="61804" customFormat="false" ht="12.8" hidden="false" customHeight="false" outlineLevel="0" collapsed="false">
      <c r="B61804" s="0" t="s">
        <v>6273</v>
      </c>
    </row>
    <row r="61806" customFormat="false" ht="12.8" hidden="false" customHeight="false" outlineLevel="0" collapsed="false">
      <c r="A61806" s="0" t="s">
        <v>20690</v>
      </c>
      <c r="B61806" s="0" t="str">
        <f aca="false">HYPERLINK("https://lindat.mff.cuni.cz/services/teitok/pdtc10/index.php?action=vallex&amp;frame=v-w11224f2", "vyštěknout (v-w11224f2)")</f>
        <v>vyštěknout (v-w11224f2)</v>
      </c>
      <c r="E61806" s="0" t="str">
        <f aca="false">HYPERLINK("https://lindat.mff.cuni.cz/services/SynSemClass40/SynSemClass40.html?veclass=vec01060#vec01060-ces-cm00002", "vec01060")</f>
        <v>vec01060</v>
      </c>
      <c r="F61806" s="0" t="s">
        <v>9137</v>
      </c>
    </row>
    <row r="61807" customFormat="false" ht="12.8" hidden="false" customHeight="false" outlineLevel="0" collapsed="false">
      <c r="B61807" s="0" t="s">
        <v>1</v>
      </c>
      <c r="C61807" s="0" t="s">
        <v>9138</v>
      </c>
      <c r="E61807" s="0" t="s">
        <v>147</v>
      </c>
      <c r="F61807" s="0" t="s">
        <v>9139</v>
      </c>
    </row>
    <row r="61808" customFormat="false" ht="12.8" hidden="false" customHeight="false" outlineLevel="0" collapsed="false">
      <c r="B61808" s="0" t="s">
        <v>500</v>
      </c>
      <c r="C61808" s="0" t="s">
        <v>9145</v>
      </c>
      <c r="E61808" s="0" t="s">
        <v>218</v>
      </c>
      <c r="F61808" s="0" t="s">
        <v>9146</v>
      </c>
    </row>
    <row r="61809" customFormat="false" ht="12.8" hidden="false" customHeight="false" outlineLevel="0" collapsed="false">
      <c r="B61809" s="0" t="s">
        <v>4688</v>
      </c>
      <c r="C61809" s="0" t="s">
        <v>9140</v>
      </c>
      <c r="E61809" s="0" t="s">
        <v>221</v>
      </c>
      <c r="F61809" s="0" t="s">
        <v>9141</v>
      </c>
    </row>
    <row r="61811" customFormat="false" ht="12.8" hidden="false" customHeight="false" outlineLevel="0" collapsed="false">
      <c r="A61811" s="0" t="s">
        <v>20691</v>
      </c>
      <c r="B61811" s="0" t="str">
        <f aca="false">HYPERLINK("https://lindat.mff.cuni.cz/services/teitok/pdtc10/index.php?action=vallex&amp;frame=v-w8450f1", "vyšumět (v-w8450f1)")</f>
        <v>vyšumět (v-w8450f1)</v>
      </c>
      <c r="E61811" s="0" t="str">
        <f aca="false">HYPERLINK("https://lindat.mff.cuni.cz/services/SynSemClass40/SynSemClass40.html?veclass=vec01103#vec01103-ces-cm00002", "vec01103")</f>
        <v>vec01103</v>
      </c>
      <c r="F61811" s="0" t="s">
        <v>15123</v>
      </c>
    </row>
    <row r="61812" customFormat="false" ht="12.8" hidden="false" customHeight="false" outlineLevel="0" collapsed="false">
      <c r="B61812" s="0" t="s">
        <v>1</v>
      </c>
      <c r="C61812" s="0" t="s">
        <v>549</v>
      </c>
      <c r="E61812" s="0" t="s">
        <v>6270</v>
      </c>
      <c r="F61812" s="0" t="s">
        <v>15124</v>
      </c>
    </row>
    <row r="61814" customFormat="false" ht="12.8" hidden="false" customHeight="false" outlineLevel="0" collapsed="false">
      <c r="A61814" s="0" t="s">
        <v>20692</v>
      </c>
      <c r="B61814" s="0" t="str">
        <f aca="false">HYPERLINK("https://lindat.mff.cuni.cz/services/teitok/pdtc10/index.php?action=vallex&amp;frame=v-w12334_MMf1_MM", "vyšupat (v-w12334_MMf1_MM)")</f>
        <v>vyšupat (v-w12334_MMf1_MM)</v>
      </c>
    </row>
    <row r="61815" customFormat="false" ht="12.8" hidden="false" customHeight="false" outlineLevel="0" collapsed="false">
      <c r="B61815" s="0" t="s">
        <v>1</v>
      </c>
    </row>
    <row r="61816" customFormat="false" ht="12.8" hidden="false" customHeight="false" outlineLevel="0" collapsed="false">
      <c r="B61816" s="0" t="s">
        <v>8</v>
      </c>
    </row>
    <row r="61818" customFormat="false" ht="12.8" hidden="false" customHeight="false" outlineLevel="0" collapsed="false">
      <c r="A61818" s="0" t="s">
        <v>20693</v>
      </c>
      <c r="B61818" s="0" t="str">
        <f aca="false">HYPERLINK("https://lindat.mff.cuni.cz/services/teitok/pdtc10/index.php?action=vallex&amp;frame=v-w8451f2", "vyšvihnout se (v-w8451f2)")</f>
        <v>vyšvihnout se (v-w8451f2)</v>
      </c>
      <c r="E61818" s="0" t="str">
        <f aca="false">HYPERLINK("https://lindat.mff.cuni.cz/services/SynSemClass40/SynSemClass40.html?veclass=vec00109#vec00109-ces-cm00052", "vec00109")</f>
        <v>vec00109</v>
      </c>
      <c r="F61818" s="0" t="s">
        <v>5143</v>
      </c>
    </row>
    <row r="61819" customFormat="false" ht="12.8" hidden="false" customHeight="false" outlineLevel="0" collapsed="false">
      <c r="B61819" s="0" t="s">
        <v>1</v>
      </c>
      <c r="C61819" s="0" t="s">
        <v>7017</v>
      </c>
      <c r="E61819" s="0" t="s">
        <v>235</v>
      </c>
      <c r="F61819" s="0" t="s">
        <v>5146</v>
      </c>
    </row>
    <row r="61820" customFormat="false" ht="12.8" hidden="false" customHeight="false" outlineLevel="0" collapsed="false">
      <c r="B61820" s="0" t="s">
        <v>69</v>
      </c>
      <c r="C61820" s="0" t="s">
        <v>5148</v>
      </c>
      <c r="E61820" s="0" t="s">
        <v>5149</v>
      </c>
      <c r="F61820" s="0" t="s">
        <v>5150</v>
      </c>
    </row>
    <row r="61821" customFormat="false" ht="12.8" hidden="false" customHeight="false" outlineLevel="0" collapsed="false">
      <c r="B61821" s="0" t="s">
        <v>36</v>
      </c>
      <c r="C61821" s="0" t="s">
        <v>5151</v>
      </c>
      <c r="E61821" s="0" t="s">
        <v>5152</v>
      </c>
      <c r="F61821" s="0" t="s">
        <v>5153</v>
      </c>
    </row>
    <row r="61823" customFormat="false" ht="12.8" hidden="false" customHeight="false" outlineLevel="0" collapsed="false">
      <c r="A61823" s="0" t="s">
        <v>20694</v>
      </c>
      <c r="B61823" s="0" t="str">
        <f aca="false">HYPERLINK("https://lindat.mff.cuni.cz/services/teitok/pdtc10/index.php?action=vallex&amp;frame=v-w8451f1", "vyšvihnout se (v-w8451f1)")</f>
        <v>vyšvihnout se (v-w8451f1)</v>
      </c>
    </row>
    <row r="61824" customFormat="false" ht="12.8" hidden="false" customHeight="false" outlineLevel="0" collapsed="false">
      <c r="B61824" s="0" t="s">
        <v>1</v>
      </c>
    </row>
    <row r="61825" customFormat="false" ht="12.8" hidden="false" customHeight="false" outlineLevel="0" collapsed="false">
      <c r="B61825" s="0" t="s">
        <v>164</v>
      </c>
    </row>
    <row r="61827" customFormat="false" ht="12.8" hidden="false" customHeight="false" outlineLevel="0" collapsed="false">
      <c r="A61827" s="0" t="s">
        <v>20695</v>
      </c>
      <c r="B61827" s="0" t="str">
        <f aca="false">HYPERLINK("https://lindat.mff.cuni.cz/services/teitok/pdtc10/index.php?action=vallex&amp;frame=v-w10133f2", "vyšvindlovat (v-w10133f2)")</f>
        <v>vyšvindlovat (v-w10133f2)</v>
      </c>
    </row>
    <row r="61828" customFormat="false" ht="12.8" hidden="false" customHeight="false" outlineLevel="0" collapsed="false">
      <c r="B61828" s="0" t="s">
        <v>1</v>
      </c>
    </row>
    <row r="61829" customFormat="false" ht="12.8" hidden="false" customHeight="false" outlineLevel="0" collapsed="false">
      <c r="B61829" s="0" t="s">
        <v>8</v>
      </c>
    </row>
    <row r="61830" customFormat="false" ht="12.8" hidden="false" customHeight="false" outlineLevel="0" collapsed="false">
      <c r="B61830" s="0" t="s">
        <v>8050</v>
      </c>
    </row>
    <row r="61832" customFormat="false" ht="12.8" hidden="false" customHeight="false" outlineLevel="0" collapsed="false">
      <c r="A61832" s="0" t="s">
        <v>20696</v>
      </c>
      <c r="B61832" s="0" t="str">
        <f aca="false">HYPERLINK("https://lindat.mff.cuni.cz/services/teitok/pdtc10/index.php?action=vallex&amp;frame=v-w11907_ZUf1_ZU", "vyšít (v-w11907_ZUf1_ZU)")</f>
        <v>vyšít (v-w11907_ZUf1_ZU)</v>
      </c>
    </row>
    <row r="61833" customFormat="false" ht="12.8" hidden="false" customHeight="false" outlineLevel="0" collapsed="false">
      <c r="B61833" s="0" t="s">
        <v>1</v>
      </c>
    </row>
    <row r="61834" customFormat="false" ht="12.8" hidden="false" customHeight="false" outlineLevel="0" collapsed="false">
      <c r="B61834" s="0" t="s">
        <v>8</v>
      </c>
    </row>
    <row r="61836" customFormat="false" ht="12.8" hidden="false" customHeight="false" outlineLevel="0" collapsed="false">
      <c r="A61836" s="0" t="s">
        <v>20697</v>
      </c>
      <c r="B61836" s="0" t="str">
        <f aca="false">HYPERLINK("https://lindat.mff.cuni.cz/services/teitok/pdtc10/index.php?action=vallex&amp;frame=v-w11907_ZUf2_ZU", "vyšít (v-w11907_ZUf2_ZU)")</f>
        <v>vyšít (v-w11907_ZUf2_ZU)</v>
      </c>
    </row>
    <row r="61837" customFormat="false" ht="12.8" hidden="false" customHeight="false" outlineLevel="0" collapsed="false">
      <c r="B61837" s="0" t="s">
        <v>1</v>
      </c>
    </row>
    <row r="61838" customFormat="false" ht="12.8" hidden="false" customHeight="false" outlineLevel="0" collapsed="false">
      <c r="B61838" s="0" t="s">
        <v>8</v>
      </c>
    </row>
    <row r="61840" customFormat="false" ht="12.8" hidden="false" customHeight="false" outlineLevel="0" collapsed="false">
      <c r="A61840" s="0" t="s">
        <v>20698</v>
      </c>
      <c r="B61840" s="0" t="str">
        <f aca="false">HYPERLINK("https://lindat.mff.cuni.cz/services/teitok/pdtc10/index.php?action=vallex&amp;frame=v-whsb_552f1_ZU", "vyšívat (v-whsb_552f1_ZU)")</f>
        <v>vyšívat (v-whsb_552f1_ZU)</v>
      </c>
    </row>
    <row r="61841" customFormat="false" ht="12.8" hidden="false" customHeight="false" outlineLevel="0" collapsed="false">
      <c r="B61841" s="0" t="s">
        <v>1</v>
      </c>
    </row>
    <row r="61842" customFormat="false" ht="12.8" hidden="false" customHeight="false" outlineLevel="0" collapsed="false">
      <c r="B61842" s="0" t="s">
        <v>8</v>
      </c>
    </row>
    <row r="61844" customFormat="false" ht="12.8" hidden="false" customHeight="false" outlineLevel="0" collapsed="false">
      <c r="A61844" s="0" t="s">
        <v>20698</v>
      </c>
      <c r="B61844" s="0" t="str">
        <f aca="false">HYPERLINK("https://lindat.mff.cuni.cz/services/teitok/pdtc10/index.php?action=vallex&amp;frame=v-whsb_552hsa_553", "vyšívat (v-whsb_552hsa_553) - substituted with v-whsb_552f1_ZU")</f>
        <v>vyšívat (v-whsb_552hsa_553) - substituted with v-whsb_552f1_ZU</v>
      </c>
    </row>
    <row r="61845" customFormat="false" ht="12.8" hidden="false" customHeight="false" outlineLevel="0" collapsed="false">
      <c r="B61845" s="0" t="s">
        <v>1</v>
      </c>
    </row>
    <row r="61846" customFormat="false" ht="12.8" hidden="false" customHeight="false" outlineLevel="0" collapsed="false">
      <c r="B61846" s="0" t="s">
        <v>8</v>
      </c>
    </row>
    <row r="61848" customFormat="false" ht="12.8" hidden="false" customHeight="false" outlineLevel="0" collapsed="false">
      <c r="A61848" s="0" t="s">
        <v>20699</v>
      </c>
      <c r="B61848" s="0" t="str">
        <f aca="false">HYPERLINK("https://lindat.mff.cuni.cz/services/teitok/pdtc10/index.php?action=vallex&amp;frame=v-w10769f2", "vyšňořit (v-w10769f2)")</f>
        <v>vyšňořit (v-w10769f2)</v>
      </c>
      <c r="E61848" s="0" t="str">
        <f aca="false">HYPERLINK("https://lindat.mff.cuni.cz/services/SynSemClass40/SynSemClass40.html?veclass=vec00972#vec00972-ces-cm00003", "vec00972")</f>
        <v>vec00972</v>
      </c>
      <c r="F61848" s="0" t="s">
        <v>10221</v>
      </c>
    </row>
    <row r="61849" customFormat="false" ht="12.8" hidden="false" customHeight="false" outlineLevel="0" collapsed="false">
      <c r="B61849" s="0" t="s">
        <v>1</v>
      </c>
      <c r="C61849" s="0" t="s">
        <v>459</v>
      </c>
      <c r="E61849" s="0" t="s">
        <v>31</v>
      </c>
      <c r="F61849" s="0" t="s">
        <v>2437</v>
      </c>
    </row>
    <row r="61850" customFormat="false" ht="12.8" hidden="false" customHeight="false" outlineLevel="0" collapsed="false">
      <c r="B61850" s="0" t="s">
        <v>8</v>
      </c>
      <c r="C61850" s="0" t="s">
        <v>744</v>
      </c>
      <c r="E61850" s="0" t="s">
        <v>4782</v>
      </c>
      <c r="F61850" s="0" t="s">
        <v>10222</v>
      </c>
    </row>
    <row r="61852" customFormat="false" ht="12.8" hidden="false" customHeight="false" outlineLevel="0" collapsed="false">
      <c r="A61852" s="0" t="s">
        <v>20700</v>
      </c>
      <c r="B61852" s="0" t="str">
        <f aca="false">HYPERLINK("https://lindat.mff.cuni.cz/services/teitok/pdtc10/index.php?action=vallex&amp;frame=v-w12384_MMf1_MM", "vyšťourat (v-w12384_MMf1_MM)")</f>
        <v>vyšťourat (v-w12384_MMf1_MM)</v>
      </c>
    </row>
    <row r="61853" customFormat="false" ht="12.8" hidden="false" customHeight="false" outlineLevel="0" collapsed="false">
      <c r="B61853" s="0" t="s">
        <v>1</v>
      </c>
    </row>
    <row r="61854" customFormat="false" ht="12.8" hidden="false" customHeight="false" outlineLevel="0" collapsed="false">
      <c r="B61854" s="0" t="s">
        <v>3779</v>
      </c>
    </row>
    <row r="61856" customFormat="false" ht="12.8" hidden="false" customHeight="false" outlineLevel="0" collapsed="false">
      <c r="A61856" s="0" t="s">
        <v>20701</v>
      </c>
      <c r="B61856" s="0" t="str">
        <f aca="false">HYPERLINK("https://lindat.mff.cuni.cz/services/teitok/pdtc10/index.php?action=vallex&amp;frame=v-w8628f2_ZU", "vyžadovat (v-w8628f2_ZU)")</f>
        <v>vyžadovat (v-w8628f2_ZU)</v>
      </c>
      <c r="E61856" s="0" t="str">
        <f aca="false">HYPERLINK("https://lindat.mff.cuni.cz/services/SynSemClass40/SynSemClass40.html?veclass=vec00272#vec00272-ces-cm00088", "vec00272")</f>
        <v>vec00272</v>
      </c>
      <c r="F61856" s="0" t="s">
        <v>1490</v>
      </c>
      <c r="H61856" s="0" t="str">
        <f aca="false">HYPERLINK("https://lindat.mff.cuni.cz/services/SynSemClass40/SynSemClass40.html?veclass=vec01290#vec01290-ces-cm00034", "vec01290")</f>
        <v>vec01290</v>
      </c>
      <c r="I61856" s="0" t="s">
        <v>12066</v>
      </c>
    </row>
    <row r="61857" customFormat="false" ht="12.8" hidden="false" customHeight="false" outlineLevel="0" collapsed="false">
      <c r="B61857" s="0" t="s">
        <v>345</v>
      </c>
      <c r="C61857" s="0" t="s">
        <v>18718</v>
      </c>
      <c r="E61857" s="0" t="s">
        <v>1492</v>
      </c>
      <c r="F61857" s="0" t="s">
        <v>1493</v>
      </c>
      <c r="H61857" s="0" t="s">
        <v>1492</v>
      </c>
      <c r="I61857" s="0" t="s">
        <v>12068</v>
      </c>
    </row>
    <row r="61858" customFormat="false" ht="12.8" hidden="false" customHeight="false" outlineLevel="0" collapsed="false">
      <c r="B61858" s="0" t="s">
        <v>1682</v>
      </c>
      <c r="C61858" s="0" t="s">
        <v>18719</v>
      </c>
      <c r="E61858" s="0" t="s">
        <v>1495</v>
      </c>
      <c r="F61858" s="0" t="s">
        <v>1496</v>
      </c>
      <c r="H61858" s="0" t="s">
        <v>1495</v>
      </c>
      <c r="I61858" s="0" t="s">
        <v>12071</v>
      </c>
    </row>
    <row r="61859" customFormat="false" ht="12.8" hidden="false" customHeight="false" outlineLevel="0" collapsed="false">
      <c r="B61859" s="0" t="s">
        <v>1683</v>
      </c>
      <c r="C61859" s="0" t="s">
        <v>1497</v>
      </c>
      <c r="E61859" s="0" t="s">
        <v>1498</v>
      </c>
      <c r="F61859" s="0" t="s">
        <v>1499</v>
      </c>
    </row>
    <row r="61861" customFormat="false" ht="12.8" hidden="false" customHeight="false" outlineLevel="0" collapsed="false">
      <c r="A61861" s="0" t="s">
        <v>20701</v>
      </c>
      <c r="B61861" s="0" t="str">
        <f aca="false">HYPERLINK("https://lindat.mff.cuni.cz/services/teitok/pdtc10/index.php?action=vallex&amp;frame=v-w8628f1", "vyžadovat (v-w8628f1) - substituted with v-w8628f2_ZU")</f>
        <v>vyžadovat (v-w8628f1) - substituted with v-w8628f2_ZU</v>
      </c>
    </row>
    <row r="61862" customFormat="false" ht="12.8" hidden="false" customHeight="false" outlineLevel="0" collapsed="false">
      <c r="B61862" s="0" t="s">
        <v>345</v>
      </c>
    </row>
    <row r="61863" customFormat="false" ht="12.8" hidden="false" customHeight="false" outlineLevel="0" collapsed="false">
      <c r="B61863" s="0" t="s">
        <v>1682</v>
      </c>
    </row>
    <row r="61864" customFormat="false" ht="12.8" hidden="false" customHeight="false" outlineLevel="0" collapsed="false">
      <c r="B61864" s="0" t="s">
        <v>1683</v>
      </c>
    </row>
    <row r="61866" customFormat="false" ht="12.8" hidden="false" customHeight="false" outlineLevel="0" collapsed="false">
      <c r="A61866" s="0" t="s">
        <v>20702</v>
      </c>
      <c r="B61866" s="0" t="str">
        <f aca="false">HYPERLINK("https://lindat.mff.cuni.cz/services/teitok/pdtc10/index.php?action=vallex&amp;frame=v-w8628hsa_961", "vyžadovat (v-w8628hsa_961)")</f>
        <v>vyžadovat (v-w8628hsa_961)</v>
      </c>
    </row>
    <row r="61867" customFormat="false" ht="12.8" hidden="false" customHeight="false" outlineLevel="0" collapsed="false">
      <c r="B61867" s="0" t="s">
        <v>345</v>
      </c>
    </row>
    <row r="61868" customFormat="false" ht="12.8" hidden="false" customHeight="false" outlineLevel="0" collapsed="false">
      <c r="B61868" s="0" t="s">
        <v>1682</v>
      </c>
    </row>
    <row r="61869" customFormat="false" ht="12.8" hidden="false" customHeight="false" outlineLevel="0" collapsed="false">
      <c r="B61869" s="0" t="s">
        <v>1683</v>
      </c>
    </row>
    <row r="61871" customFormat="false" ht="12.8" hidden="false" customHeight="false" outlineLevel="0" collapsed="false">
      <c r="A61871" s="0" t="s">
        <v>20703</v>
      </c>
      <c r="B61871" s="0" t="str">
        <f aca="false">HYPERLINK("https://lindat.mff.cuni.cz/services/teitok/pdtc10/index.php?action=vallex&amp;frame=v-w8629f1", "vyžadovat si (v-w8629f1)")</f>
        <v>vyžadovat si (v-w8629f1)</v>
      </c>
      <c r="E61871" s="0" t="str">
        <f aca="false">HYPERLINK("https://lindat.mff.cuni.cz/services/SynSemClass40/SynSemClass40.html?veclass=vec00077#vec00077-ces-cm00128", "vec00077")</f>
        <v>vec00077</v>
      </c>
      <c r="F61871" s="0" t="s">
        <v>11370</v>
      </c>
    </row>
    <row r="61872" customFormat="false" ht="12.8" hidden="false" customHeight="false" outlineLevel="0" collapsed="false">
      <c r="B61872" s="0" t="s">
        <v>1</v>
      </c>
      <c r="C61872" s="0" t="s">
        <v>11371</v>
      </c>
      <c r="E61872" s="0" t="s">
        <v>11</v>
      </c>
      <c r="F61872" s="0" t="s">
        <v>11372</v>
      </c>
    </row>
    <row r="61873" customFormat="false" ht="12.8" hidden="false" customHeight="false" outlineLevel="0" collapsed="false">
      <c r="B61873" s="0" t="s">
        <v>8</v>
      </c>
      <c r="C61873" s="0" t="s">
        <v>11373</v>
      </c>
      <c r="E61873" s="0" t="s">
        <v>1495</v>
      </c>
      <c r="F61873" s="0" t="s">
        <v>11374</v>
      </c>
    </row>
    <row r="61875" customFormat="false" ht="12.8" hidden="false" customHeight="false" outlineLevel="0" collapsed="false">
      <c r="A61875" s="0" t="s">
        <v>20704</v>
      </c>
      <c r="B61875" s="0" t="str">
        <f aca="false">HYPERLINK("https://lindat.mff.cuni.cz/services/teitok/pdtc10/index.php?action=vallex&amp;frame=v-w10733f3", "vyždímat (v-w10733f3)")</f>
        <v>vyždímat (v-w10733f3)</v>
      </c>
    </row>
    <row r="61876" customFormat="false" ht="12.8" hidden="false" customHeight="false" outlineLevel="0" collapsed="false">
      <c r="B61876" s="0" t="s">
        <v>1</v>
      </c>
    </row>
    <row r="61877" customFormat="false" ht="12.8" hidden="false" customHeight="false" outlineLevel="0" collapsed="false">
      <c r="B61877" s="0" t="s">
        <v>8</v>
      </c>
    </row>
    <row r="61878" customFormat="false" ht="12.8" hidden="false" customHeight="false" outlineLevel="0" collapsed="false">
      <c r="B61878" s="0" t="s">
        <v>36</v>
      </c>
    </row>
    <row r="61880" customFormat="false" ht="12.8" hidden="false" customHeight="false" outlineLevel="0" collapsed="false">
      <c r="A61880" s="0" t="s">
        <v>20705</v>
      </c>
      <c r="B61880" s="0" t="str">
        <f aca="false">HYPERLINK("https://lindat.mff.cuni.cz/services/teitok/pdtc10/index.php?action=vallex&amp;frame=v-w10733f4", "vyždímat (v-w10733f4)")</f>
        <v>vyždímat (v-w10733f4)</v>
      </c>
      <c r="E61880" s="0" t="str">
        <f aca="false">HYPERLINK("https://lindat.mff.cuni.cz/services/SynSemClass40/SynSemClass40.html?veclass=vec00957#vec00957-ces-cm00024", "vec00957")</f>
        <v>vec00957</v>
      </c>
      <c r="F61880" s="0" t="s">
        <v>3187</v>
      </c>
    </row>
    <row r="61881" customFormat="false" ht="12.8" hidden="false" customHeight="false" outlineLevel="0" collapsed="false">
      <c r="B61881" s="0" t="s">
        <v>1</v>
      </c>
      <c r="C61881" s="0" t="s">
        <v>428</v>
      </c>
      <c r="E61881" s="0" t="s">
        <v>20</v>
      </c>
      <c r="F61881" s="0" t="s">
        <v>3190</v>
      </c>
    </row>
    <row r="61882" customFormat="false" ht="12.8" hidden="false" customHeight="false" outlineLevel="0" collapsed="false">
      <c r="B61882" s="0" t="s">
        <v>8</v>
      </c>
      <c r="C61882" s="0" t="s">
        <v>4017</v>
      </c>
      <c r="E61882" s="0" t="s">
        <v>1702</v>
      </c>
      <c r="F61882" s="0" t="s">
        <v>3193</v>
      </c>
    </row>
    <row r="61884" customFormat="false" ht="12.8" hidden="false" customHeight="false" outlineLevel="0" collapsed="false">
      <c r="A61884" s="0" t="s">
        <v>20706</v>
      </c>
      <c r="B61884" s="0" t="str">
        <f aca="false">HYPERLINK("https://lindat.mff.cuni.cz/services/teitok/pdtc10/index.php?action=vallex&amp;frame=v-w10805f2", "vyžebrat (v-w10805f2)")</f>
        <v>vyžebrat (v-w10805f2)</v>
      </c>
    </row>
    <row r="61885" customFormat="false" ht="12.8" hidden="false" customHeight="false" outlineLevel="0" collapsed="false">
      <c r="B61885" s="0" t="s">
        <v>1</v>
      </c>
    </row>
    <row r="61886" customFormat="false" ht="12.8" hidden="false" customHeight="false" outlineLevel="0" collapsed="false">
      <c r="B61886" s="0" t="s">
        <v>1682</v>
      </c>
    </row>
    <row r="61887" customFormat="false" ht="12.8" hidden="false" customHeight="false" outlineLevel="0" collapsed="false">
      <c r="B61887" s="0" t="s">
        <v>1683</v>
      </c>
    </row>
    <row r="61889" customFormat="false" ht="12.8" hidden="false" customHeight="false" outlineLevel="0" collapsed="false">
      <c r="A61889" s="0" t="s">
        <v>20707</v>
      </c>
      <c r="B61889" s="0" t="str">
        <f aca="false">HYPERLINK("https://lindat.mff.cuni.cz/services/teitok/pdtc10/index.php?action=vallex&amp;frame=v-w10660f2", "vyžebrávat (v-w10660f2)")</f>
        <v>vyžebrávat (v-w10660f2)</v>
      </c>
    </row>
    <row r="61890" customFormat="false" ht="12.8" hidden="false" customHeight="false" outlineLevel="0" collapsed="false">
      <c r="B61890" s="0" t="s">
        <v>1</v>
      </c>
    </row>
    <row r="61891" customFormat="false" ht="12.8" hidden="false" customHeight="false" outlineLevel="0" collapsed="false">
      <c r="B61891" s="0" t="s">
        <v>1682</v>
      </c>
    </row>
    <row r="61892" customFormat="false" ht="12.8" hidden="false" customHeight="false" outlineLevel="0" collapsed="false">
      <c r="B61892" s="0" t="s">
        <v>1683</v>
      </c>
    </row>
    <row r="61894" customFormat="false" ht="12.8" hidden="false" customHeight="false" outlineLevel="0" collapsed="false">
      <c r="A61894" s="0" t="s">
        <v>20708</v>
      </c>
      <c r="B61894" s="0" t="str">
        <f aca="false">HYPERLINK("https://lindat.mff.cuni.cz/services/teitok/pdtc10/index.php?action=vallex&amp;frame=v-whsa_531hsa_532", "vyžehlit (v-whsa_531hsa_532)")</f>
        <v>vyžehlit (v-whsa_531hsa_532)</v>
      </c>
    </row>
    <row r="61895" customFormat="false" ht="12.8" hidden="false" customHeight="false" outlineLevel="0" collapsed="false">
      <c r="B61895" s="0" t="s">
        <v>1</v>
      </c>
    </row>
    <row r="61896" customFormat="false" ht="12.8" hidden="false" customHeight="false" outlineLevel="0" collapsed="false">
      <c r="B61896" s="0" t="s">
        <v>8</v>
      </c>
    </row>
    <row r="61898" customFormat="false" ht="12.8" hidden="false" customHeight="false" outlineLevel="0" collapsed="false">
      <c r="A61898" s="0" t="s">
        <v>20709</v>
      </c>
      <c r="B61898" s="0" t="str">
        <f aca="false">HYPERLINK("https://lindat.mff.cuni.cz/services/teitok/pdtc10/index.php?action=vallex&amp;frame=v-w12118_ZUf1_ZU", "vyženit (v-w12118_ZUf1_ZU)")</f>
        <v>vyženit (v-w12118_ZUf1_ZU)</v>
      </c>
    </row>
    <row r="61899" customFormat="false" ht="12.8" hidden="false" customHeight="false" outlineLevel="0" collapsed="false">
      <c r="B61899" s="0" t="s">
        <v>1</v>
      </c>
    </row>
    <row r="61900" customFormat="false" ht="12.8" hidden="false" customHeight="false" outlineLevel="0" collapsed="false">
      <c r="B61900" s="0" t="s">
        <v>8</v>
      </c>
    </row>
    <row r="61902" customFormat="false" ht="12.8" hidden="false" customHeight="false" outlineLevel="0" collapsed="false">
      <c r="A61902" s="0" t="s">
        <v>20710</v>
      </c>
      <c r="B61902" s="0" t="str">
        <f aca="false">HYPERLINK("https://lindat.mff.cuni.cz/services/teitok/pdtc10/index.php?action=vallex&amp;frame=v-w11990_ZUf1_ZU", "vyživit (v-w11990_ZUf1_ZU)")</f>
        <v>vyživit (v-w11990_ZUf1_ZU)</v>
      </c>
    </row>
    <row r="61903" customFormat="false" ht="12.8" hidden="false" customHeight="false" outlineLevel="0" collapsed="false">
      <c r="B61903" s="0" t="s">
        <v>1</v>
      </c>
    </row>
    <row r="61904" customFormat="false" ht="12.8" hidden="false" customHeight="false" outlineLevel="0" collapsed="false">
      <c r="B61904" s="0" t="s">
        <v>8</v>
      </c>
    </row>
    <row r="61906" customFormat="false" ht="12.8" hidden="false" customHeight="false" outlineLevel="0" collapsed="false">
      <c r="A61906" s="0" t="s">
        <v>20711</v>
      </c>
      <c r="B61906" s="0" t="str">
        <f aca="false">HYPERLINK("https://lindat.mff.cuni.cz/services/teitok/pdtc10/index.php?action=vallex&amp;frame=v-w11019f2", "vyživovat (v-w11019f2)")</f>
        <v>vyživovat (v-w11019f2)</v>
      </c>
      <c r="E61906" s="0" t="str">
        <f aca="false">HYPERLINK("https://lindat.mff.cuni.cz/services/SynSemClass40/SynSemClass40.html?veclass=vec00624#vec00624-ces-cm00009", "vec00624")</f>
        <v>vec00624</v>
      </c>
      <c r="F61906" s="0" t="s">
        <v>5755</v>
      </c>
    </row>
    <row r="61907" customFormat="false" ht="12.8" hidden="false" customHeight="false" outlineLevel="0" collapsed="false">
      <c r="B61907" s="0" t="s">
        <v>1</v>
      </c>
      <c r="C61907" s="0" t="s">
        <v>3000</v>
      </c>
      <c r="E61907" s="0" t="s">
        <v>1784</v>
      </c>
      <c r="F61907" s="0" t="s">
        <v>5756</v>
      </c>
    </row>
    <row r="61908" customFormat="false" ht="12.8" hidden="false" customHeight="false" outlineLevel="0" collapsed="false">
      <c r="B61908" s="0" t="s">
        <v>8</v>
      </c>
      <c r="C61908" s="0" t="s">
        <v>5757</v>
      </c>
      <c r="E61908" s="0" t="s">
        <v>5758</v>
      </c>
      <c r="F61908" s="0" t="s">
        <v>5759</v>
      </c>
    </row>
    <row r="61910" customFormat="false" ht="12.8" hidden="false" customHeight="false" outlineLevel="0" collapsed="false">
      <c r="A61910" s="0" t="s">
        <v>20712</v>
      </c>
      <c r="B61910" s="0" t="str">
        <f aca="false">HYPERLINK("https://lindat.mff.cuni.cz/services/teitok/pdtc10/index.php?action=vallex&amp;frame=v-whsa_1220hsa_1221", "vyžrat (v-whsa_1220hsa_1221)")</f>
        <v>vyžrat (v-whsa_1220hsa_1221)</v>
      </c>
      <c r="E61910" s="0" t="str">
        <f aca="false">HYPERLINK("https://lindat.mff.cuni.cz/services/SynSemClass40/SynSemClass40.html?veclass=vec00828#vec00828-ces-cm00012", "vec00828")</f>
        <v>vec00828</v>
      </c>
      <c r="F61910" s="0" t="s">
        <v>4326</v>
      </c>
    </row>
    <row r="61911" customFormat="false" ht="12.8" hidden="false" customHeight="false" outlineLevel="0" collapsed="false">
      <c r="B61911" s="0" t="s">
        <v>1</v>
      </c>
      <c r="C61911" s="0" t="s">
        <v>5031</v>
      </c>
      <c r="E61911" s="0" t="s">
        <v>658</v>
      </c>
      <c r="F61911" s="0" t="s">
        <v>4329</v>
      </c>
    </row>
    <row r="61912" customFormat="false" ht="12.8" hidden="false" customHeight="false" outlineLevel="0" collapsed="false">
      <c r="B61912" s="0" t="s">
        <v>8</v>
      </c>
      <c r="C61912" s="0" t="s">
        <v>1767</v>
      </c>
      <c r="E61912" s="0" t="s">
        <v>661</v>
      </c>
      <c r="F61912" s="0" t="s">
        <v>4332</v>
      </c>
    </row>
    <row r="61914" customFormat="false" ht="12.8" hidden="false" customHeight="false" outlineLevel="0" collapsed="false">
      <c r="A61914" s="0" t="s">
        <v>20713</v>
      </c>
      <c r="B61914" s="0" t="str">
        <f aca="false">HYPERLINK("https://lindat.mff.cuni.cz/services/teitok/pdtc10/index.php?action=vallex&amp;frame=v-w8624f1", "vyžádat (v-w8624f1)")</f>
        <v>vyžádat (v-w8624f1)</v>
      </c>
      <c r="E61914" s="0" t="str">
        <f aca="false">HYPERLINK("https://lindat.mff.cuni.cz/services/SynSemClass40/SynSemClass40.html?veclass=vec00272#vec00272-ces-cm00086", "vec00272")</f>
        <v>vec00272</v>
      </c>
      <c r="F61914" s="0" t="s">
        <v>1490</v>
      </c>
      <c r="H61914" s="0" t="str">
        <f aca="false">HYPERLINK("https://lindat.mff.cuni.cz/services/SynSemClass40/SynSemClass40.html?veclass=vec01290#vec01290-ces-cm00033", "vec01290")</f>
        <v>vec01290</v>
      </c>
      <c r="I61914" s="0" t="s">
        <v>12066</v>
      </c>
    </row>
    <row r="61915" customFormat="false" ht="12.8" hidden="false" customHeight="false" outlineLevel="0" collapsed="false">
      <c r="B61915" s="0" t="s">
        <v>1</v>
      </c>
      <c r="C61915" s="0" t="s">
        <v>18718</v>
      </c>
      <c r="E61915" s="0" t="s">
        <v>1492</v>
      </c>
      <c r="F61915" s="0" t="s">
        <v>1493</v>
      </c>
      <c r="H61915" s="0" t="s">
        <v>1492</v>
      </c>
      <c r="I61915" s="0" t="s">
        <v>12068</v>
      </c>
    </row>
    <row r="61916" customFormat="false" ht="12.8" hidden="false" customHeight="false" outlineLevel="0" collapsed="false">
      <c r="B61916" s="0" t="s">
        <v>8</v>
      </c>
      <c r="C61916" s="0" t="s">
        <v>18719</v>
      </c>
      <c r="E61916" s="0" t="s">
        <v>1495</v>
      </c>
      <c r="F61916" s="0" t="s">
        <v>1496</v>
      </c>
      <c r="H61916" s="0" t="s">
        <v>1495</v>
      </c>
      <c r="I61916" s="0" t="s">
        <v>12071</v>
      </c>
    </row>
    <row r="61917" customFormat="false" ht="12.8" hidden="false" customHeight="false" outlineLevel="0" collapsed="false">
      <c r="B61917" s="0" t="s">
        <v>20714</v>
      </c>
      <c r="C61917" s="0" t="s">
        <v>1497</v>
      </c>
      <c r="E61917" s="0" t="s">
        <v>1498</v>
      </c>
      <c r="F61917" s="0" t="s">
        <v>1499</v>
      </c>
    </row>
    <row r="61919" customFormat="false" ht="12.8" hidden="false" customHeight="false" outlineLevel="0" collapsed="false">
      <c r="A61919" s="0" t="s">
        <v>20715</v>
      </c>
      <c r="B61919" s="0" t="str">
        <f aca="false">HYPERLINK("https://lindat.mff.cuni.cz/services/teitok/pdtc10/index.php?action=vallex&amp;frame=v-w8625f1", "vyžádat si (v-w8625f1)")</f>
        <v>vyžádat si (v-w8625f1)</v>
      </c>
      <c r="E61919" s="0" t="str">
        <f aca="false">HYPERLINK("https://lindat.mff.cuni.cz/services/SynSemClass40/SynSemClass40.html?veclass=vec00077#vec00077-ces-cm00105", "vec00077")</f>
        <v>vec00077</v>
      </c>
      <c r="F61919" s="0" t="s">
        <v>11370</v>
      </c>
    </row>
    <row r="61920" customFormat="false" ht="12.8" hidden="false" customHeight="false" outlineLevel="0" collapsed="false">
      <c r="B61920" s="0" t="s">
        <v>1</v>
      </c>
      <c r="C61920" s="0" t="s">
        <v>11371</v>
      </c>
      <c r="E61920" s="0" t="s">
        <v>11</v>
      </c>
      <c r="F61920" s="0" t="s">
        <v>11372</v>
      </c>
    </row>
    <row r="61921" customFormat="false" ht="12.8" hidden="false" customHeight="false" outlineLevel="0" collapsed="false">
      <c r="B61921" s="0" t="s">
        <v>8</v>
      </c>
      <c r="C61921" s="0" t="s">
        <v>11373</v>
      </c>
      <c r="E61921" s="0" t="s">
        <v>1495</v>
      </c>
      <c r="F61921" s="0" t="s">
        <v>11374</v>
      </c>
    </row>
    <row r="61923" customFormat="false" ht="12.8" hidden="false" customHeight="false" outlineLevel="0" collapsed="false">
      <c r="A61923" s="0" t="s">
        <v>20716</v>
      </c>
      <c r="B61923" s="0" t="str">
        <f aca="false">HYPERLINK("https://lindat.mff.cuni.cz/services/teitok/pdtc10/index.php?action=vallex&amp;frame=v-w8625f2_ZU", "vyžádat si (v-w8625f2_ZU)")</f>
        <v>vyžádat si (v-w8625f2_ZU)</v>
      </c>
    </row>
    <row r="61924" customFormat="false" ht="12.8" hidden="false" customHeight="false" outlineLevel="0" collapsed="false">
      <c r="B61924" s="0" t="s">
        <v>1</v>
      </c>
    </row>
    <row r="61925" customFormat="false" ht="12.8" hidden="false" customHeight="false" outlineLevel="0" collapsed="false">
      <c r="B61925" s="0" t="s">
        <v>8</v>
      </c>
    </row>
    <row r="61926" customFormat="false" ht="12.8" hidden="false" customHeight="false" outlineLevel="0" collapsed="false">
      <c r="B61926" s="0" t="s">
        <v>602</v>
      </c>
    </row>
    <row r="61928" customFormat="false" ht="12.8" hidden="false" customHeight="false" outlineLevel="0" collapsed="false">
      <c r="A61928" s="0" t="s">
        <v>20717</v>
      </c>
      <c r="B61928" s="0" t="str">
        <f aca="false">HYPERLINK("https://lindat.mff.cuni.cz/services/teitok/pdtc10/index.php?action=vallex&amp;frame=v-whsa_1620hsa_1621", "vyžít se (v-whsa_1620hsa_1621)")</f>
        <v>vyžít se (v-whsa_1620hsa_1621)</v>
      </c>
    </row>
    <row r="61929" customFormat="false" ht="12.8" hidden="false" customHeight="false" outlineLevel="0" collapsed="false">
      <c r="B61929" s="0" t="s">
        <v>1</v>
      </c>
    </row>
    <row r="61930" customFormat="false" ht="12.8" hidden="false" customHeight="false" outlineLevel="0" collapsed="false">
      <c r="B61930" s="0" t="s">
        <v>883</v>
      </c>
    </row>
    <row r="61932" customFormat="false" ht="12.8" hidden="false" customHeight="false" outlineLevel="0" collapsed="false">
      <c r="A61932" s="0" t="s">
        <v>20718</v>
      </c>
      <c r="B61932" s="0" t="str">
        <f aca="false">HYPERLINK("https://lindat.mff.cuni.cz/services/teitok/pdtc10/index.php?action=vallex&amp;frame=v-w10567f2", "vyžívat (v-w10567f2)")</f>
        <v>vyžívat (v-w10567f2)</v>
      </c>
    </row>
    <row r="61933" customFormat="false" ht="12.8" hidden="false" customHeight="false" outlineLevel="0" collapsed="false">
      <c r="B61933" s="0" t="s">
        <v>1</v>
      </c>
    </row>
    <row r="61934" customFormat="false" ht="12.8" hidden="false" customHeight="false" outlineLevel="0" collapsed="false">
      <c r="B61934" s="0" t="s">
        <v>8</v>
      </c>
    </row>
    <row r="61936" customFormat="false" ht="12.8" hidden="false" customHeight="false" outlineLevel="0" collapsed="false">
      <c r="A61936" s="0" t="s">
        <v>20719</v>
      </c>
      <c r="B61936" s="0" t="str">
        <f aca="false">HYPERLINK("https://lindat.mff.cuni.cz/services/teitok/pdtc10/index.php?action=vallex&amp;frame=v-w12111_ZUf2_ZU", "vyžívat se (v-w12111_ZUf2_ZU)")</f>
        <v>vyžívat se (v-w12111_ZUf2_ZU)</v>
      </c>
    </row>
    <row r="61937" customFormat="false" ht="12.8" hidden="false" customHeight="false" outlineLevel="0" collapsed="false">
      <c r="B61937" s="0" t="s">
        <v>1</v>
      </c>
    </row>
    <row r="61938" customFormat="false" ht="12.8" hidden="false" customHeight="false" outlineLevel="0" collapsed="false">
      <c r="B61938" s="0" t="s">
        <v>12417</v>
      </c>
    </row>
    <row r="61940" customFormat="false" ht="12.8" hidden="false" customHeight="false" outlineLevel="0" collapsed="false">
      <c r="A61940" s="0" t="s">
        <v>20719</v>
      </c>
      <c r="B61940" s="0" t="str">
        <f aca="false">HYPERLINK("https://lindat.mff.cuni.cz/services/teitok/pdtc10/index.php?action=vallex&amp;frame=v-w12111_ZUf1_ZU", "vyžívat se (v-w12111_ZUf1_ZU) - substituted with v-w12111_ZUf2_ZU")</f>
        <v>vyžívat se (v-w12111_ZUf1_ZU) - substituted with v-w12111_ZUf2_ZU</v>
      </c>
    </row>
    <row r="61941" customFormat="false" ht="12.8" hidden="false" customHeight="false" outlineLevel="0" collapsed="false">
      <c r="B61941" s="0" t="s">
        <v>1</v>
      </c>
    </row>
    <row r="61942" customFormat="false" ht="12.8" hidden="false" customHeight="false" outlineLevel="0" collapsed="false">
      <c r="B61942" s="0" t="s">
        <v>12417</v>
      </c>
    </row>
    <row r="61944" customFormat="false" ht="12.8" hidden="false" customHeight="false" outlineLevel="0" collapsed="false">
      <c r="A61944" s="0" t="s">
        <v>20720</v>
      </c>
      <c r="B61944" s="0" t="str">
        <f aca="false">HYPERLINK("https://lindat.mff.cuni.cz/services/teitok/pdtc10/index.php?action=vallex&amp;frame=v-w8631f1", "vzbouřit se (v-w8631f1)")</f>
        <v>vzbouřit se (v-w8631f1)</v>
      </c>
      <c r="E61944" s="0" t="str">
        <f aca="false">HYPERLINK("https://lindat.mff.cuni.cz/services/SynSemClass40/SynSemClass40.html?veclass=vec00461#vec00461-ces-cm00044", "vec00461")</f>
        <v>vec00461</v>
      </c>
      <c r="F61944" s="0" t="s">
        <v>476</v>
      </c>
    </row>
    <row r="61945" customFormat="false" ht="12.8" hidden="false" customHeight="false" outlineLevel="0" collapsed="false">
      <c r="B61945" s="0" t="s">
        <v>1</v>
      </c>
      <c r="C61945" s="0" t="s">
        <v>477</v>
      </c>
      <c r="E61945" s="0" t="s">
        <v>478</v>
      </c>
      <c r="F61945" s="0" t="s">
        <v>479</v>
      </c>
    </row>
    <row r="61946" customFormat="false" ht="12.8" hidden="false" customHeight="false" outlineLevel="0" collapsed="false">
      <c r="B61946" s="0" t="s">
        <v>1909</v>
      </c>
      <c r="C61946" s="0" t="s">
        <v>9606</v>
      </c>
      <c r="E61946" s="0" t="s">
        <v>9099</v>
      </c>
      <c r="F61946" s="0" t="s">
        <v>9607</v>
      </c>
    </row>
    <row r="61948" customFormat="false" ht="12.8" hidden="false" customHeight="false" outlineLevel="0" collapsed="false">
      <c r="A61948" s="0" t="s">
        <v>20721</v>
      </c>
      <c r="B61948" s="0" t="str">
        <f aca="false">HYPERLINK("https://lindat.mff.cuni.cz/services/teitok/pdtc10/index.php?action=vallex&amp;frame=v-w8632f2", "vzbudit (v-w8632f2)")</f>
        <v>vzbudit (v-w8632f2)</v>
      </c>
      <c r="E61948" s="0" t="str">
        <f aca="false">HYPERLINK("https://lindat.mff.cuni.cz/services/SynSemClass40/SynSemClass40.html?veclass=vec01471#vec01471-ces-cm00007", "vec01471")</f>
        <v>vec01471</v>
      </c>
      <c r="F61948" s="0" t="s">
        <v>742</v>
      </c>
    </row>
    <row r="61949" customFormat="false" ht="12.8" hidden="false" customHeight="false" outlineLevel="0" collapsed="false">
      <c r="B61949" s="0" t="s">
        <v>1</v>
      </c>
      <c r="C61949" s="0" t="s">
        <v>459</v>
      </c>
      <c r="E61949" s="0" t="s">
        <v>76</v>
      </c>
      <c r="F61949" s="0" t="s">
        <v>743</v>
      </c>
    </row>
    <row r="61950" customFormat="false" ht="12.8" hidden="false" customHeight="false" outlineLevel="0" collapsed="false">
      <c r="B61950" s="0" t="s">
        <v>8</v>
      </c>
      <c r="C61950" s="0" t="s">
        <v>744</v>
      </c>
      <c r="E61950" s="0" t="s">
        <v>142</v>
      </c>
      <c r="F61950" s="0" t="s">
        <v>745</v>
      </c>
    </row>
    <row r="61951" customFormat="false" ht="12.8" hidden="false" customHeight="false" outlineLevel="0" collapsed="false">
      <c r="B61951" s="0" t="s">
        <v>36</v>
      </c>
      <c r="E61951" s="0" t="s">
        <v>746</v>
      </c>
      <c r="F61951" s="0" t="s">
        <v>747</v>
      </c>
    </row>
    <row r="61953" customFormat="false" ht="12.8" hidden="false" customHeight="false" outlineLevel="0" collapsed="false">
      <c r="A61953" s="0" t="s">
        <v>20722</v>
      </c>
      <c r="B61953" s="0" t="str">
        <f aca="false">HYPERLINK("https://lindat.mff.cuni.cz/services/teitok/pdtc10/index.php?action=vallex&amp;frame=v-w8632f5_ZU", "vzbudit (v-w8632f5_ZU)")</f>
        <v>vzbudit (v-w8632f5_ZU)</v>
      </c>
      <c r="E61953" s="0" t="str">
        <f aca="false">HYPERLINK("https://lindat.mff.cuni.cz/services/SynSemClass40/SynSemClass40.html?veclass=vec00196#vec00196-ces-cm00214", "vec00196")</f>
        <v>vec00196</v>
      </c>
      <c r="F61953" s="0" t="s">
        <v>749</v>
      </c>
    </row>
    <row r="61954" customFormat="false" ht="12.8" hidden="false" customHeight="false" outlineLevel="0" collapsed="false">
      <c r="B61954" s="0" t="s">
        <v>1</v>
      </c>
      <c r="C61954" s="0" t="s">
        <v>750</v>
      </c>
      <c r="E61954" s="0" t="s">
        <v>76</v>
      </c>
      <c r="F61954" s="0" t="s">
        <v>751</v>
      </c>
    </row>
    <row r="61955" customFormat="false" ht="12.8" hidden="false" customHeight="false" outlineLevel="0" collapsed="false">
      <c r="B61955" s="0" t="s">
        <v>20723</v>
      </c>
      <c r="C61955" s="0" t="s">
        <v>753</v>
      </c>
      <c r="E61955" s="0" t="s">
        <v>754</v>
      </c>
      <c r="F61955" s="0" t="s">
        <v>755</v>
      </c>
    </row>
    <row r="61956" customFormat="false" ht="12.8" hidden="false" customHeight="false" outlineLevel="0" collapsed="false">
      <c r="B61956" s="0" t="s">
        <v>5</v>
      </c>
      <c r="C61956" s="0" t="s">
        <v>756</v>
      </c>
      <c r="E61956" s="0" t="s">
        <v>757</v>
      </c>
      <c r="F61956" s="0" t="s">
        <v>758</v>
      </c>
    </row>
    <row r="61958" customFormat="false" ht="12.8" hidden="false" customHeight="false" outlineLevel="0" collapsed="false">
      <c r="A61958" s="0" t="s">
        <v>20722</v>
      </c>
      <c r="B61958" s="0" t="str">
        <f aca="false">HYPERLINK("https://lindat.mff.cuni.cz/services/teitok/pdtc10/index.php?action=vallex&amp;frame=v-w8632f1", "vzbudit (v-w8632f1) - substituted with v-w8632f5_ZU")</f>
        <v>vzbudit (v-w8632f1) - substituted with v-w8632f5_ZU</v>
      </c>
    </row>
    <row r="61959" customFormat="false" ht="12.8" hidden="false" customHeight="false" outlineLevel="0" collapsed="false">
      <c r="B61959" s="0" t="s">
        <v>1</v>
      </c>
    </row>
    <row r="61960" customFormat="false" ht="12.8" hidden="false" customHeight="false" outlineLevel="0" collapsed="false">
      <c r="B61960" s="0" t="s">
        <v>20723</v>
      </c>
    </row>
    <row r="61961" customFormat="false" ht="12.8" hidden="false" customHeight="false" outlineLevel="0" collapsed="false">
      <c r="B61961" s="0" t="s">
        <v>5</v>
      </c>
    </row>
    <row r="61963" customFormat="false" ht="12.8" hidden="false" customHeight="false" outlineLevel="0" collapsed="false">
      <c r="A61963" s="0" t="s">
        <v>20722</v>
      </c>
      <c r="B61963" s="0" t="str">
        <f aca="false">HYPERLINK("https://lindat.mff.cuni.cz/services/teitok/pdtc10/index.php?action=vallex&amp;frame=v-w8632f3_ZU", "vzbudit (v-w8632f3_ZU) - substituted with v-w8632f5_ZU")</f>
        <v>vzbudit (v-w8632f3_ZU) - substituted with v-w8632f5_ZU</v>
      </c>
    </row>
    <row r="61964" customFormat="false" ht="12.8" hidden="false" customHeight="false" outlineLevel="0" collapsed="false">
      <c r="B61964" s="0" t="s">
        <v>1</v>
      </c>
    </row>
    <row r="61965" customFormat="false" ht="12.8" hidden="false" customHeight="false" outlineLevel="0" collapsed="false">
      <c r="B61965" s="0" t="s">
        <v>20723</v>
      </c>
    </row>
    <row r="61966" customFormat="false" ht="12.8" hidden="false" customHeight="false" outlineLevel="0" collapsed="false">
      <c r="B61966" s="0" t="s">
        <v>5</v>
      </c>
    </row>
    <row r="61968" customFormat="false" ht="12.8" hidden="false" customHeight="false" outlineLevel="0" collapsed="false">
      <c r="A61968" s="0" t="s">
        <v>20722</v>
      </c>
      <c r="B61968" s="0" t="str">
        <f aca="false">HYPERLINK("https://lindat.mff.cuni.cz/services/teitok/pdtc10/index.php?action=vallex&amp;frame=v-w8632f4_ZU", "vzbudit (v-w8632f4_ZU) - substituted with v-w8632f5_ZU")</f>
        <v>vzbudit (v-w8632f4_ZU) - substituted with v-w8632f5_ZU</v>
      </c>
    </row>
    <row r="61969" customFormat="false" ht="12.8" hidden="false" customHeight="false" outlineLevel="0" collapsed="false">
      <c r="B61969" s="0" t="s">
        <v>1</v>
      </c>
    </row>
    <row r="61970" customFormat="false" ht="12.8" hidden="false" customHeight="false" outlineLevel="0" collapsed="false">
      <c r="B61970" s="0" t="s">
        <v>20723</v>
      </c>
    </row>
    <row r="61971" customFormat="false" ht="12.8" hidden="false" customHeight="false" outlineLevel="0" collapsed="false">
      <c r="B61971" s="0" t="s">
        <v>5</v>
      </c>
    </row>
    <row r="61973" customFormat="false" ht="12.8" hidden="false" customHeight="false" outlineLevel="0" collapsed="false">
      <c r="A61973" s="0" t="s">
        <v>20722</v>
      </c>
      <c r="B61973" s="0" t="str">
        <f aca="false">HYPERLINK("https://lindat.mff.cuni.cz/services/teitok/pdtc10/index.php?action=vallex&amp;frame=v-w8632hsa_636", "vzbudit (v-w8632hsa_636) - substituted with v-w8632f5_ZU")</f>
        <v>vzbudit (v-w8632hsa_636) - substituted with v-w8632f5_ZU</v>
      </c>
    </row>
    <row r="61974" customFormat="false" ht="12.8" hidden="false" customHeight="false" outlineLevel="0" collapsed="false">
      <c r="B61974" s="0" t="s">
        <v>1</v>
      </c>
    </row>
    <row r="61975" customFormat="false" ht="12.8" hidden="false" customHeight="false" outlineLevel="0" collapsed="false">
      <c r="B61975" s="0" t="s">
        <v>20723</v>
      </c>
    </row>
    <row r="61976" customFormat="false" ht="12.8" hidden="false" customHeight="false" outlineLevel="0" collapsed="false">
      <c r="B61976" s="0" t="s">
        <v>5</v>
      </c>
    </row>
    <row r="61978" customFormat="false" ht="12.8" hidden="false" customHeight="false" outlineLevel="0" collapsed="false">
      <c r="A61978" s="0" t="s">
        <v>20724</v>
      </c>
      <c r="B61978" s="0" t="str">
        <f aca="false">HYPERLINK("https://lindat.mff.cuni.cz/services/teitok/pdtc10/index.php?action=vallex&amp;frame=v-w8633f1", "vzbudit se (v-w8633f1)")</f>
        <v>vzbudit se (v-w8633f1)</v>
      </c>
    </row>
    <row r="61979" customFormat="false" ht="12.8" hidden="false" customHeight="false" outlineLevel="0" collapsed="false">
      <c r="B61979" s="0" t="s">
        <v>1</v>
      </c>
    </row>
    <row r="61980" customFormat="false" ht="12.8" hidden="false" customHeight="false" outlineLevel="0" collapsed="false">
      <c r="B61980" s="0" t="s">
        <v>763</v>
      </c>
    </row>
    <row r="61982" customFormat="false" ht="12.8" hidden="false" customHeight="false" outlineLevel="0" collapsed="false">
      <c r="A61982" s="0" t="s">
        <v>20725</v>
      </c>
      <c r="B61982" s="0" t="str">
        <f aca="false">HYPERLINK("https://lindat.mff.cuni.cz/services/teitok/pdtc10/index.php?action=vallex&amp;frame=v-w10666f2", "vzburcovat (v-w10666f2)")</f>
        <v>vzburcovat (v-w10666f2)</v>
      </c>
    </row>
    <row r="61983" customFormat="false" ht="12.8" hidden="false" customHeight="false" outlineLevel="0" collapsed="false">
      <c r="B61983" s="0" t="s">
        <v>1</v>
      </c>
    </row>
    <row r="61984" customFormat="false" ht="12.8" hidden="false" customHeight="false" outlineLevel="0" collapsed="false">
      <c r="B61984" s="0" t="s">
        <v>8</v>
      </c>
    </row>
    <row r="61986" customFormat="false" ht="12.8" hidden="false" customHeight="false" outlineLevel="0" collapsed="false">
      <c r="A61986" s="0" t="s">
        <v>20726</v>
      </c>
      <c r="B61986" s="0" t="str">
        <f aca="false">HYPERLINK("https://lindat.mff.cuni.cz/services/teitok/pdtc10/index.php?action=vallex&amp;frame=v-w8634f8_MM", "vzbuzovat (v-w8634f8_MM)")</f>
        <v>vzbuzovat (v-w8634f8_MM)</v>
      </c>
    </row>
    <row r="61987" customFormat="false" ht="12.8" hidden="false" customHeight="false" outlineLevel="0" collapsed="false">
      <c r="B61987" s="0" t="s">
        <v>1</v>
      </c>
    </row>
    <row r="61988" customFormat="false" ht="12.8" hidden="false" customHeight="false" outlineLevel="0" collapsed="false">
      <c r="B61988" s="0" t="s">
        <v>20727</v>
      </c>
    </row>
    <row r="61989" customFormat="false" ht="12.8" hidden="false" customHeight="false" outlineLevel="0" collapsed="false">
      <c r="B61989" s="0" t="s">
        <v>5</v>
      </c>
    </row>
    <row r="61991" customFormat="false" ht="12.8" hidden="false" customHeight="false" outlineLevel="0" collapsed="false">
      <c r="A61991" s="0" t="s">
        <v>20726</v>
      </c>
      <c r="B61991" s="0" t="str">
        <f aca="false">HYPERLINK("https://lindat.mff.cuni.cz/services/teitok/pdtc10/index.php?action=vallex&amp;frame=v-w8634f1", "vzbuzovat (v-w8634f1) - substituted with v-w8634f8_MM")</f>
        <v>vzbuzovat (v-w8634f1) - substituted with v-w8634f8_MM</v>
      </c>
    </row>
    <row r="61992" customFormat="false" ht="12.8" hidden="false" customHeight="false" outlineLevel="0" collapsed="false">
      <c r="B61992" s="0" t="s">
        <v>1</v>
      </c>
    </row>
    <row r="61993" customFormat="false" ht="12.8" hidden="false" customHeight="false" outlineLevel="0" collapsed="false">
      <c r="B61993" s="0" t="s">
        <v>20727</v>
      </c>
    </row>
    <row r="61994" customFormat="false" ht="12.8" hidden="false" customHeight="false" outlineLevel="0" collapsed="false">
      <c r="B61994" s="0" t="s">
        <v>5</v>
      </c>
    </row>
    <row r="61996" customFormat="false" ht="12.8" hidden="false" customHeight="false" outlineLevel="0" collapsed="false">
      <c r="A61996" s="0" t="s">
        <v>20726</v>
      </c>
      <c r="B61996" s="0" t="str">
        <f aca="false">HYPERLINK("https://lindat.mff.cuni.cz/services/teitok/pdtc10/index.php?action=vallex&amp;frame=v-w8634f2_ZU", "vzbuzovat (v-w8634f2_ZU) - substituted with v-w8634f8_MM")</f>
        <v>vzbuzovat (v-w8634f2_ZU) - substituted with v-w8634f8_MM</v>
      </c>
    </row>
    <row r="61997" customFormat="false" ht="12.8" hidden="false" customHeight="false" outlineLevel="0" collapsed="false">
      <c r="B61997" s="0" t="s">
        <v>1</v>
      </c>
    </row>
    <row r="61998" customFormat="false" ht="12.8" hidden="false" customHeight="false" outlineLevel="0" collapsed="false">
      <c r="B61998" s="0" t="s">
        <v>20727</v>
      </c>
    </row>
    <row r="61999" customFormat="false" ht="12.8" hidden="false" customHeight="false" outlineLevel="0" collapsed="false">
      <c r="B61999" s="0" t="s">
        <v>5</v>
      </c>
    </row>
    <row r="62001" customFormat="false" ht="12.8" hidden="false" customHeight="false" outlineLevel="0" collapsed="false">
      <c r="A62001" s="0" t="s">
        <v>20726</v>
      </c>
      <c r="B62001" s="0" t="str">
        <f aca="false">HYPERLINK("https://lindat.mff.cuni.cz/services/teitok/pdtc10/index.php?action=vallex&amp;frame=v-w8634f3_ZU", "vzbuzovat (v-w8634f3_ZU) - substituted with v-w8634f8_MM")</f>
        <v>vzbuzovat (v-w8634f3_ZU) - substituted with v-w8634f8_MM</v>
      </c>
    </row>
    <row r="62002" customFormat="false" ht="12.8" hidden="false" customHeight="false" outlineLevel="0" collapsed="false">
      <c r="B62002" s="0" t="s">
        <v>1</v>
      </c>
    </row>
    <row r="62003" customFormat="false" ht="12.8" hidden="false" customHeight="false" outlineLevel="0" collapsed="false">
      <c r="B62003" s="0" t="s">
        <v>20727</v>
      </c>
    </row>
    <row r="62004" customFormat="false" ht="12.8" hidden="false" customHeight="false" outlineLevel="0" collapsed="false">
      <c r="B62004" s="0" t="s">
        <v>5</v>
      </c>
    </row>
    <row r="62006" customFormat="false" ht="12.8" hidden="false" customHeight="false" outlineLevel="0" collapsed="false">
      <c r="A62006" s="0" t="s">
        <v>20726</v>
      </c>
      <c r="B62006" s="0" t="str">
        <f aca="false">HYPERLINK("https://lindat.mff.cuni.cz/services/teitok/pdtc10/index.php?action=vallex&amp;frame=v-w8634f4_ZU", "vzbuzovat (v-w8634f4_ZU) - substituted with v-w8634f8_MM")</f>
        <v>vzbuzovat (v-w8634f4_ZU) - substituted with v-w8634f8_MM</v>
      </c>
    </row>
    <row r="62007" customFormat="false" ht="12.8" hidden="false" customHeight="false" outlineLevel="0" collapsed="false">
      <c r="B62007" s="0" t="s">
        <v>1</v>
      </c>
    </row>
    <row r="62008" customFormat="false" ht="12.8" hidden="false" customHeight="false" outlineLevel="0" collapsed="false">
      <c r="B62008" s="0" t="s">
        <v>20727</v>
      </c>
    </row>
    <row r="62009" customFormat="false" ht="12.8" hidden="false" customHeight="false" outlineLevel="0" collapsed="false">
      <c r="B62009" s="0" t="s">
        <v>5</v>
      </c>
    </row>
    <row r="62011" customFormat="false" ht="12.8" hidden="false" customHeight="false" outlineLevel="0" collapsed="false">
      <c r="A62011" s="0" t="s">
        <v>20726</v>
      </c>
      <c r="B62011" s="0" t="str">
        <f aca="false">HYPERLINK("https://lindat.mff.cuni.cz/services/teitok/pdtc10/index.php?action=vallex&amp;frame=v-w8634f5_ZU", "vzbuzovat (v-w8634f5_ZU) - substituted with v-w8634f8_MM")</f>
        <v>vzbuzovat (v-w8634f5_ZU) - substituted with v-w8634f8_MM</v>
      </c>
    </row>
    <row r="62012" customFormat="false" ht="12.8" hidden="false" customHeight="false" outlineLevel="0" collapsed="false">
      <c r="B62012" s="0" t="s">
        <v>1</v>
      </c>
    </row>
    <row r="62013" customFormat="false" ht="12.8" hidden="false" customHeight="false" outlineLevel="0" collapsed="false">
      <c r="B62013" s="0" t="s">
        <v>20727</v>
      </c>
    </row>
    <row r="62014" customFormat="false" ht="12.8" hidden="false" customHeight="false" outlineLevel="0" collapsed="false">
      <c r="B62014" s="0" t="s">
        <v>5</v>
      </c>
    </row>
    <row r="62016" customFormat="false" ht="12.8" hidden="false" customHeight="false" outlineLevel="0" collapsed="false">
      <c r="A62016" s="0" t="s">
        <v>20726</v>
      </c>
      <c r="B62016" s="0" t="str">
        <f aca="false">HYPERLINK("https://lindat.mff.cuni.cz/services/teitok/pdtc10/index.php?action=vallex&amp;frame=v-w8634f6_ZU", "vzbuzovat (v-w8634f6_ZU) - substituted with v-w8634f8_MM")</f>
        <v>vzbuzovat (v-w8634f6_ZU) - substituted with v-w8634f8_MM</v>
      </c>
      <c r="E62016" s="0" t="str">
        <f aca="false">HYPERLINK("https://lindat.mff.cuni.cz/services/SynSemClass40/SynSemClass40.html?veclass=vec00196#vec00196-ces-cm00282", "vec00196")</f>
        <v>vec00196</v>
      </c>
      <c r="F62016" s="0" t="s">
        <v>749</v>
      </c>
    </row>
    <row r="62017" customFormat="false" ht="12.8" hidden="false" customHeight="false" outlineLevel="0" collapsed="false">
      <c r="B62017" s="0" t="s">
        <v>1</v>
      </c>
      <c r="C62017" s="0" t="s">
        <v>750</v>
      </c>
      <c r="E62017" s="0" t="s">
        <v>76</v>
      </c>
      <c r="F62017" s="0" t="s">
        <v>751</v>
      </c>
    </row>
    <row r="62018" customFormat="false" ht="12.8" hidden="false" customHeight="false" outlineLevel="0" collapsed="false">
      <c r="B62018" s="0" t="s">
        <v>20727</v>
      </c>
      <c r="C62018" s="0" t="s">
        <v>753</v>
      </c>
      <c r="E62018" s="0" t="s">
        <v>754</v>
      </c>
      <c r="F62018" s="0" t="s">
        <v>755</v>
      </c>
    </row>
    <row r="62019" customFormat="false" ht="12.8" hidden="false" customHeight="false" outlineLevel="0" collapsed="false">
      <c r="B62019" s="0" t="s">
        <v>5</v>
      </c>
      <c r="C62019" s="0" t="s">
        <v>756</v>
      </c>
      <c r="E62019" s="0" t="s">
        <v>757</v>
      </c>
      <c r="F62019" s="0" t="s">
        <v>758</v>
      </c>
    </row>
    <row r="62021" customFormat="false" ht="12.8" hidden="false" customHeight="false" outlineLevel="0" collapsed="false">
      <c r="A62021" s="0" t="s">
        <v>20726</v>
      </c>
      <c r="B62021" s="0" t="str">
        <f aca="false">HYPERLINK("https://lindat.mff.cuni.cz/services/teitok/pdtc10/index.php?action=vallex&amp;frame=v-w8634f7_ZU", "vzbuzovat (v-w8634f7_ZU) - substituted with v-w8634f8_MM")</f>
        <v>vzbuzovat (v-w8634f7_ZU) - substituted with v-w8634f8_MM</v>
      </c>
    </row>
    <row r="62022" customFormat="false" ht="12.8" hidden="false" customHeight="false" outlineLevel="0" collapsed="false">
      <c r="B62022" s="0" t="s">
        <v>1</v>
      </c>
    </row>
    <row r="62023" customFormat="false" ht="12.8" hidden="false" customHeight="false" outlineLevel="0" collapsed="false">
      <c r="B62023" s="0" t="s">
        <v>20727</v>
      </c>
    </row>
    <row r="62024" customFormat="false" ht="12.8" hidden="false" customHeight="false" outlineLevel="0" collapsed="false">
      <c r="B62024" s="0" t="s">
        <v>5</v>
      </c>
    </row>
    <row r="62026" customFormat="false" ht="12.8" hidden="false" customHeight="false" outlineLevel="0" collapsed="false">
      <c r="A62026" s="0" t="s">
        <v>20728</v>
      </c>
      <c r="B62026" s="0" t="str">
        <f aca="false">HYPERLINK("https://lindat.mff.cuni.cz/services/teitok/pdtc10/index.php?action=vallex&amp;frame=v-w11317f2", "vzchopit se (v-w11317f2)")</f>
        <v>vzchopit se (v-w11317f2)</v>
      </c>
      <c r="E62026" s="0" t="str">
        <f aca="false">HYPERLINK("https://lindat.mff.cuni.cz/services/SynSemClass40/SynSemClass40.html?veclass=vec00390#vec00390-ces-cm00018", "vec00390")</f>
        <v>vec00390</v>
      </c>
      <c r="F62026" s="0" t="s">
        <v>1595</v>
      </c>
    </row>
    <row r="62027" customFormat="false" ht="12.8" hidden="false" customHeight="false" outlineLevel="0" collapsed="false">
      <c r="B62027" s="0" t="s">
        <v>1</v>
      </c>
      <c r="C62027" s="0" t="s">
        <v>1596</v>
      </c>
      <c r="E62027" s="0" t="s">
        <v>1597</v>
      </c>
      <c r="F62027" s="0" t="s">
        <v>1598</v>
      </c>
    </row>
    <row r="62028" customFormat="false" ht="12.8" hidden="false" customHeight="false" outlineLevel="0" collapsed="false">
      <c r="B62028" s="0" t="s">
        <v>2219</v>
      </c>
      <c r="E62028" s="0" t="s">
        <v>20729</v>
      </c>
      <c r="F62028" s="0" t="s">
        <v>20730</v>
      </c>
    </row>
    <row r="62030" customFormat="false" ht="12.8" hidden="false" customHeight="false" outlineLevel="0" collapsed="false">
      <c r="A62030" s="0" t="s">
        <v>20731</v>
      </c>
      <c r="B62030" s="0" t="str">
        <f aca="false">HYPERLINK("https://lindat.mff.cuni.cz/services/teitok/pdtc10/index.php?action=vallex&amp;frame=v-w11317hsa_738", "vzchopit se (v-w11317hsa_738)")</f>
        <v>vzchopit se (v-w11317hsa_738)</v>
      </c>
    </row>
    <row r="62031" customFormat="false" ht="12.8" hidden="false" customHeight="false" outlineLevel="0" collapsed="false">
      <c r="B62031" s="0" t="s">
        <v>1</v>
      </c>
    </row>
    <row r="62032" customFormat="false" ht="12.8" hidden="false" customHeight="false" outlineLevel="0" collapsed="false">
      <c r="B62032" s="0" t="s">
        <v>69</v>
      </c>
    </row>
    <row r="62033" customFormat="false" ht="12.8" hidden="false" customHeight="false" outlineLevel="0" collapsed="false">
      <c r="B62033" s="0" t="s">
        <v>36</v>
      </c>
    </row>
    <row r="62035" customFormat="false" ht="12.8" hidden="false" customHeight="false" outlineLevel="0" collapsed="false">
      <c r="A62035" s="0" t="s">
        <v>20732</v>
      </c>
      <c r="B62035" s="0" t="str">
        <f aca="false">HYPERLINK("https://lindat.mff.cuni.cz/services/teitok/pdtc10/index.php?action=vallex&amp;frame=v-w8638f3", "vzdalovat se (v-w8638f3)")</f>
        <v>vzdalovat se (v-w8638f3)</v>
      </c>
      <c r="E62035" s="0" t="str">
        <f aca="false">HYPERLINK("https://lindat.mff.cuni.cz/services/SynSemClass40/SynSemClass40.html?veclass=vec00849#vec00849-ces-cm00016", "vec00849")</f>
        <v>vec00849</v>
      </c>
      <c r="F62035" s="0" t="s">
        <v>8738</v>
      </c>
      <c r="H62035" s="0" t="str">
        <f aca="false">HYPERLINK("https://lindat.mff.cuni.cz/services/SynSemClass40/SynSemClass40.html?veclass=vec00942#vec00942-ces-cm00073", "vec00942")</f>
        <v>vec00942</v>
      </c>
      <c r="I62035" s="0" t="s">
        <v>1686</v>
      </c>
    </row>
    <row r="62036" customFormat="false" ht="12.8" hidden="false" customHeight="false" outlineLevel="0" collapsed="false">
      <c r="B62036" s="0" t="s">
        <v>1</v>
      </c>
      <c r="C62036" s="0" t="s">
        <v>8966</v>
      </c>
      <c r="E62036" s="0" t="s">
        <v>957</v>
      </c>
      <c r="F62036" s="0" t="s">
        <v>8739</v>
      </c>
      <c r="H62036" s="0" t="s">
        <v>11</v>
      </c>
      <c r="I62036" s="0" t="s">
        <v>1688</v>
      </c>
    </row>
    <row r="62037" customFormat="false" ht="12.8" hidden="false" customHeight="false" outlineLevel="0" collapsed="false">
      <c r="B62037" s="0" t="s">
        <v>20733</v>
      </c>
      <c r="C62037" s="0" t="s">
        <v>8967</v>
      </c>
      <c r="E62037" s="0" t="s">
        <v>1823</v>
      </c>
      <c r="F62037" s="0" t="s">
        <v>8740</v>
      </c>
      <c r="H62037" s="0" t="s">
        <v>140</v>
      </c>
      <c r="I62037" s="0" t="s">
        <v>1691</v>
      </c>
    </row>
    <row r="62039" customFormat="false" ht="12.8" hidden="false" customHeight="false" outlineLevel="0" collapsed="false">
      <c r="A62039" s="0" t="s">
        <v>20734</v>
      </c>
      <c r="B62039" s="0" t="str">
        <f aca="false">HYPERLINK("https://lindat.mff.cuni.cz/services/teitok/pdtc10/index.php?action=vallex&amp;frame=v-w8638f1", "vzdalovat se (v-w8638f1)")</f>
        <v>vzdalovat se (v-w8638f1)</v>
      </c>
      <c r="E62039" s="0" t="str">
        <f aca="false">HYPERLINK("https://lindat.mff.cuni.cz/services/SynSemClass40/SynSemClass40.html?veclass=vec00048#vec00048-ces-cm00227", "vec00048")</f>
        <v>vec00048</v>
      </c>
      <c r="F62039" s="0" t="s">
        <v>1945</v>
      </c>
      <c r="H62039" s="0" t="str">
        <f aca="false">HYPERLINK("https://lindat.mff.cuni.cz/services/SynSemClass40/SynSemClass40.html?veclass=vec01390#vec01390-ces-cm00010", "vec01390")</f>
        <v>vec01390</v>
      </c>
      <c r="I62039" s="0" t="s">
        <v>366</v>
      </c>
    </row>
    <row r="62040" customFormat="false" ht="12.8" hidden="false" customHeight="false" outlineLevel="0" collapsed="false">
      <c r="B62040" s="0" t="s">
        <v>1</v>
      </c>
      <c r="C62040" s="0" t="s">
        <v>20735</v>
      </c>
      <c r="E62040" s="0" t="s">
        <v>334</v>
      </c>
      <c r="F62040" s="0" t="s">
        <v>1947</v>
      </c>
      <c r="H62040" s="0" t="s">
        <v>334</v>
      </c>
      <c r="I62040" s="0" t="s">
        <v>368</v>
      </c>
    </row>
    <row r="62042" customFormat="false" ht="12.8" hidden="false" customHeight="false" outlineLevel="0" collapsed="false">
      <c r="A62042" s="0" t="s">
        <v>20736</v>
      </c>
      <c r="B62042" s="0" t="str">
        <f aca="false">HYPERLINK("https://lindat.mff.cuni.cz/services/teitok/pdtc10/index.php?action=vallex&amp;frame=v-w8648f1", "vzdorovat (v-w8648f1)")</f>
        <v>vzdorovat (v-w8648f1)</v>
      </c>
    </row>
    <row r="62043" customFormat="false" ht="12.8" hidden="false" customHeight="false" outlineLevel="0" collapsed="false">
      <c r="B62043" s="0" t="s">
        <v>1</v>
      </c>
    </row>
    <row r="62044" customFormat="false" ht="12.8" hidden="false" customHeight="false" outlineLevel="0" collapsed="false">
      <c r="B62044" s="0" t="s">
        <v>186</v>
      </c>
    </row>
    <row r="62046" customFormat="false" ht="12.8" hidden="false" customHeight="false" outlineLevel="0" collapsed="false">
      <c r="A62046" s="0" t="s">
        <v>20737</v>
      </c>
      <c r="B62046" s="0" t="str">
        <f aca="false">HYPERLINK("https://lindat.mff.cuni.cz/services/teitok/pdtc10/index.php?action=vallex&amp;frame=v-w8648f2", "vzdorovat (v-w8648f2)")</f>
        <v>vzdorovat (v-w8648f2)</v>
      </c>
    </row>
    <row r="62047" customFormat="false" ht="12.8" hidden="false" customHeight="false" outlineLevel="0" collapsed="false">
      <c r="B62047" s="0" t="s">
        <v>1</v>
      </c>
    </row>
    <row r="62048" customFormat="false" ht="12.8" hidden="false" customHeight="false" outlineLevel="0" collapsed="false">
      <c r="B62048" s="0" t="s">
        <v>186</v>
      </c>
    </row>
    <row r="62050" customFormat="false" ht="12.8" hidden="false" customHeight="false" outlineLevel="0" collapsed="false">
      <c r="A62050" s="0" t="s">
        <v>20738</v>
      </c>
      <c r="B62050" s="0" t="str">
        <f aca="false">HYPERLINK("https://lindat.mff.cuni.cz/services/teitok/pdtc10/index.php?action=vallex&amp;frame=v-whsa_117f1_ZU", "vzdouvat (v-whsa_117f1_ZU)")</f>
        <v>vzdouvat (v-whsa_117f1_ZU)</v>
      </c>
    </row>
    <row r="62051" customFormat="false" ht="12.8" hidden="false" customHeight="false" outlineLevel="0" collapsed="false">
      <c r="B62051" s="0" t="s">
        <v>1</v>
      </c>
    </row>
    <row r="62052" customFormat="false" ht="12.8" hidden="false" customHeight="false" outlineLevel="0" collapsed="false">
      <c r="B62052" s="0" t="s">
        <v>8</v>
      </c>
    </row>
    <row r="62054" customFormat="false" ht="12.8" hidden="false" customHeight="false" outlineLevel="0" collapsed="false">
      <c r="A62054" s="0" t="s">
        <v>20738</v>
      </c>
      <c r="B62054" s="0" t="str">
        <f aca="false">HYPERLINK("https://lindat.mff.cuni.cz/services/teitok/pdtc10/index.php?action=vallex&amp;frame=v-whsa_117hsa_118", "vzdouvat (v-whsa_117hsa_118) - substituted with v-whsa_117f1_ZU")</f>
        <v>vzdouvat (v-whsa_117hsa_118) - substituted with v-whsa_117f1_ZU</v>
      </c>
    </row>
    <row r="62055" customFormat="false" ht="12.8" hidden="false" customHeight="false" outlineLevel="0" collapsed="false">
      <c r="B62055" s="0" t="s">
        <v>1</v>
      </c>
    </row>
    <row r="62056" customFormat="false" ht="12.8" hidden="false" customHeight="false" outlineLevel="0" collapsed="false">
      <c r="B62056" s="0" t="s">
        <v>8</v>
      </c>
    </row>
    <row r="62058" customFormat="false" ht="12.8" hidden="false" customHeight="false" outlineLevel="0" collapsed="false">
      <c r="A62058" s="0" t="s">
        <v>20739</v>
      </c>
      <c r="B62058" s="0" t="str">
        <f aca="false">HYPERLINK("https://lindat.mff.cuni.cz/services/teitok/pdtc10/index.php?action=vallex&amp;frame=v-w8650f1", "vzdychat (v-w8650f1)")</f>
        <v>vzdychat (v-w8650f1)</v>
      </c>
    </row>
    <row r="62059" customFormat="false" ht="12.8" hidden="false" customHeight="false" outlineLevel="0" collapsed="false">
      <c r="B62059" s="0" t="s">
        <v>1</v>
      </c>
    </row>
    <row r="62061" customFormat="false" ht="12.8" hidden="false" customHeight="false" outlineLevel="0" collapsed="false">
      <c r="A62061" s="0" t="s">
        <v>20740</v>
      </c>
      <c r="B62061" s="0" t="str">
        <f aca="false">HYPERLINK("https://lindat.mff.cuni.cz/services/teitok/pdtc10/index.php?action=vallex&amp;frame=v-w8636f2", "vzdálit (v-w8636f2)")</f>
        <v>vzdálit (v-w8636f2)</v>
      </c>
    </row>
    <row r="62062" customFormat="false" ht="12.8" hidden="false" customHeight="false" outlineLevel="0" collapsed="false">
      <c r="B62062" s="0" t="s">
        <v>1</v>
      </c>
    </row>
    <row r="62063" customFormat="false" ht="12.8" hidden="false" customHeight="false" outlineLevel="0" collapsed="false">
      <c r="B62063" s="0" t="s">
        <v>8</v>
      </c>
    </row>
    <row r="62064" customFormat="false" ht="12.8" hidden="false" customHeight="false" outlineLevel="0" collapsed="false">
      <c r="B62064" s="0" t="s">
        <v>20741</v>
      </c>
    </row>
    <row r="62066" customFormat="false" ht="12.8" hidden="false" customHeight="false" outlineLevel="0" collapsed="false">
      <c r="A62066" s="0" t="s">
        <v>20742</v>
      </c>
      <c r="B62066" s="0" t="str">
        <f aca="false">HYPERLINK("https://lindat.mff.cuni.cz/services/teitok/pdtc10/index.php?action=vallex&amp;frame=v-w8636f1", "vzdálit (v-w8636f1)")</f>
        <v>vzdálit (v-w8636f1)</v>
      </c>
    </row>
    <row r="62067" customFormat="false" ht="12.8" hidden="false" customHeight="false" outlineLevel="0" collapsed="false">
      <c r="B62067" s="0" t="s">
        <v>1</v>
      </c>
    </row>
    <row r="62068" customFormat="false" ht="12.8" hidden="false" customHeight="false" outlineLevel="0" collapsed="false">
      <c r="B62068" s="0" t="s">
        <v>8</v>
      </c>
    </row>
    <row r="62069" customFormat="false" ht="12.8" hidden="false" customHeight="false" outlineLevel="0" collapsed="false">
      <c r="B62069" s="0" t="s">
        <v>631</v>
      </c>
    </row>
    <row r="62071" customFormat="false" ht="12.8" hidden="false" customHeight="false" outlineLevel="0" collapsed="false">
      <c r="A62071" s="0" t="s">
        <v>20743</v>
      </c>
      <c r="B62071" s="0" t="str">
        <f aca="false">HYPERLINK("https://lindat.mff.cuni.cz/services/teitok/pdtc10/index.php?action=vallex&amp;frame=v-w8637f1", "vzdálit se (v-w8637f1)")</f>
        <v>vzdálit se (v-w8637f1)</v>
      </c>
      <c r="E62071" s="0" t="str">
        <f aca="false">HYPERLINK("https://lindat.mff.cuni.cz/services/SynSemClass40/SynSemClass40.html?veclass=vec01390#vec01390-ces-cm00009", "vec01390")</f>
        <v>vec01390</v>
      </c>
      <c r="F62071" s="0" t="s">
        <v>366</v>
      </c>
    </row>
    <row r="62072" customFormat="false" ht="12.8" hidden="false" customHeight="false" outlineLevel="0" collapsed="false">
      <c r="B62072" s="0" t="s">
        <v>1</v>
      </c>
      <c r="C62072" s="0" t="s">
        <v>367</v>
      </c>
      <c r="E62072" s="0" t="s">
        <v>334</v>
      </c>
      <c r="F62072" s="0" t="s">
        <v>368</v>
      </c>
    </row>
    <row r="62074" customFormat="false" ht="12.8" hidden="false" customHeight="false" outlineLevel="0" collapsed="false">
      <c r="A62074" s="0" t="s">
        <v>20744</v>
      </c>
      <c r="B62074" s="0" t="str">
        <f aca="false">HYPERLINK("https://lindat.mff.cuni.cz/services/teitok/pdtc10/index.php?action=vallex&amp;frame=v-w8640f2", "vzdát (v-w8640f2)")</f>
        <v>vzdát (v-w8640f2)</v>
      </c>
    </row>
    <row r="62075" customFormat="false" ht="12.8" hidden="false" customHeight="false" outlineLevel="0" collapsed="false">
      <c r="B62075" s="0" t="s">
        <v>1</v>
      </c>
    </row>
    <row r="62076" customFormat="false" ht="12.8" hidden="false" customHeight="false" outlineLevel="0" collapsed="false">
      <c r="B62076" s="0" t="s">
        <v>186</v>
      </c>
    </row>
    <row r="62078" customFormat="false" ht="12.8" hidden="false" customHeight="false" outlineLevel="0" collapsed="false">
      <c r="A62078" s="0" t="s">
        <v>20745</v>
      </c>
      <c r="B62078" s="0" t="str">
        <f aca="false">HYPERLINK("https://lindat.mff.cuni.cz/services/teitok/pdtc10/index.php?action=vallex&amp;frame=v-w8640f1", "vzdát (v-w8640f1)")</f>
        <v>vzdát (v-w8640f1)</v>
      </c>
      <c r="E62078" s="0" t="str">
        <f aca="false">HYPERLINK("https://lindat.mff.cuni.cz/services/SynSemClass40/SynSemClass40.html?veclass=vec00942#vec00942-ces-cm00045", "vec00942")</f>
        <v>vec00942</v>
      </c>
      <c r="F62078" s="0" t="s">
        <v>1686</v>
      </c>
    </row>
    <row r="62079" customFormat="false" ht="12.8" hidden="false" customHeight="false" outlineLevel="0" collapsed="false">
      <c r="B62079" s="0" t="s">
        <v>1</v>
      </c>
      <c r="C62079" s="0" t="s">
        <v>1687</v>
      </c>
      <c r="E62079" s="0" t="s">
        <v>11</v>
      </c>
      <c r="F62079" s="0" t="s">
        <v>1688</v>
      </c>
    </row>
    <row r="62080" customFormat="false" ht="12.8" hidden="false" customHeight="false" outlineLevel="0" collapsed="false">
      <c r="B62080" s="0" t="s">
        <v>8</v>
      </c>
      <c r="C62080" s="0" t="s">
        <v>1690</v>
      </c>
      <c r="E62080" s="0" t="s">
        <v>140</v>
      </c>
      <c r="F62080" s="0" t="s">
        <v>1691</v>
      </c>
    </row>
    <row r="62082" customFormat="false" ht="12.8" hidden="false" customHeight="false" outlineLevel="0" collapsed="false">
      <c r="A62082" s="0" t="s">
        <v>20746</v>
      </c>
      <c r="B62082" s="0" t="str">
        <f aca="false">HYPERLINK("https://lindat.mff.cuni.cz/services/teitok/pdtc10/index.php?action=vallex&amp;frame=v-w8640f3", "vzdát (v-w8640f3)")</f>
        <v>vzdát (v-w8640f3)</v>
      </c>
    </row>
    <row r="62083" customFormat="false" ht="12.8" hidden="false" customHeight="false" outlineLevel="0" collapsed="false">
      <c r="B62083" s="0" t="s">
        <v>1</v>
      </c>
    </row>
    <row r="62084" customFormat="false" ht="12.8" hidden="false" customHeight="false" outlineLevel="0" collapsed="false">
      <c r="B62084" s="0" t="s">
        <v>20747</v>
      </c>
    </row>
    <row r="62085" customFormat="false" ht="12.8" hidden="false" customHeight="false" outlineLevel="0" collapsed="false">
      <c r="B62085" s="0" t="s">
        <v>52</v>
      </c>
    </row>
    <row r="62087" customFormat="false" ht="12.8" hidden="false" customHeight="false" outlineLevel="0" collapsed="false">
      <c r="A62087" s="0" t="s">
        <v>20748</v>
      </c>
      <c r="B62087" s="0" t="str">
        <f aca="false">HYPERLINK("https://lindat.mff.cuni.cz/services/teitok/pdtc10/index.php?action=vallex&amp;frame=v-w8640f4_ZU", "vzdát (v-w8640f4_ZU)")</f>
        <v>vzdát (v-w8640f4_ZU)</v>
      </c>
    </row>
    <row r="62088" customFormat="false" ht="12.8" hidden="false" customHeight="false" outlineLevel="0" collapsed="false">
      <c r="B62088" s="0" t="s">
        <v>1</v>
      </c>
    </row>
    <row r="62089" customFormat="false" ht="12.8" hidden="false" customHeight="false" outlineLevel="0" collapsed="false">
      <c r="B62089" s="0" t="s">
        <v>8</v>
      </c>
    </row>
    <row r="62090" customFormat="false" ht="12.8" hidden="false" customHeight="false" outlineLevel="0" collapsed="false">
      <c r="B62090" s="0" t="s">
        <v>52</v>
      </c>
    </row>
    <row r="62092" customFormat="false" ht="12.8" hidden="false" customHeight="false" outlineLevel="0" collapsed="false">
      <c r="A62092" s="0" t="s">
        <v>20749</v>
      </c>
      <c r="B62092" s="0" t="str">
        <f aca="false">HYPERLINK("https://lindat.mff.cuni.cz/services/teitok/pdtc10/index.php?action=vallex&amp;frame=v-w8641f1", "vzdát se (v-w8641f1)")</f>
        <v>vzdát se (v-w8641f1)</v>
      </c>
    </row>
    <row r="62093" customFormat="false" ht="12.8" hidden="false" customHeight="false" outlineLevel="0" collapsed="false">
      <c r="B62093" s="0" t="s">
        <v>1</v>
      </c>
    </row>
    <row r="62094" customFormat="false" ht="12.8" hidden="false" customHeight="false" outlineLevel="0" collapsed="false">
      <c r="B62094" s="0" t="s">
        <v>1289</v>
      </c>
    </row>
    <row r="62096" customFormat="false" ht="12.8" hidden="false" customHeight="false" outlineLevel="0" collapsed="false">
      <c r="A62096" s="0" t="s">
        <v>20750</v>
      </c>
      <c r="B62096" s="0" t="str">
        <f aca="false">HYPERLINK("https://lindat.mff.cuni.cz/services/teitok/pdtc10/index.php?action=vallex&amp;frame=v-w8641f2", "vzdát se (v-w8641f2)")</f>
        <v>vzdát se (v-w8641f2)</v>
      </c>
      <c r="E62096" s="0" t="str">
        <f aca="false">HYPERLINK("https://lindat.mff.cuni.cz/services/SynSemClass40/SynSemClass40.html?veclass=vec00739#vec00739-ces-cm00017", "vec00739")</f>
        <v>vec00739</v>
      </c>
      <c r="F62096" s="0" t="s">
        <v>5232</v>
      </c>
    </row>
    <row r="62097" customFormat="false" ht="12.8" hidden="false" customHeight="false" outlineLevel="0" collapsed="false">
      <c r="B62097" s="0" t="s">
        <v>1</v>
      </c>
      <c r="C62097" s="0" t="s">
        <v>5233</v>
      </c>
      <c r="E62097" s="0" t="s">
        <v>5234</v>
      </c>
      <c r="F62097" s="0" t="s">
        <v>5235</v>
      </c>
    </row>
    <row r="62098" customFormat="false" ht="12.8" hidden="false" customHeight="false" outlineLevel="0" collapsed="false">
      <c r="B62098" s="0" t="s">
        <v>157</v>
      </c>
      <c r="C62098" s="0" t="s">
        <v>5236</v>
      </c>
      <c r="E62098" s="0" t="s">
        <v>5237</v>
      </c>
      <c r="F62098" s="0" t="s">
        <v>5238</v>
      </c>
    </row>
    <row r="62100" customFormat="false" ht="12.8" hidden="false" customHeight="false" outlineLevel="0" collapsed="false">
      <c r="A62100" s="0" t="s">
        <v>20751</v>
      </c>
      <c r="B62100" s="0" t="str">
        <f aca="false">HYPERLINK("https://lindat.mff.cuni.cz/services/teitok/pdtc10/index.php?action=vallex&amp;frame=v-w8642f1", "vzdávat (v-w8642f1)")</f>
        <v>vzdávat (v-w8642f1)</v>
      </c>
      <c r="E62100" s="0" t="str">
        <f aca="false">HYPERLINK("https://lindat.mff.cuni.cz/services/SynSemClass40/SynSemClass40.html?veclass=vec00942#vec00942-ces-cm00046", "vec00942")</f>
        <v>vec00942</v>
      </c>
      <c r="F62100" s="0" t="s">
        <v>1686</v>
      </c>
    </row>
    <row r="62101" customFormat="false" ht="12.8" hidden="false" customHeight="false" outlineLevel="0" collapsed="false">
      <c r="B62101" s="0" t="s">
        <v>1</v>
      </c>
      <c r="C62101" s="0" t="s">
        <v>1687</v>
      </c>
      <c r="E62101" s="0" t="s">
        <v>11</v>
      </c>
      <c r="F62101" s="0" t="s">
        <v>1688</v>
      </c>
    </row>
    <row r="62102" customFormat="false" ht="12.8" hidden="false" customHeight="false" outlineLevel="0" collapsed="false">
      <c r="B62102" s="0" t="s">
        <v>8</v>
      </c>
      <c r="C62102" s="0" t="s">
        <v>1690</v>
      </c>
      <c r="E62102" s="0" t="s">
        <v>140</v>
      </c>
      <c r="F62102" s="0" t="s">
        <v>1691</v>
      </c>
    </row>
    <row r="62104" customFormat="false" ht="12.8" hidden="false" customHeight="false" outlineLevel="0" collapsed="false">
      <c r="A62104" s="0" t="s">
        <v>20752</v>
      </c>
      <c r="B62104" s="0" t="str">
        <f aca="false">HYPERLINK("https://lindat.mff.cuni.cz/services/teitok/pdtc10/index.php?action=vallex&amp;frame=v-w8642f3_ZU", "vzdávat (v-w8642f3_ZU)")</f>
        <v>vzdávat (v-w8642f3_ZU)</v>
      </c>
    </row>
    <row r="62105" customFormat="false" ht="12.8" hidden="false" customHeight="false" outlineLevel="0" collapsed="false">
      <c r="B62105" s="0" t="s">
        <v>1</v>
      </c>
    </row>
    <row r="62106" customFormat="false" ht="12.8" hidden="false" customHeight="false" outlineLevel="0" collapsed="false">
      <c r="B62106" s="0" t="s">
        <v>20753</v>
      </c>
    </row>
    <row r="62107" customFormat="false" ht="12.8" hidden="false" customHeight="false" outlineLevel="0" collapsed="false">
      <c r="B62107" s="0" t="s">
        <v>52</v>
      </c>
    </row>
    <row r="62109" customFormat="false" ht="12.8" hidden="false" customHeight="false" outlineLevel="0" collapsed="false">
      <c r="A62109" s="0" t="s">
        <v>20752</v>
      </c>
      <c r="B62109" s="0" t="str">
        <f aca="false">HYPERLINK("https://lindat.mff.cuni.cz/services/teitok/pdtc10/index.php?action=vallex&amp;frame=v-w8642f2", "vzdávat (v-w8642f2) - substituted with v-w8642f3_ZU")</f>
        <v>vzdávat (v-w8642f2) - substituted with v-w8642f3_ZU</v>
      </c>
    </row>
    <row r="62110" customFormat="false" ht="12.8" hidden="false" customHeight="false" outlineLevel="0" collapsed="false">
      <c r="B62110" s="0" t="s">
        <v>1</v>
      </c>
    </row>
    <row r="62111" customFormat="false" ht="12.8" hidden="false" customHeight="false" outlineLevel="0" collapsed="false">
      <c r="B62111" s="0" t="s">
        <v>20753</v>
      </c>
    </row>
    <row r="62112" customFormat="false" ht="12.8" hidden="false" customHeight="false" outlineLevel="0" collapsed="false">
      <c r="B62112" s="0" t="s">
        <v>52</v>
      </c>
    </row>
    <row r="62114" customFormat="false" ht="12.8" hidden="false" customHeight="false" outlineLevel="0" collapsed="false">
      <c r="A62114" s="0" t="s">
        <v>20754</v>
      </c>
      <c r="B62114" s="0" t="str">
        <f aca="false">HYPERLINK("https://lindat.mff.cuni.cz/services/teitok/pdtc10/index.php?action=vallex&amp;frame=v-w8643f1", "vzdávat se (v-w8643f1)")</f>
        <v>vzdávat se (v-w8643f1)</v>
      </c>
      <c r="E62114" s="0" t="str">
        <f aca="false">HYPERLINK("https://lindat.mff.cuni.cz/services/SynSemClass40/SynSemClass40.html?veclass=vec00449#vec00449-ces-cm00002", "vec00449")</f>
        <v>vec00449</v>
      </c>
      <c r="F62114" s="0" t="s">
        <v>8643</v>
      </c>
    </row>
    <row r="62115" customFormat="false" ht="12.8" hidden="false" customHeight="false" outlineLevel="0" collapsed="false">
      <c r="B62115" s="0" t="s">
        <v>1</v>
      </c>
      <c r="C62115" s="0" t="s">
        <v>8644</v>
      </c>
      <c r="E62115" s="0" t="s">
        <v>31</v>
      </c>
      <c r="F62115" s="0" t="s">
        <v>8645</v>
      </c>
    </row>
    <row r="62116" customFormat="false" ht="12.8" hidden="false" customHeight="false" outlineLevel="0" collapsed="false">
      <c r="B62116" s="0" t="s">
        <v>1289</v>
      </c>
      <c r="C62116" s="0" t="s">
        <v>6312</v>
      </c>
      <c r="E62116" s="0" t="s">
        <v>180</v>
      </c>
      <c r="F62116" s="0" t="s">
        <v>8646</v>
      </c>
    </row>
    <row r="62118" customFormat="false" ht="12.8" hidden="false" customHeight="false" outlineLevel="0" collapsed="false">
      <c r="A62118" s="0" t="s">
        <v>20755</v>
      </c>
      <c r="B62118" s="0" t="str">
        <f aca="false">HYPERLINK("https://lindat.mff.cuni.cz/services/teitok/pdtc10/index.php?action=vallex&amp;frame=v-w8643f2", "vzdávat se (v-w8643f2)")</f>
        <v>vzdávat se (v-w8643f2)</v>
      </c>
      <c r="E62118" s="0" t="str">
        <f aca="false">HYPERLINK("https://lindat.mff.cuni.cz/services/SynSemClass40/SynSemClass40.html?veclass=vec00739#vec00739-ces-cm00030", "vec00739")</f>
        <v>vec00739</v>
      </c>
      <c r="F62118" s="0" t="s">
        <v>5232</v>
      </c>
    </row>
    <row r="62119" customFormat="false" ht="12.8" hidden="false" customHeight="false" outlineLevel="0" collapsed="false">
      <c r="B62119" s="0" t="s">
        <v>1</v>
      </c>
      <c r="C62119" s="0" t="s">
        <v>5233</v>
      </c>
      <c r="E62119" s="0" t="s">
        <v>5234</v>
      </c>
      <c r="F62119" s="0" t="s">
        <v>5235</v>
      </c>
    </row>
    <row r="62120" customFormat="false" ht="12.8" hidden="false" customHeight="false" outlineLevel="0" collapsed="false">
      <c r="B62120" s="0" t="s">
        <v>157</v>
      </c>
      <c r="C62120" s="0" t="s">
        <v>5236</v>
      </c>
      <c r="E62120" s="0" t="s">
        <v>5237</v>
      </c>
      <c r="F62120" s="0" t="s">
        <v>5238</v>
      </c>
    </row>
    <row r="62122" customFormat="false" ht="12.8" hidden="false" customHeight="false" outlineLevel="0" collapsed="false">
      <c r="A62122" s="0" t="s">
        <v>20756</v>
      </c>
      <c r="B62122" s="0" t="str">
        <f aca="false">HYPERLINK("https://lindat.mff.cuni.cz/services/teitok/pdtc10/index.php?action=vallex&amp;frame=v-w8645f1", "vzdělat (v-w8645f1)")</f>
        <v>vzdělat (v-w8645f1)</v>
      </c>
      <c r="E62122" s="0" t="str">
        <f aca="false">HYPERLINK("https://lindat.mff.cuni.cz/services/SynSemClass40/SynSemClass40.html?veclass=vec00531#vec00531-ces-cm00017", "vec00531")</f>
        <v>vec00531</v>
      </c>
      <c r="F62122" s="0" t="s">
        <v>7870</v>
      </c>
    </row>
    <row r="62123" customFormat="false" ht="12.8" hidden="false" customHeight="false" outlineLevel="0" collapsed="false">
      <c r="B62123" s="0" t="s">
        <v>1</v>
      </c>
      <c r="C62123" s="0" t="s">
        <v>4001</v>
      </c>
      <c r="E62123" s="0" t="s">
        <v>206</v>
      </c>
      <c r="F62123" s="0" t="s">
        <v>7871</v>
      </c>
    </row>
    <row r="62124" customFormat="false" ht="12.8" hidden="false" customHeight="false" outlineLevel="0" collapsed="false">
      <c r="B62124" s="0" t="s">
        <v>8</v>
      </c>
      <c r="C62124" s="0" t="s">
        <v>20757</v>
      </c>
      <c r="E62124" s="0" t="s">
        <v>3002</v>
      </c>
      <c r="F62124" s="0" t="s">
        <v>20758</v>
      </c>
    </row>
    <row r="62126" customFormat="false" ht="12.8" hidden="false" customHeight="false" outlineLevel="0" collapsed="false">
      <c r="A62126" s="0" t="s">
        <v>20759</v>
      </c>
      <c r="B62126" s="0" t="str">
        <f aca="false">HYPERLINK("https://lindat.mff.cuni.cz/services/teitok/pdtc10/index.php?action=vallex&amp;frame=v-w8647f2_ZU", "vzdělávat (v-w8647f2_ZU)")</f>
        <v>vzdělávat (v-w8647f2_ZU)</v>
      </c>
    </row>
    <row r="62127" customFormat="false" ht="12.8" hidden="false" customHeight="false" outlineLevel="0" collapsed="false">
      <c r="B62127" s="0" t="s">
        <v>1</v>
      </c>
    </row>
    <row r="62128" customFormat="false" ht="12.8" hidden="false" customHeight="false" outlineLevel="0" collapsed="false">
      <c r="B62128" s="0" t="s">
        <v>8</v>
      </c>
    </row>
    <row r="62130" customFormat="false" ht="12.8" hidden="false" customHeight="false" outlineLevel="0" collapsed="false">
      <c r="A62130" s="0" t="s">
        <v>20759</v>
      </c>
      <c r="B62130" s="0" t="str">
        <f aca="false">HYPERLINK("https://lindat.mff.cuni.cz/services/teitok/pdtc10/index.php?action=vallex&amp;frame=v-w8647f1", "vzdělávat (v-w8647f1) - substituted with v-w8647f2_ZU")</f>
        <v>vzdělávat (v-w8647f1) - substituted with v-w8647f2_ZU</v>
      </c>
      <c r="E62130" s="0" t="str">
        <f aca="false">HYPERLINK("https://lindat.mff.cuni.cz/services/SynSemClass40/SynSemClass40.html?veclass=vec00531#vec00531-ces-cm00008", "vec00531")</f>
        <v>vec00531</v>
      </c>
      <c r="F62130" s="0" t="s">
        <v>7870</v>
      </c>
    </row>
    <row r="62131" customFormat="false" ht="12.8" hidden="false" customHeight="false" outlineLevel="0" collapsed="false">
      <c r="B62131" s="0" t="s">
        <v>1</v>
      </c>
      <c r="C62131" s="0" t="s">
        <v>4001</v>
      </c>
      <c r="E62131" s="0" t="s">
        <v>206</v>
      </c>
      <c r="F62131" s="0" t="s">
        <v>7871</v>
      </c>
    </row>
    <row r="62132" customFormat="false" ht="12.8" hidden="false" customHeight="false" outlineLevel="0" collapsed="false">
      <c r="B62132" s="0" t="s">
        <v>8</v>
      </c>
      <c r="C62132" s="0" t="s">
        <v>20757</v>
      </c>
      <c r="E62132" s="0" t="s">
        <v>3002</v>
      </c>
      <c r="F62132" s="0" t="s">
        <v>20758</v>
      </c>
    </row>
    <row r="62134" customFormat="false" ht="12.8" hidden="false" customHeight="false" outlineLevel="0" collapsed="false">
      <c r="A62134" s="0" t="s">
        <v>20760</v>
      </c>
      <c r="B62134" s="0" t="str">
        <f aca="false">HYPERLINK("https://lindat.mff.cuni.cz/services/teitok/pdtc10/index.php?action=vallex&amp;frame=v-w8651f1", "vzedmout (v-w8651f1)")</f>
        <v>vzedmout (v-w8651f1)</v>
      </c>
    </row>
    <row r="62135" customFormat="false" ht="12.8" hidden="false" customHeight="false" outlineLevel="0" collapsed="false">
      <c r="B62135" s="0" t="s">
        <v>1</v>
      </c>
    </row>
    <row r="62136" customFormat="false" ht="12.8" hidden="false" customHeight="false" outlineLevel="0" collapsed="false">
      <c r="B62136" s="0" t="s">
        <v>8</v>
      </c>
    </row>
    <row r="62138" customFormat="false" ht="12.8" hidden="false" customHeight="false" outlineLevel="0" collapsed="false">
      <c r="A62138" s="0" t="s">
        <v>20761</v>
      </c>
      <c r="B62138" s="0" t="str">
        <f aca="false">HYPERLINK("https://lindat.mff.cuni.cz/services/teitok/pdtc10/index.php?action=vallex&amp;frame=v-w11488f1", "vzedmout se (v-w11488f1)")</f>
        <v>vzedmout se (v-w11488f1)</v>
      </c>
    </row>
    <row r="62139" customFormat="false" ht="12.8" hidden="false" customHeight="false" outlineLevel="0" collapsed="false">
      <c r="B62139" s="0" t="s">
        <v>1</v>
      </c>
    </row>
    <row r="62141" customFormat="false" ht="12.8" hidden="false" customHeight="false" outlineLevel="0" collapsed="false">
      <c r="A62141" s="0" t="s">
        <v>20762</v>
      </c>
      <c r="B62141" s="0" t="str">
        <f aca="false">HYPERLINK("https://lindat.mff.cuni.cz/services/teitok/pdtc10/index.php?action=vallex&amp;frame=v-w8652f1", "vzejít (v-w8652f1)")</f>
        <v>vzejít (v-w8652f1)</v>
      </c>
      <c r="E62141" s="0" t="str">
        <f aca="false">HYPERLINK("https://lindat.mff.cuni.cz/services/SynSemClass40/SynSemClass40.html?veclass=vec00258#vec00258-ces-cm00013", "vec00258")</f>
        <v>vec00258</v>
      </c>
      <c r="F62141" s="0" t="s">
        <v>10649</v>
      </c>
    </row>
    <row r="62142" customFormat="false" ht="12.8" hidden="false" customHeight="false" outlineLevel="0" collapsed="false">
      <c r="B62142" s="0" t="s">
        <v>1</v>
      </c>
      <c r="C62142" s="0" t="s">
        <v>10650</v>
      </c>
      <c r="E62142" s="0" t="s">
        <v>957</v>
      </c>
      <c r="F62142" s="0" t="s">
        <v>10651</v>
      </c>
    </row>
    <row r="62143" customFormat="false" ht="12.8" hidden="false" customHeight="false" outlineLevel="0" collapsed="false">
      <c r="B62143" s="0" t="s">
        <v>298</v>
      </c>
      <c r="C62143" s="0" t="s">
        <v>10652</v>
      </c>
      <c r="E62143" s="0" t="s">
        <v>6001</v>
      </c>
      <c r="F62143" s="0" t="s">
        <v>10653</v>
      </c>
    </row>
    <row r="62145" customFormat="false" ht="12.8" hidden="false" customHeight="false" outlineLevel="0" collapsed="false">
      <c r="A62145" s="0" t="s">
        <v>20763</v>
      </c>
      <c r="B62145" s="0" t="str">
        <f aca="false">HYPERLINK("https://lindat.mff.cuni.cz/services/teitok/pdtc10/index.php?action=vallex&amp;frame=v-w8652f2", "vzejít (v-w8652f2)")</f>
        <v>vzejít (v-w8652f2)</v>
      </c>
    </row>
    <row r="62146" customFormat="false" ht="12.8" hidden="false" customHeight="false" outlineLevel="0" collapsed="false">
      <c r="B62146" s="0" t="s">
        <v>1</v>
      </c>
    </row>
    <row r="62147" customFormat="false" ht="12.8" hidden="false" customHeight="false" outlineLevel="0" collapsed="false">
      <c r="B62147" s="0" t="s">
        <v>631</v>
      </c>
    </row>
    <row r="62149" customFormat="false" ht="12.8" hidden="false" customHeight="false" outlineLevel="0" collapsed="false">
      <c r="A62149" s="0" t="s">
        <v>20764</v>
      </c>
      <c r="B62149" s="0" t="str">
        <f aca="false">HYPERLINK("https://lindat.mff.cuni.cz/services/teitok/pdtc10/index.php?action=vallex&amp;frame=v-w11387f2", "vzepnout se (v-w11387f2)")</f>
        <v>vzepnout se (v-w11387f2)</v>
      </c>
    </row>
    <row r="62150" customFormat="false" ht="12.8" hidden="false" customHeight="false" outlineLevel="0" collapsed="false">
      <c r="B62150" s="0" t="s">
        <v>1</v>
      </c>
    </row>
    <row r="62151" customFormat="false" ht="12.8" hidden="false" customHeight="false" outlineLevel="0" collapsed="false">
      <c r="B62151" s="0" t="s">
        <v>311</v>
      </c>
    </row>
    <row r="62153" customFormat="false" ht="12.8" hidden="false" customHeight="false" outlineLevel="0" collapsed="false">
      <c r="A62153" s="0" t="s">
        <v>20765</v>
      </c>
      <c r="B62153" s="0" t="str">
        <f aca="false">HYPERLINK("https://lindat.mff.cuni.cz/services/teitok/pdtc10/index.php?action=vallex&amp;frame=v-w11311f1", "vzepřít se (v-w11311f1)")</f>
        <v>vzepřít se (v-w11311f1)</v>
      </c>
      <c r="E62153" s="0" t="str">
        <f aca="false">HYPERLINK("https://lindat.mff.cuni.cz/services/SynSemClass40/SynSemClass40.html?veclass=vec00019#vec00019-ces-cm00006", "vec00019")</f>
        <v>vec00019</v>
      </c>
      <c r="F62153" s="0" t="s">
        <v>2250</v>
      </c>
    </row>
    <row r="62154" customFormat="false" ht="12.8" hidden="false" customHeight="false" outlineLevel="0" collapsed="false">
      <c r="B62154" s="0" t="s">
        <v>1</v>
      </c>
      <c r="C62154" s="0" t="s">
        <v>239</v>
      </c>
      <c r="E62154" s="0" t="s">
        <v>2251</v>
      </c>
      <c r="F62154" s="0" t="s">
        <v>2252</v>
      </c>
    </row>
    <row r="62155" customFormat="false" ht="12.8" hidden="false" customHeight="false" outlineLevel="0" collapsed="false">
      <c r="B62155" s="0" t="s">
        <v>11581</v>
      </c>
      <c r="C62155" s="0" t="s">
        <v>2254</v>
      </c>
      <c r="E62155" s="0" t="s">
        <v>230</v>
      </c>
      <c r="F62155" s="0" t="s">
        <v>2255</v>
      </c>
    </row>
    <row r="62157" customFormat="false" ht="12.8" hidden="false" customHeight="false" outlineLevel="0" collapsed="false">
      <c r="A62157" s="0" t="s">
        <v>20766</v>
      </c>
      <c r="B62157" s="0" t="str">
        <f aca="false">HYPERLINK("https://lindat.mff.cuni.cz/services/teitok/pdtc10/index.php?action=vallex&amp;frame=v-w8655f1", "vzhlédnout (v-w8655f1)")</f>
        <v>vzhlédnout (v-w8655f1)</v>
      </c>
    </row>
    <row r="62158" customFormat="false" ht="12.8" hidden="false" customHeight="false" outlineLevel="0" collapsed="false">
      <c r="B62158" s="0" t="s">
        <v>1</v>
      </c>
    </row>
    <row r="62159" customFormat="false" ht="12.8" hidden="false" customHeight="false" outlineLevel="0" collapsed="false">
      <c r="B62159" s="0" t="s">
        <v>631</v>
      </c>
    </row>
    <row r="62161" customFormat="false" ht="12.8" hidden="false" customHeight="false" outlineLevel="0" collapsed="false">
      <c r="A62161" s="0" t="s">
        <v>20767</v>
      </c>
      <c r="B62161" s="0" t="str">
        <f aca="false">HYPERLINK("https://lindat.mff.cuni.cz/services/teitok/pdtc10/index.php?action=vallex&amp;frame=v-w8655f2", "vzhlédnout (v-w8655f2)")</f>
        <v>vzhlédnout (v-w8655f2)</v>
      </c>
    </row>
    <row r="62162" customFormat="false" ht="12.8" hidden="false" customHeight="false" outlineLevel="0" collapsed="false">
      <c r="B62162" s="0" t="s">
        <v>1</v>
      </c>
    </row>
    <row r="62163" customFormat="false" ht="12.8" hidden="false" customHeight="false" outlineLevel="0" collapsed="false">
      <c r="B62163" s="0" t="s">
        <v>164</v>
      </c>
    </row>
    <row r="62165" customFormat="false" ht="12.8" hidden="false" customHeight="false" outlineLevel="0" collapsed="false">
      <c r="A62165" s="0" t="s">
        <v>20768</v>
      </c>
      <c r="B62165" s="0" t="str">
        <f aca="false">HYPERLINK("https://lindat.mff.cuni.cz/services/teitok/pdtc10/index.php?action=vallex&amp;frame=v-w8656f1", "vzhlížet (v-w8656f1)")</f>
        <v>vzhlížet (v-w8656f1)</v>
      </c>
    </row>
    <row r="62166" customFormat="false" ht="12.8" hidden="false" customHeight="false" outlineLevel="0" collapsed="false">
      <c r="B62166" s="0" t="s">
        <v>1</v>
      </c>
    </row>
    <row r="62167" customFormat="false" ht="12.8" hidden="false" customHeight="false" outlineLevel="0" collapsed="false">
      <c r="B62167" s="0" t="s">
        <v>311</v>
      </c>
    </row>
    <row r="62169" customFormat="false" ht="12.8" hidden="false" customHeight="false" outlineLevel="0" collapsed="false">
      <c r="A62169" s="0" t="s">
        <v>20769</v>
      </c>
      <c r="B62169" s="0" t="str">
        <f aca="false">HYPERLINK("https://lindat.mff.cuni.cz/services/teitok/pdtc10/index.php?action=vallex&amp;frame=v-w8656f2_ZU", "vzhlížet (v-w8656f2_ZU)")</f>
        <v>vzhlížet (v-w8656f2_ZU)</v>
      </c>
    </row>
    <row r="62170" customFormat="false" ht="12.8" hidden="false" customHeight="false" outlineLevel="0" collapsed="false">
      <c r="B62170" s="0" t="s">
        <v>1</v>
      </c>
    </row>
    <row r="62171" customFormat="false" ht="12.8" hidden="false" customHeight="false" outlineLevel="0" collapsed="false">
      <c r="B62171" s="0" t="s">
        <v>454</v>
      </c>
    </row>
    <row r="62173" customFormat="false" ht="12.8" hidden="false" customHeight="false" outlineLevel="0" collapsed="false">
      <c r="A62173" s="0" t="s">
        <v>20770</v>
      </c>
      <c r="B62173" s="0" t="str">
        <f aca="false">HYPERLINK("https://lindat.mff.cuni.cz/services/teitok/pdtc10/index.php?action=vallex&amp;frame=v-w8661f1", "vzkazovat (v-w8661f1)")</f>
        <v>vzkazovat (v-w8661f1)</v>
      </c>
    </row>
    <row r="62174" customFormat="false" ht="12.8" hidden="false" customHeight="false" outlineLevel="0" collapsed="false">
      <c r="B62174" s="0" t="s">
        <v>1</v>
      </c>
    </row>
    <row r="62175" customFormat="false" ht="12.8" hidden="false" customHeight="false" outlineLevel="0" collapsed="false">
      <c r="B62175" s="0" t="s">
        <v>2611</v>
      </c>
    </row>
    <row r="62176" customFormat="false" ht="12.8" hidden="false" customHeight="false" outlineLevel="0" collapsed="false">
      <c r="B62176" s="0" t="s">
        <v>52</v>
      </c>
    </row>
    <row r="62178" customFormat="false" ht="12.8" hidden="false" customHeight="false" outlineLevel="0" collapsed="false">
      <c r="A62178" s="0" t="s">
        <v>20771</v>
      </c>
      <c r="B62178" s="0" t="str">
        <f aca="false">HYPERLINK("https://lindat.mff.cuni.cz/services/teitok/pdtc10/index.php?action=vallex&amp;frame=v-w8662f1", "vzklíčit (v-w8662f1)")</f>
        <v>vzklíčit (v-w8662f1)</v>
      </c>
    </row>
    <row r="62179" customFormat="false" ht="12.8" hidden="false" customHeight="false" outlineLevel="0" collapsed="false">
      <c r="B62179" s="0" t="s">
        <v>1</v>
      </c>
    </row>
    <row r="62180" customFormat="false" ht="12.8" hidden="false" customHeight="false" outlineLevel="0" collapsed="false">
      <c r="B62180" s="0" t="s">
        <v>763</v>
      </c>
    </row>
    <row r="62182" customFormat="false" ht="12.8" hidden="false" customHeight="false" outlineLevel="0" collapsed="false">
      <c r="A62182" s="0" t="s">
        <v>20772</v>
      </c>
      <c r="B62182" s="0" t="str">
        <f aca="false">HYPERLINK("https://lindat.mff.cuni.cz/services/teitok/pdtc10/index.php?action=vallex&amp;frame=v-w10906f2", "vzkvétat (v-w10906f2)")</f>
        <v>vzkvétat (v-w10906f2)</v>
      </c>
      <c r="E62182" s="0" t="str">
        <f aca="false">HYPERLINK("https://lindat.mff.cuni.cz/services/SynSemClass40/SynSemClass40.html?veclass=vec00510#vec00510-ces-cm00052", "vec00510")</f>
        <v>vec00510</v>
      </c>
      <c r="F62182" s="0" t="s">
        <v>4074</v>
      </c>
    </row>
    <row r="62183" customFormat="false" ht="12.8" hidden="false" customHeight="false" outlineLevel="0" collapsed="false">
      <c r="B62183" s="0" t="s">
        <v>1</v>
      </c>
      <c r="C62183" s="0" t="s">
        <v>5871</v>
      </c>
      <c r="E62183" s="0" t="s">
        <v>84</v>
      </c>
      <c r="F62183" s="0" t="s">
        <v>4077</v>
      </c>
    </row>
    <row r="62185" customFormat="false" ht="12.8" hidden="false" customHeight="false" outlineLevel="0" collapsed="false">
      <c r="A62185" s="0" t="s">
        <v>20773</v>
      </c>
      <c r="B62185" s="0" t="str">
        <f aca="false">HYPERLINK("https://lindat.mff.cuni.cz/services/teitok/pdtc10/index.php?action=vallex&amp;frame=v-w10217f2", "vzkypět (v-w10217f2)")</f>
        <v>vzkypět (v-w10217f2)</v>
      </c>
    </row>
    <row r="62186" customFormat="false" ht="12.8" hidden="false" customHeight="false" outlineLevel="0" collapsed="false">
      <c r="B62186" s="0" t="s">
        <v>1</v>
      </c>
    </row>
    <row r="62188" customFormat="false" ht="12.8" hidden="false" customHeight="false" outlineLevel="0" collapsed="false">
      <c r="A62188" s="0" t="s">
        <v>20774</v>
      </c>
      <c r="B62188" s="0" t="str">
        <f aca="false">HYPERLINK("https://lindat.mff.cuni.cz/services/teitok/pdtc10/index.php?action=vallex&amp;frame=v-w8660f1", "vzkázat (v-w8660f1)")</f>
        <v>vzkázat (v-w8660f1)</v>
      </c>
      <c r="E62188" s="0" t="str">
        <f aca="false">HYPERLINK("https://lindat.mff.cuni.cz/services/SynSemClass40/SynSemClass40.html?veclass=vec00060#vec00060-ces-cm00466", "vec00060")</f>
        <v>vec00060</v>
      </c>
      <c r="F62188" s="0" t="s">
        <v>213</v>
      </c>
    </row>
    <row r="62189" customFormat="false" ht="12.8" hidden="false" customHeight="false" outlineLevel="0" collapsed="false">
      <c r="B62189" s="0" t="s">
        <v>1</v>
      </c>
      <c r="C62189" s="0" t="s">
        <v>214</v>
      </c>
      <c r="E62189" s="0" t="s">
        <v>147</v>
      </c>
      <c r="F62189" s="0" t="s">
        <v>215</v>
      </c>
    </row>
    <row r="62190" customFormat="false" ht="12.8" hidden="false" customHeight="false" outlineLevel="0" collapsed="false">
      <c r="B62190" s="0" t="s">
        <v>1983</v>
      </c>
      <c r="C62190" s="0" t="s">
        <v>217</v>
      </c>
      <c r="E62190" s="0" t="s">
        <v>218</v>
      </c>
      <c r="F62190" s="0" t="s">
        <v>219</v>
      </c>
    </row>
    <row r="62191" customFormat="false" ht="12.8" hidden="false" customHeight="false" outlineLevel="0" collapsed="false">
      <c r="B62191" s="0" t="s">
        <v>52</v>
      </c>
      <c r="C62191" s="0" t="s">
        <v>220</v>
      </c>
      <c r="E62191" s="0" t="s">
        <v>221</v>
      </c>
      <c r="F62191" s="0" t="s">
        <v>222</v>
      </c>
    </row>
    <row r="62193" customFormat="false" ht="12.8" hidden="false" customHeight="false" outlineLevel="0" collapsed="false">
      <c r="A62193" s="0" t="s">
        <v>20775</v>
      </c>
      <c r="B62193" s="0" t="str">
        <f aca="false">HYPERLINK("https://lindat.mff.cuni.cz/services/teitok/pdtc10/index.php?action=vallex&amp;frame=v-w8663f1", "vzkřísit (v-w8663f1)")</f>
        <v>vzkřísit (v-w8663f1)</v>
      </c>
      <c r="E62193" s="0" t="str">
        <f aca="false">HYPERLINK("https://lindat.mff.cuni.cz/services/SynSemClass40/SynSemClass40.html?veclass=vec00246#vec00246-ces-cm00018", "vec00246")</f>
        <v>vec00246</v>
      </c>
      <c r="F62193" s="0" t="s">
        <v>8433</v>
      </c>
    </row>
    <row r="62194" customFormat="false" ht="12.8" hidden="false" customHeight="false" outlineLevel="0" collapsed="false">
      <c r="B62194" s="0" t="s">
        <v>1</v>
      </c>
      <c r="C62194" s="0" t="s">
        <v>8434</v>
      </c>
      <c r="E62194" s="0" t="s">
        <v>31</v>
      </c>
      <c r="F62194" s="0" t="s">
        <v>8435</v>
      </c>
    </row>
    <row r="62195" customFormat="false" ht="12.8" hidden="false" customHeight="false" outlineLevel="0" collapsed="false">
      <c r="B62195" s="0" t="s">
        <v>8</v>
      </c>
      <c r="C62195" s="0" t="s">
        <v>8436</v>
      </c>
      <c r="E62195" s="0" t="s">
        <v>79</v>
      </c>
      <c r="F62195" s="0" t="s">
        <v>8437</v>
      </c>
    </row>
    <row r="62197" customFormat="false" ht="12.8" hidden="false" customHeight="false" outlineLevel="0" collapsed="false">
      <c r="A62197" s="0" t="s">
        <v>20776</v>
      </c>
      <c r="B62197" s="0" t="str">
        <f aca="false">HYPERLINK("https://lindat.mff.cuni.cz/services/teitok/pdtc10/index.php?action=vallex&amp;frame=v-w10568f2", "vzlétnout (v-w10568f2)")</f>
        <v>vzlétnout (v-w10568f2)</v>
      </c>
    </row>
    <row r="62198" customFormat="false" ht="12.8" hidden="false" customHeight="false" outlineLevel="0" collapsed="false">
      <c r="B62198" s="0" t="s">
        <v>1</v>
      </c>
    </row>
    <row r="62200" customFormat="false" ht="12.8" hidden="false" customHeight="false" outlineLevel="0" collapsed="false">
      <c r="A62200" s="0" t="s">
        <v>20777</v>
      </c>
      <c r="B62200" s="0" t="str">
        <f aca="false">HYPERLINK("https://lindat.mff.cuni.cz/services/teitok/pdtc10/index.php?action=vallex&amp;frame=v-whsa_185f1_ZU", "vzmoci se (v-whsa_185f1_ZU)")</f>
        <v>vzmoci se (v-whsa_185f1_ZU)</v>
      </c>
    </row>
    <row r="62201" customFormat="false" ht="12.8" hidden="false" customHeight="false" outlineLevel="0" collapsed="false">
      <c r="B62201" s="0" t="s">
        <v>1</v>
      </c>
    </row>
    <row r="62202" customFormat="false" ht="12.8" hidden="false" customHeight="false" outlineLevel="0" collapsed="false">
      <c r="B62202" s="0" t="s">
        <v>2219</v>
      </c>
    </row>
    <row r="62204" customFormat="false" ht="12.8" hidden="false" customHeight="false" outlineLevel="0" collapsed="false">
      <c r="A62204" s="0" t="s">
        <v>20777</v>
      </c>
      <c r="B62204" s="0" t="str">
        <f aca="false">HYPERLINK("https://lindat.mff.cuni.cz/services/teitok/pdtc10/index.php?action=vallex&amp;frame=v-whsa_185hsa_186", "vzmoci se (v-whsa_185hsa_186) - substituted with v-whsa_185f1_ZU")</f>
        <v>vzmoci se (v-whsa_185hsa_186) - substituted with v-whsa_185f1_ZU</v>
      </c>
    </row>
    <row r="62205" customFormat="false" ht="12.8" hidden="false" customHeight="false" outlineLevel="0" collapsed="false">
      <c r="B62205" s="0" t="s">
        <v>1</v>
      </c>
    </row>
    <row r="62206" customFormat="false" ht="12.8" hidden="false" customHeight="false" outlineLevel="0" collapsed="false">
      <c r="B62206" s="0" t="s">
        <v>2219</v>
      </c>
    </row>
    <row r="62208" customFormat="false" ht="12.8" hidden="false" customHeight="false" outlineLevel="0" collapsed="false">
      <c r="A62208" s="0" t="s">
        <v>20778</v>
      </c>
      <c r="B62208" s="0" t="str">
        <f aca="false">HYPERLINK("https://lindat.mff.cuni.cz/services/teitok/pdtc10/index.php?action=vallex&amp;frame=v-w8670f1", "vznikat (v-w8670f1)")</f>
        <v>vznikat (v-w8670f1)</v>
      </c>
    </row>
    <row r="62209" customFormat="false" ht="12.8" hidden="false" customHeight="false" outlineLevel="0" collapsed="false">
      <c r="B62209" s="0" t="s">
        <v>1</v>
      </c>
    </row>
    <row r="62210" customFormat="false" ht="12.8" hidden="false" customHeight="false" outlineLevel="0" collapsed="false">
      <c r="B62210" s="0" t="s">
        <v>763</v>
      </c>
    </row>
    <row r="62212" customFormat="false" ht="12.8" hidden="false" customHeight="false" outlineLevel="0" collapsed="false">
      <c r="A62212" s="0" t="s">
        <v>20779</v>
      </c>
      <c r="B62212" s="0" t="str">
        <f aca="false">HYPERLINK("https://lindat.mff.cuni.cz/services/teitok/pdtc10/index.php?action=vallex&amp;frame=v-w8670f2", "vznikat (v-w8670f2)")</f>
        <v>vznikat (v-w8670f2)</v>
      </c>
    </row>
    <row r="62213" customFormat="false" ht="12.8" hidden="false" customHeight="false" outlineLevel="0" collapsed="false">
      <c r="B62213" s="0" t="s">
        <v>20780</v>
      </c>
    </row>
    <row r="62214" customFormat="false" ht="12.8" hidden="false" customHeight="false" outlineLevel="0" collapsed="false">
      <c r="B62214" s="0" t="s">
        <v>7052</v>
      </c>
    </row>
    <row r="62216" customFormat="false" ht="12.8" hidden="false" customHeight="false" outlineLevel="0" collapsed="false">
      <c r="A62216" s="0" t="s">
        <v>20781</v>
      </c>
      <c r="B62216" s="0" t="str">
        <f aca="false">HYPERLINK("https://lindat.mff.cuni.cz/services/teitok/pdtc10/index.php?action=vallex&amp;frame=v-w8671f3", "vzniknout (v-w8671f3)")</f>
        <v>vzniknout (v-w8671f3)</v>
      </c>
    </row>
    <row r="62217" customFormat="false" ht="12.8" hidden="false" customHeight="false" outlineLevel="0" collapsed="false">
      <c r="B62217" s="0" t="s">
        <v>1</v>
      </c>
    </row>
    <row r="62218" customFormat="false" ht="12.8" hidden="false" customHeight="false" outlineLevel="0" collapsed="false">
      <c r="B62218" s="0" t="s">
        <v>186</v>
      </c>
    </row>
    <row r="62220" customFormat="false" ht="12.8" hidden="false" customHeight="false" outlineLevel="0" collapsed="false">
      <c r="A62220" s="0" t="s">
        <v>20782</v>
      </c>
      <c r="B62220" s="0" t="str">
        <f aca="false">HYPERLINK("https://lindat.mff.cuni.cz/services/teitok/pdtc10/index.php?action=vallex&amp;frame=v-w8671f1", "vzniknout (v-w8671f1)")</f>
        <v>vzniknout (v-w8671f1)</v>
      </c>
      <c r="E62220" s="0" t="str">
        <f aca="false">HYPERLINK("https://lindat.mff.cuni.cz/services/SynSemClass40/SynSemClass40.html?veclass=vec00258#vec00258-ces-cm00014", "vec00258")</f>
        <v>vec00258</v>
      </c>
      <c r="F62220" s="0" t="s">
        <v>10649</v>
      </c>
    </row>
    <row r="62221" customFormat="false" ht="12.8" hidden="false" customHeight="false" outlineLevel="0" collapsed="false">
      <c r="B62221" s="0" t="s">
        <v>1</v>
      </c>
      <c r="C62221" s="0" t="s">
        <v>10650</v>
      </c>
      <c r="E62221" s="0" t="s">
        <v>957</v>
      </c>
      <c r="F62221" s="0" t="s">
        <v>10651</v>
      </c>
    </row>
    <row r="62222" customFormat="false" ht="12.8" hidden="false" customHeight="false" outlineLevel="0" collapsed="false">
      <c r="B62222" s="0" t="s">
        <v>763</v>
      </c>
      <c r="C62222" s="0" t="s">
        <v>10652</v>
      </c>
      <c r="E62222" s="0" t="s">
        <v>6001</v>
      </c>
      <c r="F62222" s="0" t="s">
        <v>10653</v>
      </c>
    </row>
    <row r="62224" customFormat="false" ht="12.8" hidden="false" customHeight="false" outlineLevel="0" collapsed="false">
      <c r="A62224" s="0" t="s">
        <v>20783</v>
      </c>
      <c r="B62224" s="0" t="str">
        <f aca="false">HYPERLINK("https://lindat.mff.cuni.cz/services/teitok/pdtc10/index.php?action=vallex&amp;frame=v-w8671f2", "vzniknout (v-w8671f2)")</f>
        <v>vzniknout (v-w8671f2)</v>
      </c>
    </row>
    <row r="62225" customFormat="false" ht="12.8" hidden="false" customHeight="false" outlineLevel="0" collapsed="false">
      <c r="B62225" s="0" t="s">
        <v>20780</v>
      </c>
    </row>
    <row r="62226" customFormat="false" ht="12.8" hidden="false" customHeight="false" outlineLevel="0" collapsed="false">
      <c r="B62226" s="0" t="s">
        <v>7052</v>
      </c>
    </row>
    <row r="62228" customFormat="false" ht="12.8" hidden="false" customHeight="false" outlineLevel="0" collapsed="false">
      <c r="A62228" s="0" t="s">
        <v>20784</v>
      </c>
      <c r="B62228" s="0" t="str">
        <f aca="false">HYPERLINK("https://lindat.mff.cuni.cz/services/teitok/pdtc10/index.php?action=vallex&amp;frame=v-w8664f6_ZU", "vznášet (v-w8664f6_ZU)")</f>
        <v>vznášet (v-w8664f6_ZU)</v>
      </c>
      <c r="E62228" s="0" t="str">
        <f aca="false">HYPERLINK("https://lindat.mff.cuni.cz/services/SynSemClass40/SynSemClass40.html?veclass=vec00230#vec00230-ces-cm00035", "vec00230")</f>
        <v>vec00230</v>
      </c>
      <c r="F62228" s="0" t="s">
        <v>4255</v>
      </c>
      <c r="H62228" s="0" t="str">
        <f aca="false">HYPERLINK("https://lindat.mff.cuni.cz/services/SynSemClass40/SynSemClass40.html?veclass=vec00272#vec00272-ces-cm00144", "vec00272")</f>
        <v>vec00272</v>
      </c>
      <c r="I62228" s="0" t="s">
        <v>1490</v>
      </c>
      <c r="K62228" s="0" t="str">
        <f aca="false">HYPERLINK("https://lindat.mff.cuni.cz/services/SynSemClass40/SynSemClass40.html?veclass=vec00347#vec00347-ces-cm00031", "vec00347")</f>
        <v>vec00347</v>
      </c>
      <c r="L62228" s="0" t="s">
        <v>3748</v>
      </c>
      <c r="N62228" s="0" t="str">
        <f aca="false">HYPERLINK("https://lindat.mff.cuni.cz/services/SynSemClass40/SynSemClass40.html?veclass=vec00384#vec00384-ces-cm00023", "vec00384")</f>
        <v>vec00384</v>
      </c>
      <c r="O62228" s="0" t="s">
        <v>2985</v>
      </c>
      <c r="Q62228" s="0" t="str">
        <f aca="false">HYPERLINK("https://lindat.mff.cuni.cz/services/SynSemClass40/SynSemClass40.html?veclass=vec00391#vec00391-ces-cm00041", "vec00391")</f>
        <v>vec00391</v>
      </c>
      <c r="R62228" s="0" t="s">
        <v>7472</v>
      </c>
      <c r="T62228" s="0" t="str">
        <f aca="false">HYPERLINK("https://lindat.mff.cuni.cz/services/SynSemClass40/SynSemClass40.html?veclass=vec00484#vec00484-ces-cm00007", "vec00484")</f>
        <v>vec00484</v>
      </c>
      <c r="U62228" s="0" t="s">
        <v>10474</v>
      </c>
      <c r="W62228" s="0" t="str">
        <f aca="false">HYPERLINK("https://lindat.mff.cuni.cz/services/SynSemClass40/SynSemClass40.html?veclass=vec00844#vec00844-ces-cm00053", "vec00844")</f>
        <v>vec00844</v>
      </c>
      <c r="X62228" s="0" t="s">
        <v>5576</v>
      </c>
    </row>
    <row r="62229" customFormat="false" ht="12.8" hidden="false" customHeight="false" outlineLevel="0" collapsed="false">
      <c r="B62229" s="0" t="s">
        <v>1</v>
      </c>
      <c r="C62229" s="0" t="s">
        <v>20785</v>
      </c>
      <c r="E62229" s="0" t="s">
        <v>3750</v>
      </c>
      <c r="F62229" s="0" t="s">
        <v>4257</v>
      </c>
      <c r="H62229" s="0" t="s">
        <v>1492</v>
      </c>
      <c r="I62229" s="0" t="s">
        <v>1493</v>
      </c>
      <c r="K62229" s="0" t="s">
        <v>3750</v>
      </c>
      <c r="L62229" s="0" t="s">
        <v>3751</v>
      </c>
      <c r="N62229" s="0" t="s">
        <v>147</v>
      </c>
      <c r="O62229" s="0" t="s">
        <v>2987</v>
      </c>
      <c r="Q62229" s="0" t="s">
        <v>621</v>
      </c>
      <c r="R62229" s="0" t="s">
        <v>7474</v>
      </c>
      <c r="T62229" s="0" t="s">
        <v>206</v>
      </c>
      <c r="U62229" s="0" t="s">
        <v>10475</v>
      </c>
      <c r="W62229" s="0" t="s">
        <v>478</v>
      </c>
      <c r="X62229" s="0" t="s">
        <v>5578</v>
      </c>
    </row>
    <row r="62230" customFormat="false" ht="12.8" hidden="false" customHeight="false" outlineLevel="0" collapsed="false">
      <c r="B62230" s="0" t="s">
        <v>20786</v>
      </c>
      <c r="C62230" s="0" t="s">
        <v>20787</v>
      </c>
      <c r="H62230" s="0" t="s">
        <v>20788</v>
      </c>
      <c r="I62230" s="0" t="s">
        <v>20789</v>
      </c>
      <c r="Q62230" s="0" t="s">
        <v>3697</v>
      </c>
      <c r="R62230" s="0" t="s">
        <v>19309</v>
      </c>
      <c r="W62230" s="0" t="s">
        <v>20790</v>
      </c>
      <c r="X62230" s="0" t="s">
        <v>20791</v>
      </c>
    </row>
    <row r="62231" customFormat="false" ht="12.8" hidden="false" customHeight="false" outlineLevel="0" collapsed="false">
      <c r="B62231" s="0" t="s">
        <v>20792</v>
      </c>
      <c r="C62231" s="0" t="s">
        <v>20793</v>
      </c>
      <c r="E62231" s="0" t="s">
        <v>3756</v>
      </c>
      <c r="F62231" s="0" t="s">
        <v>20794</v>
      </c>
      <c r="H62231" s="0" t="s">
        <v>564</v>
      </c>
      <c r="I62231" s="0" t="s">
        <v>10698</v>
      </c>
      <c r="K62231" s="0" t="s">
        <v>3756</v>
      </c>
      <c r="L62231" s="0" t="s">
        <v>3757</v>
      </c>
      <c r="N62231" s="0" t="s">
        <v>221</v>
      </c>
      <c r="O62231" s="0" t="s">
        <v>2993</v>
      </c>
      <c r="T62231" s="0" t="s">
        <v>17124</v>
      </c>
      <c r="U62231" s="0" t="s">
        <v>20795</v>
      </c>
      <c r="W62231" s="0" t="s">
        <v>221</v>
      </c>
      <c r="X62231" s="0" t="s">
        <v>5579</v>
      </c>
    </row>
    <row r="62233" customFormat="false" ht="12.8" hidden="false" customHeight="false" outlineLevel="0" collapsed="false">
      <c r="A62233" s="0" t="s">
        <v>20784</v>
      </c>
      <c r="B62233" s="0" t="str">
        <f aca="false">HYPERLINK("https://lindat.mff.cuni.cz/services/teitok/pdtc10/index.php?action=vallex&amp;frame=v-w8664f2", "vznášet (v-w8664f2) - substituted with v-w8664f6_ZU")</f>
        <v>vznášet (v-w8664f2) - substituted with v-w8664f6_ZU</v>
      </c>
    </row>
    <row r="62234" customFormat="false" ht="12.8" hidden="false" customHeight="false" outlineLevel="0" collapsed="false">
      <c r="B62234" s="0" t="s">
        <v>1</v>
      </c>
    </row>
    <row r="62235" customFormat="false" ht="12.8" hidden="false" customHeight="false" outlineLevel="0" collapsed="false">
      <c r="B62235" s="0" t="s">
        <v>20786</v>
      </c>
    </row>
    <row r="62236" customFormat="false" ht="12.8" hidden="false" customHeight="false" outlineLevel="0" collapsed="false">
      <c r="B62236" s="0" t="s">
        <v>20792</v>
      </c>
    </row>
    <row r="62238" customFormat="false" ht="12.8" hidden="false" customHeight="false" outlineLevel="0" collapsed="false">
      <c r="A62238" s="0" t="s">
        <v>20796</v>
      </c>
      <c r="B62238" s="0" t="str">
        <f aca="false">HYPERLINK("https://lindat.mff.cuni.cz/services/teitok/pdtc10/index.php?action=vallex&amp;frame=v-w8664hsa_569", "vznášet (v-w8664hsa_569)")</f>
        <v>vznášet (v-w8664hsa_569)</v>
      </c>
    </row>
    <row r="62239" customFormat="false" ht="12.8" hidden="false" customHeight="false" outlineLevel="0" collapsed="false">
      <c r="B62239" s="0" t="s">
        <v>1</v>
      </c>
    </row>
    <row r="62240" customFormat="false" ht="12.8" hidden="false" customHeight="false" outlineLevel="0" collapsed="false">
      <c r="B62240" s="0" t="s">
        <v>20797</v>
      </c>
    </row>
    <row r="62241" customFormat="false" ht="12.8" hidden="false" customHeight="false" outlineLevel="0" collapsed="false">
      <c r="B62241" s="0" t="s">
        <v>20798</v>
      </c>
    </row>
    <row r="62243" customFormat="false" ht="12.8" hidden="false" customHeight="false" outlineLevel="0" collapsed="false">
      <c r="A62243" s="0" t="s">
        <v>20796</v>
      </c>
      <c r="B62243" s="0" t="str">
        <f aca="false">HYPERLINK("https://lindat.mff.cuni.cz/services/teitok/pdtc10/index.php?action=vallex&amp;frame=v-w8664f1", "vznášet (v-w8664f1) - substituted with v-w8664hsa_569")</f>
        <v>vznášet (v-w8664f1) - substituted with v-w8664hsa_569</v>
      </c>
    </row>
    <row r="62244" customFormat="false" ht="12.8" hidden="false" customHeight="false" outlineLevel="0" collapsed="false">
      <c r="B62244" s="0" t="s">
        <v>1</v>
      </c>
    </row>
    <row r="62245" customFormat="false" ht="12.8" hidden="false" customHeight="false" outlineLevel="0" collapsed="false">
      <c r="B62245" s="0" t="s">
        <v>20797</v>
      </c>
    </row>
    <row r="62246" customFormat="false" ht="12.8" hidden="false" customHeight="false" outlineLevel="0" collapsed="false">
      <c r="B62246" s="0" t="s">
        <v>20798</v>
      </c>
    </row>
    <row r="62248" customFormat="false" ht="12.8" hidden="false" customHeight="false" outlineLevel="0" collapsed="false">
      <c r="A62248" s="0" t="s">
        <v>20796</v>
      </c>
      <c r="B62248" s="0" t="str">
        <f aca="false">HYPERLINK("https://lindat.mff.cuni.cz/services/teitok/pdtc10/index.php?action=vallex&amp;frame=v-w8664f3_ZU", "vznášet (v-w8664f3_ZU) - substituted with v-w8664hsa_569")</f>
        <v>vznášet (v-w8664f3_ZU) - substituted with v-w8664hsa_569</v>
      </c>
    </row>
    <row r="62249" customFormat="false" ht="12.8" hidden="false" customHeight="false" outlineLevel="0" collapsed="false">
      <c r="B62249" s="0" t="s">
        <v>1</v>
      </c>
    </row>
    <row r="62250" customFormat="false" ht="12.8" hidden="false" customHeight="false" outlineLevel="0" collapsed="false">
      <c r="B62250" s="0" t="s">
        <v>20797</v>
      </c>
    </row>
    <row r="62251" customFormat="false" ht="12.8" hidden="false" customHeight="false" outlineLevel="0" collapsed="false">
      <c r="B62251" s="0" t="s">
        <v>20798</v>
      </c>
    </row>
    <row r="62253" customFormat="false" ht="12.8" hidden="false" customHeight="false" outlineLevel="0" collapsed="false">
      <c r="A62253" s="0" t="s">
        <v>20796</v>
      </c>
      <c r="B62253" s="0" t="str">
        <f aca="false">HYPERLINK("https://lindat.mff.cuni.cz/services/teitok/pdtc10/index.php?action=vallex&amp;frame=v-w8664f4_ZU", "vznášet (v-w8664f4_ZU) - substituted with v-w8664hsa_569")</f>
        <v>vznášet (v-w8664f4_ZU) - substituted with v-w8664hsa_569</v>
      </c>
    </row>
    <row r="62254" customFormat="false" ht="12.8" hidden="false" customHeight="false" outlineLevel="0" collapsed="false">
      <c r="B62254" s="0" t="s">
        <v>1</v>
      </c>
    </row>
    <row r="62255" customFormat="false" ht="12.8" hidden="false" customHeight="false" outlineLevel="0" collapsed="false">
      <c r="B62255" s="0" t="s">
        <v>20797</v>
      </c>
    </row>
    <row r="62256" customFormat="false" ht="12.8" hidden="false" customHeight="false" outlineLevel="0" collapsed="false">
      <c r="B62256" s="0" t="s">
        <v>20798</v>
      </c>
    </row>
    <row r="62258" customFormat="false" ht="12.8" hidden="false" customHeight="false" outlineLevel="0" collapsed="false">
      <c r="A62258" s="0" t="s">
        <v>20796</v>
      </c>
      <c r="B62258" s="0" t="str">
        <f aca="false">HYPERLINK("https://lindat.mff.cuni.cz/services/teitok/pdtc10/index.php?action=vallex&amp;frame=v-w8664f5_ZU", "vznášet (v-w8664f5_ZU) - substituted with v-w8664hsa_569")</f>
        <v>vznášet (v-w8664f5_ZU) - substituted with v-w8664hsa_569</v>
      </c>
    </row>
    <row r="62259" customFormat="false" ht="12.8" hidden="false" customHeight="false" outlineLevel="0" collapsed="false">
      <c r="B62259" s="0" t="s">
        <v>1</v>
      </c>
    </row>
    <row r="62260" customFormat="false" ht="12.8" hidden="false" customHeight="false" outlineLevel="0" collapsed="false">
      <c r="B62260" s="0" t="s">
        <v>20797</v>
      </c>
    </row>
    <row r="62261" customFormat="false" ht="12.8" hidden="false" customHeight="false" outlineLevel="0" collapsed="false">
      <c r="B62261" s="0" t="s">
        <v>20798</v>
      </c>
    </row>
    <row r="62263" customFormat="false" ht="12.8" hidden="false" customHeight="false" outlineLevel="0" collapsed="false">
      <c r="A62263" s="0" t="s">
        <v>20799</v>
      </c>
      <c r="B62263" s="0" t="str">
        <f aca="false">HYPERLINK("https://lindat.mff.cuni.cz/services/teitok/pdtc10/index.php?action=vallex&amp;frame=v-w8665f1", "vznášet se (v-w8665f1)")</f>
        <v>vznášet se (v-w8665f1)</v>
      </c>
    </row>
    <row r="62264" customFormat="false" ht="12.8" hidden="false" customHeight="false" outlineLevel="0" collapsed="false">
      <c r="B62264" s="0" t="s">
        <v>1</v>
      </c>
    </row>
    <row r="62265" customFormat="false" ht="12.8" hidden="false" customHeight="false" outlineLevel="0" collapsed="false">
      <c r="B62265" s="0" t="s">
        <v>5</v>
      </c>
    </row>
    <row r="62267" customFormat="false" ht="12.8" hidden="false" customHeight="false" outlineLevel="0" collapsed="false">
      <c r="A62267" s="0" t="s">
        <v>20800</v>
      </c>
      <c r="B62267" s="0" t="str">
        <f aca="false">HYPERLINK("https://lindat.mff.cuni.cz/services/teitok/pdtc10/index.php?action=vallex&amp;frame=v-w8665f2", "vznášet se (v-w8665f2)")</f>
        <v>vznášet se (v-w8665f2)</v>
      </c>
      <c r="E62267" s="0" t="str">
        <f aca="false">HYPERLINK("https://lindat.mff.cuni.cz/services/SynSemClass40/SynSemClass40.html?veclass=vec01367#vec01367-ces-cm00004", "vec01367")</f>
        <v>vec01367</v>
      </c>
      <c r="F62267" s="0" t="s">
        <v>11180</v>
      </c>
    </row>
    <row r="62268" customFormat="false" ht="12.8" hidden="false" customHeight="false" outlineLevel="0" collapsed="false">
      <c r="B62268" s="0" t="s">
        <v>1</v>
      </c>
      <c r="E62268" s="0" t="s">
        <v>334</v>
      </c>
      <c r="F62268" s="0" t="s">
        <v>11032</v>
      </c>
    </row>
    <row r="62270" customFormat="false" ht="12.8" hidden="false" customHeight="false" outlineLevel="0" collapsed="false">
      <c r="A62270" s="0" t="s">
        <v>20801</v>
      </c>
      <c r="B62270" s="0" t="str">
        <f aca="false">HYPERLINK("https://lindat.mff.cuni.cz/services/teitok/pdtc10/index.php?action=vallex&amp;frame=v-w8666f6_ZU", "vznést (v-w8666f6_ZU)")</f>
        <v>vznést (v-w8666f6_ZU)</v>
      </c>
      <c r="E62270" s="0" t="str">
        <f aca="false">HYPERLINK("https://lindat.mff.cuni.cz/services/SynSemClass40/SynSemClass40.html?veclass=vec00230#vec00230-ces-cm00036", "vec00230")</f>
        <v>vec00230</v>
      </c>
      <c r="F62270" s="0" t="s">
        <v>4255</v>
      </c>
      <c r="H62270" s="0" t="str">
        <f aca="false">HYPERLINK("https://lindat.mff.cuni.cz/services/SynSemClass40/SynSemClass40.html?veclass=vec00272#vec00272-ces-cm00145", "vec00272")</f>
        <v>vec00272</v>
      </c>
      <c r="I62270" s="0" t="s">
        <v>1490</v>
      </c>
      <c r="K62270" s="0" t="str">
        <f aca="false">HYPERLINK("https://lindat.mff.cuni.cz/services/SynSemClass40/SynSemClass40.html?veclass=vec00347#vec00347-ces-cm00032", "vec00347")</f>
        <v>vec00347</v>
      </c>
      <c r="L62270" s="0" t="s">
        <v>3748</v>
      </c>
      <c r="N62270" s="0" t="str">
        <f aca="false">HYPERLINK("https://lindat.mff.cuni.cz/services/SynSemClass40/SynSemClass40.html?veclass=vec00384#vec00384-ces-cm00024", "vec00384")</f>
        <v>vec00384</v>
      </c>
      <c r="O62270" s="0" t="s">
        <v>2985</v>
      </c>
      <c r="Q62270" s="0" t="str">
        <f aca="false">HYPERLINK("https://lindat.mff.cuni.cz/services/SynSemClass40/SynSemClass40.html?veclass=vec00391#vec00391-ces-cm00042", "vec00391")</f>
        <v>vec00391</v>
      </c>
      <c r="R62270" s="0" t="s">
        <v>7472</v>
      </c>
      <c r="T62270" s="0" t="str">
        <f aca="false">HYPERLINK("https://lindat.mff.cuni.cz/services/SynSemClass40/SynSemClass40.html?veclass=vec00484#vec00484-ces-cm00008", "vec00484")</f>
        <v>vec00484</v>
      </c>
      <c r="U62270" s="0" t="s">
        <v>10474</v>
      </c>
      <c r="W62270" s="0" t="str">
        <f aca="false">HYPERLINK("https://lindat.mff.cuni.cz/services/SynSemClass40/SynSemClass40.html?veclass=vec00844#vec00844-ces-cm00054", "vec00844")</f>
        <v>vec00844</v>
      </c>
      <c r="X62270" s="0" t="s">
        <v>5576</v>
      </c>
    </row>
    <row r="62271" customFormat="false" ht="12.8" hidden="false" customHeight="false" outlineLevel="0" collapsed="false">
      <c r="B62271" s="0" t="s">
        <v>1</v>
      </c>
      <c r="C62271" s="0" t="s">
        <v>20785</v>
      </c>
      <c r="E62271" s="0" t="s">
        <v>3750</v>
      </c>
      <c r="F62271" s="0" t="s">
        <v>4257</v>
      </c>
      <c r="H62271" s="0" t="s">
        <v>1492</v>
      </c>
      <c r="I62271" s="0" t="s">
        <v>1493</v>
      </c>
      <c r="K62271" s="0" t="s">
        <v>3750</v>
      </c>
      <c r="L62271" s="0" t="s">
        <v>3751</v>
      </c>
      <c r="N62271" s="0" t="s">
        <v>147</v>
      </c>
      <c r="O62271" s="0" t="s">
        <v>2987</v>
      </c>
      <c r="Q62271" s="0" t="s">
        <v>621</v>
      </c>
      <c r="R62271" s="0" t="s">
        <v>7474</v>
      </c>
      <c r="T62271" s="0" t="s">
        <v>206</v>
      </c>
      <c r="U62271" s="0" t="s">
        <v>10475</v>
      </c>
      <c r="W62271" s="0" t="s">
        <v>478</v>
      </c>
      <c r="X62271" s="0" t="s">
        <v>5578</v>
      </c>
    </row>
    <row r="62272" customFormat="false" ht="12.8" hidden="false" customHeight="false" outlineLevel="0" collapsed="false">
      <c r="B62272" s="0" t="s">
        <v>20802</v>
      </c>
      <c r="C62272" s="0" t="s">
        <v>20787</v>
      </c>
      <c r="H62272" s="0" t="s">
        <v>20788</v>
      </c>
      <c r="I62272" s="0" t="s">
        <v>20789</v>
      </c>
      <c r="Q62272" s="0" t="s">
        <v>3697</v>
      </c>
      <c r="R62272" s="0" t="s">
        <v>19309</v>
      </c>
      <c r="W62272" s="0" t="s">
        <v>20790</v>
      </c>
      <c r="X62272" s="0" t="s">
        <v>20791</v>
      </c>
    </row>
    <row r="62273" customFormat="false" ht="12.8" hidden="false" customHeight="false" outlineLevel="0" collapsed="false">
      <c r="B62273" s="0" t="s">
        <v>20798</v>
      </c>
      <c r="C62273" s="0" t="s">
        <v>20793</v>
      </c>
      <c r="E62273" s="0" t="s">
        <v>3756</v>
      </c>
      <c r="F62273" s="0" t="s">
        <v>20794</v>
      </c>
      <c r="H62273" s="0" t="s">
        <v>564</v>
      </c>
      <c r="I62273" s="0" t="s">
        <v>10698</v>
      </c>
      <c r="K62273" s="0" t="s">
        <v>3756</v>
      </c>
      <c r="L62273" s="0" t="s">
        <v>3757</v>
      </c>
      <c r="N62273" s="0" t="s">
        <v>221</v>
      </c>
      <c r="O62273" s="0" t="s">
        <v>2993</v>
      </c>
      <c r="T62273" s="0" t="s">
        <v>17124</v>
      </c>
      <c r="U62273" s="0" t="s">
        <v>20795</v>
      </c>
      <c r="W62273" s="0" t="s">
        <v>221</v>
      </c>
      <c r="X62273" s="0" t="s">
        <v>5579</v>
      </c>
    </row>
    <row r="62275" customFormat="false" ht="12.8" hidden="false" customHeight="false" outlineLevel="0" collapsed="false">
      <c r="A62275" s="0" t="s">
        <v>20801</v>
      </c>
      <c r="B62275" s="0" t="str">
        <f aca="false">HYPERLINK("https://lindat.mff.cuni.cz/services/teitok/pdtc10/index.php?action=vallex&amp;frame=v-w8666f2", "vznést (v-w8666f2) - substituted with v-w8666f6_ZU")</f>
        <v>vznést (v-w8666f2) - substituted with v-w8666f6_ZU</v>
      </c>
    </row>
    <row r="62276" customFormat="false" ht="12.8" hidden="false" customHeight="false" outlineLevel="0" collapsed="false">
      <c r="B62276" s="0" t="s">
        <v>1</v>
      </c>
    </row>
    <row r="62277" customFormat="false" ht="12.8" hidden="false" customHeight="false" outlineLevel="0" collapsed="false">
      <c r="B62277" s="0" t="s">
        <v>20802</v>
      </c>
    </row>
    <row r="62278" customFormat="false" ht="12.8" hidden="false" customHeight="false" outlineLevel="0" collapsed="false">
      <c r="B62278" s="0" t="s">
        <v>20798</v>
      </c>
    </row>
    <row r="62280" customFormat="false" ht="12.8" hidden="false" customHeight="false" outlineLevel="0" collapsed="false">
      <c r="A62280" s="0" t="s">
        <v>20801</v>
      </c>
      <c r="B62280" s="0" t="str">
        <f aca="false">HYPERLINK("https://lindat.mff.cuni.cz/services/teitok/pdtc10/index.php?action=vallex&amp;frame=v-w8666f4_ZU", "vznést (v-w8666f4_ZU) - substituted with v-w8666f6_ZU")</f>
        <v>vznést (v-w8666f4_ZU) - substituted with v-w8666f6_ZU</v>
      </c>
    </row>
    <row r="62281" customFormat="false" ht="12.8" hidden="false" customHeight="false" outlineLevel="0" collapsed="false">
      <c r="B62281" s="0" t="s">
        <v>1</v>
      </c>
    </row>
    <row r="62282" customFormat="false" ht="12.8" hidden="false" customHeight="false" outlineLevel="0" collapsed="false">
      <c r="B62282" s="0" t="s">
        <v>20802</v>
      </c>
    </row>
    <row r="62283" customFormat="false" ht="12.8" hidden="false" customHeight="false" outlineLevel="0" collapsed="false">
      <c r="B62283" s="0" t="s">
        <v>20798</v>
      </c>
    </row>
    <row r="62285" customFormat="false" ht="12.8" hidden="false" customHeight="false" outlineLevel="0" collapsed="false">
      <c r="A62285" s="0" t="s">
        <v>20801</v>
      </c>
      <c r="B62285" s="0" t="str">
        <f aca="false">HYPERLINK("https://lindat.mff.cuni.cz/services/teitok/pdtc10/index.php?action=vallex&amp;frame=v-w8666f5_ZU", "vznést (v-w8666f5_ZU) - substituted with v-w8666f6_ZU")</f>
        <v>vznést (v-w8666f5_ZU) - substituted with v-w8666f6_ZU</v>
      </c>
    </row>
    <row r="62286" customFormat="false" ht="12.8" hidden="false" customHeight="false" outlineLevel="0" collapsed="false">
      <c r="B62286" s="0" t="s">
        <v>1</v>
      </c>
    </row>
    <row r="62287" customFormat="false" ht="12.8" hidden="false" customHeight="false" outlineLevel="0" collapsed="false">
      <c r="B62287" s="0" t="s">
        <v>20802</v>
      </c>
    </row>
    <row r="62288" customFormat="false" ht="12.8" hidden="false" customHeight="false" outlineLevel="0" collapsed="false">
      <c r="B62288" s="0" t="s">
        <v>20798</v>
      </c>
    </row>
    <row r="62290" customFormat="false" ht="12.8" hidden="false" customHeight="false" outlineLevel="0" collapsed="false">
      <c r="A62290" s="0" t="s">
        <v>20803</v>
      </c>
      <c r="B62290" s="0" t="str">
        <f aca="false">HYPERLINK("https://lindat.mff.cuni.cz/services/teitok/pdtc10/index.php?action=vallex&amp;frame=v-w8666f3_ZU", "vznést (v-w8666f3_ZU)")</f>
        <v>vznést (v-w8666f3_ZU)</v>
      </c>
    </row>
    <row r="62291" customFormat="false" ht="12.8" hidden="false" customHeight="false" outlineLevel="0" collapsed="false">
      <c r="B62291" s="0" t="s">
        <v>9038</v>
      </c>
    </row>
    <row r="62292" customFormat="false" ht="12.8" hidden="false" customHeight="false" outlineLevel="0" collapsed="false">
      <c r="B62292" s="0" t="s">
        <v>20804</v>
      </c>
    </row>
    <row r="62294" customFormat="false" ht="12.8" hidden="false" customHeight="false" outlineLevel="0" collapsed="false">
      <c r="A62294" s="0" t="s">
        <v>20803</v>
      </c>
      <c r="B62294" s="0" t="str">
        <f aca="false">HYPERLINK("https://lindat.mff.cuni.cz/services/teitok/pdtc10/index.php?action=vallex&amp;frame=v-w8666f1", "vznést (v-w8666f1) - substituted with v-w8666f3_ZU")</f>
        <v>vznést (v-w8666f1) - substituted with v-w8666f3_ZU</v>
      </c>
    </row>
    <row r="62295" customFormat="false" ht="12.8" hidden="false" customHeight="false" outlineLevel="0" collapsed="false">
      <c r="B62295" s="0" t="s">
        <v>9038</v>
      </c>
    </row>
    <row r="62296" customFormat="false" ht="12.8" hidden="false" customHeight="false" outlineLevel="0" collapsed="false">
      <c r="B62296" s="0" t="s">
        <v>20804</v>
      </c>
    </row>
    <row r="62298" customFormat="false" ht="12.8" hidden="false" customHeight="false" outlineLevel="0" collapsed="false">
      <c r="A62298" s="0" t="s">
        <v>20805</v>
      </c>
      <c r="B62298" s="0" t="str">
        <f aca="false">HYPERLINK("https://lindat.mff.cuni.cz/services/teitok/pdtc10/index.php?action=vallex&amp;frame=v-whsa_550f1_ZU", "vznít se (v-whsa_550f1_ZU)")</f>
        <v>vznít se (v-whsa_550f1_ZU)</v>
      </c>
    </row>
    <row r="62299" customFormat="false" ht="12.8" hidden="false" customHeight="false" outlineLevel="0" collapsed="false">
      <c r="B62299" s="0" t="s">
        <v>1</v>
      </c>
    </row>
    <row r="62300" customFormat="false" ht="12.8" hidden="false" customHeight="false" outlineLevel="0" collapsed="false">
      <c r="B62300" s="0" t="s">
        <v>763</v>
      </c>
    </row>
    <row r="62302" customFormat="false" ht="12.8" hidden="false" customHeight="false" outlineLevel="0" collapsed="false">
      <c r="A62302" s="0" t="s">
        <v>20805</v>
      </c>
      <c r="B62302" s="0" t="str">
        <f aca="false">HYPERLINK("https://lindat.mff.cuni.cz/services/teitok/pdtc10/index.php?action=vallex&amp;frame=v-whsb_550hsa_551", "vznít se (v-whsb_550hsa_551) - substituted with v-whsa_550f1_ZU")</f>
        <v>vznít se (v-whsb_550hsa_551) - substituted with v-whsa_550f1_ZU</v>
      </c>
    </row>
    <row r="62303" customFormat="false" ht="12.8" hidden="false" customHeight="false" outlineLevel="0" collapsed="false">
      <c r="B62303" s="0" t="s">
        <v>1</v>
      </c>
    </row>
    <row r="62304" customFormat="false" ht="12.8" hidden="false" customHeight="false" outlineLevel="0" collapsed="false">
      <c r="B62304" s="0" t="s">
        <v>763</v>
      </c>
    </row>
    <row r="62306" customFormat="false" ht="12.8" hidden="false" customHeight="false" outlineLevel="0" collapsed="false">
      <c r="A62306" s="0" t="s">
        <v>20806</v>
      </c>
      <c r="B62306" s="0" t="str">
        <f aca="false">HYPERLINK("https://lindat.mff.cuni.cz/services/teitok/pdtc10/index.php?action=vallex&amp;frame=v-w8672f1", "vznítit se (v-w8672f1)")</f>
        <v>vznítit se (v-w8672f1)</v>
      </c>
      <c r="E62306" s="0" t="str">
        <f aca="false">HYPERLINK("https://lindat.mff.cuni.cz/services/SynSemClass40/SynSemClass40.html?veclass=vec01517#vec01517-ces-cm00020", "vec01517")</f>
        <v>vec01517</v>
      </c>
      <c r="F62306" s="0" t="s">
        <v>1589</v>
      </c>
    </row>
    <row r="62307" customFormat="false" ht="12.8" hidden="false" customHeight="false" outlineLevel="0" collapsed="false">
      <c r="B62307" s="0" t="s">
        <v>1</v>
      </c>
      <c r="E62307" s="0" t="s">
        <v>1590</v>
      </c>
      <c r="F62307" s="0" t="s">
        <v>1591</v>
      </c>
    </row>
    <row r="62308" customFormat="false" ht="12.8" hidden="false" customHeight="false" outlineLevel="0" collapsed="false">
      <c r="B62308" s="0" t="s">
        <v>763</v>
      </c>
      <c r="E62308" s="0" t="s">
        <v>1592</v>
      </c>
      <c r="F62308" s="0" t="s">
        <v>1593</v>
      </c>
    </row>
    <row r="62310" customFormat="false" ht="12.8" hidden="false" customHeight="false" outlineLevel="0" collapsed="false">
      <c r="A62310" s="0" t="s">
        <v>20807</v>
      </c>
      <c r="B62310" s="0" t="str">
        <f aca="false">HYPERLINK("https://lindat.mff.cuni.cz/services/teitok/pdtc10/index.php?action=vallex&amp;frame=v-w8674f1", "vzpamatovat se (v-w8674f1)")</f>
        <v>vzpamatovat se (v-w8674f1)</v>
      </c>
      <c r="E62310" s="0" t="str">
        <f aca="false">HYPERLINK("https://lindat.mff.cuni.cz/services/SynSemClass40/SynSemClass40.html?veclass=vec00390#vec00390-ces-cm00006", "vec00390")</f>
        <v>vec00390</v>
      </c>
      <c r="F62310" s="0" t="s">
        <v>1595</v>
      </c>
    </row>
    <row r="62311" customFormat="false" ht="12.8" hidden="false" customHeight="false" outlineLevel="0" collapsed="false">
      <c r="B62311" s="0" t="s">
        <v>1</v>
      </c>
      <c r="C62311" s="0" t="s">
        <v>1596</v>
      </c>
      <c r="E62311" s="0" t="s">
        <v>1597</v>
      </c>
      <c r="F62311" s="0" t="s">
        <v>1598</v>
      </c>
    </row>
    <row r="62312" customFormat="false" ht="12.8" hidden="false" customHeight="false" outlineLevel="0" collapsed="false">
      <c r="B62312" s="0" t="s">
        <v>763</v>
      </c>
      <c r="E62312" s="0" t="s">
        <v>2885</v>
      </c>
      <c r="F62312" s="0" t="s">
        <v>2886</v>
      </c>
    </row>
    <row r="62314" customFormat="false" ht="12.8" hidden="false" customHeight="false" outlineLevel="0" collapsed="false">
      <c r="A62314" s="0" t="s">
        <v>20808</v>
      </c>
      <c r="B62314" s="0" t="str">
        <f aca="false">HYPERLINK("https://lindat.mff.cuni.cz/services/teitok/pdtc10/index.php?action=vallex&amp;frame=v-w8675f1", "vzpamatovávat se (v-w8675f1)")</f>
        <v>vzpamatovávat se (v-w8675f1)</v>
      </c>
      <c r="E62314" s="0" t="str">
        <f aca="false">HYPERLINK("https://lindat.mff.cuni.cz/services/SynSemClass40/SynSemClass40.html?veclass=vec00390#vec00390-ces-cm00007", "vec00390")</f>
        <v>vec00390</v>
      </c>
      <c r="F62314" s="0" t="s">
        <v>1595</v>
      </c>
    </row>
    <row r="62315" customFormat="false" ht="12.8" hidden="false" customHeight="false" outlineLevel="0" collapsed="false">
      <c r="B62315" s="0" t="s">
        <v>1</v>
      </c>
      <c r="C62315" s="0" t="s">
        <v>1596</v>
      </c>
      <c r="E62315" s="0" t="s">
        <v>1597</v>
      </c>
      <c r="F62315" s="0" t="s">
        <v>1598</v>
      </c>
    </row>
    <row r="62316" customFormat="false" ht="12.8" hidden="false" customHeight="false" outlineLevel="0" collapsed="false">
      <c r="B62316" s="0" t="s">
        <v>763</v>
      </c>
      <c r="E62316" s="0" t="s">
        <v>2885</v>
      </c>
      <c r="F62316" s="0" t="s">
        <v>2886</v>
      </c>
    </row>
    <row r="62318" customFormat="false" ht="12.8" hidden="false" customHeight="false" outlineLevel="0" collapsed="false">
      <c r="A62318" s="0" t="s">
        <v>20809</v>
      </c>
      <c r="B62318" s="0" t="str">
        <f aca="false">HYPERLINK("https://lindat.mff.cuni.cz/services/teitok/pdtc10/index.php?action=vallex&amp;frame=v-w8678f3", "vzplanout (v-w8678f3)")</f>
        <v>vzplanout (v-w8678f3)</v>
      </c>
    </row>
    <row r="62319" customFormat="false" ht="12.8" hidden="false" customHeight="false" outlineLevel="0" collapsed="false">
      <c r="B62319" s="0" t="s">
        <v>1</v>
      </c>
    </row>
    <row r="62320" customFormat="false" ht="12.8" hidden="false" customHeight="false" outlineLevel="0" collapsed="false">
      <c r="B62320" s="0" t="s">
        <v>2119</v>
      </c>
    </row>
    <row r="62322" customFormat="false" ht="12.8" hidden="false" customHeight="false" outlineLevel="0" collapsed="false">
      <c r="A62322" s="0" t="s">
        <v>20810</v>
      </c>
      <c r="B62322" s="0" t="str">
        <f aca="false">HYPERLINK("https://lindat.mff.cuni.cz/services/teitok/pdtc10/index.php?action=vallex&amp;frame=v-w8678f1", "vzplanout (v-w8678f1)")</f>
        <v>vzplanout (v-w8678f1)</v>
      </c>
      <c r="E62322" s="0" t="str">
        <f aca="false">HYPERLINK("https://lindat.mff.cuni.cz/services/SynSemClass40/SynSemClass40.html?veclass=vec01517#vec01517-ces-cm00021", "vec01517")</f>
        <v>vec01517</v>
      </c>
      <c r="F62322" s="0" t="s">
        <v>1589</v>
      </c>
    </row>
    <row r="62323" customFormat="false" ht="12.8" hidden="false" customHeight="false" outlineLevel="0" collapsed="false">
      <c r="B62323" s="0" t="s">
        <v>1</v>
      </c>
      <c r="E62323" s="0" t="s">
        <v>1590</v>
      </c>
      <c r="F62323" s="0" t="s">
        <v>1591</v>
      </c>
    </row>
    <row r="62324" customFormat="false" ht="12.8" hidden="false" customHeight="false" outlineLevel="0" collapsed="false">
      <c r="B62324" s="0" t="s">
        <v>763</v>
      </c>
      <c r="E62324" s="0" t="s">
        <v>1592</v>
      </c>
      <c r="F62324" s="0" t="s">
        <v>1593</v>
      </c>
    </row>
    <row r="62326" customFormat="false" ht="12.8" hidden="false" customHeight="false" outlineLevel="0" collapsed="false">
      <c r="A62326" s="0" t="s">
        <v>20811</v>
      </c>
      <c r="B62326" s="0" t="str">
        <f aca="false">HYPERLINK("https://lindat.mff.cuni.cz/services/teitok/pdtc10/index.php?action=vallex&amp;frame=v-w8678f4_ZU", "vzplanout (v-w8678f4_ZU)")</f>
        <v>vzplanout (v-w8678f4_ZU)</v>
      </c>
    </row>
    <row r="62327" customFormat="false" ht="12.8" hidden="false" customHeight="false" outlineLevel="0" collapsed="false">
      <c r="B62327" s="0" t="s">
        <v>1</v>
      </c>
    </row>
    <row r="62328" customFormat="false" ht="12.8" hidden="false" customHeight="false" outlineLevel="0" collapsed="false">
      <c r="B62328" s="0" t="s">
        <v>763</v>
      </c>
    </row>
    <row r="62330" customFormat="false" ht="12.8" hidden="false" customHeight="false" outlineLevel="0" collapsed="false">
      <c r="A62330" s="0" t="s">
        <v>20812</v>
      </c>
      <c r="B62330" s="0" t="str">
        <f aca="false">HYPERLINK("https://lindat.mff.cuni.cz/services/teitok/pdtc10/index.php?action=vallex&amp;frame=v-w8678f2", "vzplanout (v-w8678f2)")</f>
        <v>vzplanout (v-w8678f2)</v>
      </c>
    </row>
    <row r="62331" customFormat="false" ht="12.8" hidden="false" customHeight="false" outlineLevel="0" collapsed="false">
      <c r="B62331" s="0" t="s">
        <v>1</v>
      </c>
    </row>
    <row r="62332" customFormat="false" ht="12.8" hidden="false" customHeight="false" outlineLevel="0" collapsed="false">
      <c r="B62332" s="0" t="s">
        <v>20813</v>
      </c>
    </row>
    <row r="62334" customFormat="false" ht="12.8" hidden="false" customHeight="false" outlineLevel="0" collapsed="false">
      <c r="A62334" s="0" t="s">
        <v>20814</v>
      </c>
      <c r="B62334" s="0" t="str">
        <f aca="false">HYPERLINK("https://lindat.mff.cuni.cz/services/teitok/pdtc10/index.php?action=vallex&amp;frame=v-w8680f1", "vzpomenout (v-w8680f1)")</f>
        <v>vzpomenout (v-w8680f1)</v>
      </c>
      <c r="E62334" s="0" t="str">
        <f aca="false">HYPERLINK("https://lindat.mff.cuni.cz/services/SynSemClass40/SynSemClass40.html?veclass=vec00364#vec00364-ces-cm00012", "vec00364")</f>
        <v>vec00364</v>
      </c>
      <c r="F62334" s="0" t="s">
        <v>10421</v>
      </c>
    </row>
    <row r="62335" customFormat="false" ht="12.8" hidden="false" customHeight="false" outlineLevel="0" collapsed="false">
      <c r="B62335" s="0" t="s">
        <v>1</v>
      </c>
      <c r="C62335" s="0" t="s">
        <v>5883</v>
      </c>
      <c r="E62335" s="0" t="s">
        <v>621</v>
      </c>
      <c r="F62335" s="0" t="s">
        <v>10422</v>
      </c>
    </row>
    <row r="62336" customFormat="false" ht="12.8" hidden="false" customHeight="false" outlineLevel="0" collapsed="false">
      <c r="B62336" s="0" t="s">
        <v>20815</v>
      </c>
      <c r="C62336" s="0" t="s">
        <v>10423</v>
      </c>
      <c r="E62336" s="0" t="s">
        <v>180</v>
      </c>
      <c r="F62336" s="0" t="s">
        <v>10424</v>
      </c>
    </row>
    <row r="62338" customFormat="false" ht="12.8" hidden="false" customHeight="false" outlineLevel="0" collapsed="false">
      <c r="A62338" s="0" t="s">
        <v>20816</v>
      </c>
      <c r="B62338" s="0" t="str">
        <f aca="false">HYPERLINK("https://lindat.mff.cuni.cz/services/teitok/pdtc10/index.php?action=vallex&amp;frame=v-w8681f2_ZU", "vzpomenout si (v-w8681f2_ZU)")</f>
        <v>vzpomenout si (v-w8681f2_ZU)</v>
      </c>
    </row>
    <row r="62339" customFormat="false" ht="12.8" hidden="false" customHeight="false" outlineLevel="0" collapsed="false">
      <c r="B62339" s="0" t="s">
        <v>1</v>
      </c>
    </row>
    <row r="62340" customFormat="false" ht="12.8" hidden="false" customHeight="false" outlineLevel="0" collapsed="false">
      <c r="B62340" s="0" t="s">
        <v>20817</v>
      </c>
    </row>
    <row r="62342" customFormat="false" ht="12.8" hidden="false" customHeight="false" outlineLevel="0" collapsed="false">
      <c r="A62342" s="0" t="s">
        <v>20816</v>
      </c>
      <c r="B62342" s="0" t="str">
        <f aca="false">HYPERLINK("https://lindat.mff.cuni.cz/services/teitok/pdtc10/index.php?action=vallex&amp;frame=v-w8681f1", "vzpomenout si (v-w8681f1) - substituted with v-w8681f2_ZU")</f>
        <v>vzpomenout si (v-w8681f1) - substituted with v-w8681f2_ZU</v>
      </c>
      <c r="E62342" s="0" t="str">
        <f aca="false">HYPERLINK("https://lindat.mff.cuni.cz/services/SynSemClass40/SynSemClass40.html?veclass=vec00364#vec00364-ces-cm00013", "vec00364")</f>
        <v>vec00364</v>
      </c>
      <c r="F62342" s="0" t="s">
        <v>10421</v>
      </c>
    </row>
    <row r="62343" customFormat="false" ht="12.8" hidden="false" customHeight="false" outlineLevel="0" collapsed="false">
      <c r="B62343" s="0" t="s">
        <v>1</v>
      </c>
      <c r="C62343" s="0" t="s">
        <v>5883</v>
      </c>
      <c r="E62343" s="0" t="s">
        <v>621</v>
      </c>
      <c r="F62343" s="0" t="s">
        <v>10422</v>
      </c>
    </row>
    <row r="62344" customFormat="false" ht="12.8" hidden="false" customHeight="false" outlineLevel="0" collapsed="false">
      <c r="B62344" s="0" t="s">
        <v>20817</v>
      </c>
      <c r="C62344" s="0" t="s">
        <v>10423</v>
      </c>
      <c r="E62344" s="0" t="s">
        <v>180</v>
      </c>
      <c r="F62344" s="0" t="s">
        <v>10424</v>
      </c>
    </row>
    <row r="62346" customFormat="false" ht="12.8" hidden="false" customHeight="false" outlineLevel="0" collapsed="false">
      <c r="A62346" s="0" t="s">
        <v>20816</v>
      </c>
      <c r="B62346" s="0" t="str">
        <f aca="false">HYPERLINK("https://lindat.mff.cuni.cz/services/teitok/pdtc10/index.php?action=vallex&amp;frame=v-w8681hsa_1551", "vzpomenout si (v-w8681hsa_1551) - substituted with v-w8681f2_ZU")</f>
        <v>vzpomenout si (v-w8681hsa_1551) - substituted with v-w8681f2_ZU</v>
      </c>
    </row>
    <row r="62347" customFormat="false" ht="12.8" hidden="false" customHeight="false" outlineLevel="0" collapsed="false">
      <c r="B62347" s="0" t="s">
        <v>1</v>
      </c>
    </row>
    <row r="62348" customFormat="false" ht="12.8" hidden="false" customHeight="false" outlineLevel="0" collapsed="false">
      <c r="B62348" s="0" t="s">
        <v>20817</v>
      </c>
    </row>
    <row r="62350" customFormat="false" ht="12.8" hidden="false" customHeight="false" outlineLevel="0" collapsed="false">
      <c r="A62350" s="0" t="s">
        <v>20818</v>
      </c>
      <c r="B62350" s="0" t="str">
        <f aca="false">HYPERLINK("https://lindat.mff.cuni.cz/services/teitok/pdtc10/index.php?action=vallex&amp;frame=v-w8682f5_ZU", "vzpomínat (v-w8682f5_ZU)")</f>
        <v>vzpomínat (v-w8682f5_ZU)</v>
      </c>
    </row>
    <row r="62351" customFormat="false" ht="12.8" hidden="false" customHeight="false" outlineLevel="0" collapsed="false">
      <c r="B62351" s="0" t="s">
        <v>1</v>
      </c>
    </row>
    <row r="62352" customFormat="false" ht="12.8" hidden="false" customHeight="false" outlineLevel="0" collapsed="false">
      <c r="B62352" s="0" t="s">
        <v>20819</v>
      </c>
    </row>
    <row r="62354" customFormat="false" ht="12.8" hidden="false" customHeight="false" outlineLevel="0" collapsed="false">
      <c r="A62354" s="0" t="s">
        <v>20818</v>
      </c>
      <c r="B62354" s="0" t="str">
        <f aca="false">HYPERLINK("https://lindat.mff.cuni.cz/services/teitok/pdtc10/index.php?action=vallex&amp;frame=v-w8682f1", "vzpomínat (v-w8682f1) - substituted with v-w8682f5_ZU")</f>
        <v>vzpomínat (v-w8682f1) - substituted with v-w8682f5_ZU</v>
      </c>
      <c r="E62354" s="0" t="str">
        <f aca="false">HYPERLINK("https://lindat.mff.cuni.cz/services/SynSemClass40/SynSemClass40.html?veclass=vec00364#vec00364-ces-cm00001", "vec00364")</f>
        <v>vec00364</v>
      </c>
      <c r="F62354" s="0" t="s">
        <v>10421</v>
      </c>
    </row>
    <row r="62355" customFormat="false" ht="12.8" hidden="false" customHeight="false" outlineLevel="0" collapsed="false">
      <c r="B62355" s="0" t="s">
        <v>1</v>
      </c>
      <c r="C62355" s="0" t="s">
        <v>5883</v>
      </c>
      <c r="E62355" s="0" t="s">
        <v>621</v>
      </c>
      <c r="F62355" s="0" t="s">
        <v>10422</v>
      </c>
    </row>
    <row r="62356" customFormat="false" ht="12.8" hidden="false" customHeight="false" outlineLevel="0" collapsed="false">
      <c r="B62356" s="0" t="s">
        <v>20819</v>
      </c>
      <c r="C62356" s="0" t="s">
        <v>10423</v>
      </c>
      <c r="E62356" s="0" t="s">
        <v>180</v>
      </c>
      <c r="F62356" s="0" t="s">
        <v>10424</v>
      </c>
    </row>
    <row r="62358" customFormat="false" ht="12.8" hidden="false" customHeight="false" outlineLevel="0" collapsed="false">
      <c r="A62358" s="0" t="s">
        <v>20818</v>
      </c>
      <c r="B62358" s="0" t="str">
        <f aca="false">HYPERLINK("https://lindat.mff.cuni.cz/services/teitok/pdtc10/index.php?action=vallex&amp;frame=v-w8682f2_ZU", "vzpomínat (v-w8682f2_ZU) - substituted with v-w8682f5_ZU")</f>
        <v>vzpomínat (v-w8682f2_ZU) - substituted with v-w8682f5_ZU</v>
      </c>
    </row>
    <row r="62359" customFormat="false" ht="12.8" hidden="false" customHeight="false" outlineLevel="0" collapsed="false">
      <c r="B62359" s="0" t="s">
        <v>1</v>
      </c>
    </row>
    <row r="62360" customFormat="false" ht="12.8" hidden="false" customHeight="false" outlineLevel="0" collapsed="false">
      <c r="B62360" s="0" t="s">
        <v>20819</v>
      </c>
    </row>
    <row r="62362" customFormat="false" ht="12.8" hidden="false" customHeight="false" outlineLevel="0" collapsed="false">
      <c r="A62362" s="0" t="s">
        <v>20818</v>
      </c>
      <c r="B62362" s="0" t="str">
        <f aca="false">HYPERLINK("https://lindat.mff.cuni.cz/services/teitok/pdtc10/index.php?action=vallex&amp;frame=v-w8682f3_ZU", "vzpomínat (v-w8682f3_ZU) - substituted with v-w8682f5_ZU")</f>
        <v>vzpomínat (v-w8682f3_ZU) - substituted with v-w8682f5_ZU</v>
      </c>
    </row>
    <row r="62363" customFormat="false" ht="12.8" hidden="false" customHeight="false" outlineLevel="0" collapsed="false">
      <c r="B62363" s="0" t="s">
        <v>1</v>
      </c>
    </row>
    <row r="62364" customFormat="false" ht="12.8" hidden="false" customHeight="false" outlineLevel="0" collapsed="false">
      <c r="B62364" s="0" t="s">
        <v>20819</v>
      </c>
    </row>
    <row r="62366" customFormat="false" ht="12.8" hidden="false" customHeight="false" outlineLevel="0" collapsed="false">
      <c r="A62366" s="0" t="s">
        <v>20818</v>
      </c>
      <c r="B62366" s="0" t="str">
        <f aca="false">HYPERLINK("https://lindat.mff.cuni.cz/services/teitok/pdtc10/index.php?action=vallex&amp;frame=v-w8682f4_ZU", "vzpomínat (v-w8682f4_ZU) - substituted with v-w8682f5_ZU")</f>
        <v>vzpomínat (v-w8682f4_ZU) - substituted with v-w8682f5_ZU</v>
      </c>
    </row>
    <row r="62367" customFormat="false" ht="12.8" hidden="false" customHeight="false" outlineLevel="0" collapsed="false">
      <c r="B62367" s="0" t="s">
        <v>1</v>
      </c>
    </row>
    <row r="62368" customFormat="false" ht="12.8" hidden="false" customHeight="false" outlineLevel="0" collapsed="false">
      <c r="B62368" s="0" t="s">
        <v>20819</v>
      </c>
    </row>
    <row r="62370" customFormat="false" ht="12.8" hidden="false" customHeight="false" outlineLevel="0" collapsed="false">
      <c r="A62370" s="0" t="s">
        <v>20820</v>
      </c>
      <c r="B62370" s="0" t="str">
        <f aca="false">HYPERLINK("https://lindat.mff.cuni.cz/services/teitok/pdtc10/index.php?action=vallex&amp;frame=v-w8683f3_MM", "vzpomínat si (v-w8683f3_MM)")</f>
        <v>vzpomínat si (v-w8683f3_MM)</v>
      </c>
    </row>
    <row r="62371" customFormat="false" ht="12.8" hidden="false" customHeight="false" outlineLevel="0" collapsed="false">
      <c r="B62371" s="0" t="s">
        <v>1</v>
      </c>
    </row>
    <row r="62372" customFormat="false" ht="12.8" hidden="false" customHeight="false" outlineLevel="0" collapsed="false">
      <c r="B62372" s="0" t="s">
        <v>20821</v>
      </c>
    </row>
    <row r="62374" customFormat="false" ht="12.8" hidden="false" customHeight="false" outlineLevel="0" collapsed="false">
      <c r="A62374" s="0" t="s">
        <v>20820</v>
      </c>
      <c r="B62374" s="0" t="str">
        <f aca="false">HYPERLINK("https://lindat.mff.cuni.cz/services/teitok/pdtc10/index.php?action=vallex&amp;frame=v-w8683f1", "vzpomínat si (v-w8683f1) - substituted with v-w8683f3_MM")</f>
        <v>vzpomínat si (v-w8683f1) - substituted with v-w8683f3_MM</v>
      </c>
    </row>
    <row r="62375" customFormat="false" ht="12.8" hidden="false" customHeight="false" outlineLevel="0" collapsed="false">
      <c r="B62375" s="0" t="s">
        <v>1</v>
      </c>
    </row>
    <row r="62376" customFormat="false" ht="12.8" hidden="false" customHeight="false" outlineLevel="0" collapsed="false">
      <c r="B62376" s="0" t="s">
        <v>20821</v>
      </c>
    </row>
    <row r="62378" customFormat="false" ht="12.8" hidden="false" customHeight="false" outlineLevel="0" collapsed="false">
      <c r="A62378" s="0" t="s">
        <v>20820</v>
      </c>
      <c r="B62378" s="0" t="str">
        <f aca="false">HYPERLINK("https://lindat.mff.cuni.cz/services/teitok/pdtc10/index.php?action=vallex&amp;frame=v-w8683f2_ZU", "vzpomínat si (v-w8683f2_ZU) - substituted with v-w8683f3_MM")</f>
        <v>vzpomínat si (v-w8683f2_ZU) - substituted with v-w8683f3_MM</v>
      </c>
      <c r="E62378" s="0" t="str">
        <f aca="false">HYPERLINK("https://lindat.mff.cuni.cz/services/SynSemClass40/SynSemClass40.html?veclass=vec00364#vec00364-ces-cm00014", "vec00364")</f>
        <v>vec00364</v>
      </c>
      <c r="F62378" s="0" t="s">
        <v>10421</v>
      </c>
    </row>
    <row r="62379" customFormat="false" ht="12.8" hidden="false" customHeight="false" outlineLevel="0" collapsed="false">
      <c r="B62379" s="0" t="s">
        <v>1</v>
      </c>
      <c r="C62379" s="0" t="s">
        <v>5883</v>
      </c>
      <c r="E62379" s="0" t="s">
        <v>621</v>
      </c>
      <c r="F62379" s="0" t="s">
        <v>10422</v>
      </c>
    </row>
    <row r="62380" customFormat="false" ht="12.8" hidden="false" customHeight="false" outlineLevel="0" collapsed="false">
      <c r="B62380" s="0" t="s">
        <v>20821</v>
      </c>
      <c r="C62380" s="0" t="s">
        <v>10423</v>
      </c>
      <c r="E62380" s="0" t="s">
        <v>180</v>
      </c>
      <c r="F62380" s="0" t="s">
        <v>10424</v>
      </c>
    </row>
    <row r="62382" customFormat="false" ht="12.8" hidden="false" customHeight="false" outlineLevel="0" collapsed="false">
      <c r="A62382" s="0" t="s">
        <v>20822</v>
      </c>
      <c r="B62382" s="0" t="str">
        <f aca="false">HYPERLINK("https://lindat.mff.cuni.cz/services/teitok/pdtc10/index.php?action=vallex&amp;frame=v-w10246f2", "vzpružit (v-w10246f2)")</f>
        <v>vzpružit (v-w10246f2)</v>
      </c>
    </row>
    <row r="62383" customFormat="false" ht="12.8" hidden="false" customHeight="false" outlineLevel="0" collapsed="false">
      <c r="B62383" s="0" t="s">
        <v>1</v>
      </c>
    </row>
    <row r="62384" customFormat="false" ht="12.8" hidden="false" customHeight="false" outlineLevel="0" collapsed="false">
      <c r="B62384" s="0" t="s">
        <v>8</v>
      </c>
    </row>
    <row r="62386" customFormat="false" ht="12.8" hidden="false" customHeight="false" outlineLevel="0" collapsed="false">
      <c r="A62386" s="0" t="s">
        <v>20823</v>
      </c>
      <c r="B62386" s="0" t="str">
        <f aca="false">HYPERLINK("https://lindat.mff.cuni.cz/services/teitok/pdtc10/index.php?action=vallex&amp;frame=v-w8676f1", "vzpínat se (v-w8676f1)")</f>
        <v>vzpínat se (v-w8676f1)</v>
      </c>
      <c r="E62386" s="0" t="str">
        <f aca="false">HYPERLINK("https://lindat.mff.cuni.cz/services/SynSemClass40/SynSemClass40.html?veclass=vec01336#vec01336-ces-cm00003", "vec01336")</f>
        <v>vec01336</v>
      </c>
      <c r="F62386" s="0" t="s">
        <v>5288</v>
      </c>
    </row>
    <row r="62387" customFormat="false" ht="12.8" hidden="false" customHeight="false" outlineLevel="0" collapsed="false">
      <c r="B62387" s="0" t="s">
        <v>1</v>
      </c>
      <c r="C62387" s="0" t="s">
        <v>4695</v>
      </c>
      <c r="E62387" s="0" t="s">
        <v>957</v>
      </c>
      <c r="F62387" s="0" t="s">
        <v>5289</v>
      </c>
    </row>
    <row r="62389" customFormat="false" ht="12.8" hidden="false" customHeight="false" outlineLevel="0" collapsed="false">
      <c r="A62389" s="0" t="s">
        <v>20824</v>
      </c>
      <c r="B62389" s="0" t="str">
        <f aca="false">HYPERLINK("https://lindat.mff.cuni.cz/services/teitok/pdtc10/index.php?action=vallex&amp;frame=v-w8677f1", "vzpírat se (v-w8677f1)")</f>
        <v>vzpírat se (v-w8677f1)</v>
      </c>
      <c r="E62389" s="0" t="str">
        <f aca="false">HYPERLINK("https://lindat.mff.cuni.cz/services/SynSemClass40/SynSemClass40.html?veclass=vec00019#vec00019-ces-cm00022", "vec00019")</f>
        <v>vec00019</v>
      </c>
      <c r="F62389" s="0" t="s">
        <v>2250</v>
      </c>
    </row>
    <row r="62390" customFormat="false" ht="12.8" hidden="false" customHeight="false" outlineLevel="0" collapsed="false">
      <c r="B62390" s="0" t="s">
        <v>1</v>
      </c>
      <c r="C62390" s="0" t="s">
        <v>239</v>
      </c>
      <c r="E62390" s="0" t="s">
        <v>2251</v>
      </c>
      <c r="F62390" s="0" t="s">
        <v>2252</v>
      </c>
    </row>
    <row r="62391" customFormat="false" ht="12.8" hidden="false" customHeight="false" outlineLevel="0" collapsed="false">
      <c r="B62391" s="0" t="s">
        <v>186</v>
      </c>
      <c r="C62391" s="0" t="s">
        <v>2254</v>
      </c>
      <c r="E62391" s="0" t="s">
        <v>230</v>
      </c>
      <c r="F62391" s="0" t="s">
        <v>2255</v>
      </c>
    </row>
    <row r="62393" customFormat="false" ht="12.8" hidden="false" customHeight="false" outlineLevel="0" collapsed="false">
      <c r="A62393" s="0" t="s">
        <v>20825</v>
      </c>
      <c r="B62393" s="0" t="str">
        <f aca="false">HYPERLINK("https://lindat.mff.cuni.cz/services/teitok/pdtc10/index.php?action=vallex&amp;frame=v-w8690f1", "vzrušit (v-w8690f1)")</f>
        <v>vzrušit (v-w8690f1)</v>
      </c>
    </row>
    <row r="62394" customFormat="false" ht="12.8" hidden="false" customHeight="false" outlineLevel="0" collapsed="false">
      <c r="B62394" s="0" t="s">
        <v>843</v>
      </c>
    </row>
    <row r="62395" customFormat="false" ht="12.8" hidden="false" customHeight="false" outlineLevel="0" collapsed="false">
      <c r="B62395" s="0" t="s">
        <v>8</v>
      </c>
    </row>
    <row r="62397" customFormat="false" ht="12.8" hidden="false" customHeight="false" outlineLevel="0" collapsed="false">
      <c r="A62397" s="0" t="s">
        <v>20826</v>
      </c>
      <c r="B62397" s="0" t="str">
        <f aca="false">HYPERLINK("https://lindat.mff.cuni.cz/services/teitok/pdtc10/index.php?action=vallex&amp;frame=v-w8691f1", "vzrušovat (v-w8691f1)")</f>
        <v>vzrušovat (v-w8691f1)</v>
      </c>
    </row>
    <row r="62398" customFormat="false" ht="12.8" hidden="false" customHeight="false" outlineLevel="0" collapsed="false">
      <c r="B62398" s="0" t="s">
        <v>843</v>
      </c>
    </row>
    <row r="62399" customFormat="false" ht="12.8" hidden="false" customHeight="false" outlineLevel="0" collapsed="false">
      <c r="B62399" s="0" t="s">
        <v>8</v>
      </c>
    </row>
    <row r="62401" customFormat="false" ht="12.8" hidden="false" customHeight="false" outlineLevel="0" collapsed="false">
      <c r="A62401" s="0" t="s">
        <v>20827</v>
      </c>
      <c r="B62401" s="0" t="str">
        <f aca="false">HYPERLINK("https://lindat.mff.cuni.cz/services/teitok/pdtc10/index.php?action=vallex&amp;frame=v-w8687f1", "vzrůst (v-w8687f1)")</f>
        <v>vzrůst (v-w8687f1)</v>
      </c>
      <c r="E62401" s="0" t="str">
        <f aca="false">HYPERLINK("https://lindat.mff.cuni.cz/services/SynSemClass40/SynSemClass40.html?veclass=vec00109#vec00109-ces-cm00054", "vec00109")</f>
        <v>vec00109</v>
      </c>
      <c r="F62401" s="0" t="s">
        <v>5143</v>
      </c>
    </row>
    <row r="62402" customFormat="false" ht="12.8" hidden="false" customHeight="false" outlineLevel="0" collapsed="false">
      <c r="B62402" s="0" t="s">
        <v>1</v>
      </c>
      <c r="C62402" s="0" t="s">
        <v>7017</v>
      </c>
      <c r="E62402" s="0" t="s">
        <v>235</v>
      </c>
      <c r="F62402" s="0" t="s">
        <v>5146</v>
      </c>
    </row>
    <row r="62403" customFormat="false" ht="12.8" hidden="false" customHeight="false" outlineLevel="0" collapsed="false">
      <c r="B62403" s="0" t="s">
        <v>69</v>
      </c>
      <c r="C62403" s="0" t="s">
        <v>5148</v>
      </c>
      <c r="E62403" s="0" t="s">
        <v>5149</v>
      </c>
      <c r="F62403" s="0" t="s">
        <v>5150</v>
      </c>
    </row>
    <row r="62404" customFormat="false" ht="12.8" hidden="false" customHeight="false" outlineLevel="0" collapsed="false">
      <c r="B62404" s="0" t="s">
        <v>36</v>
      </c>
      <c r="C62404" s="0" t="s">
        <v>5151</v>
      </c>
      <c r="E62404" s="0" t="s">
        <v>5152</v>
      </c>
      <c r="F62404" s="0" t="s">
        <v>5153</v>
      </c>
    </row>
    <row r="62406" customFormat="false" ht="12.8" hidden="false" customHeight="false" outlineLevel="0" collapsed="false">
      <c r="A62406" s="0" t="s">
        <v>20828</v>
      </c>
      <c r="B62406" s="0" t="str">
        <f aca="false">HYPERLINK("https://lindat.mff.cuni.cz/services/teitok/pdtc10/index.php?action=vallex&amp;frame=v-w8689f1", "vzrůstat (v-w8689f1)")</f>
        <v>vzrůstat (v-w8689f1)</v>
      </c>
      <c r="E62406" s="0" t="str">
        <f aca="false">HYPERLINK("https://lindat.mff.cuni.cz/services/SynSemClass40/SynSemClass40.html?veclass=vec00109#vec00109-ces-cm00055", "vec00109")</f>
        <v>vec00109</v>
      </c>
      <c r="F62406" s="0" t="s">
        <v>5143</v>
      </c>
    </row>
    <row r="62407" customFormat="false" ht="12.8" hidden="false" customHeight="false" outlineLevel="0" collapsed="false">
      <c r="B62407" s="0" t="s">
        <v>1</v>
      </c>
      <c r="C62407" s="0" t="s">
        <v>7017</v>
      </c>
      <c r="E62407" s="0" t="s">
        <v>235</v>
      </c>
      <c r="F62407" s="0" t="s">
        <v>5146</v>
      </c>
    </row>
    <row r="62408" customFormat="false" ht="12.8" hidden="false" customHeight="false" outlineLevel="0" collapsed="false">
      <c r="B62408" s="0" t="s">
        <v>69</v>
      </c>
      <c r="C62408" s="0" t="s">
        <v>5148</v>
      </c>
      <c r="E62408" s="0" t="s">
        <v>5149</v>
      </c>
      <c r="F62408" s="0" t="s">
        <v>5150</v>
      </c>
    </row>
    <row r="62409" customFormat="false" ht="12.8" hidden="false" customHeight="false" outlineLevel="0" collapsed="false">
      <c r="B62409" s="0" t="s">
        <v>36</v>
      </c>
      <c r="C62409" s="0" t="s">
        <v>5151</v>
      </c>
      <c r="E62409" s="0" t="s">
        <v>5152</v>
      </c>
      <c r="F62409" s="0" t="s">
        <v>5153</v>
      </c>
    </row>
    <row r="62411" customFormat="false" ht="12.8" hidden="false" customHeight="false" outlineLevel="0" collapsed="false">
      <c r="A62411" s="0" t="s">
        <v>20829</v>
      </c>
      <c r="B62411" s="0" t="str">
        <f aca="false">HYPERLINK("https://lindat.mff.cuni.cz/services/teitok/pdtc10/index.php?action=vallex&amp;frame=v-w8695f1", "vztahovat (v-w8695f1)")</f>
        <v>vztahovat (v-w8695f1)</v>
      </c>
    </row>
    <row r="62412" customFormat="false" ht="12.8" hidden="false" customHeight="false" outlineLevel="0" collapsed="false">
      <c r="B62412" s="0" t="s">
        <v>629</v>
      </c>
    </row>
    <row r="62413" customFormat="false" ht="12.8" hidden="false" customHeight="false" outlineLevel="0" collapsed="false">
      <c r="B62413" s="0" t="s">
        <v>8</v>
      </c>
    </row>
    <row r="62414" customFormat="false" ht="12.8" hidden="false" customHeight="false" outlineLevel="0" collapsed="false">
      <c r="B62414" s="0" t="s">
        <v>1734</v>
      </c>
    </row>
    <row r="62416" customFormat="false" ht="12.8" hidden="false" customHeight="false" outlineLevel="0" collapsed="false">
      <c r="A62416" s="0" t="s">
        <v>20830</v>
      </c>
      <c r="B62416" s="0" t="str">
        <f aca="false">HYPERLINK("https://lindat.mff.cuni.cz/services/teitok/pdtc10/index.php?action=vallex&amp;frame=v-w8696f2_ZU", "vztahovat se (v-w8696f2_ZU)")</f>
        <v>vztahovat se (v-w8696f2_ZU)</v>
      </c>
    </row>
    <row r="62417" customFormat="false" ht="12.8" hidden="false" customHeight="false" outlineLevel="0" collapsed="false">
      <c r="B62417" s="0" t="s">
        <v>1</v>
      </c>
    </row>
    <row r="62418" customFormat="false" ht="12.8" hidden="false" customHeight="false" outlineLevel="0" collapsed="false">
      <c r="B62418" s="0" t="s">
        <v>20831</v>
      </c>
    </row>
    <row r="62420" customFormat="false" ht="12.8" hidden="false" customHeight="false" outlineLevel="0" collapsed="false">
      <c r="A62420" s="0" t="s">
        <v>20830</v>
      </c>
      <c r="B62420" s="0" t="str">
        <f aca="false">HYPERLINK("https://lindat.mff.cuni.cz/services/teitok/pdtc10/index.php?action=vallex&amp;frame=v-w8696f1", "vztahovat se (v-w8696f1) - substituted with v-w8696f2_ZU")</f>
        <v>vztahovat se (v-w8696f1) - substituted with v-w8696f2_ZU</v>
      </c>
      <c r="E62420" s="0" t="str">
        <f aca="false">HYPERLINK("https://lindat.mff.cuni.cz/services/SynSemClass40/SynSemClass40.html?veclass=vec00328#vec00328-ces-cm00049", "vec00328")</f>
        <v>vec00328</v>
      </c>
      <c r="F62420" s="0" t="s">
        <v>3008</v>
      </c>
    </row>
    <row r="62421" customFormat="false" ht="12.8" hidden="false" customHeight="false" outlineLevel="0" collapsed="false">
      <c r="B62421" s="0" t="s">
        <v>1</v>
      </c>
      <c r="C62421" s="0" t="s">
        <v>3044</v>
      </c>
      <c r="E62421" s="0" t="s">
        <v>3010</v>
      </c>
      <c r="F62421" s="0" t="s">
        <v>3012</v>
      </c>
    </row>
    <row r="62422" customFormat="false" ht="12.8" hidden="false" customHeight="false" outlineLevel="0" collapsed="false">
      <c r="B62422" s="0" t="s">
        <v>20831</v>
      </c>
      <c r="C62422" s="0" t="s">
        <v>3045</v>
      </c>
      <c r="E62422" s="0" t="s">
        <v>142</v>
      </c>
      <c r="F62422" s="0" t="s">
        <v>3015</v>
      </c>
    </row>
    <row r="62424" customFormat="false" ht="12.8" hidden="false" customHeight="false" outlineLevel="0" collapsed="false">
      <c r="A62424" s="0" t="s">
        <v>20832</v>
      </c>
      <c r="B62424" s="0" t="str">
        <f aca="false">HYPERLINK("https://lindat.mff.cuni.cz/services/teitok/pdtc10/index.php?action=vallex&amp;frame=v-whsa_213f1_ZU", "vztekat se (v-whsa_213f1_ZU)")</f>
        <v>vztekat se (v-whsa_213f1_ZU)</v>
      </c>
      <c r="E62424" s="0" t="str">
        <f aca="false">HYPERLINK("https://lindat.mff.cuni.cz/services/SynSemClass40/SynSemClass40.html?veclass=vec00633#vec00633-ces-cm00005", "vec00633")</f>
        <v>vec00633</v>
      </c>
      <c r="F62424" s="0" t="s">
        <v>528</v>
      </c>
    </row>
    <row r="62425" customFormat="false" ht="12.8" hidden="false" customHeight="false" outlineLevel="0" collapsed="false">
      <c r="B62425" s="0" t="s">
        <v>1</v>
      </c>
      <c r="C62425" s="0" t="s">
        <v>512</v>
      </c>
      <c r="E62425" s="0" t="s">
        <v>147</v>
      </c>
      <c r="F62425" s="0" t="s">
        <v>529</v>
      </c>
    </row>
    <row r="62426" customFormat="false" ht="12.8" hidden="false" customHeight="false" outlineLevel="0" collapsed="false">
      <c r="B62426" s="0" t="s">
        <v>69</v>
      </c>
      <c r="C62426" s="0" t="s">
        <v>798</v>
      </c>
      <c r="E62426" s="0" t="s">
        <v>532</v>
      </c>
      <c r="F62426" s="0" t="s">
        <v>533</v>
      </c>
    </row>
    <row r="62428" customFormat="false" ht="12.8" hidden="false" customHeight="false" outlineLevel="0" collapsed="false">
      <c r="A62428" s="0" t="s">
        <v>20832</v>
      </c>
      <c r="B62428" s="0" t="str">
        <f aca="false">HYPERLINK("https://lindat.mff.cuni.cz/services/teitok/pdtc10/index.php?action=vallex&amp;frame=v-whsa_213hsa_214", "vztekat se (v-whsa_213hsa_214) - substituted with v-whsa_213f1_ZU")</f>
        <v>vztekat se (v-whsa_213hsa_214) - substituted with v-whsa_213f1_ZU</v>
      </c>
    </row>
    <row r="62429" customFormat="false" ht="12.8" hidden="false" customHeight="false" outlineLevel="0" collapsed="false">
      <c r="B62429" s="0" t="s">
        <v>1</v>
      </c>
    </row>
    <row r="62430" customFormat="false" ht="12.8" hidden="false" customHeight="false" outlineLevel="0" collapsed="false">
      <c r="B62430" s="0" t="s">
        <v>69</v>
      </c>
    </row>
    <row r="62432" customFormat="false" ht="12.8" hidden="false" customHeight="false" outlineLevel="0" collapsed="false">
      <c r="A62432" s="0" t="s">
        <v>20833</v>
      </c>
      <c r="B62432" s="0" t="str">
        <f aca="false">HYPERLINK("https://lindat.mff.cuni.cz/services/teitok/pdtc10/index.php?action=vallex&amp;frame=v-w8699f1", "vztyčit (v-w8699f1)")</f>
        <v>vztyčit (v-w8699f1)</v>
      </c>
      <c r="E62432" s="0" t="str">
        <f aca="false">HYPERLINK("https://lindat.mff.cuni.cz/services/SynSemClass40/SynSemClass40.html?veclass=vec00440#vec00440-ces-cm00027", "vec00440")</f>
        <v>vec00440</v>
      </c>
      <c r="F62432" s="0" t="s">
        <v>4833</v>
      </c>
    </row>
    <row r="62433" customFormat="false" ht="12.8" hidden="false" customHeight="false" outlineLevel="0" collapsed="false">
      <c r="B62433" s="0" t="s">
        <v>1</v>
      </c>
      <c r="C62433" s="0" t="s">
        <v>4834</v>
      </c>
      <c r="E62433" s="0" t="s">
        <v>31</v>
      </c>
      <c r="F62433" s="0" t="s">
        <v>4835</v>
      </c>
    </row>
    <row r="62434" customFormat="false" ht="12.8" hidden="false" customHeight="false" outlineLevel="0" collapsed="false">
      <c r="B62434" s="0" t="s">
        <v>8</v>
      </c>
      <c r="C62434" s="0" t="s">
        <v>490</v>
      </c>
      <c r="E62434" s="0" t="s">
        <v>1569</v>
      </c>
      <c r="F62434" s="0" t="s">
        <v>4836</v>
      </c>
    </row>
    <row r="62436" customFormat="false" ht="12.8" hidden="false" customHeight="false" outlineLevel="0" collapsed="false">
      <c r="A62436" s="0" t="s">
        <v>20834</v>
      </c>
      <c r="B62436" s="0" t="str">
        <f aca="false">HYPERLINK("https://lindat.mff.cuni.cz/services/teitok/pdtc10/index.php?action=vallex&amp;frame=v-w8700f1", "vztyčit se (v-w8700f1)")</f>
        <v>vztyčit se (v-w8700f1)</v>
      </c>
      <c r="E62436" s="0" t="str">
        <f aca="false">HYPERLINK("https://lindat.mff.cuni.cz/services/SynSemClass40/SynSemClass40.html?veclass=vec00979#vec00979-ces-cm00001", "vec00979")</f>
        <v>vec00979</v>
      </c>
      <c r="F62436" s="0" t="s">
        <v>5135</v>
      </c>
      <c r="H62436" s="0" t="str">
        <f aca="false">HYPERLINK("https://lindat.mff.cuni.cz/services/SynSemClass40/SynSemClass40.html?veclass=vec01293#vec01293-ces-cm00004", "vec01293")</f>
        <v>vec01293</v>
      </c>
      <c r="I62436" s="0" t="s">
        <v>14240</v>
      </c>
    </row>
    <row r="62437" customFormat="false" ht="12.8" hidden="false" customHeight="false" outlineLevel="0" collapsed="false">
      <c r="B62437" s="0" t="s">
        <v>1</v>
      </c>
      <c r="C62437" s="0" t="s">
        <v>5344</v>
      </c>
      <c r="E62437" s="0" t="s">
        <v>11</v>
      </c>
      <c r="F62437" s="0" t="s">
        <v>959</v>
      </c>
      <c r="H62437" s="0" t="s">
        <v>11</v>
      </c>
      <c r="I62437" s="0" t="s">
        <v>14241</v>
      </c>
    </row>
    <row r="62439" customFormat="false" ht="12.8" hidden="false" customHeight="false" outlineLevel="0" collapsed="false">
      <c r="A62439" s="0" t="s">
        <v>20835</v>
      </c>
      <c r="B62439" s="0" t="str">
        <f aca="false">HYPERLINK("https://lindat.mff.cuni.cz/services/teitok/pdtc10/index.php?action=vallex&amp;frame=v-w8701f1", "vztyčovat (v-w8701f1)")</f>
        <v>vztyčovat (v-w8701f1)</v>
      </c>
    </row>
    <row r="62440" customFormat="false" ht="12.8" hidden="false" customHeight="false" outlineLevel="0" collapsed="false">
      <c r="B62440" s="0" t="s">
        <v>1</v>
      </c>
    </row>
    <row r="62441" customFormat="false" ht="12.8" hidden="false" customHeight="false" outlineLevel="0" collapsed="false">
      <c r="B62441" s="0" t="s">
        <v>8</v>
      </c>
    </row>
    <row r="62443" customFormat="false" ht="12.8" hidden="false" customHeight="false" outlineLevel="0" collapsed="false">
      <c r="A62443" s="0" t="s">
        <v>20836</v>
      </c>
      <c r="B62443" s="0" t="str">
        <f aca="false">HYPERLINK("https://lindat.mff.cuni.cz/services/teitok/pdtc10/index.php?action=vallex&amp;frame=v-w8701f2", "vztyčovat (v-w8701f2)")</f>
        <v>vztyčovat (v-w8701f2)</v>
      </c>
    </row>
    <row r="62444" customFormat="false" ht="12.8" hidden="false" customHeight="false" outlineLevel="0" collapsed="false">
      <c r="B62444" s="0" t="s">
        <v>1</v>
      </c>
    </row>
    <row r="62445" customFormat="false" ht="12.8" hidden="false" customHeight="false" outlineLevel="0" collapsed="false">
      <c r="B62445" s="0" t="s">
        <v>8</v>
      </c>
    </row>
    <row r="62447" customFormat="false" ht="12.8" hidden="false" customHeight="false" outlineLevel="0" collapsed="false">
      <c r="A62447" s="0" t="s">
        <v>20837</v>
      </c>
      <c r="B62447" s="0" t="str">
        <f aca="false">HYPERLINK("https://lindat.mff.cuni.cz/services/teitok/pdtc10/index.php?action=vallex&amp;frame=v-w8693f2", "vztáhnout (v-w8693f2)")</f>
        <v>vztáhnout (v-w8693f2)</v>
      </c>
    </row>
    <row r="62448" customFormat="false" ht="12.8" hidden="false" customHeight="false" outlineLevel="0" collapsed="false">
      <c r="B62448" s="0" t="s">
        <v>629</v>
      </c>
    </row>
    <row r="62449" customFormat="false" ht="12.8" hidden="false" customHeight="false" outlineLevel="0" collapsed="false">
      <c r="B62449" s="0" t="s">
        <v>8</v>
      </c>
    </row>
    <row r="62450" customFormat="false" ht="12.8" hidden="false" customHeight="false" outlineLevel="0" collapsed="false">
      <c r="B62450" s="0" t="s">
        <v>7627</v>
      </c>
    </row>
    <row r="62452" customFormat="false" ht="12.8" hidden="false" customHeight="false" outlineLevel="0" collapsed="false">
      <c r="A62452" s="0" t="s">
        <v>20838</v>
      </c>
      <c r="B62452" s="0" t="str">
        <f aca="false">HYPERLINK("https://lindat.mff.cuni.cz/services/teitok/pdtc10/index.php?action=vallex&amp;frame=v-w8693f3", "vztáhnout (v-w8693f3)")</f>
        <v>vztáhnout (v-w8693f3)</v>
      </c>
    </row>
    <row r="62453" customFormat="false" ht="12.8" hidden="false" customHeight="false" outlineLevel="0" collapsed="false">
      <c r="B62453" s="0" t="s">
        <v>1</v>
      </c>
    </row>
    <row r="62454" customFormat="false" ht="12.8" hidden="false" customHeight="false" outlineLevel="0" collapsed="false">
      <c r="B62454" s="0" t="s">
        <v>20839</v>
      </c>
    </row>
    <row r="62455" customFormat="false" ht="12.8" hidden="false" customHeight="false" outlineLevel="0" collapsed="false">
      <c r="B62455" s="0" t="s">
        <v>20840</v>
      </c>
    </row>
    <row r="62457" customFormat="false" ht="12.8" hidden="false" customHeight="false" outlineLevel="0" collapsed="false">
      <c r="A62457" s="0" t="s">
        <v>20841</v>
      </c>
      <c r="B62457" s="0" t="str">
        <f aca="false">HYPERLINK("https://lindat.mff.cuni.cz/services/teitok/pdtc10/index.php?action=vallex&amp;frame=v-w8693f1", "vztáhnout (v-w8693f1)")</f>
        <v>vztáhnout (v-w8693f1)</v>
      </c>
    </row>
    <row r="62458" customFormat="false" ht="12.8" hidden="false" customHeight="false" outlineLevel="0" collapsed="false">
      <c r="B62458" s="0" t="s">
        <v>1</v>
      </c>
    </row>
    <row r="62459" customFormat="false" ht="12.8" hidden="false" customHeight="false" outlineLevel="0" collapsed="false">
      <c r="B62459" s="0" t="s">
        <v>3318</v>
      </c>
    </row>
    <row r="62460" customFormat="false" ht="12.8" hidden="false" customHeight="false" outlineLevel="0" collapsed="false">
      <c r="B62460" s="0" t="s">
        <v>20840</v>
      </c>
    </row>
    <row r="62462" customFormat="false" ht="12.8" hidden="false" customHeight="false" outlineLevel="0" collapsed="false">
      <c r="A62462" s="0" t="s">
        <v>20842</v>
      </c>
      <c r="B62462" s="0" t="str">
        <f aca="false">HYPERLINK("https://lindat.mff.cuni.cz/services/teitok/pdtc10/index.php?action=vallex&amp;frame=v-w8657f2", "vzít (v-w8657f2)")</f>
        <v>vzít (v-w8657f2)</v>
      </c>
      <c r="E62462" s="0" t="str">
        <f aca="false">HYPERLINK("https://lindat.mff.cuni.cz/services/SynSemClass40/SynSemClass40.html?veclass=vec00704#vec00704-ces-cm00049", "vec00704")</f>
        <v>vec00704</v>
      </c>
      <c r="F62462" s="0" t="s">
        <v>588</v>
      </c>
      <c r="H62462" s="0" t="str">
        <f aca="false">HYPERLINK("https://lindat.mff.cuni.cz/services/SynSemClass40/SynSemClass40.html?veclass=vec01425#vec01425-ces-cm00016", "vec01425")</f>
        <v>vec01425</v>
      </c>
      <c r="I62462" s="0" t="s">
        <v>589</v>
      </c>
    </row>
    <row r="62463" customFormat="false" ht="12.8" hidden="false" customHeight="false" outlineLevel="0" collapsed="false">
      <c r="B62463" s="0" t="s">
        <v>1</v>
      </c>
      <c r="C62463" s="0" t="s">
        <v>590</v>
      </c>
      <c r="E62463" s="0" t="s">
        <v>31</v>
      </c>
      <c r="F62463" s="0" t="s">
        <v>591</v>
      </c>
      <c r="H62463" s="0" t="s">
        <v>31</v>
      </c>
      <c r="I62463" s="0" t="s">
        <v>592</v>
      </c>
    </row>
    <row r="62464" customFormat="false" ht="12.8" hidden="false" customHeight="false" outlineLevel="0" collapsed="false">
      <c r="B62464" s="0" t="s">
        <v>8</v>
      </c>
      <c r="C62464" s="0" t="s">
        <v>593</v>
      </c>
      <c r="E62464" s="0" t="s">
        <v>594</v>
      </c>
      <c r="F62464" s="0" t="s">
        <v>595</v>
      </c>
      <c r="H62464" s="0" t="s">
        <v>594</v>
      </c>
      <c r="I62464" s="0" t="s">
        <v>596</v>
      </c>
    </row>
    <row r="62465" customFormat="false" ht="12.8" hidden="false" customHeight="false" outlineLevel="0" collapsed="false">
      <c r="B62465" s="0" t="s">
        <v>52</v>
      </c>
      <c r="C62465" s="0" t="s">
        <v>597</v>
      </c>
      <c r="E62465" s="0" t="s">
        <v>598</v>
      </c>
      <c r="F62465" s="0" t="s">
        <v>599</v>
      </c>
      <c r="H62465" s="0" t="s">
        <v>598</v>
      </c>
      <c r="I62465" s="0" t="s">
        <v>600</v>
      </c>
    </row>
    <row r="62467" customFormat="false" ht="12.8" hidden="false" customHeight="false" outlineLevel="0" collapsed="false">
      <c r="A62467" s="0" t="s">
        <v>20843</v>
      </c>
      <c r="B62467" s="0" t="str">
        <f aca="false">HYPERLINK("https://lindat.mff.cuni.cz/services/teitok/pdtc10/index.php?action=vallex&amp;frame=v-w8657f44_ZU", "vzít (v-w8657f44_ZU)")</f>
        <v>vzít (v-w8657f44_ZU)</v>
      </c>
    </row>
    <row r="62468" customFormat="false" ht="12.8" hidden="false" customHeight="false" outlineLevel="0" collapsed="false">
      <c r="B62468" s="0" t="s">
        <v>1</v>
      </c>
    </row>
    <row r="62469" customFormat="false" ht="12.8" hidden="false" customHeight="false" outlineLevel="0" collapsed="false">
      <c r="B62469" s="0" t="s">
        <v>2126</v>
      </c>
    </row>
    <row r="62470" customFormat="false" ht="12.8" hidden="false" customHeight="false" outlineLevel="0" collapsed="false">
      <c r="B62470" s="0" t="s">
        <v>602</v>
      </c>
    </row>
    <row r="62472" customFormat="false" ht="12.8" hidden="false" customHeight="false" outlineLevel="0" collapsed="false">
      <c r="A62472" s="0" t="s">
        <v>20843</v>
      </c>
      <c r="B62472" s="0" t="str">
        <f aca="false">HYPERLINK("https://lindat.mff.cuni.cz/services/teitok/pdtc10/index.php?action=vallex&amp;frame=v-w8657f38", "vzít (v-w8657f38) - substituted with v-w8657f44_ZU")</f>
        <v>vzít (v-w8657f38) - substituted with v-w8657f44_ZU</v>
      </c>
    </row>
    <row r="62473" customFormat="false" ht="12.8" hidden="false" customHeight="false" outlineLevel="0" collapsed="false">
      <c r="B62473" s="0" t="s">
        <v>1</v>
      </c>
    </row>
    <row r="62474" customFormat="false" ht="12.8" hidden="false" customHeight="false" outlineLevel="0" collapsed="false">
      <c r="B62474" s="0" t="s">
        <v>2126</v>
      </c>
    </row>
    <row r="62475" customFormat="false" ht="12.8" hidden="false" customHeight="false" outlineLevel="0" collapsed="false">
      <c r="B62475" s="0" t="s">
        <v>602</v>
      </c>
    </row>
    <row r="62477" customFormat="false" ht="12.8" hidden="false" customHeight="false" outlineLevel="0" collapsed="false">
      <c r="A62477" s="0" t="s">
        <v>20844</v>
      </c>
      <c r="B62477" s="0" t="str">
        <f aca="false">HYPERLINK("https://lindat.mff.cuni.cz/services/teitok/pdtc10/index.php?action=vallex&amp;frame=v-w8657f9", "vzít (v-w8657f9)")</f>
        <v>vzít (v-w8657f9)</v>
      </c>
      <c r="E62477" s="0" t="str">
        <f aca="false">HYPERLINK("https://lindat.mff.cuni.cz/services/SynSemClass40/SynSemClass40.html?veclass=vec00532#vec00532-ces-cm00026", "vec00532")</f>
        <v>vec00532</v>
      </c>
      <c r="F62477" s="0" t="s">
        <v>603</v>
      </c>
    </row>
    <row r="62478" customFormat="false" ht="12.8" hidden="false" customHeight="false" outlineLevel="0" collapsed="false">
      <c r="B62478" s="0" t="s">
        <v>1</v>
      </c>
      <c r="C62478" s="0" t="s">
        <v>20845</v>
      </c>
      <c r="E62478" s="0" t="s">
        <v>606</v>
      </c>
      <c r="F62478" s="0" t="s">
        <v>607</v>
      </c>
    </row>
    <row r="62479" customFormat="false" ht="12.8" hidden="false" customHeight="false" outlineLevel="0" collapsed="false">
      <c r="B62479" s="0" t="s">
        <v>8</v>
      </c>
      <c r="C62479" s="0" t="s">
        <v>20846</v>
      </c>
      <c r="E62479" s="0" t="s">
        <v>610</v>
      </c>
      <c r="F62479" s="0" t="s">
        <v>611</v>
      </c>
    </row>
    <row r="62480" customFormat="false" ht="12.8" hidden="false" customHeight="false" outlineLevel="0" collapsed="false">
      <c r="B62480" s="0" t="s">
        <v>602</v>
      </c>
      <c r="C62480" s="0" t="s">
        <v>613</v>
      </c>
      <c r="E62480" s="0" t="s">
        <v>614</v>
      </c>
      <c r="F62480" s="0" t="s">
        <v>615</v>
      </c>
    </row>
    <row r="62482" customFormat="false" ht="12.8" hidden="false" customHeight="false" outlineLevel="0" collapsed="false">
      <c r="A62482" s="0" t="s">
        <v>20847</v>
      </c>
      <c r="B62482" s="0" t="str">
        <f aca="false">HYPERLINK("https://lindat.mff.cuni.cz/services/teitok/pdtc10/index.php?action=vallex&amp;frame=v-w8657f12", "vzít (v-w8657f12)")</f>
        <v>vzít (v-w8657f12)</v>
      </c>
      <c r="E62482" s="0" t="str">
        <f aca="false">HYPERLINK("https://lindat.mff.cuni.cz/services/SynSemClass40/SynSemClass40.html?veclass=vec00402#vec00402-ces-cm00019", "vec00402")</f>
        <v>vec00402</v>
      </c>
      <c r="F62482" s="0" t="s">
        <v>619</v>
      </c>
    </row>
    <row r="62483" customFormat="false" ht="12.8" hidden="false" customHeight="false" outlineLevel="0" collapsed="false">
      <c r="B62483" s="0" t="s">
        <v>1</v>
      </c>
      <c r="C62483" s="0" t="s">
        <v>620</v>
      </c>
      <c r="E62483" s="0" t="s">
        <v>621</v>
      </c>
      <c r="F62483" s="0" t="s">
        <v>622</v>
      </c>
    </row>
    <row r="62484" customFormat="false" ht="12.8" hidden="false" customHeight="false" outlineLevel="0" collapsed="false">
      <c r="B62484" s="0" t="s">
        <v>59</v>
      </c>
      <c r="C62484" s="0" t="s">
        <v>623</v>
      </c>
      <c r="E62484" s="0" t="s">
        <v>180</v>
      </c>
      <c r="F62484" s="0" t="s">
        <v>624</v>
      </c>
    </row>
    <row r="62485" customFormat="false" ht="12.8" hidden="false" customHeight="false" outlineLevel="0" collapsed="false">
      <c r="B62485" s="0" t="s">
        <v>12010</v>
      </c>
      <c r="C62485" s="0" t="s">
        <v>625</v>
      </c>
      <c r="E62485" s="0" t="s">
        <v>626</v>
      </c>
      <c r="F62485" s="0" t="s">
        <v>627</v>
      </c>
    </row>
    <row r="62487" customFormat="false" ht="12.8" hidden="false" customHeight="false" outlineLevel="0" collapsed="false">
      <c r="A62487" s="0" t="s">
        <v>20848</v>
      </c>
      <c r="B62487" s="0" t="str">
        <f aca="false">HYPERLINK("https://lindat.mff.cuni.cz/services/teitok/pdtc10/index.php?action=vallex&amp;frame=v-w8657f24", "vzít (v-w8657f24)")</f>
        <v>vzít (v-w8657f24)</v>
      </c>
      <c r="E62487" s="0" t="str">
        <f aca="false">HYPERLINK("https://lindat.mff.cuni.cz/services/SynSemClass40/SynSemClass40.html?veclass=vec00704#vec00704-ces-cm00053", "vec00704")</f>
        <v>vec00704</v>
      </c>
      <c r="F62487" s="0" t="s">
        <v>588</v>
      </c>
      <c r="H62487" s="0" t="str">
        <f aca="false">HYPERLINK("https://lindat.mff.cuni.cz/services/SynSemClass40/SynSemClass40.html?veclass=vec01425#vec01425-ces-cm00017", "vec01425")</f>
        <v>vec01425</v>
      </c>
      <c r="I62487" s="0" t="s">
        <v>589</v>
      </c>
    </row>
    <row r="62488" customFormat="false" ht="12.8" hidden="false" customHeight="false" outlineLevel="0" collapsed="false">
      <c r="B62488" s="0" t="s">
        <v>1</v>
      </c>
      <c r="C62488" s="0" t="s">
        <v>590</v>
      </c>
      <c r="E62488" s="0" t="s">
        <v>31</v>
      </c>
      <c r="F62488" s="0" t="s">
        <v>591</v>
      </c>
      <c r="H62488" s="0" t="s">
        <v>31</v>
      </c>
      <c r="I62488" s="0" t="s">
        <v>592</v>
      </c>
    </row>
    <row r="62489" customFormat="false" ht="12.8" hidden="false" customHeight="false" outlineLevel="0" collapsed="false">
      <c r="B62489" s="0" t="s">
        <v>8</v>
      </c>
      <c r="C62489" s="0" t="s">
        <v>593</v>
      </c>
      <c r="E62489" s="0" t="s">
        <v>594</v>
      </c>
      <c r="F62489" s="0" t="s">
        <v>595</v>
      </c>
      <c r="H62489" s="0" t="s">
        <v>594</v>
      </c>
      <c r="I62489" s="0" t="s">
        <v>596</v>
      </c>
    </row>
    <row r="62490" customFormat="false" ht="12.8" hidden="false" customHeight="false" outlineLevel="0" collapsed="false">
      <c r="B62490" s="0" t="s">
        <v>631</v>
      </c>
      <c r="C62490" s="0" t="s">
        <v>20849</v>
      </c>
      <c r="E62490" s="0" t="s">
        <v>9549</v>
      </c>
      <c r="F62490" s="0" t="s">
        <v>9550</v>
      </c>
      <c r="H62490" s="0" t="s">
        <v>9549</v>
      </c>
      <c r="I62490" s="0" t="s">
        <v>20850</v>
      </c>
    </row>
    <row r="62492" customFormat="false" ht="12.8" hidden="false" customHeight="false" outlineLevel="0" collapsed="false">
      <c r="A62492" s="0" t="s">
        <v>20851</v>
      </c>
      <c r="B62492" s="0" t="str">
        <f aca="false">HYPERLINK("https://lindat.mff.cuni.cz/services/teitok/pdtc10/index.php?action=vallex&amp;frame=v-w8657f39", "vzít (v-w8657f39)")</f>
        <v>vzít (v-w8657f39)</v>
      </c>
      <c r="E62492" s="0" t="str">
        <f aca="false">HYPERLINK("https://lindat.mff.cuni.cz/services/SynSemClass40/SynSemClass40.html?veclass=vec00648#vec00648-ces-cm00024", "vec00648")</f>
        <v>vec00648</v>
      </c>
      <c r="F62492" s="0" t="s">
        <v>8797</v>
      </c>
    </row>
    <row r="62493" customFormat="false" ht="12.8" hidden="false" customHeight="false" outlineLevel="0" collapsed="false">
      <c r="B62493" s="0" t="s">
        <v>1</v>
      </c>
      <c r="C62493" s="0" t="s">
        <v>4471</v>
      </c>
      <c r="E62493" s="0" t="s">
        <v>31</v>
      </c>
      <c r="F62493" s="0" t="s">
        <v>8798</v>
      </c>
    </row>
    <row r="62494" customFormat="false" ht="12.8" hidden="false" customHeight="false" outlineLevel="0" collapsed="false">
      <c r="B62494" s="0" t="s">
        <v>8</v>
      </c>
      <c r="C62494" s="0" t="s">
        <v>8799</v>
      </c>
      <c r="E62494" s="0" t="s">
        <v>110</v>
      </c>
      <c r="F62494" s="0" t="s">
        <v>8800</v>
      </c>
    </row>
    <row r="62495" customFormat="false" ht="12.8" hidden="false" customHeight="false" outlineLevel="0" collapsed="false">
      <c r="B62495" s="0" t="s">
        <v>631</v>
      </c>
      <c r="C62495" s="0" t="s">
        <v>8801</v>
      </c>
      <c r="E62495" s="0" t="s">
        <v>8802</v>
      </c>
      <c r="F62495" s="0" t="s">
        <v>8803</v>
      </c>
    </row>
    <row r="62497" customFormat="false" ht="12.8" hidden="false" customHeight="false" outlineLevel="0" collapsed="false">
      <c r="A62497" s="0" t="s">
        <v>20852</v>
      </c>
      <c r="B62497" s="0" t="str">
        <f aca="false">HYPERLINK("https://lindat.mff.cuni.cz/services/teitok/pdtc10/index.php?action=vallex&amp;frame=v-w8657f32", "vzít (v-w8657f32)")</f>
        <v>vzít (v-w8657f32)</v>
      </c>
    </row>
    <row r="62498" customFormat="false" ht="12.8" hidden="false" customHeight="false" outlineLevel="0" collapsed="false">
      <c r="B62498" s="0" t="s">
        <v>1</v>
      </c>
    </row>
    <row r="62499" customFormat="false" ht="12.8" hidden="false" customHeight="false" outlineLevel="0" collapsed="false">
      <c r="B62499" s="0" t="s">
        <v>8</v>
      </c>
    </row>
    <row r="62500" customFormat="false" ht="12.8" hidden="false" customHeight="false" outlineLevel="0" collapsed="false">
      <c r="B62500" s="0" t="s">
        <v>336</v>
      </c>
    </row>
    <row r="62502" customFormat="false" ht="12.8" hidden="false" customHeight="false" outlineLevel="0" collapsed="false">
      <c r="A62502" s="0" t="s">
        <v>20853</v>
      </c>
      <c r="B62502" s="0" t="str">
        <f aca="false">HYPERLINK("https://lindat.mff.cuni.cz/services/teitok/pdtc10/index.php?action=vallex&amp;frame=v-w8657f26", "vzít (v-w8657f26)")</f>
        <v>vzít (v-w8657f26)</v>
      </c>
    </row>
    <row r="62503" customFormat="false" ht="12.8" hidden="false" customHeight="false" outlineLevel="0" collapsed="false">
      <c r="B62503" s="0" t="s">
        <v>843</v>
      </c>
    </row>
    <row r="62504" customFormat="false" ht="12.8" hidden="false" customHeight="false" outlineLevel="0" collapsed="false">
      <c r="B62504" s="0" t="s">
        <v>8</v>
      </c>
    </row>
    <row r="62506" customFormat="false" ht="12.8" hidden="false" customHeight="false" outlineLevel="0" collapsed="false">
      <c r="A62506" s="0" t="s">
        <v>20854</v>
      </c>
      <c r="B62506" s="0" t="str">
        <f aca="false">HYPERLINK("https://lindat.mff.cuni.cz/services/teitok/pdtc10/index.php?action=vallex&amp;frame=v-w8657f5", "vzít (v-w8657f5)")</f>
        <v>vzít (v-w8657f5)</v>
      </c>
    </row>
    <row r="62507" customFormat="false" ht="12.8" hidden="false" customHeight="false" outlineLevel="0" collapsed="false">
      <c r="B62507" s="0" t="s">
        <v>1</v>
      </c>
    </row>
    <row r="62508" customFormat="false" ht="12.8" hidden="false" customHeight="false" outlineLevel="0" collapsed="false">
      <c r="B62508" s="0" t="s">
        <v>20855</v>
      </c>
    </row>
    <row r="62510" customFormat="false" ht="12.8" hidden="false" customHeight="false" outlineLevel="0" collapsed="false">
      <c r="A62510" s="0" t="s">
        <v>20856</v>
      </c>
      <c r="B62510" s="0" t="str">
        <f aca="false">HYPERLINK("https://lindat.mff.cuni.cz/services/teitok/pdtc10/index.php?action=vallex&amp;frame=v-w8657f3", "vzít (v-w8657f3)")</f>
        <v>vzít (v-w8657f3)</v>
      </c>
      <c r="E62510" s="0" t="str">
        <f aca="false">HYPERLINK("https://lindat.mff.cuni.cz/services/SynSemClass40/SynSemClass40.html?veclass=vec01003#vec01003-ces-cm00009", "vec01003")</f>
        <v>vec01003</v>
      </c>
      <c r="F62510" s="0" t="s">
        <v>636</v>
      </c>
    </row>
    <row r="62511" customFormat="false" ht="12.8" hidden="false" customHeight="false" outlineLevel="0" collapsed="false">
      <c r="B62511" s="0" t="s">
        <v>1</v>
      </c>
      <c r="C62511" s="0" t="s">
        <v>106</v>
      </c>
      <c r="E62511" s="0" t="s">
        <v>637</v>
      </c>
      <c r="F62511" s="0" t="s">
        <v>638</v>
      </c>
    </row>
    <row r="62512" customFormat="false" ht="12.8" hidden="false" customHeight="false" outlineLevel="0" collapsed="false">
      <c r="B62512" s="0" t="s">
        <v>8</v>
      </c>
      <c r="C62512" s="0" t="s">
        <v>639</v>
      </c>
      <c r="E62512" s="0" t="s">
        <v>640</v>
      </c>
      <c r="F62512" s="0" t="s">
        <v>641</v>
      </c>
    </row>
    <row r="62513" customFormat="false" ht="12.8" hidden="false" customHeight="false" outlineLevel="0" collapsed="false">
      <c r="B62513" s="0" t="s">
        <v>642</v>
      </c>
      <c r="C62513" s="0" t="s">
        <v>643</v>
      </c>
      <c r="E62513" s="0" t="s">
        <v>20857</v>
      </c>
      <c r="F62513" s="0" t="s">
        <v>20858</v>
      </c>
    </row>
    <row r="62514" customFormat="false" ht="12.8" hidden="false" customHeight="false" outlineLevel="0" collapsed="false">
      <c r="B62514" s="0" t="s">
        <v>648</v>
      </c>
      <c r="C62514" s="0" t="s">
        <v>649</v>
      </c>
      <c r="E62514" s="0" t="s">
        <v>20857</v>
      </c>
      <c r="F62514" s="0" t="s">
        <v>20858</v>
      </c>
    </row>
    <row r="62515" customFormat="false" ht="12.8" hidden="false" customHeight="false" outlineLevel="0" collapsed="false">
      <c r="B62515" s="0" t="s">
        <v>650</v>
      </c>
      <c r="C62515" s="0" t="s">
        <v>651</v>
      </c>
      <c r="E62515" s="0" t="s">
        <v>20857</v>
      </c>
      <c r="F62515" s="0" t="s">
        <v>20858</v>
      </c>
    </row>
    <row r="62516" customFormat="false" ht="12.8" hidden="false" customHeight="false" outlineLevel="0" collapsed="false">
      <c r="B62516" s="0" t="s">
        <v>652</v>
      </c>
      <c r="C62516" s="0" t="s">
        <v>653</v>
      </c>
      <c r="E62516" s="0" t="s">
        <v>20857</v>
      </c>
      <c r="F62516" s="0" t="s">
        <v>20858</v>
      </c>
    </row>
    <row r="62518" customFormat="false" ht="12.8" hidden="false" customHeight="false" outlineLevel="0" collapsed="false">
      <c r="A62518" s="0" t="s">
        <v>20859</v>
      </c>
      <c r="B62518" s="0" t="str">
        <f aca="false">HYPERLINK("https://lindat.mff.cuni.cz/services/teitok/pdtc10/index.php?action=vallex&amp;frame=v-w8657f7", "vzít (v-w8657f7)")</f>
        <v>vzít (v-w8657f7)</v>
      </c>
    </row>
    <row r="62519" customFormat="false" ht="12.8" hidden="false" customHeight="false" outlineLevel="0" collapsed="false">
      <c r="B62519" s="0" t="s">
        <v>1</v>
      </c>
    </row>
    <row r="62520" customFormat="false" ht="12.8" hidden="false" customHeight="false" outlineLevel="0" collapsed="false">
      <c r="B62520" s="0" t="s">
        <v>8</v>
      </c>
    </row>
    <row r="62522" customFormat="false" ht="12.8" hidden="false" customHeight="false" outlineLevel="0" collapsed="false">
      <c r="A62522" s="0" t="s">
        <v>20860</v>
      </c>
      <c r="B62522" s="0" t="str">
        <f aca="false">HYPERLINK("https://lindat.mff.cuni.cz/services/teitok/pdtc10/index.php?action=vallex&amp;frame=v-w8657f6", "vzít (v-w8657f6)")</f>
        <v>vzít (v-w8657f6)</v>
      </c>
      <c r="E62522" s="0" t="str">
        <f aca="false">HYPERLINK("https://lindat.mff.cuni.cz/services/SynSemClass40/SynSemClass40.html?veclass=vec00172#vec00172-ces-cm00001", "vec00172")</f>
        <v>vec00172</v>
      </c>
      <c r="F62522" s="0" t="s">
        <v>2513</v>
      </c>
      <c r="H62522" s="0" t="str">
        <f aca="false">HYPERLINK("https://lindat.mff.cuni.cz/services/SynSemClass40/SynSemClass40.html?veclass=vec01377#vec01377-ces-cm00067", "vec01377")</f>
        <v>vec01377</v>
      </c>
      <c r="I62522" s="0" t="s">
        <v>2643</v>
      </c>
    </row>
    <row r="62523" customFormat="false" ht="12.8" hidden="false" customHeight="false" outlineLevel="0" collapsed="false">
      <c r="B62523" s="0" t="s">
        <v>1</v>
      </c>
      <c r="C62523" s="0" t="s">
        <v>9487</v>
      </c>
      <c r="E62523" s="0" t="s">
        <v>2196</v>
      </c>
      <c r="F62523" s="0" t="s">
        <v>2515</v>
      </c>
      <c r="H62523" s="0" t="s">
        <v>2645</v>
      </c>
      <c r="I62523" s="0" t="s">
        <v>2646</v>
      </c>
    </row>
    <row r="62524" customFormat="false" ht="12.8" hidden="false" customHeight="false" outlineLevel="0" collapsed="false">
      <c r="B62524" s="0" t="s">
        <v>8</v>
      </c>
      <c r="C62524" s="0" t="s">
        <v>9488</v>
      </c>
      <c r="E62524" s="0" t="s">
        <v>2200</v>
      </c>
      <c r="F62524" s="0" t="s">
        <v>2517</v>
      </c>
      <c r="H62524" s="0" t="s">
        <v>2648</v>
      </c>
      <c r="I62524" s="0" t="s">
        <v>2649</v>
      </c>
    </row>
    <row r="62526" customFormat="false" ht="12.8" hidden="false" customHeight="false" outlineLevel="0" collapsed="false">
      <c r="A62526" s="0" t="s">
        <v>20861</v>
      </c>
      <c r="B62526" s="0" t="str">
        <f aca="false">HYPERLINK("https://lindat.mff.cuni.cz/services/teitok/pdtc10/index.php?action=vallex&amp;frame=v-w8657f8", "vzít (v-w8657f8)")</f>
        <v>vzít (v-w8657f8)</v>
      </c>
    </row>
    <row r="62527" customFormat="false" ht="12.8" hidden="false" customHeight="false" outlineLevel="0" collapsed="false">
      <c r="B62527" s="0" t="s">
        <v>1</v>
      </c>
    </row>
    <row r="62528" customFormat="false" ht="12.8" hidden="false" customHeight="false" outlineLevel="0" collapsed="false">
      <c r="B62528" s="0" t="s">
        <v>8</v>
      </c>
    </row>
    <row r="62530" customFormat="false" ht="12.8" hidden="false" customHeight="false" outlineLevel="0" collapsed="false">
      <c r="A62530" s="0" t="s">
        <v>20862</v>
      </c>
      <c r="B62530" s="0" t="str">
        <f aca="false">HYPERLINK("https://lindat.mff.cuni.cz/services/teitok/pdtc10/index.php?action=vallex&amp;frame=v-w8657f10", "vzít (v-w8657f10)")</f>
        <v>vzít (v-w8657f10)</v>
      </c>
    </row>
    <row r="62531" customFormat="false" ht="12.8" hidden="false" customHeight="false" outlineLevel="0" collapsed="false">
      <c r="B62531" s="0" t="s">
        <v>1</v>
      </c>
    </row>
    <row r="62532" customFormat="false" ht="12.8" hidden="false" customHeight="false" outlineLevel="0" collapsed="false">
      <c r="B62532" s="0" t="s">
        <v>8</v>
      </c>
    </row>
    <row r="62534" customFormat="false" ht="12.8" hidden="false" customHeight="false" outlineLevel="0" collapsed="false">
      <c r="A62534" s="0" t="s">
        <v>20863</v>
      </c>
      <c r="B62534" s="0" t="str">
        <f aca="false">HYPERLINK("https://lindat.mff.cuni.cz/services/teitok/pdtc10/index.php?action=vallex&amp;frame=v-w8657hsa_947", "vzít (v-w8657hsa_947)")</f>
        <v>vzít (v-w8657hsa_947)</v>
      </c>
    </row>
    <row r="62535" customFormat="false" ht="12.8" hidden="false" customHeight="false" outlineLevel="0" collapsed="false">
      <c r="B62535" s="0" t="s">
        <v>1</v>
      </c>
    </row>
    <row r="62536" customFormat="false" ht="12.8" hidden="false" customHeight="false" outlineLevel="0" collapsed="false">
      <c r="B62536" s="0" t="s">
        <v>305</v>
      </c>
    </row>
    <row r="62538" customFormat="false" ht="12.8" hidden="false" customHeight="false" outlineLevel="0" collapsed="false">
      <c r="A62538" s="0" t="s">
        <v>20863</v>
      </c>
      <c r="B62538" s="0" t="str">
        <f aca="false">HYPERLINK("https://lindat.mff.cuni.cz/services/teitok/pdtc10/index.php?action=vallex&amp;frame=v-w8657f15", "vzít (v-w8657f15) - substituted with v-w8657hsa_947")</f>
        <v>vzít (v-w8657f15) - substituted with v-w8657hsa_947</v>
      </c>
      <c r="E62538" s="0" t="str">
        <f aca="false">HYPERLINK("https://lindat.mff.cuni.cz/services/SynSemClass40/SynSemClass40.html?veclass=vec00149#vec00149-ces-cm00015", "vec00149")</f>
        <v>vec00149</v>
      </c>
      <c r="F62538" s="0" t="s">
        <v>686</v>
      </c>
    </row>
    <row r="62539" customFormat="false" ht="12.8" hidden="false" customHeight="false" outlineLevel="0" collapsed="false">
      <c r="B62539" s="0" t="s">
        <v>1</v>
      </c>
      <c r="C62539" s="0" t="s">
        <v>687</v>
      </c>
      <c r="E62539" s="0" t="s">
        <v>621</v>
      </c>
      <c r="F62539" s="0" t="s">
        <v>688</v>
      </c>
    </row>
    <row r="62540" customFormat="false" ht="12.8" hidden="false" customHeight="false" outlineLevel="0" collapsed="false">
      <c r="B62540" s="0" t="s">
        <v>305</v>
      </c>
      <c r="C62540" s="0" t="s">
        <v>690</v>
      </c>
      <c r="E62540" s="0" t="s">
        <v>209</v>
      </c>
      <c r="F62540" s="0" t="s">
        <v>691</v>
      </c>
    </row>
    <row r="62542" customFormat="false" ht="12.8" hidden="false" customHeight="false" outlineLevel="0" collapsed="false">
      <c r="A62542" s="0" t="s">
        <v>20864</v>
      </c>
      <c r="B62542" s="0" t="str">
        <f aca="false">HYPERLINK("https://lindat.mff.cuni.cz/services/teitok/pdtc10/index.php?action=vallex&amp;frame=v-w8657f22", "vzít (v-w8657f22)")</f>
        <v>vzít (v-w8657f22)</v>
      </c>
    </row>
    <row r="62543" customFormat="false" ht="12.8" hidden="false" customHeight="false" outlineLevel="0" collapsed="false">
      <c r="B62543" s="0" t="s">
        <v>1</v>
      </c>
    </row>
    <row r="62544" customFormat="false" ht="12.8" hidden="false" customHeight="false" outlineLevel="0" collapsed="false">
      <c r="B62544" s="0" t="s">
        <v>8</v>
      </c>
    </row>
    <row r="62546" customFormat="false" ht="12.8" hidden="false" customHeight="false" outlineLevel="0" collapsed="false">
      <c r="A62546" s="0" t="s">
        <v>20865</v>
      </c>
      <c r="B62546" s="0" t="str">
        <f aca="false">HYPERLINK("https://lindat.mff.cuni.cz/services/teitok/pdtc10/index.php?action=vallex&amp;frame=v-w8657f33", "vzít (v-w8657f33)")</f>
        <v>vzít (v-w8657f33)</v>
      </c>
    </row>
    <row r="62547" customFormat="false" ht="12.8" hidden="false" customHeight="false" outlineLevel="0" collapsed="false">
      <c r="B62547" s="0" t="s">
        <v>1</v>
      </c>
    </row>
    <row r="62548" customFormat="false" ht="12.8" hidden="false" customHeight="false" outlineLevel="0" collapsed="false">
      <c r="B62548" s="0" t="s">
        <v>8</v>
      </c>
    </row>
    <row r="62550" customFormat="false" ht="12.8" hidden="false" customHeight="false" outlineLevel="0" collapsed="false">
      <c r="A62550" s="0" t="s">
        <v>20866</v>
      </c>
      <c r="B62550" s="0" t="str">
        <f aca="false">HYPERLINK("https://lindat.mff.cuni.cz/services/teitok/pdtc10/index.php?action=vallex&amp;frame=v-w8657f35", "vzít (v-w8657f35)")</f>
        <v>vzít (v-w8657f35)</v>
      </c>
    </row>
    <row r="62551" customFormat="false" ht="12.8" hidden="false" customHeight="false" outlineLevel="0" collapsed="false">
      <c r="B62551" s="0" t="s">
        <v>1</v>
      </c>
    </row>
    <row r="62552" customFormat="false" ht="12.8" hidden="false" customHeight="false" outlineLevel="0" collapsed="false">
      <c r="B62552" s="0" t="s">
        <v>665</v>
      </c>
    </row>
    <row r="62554" customFormat="false" ht="12.8" hidden="false" customHeight="false" outlineLevel="0" collapsed="false">
      <c r="A62554" s="0" t="s">
        <v>20867</v>
      </c>
      <c r="B62554" s="0" t="str">
        <f aca="false">HYPERLINK("https://lindat.mff.cuni.cz/services/teitok/pdtc10/index.php?action=vallex&amp;frame=v-w8657f40", "vzít (v-w8657f40)")</f>
        <v>vzít (v-w8657f40)</v>
      </c>
    </row>
    <row r="62555" customFormat="false" ht="12.8" hidden="false" customHeight="false" outlineLevel="0" collapsed="false">
      <c r="B62555" s="0" t="s">
        <v>629</v>
      </c>
    </row>
    <row r="62556" customFormat="false" ht="12.8" hidden="false" customHeight="false" outlineLevel="0" collapsed="false">
      <c r="B62556" s="0" t="s">
        <v>20868</v>
      </c>
    </row>
    <row r="62557" customFormat="false" ht="12.8" hidden="false" customHeight="false" outlineLevel="0" collapsed="false">
      <c r="B62557" s="0" t="s">
        <v>52</v>
      </c>
    </row>
    <row r="62559" customFormat="false" ht="12.8" hidden="false" customHeight="false" outlineLevel="0" collapsed="false">
      <c r="A62559" s="0" t="s">
        <v>20869</v>
      </c>
      <c r="B62559" s="0" t="str">
        <f aca="false">HYPERLINK("https://lindat.mff.cuni.cz/services/teitok/pdtc10/index.php?action=vallex&amp;frame=v-w8657f21", "vzít (v-w8657f21)")</f>
        <v>vzít (v-w8657f21)</v>
      </c>
    </row>
    <row r="62560" customFormat="false" ht="12.8" hidden="false" customHeight="false" outlineLevel="0" collapsed="false">
      <c r="B62560" s="0" t="s">
        <v>1</v>
      </c>
    </row>
    <row r="62561" customFormat="false" ht="12.8" hidden="false" customHeight="false" outlineLevel="0" collapsed="false">
      <c r="B62561" s="0" t="s">
        <v>671</v>
      </c>
    </row>
    <row r="62563" customFormat="false" ht="12.8" hidden="false" customHeight="false" outlineLevel="0" collapsed="false">
      <c r="A62563" s="0" t="s">
        <v>20870</v>
      </c>
      <c r="B62563" s="0" t="str">
        <f aca="false">HYPERLINK("https://lindat.mff.cuni.cz/services/teitok/pdtc10/index.php?action=vallex&amp;frame=v-w8657f17", "vzít (v-w8657f17)")</f>
        <v>vzít (v-w8657f17)</v>
      </c>
      <c r="E62563" s="0" t="str">
        <f aca="false">HYPERLINK("https://lindat.mff.cuni.cz/services/SynSemClass40/SynSemClass40.html?veclass=vec01474#vec01474-ces-cm00001", "vec01474")</f>
        <v>vec01474</v>
      </c>
      <c r="F62563" s="0" t="s">
        <v>20871</v>
      </c>
    </row>
    <row r="62564" customFormat="false" ht="12.8" hidden="false" customHeight="false" outlineLevel="0" collapsed="false">
      <c r="B62564" s="0" t="s">
        <v>1</v>
      </c>
      <c r="E62564" s="0" t="s">
        <v>11</v>
      </c>
      <c r="F62564" s="0" t="s">
        <v>959</v>
      </c>
    </row>
    <row r="62565" customFormat="false" ht="12.8" hidden="false" customHeight="false" outlineLevel="0" collapsed="false">
      <c r="B62565" s="0" t="s">
        <v>20872</v>
      </c>
    </row>
    <row r="62566" customFormat="false" ht="12.8" hidden="false" customHeight="false" outlineLevel="0" collapsed="false">
      <c r="B62566" s="0" t="s">
        <v>8</v>
      </c>
      <c r="C62566" s="0" t="s">
        <v>462</v>
      </c>
      <c r="E62566" s="0" t="s">
        <v>180</v>
      </c>
      <c r="F62566" s="0" t="s">
        <v>20873</v>
      </c>
    </row>
    <row r="62568" customFormat="false" ht="12.8" hidden="false" customHeight="false" outlineLevel="0" collapsed="false">
      <c r="A62568" s="0" t="s">
        <v>20874</v>
      </c>
      <c r="B62568" s="0" t="str">
        <f aca="false">HYPERLINK("https://lindat.mff.cuni.cz/services/teitok/pdtc10/index.php?action=vallex&amp;frame=v-w8657f37", "vzít (v-w8657f37)")</f>
        <v>vzít (v-w8657f37)</v>
      </c>
    </row>
    <row r="62569" customFormat="false" ht="12.8" hidden="false" customHeight="false" outlineLevel="0" collapsed="false">
      <c r="B62569" s="0" t="s">
        <v>1</v>
      </c>
    </row>
    <row r="62570" customFormat="false" ht="12.8" hidden="false" customHeight="false" outlineLevel="0" collapsed="false">
      <c r="B62570" s="0" t="s">
        <v>20875</v>
      </c>
    </row>
    <row r="62571" customFormat="false" ht="12.8" hidden="false" customHeight="false" outlineLevel="0" collapsed="false">
      <c r="B62571" s="0" t="s">
        <v>8</v>
      </c>
    </row>
    <row r="62573" customFormat="false" ht="12.8" hidden="false" customHeight="false" outlineLevel="0" collapsed="false">
      <c r="A62573" s="0" t="s">
        <v>20876</v>
      </c>
      <c r="B62573" s="0" t="str">
        <f aca="false">HYPERLINK("https://lindat.mff.cuni.cz/services/teitok/pdtc10/index.php?action=vallex&amp;frame=v-w8657f4", "vzít (v-w8657f4)")</f>
        <v>vzít (v-w8657f4)</v>
      </c>
      <c r="E62573" s="0" t="str">
        <f aca="false">HYPERLINK("https://lindat.mff.cuni.cz/services/SynSemClass40/SynSemClass40.html?veclass=vec00171#vec00171-ces-cm00001", "vec00171")</f>
        <v>vec00171</v>
      </c>
      <c r="F62573" s="0" t="s">
        <v>20877</v>
      </c>
    </row>
    <row r="62574" customFormat="false" ht="12.8" hidden="false" customHeight="false" outlineLevel="0" collapsed="false">
      <c r="B62574" s="0" t="s">
        <v>1</v>
      </c>
      <c r="E62574" s="0" t="s">
        <v>31</v>
      </c>
      <c r="F62574" s="0" t="s">
        <v>49</v>
      </c>
    </row>
    <row r="62575" customFormat="false" ht="12.8" hidden="false" customHeight="false" outlineLevel="0" collapsed="false">
      <c r="B62575" s="0" t="s">
        <v>20878</v>
      </c>
      <c r="E62575" s="0" t="s">
        <v>20879</v>
      </c>
      <c r="F62575" s="0" t="s">
        <v>20880</v>
      </c>
    </row>
    <row r="62576" customFormat="false" ht="12.8" hidden="false" customHeight="false" outlineLevel="0" collapsed="false">
      <c r="B62576" s="0" t="s">
        <v>8</v>
      </c>
      <c r="E62576" s="0" t="s">
        <v>20881</v>
      </c>
      <c r="F62576" s="0" t="s">
        <v>20882</v>
      </c>
    </row>
    <row r="62578" customFormat="false" ht="12.8" hidden="false" customHeight="false" outlineLevel="0" collapsed="false">
      <c r="A62578" s="0" t="s">
        <v>20883</v>
      </c>
      <c r="B62578" s="0" t="str">
        <f aca="false">HYPERLINK("https://lindat.mff.cuni.cz/services/teitok/pdtc10/index.php?action=vallex&amp;frame=v-w8657f30", "vzít (v-w8657f30)")</f>
        <v>vzít (v-w8657f30)</v>
      </c>
    </row>
    <row r="62579" customFormat="false" ht="12.8" hidden="false" customHeight="false" outlineLevel="0" collapsed="false">
      <c r="B62579" s="0" t="s">
        <v>1</v>
      </c>
    </row>
    <row r="62580" customFormat="false" ht="12.8" hidden="false" customHeight="false" outlineLevel="0" collapsed="false">
      <c r="B62580" s="0" t="s">
        <v>20884</v>
      </c>
    </row>
    <row r="62581" customFormat="false" ht="12.8" hidden="false" customHeight="false" outlineLevel="0" collapsed="false">
      <c r="B62581" s="0" t="s">
        <v>228</v>
      </c>
    </row>
    <row r="62583" customFormat="false" ht="12.8" hidden="false" customHeight="false" outlineLevel="0" collapsed="false">
      <c r="A62583" s="0" t="s">
        <v>20885</v>
      </c>
      <c r="B62583" s="0" t="str">
        <f aca="false">HYPERLINK("https://lindat.mff.cuni.cz/services/teitok/pdtc10/index.php?action=vallex&amp;frame=v-w8657f19", "vzít (v-w8657f19)")</f>
        <v>vzít (v-w8657f19)</v>
      </c>
    </row>
    <row r="62584" customFormat="false" ht="12.8" hidden="false" customHeight="false" outlineLevel="0" collapsed="false">
      <c r="B62584" s="0" t="s">
        <v>1</v>
      </c>
    </row>
    <row r="62585" customFormat="false" ht="12.8" hidden="false" customHeight="false" outlineLevel="0" collapsed="false">
      <c r="B62585" s="0" t="s">
        <v>675</v>
      </c>
    </row>
    <row r="62586" customFormat="false" ht="12.8" hidden="false" customHeight="false" outlineLevel="0" collapsed="false">
      <c r="B62586" s="0" t="s">
        <v>59</v>
      </c>
    </row>
    <row r="62588" customFormat="false" ht="12.8" hidden="false" customHeight="false" outlineLevel="0" collapsed="false">
      <c r="A62588" s="0" t="s">
        <v>20886</v>
      </c>
      <c r="B62588" s="0" t="str">
        <f aca="false">HYPERLINK("https://lindat.mff.cuni.cz/services/teitok/pdtc10/index.php?action=vallex&amp;frame=v-w8657f11", "vzít (v-w8657f11)")</f>
        <v>vzít (v-w8657f11)</v>
      </c>
    </row>
    <row r="62589" customFormat="false" ht="12.8" hidden="false" customHeight="false" outlineLevel="0" collapsed="false">
      <c r="B62589" s="0" t="s">
        <v>1</v>
      </c>
    </row>
    <row r="62590" customFormat="false" ht="12.8" hidden="false" customHeight="false" outlineLevel="0" collapsed="false">
      <c r="B62590" s="0" t="s">
        <v>682</v>
      </c>
    </row>
    <row r="62591" customFormat="false" ht="12.8" hidden="false" customHeight="false" outlineLevel="0" collapsed="false">
      <c r="B62591" s="0" t="s">
        <v>228</v>
      </c>
    </row>
    <row r="62593" customFormat="false" ht="12.8" hidden="false" customHeight="false" outlineLevel="0" collapsed="false">
      <c r="A62593" s="0" t="s">
        <v>20887</v>
      </c>
      <c r="B62593" s="0" t="str">
        <f aca="false">HYPERLINK("https://lindat.mff.cuni.cz/services/teitok/pdtc10/index.php?action=vallex&amp;frame=v-w8657f25", "vzít (v-w8657f25)")</f>
        <v>vzít (v-w8657f25)</v>
      </c>
    </row>
    <row r="62594" customFormat="false" ht="12.8" hidden="false" customHeight="false" outlineLevel="0" collapsed="false">
      <c r="B62594" s="0" t="s">
        <v>1</v>
      </c>
    </row>
    <row r="62595" customFormat="false" ht="12.8" hidden="false" customHeight="false" outlineLevel="0" collapsed="false">
      <c r="B62595" s="0" t="s">
        <v>20888</v>
      </c>
    </row>
    <row r="62596" customFormat="false" ht="12.8" hidden="false" customHeight="false" outlineLevel="0" collapsed="false">
      <c r="B62596" s="0" t="s">
        <v>59</v>
      </c>
    </row>
    <row r="62598" customFormat="false" ht="12.8" hidden="false" customHeight="false" outlineLevel="0" collapsed="false">
      <c r="A62598" s="0" t="s">
        <v>20889</v>
      </c>
      <c r="B62598" s="0" t="str">
        <f aca="false">HYPERLINK("https://lindat.mff.cuni.cz/services/teitok/pdtc10/index.php?action=vallex&amp;frame=v-w8657f14", "vzít (v-w8657f14)")</f>
        <v>vzít (v-w8657f14)</v>
      </c>
    </row>
    <row r="62599" customFormat="false" ht="12.8" hidden="false" customHeight="false" outlineLevel="0" collapsed="false">
      <c r="B62599" s="0" t="s">
        <v>1</v>
      </c>
    </row>
    <row r="62600" customFormat="false" ht="12.8" hidden="false" customHeight="false" outlineLevel="0" collapsed="false">
      <c r="B62600" s="0" t="s">
        <v>20890</v>
      </c>
    </row>
    <row r="62601" customFormat="false" ht="12.8" hidden="false" customHeight="false" outlineLevel="0" collapsed="false">
      <c r="B62601" s="0" t="s">
        <v>228</v>
      </c>
    </row>
    <row r="62603" customFormat="false" ht="12.8" hidden="false" customHeight="false" outlineLevel="0" collapsed="false">
      <c r="A62603" s="0" t="s">
        <v>20891</v>
      </c>
      <c r="B62603" s="0" t="str">
        <f aca="false">HYPERLINK("https://lindat.mff.cuni.cz/services/teitok/pdtc10/index.php?action=vallex&amp;frame=v-w8657f1", "vzít (v-w8657f1)")</f>
        <v>vzít (v-w8657f1)</v>
      </c>
      <c r="E62603" s="0" t="str">
        <f aca="false">HYPERLINK("https://lindat.mff.cuni.cz/services/SynSemClass40/SynSemClass40.html?veclass=vec00149#vec00149-ces-cm00014", "vec00149")</f>
        <v>vec00149</v>
      </c>
      <c r="F62603" s="0" t="s">
        <v>686</v>
      </c>
    </row>
    <row r="62604" customFormat="false" ht="12.8" hidden="false" customHeight="false" outlineLevel="0" collapsed="false">
      <c r="B62604" s="0" t="s">
        <v>1</v>
      </c>
      <c r="C62604" s="0" t="s">
        <v>687</v>
      </c>
      <c r="E62604" s="0" t="s">
        <v>621</v>
      </c>
      <c r="F62604" s="0" t="s">
        <v>688</v>
      </c>
    </row>
    <row r="62605" customFormat="false" ht="12.8" hidden="false" customHeight="false" outlineLevel="0" collapsed="false">
      <c r="B62605" s="0" t="s">
        <v>689</v>
      </c>
    </row>
    <row r="62606" customFormat="false" ht="12.8" hidden="false" customHeight="false" outlineLevel="0" collapsed="false">
      <c r="B62606" s="0" t="s">
        <v>228</v>
      </c>
      <c r="C62606" s="0" t="s">
        <v>690</v>
      </c>
      <c r="E62606" s="0" t="s">
        <v>209</v>
      </c>
      <c r="F62606" s="0" t="s">
        <v>691</v>
      </c>
    </row>
    <row r="62608" customFormat="false" ht="12.8" hidden="false" customHeight="false" outlineLevel="0" collapsed="false">
      <c r="A62608" s="0" t="s">
        <v>20892</v>
      </c>
      <c r="B62608" s="0" t="str">
        <f aca="false">HYPERLINK("https://lindat.mff.cuni.cz/services/teitok/pdtc10/index.php?action=vallex&amp;frame=v-w8657f28", "vzít (v-w8657f28)")</f>
        <v>vzít (v-w8657f28)</v>
      </c>
    </row>
    <row r="62609" customFormat="false" ht="12.8" hidden="false" customHeight="false" outlineLevel="0" collapsed="false">
      <c r="B62609" s="0" t="s">
        <v>1</v>
      </c>
    </row>
    <row r="62610" customFormat="false" ht="12.8" hidden="false" customHeight="false" outlineLevel="0" collapsed="false">
      <c r="B62610" s="0" t="s">
        <v>20893</v>
      </c>
    </row>
    <row r="62611" customFormat="false" ht="12.8" hidden="false" customHeight="false" outlineLevel="0" collapsed="false">
      <c r="B62611" s="0" t="s">
        <v>8</v>
      </c>
    </row>
    <row r="62613" customFormat="false" ht="12.8" hidden="false" customHeight="false" outlineLevel="0" collapsed="false">
      <c r="A62613" s="0" t="s">
        <v>20894</v>
      </c>
      <c r="B62613" s="0" t="str">
        <f aca="false">HYPERLINK("https://lindat.mff.cuni.cz/services/teitok/pdtc10/index.php?action=vallex&amp;frame=v-w8657f13", "vzít (v-w8657f13)")</f>
        <v>vzít (v-w8657f13)</v>
      </c>
    </row>
    <row r="62614" customFormat="false" ht="12.8" hidden="false" customHeight="false" outlineLevel="0" collapsed="false">
      <c r="B62614" s="0" t="s">
        <v>1</v>
      </c>
    </row>
    <row r="62615" customFormat="false" ht="12.8" hidden="false" customHeight="false" outlineLevel="0" collapsed="false">
      <c r="B62615" s="0" t="s">
        <v>20895</v>
      </c>
    </row>
    <row r="62616" customFormat="false" ht="12.8" hidden="false" customHeight="false" outlineLevel="0" collapsed="false">
      <c r="B62616" s="0" t="s">
        <v>8</v>
      </c>
    </row>
    <row r="62618" customFormat="false" ht="12.8" hidden="false" customHeight="false" outlineLevel="0" collapsed="false">
      <c r="A62618" s="0" t="s">
        <v>20896</v>
      </c>
      <c r="B62618" s="0" t="str">
        <f aca="false">HYPERLINK("https://lindat.mff.cuni.cz/services/teitok/pdtc10/index.php?action=vallex&amp;frame=v-w8657f20", "vzít (v-w8657f20)")</f>
        <v>vzít (v-w8657f20)</v>
      </c>
    </row>
    <row r="62619" customFormat="false" ht="12.8" hidden="false" customHeight="false" outlineLevel="0" collapsed="false">
      <c r="B62619" s="0" t="s">
        <v>1</v>
      </c>
    </row>
    <row r="62620" customFormat="false" ht="12.8" hidden="false" customHeight="false" outlineLevel="0" collapsed="false">
      <c r="B62620" s="0" t="s">
        <v>693</v>
      </c>
    </row>
    <row r="62621" customFormat="false" ht="12.8" hidden="false" customHeight="false" outlineLevel="0" collapsed="false">
      <c r="B62621" s="0" t="s">
        <v>286</v>
      </c>
    </row>
    <row r="62623" customFormat="false" ht="12.8" hidden="false" customHeight="false" outlineLevel="0" collapsed="false">
      <c r="A62623" s="0" t="s">
        <v>20897</v>
      </c>
      <c r="B62623" s="0" t="str">
        <f aca="false">HYPERLINK("https://lindat.mff.cuni.cz/services/teitok/pdtc10/index.php?action=vallex&amp;frame=v-w8657f23", "vzít (v-w8657f23)")</f>
        <v>vzít (v-w8657f23)</v>
      </c>
    </row>
    <row r="62624" customFormat="false" ht="12.8" hidden="false" customHeight="false" outlineLevel="0" collapsed="false">
      <c r="B62624" s="0" t="s">
        <v>1</v>
      </c>
    </row>
    <row r="62625" customFormat="false" ht="12.8" hidden="false" customHeight="false" outlineLevel="0" collapsed="false">
      <c r="B62625" s="0" t="s">
        <v>20898</v>
      </c>
    </row>
    <row r="62626" customFormat="false" ht="12.8" hidden="false" customHeight="false" outlineLevel="0" collapsed="false">
      <c r="B62626" s="0" t="s">
        <v>8</v>
      </c>
    </row>
    <row r="62628" customFormat="false" ht="12.8" hidden="false" customHeight="false" outlineLevel="0" collapsed="false">
      <c r="A62628" s="0" t="s">
        <v>20899</v>
      </c>
      <c r="B62628" s="0" t="str">
        <f aca="false">HYPERLINK("https://lindat.mff.cuni.cz/services/teitok/pdtc10/index.php?action=vallex&amp;frame=v-w8657f29", "vzít (v-w8657f29)")</f>
        <v>vzít (v-w8657f29)</v>
      </c>
    </row>
    <row r="62629" customFormat="false" ht="12.8" hidden="false" customHeight="false" outlineLevel="0" collapsed="false">
      <c r="B62629" s="0" t="s">
        <v>1</v>
      </c>
    </row>
    <row r="62630" customFormat="false" ht="12.8" hidden="false" customHeight="false" outlineLevel="0" collapsed="false">
      <c r="B62630" s="0" t="s">
        <v>20900</v>
      </c>
    </row>
    <row r="62632" customFormat="false" ht="12.8" hidden="false" customHeight="false" outlineLevel="0" collapsed="false">
      <c r="A62632" s="0" t="s">
        <v>20901</v>
      </c>
      <c r="B62632" s="0" t="str">
        <f aca="false">HYPERLINK("https://lindat.mff.cuni.cz/services/teitok/pdtc10/index.php?action=vallex&amp;frame=v-w8657f34", "vzít (v-w8657f34)")</f>
        <v>vzít (v-w8657f34)</v>
      </c>
    </row>
    <row r="62633" customFormat="false" ht="12.8" hidden="false" customHeight="false" outlineLevel="0" collapsed="false">
      <c r="B62633" s="0" t="s">
        <v>1</v>
      </c>
    </row>
    <row r="62634" customFormat="false" ht="12.8" hidden="false" customHeight="false" outlineLevel="0" collapsed="false">
      <c r="B62634" s="0" t="s">
        <v>20902</v>
      </c>
    </row>
    <row r="62636" customFormat="false" ht="12.8" hidden="false" customHeight="false" outlineLevel="0" collapsed="false">
      <c r="A62636" s="0" t="s">
        <v>20903</v>
      </c>
      <c r="B62636" s="0" t="str">
        <f aca="false">HYPERLINK("https://lindat.mff.cuni.cz/services/teitok/pdtc10/index.php?action=vallex&amp;frame=v-w8657f27", "vzít (v-w8657f27)")</f>
        <v>vzít (v-w8657f27)</v>
      </c>
    </row>
    <row r="62637" customFormat="false" ht="12.8" hidden="false" customHeight="false" outlineLevel="0" collapsed="false">
      <c r="B62637" s="0" t="s">
        <v>1</v>
      </c>
    </row>
    <row r="62638" customFormat="false" ht="12.8" hidden="false" customHeight="false" outlineLevel="0" collapsed="false">
      <c r="B62638" s="0" t="s">
        <v>20904</v>
      </c>
    </row>
    <row r="62640" customFormat="false" ht="12.8" hidden="false" customHeight="false" outlineLevel="0" collapsed="false">
      <c r="A62640" s="0" t="s">
        <v>20905</v>
      </c>
      <c r="B62640" s="0" t="str">
        <f aca="false">HYPERLINK("https://lindat.mff.cuni.cz/services/teitok/pdtc10/index.php?action=vallex&amp;frame=v-w8657f31", "vzít (v-w8657f31)")</f>
        <v>vzít (v-w8657f31)</v>
      </c>
    </row>
    <row r="62641" customFormat="false" ht="12.8" hidden="false" customHeight="false" outlineLevel="0" collapsed="false">
      <c r="B62641" s="0" t="s">
        <v>1</v>
      </c>
    </row>
    <row r="62642" customFormat="false" ht="12.8" hidden="false" customHeight="false" outlineLevel="0" collapsed="false">
      <c r="B62642" s="0" t="s">
        <v>20906</v>
      </c>
    </row>
    <row r="62644" customFormat="false" ht="12.8" hidden="false" customHeight="false" outlineLevel="0" collapsed="false">
      <c r="A62644" s="0" t="s">
        <v>20907</v>
      </c>
      <c r="B62644" s="0" t="str">
        <f aca="false">HYPERLINK("https://lindat.mff.cuni.cz/services/teitok/pdtc10/index.php?action=vallex&amp;frame=v-w8657f18", "vzít (v-w8657f18)")</f>
        <v>vzít (v-w8657f18)</v>
      </c>
    </row>
    <row r="62645" customFormat="false" ht="12.8" hidden="false" customHeight="false" outlineLevel="0" collapsed="false">
      <c r="B62645" s="0" t="s">
        <v>1</v>
      </c>
    </row>
    <row r="62646" customFormat="false" ht="12.8" hidden="false" customHeight="false" outlineLevel="0" collapsed="false">
      <c r="B62646" s="0" t="s">
        <v>20908</v>
      </c>
    </row>
    <row r="62648" customFormat="false" ht="12.8" hidden="false" customHeight="false" outlineLevel="0" collapsed="false">
      <c r="A62648" s="0" t="s">
        <v>20909</v>
      </c>
      <c r="B62648" s="0" t="str">
        <f aca="false">HYPERLINK("https://lindat.mff.cuni.cz/services/teitok/pdtc10/index.php?action=vallex&amp;frame=v-w8657hsa_1095", "vzít (v-w8657hsa_1095)")</f>
        <v>vzít (v-w8657hsa_1095)</v>
      </c>
    </row>
    <row r="62649" customFormat="false" ht="12.8" hidden="false" customHeight="false" outlineLevel="0" collapsed="false">
      <c r="B62649" s="0" t="s">
        <v>1</v>
      </c>
    </row>
    <row r="62650" customFormat="false" ht="12.8" hidden="false" customHeight="false" outlineLevel="0" collapsed="false">
      <c r="B62650" s="0" t="s">
        <v>20910</v>
      </c>
    </row>
    <row r="62652" customFormat="false" ht="12.8" hidden="false" customHeight="false" outlineLevel="0" collapsed="false">
      <c r="A62652" s="0" t="s">
        <v>20911</v>
      </c>
      <c r="B62652" s="0" t="str">
        <f aca="false">HYPERLINK("https://lindat.mff.cuni.cz/services/teitok/pdtc10/index.php?action=vallex&amp;frame=v-w8657f42_ZU", "vzít (v-w8657f42_ZU)")</f>
        <v>vzít (v-w8657f42_ZU)</v>
      </c>
    </row>
    <row r="62653" customFormat="false" ht="12.8" hidden="false" customHeight="false" outlineLevel="0" collapsed="false">
      <c r="B62653" s="0" t="s">
        <v>1</v>
      </c>
    </row>
    <row r="62654" customFormat="false" ht="12.8" hidden="false" customHeight="false" outlineLevel="0" collapsed="false">
      <c r="B62654" s="0" t="s">
        <v>20912</v>
      </c>
    </row>
    <row r="62655" customFormat="false" ht="12.8" hidden="false" customHeight="false" outlineLevel="0" collapsed="false">
      <c r="B62655" s="0" t="s">
        <v>186</v>
      </c>
    </row>
    <row r="62657" customFormat="false" ht="12.8" hidden="false" customHeight="false" outlineLevel="0" collapsed="false">
      <c r="A62657" s="0" t="s">
        <v>20911</v>
      </c>
      <c r="B62657" s="0" t="str">
        <f aca="false">HYPERLINK("https://lindat.mff.cuni.cz/services/teitok/pdtc10/index.php?action=vallex&amp;frame=v-w8657f41_ZU", "vzít (v-w8657f41_ZU) - substituted with v-w8657f42_ZU")</f>
        <v>vzít (v-w8657f41_ZU) - substituted with v-w8657f42_ZU</v>
      </c>
    </row>
    <row r="62658" customFormat="false" ht="12.8" hidden="false" customHeight="false" outlineLevel="0" collapsed="false">
      <c r="B62658" s="0" t="s">
        <v>1</v>
      </c>
    </row>
    <row r="62659" customFormat="false" ht="12.8" hidden="false" customHeight="false" outlineLevel="0" collapsed="false">
      <c r="B62659" s="0" t="s">
        <v>20912</v>
      </c>
    </row>
    <row r="62660" customFormat="false" ht="12.8" hidden="false" customHeight="false" outlineLevel="0" collapsed="false">
      <c r="B62660" s="0" t="s">
        <v>186</v>
      </c>
    </row>
    <row r="62662" customFormat="false" ht="12.8" hidden="false" customHeight="false" outlineLevel="0" collapsed="false">
      <c r="A62662" s="0" t="s">
        <v>20911</v>
      </c>
      <c r="B62662" s="0" t="str">
        <f aca="false">HYPERLINK("https://lindat.mff.cuni.cz/services/teitok/pdtc10/index.php?action=vallex&amp;frame=v-w8657hsa_1096", "vzít (v-w8657hsa_1096) - substituted with v-w8657f42_ZU")</f>
        <v>vzít (v-w8657hsa_1096) - substituted with v-w8657f42_ZU</v>
      </c>
    </row>
    <row r="62663" customFormat="false" ht="12.8" hidden="false" customHeight="false" outlineLevel="0" collapsed="false">
      <c r="B62663" s="0" t="s">
        <v>1</v>
      </c>
    </row>
    <row r="62664" customFormat="false" ht="12.8" hidden="false" customHeight="false" outlineLevel="0" collapsed="false">
      <c r="B62664" s="0" t="s">
        <v>20912</v>
      </c>
    </row>
    <row r="62665" customFormat="false" ht="12.8" hidden="false" customHeight="false" outlineLevel="0" collapsed="false">
      <c r="B62665" s="0" t="s">
        <v>186</v>
      </c>
    </row>
    <row r="62667" customFormat="false" ht="12.8" hidden="false" customHeight="false" outlineLevel="0" collapsed="false">
      <c r="A62667" s="0" t="s">
        <v>20913</v>
      </c>
      <c r="B62667" s="0" t="str">
        <f aca="false">HYPERLINK("https://lindat.mff.cuni.cz/services/teitok/pdtc10/index.php?action=vallex&amp;frame=v-w8657f43_ZU", "vzít (v-w8657f43_ZU)")</f>
        <v>vzít (v-w8657f43_ZU)</v>
      </c>
      <c r="E62667" s="0" t="str">
        <f aca="false">HYPERLINK("https://lindat.mff.cuni.cz/services/SynSemClass40/SynSemClass40.html?veclass=vec01474#vec01474-ces-cm00002", "vec01474")</f>
        <v>vec01474</v>
      </c>
      <c r="F62667" s="0" t="s">
        <v>20871</v>
      </c>
    </row>
    <row r="62668" customFormat="false" ht="12.8" hidden="false" customHeight="false" outlineLevel="0" collapsed="false">
      <c r="B62668" s="0" t="s">
        <v>1</v>
      </c>
      <c r="E62668" s="0" t="s">
        <v>11</v>
      </c>
      <c r="F62668" s="0" t="s">
        <v>959</v>
      </c>
    </row>
    <row r="62669" customFormat="false" ht="12.8" hidden="false" customHeight="false" outlineLevel="0" collapsed="false">
      <c r="B62669" s="0" t="s">
        <v>20914</v>
      </c>
    </row>
    <row r="62670" customFormat="false" ht="12.8" hidden="false" customHeight="false" outlineLevel="0" collapsed="false">
      <c r="B62670" s="0" t="s">
        <v>8</v>
      </c>
      <c r="C62670" s="0" t="s">
        <v>462</v>
      </c>
      <c r="E62670" s="0" t="s">
        <v>180</v>
      </c>
      <c r="F62670" s="0" t="s">
        <v>20873</v>
      </c>
    </row>
    <row r="62672" customFormat="false" ht="12.8" hidden="false" customHeight="false" outlineLevel="0" collapsed="false">
      <c r="A62672" s="0" t="s">
        <v>20915</v>
      </c>
      <c r="B62672" s="0" t="str">
        <f aca="false">HYPERLINK("https://lindat.mff.cuni.cz/services/teitok/pdtc10/index.php?action=vallex&amp;frame=v-w8657f16", "vzít (v-w8657f16)")</f>
        <v>vzít (v-w8657f16)</v>
      </c>
    </row>
    <row r="62673" customFormat="false" ht="12.8" hidden="false" customHeight="false" outlineLevel="0" collapsed="false">
      <c r="B62673" s="0" t="s">
        <v>1</v>
      </c>
    </row>
    <row r="62674" customFormat="false" ht="12.8" hidden="false" customHeight="false" outlineLevel="0" collapsed="false">
      <c r="B62674" s="0" t="s">
        <v>675</v>
      </c>
    </row>
    <row r="62675" customFormat="false" ht="12.8" hidden="false" customHeight="false" outlineLevel="0" collapsed="false">
      <c r="B62675" s="0" t="s">
        <v>8</v>
      </c>
    </row>
    <row r="62677" customFormat="false" ht="12.8" hidden="false" customHeight="false" outlineLevel="0" collapsed="false">
      <c r="A62677" s="0" t="s">
        <v>20916</v>
      </c>
      <c r="B62677" s="0" t="str">
        <f aca="false">HYPERLINK("https://lindat.mff.cuni.cz/services/teitok/pdtc10/index.php?action=vallex&amp;frame=v-w8657f45_ZU", "vzít (v-w8657f45_ZU)")</f>
        <v>vzít (v-w8657f45_ZU)</v>
      </c>
    </row>
    <row r="62678" customFormat="false" ht="12.8" hidden="false" customHeight="false" outlineLevel="0" collapsed="false">
      <c r="B62678" s="0" t="s">
        <v>1</v>
      </c>
    </row>
    <row r="62679" customFormat="false" ht="12.8" hidden="false" customHeight="false" outlineLevel="0" collapsed="false">
      <c r="B62679" s="0" t="s">
        <v>8</v>
      </c>
    </row>
    <row r="62681" customFormat="false" ht="12.8" hidden="false" customHeight="false" outlineLevel="0" collapsed="false">
      <c r="A62681" s="0" t="s">
        <v>20917</v>
      </c>
      <c r="B62681" s="0" t="str">
        <f aca="false">HYPERLINK("https://lindat.mff.cuni.cz/services/teitok/pdtc10/index.php?action=vallex&amp;frame=v-w8657f46_ZU", "vzít (v-w8657f46_ZU)")</f>
        <v>vzít (v-w8657f46_ZU)</v>
      </c>
    </row>
    <row r="62682" customFormat="false" ht="12.8" hidden="false" customHeight="false" outlineLevel="0" collapsed="false">
      <c r="B62682" s="0" t="s">
        <v>1</v>
      </c>
    </row>
    <row r="62683" customFormat="false" ht="12.8" hidden="false" customHeight="false" outlineLevel="0" collapsed="false">
      <c r="B62683" s="0" t="s">
        <v>8</v>
      </c>
    </row>
    <row r="62685" customFormat="false" ht="12.8" hidden="false" customHeight="false" outlineLevel="0" collapsed="false">
      <c r="A62685" s="0" t="s">
        <v>20918</v>
      </c>
      <c r="B62685" s="0" t="str">
        <f aca="false">HYPERLINK("https://lindat.mff.cuni.cz/services/teitok/pdtc10/index.php?action=vallex&amp;frame=v-w8657f47_ZU", "vzít (v-w8657f47_ZU)")</f>
        <v>vzít (v-w8657f47_ZU)</v>
      </c>
    </row>
    <row r="62686" customFormat="false" ht="12.8" hidden="false" customHeight="false" outlineLevel="0" collapsed="false">
      <c r="B62686" s="0" t="s">
        <v>1</v>
      </c>
    </row>
    <row r="62687" customFormat="false" ht="12.8" hidden="false" customHeight="false" outlineLevel="0" collapsed="false">
      <c r="B62687" s="0" t="s">
        <v>20919</v>
      </c>
    </row>
    <row r="62689" customFormat="false" ht="12.8" hidden="false" customHeight="false" outlineLevel="0" collapsed="false">
      <c r="A62689" s="0" t="s">
        <v>20920</v>
      </c>
      <c r="B62689" s="0" t="str">
        <f aca="false">HYPERLINK("https://lindat.mff.cuni.cz/services/teitok/pdtc10/index.php?action=vallex&amp;frame=v-w8657f48_ZU", "vzít (v-w8657f48_ZU)")</f>
        <v>vzít (v-w8657f48_ZU)</v>
      </c>
    </row>
    <row r="62690" customFormat="false" ht="12.8" hidden="false" customHeight="false" outlineLevel="0" collapsed="false">
      <c r="B62690" s="0" t="s">
        <v>1</v>
      </c>
    </row>
    <row r="62691" customFormat="false" ht="12.8" hidden="false" customHeight="false" outlineLevel="0" collapsed="false">
      <c r="B62691" s="0" t="s">
        <v>20921</v>
      </c>
    </row>
    <row r="62692" customFormat="false" ht="12.8" hidden="false" customHeight="false" outlineLevel="0" collapsed="false">
      <c r="B62692" s="0" t="s">
        <v>8</v>
      </c>
    </row>
    <row r="62694" customFormat="false" ht="12.8" hidden="false" customHeight="false" outlineLevel="0" collapsed="false">
      <c r="A62694" s="0" t="s">
        <v>20922</v>
      </c>
      <c r="B62694" s="0" t="str">
        <f aca="false">HYPERLINK("https://lindat.mff.cuni.cz/services/teitok/pdtc10/index.php?action=vallex&amp;frame=v-w8657f49_ZU", "vzít (v-w8657f49_ZU)")</f>
        <v>vzít (v-w8657f49_ZU)</v>
      </c>
    </row>
    <row r="62695" customFormat="false" ht="12.8" hidden="false" customHeight="false" outlineLevel="0" collapsed="false">
      <c r="B62695" s="0" t="s">
        <v>1</v>
      </c>
    </row>
    <row r="62696" customFormat="false" ht="12.8" hidden="false" customHeight="false" outlineLevel="0" collapsed="false">
      <c r="B62696" s="0" t="s">
        <v>8</v>
      </c>
    </row>
    <row r="62698" customFormat="false" ht="12.8" hidden="false" customHeight="false" outlineLevel="0" collapsed="false">
      <c r="A62698" s="0" t="s">
        <v>20923</v>
      </c>
      <c r="B62698" s="0" t="str">
        <f aca="false">HYPERLINK("https://lindat.mff.cuni.cz/services/teitok/pdtc10/index.php?action=vallex&amp;frame=v-w8657f50_MM", "vzít (v-w8657f50_MM)")</f>
        <v>vzít (v-w8657f50_MM)</v>
      </c>
    </row>
    <row r="62699" customFormat="false" ht="12.8" hidden="false" customHeight="false" outlineLevel="0" collapsed="false">
      <c r="B62699" s="0" t="s">
        <v>1</v>
      </c>
    </row>
    <row r="62700" customFormat="false" ht="12.8" hidden="false" customHeight="false" outlineLevel="0" collapsed="false">
      <c r="B62700" s="0" t="s">
        <v>20924</v>
      </c>
    </row>
    <row r="62701" customFormat="false" ht="12.8" hidden="false" customHeight="false" outlineLevel="0" collapsed="false">
      <c r="B62701" s="0" t="s">
        <v>8</v>
      </c>
    </row>
    <row r="62703" customFormat="false" ht="12.8" hidden="false" customHeight="false" outlineLevel="0" collapsed="false">
      <c r="A62703" s="0" t="s">
        <v>20925</v>
      </c>
      <c r="B62703" s="0" t="str">
        <f aca="false">HYPERLINK("https://lindat.mff.cuni.cz/services/teitok/pdtc10/index.php?action=vallex&amp;frame=v-w8657hsa_942", "vzít (v-w8657hsa_942)")</f>
        <v>vzít (v-w8657hsa_942)</v>
      </c>
    </row>
    <row r="62704" customFormat="false" ht="12.8" hidden="false" customHeight="false" outlineLevel="0" collapsed="false">
      <c r="B62704" s="0" t="s">
        <v>1</v>
      </c>
    </row>
    <row r="62706" customFormat="false" ht="12.8" hidden="false" customHeight="false" outlineLevel="0" collapsed="false">
      <c r="A62706" s="0" t="s">
        <v>20926</v>
      </c>
      <c r="B62706" s="0" t="str">
        <f aca="false">HYPERLINK("https://lindat.mff.cuni.cz/services/teitok/pdtc10/index.php?action=vallex&amp;frame=v-w8657hsa_943", "vzít (v-w8657hsa_943)")</f>
        <v>vzít (v-w8657hsa_943)</v>
      </c>
    </row>
    <row r="62707" customFormat="false" ht="12.8" hidden="false" customHeight="false" outlineLevel="0" collapsed="false">
      <c r="B62707" s="0" t="s">
        <v>1</v>
      </c>
    </row>
    <row r="62708" customFormat="false" ht="12.8" hidden="false" customHeight="false" outlineLevel="0" collapsed="false">
      <c r="B62708" s="0" t="s">
        <v>8</v>
      </c>
    </row>
    <row r="62710" customFormat="false" ht="12.8" hidden="false" customHeight="false" outlineLevel="0" collapsed="false">
      <c r="A62710" s="0" t="s">
        <v>20927</v>
      </c>
      <c r="B62710" s="0" t="str">
        <f aca="false">HYPERLINK("https://lindat.mff.cuni.cz/services/teitok/pdtc10/index.php?action=vallex&amp;frame=v-w8657hsa_944", "vzít (v-w8657hsa_944)")</f>
        <v>vzít (v-w8657hsa_944)</v>
      </c>
    </row>
    <row r="62711" customFormat="false" ht="12.8" hidden="false" customHeight="false" outlineLevel="0" collapsed="false">
      <c r="B62711" s="0" t="s">
        <v>1</v>
      </c>
    </row>
    <row r="62712" customFormat="false" ht="12.8" hidden="false" customHeight="false" outlineLevel="0" collapsed="false">
      <c r="B62712" s="0" t="s">
        <v>8</v>
      </c>
    </row>
    <row r="62714" customFormat="false" ht="12.8" hidden="false" customHeight="false" outlineLevel="0" collapsed="false">
      <c r="A62714" s="0" t="s">
        <v>20928</v>
      </c>
      <c r="B62714" s="0" t="str">
        <f aca="false">HYPERLINK("https://lindat.mff.cuni.cz/services/teitok/pdtc10/index.php?action=vallex&amp;frame=v-w8657hsa_945", "vzít (v-w8657hsa_945)")</f>
        <v>vzít (v-w8657hsa_945)</v>
      </c>
    </row>
    <row r="62715" customFormat="false" ht="12.8" hidden="false" customHeight="false" outlineLevel="0" collapsed="false">
      <c r="B62715" s="0" t="s">
        <v>1</v>
      </c>
    </row>
    <row r="62716" customFormat="false" ht="12.8" hidden="false" customHeight="false" outlineLevel="0" collapsed="false">
      <c r="B62716" s="0" t="s">
        <v>8</v>
      </c>
    </row>
    <row r="62717" customFormat="false" ht="12.8" hidden="false" customHeight="false" outlineLevel="0" collapsed="false">
      <c r="B62717" s="0" t="s">
        <v>631</v>
      </c>
    </row>
    <row r="62719" customFormat="false" ht="12.8" hidden="false" customHeight="false" outlineLevel="0" collapsed="false">
      <c r="A62719" s="0" t="s">
        <v>20929</v>
      </c>
      <c r="B62719" s="0" t="str">
        <f aca="false">HYPERLINK("https://lindat.mff.cuni.cz/services/teitok/pdtc10/index.php?action=vallex&amp;frame=v-w8657hsa_946", "vzít (v-w8657hsa_946)")</f>
        <v>vzít (v-w8657hsa_946)</v>
      </c>
    </row>
    <row r="62720" customFormat="false" ht="12.8" hidden="false" customHeight="false" outlineLevel="0" collapsed="false">
      <c r="B62720" s="0" t="s">
        <v>1</v>
      </c>
    </row>
    <row r="62721" customFormat="false" ht="12.8" hidden="false" customHeight="false" outlineLevel="0" collapsed="false">
      <c r="B62721" s="0" t="s">
        <v>8</v>
      </c>
    </row>
    <row r="62722" customFormat="false" ht="12.8" hidden="false" customHeight="false" outlineLevel="0" collapsed="false">
      <c r="B62722" s="0" t="s">
        <v>852</v>
      </c>
    </row>
    <row r="62724" customFormat="false" ht="12.8" hidden="false" customHeight="false" outlineLevel="0" collapsed="false">
      <c r="A62724" s="0" t="s">
        <v>20930</v>
      </c>
      <c r="B62724" s="0" t="str">
        <f aca="false">HYPERLINK("https://lindat.mff.cuni.cz/services/teitok/pdtc10/index.php?action=vallex&amp;frame=v-w8658f3", "vzít se (v-w8658f3)")</f>
        <v>vzít se (v-w8658f3)</v>
      </c>
    </row>
    <row r="62725" customFormat="false" ht="12.8" hidden="false" customHeight="false" outlineLevel="0" collapsed="false">
      <c r="B62725" s="0" t="s">
        <v>1</v>
      </c>
    </row>
    <row r="62726" customFormat="false" ht="12.8" hidden="false" customHeight="false" outlineLevel="0" collapsed="false">
      <c r="B62726" s="0" t="s">
        <v>718</v>
      </c>
    </row>
    <row r="62728" customFormat="false" ht="12.8" hidden="false" customHeight="false" outlineLevel="0" collapsed="false">
      <c r="A62728" s="0" t="s">
        <v>20931</v>
      </c>
      <c r="B62728" s="0" t="str">
        <f aca="false">HYPERLINK("https://lindat.mff.cuni.cz/services/teitok/pdtc10/index.php?action=vallex&amp;frame=v-w8658f2", "vzít se (v-w8658f2)")</f>
        <v>vzít se (v-w8658f2)</v>
      </c>
    </row>
    <row r="62729" customFormat="false" ht="12.8" hidden="false" customHeight="false" outlineLevel="0" collapsed="false">
      <c r="B62729" s="0" t="s">
        <v>1</v>
      </c>
    </row>
    <row r="62730" customFormat="false" ht="12.8" hidden="false" customHeight="false" outlineLevel="0" collapsed="false">
      <c r="B62730" s="0" t="s">
        <v>3321</v>
      </c>
    </row>
    <row r="62732" customFormat="false" ht="12.8" hidden="false" customHeight="false" outlineLevel="0" collapsed="false">
      <c r="A62732" s="0" t="s">
        <v>20932</v>
      </c>
      <c r="B62732" s="0" t="str">
        <f aca="false">HYPERLINK("https://lindat.mff.cuni.cz/services/teitok/pdtc10/index.php?action=vallex&amp;frame=v-w8658f1", "vzít se (v-w8658f1)")</f>
        <v>vzít se (v-w8658f1)</v>
      </c>
    </row>
    <row r="62733" customFormat="false" ht="12.8" hidden="false" customHeight="false" outlineLevel="0" collapsed="false">
      <c r="B62733" s="0" t="s">
        <v>1</v>
      </c>
    </row>
    <row r="62734" customFormat="false" ht="12.8" hidden="false" customHeight="false" outlineLevel="0" collapsed="false">
      <c r="B62734" s="0" t="s">
        <v>5</v>
      </c>
    </row>
    <row r="62736" customFormat="false" ht="12.8" hidden="false" customHeight="false" outlineLevel="0" collapsed="false">
      <c r="A62736" s="0" t="s">
        <v>20933</v>
      </c>
      <c r="B62736" s="0" t="str">
        <f aca="false">HYPERLINK("https://lindat.mff.cuni.cz/services/teitok/pdtc10/index.php?action=vallex&amp;frame=v-w8658hsa_799", "vzít se (v-w8658hsa_799)")</f>
        <v>vzít se (v-w8658hsa_799)</v>
      </c>
      <c r="E62736" s="0" t="str">
        <f aca="false">HYPERLINK("https://lindat.mff.cuni.cz/services/SynSemClass40/SynSemClass40.html?veclass=vec00071#vec00071-ces-cm00030", "vec00071")</f>
        <v>vec00071</v>
      </c>
      <c r="F62736" s="0" t="s">
        <v>10655</v>
      </c>
    </row>
    <row r="62737" customFormat="false" ht="12.8" hidden="false" customHeight="false" outlineLevel="0" collapsed="false">
      <c r="B62737" s="0" t="s">
        <v>1</v>
      </c>
      <c r="C62737" s="0" t="s">
        <v>10656</v>
      </c>
      <c r="E62737" s="0" t="s">
        <v>957</v>
      </c>
      <c r="F62737" s="0" t="s">
        <v>10657</v>
      </c>
    </row>
    <row r="62738" customFormat="false" ht="12.8" hidden="false" customHeight="false" outlineLevel="0" collapsed="false">
      <c r="B62738" s="0" t="s">
        <v>631</v>
      </c>
      <c r="E62738" s="0" t="s">
        <v>20934</v>
      </c>
      <c r="F62738" s="0" t="s">
        <v>20935</v>
      </c>
    </row>
    <row r="62740" customFormat="false" ht="12.8" hidden="false" customHeight="false" outlineLevel="0" collapsed="false">
      <c r="A62740" s="0" t="s">
        <v>20936</v>
      </c>
      <c r="B62740" s="0" t="str">
        <f aca="false">HYPERLINK("https://lindat.mff.cuni.cz/services/teitok/pdtc10/index.php?action=vallex&amp;frame=v-w8658f4_MM", "vzít se (v-w8658f4_MM)")</f>
        <v>vzít se (v-w8658f4_MM)</v>
      </c>
    </row>
    <row r="62741" customFormat="false" ht="12.8" hidden="false" customHeight="false" outlineLevel="0" collapsed="false">
      <c r="B62741" s="0" t="s">
        <v>1</v>
      </c>
    </row>
    <row r="62742" customFormat="false" ht="12.8" hidden="false" customHeight="false" outlineLevel="0" collapsed="false">
      <c r="B62742" s="0" t="s">
        <v>20937</v>
      </c>
    </row>
    <row r="62744" customFormat="false" ht="12.8" hidden="false" customHeight="false" outlineLevel="0" collapsed="false">
      <c r="A62744" s="0" t="s">
        <v>20938</v>
      </c>
      <c r="B62744" s="0" t="str">
        <f aca="false">HYPERLINK("https://lindat.mff.cuni.cz/services/teitok/pdtc10/index.php?action=vallex&amp;frame=v-w8659f1", "vzít si (v-w8659f1)")</f>
        <v>vzít si (v-w8659f1)</v>
      </c>
      <c r="E62744" s="0" t="str">
        <f aca="false">HYPERLINK("https://lindat.mff.cuni.cz/services/SynSemClass40/SynSemClass40.html?veclass=vec00532#vec00532-ces-cm00027", "vec00532")</f>
        <v>vec00532</v>
      </c>
      <c r="F62744" s="0" t="s">
        <v>603</v>
      </c>
    </row>
    <row r="62745" customFormat="false" ht="12.8" hidden="false" customHeight="false" outlineLevel="0" collapsed="false">
      <c r="B62745" s="0" t="s">
        <v>1</v>
      </c>
      <c r="C62745" s="0" t="s">
        <v>20845</v>
      </c>
      <c r="E62745" s="0" t="s">
        <v>606</v>
      </c>
      <c r="F62745" s="0" t="s">
        <v>607</v>
      </c>
    </row>
    <row r="62746" customFormat="false" ht="12.8" hidden="false" customHeight="false" outlineLevel="0" collapsed="false">
      <c r="B62746" s="0" t="s">
        <v>8</v>
      </c>
      <c r="C62746" s="0" t="s">
        <v>20846</v>
      </c>
      <c r="E62746" s="0" t="s">
        <v>610</v>
      </c>
      <c r="F62746" s="0" t="s">
        <v>611</v>
      </c>
    </row>
    <row r="62747" customFormat="false" ht="12.8" hidden="false" customHeight="false" outlineLevel="0" collapsed="false">
      <c r="B62747" s="0" t="s">
        <v>602</v>
      </c>
      <c r="C62747" s="0" t="s">
        <v>613</v>
      </c>
      <c r="E62747" s="0" t="s">
        <v>614</v>
      </c>
      <c r="F62747" s="0" t="s">
        <v>615</v>
      </c>
    </row>
    <row r="62748" customFormat="false" ht="12.8" hidden="false" customHeight="false" outlineLevel="0" collapsed="false">
      <c r="B62748" s="0" t="s">
        <v>723</v>
      </c>
      <c r="C62748" s="0" t="s">
        <v>20939</v>
      </c>
      <c r="E62748" s="0" t="s">
        <v>3418</v>
      </c>
      <c r="F62748" s="0" t="s">
        <v>20940</v>
      </c>
    </row>
    <row r="62750" customFormat="false" ht="12.8" hidden="false" customHeight="false" outlineLevel="0" collapsed="false">
      <c r="A62750" s="0" t="s">
        <v>20941</v>
      </c>
      <c r="B62750" s="0" t="str">
        <f aca="false">HYPERLINK("https://lindat.mff.cuni.cz/services/teitok/pdtc10/index.php?action=vallex&amp;frame=v-w8659f3", "vzít si (v-w8659f3)")</f>
        <v>vzít si (v-w8659f3)</v>
      </c>
    </row>
    <row r="62751" customFormat="false" ht="12.8" hidden="false" customHeight="false" outlineLevel="0" collapsed="false">
      <c r="B62751" s="0" t="s">
        <v>1</v>
      </c>
    </row>
    <row r="62752" customFormat="false" ht="12.8" hidden="false" customHeight="false" outlineLevel="0" collapsed="false">
      <c r="B62752" s="0" t="s">
        <v>8</v>
      </c>
    </row>
    <row r="62753" customFormat="false" ht="12.8" hidden="false" customHeight="false" outlineLevel="0" collapsed="false">
      <c r="B62753" s="0" t="s">
        <v>723</v>
      </c>
    </row>
    <row r="62755" customFormat="false" ht="12.8" hidden="false" customHeight="false" outlineLevel="0" collapsed="false">
      <c r="A62755" s="0" t="s">
        <v>20942</v>
      </c>
      <c r="B62755" s="0" t="str">
        <f aca="false">HYPERLINK("https://lindat.mff.cuni.cz/services/teitok/pdtc10/index.php?action=vallex&amp;frame=v-w8659f15_ZU", "vzít si (v-w8659f15_ZU)")</f>
        <v>vzít si (v-w8659f15_ZU)</v>
      </c>
    </row>
    <row r="62756" customFormat="false" ht="12.8" hidden="false" customHeight="false" outlineLevel="0" collapsed="false">
      <c r="B62756" s="0" t="s">
        <v>1</v>
      </c>
    </row>
    <row r="62757" customFormat="false" ht="12.8" hidden="false" customHeight="false" outlineLevel="0" collapsed="false">
      <c r="B62757" s="0" t="s">
        <v>228</v>
      </c>
    </row>
    <row r="62759" customFormat="false" ht="12.8" hidden="false" customHeight="false" outlineLevel="0" collapsed="false">
      <c r="A62759" s="0" t="s">
        <v>20942</v>
      </c>
      <c r="B62759" s="0" t="str">
        <f aca="false">HYPERLINK("https://lindat.mff.cuni.cz/services/teitok/pdtc10/index.php?action=vallex&amp;frame=v-w8659f4", "vzít si (v-w8659f4) - substituted with v-w8659f15_ZU")</f>
        <v>vzít si (v-w8659f4) - substituted with v-w8659f15_ZU</v>
      </c>
      <c r="E62759" s="0" t="str">
        <f aca="false">HYPERLINK("https://lindat.mff.cuni.cz/services/SynSemClass40/SynSemClass40.html?veclass=vec00149#vec00149-ces-cm00016", "vec00149")</f>
        <v>vec00149</v>
      </c>
      <c r="F62759" s="0" t="s">
        <v>686</v>
      </c>
    </row>
    <row r="62760" customFormat="false" ht="12.8" hidden="false" customHeight="false" outlineLevel="0" collapsed="false">
      <c r="B62760" s="0" t="s">
        <v>1</v>
      </c>
      <c r="C62760" s="0" t="s">
        <v>687</v>
      </c>
      <c r="E62760" s="0" t="s">
        <v>621</v>
      </c>
      <c r="F62760" s="0" t="s">
        <v>688</v>
      </c>
    </row>
    <row r="62761" customFormat="false" ht="12.8" hidden="false" customHeight="false" outlineLevel="0" collapsed="false">
      <c r="B62761" s="0" t="s">
        <v>228</v>
      </c>
      <c r="C62761" s="0" t="s">
        <v>690</v>
      </c>
      <c r="E62761" s="0" t="s">
        <v>209</v>
      </c>
      <c r="F62761" s="0" t="s">
        <v>691</v>
      </c>
    </row>
    <row r="62763" customFormat="false" ht="12.8" hidden="false" customHeight="false" outlineLevel="0" collapsed="false">
      <c r="A62763" s="0" t="s">
        <v>20943</v>
      </c>
      <c r="B62763" s="0" t="str">
        <f aca="false">HYPERLINK("https://lindat.mff.cuni.cz/services/teitok/pdtc10/index.php?action=vallex&amp;frame=v-w8659f2", "vzít si (v-w8659f2)")</f>
        <v>vzít si (v-w8659f2)</v>
      </c>
    </row>
    <row r="62764" customFormat="false" ht="12.8" hidden="false" customHeight="false" outlineLevel="0" collapsed="false">
      <c r="B62764" s="0" t="s">
        <v>1</v>
      </c>
    </row>
    <row r="62765" customFormat="false" ht="12.8" hidden="false" customHeight="false" outlineLevel="0" collapsed="false">
      <c r="B62765" s="0" t="s">
        <v>8</v>
      </c>
    </row>
    <row r="62767" customFormat="false" ht="12.8" hidden="false" customHeight="false" outlineLevel="0" collapsed="false">
      <c r="A62767" s="0" t="s">
        <v>20944</v>
      </c>
      <c r="B62767" s="0" t="str">
        <f aca="false">HYPERLINK("https://lindat.mff.cuni.cz/services/teitok/pdtc10/index.php?action=vallex&amp;frame=v-w8659f8", "vzít si (v-w8659f8)")</f>
        <v>vzít si (v-w8659f8)</v>
      </c>
    </row>
    <row r="62768" customFormat="false" ht="12.8" hidden="false" customHeight="false" outlineLevel="0" collapsed="false">
      <c r="B62768" s="0" t="s">
        <v>1</v>
      </c>
    </row>
    <row r="62769" customFormat="false" ht="12.8" hidden="false" customHeight="false" outlineLevel="0" collapsed="false">
      <c r="B62769" s="0" t="s">
        <v>8</v>
      </c>
    </row>
    <row r="62770" customFormat="false" ht="12.8" hidden="false" customHeight="false" outlineLevel="0" collapsed="false">
      <c r="B62770" s="0" t="s">
        <v>725</v>
      </c>
    </row>
    <row r="62771" customFormat="false" ht="12.8" hidden="false" customHeight="false" outlineLevel="0" collapsed="false">
      <c r="B62771" s="0" t="s">
        <v>642</v>
      </c>
    </row>
    <row r="62772" customFormat="false" ht="12.8" hidden="false" customHeight="false" outlineLevel="0" collapsed="false">
      <c r="B62772" s="0" t="s">
        <v>646</v>
      </c>
    </row>
    <row r="62773" customFormat="false" ht="12.8" hidden="false" customHeight="false" outlineLevel="0" collapsed="false">
      <c r="B62773" s="0" t="s">
        <v>648</v>
      </c>
    </row>
    <row r="62774" customFormat="false" ht="12.8" hidden="false" customHeight="false" outlineLevel="0" collapsed="false">
      <c r="B62774" s="0" t="s">
        <v>650</v>
      </c>
    </row>
    <row r="62775" customFormat="false" ht="12.8" hidden="false" customHeight="false" outlineLevel="0" collapsed="false">
      <c r="B62775" s="0" t="s">
        <v>652</v>
      </c>
    </row>
    <row r="62777" customFormat="false" ht="12.8" hidden="false" customHeight="false" outlineLevel="0" collapsed="false">
      <c r="A62777" s="0" t="s">
        <v>20945</v>
      </c>
      <c r="B62777" s="0" t="str">
        <f aca="false">HYPERLINK("https://lindat.mff.cuni.cz/services/teitok/pdtc10/index.php?action=vallex&amp;frame=v-w8659f11_ZU", "vzít si (v-w8659f11_ZU)")</f>
        <v>vzít si (v-w8659f11_ZU)</v>
      </c>
    </row>
    <row r="62778" customFormat="false" ht="12.8" hidden="false" customHeight="false" outlineLevel="0" collapsed="false">
      <c r="B62778" s="0" t="s">
        <v>1</v>
      </c>
    </row>
    <row r="62779" customFormat="false" ht="12.8" hidden="false" customHeight="false" outlineLevel="0" collapsed="false">
      <c r="B62779" s="0" t="s">
        <v>8</v>
      </c>
    </row>
    <row r="62781" customFormat="false" ht="12.8" hidden="false" customHeight="false" outlineLevel="0" collapsed="false">
      <c r="A62781" s="0" t="s">
        <v>20946</v>
      </c>
      <c r="B62781" s="0" t="str">
        <f aca="false">HYPERLINK("https://lindat.mff.cuni.cz/services/teitok/pdtc10/index.php?action=vallex&amp;frame=v-w8659f5", "vzít si (v-w8659f5)")</f>
        <v>vzít si (v-w8659f5)</v>
      </c>
      <c r="E62781" s="0" t="str">
        <f aca="false">HYPERLINK("https://lindat.mff.cuni.cz/services/SynSemClass40/SynSemClass40.html?veclass=vec01166#vec01166-ces-cm00001", "vec01166")</f>
        <v>vec01166</v>
      </c>
      <c r="F62781" s="0" t="s">
        <v>20947</v>
      </c>
    </row>
    <row r="62782" customFormat="false" ht="12.8" hidden="false" customHeight="false" outlineLevel="0" collapsed="false">
      <c r="B62782" s="0" t="s">
        <v>1</v>
      </c>
      <c r="E62782" s="0" t="s">
        <v>266</v>
      </c>
      <c r="F62782" s="0" t="s">
        <v>2052</v>
      </c>
    </row>
    <row r="62783" customFormat="false" ht="12.8" hidden="false" customHeight="false" outlineLevel="0" collapsed="false">
      <c r="B62783" s="0" t="s">
        <v>20948</v>
      </c>
    </row>
    <row r="62784" customFormat="false" ht="12.8" hidden="false" customHeight="false" outlineLevel="0" collapsed="false">
      <c r="B62784" s="0" t="s">
        <v>8</v>
      </c>
      <c r="E62784" s="0" t="s">
        <v>180</v>
      </c>
      <c r="F62784" s="0" t="s">
        <v>20088</v>
      </c>
    </row>
    <row r="62786" customFormat="false" ht="12.8" hidden="false" customHeight="false" outlineLevel="0" collapsed="false">
      <c r="A62786" s="0" t="s">
        <v>20949</v>
      </c>
      <c r="B62786" s="0" t="str">
        <f aca="false">HYPERLINK("https://lindat.mff.cuni.cz/services/teitok/pdtc10/index.php?action=vallex&amp;frame=v-w8659f10", "vzít si (v-w8659f10)")</f>
        <v>vzít si (v-w8659f10)</v>
      </c>
    </row>
    <row r="62787" customFormat="false" ht="12.8" hidden="false" customHeight="false" outlineLevel="0" collapsed="false">
      <c r="B62787" s="0" t="s">
        <v>1</v>
      </c>
    </row>
    <row r="62788" customFormat="false" ht="12.8" hidden="false" customHeight="false" outlineLevel="0" collapsed="false">
      <c r="B62788" s="0" t="s">
        <v>728</v>
      </c>
    </row>
    <row r="62789" customFormat="false" ht="12.8" hidden="false" customHeight="false" outlineLevel="0" collapsed="false">
      <c r="B62789" s="0" t="s">
        <v>8</v>
      </c>
    </row>
    <row r="62791" customFormat="false" ht="12.8" hidden="false" customHeight="false" outlineLevel="0" collapsed="false">
      <c r="A62791" s="0" t="s">
        <v>20950</v>
      </c>
      <c r="B62791" s="0" t="str">
        <f aca="false">HYPERLINK("https://lindat.mff.cuni.cz/services/teitok/pdtc10/index.php?action=vallex&amp;frame=v-w8659f9", "vzít si (v-w8659f9)")</f>
        <v>vzít si (v-w8659f9)</v>
      </c>
    </row>
    <row r="62792" customFormat="false" ht="12.8" hidden="false" customHeight="false" outlineLevel="0" collapsed="false">
      <c r="B62792" s="0" t="s">
        <v>1</v>
      </c>
    </row>
    <row r="62793" customFormat="false" ht="12.8" hidden="false" customHeight="false" outlineLevel="0" collapsed="false">
      <c r="B62793" s="0" t="s">
        <v>3534</v>
      </c>
    </row>
    <row r="62794" customFormat="false" ht="12.8" hidden="false" customHeight="false" outlineLevel="0" collapsed="false">
      <c r="B62794" s="0" t="s">
        <v>8</v>
      </c>
    </row>
    <row r="62796" customFormat="false" ht="12.8" hidden="false" customHeight="false" outlineLevel="0" collapsed="false">
      <c r="A62796" s="0" t="s">
        <v>20951</v>
      </c>
      <c r="B62796" s="0" t="str">
        <f aca="false">HYPERLINK("https://lindat.mff.cuni.cz/services/teitok/pdtc10/index.php?action=vallex&amp;frame=v-w8659f7", "vzít si (v-w8659f7)")</f>
        <v>vzít si (v-w8659f7)</v>
      </c>
    </row>
    <row r="62797" customFormat="false" ht="12.8" hidden="false" customHeight="false" outlineLevel="0" collapsed="false">
      <c r="B62797" s="0" t="s">
        <v>1</v>
      </c>
    </row>
    <row r="62798" customFormat="false" ht="12.8" hidden="false" customHeight="false" outlineLevel="0" collapsed="false">
      <c r="B62798" s="0" t="s">
        <v>6738</v>
      </c>
    </row>
    <row r="62799" customFormat="false" ht="12.8" hidden="false" customHeight="false" outlineLevel="0" collapsed="false">
      <c r="B62799" s="0" t="s">
        <v>444</v>
      </c>
    </row>
    <row r="62801" customFormat="false" ht="12.8" hidden="false" customHeight="false" outlineLevel="0" collapsed="false">
      <c r="A62801" s="0" t="s">
        <v>20952</v>
      </c>
      <c r="B62801" s="0" t="str">
        <f aca="false">HYPERLINK("https://lindat.mff.cuni.cz/services/teitok/pdtc10/index.php?action=vallex&amp;frame=v-w8659f6", "vzít si (v-w8659f6)")</f>
        <v>vzít si (v-w8659f6)</v>
      </c>
    </row>
    <row r="62802" customFormat="false" ht="12.8" hidden="false" customHeight="false" outlineLevel="0" collapsed="false">
      <c r="B62802" s="0" t="s">
        <v>1</v>
      </c>
    </row>
    <row r="62803" customFormat="false" ht="12.8" hidden="false" customHeight="false" outlineLevel="0" collapsed="false">
      <c r="B62803" s="0" t="s">
        <v>11203</v>
      </c>
    </row>
    <row r="62805" customFormat="false" ht="12.8" hidden="false" customHeight="false" outlineLevel="0" collapsed="false">
      <c r="A62805" s="0" t="s">
        <v>20953</v>
      </c>
      <c r="B62805" s="0" t="str">
        <f aca="false">HYPERLINK("https://lindat.mff.cuni.cz/services/teitok/pdtc10/index.php?action=vallex&amp;frame=v-w8659f14_ZU", "vzít si (v-w8659f14_ZU)")</f>
        <v>vzít si (v-w8659f14_ZU)</v>
      </c>
    </row>
    <row r="62806" customFormat="false" ht="12.8" hidden="false" customHeight="false" outlineLevel="0" collapsed="false">
      <c r="B62806" s="0" t="s">
        <v>1</v>
      </c>
    </row>
    <row r="62807" customFormat="false" ht="12.8" hidden="false" customHeight="false" outlineLevel="0" collapsed="false">
      <c r="B62807" s="0" t="s">
        <v>14016</v>
      </c>
    </row>
    <row r="62809" customFormat="false" ht="12.8" hidden="false" customHeight="false" outlineLevel="0" collapsed="false">
      <c r="A62809" s="0" t="s">
        <v>20954</v>
      </c>
      <c r="B62809" s="0" t="str">
        <f aca="false">HYPERLINK("https://lindat.mff.cuni.cz/services/teitok/pdtc10/index.php?action=vallex&amp;frame=v-w8659f16_ZU", "vzít si (v-w8659f16_ZU)")</f>
        <v>vzít si (v-w8659f16_ZU)</v>
      </c>
    </row>
    <row r="62810" customFormat="false" ht="12.8" hidden="false" customHeight="false" outlineLevel="0" collapsed="false">
      <c r="B62810" s="0" t="s">
        <v>1</v>
      </c>
    </row>
    <row r="62811" customFormat="false" ht="12.8" hidden="false" customHeight="false" outlineLevel="0" collapsed="false">
      <c r="B62811" s="0" t="s">
        <v>20955</v>
      </c>
    </row>
    <row r="62812" customFormat="false" ht="12.8" hidden="false" customHeight="false" outlineLevel="0" collapsed="false">
      <c r="B62812" s="0" t="s">
        <v>8</v>
      </c>
    </row>
    <row r="62814" customFormat="false" ht="12.8" hidden="false" customHeight="false" outlineLevel="0" collapsed="false">
      <c r="A62814" s="0" t="s">
        <v>20956</v>
      </c>
      <c r="B62814" s="0" t="str">
        <f aca="false">HYPERLINK("https://lindat.mff.cuni.cz/services/teitok/pdtc10/index.php?action=vallex&amp;frame=v-w8659f17_ZU", "vzít si (v-w8659f17_ZU)")</f>
        <v>vzít si (v-w8659f17_ZU)</v>
      </c>
    </row>
    <row r="62815" customFormat="false" ht="12.8" hidden="false" customHeight="false" outlineLevel="0" collapsed="false">
      <c r="B62815" s="0" t="s">
        <v>1</v>
      </c>
    </row>
    <row r="62816" customFormat="false" ht="12.8" hidden="false" customHeight="false" outlineLevel="0" collapsed="false">
      <c r="B62816" s="0" t="s">
        <v>18677</v>
      </c>
    </row>
    <row r="62817" customFormat="false" ht="12.8" hidden="false" customHeight="false" outlineLevel="0" collapsed="false">
      <c r="B62817" s="0" t="s">
        <v>59</v>
      </c>
    </row>
    <row r="62819" customFormat="false" ht="12.8" hidden="false" customHeight="false" outlineLevel="0" collapsed="false">
      <c r="A62819" s="0" t="s">
        <v>20957</v>
      </c>
      <c r="B62819" s="0" t="str">
        <f aca="false">HYPERLINK("https://lindat.mff.cuni.cz/services/teitok/pdtc10/index.php?action=vallex&amp;frame=v-w8659f18_MM", "vzít si (v-w8659f18_MM)")</f>
        <v>vzít si (v-w8659f18_MM)</v>
      </c>
    </row>
    <row r="62820" customFormat="false" ht="12.8" hidden="false" customHeight="false" outlineLevel="0" collapsed="false">
      <c r="B62820" s="0" t="s">
        <v>1</v>
      </c>
    </row>
    <row r="62821" customFormat="false" ht="12.8" hidden="false" customHeight="false" outlineLevel="0" collapsed="false">
      <c r="B62821" s="0" t="s">
        <v>20958</v>
      </c>
    </row>
    <row r="62822" customFormat="false" ht="12.8" hidden="false" customHeight="false" outlineLevel="0" collapsed="false">
      <c r="B62822" s="0" t="s">
        <v>8</v>
      </c>
    </row>
    <row r="62824" customFormat="false" ht="12.8" hidden="false" customHeight="false" outlineLevel="0" collapsed="false">
      <c r="A62824" s="0" t="s">
        <v>20957</v>
      </c>
      <c r="B62824" s="0" t="str">
        <f aca="false">HYPERLINK("https://lindat.mff.cuni.cz/services/teitok/pdtc10/index.php?action=vallex&amp;frame=v-w8659f12_ZU", "vzít si (v-w8659f12_ZU) - substituted with v-w8659f18_MM")</f>
        <v>vzít si (v-w8659f12_ZU) - substituted with v-w8659f18_MM</v>
      </c>
    </row>
    <row r="62825" customFormat="false" ht="12.8" hidden="false" customHeight="false" outlineLevel="0" collapsed="false">
      <c r="B62825" s="0" t="s">
        <v>1</v>
      </c>
    </row>
    <row r="62826" customFormat="false" ht="12.8" hidden="false" customHeight="false" outlineLevel="0" collapsed="false">
      <c r="B62826" s="0" t="s">
        <v>20958</v>
      </c>
    </row>
    <row r="62827" customFormat="false" ht="12.8" hidden="false" customHeight="false" outlineLevel="0" collapsed="false">
      <c r="B62827" s="0" t="s">
        <v>8</v>
      </c>
    </row>
    <row r="62829" customFormat="false" ht="12.8" hidden="false" customHeight="false" outlineLevel="0" collapsed="false">
      <c r="A62829" s="0" t="s">
        <v>20957</v>
      </c>
      <c r="B62829" s="0" t="str">
        <f aca="false">HYPERLINK("https://lindat.mff.cuni.cz/services/teitok/pdtc10/index.php?action=vallex&amp;frame=v-w8659f13_ZU", "vzít si (v-w8659f13_ZU) - substituted with v-w8659f18_MM")</f>
        <v>vzít si (v-w8659f13_ZU) - substituted with v-w8659f18_MM</v>
      </c>
    </row>
    <row r="62830" customFormat="false" ht="12.8" hidden="false" customHeight="false" outlineLevel="0" collapsed="false">
      <c r="B62830" s="0" t="s">
        <v>1</v>
      </c>
    </row>
    <row r="62831" customFormat="false" ht="12.8" hidden="false" customHeight="false" outlineLevel="0" collapsed="false">
      <c r="B62831" s="0" t="s">
        <v>20958</v>
      </c>
    </row>
    <row r="62832" customFormat="false" ht="12.8" hidden="false" customHeight="false" outlineLevel="0" collapsed="false">
      <c r="B62832" s="0" t="s">
        <v>8</v>
      </c>
    </row>
    <row r="62834" customFormat="false" ht="12.8" hidden="false" customHeight="false" outlineLevel="0" collapsed="false">
      <c r="A62834" s="0" t="s">
        <v>20957</v>
      </c>
      <c r="B62834" s="0" t="str">
        <f aca="false">HYPERLINK("https://lindat.mff.cuni.cz/services/teitok/pdtc10/index.php?action=vallex&amp;frame=v-w8659hsa_1141", "vzít si (v-w8659hsa_1141) - substituted with v-w8659f18_MM")</f>
        <v>vzít si (v-w8659hsa_1141) - substituted with v-w8659f18_MM</v>
      </c>
    </row>
    <row r="62835" customFormat="false" ht="12.8" hidden="false" customHeight="false" outlineLevel="0" collapsed="false">
      <c r="B62835" s="0" t="s">
        <v>1</v>
      </c>
    </row>
    <row r="62836" customFormat="false" ht="12.8" hidden="false" customHeight="false" outlineLevel="0" collapsed="false">
      <c r="B62836" s="0" t="s">
        <v>20958</v>
      </c>
    </row>
    <row r="62837" customFormat="false" ht="12.8" hidden="false" customHeight="false" outlineLevel="0" collapsed="false">
      <c r="B62837" s="0" t="s">
        <v>8</v>
      </c>
    </row>
    <row r="62839" customFormat="false" ht="12.8" hidden="false" customHeight="false" outlineLevel="0" collapsed="false">
      <c r="A62839" s="0" t="s">
        <v>20959</v>
      </c>
      <c r="B62839" s="0" t="str">
        <f aca="false">HYPERLINK("https://lindat.mff.cuni.cz/services/teitok/pdtc10/index.php?action=vallex&amp;frame=v-w8659hsa_1140", "vzít si (v-w8659hsa_1140)")</f>
        <v>vzít si (v-w8659hsa_1140)</v>
      </c>
    </row>
    <row r="62840" customFormat="false" ht="12.8" hidden="false" customHeight="false" outlineLevel="0" collapsed="false">
      <c r="B62840" s="0" t="s">
        <v>1</v>
      </c>
    </row>
    <row r="62841" customFormat="false" ht="12.8" hidden="false" customHeight="false" outlineLevel="0" collapsed="false">
      <c r="B62841" s="0" t="s">
        <v>8</v>
      </c>
    </row>
    <row r="62843" customFormat="false" ht="12.8" hidden="false" customHeight="false" outlineLevel="0" collapsed="false">
      <c r="A62843" s="0" t="s">
        <v>20960</v>
      </c>
      <c r="B62843" s="0" t="str">
        <f aca="false">HYPERLINK("https://lindat.mff.cuni.cz/services/teitok/pdtc10/index.php?action=vallex&amp;frame=v-w10247f2", "vzývat (v-w10247f2)")</f>
        <v>vzývat (v-w10247f2)</v>
      </c>
    </row>
    <row r="62844" customFormat="false" ht="12.8" hidden="false" customHeight="false" outlineLevel="0" collapsed="false">
      <c r="B62844" s="0" t="s">
        <v>1</v>
      </c>
    </row>
    <row r="62845" customFormat="false" ht="12.8" hidden="false" customHeight="false" outlineLevel="0" collapsed="false">
      <c r="B62845" s="0" t="s">
        <v>8</v>
      </c>
    </row>
    <row r="62847" customFormat="false" ht="12.8" hidden="false" customHeight="false" outlineLevel="0" collapsed="false">
      <c r="A62847" s="0" t="s">
        <v>20961</v>
      </c>
      <c r="B62847" s="0" t="str">
        <f aca="false">HYPERLINK("https://lindat.mff.cuni.cz/services/teitok/pdtc10/index.php?action=vallex&amp;frame=v-w10861f2", "vábit (v-w10861f2)")</f>
        <v>vábit (v-w10861f2)</v>
      </c>
      <c r="E62847" s="0" t="str">
        <f aca="false">HYPERLINK("https://lindat.mff.cuni.cz/services/SynSemClass40/SynSemClass40.html?veclass=vec00286#vec00286-ces-cm00046", "vec00286")</f>
        <v>vec00286</v>
      </c>
      <c r="F62847" s="0" t="s">
        <v>6106</v>
      </c>
    </row>
    <row r="62848" customFormat="false" ht="12.8" hidden="false" customHeight="false" outlineLevel="0" collapsed="false">
      <c r="B62848" s="0" t="s">
        <v>1</v>
      </c>
      <c r="C62848" s="0" t="s">
        <v>6107</v>
      </c>
      <c r="E62848" s="0" t="s">
        <v>6108</v>
      </c>
      <c r="F62848" s="0" t="s">
        <v>6109</v>
      </c>
    </row>
    <row r="62849" customFormat="false" ht="12.8" hidden="false" customHeight="false" outlineLevel="0" collapsed="false">
      <c r="B62849" s="0" t="s">
        <v>8</v>
      </c>
      <c r="C62849" s="0" t="s">
        <v>18662</v>
      </c>
      <c r="E62849" s="0" t="s">
        <v>3388</v>
      </c>
      <c r="F62849" s="0" t="s">
        <v>18663</v>
      </c>
    </row>
    <row r="62851" customFormat="false" ht="12.8" hidden="false" customHeight="false" outlineLevel="0" collapsed="false">
      <c r="A62851" s="0" t="s">
        <v>20962</v>
      </c>
      <c r="B62851" s="0" t="str">
        <f aca="false">HYPERLINK("https://lindat.mff.cuni.cz/services/teitok/pdtc10/index.php?action=vallex&amp;frame=v-w7506hsa_149", "váhat (v-w7506hsa_149)")</f>
        <v>váhat (v-w7506hsa_149)</v>
      </c>
    </row>
    <row r="62852" customFormat="false" ht="12.8" hidden="false" customHeight="false" outlineLevel="0" collapsed="false">
      <c r="B62852" s="0" t="s">
        <v>1</v>
      </c>
    </row>
    <row r="62853" customFormat="false" ht="12.8" hidden="false" customHeight="false" outlineLevel="0" collapsed="false">
      <c r="B62853" s="0" t="s">
        <v>20963</v>
      </c>
    </row>
    <row r="62855" customFormat="false" ht="12.8" hidden="false" customHeight="false" outlineLevel="0" collapsed="false">
      <c r="A62855" s="0" t="s">
        <v>20962</v>
      </c>
      <c r="B62855" s="0" t="str">
        <f aca="false">HYPERLINK("https://lindat.mff.cuni.cz/services/teitok/pdtc10/index.php?action=vallex&amp;frame=v-w7506f1", "váhat (v-w7506f1) - substituted with v-w7506hsa_149")</f>
        <v>váhat (v-w7506f1) - substituted with v-w7506hsa_149</v>
      </c>
    </row>
    <row r="62856" customFormat="false" ht="12.8" hidden="false" customHeight="false" outlineLevel="0" collapsed="false">
      <c r="B62856" s="0" t="s">
        <v>1</v>
      </c>
    </row>
    <row r="62857" customFormat="false" ht="12.8" hidden="false" customHeight="false" outlineLevel="0" collapsed="false">
      <c r="B62857" s="0" t="s">
        <v>20963</v>
      </c>
    </row>
    <row r="62859" customFormat="false" ht="12.8" hidden="false" customHeight="false" outlineLevel="0" collapsed="false">
      <c r="A62859" s="0" t="s">
        <v>20964</v>
      </c>
      <c r="B62859" s="0" t="str">
        <f aca="false">HYPERLINK("https://lindat.mff.cuni.cz/services/teitok/pdtc10/index.php?action=vallex&amp;frame=v-w12232_ZUf1_ZU", "válet (v-w12232_ZUf1_ZU)")</f>
        <v>válet (v-w12232_ZUf1_ZU)</v>
      </c>
    </row>
    <row r="62860" customFormat="false" ht="12.8" hidden="false" customHeight="false" outlineLevel="0" collapsed="false">
      <c r="B62860" s="0" t="s">
        <v>1</v>
      </c>
    </row>
    <row r="62861" customFormat="false" ht="12.8" hidden="false" customHeight="false" outlineLevel="0" collapsed="false">
      <c r="B62861" s="0" t="s">
        <v>8</v>
      </c>
    </row>
    <row r="62863" customFormat="false" ht="12.8" hidden="false" customHeight="false" outlineLevel="0" collapsed="false">
      <c r="A62863" s="0" t="s">
        <v>20965</v>
      </c>
      <c r="B62863" s="0" t="str">
        <f aca="false">HYPERLINK("https://lindat.mff.cuni.cz/services/teitok/pdtc10/index.php?action=vallex&amp;frame=v-whsa_1042hsa_1043", "válet se (v-whsa_1042hsa_1043)")</f>
        <v>válet se (v-whsa_1042hsa_1043)</v>
      </c>
    </row>
    <row r="62864" customFormat="false" ht="12.8" hidden="false" customHeight="false" outlineLevel="0" collapsed="false">
      <c r="B62864" s="0" t="s">
        <v>1</v>
      </c>
    </row>
    <row r="62866" customFormat="false" ht="12.8" hidden="false" customHeight="false" outlineLevel="0" collapsed="false">
      <c r="A62866" s="0" t="s">
        <v>20966</v>
      </c>
      <c r="B62866" s="0" t="str">
        <f aca="false">HYPERLINK("https://lindat.mff.cuni.cz/services/teitok/pdtc10/index.php?action=vallex&amp;frame=v-whsa_1042hsa_1044", "válet se (v-whsa_1042hsa_1044)")</f>
        <v>válet se (v-whsa_1042hsa_1044)</v>
      </c>
    </row>
    <row r="62867" customFormat="false" ht="12.8" hidden="false" customHeight="false" outlineLevel="0" collapsed="false">
      <c r="B62867" s="0" t="s">
        <v>1</v>
      </c>
    </row>
    <row r="62869" customFormat="false" ht="12.8" hidden="false" customHeight="false" outlineLevel="0" collapsed="false">
      <c r="A62869" s="0" t="s">
        <v>20967</v>
      </c>
      <c r="B62869" s="0" t="str">
        <f aca="false">HYPERLINK("https://lindat.mff.cuni.cz/services/teitok/pdtc10/index.php?action=vallex&amp;frame=v-w7509f2", "válčit (v-w7509f2)")</f>
        <v>válčit (v-w7509f2)</v>
      </c>
    </row>
    <row r="62870" customFormat="false" ht="12.8" hidden="false" customHeight="false" outlineLevel="0" collapsed="false">
      <c r="B62870" s="0" t="s">
        <v>1</v>
      </c>
    </row>
    <row r="62871" customFormat="false" ht="12.8" hidden="false" customHeight="false" outlineLevel="0" collapsed="false">
      <c r="B62871" s="0" t="s">
        <v>409</v>
      </c>
    </row>
    <row r="62873" customFormat="false" ht="12.8" hidden="false" customHeight="false" outlineLevel="0" collapsed="false">
      <c r="A62873" s="0" t="s">
        <v>20968</v>
      </c>
      <c r="B62873" s="0" t="str">
        <f aca="false">HYPERLINK("https://lindat.mff.cuni.cz/services/teitok/pdtc10/index.php?action=vallex&amp;frame=v-w7509f3", "válčit (v-w7509f3)")</f>
        <v>válčit (v-w7509f3)</v>
      </c>
    </row>
    <row r="62874" customFormat="false" ht="12.8" hidden="false" customHeight="false" outlineLevel="0" collapsed="false">
      <c r="B62874" s="0" t="s">
        <v>1</v>
      </c>
    </row>
    <row r="62875" customFormat="false" ht="12.8" hidden="false" customHeight="false" outlineLevel="0" collapsed="false">
      <c r="B62875" s="0" t="s">
        <v>394</v>
      </c>
    </row>
    <row r="62877" customFormat="false" ht="12.8" hidden="false" customHeight="false" outlineLevel="0" collapsed="false">
      <c r="A62877" s="0" t="s">
        <v>20969</v>
      </c>
      <c r="B62877" s="0" t="str">
        <f aca="false">HYPERLINK("https://lindat.mff.cuni.cz/services/teitok/pdtc10/index.php?action=vallex&amp;frame=v-w7509f1", "válčit (v-w7509f1)")</f>
        <v>válčit (v-w7509f1)</v>
      </c>
    </row>
    <row r="62878" customFormat="false" ht="12.8" hidden="false" customHeight="false" outlineLevel="0" collapsed="false">
      <c r="B62878" s="0" t="s">
        <v>1</v>
      </c>
    </row>
    <row r="62879" customFormat="false" ht="12.8" hidden="false" customHeight="false" outlineLevel="0" collapsed="false">
      <c r="B62879" s="0" t="s">
        <v>16210</v>
      </c>
    </row>
    <row r="62880" customFormat="false" ht="12.8" hidden="false" customHeight="false" outlineLevel="0" collapsed="false">
      <c r="B62880" s="0" t="s">
        <v>20970</v>
      </c>
    </row>
    <row r="62882" customFormat="false" ht="12.8" hidden="false" customHeight="false" outlineLevel="0" collapsed="false">
      <c r="A62882" s="0" t="s">
        <v>20971</v>
      </c>
      <c r="B62882" s="0" t="str">
        <f aca="false">HYPERLINK("https://lindat.mff.cuni.cz/services/teitok/pdtc10/index.php?action=vallex&amp;frame=v-w7525f1", "vát (v-w7525f1)")</f>
        <v>vát (v-w7525f1)</v>
      </c>
    </row>
    <row r="62883" customFormat="false" ht="12.8" hidden="false" customHeight="false" outlineLevel="0" collapsed="false">
      <c r="B62883" s="0" t="s">
        <v>1</v>
      </c>
    </row>
    <row r="62885" customFormat="false" ht="12.8" hidden="false" customHeight="false" outlineLevel="0" collapsed="false">
      <c r="A62885" s="0" t="s">
        <v>20972</v>
      </c>
      <c r="B62885" s="0" t="str">
        <f aca="false">HYPERLINK("https://lindat.mff.cuni.cz/services/teitok/pdtc10/index.php?action=vallex&amp;frame=v-w7528f7", "vázat (v-w7528f7)")</f>
        <v>vázat (v-w7528f7)</v>
      </c>
    </row>
    <row r="62886" customFormat="false" ht="12.8" hidden="false" customHeight="false" outlineLevel="0" collapsed="false">
      <c r="B62886" s="0" t="s">
        <v>1</v>
      </c>
    </row>
    <row r="62887" customFormat="false" ht="12.8" hidden="false" customHeight="false" outlineLevel="0" collapsed="false">
      <c r="B62887" s="0" t="s">
        <v>8</v>
      </c>
    </row>
    <row r="62888" customFormat="false" ht="12.8" hidden="false" customHeight="false" outlineLevel="0" collapsed="false">
      <c r="B62888" s="0" t="s">
        <v>36</v>
      </c>
    </row>
    <row r="62889" customFormat="false" ht="12.8" hidden="false" customHeight="false" outlineLevel="0" collapsed="false">
      <c r="B62889" s="0" t="s">
        <v>245</v>
      </c>
    </row>
    <row r="62891" customFormat="false" ht="12.8" hidden="false" customHeight="false" outlineLevel="0" collapsed="false">
      <c r="A62891" s="0" t="s">
        <v>20973</v>
      </c>
      <c r="B62891" s="0" t="str">
        <f aca="false">HYPERLINK("https://lindat.mff.cuni.cz/services/teitok/pdtc10/index.php?action=vallex&amp;frame=v-w7528f1", "vázat (v-w7528f1)")</f>
        <v>vázat (v-w7528f1)</v>
      </c>
    </row>
    <row r="62892" customFormat="false" ht="12.8" hidden="false" customHeight="false" outlineLevel="0" collapsed="false">
      <c r="B62892" s="0" t="s">
        <v>1</v>
      </c>
    </row>
    <row r="62893" customFormat="false" ht="12.8" hidden="false" customHeight="false" outlineLevel="0" collapsed="false">
      <c r="B62893" s="0" t="s">
        <v>8</v>
      </c>
    </row>
    <row r="62894" customFormat="false" ht="12.8" hidden="false" customHeight="false" outlineLevel="0" collapsed="false">
      <c r="B62894" s="0" t="s">
        <v>2207</v>
      </c>
    </row>
    <row r="62896" customFormat="false" ht="12.8" hidden="false" customHeight="false" outlineLevel="0" collapsed="false">
      <c r="A62896" s="0" t="s">
        <v>20974</v>
      </c>
      <c r="B62896" s="0" t="str">
        <f aca="false">HYPERLINK("https://lindat.mff.cuni.cz/services/teitok/pdtc10/index.php?action=vallex&amp;frame=v-w7528f2", "vázat (v-w7528f2)")</f>
        <v>vázat (v-w7528f2)</v>
      </c>
    </row>
    <row r="62897" customFormat="false" ht="12.8" hidden="false" customHeight="false" outlineLevel="0" collapsed="false">
      <c r="B62897" s="0" t="s">
        <v>1</v>
      </c>
    </row>
    <row r="62898" customFormat="false" ht="12.8" hidden="false" customHeight="false" outlineLevel="0" collapsed="false">
      <c r="B62898" s="0" t="s">
        <v>8</v>
      </c>
    </row>
    <row r="62900" customFormat="false" ht="12.8" hidden="false" customHeight="false" outlineLevel="0" collapsed="false">
      <c r="A62900" s="0" t="s">
        <v>20975</v>
      </c>
      <c r="B62900" s="0" t="str">
        <f aca="false">HYPERLINK("https://lindat.mff.cuni.cz/services/teitok/pdtc10/index.php?action=vallex&amp;frame=v-w7528f3", "vázat (v-w7528f3)")</f>
        <v>vázat (v-w7528f3)</v>
      </c>
      <c r="E62900" s="0" t="str">
        <f aca="false">HYPERLINK("https://lindat.mff.cuni.cz/services/SynSemClass40/SynSemClass40.html?veclass=vec01344#vec01344-ces-cm00002", "vec01344")</f>
        <v>vec01344</v>
      </c>
      <c r="F62900" s="0" t="s">
        <v>20976</v>
      </c>
    </row>
    <row r="62901" customFormat="false" ht="12.8" hidden="false" customHeight="false" outlineLevel="0" collapsed="false">
      <c r="B62901" s="0" t="s">
        <v>1</v>
      </c>
      <c r="C62901" s="0" t="s">
        <v>5344</v>
      </c>
      <c r="E62901" s="0" t="s">
        <v>20977</v>
      </c>
      <c r="F62901" s="0" t="s">
        <v>20978</v>
      </c>
    </row>
    <row r="62902" customFormat="false" ht="12.8" hidden="false" customHeight="false" outlineLevel="0" collapsed="false">
      <c r="B62902" s="0" t="s">
        <v>8</v>
      </c>
      <c r="C62902" s="0" t="s">
        <v>10079</v>
      </c>
      <c r="E62902" s="0" t="s">
        <v>4202</v>
      </c>
      <c r="F62902" s="0" t="s">
        <v>20979</v>
      </c>
    </row>
    <row r="62904" customFormat="false" ht="12.8" hidden="false" customHeight="false" outlineLevel="0" collapsed="false">
      <c r="A62904" s="0" t="s">
        <v>20980</v>
      </c>
      <c r="B62904" s="0" t="str">
        <f aca="false">HYPERLINK("https://lindat.mff.cuni.cz/services/teitok/pdtc10/index.php?action=vallex&amp;frame=v-w7528f5", "vázat (v-w7528f5)")</f>
        <v>vázat (v-w7528f5)</v>
      </c>
      <c r="E62904" s="0" t="str">
        <f aca="false">HYPERLINK("https://lindat.mff.cuni.cz/services/SynSemClass40/SynSemClass40.html?veclass=vec01141#vec01141-ces-cm00001", "vec01141")</f>
        <v>vec01141</v>
      </c>
      <c r="F62904" s="0" t="s">
        <v>17696</v>
      </c>
    </row>
    <row r="62905" customFormat="false" ht="12.8" hidden="false" customHeight="false" outlineLevel="0" collapsed="false">
      <c r="B62905" s="0" t="s">
        <v>1</v>
      </c>
      <c r="C62905" s="0" t="s">
        <v>459</v>
      </c>
      <c r="E62905" s="0" t="s">
        <v>11</v>
      </c>
      <c r="F62905" s="0" t="s">
        <v>1486</v>
      </c>
    </row>
    <row r="62906" customFormat="false" ht="12.8" hidden="false" customHeight="false" outlineLevel="0" collapsed="false">
      <c r="B62906" s="0" t="s">
        <v>8</v>
      </c>
      <c r="C62906" s="0" t="s">
        <v>800</v>
      </c>
      <c r="E62906" s="0" t="s">
        <v>594</v>
      </c>
      <c r="F62906" s="0" t="s">
        <v>17697</v>
      </c>
    </row>
    <row r="62908" customFormat="false" ht="12.8" hidden="false" customHeight="false" outlineLevel="0" collapsed="false">
      <c r="A62908" s="0" t="s">
        <v>20981</v>
      </c>
      <c r="B62908" s="0" t="str">
        <f aca="false">HYPERLINK("https://lindat.mff.cuni.cz/services/teitok/pdtc10/index.php?action=vallex&amp;frame=v-w7528f6", "vázat (v-w7528f6)")</f>
        <v>vázat (v-w7528f6)</v>
      </c>
    </row>
    <row r="62909" customFormat="false" ht="12.8" hidden="false" customHeight="false" outlineLevel="0" collapsed="false">
      <c r="B62909" s="0" t="s">
        <v>1</v>
      </c>
    </row>
    <row r="62910" customFormat="false" ht="12.8" hidden="false" customHeight="false" outlineLevel="0" collapsed="false">
      <c r="B62910" s="0" t="s">
        <v>8</v>
      </c>
    </row>
    <row r="62912" customFormat="false" ht="12.8" hidden="false" customHeight="false" outlineLevel="0" collapsed="false">
      <c r="A62912" s="0" t="s">
        <v>20982</v>
      </c>
      <c r="B62912" s="0" t="str">
        <f aca="false">HYPERLINK("https://lindat.mff.cuni.cz/services/teitok/pdtc10/index.php?action=vallex&amp;frame=v-w7528f4", "vázat (v-w7528f4)")</f>
        <v>vázat (v-w7528f4)</v>
      </c>
    </row>
    <row r="62913" customFormat="false" ht="12.8" hidden="false" customHeight="false" outlineLevel="0" collapsed="false">
      <c r="B62913" s="0" t="s">
        <v>1</v>
      </c>
    </row>
    <row r="62914" customFormat="false" ht="12.8" hidden="false" customHeight="false" outlineLevel="0" collapsed="false">
      <c r="B62914" s="0" t="s">
        <v>98</v>
      </c>
    </row>
    <row r="62915" customFormat="false" ht="12.8" hidden="false" customHeight="false" outlineLevel="0" collapsed="false">
      <c r="B62915" s="0" t="s">
        <v>20983</v>
      </c>
    </row>
    <row r="62917" customFormat="false" ht="12.8" hidden="false" customHeight="false" outlineLevel="0" collapsed="false">
      <c r="A62917" s="0" t="s">
        <v>20984</v>
      </c>
      <c r="B62917" s="0" t="str">
        <f aca="false">HYPERLINK("https://lindat.mff.cuni.cz/services/teitok/pdtc10/index.php?action=vallex&amp;frame=v-w7528hsa_1603", "vázat (v-w7528hsa_1603)")</f>
        <v>vázat (v-w7528hsa_1603)</v>
      </c>
    </row>
    <row r="62918" customFormat="false" ht="12.8" hidden="false" customHeight="false" outlineLevel="0" collapsed="false">
      <c r="B62918" s="0" t="s">
        <v>1</v>
      </c>
    </row>
    <row r="62919" customFormat="false" ht="12.8" hidden="false" customHeight="false" outlineLevel="0" collapsed="false">
      <c r="B62919" s="0" t="s">
        <v>8</v>
      </c>
    </row>
    <row r="62920" customFormat="false" ht="12.8" hidden="false" customHeight="false" outlineLevel="0" collapsed="false">
      <c r="B62920" s="0" t="s">
        <v>245</v>
      </c>
    </row>
    <row r="62922" customFormat="false" ht="12.8" hidden="false" customHeight="false" outlineLevel="0" collapsed="false">
      <c r="A62922" s="0" t="s">
        <v>20985</v>
      </c>
      <c r="B62922" s="0" t="str">
        <f aca="false">HYPERLINK("https://lindat.mff.cuni.cz/services/teitok/pdtc10/index.php?action=vallex&amp;frame=v-w7529f2", "vázat se (v-w7529f2)")</f>
        <v>vázat se (v-w7529f2)</v>
      </c>
    </row>
    <row r="62923" customFormat="false" ht="12.8" hidden="false" customHeight="false" outlineLevel="0" collapsed="false">
      <c r="B62923" s="0" t="s">
        <v>1</v>
      </c>
    </row>
    <row r="62924" customFormat="false" ht="12.8" hidden="false" customHeight="false" outlineLevel="0" collapsed="false">
      <c r="B62924" s="0" t="s">
        <v>721</v>
      </c>
    </row>
    <row r="62925" customFormat="false" ht="12.8" hidden="false" customHeight="false" outlineLevel="0" collapsed="false">
      <c r="B62925" s="0" t="s">
        <v>3026</v>
      </c>
    </row>
    <row r="62927" customFormat="false" ht="12.8" hidden="false" customHeight="false" outlineLevel="0" collapsed="false">
      <c r="A62927" s="0" t="s">
        <v>20986</v>
      </c>
      <c r="B62927" s="0" t="str">
        <f aca="false">HYPERLINK("https://lindat.mff.cuni.cz/services/teitok/pdtc10/index.php?action=vallex&amp;frame=v-w7529f1", "vázat se (v-w7529f1)")</f>
        <v>vázat se (v-w7529f1)</v>
      </c>
    </row>
    <row r="62928" customFormat="false" ht="12.8" hidden="false" customHeight="false" outlineLevel="0" collapsed="false">
      <c r="B62928" s="0" t="s">
        <v>1</v>
      </c>
    </row>
    <row r="62929" customFormat="false" ht="12.8" hidden="false" customHeight="false" outlineLevel="0" collapsed="false">
      <c r="B62929" s="0" t="s">
        <v>5848</v>
      </c>
    </row>
    <row r="62931" customFormat="false" ht="12.8" hidden="false" customHeight="false" outlineLevel="0" collapsed="false">
      <c r="A62931" s="0" t="s">
        <v>20987</v>
      </c>
      <c r="B62931" s="0" t="str">
        <f aca="false">HYPERLINK("https://lindat.mff.cuni.cz/services/teitok/pdtc10/index.php?action=vallex&amp;frame=v-w7529f3", "vázat se (v-w7529f3)")</f>
        <v>vázat se (v-w7529f3)</v>
      </c>
    </row>
    <row r="62932" customFormat="false" ht="12.8" hidden="false" customHeight="false" outlineLevel="0" collapsed="false">
      <c r="B62932" s="0" t="s">
        <v>1</v>
      </c>
    </row>
    <row r="62933" customFormat="false" ht="12.8" hidden="false" customHeight="false" outlineLevel="0" collapsed="false">
      <c r="B62933" s="0" t="s">
        <v>5848</v>
      </c>
    </row>
    <row r="62935" customFormat="false" ht="12.8" hidden="false" customHeight="false" outlineLevel="0" collapsed="false">
      <c r="A62935" s="0" t="s">
        <v>20988</v>
      </c>
      <c r="B62935" s="0" t="str">
        <f aca="false">HYPERLINK("https://lindat.mff.cuni.cz/services/teitok/pdtc10/index.php?action=vallex&amp;frame=v-w7531f1", "váznout (v-w7531f1)")</f>
        <v>váznout (v-w7531f1)</v>
      </c>
      <c r="E62935" s="0" t="str">
        <f aca="false">HYPERLINK("https://lindat.mff.cuni.cz/services/SynSemClass40/SynSemClass40.html?veclass=vec01475#vec01475-ces-cm00002", "vec01475")</f>
        <v>vec01475</v>
      </c>
      <c r="F62935" s="0" t="s">
        <v>1082</v>
      </c>
    </row>
    <row r="62936" customFormat="false" ht="12.8" hidden="false" customHeight="false" outlineLevel="0" collapsed="false">
      <c r="B62936" s="0" t="s">
        <v>1</v>
      </c>
      <c r="C62936" s="0" t="s">
        <v>20989</v>
      </c>
      <c r="E62936" s="0" t="s">
        <v>1086</v>
      </c>
      <c r="F62936" s="0" t="s">
        <v>1087</v>
      </c>
    </row>
    <row r="62937" customFormat="false" ht="12.8" hidden="false" customHeight="false" outlineLevel="0" collapsed="false">
      <c r="B62937" s="0" t="s">
        <v>3642</v>
      </c>
      <c r="C62937" s="0" t="s">
        <v>20990</v>
      </c>
      <c r="E62937" s="0" t="s">
        <v>7635</v>
      </c>
      <c r="F62937" s="0" t="s">
        <v>7636</v>
      </c>
    </row>
    <row r="62939" customFormat="false" ht="12.8" hidden="false" customHeight="false" outlineLevel="0" collapsed="false">
      <c r="A62939" s="0" t="s">
        <v>20991</v>
      </c>
      <c r="B62939" s="0" t="str">
        <f aca="false">HYPERLINK("https://lindat.mff.cuni.cz/services/teitok/pdtc10/index.php?action=vallex&amp;frame=v-w7531f2", "váznout (v-w7531f2)")</f>
        <v>váznout (v-w7531f2)</v>
      </c>
    </row>
    <row r="62940" customFormat="false" ht="12.8" hidden="false" customHeight="false" outlineLevel="0" collapsed="false">
      <c r="B62940" s="0" t="s">
        <v>1</v>
      </c>
    </row>
    <row r="62941" customFormat="false" ht="12.8" hidden="false" customHeight="false" outlineLevel="0" collapsed="false">
      <c r="B62941" s="0" t="s">
        <v>5</v>
      </c>
    </row>
    <row r="62943" customFormat="false" ht="12.8" hidden="false" customHeight="false" outlineLevel="0" collapsed="false">
      <c r="A62943" s="0" t="s">
        <v>20992</v>
      </c>
      <c r="B62943" s="0" t="str">
        <f aca="false">HYPERLINK("https://lindat.mff.cuni.cz/services/teitok/pdtc10/index.php?action=vallex&amp;frame=v-w7533f4", "vážit (v-w7533f4)")</f>
        <v>vážit (v-w7533f4)</v>
      </c>
      <c r="E62943" s="0" t="str">
        <f aca="false">HYPERLINK("https://lindat.mff.cuni.cz/services/SynSemClass40/SynSemClass40.html?veclass=vec01142#vec01142-ces-cm00001", "vec01142")</f>
        <v>vec01142</v>
      </c>
      <c r="F62943" s="0" t="s">
        <v>20993</v>
      </c>
    </row>
    <row r="62944" customFormat="false" ht="12.8" hidden="false" customHeight="false" outlineLevel="0" collapsed="false">
      <c r="B62944" s="0" t="s">
        <v>1</v>
      </c>
      <c r="E62944" s="0" t="s">
        <v>621</v>
      </c>
      <c r="F62944" s="0" t="s">
        <v>4213</v>
      </c>
    </row>
    <row r="62945" customFormat="false" ht="12.8" hidden="false" customHeight="false" outlineLevel="0" collapsed="false">
      <c r="B62945" s="0" t="s">
        <v>2493</v>
      </c>
      <c r="E62945" s="0" t="s">
        <v>159</v>
      </c>
      <c r="F62945" s="0" t="s">
        <v>20994</v>
      </c>
    </row>
    <row r="62947" customFormat="false" ht="12.8" hidden="false" customHeight="false" outlineLevel="0" collapsed="false">
      <c r="A62947" s="0" t="s">
        <v>20995</v>
      </c>
      <c r="B62947" s="0" t="str">
        <f aca="false">HYPERLINK("https://lindat.mff.cuni.cz/services/teitok/pdtc10/index.php?action=vallex&amp;frame=v-w7533f2", "vážit (v-w7533f2)")</f>
        <v>vážit (v-w7533f2)</v>
      </c>
    </row>
    <row r="62948" customFormat="false" ht="12.8" hidden="false" customHeight="false" outlineLevel="0" collapsed="false">
      <c r="B62948" s="0" t="s">
        <v>1</v>
      </c>
    </row>
    <row r="62949" customFormat="false" ht="12.8" hidden="false" customHeight="false" outlineLevel="0" collapsed="false">
      <c r="B62949" s="0" t="s">
        <v>8</v>
      </c>
    </row>
    <row r="62951" customFormat="false" ht="12.8" hidden="false" customHeight="false" outlineLevel="0" collapsed="false">
      <c r="A62951" s="0" t="s">
        <v>20996</v>
      </c>
      <c r="B62951" s="0" t="str">
        <f aca="false">HYPERLINK("https://lindat.mff.cuni.cz/services/teitok/pdtc10/index.php?action=vallex&amp;frame=v-w7533f3", "vážit (v-w7533f3)")</f>
        <v>vážit (v-w7533f3)</v>
      </c>
    </row>
    <row r="62952" customFormat="false" ht="12.8" hidden="false" customHeight="false" outlineLevel="0" collapsed="false">
      <c r="B62952" s="0" t="s">
        <v>1</v>
      </c>
    </row>
    <row r="62953" customFormat="false" ht="12.8" hidden="false" customHeight="false" outlineLevel="0" collapsed="false">
      <c r="B62953" s="0" t="s">
        <v>8</v>
      </c>
    </row>
    <row r="62955" customFormat="false" ht="12.8" hidden="false" customHeight="false" outlineLevel="0" collapsed="false">
      <c r="A62955" s="0" t="s">
        <v>20997</v>
      </c>
      <c r="B62955" s="0" t="str">
        <f aca="false">HYPERLINK("https://lindat.mff.cuni.cz/services/teitok/pdtc10/index.php?action=vallex&amp;frame=v-w7533f1", "vážit (v-w7533f1)")</f>
        <v>vážit (v-w7533f1)</v>
      </c>
      <c r="E62955" s="0" t="str">
        <f aca="false">HYPERLINK("https://lindat.mff.cuni.cz/services/SynSemClass40/SynSemClass40.html?veclass=vec00548#vec00548-ces-cm00001", "vec00548")</f>
        <v>vec00548</v>
      </c>
      <c r="F62955" s="0" t="s">
        <v>6988</v>
      </c>
    </row>
    <row r="62956" customFormat="false" ht="12.8" hidden="false" customHeight="false" outlineLevel="0" collapsed="false">
      <c r="B62956" s="0" t="s">
        <v>1</v>
      </c>
      <c r="C62956" s="0" t="s">
        <v>10435</v>
      </c>
      <c r="E62956" s="0" t="s">
        <v>11</v>
      </c>
      <c r="F62956" s="0" t="s">
        <v>6990</v>
      </c>
    </row>
    <row r="62957" customFormat="false" ht="12.8" hidden="false" customHeight="false" outlineLevel="0" collapsed="false">
      <c r="B62957" s="0" t="s">
        <v>865</v>
      </c>
      <c r="C62957" s="0" t="s">
        <v>20998</v>
      </c>
      <c r="E62957" s="0" t="s">
        <v>6992</v>
      </c>
      <c r="F62957" s="0" t="s">
        <v>6994</v>
      </c>
    </row>
    <row r="62959" customFormat="false" ht="12.8" hidden="false" customHeight="false" outlineLevel="0" collapsed="false">
      <c r="A62959" s="0" t="s">
        <v>20999</v>
      </c>
      <c r="B62959" s="0" t="str">
        <f aca="false">HYPERLINK("https://lindat.mff.cuni.cz/services/teitok/pdtc10/index.php?action=vallex&amp;frame=v-w7534f1", "vážit si (v-w7534f1)")</f>
        <v>vážit si (v-w7534f1)</v>
      </c>
    </row>
    <row r="62960" customFormat="false" ht="12.8" hidden="false" customHeight="false" outlineLevel="0" collapsed="false">
      <c r="B62960" s="0" t="s">
        <v>1</v>
      </c>
    </row>
    <row r="62961" customFormat="false" ht="12.8" hidden="false" customHeight="false" outlineLevel="0" collapsed="false">
      <c r="B62961" s="0" t="s">
        <v>4615</v>
      </c>
    </row>
    <row r="62963" customFormat="false" ht="12.8" hidden="false" customHeight="false" outlineLevel="0" collapsed="false">
      <c r="A62963" s="0" t="s">
        <v>21000</v>
      </c>
      <c r="B62963" s="0" t="str">
        <f aca="false">HYPERLINK("https://lindat.mff.cuni.cz/services/teitok/pdtc10/index.php?action=vallex&amp;frame=v-w7583f1", "vést (v-w7583f1)")</f>
        <v>vést (v-w7583f1)</v>
      </c>
      <c r="E62963" s="0" t="str">
        <f aca="false">HYPERLINK("https://lindat.mff.cuni.cz/services/SynSemClass40/SynSemClass40.html?veclass=vec00098#vec00098-ces-cm00079", "vec00098")</f>
        <v>vec00098</v>
      </c>
      <c r="F62963" s="0" t="s">
        <v>2500</v>
      </c>
    </row>
    <row r="62964" customFormat="false" ht="12.8" hidden="false" customHeight="false" outlineLevel="0" collapsed="false">
      <c r="B62964" s="0" t="s">
        <v>843</v>
      </c>
      <c r="C62964" s="0" t="s">
        <v>2501</v>
      </c>
      <c r="E62964" s="0" t="s">
        <v>1665</v>
      </c>
      <c r="F62964" s="0" t="s">
        <v>2502</v>
      </c>
    </row>
    <row r="62965" customFormat="false" ht="12.8" hidden="false" customHeight="false" outlineLevel="0" collapsed="false">
      <c r="B62965" s="0" t="s">
        <v>311</v>
      </c>
      <c r="C62965" s="0" t="s">
        <v>2503</v>
      </c>
      <c r="E62965" s="0" t="s">
        <v>79</v>
      </c>
      <c r="F62965" s="0" t="s">
        <v>2504</v>
      </c>
    </row>
    <row r="62966" customFormat="false" ht="12.8" hidden="false" customHeight="false" outlineLevel="0" collapsed="false">
      <c r="B62966" s="0" t="s">
        <v>3067</v>
      </c>
      <c r="C62966" s="0" t="s">
        <v>2505</v>
      </c>
      <c r="E62966" s="0" t="s">
        <v>2287</v>
      </c>
      <c r="F62966" s="0" t="s">
        <v>2506</v>
      </c>
    </row>
    <row r="62968" customFormat="false" ht="12.8" hidden="false" customHeight="false" outlineLevel="0" collapsed="false">
      <c r="A62968" s="0" t="s">
        <v>21001</v>
      </c>
      <c r="B62968" s="0" t="str">
        <f aca="false">HYPERLINK("https://lindat.mff.cuni.cz/services/teitok/pdtc10/index.php?action=vallex&amp;frame=v-w7583f3", "vést (v-w7583f3)")</f>
        <v>vést (v-w7583f3)</v>
      </c>
    </row>
    <row r="62969" customFormat="false" ht="12.8" hidden="false" customHeight="false" outlineLevel="0" collapsed="false">
      <c r="B62969" s="0" t="s">
        <v>1</v>
      </c>
    </row>
    <row r="62970" customFormat="false" ht="12.8" hidden="false" customHeight="false" outlineLevel="0" collapsed="false">
      <c r="B62970" s="0" t="s">
        <v>12351</v>
      </c>
    </row>
    <row r="62971" customFormat="false" ht="12.8" hidden="false" customHeight="false" outlineLevel="0" collapsed="false">
      <c r="B62971" s="0" t="s">
        <v>21002</v>
      </c>
    </row>
    <row r="62973" customFormat="false" ht="12.8" hidden="false" customHeight="false" outlineLevel="0" collapsed="false">
      <c r="A62973" s="0" t="s">
        <v>21003</v>
      </c>
      <c r="B62973" s="0" t="str">
        <f aca="false">HYPERLINK("https://lindat.mff.cuni.cz/services/teitok/pdtc10/index.php?action=vallex&amp;frame=v-w7583f15", "vést (v-w7583f15)")</f>
        <v>vést (v-w7583f15)</v>
      </c>
    </row>
    <row r="62974" customFormat="false" ht="12.8" hidden="false" customHeight="false" outlineLevel="0" collapsed="false">
      <c r="B62974" s="0" t="s">
        <v>1</v>
      </c>
    </row>
    <row r="62975" customFormat="false" ht="12.8" hidden="false" customHeight="false" outlineLevel="0" collapsed="false">
      <c r="B62975" s="0" t="s">
        <v>8</v>
      </c>
    </row>
    <row r="62976" customFormat="false" ht="12.8" hidden="false" customHeight="false" outlineLevel="0" collapsed="false">
      <c r="B62976" s="0" t="s">
        <v>336</v>
      </c>
    </row>
    <row r="62978" customFormat="false" ht="12.8" hidden="false" customHeight="false" outlineLevel="0" collapsed="false">
      <c r="A62978" s="0" t="s">
        <v>21004</v>
      </c>
      <c r="B62978" s="0" t="str">
        <f aca="false">HYPERLINK("https://lindat.mff.cuni.cz/services/teitok/pdtc10/index.php?action=vallex&amp;frame=v-w7583f9", "vést (v-w7583f9)")</f>
        <v>vést (v-w7583f9)</v>
      </c>
      <c r="E62978" s="0" t="str">
        <f aca="false">HYPERLINK("https://lindat.mff.cuni.cz/services/SynSemClass40/SynSemClass40.html?veclass=vec01282#vec01282-ces-cm00005", "vec01282")</f>
        <v>vec01282</v>
      </c>
      <c r="F62978" s="0" t="s">
        <v>2659</v>
      </c>
      <c r="H62978" s="0" t="str">
        <f aca="false">HYPERLINK("https://lindat.mff.cuni.cz/services/SynSemClass40/SynSemClass40.html?veclass=vec01377#vec01377-ces-cm00006", "vec01377")</f>
        <v>vec01377</v>
      </c>
      <c r="I62978" s="0" t="s">
        <v>2643</v>
      </c>
      <c r="K62978" s="0" t="str">
        <f aca="false">HYPERLINK("https://lindat.mff.cuni.cz/services/SynSemClass40/SynSemClass40.html?veclass=vec01394#vec01394-ces-cm00008", "vec01394")</f>
        <v>vec01394</v>
      </c>
      <c r="L62978" s="0" t="s">
        <v>2660</v>
      </c>
    </row>
    <row r="62979" customFormat="false" ht="12.8" hidden="false" customHeight="false" outlineLevel="0" collapsed="false">
      <c r="B62979" s="0" t="s">
        <v>1</v>
      </c>
      <c r="C62979" s="0" t="s">
        <v>21005</v>
      </c>
      <c r="E62979" s="0" t="s">
        <v>2241</v>
      </c>
      <c r="F62979" s="0" t="s">
        <v>2662</v>
      </c>
      <c r="H62979" s="0" t="s">
        <v>2645</v>
      </c>
      <c r="I62979" s="0" t="s">
        <v>2646</v>
      </c>
      <c r="K62979" s="0" t="s">
        <v>2241</v>
      </c>
      <c r="L62979" s="0" t="s">
        <v>2663</v>
      </c>
    </row>
    <row r="62980" customFormat="false" ht="12.8" hidden="false" customHeight="false" outlineLevel="0" collapsed="false">
      <c r="B62980" s="0" t="s">
        <v>8</v>
      </c>
      <c r="C62980" s="0" t="s">
        <v>21006</v>
      </c>
      <c r="E62980" s="0" t="s">
        <v>2665</v>
      </c>
      <c r="F62980" s="0" t="s">
        <v>2666</v>
      </c>
      <c r="H62980" s="0" t="s">
        <v>2648</v>
      </c>
      <c r="I62980" s="0" t="s">
        <v>2649</v>
      </c>
      <c r="K62980" s="0" t="s">
        <v>2665</v>
      </c>
      <c r="L62980" s="0" t="s">
        <v>2667</v>
      </c>
    </row>
    <row r="62981" customFormat="false" ht="12.8" hidden="false" customHeight="false" outlineLevel="0" collapsed="false">
      <c r="B62981" s="0" t="s">
        <v>164</v>
      </c>
      <c r="C62981" s="0" t="s">
        <v>2211</v>
      </c>
      <c r="E62981" s="0" t="s">
        <v>2365</v>
      </c>
      <c r="F62981" s="0" t="s">
        <v>3118</v>
      </c>
      <c r="H62981" s="0" t="s">
        <v>370</v>
      </c>
      <c r="I62981" s="0" t="s">
        <v>2652</v>
      </c>
      <c r="K62981" s="0" t="s">
        <v>2365</v>
      </c>
      <c r="L62981" s="0" t="s">
        <v>3118</v>
      </c>
    </row>
    <row r="62983" customFormat="false" ht="12.8" hidden="false" customHeight="false" outlineLevel="0" collapsed="false">
      <c r="A62983" s="0" t="s">
        <v>21007</v>
      </c>
      <c r="B62983" s="0" t="str">
        <f aca="false">HYPERLINK("https://lindat.mff.cuni.cz/services/teitok/pdtc10/index.php?action=vallex&amp;frame=v-w7583f4", "vést (v-w7583f4)")</f>
        <v>vést (v-w7583f4)</v>
      </c>
      <c r="E62983" s="0" t="str">
        <f aca="false">HYPERLINK("https://lindat.mff.cuni.cz/services/SynSemClass40/SynSemClass40.html?veclass=vec00080#vec00080-ces-cm00024", "vec00080")</f>
        <v>vec00080</v>
      </c>
      <c r="F62983" s="0" t="s">
        <v>4827</v>
      </c>
    </row>
    <row r="62984" customFormat="false" ht="12.8" hidden="false" customHeight="false" outlineLevel="0" collapsed="false">
      <c r="B62984" s="0" t="s">
        <v>1</v>
      </c>
      <c r="C62984" s="0" t="s">
        <v>4001</v>
      </c>
      <c r="E62984" s="0" t="s">
        <v>31</v>
      </c>
      <c r="F62984" s="0" t="s">
        <v>4828</v>
      </c>
    </row>
    <row r="62985" customFormat="false" ht="12.8" hidden="false" customHeight="false" outlineLevel="0" collapsed="false">
      <c r="B62985" s="0" t="s">
        <v>8</v>
      </c>
      <c r="C62985" s="0" t="s">
        <v>4829</v>
      </c>
      <c r="E62985" s="0" t="s">
        <v>4202</v>
      </c>
      <c r="F62985" s="0" t="s">
        <v>4830</v>
      </c>
    </row>
    <row r="62987" customFormat="false" ht="12.8" hidden="false" customHeight="false" outlineLevel="0" collapsed="false">
      <c r="A62987" s="0" t="s">
        <v>21008</v>
      </c>
      <c r="B62987" s="0" t="str">
        <f aca="false">HYPERLINK("https://lindat.mff.cuni.cz/services/teitok/pdtc10/index.php?action=vallex&amp;frame=v-w7583f5", "vést (v-w7583f5)")</f>
        <v>vést (v-w7583f5)</v>
      </c>
      <c r="E62987" s="0" t="str">
        <f aca="false">HYPERLINK("https://lindat.mff.cuni.cz/services/SynSemClass40/SynSemClass40.html?veclass=vec00302#vec00302-ces-cm00066", "vec00302")</f>
        <v>vec00302</v>
      </c>
      <c r="F62987" s="0" t="s">
        <v>1991</v>
      </c>
    </row>
    <row r="62988" customFormat="false" ht="12.8" hidden="false" customHeight="false" outlineLevel="0" collapsed="false">
      <c r="B62988" s="0" t="s">
        <v>1</v>
      </c>
      <c r="C62988" s="0" t="s">
        <v>1992</v>
      </c>
      <c r="E62988" s="0" t="s">
        <v>206</v>
      </c>
      <c r="F62988" s="0" t="s">
        <v>1993</v>
      </c>
    </row>
    <row r="62989" customFormat="false" ht="12.8" hidden="false" customHeight="false" outlineLevel="0" collapsed="false">
      <c r="B62989" s="0" t="s">
        <v>8</v>
      </c>
      <c r="C62989" s="0" t="s">
        <v>1994</v>
      </c>
      <c r="E62989" s="0" t="s">
        <v>1995</v>
      </c>
      <c r="F62989" s="0" t="s">
        <v>1996</v>
      </c>
    </row>
    <row r="62991" customFormat="false" ht="12.8" hidden="false" customHeight="false" outlineLevel="0" collapsed="false">
      <c r="A62991" s="0" t="s">
        <v>21009</v>
      </c>
      <c r="B62991" s="0" t="str">
        <f aca="false">HYPERLINK("https://lindat.mff.cuni.cz/services/teitok/pdtc10/index.php?action=vallex&amp;frame=v-w7583f8", "vést (v-w7583f8)")</f>
        <v>vést (v-w7583f8)</v>
      </c>
      <c r="E62991" s="0" t="str">
        <f aca="false">HYPERLINK("https://lindat.mff.cuni.cz/services/SynSemClass40/SynSemClass40.html?veclass=vec00549#vec00549-ces-cm00001", "vec00549")</f>
        <v>vec00549</v>
      </c>
      <c r="F62991" s="0" t="s">
        <v>21010</v>
      </c>
    </row>
    <row r="62992" customFormat="false" ht="12.8" hidden="false" customHeight="false" outlineLevel="0" collapsed="false">
      <c r="B62992" s="0" t="s">
        <v>1</v>
      </c>
      <c r="C62992" s="0" t="s">
        <v>20633</v>
      </c>
      <c r="E62992" s="0" t="s">
        <v>2645</v>
      </c>
      <c r="F62992" s="0" t="s">
        <v>21011</v>
      </c>
    </row>
    <row r="62993" customFormat="false" ht="12.8" hidden="false" customHeight="false" outlineLevel="0" collapsed="false">
      <c r="B62993" s="0" t="s">
        <v>8</v>
      </c>
      <c r="C62993" s="0" t="s">
        <v>22</v>
      </c>
      <c r="E62993" s="0" t="s">
        <v>7787</v>
      </c>
      <c r="F62993" s="0" t="s">
        <v>21012</v>
      </c>
    </row>
    <row r="62995" customFormat="false" ht="12.8" hidden="false" customHeight="false" outlineLevel="0" collapsed="false">
      <c r="A62995" s="0" t="s">
        <v>21013</v>
      </c>
      <c r="B62995" s="0" t="str">
        <f aca="false">HYPERLINK("https://lindat.mff.cuni.cz/services/teitok/pdtc10/index.php?action=vallex&amp;frame=v-w7583f10", "vést (v-w7583f10)")</f>
        <v>vést (v-w7583f10)</v>
      </c>
    </row>
    <row r="62996" customFormat="false" ht="12.8" hidden="false" customHeight="false" outlineLevel="0" collapsed="false">
      <c r="B62996" s="0" t="s">
        <v>1</v>
      </c>
    </row>
    <row r="62997" customFormat="false" ht="12.8" hidden="false" customHeight="false" outlineLevel="0" collapsed="false">
      <c r="B62997" s="0" t="s">
        <v>8</v>
      </c>
    </row>
    <row r="62999" customFormat="false" ht="12.8" hidden="false" customHeight="false" outlineLevel="0" collapsed="false">
      <c r="A62999" s="0" t="s">
        <v>21014</v>
      </c>
      <c r="B62999" s="0" t="str">
        <f aca="false">HYPERLINK("https://lindat.mff.cuni.cz/services/teitok/pdtc10/index.php?action=vallex&amp;frame=v-w7583f14", "vést (v-w7583f14)")</f>
        <v>vést (v-w7583f14)</v>
      </c>
      <c r="E62999" s="0" t="str">
        <f aca="false">HYPERLINK("https://lindat.mff.cuni.cz/services/SynSemClass40/SynSemClass40.html?veclass=vec01143#vec01143-ces-cm00001", "vec01143")</f>
        <v>vec01143</v>
      </c>
      <c r="F62999" s="0" t="s">
        <v>13560</v>
      </c>
    </row>
    <row r="63000" customFormat="false" ht="12.8" hidden="false" customHeight="false" outlineLevel="0" collapsed="false">
      <c r="B63000" s="0" t="s">
        <v>1</v>
      </c>
      <c r="C63000" s="0" t="s">
        <v>767</v>
      </c>
      <c r="E63000" s="0" t="s">
        <v>13561</v>
      </c>
      <c r="F63000" s="0" t="s">
        <v>13562</v>
      </c>
    </row>
    <row r="63001" customFormat="false" ht="12.8" hidden="false" customHeight="false" outlineLevel="0" collapsed="false">
      <c r="B63001" s="0" t="s">
        <v>8</v>
      </c>
      <c r="C63001" s="0" t="s">
        <v>7131</v>
      </c>
      <c r="E63001" s="0" t="s">
        <v>13563</v>
      </c>
      <c r="F63001" s="0" t="s">
        <v>13564</v>
      </c>
    </row>
    <row r="63003" customFormat="false" ht="12.8" hidden="false" customHeight="false" outlineLevel="0" collapsed="false">
      <c r="A63003" s="0" t="s">
        <v>21015</v>
      </c>
      <c r="B63003" s="0" t="str">
        <f aca="false">HYPERLINK("https://lindat.mff.cuni.cz/services/teitok/pdtc10/index.php?action=vallex&amp;frame=v-w7583f23_ZU", "vést (v-w7583f23_ZU)")</f>
        <v>vést (v-w7583f23_ZU)</v>
      </c>
      <c r="E63003" s="0" t="str">
        <f aca="false">HYPERLINK("https://lindat.mff.cuni.cz/services/SynSemClass40/SynSemClass40.html?veclass=vec00359#vec00359-ces-cm00025", "vec00359")</f>
        <v>vec00359</v>
      </c>
      <c r="F63003" s="0" t="s">
        <v>20584</v>
      </c>
    </row>
    <row r="63004" customFormat="false" ht="12.8" hidden="false" customHeight="false" outlineLevel="0" collapsed="false">
      <c r="B63004" s="0" t="s">
        <v>1</v>
      </c>
      <c r="C63004" s="0" t="s">
        <v>486</v>
      </c>
      <c r="E63004" s="0" t="s">
        <v>76</v>
      </c>
      <c r="F63004" s="0" t="s">
        <v>20585</v>
      </c>
    </row>
    <row r="63005" customFormat="false" ht="12.8" hidden="false" customHeight="false" outlineLevel="0" collapsed="false">
      <c r="B63005" s="0" t="s">
        <v>311</v>
      </c>
      <c r="C63005" s="0" t="s">
        <v>20587</v>
      </c>
      <c r="E63005" s="0" t="s">
        <v>6358</v>
      </c>
      <c r="F63005" s="0" t="s">
        <v>20588</v>
      </c>
    </row>
    <row r="63007" customFormat="false" ht="12.8" hidden="false" customHeight="false" outlineLevel="0" collapsed="false">
      <c r="A63007" s="0" t="s">
        <v>21015</v>
      </c>
      <c r="B63007" s="0" t="str">
        <f aca="false">HYPERLINK("https://lindat.mff.cuni.cz/services/teitok/pdtc10/index.php?action=vallex&amp;frame=v-w7583f11", "vést (v-w7583f11) - substituted with v-w7583f23_ZU")</f>
        <v>vést (v-w7583f11) - substituted with v-w7583f23_ZU</v>
      </c>
    </row>
    <row r="63008" customFormat="false" ht="12.8" hidden="false" customHeight="false" outlineLevel="0" collapsed="false">
      <c r="B63008" s="0" t="s">
        <v>1</v>
      </c>
    </row>
    <row r="63009" customFormat="false" ht="12.8" hidden="false" customHeight="false" outlineLevel="0" collapsed="false">
      <c r="B63009" s="0" t="s">
        <v>311</v>
      </c>
    </row>
    <row r="63011" customFormat="false" ht="12.8" hidden="false" customHeight="false" outlineLevel="0" collapsed="false">
      <c r="A63011" s="0" t="s">
        <v>21016</v>
      </c>
      <c r="B63011" s="0" t="str">
        <f aca="false">HYPERLINK("https://lindat.mff.cuni.cz/services/teitok/pdtc10/index.php?action=vallex&amp;frame=v-w7583f7", "vést (v-w7583f7)")</f>
        <v>vést (v-w7583f7)</v>
      </c>
    </row>
    <row r="63012" customFormat="false" ht="12.8" hidden="false" customHeight="false" outlineLevel="0" collapsed="false">
      <c r="B63012" s="0" t="s">
        <v>1</v>
      </c>
    </row>
    <row r="63013" customFormat="false" ht="12.8" hidden="false" customHeight="false" outlineLevel="0" collapsed="false">
      <c r="B63013" s="0" t="s">
        <v>336</v>
      </c>
    </row>
    <row r="63015" customFormat="false" ht="12.8" hidden="false" customHeight="false" outlineLevel="0" collapsed="false">
      <c r="A63015" s="0" t="s">
        <v>21017</v>
      </c>
      <c r="B63015" s="0" t="str">
        <f aca="false">HYPERLINK("https://lindat.mff.cuni.cz/services/teitok/pdtc10/index.php?action=vallex&amp;frame=v-w7583f6", "vést (v-w7583f6)")</f>
        <v>vést (v-w7583f6)</v>
      </c>
      <c r="E63015" s="0" t="str">
        <f aca="false">HYPERLINK("https://lindat.mff.cuni.cz/services/SynSemClass40/SynSemClass40.html?veclass=vec00434#vec00434-ces-cm00016", "vec00434")</f>
        <v>vec00434</v>
      </c>
      <c r="F63015" s="0" t="s">
        <v>6238</v>
      </c>
    </row>
    <row r="63016" customFormat="false" ht="12.8" hidden="false" customHeight="false" outlineLevel="0" collapsed="false">
      <c r="B63016" s="0" t="s">
        <v>1</v>
      </c>
      <c r="C63016" s="0" t="s">
        <v>6239</v>
      </c>
      <c r="E63016" s="0" t="s">
        <v>11</v>
      </c>
      <c r="F63016" s="0" t="s">
        <v>6240</v>
      </c>
    </row>
    <row r="63017" customFormat="false" ht="12.8" hidden="false" customHeight="false" outlineLevel="0" collapsed="false">
      <c r="B63017" s="0" t="s">
        <v>164</v>
      </c>
      <c r="C63017" s="0" t="s">
        <v>2724</v>
      </c>
      <c r="E63017" s="0" t="s">
        <v>370</v>
      </c>
      <c r="F63017" s="0" t="s">
        <v>2725</v>
      </c>
    </row>
    <row r="63019" customFormat="false" ht="12.8" hidden="false" customHeight="false" outlineLevel="0" collapsed="false">
      <c r="A63019" s="0" t="s">
        <v>21018</v>
      </c>
      <c r="B63019" s="0" t="str">
        <f aca="false">HYPERLINK("https://lindat.mff.cuni.cz/services/teitok/pdtc10/index.php?action=vallex&amp;frame=v-w7583f28_ZU", "vést (v-w7583f28_ZU)")</f>
        <v>vést (v-w7583f28_ZU)</v>
      </c>
    </row>
    <row r="63020" customFormat="false" ht="12.8" hidden="false" customHeight="false" outlineLevel="0" collapsed="false">
      <c r="B63020" s="0" t="s">
        <v>1</v>
      </c>
    </row>
    <row r="63021" customFormat="false" ht="12.8" hidden="false" customHeight="false" outlineLevel="0" collapsed="false">
      <c r="B63021" s="0" t="s">
        <v>21019</v>
      </c>
    </row>
    <row r="63023" customFormat="false" ht="12.8" hidden="false" customHeight="false" outlineLevel="0" collapsed="false">
      <c r="A63023" s="0" t="s">
        <v>21018</v>
      </c>
      <c r="B63023" s="0" t="str">
        <f aca="false">HYPERLINK("https://lindat.mff.cuni.cz/services/teitok/pdtc10/index.php?action=vallex&amp;frame=v-w7583f19_ZU", "vést (v-w7583f19_ZU) - substituted with v-w7583f28_ZU")</f>
        <v>vést (v-w7583f19_ZU) - substituted with v-w7583f28_ZU</v>
      </c>
    </row>
    <row r="63024" customFormat="false" ht="12.8" hidden="false" customHeight="false" outlineLevel="0" collapsed="false">
      <c r="B63024" s="0" t="s">
        <v>1</v>
      </c>
    </row>
    <row r="63025" customFormat="false" ht="12.8" hidden="false" customHeight="false" outlineLevel="0" collapsed="false">
      <c r="B63025" s="0" t="s">
        <v>21019</v>
      </c>
    </row>
    <row r="63027" customFormat="false" ht="12.8" hidden="false" customHeight="false" outlineLevel="0" collapsed="false">
      <c r="A63027" s="0" t="s">
        <v>21018</v>
      </c>
      <c r="B63027" s="0" t="str">
        <f aca="false">HYPERLINK("https://lindat.mff.cuni.cz/services/teitok/pdtc10/index.php?action=vallex&amp;frame=v-w7583f2", "vést (v-w7583f2) - substituted with v-w7583f28_ZU")</f>
        <v>vést (v-w7583f2) - substituted with v-w7583f28_ZU</v>
      </c>
    </row>
    <row r="63028" customFormat="false" ht="12.8" hidden="false" customHeight="false" outlineLevel="0" collapsed="false">
      <c r="B63028" s="0" t="s">
        <v>1</v>
      </c>
    </row>
    <row r="63029" customFormat="false" ht="12.8" hidden="false" customHeight="false" outlineLevel="0" collapsed="false">
      <c r="B63029" s="0" t="s">
        <v>21019</v>
      </c>
    </row>
    <row r="63031" customFormat="false" ht="12.8" hidden="false" customHeight="false" outlineLevel="0" collapsed="false">
      <c r="A63031" s="0" t="s">
        <v>21018</v>
      </c>
      <c r="B63031" s="0" t="str">
        <f aca="false">HYPERLINK("https://lindat.mff.cuni.cz/services/teitok/pdtc10/index.php?action=vallex&amp;frame=v-w7583f20_ZU", "vést (v-w7583f20_ZU) - substituted with v-w7583f28_ZU")</f>
        <v>vést (v-w7583f20_ZU) - substituted with v-w7583f28_ZU</v>
      </c>
    </row>
    <row r="63032" customFormat="false" ht="12.8" hidden="false" customHeight="false" outlineLevel="0" collapsed="false">
      <c r="B63032" s="0" t="s">
        <v>1</v>
      </c>
    </row>
    <row r="63033" customFormat="false" ht="12.8" hidden="false" customHeight="false" outlineLevel="0" collapsed="false">
      <c r="B63033" s="0" t="s">
        <v>21019</v>
      </c>
    </row>
    <row r="63035" customFormat="false" ht="12.8" hidden="false" customHeight="false" outlineLevel="0" collapsed="false">
      <c r="A63035" s="0" t="s">
        <v>21018</v>
      </c>
      <c r="B63035" s="0" t="str">
        <f aca="false">HYPERLINK("https://lindat.mff.cuni.cz/services/teitok/pdtc10/index.php?action=vallex&amp;frame=v-w7583f24_ZU", "vést (v-w7583f24_ZU) - substituted with v-w7583f28_ZU")</f>
        <v>vést (v-w7583f24_ZU) - substituted with v-w7583f28_ZU</v>
      </c>
    </row>
    <row r="63036" customFormat="false" ht="12.8" hidden="false" customHeight="false" outlineLevel="0" collapsed="false">
      <c r="B63036" s="0" t="s">
        <v>1</v>
      </c>
    </row>
    <row r="63037" customFormat="false" ht="12.8" hidden="false" customHeight="false" outlineLevel="0" collapsed="false">
      <c r="B63037" s="0" t="s">
        <v>21019</v>
      </c>
    </row>
    <row r="63039" customFormat="false" ht="12.8" hidden="false" customHeight="false" outlineLevel="0" collapsed="false">
      <c r="A63039" s="0" t="s">
        <v>21018</v>
      </c>
      <c r="B63039" s="0" t="str">
        <f aca="false">HYPERLINK("https://lindat.mff.cuni.cz/services/teitok/pdtc10/index.php?action=vallex&amp;frame=v-w7583f27_ZU", "vést (v-w7583f27_ZU) - substituted with v-w7583f28_ZU")</f>
        <v>vést (v-w7583f27_ZU) - substituted with v-w7583f28_ZU</v>
      </c>
    </row>
    <row r="63040" customFormat="false" ht="12.8" hidden="false" customHeight="false" outlineLevel="0" collapsed="false">
      <c r="B63040" s="0" t="s">
        <v>1</v>
      </c>
    </row>
    <row r="63041" customFormat="false" ht="12.8" hidden="false" customHeight="false" outlineLevel="0" collapsed="false">
      <c r="B63041" s="0" t="s">
        <v>21019</v>
      </c>
    </row>
    <row r="63043" customFormat="false" ht="12.8" hidden="false" customHeight="false" outlineLevel="0" collapsed="false">
      <c r="A63043" s="0" t="s">
        <v>21020</v>
      </c>
      <c r="B63043" s="0" t="str">
        <f aca="false">HYPERLINK("https://lindat.mff.cuni.cz/services/teitok/pdtc10/index.php?action=vallex&amp;frame=v-w7583f18_ZU", "vést (v-w7583f18_ZU)")</f>
        <v>vést (v-w7583f18_ZU)</v>
      </c>
    </row>
    <row r="63044" customFormat="false" ht="12.8" hidden="false" customHeight="false" outlineLevel="0" collapsed="false">
      <c r="B63044" s="0" t="s">
        <v>1</v>
      </c>
    </row>
    <row r="63045" customFormat="false" ht="12.8" hidden="false" customHeight="false" outlineLevel="0" collapsed="false">
      <c r="B63045" s="0" t="s">
        <v>21021</v>
      </c>
    </row>
    <row r="63047" customFormat="false" ht="12.8" hidden="false" customHeight="false" outlineLevel="0" collapsed="false">
      <c r="A63047" s="0" t="s">
        <v>21020</v>
      </c>
      <c r="B63047" s="0" t="str">
        <f aca="false">HYPERLINK("https://lindat.mff.cuni.cz/services/teitok/pdtc10/index.php?action=vallex&amp;frame=v-w7583f13", "vést (v-w7583f13) - substituted with v-w7583f18_ZU")</f>
        <v>vést (v-w7583f13) - substituted with v-w7583f18_ZU</v>
      </c>
    </row>
    <row r="63048" customFormat="false" ht="12.8" hidden="false" customHeight="false" outlineLevel="0" collapsed="false">
      <c r="B63048" s="0" t="s">
        <v>1</v>
      </c>
    </row>
    <row r="63049" customFormat="false" ht="12.8" hidden="false" customHeight="false" outlineLevel="0" collapsed="false">
      <c r="B63049" s="0" t="s">
        <v>21021</v>
      </c>
    </row>
    <row r="63051" customFormat="false" ht="12.8" hidden="false" customHeight="false" outlineLevel="0" collapsed="false">
      <c r="A63051" s="0" t="s">
        <v>21022</v>
      </c>
      <c r="B63051" s="0" t="str">
        <f aca="false">HYPERLINK("https://lindat.mff.cuni.cz/services/teitok/pdtc10/index.php?action=vallex&amp;frame=v-w7583f21_ZU", "vést (v-w7583f21_ZU)")</f>
        <v>vést (v-w7583f21_ZU)</v>
      </c>
    </row>
    <row r="63052" customFormat="false" ht="12.8" hidden="false" customHeight="false" outlineLevel="0" collapsed="false">
      <c r="B63052" s="0" t="s">
        <v>1</v>
      </c>
    </row>
    <row r="63053" customFormat="false" ht="12.8" hidden="false" customHeight="false" outlineLevel="0" collapsed="false">
      <c r="B63053" s="0" t="s">
        <v>21023</v>
      </c>
    </row>
    <row r="63054" customFormat="false" ht="12.8" hidden="false" customHeight="false" outlineLevel="0" collapsed="false">
      <c r="B63054" s="0" t="s">
        <v>496</v>
      </c>
    </row>
    <row r="63055" customFormat="false" ht="12.8" hidden="false" customHeight="false" outlineLevel="0" collapsed="false">
      <c r="B63055" s="0" t="s">
        <v>3982</v>
      </c>
    </row>
    <row r="63057" customFormat="false" ht="12.8" hidden="false" customHeight="false" outlineLevel="0" collapsed="false">
      <c r="A63057" s="0" t="s">
        <v>21022</v>
      </c>
      <c r="B63057" s="0" t="str">
        <f aca="false">HYPERLINK("https://lindat.mff.cuni.cz/services/teitok/pdtc10/index.php?action=vallex&amp;frame=v-w7583f16", "vést (v-w7583f16) - substituted with v-w7583f21_ZU")</f>
        <v>vést (v-w7583f16) - substituted with v-w7583f21_ZU</v>
      </c>
    </row>
    <row r="63058" customFormat="false" ht="12.8" hidden="false" customHeight="false" outlineLevel="0" collapsed="false">
      <c r="B63058" s="0" t="s">
        <v>1</v>
      </c>
    </row>
    <row r="63059" customFormat="false" ht="12.8" hidden="false" customHeight="false" outlineLevel="0" collapsed="false">
      <c r="B63059" s="0" t="s">
        <v>21023</v>
      </c>
    </row>
    <row r="63060" customFormat="false" ht="12.8" hidden="false" customHeight="false" outlineLevel="0" collapsed="false">
      <c r="B63060" s="0" t="s">
        <v>496</v>
      </c>
    </row>
    <row r="63061" customFormat="false" ht="12.8" hidden="false" customHeight="false" outlineLevel="0" collapsed="false">
      <c r="B63061" s="0" t="s">
        <v>3982</v>
      </c>
    </row>
    <row r="63063" customFormat="false" ht="12.8" hidden="false" customHeight="false" outlineLevel="0" collapsed="false">
      <c r="A63063" s="0" t="s">
        <v>21024</v>
      </c>
      <c r="B63063" s="0" t="str">
        <f aca="false">HYPERLINK("https://lindat.mff.cuni.cz/services/teitok/pdtc10/index.php?action=vallex&amp;frame=v-w7583f17", "vést (v-w7583f17)")</f>
        <v>vést (v-w7583f17)</v>
      </c>
    </row>
    <row r="63064" customFormat="false" ht="12.8" hidden="false" customHeight="false" outlineLevel="0" collapsed="false">
      <c r="B63064" s="0" t="s">
        <v>1</v>
      </c>
    </row>
    <row r="63065" customFormat="false" ht="12.8" hidden="false" customHeight="false" outlineLevel="0" collapsed="false">
      <c r="B63065" s="0" t="s">
        <v>21025</v>
      </c>
    </row>
    <row r="63067" customFormat="false" ht="12.8" hidden="false" customHeight="false" outlineLevel="0" collapsed="false">
      <c r="A63067" s="0" t="s">
        <v>21026</v>
      </c>
      <c r="B63067" s="0" t="str">
        <f aca="false">HYPERLINK("https://lindat.mff.cuni.cz/services/teitok/pdtc10/index.php?action=vallex&amp;frame=v-w7583f12", "vést (v-w7583f12)")</f>
        <v>vést (v-w7583f12)</v>
      </c>
    </row>
    <row r="63068" customFormat="false" ht="12.8" hidden="false" customHeight="false" outlineLevel="0" collapsed="false">
      <c r="B63068" s="0" t="s">
        <v>1</v>
      </c>
    </row>
    <row r="63069" customFormat="false" ht="12.8" hidden="false" customHeight="false" outlineLevel="0" collapsed="false">
      <c r="B63069" s="0" t="s">
        <v>11203</v>
      </c>
    </row>
    <row r="63071" customFormat="false" ht="12.8" hidden="false" customHeight="false" outlineLevel="0" collapsed="false">
      <c r="A63071" s="0" t="s">
        <v>21027</v>
      </c>
      <c r="B63071" s="0" t="str">
        <f aca="false">HYPERLINK("https://lindat.mff.cuni.cz/services/teitok/pdtc10/index.php?action=vallex&amp;frame=v-w7583hsa_155", "vést (v-w7583hsa_155)")</f>
        <v>vést (v-w7583hsa_155)</v>
      </c>
    </row>
    <row r="63072" customFormat="false" ht="12.8" hidden="false" customHeight="false" outlineLevel="0" collapsed="false">
      <c r="B63072" s="0" t="s">
        <v>1</v>
      </c>
    </row>
    <row r="63073" customFormat="false" ht="12.8" hidden="false" customHeight="false" outlineLevel="0" collapsed="false">
      <c r="B63073" s="0" t="s">
        <v>164</v>
      </c>
    </row>
    <row r="63075" customFormat="false" ht="12.8" hidden="false" customHeight="false" outlineLevel="0" collapsed="false">
      <c r="A63075" s="0" t="s">
        <v>21028</v>
      </c>
      <c r="B63075" s="0" t="str">
        <f aca="false">HYPERLINK("https://lindat.mff.cuni.cz/services/teitok/pdtc10/index.php?action=vallex&amp;frame=v-w7583f22_ZU", "vést (v-w7583f22_ZU)")</f>
        <v>vést (v-w7583f22_ZU)</v>
      </c>
      <c r="E63075" s="0" t="str">
        <f aca="false">HYPERLINK("https://lindat.mff.cuni.cz/services/SynSemClass40/SynSemClass40.html?veclass=vec01460#vec01460-ces-cm00001", "vec01460")</f>
        <v>vec01460</v>
      </c>
      <c r="F63075" s="0" t="s">
        <v>21029</v>
      </c>
    </row>
    <row r="63076" customFormat="false" ht="12.8" hidden="false" customHeight="false" outlineLevel="0" collapsed="false">
      <c r="B63076" s="0" t="s">
        <v>1</v>
      </c>
      <c r="E63076" s="0" t="s">
        <v>11</v>
      </c>
      <c r="F63076" s="0" t="s">
        <v>959</v>
      </c>
    </row>
    <row r="63077" customFormat="false" ht="12.8" hidden="false" customHeight="false" outlineLevel="0" collapsed="false">
      <c r="B63077" s="0" t="s">
        <v>21030</v>
      </c>
      <c r="E63077" s="0" t="s">
        <v>1048</v>
      </c>
      <c r="F63077" s="0" t="s">
        <v>21031</v>
      </c>
    </row>
    <row r="63079" customFormat="false" ht="12.8" hidden="false" customHeight="false" outlineLevel="0" collapsed="false">
      <c r="A63079" s="0" t="s">
        <v>21028</v>
      </c>
      <c r="B63079" s="0" t="str">
        <f aca="false">HYPERLINK("https://lindat.mff.cuni.cz/services/teitok/pdtc10/index.php?action=vallex&amp;frame=v-w7583hsa_156", "vést (v-w7583hsa_156) - substituted with v-w7583f22_ZU")</f>
        <v>vést (v-w7583hsa_156) - substituted with v-w7583f22_ZU</v>
      </c>
    </row>
    <row r="63080" customFormat="false" ht="12.8" hidden="false" customHeight="false" outlineLevel="0" collapsed="false">
      <c r="B63080" s="0" t="s">
        <v>1</v>
      </c>
    </row>
    <row r="63081" customFormat="false" ht="12.8" hidden="false" customHeight="false" outlineLevel="0" collapsed="false">
      <c r="B63081" s="0" t="s">
        <v>21030</v>
      </c>
    </row>
    <row r="63083" customFormat="false" ht="12.8" hidden="false" customHeight="false" outlineLevel="0" collapsed="false">
      <c r="A63083" s="0" t="s">
        <v>21032</v>
      </c>
      <c r="B63083" s="0" t="str">
        <f aca="false">HYPERLINK("https://lindat.mff.cuni.cz/services/teitok/pdtc10/index.php?action=vallex&amp;frame=v-w7583f25_ZU", "vést (v-w7583f25_ZU)")</f>
        <v>vést (v-w7583f25_ZU)</v>
      </c>
    </row>
    <row r="63084" customFormat="false" ht="12.8" hidden="false" customHeight="false" outlineLevel="0" collapsed="false">
      <c r="B63084" s="0" t="s">
        <v>1</v>
      </c>
    </row>
    <row r="63085" customFormat="false" ht="12.8" hidden="false" customHeight="false" outlineLevel="0" collapsed="false">
      <c r="B63085" s="0" t="s">
        <v>2382</v>
      </c>
    </row>
    <row r="63086" customFormat="false" ht="12.8" hidden="false" customHeight="false" outlineLevel="0" collapsed="false">
      <c r="B63086" s="0" t="s">
        <v>496</v>
      </c>
    </row>
    <row r="63088" customFormat="false" ht="12.8" hidden="false" customHeight="false" outlineLevel="0" collapsed="false">
      <c r="A63088" s="0" t="s">
        <v>21032</v>
      </c>
      <c r="B63088" s="0" t="str">
        <f aca="false">HYPERLINK("https://lindat.mff.cuni.cz/services/teitok/pdtc10/index.php?action=vallex&amp;frame=v-w7583hsa_1222", "vést (v-w7583hsa_1222) - substituted with v-w7583f25_ZU")</f>
        <v>vést (v-w7583hsa_1222) - substituted with v-w7583f25_ZU</v>
      </c>
    </row>
    <row r="63089" customFormat="false" ht="12.8" hidden="false" customHeight="false" outlineLevel="0" collapsed="false">
      <c r="B63089" s="0" t="s">
        <v>1</v>
      </c>
    </row>
    <row r="63090" customFormat="false" ht="12.8" hidden="false" customHeight="false" outlineLevel="0" collapsed="false">
      <c r="B63090" s="0" t="s">
        <v>2382</v>
      </c>
    </row>
    <row r="63091" customFormat="false" ht="12.8" hidden="false" customHeight="false" outlineLevel="0" collapsed="false">
      <c r="B63091" s="0" t="s">
        <v>496</v>
      </c>
    </row>
    <row r="63093" customFormat="false" ht="12.8" hidden="false" customHeight="false" outlineLevel="0" collapsed="false">
      <c r="A63093" s="0" t="s">
        <v>21033</v>
      </c>
      <c r="B63093" s="0" t="str">
        <f aca="false">HYPERLINK("https://lindat.mff.cuni.cz/services/teitok/pdtc10/index.php?action=vallex&amp;frame=v-w7583f26_ZU", "vést (v-w7583f26_ZU)")</f>
        <v>vést (v-w7583f26_ZU)</v>
      </c>
    </row>
    <row r="63094" customFormat="false" ht="12.8" hidden="false" customHeight="false" outlineLevel="0" collapsed="false">
      <c r="B63094" s="0" t="s">
        <v>1</v>
      </c>
    </row>
    <row r="63095" customFormat="false" ht="12.8" hidden="false" customHeight="false" outlineLevel="0" collapsed="false">
      <c r="B63095" s="0" t="s">
        <v>21034</v>
      </c>
    </row>
    <row r="63097" customFormat="false" ht="12.8" hidden="false" customHeight="false" outlineLevel="0" collapsed="false">
      <c r="A63097" s="0" t="s">
        <v>21033</v>
      </c>
      <c r="B63097" s="0" t="str">
        <f aca="false">HYPERLINK("https://lindat.mff.cuni.cz/services/teitok/pdtc10/index.php?action=vallex&amp;frame=v-w7583hsa_1225", "vést (v-w7583hsa_1225) - substituted with v-w7583f26_ZU")</f>
        <v>vést (v-w7583hsa_1225) - substituted with v-w7583f26_ZU</v>
      </c>
    </row>
    <row r="63098" customFormat="false" ht="12.8" hidden="false" customHeight="false" outlineLevel="0" collapsed="false">
      <c r="B63098" s="0" t="s">
        <v>1</v>
      </c>
    </row>
    <row r="63099" customFormat="false" ht="12.8" hidden="false" customHeight="false" outlineLevel="0" collapsed="false">
      <c r="B63099" s="0" t="s">
        <v>21034</v>
      </c>
    </row>
    <row r="63101" customFormat="false" ht="12.8" hidden="false" customHeight="false" outlineLevel="0" collapsed="false">
      <c r="A63101" s="0" t="s">
        <v>21035</v>
      </c>
      <c r="B63101" s="0" t="str">
        <f aca="false">HYPERLINK("https://lindat.mff.cuni.cz/services/teitok/pdtc10/index.php?action=vallex&amp;frame=v-w7583hsa_1221", "vést (v-w7583hsa_1221)")</f>
        <v>vést (v-w7583hsa_1221)</v>
      </c>
    </row>
    <row r="63102" customFormat="false" ht="12.8" hidden="false" customHeight="false" outlineLevel="0" collapsed="false">
      <c r="B63102" s="0" t="s">
        <v>1</v>
      </c>
    </row>
    <row r="63103" customFormat="false" ht="12.8" hidden="false" customHeight="false" outlineLevel="0" collapsed="false">
      <c r="B63103" s="0" t="s">
        <v>8</v>
      </c>
    </row>
    <row r="63104" customFormat="false" ht="12.8" hidden="false" customHeight="false" outlineLevel="0" collapsed="false">
      <c r="B63104" s="0" t="s">
        <v>3205</v>
      </c>
    </row>
    <row r="63106" customFormat="false" ht="12.8" hidden="false" customHeight="false" outlineLevel="0" collapsed="false">
      <c r="A63106" s="0" t="s">
        <v>21036</v>
      </c>
      <c r="B63106" s="0" t="str">
        <f aca="false">HYPERLINK("https://lindat.mff.cuni.cz/services/teitok/pdtc10/index.php?action=vallex&amp;frame=v-w7583hsa_1223", "vést (v-w7583hsa_1223)")</f>
        <v>vést (v-w7583hsa_1223)</v>
      </c>
    </row>
    <row r="63107" customFormat="false" ht="12.8" hidden="false" customHeight="false" outlineLevel="0" collapsed="false">
      <c r="B63107" s="0" t="s">
        <v>1</v>
      </c>
    </row>
    <row r="63108" customFormat="false" ht="12.8" hidden="false" customHeight="false" outlineLevel="0" collapsed="false">
      <c r="B63108" s="0" t="s">
        <v>13793</v>
      </c>
    </row>
    <row r="63110" customFormat="false" ht="12.8" hidden="false" customHeight="false" outlineLevel="0" collapsed="false">
      <c r="A63110" s="0" t="s">
        <v>21037</v>
      </c>
      <c r="B63110" s="0" t="str">
        <f aca="false">HYPERLINK("https://lindat.mff.cuni.cz/services/teitok/pdtc10/index.php?action=vallex&amp;frame=v-w7583hsa_1224", "vést (v-w7583hsa_1224)")</f>
        <v>vést (v-w7583hsa_1224)</v>
      </c>
    </row>
    <row r="63111" customFormat="false" ht="12.8" hidden="false" customHeight="false" outlineLevel="0" collapsed="false">
      <c r="B63111" s="0" t="s">
        <v>1</v>
      </c>
    </row>
    <row r="63112" customFormat="false" ht="12.8" hidden="false" customHeight="false" outlineLevel="0" collapsed="false">
      <c r="B63112" s="0" t="s">
        <v>8</v>
      </c>
    </row>
    <row r="63113" customFormat="false" ht="12.8" hidden="false" customHeight="false" outlineLevel="0" collapsed="false">
      <c r="B63113" s="0" t="s">
        <v>11793</v>
      </c>
    </row>
    <row r="63115" customFormat="false" ht="12.8" hidden="false" customHeight="false" outlineLevel="0" collapsed="false">
      <c r="A63115" s="0" t="s">
        <v>21038</v>
      </c>
      <c r="B63115" s="0" t="str">
        <f aca="false">HYPERLINK("https://lindat.mff.cuni.cz/services/teitok/pdtc10/index.php?action=vallex&amp;frame=v-w7585f1", "vést se (v-w7585f1)")</f>
        <v>vést se (v-w7585f1)</v>
      </c>
      <c r="E63115" s="0" t="str">
        <f aca="false">HYPERLINK("https://lindat.mff.cuni.cz/services/SynSemClass40/SynSemClass40.html?veclass=vec00153#vec00153-ces-cm00027", "vec00153")</f>
        <v>vec00153</v>
      </c>
      <c r="F63115" s="0" t="s">
        <v>925</v>
      </c>
    </row>
    <row r="63116" customFormat="false" ht="12.8" hidden="false" customHeight="false" outlineLevel="0" collapsed="false">
      <c r="B63116" s="0" t="s">
        <v>804</v>
      </c>
      <c r="C63116" s="0" t="s">
        <v>926</v>
      </c>
      <c r="E63116" s="0" t="s">
        <v>11</v>
      </c>
      <c r="F63116" s="0" t="s">
        <v>927</v>
      </c>
    </row>
    <row r="63117" customFormat="false" ht="12.8" hidden="false" customHeight="false" outlineLevel="0" collapsed="false">
      <c r="B63117" s="0" t="s">
        <v>642</v>
      </c>
      <c r="C63117" s="0" t="s">
        <v>929</v>
      </c>
      <c r="E63117" s="0" t="s">
        <v>21039</v>
      </c>
      <c r="F63117" s="0" t="s">
        <v>21040</v>
      </c>
    </row>
    <row r="63118" customFormat="false" ht="12.8" hidden="false" customHeight="false" outlineLevel="0" collapsed="false">
      <c r="B63118" s="0" t="s">
        <v>1815</v>
      </c>
      <c r="C63118" s="0" t="s">
        <v>1816</v>
      </c>
      <c r="E63118" s="0" t="s">
        <v>21039</v>
      </c>
      <c r="F63118" s="0" t="s">
        <v>21040</v>
      </c>
    </row>
    <row r="63120" customFormat="false" ht="12.8" hidden="false" customHeight="false" outlineLevel="0" collapsed="false">
      <c r="A63120" s="0" t="s">
        <v>21041</v>
      </c>
      <c r="B63120" s="0" t="str">
        <f aca="false">HYPERLINK("https://lindat.mff.cuni.cz/services/teitok/pdtc10/index.php?action=vallex&amp;frame=v-w7585hsa_2033", "vést se (v-w7585hsa_2033)")</f>
        <v>vést se (v-w7585hsa_2033)</v>
      </c>
    </row>
    <row r="63121" customFormat="false" ht="12.8" hidden="false" customHeight="false" outlineLevel="0" collapsed="false">
      <c r="B63121" s="0" t="s">
        <v>804</v>
      </c>
    </row>
    <row r="63122" customFormat="false" ht="12.8" hidden="false" customHeight="false" outlineLevel="0" collapsed="false">
      <c r="B63122" s="0" t="s">
        <v>3556</v>
      </c>
    </row>
    <row r="63124" customFormat="false" ht="12.8" hidden="false" customHeight="false" outlineLevel="0" collapsed="false">
      <c r="A63124" s="0" t="s">
        <v>21042</v>
      </c>
      <c r="B63124" s="0" t="str">
        <f aca="false">HYPERLINK("https://lindat.mff.cuni.cz/services/teitok/pdtc10/index.php?action=vallex&amp;frame=v-w7586f3_ZU", "vést si (v-w7586f3_ZU)")</f>
        <v>vést si (v-w7586f3_ZU)</v>
      </c>
      <c r="E63124" s="0" t="str">
        <f aca="false">HYPERLINK("https://lindat.mff.cuni.cz/services/SynSemClass40/SynSemClass40.html?veclass=vec00153#vec00153-ces-cm00001", "vec00153")</f>
        <v>vec00153</v>
      </c>
      <c r="F63124" s="0" t="s">
        <v>925</v>
      </c>
    </row>
    <row r="63125" customFormat="false" ht="12.8" hidden="false" customHeight="false" outlineLevel="0" collapsed="false">
      <c r="B63125" s="0" t="s">
        <v>1</v>
      </c>
      <c r="C63125" s="0" t="s">
        <v>926</v>
      </c>
      <c r="E63125" s="0" t="s">
        <v>11</v>
      </c>
      <c r="F63125" s="0" t="s">
        <v>927</v>
      </c>
    </row>
    <row r="63126" customFormat="false" ht="12.8" hidden="false" customHeight="false" outlineLevel="0" collapsed="false">
      <c r="B63126" s="0" t="s">
        <v>725</v>
      </c>
      <c r="C63126" s="0" t="s">
        <v>12032</v>
      </c>
      <c r="E63126" s="0" t="s">
        <v>1458</v>
      </c>
      <c r="F63126" s="0" t="s">
        <v>21043</v>
      </c>
    </row>
    <row r="63127" customFormat="false" ht="12.8" hidden="false" customHeight="false" outlineLevel="0" collapsed="false">
      <c r="B63127" s="0" t="s">
        <v>642</v>
      </c>
      <c r="C63127" s="0" t="s">
        <v>929</v>
      </c>
      <c r="E63127" s="0" t="s">
        <v>1458</v>
      </c>
      <c r="F63127" s="0" t="s">
        <v>21043</v>
      </c>
    </row>
    <row r="63128" customFormat="false" ht="12.8" hidden="false" customHeight="false" outlineLevel="0" collapsed="false">
      <c r="B63128" s="0" t="s">
        <v>648</v>
      </c>
      <c r="C63128" s="0" t="s">
        <v>12036</v>
      </c>
      <c r="E63128" s="0" t="s">
        <v>1458</v>
      </c>
      <c r="F63128" s="0" t="s">
        <v>21043</v>
      </c>
    </row>
    <row r="63129" customFormat="false" ht="12.8" hidden="false" customHeight="false" outlineLevel="0" collapsed="false">
      <c r="B63129" s="0" t="s">
        <v>650</v>
      </c>
      <c r="C63129" s="0" t="s">
        <v>12037</v>
      </c>
      <c r="E63129" s="0" t="s">
        <v>1458</v>
      </c>
      <c r="F63129" s="0" t="s">
        <v>21043</v>
      </c>
    </row>
    <row r="63130" customFormat="false" ht="12.8" hidden="false" customHeight="false" outlineLevel="0" collapsed="false">
      <c r="B63130" s="0" t="s">
        <v>652</v>
      </c>
      <c r="C63130" s="0" t="s">
        <v>12038</v>
      </c>
      <c r="E63130" s="0" t="s">
        <v>1458</v>
      </c>
      <c r="F63130" s="0" t="s">
        <v>21043</v>
      </c>
    </row>
    <row r="63132" customFormat="false" ht="12.8" hidden="false" customHeight="false" outlineLevel="0" collapsed="false">
      <c r="A63132" s="0" t="s">
        <v>21042</v>
      </c>
      <c r="B63132" s="0" t="str">
        <f aca="false">HYPERLINK("https://lindat.mff.cuni.cz/services/teitok/pdtc10/index.php?action=vallex&amp;frame=v-w7586f1", "vést si (v-w7586f1) - substituted with v-w7586f3_ZU")</f>
        <v>vést si (v-w7586f1) - substituted with v-w7586f3_ZU</v>
      </c>
    </row>
    <row r="63133" customFormat="false" ht="12.8" hidden="false" customHeight="false" outlineLevel="0" collapsed="false">
      <c r="B63133" s="0" t="s">
        <v>1</v>
      </c>
    </row>
    <row r="63134" customFormat="false" ht="12.8" hidden="false" customHeight="false" outlineLevel="0" collapsed="false">
      <c r="B63134" s="0" t="s">
        <v>725</v>
      </c>
    </row>
    <row r="63135" customFormat="false" ht="12.8" hidden="false" customHeight="false" outlineLevel="0" collapsed="false">
      <c r="B63135" s="0" t="s">
        <v>642</v>
      </c>
    </row>
    <row r="63136" customFormat="false" ht="12.8" hidden="false" customHeight="false" outlineLevel="0" collapsed="false">
      <c r="B63136" s="0" t="s">
        <v>648</v>
      </c>
    </row>
    <row r="63137" customFormat="false" ht="12.8" hidden="false" customHeight="false" outlineLevel="0" collapsed="false">
      <c r="B63137" s="0" t="s">
        <v>650</v>
      </c>
    </row>
    <row r="63138" customFormat="false" ht="12.8" hidden="false" customHeight="false" outlineLevel="0" collapsed="false">
      <c r="B63138" s="0" t="s">
        <v>652</v>
      </c>
    </row>
    <row r="63140" customFormat="false" ht="12.8" hidden="false" customHeight="false" outlineLevel="0" collapsed="false">
      <c r="A63140" s="0" t="s">
        <v>21044</v>
      </c>
      <c r="B63140" s="0" t="str">
        <f aca="false">HYPERLINK("https://lindat.mff.cuni.cz/services/teitok/pdtc10/index.php?action=vallex&amp;frame=v-w7586f2", "vést si (v-w7586f2)")</f>
        <v>vést si (v-w7586f2)</v>
      </c>
    </row>
    <row r="63141" customFormat="false" ht="12.8" hidden="false" customHeight="false" outlineLevel="0" collapsed="false">
      <c r="B63141" s="0" t="s">
        <v>1</v>
      </c>
    </row>
    <row r="63142" customFormat="false" ht="12.8" hidden="false" customHeight="false" outlineLevel="0" collapsed="false">
      <c r="B63142" s="0" t="s">
        <v>12697</v>
      </c>
    </row>
    <row r="63144" customFormat="false" ht="12.8" hidden="false" customHeight="false" outlineLevel="0" collapsed="false">
      <c r="A63144" s="0" t="s">
        <v>21045</v>
      </c>
      <c r="B63144" s="0" t="str">
        <f aca="false">HYPERLINK("https://lindat.mff.cuni.cz/services/teitok/pdtc10/index.php?action=vallex&amp;frame=v-w7598f1", "vévodit (v-w7598f1)")</f>
        <v>vévodit (v-w7598f1)</v>
      </c>
      <c r="E63144" s="0" t="str">
        <f aca="false">HYPERLINK("https://lindat.mff.cuni.cz/services/SynSemClass40/SynSemClass40.html?veclass=vec00214#vec00214-ces-cm00006", "vec00214")</f>
        <v>vec00214</v>
      </c>
      <c r="F63144" s="0" t="s">
        <v>2461</v>
      </c>
    </row>
    <row r="63145" customFormat="false" ht="12.8" hidden="false" customHeight="false" outlineLevel="0" collapsed="false">
      <c r="B63145" s="0" t="s">
        <v>1</v>
      </c>
      <c r="C63145" s="0" t="s">
        <v>2462</v>
      </c>
      <c r="E63145" s="0" t="s">
        <v>2027</v>
      </c>
      <c r="F63145" s="0" t="s">
        <v>2463</v>
      </c>
    </row>
    <row r="63146" customFormat="false" ht="12.8" hidden="false" customHeight="false" outlineLevel="0" collapsed="false">
      <c r="B63146" s="0" t="s">
        <v>2464</v>
      </c>
      <c r="C63146" s="0" t="s">
        <v>1543</v>
      </c>
      <c r="E63146" s="0" t="s">
        <v>2465</v>
      </c>
      <c r="F63146" s="0" t="s">
        <v>2466</v>
      </c>
    </row>
    <row r="63148" customFormat="false" ht="12.8" hidden="false" customHeight="false" outlineLevel="0" collapsed="false">
      <c r="A63148" s="0" t="s">
        <v>21046</v>
      </c>
      <c r="B63148" s="0" t="str">
        <f aca="false">HYPERLINK("https://lindat.mff.cuni.cz/services/teitok/pdtc10/index.php?action=vallex&amp;frame=v-w7602f1", "vézt (v-w7602f1)")</f>
        <v>vézt (v-w7602f1)</v>
      </c>
      <c r="E63148" s="0" t="str">
        <f aca="false">HYPERLINK("https://lindat.mff.cuni.cz/services/SynSemClass40/SynSemClass40.html?veclass=vec00172#vec00172-ces-cm00016", "vec00172")</f>
        <v>vec00172</v>
      </c>
      <c r="F63148" s="0" t="s">
        <v>2513</v>
      </c>
      <c r="H63148" s="0" t="str">
        <f aca="false">HYPERLINK("https://lindat.mff.cuni.cz/services/SynSemClass40/SynSemClass40.html?veclass=vec01377#vec01377-ces-cm00054", "vec01377")</f>
        <v>vec01377</v>
      </c>
      <c r="I63148" s="0" t="s">
        <v>2643</v>
      </c>
    </row>
    <row r="63149" customFormat="false" ht="12.8" hidden="false" customHeight="false" outlineLevel="0" collapsed="false">
      <c r="B63149" s="0" t="s">
        <v>1</v>
      </c>
      <c r="C63149" s="0" t="s">
        <v>9487</v>
      </c>
      <c r="E63149" s="0" t="s">
        <v>2196</v>
      </c>
      <c r="F63149" s="0" t="s">
        <v>2515</v>
      </c>
      <c r="H63149" s="0" t="s">
        <v>2645</v>
      </c>
      <c r="I63149" s="0" t="s">
        <v>2646</v>
      </c>
    </row>
    <row r="63150" customFormat="false" ht="12.8" hidden="false" customHeight="false" outlineLevel="0" collapsed="false">
      <c r="B63150" s="0" t="s">
        <v>8</v>
      </c>
      <c r="C63150" s="0" t="s">
        <v>9488</v>
      </c>
      <c r="E63150" s="0" t="s">
        <v>2200</v>
      </c>
      <c r="F63150" s="0" t="s">
        <v>2517</v>
      </c>
      <c r="H63150" s="0" t="s">
        <v>2648</v>
      </c>
      <c r="I63150" s="0" t="s">
        <v>2649</v>
      </c>
    </row>
    <row r="63152" customFormat="false" ht="12.8" hidden="false" customHeight="false" outlineLevel="0" collapsed="false">
      <c r="A63152" s="0" t="s">
        <v>21047</v>
      </c>
      <c r="B63152" s="0" t="str">
        <f aca="false">HYPERLINK("https://lindat.mff.cuni.cz/services/teitok/pdtc10/index.php?action=vallex&amp;frame=v-w7603f1", "vézt se (v-w7603f1)")</f>
        <v>vézt se (v-w7603f1)</v>
      </c>
    </row>
    <row r="63153" customFormat="false" ht="12.8" hidden="false" customHeight="false" outlineLevel="0" collapsed="false">
      <c r="B63153" s="0" t="s">
        <v>1</v>
      </c>
    </row>
    <row r="63155" customFormat="false" ht="12.8" hidden="false" customHeight="false" outlineLevel="0" collapsed="false">
      <c r="A63155" s="0" t="s">
        <v>21048</v>
      </c>
      <c r="B63155" s="0" t="str">
        <f aca="false">HYPERLINK("https://lindat.mff.cuni.cz/services/teitok/pdtc10/index.php?action=vallex&amp;frame=v-w7603f2", "vézt se (v-w7603f2)")</f>
        <v>vézt se (v-w7603f2)</v>
      </c>
    </row>
    <row r="63156" customFormat="false" ht="12.8" hidden="false" customHeight="false" outlineLevel="0" collapsed="false">
      <c r="B63156" s="0" t="s">
        <v>1</v>
      </c>
    </row>
    <row r="63158" customFormat="false" ht="12.8" hidden="false" customHeight="false" outlineLevel="0" collapsed="false">
      <c r="A63158" s="0" t="s">
        <v>21049</v>
      </c>
      <c r="B63158" s="0" t="str">
        <f aca="false">HYPERLINK("https://lindat.mff.cuni.cz/services/teitok/pdtc10/index.php?action=vallex&amp;frame=v-w7610f1", "vídat (v-w7610f1)")</f>
        <v>vídat (v-w7610f1)</v>
      </c>
      <c r="E63158" s="0" t="str">
        <f aca="false">HYPERLINK("https://lindat.mff.cuni.cz/services/SynSemClass40/SynSemClass40.html?veclass=vec00154#vec00154-ces-cm00079", "vec00154")</f>
        <v>vec00154</v>
      </c>
      <c r="F63158" s="0" t="s">
        <v>11901</v>
      </c>
    </row>
    <row r="63159" customFormat="false" ht="12.8" hidden="false" customHeight="false" outlineLevel="0" collapsed="false">
      <c r="B63159" s="0" t="s">
        <v>1</v>
      </c>
      <c r="C63159" s="0" t="s">
        <v>16248</v>
      </c>
      <c r="E63159" s="0" t="s">
        <v>637</v>
      </c>
      <c r="F63159" s="0" t="s">
        <v>11904</v>
      </c>
    </row>
    <row r="63160" customFormat="false" ht="12.8" hidden="false" customHeight="false" outlineLevel="0" collapsed="false">
      <c r="B63160" s="0" t="s">
        <v>8</v>
      </c>
      <c r="C63160" s="0" t="s">
        <v>16249</v>
      </c>
      <c r="E63160" s="0" t="s">
        <v>640</v>
      </c>
      <c r="F63160" s="0" t="s">
        <v>11908</v>
      </c>
    </row>
    <row r="63162" customFormat="false" ht="12.8" hidden="false" customHeight="false" outlineLevel="0" collapsed="false">
      <c r="A63162" s="0" t="s">
        <v>21050</v>
      </c>
      <c r="B63162" s="0" t="str">
        <f aca="false">HYPERLINK("https://lindat.mff.cuni.cz/services/teitok/pdtc10/index.php?action=vallex&amp;frame=v-whsa_119hsa_120", "vídat se (v-whsa_119hsa_120)")</f>
        <v>vídat se (v-whsa_119hsa_120)</v>
      </c>
    </row>
    <row r="63163" customFormat="false" ht="12.8" hidden="false" customHeight="false" outlineLevel="0" collapsed="false">
      <c r="B63163" s="0" t="s">
        <v>1</v>
      </c>
    </row>
    <row r="63164" customFormat="false" ht="12.8" hidden="false" customHeight="false" outlineLevel="0" collapsed="false">
      <c r="B63164" s="0" t="s">
        <v>721</v>
      </c>
    </row>
    <row r="63166" customFormat="false" ht="12.8" hidden="false" customHeight="false" outlineLevel="0" collapsed="false">
      <c r="A63166" s="0" t="s">
        <v>21051</v>
      </c>
      <c r="B63166" s="0" t="str">
        <f aca="false">HYPERLINK("https://lindat.mff.cuni.cz/services/teitok/pdtc10/index.php?action=vallex&amp;frame=v-w12284_ZUf1_ZU", "vídávat (v-w12284_ZUf1_ZU)")</f>
        <v>vídávat (v-w12284_ZUf1_ZU)</v>
      </c>
    </row>
    <row r="63167" customFormat="false" ht="12.8" hidden="false" customHeight="false" outlineLevel="0" collapsed="false">
      <c r="B63167" s="0" t="s">
        <v>1</v>
      </c>
    </row>
    <row r="63168" customFormat="false" ht="12.8" hidden="false" customHeight="false" outlineLevel="0" collapsed="false">
      <c r="B63168" s="0" t="s">
        <v>8</v>
      </c>
    </row>
    <row r="63170" customFormat="false" ht="12.8" hidden="false" customHeight="false" outlineLevel="0" collapsed="false">
      <c r="A63170" s="0" t="s">
        <v>21052</v>
      </c>
      <c r="B63170" s="0" t="str">
        <f aca="false">HYPERLINK("https://lindat.mff.cuni.cz/services/teitok/pdtc10/index.php?action=vallex&amp;frame=v-whsa_1207hsa_1208", "vídávat se (v-whsa_1207hsa_1208)")</f>
        <v>vídávat se (v-whsa_1207hsa_1208)</v>
      </c>
    </row>
    <row r="63171" customFormat="false" ht="12.8" hidden="false" customHeight="false" outlineLevel="0" collapsed="false">
      <c r="B63171" s="0" t="s">
        <v>1</v>
      </c>
    </row>
    <row r="63172" customFormat="false" ht="12.8" hidden="false" customHeight="false" outlineLevel="0" collapsed="false">
      <c r="B63172" s="0" t="s">
        <v>721</v>
      </c>
    </row>
    <row r="63174" customFormat="false" ht="12.8" hidden="false" customHeight="false" outlineLevel="0" collapsed="false">
      <c r="A63174" s="0" t="s">
        <v>21053</v>
      </c>
      <c r="B63174" s="0" t="str">
        <f aca="false">HYPERLINK("https://lindat.mff.cuni.cz/services/teitok/pdtc10/index.php?action=vallex&amp;frame=v-w7623f4", "vítat (v-w7623f4)")</f>
        <v>vítat (v-w7623f4)</v>
      </c>
    </row>
    <row r="63175" customFormat="false" ht="12.8" hidden="false" customHeight="false" outlineLevel="0" collapsed="false">
      <c r="B63175" s="0" t="s">
        <v>1</v>
      </c>
    </row>
    <row r="63176" customFormat="false" ht="12.8" hidden="false" customHeight="false" outlineLevel="0" collapsed="false">
      <c r="B63176" s="0" t="s">
        <v>721</v>
      </c>
    </row>
    <row r="63177" customFormat="false" ht="12.8" hidden="false" customHeight="false" outlineLevel="0" collapsed="false">
      <c r="B63177" s="0" t="s">
        <v>1502</v>
      </c>
    </row>
    <row r="63179" customFormat="false" ht="12.8" hidden="false" customHeight="false" outlineLevel="0" collapsed="false">
      <c r="A63179" s="0" t="s">
        <v>21054</v>
      </c>
      <c r="B63179" s="0" t="str">
        <f aca="false">HYPERLINK("https://lindat.mff.cuni.cz/services/teitok/pdtc10/index.php?action=vallex&amp;frame=v-w7623f3", "vítat (v-w7623f3)")</f>
        <v>vítat (v-w7623f3)</v>
      </c>
    </row>
    <row r="63180" customFormat="false" ht="12.8" hidden="false" customHeight="false" outlineLevel="0" collapsed="false">
      <c r="B63180" s="0" t="s">
        <v>1</v>
      </c>
    </row>
    <row r="63181" customFormat="false" ht="12.8" hidden="false" customHeight="false" outlineLevel="0" collapsed="false">
      <c r="B63181" s="0" t="s">
        <v>59</v>
      </c>
    </row>
    <row r="63183" customFormat="false" ht="12.8" hidden="false" customHeight="false" outlineLevel="0" collapsed="false">
      <c r="A63183" s="0" t="s">
        <v>21055</v>
      </c>
      <c r="B63183" s="0" t="str">
        <f aca="false">HYPERLINK("https://lindat.mff.cuni.cz/services/teitok/pdtc10/index.php?action=vallex&amp;frame=v-w7623f1", "vítat (v-w7623f1)")</f>
        <v>vítat (v-w7623f1)</v>
      </c>
      <c r="E63183" s="0" t="str">
        <f aca="false">HYPERLINK("https://lindat.mff.cuni.cz/services/SynSemClass40/SynSemClass40.html?veclass=vec01145#vec01145-ces-cm00001", "vec01145")</f>
        <v>vec01145</v>
      </c>
      <c r="F63183" s="0" t="s">
        <v>14624</v>
      </c>
    </row>
    <row r="63184" customFormat="false" ht="12.8" hidden="false" customHeight="false" outlineLevel="0" collapsed="false">
      <c r="B63184" s="0" t="s">
        <v>1</v>
      </c>
      <c r="C63184" s="0" t="s">
        <v>6252</v>
      </c>
      <c r="E63184" s="0" t="s">
        <v>4501</v>
      </c>
      <c r="F63184" s="0" t="s">
        <v>14625</v>
      </c>
    </row>
    <row r="63185" customFormat="false" ht="12.8" hidden="false" customHeight="false" outlineLevel="0" collapsed="false">
      <c r="B63185" s="0" t="s">
        <v>8</v>
      </c>
      <c r="C63185" s="0" t="s">
        <v>4017</v>
      </c>
      <c r="E63185" s="0" t="s">
        <v>4503</v>
      </c>
      <c r="F63185" s="0" t="s">
        <v>14626</v>
      </c>
    </row>
    <row r="63187" customFormat="false" ht="12.8" hidden="false" customHeight="false" outlineLevel="0" collapsed="false">
      <c r="A63187" s="0" t="s">
        <v>21056</v>
      </c>
      <c r="B63187" s="0" t="str">
        <f aca="false">HYPERLINK("https://lindat.mff.cuni.cz/services/teitok/pdtc10/index.php?action=vallex&amp;frame=v-w7623f2", "vítat (v-w7623f2)")</f>
        <v>vítat (v-w7623f2)</v>
      </c>
      <c r="E63187" s="0" t="str">
        <f aca="false">HYPERLINK("https://lindat.mff.cuni.cz/services/SynSemClass40/SynSemClass40.html?veclass=vec01145#vec01145-ces-cm00016", "vec01145")</f>
        <v>vec01145</v>
      </c>
      <c r="F63187" s="0" t="s">
        <v>14624</v>
      </c>
    </row>
    <row r="63188" customFormat="false" ht="12.8" hidden="false" customHeight="false" outlineLevel="0" collapsed="false">
      <c r="B63188" s="0" t="s">
        <v>1</v>
      </c>
      <c r="C63188" s="0" t="s">
        <v>6252</v>
      </c>
      <c r="E63188" s="0" t="s">
        <v>4501</v>
      </c>
      <c r="F63188" s="0" t="s">
        <v>14625</v>
      </c>
    </row>
    <row r="63190" customFormat="false" ht="12.8" hidden="false" customHeight="false" outlineLevel="0" collapsed="false">
      <c r="A63190" s="0" t="s">
        <v>21057</v>
      </c>
      <c r="B63190" s="0" t="str">
        <f aca="false">HYPERLINK("https://lindat.mff.cuni.cz/services/teitok/pdtc10/index.php?action=vallex&amp;frame=v-w7625f1", "vítězit (v-w7625f1)")</f>
        <v>vítězit (v-w7625f1)</v>
      </c>
      <c r="E63190" s="0" t="str">
        <f aca="false">HYPERLINK("https://lindat.mff.cuni.cz/services/SynSemClass40/SynSemClass40.html?veclass=vec00352#vec00352-ces-cm00002", "vec00352")</f>
        <v>vec00352</v>
      </c>
      <c r="F63190" s="0" t="s">
        <v>17213</v>
      </c>
    </row>
    <row r="63191" customFormat="false" ht="12.8" hidden="false" customHeight="false" outlineLevel="0" collapsed="false">
      <c r="B63191" s="0" t="s">
        <v>1</v>
      </c>
      <c r="C63191" s="0" t="s">
        <v>19273</v>
      </c>
      <c r="E63191" s="0" t="s">
        <v>2106</v>
      </c>
      <c r="F63191" s="0" t="s">
        <v>17215</v>
      </c>
    </row>
    <row r="63192" customFormat="false" ht="12.8" hidden="false" customHeight="false" outlineLevel="0" collapsed="false">
      <c r="B63192" s="0" t="s">
        <v>883</v>
      </c>
      <c r="C63192" s="0" t="s">
        <v>19274</v>
      </c>
      <c r="E63192" s="0" t="s">
        <v>432</v>
      </c>
      <c r="F63192" s="0" t="s">
        <v>19275</v>
      </c>
    </row>
    <row r="63193" customFormat="false" ht="12.8" hidden="false" customHeight="false" outlineLevel="0" collapsed="false">
      <c r="B63193" s="0" t="s">
        <v>21058</v>
      </c>
      <c r="E63193" s="0" t="s">
        <v>19276</v>
      </c>
      <c r="F63193" s="0" t="s">
        <v>19277</v>
      </c>
    </row>
    <row r="63195" customFormat="false" ht="12.8" hidden="false" customHeight="false" outlineLevel="0" collapsed="false">
      <c r="A63195" s="0" t="s">
        <v>21059</v>
      </c>
      <c r="B63195" s="0" t="str">
        <f aca="false">HYPERLINK("https://lindat.mff.cuni.cz/services/teitok/pdtc10/index.php?action=vallex&amp;frame=v-w10080f3", "vířit (v-w10080f3)")</f>
        <v>vířit (v-w10080f3)</v>
      </c>
      <c r="E63195" s="0" t="str">
        <f aca="false">HYPERLINK("https://lindat.mff.cuni.cz/services/SynSemClass40/SynSemClass40.html?veclass=vec00915#vec00915-ces-cm00005", "vec00915")</f>
        <v>vec00915</v>
      </c>
      <c r="F63195" s="0" t="s">
        <v>14882</v>
      </c>
    </row>
    <row r="63196" customFormat="false" ht="12.8" hidden="false" customHeight="false" outlineLevel="0" collapsed="false">
      <c r="B63196" s="0" t="s">
        <v>1</v>
      </c>
      <c r="C63196" s="0" t="s">
        <v>1752</v>
      </c>
      <c r="E63196" s="0" t="s">
        <v>76</v>
      </c>
      <c r="F63196" s="0" t="s">
        <v>14883</v>
      </c>
    </row>
    <row r="63197" customFormat="false" ht="12.8" hidden="false" customHeight="false" outlineLevel="0" collapsed="false">
      <c r="B63197" s="0" t="s">
        <v>8</v>
      </c>
      <c r="C63197" s="0" t="s">
        <v>1575</v>
      </c>
      <c r="E63197" s="0" t="s">
        <v>142</v>
      </c>
      <c r="F63197" s="0" t="s">
        <v>1576</v>
      </c>
    </row>
    <row r="63199" customFormat="false" ht="12.8" hidden="false" customHeight="false" outlineLevel="0" collapsed="false">
      <c r="A63199" s="0" t="s">
        <v>21060</v>
      </c>
      <c r="B63199" s="0" t="str">
        <f aca="false">HYPERLINK("https://lindat.mff.cuni.cz/services/teitok/pdtc10/index.php?action=vallex&amp;frame=v-w8452f1", "výt (v-w8452f1)")</f>
        <v>výt (v-w8452f1)</v>
      </c>
    </row>
    <row r="63200" customFormat="false" ht="12.8" hidden="false" customHeight="false" outlineLevel="0" collapsed="false">
      <c r="B63200" s="0" t="s">
        <v>1</v>
      </c>
    </row>
    <row r="63202" customFormat="false" ht="12.8" hidden="false" customHeight="false" outlineLevel="0" collapsed="false">
      <c r="A63202" s="0" t="s">
        <v>21061</v>
      </c>
      <c r="B63202" s="0" t="str">
        <f aca="false">HYPERLINK("https://lindat.mff.cuni.cz/services/teitok/pdtc10/index.php?action=vallex&amp;frame=v-whsa_545hsa_546", "včelařit (v-whsa_545hsa_546)")</f>
        <v>včelařit (v-whsa_545hsa_546)</v>
      </c>
    </row>
    <row r="63203" customFormat="false" ht="12.8" hidden="false" customHeight="false" outlineLevel="0" collapsed="false">
      <c r="B63203" s="0" t="s">
        <v>1</v>
      </c>
    </row>
    <row r="63205" customFormat="false" ht="12.8" hidden="false" customHeight="false" outlineLevel="0" collapsed="false">
      <c r="A63205" s="0" t="s">
        <v>21062</v>
      </c>
      <c r="B63205" s="0" t="str">
        <f aca="false">HYPERLINK("https://lindat.mff.cuni.cz/services/teitok/pdtc10/index.php?action=vallex&amp;frame=v-w11036f2", "včlenit (v-w11036f2)")</f>
        <v>včlenit (v-w11036f2)</v>
      </c>
      <c r="E63205" s="0" t="str">
        <f aca="false">HYPERLINK("https://lindat.mff.cuni.cz/services/SynSemClass40/SynSemClass40.html?veclass=vec00735#vec00735-ces-cm00115", "vec00735")</f>
        <v>vec00735</v>
      </c>
      <c r="F63205" s="0" t="s">
        <v>2719</v>
      </c>
      <c r="H63205" s="0" t="str">
        <f aca="false">HYPERLINK("https://lindat.mff.cuni.cz/services/SynSemClass40/SynSemClass40.html?veclass=vec01536#vec01536-ces-cm00026", "vec01536")</f>
        <v>vec01536</v>
      </c>
      <c r="I63205" s="0" t="s">
        <v>14025</v>
      </c>
    </row>
    <row r="63206" customFormat="false" ht="12.8" hidden="false" customHeight="false" outlineLevel="0" collapsed="false">
      <c r="B63206" s="0" t="s">
        <v>1</v>
      </c>
      <c r="C63206" s="0" t="s">
        <v>21063</v>
      </c>
      <c r="E63206" s="0" t="s">
        <v>334</v>
      </c>
      <c r="F63206" s="0" t="s">
        <v>2721</v>
      </c>
      <c r="H63206" s="0" t="s">
        <v>31</v>
      </c>
      <c r="I63206" s="0" t="s">
        <v>14027</v>
      </c>
    </row>
    <row r="63207" customFormat="false" ht="12.8" hidden="false" customHeight="false" outlineLevel="0" collapsed="false">
      <c r="B63207" s="0" t="s">
        <v>8</v>
      </c>
      <c r="C63207" s="0" t="s">
        <v>21064</v>
      </c>
      <c r="E63207" s="0" t="s">
        <v>2648</v>
      </c>
      <c r="F63207" s="0" t="s">
        <v>2723</v>
      </c>
      <c r="H63207" s="0" t="s">
        <v>110</v>
      </c>
      <c r="I63207" s="0" t="s">
        <v>14029</v>
      </c>
    </row>
    <row r="63208" customFormat="false" ht="12.8" hidden="false" customHeight="false" outlineLevel="0" collapsed="false">
      <c r="B63208" s="0" t="s">
        <v>164</v>
      </c>
      <c r="C63208" s="0" t="s">
        <v>21065</v>
      </c>
      <c r="E63208" s="0" t="s">
        <v>370</v>
      </c>
      <c r="F63208" s="0" t="s">
        <v>2725</v>
      </c>
      <c r="H63208" s="0" t="s">
        <v>14031</v>
      </c>
      <c r="I63208" s="0" t="s">
        <v>14032</v>
      </c>
    </row>
    <row r="63210" customFormat="false" ht="12.8" hidden="false" customHeight="false" outlineLevel="0" collapsed="false">
      <c r="A63210" s="0" t="s">
        <v>21066</v>
      </c>
      <c r="B63210" s="0" t="str">
        <f aca="false">HYPERLINK("https://lindat.mff.cuni.cz/services/teitok/pdtc10/index.php?action=vallex&amp;frame=v-w11447f1", "včlenit se (v-w11447f1)")</f>
        <v>včlenit se (v-w11447f1)</v>
      </c>
    </row>
    <row r="63211" customFormat="false" ht="12.8" hidden="false" customHeight="false" outlineLevel="0" collapsed="false">
      <c r="B63211" s="0" t="s">
        <v>1</v>
      </c>
    </row>
    <row r="63212" customFormat="false" ht="12.8" hidden="false" customHeight="false" outlineLevel="0" collapsed="false">
      <c r="B63212" s="0" t="s">
        <v>164</v>
      </c>
    </row>
    <row r="63214" customFormat="false" ht="12.8" hidden="false" customHeight="false" outlineLevel="0" collapsed="false">
      <c r="A63214" s="0" t="s">
        <v>21067</v>
      </c>
      <c r="B63214" s="0" t="str">
        <f aca="false">HYPERLINK("https://lindat.mff.cuni.cz/services/teitok/pdtc10/index.php?action=vallex&amp;frame=v-w7538f1", "včleňovat (v-w7538f1)")</f>
        <v>včleňovat (v-w7538f1)</v>
      </c>
      <c r="E63214" s="0" t="str">
        <f aca="false">HYPERLINK("https://lindat.mff.cuni.cz/services/SynSemClass40/SynSemClass40.html?veclass=vec00735#vec00735-ces-cm00148", "vec00735")</f>
        <v>vec00735</v>
      </c>
      <c r="F63214" s="0" t="s">
        <v>2719</v>
      </c>
    </row>
    <row r="63215" customFormat="false" ht="12.8" hidden="false" customHeight="false" outlineLevel="0" collapsed="false">
      <c r="B63215" s="0" t="s">
        <v>1</v>
      </c>
      <c r="C63215" s="0" t="s">
        <v>2720</v>
      </c>
      <c r="E63215" s="0" t="s">
        <v>334</v>
      </c>
      <c r="F63215" s="0" t="s">
        <v>2721</v>
      </c>
    </row>
    <row r="63216" customFormat="false" ht="12.8" hidden="false" customHeight="false" outlineLevel="0" collapsed="false">
      <c r="B63216" s="0" t="s">
        <v>8</v>
      </c>
      <c r="C63216" s="0" t="s">
        <v>2722</v>
      </c>
      <c r="E63216" s="0" t="s">
        <v>2648</v>
      </c>
      <c r="F63216" s="0" t="s">
        <v>2723</v>
      </c>
    </row>
    <row r="63217" customFormat="false" ht="12.8" hidden="false" customHeight="false" outlineLevel="0" collapsed="false">
      <c r="B63217" s="0" t="s">
        <v>164</v>
      </c>
      <c r="C63217" s="0" t="s">
        <v>2724</v>
      </c>
      <c r="E63217" s="0" t="s">
        <v>370</v>
      </c>
      <c r="F63217" s="0" t="s">
        <v>2725</v>
      </c>
    </row>
    <row r="63219" customFormat="false" ht="12.8" hidden="false" customHeight="false" outlineLevel="0" collapsed="false">
      <c r="A63219" s="0" t="s">
        <v>21068</v>
      </c>
      <c r="B63219" s="0" t="str">
        <f aca="false">HYPERLINK("https://lindat.mff.cuni.cz/services/teitok/pdtc10/index.php?action=vallex&amp;frame=v-w11425f1", "včleňovat se (v-w11425f1)")</f>
        <v>včleňovat se (v-w11425f1)</v>
      </c>
    </row>
    <row r="63220" customFormat="false" ht="12.8" hidden="false" customHeight="false" outlineLevel="0" collapsed="false">
      <c r="B63220" s="0" t="s">
        <v>1</v>
      </c>
    </row>
    <row r="63221" customFormat="false" ht="12.8" hidden="false" customHeight="false" outlineLevel="0" collapsed="false">
      <c r="B63221" s="0" t="s">
        <v>164</v>
      </c>
    </row>
    <row r="63223" customFormat="false" ht="12.8" hidden="false" customHeight="false" outlineLevel="0" collapsed="false">
      <c r="A63223" s="0" t="s">
        <v>21069</v>
      </c>
      <c r="B63223" s="0" t="str">
        <f aca="false">HYPERLINK("https://lindat.mff.cuni.cz/services/teitok/pdtc10/index.php?action=vallex&amp;frame=v-w7548f1", "vědět (v-w7548f1)")</f>
        <v>vědět (v-w7548f1)</v>
      </c>
      <c r="E63223" s="0" t="str">
        <f aca="false">HYPERLINK("https://lindat.mff.cuni.cz/services/SynSemClass40/SynSemClass40.html?veclass=vec00013#vec00013-ces-cm00098", "vec00013")</f>
        <v>vec00013</v>
      </c>
      <c r="F63223" s="0" t="s">
        <v>2742</v>
      </c>
    </row>
    <row r="63224" customFormat="false" ht="12.8" hidden="false" customHeight="false" outlineLevel="0" collapsed="false">
      <c r="B63224" s="0" t="s">
        <v>1</v>
      </c>
      <c r="C63224" s="0" t="s">
        <v>2743</v>
      </c>
      <c r="E63224" s="0" t="s">
        <v>621</v>
      </c>
      <c r="F63224" s="0" t="s">
        <v>2744</v>
      </c>
    </row>
    <row r="63225" customFormat="false" ht="12.8" hidden="false" customHeight="false" outlineLevel="0" collapsed="false">
      <c r="B63225" s="0" t="s">
        <v>21070</v>
      </c>
      <c r="C63225" s="0" t="s">
        <v>2748</v>
      </c>
      <c r="E63225" s="0" t="s">
        <v>218</v>
      </c>
      <c r="F63225" s="0" t="s">
        <v>2749</v>
      </c>
    </row>
    <row r="63226" customFormat="false" ht="12.8" hidden="false" customHeight="false" outlineLevel="0" collapsed="false">
      <c r="B63226" s="0" t="s">
        <v>2740</v>
      </c>
      <c r="C63226" s="0" t="s">
        <v>2750</v>
      </c>
      <c r="E63226" s="0" t="s">
        <v>2176</v>
      </c>
      <c r="F63226" s="0" t="s">
        <v>2751</v>
      </c>
    </row>
    <row r="63228" customFormat="false" ht="12.8" hidden="false" customHeight="false" outlineLevel="0" collapsed="false">
      <c r="A63228" s="0" t="s">
        <v>21071</v>
      </c>
      <c r="B63228" s="0" t="str">
        <f aca="false">HYPERLINK("https://lindat.mff.cuni.cz/services/teitok/pdtc10/index.php?action=vallex&amp;frame=v-w7548f4", "vědět (v-w7548f4)")</f>
        <v>vědět (v-w7548f4)</v>
      </c>
    </row>
    <row r="63229" customFormat="false" ht="12.8" hidden="false" customHeight="false" outlineLevel="0" collapsed="false">
      <c r="B63229" s="0" t="s">
        <v>1</v>
      </c>
    </row>
    <row r="63230" customFormat="false" ht="12.8" hidden="false" customHeight="false" outlineLevel="0" collapsed="false">
      <c r="B63230" s="0" t="s">
        <v>45</v>
      </c>
    </row>
    <row r="63231" customFormat="false" ht="12.8" hidden="false" customHeight="false" outlineLevel="0" collapsed="false">
      <c r="B63231" s="0" t="s">
        <v>2382</v>
      </c>
    </row>
    <row r="63232" customFormat="false" ht="12.8" hidden="false" customHeight="false" outlineLevel="0" collapsed="false">
      <c r="B63232" s="0" t="s">
        <v>1633</v>
      </c>
    </row>
    <row r="63234" customFormat="false" ht="12.8" hidden="false" customHeight="false" outlineLevel="0" collapsed="false">
      <c r="A63234" s="0" t="s">
        <v>21072</v>
      </c>
      <c r="B63234" s="0" t="str">
        <f aca="false">HYPERLINK("https://lindat.mff.cuni.cz/services/teitok/pdtc10/index.php?action=vallex&amp;frame=v-w7548f5", "vědět (v-w7548f5)")</f>
        <v>vědět (v-w7548f5)</v>
      </c>
    </row>
    <row r="63235" customFormat="false" ht="12.8" hidden="false" customHeight="false" outlineLevel="0" collapsed="false">
      <c r="B63235" s="0" t="s">
        <v>1</v>
      </c>
    </row>
    <row r="63236" customFormat="false" ht="12.8" hidden="false" customHeight="false" outlineLevel="0" collapsed="false">
      <c r="B63236" s="0" t="s">
        <v>8</v>
      </c>
    </row>
    <row r="63238" customFormat="false" ht="12.8" hidden="false" customHeight="false" outlineLevel="0" collapsed="false">
      <c r="A63238" s="0" t="s">
        <v>21073</v>
      </c>
      <c r="B63238" s="0" t="str">
        <f aca="false">HYPERLINK("https://lindat.mff.cuni.cz/services/teitok/pdtc10/index.php?action=vallex&amp;frame=v-w7548f2", "vědět (v-w7548f2)")</f>
        <v>vědět (v-w7548f2)</v>
      </c>
      <c r="E63238" s="0" t="str">
        <f aca="false">HYPERLINK("https://lindat.mff.cuni.cz/services/SynSemClass40/SynSemClass40.html?veclass=vec00013#vec00013-ces-cm00099", "vec00013")</f>
        <v>vec00013</v>
      </c>
      <c r="F63238" s="0" t="s">
        <v>2742</v>
      </c>
      <c r="H63238" s="0" t="str">
        <f aca="false">HYPERLINK("https://lindat.mff.cuni.cz/services/SynSemClass40/SynSemClass40.html?veclass=vec01278#vec01278-ces-cm00008", "vec01278")</f>
        <v>vec01278</v>
      </c>
      <c r="I63238" s="0" t="s">
        <v>11861</v>
      </c>
    </row>
    <row r="63239" customFormat="false" ht="12.8" hidden="false" customHeight="false" outlineLevel="0" collapsed="false">
      <c r="B63239" s="0" t="s">
        <v>1</v>
      </c>
      <c r="C63239" s="0" t="s">
        <v>2743</v>
      </c>
      <c r="E63239" s="0" t="s">
        <v>621</v>
      </c>
      <c r="F63239" s="0" t="s">
        <v>2744</v>
      </c>
    </row>
    <row r="63240" customFormat="false" ht="12.8" hidden="false" customHeight="false" outlineLevel="0" collapsed="false">
      <c r="B63240" s="0" t="s">
        <v>21074</v>
      </c>
      <c r="C63240" s="0" t="s">
        <v>2746</v>
      </c>
      <c r="E63240" s="0" t="s">
        <v>2217</v>
      </c>
      <c r="F63240" s="0" t="s">
        <v>2747</v>
      </c>
      <c r="H63240" s="0" t="s">
        <v>2217</v>
      </c>
      <c r="I63240" s="0" t="s">
        <v>11862</v>
      </c>
    </row>
    <row r="63241" customFormat="false" ht="12.8" hidden="false" customHeight="false" outlineLevel="0" collapsed="false">
      <c r="B63241" s="0" t="s">
        <v>496</v>
      </c>
      <c r="C63241" s="0" t="s">
        <v>2748</v>
      </c>
      <c r="E63241" s="0" t="s">
        <v>218</v>
      </c>
      <c r="F63241" s="0" t="s">
        <v>2749</v>
      </c>
      <c r="H63241" s="0" t="s">
        <v>209</v>
      </c>
      <c r="I63241" s="0" t="s">
        <v>11127</v>
      </c>
    </row>
    <row r="63242" customFormat="false" ht="12.8" hidden="false" customHeight="false" outlineLevel="0" collapsed="false">
      <c r="B63242" s="0" t="s">
        <v>2740</v>
      </c>
      <c r="C63242" s="0" t="s">
        <v>2750</v>
      </c>
      <c r="E63242" s="0" t="s">
        <v>2176</v>
      </c>
      <c r="F63242" s="0" t="s">
        <v>2751</v>
      </c>
    </row>
    <row r="63244" customFormat="false" ht="12.8" hidden="false" customHeight="false" outlineLevel="0" collapsed="false">
      <c r="A63244" s="0" t="s">
        <v>21075</v>
      </c>
      <c r="B63244" s="0" t="str">
        <f aca="false">HYPERLINK("https://lindat.mff.cuni.cz/services/teitok/pdtc10/index.php?action=vallex&amp;frame=v-w7548f3", "vědět (v-w7548f3)")</f>
        <v>vědět (v-w7548f3)</v>
      </c>
    </row>
    <row r="63245" customFormat="false" ht="12.8" hidden="false" customHeight="false" outlineLevel="0" collapsed="false">
      <c r="B63245" s="0" t="s">
        <v>1</v>
      </c>
    </row>
    <row r="63246" customFormat="false" ht="12.8" hidden="false" customHeight="false" outlineLevel="0" collapsed="false">
      <c r="B63246" s="0" t="s">
        <v>21076</v>
      </c>
    </row>
    <row r="63247" customFormat="false" ht="12.8" hidden="false" customHeight="false" outlineLevel="0" collapsed="false">
      <c r="B63247" s="0" t="s">
        <v>318</v>
      </c>
    </row>
    <row r="63249" customFormat="false" ht="12.8" hidden="false" customHeight="false" outlineLevel="0" collapsed="false">
      <c r="A63249" s="0" t="s">
        <v>21077</v>
      </c>
      <c r="B63249" s="0" t="str">
        <f aca="false">HYPERLINK("https://lindat.mff.cuni.cz/services/teitok/pdtc10/index.php?action=vallex&amp;frame=v-w7548f6_ZU", "vědět (v-w7548f6_ZU)")</f>
        <v>vědět (v-w7548f6_ZU)</v>
      </c>
    </row>
    <row r="63250" customFormat="false" ht="12.8" hidden="false" customHeight="false" outlineLevel="0" collapsed="false">
      <c r="B63250" s="0" t="s">
        <v>1</v>
      </c>
    </row>
    <row r="63251" customFormat="false" ht="12.8" hidden="false" customHeight="false" outlineLevel="0" collapsed="false">
      <c r="B63251" s="0" t="s">
        <v>21078</v>
      </c>
    </row>
    <row r="63252" customFormat="false" ht="12.8" hidden="false" customHeight="false" outlineLevel="0" collapsed="false">
      <c r="B63252" s="0" t="s">
        <v>3382</v>
      </c>
    </row>
    <row r="63254" customFormat="false" ht="12.8" hidden="false" customHeight="false" outlineLevel="0" collapsed="false">
      <c r="A63254" s="0" t="s">
        <v>21077</v>
      </c>
      <c r="B63254" s="0" t="str">
        <f aca="false">HYPERLINK("https://lindat.mff.cuni.cz/services/teitok/pdtc10/index.php?action=vallex&amp;frame=v-w7548hsa_1957", "vědět (v-w7548hsa_1957) - substituted with v-w7548f6_ZU")</f>
        <v>vědět (v-w7548hsa_1957) - substituted with v-w7548f6_ZU</v>
      </c>
    </row>
    <row r="63255" customFormat="false" ht="12.8" hidden="false" customHeight="false" outlineLevel="0" collapsed="false">
      <c r="B63255" s="0" t="s">
        <v>1</v>
      </c>
    </row>
    <row r="63256" customFormat="false" ht="12.8" hidden="false" customHeight="false" outlineLevel="0" collapsed="false">
      <c r="B63256" s="0" t="s">
        <v>21078</v>
      </c>
    </row>
    <row r="63257" customFormat="false" ht="12.8" hidden="false" customHeight="false" outlineLevel="0" collapsed="false">
      <c r="B63257" s="0" t="s">
        <v>3382</v>
      </c>
    </row>
    <row r="63259" customFormat="false" ht="12.8" hidden="false" customHeight="false" outlineLevel="0" collapsed="false">
      <c r="A63259" s="0" t="s">
        <v>21079</v>
      </c>
      <c r="B63259" s="0" t="str">
        <f aca="false">HYPERLINK("https://lindat.mff.cuni.cz/services/teitok/pdtc10/index.php?action=vallex&amp;frame=v-w7549f1", "vědět si (v-w7549f1)")</f>
        <v>vědět si (v-w7549f1)</v>
      </c>
    </row>
    <row r="63260" customFormat="false" ht="12.8" hidden="false" customHeight="false" outlineLevel="0" collapsed="false">
      <c r="B63260" s="0" t="s">
        <v>1</v>
      </c>
    </row>
    <row r="63261" customFormat="false" ht="12.8" hidden="false" customHeight="false" outlineLevel="0" collapsed="false">
      <c r="B63261" s="0" t="s">
        <v>21080</v>
      </c>
    </row>
    <row r="63262" customFormat="false" ht="12.8" hidden="false" customHeight="false" outlineLevel="0" collapsed="false">
      <c r="B63262" s="0" t="s">
        <v>3321</v>
      </c>
    </row>
    <row r="63264" customFormat="false" ht="12.8" hidden="false" customHeight="false" outlineLevel="0" collapsed="false">
      <c r="A63264" s="0" t="s">
        <v>21081</v>
      </c>
      <c r="B63264" s="0" t="str">
        <f aca="false">HYPERLINK("https://lindat.mff.cuni.cz/services/teitok/pdtc10/index.php?action=vallex&amp;frame=v-w7568f1", "věnovat (v-w7568f1)")</f>
        <v>věnovat (v-w7568f1)</v>
      </c>
      <c r="E63264" s="0" t="str">
        <f aca="false">HYPERLINK("https://lindat.mff.cuni.cz/services/SynSemClass40/SynSemClass40.html?veclass=vec00497#vec00497-ces-cm00046", "vec00497")</f>
        <v>vec00497</v>
      </c>
      <c r="F63264" s="0" t="s">
        <v>8865</v>
      </c>
      <c r="H63264" s="0" t="str">
        <f aca="false">HYPERLINK("https://lindat.mff.cuni.cz/services/SynSemClass40/SynSemClass40.html?veclass=vec01256#vec01256-ces-cm00075", "vec01256")</f>
        <v>vec01256</v>
      </c>
      <c r="I63264" s="0" t="s">
        <v>2194</v>
      </c>
    </row>
    <row r="63265" customFormat="false" ht="12.8" hidden="false" customHeight="false" outlineLevel="0" collapsed="false">
      <c r="B63265" s="0" t="s">
        <v>1</v>
      </c>
      <c r="C63265" s="0" t="s">
        <v>21082</v>
      </c>
      <c r="E63265" s="0" t="s">
        <v>4416</v>
      </c>
      <c r="F63265" s="0" t="s">
        <v>8866</v>
      </c>
      <c r="H63265" s="0" t="s">
        <v>31</v>
      </c>
      <c r="I63265" s="0" t="s">
        <v>2198</v>
      </c>
    </row>
    <row r="63266" customFormat="false" ht="12.8" hidden="false" customHeight="false" outlineLevel="0" collapsed="false">
      <c r="B63266" s="0" t="s">
        <v>8</v>
      </c>
      <c r="C63266" s="0" t="s">
        <v>21083</v>
      </c>
      <c r="E63266" s="0" t="s">
        <v>2111</v>
      </c>
      <c r="F63266" s="0" t="s">
        <v>8868</v>
      </c>
      <c r="H63266" s="0" t="s">
        <v>1875</v>
      </c>
      <c r="I63266" s="0" t="s">
        <v>2202</v>
      </c>
    </row>
    <row r="63267" customFormat="false" ht="12.8" hidden="false" customHeight="false" outlineLevel="0" collapsed="false">
      <c r="B63267" s="0" t="s">
        <v>52</v>
      </c>
      <c r="C63267" s="0" t="s">
        <v>21084</v>
      </c>
      <c r="E63267" s="0" t="s">
        <v>53</v>
      </c>
      <c r="F63267" s="0" t="s">
        <v>8870</v>
      </c>
      <c r="H63267" s="0" t="s">
        <v>53</v>
      </c>
      <c r="I63267" s="0" t="s">
        <v>2205</v>
      </c>
    </row>
    <row r="63269" customFormat="false" ht="12.8" hidden="false" customHeight="false" outlineLevel="0" collapsed="false">
      <c r="A63269" s="0" t="s">
        <v>21085</v>
      </c>
      <c r="B63269" s="0" t="str">
        <f aca="false">HYPERLINK("https://lindat.mff.cuni.cz/services/teitok/pdtc10/index.php?action=vallex&amp;frame=v-w7568f3", "věnovat (v-w7568f3)")</f>
        <v>věnovat (v-w7568f3)</v>
      </c>
    </row>
    <row r="63270" customFormat="false" ht="12.8" hidden="false" customHeight="false" outlineLevel="0" collapsed="false">
      <c r="B63270" s="0" t="s">
        <v>1</v>
      </c>
    </row>
    <row r="63271" customFormat="false" ht="12.8" hidden="false" customHeight="false" outlineLevel="0" collapsed="false">
      <c r="B63271" s="0" t="s">
        <v>8</v>
      </c>
    </row>
    <row r="63272" customFormat="false" ht="12.8" hidden="false" customHeight="false" outlineLevel="0" collapsed="false">
      <c r="B63272" s="0" t="s">
        <v>52</v>
      </c>
    </row>
    <row r="63274" customFormat="false" ht="12.8" hidden="false" customHeight="false" outlineLevel="0" collapsed="false">
      <c r="A63274" s="0" t="s">
        <v>21086</v>
      </c>
      <c r="B63274" s="0" t="str">
        <f aca="false">HYPERLINK("https://lindat.mff.cuni.cz/services/teitok/pdtc10/index.php?action=vallex&amp;frame=v-w7568hsa_453", "věnovat (v-w7568hsa_453)")</f>
        <v>věnovat (v-w7568hsa_453)</v>
      </c>
      <c r="E63274" s="0" t="str">
        <f aca="false">HYPERLINK("https://lindat.mff.cuni.cz/services/SynSemClass40/SynSemClass40.html?veclass=vec00574#vec00574-ces-cm00017", "vec00574")</f>
        <v>vec00574</v>
      </c>
      <c r="F63274" s="0" t="s">
        <v>5067</v>
      </c>
      <c r="H63274" s="0" t="str">
        <f aca="false">HYPERLINK("https://lindat.mff.cuni.cz/services/SynSemClass40/SynSemClass40.html?veclass=vec01207#vec01207-ces-cm00027", "vec01207")</f>
        <v>vec01207</v>
      </c>
      <c r="I63274" s="0" t="s">
        <v>3541</v>
      </c>
    </row>
    <row r="63275" customFormat="false" ht="12.8" hidden="false" customHeight="false" outlineLevel="0" collapsed="false">
      <c r="B63275" s="0" t="s">
        <v>1</v>
      </c>
      <c r="C63275" s="0" t="s">
        <v>21087</v>
      </c>
      <c r="E63275" s="0" t="s">
        <v>621</v>
      </c>
      <c r="F63275" s="0" t="s">
        <v>5069</v>
      </c>
      <c r="H63275" s="0" t="s">
        <v>621</v>
      </c>
      <c r="I63275" s="0" t="s">
        <v>3542</v>
      </c>
    </row>
    <row r="63276" customFormat="false" ht="12.8" hidden="false" customHeight="false" outlineLevel="0" collapsed="false">
      <c r="B63276" s="0" t="s">
        <v>21088</v>
      </c>
    </row>
    <row r="63277" customFormat="false" ht="12.8" hidden="false" customHeight="false" outlineLevel="0" collapsed="false">
      <c r="B63277" s="0" t="s">
        <v>11614</v>
      </c>
      <c r="C63277" s="0" t="s">
        <v>21089</v>
      </c>
      <c r="E63277" s="0" t="s">
        <v>9438</v>
      </c>
      <c r="F63277" s="0" t="s">
        <v>21090</v>
      </c>
    </row>
    <row r="63279" customFormat="false" ht="12.8" hidden="false" customHeight="false" outlineLevel="0" collapsed="false">
      <c r="A63279" s="0" t="s">
        <v>21086</v>
      </c>
      <c r="B63279" s="0" t="str">
        <f aca="false">HYPERLINK("https://lindat.mff.cuni.cz/services/teitok/pdtc10/index.php?action=vallex&amp;frame=v-w7568f2", "věnovat (v-w7568f2) - substituted with v-w7568hsa_453")</f>
        <v>věnovat (v-w7568f2) - substituted with v-w7568hsa_453</v>
      </c>
    </row>
    <row r="63280" customFormat="false" ht="12.8" hidden="false" customHeight="false" outlineLevel="0" collapsed="false">
      <c r="B63280" s="0" t="s">
        <v>1</v>
      </c>
    </row>
    <row r="63281" customFormat="false" ht="12.8" hidden="false" customHeight="false" outlineLevel="0" collapsed="false">
      <c r="B63281" s="0" t="s">
        <v>21088</v>
      </c>
    </row>
    <row r="63282" customFormat="false" ht="12.8" hidden="false" customHeight="false" outlineLevel="0" collapsed="false">
      <c r="B63282" s="0" t="s">
        <v>11614</v>
      </c>
    </row>
    <row r="63284" customFormat="false" ht="12.8" hidden="false" customHeight="false" outlineLevel="0" collapsed="false">
      <c r="A63284" s="0" t="s">
        <v>21086</v>
      </c>
      <c r="B63284" s="0" t="str">
        <f aca="false">HYPERLINK("https://lindat.mff.cuni.cz/services/teitok/pdtc10/index.php?action=vallex&amp;frame=v-w7568f4_ZU", "věnovat (v-w7568f4_ZU) - substituted with v-w7568hsa_453")</f>
        <v>věnovat (v-w7568f4_ZU) - substituted with v-w7568hsa_453</v>
      </c>
    </row>
    <row r="63285" customFormat="false" ht="12.8" hidden="false" customHeight="false" outlineLevel="0" collapsed="false">
      <c r="B63285" s="0" t="s">
        <v>1</v>
      </c>
    </row>
    <row r="63286" customFormat="false" ht="12.8" hidden="false" customHeight="false" outlineLevel="0" collapsed="false">
      <c r="B63286" s="0" t="s">
        <v>21088</v>
      </c>
    </row>
    <row r="63287" customFormat="false" ht="12.8" hidden="false" customHeight="false" outlineLevel="0" collapsed="false">
      <c r="B63287" s="0" t="s">
        <v>11614</v>
      </c>
    </row>
    <row r="63289" customFormat="false" ht="12.8" hidden="false" customHeight="false" outlineLevel="0" collapsed="false">
      <c r="A63289" s="0" t="s">
        <v>21091</v>
      </c>
      <c r="B63289" s="0" t="str">
        <f aca="false">HYPERLINK("https://lindat.mff.cuni.cz/services/teitok/pdtc10/index.php?action=vallex&amp;frame=v-w7569f1", "věnovat se (v-w7569f1)")</f>
        <v>věnovat se (v-w7569f1)</v>
      </c>
      <c r="E63289" s="0" t="str">
        <f aca="false">HYPERLINK("https://lindat.mff.cuni.cz/services/SynSemClass40/SynSemClass40.html?veclass=vec01458#vec01458-ces-cm00005", "vec01458")</f>
        <v>vec01458</v>
      </c>
      <c r="F63289" s="0" t="s">
        <v>127</v>
      </c>
    </row>
    <row r="63290" customFormat="false" ht="12.8" hidden="false" customHeight="false" outlineLevel="0" collapsed="false">
      <c r="B63290" s="0" t="s">
        <v>1</v>
      </c>
      <c r="C63290" s="0" t="s">
        <v>285</v>
      </c>
      <c r="E63290" s="0" t="s">
        <v>31</v>
      </c>
      <c r="F63290" s="0" t="s">
        <v>130</v>
      </c>
    </row>
    <row r="63291" customFormat="false" ht="12.8" hidden="false" customHeight="false" outlineLevel="0" collapsed="false">
      <c r="B63291" s="0" t="s">
        <v>186</v>
      </c>
      <c r="C63291" s="0" t="s">
        <v>287</v>
      </c>
      <c r="E63291" s="0" t="s">
        <v>14</v>
      </c>
      <c r="F63291" s="0" t="s">
        <v>288</v>
      </c>
    </row>
    <row r="63293" customFormat="false" ht="12.8" hidden="false" customHeight="false" outlineLevel="0" collapsed="false">
      <c r="A63293" s="0" t="s">
        <v>21092</v>
      </c>
      <c r="B63293" s="0" t="str">
        <f aca="false">HYPERLINK("https://lindat.mff.cuni.cz/services/teitok/pdtc10/index.php?action=vallex&amp;frame=v-w10602f2", "věstit (v-w10602f2)")</f>
        <v>věstit (v-w10602f2)</v>
      </c>
    </row>
    <row r="63294" customFormat="false" ht="12.8" hidden="false" customHeight="false" outlineLevel="0" collapsed="false">
      <c r="B63294" s="0" t="s">
        <v>1</v>
      </c>
    </row>
    <row r="63295" customFormat="false" ht="12.8" hidden="false" customHeight="false" outlineLevel="0" collapsed="false">
      <c r="B63295" s="0" t="s">
        <v>1838</v>
      </c>
    </row>
    <row r="63297" customFormat="false" ht="12.8" hidden="false" customHeight="false" outlineLevel="0" collapsed="false">
      <c r="A63297" s="0" t="s">
        <v>21093</v>
      </c>
      <c r="B63297" s="0" t="str">
        <f aca="false">HYPERLINK("https://lindat.mff.cuni.cz/services/teitok/pdtc10/index.php?action=vallex&amp;frame=v-w10602f5", "věstit (v-w10602f5)")</f>
        <v>věstit (v-w10602f5)</v>
      </c>
      <c r="E63297" s="0" t="str">
        <f aca="false">HYPERLINK("https://lindat.mff.cuni.cz/services/SynSemClass40/SynSemClass40.html?veclass=vec00093#vec00093-ces-cm00038", "vec00093")</f>
        <v>vec00093</v>
      </c>
      <c r="F63297" s="0" t="s">
        <v>4708</v>
      </c>
    </row>
    <row r="63298" customFormat="false" ht="12.8" hidden="false" customHeight="false" outlineLevel="0" collapsed="false">
      <c r="B63298" s="0" t="s">
        <v>1</v>
      </c>
      <c r="C63298" s="0" t="s">
        <v>2758</v>
      </c>
      <c r="E63298" s="0" t="s">
        <v>4709</v>
      </c>
      <c r="F63298" s="0" t="s">
        <v>4710</v>
      </c>
    </row>
    <row r="63299" customFormat="false" ht="12.8" hidden="false" customHeight="false" outlineLevel="0" collapsed="false">
      <c r="B63299" s="0" t="s">
        <v>21094</v>
      </c>
      <c r="C63299" s="0" t="s">
        <v>21095</v>
      </c>
      <c r="E63299" s="0" t="s">
        <v>21096</v>
      </c>
      <c r="F63299" s="0" t="s">
        <v>21097</v>
      </c>
    </row>
    <row r="63300" customFormat="false" ht="12.8" hidden="false" customHeight="false" outlineLevel="0" collapsed="false">
      <c r="B63300" s="0" t="s">
        <v>855</v>
      </c>
    </row>
    <row r="63302" customFormat="false" ht="12.8" hidden="false" customHeight="false" outlineLevel="0" collapsed="false">
      <c r="A63302" s="0" t="s">
        <v>21098</v>
      </c>
      <c r="B63302" s="0" t="str">
        <f aca="false">HYPERLINK("https://lindat.mff.cuni.cz/services/teitok/pdtc10/index.php?action=vallex&amp;frame=v-w7594f1", "větrat (v-w7594f1)")</f>
        <v>větrat (v-w7594f1)</v>
      </c>
    </row>
    <row r="63303" customFormat="false" ht="12.8" hidden="false" customHeight="false" outlineLevel="0" collapsed="false">
      <c r="B63303" s="0" t="s">
        <v>1</v>
      </c>
    </row>
    <row r="63304" customFormat="false" ht="12.8" hidden="false" customHeight="false" outlineLevel="0" collapsed="false">
      <c r="B63304" s="0" t="s">
        <v>390</v>
      </c>
    </row>
    <row r="63306" customFormat="false" ht="12.8" hidden="false" customHeight="false" outlineLevel="0" collapsed="false">
      <c r="A63306" s="0" t="s">
        <v>21099</v>
      </c>
      <c r="B63306" s="0" t="str">
        <f aca="false">HYPERLINK("https://lindat.mff.cuni.cz/services/teitok/pdtc10/index.php?action=vallex&amp;frame=v-w7594f2", "větrat (v-w7594f2)")</f>
        <v>větrat (v-w7594f2)</v>
      </c>
    </row>
    <row r="63307" customFormat="false" ht="12.8" hidden="false" customHeight="false" outlineLevel="0" collapsed="false">
      <c r="B63307" s="0" t="s">
        <v>1</v>
      </c>
    </row>
    <row r="63309" customFormat="false" ht="12.8" hidden="false" customHeight="false" outlineLevel="0" collapsed="false">
      <c r="A63309" s="0" t="s">
        <v>21100</v>
      </c>
      <c r="B63309" s="0" t="str">
        <f aca="false">HYPERLINK("https://lindat.mff.cuni.cz/services/teitok/pdtc10/index.php?action=vallex&amp;frame=v-w10603f3", "větřit (v-w10603f3)")</f>
        <v>větřit (v-w10603f3)</v>
      </c>
    </row>
    <row r="63310" customFormat="false" ht="12.8" hidden="false" customHeight="false" outlineLevel="0" collapsed="false">
      <c r="B63310" s="0" t="s">
        <v>1</v>
      </c>
    </row>
    <row r="63311" customFormat="false" ht="12.8" hidden="false" customHeight="false" outlineLevel="0" collapsed="false">
      <c r="B63311" s="0" t="s">
        <v>8</v>
      </c>
    </row>
    <row r="63313" customFormat="false" ht="12.8" hidden="false" customHeight="false" outlineLevel="0" collapsed="false">
      <c r="A63313" s="0" t="s">
        <v>21101</v>
      </c>
      <c r="B63313" s="0" t="str">
        <f aca="false">HYPERLINK("https://lindat.mff.cuni.cz/services/teitok/pdtc10/index.php?action=vallex&amp;frame=v-w7599f1", "vězet (v-w7599f1)")</f>
        <v>vězet (v-w7599f1)</v>
      </c>
    </row>
    <row r="63314" customFormat="false" ht="12.8" hidden="false" customHeight="false" outlineLevel="0" collapsed="false">
      <c r="B63314" s="0" t="s">
        <v>1</v>
      </c>
    </row>
    <row r="63315" customFormat="false" ht="12.8" hidden="false" customHeight="false" outlineLevel="0" collapsed="false">
      <c r="B63315" s="0" t="s">
        <v>536</v>
      </c>
    </row>
    <row r="63317" customFormat="false" ht="12.8" hidden="false" customHeight="false" outlineLevel="0" collapsed="false">
      <c r="A63317" s="0" t="s">
        <v>21102</v>
      </c>
      <c r="B63317" s="0" t="str">
        <f aca="false">HYPERLINK("https://lindat.mff.cuni.cz/services/teitok/pdtc10/index.php?action=vallex&amp;frame=v-w7599f2", "vězet (v-w7599f2)")</f>
        <v>vězet (v-w7599f2)</v>
      </c>
    </row>
    <row r="63318" customFormat="false" ht="12.8" hidden="false" customHeight="false" outlineLevel="0" collapsed="false">
      <c r="B63318" s="0" t="s">
        <v>1</v>
      </c>
    </row>
    <row r="63319" customFormat="false" ht="12.8" hidden="false" customHeight="false" outlineLevel="0" collapsed="false">
      <c r="B63319" s="0" t="s">
        <v>5</v>
      </c>
    </row>
    <row r="63321" customFormat="false" ht="12.8" hidden="false" customHeight="false" outlineLevel="0" collapsed="false">
      <c r="A63321" s="0" t="s">
        <v>21103</v>
      </c>
      <c r="B63321" s="0" t="str">
        <f aca="false">HYPERLINK("https://lindat.mff.cuni.cz/services/teitok/pdtc10/index.php?action=vallex&amp;frame=v-w7601f1", "věznit (v-w7601f1)")</f>
        <v>věznit (v-w7601f1)</v>
      </c>
      <c r="E63321" s="0" t="str">
        <f aca="false">HYPERLINK("https://lindat.mff.cuni.cz/services/SynSemClass40/SynSemClass40.html?veclass=vec00544#vec00544-ces-cm00003", "vec00544")</f>
        <v>vec00544</v>
      </c>
      <c r="F63321" s="0" t="s">
        <v>9271</v>
      </c>
    </row>
    <row r="63322" customFormat="false" ht="12.8" hidden="false" customHeight="false" outlineLevel="0" collapsed="false">
      <c r="B63322" s="0" t="s">
        <v>1</v>
      </c>
      <c r="C63322" s="0" t="s">
        <v>3288</v>
      </c>
      <c r="E63322" s="0" t="s">
        <v>206</v>
      </c>
      <c r="F63322" s="0" t="s">
        <v>9275</v>
      </c>
    </row>
    <row r="63323" customFormat="false" ht="12.8" hidden="false" customHeight="false" outlineLevel="0" collapsed="false">
      <c r="B63323" s="0" t="s">
        <v>8</v>
      </c>
      <c r="C63323" s="0" t="s">
        <v>1929</v>
      </c>
      <c r="E63323" s="0" t="s">
        <v>4259</v>
      </c>
      <c r="F63323" s="0" t="s">
        <v>9280</v>
      </c>
    </row>
    <row r="63325" customFormat="false" ht="12.8" hidden="false" customHeight="false" outlineLevel="0" collapsed="false">
      <c r="A63325" s="0" t="s">
        <v>21104</v>
      </c>
      <c r="B63325" s="0" t="str">
        <f aca="false">HYPERLINK("https://lindat.mff.cuni.cz/services/teitok/pdtc10/index.php?action=vallex&amp;frame=v-w7581f1", "věřit (v-w7581f1)")</f>
        <v>věřit (v-w7581f1)</v>
      </c>
      <c r="E63325" s="0" t="str">
        <f aca="false">HYPERLINK("https://lindat.mff.cuni.cz/services/SynSemClass40/SynSemClass40.html?veclass=vec00345#vec00345-ces-cm00001", "vec00345")</f>
        <v>vec00345</v>
      </c>
      <c r="F63325" s="0" t="s">
        <v>2478</v>
      </c>
    </row>
    <row r="63326" customFormat="false" ht="12.8" hidden="false" customHeight="false" outlineLevel="0" collapsed="false">
      <c r="B63326" s="0" t="s">
        <v>1</v>
      </c>
      <c r="C63326" s="0" t="s">
        <v>2479</v>
      </c>
      <c r="E63326" s="0" t="s">
        <v>621</v>
      </c>
      <c r="F63326" s="0" t="s">
        <v>2480</v>
      </c>
    </row>
    <row r="63327" customFormat="false" ht="12.8" hidden="false" customHeight="false" outlineLevel="0" collapsed="false">
      <c r="B63327" s="0" t="s">
        <v>21105</v>
      </c>
      <c r="C63327" s="0" t="s">
        <v>2482</v>
      </c>
      <c r="E63327" s="0" t="s">
        <v>218</v>
      </c>
      <c r="F63327" s="0" t="s">
        <v>2483</v>
      </c>
    </row>
    <row r="63329" customFormat="false" ht="12.8" hidden="false" customHeight="false" outlineLevel="0" collapsed="false">
      <c r="A63329" s="0" t="s">
        <v>21106</v>
      </c>
      <c r="B63329" s="0" t="str">
        <f aca="false">HYPERLINK("https://lindat.mff.cuni.cz/services/teitok/pdtc10/index.php?action=vallex&amp;frame=v-w7581f6_ZU", "věřit (v-w7581f6_ZU)")</f>
        <v>věřit (v-w7581f6_ZU)</v>
      </c>
    </row>
    <row r="63330" customFormat="false" ht="12.8" hidden="false" customHeight="false" outlineLevel="0" collapsed="false">
      <c r="B63330" s="0" t="s">
        <v>1</v>
      </c>
    </row>
    <row r="63331" customFormat="false" ht="12.8" hidden="false" customHeight="false" outlineLevel="0" collapsed="false">
      <c r="B63331" s="0" t="s">
        <v>13752</v>
      </c>
    </row>
    <row r="63332" customFormat="false" ht="12.8" hidden="false" customHeight="false" outlineLevel="0" collapsed="false">
      <c r="B63332" s="0" t="s">
        <v>3982</v>
      </c>
    </row>
    <row r="63334" customFormat="false" ht="12.8" hidden="false" customHeight="false" outlineLevel="0" collapsed="false">
      <c r="A63334" s="0" t="s">
        <v>21106</v>
      </c>
      <c r="B63334" s="0" t="str">
        <f aca="false">HYPERLINK("https://lindat.mff.cuni.cz/services/teitok/pdtc10/index.php?action=vallex&amp;frame=v-w7581f2", "věřit (v-w7581f2) - substituted with v-w7581f6_ZU")</f>
        <v>věřit (v-w7581f2) - substituted with v-w7581f6_ZU</v>
      </c>
    </row>
    <row r="63335" customFormat="false" ht="12.8" hidden="false" customHeight="false" outlineLevel="0" collapsed="false">
      <c r="B63335" s="0" t="s">
        <v>1</v>
      </c>
    </row>
    <row r="63336" customFormat="false" ht="12.8" hidden="false" customHeight="false" outlineLevel="0" collapsed="false">
      <c r="B63336" s="0" t="s">
        <v>13752</v>
      </c>
    </row>
    <row r="63337" customFormat="false" ht="12.8" hidden="false" customHeight="false" outlineLevel="0" collapsed="false">
      <c r="B63337" s="0" t="s">
        <v>3982</v>
      </c>
    </row>
    <row r="63339" customFormat="false" ht="12.8" hidden="false" customHeight="false" outlineLevel="0" collapsed="false">
      <c r="A63339" s="0" t="s">
        <v>21107</v>
      </c>
      <c r="B63339" s="0" t="str">
        <f aca="false">HYPERLINK("https://lindat.mff.cuni.cz/services/teitok/pdtc10/index.php?action=vallex&amp;frame=v-w7581f4", "věřit (v-w7581f4)")</f>
        <v>věřit (v-w7581f4)</v>
      </c>
    </row>
    <row r="63340" customFormat="false" ht="12.8" hidden="false" customHeight="false" outlineLevel="0" collapsed="false">
      <c r="B63340" s="0" t="s">
        <v>1</v>
      </c>
    </row>
    <row r="63341" customFormat="false" ht="12.8" hidden="false" customHeight="false" outlineLevel="0" collapsed="false">
      <c r="B63341" s="0" t="s">
        <v>2769</v>
      </c>
    </row>
    <row r="63343" customFormat="false" ht="12.8" hidden="false" customHeight="false" outlineLevel="0" collapsed="false">
      <c r="A63343" s="0" t="s">
        <v>21108</v>
      </c>
      <c r="B63343" s="0" t="str">
        <f aca="false">HYPERLINK("https://lindat.mff.cuni.cz/services/teitok/pdtc10/index.php?action=vallex&amp;frame=v-w7581f3", "věřit (v-w7581f3)")</f>
        <v>věřit (v-w7581f3)</v>
      </c>
      <c r="E63343" s="0" t="str">
        <f aca="false">HYPERLINK("https://lindat.mff.cuni.cz/services/SynSemClass40/SynSemClass40.html?veclass=vec01341#vec01341-ces-cm00005", "vec01341")</f>
        <v>vec01341</v>
      </c>
      <c r="F63343" s="0" t="s">
        <v>4039</v>
      </c>
    </row>
    <row r="63344" customFormat="false" ht="12.8" hidden="false" customHeight="false" outlineLevel="0" collapsed="false">
      <c r="B63344" s="0" t="s">
        <v>1</v>
      </c>
      <c r="C63344" s="0" t="s">
        <v>2462</v>
      </c>
      <c r="E63344" s="0" t="s">
        <v>621</v>
      </c>
      <c r="F63344" s="0" t="s">
        <v>4040</v>
      </c>
    </row>
    <row r="63345" customFormat="false" ht="12.8" hidden="false" customHeight="false" outlineLevel="0" collapsed="false">
      <c r="B63345" s="0" t="s">
        <v>52</v>
      </c>
      <c r="C63345" s="0" t="s">
        <v>2304</v>
      </c>
      <c r="E63345" s="0" t="s">
        <v>4041</v>
      </c>
      <c r="F63345" s="0" t="s">
        <v>4042</v>
      </c>
    </row>
    <row r="63346" customFormat="false" ht="12.8" hidden="false" customHeight="false" outlineLevel="0" collapsed="false">
      <c r="B63346" s="0" t="s">
        <v>21109</v>
      </c>
      <c r="C63346" s="0" t="s">
        <v>462</v>
      </c>
      <c r="E63346" s="0" t="s">
        <v>218</v>
      </c>
      <c r="F63346" s="0" t="s">
        <v>1366</v>
      </c>
    </row>
    <row r="63348" customFormat="false" ht="12.8" hidden="false" customHeight="false" outlineLevel="0" collapsed="false">
      <c r="A63348" s="0" t="s">
        <v>21110</v>
      </c>
      <c r="B63348" s="0" t="str">
        <f aca="false">HYPERLINK("https://lindat.mff.cuni.cz/services/teitok/pdtc10/index.php?action=vallex&amp;frame=v-w7581f5", "věřit (v-w7581f5)")</f>
        <v>věřit (v-w7581f5)</v>
      </c>
      <c r="E63348" s="0" t="str">
        <f aca="false">HYPERLINK("https://lindat.mff.cuni.cz/services/SynSemClass40/SynSemClass40.html?veclass=vec00032#vec00032-ces-cm00101", "vec00032")</f>
        <v>vec00032</v>
      </c>
      <c r="F63348" s="0" t="s">
        <v>911</v>
      </c>
    </row>
    <row r="63349" customFormat="false" ht="12.8" hidden="false" customHeight="false" outlineLevel="0" collapsed="false">
      <c r="B63349" s="0" t="s">
        <v>1</v>
      </c>
      <c r="C63349" s="0" t="s">
        <v>2485</v>
      </c>
      <c r="E63349" s="0" t="s">
        <v>914</v>
      </c>
      <c r="F63349" s="0" t="s">
        <v>915</v>
      </c>
    </row>
    <row r="63350" customFormat="false" ht="12.8" hidden="false" customHeight="false" outlineLevel="0" collapsed="false">
      <c r="B63350" s="0" t="s">
        <v>2382</v>
      </c>
      <c r="C63350" s="0" t="s">
        <v>2487</v>
      </c>
      <c r="E63350" s="0" t="s">
        <v>626</v>
      </c>
      <c r="F63350" s="0" t="s">
        <v>2488</v>
      </c>
    </row>
    <row r="63351" customFormat="false" ht="12.8" hidden="false" customHeight="false" outlineLevel="0" collapsed="false">
      <c r="B63351" s="0" t="s">
        <v>496</v>
      </c>
      <c r="C63351" s="0" t="s">
        <v>2489</v>
      </c>
      <c r="E63351" s="0" t="s">
        <v>180</v>
      </c>
      <c r="F63351" s="0" t="s">
        <v>2490</v>
      </c>
    </row>
    <row r="63353" customFormat="false" ht="12.8" hidden="false" customHeight="false" outlineLevel="0" collapsed="false">
      <c r="A63353" s="0" t="s">
        <v>21111</v>
      </c>
      <c r="B63353" s="0" t="str">
        <f aca="false">HYPERLINK("https://lindat.mff.cuni.cz/services/teitok/pdtc10/index.php?action=vallex&amp;frame=v-w10045f2", "věšet (v-w10045f2)")</f>
        <v>věšet (v-w10045f2)</v>
      </c>
      <c r="E63353" s="0" t="str">
        <f aca="false">HYPERLINK("https://lindat.mff.cuni.cz/services/SynSemClass40/SynSemClass40.html?veclass=vec00735#vec00735-ces-cm00157", "vec00735")</f>
        <v>vec00735</v>
      </c>
      <c r="F63353" s="0" t="s">
        <v>2719</v>
      </c>
    </row>
    <row r="63354" customFormat="false" ht="12.8" hidden="false" customHeight="false" outlineLevel="0" collapsed="false">
      <c r="B63354" s="0" t="s">
        <v>1</v>
      </c>
      <c r="C63354" s="0" t="s">
        <v>2720</v>
      </c>
      <c r="E63354" s="0" t="s">
        <v>334</v>
      </c>
      <c r="F63354" s="0" t="s">
        <v>2721</v>
      </c>
    </row>
    <row r="63355" customFormat="false" ht="12.8" hidden="false" customHeight="false" outlineLevel="0" collapsed="false">
      <c r="B63355" s="0" t="s">
        <v>8</v>
      </c>
      <c r="C63355" s="0" t="s">
        <v>2722</v>
      </c>
      <c r="E63355" s="0" t="s">
        <v>2648</v>
      </c>
      <c r="F63355" s="0" t="s">
        <v>2723</v>
      </c>
    </row>
    <row r="63357" customFormat="false" ht="12.8" hidden="false" customHeight="false" outlineLevel="0" collapsed="false">
      <c r="A63357" s="0" t="s">
        <v>21112</v>
      </c>
      <c r="B63357" s="0" t="str">
        <f aca="false">HYPERLINK("https://lindat.mff.cuni.cz/services/teitok/pdtc10/index.php?action=vallex&amp;frame=v-w7587f1", "věštit (v-w7587f1)")</f>
        <v>věštit (v-w7587f1)</v>
      </c>
    </row>
    <row r="63358" customFormat="false" ht="12.8" hidden="false" customHeight="false" outlineLevel="0" collapsed="false">
      <c r="B63358" s="0" t="s">
        <v>1</v>
      </c>
    </row>
    <row r="63359" customFormat="false" ht="12.8" hidden="false" customHeight="false" outlineLevel="0" collapsed="false">
      <c r="B63359" s="0" t="s">
        <v>1838</v>
      </c>
    </row>
    <row r="63361" customFormat="false" ht="12.8" hidden="false" customHeight="false" outlineLevel="0" collapsed="false">
      <c r="A63361" s="0" t="s">
        <v>21113</v>
      </c>
      <c r="B63361" s="0" t="str">
        <f aca="false">HYPERLINK("https://lindat.mff.cuni.cz/services/teitok/pdtc10/index.php?action=vallex&amp;frame=v-w10556f2", "vřeštět (v-w10556f2)")</f>
        <v>vřeštět (v-w10556f2)</v>
      </c>
    </row>
    <row r="63362" customFormat="false" ht="12.8" hidden="false" customHeight="false" outlineLevel="0" collapsed="false">
      <c r="B63362" s="0" t="s">
        <v>1</v>
      </c>
    </row>
    <row r="63363" customFormat="false" ht="12.8" hidden="false" customHeight="false" outlineLevel="0" collapsed="false">
      <c r="B63363" s="0" t="s">
        <v>4977</v>
      </c>
    </row>
    <row r="63364" customFormat="false" ht="12.8" hidden="false" customHeight="false" outlineLevel="0" collapsed="false">
      <c r="B63364" s="0" t="s">
        <v>4688</v>
      </c>
    </row>
    <row r="63366" customFormat="false" ht="12.8" hidden="false" customHeight="false" outlineLevel="0" collapsed="false">
      <c r="A63366" s="0" t="s">
        <v>21114</v>
      </c>
      <c r="B63366" s="0" t="str">
        <f aca="false">HYPERLINK("https://lindat.mff.cuni.cz/services/teitok/pdtc10/index.php?action=vallex&amp;frame=v-w7726f1", "vřít (v-w7726f1)")</f>
        <v>vřít (v-w7726f1)</v>
      </c>
    </row>
    <row r="63367" customFormat="false" ht="12.8" hidden="false" customHeight="false" outlineLevel="0" collapsed="false">
      <c r="B63367" s="0" t="s">
        <v>1</v>
      </c>
    </row>
    <row r="63369" customFormat="false" ht="12.8" hidden="false" customHeight="false" outlineLevel="0" collapsed="false">
      <c r="A63369" s="0" t="s">
        <v>21115</v>
      </c>
      <c r="B63369" s="0" t="str">
        <f aca="false">HYPERLINK("https://lindat.mff.cuni.cz/services/teitok/pdtc10/index.php?action=vallex&amp;frame=v-w7726f2", "vřít (v-w7726f2)")</f>
        <v>vřít (v-w7726f2)</v>
      </c>
      <c r="E63369" s="0" t="str">
        <f aca="false">HYPERLINK("https://lindat.mff.cuni.cz/services/SynSemClass40/SynSemClass40.html?veclass=vec00748#vec00748-ces-cm00001", "vec00748")</f>
        <v>vec00748</v>
      </c>
      <c r="F63369" s="0" t="s">
        <v>3059</v>
      </c>
    </row>
    <row r="63370" customFormat="false" ht="12.8" hidden="false" customHeight="false" outlineLevel="0" collapsed="false">
      <c r="B63370" s="0" t="s">
        <v>1</v>
      </c>
      <c r="C63370" s="0" t="s">
        <v>3060</v>
      </c>
      <c r="E63370" s="0" t="s">
        <v>3061</v>
      </c>
      <c r="F63370" s="0" t="s">
        <v>3062</v>
      </c>
    </row>
    <row r="63372" customFormat="false" ht="12.8" hidden="false" customHeight="false" outlineLevel="0" collapsed="false">
      <c r="A63372" s="0" t="s">
        <v>21116</v>
      </c>
      <c r="B63372" s="0" t="str">
        <f aca="false">HYPERLINK("https://lindat.mff.cuni.cz/services/teitok/pdtc10/index.php?action=vallex&amp;frame=v-w7726f3", "vřít (v-w7726f3)")</f>
        <v>vřít (v-w7726f3)</v>
      </c>
      <c r="E63372" s="0" t="str">
        <f aca="false">HYPERLINK("https://lindat.mff.cuni.cz/services/SynSemClass40/SynSemClass40.html?veclass=vec01486#vec01486-ces-cm00017", "vec01486")</f>
        <v>vec01486</v>
      </c>
      <c r="F63372" s="0" t="s">
        <v>469</v>
      </c>
    </row>
    <row r="63373" customFormat="false" ht="12.8" hidden="false" customHeight="false" outlineLevel="0" collapsed="false">
      <c r="B63373" s="0" t="s">
        <v>5</v>
      </c>
      <c r="E63373" s="0" t="s">
        <v>21117</v>
      </c>
      <c r="F63373" s="0" t="s">
        <v>21118</v>
      </c>
    </row>
    <row r="63375" customFormat="false" ht="12.8" hidden="false" customHeight="false" outlineLevel="0" collapsed="false">
      <c r="A63375" s="0" t="s">
        <v>21119</v>
      </c>
      <c r="B63375" s="0" t="str">
        <f aca="false">HYPERLINK("https://lindat.mff.cuni.cz/services/teitok/pdtc10/index.php?action=vallex&amp;frame=v-w7727f1", "vřítit se (v-w7727f1)")</f>
        <v>vřítit se (v-w7727f1)</v>
      </c>
      <c r="E63375" s="0" t="str">
        <f aca="false">HYPERLINK("https://lindat.mff.cuni.cz/services/SynSemClass40/SynSemClass40.html?veclass=vec00747#vec00747-ces-cm00028", "vec00747")</f>
        <v>vec00747</v>
      </c>
      <c r="F63375" s="0" t="s">
        <v>4577</v>
      </c>
    </row>
    <row r="63376" customFormat="false" ht="12.8" hidden="false" customHeight="false" outlineLevel="0" collapsed="false">
      <c r="B63376" s="0" t="s">
        <v>1</v>
      </c>
      <c r="C63376" s="0" t="s">
        <v>447</v>
      </c>
      <c r="E63376" s="0" t="s">
        <v>334</v>
      </c>
      <c r="F63376" s="0" t="s">
        <v>4580</v>
      </c>
    </row>
    <row r="63377" customFormat="false" ht="12.8" hidden="false" customHeight="false" outlineLevel="0" collapsed="false">
      <c r="B63377" s="0" t="s">
        <v>164</v>
      </c>
      <c r="C63377" s="0" t="s">
        <v>15958</v>
      </c>
      <c r="E63377" s="0" t="s">
        <v>370</v>
      </c>
      <c r="F63377" s="0" t="s">
        <v>2451</v>
      </c>
    </row>
    <row r="63379" customFormat="false" ht="12.8" hidden="false" customHeight="false" outlineLevel="0" collapsed="false">
      <c r="A63379" s="0" t="s">
        <v>21120</v>
      </c>
      <c r="B63379" s="0" t="str">
        <f aca="false">HYPERLINK("https://lindat.mff.cuni.cz/services/teitok/pdtc10/index.php?action=vallex&amp;frame=v-w7744f1", "všimnout si (v-w7744f1)")</f>
        <v>všimnout si (v-w7744f1)</v>
      </c>
      <c r="E63379" s="0" t="str">
        <f aca="false">HYPERLINK("https://lindat.mff.cuni.cz/services/SynSemClass40/SynSemClass40.html?veclass=vec00082#vec00082-ces-cm00061", "vec00082")</f>
        <v>vec00082</v>
      </c>
      <c r="F63379" s="0" t="s">
        <v>8475</v>
      </c>
      <c r="H63379" s="0" t="str">
        <f aca="false">HYPERLINK("https://lindat.mff.cuni.cz/services/SynSemClass40/SynSemClass40.html?veclass=vec01545#vec01545-ces-cm00018", "vec01545")</f>
        <v>vec01545</v>
      </c>
      <c r="I63379" s="0" t="s">
        <v>11902</v>
      </c>
    </row>
    <row r="63380" customFormat="false" ht="12.8" hidden="false" customHeight="false" outlineLevel="0" collapsed="false">
      <c r="B63380" s="0" t="s">
        <v>1</v>
      </c>
      <c r="C63380" s="0" t="s">
        <v>21121</v>
      </c>
      <c r="E63380" s="0" t="s">
        <v>637</v>
      </c>
      <c r="F63380" s="0" t="s">
        <v>8477</v>
      </c>
      <c r="H63380" s="0" t="s">
        <v>621</v>
      </c>
      <c r="I63380" s="0" t="s">
        <v>11905</v>
      </c>
    </row>
    <row r="63381" customFormat="false" ht="12.8" hidden="false" customHeight="false" outlineLevel="0" collapsed="false">
      <c r="B63381" s="0" t="s">
        <v>11906</v>
      </c>
      <c r="C63381" s="0" t="s">
        <v>21122</v>
      </c>
      <c r="E63381" s="0" t="s">
        <v>640</v>
      </c>
      <c r="F63381" s="0" t="s">
        <v>11646</v>
      </c>
      <c r="H63381" s="0" t="s">
        <v>271</v>
      </c>
      <c r="I63381" s="0" t="s">
        <v>11909</v>
      </c>
    </row>
    <row r="63383" customFormat="false" ht="12.8" hidden="false" customHeight="false" outlineLevel="0" collapsed="false">
      <c r="A63383" s="0" t="s">
        <v>21123</v>
      </c>
      <c r="B63383" s="0" t="str">
        <f aca="false">HYPERLINK("https://lindat.mff.cuni.cz/services/teitok/pdtc10/index.php?action=vallex&amp;frame=v-w7744f2_ZU", "všimnout si (v-w7744f2_ZU)")</f>
        <v>všimnout si (v-w7744f2_ZU)</v>
      </c>
    </row>
    <row r="63384" customFormat="false" ht="12.8" hidden="false" customHeight="false" outlineLevel="0" collapsed="false">
      <c r="B63384" s="0" t="s">
        <v>1</v>
      </c>
    </row>
    <row r="63385" customFormat="false" ht="12.8" hidden="false" customHeight="false" outlineLevel="0" collapsed="false">
      <c r="B63385" s="0" t="s">
        <v>8</v>
      </c>
    </row>
    <row r="63386" customFormat="false" ht="12.8" hidden="false" customHeight="false" outlineLevel="0" collapsed="false">
      <c r="B63386" s="0" t="s">
        <v>21124</v>
      </c>
    </row>
    <row r="63388" customFormat="false" ht="12.8" hidden="false" customHeight="false" outlineLevel="0" collapsed="false">
      <c r="A63388" s="0" t="s">
        <v>21123</v>
      </c>
      <c r="B63388" s="0" t="str">
        <f aca="false">HYPERLINK("https://lindat.mff.cuni.cz/services/teitok/pdtc10/index.php?action=vallex&amp;frame=v-w7744hsa_797", "všimnout si (v-w7744hsa_797) - substituted with v-w7744f2_ZU")</f>
        <v>všimnout si (v-w7744hsa_797) - substituted with v-w7744f2_ZU</v>
      </c>
    </row>
    <row r="63389" customFormat="false" ht="12.8" hidden="false" customHeight="false" outlineLevel="0" collapsed="false">
      <c r="B63389" s="0" t="s">
        <v>1</v>
      </c>
    </row>
    <row r="63390" customFormat="false" ht="12.8" hidden="false" customHeight="false" outlineLevel="0" collapsed="false">
      <c r="B63390" s="0" t="s">
        <v>8</v>
      </c>
    </row>
    <row r="63391" customFormat="false" ht="12.8" hidden="false" customHeight="false" outlineLevel="0" collapsed="false">
      <c r="B63391" s="0" t="s">
        <v>21124</v>
      </c>
    </row>
    <row r="63393" customFormat="false" ht="12.8" hidden="false" customHeight="false" outlineLevel="0" collapsed="false">
      <c r="A63393" s="0" t="s">
        <v>21125</v>
      </c>
      <c r="B63393" s="0" t="str">
        <f aca="false">HYPERLINK("https://lindat.mff.cuni.cz/services/teitok/pdtc10/index.php?action=vallex&amp;frame=v-w7746f1", "vštípit (v-w7746f1)")</f>
        <v>vštípit (v-w7746f1)</v>
      </c>
    </row>
    <row r="63394" customFormat="false" ht="12.8" hidden="false" customHeight="false" outlineLevel="0" collapsed="false">
      <c r="B63394" s="0" t="s">
        <v>1</v>
      </c>
    </row>
    <row r="63395" customFormat="false" ht="12.8" hidden="false" customHeight="false" outlineLevel="0" collapsed="false">
      <c r="B63395" s="0" t="s">
        <v>2811</v>
      </c>
    </row>
    <row r="63396" customFormat="false" ht="12.8" hidden="false" customHeight="false" outlineLevel="0" collapsed="false">
      <c r="B63396" s="0" t="s">
        <v>52</v>
      </c>
    </row>
    <row r="63398" customFormat="false" ht="12.8" hidden="false" customHeight="false" outlineLevel="0" collapsed="false">
      <c r="A63398" s="0" t="s">
        <v>21126</v>
      </c>
      <c r="B63398" s="0" t="str">
        <f aca="false">HYPERLINK("https://lindat.mff.cuni.cz/services/teitok/pdtc10/index.php?action=vallex&amp;frame=v-w7745f1", "vštěpovat (v-w7745f1)")</f>
        <v>vštěpovat (v-w7745f1)</v>
      </c>
      <c r="E63398" s="0" t="str">
        <f aca="false">HYPERLINK("https://lindat.mff.cuni.cz/services/SynSemClass40/SynSemClass40.html?veclass=vec00621#vec00621-ces-cm00002", "vec00621")</f>
        <v>vec00621</v>
      </c>
      <c r="F63398" s="0" t="s">
        <v>5887</v>
      </c>
    </row>
    <row r="63399" customFormat="false" ht="12.8" hidden="false" customHeight="false" outlineLevel="0" collapsed="false">
      <c r="B63399" s="0" t="s">
        <v>1</v>
      </c>
      <c r="C63399" s="0" t="s">
        <v>459</v>
      </c>
      <c r="E63399" s="0" t="s">
        <v>147</v>
      </c>
      <c r="F63399" s="0" t="s">
        <v>5888</v>
      </c>
    </row>
    <row r="63400" customFormat="false" ht="12.8" hidden="false" customHeight="false" outlineLevel="0" collapsed="false">
      <c r="B63400" s="0" t="s">
        <v>2811</v>
      </c>
      <c r="C63400" s="0" t="s">
        <v>531</v>
      </c>
      <c r="E63400" s="0" t="s">
        <v>218</v>
      </c>
      <c r="F63400" s="0" t="s">
        <v>5891</v>
      </c>
    </row>
    <row r="63401" customFormat="false" ht="12.8" hidden="false" customHeight="false" outlineLevel="0" collapsed="false">
      <c r="B63401" s="0" t="s">
        <v>52</v>
      </c>
      <c r="E63401" s="0" t="s">
        <v>221</v>
      </c>
      <c r="F63401" s="0" t="s">
        <v>4699</v>
      </c>
    </row>
    <row r="63403" customFormat="false" ht="12.8" hidden="false" customHeight="false" outlineLevel="0" collapsed="false">
      <c r="A63403" s="0" t="s">
        <v>21127</v>
      </c>
      <c r="B63403" s="0" t="str">
        <f aca="false">HYPERLINK("https://lindat.mff.cuni.cz/services/teitok/pdtc10/index.php?action=vallex&amp;frame=v-w7743f1", "všímat si (v-w7743f1)")</f>
        <v>všímat si (v-w7743f1)</v>
      </c>
      <c r="E63403" s="0" t="str">
        <f aca="false">HYPERLINK("https://lindat.mff.cuni.cz/services/SynSemClass40/SynSemClass40.html?veclass=vec00574#vec00574-ces-cm00029", "vec00574")</f>
        <v>vec00574</v>
      </c>
      <c r="F63403" s="0" t="s">
        <v>5067</v>
      </c>
      <c r="H63403" s="0" t="str">
        <f aca="false">HYPERLINK("https://lindat.mff.cuni.cz/services/SynSemClass40/SynSemClass40.html?veclass=vec01545#vec01545-ces-cm00017", "vec01545")</f>
        <v>vec01545</v>
      </c>
      <c r="I63403" s="0" t="s">
        <v>11902</v>
      </c>
    </row>
    <row r="63404" customFormat="false" ht="12.8" hidden="false" customHeight="false" outlineLevel="0" collapsed="false">
      <c r="B63404" s="0" t="s">
        <v>1</v>
      </c>
      <c r="C63404" s="0" t="s">
        <v>21128</v>
      </c>
      <c r="E63404" s="0" t="s">
        <v>621</v>
      </c>
      <c r="F63404" s="0" t="s">
        <v>5069</v>
      </c>
      <c r="H63404" s="0" t="s">
        <v>621</v>
      </c>
      <c r="I63404" s="0" t="s">
        <v>11905</v>
      </c>
    </row>
    <row r="63405" customFormat="false" ht="12.8" hidden="false" customHeight="false" outlineLevel="0" collapsed="false">
      <c r="B63405" s="0" t="s">
        <v>11906</v>
      </c>
      <c r="C63405" s="0" t="s">
        <v>21129</v>
      </c>
      <c r="E63405" s="0" t="s">
        <v>1732</v>
      </c>
      <c r="F63405" s="0" t="s">
        <v>5071</v>
      </c>
      <c r="H63405" s="0" t="s">
        <v>271</v>
      </c>
      <c r="I63405" s="0" t="s">
        <v>11909</v>
      </c>
    </row>
    <row r="63407" customFormat="false" ht="12.8" hidden="false" customHeight="false" outlineLevel="0" collapsed="false">
      <c r="A63407" s="0" t="s">
        <v>21130</v>
      </c>
      <c r="B63407" s="0" t="str">
        <f aca="false">HYPERLINK("https://lindat.mff.cuni.cz/services/teitok/pdtc10/index.php?action=vallex&amp;frame=v-w8702f3_ZU", "vžít se (v-w8702f3_ZU)")</f>
        <v>vžít se (v-w8702f3_ZU)</v>
      </c>
    </row>
    <row r="63408" customFormat="false" ht="12.8" hidden="false" customHeight="false" outlineLevel="0" collapsed="false">
      <c r="B63408" s="0" t="s">
        <v>1</v>
      </c>
    </row>
    <row r="63409" customFormat="false" ht="12.8" hidden="false" customHeight="false" outlineLevel="0" collapsed="false">
      <c r="B63409" s="0" t="s">
        <v>1187</v>
      </c>
    </row>
    <row r="63411" customFormat="false" ht="12.8" hidden="false" customHeight="false" outlineLevel="0" collapsed="false">
      <c r="A63411" s="0" t="s">
        <v>21130</v>
      </c>
      <c r="B63411" s="0" t="str">
        <f aca="false">HYPERLINK("https://lindat.mff.cuni.cz/services/teitok/pdtc10/index.php?action=vallex&amp;frame=v-w8702f1", "vžít se (v-w8702f1) - substituted with v-w8702f3_ZU")</f>
        <v>vžít se (v-w8702f1) - substituted with v-w8702f3_ZU</v>
      </c>
    </row>
    <row r="63412" customFormat="false" ht="12.8" hidden="false" customHeight="false" outlineLevel="0" collapsed="false">
      <c r="B63412" s="0" t="s">
        <v>1</v>
      </c>
    </row>
    <row r="63413" customFormat="false" ht="12.8" hidden="false" customHeight="false" outlineLevel="0" collapsed="false">
      <c r="B63413" s="0" t="s">
        <v>1187</v>
      </c>
    </row>
    <row r="63415" customFormat="false" ht="12.8" hidden="false" customHeight="false" outlineLevel="0" collapsed="false">
      <c r="A63415" s="0" t="s">
        <v>21131</v>
      </c>
      <c r="B63415" s="0" t="str">
        <f aca="false">HYPERLINK("https://lindat.mff.cuni.cz/services/teitok/pdtc10/index.php?action=vallex&amp;frame=v-w8702f2", "vžít se (v-w8702f2)")</f>
        <v>vžít se (v-w8702f2)</v>
      </c>
    </row>
    <row r="63416" customFormat="false" ht="12.8" hidden="false" customHeight="false" outlineLevel="0" collapsed="false">
      <c r="B63416" s="0" t="s">
        <v>1</v>
      </c>
    </row>
    <row r="63418" customFormat="false" ht="12.8" hidden="false" customHeight="false" outlineLevel="0" collapsed="false">
      <c r="A63418" s="0" t="s">
        <v>21132</v>
      </c>
      <c r="B63418" s="0" t="str">
        <f aca="false">HYPERLINK("https://lindat.mff.cuni.cz/services/teitok/pdtc10/index.php?action=vallex&amp;frame=v-w8703f3_ZU", "zabalit (v-w8703f3_ZU)")</f>
        <v>zabalit (v-w8703f3_ZU)</v>
      </c>
    </row>
    <row r="63419" customFormat="false" ht="12.8" hidden="false" customHeight="false" outlineLevel="0" collapsed="false">
      <c r="B63419" s="0" t="s">
        <v>1</v>
      </c>
    </row>
    <row r="63420" customFormat="false" ht="12.8" hidden="false" customHeight="false" outlineLevel="0" collapsed="false">
      <c r="B63420" s="0" t="s">
        <v>8</v>
      </c>
    </row>
    <row r="63421" customFormat="false" ht="12.8" hidden="false" customHeight="false" outlineLevel="0" collapsed="false">
      <c r="B63421" s="0" t="s">
        <v>245</v>
      </c>
    </row>
    <row r="63423" customFormat="false" ht="12.8" hidden="false" customHeight="false" outlineLevel="0" collapsed="false">
      <c r="A63423" s="0" t="s">
        <v>21132</v>
      </c>
      <c r="B63423" s="0" t="str">
        <f aca="false">HYPERLINK("https://lindat.mff.cuni.cz/services/teitok/pdtc10/index.php?action=vallex&amp;frame=v-w8703f2", "zabalit (v-w8703f2) - substituted with v-w8703f3_ZU")</f>
        <v>zabalit (v-w8703f2) - substituted with v-w8703f3_ZU</v>
      </c>
      <c r="E63423" s="0" t="str">
        <f aca="false">HYPERLINK("https://lindat.mff.cuni.cz/services/SynSemClass40/SynSemClass40.html?veclass=vec00603#vec00603-ces-cm00011", "vec00603")</f>
        <v>vec00603</v>
      </c>
      <c r="F63423" s="0" t="s">
        <v>238</v>
      </c>
    </row>
    <row r="63424" customFormat="false" ht="12.8" hidden="false" customHeight="false" outlineLevel="0" collapsed="false">
      <c r="B63424" s="0" t="s">
        <v>1</v>
      </c>
      <c r="C63424" s="0" t="s">
        <v>239</v>
      </c>
      <c r="E63424" s="0" t="s">
        <v>240</v>
      </c>
      <c r="F63424" s="0" t="s">
        <v>241</v>
      </c>
    </row>
    <row r="63425" customFormat="false" ht="12.8" hidden="false" customHeight="false" outlineLevel="0" collapsed="false">
      <c r="B63425" s="0" t="s">
        <v>8</v>
      </c>
      <c r="C63425" s="0" t="s">
        <v>242</v>
      </c>
      <c r="E63425" s="0" t="s">
        <v>243</v>
      </c>
      <c r="F63425" s="0" t="s">
        <v>244</v>
      </c>
    </row>
    <row r="63426" customFormat="false" ht="12.8" hidden="false" customHeight="false" outlineLevel="0" collapsed="false">
      <c r="B63426" s="0" t="s">
        <v>245</v>
      </c>
    </row>
    <row r="63428" customFormat="false" ht="12.8" hidden="false" customHeight="false" outlineLevel="0" collapsed="false">
      <c r="A63428" s="0" t="s">
        <v>21133</v>
      </c>
      <c r="B63428" s="0" t="str">
        <f aca="false">HYPERLINK("https://lindat.mff.cuni.cz/services/teitok/pdtc10/index.php?action=vallex&amp;frame=v-w8703f1", "zabalit (v-w8703f1)")</f>
        <v>zabalit (v-w8703f1)</v>
      </c>
    </row>
    <row r="63429" customFormat="false" ht="12.8" hidden="false" customHeight="false" outlineLevel="0" collapsed="false">
      <c r="B63429" s="0" t="s">
        <v>1</v>
      </c>
    </row>
    <row r="63430" customFormat="false" ht="12.8" hidden="false" customHeight="false" outlineLevel="0" collapsed="false">
      <c r="B63430" s="0" t="s">
        <v>8</v>
      </c>
    </row>
    <row r="63432" customFormat="false" ht="12.8" hidden="false" customHeight="false" outlineLevel="0" collapsed="false">
      <c r="A63432" s="0" t="s">
        <v>21134</v>
      </c>
      <c r="B63432" s="0" t="str">
        <f aca="false">HYPERLINK("https://lindat.mff.cuni.cz/services/teitok/pdtc10/index.php?action=vallex&amp;frame=v-w8704f1", "zabarikádovat (v-w8704f1)")</f>
        <v>zabarikádovat (v-w8704f1)</v>
      </c>
    </row>
    <row r="63433" customFormat="false" ht="12.8" hidden="false" customHeight="false" outlineLevel="0" collapsed="false">
      <c r="B63433" s="0" t="s">
        <v>1</v>
      </c>
    </row>
    <row r="63434" customFormat="false" ht="12.8" hidden="false" customHeight="false" outlineLevel="0" collapsed="false">
      <c r="B63434" s="0" t="s">
        <v>4245</v>
      </c>
    </row>
    <row r="63435" customFormat="false" ht="12.8" hidden="false" customHeight="false" outlineLevel="0" collapsed="false">
      <c r="B63435" s="0" t="s">
        <v>4248</v>
      </c>
    </row>
    <row r="63437" customFormat="false" ht="12.8" hidden="false" customHeight="false" outlineLevel="0" collapsed="false">
      <c r="A63437" s="0" t="s">
        <v>21135</v>
      </c>
      <c r="B63437" s="0" t="str">
        <f aca="false">HYPERLINK("https://lindat.mff.cuni.cz/services/teitok/pdtc10/index.php?action=vallex&amp;frame=v-w8706f1", "zabarvit (v-w8706f1)")</f>
        <v>zabarvit (v-w8706f1)</v>
      </c>
    </row>
    <row r="63438" customFormat="false" ht="12.8" hidden="false" customHeight="false" outlineLevel="0" collapsed="false">
      <c r="B63438" s="0" t="s">
        <v>1</v>
      </c>
    </row>
    <row r="63439" customFormat="false" ht="12.8" hidden="false" customHeight="false" outlineLevel="0" collapsed="false">
      <c r="B63439" s="0" t="s">
        <v>8</v>
      </c>
    </row>
    <row r="63440" customFormat="false" ht="12.8" hidden="false" customHeight="false" outlineLevel="0" collapsed="false">
      <c r="B63440" s="0" t="s">
        <v>852</v>
      </c>
    </row>
    <row r="63442" customFormat="false" ht="12.8" hidden="false" customHeight="false" outlineLevel="0" collapsed="false">
      <c r="A63442" s="0" t="s">
        <v>21136</v>
      </c>
      <c r="B63442" s="0" t="str">
        <f aca="false">HYPERLINK("https://lindat.mff.cuni.cz/services/teitok/pdtc10/index.php?action=vallex&amp;frame=v-w8706f2", "zabarvit (v-w8706f2)")</f>
        <v>zabarvit (v-w8706f2)</v>
      </c>
    </row>
    <row r="63443" customFormat="false" ht="12.8" hidden="false" customHeight="false" outlineLevel="0" collapsed="false">
      <c r="B63443" s="0" t="s">
        <v>1</v>
      </c>
    </row>
    <row r="63444" customFormat="false" ht="12.8" hidden="false" customHeight="false" outlineLevel="0" collapsed="false">
      <c r="B63444" s="0" t="s">
        <v>8</v>
      </c>
    </row>
    <row r="63446" customFormat="false" ht="12.8" hidden="false" customHeight="false" outlineLevel="0" collapsed="false">
      <c r="A63446" s="0" t="s">
        <v>21137</v>
      </c>
      <c r="B63446" s="0" t="str">
        <f aca="false">HYPERLINK("https://lindat.mff.cuni.cz/services/teitok/pdtc10/index.php?action=vallex&amp;frame=v-w8708f1", "zabavit (v-w8708f1)")</f>
        <v>zabavit (v-w8708f1)</v>
      </c>
      <c r="E63446" s="0" t="str">
        <f aca="false">HYPERLINK("https://lindat.mff.cuni.cz/services/SynSemClass40/SynSemClass40.html?veclass=vec00569#vec00569-ces-cm00001", "vec00569")</f>
        <v>vec00569</v>
      </c>
      <c r="F63446" s="0" t="s">
        <v>5518</v>
      </c>
    </row>
    <row r="63447" customFormat="false" ht="12.8" hidden="false" customHeight="false" outlineLevel="0" collapsed="false">
      <c r="B63447" s="0" t="s">
        <v>1</v>
      </c>
      <c r="C63447" s="0" t="s">
        <v>4725</v>
      </c>
      <c r="E63447" s="0" t="s">
        <v>206</v>
      </c>
      <c r="F63447" s="0" t="s">
        <v>5519</v>
      </c>
    </row>
    <row r="63448" customFormat="false" ht="12.8" hidden="false" customHeight="false" outlineLevel="0" collapsed="false">
      <c r="B63448" s="0" t="s">
        <v>8</v>
      </c>
      <c r="C63448" s="0" t="s">
        <v>5520</v>
      </c>
      <c r="E63448" s="0" t="s">
        <v>5521</v>
      </c>
      <c r="F63448" s="0" t="s">
        <v>5522</v>
      </c>
    </row>
    <row r="63449" customFormat="false" ht="12.8" hidden="false" customHeight="false" outlineLevel="0" collapsed="false">
      <c r="B63449" s="0" t="s">
        <v>5523</v>
      </c>
      <c r="C63449" s="0" t="s">
        <v>5524</v>
      </c>
      <c r="E63449" s="0" t="s">
        <v>598</v>
      </c>
      <c r="F63449" s="0" t="s">
        <v>5525</v>
      </c>
    </row>
    <row r="63451" customFormat="false" ht="12.8" hidden="false" customHeight="false" outlineLevel="0" collapsed="false">
      <c r="A63451" s="0" t="s">
        <v>21138</v>
      </c>
      <c r="B63451" s="0" t="str">
        <f aca="false">HYPERLINK("https://lindat.mff.cuni.cz/services/teitok/pdtc10/index.php?action=vallex&amp;frame=v-w8708f2_ZU", "zabavit (v-w8708f2_ZU)")</f>
        <v>zabavit (v-w8708f2_ZU)</v>
      </c>
    </row>
    <row r="63452" customFormat="false" ht="12.8" hidden="false" customHeight="false" outlineLevel="0" collapsed="false">
      <c r="B63452" s="0" t="s">
        <v>1</v>
      </c>
    </row>
    <row r="63453" customFormat="false" ht="12.8" hidden="false" customHeight="false" outlineLevel="0" collapsed="false">
      <c r="B63453" s="0" t="s">
        <v>8</v>
      </c>
    </row>
    <row r="63455" customFormat="false" ht="12.8" hidden="false" customHeight="false" outlineLevel="0" collapsed="false">
      <c r="A63455" s="0" t="s">
        <v>21139</v>
      </c>
      <c r="B63455" s="0" t="str">
        <f aca="false">HYPERLINK("https://lindat.mff.cuni.cz/services/teitok/pdtc10/index.php?action=vallex&amp;frame=v-whsa_1808hsa_1809", "zabavit se (v-whsa_1808hsa_1809)")</f>
        <v>zabavit se (v-whsa_1808hsa_1809)</v>
      </c>
    </row>
    <row r="63456" customFormat="false" ht="12.8" hidden="false" customHeight="false" outlineLevel="0" collapsed="false">
      <c r="B63456" s="0" t="s">
        <v>1</v>
      </c>
    </row>
    <row r="63458" customFormat="false" ht="12.8" hidden="false" customHeight="false" outlineLevel="0" collapsed="false">
      <c r="A63458" s="0" t="s">
        <v>21140</v>
      </c>
      <c r="B63458" s="0" t="str">
        <f aca="false">HYPERLINK("https://lindat.mff.cuni.cz/services/teitok/pdtc10/index.php?action=vallex&amp;frame=v-w8709f1", "zabavovat (v-w8709f1)")</f>
        <v>zabavovat (v-w8709f1)</v>
      </c>
      <c r="E63458" s="0" t="str">
        <f aca="false">HYPERLINK("https://lindat.mff.cuni.cz/services/SynSemClass40/SynSemClass40.html?veclass=vec00569#vec00569-ces-cm00011", "vec00569")</f>
        <v>vec00569</v>
      </c>
      <c r="F63458" s="0" t="s">
        <v>5518</v>
      </c>
    </row>
    <row r="63459" customFormat="false" ht="12.8" hidden="false" customHeight="false" outlineLevel="0" collapsed="false">
      <c r="B63459" s="0" t="s">
        <v>1</v>
      </c>
      <c r="C63459" s="0" t="s">
        <v>4725</v>
      </c>
      <c r="E63459" s="0" t="s">
        <v>206</v>
      </c>
      <c r="F63459" s="0" t="s">
        <v>5519</v>
      </c>
    </row>
    <row r="63460" customFormat="false" ht="12.8" hidden="false" customHeight="false" outlineLevel="0" collapsed="false">
      <c r="B63460" s="0" t="s">
        <v>8</v>
      </c>
      <c r="C63460" s="0" t="s">
        <v>5520</v>
      </c>
      <c r="E63460" s="0" t="s">
        <v>5521</v>
      </c>
      <c r="F63460" s="0" t="s">
        <v>5522</v>
      </c>
    </row>
    <row r="63462" customFormat="false" ht="12.8" hidden="false" customHeight="false" outlineLevel="0" collapsed="false">
      <c r="A63462" s="0" t="s">
        <v>21141</v>
      </c>
      <c r="B63462" s="0" t="str">
        <f aca="false">HYPERLINK("https://lindat.mff.cuni.cz/services/teitok/pdtc10/index.php?action=vallex&amp;frame=v-w11702_ZUf1_ZU", "zabavovat se (v-w11702_ZUf1_ZU)")</f>
        <v>zabavovat se (v-w11702_ZUf1_ZU)</v>
      </c>
    </row>
    <row r="63463" customFormat="false" ht="12.8" hidden="false" customHeight="false" outlineLevel="0" collapsed="false">
      <c r="B63463" s="0" t="s">
        <v>1</v>
      </c>
    </row>
    <row r="63465" customFormat="false" ht="12.8" hidden="false" customHeight="false" outlineLevel="0" collapsed="false">
      <c r="A63465" s="0" t="s">
        <v>21142</v>
      </c>
      <c r="B63465" s="0" t="str">
        <f aca="false">HYPERLINK("https://lindat.mff.cuni.cz/services/teitok/pdtc10/index.php?action=vallex&amp;frame=v-w11867_ZUf1_ZU", "zabednit (v-w11867_ZUf1_ZU)")</f>
        <v>zabednit (v-w11867_ZUf1_ZU)</v>
      </c>
    </row>
    <row r="63466" customFormat="false" ht="12.8" hidden="false" customHeight="false" outlineLevel="0" collapsed="false">
      <c r="B63466" s="0" t="s">
        <v>1</v>
      </c>
    </row>
    <row r="63467" customFormat="false" ht="12.8" hidden="false" customHeight="false" outlineLevel="0" collapsed="false">
      <c r="B63467" s="0" t="s">
        <v>8</v>
      </c>
    </row>
    <row r="63469" customFormat="false" ht="12.8" hidden="false" customHeight="false" outlineLevel="0" collapsed="false">
      <c r="A63469" s="0" t="s">
        <v>21143</v>
      </c>
      <c r="B63469" s="0" t="str">
        <f aca="false">HYPERLINK("https://lindat.mff.cuni.cz/services/teitok/pdtc10/index.php?action=vallex&amp;frame=v-w8713f1", "zabetonovat (v-w8713f1)")</f>
        <v>zabetonovat (v-w8713f1)</v>
      </c>
    </row>
    <row r="63470" customFormat="false" ht="12.8" hidden="false" customHeight="false" outlineLevel="0" collapsed="false">
      <c r="B63470" s="0" t="s">
        <v>1</v>
      </c>
    </row>
    <row r="63471" customFormat="false" ht="12.8" hidden="false" customHeight="false" outlineLevel="0" collapsed="false">
      <c r="B63471" s="0" t="s">
        <v>8</v>
      </c>
    </row>
    <row r="63473" customFormat="false" ht="12.8" hidden="false" customHeight="false" outlineLevel="0" collapsed="false">
      <c r="A63473" s="0" t="s">
        <v>21144</v>
      </c>
      <c r="B63473" s="0" t="str">
        <f aca="false">HYPERLINK("https://lindat.mff.cuni.cz/services/teitok/pdtc10/index.php?action=vallex&amp;frame=v-w8713f2", "zabetonovat (v-w8713f2)")</f>
        <v>zabetonovat (v-w8713f2)</v>
      </c>
    </row>
    <row r="63474" customFormat="false" ht="12.8" hidden="false" customHeight="false" outlineLevel="0" collapsed="false">
      <c r="B63474" s="0" t="s">
        <v>1</v>
      </c>
    </row>
    <row r="63475" customFormat="false" ht="12.8" hidden="false" customHeight="false" outlineLevel="0" collapsed="false">
      <c r="B63475" s="0" t="s">
        <v>8</v>
      </c>
    </row>
    <row r="63477" customFormat="false" ht="12.8" hidden="false" customHeight="false" outlineLevel="0" collapsed="false">
      <c r="A63477" s="0" t="s">
        <v>21145</v>
      </c>
      <c r="B63477" s="0" t="str">
        <f aca="false">HYPERLINK("https://lindat.mff.cuni.cz/services/teitok/pdtc10/index.php?action=vallex&amp;frame=v-w8713f3", "zabetonovat (v-w8713f3)")</f>
        <v>zabetonovat (v-w8713f3)</v>
      </c>
    </row>
    <row r="63478" customFormat="false" ht="12.8" hidden="false" customHeight="false" outlineLevel="0" collapsed="false">
      <c r="B63478" s="0" t="s">
        <v>1</v>
      </c>
    </row>
    <row r="63479" customFormat="false" ht="12.8" hidden="false" customHeight="false" outlineLevel="0" collapsed="false">
      <c r="B63479" s="0" t="s">
        <v>8</v>
      </c>
    </row>
    <row r="63481" customFormat="false" ht="12.8" hidden="false" customHeight="false" outlineLevel="0" collapsed="false">
      <c r="A63481" s="0" t="s">
        <v>21146</v>
      </c>
      <c r="B63481" s="0" t="str">
        <f aca="false">HYPERLINK("https://lindat.mff.cuni.cz/services/teitok/pdtc10/index.php?action=vallex&amp;frame=v-w8715f3_ZU", "zabezpečit (v-w8715f3_ZU)")</f>
        <v>zabezpečit (v-w8715f3_ZU)</v>
      </c>
    </row>
    <row r="63482" customFormat="false" ht="12.8" hidden="false" customHeight="false" outlineLevel="0" collapsed="false">
      <c r="B63482" s="0" t="s">
        <v>1</v>
      </c>
    </row>
    <row r="63483" customFormat="false" ht="12.8" hidden="false" customHeight="false" outlineLevel="0" collapsed="false">
      <c r="B63483" s="0" t="s">
        <v>8</v>
      </c>
    </row>
    <row r="63484" customFormat="false" ht="12.8" hidden="false" customHeight="false" outlineLevel="0" collapsed="false">
      <c r="B63484" s="0" t="s">
        <v>574</v>
      </c>
    </row>
    <row r="63486" customFormat="false" ht="12.8" hidden="false" customHeight="false" outlineLevel="0" collapsed="false">
      <c r="A63486" s="0" t="s">
        <v>21146</v>
      </c>
      <c r="B63486" s="0" t="str">
        <f aca="false">HYPERLINK("https://lindat.mff.cuni.cz/services/teitok/pdtc10/index.php?action=vallex&amp;frame=v-w8715f2", "zabezpečit (v-w8715f2) - substituted with v-w8715f3_ZU")</f>
        <v>zabezpečit (v-w8715f2) - substituted with v-w8715f3_ZU</v>
      </c>
    </row>
    <row r="63487" customFormat="false" ht="12.8" hidden="false" customHeight="false" outlineLevel="0" collapsed="false">
      <c r="B63487" s="0" t="s">
        <v>1</v>
      </c>
    </row>
    <row r="63488" customFormat="false" ht="12.8" hidden="false" customHeight="false" outlineLevel="0" collapsed="false">
      <c r="B63488" s="0" t="s">
        <v>8</v>
      </c>
    </row>
    <row r="63489" customFormat="false" ht="12.8" hidden="false" customHeight="false" outlineLevel="0" collapsed="false">
      <c r="B63489" s="0" t="s">
        <v>574</v>
      </c>
    </row>
    <row r="63491" customFormat="false" ht="12.8" hidden="false" customHeight="false" outlineLevel="0" collapsed="false">
      <c r="A63491" s="0" t="s">
        <v>21147</v>
      </c>
      <c r="B63491" s="0" t="str">
        <f aca="false">HYPERLINK("https://lindat.mff.cuni.cz/services/teitok/pdtc10/index.php?action=vallex&amp;frame=v-w8715f1", "zabezpečit (v-w8715f1)")</f>
        <v>zabezpečit (v-w8715f1)</v>
      </c>
      <c r="E63491" s="0" t="str">
        <f aca="false">HYPERLINK("https://lindat.mff.cuni.cz/services/SynSemClass40/SynSemClass40.html?veclass=vec00178#vec00178-ces-cm00098", "vec00178")</f>
        <v>vec00178</v>
      </c>
      <c r="F63491" s="0" t="s">
        <v>8586</v>
      </c>
    </row>
    <row r="63492" customFormat="false" ht="12.8" hidden="false" customHeight="false" outlineLevel="0" collapsed="false">
      <c r="B63492" s="0" t="s">
        <v>1</v>
      </c>
      <c r="C63492" s="0" t="s">
        <v>5649</v>
      </c>
      <c r="E63492" s="0" t="s">
        <v>31</v>
      </c>
      <c r="F63492" s="0" t="s">
        <v>8587</v>
      </c>
    </row>
    <row r="63493" customFormat="false" ht="12.8" hidden="false" customHeight="false" outlineLevel="0" collapsed="false">
      <c r="B63493" s="0" t="s">
        <v>7589</v>
      </c>
      <c r="C63493" s="0" t="s">
        <v>8588</v>
      </c>
      <c r="E63493" s="0" t="s">
        <v>34</v>
      </c>
      <c r="F63493" s="0" t="s">
        <v>8589</v>
      </c>
    </row>
    <row r="63495" customFormat="false" ht="12.8" hidden="false" customHeight="false" outlineLevel="0" collapsed="false">
      <c r="A63495" s="0" t="s">
        <v>21148</v>
      </c>
      <c r="B63495" s="0" t="str">
        <f aca="false">HYPERLINK("https://lindat.mff.cuni.cz/services/teitok/pdtc10/index.php?action=vallex&amp;frame=v-w8717f2", "zabezpečovat (v-w8717f2)")</f>
        <v>zabezpečovat (v-w8717f2)</v>
      </c>
    </row>
    <row r="63496" customFormat="false" ht="12.8" hidden="false" customHeight="false" outlineLevel="0" collapsed="false">
      <c r="B63496" s="0" t="s">
        <v>1</v>
      </c>
    </row>
    <row r="63497" customFormat="false" ht="12.8" hidden="false" customHeight="false" outlineLevel="0" collapsed="false">
      <c r="B63497" s="0" t="s">
        <v>8</v>
      </c>
    </row>
    <row r="63498" customFormat="false" ht="12.8" hidden="false" customHeight="false" outlineLevel="0" collapsed="false">
      <c r="B63498" s="0" t="s">
        <v>574</v>
      </c>
    </row>
    <row r="63500" customFormat="false" ht="12.8" hidden="false" customHeight="false" outlineLevel="0" collapsed="false">
      <c r="A63500" s="0" t="s">
        <v>21149</v>
      </c>
      <c r="B63500" s="0" t="str">
        <f aca="false">HYPERLINK("https://lindat.mff.cuni.cz/services/teitok/pdtc10/index.php?action=vallex&amp;frame=v-w8717f1", "zabezpečovat (v-w8717f1)")</f>
        <v>zabezpečovat (v-w8717f1)</v>
      </c>
      <c r="E63500" s="0" t="str">
        <f aca="false">HYPERLINK("https://lindat.mff.cuni.cz/services/SynSemClass40/SynSemClass40.html?veclass=vec00178#vec00178-ces-cm00124", "vec00178")</f>
        <v>vec00178</v>
      </c>
      <c r="F63500" s="0" t="s">
        <v>8586</v>
      </c>
    </row>
    <row r="63501" customFormat="false" ht="12.8" hidden="false" customHeight="false" outlineLevel="0" collapsed="false">
      <c r="B63501" s="0" t="s">
        <v>1</v>
      </c>
      <c r="C63501" s="0" t="s">
        <v>5649</v>
      </c>
      <c r="E63501" s="0" t="s">
        <v>31</v>
      </c>
      <c r="F63501" s="0" t="s">
        <v>8587</v>
      </c>
    </row>
    <row r="63502" customFormat="false" ht="12.8" hidden="false" customHeight="false" outlineLevel="0" collapsed="false">
      <c r="B63502" s="0" t="s">
        <v>59</v>
      </c>
      <c r="C63502" s="0" t="s">
        <v>8588</v>
      </c>
      <c r="E63502" s="0" t="s">
        <v>34</v>
      </c>
      <c r="F63502" s="0" t="s">
        <v>8589</v>
      </c>
    </row>
    <row r="63504" customFormat="false" ht="12.8" hidden="false" customHeight="false" outlineLevel="0" collapsed="false">
      <c r="A63504" s="0" t="s">
        <v>21150</v>
      </c>
      <c r="B63504" s="0" t="str">
        <f aca="false">HYPERLINK("https://lindat.mff.cuni.cz/services/teitok/pdtc10/index.php?action=vallex&amp;frame=v-w8727f1", "zablokovat (v-w8727f1)")</f>
        <v>zablokovat (v-w8727f1)</v>
      </c>
      <c r="E63504" s="0" t="str">
        <f aca="false">HYPERLINK("https://lindat.mff.cuni.cz/services/SynSemClass40/SynSemClass40.html?veclass=vec00570#vec00570-ces-cm00001", "vec00570")</f>
        <v>vec00570</v>
      </c>
      <c r="F63504" s="0" t="s">
        <v>21151</v>
      </c>
    </row>
    <row r="63505" customFormat="false" ht="12.8" hidden="false" customHeight="false" outlineLevel="0" collapsed="false">
      <c r="B63505" s="0" t="s">
        <v>1</v>
      </c>
      <c r="C63505" s="0" t="s">
        <v>512</v>
      </c>
      <c r="E63505" s="0" t="s">
        <v>7276</v>
      </c>
      <c r="F63505" s="0" t="s">
        <v>21152</v>
      </c>
    </row>
    <row r="63506" customFormat="false" ht="12.8" hidden="false" customHeight="false" outlineLevel="0" collapsed="false">
      <c r="B63506" s="0" t="s">
        <v>8</v>
      </c>
      <c r="C63506" s="0" t="s">
        <v>798</v>
      </c>
      <c r="E63506" s="0" t="s">
        <v>6241</v>
      </c>
      <c r="F63506" s="0" t="s">
        <v>12306</v>
      </c>
    </row>
    <row r="63508" customFormat="false" ht="12.8" hidden="false" customHeight="false" outlineLevel="0" collapsed="false">
      <c r="A63508" s="0" t="s">
        <v>21153</v>
      </c>
      <c r="B63508" s="0" t="str">
        <f aca="false">HYPERLINK("https://lindat.mff.cuni.cz/services/teitok/pdtc10/index.php?action=vallex&amp;frame=v-w8727hsa_935", "zablokovat (v-w8727hsa_935)")</f>
        <v>zablokovat (v-w8727hsa_935)</v>
      </c>
      <c r="E63508" s="0" t="str">
        <f aca="false">HYPERLINK("https://lindat.mff.cuni.cz/services/SynSemClass40/SynSemClass40.html?veclass=vec00174#vec00174-ces-cm00104", "vec00174")</f>
        <v>vec00174</v>
      </c>
      <c r="F63508" s="0" t="s">
        <v>325</v>
      </c>
    </row>
    <row r="63509" customFormat="false" ht="12.8" hidden="false" customHeight="false" outlineLevel="0" collapsed="false">
      <c r="B63509" s="0" t="s">
        <v>1</v>
      </c>
      <c r="C63509" s="0" t="s">
        <v>326</v>
      </c>
      <c r="E63509" s="0" t="s">
        <v>76</v>
      </c>
      <c r="F63509" s="0" t="s">
        <v>327</v>
      </c>
    </row>
    <row r="63510" customFormat="false" ht="12.8" hidden="false" customHeight="false" outlineLevel="0" collapsed="false">
      <c r="B63510" s="0" t="s">
        <v>8</v>
      </c>
      <c r="C63510" s="0" t="s">
        <v>328</v>
      </c>
      <c r="E63510" s="0" t="s">
        <v>188</v>
      </c>
      <c r="F63510" s="0" t="s">
        <v>329</v>
      </c>
    </row>
    <row r="63512" customFormat="false" ht="12.8" hidden="false" customHeight="false" outlineLevel="0" collapsed="false">
      <c r="A63512" s="0" t="s">
        <v>21154</v>
      </c>
      <c r="B63512" s="0" t="str">
        <f aca="false">HYPERLINK("https://lindat.mff.cuni.cz/services/teitok/pdtc10/index.php?action=vallex&amp;frame=v-w8728f1", "zablokovat se (v-w8728f1)")</f>
        <v>zablokovat se (v-w8728f1)</v>
      </c>
    </row>
    <row r="63513" customFormat="false" ht="12.8" hidden="false" customHeight="false" outlineLevel="0" collapsed="false">
      <c r="B63513" s="0" t="s">
        <v>1</v>
      </c>
    </row>
    <row r="63515" customFormat="false" ht="12.8" hidden="false" customHeight="false" outlineLevel="0" collapsed="false">
      <c r="A63515" s="0" t="s">
        <v>21155</v>
      </c>
      <c r="B63515" s="0" t="str">
        <f aca="false">HYPERLINK("https://lindat.mff.cuni.cz/services/teitok/pdtc10/index.php?action=vallex&amp;frame=v-w8729f1", "zabloudit (v-w8729f1)")</f>
        <v>zabloudit (v-w8729f1)</v>
      </c>
    </row>
    <row r="63516" customFormat="false" ht="12.8" hidden="false" customHeight="false" outlineLevel="0" collapsed="false">
      <c r="B63516" s="0" t="s">
        <v>1</v>
      </c>
    </row>
    <row r="63518" customFormat="false" ht="12.8" hidden="false" customHeight="false" outlineLevel="0" collapsed="false">
      <c r="A63518" s="0" t="s">
        <v>21156</v>
      </c>
      <c r="B63518" s="0" t="str">
        <f aca="false">HYPERLINK("https://lindat.mff.cuni.cz/services/teitok/pdtc10/index.php?action=vallex&amp;frame=v-w8725f1", "zablátit (v-w8725f1)")</f>
        <v>zablátit (v-w8725f1)</v>
      </c>
    </row>
    <row r="63519" customFormat="false" ht="12.8" hidden="false" customHeight="false" outlineLevel="0" collapsed="false">
      <c r="B63519" s="0" t="s">
        <v>1</v>
      </c>
    </row>
    <row r="63520" customFormat="false" ht="12.8" hidden="false" customHeight="false" outlineLevel="0" collapsed="false">
      <c r="B63520" s="0" t="s">
        <v>8</v>
      </c>
    </row>
    <row r="63522" customFormat="false" ht="12.8" hidden="false" customHeight="false" outlineLevel="0" collapsed="false">
      <c r="A63522" s="0" t="s">
        <v>21157</v>
      </c>
      <c r="B63522" s="0" t="str">
        <f aca="false">HYPERLINK("https://lindat.mff.cuni.cz/services/teitok/pdtc10/index.php?action=vallex&amp;frame=v-w10089f2", "zablýskat (v-w10089f2)")</f>
        <v>zablýskat (v-w10089f2)</v>
      </c>
    </row>
    <row r="63523" customFormat="false" ht="12.8" hidden="false" customHeight="false" outlineLevel="0" collapsed="false">
      <c r="B63523" s="0" t="s">
        <v>1</v>
      </c>
    </row>
    <row r="63524" customFormat="false" ht="12.8" hidden="false" customHeight="false" outlineLevel="0" collapsed="false">
      <c r="B63524" s="0" t="s">
        <v>286</v>
      </c>
    </row>
    <row r="63526" customFormat="false" ht="12.8" hidden="false" customHeight="false" outlineLevel="0" collapsed="false">
      <c r="A63526" s="0" t="s">
        <v>21158</v>
      </c>
      <c r="B63526" s="0" t="str">
        <f aca="false">HYPERLINK("https://lindat.mff.cuni.cz/services/teitok/pdtc10/index.php?action=vallex&amp;frame=v-w8730f1", "zabodnout (v-w8730f1)")</f>
        <v>zabodnout (v-w8730f1)</v>
      </c>
    </row>
    <row r="63527" customFormat="false" ht="12.8" hidden="false" customHeight="false" outlineLevel="0" collapsed="false">
      <c r="B63527" s="0" t="s">
        <v>1</v>
      </c>
    </row>
    <row r="63528" customFormat="false" ht="12.8" hidden="false" customHeight="false" outlineLevel="0" collapsed="false">
      <c r="B63528" s="0" t="s">
        <v>8</v>
      </c>
    </row>
    <row r="63529" customFormat="false" ht="12.8" hidden="false" customHeight="false" outlineLevel="0" collapsed="false">
      <c r="B63529" s="0" t="s">
        <v>5</v>
      </c>
    </row>
    <row r="63531" customFormat="false" ht="12.8" hidden="false" customHeight="false" outlineLevel="0" collapsed="false">
      <c r="A63531" s="0" t="s">
        <v>21159</v>
      </c>
      <c r="B63531" s="0" t="str">
        <f aca="false">HYPERLINK("https://lindat.mff.cuni.cz/services/teitok/pdtc10/index.php?action=vallex&amp;frame=v-w8730f2", "zabodnout (v-w8730f2)")</f>
        <v>zabodnout (v-w8730f2)</v>
      </c>
    </row>
    <row r="63532" customFormat="false" ht="12.8" hidden="false" customHeight="false" outlineLevel="0" collapsed="false">
      <c r="B63532" s="0" t="s">
        <v>1</v>
      </c>
    </row>
    <row r="63533" customFormat="false" ht="12.8" hidden="false" customHeight="false" outlineLevel="0" collapsed="false">
      <c r="B63533" s="0" t="s">
        <v>8</v>
      </c>
    </row>
    <row r="63534" customFormat="false" ht="12.8" hidden="false" customHeight="false" outlineLevel="0" collapsed="false">
      <c r="B63534" s="0" t="s">
        <v>164</v>
      </c>
    </row>
    <row r="63536" customFormat="false" ht="12.8" hidden="false" customHeight="false" outlineLevel="0" collapsed="false">
      <c r="A63536" s="0" t="s">
        <v>21160</v>
      </c>
      <c r="B63536" s="0" t="str">
        <f aca="false">HYPERLINK("https://lindat.mff.cuni.cz/services/teitok/pdtc10/index.php?action=vallex&amp;frame=v-w8731f1", "zabodovat (v-w8731f1)")</f>
        <v>zabodovat (v-w8731f1)</v>
      </c>
    </row>
    <row r="63537" customFormat="false" ht="12.8" hidden="false" customHeight="false" outlineLevel="0" collapsed="false">
      <c r="B63537" s="0" t="s">
        <v>1</v>
      </c>
    </row>
    <row r="63538" customFormat="false" ht="12.8" hidden="false" customHeight="false" outlineLevel="0" collapsed="false">
      <c r="B63538" s="0" t="s">
        <v>394</v>
      </c>
    </row>
    <row r="63540" customFormat="false" ht="12.8" hidden="false" customHeight="false" outlineLevel="0" collapsed="false">
      <c r="A63540" s="0" t="s">
        <v>21161</v>
      </c>
      <c r="B63540" s="0" t="str">
        <f aca="false">HYPERLINK("https://lindat.mff.cuni.cz/services/teitok/pdtc10/index.php?action=vallex&amp;frame=v-w11796_ZUf1_ZU", "zabolet (v-w11796_ZUf1_ZU)")</f>
        <v>zabolet (v-w11796_ZUf1_ZU)</v>
      </c>
    </row>
    <row r="63541" customFormat="false" ht="12.8" hidden="false" customHeight="false" outlineLevel="0" collapsed="false">
      <c r="B63541" s="0" t="s">
        <v>264</v>
      </c>
    </row>
    <row r="63542" customFormat="false" ht="12.8" hidden="false" customHeight="false" outlineLevel="0" collapsed="false">
      <c r="B63542" s="0" t="s">
        <v>3989</v>
      </c>
    </row>
    <row r="63544" customFormat="false" ht="12.8" hidden="false" customHeight="false" outlineLevel="0" collapsed="false">
      <c r="A63544" s="0" t="s">
        <v>21162</v>
      </c>
      <c r="B63544" s="0" t="str">
        <f aca="false">HYPERLINK("https://lindat.mff.cuni.cz/services/teitok/pdtc10/index.php?action=vallex&amp;frame=v-w12002_ZUf2_ZU", "zabouchat (v-w12002_ZUf2_ZU)")</f>
        <v>zabouchat (v-w12002_ZUf2_ZU)</v>
      </c>
    </row>
    <row r="63545" customFormat="false" ht="12.8" hidden="false" customHeight="false" outlineLevel="0" collapsed="false">
      <c r="B63545" s="0" t="s">
        <v>1</v>
      </c>
    </row>
    <row r="63546" customFormat="false" ht="12.8" hidden="false" customHeight="false" outlineLevel="0" collapsed="false">
      <c r="B63546" s="0" t="s">
        <v>454</v>
      </c>
    </row>
    <row r="63548" customFormat="false" ht="12.8" hidden="false" customHeight="false" outlineLevel="0" collapsed="false">
      <c r="A63548" s="0" t="s">
        <v>21162</v>
      </c>
      <c r="B63548" s="0" t="str">
        <f aca="false">HYPERLINK("https://lindat.mff.cuni.cz/services/teitok/pdtc10/index.php?action=vallex&amp;frame=v-w12002_ZUf1_ZU", "zabouchat (v-w12002_ZUf1_ZU) - substituted with v-w12002_ZUf2_ZU")</f>
        <v>zabouchat (v-w12002_ZUf1_ZU) - substituted with v-w12002_ZUf2_ZU</v>
      </c>
    </row>
    <row r="63549" customFormat="false" ht="12.8" hidden="false" customHeight="false" outlineLevel="0" collapsed="false">
      <c r="B63549" s="0" t="s">
        <v>1</v>
      </c>
    </row>
    <row r="63550" customFormat="false" ht="12.8" hidden="false" customHeight="false" outlineLevel="0" collapsed="false">
      <c r="B63550" s="0" t="s">
        <v>454</v>
      </c>
    </row>
    <row r="63552" customFormat="false" ht="12.8" hidden="false" customHeight="false" outlineLevel="0" collapsed="false">
      <c r="A63552" s="0" t="s">
        <v>21163</v>
      </c>
      <c r="B63552" s="0" t="str">
        <f aca="false">HYPERLINK("https://lindat.mff.cuni.cz/services/teitok/pdtc10/index.php?action=vallex&amp;frame=v-w8734f1", "zabouchnout (v-w8734f1)")</f>
        <v>zabouchnout (v-w8734f1)</v>
      </c>
    </row>
    <row r="63553" customFormat="false" ht="12.8" hidden="false" customHeight="false" outlineLevel="0" collapsed="false">
      <c r="B63553" s="0" t="s">
        <v>1</v>
      </c>
    </row>
    <row r="63554" customFormat="false" ht="12.8" hidden="false" customHeight="false" outlineLevel="0" collapsed="false">
      <c r="B63554" s="0" t="s">
        <v>8</v>
      </c>
    </row>
    <row r="63556" customFormat="false" ht="12.8" hidden="false" customHeight="false" outlineLevel="0" collapsed="false">
      <c r="A63556" s="0" t="s">
        <v>21164</v>
      </c>
      <c r="B63556" s="0" t="str">
        <f aca="false">HYPERLINK("https://lindat.mff.cuni.cz/services/teitok/pdtc10/index.php?action=vallex&amp;frame=v-w11302f1", "zabouchnout se (v-w11302f1)")</f>
        <v>zabouchnout se (v-w11302f1)</v>
      </c>
    </row>
    <row r="63557" customFormat="false" ht="12.8" hidden="false" customHeight="false" outlineLevel="0" collapsed="false">
      <c r="B63557" s="0" t="s">
        <v>1</v>
      </c>
    </row>
    <row r="63559" customFormat="false" ht="12.8" hidden="false" customHeight="false" outlineLevel="0" collapsed="false">
      <c r="A63559" s="0" t="s">
        <v>21165</v>
      </c>
      <c r="B63559" s="0" t="str">
        <f aca="false">HYPERLINK("https://lindat.mff.cuni.cz/services/teitok/pdtc10/index.php?action=vallex&amp;frame=v-w8733f1", "zabořit (v-w8733f1)")</f>
        <v>zabořit (v-w8733f1)</v>
      </c>
    </row>
    <row r="63560" customFormat="false" ht="12.8" hidden="false" customHeight="false" outlineLevel="0" collapsed="false">
      <c r="B63560" s="0" t="s">
        <v>1</v>
      </c>
    </row>
    <row r="63561" customFormat="false" ht="12.8" hidden="false" customHeight="false" outlineLevel="0" collapsed="false">
      <c r="B63561" s="0" t="s">
        <v>8</v>
      </c>
    </row>
    <row r="63562" customFormat="false" ht="12.8" hidden="false" customHeight="false" outlineLevel="0" collapsed="false">
      <c r="B63562" s="0" t="s">
        <v>164</v>
      </c>
    </row>
    <row r="63564" customFormat="false" ht="12.8" hidden="false" customHeight="false" outlineLevel="0" collapsed="false">
      <c r="A63564" s="0" t="s">
        <v>21166</v>
      </c>
      <c r="B63564" s="0" t="str">
        <f aca="false">HYPERLINK("https://lindat.mff.cuni.cz/services/teitok/pdtc10/index.php?action=vallex&amp;frame=v-w8738f1", "zabrat (v-w8738f1)")</f>
        <v>zabrat (v-w8738f1)</v>
      </c>
    </row>
    <row r="63565" customFormat="false" ht="12.8" hidden="false" customHeight="false" outlineLevel="0" collapsed="false">
      <c r="B63565" s="0" t="s">
        <v>1</v>
      </c>
    </row>
    <row r="63566" customFormat="false" ht="12.8" hidden="false" customHeight="false" outlineLevel="0" collapsed="false">
      <c r="B63566" s="0" t="s">
        <v>8</v>
      </c>
    </row>
    <row r="63567" customFormat="false" ht="12.8" hidden="false" customHeight="false" outlineLevel="0" collapsed="false">
      <c r="B63567" s="0" t="s">
        <v>5523</v>
      </c>
    </row>
    <row r="63569" customFormat="false" ht="12.8" hidden="false" customHeight="false" outlineLevel="0" collapsed="false">
      <c r="A63569" s="0" t="s">
        <v>21167</v>
      </c>
      <c r="B63569" s="0" t="str">
        <f aca="false">HYPERLINK("https://lindat.mff.cuni.cz/services/teitok/pdtc10/index.php?action=vallex&amp;frame=v-w8738hsa_46", "zabrat (v-w8738hsa_46)")</f>
        <v>zabrat (v-w8738hsa_46)</v>
      </c>
      <c r="E63569" s="0" t="str">
        <f aca="false">HYPERLINK("https://lindat.mff.cuni.cz/services/SynSemClass40/SynSemClass40.html?veclass=vec00530#vec00530-ces-cm00008", "vec00530")</f>
        <v>vec00530</v>
      </c>
      <c r="F63569" s="0" t="s">
        <v>17217</v>
      </c>
    </row>
    <row r="63570" customFormat="false" ht="12.8" hidden="false" customHeight="false" outlineLevel="0" collapsed="false">
      <c r="B63570" s="0" t="s">
        <v>21168</v>
      </c>
      <c r="C63570" s="0" t="s">
        <v>17219</v>
      </c>
      <c r="E63570" s="0" t="s">
        <v>1086</v>
      </c>
      <c r="F63570" s="0" t="s">
        <v>17220</v>
      </c>
    </row>
    <row r="63571" customFormat="false" ht="12.8" hidden="false" customHeight="false" outlineLevel="0" collapsed="false">
      <c r="B63571" s="0" t="s">
        <v>8</v>
      </c>
      <c r="C63571" s="0" t="s">
        <v>18058</v>
      </c>
      <c r="E63571" s="0" t="s">
        <v>7980</v>
      </c>
      <c r="F63571" s="0" t="s">
        <v>21169</v>
      </c>
    </row>
    <row r="63573" customFormat="false" ht="12.8" hidden="false" customHeight="false" outlineLevel="0" collapsed="false">
      <c r="A63573" s="0" t="s">
        <v>21167</v>
      </c>
      <c r="B63573" s="0" t="str">
        <f aca="false">HYPERLINK("https://lindat.mff.cuni.cz/services/teitok/pdtc10/index.php?action=vallex&amp;frame=v-w8738f4", "zabrat (v-w8738f4) - substituted with v-w8738hsa_46")</f>
        <v>zabrat (v-w8738f4) - substituted with v-w8738hsa_46</v>
      </c>
    </row>
    <row r="63574" customFormat="false" ht="12.8" hidden="false" customHeight="false" outlineLevel="0" collapsed="false">
      <c r="B63574" s="0" t="s">
        <v>21168</v>
      </c>
    </row>
    <row r="63575" customFormat="false" ht="12.8" hidden="false" customHeight="false" outlineLevel="0" collapsed="false">
      <c r="B63575" s="0" t="s">
        <v>8</v>
      </c>
    </row>
    <row r="63577" customFormat="false" ht="12.8" hidden="false" customHeight="false" outlineLevel="0" collapsed="false">
      <c r="A63577" s="0" t="s">
        <v>21170</v>
      </c>
      <c r="B63577" s="0" t="str">
        <f aca="false">HYPERLINK("https://lindat.mff.cuni.cz/services/teitok/pdtc10/index.php?action=vallex&amp;frame=v-w8738f7", "zabrat (v-w8738f7)")</f>
        <v>zabrat (v-w8738f7)</v>
      </c>
    </row>
    <row r="63578" customFormat="false" ht="12.8" hidden="false" customHeight="false" outlineLevel="0" collapsed="false">
      <c r="B63578" s="0" t="s">
        <v>1</v>
      </c>
    </row>
    <row r="63579" customFormat="false" ht="12.8" hidden="false" customHeight="false" outlineLevel="0" collapsed="false">
      <c r="B63579" s="0" t="s">
        <v>8</v>
      </c>
    </row>
    <row r="63581" customFormat="false" ht="12.8" hidden="false" customHeight="false" outlineLevel="0" collapsed="false">
      <c r="A63581" s="0" t="s">
        <v>21171</v>
      </c>
      <c r="B63581" s="0" t="str">
        <f aca="false">HYPERLINK("https://lindat.mff.cuni.cz/services/teitok/pdtc10/index.php?action=vallex&amp;frame=v-w8738f3", "zabrat (v-w8738f3)")</f>
        <v>zabrat (v-w8738f3)</v>
      </c>
    </row>
    <row r="63582" customFormat="false" ht="12.8" hidden="false" customHeight="false" outlineLevel="0" collapsed="false">
      <c r="B63582" s="0" t="s">
        <v>1</v>
      </c>
    </row>
    <row r="63583" customFormat="false" ht="12.8" hidden="false" customHeight="false" outlineLevel="0" collapsed="false">
      <c r="B63583" s="0" t="s">
        <v>45</v>
      </c>
    </row>
    <row r="63585" customFormat="false" ht="12.8" hidden="false" customHeight="false" outlineLevel="0" collapsed="false">
      <c r="A63585" s="0" t="s">
        <v>21172</v>
      </c>
      <c r="B63585" s="0" t="str">
        <f aca="false">HYPERLINK("https://lindat.mff.cuni.cz/services/teitok/pdtc10/index.php?action=vallex&amp;frame=v-w8738f8_ZU", "zabrat (v-w8738f8_ZU)")</f>
        <v>zabrat (v-w8738f8_ZU)</v>
      </c>
    </row>
    <row r="63586" customFormat="false" ht="12.8" hidden="false" customHeight="false" outlineLevel="0" collapsed="false">
      <c r="B63586" s="0" t="s">
        <v>1</v>
      </c>
    </row>
    <row r="63587" customFormat="false" ht="12.8" hidden="false" customHeight="false" outlineLevel="0" collapsed="false">
      <c r="B63587" s="0" t="s">
        <v>8</v>
      </c>
    </row>
    <row r="63589" customFormat="false" ht="12.8" hidden="false" customHeight="false" outlineLevel="0" collapsed="false">
      <c r="A63589" s="0" t="s">
        <v>21173</v>
      </c>
      <c r="B63589" s="0" t="str">
        <f aca="false">HYPERLINK("https://lindat.mff.cuni.cz/services/teitok/pdtc10/index.php?action=vallex&amp;frame=v-w8738f2", "zabrat (v-w8738f2)")</f>
        <v>zabrat (v-w8738f2)</v>
      </c>
    </row>
    <row r="63590" customFormat="false" ht="12.8" hidden="false" customHeight="false" outlineLevel="0" collapsed="false">
      <c r="B63590" s="0" t="s">
        <v>1</v>
      </c>
    </row>
    <row r="63592" customFormat="false" ht="12.8" hidden="false" customHeight="false" outlineLevel="0" collapsed="false">
      <c r="A63592" s="0" t="s">
        <v>21174</v>
      </c>
      <c r="B63592" s="0" t="str">
        <f aca="false">HYPERLINK("https://lindat.mff.cuni.cz/services/teitok/pdtc10/index.php?action=vallex&amp;frame=v-w8738f5", "zabrat (v-w8738f5)")</f>
        <v>zabrat (v-w8738f5)</v>
      </c>
      <c r="E63592" s="0" t="str">
        <f aca="false">HYPERLINK("https://lindat.mff.cuni.cz/services/SynSemClass40/SynSemClass40.html?veclass=vec00221#vec00221-ces-cm00042", "vec00221")</f>
        <v>vec00221</v>
      </c>
      <c r="F63592" s="0" t="s">
        <v>1051</v>
      </c>
    </row>
    <row r="63593" customFormat="false" ht="12.8" hidden="false" customHeight="false" outlineLevel="0" collapsed="false">
      <c r="B63593" s="0" t="s">
        <v>1</v>
      </c>
      <c r="C63593" s="0" t="s">
        <v>1052</v>
      </c>
      <c r="E63593" s="0" t="s">
        <v>1053</v>
      </c>
      <c r="F63593" s="0" t="s">
        <v>1054</v>
      </c>
    </row>
    <row r="63595" customFormat="false" ht="12.8" hidden="false" customHeight="false" outlineLevel="0" collapsed="false">
      <c r="A63595" s="0" t="s">
        <v>21175</v>
      </c>
      <c r="B63595" s="0" t="str">
        <f aca="false">HYPERLINK("https://lindat.mff.cuni.cz/services/teitok/pdtc10/index.php?action=vallex&amp;frame=v-w8738f6", "zabrat (v-w8738f6)")</f>
        <v>zabrat (v-w8738f6)</v>
      </c>
    </row>
    <row r="63596" customFormat="false" ht="12.8" hidden="false" customHeight="false" outlineLevel="0" collapsed="false">
      <c r="B63596" s="0" t="s">
        <v>1</v>
      </c>
    </row>
    <row r="63598" customFormat="false" ht="12.8" hidden="false" customHeight="false" outlineLevel="0" collapsed="false">
      <c r="A63598" s="0" t="s">
        <v>21176</v>
      </c>
      <c r="B63598" s="0" t="str">
        <f aca="false">HYPERLINK("https://lindat.mff.cuni.cz/services/teitok/pdtc10/index.php?action=vallex&amp;frame=v-w8738f9_ZU", "zabrat (v-w8738f9_ZU)")</f>
        <v>zabrat (v-w8738f9_ZU)</v>
      </c>
    </row>
    <row r="63599" customFormat="false" ht="12.8" hidden="false" customHeight="false" outlineLevel="0" collapsed="false">
      <c r="B63599" s="0" t="s">
        <v>1</v>
      </c>
    </row>
    <row r="63600" customFormat="false" ht="12.8" hidden="false" customHeight="false" outlineLevel="0" collapsed="false">
      <c r="B63600" s="0" t="s">
        <v>8</v>
      </c>
    </row>
    <row r="63602" customFormat="false" ht="12.8" hidden="false" customHeight="false" outlineLevel="0" collapsed="false">
      <c r="A63602" s="0" t="s">
        <v>21177</v>
      </c>
      <c r="B63602" s="0" t="str">
        <f aca="false">HYPERLINK("https://lindat.mff.cuni.cz/services/teitok/pdtc10/index.php?action=vallex&amp;frame=v-w8738hsa_43", "zabrat (v-w8738hsa_43)")</f>
        <v>zabrat (v-w8738hsa_43)</v>
      </c>
    </row>
    <row r="63603" customFormat="false" ht="12.8" hidden="false" customHeight="false" outlineLevel="0" collapsed="false">
      <c r="B63603" s="0" t="s">
        <v>1</v>
      </c>
    </row>
    <row r="63604" customFormat="false" ht="12.8" hidden="false" customHeight="false" outlineLevel="0" collapsed="false">
      <c r="B63604" s="0" t="s">
        <v>8</v>
      </c>
    </row>
    <row r="63606" customFormat="false" ht="12.8" hidden="false" customHeight="false" outlineLevel="0" collapsed="false">
      <c r="A63606" s="0" t="s">
        <v>21178</v>
      </c>
      <c r="B63606" s="0" t="str">
        <f aca="false">HYPERLINK("https://lindat.mff.cuni.cz/services/teitok/pdtc10/index.php?action=vallex&amp;frame=v-w12071_ZUf1_ZU", "zabrat se (v-w12071_ZUf1_ZU)")</f>
        <v>zabrat se (v-w12071_ZUf1_ZU)</v>
      </c>
    </row>
    <row r="63607" customFormat="false" ht="12.8" hidden="false" customHeight="false" outlineLevel="0" collapsed="false">
      <c r="B63607" s="0" t="s">
        <v>1</v>
      </c>
    </row>
    <row r="63608" customFormat="false" ht="12.8" hidden="false" customHeight="false" outlineLevel="0" collapsed="false">
      <c r="B63608" s="0" t="s">
        <v>1187</v>
      </c>
    </row>
    <row r="63610" customFormat="false" ht="12.8" hidden="false" customHeight="false" outlineLevel="0" collapsed="false">
      <c r="A63610" s="0" t="s">
        <v>21179</v>
      </c>
      <c r="B63610" s="0" t="str">
        <f aca="false">HYPERLINK("https://lindat.mff.cuni.cz/services/teitok/pdtc10/index.php?action=vallex&amp;frame=v-w8737f2", "zabraňovat (v-w8737f2)")</f>
        <v>zabraňovat (v-w8737f2)</v>
      </c>
      <c r="E63610" s="0" t="str">
        <f aca="false">HYPERLINK("https://lindat.mff.cuni.cz/services/SynSemClass40/SynSemClass40.html?veclass=vec00367#vec00367-ces-cm00017", "vec00367")</f>
        <v>vec00367</v>
      </c>
      <c r="F63610" s="0" t="s">
        <v>556</v>
      </c>
    </row>
    <row r="63611" customFormat="false" ht="12.8" hidden="false" customHeight="false" outlineLevel="0" collapsed="false">
      <c r="B63611" s="0" t="s">
        <v>1</v>
      </c>
      <c r="C63611" s="0" t="s">
        <v>557</v>
      </c>
      <c r="E63611" s="0" t="s">
        <v>206</v>
      </c>
      <c r="F63611" s="0" t="s">
        <v>558</v>
      </c>
    </row>
    <row r="63612" customFormat="false" ht="12.8" hidden="false" customHeight="false" outlineLevel="0" collapsed="false">
      <c r="B63612" s="0" t="s">
        <v>21180</v>
      </c>
      <c r="C63612" s="0" t="s">
        <v>560</v>
      </c>
      <c r="E63612" s="0" t="s">
        <v>561</v>
      </c>
      <c r="F63612" s="0" t="s">
        <v>562</v>
      </c>
    </row>
    <row r="63613" customFormat="false" ht="12.8" hidden="false" customHeight="false" outlineLevel="0" collapsed="false">
      <c r="B63613" s="0" t="s">
        <v>52</v>
      </c>
      <c r="C63613" s="0" t="s">
        <v>563</v>
      </c>
      <c r="E63613" s="0" t="s">
        <v>564</v>
      </c>
      <c r="F63613" s="0" t="s">
        <v>565</v>
      </c>
    </row>
    <row r="63615" customFormat="false" ht="12.8" hidden="false" customHeight="false" outlineLevel="0" collapsed="false">
      <c r="A63615" s="0" t="s">
        <v>21181</v>
      </c>
      <c r="B63615" s="0" t="str">
        <f aca="false">HYPERLINK("https://lindat.mff.cuni.cz/services/teitok/pdtc10/index.php?action=vallex&amp;frame=v-w8737f1", "zabraňovat (v-w8737f1)")</f>
        <v>zabraňovat (v-w8737f1)</v>
      </c>
      <c r="E63615" s="0" t="str">
        <f aca="false">HYPERLINK("https://lindat.mff.cuni.cz/services/SynSemClass40/SynSemClass40.html?veclass=vec00174#vec00174-ces-cm00001", "vec00174")</f>
        <v>vec00174</v>
      </c>
      <c r="F63615" s="0" t="s">
        <v>325</v>
      </c>
    </row>
    <row r="63616" customFormat="false" ht="12.8" hidden="false" customHeight="false" outlineLevel="0" collapsed="false">
      <c r="B63616" s="0" t="s">
        <v>1</v>
      </c>
      <c r="C63616" s="0" t="s">
        <v>326</v>
      </c>
      <c r="E63616" s="0" t="s">
        <v>76</v>
      </c>
      <c r="F63616" s="0" t="s">
        <v>327</v>
      </c>
    </row>
    <row r="63617" customFormat="false" ht="12.8" hidden="false" customHeight="false" outlineLevel="0" collapsed="false">
      <c r="B63617" s="0" t="s">
        <v>186</v>
      </c>
      <c r="C63617" s="0" t="s">
        <v>328</v>
      </c>
      <c r="E63617" s="0" t="s">
        <v>188</v>
      </c>
      <c r="F63617" s="0" t="s">
        <v>329</v>
      </c>
    </row>
    <row r="63619" customFormat="false" ht="12.8" hidden="false" customHeight="false" outlineLevel="0" collapsed="false">
      <c r="A63619" s="0" t="s">
        <v>21182</v>
      </c>
      <c r="B63619" s="0" t="str">
        <f aca="false">HYPERLINK("https://lindat.mff.cuni.cz/services/teitok/pdtc10/index.php?action=vallex&amp;frame=v-w8739f2", "zabrnkat (v-w8739f2)")</f>
        <v>zabrnkat (v-w8739f2)</v>
      </c>
    </row>
    <row r="63620" customFormat="false" ht="12.8" hidden="false" customHeight="false" outlineLevel="0" collapsed="false">
      <c r="B63620" s="0" t="s">
        <v>1</v>
      </c>
    </row>
    <row r="63621" customFormat="false" ht="12.8" hidden="false" customHeight="false" outlineLevel="0" collapsed="false">
      <c r="B63621" s="0" t="s">
        <v>8</v>
      </c>
    </row>
    <row r="63623" customFormat="false" ht="12.8" hidden="false" customHeight="false" outlineLevel="0" collapsed="false">
      <c r="A63623" s="0" t="s">
        <v>21183</v>
      </c>
      <c r="B63623" s="0" t="str">
        <f aca="false">HYPERLINK("https://lindat.mff.cuni.cz/services/teitok/pdtc10/index.php?action=vallex&amp;frame=v-w8739f1", "zabrnkat (v-w8739f1)")</f>
        <v>zabrnkat (v-w8739f1)</v>
      </c>
    </row>
    <row r="63624" customFormat="false" ht="12.8" hidden="false" customHeight="false" outlineLevel="0" collapsed="false">
      <c r="B63624" s="0" t="s">
        <v>1</v>
      </c>
    </row>
    <row r="63625" customFormat="false" ht="12.8" hidden="false" customHeight="false" outlineLevel="0" collapsed="false">
      <c r="B63625" s="0" t="s">
        <v>45</v>
      </c>
    </row>
    <row r="63627" customFormat="false" ht="12.8" hidden="false" customHeight="false" outlineLevel="0" collapsed="false">
      <c r="A63627" s="0" t="s">
        <v>21184</v>
      </c>
      <c r="B63627" s="0" t="str">
        <f aca="false">HYPERLINK("https://lindat.mff.cuni.cz/services/teitok/pdtc10/index.php?action=vallex&amp;frame=v-w10523f3", "zabrousit (v-w10523f3)")</f>
        <v>zabrousit (v-w10523f3)</v>
      </c>
    </row>
    <row r="63628" customFormat="false" ht="12.8" hidden="false" customHeight="false" outlineLevel="0" collapsed="false">
      <c r="B63628" s="0" t="s">
        <v>1</v>
      </c>
    </row>
    <row r="63629" customFormat="false" ht="12.8" hidden="false" customHeight="false" outlineLevel="0" collapsed="false">
      <c r="B63629" s="0" t="s">
        <v>164</v>
      </c>
    </row>
    <row r="63631" customFormat="false" ht="12.8" hidden="false" customHeight="false" outlineLevel="0" collapsed="false">
      <c r="A63631" s="0" t="s">
        <v>21185</v>
      </c>
      <c r="B63631" s="0" t="str">
        <f aca="false">HYPERLINK("https://lindat.mff.cuni.cz/services/teitok/pdtc10/index.php?action=vallex&amp;frame=v-w11673_ZUf1_ZU", "zabručet (v-w11673_ZUf1_ZU)")</f>
        <v>zabručet (v-w11673_ZUf1_ZU)</v>
      </c>
      <c r="E63631" s="0" t="str">
        <f aca="false">HYPERLINK("https://lindat.mff.cuni.cz/services/SynSemClass40/SynSemClass40.html?veclass=vec00633#vec00633-ces-cm00009", "vec00633")</f>
        <v>vec00633</v>
      </c>
      <c r="F63631" s="0" t="s">
        <v>528</v>
      </c>
    </row>
    <row r="63632" customFormat="false" ht="12.8" hidden="false" customHeight="false" outlineLevel="0" collapsed="false">
      <c r="B63632" s="0" t="s">
        <v>1</v>
      </c>
      <c r="C63632" s="0" t="s">
        <v>512</v>
      </c>
      <c r="E63632" s="0" t="s">
        <v>147</v>
      </c>
      <c r="F63632" s="0" t="s">
        <v>529</v>
      </c>
    </row>
    <row r="63633" customFormat="false" ht="12.8" hidden="false" customHeight="false" outlineLevel="0" collapsed="false">
      <c r="B63633" s="0" t="s">
        <v>4688</v>
      </c>
    </row>
    <row r="63634" customFormat="false" ht="12.8" hidden="false" customHeight="false" outlineLevel="0" collapsed="false">
      <c r="B63634" s="0" t="s">
        <v>21186</v>
      </c>
      <c r="C63634" s="0" t="s">
        <v>798</v>
      </c>
      <c r="E63634" s="0" t="s">
        <v>532</v>
      </c>
      <c r="F63634" s="0" t="s">
        <v>533</v>
      </c>
    </row>
    <row r="63636" customFormat="false" ht="12.8" hidden="false" customHeight="false" outlineLevel="0" collapsed="false">
      <c r="A63636" s="0" t="s">
        <v>21187</v>
      </c>
      <c r="B63636" s="0" t="str">
        <f aca="false">HYPERLINK("https://lindat.mff.cuni.cz/services/teitok/pdtc10/index.php?action=vallex&amp;frame=v-w8740f1", "zabrzdit (v-w8740f1)")</f>
        <v>zabrzdit (v-w8740f1)</v>
      </c>
    </row>
    <row r="63637" customFormat="false" ht="12.8" hidden="false" customHeight="false" outlineLevel="0" collapsed="false">
      <c r="B63637" s="0" t="s">
        <v>1</v>
      </c>
    </row>
    <row r="63638" customFormat="false" ht="12.8" hidden="false" customHeight="false" outlineLevel="0" collapsed="false">
      <c r="B63638" s="0" t="s">
        <v>8</v>
      </c>
    </row>
    <row r="63640" customFormat="false" ht="12.8" hidden="false" customHeight="false" outlineLevel="0" collapsed="false">
      <c r="A63640" s="0" t="s">
        <v>21188</v>
      </c>
      <c r="B63640" s="0" t="str">
        <f aca="false">HYPERLINK("https://lindat.mff.cuni.cz/services/teitok/pdtc10/index.php?action=vallex&amp;frame=v-w8740f2", "zabrzdit (v-w8740f2)")</f>
        <v>zabrzdit (v-w8740f2)</v>
      </c>
    </row>
    <row r="63641" customFormat="false" ht="12.8" hidden="false" customHeight="false" outlineLevel="0" collapsed="false">
      <c r="B63641" s="0" t="s">
        <v>1</v>
      </c>
    </row>
    <row r="63642" customFormat="false" ht="12.8" hidden="false" customHeight="false" outlineLevel="0" collapsed="false">
      <c r="B63642" s="0" t="s">
        <v>8</v>
      </c>
    </row>
    <row r="63644" customFormat="false" ht="12.8" hidden="false" customHeight="false" outlineLevel="0" collapsed="false">
      <c r="A63644" s="0" t="s">
        <v>21189</v>
      </c>
      <c r="B63644" s="0" t="str">
        <f aca="false">HYPERLINK("https://lindat.mff.cuni.cz/services/teitok/pdtc10/index.php?action=vallex&amp;frame=v-w8735f2", "zabránit (v-w8735f2)")</f>
        <v>zabránit (v-w8735f2)</v>
      </c>
      <c r="E63644" s="0" t="str">
        <f aca="false">HYPERLINK("https://lindat.mff.cuni.cz/services/SynSemClass40/SynSemClass40.html?veclass=vec00367#vec00367-ces-cm00009", "vec00367")</f>
        <v>vec00367</v>
      </c>
      <c r="F63644" s="0" t="s">
        <v>556</v>
      </c>
    </row>
    <row r="63645" customFormat="false" ht="12.8" hidden="false" customHeight="false" outlineLevel="0" collapsed="false">
      <c r="B63645" s="0" t="s">
        <v>1</v>
      </c>
      <c r="C63645" s="0" t="s">
        <v>557</v>
      </c>
      <c r="E63645" s="0" t="s">
        <v>206</v>
      </c>
      <c r="F63645" s="0" t="s">
        <v>558</v>
      </c>
    </row>
    <row r="63646" customFormat="false" ht="12.8" hidden="false" customHeight="false" outlineLevel="0" collapsed="false">
      <c r="B63646" s="0" t="s">
        <v>21190</v>
      </c>
      <c r="C63646" s="0" t="s">
        <v>560</v>
      </c>
      <c r="E63646" s="0" t="s">
        <v>561</v>
      </c>
      <c r="F63646" s="0" t="s">
        <v>562</v>
      </c>
    </row>
    <row r="63647" customFormat="false" ht="12.8" hidden="false" customHeight="false" outlineLevel="0" collapsed="false">
      <c r="B63647" s="0" t="s">
        <v>52</v>
      </c>
      <c r="C63647" s="0" t="s">
        <v>563</v>
      </c>
      <c r="E63647" s="0" t="s">
        <v>564</v>
      </c>
      <c r="F63647" s="0" t="s">
        <v>565</v>
      </c>
    </row>
    <row r="63649" customFormat="false" ht="12.8" hidden="false" customHeight="false" outlineLevel="0" collapsed="false">
      <c r="A63649" s="0" t="s">
        <v>21191</v>
      </c>
      <c r="B63649" s="0" t="str">
        <f aca="false">HYPERLINK("https://lindat.mff.cuni.cz/services/teitok/pdtc10/index.php?action=vallex&amp;frame=v-w8735f3_ZU", "zabránit (v-w8735f3_ZU)")</f>
        <v>zabránit (v-w8735f3_ZU)</v>
      </c>
      <c r="E63649" s="0" t="str">
        <f aca="false">HYPERLINK("https://lindat.mff.cuni.cz/services/SynSemClass40/SynSemClass40.html?veclass=vec00174#vec00174-ces-cm00019", "vec00174")</f>
        <v>vec00174</v>
      </c>
      <c r="F63649" s="0" t="s">
        <v>325</v>
      </c>
    </row>
    <row r="63650" customFormat="false" ht="12.8" hidden="false" customHeight="false" outlineLevel="0" collapsed="false">
      <c r="B63650" s="0" t="s">
        <v>1</v>
      </c>
      <c r="C63650" s="0" t="s">
        <v>326</v>
      </c>
      <c r="E63650" s="0" t="s">
        <v>76</v>
      </c>
      <c r="F63650" s="0" t="s">
        <v>327</v>
      </c>
    </row>
    <row r="63651" customFormat="false" ht="12.8" hidden="false" customHeight="false" outlineLevel="0" collapsed="false">
      <c r="B63651" s="0" t="s">
        <v>9066</v>
      </c>
      <c r="C63651" s="0" t="s">
        <v>328</v>
      </c>
      <c r="E63651" s="0" t="s">
        <v>188</v>
      </c>
      <c r="F63651" s="0" t="s">
        <v>329</v>
      </c>
    </row>
    <row r="63653" customFormat="false" ht="12.8" hidden="false" customHeight="false" outlineLevel="0" collapsed="false">
      <c r="A63653" s="0" t="s">
        <v>21191</v>
      </c>
      <c r="B63653" s="0" t="str">
        <f aca="false">HYPERLINK("https://lindat.mff.cuni.cz/services/teitok/pdtc10/index.php?action=vallex&amp;frame=v-w8735f1", "zabránit (v-w8735f1) - substituted with v-w8735f3_ZU")</f>
        <v>zabránit (v-w8735f1) - substituted with v-w8735f3_ZU</v>
      </c>
    </row>
    <row r="63654" customFormat="false" ht="12.8" hidden="false" customHeight="false" outlineLevel="0" collapsed="false">
      <c r="B63654" s="0" t="s">
        <v>1</v>
      </c>
    </row>
    <row r="63655" customFormat="false" ht="12.8" hidden="false" customHeight="false" outlineLevel="0" collapsed="false">
      <c r="B63655" s="0" t="s">
        <v>9066</v>
      </c>
    </row>
    <row r="63657" customFormat="false" ht="12.8" hidden="false" customHeight="false" outlineLevel="0" collapsed="false">
      <c r="A63657" s="0" t="s">
        <v>21192</v>
      </c>
      <c r="B63657" s="0" t="str">
        <f aca="false">HYPERLINK("https://lindat.mff.cuni.cz/services/teitok/pdtc10/index.php?action=vallex&amp;frame=v-w8742f2", "zabudovat (v-w8742f2)")</f>
        <v>zabudovat (v-w8742f2)</v>
      </c>
    </row>
    <row r="63658" customFormat="false" ht="12.8" hidden="false" customHeight="false" outlineLevel="0" collapsed="false">
      <c r="B63658" s="0" t="s">
        <v>1</v>
      </c>
    </row>
    <row r="63659" customFormat="false" ht="12.8" hidden="false" customHeight="false" outlineLevel="0" collapsed="false">
      <c r="B63659" s="0" t="s">
        <v>8</v>
      </c>
    </row>
    <row r="63660" customFormat="false" ht="12.8" hidden="false" customHeight="false" outlineLevel="0" collapsed="false">
      <c r="B63660" s="0" t="s">
        <v>5</v>
      </c>
    </row>
    <row r="63662" customFormat="false" ht="12.8" hidden="false" customHeight="false" outlineLevel="0" collapsed="false">
      <c r="A63662" s="0" t="s">
        <v>21193</v>
      </c>
      <c r="B63662" s="0" t="str">
        <f aca="false">HYPERLINK("https://lindat.mff.cuni.cz/services/teitok/pdtc10/index.php?action=vallex&amp;frame=v-w8742f1", "zabudovat (v-w8742f1)")</f>
        <v>zabudovat (v-w8742f1)</v>
      </c>
      <c r="E63662" s="0" t="str">
        <f aca="false">HYPERLINK("https://lindat.mff.cuni.cz/services/SynSemClass40/SynSemClass40.html?veclass=vec01167#vec01167-ces-cm00001", "vec01167")</f>
        <v>vec01167</v>
      </c>
      <c r="F63662" s="0" t="s">
        <v>7657</v>
      </c>
    </row>
    <row r="63663" customFormat="false" ht="12.8" hidden="false" customHeight="false" outlineLevel="0" collapsed="false">
      <c r="B63663" s="0" t="s">
        <v>1</v>
      </c>
      <c r="C63663" s="0" t="s">
        <v>459</v>
      </c>
      <c r="E63663" s="0" t="s">
        <v>768</v>
      </c>
      <c r="F63663" s="0" t="s">
        <v>7658</v>
      </c>
    </row>
    <row r="63664" customFormat="false" ht="12.8" hidden="false" customHeight="false" outlineLevel="0" collapsed="false">
      <c r="B63664" s="0" t="s">
        <v>8</v>
      </c>
      <c r="C63664" s="0" t="s">
        <v>3252</v>
      </c>
      <c r="E63664" s="0" t="s">
        <v>110</v>
      </c>
      <c r="F63664" s="0" t="s">
        <v>7659</v>
      </c>
    </row>
    <row r="63665" customFormat="false" ht="12.8" hidden="false" customHeight="false" outlineLevel="0" collapsed="false">
      <c r="B63665" s="0" t="s">
        <v>164</v>
      </c>
      <c r="E63665" s="0" t="s">
        <v>14031</v>
      </c>
      <c r="F63665" s="0" t="s">
        <v>18742</v>
      </c>
    </row>
    <row r="63667" customFormat="false" ht="12.8" hidden="false" customHeight="false" outlineLevel="0" collapsed="false">
      <c r="A63667" s="0" t="s">
        <v>21194</v>
      </c>
      <c r="B63667" s="0" t="str">
        <f aca="false">HYPERLINK("https://lindat.mff.cuni.cz/services/teitok/pdtc10/index.php?action=vallex&amp;frame=v-w10843f2", "zabušit (v-w10843f2)")</f>
        <v>zabušit (v-w10843f2)</v>
      </c>
    </row>
    <row r="63668" customFormat="false" ht="12.8" hidden="false" customHeight="false" outlineLevel="0" collapsed="false">
      <c r="B63668" s="0" t="s">
        <v>1</v>
      </c>
    </row>
    <row r="63669" customFormat="false" ht="12.8" hidden="false" customHeight="false" outlineLevel="0" collapsed="false">
      <c r="B63669" s="0" t="s">
        <v>164</v>
      </c>
    </row>
    <row r="63671" customFormat="false" ht="12.8" hidden="false" customHeight="false" outlineLevel="0" collapsed="false">
      <c r="A63671" s="0" t="s">
        <v>21195</v>
      </c>
      <c r="B63671" s="0" t="str">
        <f aca="false">HYPERLINK("https://lindat.mff.cuni.cz/services/teitok/pdtc10/index.php?action=vallex&amp;frame=v-w8744f1", "zabydlet se (v-w8744f1)")</f>
        <v>zabydlet se (v-w8744f1)</v>
      </c>
    </row>
    <row r="63672" customFormat="false" ht="12.8" hidden="false" customHeight="false" outlineLevel="0" collapsed="false">
      <c r="B63672" s="0" t="s">
        <v>1</v>
      </c>
    </row>
    <row r="63674" customFormat="false" ht="12.8" hidden="false" customHeight="false" outlineLevel="0" collapsed="false">
      <c r="A63674" s="0" t="s">
        <v>21196</v>
      </c>
      <c r="B63674" s="0" t="str">
        <f aca="false">HYPERLINK("https://lindat.mff.cuni.cz/services/teitok/pdtc10/index.php?action=vallex&amp;frame=v-w12124_ZUf1_ZU", "zabydlovat se (v-w12124_ZUf1_ZU)")</f>
        <v>zabydlovat se (v-w12124_ZUf1_ZU)</v>
      </c>
    </row>
    <row r="63675" customFormat="false" ht="12.8" hidden="false" customHeight="false" outlineLevel="0" collapsed="false">
      <c r="B63675" s="0" t="s">
        <v>1</v>
      </c>
    </row>
    <row r="63677" customFormat="false" ht="12.8" hidden="false" customHeight="false" outlineLevel="0" collapsed="false">
      <c r="A63677" s="0" t="s">
        <v>21197</v>
      </c>
      <c r="B63677" s="0" t="str">
        <f aca="false">HYPERLINK("https://lindat.mff.cuni.cz/services/teitok/pdtc10/index.php?action=vallex&amp;frame=v-w11633_ZUf1_ZU", "zabíhat (v-w11633_ZUf1_ZU)")</f>
        <v>zabíhat (v-w11633_ZUf1_ZU)</v>
      </c>
    </row>
    <row r="63678" customFormat="false" ht="12.8" hidden="false" customHeight="false" outlineLevel="0" collapsed="false">
      <c r="B63678" s="0" t="s">
        <v>1</v>
      </c>
    </row>
    <row r="63679" customFormat="false" ht="12.8" hidden="false" customHeight="false" outlineLevel="0" collapsed="false">
      <c r="B63679" s="0" t="s">
        <v>454</v>
      </c>
    </row>
    <row r="63681" customFormat="false" ht="12.8" hidden="false" customHeight="false" outlineLevel="0" collapsed="false">
      <c r="A63681" s="0" t="s">
        <v>21198</v>
      </c>
      <c r="B63681" s="0" t="str">
        <f aca="false">HYPERLINK("https://lindat.mff.cuni.cz/services/teitok/pdtc10/index.php?action=vallex&amp;frame=v-w11633_ZUhsa_962", "zabíhat (v-w11633_ZUhsa_962)")</f>
        <v>zabíhat (v-w11633_ZUhsa_962)</v>
      </c>
    </row>
    <row r="63682" customFormat="false" ht="12.8" hidden="false" customHeight="false" outlineLevel="0" collapsed="false">
      <c r="B63682" s="0" t="s">
        <v>1</v>
      </c>
    </row>
    <row r="63683" customFormat="false" ht="12.8" hidden="false" customHeight="false" outlineLevel="0" collapsed="false">
      <c r="B63683" s="0" t="s">
        <v>361</v>
      </c>
    </row>
    <row r="63685" customFormat="false" ht="12.8" hidden="false" customHeight="false" outlineLevel="0" collapsed="false">
      <c r="A63685" s="0" t="s">
        <v>21199</v>
      </c>
      <c r="B63685" s="0" t="str">
        <f aca="false">HYPERLINK("https://lindat.mff.cuni.cz/services/teitok/pdtc10/index.php?action=vallex&amp;frame=v-w8719f1", "zabíjet (v-w8719f1)")</f>
        <v>zabíjet (v-w8719f1)</v>
      </c>
      <c r="E63685" s="0" t="str">
        <f aca="false">HYPERLINK("https://lindat.mff.cuni.cz/services/SynSemClass40/SynSemClass40.html?veclass=vec00365#vec00365-ces-cm00013", "vec00365")</f>
        <v>vec00365</v>
      </c>
      <c r="F63685" s="0" t="s">
        <v>8975</v>
      </c>
    </row>
    <row r="63686" customFormat="false" ht="12.8" hidden="false" customHeight="false" outlineLevel="0" collapsed="false">
      <c r="B63686" s="0" t="s">
        <v>1</v>
      </c>
      <c r="C63686" s="0" t="s">
        <v>5883</v>
      </c>
      <c r="E63686" s="0" t="s">
        <v>76</v>
      </c>
      <c r="F63686" s="0" t="s">
        <v>8977</v>
      </c>
    </row>
    <row r="63687" customFormat="false" ht="12.8" hidden="false" customHeight="false" outlineLevel="0" collapsed="false">
      <c r="B63687" s="0" t="s">
        <v>8</v>
      </c>
      <c r="C63687" s="0" t="s">
        <v>8979</v>
      </c>
      <c r="E63687" s="0" t="s">
        <v>199</v>
      </c>
      <c r="F63687" s="0" t="s">
        <v>8980</v>
      </c>
    </row>
    <row r="63689" customFormat="false" ht="12.8" hidden="false" customHeight="false" outlineLevel="0" collapsed="false">
      <c r="A63689" s="0" t="s">
        <v>21200</v>
      </c>
      <c r="B63689" s="0" t="str">
        <f aca="false">HYPERLINK("https://lindat.mff.cuni.cz/services/teitok/pdtc10/index.php?action=vallex&amp;frame=v-w8720f1", "zabíjet se (v-w8720f1)")</f>
        <v>zabíjet se (v-w8720f1)</v>
      </c>
      <c r="E63689" s="0" t="str">
        <f aca="false">HYPERLINK("https://lindat.mff.cuni.cz/services/SynSemClass40/SynSemClass40.html?veclass=vec00365#vec00365-ces-cm00043", "vec00365")</f>
        <v>vec00365</v>
      </c>
      <c r="F63689" s="0" t="s">
        <v>8975</v>
      </c>
    </row>
    <row r="63690" customFormat="false" ht="12.8" hidden="false" customHeight="false" outlineLevel="0" collapsed="false">
      <c r="B63690" s="0" t="s">
        <v>1</v>
      </c>
      <c r="C63690" s="0" t="s">
        <v>21201</v>
      </c>
      <c r="E63690" s="0" t="s">
        <v>21202</v>
      </c>
      <c r="F63690" s="0" t="s">
        <v>21203</v>
      </c>
    </row>
    <row r="63692" customFormat="false" ht="12.8" hidden="false" customHeight="false" outlineLevel="0" collapsed="false">
      <c r="A63692" s="0" t="s">
        <v>21204</v>
      </c>
      <c r="B63692" s="0" t="str">
        <f aca="false">HYPERLINK("https://lindat.mff.cuni.cz/services/teitok/pdtc10/index.php?action=vallex&amp;frame=v-w8721f7_ZU", "zabírat (v-w8721f7_ZU)")</f>
        <v>zabírat (v-w8721f7_ZU)</v>
      </c>
    </row>
    <row r="63693" customFormat="false" ht="12.8" hidden="false" customHeight="false" outlineLevel="0" collapsed="false">
      <c r="B63693" s="0" t="s">
        <v>1</v>
      </c>
    </row>
    <row r="63694" customFormat="false" ht="12.8" hidden="false" customHeight="false" outlineLevel="0" collapsed="false">
      <c r="B63694" s="0" t="s">
        <v>8</v>
      </c>
    </row>
    <row r="63695" customFormat="false" ht="12.8" hidden="false" customHeight="false" outlineLevel="0" collapsed="false">
      <c r="B63695" s="0" t="s">
        <v>5523</v>
      </c>
    </row>
    <row r="63697" customFormat="false" ht="12.8" hidden="false" customHeight="false" outlineLevel="0" collapsed="false">
      <c r="A63697" s="0" t="s">
        <v>21204</v>
      </c>
      <c r="B63697" s="0" t="str">
        <f aca="false">HYPERLINK("https://lindat.mff.cuni.cz/services/teitok/pdtc10/index.php?action=vallex&amp;frame=v-w8721f6", "zabírat (v-w8721f6) - substituted with v-w8721f7_ZU")</f>
        <v>zabírat (v-w8721f6) - substituted with v-w8721f7_ZU</v>
      </c>
    </row>
    <row r="63698" customFormat="false" ht="12.8" hidden="false" customHeight="false" outlineLevel="0" collapsed="false">
      <c r="B63698" s="0" t="s">
        <v>1</v>
      </c>
    </row>
    <row r="63699" customFormat="false" ht="12.8" hidden="false" customHeight="false" outlineLevel="0" collapsed="false">
      <c r="B63699" s="0" t="s">
        <v>8</v>
      </c>
    </row>
    <row r="63700" customFormat="false" ht="12.8" hidden="false" customHeight="false" outlineLevel="0" collapsed="false">
      <c r="B63700" s="0" t="s">
        <v>5523</v>
      </c>
    </row>
    <row r="63702" customFormat="false" ht="12.8" hidden="false" customHeight="false" outlineLevel="0" collapsed="false">
      <c r="A63702" s="0" t="s">
        <v>21205</v>
      </c>
      <c r="B63702" s="0" t="str">
        <f aca="false">HYPERLINK("https://lindat.mff.cuni.cz/services/teitok/pdtc10/index.php?action=vallex&amp;frame=v-w8721f5", "zabírat (v-w8721f5)")</f>
        <v>zabírat (v-w8721f5)</v>
      </c>
    </row>
    <row r="63703" customFormat="false" ht="12.8" hidden="false" customHeight="false" outlineLevel="0" collapsed="false">
      <c r="B63703" s="0" t="s">
        <v>1</v>
      </c>
    </row>
    <row r="63704" customFormat="false" ht="12.8" hidden="false" customHeight="false" outlineLevel="0" collapsed="false">
      <c r="B63704" s="0" t="s">
        <v>8</v>
      </c>
    </row>
    <row r="63706" customFormat="false" ht="12.8" hidden="false" customHeight="false" outlineLevel="0" collapsed="false">
      <c r="A63706" s="0" t="s">
        <v>21206</v>
      </c>
      <c r="B63706" s="0" t="str">
        <f aca="false">HYPERLINK("https://lindat.mff.cuni.cz/services/teitok/pdtc10/index.php?action=vallex&amp;frame=v-w8721f4", "zabírat (v-w8721f4)")</f>
        <v>zabírat (v-w8721f4)</v>
      </c>
    </row>
    <row r="63707" customFormat="false" ht="12.8" hidden="false" customHeight="false" outlineLevel="0" collapsed="false">
      <c r="B63707" s="0" t="s">
        <v>1</v>
      </c>
    </row>
    <row r="63708" customFormat="false" ht="12.8" hidden="false" customHeight="false" outlineLevel="0" collapsed="false">
      <c r="B63708" s="0" t="s">
        <v>8</v>
      </c>
    </row>
    <row r="63710" customFormat="false" ht="12.8" hidden="false" customHeight="false" outlineLevel="0" collapsed="false">
      <c r="A63710" s="0" t="s">
        <v>21207</v>
      </c>
      <c r="B63710" s="0" t="str">
        <f aca="false">HYPERLINK("https://lindat.mff.cuni.cz/services/teitok/pdtc10/index.php?action=vallex&amp;frame=v-w8721f2", "zabírat (v-w8721f2)")</f>
        <v>zabírat (v-w8721f2)</v>
      </c>
    </row>
    <row r="63711" customFormat="false" ht="12.8" hidden="false" customHeight="false" outlineLevel="0" collapsed="false">
      <c r="B63711" s="0" t="s">
        <v>1</v>
      </c>
    </row>
    <row r="63712" customFormat="false" ht="12.8" hidden="false" customHeight="false" outlineLevel="0" collapsed="false">
      <c r="B63712" s="0" t="s">
        <v>8</v>
      </c>
    </row>
    <row r="63714" customFormat="false" ht="12.8" hidden="false" customHeight="false" outlineLevel="0" collapsed="false">
      <c r="A63714" s="0" t="s">
        <v>21208</v>
      </c>
      <c r="B63714" s="0" t="str">
        <f aca="false">HYPERLINK("https://lindat.mff.cuni.cz/services/teitok/pdtc10/index.php?action=vallex&amp;frame=v-w8721f1", "zabírat (v-w8721f1)")</f>
        <v>zabírat (v-w8721f1)</v>
      </c>
    </row>
    <row r="63715" customFormat="false" ht="12.8" hidden="false" customHeight="false" outlineLevel="0" collapsed="false">
      <c r="B63715" s="0" t="s">
        <v>1</v>
      </c>
    </row>
    <row r="63716" customFormat="false" ht="12.8" hidden="false" customHeight="false" outlineLevel="0" collapsed="false">
      <c r="B63716" s="0" t="s">
        <v>865</v>
      </c>
    </row>
    <row r="63718" customFormat="false" ht="12.8" hidden="false" customHeight="false" outlineLevel="0" collapsed="false">
      <c r="A63718" s="0" t="s">
        <v>21209</v>
      </c>
      <c r="B63718" s="0" t="str">
        <f aca="false">HYPERLINK("https://lindat.mff.cuni.cz/services/teitok/pdtc10/index.php?action=vallex&amp;frame=v-w8721f3", "zabírat (v-w8721f3)")</f>
        <v>zabírat (v-w8721f3)</v>
      </c>
      <c r="E63718" s="0" t="str">
        <f aca="false">HYPERLINK("https://lindat.mff.cuni.cz/services/SynSemClass40/SynSemClass40.html?veclass=vec00221#vec00221-ces-cm00053", "vec00221")</f>
        <v>vec00221</v>
      </c>
      <c r="F63718" s="0" t="s">
        <v>1051</v>
      </c>
    </row>
    <row r="63719" customFormat="false" ht="12.8" hidden="false" customHeight="false" outlineLevel="0" collapsed="false">
      <c r="B63719" s="0" t="s">
        <v>1</v>
      </c>
      <c r="C63719" s="0" t="s">
        <v>1052</v>
      </c>
      <c r="E63719" s="0" t="s">
        <v>1053</v>
      </c>
      <c r="F63719" s="0" t="s">
        <v>1054</v>
      </c>
    </row>
    <row r="63721" customFormat="false" ht="12.8" hidden="false" customHeight="false" outlineLevel="0" collapsed="false">
      <c r="A63721" s="0" t="s">
        <v>21210</v>
      </c>
      <c r="B63721" s="0" t="str">
        <f aca="false">HYPERLINK("https://lindat.mff.cuni.cz/services/teitok/pdtc10/index.php?action=vallex&amp;frame=v-w8721f8_MM", "zabírat (v-w8721f8_MM)")</f>
        <v>zabírat (v-w8721f8_MM)</v>
      </c>
    </row>
    <row r="63722" customFormat="false" ht="12.8" hidden="false" customHeight="false" outlineLevel="0" collapsed="false">
      <c r="B63722" s="0" t="s">
        <v>1</v>
      </c>
    </row>
    <row r="63723" customFormat="false" ht="12.8" hidden="false" customHeight="false" outlineLevel="0" collapsed="false">
      <c r="B63723" s="0" t="s">
        <v>1187</v>
      </c>
    </row>
    <row r="63725" customFormat="false" ht="12.8" hidden="false" customHeight="false" outlineLevel="0" collapsed="false">
      <c r="A63725" s="0" t="s">
        <v>21211</v>
      </c>
      <c r="B63725" s="0" t="str">
        <f aca="false">HYPERLINK("https://lindat.mff.cuni.cz/services/teitok/pdtc10/index.php?action=vallex&amp;frame=v-w8722f1", "zabít (v-w8722f1)")</f>
        <v>zabít (v-w8722f1)</v>
      </c>
      <c r="E63725" s="0" t="str">
        <f aca="false">HYPERLINK("https://lindat.mff.cuni.cz/services/SynSemClass40/SynSemClass40.html?veclass=vec00365#vec00365-ces-cm00001", "vec00365")</f>
        <v>vec00365</v>
      </c>
      <c r="F63725" s="0" t="s">
        <v>8975</v>
      </c>
    </row>
    <row r="63726" customFormat="false" ht="12.8" hidden="false" customHeight="false" outlineLevel="0" collapsed="false">
      <c r="B63726" s="0" t="s">
        <v>1</v>
      </c>
      <c r="C63726" s="0" t="s">
        <v>5883</v>
      </c>
      <c r="E63726" s="0" t="s">
        <v>76</v>
      </c>
      <c r="F63726" s="0" t="s">
        <v>8977</v>
      </c>
    </row>
    <row r="63727" customFormat="false" ht="12.8" hidden="false" customHeight="false" outlineLevel="0" collapsed="false">
      <c r="B63727" s="0" t="s">
        <v>8</v>
      </c>
      <c r="C63727" s="0" t="s">
        <v>8979</v>
      </c>
      <c r="E63727" s="0" t="s">
        <v>199</v>
      </c>
      <c r="F63727" s="0" t="s">
        <v>8980</v>
      </c>
    </row>
    <row r="63729" customFormat="false" ht="12.8" hidden="false" customHeight="false" outlineLevel="0" collapsed="false">
      <c r="A63729" s="0" t="s">
        <v>21212</v>
      </c>
      <c r="B63729" s="0" t="str">
        <f aca="false">HYPERLINK("https://lindat.mff.cuni.cz/services/teitok/pdtc10/index.php?action=vallex&amp;frame=v-w8722f2_ZU", "zabít (v-w8722f2_ZU)")</f>
        <v>zabít (v-w8722f2_ZU)</v>
      </c>
    </row>
    <row r="63730" customFormat="false" ht="12.8" hidden="false" customHeight="false" outlineLevel="0" collapsed="false">
      <c r="B63730" s="0" t="s">
        <v>1</v>
      </c>
    </row>
    <row r="63731" customFormat="false" ht="12.8" hidden="false" customHeight="false" outlineLevel="0" collapsed="false">
      <c r="B63731" s="0" t="s">
        <v>21213</v>
      </c>
    </row>
    <row r="63733" customFormat="false" ht="12.8" hidden="false" customHeight="false" outlineLevel="0" collapsed="false">
      <c r="A63733" s="0" t="s">
        <v>21212</v>
      </c>
      <c r="B63733" s="0" t="str">
        <f aca="false">HYPERLINK("https://lindat.mff.cuni.cz/services/teitok/pdtc10/index.php?action=vallex&amp;frame=v-w8722hsa_1889", "zabít (v-w8722hsa_1889) - substituted with v-w8722f2_ZU")</f>
        <v>zabít (v-w8722hsa_1889) - substituted with v-w8722f2_ZU</v>
      </c>
    </row>
    <row r="63734" customFormat="false" ht="12.8" hidden="false" customHeight="false" outlineLevel="0" collapsed="false">
      <c r="B63734" s="0" t="s">
        <v>1</v>
      </c>
    </row>
    <row r="63735" customFormat="false" ht="12.8" hidden="false" customHeight="false" outlineLevel="0" collapsed="false">
      <c r="B63735" s="0" t="s">
        <v>21213</v>
      </c>
    </row>
    <row r="63737" customFormat="false" ht="12.8" hidden="false" customHeight="false" outlineLevel="0" collapsed="false">
      <c r="A63737" s="0" t="s">
        <v>21214</v>
      </c>
      <c r="B63737" s="0" t="str">
        <f aca="false">HYPERLINK("https://lindat.mff.cuni.cz/services/teitok/pdtc10/index.php?action=vallex&amp;frame=v-whsa_1726hsa_1727", "zabít se (v-whsa_1726hsa_1727)")</f>
        <v>zabít se (v-whsa_1726hsa_1727)</v>
      </c>
    </row>
    <row r="63738" customFormat="false" ht="12.8" hidden="false" customHeight="false" outlineLevel="0" collapsed="false">
      <c r="B63738" s="0" t="s">
        <v>1</v>
      </c>
    </row>
    <row r="63740" customFormat="false" ht="12.8" hidden="false" customHeight="false" outlineLevel="0" collapsed="false">
      <c r="A63740" s="0" t="s">
        <v>21215</v>
      </c>
      <c r="B63740" s="0" t="str">
        <f aca="false">HYPERLINK("https://lindat.mff.cuni.cz/services/teitok/pdtc10/index.php?action=vallex&amp;frame=v-w8746f2", "zabývat se (v-w8746f2)")</f>
        <v>zabývat se (v-w8746f2)</v>
      </c>
      <c r="E63740" s="0" t="str">
        <f aca="false">HYPERLINK("https://lindat.mff.cuni.cz/services/SynSemClass40/SynSemClass40.html?veclass=vec00067#vec00067-ces-cm00256", "vec00067")</f>
        <v>vec00067</v>
      </c>
      <c r="F63740" s="0" t="s">
        <v>126</v>
      </c>
      <c r="H63740" s="0" t="str">
        <f aca="false">HYPERLINK("https://lindat.mff.cuni.cz/services/SynSemClass40/SynSemClass40.html?veclass=vec01458#vec01458-ces-cm00006", "vec01458")</f>
        <v>vec01458</v>
      </c>
      <c r="I63740" s="0" t="s">
        <v>127</v>
      </c>
    </row>
    <row r="63741" customFormat="false" ht="12.8" hidden="false" customHeight="false" outlineLevel="0" collapsed="false">
      <c r="B63741" s="0" t="s">
        <v>1</v>
      </c>
      <c r="C63741" s="0" t="s">
        <v>128</v>
      </c>
      <c r="E63741" s="0" t="s">
        <v>11</v>
      </c>
      <c r="F63741" s="0" t="s">
        <v>129</v>
      </c>
      <c r="H63741" s="0" t="s">
        <v>31</v>
      </c>
      <c r="I63741" s="0" t="s">
        <v>130</v>
      </c>
    </row>
    <row r="63742" customFormat="false" ht="12.8" hidden="false" customHeight="false" outlineLevel="0" collapsed="false">
      <c r="B63742" s="0" t="s">
        <v>286</v>
      </c>
      <c r="C63742" s="0" t="s">
        <v>21216</v>
      </c>
      <c r="E63742" s="0" t="s">
        <v>188</v>
      </c>
      <c r="F63742" s="0" t="s">
        <v>189</v>
      </c>
      <c r="H63742" s="0" t="s">
        <v>14</v>
      </c>
      <c r="I63742" s="0" t="s">
        <v>288</v>
      </c>
    </row>
    <row r="63744" customFormat="false" ht="12.8" hidden="false" customHeight="false" outlineLevel="0" collapsed="false">
      <c r="A63744" s="0" t="s">
        <v>21215</v>
      </c>
      <c r="B63744" s="0" t="str">
        <f aca="false">HYPERLINK("https://lindat.mff.cuni.cz/services/teitok/pdtc10/index.php?action=vallex&amp;frame=v-w8746f1", "zabývat se (v-w8746f1) - substituted with v-w8746f2")</f>
        <v>zabývat se (v-w8746f1) - substituted with v-w8746f2</v>
      </c>
    </row>
    <row r="63745" customFormat="false" ht="12.8" hidden="false" customHeight="false" outlineLevel="0" collapsed="false">
      <c r="B63745" s="0" t="s">
        <v>1</v>
      </c>
    </row>
    <row r="63746" customFormat="false" ht="12.8" hidden="false" customHeight="false" outlineLevel="0" collapsed="false">
      <c r="B63746" s="0" t="s">
        <v>286</v>
      </c>
    </row>
    <row r="63748" customFormat="false" ht="12.8" hidden="false" customHeight="false" outlineLevel="0" collapsed="false">
      <c r="A63748" s="0" t="s">
        <v>21217</v>
      </c>
      <c r="B63748" s="0" t="str">
        <f aca="false">HYPERLINK("https://lindat.mff.cuni.cz/services/teitok/pdtc10/index.php?action=vallex&amp;frame=v-w8710f1", "zaběhnout (v-w8710f1)")</f>
        <v>zaběhnout (v-w8710f1)</v>
      </c>
    </row>
    <row r="63749" customFormat="false" ht="12.8" hidden="false" customHeight="false" outlineLevel="0" collapsed="false">
      <c r="B63749" s="0" t="s">
        <v>1</v>
      </c>
    </row>
    <row r="63750" customFormat="false" ht="12.8" hidden="false" customHeight="false" outlineLevel="0" collapsed="false">
      <c r="B63750" s="0" t="s">
        <v>8</v>
      </c>
    </row>
    <row r="63752" customFormat="false" ht="12.8" hidden="false" customHeight="false" outlineLevel="0" collapsed="false">
      <c r="A63752" s="0" t="s">
        <v>21218</v>
      </c>
      <c r="B63752" s="0" t="str">
        <f aca="false">HYPERLINK("https://lindat.mff.cuni.cz/services/teitok/pdtc10/index.php?action=vallex&amp;frame=v-w8710f2", "zaběhnout (v-w8710f2)")</f>
        <v>zaběhnout (v-w8710f2)</v>
      </c>
    </row>
    <row r="63753" customFormat="false" ht="12.8" hidden="false" customHeight="false" outlineLevel="0" collapsed="false">
      <c r="B63753" s="0" t="s">
        <v>1</v>
      </c>
    </row>
    <row r="63754" customFormat="false" ht="12.8" hidden="false" customHeight="false" outlineLevel="0" collapsed="false">
      <c r="B63754" s="0" t="s">
        <v>164</v>
      </c>
    </row>
    <row r="63756" customFormat="false" ht="12.8" hidden="false" customHeight="false" outlineLevel="0" collapsed="false">
      <c r="A63756" s="0" t="s">
        <v>21219</v>
      </c>
      <c r="B63756" s="0" t="str">
        <f aca="false">HYPERLINK("https://lindat.mff.cuni.cz/services/teitok/pdtc10/index.php?action=vallex&amp;frame=v-w8710hsa_829", "zaběhnout (v-w8710hsa_829)")</f>
        <v>zaběhnout (v-w8710hsa_829)</v>
      </c>
    </row>
    <row r="63757" customFormat="false" ht="12.8" hidden="false" customHeight="false" outlineLevel="0" collapsed="false">
      <c r="B63757" s="0" t="s">
        <v>1</v>
      </c>
    </row>
    <row r="63758" customFormat="false" ht="12.8" hidden="false" customHeight="false" outlineLevel="0" collapsed="false">
      <c r="B63758" s="0" t="s">
        <v>8</v>
      </c>
    </row>
    <row r="63760" customFormat="false" ht="12.8" hidden="false" customHeight="false" outlineLevel="0" collapsed="false">
      <c r="A63760" s="0" t="s">
        <v>21220</v>
      </c>
      <c r="B63760" s="0" t="str">
        <f aca="false">HYPERLINK("https://lindat.mff.cuni.cz/services/teitok/pdtc10/index.php?action=vallex&amp;frame=v-whsa_635hsa_636", "zaběhávat (v-whsa_635hsa_636)")</f>
        <v>zaběhávat (v-whsa_635hsa_636)</v>
      </c>
    </row>
    <row r="63761" customFormat="false" ht="12.8" hidden="false" customHeight="false" outlineLevel="0" collapsed="false">
      <c r="B63761" s="0" t="s">
        <v>1</v>
      </c>
    </row>
    <row r="63762" customFormat="false" ht="12.8" hidden="false" customHeight="false" outlineLevel="0" collapsed="false">
      <c r="B63762" s="0" t="s">
        <v>8</v>
      </c>
    </row>
    <row r="63764" customFormat="false" ht="12.8" hidden="false" customHeight="false" outlineLevel="0" collapsed="false">
      <c r="A63764" s="0" t="s">
        <v>21221</v>
      </c>
      <c r="B63764" s="0" t="str">
        <f aca="false">HYPERLINK("https://lindat.mff.cuni.cz/services/teitok/pdtc10/index.php?action=vallex&amp;frame=v-whsa_346hsa_347", "zabřednout (v-whsa_346hsa_347)")</f>
        <v>zabřednout (v-whsa_346hsa_347)</v>
      </c>
      <c r="E63764" s="0" t="str">
        <f aca="false">HYPERLINK("https://lindat.mff.cuni.cz/services/SynSemClass40/SynSemClass40.html?veclass=vec01115#vec01115-ces-cm00036", "vec01115")</f>
        <v>vec01115</v>
      </c>
      <c r="F63764" s="0" t="s">
        <v>1617</v>
      </c>
    </row>
    <row r="63765" customFormat="false" ht="12.8" hidden="false" customHeight="false" outlineLevel="0" collapsed="false">
      <c r="B63765" s="0" t="s">
        <v>1</v>
      </c>
      <c r="C63765" s="0" t="s">
        <v>1618</v>
      </c>
      <c r="E63765" s="0" t="s">
        <v>11</v>
      </c>
      <c r="F63765" s="0" t="s">
        <v>1619</v>
      </c>
    </row>
    <row r="63766" customFormat="false" ht="12.8" hidden="false" customHeight="false" outlineLevel="0" collapsed="false">
      <c r="B63766" s="0" t="s">
        <v>1187</v>
      </c>
      <c r="C63766" s="0" t="s">
        <v>3882</v>
      </c>
      <c r="E63766" s="0" t="s">
        <v>354</v>
      </c>
      <c r="F63766" s="0" t="s">
        <v>21222</v>
      </c>
    </row>
    <row r="63768" customFormat="false" ht="12.8" hidden="false" customHeight="false" outlineLevel="0" collapsed="false">
      <c r="A63768" s="0" t="s">
        <v>21223</v>
      </c>
      <c r="B63768" s="0" t="str">
        <f aca="false">HYPERLINK("https://lindat.mff.cuni.cz/services/teitok/pdtc10/index.php?action=vallex&amp;frame=v-w11401f2", "zacelit (v-w11401f2)")</f>
        <v>zacelit (v-w11401f2)</v>
      </c>
    </row>
    <row r="63769" customFormat="false" ht="12.8" hidden="false" customHeight="false" outlineLevel="0" collapsed="false">
      <c r="B63769" s="0" t="s">
        <v>1</v>
      </c>
    </row>
    <row r="63770" customFormat="false" ht="12.8" hidden="false" customHeight="false" outlineLevel="0" collapsed="false">
      <c r="B63770" s="0" t="s">
        <v>8</v>
      </c>
    </row>
    <row r="63772" customFormat="false" ht="12.8" hidden="false" customHeight="false" outlineLevel="0" collapsed="false">
      <c r="A63772" s="0" t="s">
        <v>21224</v>
      </c>
      <c r="B63772" s="0" t="str">
        <f aca="false">HYPERLINK("https://lindat.mff.cuni.cz/services/teitok/pdtc10/index.php?action=vallex&amp;frame=v-w8748f1", "zacelit se (v-w8748f1)")</f>
        <v>zacelit se (v-w8748f1)</v>
      </c>
      <c r="E63772" s="0" t="str">
        <f aca="false">HYPERLINK("https://lindat.mff.cuni.cz/services/SynSemClass40/SynSemClass40.html?veclass=vec01368#vec01368-ces-cm00002", "vec01368")</f>
        <v>vec01368</v>
      </c>
      <c r="F63772" s="0" t="s">
        <v>21225</v>
      </c>
    </row>
    <row r="63773" customFormat="false" ht="12.8" hidden="false" customHeight="false" outlineLevel="0" collapsed="false">
      <c r="B63773" s="0" t="s">
        <v>1</v>
      </c>
      <c r="C63773" s="0" t="s">
        <v>5344</v>
      </c>
      <c r="E63773" s="0" t="s">
        <v>1597</v>
      </c>
      <c r="F63773" s="0" t="s">
        <v>21226</v>
      </c>
    </row>
    <row r="63775" customFormat="false" ht="12.8" hidden="false" customHeight="false" outlineLevel="0" collapsed="false">
      <c r="A63775" s="0" t="s">
        <v>21227</v>
      </c>
      <c r="B63775" s="0" t="str">
        <f aca="false">HYPERLINK("https://lindat.mff.cuni.cz/services/teitok/pdtc10/index.php?action=vallex&amp;frame=v-w8749f1", "zacelovat (v-w8749f1)")</f>
        <v>zacelovat (v-w8749f1)</v>
      </c>
    </row>
    <row r="63776" customFormat="false" ht="12.8" hidden="false" customHeight="false" outlineLevel="0" collapsed="false">
      <c r="B63776" s="0" t="s">
        <v>1</v>
      </c>
    </row>
    <row r="63777" customFormat="false" ht="12.8" hidden="false" customHeight="false" outlineLevel="0" collapsed="false">
      <c r="B63777" s="0" t="s">
        <v>8</v>
      </c>
    </row>
    <row r="63779" customFormat="false" ht="12.8" hidden="false" customHeight="false" outlineLevel="0" collapsed="false">
      <c r="A63779" s="0" t="s">
        <v>21228</v>
      </c>
      <c r="B63779" s="0" t="str">
        <f aca="false">HYPERLINK("https://lindat.mff.cuni.cz/services/teitok/pdtc10/index.php?action=vallex&amp;frame=v-w8749f2", "zacelovat (v-w8749f2)")</f>
        <v>zacelovat (v-w8749f2)</v>
      </c>
    </row>
    <row r="63780" customFormat="false" ht="12.8" hidden="false" customHeight="false" outlineLevel="0" collapsed="false">
      <c r="B63780" s="0" t="s">
        <v>1</v>
      </c>
    </row>
    <row r="63781" customFormat="false" ht="12.8" hidden="false" customHeight="false" outlineLevel="0" collapsed="false">
      <c r="B63781" s="0" t="s">
        <v>8</v>
      </c>
    </row>
    <row r="63783" customFormat="false" ht="12.8" hidden="false" customHeight="false" outlineLevel="0" collapsed="false">
      <c r="A63783" s="0" t="s">
        <v>21229</v>
      </c>
      <c r="B63783" s="0" t="str">
        <f aca="false">HYPERLINK("https://lindat.mff.cuni.cz/services/teitok/pdtc10/index.php?action=vallex&amp;frame=v-w8815f5", "zachovat (v-w8815f5)")</f>
        <v>zachovat (v-w8815f5)</v>
      </c>
    </row>
    <row r="63784" customFormat="false" ht="12.8" hidden="false" customHeight="false" outlineLevel="0" collapsed="false">
      <c r="B63784" s="0" t="s">
        <v>1</v>
      </c>
    </row>
    <row r="63785" customFormat="false" ht="12.8" hidden="false" customHeight="false" outlineLevel="0" collapsed="false">
      <c r="B63785" s="0" t="s">
        <v>8</v>
      </c>
    </row>
    <row r="63786" customFormat="false" ht="12.8" hidden="false" customHeight="false" outlineLevel="0" collapsed="false">
      <c r="B63786" s="0" t="s">
        <v>52</v>
      </c>
    </row>
    <row r="63788" customFormat="false" ht="12.8" hidden="false" customHeight="false" outlineLevel="0" collapsed="false">
      <c r="A63788" s="0" t="s">
        <v>21230</v>
      </c>
      <c r="B63788" s="0" t="str">
        <f aca="false">HYPERLINK("https://lindat.mff.cuni.cz/services/teitok/pdtc10/index.php?action=vallex&amp;frame=v-w8815f3", "zachovat (v-w8815f3)")</f>
        <v>zachovat (v-w8815f3)</v>
      </c>
    </row>
    <row r="63789" customFormat="false" ht="12.8" hidden="false" customHeight="false" outlineLevel="0" collapsed="false">
      <c r="B63789" s="0" t="s">
        <v>1</v>
      </c>
    </row>
    <row r="63790" customFormat="false" ht="12.8" hidden="false" customHeight="false" outlineLevel="0" collapsed="false">
      <c r="B63790" s="0" t="s">
        <v>8</v>
      </c>
    </row>
    <row r="63791" customFormat="false" ht="12.8" hidden="false" customHeight="false" outlineLevel="0" collapsed="false">
      <c r="B63791" s="0" t="s">
        <v>17475</v>
      </c>
    </row>
    <row r="63793" customFormat="false" ht="12.8" hidden="false" customHeight="false" outlineLevel="0" collapsed="false">
      <c r="A63793" s="0" t="s">
        <v>21231</v>
      </c>
      <c r="B63793" s="0" t="str">
        <f aca="false">HYPERLINK("https://lindat.mff.cuni.cz/services/teitok/pdtc10/index.php?action=vallex&amp;frame=v-w8815f1", "zachovat (v-w8815f1)")</f>
        <v>zachovat (v-w8815f1)</v>
      </c>
      <c r="E63793" s="0" t="str">
        <f aca="false">HYPERLINK("https://lindat.mff.cuni.cz/services/SynSemClass40/SynSemClass40.html?veclass=vec00176#vec00176-ces-cm00001", "vec00176")</f>
        <v>vec00176</v>
      </c>
      <c r="F63793" s="0" t="s">
        <v>3272</v>
      </c>
    </row>
    <row r="63794" customFormat="false" ht="12.8" hidden="false" customHeight="false" outlineLevel="0" collapsed="false">
      <c r="B63794" s="0" t="s">
        <v>1</v>
      </c>
      <c r="C63794" s="0" t="s">
        <v>10870</v>
      </c>
      <c r="E63794" s="0" t="s">
        <v>3275</v>
      </c>
      <c r="F63794" s="0" t="s">
        <v>3276</v>
      </c>
    </row>
    <row r="63795" customFormat="false" ht="12.8" hidden="false" customHeight="false" outlineLevel="0" collapsed="false">
      <c r="B63795" s="0" t="s">
        <v>8</v>
      </c>
      <c r="C63795" s="0" t="s">
        <v>10871</v>
      </c>
      <c r="E63795" s="0" t="s">
        <v>3279</v>
      </c>
      <c r="F63795" s="0" t="s">
        <v>3280</v>
      </c>
    </row>
    <row r="63797" customFormat="false" ht="12.8" hidden="false" customHeight="false" outlineLevel="0" collapsed="false">
      <c r="A63797" s="0" t="s">
        <v>21232</v>
      </c>
      <c r="B63797" s="0" t="str">
        <f aca="false">HYPERLINK("https://lindat.mff.cuni.cz/services/teitok/pdtc10/index.php?action=vallex&amp;frame=v-w8815f2", "zachovat (v-w8815f2)")</f>
        <v>zachovat (v-w8815f2)</v>
      </c>
      <c r="E63797" s="0" t="str">
        <f aca="false">HYPERLINK("https://lindat.mff.cuni.cz/services/SynSemClass40/SynSemClass40.html?veclass=vec00176#vec00176-ces-cm00079", "vec00176")</f>
        <v>vec00176</v>
      </c>
      <c r="F63797" s="0" t="s">
        <v>3272</v>
      </c>
      <c r="H63797" s="0" t="str">
        <f aca="false">HYPERLINK("https://lindat.mff.cuni.cz/services/SynSemClass40/SynSemClass40.html?veclass=vec01313#vec01313-ces-cm00025", "vec01313")</f>
        <v>vec01313</v>
      </c>
      <c r="I63797" s="0" t="s">
        <v>15743</v>
      </c>
      <c r="K63797" s="0" t="str">
        <f aca="false">HYPERLINK("https://lindat.mff.cuni.cz/services/SynSemClass40/SynSemClass40.html?veclass=vec01477#vec01477-ces-cm00002", "vec01477")</f>
        <v>vec01477</v>
      </c>
      <c r="L63797" s="0" t="s">
        <v>3273</v>
      </c>
    </row>
    <row r="63798" customFormat="false" ht="12.8" hidden="false" customHeight="false" outlineLevel="0" collapsed="false">
      <c r="B63798" s="0" t="s">
        <v>1</v>
      </c>
      <c r="C63798" s="0" t="s">
        <v>21233</v>
      </c>
      <c r="E63798" s="0" t="s">
        <v>3275</v>
      </c>
      <c r="F63798" s="0" t="s">
        <v>3276</v>
      </c>
      <c r="H63798" s="0" t="s">
        <v>155</v>
      </c>
      <c r="I63798" s="0" t="s">
        <v>15745</v>
      </c>
      <c r="K63798" s="0" t="s">
        <v>11</v>
      </c>
      <c r="L63798" s="0" t="s">
        <v>3277</v>
      </c>
    </row>
    <row r="63799" customFormat="false" ht="12.8" hidden="false" customHeight="false" outlineLevel="0" collapsed="false">
      <c r="B63799" s="0" t="s">
        <v>8</v>
      </c>
      <c r="C63799" s="0" t="s">
        <v>21234</v>
      </c>
      <c r="E63799" s="0" t="s">
        <v>3279</v>
      </c>
      <c r="F63799" s="0" t="s">
        <v>3280</v>
      </c>
      <c r="H63799" s="0" t="s">
        <v>15747</v>
      </c>
      <c r="I63799" s="0" t="s">
        <v>15748</v>
      </c>
      <c r="K63799" s="0" t="s">
        <v>1544</v>
      </c>
      <c r="L63799" s="0" t="s">
        <v>3281</v>
      </c>
    </row>
    <row r="63801" customFormat="false" ht="12.8" hidden="false" customHeight="false" outlineLevel="0" collapsed="false">
      <c r="A63801" s="0" t="s">
        <v>21235</v>
      </c>
      <c r="B63801" s="0" t="str">
        <f aca="false">HYPERLINK("https://lindat.mff.cuni.cz/services/teitok/pdtc10/index.php?action=vallex&amp;frame=v-w8815f4", "zachovat (v-w8815f4)")</f>
        <v>zachovat (v-w8815f4)</v>
      </c>
    </row>
    <row r="63802" customFormat="false" ht="12.8" hidden="false" customHeight="false" outlineLevel="0" collapsed="false">
      <c r="B63802" s="0" t="s">
        <v>1</v>
      </c>
    </row>
    <row r="63803" customFormat="false" ht="12.8" hidden="false" customHeight="false" outlineLevel="0" collapsed="false">
      <c r="B63803" s="0" t="s">
        <v>3285</v>
      </c>
    </row>
    <row r="63804" customFormat="false" ht="12.8" hidden="false" customHeight="false" outlineLevel="0" collapsed="false">
      <c r="B63804" s="0" t="s">
        <v>8</v>
      </c>
    </row>
    <row r="63806" customFormat="false" ht="12.8" hidden="false" customHeight="false" outlineLevel="0" collapsed="false">
      <c r="A63806" s="0" t="s">
        <v>21236</v>
      </c>
      <c r="B63806" s="0" t="str">
        <f aca="false">HYPERLINK("https://lindat.mff.cuni.cz/services/teitok/pdtc10/index.php?action=vallex&amp;frame=v-w8815f6_ZU", "zachovat (v-w8815f6_ZU)")</f>
        <v>zachovat (v-w8815f6_ZU)</v>
      </c>
    </row>
    <row r="63807" customFormat="false" ht="12.8" hidden="false" customHeight="false" outlineLevel="0" collapsed="false">
      <c r="B63807" s="0" t="s">
        <v>1</v>
      </c>
    </row>
    <row r="63808" customFormat="false" ht="12.8" hidden="false" customHeight="false" outlineLevel="0" collapsed="false">
      <c r="B63808" s="0" t="s">
        <v>21237</v>
      </c>
    </row>
    <row r="63810" customFormat="false" ht="12.8" hidden="false" customHeight="false" outlineLevel="0" collapsed="false">
      <c r="A63810" s="0" t="s">
        <v>21236</v>
      </c>
      <c r="B63810" s="0" t="str">
        <f aca="false">HYPERLINK("https://lindat.mff.cuni.cz/services/teitok/pdtc10/index.php?action=vallex&amp;frame=v-w8815hsa_869", "zachovat (v-w8815hsa_869) - substituted with v-w8815f6_ZU")</f>
        <v>zachovat (v-w8815hsa_869) - substituted with v-w8815f6_ZU</v>
      </c>
    </row>
    <row r="63811" customFormat="false" ht="12.8" hidden="false" customHeight="false" outlineLevel="0" collapsed="false">
      <c r="B63811" s="0" t="s">
        <v>1</v>
      </c>
    </row>
    <row r="63812" customFormat="false" ht="12.8" hidden="false" customHeight="false" outlineLevel="0" collapsed="false">
      <c r="B63812" s="0" t="s">
        <v>21237</v>
      </c>
    </row>
    <row r="63814" customFormat="false" ht="12.8" hidden="false" customHeight="false" outlineLevel="0" collapsed="false">
      <c r="A63814" s="0" t="s">
        <v>21238</v>
      </c>
      <c r="B63814" s="0" t="str">
        <f aca="false">HYPERLINK("https://lindat.mff.cuni.cz/services/teitok/pdtc10/index.php?action=vallex&amp;frame=v-w8816f1", "zachovat se (v-w8816f1)")</f>
        <v>zachovat se (v-w8816f1)</v>
      </c>
    </row>
    <row r="63815" customFormat="false" ht="12.8" hidden="false" customHeight="false" outlineLevel="0" collapsed="false">
      <c r="B63815" s="0" t="s">
        <v>1</v>
      </c>
    </row>
    <row r="63816" customFormat="false" ht="12.8" hidden="false" customHeight="false" outlineLevel="0" collapsed="false">
      <c r="B63816" s="0" t="s">
        <v>725</v>
      </c>
    </row>
    <row r="63817" customFormat="false" ht="12.8" hidden="false" customHeight="false" outlineLevel="0" collapsed="false">
      <c r="B63817" s="0" t="s">
        <v>642</v>
      </c>
    </row>
    <row r="63818" customFormat="false" ht="12.8" hidden="false" customHeight="false" outlineLevel="0" collapsed="false">
      <c r="B63818" s="0" t="s">
        <v>648</v>
      </c>
    </row>
    <row r="63819" customFormat="false" ht="12.8" hidden="false" customHeight="false" outlineLevel="0" collapsed="false">
      <c r="B63819" s="0" t="s">
        <v>650</v>
      </c>
    </row>
    <row r="63820" customFormat="false" ht="12.8" hidden="false" customHeight="false" outlineLevel="0" collapsed="false">
      <c r="B63820" s="0" t="s">
        <v>652</v>
      </c>
    </row>
    <row r="63822" customFormat="false" ht="12.8" hidden="false" customHeight="false" outlineLevel="0" collapsed="false">
      <c r="A63822" s="0" t="s">
        <v>21239</v>
      </c>
      <c r="B63822" s="0" t="str">
        <f aca="false">HYPERLINK("https://lindat.mff.cuni.cz/services/teitok/pdtc10/index.php?action=vallex&amp;frame=v-w8816f2", "zachovat se (v-w8816f2)")</f>
        <v>zachovat se (v-w8816f2)</v>
      </c>
    </row>
    <row r="63823" customFormat="false" ht="12.8" hidden="false" customHeight="false" outlineLevel="0" collapsed="false">
      <c r="B63823" s="0" t="s">
        <v>1</v>
      </c>
    </row>
    <row r="63825" customFormat="false" ht="12.8" hidden="false" customHeight="false" outlineLevel="0" collapsed="false">
      <c r="A63825" s="0" t="s">
        <v>21240</v>
      </c>
      <c r="B63825" s="0" t="str">
        <f aca="false">HYPERLINK("https://lindat.mff.cuni.cz/services/teitok/pdtc10/index.php?action=vallex&amp;frame=v-w8817f1", "zachovat si (v-w8817f1)")</f>
        <v>zachovat si (v-w8817f1)</v>
      </c>
      <c r="E63825" s="0" t="str">
        <f aca="false">HYPERLINK("https://lindat.mff.cuni.cz/services/SynSemClass40/SynSemClass40.html?veclass=vec00176#vec00176-ces-cm00080", "vec00176")</f>
        <v>vec00176</v>
      </c>
      <c r="F63825" s="0" t="s">
        <v>3272</v>
      </c>
      <c r="H63825" s="0" t="str">
        <f aca="false">HYPERLINK("https://lindat.mff.cuni.cz/services/SynSemClass40/SynSemClass40.html?veclass=vec01313#vec01313-ces-cm00026", "vec01313")</f>
        <v>vec01313</v>
      </c>
      <c r="I63825" s="0" t="s">
        <v>15743</v>
      </c>
      <c r="K63825" s="0" t="str">
        <f aca="false">HYPERLINK("https://lindat.mff.cuni.cz/services/SynSemClass40/SynSemClass40.html?veclass=vec01477#vec01477-ces-cm00003", "vec01477")</f>
        <v>vec01477</v>
      </c>
      <c r="L63825" s="0" t="s">
        <v>3273</v>
      </c>
    </row>
    <row r="63826" customFormat="false" ht="12.8" hidden="false" customHeight="false" outlineLevel="0" collapsed="false">
      <c r="B63826" s="0" t="s">
        <v>1</v>
      </c>
      <c r="C63826" s="0" t="s">
        <v>21233</v>
      </c>
      <c r="E63826" s="0" t="s">
        <v>3275</v>
      </c>
      <c r="F63826" s="0" t="s">
        <v>3276</v>
      </c>
      <c r="H63826" s="0" t="s">
        <v>155</v>
      </c>
      <c r="I63826" s="0" t="s">
        <v>15745</v>
      </c>
      <c r="K63826" s="0" t="s">
        <v>11</v>
      </c>
      <c r="L63826" s="0" t="s">
        <v>3277</v>
      </c>
    </row>
    <row r="63827" customFormat="false" ht="12.8" hidden="false" customHeight="false" outlineLevel="0" collapsed="false">
      <c r="B63827" s="0" t="s">
        <v>8</v>
      </c>
      <c r="C63827" s="0" t="s">
        <v>21234</v>
      </c>
      <c r="E63827" s="0" t="s">
        <v>3279</v>
      </c>
      <c r="F63827" s="0" t="s">
        <v>3280</v>
      </c>
      <c r="H63827" s="0" t="s">
        <v>15747</v>
      </c>
      <c r="I63827" s="0" t="s">
        <v>15748</v>
      </c>
      <c r="K63827" s="0" t="s">
        <v>1544</v>
      </c>
      <c r="L63827" s="0" t="s">
        <v>3281</v>
      </c>
    </row>
    <row r="63829" customFormat="false" ht="12.8" hidden="false" customHeight="false" outlineLevel="0" collapsed="false">
      <c r="A63829" s="0" t="s">
        <v>21241</v>
      </c>
      <c r="B63829" s="0" t="str">
        <f aca="false">HYPERLINK("https://lindat.mff.cuni.cz/services/teitok/pdtc10/index.php?action=vallex&amp;frame=v-w8818f3", "zachovávat (v-w8818f3)")</f>
        <v>zachovávat (v-w8818f3)</v>
      </c>
    </row>
    <row r="63830" customFormat="false" ht="12.8" hidden="false" customHeight="false" outlineLevel="0" collapsed="false">
      <c r="B63830" s="0" t="s">
        <v>1</v>
      </c>
    </row>
    <row r="63831" customFormat="false" ht="12.8" hidden="false" customHeight="false" outlineLevel="0" collapsed="false">
      <c r="B63831" s="0" t="s">
        <v>8</v>
      </c>
    </row>
    <row r="63832" customFormat="false" ht="12.8" hidden="false" customHeight="false" outlineLevel="0" collapsed="false">
      <c r="B63832" s="0" t="s">
        <v>17475</v>
      </c>
    </row>
    <row r="63834" customFormat="false" ht="12.8" hidden="false" customHeight="false" outlineLevel="0" collapsed="false">
      <c r="A63834" s="0" t="s">
        <v>21242</v>
      </c>
      <c r="B63834" s="0" t="str">
        <f aca="false">HYPERLINK("https://lindat.mff.cuni.cz/services/teitok/pdtc10/index.php?action=vallex&amp;frame=v-w8818f1", "zachovávat (v-w8818f1)")</f>
        <v>zachovávat (v-w8818f1)</v>
      </c>
      <c r="E63834" s="0" t="str">
        <f aca="false">HYPERLINK("https://lindat.mff.cuni.cz/services/SynSemClass40/SynSemClass40.html?veclass=vec01477#vec01477-ces-cm00004", "vec01477")</f>
        <v>vec01477</v>
      </c>
      <c r="F63834" s="0" t="s">
        <v>3273</v>
      </c>
    </row>
    <row r="63835" customFormat="false" ht="12.8" hidden="false" customHeight="false" outlineLevel="0" collapsed="false">
      <c r="B63835" s="0" t="s">
        <v>1</v>
      </c>
      <c r="C63835" s="0" t="s">
        <v>21243</v>
      </c>
      <c r="E63835" s="0" t="s">
        <v>11</v>
      </c>
      <c r="F63835" s="0" t="s">
        <v>3277</v>
      </c>
    </row>
    <row r="63836" customFormat="false" ht="12.8" hidden="false" customHeight="false" outlineLevel="0" collapsed="false">
      <c r="B63836" s="0" t="s">
        <v>8</v>
      </c>
      <c r="C63836" s="0" t="s">
        <v>21244</v>
      </c>
      <c r="E63836" s="0" t="s">
        <v>1544</v>
      </c>
      <c r="F63836" s="0" t="s">
        <v>3281</v>
      </c>
    </row>
    <row r="63838" customFormat="false" ht="12.8" hidden="false" customHeight="false" outlineLevel="0" collapsed="false">
      <c r="A63838" s="0" t="s">
        <v>21245</v>
      </c>
      <c r="B63838" s="0" t="str">
        <f aca="false">HYPERLINK("https://lindat.mff.cuni.cz/services/teitok/pdtc10/index.php?action=vallex&amp;frame=v-w8818f2", "zachovávat (v-w8818f2)")</f>
        <v>zachovávat (v-w8818f2)</v>
      </c>
      <c r="E63838" s="0" t="str">
        <f aca="false">HYPERLINK("https://lindat.mff.cuni.cz/services/SynSemClass40/SynSemClass40.html?veclass=vec00176#vec00176-ces-cm00082", "vec00176")</f>
        <v>vec00176</v>
      </c>
      <c r="F63838" s="0" t="s">
        <v>3272</v>
      </c>
      <c r="H63838" s="0" t="str">
        <f aca="false">HYPERLINK("https://lindat.mff.cuni.cz/services/SynSemClass40/SynSemClass40.html?veclass=vec01313#vec01313-ces-cm00027", "vec01313")</f>
        <v>vec01313</v>
      </c>
      <c r="I63838" s="0" t="s">
        <v>15743</v>
      </c>
    </row>
    <row r="63839" customFormat="false" ht="12.8" hidden="false" customHeight="false" outlineLevel="0" collapsed="false">
      <c r="B63839" s="0" t="s">
        <v>1</v>
      </c>
      <c r="C63839" s="0" t="s">
        <v>21246</v>
      </c>
      <c r="E63839" s="0" t="s">
        <v>3275</v>
      </c>
      <c r="F63839" s="0" t="s">
        <v>3276</v>
      </c>
      <c r="H63839" s="0" t="s">
        <v>155</v>
      </c>
      <c r="I63839" s="0" t="s">
        <v>15745</v>
      </c>
    </row>
    <row r="63840" customFormat="false" ht="12.8" hidden="false" customHeight="false" outlineLevel="0" collapsed="false">
      <c r="B63840" s="0" t="s">
        <v>8</v>
      </c>
      <c r="C63840" s="0" t="s">
        <v>21247</v>
      </c>
      <c r="E63840" s="0" t="s">
        <v>3279</v>
      </c>
      <c r="F63840" s="0" t="s">
        <v>3280</v>
      </c>
      <c r="H63840" s="0" t="s">
        <v>15747</v>
      </c>
      <c r="I63840" s="0" t="s">
        <v>15748</v>
      </c>
    </row>
    <row r="63842" customFormat="false" ht="12.8" hidden="false" customHeight="false" outlineLevel="0" collapsed="false">
      <c r="A63842" s="0" t="s">
        <v>21248</v>
      </c>
      <c r="B63842" s="0" t="str">
        <f aca="false">HYPERLINK("https://lindat.mff.cuni.cz/services/teitok/pdtc10/index.php?action=vallex&amp;frame=v-w8822f1", "zachraňovat (v-w8822f1)")</f>
        <v>zachraňovat (v-w8822f1)</v>
      </c>
      <c r="E63842" s="0" t="str">
        <f aca="false">HYPERLINK("https://lindat.mff.cuni.cz/services/SynSemClass40/SynSemClass40.html?veclass=vec00024#vec00024-ces-cm00027", "vec00024")</f>
        <v>vec00024</v>
      </c>
      <c r="F63842" s="0" t="s">
        <v>580</v>
      </c>
    </row>
    <row r="63843" customFormat="false" ht="12.8" hidden="false" customHeight="false" outlineLevel="0" collapsed="false">
      <c r="B63843" s="0" t="s">
        <v>1</v>
      </c>
      <c r="C63843" s="0" t="s">
        <v>4903</v>
      </c>
      <c r="E63843" s="0" t="s">
        <v>569</v>
      </c>
      <c r="F63843" s="0" t="s">
        <v>1472</v>
      </c>
    </row>
    <row r="63844" customFormat="false" ht="12.8" hidden="false" customHeight="false" outlineLevel="0" collapsed="false">
      <c r="B63844" s="0" t="s">
        <v>8</v>
      </c>
      <c r="C63844" s="0" t="s">
        <v>4904</v>
      </c>
      <c r="E63844" s="0" t="s">
        <v>34</v>
      </c>
      <c r="F63844" s="0" t="s">
        <v>1475</v>
      </c>
    </row>
    <row r="63845" customFormat="false" ht="12.8" hidden="false" customHeight="false" outlineLevel="0" collapsed="false">
      <c r="B63845" s="0" t="s">
        <v>9339</v>
      </c>
      <c r="C63845" s="0" t="s">
        <v>16245</v>
      </c>
      <c r="E63845" s="0" t="s">
        <v>1478</v>
      </c>
      <c r="F63845" s="0" t="s">
        <v>1479</v>
      </c>
    </row>
    <row r="63847" customFormat="false" ht="12.8" hidden="false" customHeight="false" outlineLevel="0" collapsed="false">
      <c r="A63847" s="0" t="s">
        <v>21249</v>
      </c>
      <c r="B63847" s="0" t="str">
        <f aca="false">HYPERLINK("https://lindat.mff.cuni.cz/services/teitok/pdtc10/index.php?action=vallex&amp;frame=v-w8820f1", "zachránit (v-w8820f1)")</f>
        <v>zachránit (v-w8820f1)</v>
      </c>
      <c r="E63847" s="0" t="str">
        <f aca="false">HYPERLINK("https://lindat.mff.cuni.cz/services/SynSemClass40/SynSemClass40.html?veclass=vec00024#vec00024-ces-cm00025", "vec00024")</f>
        <v>vec00024</v>
      </c>
      <c r="F63847" s="0" t="s">
        <v>580</v>
      </c>
    </row>
    <row r="63848" customFormat="false" ht="12.8" hidden="false" customHeight="false" outlineLevel="0" collapsed="false">
      <c r="B63848" s="0" t="s">
        <v>1</v>
      </c>
      <c r="C63848" s="0" t="s">
        <v>4903</v>
      </c>
      <c r="E63848" s="0" t="s">
        <v>569</v>
      </c>
      <c r="F63848" s="0" t="s">
        <v>1472</v>
      </c>
    </row>
    <row r="63849" customFormat="false" ht="12.8" hidden="false" customHeight="false" outlineLevel="0" collapsed="false">
      <c r="B63849" s="0" t="s">
        <v>8</v>
      </c>
      <c r="C63849" s="0" t="s">
        <v>4904</v>
      </c>
      <c r="E63849" s="0" t="s">
        <v>34</v>
      </c>
      <c r="F63849" s="0" t="s">
        <v>1475</v>
      </c>
    </row>
    <row r="63850" customFormat="false" ht="12.8" hidden="false" customHeight="false" outlineLevel="0" collapsed="false">
      <c r="B63850" s="0" t="s">
        <v>21250</v>
      </c>
      <c r="C63850" s="0" t="s">
        <v>16245</v>
      </c>
      <c r="E63850" s="0" t="s">
        <v>1478</v>
      </c>
      <c r="F63850" s="0" t="s">
        <v>1479</v>
      </c>
    </row>
    <row r="63852" customFormat="false" ht="12.8" hidden="false" customHeight="false" outlineLevel="0" collapsed="false">
      <c r="A63852" s="0" t="s">
        <v>21251</v>
      </c>
      <c r="B63852" s="0" t="str">
        <f aca="false">HYPERLINK("https://lindat.mff.cuni.cz/services/teitok/pdtc10/index.php?action=vallex&amp;frame=v-w8820f2", "zachránit (v-w8820f2)")</f>
        <v>zachránit (v-w8820f2)</v>
      </c>
    </row>
    <row r="63853" customFormat="false" ht="12.8" hidden="false" customHeight="false" outlineLevel="0" collapsed="false">
      <c r="B63853" s="0" t="s">
        <v>1</v>
      </c>
    </row>
    <row r="63854" customFormat="false" ht="12.8" hidden="false" customHeight="false" outlineLevel="0" collapsed="false">
      <c r="B63854" s="0" t="s">
        <v>8</v>
      </c>
    </row>
    <row r="63856" customFormat="false" ht="12.8" hidden="false" customHeight="false" outlineLevel="0" collapsed="false">
      <c r="A63856" s="0" t="s">
        <v>21252</v>
      </c>
      <c r="B63856" s="0" t="str">
        <f aca="false">HYPERLINK("https://lindat.mff.cuni.cz/services/teitok/pdtc10/index.php?action=vallex&amp;frame=v-w8821f1", "zachránit se (v-w8821f1)")</f>
        <v>zachránit se (v-w8821f1)</v>
      </c>
      <c r="E63856" s="0" t="str">
        <f aca="false">HYPERLINK("https://lindat.mff.cuni.cz/services/SynSemClass40/SynSemClass40.html?veclass=vec00024#vec00024-ces-cm00035", "vec00024")</f>
        <v>vec00024</v>
      </c>
      <c r="F63856" s="0" t="s">
        <v>580</v>
      </c>
    </row>
    <row r="63857" customFormat="false" ht="12.8" hidden="false" customHeight="false" outlineLevel="0" collapsed="false">
      <c r="B63857" s="0" t="s">
        <v>1</v>
      </c>
      <c r="C63857" s="0" t="s">
        <v>581</v>
      </c>
      <c r="E63857" s="0" t="s">
        <v>582</v>
      </c>
      <c r="F63857" s="0" t="s">
        <v>583</v>
      </c>
    </row>
    <row r="63858" customFormat="false" ht="12.8" hidden="false" customHeight="false" outlineLevel="0" collapsed="false">
      <c r="B63858" s="0" t="s">
        <v>1693</v>
      </c>
      <c r="C63858" s="0" t="s">
        <v>585</v>
      </c>
      <c r="E63858" s="0" t="s">
        <v>532</v>
      </c>
      <c r="F63858" s="0" t="s">
        <v>586</v>
      </c>
    </row>
    <row r="63860" customFormat="false" ht="12.8" hidden="false" customHeight="false" outlineLevel="0" collapsed="false">
      <c r="A63860" s="0" t="s">
        <v>21253</v>
      </c>
      <c r="B63860" s="0" t="str">
        <f aca="false">HYPERLINK("https://lindat.mff.cuni.cz/services/teitok/pdtc10/index.php?action=vallex&amp;frame=v-whsb_1299f1_ZU", "zachtít se (v-whsb_1299f1_ZU)")</f>
        <v>zachtít se (v-whsb_1299f1_ZU)</v>
      </c>
    </row>
    <row r="63861" customFormat="false" ht="12.8" hidden="false" customHeight="false" outlineLevel="0" collapsed="false">
      <c r="B63861" s="0" t="s">
        <v>804</v>
      </c>
    </row>
    <row r="63862" customFormat="false" ht="12.8" hidden="false" customHeight="false" outlineLevel="0" collapsed="false">
      <c r="B63862" s="0" t="s">
        <v>21254</v>
      </c>
    </row>
    <row r="63864" customFormat="false" ht="12.8" hidden="false" customHeight="false" outlineLevel="0" collapsed="false">
      <c r="A63864" s="0" t="s">
        <v>21253</v>
      </c>
      <c r="B63864" s="0" t="str">
        <f aca="false">HYPERLINK("https://lindat.mff.cuni.cz/services/teitok/pdtc10/index.php?action=vallex&amp;frame=v-whsb_1299hsa_1300", "zachtít se (v-whsb_1299hsa_1300) - substituted with v-whsb_1299f1_ZU")</f>
        <v>zachtít se (v-whsb_1299hsa_1300) - substituted with v-whsb_1299f1_ZU</v>
      </c>
    </row>
    <row r="63865" customFormat="false" ht="12.8" hidden="false" customHeight="false" outlineLevel="0" collapsed="false">
      <c r="B63865" s="0" t="s">
        <v>804</v>
      </c>
    </row>
    <row r="63866" customFormat="false" ht="12.8" hidden="false" customHeight="false" outlineLevel="0" collapsed="false">
      <c r="B63866" s="0" t="s">
        <v>21254</v>
      </c>
    </row>
    <row r="63868" customFormat="false" ht="12.8" hidden="false" customHeight="false" outlineLevel="0" collapsed="false">
      <c r="A63868" s="0" t="s">
        <v>21255</v>
      </c>
      <c r="B63868" s="0" t="str">
        <f aca="false">HYPERLINK("https://lindat.mff.cuni.cz/services/teitok/pdtc10/index.php?action=vallex&amp;frame=v-w12056_ZUf1_ZU", "zachutnat (v-w12056_ZUf1_ZU)")</f>
        <v>zachutnat (v-w12056_ZUf1_ZU)</v>
      </c>
    </row>
    <row r="63869" customFormat="false" ht="12.8" hidden="false" customHeight="false" outlineLevel="0" collapsed="false">
      <c r="B63869" s="0" t="s">
        <v>804</v>
      </c>
    </row>
    <row r="63870" customFormat="false" ht="12.8" hidden="false" customHeight="false" outlineLevel="0" collapsed="false">
      <c r="B63870" s="0" t="s">
        <v>439</v>
      </c>
    </row>
    <row r="63872" customFormat="false" ht="12.8" hidden="false" customHeight="false" outlineLevel="0" collapsed="false">
      <c r="A63872" s="0" t="s">
        <v>21256</v>
      </c>
      <c r="B63872" s="0" t="str">
        <f aca="false">HYPERLINK("https://lindat.mff.cuni.cz/services/teitok/pdtc10/index.php?action=vallex&amp;frame=v-w11227f2", "zachvacovat (v-w11227f2)")</f>
        <v>zachvacovat (v-w11227f2)</v>
      </c>
    </row>
    <row r="63873" customFormat="false" ht="12.8" hidden="false" customHeight="false" outlineLevel="0" collapsed="false">
      <c r="B63873" s="0" t="s">
        <v>1</v>
      </c>
    </row>
    <row r="63874" customFormat="false" ht="12.8" hidden="false" customHeight="false" outlineLevel="0" collapsed="false">
      <c r="B63874" s="0" t="s">
        <v>8</v>
      </c>
    </row>
    <row r="63876" customFormat="false" ht="12.8" hidden="false" customHeight="false" outlineLevel="0" collapsed="false">
      <c r="A63876" s="0" t="s">
        <v>21257</v>
      </c>
      <c r="B63876" s="0" t="str">
        <f aca="false">HYPERLINK("https://lindat.mff.cuni.cz/services/teitok/pdtc10/index.php?action=vallex&amp;frame=v-w8824f1", "zachvátit (v-w8824f1)")</f>
        <v>zachvátit (v-w8824f1)</v>
      </c>
      <c r="E63876" s="0" t="str">
        <f aca="false">HYPERLINK("https://lindat.mff.cuni.cz/services/SynSemClass40/SynSemClass40.html?veclass=vec00372#vec00372-ces-cm00131", "vec00372")</f>
        <v>vec00372</v>
      </c>
      <c r="F63876" s="0" t="s">
        <v>2524</v>
      </c>
    </row>
    <row r="63877" customFormat="false" ht="12.8" hidden="false" customHeight="false" outlineLevel="0" collapsed="false">
      <c r="B63877" s="0" t="s">
        <v>1</v>
      </c>
      <c r="C63877" s="0" t="s">
        <v>2525</v>
      </c>
      <c r="E63877" s="0" t="s">
        <v>2526</v>
      </c>
      <c r="F63877" s="0" t="s">
        <v>2527</v>
      </c>
    </row>
    <row r="63878" customFormat="false" ht="12.8" hidden="false" customHeight="false" outlineLevel="0" collapsed="false">
      <c r="B63878" s="0" t="s">
        <v>8</v>
      </c>
      <c r="C63878" s="0" t="s">
        <v>2528</v>
      </c>
      <c r="E63878" s="0" t="s">
        <v>142</v>
      </c>
      <c r="F63878" s="0" t="s">
        <v>2529</v>
      </c>
    </row>
    <row r="63880" customFormat="false" ht="12.8" hidden="false" customHeight="false" outlineLevel="0" collapsed="false">
      <c r="A63880" s="0" t="s">
        <v>21258</v>
      </c>
      <c r="B63880" s="0" t="str">
        <f aca="false">HYPERLINK("https://lindat.mff.cuni.cz/services/teitok/pdtc10/index.php?action=vallex&amp;frame=v-w11410f1", "zachvět se (v-w11410f1)")</f>
        <v>zachvět se (v-w11410f1)</v>
      </c>
      <c r="E63880" s="0" t="str">
        <f aca="false">HYPERLINK("https://lindat.mff.cuni.cz/services/SynSemClass40/SynSemClass40.html?veclass=vec00937#vec00937-ces-cm00003", "vec00937")</f>
        <v>vec00937</v>
      </c>
      <c r="F63880" s="0" t="s">
        <v>10187</v>
      </c>
    </row>
    <row r="63881" customFormat="false" ht="12.8" hidden="false" customHeight="false" outlineLevel="0" collapsed="false">
      <c r="B63881" s="0" t="s">
        <v>1</v>
      </c>
      <c r="C63881" s="0" t="s">
        <v>10188</v>
      </c>
      <c r="E63881" s="0" t="s">
        <v>266</v>
      </c>
      <c r="F63881" s="0" t="s">
        <v>10189</v>
      </c>
    </row>
    <row r="63883" customFormat="false" ht="12.8" hidden="false" customHeight="false" outlineLevel="0" collapsed="false">
      <c r="A63883" s="0" t="s">
        <v>21259</v>
      </c>
      <c r="B63883" s="0" t="str">
        <f aca="false">HYPERLINK("https://lindat.mff.cuni.cz/services/teitok/pdtc10/index.php?action=vallex&amp;frame=v-w8827f1", "zachycovat (v-w8827f1)")</f>
        <v>zachycovat (v-w8827f1)</v>
      </c>
      <c r="E63883" s="0" t="str">
        <f aca="false">HYPERLINK("https://lindat.mff.cuni.cz/services/SynSemClass40/SynSemClass40.html?veclass=vec01169#vec01169-ces-cm00013", "vec01169")</f>
        <v>vec01169</v>
      </c>
      <c r="F63883" s="0" t="s">
        <v>1955</v>
      </c>
    </row>
    <row r="63884" customFormat="false" ht="12.8" hidden="false" customHeight="false" outlineLevel="0" collapsed="false">
      <c r="B63884" s="0" t="s">
        <v>1</v>
      </c>
      <c r="C63884" s="0" t="s">
        <v>2418</v>
      </c>
      <c r="E63884" s="0" t="s">
        <v>1958</v>
      </c>
      <c r="F63884" s="0" t="s">
        <v>1959</v>
      </c>
    </row>
    <row r="63885" customFormat="false" ht="12.8" hidden="false" customHeight="false" outlineLevel="0" collapsed="false">
      <c r="B63885" s="0" t="s">
        <v>8</v>
      </c>
      <c r="C63885" s="0" t="s">
        <v>2420</v>
      </c>
      <c r="E63885" s="0" t="s">
        <v>180</v>
      </c>
      <c r="F63885" s="0" t="s">
        <v>1962</v>
      </c>
    </row>
    <row r="63887" customFormat="false" ht="12.8" hidden="false" customHeight="false" outlineLevel="0" collapsed="false">
      <c r="A63887" s="0" t="s">
        <v>21260</v>
      </c>
      <c r="B63887" s="0" t="str">
        <f aca="false">HYPERLINK("https://lindat.mff.cuni.cz/services/teitok/pdtc10/index.php?action=vallex&amp;frame=v-w8827f2", "zachycovat (v-w8827f2)")</f>
        <v>zachycovat (v-w8827f2)</v>
      </c>
      <c r="E63887" s="0" t="str">
        <f aca="false">HYPERLINK("https://lindat.mff.cuni.cz/services/SynSemClass40/SynSemClass40.html?veclass=vec01169#vec01169-ces-cm00014", "vec01169")</f>
        <v>vec01169</v>
      </c>
      <c r="F63887" s="0" t="s">
        <v>1955</v>
      </c>
    </row>
    <row r="63888" customFormat="false" ht="12.8" hidden="false" customHeight="false" outlineLevel="0" collapsed="false">
      <c r="B63888" s="0" t="s">
        <v>1</v>
      </c>
      <c r="C63888" s="0" t="s">
        <v>2418</v>
      </c>
      <c r="E63888" s="0" t="s">
        <v>1958</v>
      </c>
      <c r="F63888" s="0" t="s">
        <v>1959</v>
      </c>
    </row>
    <row r="63889" customFormat="false" ht="12.8" hidden="false" customHeight="false" outlineLevel="0" collapsed="false">
      <c r="B63889" s="0" t="s">
        <v>8</v>
      </c>
      <c r="C63889" s="0" t="s">
        <v>2420</v>
      </c>
      <c r="E63889" s="0" t="s">
        <v>180</v>
      </c>
      <c r="F63889" s="0" t="s">
        <v>1962</v>
      </c>
    </row>
    <row r="63891" customFormat="false" ht="12.8" hidden="false" customHeight="false" outlineLevel="0" collapsed="false">
      <c r="A63891" s="0" t="s">
        <v>21261</v>
      </c>
      <c r="B63891" s="0" t="str">
        <f aca="false">HYPERLINK("https://lindat.mff.cuni.cz/services/teitok/pdtc10/index.php?action=vallex&amp;frame=v-w8827hsa_876", "zachycovat (v-w8827hsa_876)")</f>
        <v>zachycovat (v-w8827hsa_876)</v>
      </c>
      <c r="E63891" s="0" t="str">
        <f aca="false">HYPERLINK("https://lindat.mff.cuni.cz/services/SynSemClass40/SynSemClass40.html?veclass=vec00507#vec00507-ces-cm00047", "vec00507")</f>
        <v>vec00507</v>
      </c>
      <c r="F63891" s="0" t="s">
        <v>14791</v>
      </c>
      <c r="H63891" s="0" t="str">
        <f aca="false">HYPERLINK("https://lindat.mff.cuni.cz/services/SynSemClass40/SynSemClass40.html?veclass=vec01478#vec01478-ces-cm00003", "vec01478")</f>
        <v>vec01478</v>
      </c>
      <c r="I63891" s="0" t="s">
        <v>12640</v>
      </c>
    </row>
    <row r="63892" customFormat="false" ht="12.8" hidden="false" customHeight="false" outlineLevel="0" collapsed="false">
      <c r="B63892" s="0" t="s">
        <v>1</v>
      </c>
      <c r="C63892" s="0" t="s">
        <v>11762</v>
      </c>
      <c r="E63892" s="0" t="s">
        <v>31</v>
      </c>
      <c r="F63892" s="0" t="s">
        <v>14792</v>
      </c>
      <c r="H63892" s="0" t="s">
        <v>12641</v>
      </c>
      <c r="I63892" s="0" t="s">
        <v>12642</v>
      </c>
    </row>
    <row r="63893" customFormat="false" ht="12.8" hidden="false" customHeight="false" outlineLevel="0" collapsed="false">
      <c r="B63893" s="0" t="s">
        <v>8</v>
      </c>
      <c r="C63893" s="0" t="s">
        <v>14793</v>
      </c>
      <c r="E63893" s="0" t="s">
        <v>180</v>
      </c>
      <c r="F63893" s="0" t="s">
        <v>14794</v>
      </c>
      <c r="H63893" s="0" t="s">
        <v>34</v>
      </c>
      <c r="I63893" s="0" t="s">
        <v>2022</v>
      </c>
    </row>
    <row r="63895" customFormat="false" ht="12.8" hidden="false" customHeight="false" outlineLevel="0" collapsed="false">
      <c r="A63895" s="0" t="s">
        <v>21262</v>
      </c>
      <c r="B63895" s="0" t="str">
        <f aca="false">HYPERLINK("https://lindat.mff.cuni.cz/services/teitok/pdtc10/index.php?action=vallex&amp;frame=v-whsa_2007f2_ZU", "zachytat si (v-whsa_2007f2_ZU)")</f>
        <v>zachytat si (v-whsa_2007f2_ZU)</v>
      </c>
    </row>
    <row r="63896" customFormat="false" ht="12.8" hidden="false" customHeight="false" outlineLevel="0" collapsed="false">
      <c r="B63896" s="0" t="s">
        <v>1</v>
      </c>
    </row>
    <row r="63897" customFormat="false" ht="12.8" hidden="false" customHeight="false" outlineLevel="0" collapsed="false">
      <c r="B63897" s="0" t="s">
        <v>8</v>
      </c>
    </row>
    <row r="63899" customFormat="false" ht="12.8" hidden="false" customHeight="false" outlineLevel="0" collapsed="false">
      <c r="A63899" s="0" t="s">
        <v>21262</v>
      </c>
      <c r="B63899" s="0" t="str">
        <f aca="false">HYPERLINK("https://lindat.mff.cuni.cz/services/teitok/pdtc10/index.php?action=vallex&amp;frame=v-whsa_2007f1_ZU", "zachytat si (v-whsa_2007f1_ZU) - substituted with v-whsa_2007f2_ZU")</f>
        <v>zachytat si (v-whsa_2007f1_ZU) - substituted with v-whsa_2007f2_ZU</v>
      </c>
    </row>
    <row r="63900" customFormat="false" ht="12.8" hidden="false" customHeight="false" outlineLevel="0" collapsed="false">
      <c r="B63900" s="0" t="s">
        <v>1</v>
      </c>
    </row>
    <row r="63901" customFormat="false" ht="12.8" hidden="false" customHeight="false" outlineLevel="0" collapsed="false">
      <c r="B63901" s="0" t="s">
        <v>8</v>
      </c>
    </row>
    <row r="63903" customFormat="false" ht="12.8" hidden="false" customHeight="false" outlineLevel="0" collapsed="false">
      <c r="A63903" s="0" t="s">
        <v>21262</v>
      </c>
      <c r="B63903" s="0" t="str">
        <f aca="false">HYPERLINK("https://lindat.mff.cuni.cz/services/teitok/pdtc10/index.php?action=vallex&amp;frame=v-whsa_2007hsa_2008", "zachytat si (v-whsa_2007hsa_2008) - substituted with v-whsa_2007f2_ZU")</f>
        <v>zachytat si (v-whsa_2007hsa_2008) - substituted with v-whsa_2007f2_ZU</v>
      </c>
    </row>
    <row r="63904" customFormat="false" ht="12.8" hidden="false" customHeight="false" outlineLevel="0" collapsed="false">
      <c r="B63904" s="0" t="s">
        <v>1</v>
      </c>
    </row>
    <row r="63905" customFormat="false" ht="12.8" hidden="false" customHeight="false" outlineLevel="0" collapsed="false">
      <c r="B63905" s="0" t="s">
        <v>8</v>
      </c>
    </row>
    <row r="63907" customFormat="false" ht="12.8" hidden="false" customHeight="false" outlineLevel="0" collapsed="false">
      <c r="A63907" s="0" t="s">
        <v>21263</v>
      </c>
      <c r="B63907" s="0" t="str">
        <f aca="false">HYPERLINK("https://lindat.mff.cuni.cz/services/teitok/pdtc10/index.php?action=vallex&amp;frame=v-w8829f2", "zachytit (v-w8829f2)")</f>
        <v>zachytit (v-w8829f2)</v>
      </c>
      <c r="E63907" s="0" t="str">
        <f aca="false">HYPERLINK("https://lindat.mff.cuni.cz/services/SynSemClass40/SynSemClass40.html?veclass=vec01168#vec01168-ces-cm00001", "vec01168")</f>
        <v>vec01168</v>
      </c>
      <c r="F63907" s="0" t="s">
        <v>21264</v>
      </c>
    </row>
    <row r="63908" customFormat="false" ht="12.8" hidden="false" customHeight="false" outlineLevel="0" collapsed="false">
      <c r="B63908" s="0" t="s">
        <v>1</v>
      </c>
      <c r="E63908" s="0" t="s">
        <v>4850</v>
      </c>
      <c r="F63908" s="0" t="s">
        <v>21265</v>
      </c>
    </row>
    <row r="63909" customFormat="false" ht="12.8" hidden="false" customHeight="false" outlineLevel="0" collapsed="false">
      <c r="B63909" s="0" t="s">
        <v>8</v>
      </c>
      <c r="E63909" s="0" t="s">
        <v>4852</v>
      </c>
      <c r="F63909" s="0" t="s">
        <v>21266</v>
      </c>
    </row>
    <row r="63910" customFormat="false" ht="12.8" hidden="false" customHeight="false" outlineLevel="0" collapsed="false">
      <c r="B63910" s="0" t="s">
        <v>164</v>
      </c>
      <c r="E63910" s="0" t="s">
        <v>14384</v>
      </c>
      <c r="F63910" s="0" t="s">
        <v>21267</v>
      </c>
    </row>
    <row r="63912" customFormat="false" ht="12.8" hidden="false" customHeight="false" outlineLevel="0" collapsed="false">
      <c r="A63912" s="0" t="s">
        <v>21268</v>
      </c>
      <c r="B63912" s="0" t="str">
        <f aca="false">HYPERLINK("https://lindat.mff.cuni.cz/services/teitok/pdtc10/index.php?action=vallex&amp;frame=v-w8829f1", "zachytit (v-w8829f1)")</f>
        <v>zachytit (v-w8829f1)</v>
      </c>
      <c r="E63912" s="0" t="str">
        <f aca="false">HYPERLINK("https://lindat.mff.cuni.cz/services/SynSemClass40/SynSemClass40.html?veclass=vec01478#vec01478-ces-cm00004", "vec01478")</f>
        <v>vec01478</v>
      </c>
      <c r="F63912" s="0" t="s">
        <v>12640</v>
      </c>
    </row>
    <row r="63913" customFormat="false" ht="12.8" hidden="false" customHeight="false" outlineLevel="0" collapsed="false">
      <c r="B63913" s="0" t="s">
        <v>1</v>
      </c>
      <c r="E63913" s="0" t="s">
        <v>12641</v>
      </c>
      <c r="F63913" s="0" t="s">
        <v>12642</v>
      </c>
    </row>
    <row r="63914" customFormat="false" ht="12.8" hidden="false" customHeight="false" outlineLevel="0" collapsed="false">
      <c r="B63914" s="0" t="s">
        <v>8</v>
      </c>
      <c r="E63914" s="0" t="s">
        <v>34</v>
      </c>
      <c r="F63914" s="0" t="s">
        <v>2022</v>
      </c>
    </row>
    <row r="63916" customFormat="false" ht="12.8" hidden="false" customHeight="false" outlineLevel="0" collapsed="false">
      <c r="A63916" s="0" t="s">
        <v>21269</v>
      </c>
      <c r="B63916" s="0" t="str">
        <f aca="false">HYPERLINK("https://lindat.mff.cuni.cz/services/teitok/pdtc10/index.php?action=vallex&amp;frame=v-w8829f3", "zachytit (v-w8829f3)")</f>
        <v>zachytit (v-w8829f3)</v>
      </c>
      <c r="E63916" s="0" t="str">
        <f aca="false">HYPERLINK("https://lindat.mff.cuni.cz/services/SynSemClass40/SynSemClass40.html?veclass=vec00615#vec00615-ces-cm00036", "vec00615")</f>
        <v>vec00615</v>
      </c>
      <c r="F63916" s="0" t="s">
        <v>1566</v>
      </c>
    </row>
    <row r="63917" customFormat="false" ht="12.8" hidden="false" customHeight="false" outlineLevel="0" collapsed="false">
      <c r="B63917" s="0" t="s">
        <v>1</v>
      </c>
      <c r="C63917" s="0" t="s">
        <v>512</v>
      </c>
      <c r="E63917" s="0" t="s">
        <v>1567</v>
      </c>
      <c r="F63917" s="0" t="s">
        <v>1568</v>
      </c>
    </row>
    <row r="63918" customFormat="false" ht="12.8" hidden="false" customHeight="false" outlineLevel="0" collapsed="false">
      <c r="B63918" s="0" t="s">
        <v>8</v>
      </c>
      <c r="C63918" s="0" t="s">
        <v>744</v>
      </c>
      <c r="E63918" s="0" t="s">
        <v>1569</v>
      </c>
      <c r="F63918" s="0" t="s">
        <v>1570</v>
      </c>
    </row>
    <row r="63920" customFormat="false" ht="12.8" hidden="false" customHeight="false" outlineLevel="0" collapsed="false">
      <c r="A63920" s="0" t="s">
        <v>21270</v>
      </c>
      <c r="B63920" s="0" t="str">
        <f aca="false">HYPERLINK("https://lindat.mff.cuni.cz/services/teitok/pdtc10/index.php?action=vallex&amp;frame=v-w8829f4", "zachytit (v-w8829f4)")</f>
        <v>zachytit (v-w8829f4)</v>
      </c>
      <c r="E63920" s="0" t="str">
        <f aca="false">HYPERLINK("https://lindat.mff.cuni.cz/services/SynSemClass40/SynSemClass40.html?veclass=vec01169#vec01169-ces-cm00001", "vec01169")</f>
        <v>vec01169</v>
      </c>
      <c r="F63920" s="0" t="s">
        <v>1955</v>
      </c>
    </row>
    <row r="63921" customFormat="false" ht="12.8" hidden="false" customHeight="false" outlineLevel="0" collapsed="false">
      <c r="B63921" s="0" t="s">
        <v>1</v>
      </c>
      <c r="C63921" s="0" t="s">
        <v>2418</v>
      </c>
      <c r="E63921" s="0" t="s">
        <v>1958</v>
      </c>
      <c r="F63921" s="0" t="s">
        <v>1959</v>
      </c>
    </row>
    <row r="63922" customFormat="false" ht="12.8" hidden="false" customHeight="false" outlineLevel="0" collapsed="false">
      <c r="B63922" s="0" t="s">
        <v>8</v>
      </c>
      <c r="C63922" s="0" t="s">
        <v>2420</v>
      </c>
      <c r="E63922" s="0" t="s">
        <v>180</v>
      </c>
      <c r="F63922" s="0" t="s">
        <v>1962</v>
      </c>
    </row>
    <row r="63924" customFormat="false" ht="12.8" hidden="false" customHeight="false" outlineLevel="0" collapsed="false">
      <c r="A63924" s="0" t="s">
        <v>21271</v>
      </c>
      <c r="B63924" s="0" t="str">
        <f aca="false">HYPERLINK("https://lindat.mff.cuni.cz/services/teitok/pdtc10/index.php?action=vallex&amp;frame=v-w8829f5", "zachytit (v-w8829f5)")</f>
        <v>zachytit (v-w8829f5)</v>
      </c>
    </row>
    <row r="63925" customFormat="false" ht="12.8" hidden="false" customHeight="false" outlineLevel="0" collapsed="false">
      <c r="B63925" s="0" t="s">
        <v>1</v>
      </c>
    </row>
    <row r="63926" customFormat="false" ht="12.8" hidden="false" customHeight="false" outlineLevel="0" collapsed="false">
      <c r="B63926" s="0" t="s">
        <v>814</v>
      </c>
    </row>
    <row r="63928" customFormat="false" ht="12.8" hidden="false" customHeight="false" outlineLevel="0" collapsed="false">
      <c r="A63928" s="0" t="s">
        <v>21272</v>
      </c>
      <c r="B63928" s="0" t="str">
        <f aca="false">HYPERLINK("https://lindat.mff.cuni.cz/services/teitok/pdtc10/index.php?action=vallex&amp;frame=v-w8829f6_ZU", "zachytit (v-w8829f6_ZU)")</f>
        <v>zachytit (v-w8829f6_ZU)</v>
      </c>
    </row>
    <row r="63929" customFormat="false" ht="12.8" hidden="false" customHeight="false" outlineLevel="0" collapsed="false">
      <c r="B63929" s="0" t="s">
        <v>1</v>
      </c>
    </row>
    <row r="63930" customFormat="false" ht="12.8" hidden="false" customHeight="false" outlineLevel="0" collapsed="false">
      <c r="B63930" s="0" t="s">
        <v>8</v>
      </c>
    </row>
    <row r="63932" customFormat="false" ht="12.8" hidden="false" customHeight="false" outlineLevel="0" collapsed="false">
      <c r="A63932" s="0" t="s">
        <v>21273</v>
      </c>
      <c r="B63932" s="0" t="str">
        <f aca="false">HYPERLINK("https://lindat.mff.cuni.cz/services/teitok/pdtc10/index.php?action=vallex&amp;frame=v-w8830f1", "zachytit se (v-w8830f1)")</f>
        <v>zachytit se (v-w8830f1)</v>
      </c>
    </row>
    <row r="63933" customFormat="false" ht="12.8" hidden="false" customHeight="false" outlineLevel="0" collapsed="false">
      <c r="B63933" s="0" t="s">
        <v>1</v>
      </c>
    </row>
    <row r="63934" customFormat="false" ht="12.8" hidden="false" customHeight="false" outlineLevel="0" collapsed="false">
      <c r="B63934" s="0" t="s">
        <v>1289</v>
      </c>
    </row>
    <row r="63936" customFormat="false" ht="12.8" hidden="false" customHeight="false" outlineLevel="0" collapsed="false">
      <c r="A63936" s="0" t="s">
        <v>21274</v>
      </c>
      <c r="B63936" s="0" t="str">
        <f aca="false">HYPERLINK("https://lindat.mff.cuni.cz/services/teitok/pdtc10/index.php?action=vallex&amp;frame=v-w11216f2", "zachytávat (v-w11216f2)")</f>
        <v>zachytávat (v-w11216f2)</v>
      </c>
    </row>
    <row r="63937" customFormat="false" ht="12.8" hidden="false" customHeight="false" outlineLevel="0" collapsed="false">
      <c r="B63937" s="0" t="s">
        <v>1</v>
      </c>
    </row>
    <row r="63938" customFormat="false" ht="12.8" hidden="false" customHeight="false" outlineLevel="0" collapsed="false">
      <c r="B63938" s="0" t="s">
        <v>8</v>
      </c>
    </row>
    <row r="63940" customFormat="false" ht="12.8" hidden="false" customHeight="false" outlineLevel="0" collapsed="false">
      <c r="A63940" s="0" t="s">
        <v>21275</v>
      </c>
      <c r="B63940" s="0" t="str">
        <f aca="false">HYPERLINK("https://lindat.mff.cuni.cz/services/teitok/pdtc10/index.php?action=vallex&amp;frame=v-w8813f1", "zacházet (v-w8813f1)")</f>
        <v>zacházet (v-w8813f1)</v>
      </c>
      <c r="E63940" s="0" t="str">
        <f aca="false">HYPERLINK("https://lindat.mff.cuni.cz/services/SynSemClass40/SynSemClass40.html?veclass=vec01299#vec01299-ces-cm00004", "vec01299")</f>
        <v>vec01299</v>
      </c>
      <c r="F63940" s="0" t="s">
        <v>1454</v>
      </c>
    </row>
    <row r="63941" customFormat="false" ht="12.8" hidden="false" customHeight="false" outlineLevel="0" collapsed="false">
      <c r="B63941" s="0" t="s">
        <v>1</v>
      </c>
      <c r="C63941" s="0" t="s">
        <v>3091</v>
      </c>
      <c r="E63941" s="0" t="s">
        <v>11</v>
      </c>
      <c r="F63941" s="0" t="s">
        <v>1457</v>
      </c>
    </row>
    <row r="63942" customFormat="false" ht="12.8" hidden="false" customHeight="false" outlineLevel="0" collapsed="false">
      <c r="B63942" s="0" t="s">
        <v>721</v>
      </c>
      <c r="C63942" s="0" t="s">
        <v>7322</v>
      </c>
      <c r="E63942" s="0" t="s">
        <v>142</v>
      </c>
      <c r="F63942" s="0" t="s">
        <v>7323</v>
      </c>
    </row>
    <row r="63943" customFormat="false" ht="12.8" hidden="false" customHeight="false" outlineLevel="0" collapsed="false">
      <c r="B63943" s="0" t="s">
        <v>642</v>
      </c>
      <c r="C63943" s="0" t="s">
        <v>1460</v>
      </c>
      <c r="E63943" s="0" t="s">
        <v>20857</v>
      </c>
      <c r="F63943" s="0" t="s">
        <v>21276</v>
      </c>
    </row>
    <row r="63944" customFormat="false" ht="12.8" hidden="false" customHeight="false" outlineLevel="0" collapsed="false">
      <c r="B63944" s="0" t="s">
        <v>648</v>
      </c>
      <c r="C63944" s="0" t="s">
        <v>14523</v>
      </c>
      <c r="E63944" s="0" t="s">
        <v>20857</v>
      </c>
      <c r="F63944" s="0" t="s">
        <v>21276</v>
      </c>
    </row>
    <row r="63945" customFormat="false" ht="12.8" hidden="false" customHeight="false" outlineLevel="0" collapsed="false">
      <c r="B63945" s="0" t="s">
        <v>650</v>
      </c>
      <c r="C63945" s="0" t="s">
        <v>14524</v>
      </c>
      <c r="E63945" s="0" t="s">
        <v>20857</v>
      </c>
      <c r="F63945" s="0" t="s">
        <v>21276</v>
      </c>
    </row>
    <row r="63946" customFormat="false" ht="12.8" hidden="false" customHeight="false" outlineLevel="0" collapsed="false">
      <c r="B63946" s="0" t="s">
        <v>652</v>
      </c>
      <c r="C63946" s="0" t="s">
        <v>14525</v>
      </c>
      <c r="E63946" s="0" t="s">
        <v>20857</v>
      </c>
      <c r="F63946" s="0" t="s">
        <v>21276</v>
      </c>
    </row>
    <row r="63948" customFormat="false" ht="12.8" hidden="false" customHeight="false" outlineLevel="0" collapsed="false">
      <c r="A63948" s="0" t="s">
        <v>21277</v>
      </c>
      <c r="B63948" s="0" t="str">
        <f aca="false">HYPERLINK("https://lindat.mff.cuni.cz/services/teitok/pdtc10/index.php?action=vallex&amp;frame=v-w8813f2", "zacházet (v-w8813f2)")</f>
        <v>zacházet (v-w8813f2)</v>
      </c>
      <c r="E63948" s="0" t="str">
        <f aca="false">HYPERLINK("https://lindat.mff.cuni.cz/services/SynSemClass40/SynSemClass40.html?veclass=vec01427#vec01427-ces-cm00006", "vec01427")</f>
        <v>vec01427</v>
      </c>
      <c r="F63948" s="0" t="s">
        <v>9782</v>
      </c>
    </row>
    <row r="63949" customFormat="false" ht="12.8" hidden="false" customHeight="false" outlineLevel="0" collapsed="false">
      <c r="B63949" s="0" t="s">
        <v>1</v>
      </c>
      <c r="C63949" s="0" t="s">
        <v>9783</v>
      </c>
      <c r="E63949" s="0" t="s">
        <v>31</v>
      </c>
      <c r="F63949" s="0" t="s">
        <v>9784</v>
      </c>
    </row>
    <row r="63950" customFormat="false" ht="12.8" hidden="false" customHeight="false" outlineLevel="0" collapsed="false">
      <c r="B63950" s="0" t="s">
        <v>721</v>
      </c>
      <c r="C63950" s="0" t="s">
        <v>9785</v>
      </c>
      <c r="E63950" s="0" t="s">
        <v>34</v>
      </c>
      <c r="F63950" s="0" t="s">
        <v>9786</v>
      </c>
    </row>
    <row r="63952" customFormat="false" ht="12.8" hidden="false" customHeight="false" outlineLevel="0" collapsed="false">
      <c r="A63952" s="0" t="s">
        <v>21278</v>
      </c>
      <c r="B63952" s="0" t="str">
        <f aca="false">HYPERLINK("https://lindat.mff.cuni.cz/services/teitok/pdtc10/index.php?action=vallex&amp;frame=v-w8813f8_ZU", "zacházet (v-w8813f8_ZU)")</f>
        <v>zacházet (v-w8813f8_ZU)</v>
      </c>
    </row>
    <row r="63953" customFormat="false" ht="12.8" hidden="false" customHeight="false" outlineLevel="0" collapsed="false">
      <c r="B63953" s="0" t="s">
        <v>1</v>
      </c>
    </row>
    <row r="63954" customFormat="false" ht="12.8" hidden="false" customHeight="false" outlineLevel="0" collapsed="false">
      <c r="B63954" s="0" t="s">
        <v>21279</v>
      </c>
    </row>
    <row r="63956" customFormat="false" ht="12.8" hidden="false" customHeight="false" outlineLevel="0" collapsed="false">
      <c r="A63956" s="0" t="s">
        <v>21278</v>
      </c>
      <c r="B63956" s="0" t="str">
        <f aca="false">HYPERLINK("https://lindat.mff.cuni.cz/services/teitok/pdtc10/index.php?action=vallex&amp;frame=v-w8813f3", "zacházet (v-w8813f3) - substituted with v-w8813f8_ZU")</f>
        <v>zacházet (v-w8813f3) - substituted with v-w8813f8_ZU</v>
      </c>
    </row>
    <row r="63957" customFormat="false" ht="12.8" hidden="false" customHeight="false" outlineLevel="0" collapsed="false">
      <c r="B63957" s="0" t="s">
        <v>1</v>
      </c>
    </row>
    <row r="63958" customFormat="false" ht="12.8" hidden="false" customHeight="false" outlineLevel="0" collapsed="false">
      <c r="B63958" s="0" t="s">
        <v>21279</v>
      </c>
    </row>
    <row r="63960" customFormat="false" ht="12.8" hidden="false" customHeight="false" outlineLevel="0" collapsed="false">
      <c r="A63960" s="0" t="s">
        <v>21278</v>
      </c>
      <c r="B63960" s="0" t="str">
        <f aca="false">HYPERLINK("https://lindat.mff.cuni.cz/services/teitok/pdtc10/index.php?action=vallex&amp;frame=v-w8813f4_ZU", "zacházet (v-w8813f4_ZU) - substituted with v-w8813f8_ZU")</f>
        <v>zacházet (v-w8813f4_ZU) - substituted with v-w8813f8_ZU</v>
      </c>
    </row>
    <row r="63961" customFormat="false" ht="12.8" hidden="false" customHeight="false" outlineLevel="0" collapsed="false">
      <c r="B63961" s="0" t="s">
        <v>1</v>
      </c>
    </row>
    <row r="63962" customFormat="false" ht="12.8" hidden="false" customHeight="false" outlineLevel="0" collapsed="false">
      <c r="B63962" s="0" t="s">
        <v>21279</v>
      </c>
    </row>
    <row r="63964" customFormat="false" ht="12.8" hidden="false" customHeight="false" outlineLevel="0" collapsed="false">
      <c r="A63964" s="0" t="s">
        <v>21278</v>
      </c>
      <c r="B63964" s="0" t="str">
        <f aca="false">HYPERLINK("https://lindat.mff.cuni.cz/services/teitok/pdtc10/index.php?action=vallex&amp;frame=v-w8813f7_ZU", "zacházet (v-w8813f7_ZU) - substituted with v-w8813f8_ZU")</f>
        <v>zacházet (v-w8813f7_ZU) - substituted with v-w8813f8_ZU</v>
      </c>
    </row>
    <row r="63965" customFormat="false" ht="12.8" hidden="false" customHeight="false" outlineLevel="0" collapsed="false">
      <c r="B63965" s="0" t="s">
        <v>1</v>
      </c>
    </row>
    <row r="63966" customFormat="false" ht="12.8" hidden="false" customHeight="false" outlineLevel="0" collapsed="false">
      <c r="B63966" s="0" t="s">
        <v>21279</v>
      </c>
    </row>
    <row r="63968" customFormat="false" ht="12.8" hidden="false" customHeight="false" outlineLevel="0" collapsed="false">
      <c r="A63968" s="0" t="s">
        <v>21280</v>
      </c>
      <c r="B63968" s="0" t="str">
        <f aca="false">HYPERLINK("https://lindat.mff.cuni.cz/services/teitok/pdtc10/index.php?action=vallex&amp;frame=v-w8813f6_ZU", "zacházet (v-w8813f6_ZU)")</f>
        <v>zacházet (v-w8813f6_ZU)</v>
      </c>
      <c r="E63968" s="0" t="str">
        <f aca="false">HYPERLINK("https://lindat.mff.cuni.cz/services/SynSemClass40/SynSemClass40.html?veclass=vec00218#vec00218-ces-cm00254", "vec00218")</f>
        <v>vec00218</v>
      </c>
      <c r="F63968" s="0" t="s">
        <v>2143</v>
      </c>
    </row>
    <row r="63969" customFormat="false" ht="12.8" hidden="false" customHeight="false" outlineLevel="0" collapsed="false">
      <c r="B63969" s="0" t="s">
        <v>1</v>
      </c>
      <c r="C63969" s="0" t="s">
        <v>2144</v>
      </c>
      <c r="E63969" s="0" t="s">
        <v>11</v>
      </c>
      <c r="F63969" s="0" t="s">
        <v>2145</v>
      </c>
    </row>
    <row r="63970" customFormat="false" ht="12.8" hidden="false" customHeight="false" outlineLevel="0" collapsed="false">
      <c r="B63970" s="0" t="s">
        <v>454</v>
      </c>
      <c r="C63970" s="0" t="s">
        <v>2146</v>
      </c>
      <c r="E63970" s="0" t="s">
        <v>370</v>
      </c>
      <c r="F63970" s="0" t="s">
        <v>2147</v>
      </c>
    </row>
    <row r="63972" customFormat="false" ht="12.8" hidden="false" customHeight="false" outlineLevel="0" collapsed="false">
      <c r="A63972" s="0" t="s">
        <v>21280</v>
      </c>
      <c r="B63972" s="0" t="str">
        <f aca="false">HYPERLINK("https://lindat.mff.cuni.cz/services/teitok/pdtc10/index.php?action=vallex&amp;frame=v-w8813f5_ZU", "zacházet (v-w8813f5_ZU) - substituted with v-w8813f6_ZU")</f>
        <v>zacházet (v-w8813f5_ZU) - substituted with v-w8813f6_ZU</v>
      </c>
    </row>
    <row r="63973" customFormat="false" ht="12.8" hidden="false" customHeight="false" outlineLevel="0" collapsed="false">
      <c r="B63973" s="0" t="s">
        <v>1</v>
      </c>
    </row>
    <row r="63974" customFormat="false" ht="12.8" hidden="false" customHeight="false" outlineLevel="0" collapsed="false">
      <c r="B63974" s="0" t="s">
        <v>454</v>
      </c>
    </row>
    <row r="63976" customFormat="false" ht="12.8" hidden="false" customHeight="false" outlineLevel="0" collapsed="false">
      <c r="A63976" s="0" t="s">
        <v>21281</v>
      </c>
      <c r="B63976" s="0" t="str">
        <f aca="false">HYPERLINK("https://lindat.mff.cuni.cz/services/teitok/pdtc10/index.php?action=vallex&amp;frame=v-w8813f9_ZU", "zacházet (v-w8813f9_ZU)")</f>
        <v>zacházet (v-w8813f9_ZU)</v>
      </c>
    </row>
    <row r="63977" customFormat="false" ht="12.8" hidden="false" customHeight="false" outlineLevel="0" collapsed="false">
      <c r="B63977" s="0" t="s">
        <v>1</v>
      </c>
    </row>
    <row r="63978" customFormat="false" ht="12.8" hidden="false" customHeight="false" outlineLevel="0" collapsed="false">
      <c r="B63978" s="0" t="s">
        <v>21282</v>
      </c>
    </row>
    <row r="63980" customFormat="false" ht="12.8" hidden="false" customHeight="false" outlineLevel="0" collapsed="false">
      <c r="A63980" s="0" t="s">
        <v>21283</v>
      </c>
      <c r="B63980" s="0" t="str">
        <f aca="false">HYPERLINK("https://lindat.mff.cuni.cz/services/teitok/pdtc10/index.php?action=vallex&amp;frame=v-w8813f11_ZU", "zacházet (v-w8813f11_ZU)")</f>
        <v>zacházet (v-w8813f11_ZU)</v>
      </c>
    </row>
    <row r="63981" customFormat="false" ht="12.8" hidden="false" customHeight="false" outlineLevel="0" collapsed="false">
      <c r="B63981" s="0" t="s">
        <v>1</v>
      </c>
    </row>
    <row r="63982" customFormat="false" ht="12.8" hidden="false" customHeight="false" outlineLevel="0" collapsed="false">
      <c r="B63982" s="0" t="s">
        <v>2357</v>
      </c>
    </row>
    <row r="63984" customFormat="false" ht="12.8" hidden="false" customHeight="false" outlineLevel="0" collapsed="false">
      <c r="A63984" s="0" t="s">
        <v>21283</v>
      </c>
      <c r="B63984" s="0" t="str">
        <f aca="false">HYPERLINK("https://lindat.mff.cuni.cz/services/teitok/pdtc10/index.php?action=vallex&amp;frame=v-w8813f10_ZU", "zacházet (v-w8813f10_ZU) - substituted with v-w8813f11_ZU")</f>
        <v>zacházet (v-w8813f10_ZU) - substituted with v-w8813f11_ZU</v>
      </c>
    </row>
    <row r="63985" customFormat="false" ht="12.8" hidden="false" customHeight="false" outlineLevel="0" collapsed="false">
      <c r="B63985" s="0" t="s">
        <v>1</v>
      </c>
    </row>
    <row r="63986" customFormat="false" ht="12.8" hidden="false" customHeight="false" outlineLevel="0" collapsed="false">
      <c r="B63986" s="0" t="s">
        <v>2357</v>
      </c>
    </row>
    <row r="63988" customFormat="false" ht="12.8" hidden="false" customHeight="false" outlineLevel="0" collapsed="false">
      <c r="A63988" s="0" t="s">
        <v>21284</v>
      </c>
      <c r="B63988" s="0" t="str">
        <f aca="false">HYPERLINK("https://lindat.mff.cuni.cz/services/teitok/pdtc10/index.php?action=vallex&amp;frame=v-w8813f12_ZU", "zacházet (v-w8813f12_ZU)")</f>
        <v>zacházet (v-w8813f12_ZU)</v>
      </c>
    </row>
    <row r="63989" customFormat="false" ht="12.8" hidden="false" customHeight="false" outlineLevel="0" collapsed="false">
      <c r="B63989" s="0" t="s">
        <v>1</v>
      </c>
    </row>
    <row r="63990" customFormat="false" ht="12.8" hidden="false" customHeight="false" outlineLevel="0" collapsed="false">
      <c r="B63990" s="0" t="s">
        <v>454</v>
      </c>
    </row>
    <row r="63992" customFormat="false" ht="12.8" hidden="false" customHeight="false" outlineLevel="0" collapsed="false">
      <c r="A63992" s="0" t="s">
        <v>21285</v>
      </c>
      <c r="B63992" s="0" t="str">
        <f aca="false">HYPERLINK("https://lindat.mff.cuni.cz/services/teitok/pdtc10/index.php?action=vallex&amp;frame=v-whsa_1327hsa_1328", "zaclonit (v-whsa_1327hsa_1328)")</f>
        <v>zaclonit (v-whsa_1327hsa_1328)</v>
      </c>
      <c r="E63992" s="0" t="str">
        <f aca="false">HYPERLINK("https://lindat.mff.cuni.cz/services/SynSemClass40/SynSemClass40.html?veclass=vec00024#vec00024-ces-cm00022", "vec00024")</f>
        <v>vec00024</v>
      </c>
      <c r="F63992" s="0" t="s">
        <v>580</v>
      </c>
    </row>
    <row r="63993" customFormat="false" ht="12.8" hidden="false" customHeight="false" outlineLevel="0" collapsed="false">
      <c r="B63993" s="0" t="s">
        <v>1</v>
      </c>
      <c r="C63993" s="0" t="s">
        <v>4903</v>
      </c>
      <c r="E63993" s="0" t="s">
        <v>569</v>
      </c>
      <c r="F63993" s="0" t="s">
        <v>1472</v>
      </c>
    </row>
    <row r="63994" customFormat="false" ht="12.8" hidden="false" customHeight="false" outlineLevel="0" collapsed="false">
      <c r="B63994" s="0" t="s">
        <v>8</v>
      </c>
      <c r="C63994" s="0" t="s">
        <v>4904</v>
      </c>
      <c r="E63994" s="0" t="s">
        <v>34</v>
      </c>
      <c r="F63994" s="0" t="s">
        <v>1475</v>
      </c>
    </row>
    <row r="63995" customFormat="false" ht="12.8" hidden="false" customHeight="false" outlineLevel="0" collapsed="false">
      <c r="B63995" s="0" t="s">
        <v>4248</v>
      </c>
      <c r="C63995" s="0" t="s">
        <v>21286</v>
      </c>
      <c r="E63995" s="0" t="s">
        <v>16416</v>
      </c>
      <c r="F63995" s="0" t="s">
        <v>21287</v>
      </c>
    </row>
    <row r="63997" customFormat="false" ht="12.8" hidden="false" customHeight="false" outlineLevel="0" collapsed="false">
      <c r="A63997" s="0" t="s">
        <v>21288</v>
      </c>
      <c r="B63997" s="0" t="str">
        <f aca="false">HYPERLINK("https://lindat.mff.cuni.cz/services/teitok/pdtc10/index.php?action=vallex&amp;frame=v-whsa_1781hsa_1782", "zacpat (v-whsa_1781hsa_1782)")</f>
        <v>zacpat (v-whsa_1781hsa_1782)</v>
      </c>
    </row>
    <row r="63998" customFormat="false" ht="12.8" hidden="false" customHeight="false" outlineLevel="0" collapsed="false">
      <c r="B63998" s="0" t="s">
        <v>1</v>
      </c>
    </row>
    <row r="63999" customFormat="false" ht="12.8" hidden="false" customHeight="false" outlineLevel="0" collapsed="false">
      <c r="B63999" s="0" t="s">
        <v>8</v>
      </c>
    </row>
    <row r="64001" customFormat="false" ht="12.8" hidden="false" customHeight="false" outlineLevel="0" collapsed="false">
      <c r="A64001" s="0" t="s">
        <v>21289</v>
      </c>
      <c r="B64001" s="0" t="str">
        <f aca="false">HYPERLINK("https://lindat.mff.cuni.cz/services/teitok/pdtc10/index.php?action=vallex&amp;frame=v-whsa_898hsa_899", "zacvaknout (v-whsa_898hsa_899)")</f>
        <v>zacvaknout (v-whsa_898hsa_899)</v>
      </c>
    </row>
    <row r="64002" customFormat="false" ht="12.8" hidden="false" customHeight="false" outlineLevel="0" collapsed="false">
      <c r="B64002" s="0" t="s">
        <v>1</v>
      </c>
    </row>
    <row r="64003" customFormat="false" ht="12.8" hidden="false" customHeight="false" outlineLevel="0" collapsed="false">
      <c r="B64003" s="0" t="s">
        <v>8</v>
      </c>
    </row>
    <row r="64004" customFormat="false" ht="12.8" hidden="false" customHeight="false" outlineLevel="0" collapsed="false">
      <c r="B64004" s="0" t="s">
        <v>245</v>
      </c>
    </row>
    <row r="64006" customFormat="false" ht="12.8" hidden="false" customHeight="false" outlineLevel="0" collapsed="false">
      <c r="A64006" s="0" t="s">
        <v>21290</v>
      </c>
      <c r="B64006" s="0" t="str">
        <f aca="false">HYPERLINK("https://lindat.mff.cuni.cz/services/teitok/pdtc10/index.php?action=vallex&amp;frame=v-whsa_1083hsa_1084", "zacvičit (v-whsa_1083hsa_1084)")</f>
        <v>zacvičit (v-whsa_1083hsa_1084)</v>
      </c>
    </row>
    <row r="64007" customFormat="false" ht="12.8" hidden="false" customHeight="false" outlineLevel="0" collapsed="false">
      <c r="B64007" s="0" t="s">
        <v>1</v>
      </c>
    </row>
    <row r="64008" customFormat="false" ht="12.8" hidden="false" customHeight="false" outlineLevel="0" collapsed="false">
      <c r="B64008" s="0" t="s">
        <v>8</v>
      </c>
    </row>
    <row r="64010" customFormat="false" ht="12.8" hidden="false" customHeight="false" outlineLevel="0" collapsed="false">
      <c r="A64010" s="0" t="s">
        <v>21291</v>
      </c>
      <c r="B64010" s="0" t="str">
        <f aca="false">HYPERLINK("https://lindat.mff.cuni.cz/services/teitok/pdtc10/index.php?action=vallex&amp;frame=v-whsa_1083f1_ZU", "zacvičit (v-whsa_1083f1_ZU)")</f>
        <v>zacvičit (v-whsa_1083f1_ZU)</v>
      </c>
    </row>
    <row r="64011" customFormat="false" ht="12.8" hidden="false" customHeight="false" outlineLevel="0" collapsed="false">
      <c r="B64011" s="0" t="s">
        <v>1</v>
      </c>
    </row>
    <row r="64012" customFormat="false" ht="12.8" hidden="false" customHeight="false" outlineLevel="0" collapsed="false">
      <c r="B64012" s="0" t="s">
        <v>390</v>
      </c>
    </row>
    <row r="64014" customFormat="false" ht="12.8" hidden="false" customHeight="false" outlineLevel="0" collapsed="false">
      <c r="A64014" s="0" t="s">
        <v>21292</v>
      </c>
      <c r="B64014" s="0" t="str">
        <f aca="false">HYPERLINK("https://lindat.mff.cuni.cz/services/teitok/pdtc10/index.php?action=vallex&amp;frame=v-w11493f1", "zacvičit si (v-w11493f1)")</f>
        <v>zacvičit si (v-w11493f1)</v>
      </c>
      <c r="E64014" s="0" t="str">
        <f aca="false">HYPERLINK("https://lindat.mff.cuni.cz/services/SynSemClass40/SynSemClass40.html?veclass=vec00606#vec00606-ces-cm00034", "vec00606")</f>
        <v>vec00606</v>
      </c>
      <c r="F64014" s="0" t="s">
        <v>1723</v>
      </c>
    </row>
    <row r="64015" customFormat="false" ht="12.8" hidden="false" customHeight="false" outlineLevel="0" collapsed="false">
      <c r="B64015" s="0" t="s">
        <v>1</v>
      </c>
      <c r="C64015" s="0" t="s">
        <v>447</v>
      </c>
      <c r="E64015" s="0" t="s">
        <v>11</v>
      </c>
      <c r="F64015" s="0" t="s">
        <v>1724</v>
      </c>
    </row>
    <row r="64017" customFormat="false" ht="12.8" hidden="false" customHeight="false" outlineLevel="0" collapsed="false">
      <c r="A64017" s="0" t="s">
        <v>21293</v>
      </c>
      <c r="B64017" s="0" t="str">
        <f aca="false">HYPERLINK("https://lindat.mff.cuni.cz/services/teitok/pdtc10/index.php?action=vallex&amp;frame=v-whsa_466hsa_467", "zacvičovat (v-whsa_466hsa_467)")</f>
        <v>zacvičovat (v-whsa_466hsa_467)</v>
      </c>
    </row>
    <row r="64018" customFormat="false" ht="12.8" hidden="false" customHeight="false" outlineLevel="0" collapsed="false">
      <c r="B64018" s="0" t="s">
        <v>1</v>
      </c>
    </row>
    <row r="64019" customFormat="false" ht="12.8" hidden="false" customHeight="false" outlineLevel="0" collapsed="false">
      <c r="B64019" s="0" t="s">
        <v>8</v>
      </c>
    </row>
    <row r="64021" customFormat="false" ht="12.8" hidden="false" customHeight="false" outlineLevel="0" collapsed="false">
      <c r="A64021" s="0" t="s">
        <v>21294</v>
      </c>
      <c r="B64021" s="0" t="str">
        <f aca="false">HYPERLINK("https://lindat.mff.cuni.cz/services/teitok/pdtc10/index.php?action=vallex&amp;frame=v-w10267f3_ZU", "zacílit (v-w10267f3_ZU)")</f>
        <v>zacílit (v-w10267f3_ZU)</v>
      </c>
    </row>
    <row r="64022" customFormat="false" ht="12.8" hidden="false" customHeight="false" outlineLevel="0" collapsed="false">
      <c r="B64022" s="0" t="s">
        <v>1</v>
      </c>
    </row>
    <row r="64023" customFormat="false" ht="12.8" hidden="false" customHeight="false" outlineLevel="0" collapsed="false">
      <c r="B64023" s="0" t="s">
        <v>8</v>
      </c>
    </row>
    <row r="64024" customFormat="false" ht="12.8" hidden="false" customHeight="false" outlineLevel="0" collapsed="false">
      <c r="B64024" s="0" t="s">
        <v>164</v>
      </c>
    </row>
    <row r="64026" customFormat="false" ht="12.8" hidden="false" customHeight="false" outlineLevel="0" collapsed="false">
      <c r="A64026" s="0" t="s">
        <v>21295</v>
      </c>
      <c r="B64026" s="0" t="str">
        <f aca="false">HYPERLINK("https://lindat.mff.cuni.cz/services/teitok/pdtc10/index.php?action=vallex&amp;frame=v-w10267f2", "zacílit (v-w10267f2)")</f>
        <v>zacílit (v-w10267f2)</v>
      </c>
    </row>
    <row r="64027" customFormat="false" ht="12.8" hidden="false" customHeight="false" outlineLevel="0" collapsed="false">
      <c r="B64027" s="0" t="s">
        <v>1</v>
      </c>
    </row>
    <row r="64028" customFormat="false" ht="12.8" hidden="false" customHeight="false" outlineLevel="0" collapsed="false">
      <c r="B64028" s="0" t="s">
        <v>164</v>
      </c>
    </row>
    <row r="64030" customFormat="false" ht="12.8" hidden="false" customHeight="false" outlineLevel="0" collapsed="false">
      <c r="A64030" s="0" t="s">
        <v>21296</v>
      </c>
      <c r="B64030" s="0" t="str">
        <f aca="false">HYPERLINK("https://lindat.mff.cuni.cz/services/teitok/pdtc10/index.php?action=vallex&amp;frame=v-w12196_ZUf1_ZU", "zadaptovat (v-w12196_ZUf1_ZU)")</f>
        <v>zadaptovat (v-w12196_ZUf1_ZU)</v>
      </c>
    </row>
    <row r="64031" customFormat="false" ht="12.8" hidden="false" customHeight="false" outlineLevel="0" collapsed="false">
      <c r="B64031" s="0" t="s">
        <v>1</v>
      </c>
    </row>
    <row r="64032" customFormat="false" ht="12.8" hidden="false" customHeight="false" outlineLevel="0" collapsed="false">
      <c r="B64032" s="0" t="s">
        <v>8</v>
      </c>
    </row>
    <row r="64034" customFormat="false" ht="12.8" hidden="false" customHeight="false" outlineLevel="0" collapsed="false">
      <c r="A64034" s="0" t="s">
        <v>21297</v>
      </c>
      <c r="B64034" s="0" t="str">
        <f aca="false">HYPERLINK("https://lindat.mff.cuni.cz/services/teitok/pdtc10/index.php?action=vallex&amp;frame=v-w8763f1", "zadat (v-w8763f1)")</f>
        <v>zadat (v-w8763f1)</v>
      </c>
      <c r="E64034" s="0" t="str">
        <f aca="false">HYPERLINK("https://lindat.mff.cuni.cz/services/SynSemClass40/SynSemClass40.html?veclass=vec00571#vec00571-ces-cm00001", "vec00571")</f>
        <v>vec00571</v>
      </c>
      <c r="F64034" s="0" t="s">
        <v>1861</v>
      </c>
    </row>
    <row r="64035" customFormat="false" ht="12.8" hidden="false" customHeight="false" outlineLevel="0" collapsed="false">
      <c r="B64035" s="0" t="s">
        <v>1</v>
      </c>
      <c r="C64035" s="0" t="s">
        <v>11897</v>
      </c>
      <c r="E64035" s="0" t="s">
        <v>31</v>
      </c>
      <c r="F64035" s="0" t="s">
        <v>1865</v>
      </c>
    </row>
    <row r="64036" customFormat="false" ht="12.8" hidden="false" customHeight="false" outlineLevel="0" collapsed="false">
      <c r="B64036" s="0" t="s">
        <v>8</v>
      </c>
      <c r="C64036" s="0" t="s">
        <v>5753</v>
      </c>
      <c r="E64036" s="0" t="s">
        <v>1871</v>
      </c>
      <c r="F64036" s="0" t="s">
        <v>1872</v>
      </c>
    </row>
    <row r="64037" customFormat="false" ht="12.8" hidden="false" customHeight="false" outlineLevel="0" collapsed="false">
      <c r="B64037" s="0" t="s">
        <v>52</v>
      </c>
      <c r="C64037" s="0" t="s">
        <v>11899</v>
      </c>
      <c r="E64037" s="0" t="s">
        <v>564</v>
      </c>
      <c r="F64037" s="0" t="s">
        <v>1878</v>
      </c>
    </row>
    <row r="64039" customFormat="false" ht="12.8" hidden="false" customHeight="false" outlineLevel="0" collapsed="false">
      <c r="A64039" s="0" t="s">
        <v>21298</v>
      </c>
      <c r="B64039" s="0" t="str">
        <f aca="false">HYPERLINK("https://lindat.mff.cuni.cz/services/teitok/pdtc10/index.php?action=vallex&amp;frame=v-w8763f3_ZU", "zadat (v-w8763f3_ZU)")</f>
        <v>zadat (v-w8763f3_ZU)</v>
      </c>
    </row>
    <row r="64040" customFormat="false" ht="12.8" hidden="false" customHeight="false" outlineLevel="0" collapsed="false">
      <c r="B64040" s="0" t="s">
        <v>1</v>
      </c>
    </row>
    <row r="64041" customFormat="false" ht="12.8" hidden="false" customHeight="false" outlineLevel="0" collapsed="false">
      <c r="B64041" s="0" t="s">
        <v>21299</v>
      </c>
    </row>
    <row r="64042" customFormat="false" ht="12.8" hidden="false" customHeight="false" outlineLevel="0" collapsed="false">
      <c r="B64042" s="0" t="s">
        <v>52</v>
      </c>
    </row>
    <row r="64044" customFormat="false" ht="12.8" hidden="false" customHeight="false" outlineLevel="0" collapsed="false">
      <c r="A64044" s="0" t="s">
        <v>21298</v>
      </c>
      <c r="B64044" s="0" t="str">
        <f aca="false">HYPERLINK("https://lindat.mff.cuni.cz/services/teitok/pdtc10/index.php?action=vallex&amp;frame=v-w8763hsa_771", "zadat (v-w8763hsa_771) - substituted with v-w8763f3_ZU")</f>
        <v>zadat (v-w8763hsa_771) - substituted with v-w8763f3_ZU</v>
      </c>
    </row>
    <row r="64045" customFormat="false" ht="12.8" hidden="false" customHeight="false" outlineLevel="0" collapsed="false">
      <c r="B64045" s="0" t="s">
        <v>1</v>
      </c>
    </row>
    <row r="64046" customFormat="false" ht="12.8" hidden="false" customHeight="false" outlineLevel="0" collapsed="false">
      <c r="B64046" s="0" t="s">
        <v>21299</v>
      </c>
    </row>
    <row r="64047" customFormat="false" ht="12.8" hidden="false" customHeight="false" outlineLevel="0" collapsed="false">
      <c r="B64047" s="0" t="s">
        <v>52</v>
      </c>
    </row>
    <row r="64049" customFormat="false" ht="12.8" hidden="false" customHeight="false" outlineLevel="0" collapsed="false">
      <c r="A64049" s="0" t="s">
        <v>21300</v>
      </c>
      <c r="B64049" s="0" t="str">
        <f aca="false">HYPERLINK("https://lindat.mff.cuni.cz/services/teitok/pdtc10/index.php?action=vallex&amp;frame=v-w8763f2_ZU", "zadat (v-w8763f2_ZU)")</f>
        <v>zadat (v-w8763f2_ZU)</v>
      </c>
      <c r="E64049" s="0" t="str">
        <f aca="false">HYPERLINK("https://lindat.mff.cuni.cz/services/SynSemClass40/SynSemClass40.html?veclass=vec00127#vec00127-ces-cm00078", "vec00127")</f>
        <v>vec00127</v>
      </c>
      <c r="F64049" s="0" t="s">
        <v>1835</v>
      </c>
    </row>
    <row r="64050" customFormat="false" ht="12.8" hidden="false" customHeight="false" outlineLevel="0" collapsed="false">
      <c r="B64050" s="0" t="s">
        <v>1</v>
      </c>
      <c r="C64050" s="0" t="s">
        <v>3461</v>
      </c>
      <c r="E64050" s="0" t="s">
        <v>11</v>
      </c>
      <c r="F64050" s="0" t="s">
        <v>1837</v>
      </c>
    </row>
    <row r="64051" customFormat="false" ht="12.8" hidden="false" customHeight="false" outlineLevel="0" collapsed="false">
      <c r="B64051" s="0" t="s">
        <v>8</v>
      </c>
      <c r="C64051" s="0" t="s">
        <v>3463</v>
      </c>
      <c r="E64051" s="0" t="s">
        <v>1840</v>
      </c>
      <c r="F64051" s="0" t="s">
        <v>1841</v>
      </c>
    </row>
    <row r="64053" customFormat="false" ht="12.8" hidden="false" customHeight="false" outlineLevel="0" collapsed="false">
      <c r="A64053" s="0" t="s">
        <v>21300</v>
      </c>
      <c r="B64053" s="0" t="str">
        <f aca="false">HYPERLINK("https://lindat.mff.cuni.cz/services/teitok/pdtc10/index.php?action=vallex&amp;frame=v-w8763hsa_772", "zadat (v-w8763hsa_772) - substituted with v-w8763f2_ZU")</f>
        <v>zadat (v-w8763hsa_772) - substituted with v-w8763f2_ZU</v>
      </c>
    </row>
    <row r="64054" customFormat="false" ht="12.8" hidden="false" customHeight="false" outlineLevel="0" collapsed="false">
      <c r="B64054" s="0" t="s">
        <v>1</v>
      </c>
    </row>
    <row r="64055" customFormat="false" ht="12.8" hidden="false" customHeight="false" outlineLevel="0" collapsed="false">
      <c r="B64055" s="0" t="s">
        <v>8</v>
      </c>
    </row>
    <row r="64057" customFormat="false" ht="12.8" hidden="false" customHeight="false" outlineLevel="0" collapsed="false">
      <c r="A64057" s="0" t="s">
        <v>21301</v>
      </c>
      <c r="B64057" s="0" t="str">
        <f aca="false">HYPERLINK("https://lindat.mff.cuni.cz/services/teitok/pdtc10/index.php?action=vallex&amp;frame=v-w8763hsa_1721", "zadat (v-w8763hsa_1721)")</f>
        <v>zadat (v-w8763hsa_1721)</v>
      </c>
    </row>
    <row r="64058" customFormat="false" ht="12.8" hidden="false" customHeight="false" outlineLevel="0" collapsed="false">
      <c r="B64058" s="0" t="s">
        <v>1</v>
      </c>
    </row>
    <row r="64059" customFormat="false" ht="12.8" hidden="false" customHeight="false" outlineLevel="0" collapsed="false">
      <c r="B64059" s="0" t="s">
        <v>8</v>
      </c>
    </row>
    <row r="64060" customFormat="false" ht="12.8" hidden="false" customHeight="false" outlineLevel="0" collapsed="false">
      <c r="B64060" s="0" t="s">
        <v>164</v>
      </c>
    </row>
    <row r="64062" customFormat="false" ht="12.8" hidden="false" customHeight="false" outlineLevel="0" collapsed="false">
      <c r="A64062" s="0" t="s">
        <v>21302</v>
      </c>
      <c r="B64062" s="0" t="str">
        <f aca="false">HYPERLINK("https://lindat.mff.cuni.cz/services/teitok/pdtc10/index.php?action=vallex&amp;frame=v-w8764f2_ZU", "zadat si (v-w8764f2_ZU)")</f>
        <v>zadat si (v-w8764f2_ZU)</v>
      </c>
    </row>
    <row r="64063" customFormat="false" ht="12.8" hidden="false" customHeight="false" outlineLevel="0" collapsed="false">
      <c r="B64063" s="0" t="s">
        <v>1</v>
      </c>
    </row>
    <row r="64064" customFormat="false" ht="12.8" hidden="false" customHeight="false" outlineLevel="0" collapsed="false">
      <c r="B64064" s="0" t="s">
        <v>21303</v>
      </c>
    </row>
    <row r="64066" customFormat="false" ht="12.8" hidden="false" customHeight="false" outlineLevel="0" collapsed="false">
      <c r="A64066" s="0" t="s">
        <v>21302</v>
      </c>
      <c r="B64066" s="0" t="str">
        <f aca="false">HYPERLINK("https://lindat.mff.cuni.cz/services/teitok/pdtc10/index.php?action=vallex&amp;frame=v-w8764f1", "zadat si (v-w8764f1) - substituted with v-w8764f2_ZU")</f>
        <v>zadat si (v-w8764f1) - substituted with v-w8764f2_ZU</v>
      </c>
    </row>
    <row r="64067" customFormat="false" ht="12.8" hidden="false" customHeight="false" outlineLevel="0" collapsed="false">
      <c r="B64067" s="0" t="s">
        <v>1</v>
      </c>
    </row>
    <row r="64068" customFormat="false" ht="12.8" hidden="false" customHeight="false" outlineLevel="0" collapsed="false">
      <c r="B64068" s="0" t="s">
        <v>21303</v>
      </c>
    </row>
    <row r="64070" customFormat="false" ht="12.8" hidden="false" customHeight="false" outlineLevel="0" collapsed="false">
      <c r="A64070" s="0" t="s">
        <v>21304</v>
      </c>
      <c r="B64070" s="0" t="str">
        <f aca="false">HYPERLINK("https://lindat.mff.cuni.cz/services/teitok/pdtc10/index.php?action=vallex&amp;frame=v-w8770f1", "zadlužit (v-w8770f1)")</f>
        <v>zadlužit (v-w8770f1)</v>
      </c>
    </row>
    <row r="64071" customFormat="false" ht="12.8" hidden="false" customHeight="false" outlineLevel="0" collapsed="false">
      <c r="B64071" s="0" t="s">
        <v>1</v>
      </c>
    </row>
    <row r="64072" customFormat="false" ht="12.8" hidden="false" customHeight="false" outlineLevel="0" collapsed="false">
      <c r="B64072" s="0" t="s">
        <v>8</v>
      </c>
    </row>
    <row r="64074" customFormat="false" ht="12.8" hidden="false" customHeight="false" outlineLevel="0" collapsed="false">
      <c r="A64074" s="0" t="s">
        <v>21305</v>
      </c>
      <c r="B64074" s="0" t="str">
        <f aca="false">HYPERLINK("https://lindat.mff.cuni.cz/services/teitok/pdtc10/index.php?action=vallex&amp;frame=v-w8771f1", "zadlužit se (v-w8771f1)")</f>
        <v>zadlužit se (v-w8771f1)</v>
      </c>
    </row>
    <row r="64075" customFormat="false" ht="12.8" hidden="false" customHeight="false" outlineLevel="0" collapsed="false">
      <c r="B64075" s="0" t="s">
        <v>1</v>
      </c>
    </row>
    <row r="64077" customFormat="false" ht="12.8" hidden="false" customHeight="false" outlineLevel="0" collapsed="false">
      <c r="A64077" s="0" t="s">
        <v>21306</v>
      </c>
      <c r="B64077" s="0" t="str">
        <f aca="false">HYPERLINK("https://lindat.mff.cuni.cz/services/teitok/pdtc10/index.php?action=vallex&amp;frame=v-w8773f1", "zadlužovat (v-w8773f1)")</f>
        <v>zadlužovat (v-w8773f1)</v>
      </c>
    </row>
    <row r="64078" customFormat="false" ht="12.8" hidden="false" customHeight="false" outlineLevel="0" collapsed="false">
      <c r="B64078" s="0" t="s">
        <v>1</v>
      </c>
    </row>
    <row r="64079" customFormat="false" ht="12.8" hidden="false" customHeight="false" outlineLevel="0" collapsed="false">
      <c r="B64079" s="0" t="s">
        <v>8</v>
      </c>
    </row>
    <row r="64081" customFormat="false" ht="12.8" hidden="false" customHeight="false" outlineLevel="0" collapsed="false">
      <c r="A64081" s="0" t="s">
        <v>21307</v>
      </c>
      <c r="B64081" s="0" t="str">
        <f aca="false">HYPERLINK("https://lindat.mff.cuni.cz/services/teitok/pdtc10/index.php?action=vallex&amp;frame=v-w8774f1", "zadministrovat (v-w8774f1)")</f>
        <v>zadministrovat (v-w8774f1)</v>
      </c>
    </row>
    <row r="64082" customFormat="false" ht="12.8" hidden="false" customHeight="false" outlineLevel="0" collapsed="false">
      <c r="B64082" s="0" t="s">
        <v>1</v>
      </c>
    </row>
    <row r="64083" customFormat="false" ht="12.8" hidden="false" customHeight="false" outlineLevel="0" collapsed="false">
      <c r="B64083" s="0" t="s">
        <v>8</v>
      </c>
    </row>
    <row r="64085" customFormat="false" ht="12.8" hidden="false" customHeight="false" outlineLevel="0" collapsed="false">
      <c r="A64085" s="0" t="s">
        <v>21308</v>
      </c>
      <c r="B64085" s="0" t="str">
        <f aca="false">HYPERLINK("https://lindat.mff.cuni.cz/services/teitok/pdtc10/index.php?action=vallex&amp;frame=v-w8776f2", "zadrhnout se (v-w8776f2)")</f>
        <v>zadrhnout se (v-w8776f2)</v>
      </c>
      <c r="E64085" s="0" t="str">
        <f aca="false">HYPERLINK("https://lindat.mff.cuni.cz/services/SynSemClass40/SynSemClass40.html?veclass=vec01369#vec01369-ces-cm00006", "vec01369")</f>
        <v>vec01369</v>
      </c>
      <c r="F64085" s="0" t="s">
        <v>16483</v>
      </c>
      <c r="H64085" s="0" t="str">
        <f aca="false">HYPERLINK("https://lindat.mff.cuni.cz/services/SynSemClass40/SynSemClass40.html?veclass=vec01475#vec01475-ces-cm00004", "vec01475")</f>
        <v>vec01475</v>
      </c>
      <c r="I64085" s="0" t="s">
        <v>1082</v>
      </c>
    </row>
    <row r="64086" customFormat="false" ht="12.8" hidden="false" customHeight="false" outlineLevel="0" collapsed="false">
      <c r="B64086" s="0" t="s">
        <v>1</v>
      </c>
      <c r="C64086" s="0" t="s">
        <v>21309</v>
      </c>
      <c r="E64086" s="0" t="s">
        <v>1086</v>
      </c>
      <c r="F64086" s="0" t="s">
        <v>16485</v>
      </c>
      <c r="H64086" s="0" t="s">
        <v>1086</v>
      </c>
      <c r="I64086" s="0" t="s">
        <v>1087</v>
      </c>
    </row>
    <row r="64088" customFormat="false" ht="12.8" hidden="false" customHeight="false" outlineLevel="0" collapsed="false">
      <c r="A64088" s="0" t="s">
        <v>21308</v>
      </c>
      <c r="B64088" s="0" t="str">
        <f aca="false">HYPERLINK("https://lindat.mff.cuni.cz/services/teitok/pdtc10/index.php?action=vallex&amp;frame=v-w8776f1", "zadrhnout se (v-w8776f1) - substituted with v-w8776f2")</f>
        <v>zadrhnout se (v-w8776f1) - substituted with v-w8776f2</v>
      </c>
    </row>
    <row r="64089" customFormat="false" ht="12.8" hidden="false" customHeight="false" outlineLevel="0" collapsed="false">
      <c r="B64089" s="0" t="s">
        <v>1</v>
      </c>
    </row>
    <row r="64091" customFormat="false" ht="12.8" hidden="false" customHeight="false" outlineLevel="0" collapsed="false">
      <c r="A64091" s="0" t="s">
        <v>21310</v>
      </c>
      <c r="B64091" s="0" t="str">
        <f aca="false">HYPERLINK("https://lindat.mff.cuni.cz/services/teitok/pdtc10/index.php?action=vallex&amp;frame=v-whsa_116hsa_117", "zadrhávat se (v-whsa_116hsa_117)")</f>
        <v>zadrhávat se (v-whsa_116hsa_117)</v>
      </c>
      <c r="E64091" s="0" t="str">
        <f aca="false">HYPERLINK("https://lindat.mff.cuni.cz/services/SynSemClass40/SynSemClass40.html?veclass=vec01369#vec01369-ces-cm00005", "vec01369")</f>
        <v>vec01369</v>
      </c>
      <c r="F64091" s="0" t="s">
        <v>16483</v>
      </c>
      <c r="H64091" s="0" t="str">
        <f aca="false">HYPERLINK("https://lindat.mff.cuni.cz/services/SynSemClass40/SynSemClass40.html?veclass=vec01475#vec01475-ces-cm00003", "vec01475")</f>
        <v>vec01475</v>
      </c>
      <c r="I64091" s="0" t="s">
        <v>1082</v>
      </c>
    </row>
    <row r="64092" customFormat="false" ht="12.8" hidden="false" customHeight="false" outlineLevel="0" collapsed="false">
      <c r="B64092" s="0" t="s">
        <v>1</v>
      </c>
      <c r="C64092" s="0" t="s">
        <v>21309</v>
      </c>
      <c r="E64092" s="0" t="s">
        <v>1086</v>
      </c>
      <c r="F64092" s="0" t="s">
        <v>16485</v>
      </c>
      <c r="H64092" s="0" t="s">
        <v>1086</v>
      </c>
      <c r="I64092" s="0" t="s">
        <v>1087</v>
      </c>
    </row>
    <row r="64093" customFormat="false" ht="12.8" hidden="false" customHeight="false" outlineLevel="0" collapsed="false">
      <c r="B64093" s="0" t="s">
        <v>291</v>
      </c>
      <c r="C64093" s="0" t="s">
        <v>21311</v>
      </c>
      <c r="E64093" s="0" t="s">
        <v>354</v>
      </c>
      <c r="F64093" s="0" t="s">
        <v>21312</v>
      </c>
      <c r="H64093" s="0" t="s">
        <v>7635</v>
      </c>
      <c r="I64093" s="0" t="s">
        <v>7636</v>
      </c>
    </row>
    <row r="64095" customFormat="false" ht="12.8" hidden="false" customHeight="false" outlineLevel="0" collapsed="false">
      <c r="A64095" s="0" t="s">
        <v>21313</v>
      </c>
      <c r="B64095" s="0" t="str">
        <f aca="false">HYPERLINK("https://lindat.mff.cuni.cz/services/teitok/pdtc10/index.php?action=vallex&amp;frame=v-w8778f2", "zadržet (v-w8778f2)")</f>
        <v>zadržet (v-w8778f2)</v>
      </c>
    </row>
    <row r="64096" customFormat="false" ht="12.8" hidden="false" customHeight="false" outlineLevel="0" collapsed="false">
      <c r="B64096" s="0" t="s">
        <v>1</v>
      </c>
    </row>
    <row r="64097" customFormat="false" ht="12.8" hidden="false" customHeight="false" outlineLevel="0" collapsed="false">
      <c r="B64097" s="0" t="s">
        <v>8</v>
      </c>
    </row>
    <row r="64098" customFormat="false" ht="12.8" hidden="false" customHeight="false" outlineLevel="0" collapsed="false">
      <c r="B64098" s="0" t="s">
        <v>132</v>
      </c>
    </row>
    <row r="64100" customFormat="false" ht="12.8" hidden="false" customHeight="false" outlineLevel="0" collapsed="false">
      <c r="A64100" s="0" t="s">
        <v>21314</v>
      </c>
      <c r="B64100" s="0" t="str">
        <f aca="false">HYPERLINK("https://lindat.mff.cuni.cz/services/teitok/pdtc10/index.php?action=vallex&amp;frame=v-w8778f1", "zadržet (v-w8778f1)")</f>
        <v>zadržet (v-w8778f1)</v>
      </c>
      <c r="E64100" s="0" t="str">
        <f aca="false">HYPERLINK("https://lindat.mff.cuni.cz/services/SynSemClass40/SynSemClass40.html?veclass=vec00185#vec00185-ces-cm00014", "vec00185")</f>
        <v>vec00185</v>
      </c>
      <c r="F64100" s="0" t="s">
        <v>5931</v>
      </c>
    </row>
    <row r="64101" customFormat="false" ht="12.8" hidden="false" customHeight="false" outlineLevel="0" collapsed="false">
      <c r="B64101" s="0" t="s">
        <v>1</v>
      </c>
      <c r="C64101" s="0" t="s">
        <v>1436</v>
      </c>
      <c r="E64101" s="0" t="s">
        <v>206</v>
      </c>
      <c r="F64101" s="0" t="s">
        <v>5932</v>
      </c>
    </row>
    <row r="64102" customFormat="false" ht="12.8" hidden="false" customHeight="false" outlineLevel="0" collapsed="false">
      <c r="B64102" s="0" t="s">
        <v>8</v>
      </c>
      <c r="C64102" s="0" t="s">
        <v>1298</v>
      </c>
      <c r="E64102" s="0" t="s">
        <v>5934</v>
      </c>
      <c r="F64102" s="0" t="s">
        <v>5935</v>
      </c>
    </row>
    <row r="64104" customFormat="false" ht="12.8" hidden="false" customHeight="false" outlineLevel="0" collapsed="false">
      <c r="A64104" s="0" t="s">
        <v>21315</v>
      </c>
      <c r="B64104" s="0" t="str">
        <f aca="false">HYPERLINK("https://lindat.mff.cuni.cz/services/teitok/pdtc10/index.php?action=vallex&amp;frame=v-w8778f3_ZU", "zadržet (v-w8778f3_ZU)")</f>
        <v>zadržet (v-w8778f3_ZU)</v>
      </c>
      <c r="E64104" s="0" t="str">
        <f aca="false">HYPERLINK("https://lindat.mff.cuni.cz/services/SynSemClass40/SynSemClass40.html?veclass=vec00185#vec00185-ces-cm00008", "vec00185")</f>
        <v>vec00185</v>
      </c>
      <c r="F64104" s="0" t="s">
        <v>5931</v>
      </c>
    </row>
    <row r="64105" customFormat="false" ht="12.8" hidden="false" customHeight="false" outlineLevel="0" collapsed="false">
      <c r="B64105" s="0" t="s">
        <v>1</v>
      </c>
      <c r="C64105" s="0" t="s">
        <v>1436</v>
      </c>
      <c r="E64105" s="0" t="s">
        <v>206</v>
      </c>
      <c r="F64105" s="0" t="s">
        <v>5932</v>
      </c>
    </row>
    <row r="64106" customFormat="false" ht="12.8" hidden="false" customHeight="false" outlineLevel="0" collapsed="false">
      <c r="B64106" s="0" t="s">
        <v>8</v>
      </c>
      <c r="C64106" s="0" t="s">
        <v>1298</v>
      </c>
      <c r="E64106" s="0" t="s">
        <v>5934</v>
      </c>
      <c r="F64106" s="0" t="s">
        <v>5935</v>
      </c>
    </row>
    <row r="64108" customFormat="false" ht="12.8" hidden="false" customHeight="false" outlineLevel="0" collapsed="false">
      <c r="A64108" s="0" t="s">
        <v>21316</v>
      </c>
      <c r="B64108" s="0" t="str">
        <f aca="false">HYPERLINK("https://lindat.mff.cuni.cz/services/teitok/pdtc10/index.php?action=vallex&amp;frame=v-w8780f1", "zadržovat (v-w8780f1)")</f>
        <v>zadržovat (v-w8780f1)</v>
      </c>
      <c r="E64108" s="0" t="str">
        <f aca="false">HYPERLINK("https://lindat.mff.cuni.cz/services/SynSemClass40/SynSemClass40.html?veclass=vec00813#vec00813-ces-cm00070", "vec00813")</f>
        <v>vec00813</v>
      </c>
      <c r="F64108" s="0" t="s">
        <v>3250</v>
      </c>
    </row>
    <row r="64109" customFormat="false" ht="12.8" hidden="false" customHeight="false" outlineLevel="0" collapsed="false">
      <c r="B64109" s="0" t="s">
        <v>1</v>
      </c>
      <c r="C64109" s="0" t="s">
        <v>512</v>
      </c>
      <c r="E64109" s="0" t="s">
        <v>206</v>
      </c>
      <c r="F64109" s="0" t="s">
        <v>3251</v>
      </c>
    </row>
    <row r="64110" customFormat="false" ht="12.8" hidden="false" customHeight="false" outlineLevel="0" collapsed="false">
      <c r="B64110" s="0" t="s">
        <v>8</v>
      </c>
      <c r="C64110" s="0" t="s">
        <v>3252</v>
      </c>
      <c r="E64110" s="0" t="s">
        <v>3002</v>
      </c>
      <c r="F64110" s="0" t="s">
        <v>3253</v>
      </c>
    </row>
    <row r="64112" customFormat="false" ht="12.8" hidden="false" customHeight="false" outlineLevel="0" collapsed="false">
      <c r="A64112" s="0" t="s">
        <v>21317</v>
      </c>
      <c r="B64112" s="0" t="str">
        <f aca="false">HYPERLINK("https://lindat.mff.cuni.cz/services/teitok/pdtc10/index.php?action=vallex&amp;frame=v-w8780hsa_473", "zadržovat (v-w8780hsa_473)")</f>
        <v>zadržovat (v-w8780hsa_473)</v>
      </c>
      <c r="E64112" s="0" t="str">
        <f aca="false">HYPERLINK("https://lindat.mff.cuni.cz/services/SynSemClass40/SynSemClass40.html?veclass=vec00981#vec00981-ces-cm00001", "vec00981")</f>
        <v>vec00981</v>
      </c>
      <c r="F64112" s="0" t="s">
        <v>21318</v>
      </c>
    </row>
    <row r="64113" customFormat="false" ht="12.8" hidden="false" customHeight="false" outlineLevel="0" collapsed="false">
      <c r="B64113" s="0" t="s">
        <v>1</v>
      </c>
      <c r="C64113" s="0" t="s">
        <v>106</v>
      </c>
      <c r="E64113" s="0" t="s">
        <v>21319</v>
      </c>
      <c r="F64113" s="0" t="s">
        <v>21320</v>
      </c>
    </row>
    <row r="64114" customFormat="false" ht="12.8" hidden="false" customHeight="false" outlineLevel="0" collapsed="false">
      <c r="B64114" s="0" t="s">
        <v>8</v>
      </c>
      <c r="C64114" s="0" t="s">
        <v>109</v>
      </c>
      <c r="E64114" s="0" t="s">
        <v>8901</v>
      </c>
      <c r="F64114" s="0" t="s">
        <v>21321</v>
      </c>
    </row>
    <row r="64116" customFormat="false" ht="12.8" hidden="false" customHeight="false" outlineLevel="0" collapsed="false">
      <c r="A64116" s="0" t="s">
        <v>21322</v>
      </c>
      <c r="B64116" s="0" t="str">
        <f aca="false">HYPERLINK("https://lindat.mff.cuni.cz/services/teitok/pdtc10/index.php?action=vallex&amp;frame=v-w10186f2", "zadusit (v-w10186f2)")</f>
        <v>zadusit (v-w10186f2)</v>
      </c>
    </row>
    <row r="64117" customFormat="false" ht="12.8" hidden="false" customHeight="false" outlineLevel="0" collapsed="false">
      <c r="B64117" s="0" t="s">
        <v>1</v>
      </c>
    </row>
    <row r="64118" customFormat="false" ht="12.8" hidden="false" customHeight="false" outlineLevel="0" collapsed="false">
      <c r="B64118" s="0" t="s">
        <v>8</v>
      </c>
    </row>
    <row r="64120" customFormat="false" ht="12.8" hidden="false" customHeight="false" outlineLevel="0" collapsed="false">
      <c r="A64120" s="0" t="s">
        <v>21323</v>
      </c>
      <c r="B64120" s="0" t="str">
        <f aca="false">HYPERLINK("https://lindat.mff.cuni.cz/services/teitok/pdtc10/index.php?action=vallex&amp;frame=v-w12143_ZUf1_ZU", "zadusit se (v-w12143_ZUf1_ZU)")</f>
        <v>zadusit se (v-w12143_ZUf1_ZU)</v>
      </c>
    </row>
    <row r="64121" customFormat="false" ht="12.8" hidden="false" customHeight="false" outlineLevel="0" collapsed="false">
      <c r="B64121" s="0" t="s">
        <v>1</v>
      </c>
    </row>
    <row r="64123" customFormat="false" ht="12.8" hidden="false" customHeight="false" outlineLevel="0" collapsed="false">
      <c r="A64123" s="0" t="s">
        <v>21324</v>
      </c>
      <c r="B64123" s="0" t="str">
        <f aca="false">HYPERLINK("https://lindat.mff.cuni.cz/services/teitok/pdtc10/index.php?action=vallex&amp;frame=v-w8766f1", "zadávat (v-w8766f1)")</f>
        <v>zadávat (v-w8766f1)</v>
      </c>
      <c r="E64123" s="0" t="str">
        <f aca="false">HYPERLINK("https://lindat.mff.cuni.cz/services/SynSemClass40/SynSemClass40.html?veclass=vec00571#vec00571-ces-cm00040", "vec00571")</f>
        <v>vec00571</v>
      </c>
      <c r="F64123" s="0" t="s">
        <v>1861</v>
      </c>
    </row>
    <row r="64124" customFormat="false" ht="12.8" hidden="false" customHeight="false" outlineLevel="0" collapsed="false">
      <c r="B64124" s="0" t="s">
        <v>1</v>
      </c>
      <c r="C64124" s="0" t="s">
        <v>11897</v>
      </c>
      <c r="E64124" s="0" t="s">
        <v>31</v>
      </c>
      <c r="F64124" s="0" t="s">
        <v>1865</v>
      </c>
    </row>
    <row r="64125" customFormat="false" ht="12.8" hidden="false" customHeight="false" outlineLevel="0" collapsed="false">
      <c r="B64125" s="0" t="s">
        <v>8</v>
      </c>
      <c r="C64125" s="0" t="s">
        <v>5753</v>
      </c>
      <c r="E64125" s="0" t="s">
        <v>1871</v>
      </c>
      <c r="F64125" s="0" t="s">
        <v>1872</v>
      </c>
    </row>
    <row r="64126" customFormat="false" ht="12.8" hidden="false" customHeight="false" outlineLevel="0" collapsed="false">
      <c r="B64126" s="0" t="s">
        <v>52</v>
      </c>
      <c r="C64126" s="0" t="s">
        <v>11899</v>
      </c>
      <c r="E64126" s="0" t="s">
        <v>564</v>
      </c>
      <c r="F64126" s="0" t="s">
        <v>1878</v>
      </c>
    </row>
    <row r="64128" customFormat="false" ht="12.8" hidden="false" customHeight="false" outlineLevel="0" collapsed="false">
      <c r="A64128" s="0" t="s">
        <v>21325</v>
      </c>
      <c r="B64128" s="0" t="str">
        <f aca="false">HYPERLINK("https://lindat.mff.cuni.cz/services/teitok/pdtc10/index.php?action=vallex&amp;frame=v-w8766f2_ZU", "zadávat (v-w8766f2_ZU)")</f>
        <v>zadávat (v-w8766f2_ZU)</v>
      </c>
    </row>
    <row r="64129" customFormat="false" ht="12.8" hidden="false" customHeight="false" outlineLevel="0" collapsed="false">
      <c r="B64129" s="0" t="s">
        <v>1</v>
      </c>
    </row>
    <row r="64130" customFormat="false" ht="12.8" hidden="false" customHeight="false" outlineLevel="0" collapsed="false">
      <c r="B64130" s="0" t="s">
        <v>21299</v>
      </c>
    </row>
    <row r="64131" customFormat="false" ht="12.8" hidden="false" customHeight="false" outlineLevel="0" collapsed="false">
      <c r="B64131" s="0" t="s">
        <v>52</v>
      </c>
    </row>
    <row r="64133" customFormat="false" ht="12.8" hidden="false" customHeight="false" outlineLevel="0" collapsed="false">
      <c r="A64133" s="0" t="s">
        <v>21325</v>
      </c>
      <c r="B64133" s="0" t="str">
        <f aca="false">HYPERLINK("https://lindat.mff.cuni.cz/services/teitok/pdtc10/index.php?action=vallex&amp;frame=v-w8766hsa_363", "zadávat (v-w8766hsa_363) - substituted with v-w8766f2_ZU")</f>
        <v>zadávat (v-w8766hsa_363) - substituted with v-w8766f2_ZU</v>
      </c>
    </row>
    <row r="64134" customFormat="false" ht="12.8" hidden="false" customHeight="false" outlineLevel="0" collapsed="false">
      <c r="B64134" s="0" t="s">
        <v>1</v>
      </c>
    </row>
    <row r="64135" customFormat="false" ht="12.8" hidden="false" customHeight="false" outlineLevel="0" collapsed="false">
      <c r="B64135" s="0" t="s">
        <v>21299</v>
      </c>
    </row>
    <row r="64136" customFormat="false" ht="12.8" hidden="false" customHeight="false" outlineLevel="0" collapsed="false">
      <c r="B64136" s="0" t="s">
        <v>52</v>
      </c>
    </row>
    <row r="64138" customFormat="false" ht="12.8" hidden="false" customHeight="false" outlineLevel="0" collapsed="false">
      <c r="A64138" s="0" t="s">
        <v>21326</v>
      </c>
      <c r="B64138" s="0" t="str">
        <f aca="false">HYPERLINK("https://lindat.mff.cuni.cz/services/teitok/pdtc10/index.php?action=vallex&amp;frame=v-w8766f3_ZU", "zadávat (v-w8766f3_ZU)")</f>
        <v>zadávat (v-w8766f3_ZU)</v>
      </c>
    </row>
    <row r="64139" customFormat="false" ht="12.8" hidden="false" customHeight="false" outlineLevel="0" collapsed="false">
      <c r="B64139" s="0" t="s">
        <v>1</v>
      </c>
    </row>
    <row r="64140" customFormat="false" ht="12.8" hidden="false" customHeight="false" outlineLevel="0" collapsed="false">
      <c r="B64140" s="0" t="s">
        <v>5362</v>
      </c>
    </row>
    <row r="64141" customFormat="false" ht="12.8" hidden="false" customHeight="false" outlineLevel="0" collapsed="false">
      <c r="B64141" s="0" t="s">
        <v>52</v>
      </c>
    </row>
    <row r="64143" customFormat="false" ht="12.8" hidden="false" customHeight="false" outlineLevel="0" collapsed="false">
      <c r="A64143" s="0" t="s">
        <v>21326</v>
      </c>
      <c r="B64143" s="0" t="str">
        <f aca="false">HYPERLINK("https://lindat.mff.cuni.cz/services/teitok/pdtc10/index.php?action=vallex&amp;frame=v-w8766hsa_268", "zadávat (v-w8766hsa_268) - substituted with v-w8766f3_ZU")</f>
        <v>zadávat (v-w8766hsa_268) - substituted with v-w8766f3_ZU</v>
      </c>
    </row>
    <row r="64144" customFormat="false" ht="12.8" hidden="false" customHeight="false" outlineLevel="0" collapsed="false">
      <c r="B64144" s="0" t="s">
        <v>1</v>
      </c>
    </row>
    <row r="64145" customFormat="false" ht="12.8" hidden="false" customHeight="false" outlineLevel="0" collapsed="false">
      <c r="B64145" s="0" t="s">
        <v>5362</v>
      </c>
    </row>
    <row r="64146" customFormat="false" ht="12.8" hidden="false" customHeight="false" outlineLevel="0" collapsed="false">
      <c r="B64146" s="0" t="s">
        <v>52</v>
      </c>
    </row>
    <row r="64148" customFormat="false" ht="12.8" hidden="false" customHeight="false" outlineLevel="0" collapsed="false">
      <c r="A64148" s="0" t="s">
        <v>21327</v>
      </c>
      <c r="B64148" s="0" t="str">
        <f aca="false">HYPERLINK("https://lindat.mff.cuni.cz/services/teitok/pdtc10/index.php?action=vallex&amp;frame=v-w11967_ZUf1_ZU", "zadívat se (v-w11967_ZUf1_ZU)")</f>
        <v>zadívat se (v-w11967_ZUf1_ZU)</v>
      </c>
    </row>
    <row r="64149" customFormat="false" ht="12.8" hidden="false" customHeight="false" outlineLevel="0" collapsed="false">
      <c r="B64149" s="0" t="s">
        <v>1</v>
      </c>
    </row>
    <row r="64150" customFormat="false" ht="12.8" hidden="false" customHeight="false" outlineLevel="0" collapsed="false">
      <c r="B64150" s="0" t="s">
        <v>454</v>
      </c>
    </row>
    <row r="64152" customFormat="false" ht="12.8" hidden="false" customHeight="false" outlineLevel="0" collapsed="false">
      <c r="A64152" s="0" t="s">
        <v>21328</v>
      </c>
      <c r="B64152" s="0" t="str">
        <f aca="false">HYPERLINK("https://lindat.mff.cuni.cz/services/teitok/pdtc10/index.php?action=vallex&amp;frame=v-w11916_ZUf1_ZU", "zadýchávat se (v-w11916_ZUf1_ZU)")</f>
        <v>zadýchávat se (v-w11916_ZUf1_ZU)</v>
      </c>
    </row>
    <row r="64153" customFormat="false" ht="12.8" hidden="false" customHeight="false" outlineLevel="0" collapsed="false">
      <c r="B64153" s="0" t="s">
        <v>1</v>
      </c>
    </row>
    <row r="64155" customFormat="false" ht="12.8" hidden="false" customHeight="false" outlineLevel="0" collapsed="false">
      <c r="A64155" s="0" t="s">
        <v>21329</v>
      </c>
      <c r="B64155" s="0" t="str">
        <f aca="false">HYPERLINK("https://lindat.mff.cuni.cz/services/teitok/pdtc10/index.php?action=vallex&amp;frame=v-w10942f2", "zadělat (v-w10942f2)")</f>
        <v>zadělat (v-w10942f2)</v>
      </c>
    </row>
    <row r="64156" customFormat="false" ht="12.8" hidden="false" customHeight="false" outlineLevel="0" collapsed="false">
      <c r="B64156" s="0" t="s">
        <v>1</v>
      </c>
    </row>
    <row r="64157" customFormat="false" ht="12.8" hidden="false" customHeight="false" outlineLevel="0" collapsed="false">
      <c r="B64157" s="0" t="s">
        <v>45</v>
      </c>
    </row>
    <row r="64159" customFormat="false" ht="12.8" hidden="false" customHeight="false" outlineLevel="0" collapsed="false">
      <c r="A64159" s="0" t="s">
        <v>21330</v>
      </c>
      <c r="B64159" s="0" t="str">
        <f aca="false">HYPERLINK("https://lindat.mff.cuni.cz/services/teitok/pdtc10/index.php?action=vallex&amp;frame=v-w10331f2", "zaevidovat (v-w10331f2)")</f>
        <v>zaevidovat (v-w10331f2)</v>
      </c>
      <c r="E64159" s="0" t="str">
        <f aca="false">HYPERLINK("https://lindat.mff.cuni.cz/services/SynSemClass40/SynSemClass40.html?veclass=vec00507#vec00507-ces-cm00025", "vec00507")</f>
        <v>vec00507</v>
      </c>
      <c r="F64159" s="0" t="s">
        <v>14791</v>
      </c>
    </row>
    <row r="64160" customFormat="false" ht="12.8" hidden="false" customHeight="false" outlineLevel="0" collapsed="false">
      <c r="B64160" s="0" t="s">
        <v>1</v>
      </c>
      <c r="C64160" s="0" t="s">
        <v>11762</v>
      </c>
      <c r="E64160" s="0" t="s">
        <v>31</v>
      </c>
      <c r="F64160" s="0" t="s">
        <v>14792</v>
      </c>
    </row>
    <row r="64161" customFormat="false" ht="12.8" hidden="false" customHeight="false" outlineLevel="0" collapsed="false">
      <c r="B64161" s="0" t="s">
        <v>59</v>
      </c>
      <c r="C64161" s="0" t="s">
        <v>14793</v>
      </c>
      <c r="E64161" s="0" t="s">
        <v>180</v>
      </c>
      <c r="F64161" s="0" t="s">
        <v>14794</v>
      </c>
    </row>
    <row r="64163" customFormat="false" ht="12.8" hidden="false" customHeight="false" outlineLevel="0" collapsed="false">
      <c r="A64163" s="0" t="s">
        <v>21331</v>
      </c>
      <c r="B64163" s="0" t="str">
        <f aca="false">HYPERLINK("https://lindat.mff.cuni.cz/services/teitok/pdtc10/index.php?action=vallex&amp;frame=v-w10896f3", "zafixovat (v-w10896f3)")</f>
        <v>zafixovat (v-w10896f3)</v>
      </c>
    </row>
    <row r="64164" customFormat="false" ht="12.8" hidden="false" customHeight="false" outlineLevel="0" collapsed="false">
      <c r="B64164" s="0" t="s">
        <v>1</v>
      </c>
    </row>
    <row r="64165" customFormat="false" ht="12.8" hidden="false" customHeight="false" outlineLevel="0" collapsed="false">
      <c r="B64165" s="0" t="s">
        <v>8</v>
      </c>
    </row>
    <row r="64167" customFormat="false" ht="12.8" hidden="false" customHeight="false" outlineLevel="0" collapsed="false">
      <c r="A64167" s="0" t="s">
        <v>21332</v>
      </c>
      <c r="B64167" s="0" t="str">
        <f aca="false">HYPERLINK("https://lindat.mff.cuni.cz/services/teitok/pdtc10/index.php?action=vallex&amp;frame=v-w8781f1", "zafungovat (v-w8781f1)")</f>
        <v>zafungovat (v-w8781f1)</v>
      </c>
      <c r="E64167" s="0" t="str">
        <f aca="false">HYPERLINK("https://lindat.mff.cuni.cz/services/SynSemClass40/SynSemClass40.html?veclass=vec00221#vec00221-ces-cm00043", "vec00221")</f>
        <v>vec00221</v>
      </c>
      <c r="F64167" s="0" t="s">
        <v>1051</v>
      </c>
    </row>
    <row r="64168" customFormat="false" ht="12.8" hidden="false" customHeight="false" outlineLevel="0" collapsed="false">
      <c r="B64168" s="0" t="s">
        <v>1</v>
      </c>
      <c r="C64168" s="0" t="s">
        <v>1052</v>
      </c>
      <c r="E64168" s="0" t="s">
        <v>1053</v>
      </c>
      <c r="F64168" s="0" t="s">
        <v>1054</v>
      </c>
    </row>
    <row r="64170" customFormat="false" ht="12.8" hidden="false" customHeight="false" outlineLevel="0" collapsed="false">
      <c r="A64170" s="0" t="s">
        <v>21333</v>
      </c>
      <c r="B64170" s="0" t="str">
        <f aca="false">HYPERLINK("https://lindat.mff.cuni.cz/services/teitok/pdtc10/index.php?action=vallex&amp;frame=v-whsa_1389hsa_1390", "zagitovat (v-whsa_1389hsa_1390)")</f>
        <v>zagitovat (v-whsa_1389hsa_1390)</v>
      </c>
    </row>
    <row r="64171" customFormat="false" ht="12.8" hidden="false" customHeight="false" outlineLevel="0" collapsed="false">
      <c r="B64171" s="0" t="s">
        <v>1</v>
      </c>
    </row>
    <row r="64172" customFormat="false" ht="12.8" hidden="false" customHeight="false" outlineLevel="0" collapsed="false">
      <c r="B64172" s="0" t="s">
        <v>8</v>
      </c>
    </row>
    <row r="64174" customFormat="false" ht="12.8" hidden="false" customHeight="false" outlineLevel="0" collapsed="false">
      <c r="A64174" s="0" t="s">
        <v>21334</v>
      </c>
      <c r="B64174" s="0" t="str">
        <f aca="false">HYPERLINK("https://lindat.mff.cuni.cz/services/teitok/pdtc10/index.php?action=vallex&amp;frame=v-w8785f1", "zahajovat (v-w8785f1)")</f>
        <v>zahajovat (v-w8785f1)</v>
      </c>
      <c r="E64174" s="0" t="str">
        <f aca="false">HYPERLINK("https://lindat.mff.cuni.cz/services/SynSemClass40/SynSemClass40.html?veclass=vec00038#vec00038-ces-cm00054", "vec00038")</f>
        <v>vec00038</v>
      </c>
      <c r="F64174" s="0" t="s">
        <v>74</v>
      </c>
    </row>
    <row r="64175" customFormat="false" ht="12.8" hidden="false" customHeight="false" outlineLevel="0" collapsed="false">
      <c r="B64175" s="0" t="s">
        <v>1</v>
      </c>
      <c r="C64175" s="0" t="s">
        <v>75</v>
      </c>
      <c r="E64175" s="0" t="s">
        <v>76</v>
      </c>
      <c r="F64175" s="0" t="s">
        <v>77</v>
      </c>
    </row>
    <row r="64176" customFormat="false" ht="12.8" hidden="false" customHeight="false" outlineLevel="0" collapsed="false">
      <c r="B64176" s="0" t="s">
        <v>8</v>
      </c>
      <c r="C64176" s="0" t="s">
        <v>78</v>
      </c>
      <c r="E64176" s="0" t="s">
        <v>79</v>
      </c>
      <c r="F64176" s="0" t="s">
        <v>80</v>
      </c>
    </row>
    <row r="64178" customFormat="false" ht="12.8" hidden="false" customHeight="false" outlineLevel="0" collapsed="false">
      <c r="A64178" s="0" t="s">
        <v>21335</v>
      </c>
      <c r="B64178" s="0" t="str">
        <f aca="false">HYPERLINK("https://lindat.mff.cuni.cz/services/teitok/pdtc10/index.php?action=vallex&amp;frame=v-w8785f2_ZU", "zahajovat (v-w8785f2_ZU)")</f>
        <v>zahajovat (v-w8785f2_ZU)</v>
      </c>
      <c r="E64178" s="0" t="str">
        <f aca="false">HYPERLINK("https://lindat.mff.cuni.cz/services/SynSemClass40/SynSemClass40.html?veclass=vec00861#vec00861-ces-cm00022", "vec00861")</f>
        <v>vec00861</v>
      </c>
      <c r="F64178" s="0" t="s">
        <v>10062</v>
      </c>
    </row>
    <row r="64179" customFormat="false" ht="12.8" hidden="false" customHeight="false" outlineLevel="0" collapsed="false">
      <c r="B64179" s="0" t="s">
        <v>1</v>
      </c>
      <c r="C64179" s="0" t="s">
        <v>10063</v>
      </c>
      <c r="E64179" s="0" t="s">
        <v>10064</v>
      </c>
      <c r="F64179" s="0" t="s">
        <v>10065</v>
      </c>
    </row>
    <row r="64181" customFormat="false" ht="12.8" hidden="false" customHeight="false" outlineLevel="0" collapsed="false">
      <c r="A64181" s="0" t="s">
        <v>21336</v>
      </c>
      <c r="B64181" s="0" t="str">
        <f aca="false">HYPERLINK("https://lindat.mff.cuni.cz/services/teitok/pdtc10/index.php?action=vallex&amp;frame=v-w8785f3_ZU", "zahajovat (v-w8785f3_ZU)")</f>
        <v>zahajovat (v-w8785f3_ZU)</v>
      </c>
      <c r="E64181" s="0" t="str">
        <f aca="false">HYPERLINK("https://lindat.mff.cuni.cz/services/SynSemClass40/SynSemClass40.html?veclass=vec00059#vec00059-ces-cm00013", "vec00059")</f>
        <v>vec00059</v>
      </c>
      <c r="F64181" s="0" t="s">
        <v>9296</v>
      </c>
    </row>
    <row r="64182" customFormat="false" ht="12.8" hidden="false" customHeight="false" outlineLevel="0" collapsed="false">
      <c r="B64182" s="0" t="s">
        <v>1</v>
      </c>
      <c r="C64182" s="0" t="s">
        <v>9297</v>
      </c>
      <c r="E64182" s="0" t="s">
        <v>375</v>
      </c>
      <c r="F64182" s="0" t="s">
        <v>9298</v>
      </c>
    </row>
    <row r="64183" customFormat="false" ht="12.8" hidden="false" customHeight="false" outlineLevel="0" collapsed="false">
      <c r="B64183" s="0" t="s">
        <v>390</v>
      </c>
    </row>
    <row r="64184" customFormat="false" ht="12.8" hidden="false" customHeight="false" outlineLevel="0" collapsed="false">
      <c r="B64184" s="0" t="s">
        <v>5</v>
      </c>
      <c r="C64184" s="0" t="s">
        <v>9299</v>
      </c>
      <c r="E64184" s="0" t="s">
        <v>16663</v>
      </c>
      <c r="F64184" s="0" t="s">
        <v>21337</v>
      </c>
    </row>
    <row r="64186" customFormat="false" ht="12.8" hidden="false" customHeight="false" outlineLevel="0" collapsed="false">
      <c r="A64186" s="0" t="s">
        <v>21336</v>
      </c>
      <c r="B64186" s="0" t="str">
        <f aca="false">HYPERLINK("https://lindat.mff.cuni.cz/services/teitok/pdtc10/index.php?action=vallex&amp;frame=v-w8785hsa_1062", "zahajovat (v-w8785hsa_1062) - substituted with v-w8785f3_ZU")</f>
        <v>zahajovat (v-w8785hsa_1062) - substituted with v-w8785f3_ZU</v>
      </c>
    </row>
    <row r="64187" customFormat="false" ht="12.8" hidden="false" customHeight="false" outlineLevel="0" collapsed="false">
      <c r="B64187" s="0" t="s">
        <v>1</v>
      </c>
    </row>
    <row r="64188" customFormat="false" ht="12.8" hidden="false" customHeight="false" outlineLevel="0" collapsed="false">
      <c r="B64188" s="0" t="s">
        <v>390</v>
      </c>
    </row>
    <row r="64189" customFormat="false" ht="12.8" hidden="false" customHeight="false" outlineLevel="0" collapsed="false">
      <c r="B64189" s="0" t="s">
        <v>5</v>
      </c>
    </row>
    <row r="64191" customFormat="false" ht="12.8" hidden="false" customHeight="false" outlineLevel="0" collapsed="false">
      <c r="A64191" s="0" t="s">
        <v>21338</v>
      </c>
      <c r="B64191" s="0" t="str">
        <f aca="false">HYPERLINK("https://lindat.mff.cuni.cz/services/teitok/pdtc10/index.php?action=vallex&amp;frame=v-w8785hsa_1063", "zahajovat (v-w8785hsa_1063)")</f>
        <v>zahajovat (v-w8785hsa_1063)</v>
      </c>
    </row>
    <row r="64192" customFormat="false" ht="12.8" hidden="false" customHeight="false" outlineLevel="0" collapsed="false">
      <c r="B64192" s="0" t="s">
        <v>1</v>
      </c>
    </row>
    <row r="64193" customFormat="false" ht="12.8" hidden="false" customHeight="false" outlineLevel="0" collapsed="false">
      <c r="B64193" s="0" t="s">
        <v>5</v>
      </c>
    </row>
    <row r="64195" customFormat="false" ht="12.8" hidden="false" customHeight="false" outlineLevel="0" collapsed="false">
      <c r="A64195" s="0" t="s">
        <v>21339</v>
      </c>
      <c r="B64195" s="0" t="str">
        <f aca="false">HYPERLINK("https://lindat.mff.cuni.cz/services/teitok/pdtc10/index.php?action=vallex&amp;frame=v-w8786f1", "zahalit (v-w8786f1)")</f>
        <v>zahalit (v-w8786f1)</v>
      </c>
      <c r="E64195" s="0" t="str">
        <f aca="false">HYPERLINK("https://lindat.mff.cuni.cz/services/SynSemClass40/SynSemClass40.html?veclass=vec00769#vec00769-ces-cm00001", "vec00769")</f>
        <v>vec00769</v>
      </c>
      <c r="F64195" s="0" t="s">
        <v>4241</v>
      </c>
    </row>
    <row r="64196" customFormat="false" ht="12.8" hidden="false" customHeight="false" outlineLevel="0" collapsed="false">
      <c r="B64196" s="0" t="s">
        <v>1</v>
      </c>
      <c r="C64196" s="0" t="s">
        <v>4242</v>
      </c>
      <c r="E64196" s="0" t="s">
        <v>4243</v>
      </c>
      <c r="F64196" s="0" t="s">
        <v>4244</v>
      </c>
    </row>
    <row r="64197" customFormat="false" ht="12.8" hidden="false" customHeight="false" outlineLevel="0" collapsed="false">
      <c r="B64197" s="0" t="s">
        <v>4245</v>
      </c>
      <c r="C64197" s="0" t="s">
        <v>531</v>
      </c>
      <c r="E64197" s="0" t="s">
        <v>4246</v>
      </c>
      <c r="F64197" s="0" t="s">
        <v>4247</v>
      </c>
    </row>
    <row r="64198" customFormat="false" ht="12.8" hidden="false" customHeight="false" outlineLevel="0" collapsed="false">
      <c r="B64198" s="0" t="s">
        <v>4248</v>
      </c>
    </row>
    <row r="64200" customFormat="false" ht="12.8" hidden="false" customHeight="false" outlineLevel="0" collapsed="false">
      <c r="A64200" s="0" t="s">
        <v>21340</v>
      </c>
      <c r="B64200" s="0" t="str">
        <f aca="false">HYPERLINK("https://lindat.mff.cuni.cz/services/teitok/pdtc10/index.php?action=vallex&amp;frame=v-w8787f1", "zahalovat (v-w8787f1)")</f>
        <v>zahalovat (v-w8787f1)</v>
      </c>
      <c r="E64200" s="0" t="str">
        <f aca="false">HYPERLINK("https://lindat.mff.cuni.cz/services/SynSemClass40/SynSemClass40.html?veclass=vec00769#vec00769-ces-cm00008", "vec00769")</f>
        <v>vec00769</v>
      </c>
      <c r="F64200" s="0" t="s">
        <v>4241</v>
      </c>
    </row>
    <row r="64201" customFormat="false" ht="12.8" hidden="false" customHeight="false" outlineLevel="0" collapsed="false">
      <c r="B64201" s="0" t="s">
        <v>1</v>
      </c>
      <c r="C64201" s="0" t="s">
        <v>4242</v>
      </c>
      <c r="E64201" s="0" t="s">
        <v>4243</v>
      </c>
      <c r="F64201" s="0" t="s">
        <v>4244</v>
      </c>
    </row>
    <row r="64202" customFormat="false" ht="12.8" hidden="false" customHeight="false" outlineLevel="0" collapsed="false">
      <c r="B64202" s="0" t="s">
        <v>4245</v>
      </c>
      <c r="C64202" s="0" t="s">
        <v>531</v>
      </c>
      <c r="E64202" s="0" t="s">
        <v>4246</v>
      </c>
      <c r="F64202" s="0" t="s">
        <v>4247</v>
      </c>
    </row>
    <row r="64203" customFormat="false" ht="12.8" hidden="false" customHeight="false" outlineLevel="0" collapsed="false">
      <c r="B64203" s="0" t="s">
        <v>4248</v>
      </c>
    </row>
    <row r="64205" customFormat="false" ht="12.8" hidden="false" customHeight="false" outlineLevel="0" collapsed="false">
      <c r="A64205" s="0" t="s">
        <v>21341</v>
      </c>
      <c r="B64205" s="0" t="str">
        <f aca="false">HYPERLINK("https://lindat.mff.cuni.cz/services/teitok/pdtc10/index.php?action=vallex&amp;frame=v-w8788f1", "zahanbit (v-w8788f1)")</f>
        <v>zahanbit (v-w8788f1)</v>
      </c>
      <c r="E64205" s="0" t="str">
        <f aca="false">HYPERLINK("https://lindat.mff.cuni.cz/services/SynSemClass40/SynSemClass40.html?veclass=vec01192#vec01192-ces-cm00013", "vec01192")</f>
        <v>vec01192</v>
      </c>
      <c r="F64205" s="0" t="s">
        <v>2000</v>
      </c>
    </row>
    <row r="64206" customFormat="false" ht="12.8" hidden="false" customHeight="false" outlineLevel="0" collapsed="false">
      <c r="B64206" s="0" t="s">
        <v>1</v>
      </c>
      <c r="C64206" s="0" t="s">
        <v>512</v>
      </c>
      <c r="E64206" s="0" t="s">
        <v>11</v>
      </c>
      <c r="F64206" s="0" t="s">
        <v>1613</v>
      </c>
    </row>
    <row r="64207" customFormat="false" ht="12.8" hidden="false" customHeight="false" outlineLevel="0" collapsed="false">
      <c r="B64207" s="0" t="s">
        <v>8</v>
      </c>
      <c r="C64207" s="0" t="s">
        <v>2001</v>
      </c>
      <c r="E64207" s="0" t="s">
        <v>142</v>
      </c>
      <c r="F64207" s="0" t="s">
        <v>2002</v>
      </c>
    </row>
    <row r="64208" customFormat="false" ht="12.8" hidden="false" customHeight="false" outlineLevel="0" collapsed="false">
      <c r="B64208" s="0" t="s">
        <v>9339</v>
      </c>
    </row>
    <row r="64210" customFormat="false" ht="12.8" hidden="false" customHeight="false" outlineLevel="0" collapsed="false">
      <c r="A64210" s="0" t="s">
        <v>21342</v>
      </c>
      <c r="B64210" s="0" t="str">
        <f aca="false">HYPERLINK("https://lindat.mff.cuni.cz/services/teitok/pdtc10/index.php?action=vallex&amp;frame=v-w8790f1", "zahaprovat (v-w8790f1)")</f>
        <v>zahaprovat (v-w8790f1)</v>
      </c>
    </row>
    <row r="64211" customFormat="false" ht="12.8" hidden="false" customHeight="false" outlineLevel="0" collapsed="false">
      <c r="B64211" s="0" t="s">
        <v>1</v>
      </c>
    </row>
    <row r="64213" customFormat="false" ht="12.8" hidden="false" customHeight="false" outlineLevel="0" collapsed="false">
      <c r="A64213" s="0" t="s">
        <v>21343</v>
      </c>
      <c r="B64213" s="0" t="str">
        <f aca="false">HYPERLINK("https://lindat.mff.cuni.cz/services/teitok/pdtc10/index.php?action=vallex&amp;frame=v-whsa_429f1_ZU", "zahazovat (v-whsa_429f1_ZU)")</f>
        <v>zahazovat (v-whsa_429f1_ZU)</v>
      </c>
    </row>
    <row r="64214" customFormat="false" ht="12.8" hidden="false" customHeight="false" outlineLevel="0" collapsed="false">
      <c r="B64214" s="0" t="s">
        <v>1</v>
      </c>
    </row>
    <row r="64215" customFormat="false" ht="12.8" hidden="false" customHeight="false" outlineLevel="0" collapsed="false">
      <c r="B64215" s="0" t="s">
        <v>8</v>
      </c>
    </row>
    <row r="64217" customFormat="false" ht="12.8" hidden="false" customHeight="false" outlineLevel="0" collapsed="false">
      <c r="A64217" s="0" t="s">
        <v>21343</v>
      </c>
      <c r="B64217" s="0" t="str">
        <f aca="false">HYPERLINK("https://lindat.mff.cuni.cz/services/teitok/pdtc10/index.php?action=vallex&amp;frame=v-whsa_429hsa_430", "zahazovat (v-whsa_429hsa_430) - substituted with v-whsa_429f1_ZU")</f>
        <v>zahazovat (v-whsa_429hsa_430) - substituted with v-whsa_429f1_ZU</v>
      </c>
    </row>
    <row r="64218" customFormat="false" ht="12.8" hidden="false" customHeight="false" outlineLevel="0" collapsed="false">
      <c r="B64218" s="0" t="s">
        <v>1</v>
      </c>
    </row>
    <row r="64219" customFormat="false" ht="12.8" hidden="false" customHeight="false" outlineLevel="0" collapsed="false">
      <c r="B64219" s="0" t="s">
        <v>8</v>
      </c>
    </row>
    <row r="64221" customFormat="false" ht="12.8" hidden="false" customHeight="false" outlineLevel="0" collapsed="false">
      <c r="A64221" s="0" t="s">
        <v>21344</v>
      </c>
      <c r="B64221" s="0" t="str">
        <f aca="false">HYPERLINK("https://lindat.mff.cuni.cz/services/teitok/pdtc10/index.php?action=vallex&amp;frame=v-w8791f1", "zahladit (v-w8791f1)")</f>
        <v>zahladit (v-w8791f1)</v>
      </c>
    </row>
    <row r="64222" customFormat="false" ht="12.8" hidden="false" customHeight="false" outlineLevel="0" collapsed="false">
      <c r="B64222" s="0" t="s">
        <v>1</v>
      </c>
    </row>
    <row r="64223" customFormat="false" ht="12.8" hidden="false" customHeight="false" outlineLevel="0" collapsed="false">
      <c r="B64223" s="0" t="s">
        <v>228</v>
      </c>
    </row>
    <row r="64224" customFormat="false" ht="12.8" hidden="false" customHeight="false" outlineLevel="0" collapsed="false">
      <c r="B64224" s="0" t="s">
        <v>4248</v>
      </c>
    </row>
    <row r="64226" customFormat="false" ht="12.8" hidden="false" customHeight="false" outlineLevel="0" collapsed="false">
      <c r="A64226" s="0" t="s">
        <v>21345</v>
      </c>
      <c r="B64226" s="0" t="str">
        <f aca="false">HYPERLINK("https://lindat.mff.cuni.cz/services/teitok/pdtc10/index.php?action=vallex&amp;frame=v-w8792f1", "zahlazovat (v-w8792f1)")</f>
        <v>zahlazovat (v-w8792f1)</v>
      </c>
    </row>
    <row r="64227" customFormat="false" ht="12.8" hidden="false" customHeight="false" outlineLevel="0" collapsed="false">
      <c r="B64227" s="0" t="s">
        <v>1</v>
      </c>
    </row>
    <row r="64228" customFormat="false" ht="12.8" hidden="false" customHeight="false" outlineLevel="0" collapsed="false">
      <c r="B64228" s="0" t="s">
        <v>228</v>
      </c>
    </row>
    <row r="64229" customFormat="false" ht="12.8" hidden="false" customHeight="false" outlineLevel="0" collapsed="false">
      <c r="B64229" s="0" t="s">
        <v>4248</v>
      </c>
    </row>
    <row r="64231" customFormat="false" ht="12.8" hidden="false" customHeight="false" outlineLevel="0" collapsed="false">
      <c r="A64231" s="0" t="s">
        <v>21346</v>
      </c>
      <c r="B64231" s="0" t="str">
        <f aca="false">HYPERLINK("https://lindat.mff.cuni.cz/services/teitok/pdtc10/index.php?action=vallex&amp;frame=v-w8793f1", "zahledět se (v-w8793f1)")</f>
        <v>zahledět se (v-w8793f1)</v>
      </c>
    </row>
    <row r="64232" customFormat="false" ht="12.8" hidden="false" customHeight="false" outlineLevel="0" collapsed="false">
      <c r="B64232" s="0" t="s">
        <v>1</v>
      </c>
    </row>
    <row r="64233" customFormat="false" ht="12.8" hidden="false" customHeight="false" outlineLevel="0" collapsed="false">
      <c r="B64233" s="0" t="s">
        <v>164</v>
      </c>
    </row>
    <row r="64235" customFormat="false" ht="12.8" hidden="false" customHeight="false" outlineLevel="0" collapsed="false">
      <c r="A64235" s="0" t="s">
        <v>21347</v>
      </c>
      <c r="B64235" s="0" t="str">
        <f aca="false">HYPERLINK("https://lindat.mff.cuni.cz/services/teitok/pdtc10/index.php?action=vallex&amp;frame=v-w11635_ZUf2_ZU", "zahlodat (v-w11635_ZUf2_ZU)")</f>
        <v>zahlodat (v-w11635_ZUf2_ZU)</v>
      </c>
    </row>
    <row r="64236" customFormat="false" ht="12.8" hidden="false" customHeight="false" outlineLevel="0" collapsed="false">
      <c r="B64236" s="0" t="s">
        <v>21348</v>
      </c>
    </row>
    <row r="64237" customFormat="false" ht="12.8" hidden="false" customHeight="false" outlineLevel="0" collapsed="false">
      <c r="B64237" s="0" t="s">
        <v>21349</v>
      </c>
    </row>
    <row r="64238" customFormat="false" ht="12.8" hidden="false" customHeight="false" outlineLevel="0" collapsed="false">
      <c r="B64238" s="0" t="s">
        <v>21350</v>
      </c>
    </row>
    <row r="64240" customFormat="false" ht="12.8" hidden="false" customHeight="false" outlineLevel="0" collapsed="false">
      <c r="A64240" s="0" t="s">
        <v>21347</v>
      </c>
      <c r="B64240" s="0" t="str">
        <f aca="false">HYPERLINK("https://lindat.mff.cuni.cz/services/teitok/pdtc10/index.php?action=vallex&amp;frame=v-w11635_ZUf1_ZU", "zahlodat (v-w11635_ZUf1_ZU) - substituted with v-w11635_ZUf2_ZU")</f>
        <v>zahlodat (v-w11635_ZUf1_ZU) - substituted with v-w11635_ZUf2_ZU</v>
      </c>
    </row>
    <row r="64241" customFormat="false" ht="12.8" hidden="false" customHeight="false" outlineLevel="0" collapsed="false">
      <c r="B64241" s="0" t="s">
        <v>21348</v>
      </c>
    </row>
    <row r="64242" customFormat="false" ht="12.8" hidden="false" customHeight="false" outlineLevel="0" collapsed="false">
      <c r="B64242" s="0" t="s">
        <v>21349</v>
      </c>
    </row>
    <row r="64243" customFormat="false" ht="12.8" hidden="false" customHeight="false" outlineLevel="0" collapsed="false">
      <c r="B64243" s="0" t="s">
        <v>21350</v>
      </c>
    </row>
    <row r="64245" customFormat="false" ht="12.8" hidden="false" customHeight="false" outlineLevel="0" collapsed="false">
      <c r="A64245" s="0" t="s">
        <v>21351</v>
      </c>
      <c r="B64245" s="0" t="str">
        <f aca="false">HYPERLINK("https://lindat.mff.cuni.cz/services/teitok/pdtc10/index.php?action=vallex&amp;frame=v-w11384f2", "zahloubat se (v-w11384f2)")</f>
        <v>zahloubat se (v-w11384f2)</v>
      </c>
    </row>
    <row r="64246" customFormat="false" ht="12.8" hidden="false" customHeight="false" outlineLevel="0" collapsed="false">
      <c r="B64246" s="0" t="s">
        <v>1</v>
      </c>
    </row>
    <row r="64247" customFormat="false" ht="12.8" hidden="false" customHeight="false" outlineLevel="0" collapsed="false">
      <c r="B64247" s="0" t="s">
        <v>1187</v>
      </c>
    </row>
    <row r="64249" customFormat="false" ht="12.8" hidden="false" customHeight="false" outlineLevel="0" collapsed="false">
      <c r="A64249" s="0" t="s">
        <v>21352</v>
      </c>
      <c r="B64249" s="0" t="str">
        <f aca="false">HYPERLINK("https://lindat.mff.cuni.cz/services/teitok/pdtc10/index.php?action=vallex&amp;frame=v-w11477f1", "zahltit (v-w11477f1)")</f>
        <v>zahltit (v-w11477f1)</v>
      </c>
      <c r="E64249" s="0" t="str">
        <f aca="false">HYPERLINK("https://lindat.mff.cuni.cz/services/SynSemClass40/SynSemClass40.html?veclass=vec00576#vec00576-ces-cm00002", "vec00576")</f>
        <v>vec00576</v>
      </c>
      <c r="F64249" s="0" t="s">
        <v>8601</v>
      </c>
      <c r="H64249" s="0" t="str">
        <f aca="false">HYPERLINK("https://lindat.mff.cuni.cz/services/SynSemClass40/SynSemClass40.html?veclass=vec01376#vec01376-ces-cm00005", "vec01376")</f>
        <v>vec01376</v>
      </c>
      <c r="I64249" s="0" t="s">
        <v>21353</v>
      </c>
    </row>
    <row r="64250" customFormat="false" ht="12.8" hidden="false" customHeight="false" outlineLevel="0" collapsed="false">
      <c r="B64250" s="0" t="s">
        <v>1</v>
      </c>
      <c r="C64250" s="0" t="s">
        <v>21354</v>
      </c>
      <c r="E64250" s="0" t="s">
        <v>957</v>
      </c>
      <c r="F64250" s="0" t="s">
        <v>8603</v>
      </c>
      <c r="H64250" s="0" t="s">
        <v>9766</v>
      </c>
      <c r="I64250" s="0" t="s">
        <v>21355</v>
      </c>
    </row>
    <row r="64251" customFormat="false" ht="12.8" hidden="false" customHeight="false" outlineLevel="0" collapsed="false">
      <c r="B64251" s="0" t="s">
        <v>8</v>
      </c>
      <c r="C64251" s="0" t="s">
        <v>21356</v>
      </c>
      <c r="E64251" s="0" t="s">
        <v>142</v>
      </c>
      <c r="F64251" s="0" t="s">
        <v>8605</v>
      </c>
      <c r="H64251" s="0" t="s">
        <v>2588</v>
      </c>
      <c r="I64251" s="0" t="s">
        <v>21357</v>
      </c>
    </row>
    <row r="64253" customFormat="false" ht="12.8" hidden="false" customHeight="false" outlineLevel="0" collapsed="false">
      <c r="A64253" s="0" t="s">
        <v>21358</v>
      </c>
      <c r="B64253" s="0" t="str">
        <f aca="false">HYPERLINK("https://lindat.mff.cuni.cz/services/teitok/pdtc10/index.php?action=vallex&amp;frame=v-w8795f1", "zahltit se (v-w8795f1)")</f>
        <v>zahltit se (v-w8795f1)</v>
      </c>
    </row>
    <row r="64254" customFormat="false" ht="12.8" hidden="false" customHeight="false" outlineLevel="0" collapsed="false">
      <c r="B64254" s="0" t="s">
        <v>1</v>
      </c>
    </row>
    <row r="64255" customFormat="false" ht="12.8" hidden="false" customHeight="false" outlineLevel="0" collapsed="false">
      <c r="B64255" s="0" t="s">
        <v>4287</v>
      </c>
    </row>
    <row r="64257" customFormat="false" ht="12.8" hidden="false" customHeight="false" outlineLevel="0" collapsed="false">
      <c r="A64257" s="0" t="s">
        <v>21359</v>
      </c>
      <c r="B64257" s="0" t="str">
        <f aca="false">HYPERLINK("https://lindat.mff.cuni.cz/services/teitok/pdtc10/index.php?action=vallex&amp;frame=v-w8794f1", "zahlédnout (v-w8794f1)")</f>
        <v>zahlédnout (v-w8794f1)</v>
      </c>
      <c r="E64257" s="0" t="str">
        <f aca="false">HYPERLINK("https://lindat.mff.cuni.cz/services/SynSemClass40/SynSemClass40.html?veclass=vec00154#vec00154-ces-cm00117", "vec00154")</f>
        <v>vec00154</v>
      </c>
      <c r="F64257" s="0" t="s">
        <v>11901</v>
      </c>
    </row>
    <row r="64258" customFormat="false" ht="12.8" hidden="false" customHeight="false" outlineLevel="0" collapsed="false">
      <c r="B64258" s="0" t="s">
        <v>1</v>
      </c>
      <c r="C64258" s="0" t="s">
        <v>16248</v>
      </c>
      <c r="E64258" s="0" t="s">
        <v>637</v>
      </c>
      <c r="F64258" s="0" t="s">
        <v>11904</v>
      </c>
    </row>
    <row r="64259" customFormat="false" ht="12.8" hidden="false" customHeight="false" outlineLevel="0" collapsed="false">
      <c r="B64259" s="0" t="s">
        <v>1838</v>
      </c>
      <c r="C64259" s="0" t="s">
        <v>16249</v>
      </c>
      <c r="E64259" s="0" t="s">
        <v>640</v>
      </c>
      <c r="F64259" s="0" t="s">
        <v>11908</v>
      </c>
    </row>
    <row r="64261" customFormat="false" ht="12.8" hidden="false" customHeight="false" outlineLevel="0" collapsed="false">
      <c r="A64261" s="0" t="s">
        <v>21360</v>
      </c>
      <c r="B64261" s="0" t="str">
        <f aca="false">HYPERLINK("https://lindat.mff.cuni.cz/services/teitok/pdtc10/index.php?action=vallex&amp;frame=v-w8796f1", "zahnat (v-w8796f1)")</f>
        <v>zahnat (v-w8796f1)</v>
      </c>
    </row>
    <row r="64262" customFormat="false" ht="12.8" hidden="false" customHeight="false" outlineLevel="0" collapsed="false">
      <c r="B64262" s="0" t="s">
        <v>1</v>
      </c>
    </row>
    <row r="64263" customFormat="false" ht="12.8" hidden="false" customHeight="false" outlineLevel="0" collapsed="false">
      <c r="B64263" s="0" t="s">
        <v>8</v>
      </c>
    </row>
    <row r="64264" customFormat="false" ht="12.8" hidden="false" customHeight="false" outlineLevel="0" collapsed="false">
      <c r="B64264" s="0" t="s">
        <v>164</v>
      </c>
    </row>
    <row r="64266" customFormat="false" ht="12.8" hidden="false" customHeight="false" outlineLevel="0" collapsed="false">
      <c r="A64266" s="0" t="s">
        <v>21361</v>
      </c>
      <c r="B64266" s="0" t="str">
        <f aca="false">HYPERLINK("https://lindat.mff.cuni.cz/services/teitok/pdtc10/index.php?action=vallex&amp;frame=v-w8796f2", "zahnat (v-w8796f2)")</f>
        <v>zahnat (v-w8796f2)</v>
      </c>
      <c r="E64266" s="0" t="str">
        <f aca="false">HYPERLINK("https://lindat.mff.cuni.cz/services/SynSemClass40/SynSemClass40.html?veclass=vec00456#vec00456-ces-cm00006", "vec00456")</f>
        <v>vec00456</v>
      </c>
      <c r="F64266" s="0" t="s">
        <v>9207</v>
      </c>
    </row>
    <row r="64267" customFormat="false" ht="12.8" hidden="false" customHeight="false" outlineLevel="0" collapsed="false">
      <c r="B64267" s="0" t="s">
        <v>1</v>
      </c>
      <c r="C64267" s="0" t="s">
        <v>1752</v>
      </c>
      <c r="E64267" s="0" t="s">
        <v>31</v>
      </c>
      <c r="F64267" s="0" t="s">
        <v>5293</v>
      </c>
    </row>
    <row r="64268" customFormat="false" ht="12.8" hidden="false" customHeight="false" outlineLevel="0" collapsed="false">
      <c r="B64268" s="0" t="s">
        <v>8</v>
      </c>
      <c r="C64268" s="0" t="s">
        <v>8841</v>
      </c>
      <c r="E64268" s="0" t="s">
        <v>384</v>
      </c>
      <c r="F64268" s="0" t="s">
        <v>9208</v>
      </c>
    </row>
    <row r="64270" customFormat="false" ht="12.8" hidden="false" customHeight="false" outlineLevel="0" collapsed="false">
      <c r="A64270" s="0" t="s">
        <v>21362</v>
      </c>
      <c r="B64270" s="0" t="str">
        <f aca="false">HYPERLINK("https://lindat.mff.cuni.cz/services/teitok/pdtc10/index.php?action=vallex&amp;frame=v-w8796f6_ZU", "zahnat (v-w8796f6_ZU)")</f>
        <v>zahnat (v-w8796f6_ZU)</v>
      </c>
    </row>
    <row r="64271" customFormat="false" ht="12.8" hidden="false" customHeight="false" outlineLevel="0" collapsed="false">
      <c r="B64271" s="0" t="s">
        <v>1</v>
      </c>
    </row>
    <row r="64272" customFormat="false" ht="12.8" hidden="false" customHeight="false" outlineLevel="0" collapsed="false">
      <c r="B64272" s="0" t="s">
        <v>8</v>
      </c>
    </row>
    <row r="64274" customFormat="false" ht="12.8" hidden="false" customHeight="false" outlineLevel="0" collapsed="false">
      <c r="A64274" s="0" t="s">
        <v>21362</v>
      </c>
      <c r="B64274" s="0" t="str">
        <f aca="false">HYPERLINK("https://lindat.mff.cuni.cz/services/teitok/pdtc10/index.php?action=vallex&amp;frame=v-w8796f3", "zahnat (v-w8796f3) - substituted with v-w8796f6_ZU")</f>
        <v>zahnat (v-w8796f3) - substituted with v-w8796f6_ZU</v>
      </c>
      <c r="E64274" s="0" t="str">
        <f aca="false">HYPERLINK("https://lindat.mff.cuni.cz/services/SynSemClass40/SynSemClass40.html?veclass=vec00456#vec00456-ces-cm00022", "vec00456")</f>
        <v>vec00456</v>
      </c>
      <c r="F64274" s="0" t="s">
        <v>9207</v>
      </c>
      <c r="H64274" s="0" t="str">
        <f aca="false">HYPERLINK("https://lindat.mff.cuni.cz/services/SynSemClass40/SynSemClass40.html?veclass=vec00555#vec00555-ces-cm00110", "vec00555")</f>
        <v>vec00555</v>
      </c>
      <c r="I64274" s="0" t="s">
        <v>1918</v>
      </c>
      <c r="K64274" s="0" t="str">
        <f aca="false">HYPERLINK("https://lindat.mff.cuni.cz/services/SynSemClass40/SynSemClass40.html?veclass=vec00848#vec00848-ces-cm00010", "vec00848")</f>
        <v>vec00848</v>
      </c>
      <c r="L64274" s="0" t="s">
        <v>8813</v>
      </c>
    </row>
    <row r="64275" customFormat="false" ht="12.8" hidden="false" customHeight="false" outlineLevel="0" collapsed="false">
      <c r="B64275" s="0" t="s">
        <v>1</v>
      </c>
      <c r="C64275" s="0" t="s">
        <v>6471</v>
      </c>
      <c r="E64275" s="0" t="s">
        <v>31</v>
      </c>
      <c r="F64275" s="0" t="s">
        <v>5293</v>
      </c>
      <c r="H64275" s="0" t="s">
        <v>31</v>
      </c>
      <c r="I64275" s="0" t="s">
        <v>1920</v>
      </c>
      <c r="K64275" s="0" t="s">
        <v>31</v>
      </c>
      <c r="L64275" s="0" t="s">
        <v>460</v>
      </c>
    </row>
    <row r="64276" customFormat="false" ht="12.8" hidden="false" customHeight="false" outlineLevel="0" collapsed="false">
      <c r="B64276" s="0" t="s">
        <v>8</v>
      </c>
      <c r="C64276" s="0" t="s">
        <v>21363</v>
      </c>
      <c r="E64276" s="0" t="s">
        <v>384</v>
      </c>
      <c r="F64276" s="0" t="s">
        <v>9208</v>
      </c>
      <c r="H64276" s="0" t="s">
        <v>532</v>
      </c>
      <c r="I64276" s="0" t="s">
        <v>1922</v>
      </c>
      <c r="K64276" s="0" t="s">
        <v>142</v>
      </c>
      <c r="L64276" s="0" t="s">
        <v>8814</v>
      </c>
    </row>
    <row r="64278" customFormat="false" ht="12.8" hidden="false" customHeight="false" outlineLevel="0" collapsed="false">
      <c r="A64278" s="0" t="s">
        <v>21364</v>
      </c>
      <c r="B64278" s="0" t="str">
        <f aca="false">HYPERLINK("https://lindat.mff.cuni.cz/services/teitok/pdtc10/index.php?action=vallex&amp;frame=v-w8796f4", "zahnat (v-w8796f4)")</f>
        <v>zahnat (v-w8796f4)</v>
      </c>
    </row>
    <row r="64279" customFormat="false" ht="12.8" hidden="false" customHeight="false" outlineLevel="0" collapsed="false">
      <c r="B64279" s="0" t="s">
        <v>1</v>
      </c>
    </row>
    <row r="64280" customFormat="false" ht="12.8" hidden="false" customHeight="false" outlineLevel="0" collapsed="false">
      <c r="B64280" s="0" t="s">
        <v>2908</v>
      </c>
    </row>
    <row r="64281" customFormat="false" ht="12.8" hidden="false" customHeight="false" outlineLevel="0" collapsed="false">
      <c r="B64281" s="0" t="s">
        <v>8</v>
      </c>
    </row>
    <row r="64283" customFormat="false" ht="12.8" hidden="false" customHeight="false" outlineLevel="0" collapsed="false">
      <c r="A64283" s="0" t="s">
        <v>21365</v>
      </c>
      <c r="B64283" s="0" t="str">
        <f aca="false">HYPERLINK("https://lindat.mff.cuni.cz/services/teitok/pdtc10/index.php?action=vallex&amp;frame=v-w8796f5_ZU", "zahnat (v-w8796f5_ZU)")</f>
        <v>zahnat (v-w8796f5_ZU)</v>
      </c>
    </row>
    <row r="64284" customFormat="false" ht="12.8" hidden="false" customHeight="false" outlineLevel="0" collapsed="false">
      <c r="B64284" s="0" t="s">
        <v>1</v>
      </c>
    </row>
    <row r="64285" customFormat="false" ht="12.8" hidden="false" customHeight="false" outlineLevel="0" collapsed="false">
      <c r="B64285" s="0" t="s">
        <v>21366</v>
      </c>
    </row>
    <row r="64286" customFormat="false" ht="12.8" hidden="false" customHeight="false" outlineLevel="0" collapsed="false">
      <c r="B64286" s="0" t="s">
        <v>8</v>
      </c>
    </row>
    <row r="64288" customFormat="false" ht="12.8" hidden="false" customHeight="false" outlineLevel="0" collapsed="false">
      <c r="A64288" s="0" t="s">
        <v>21367</v>
      </c>
      <c r="B64288" s="0" t="str">
        <f aca="false">HYPERLINK("https://lindat.mff.cuni.cz/services/teitok/pdtc10/index.php?action=vallex&amp;frame=v-w8797f2", "zahnout (v-w8797f2)")</f>
        <v>zahnout (v-w8797f2)</v>
      </c>
    </row>
    <row r="64289" customFormat="false" ht="12.8" hidden="false" customHeight="false" outlineLevel="0" collapsed="false">
      <c r="B64289" s="0" t="s">
        <v>1</v>
      </c>
    </row>
    <row r="64290" customFormat="false" ht="12.8" hidden="false" customHeight="false" outlineLevel="0" collapsed="false">
      <c r="B64290" s="0" t="s">
        <v>8</v>
      </c>
    </row>
    <row r="64292" customFormat="false" ht="12.8" hidden="false" customHeight="false" outlineLevel="0" collapsed="false">
      <c r="A64292" s="0" t="s">
        <v>21368</v>
      </c>
      <c r="B64292" s="0" t="str">
        <f aca="false">HYPERLINK("https://lindat.mff.cuni.cz/services/teitok/pdtc10/index.php?action=vallex&amp;frame=v-w8797f1", "zahnout (v-w8797f1)")</f>
        <v>zahnout (v-w8797f1)</v>
      </c>
    </row>
    <row r="64293" customFormat="false" ht="12.8" hidden="false" customHeight="false" outlineLevel="0" collapsed="false">
      <c r="B64293" s="0" t="s">
        <v>1</v>
      </c>
    </row>
    <row r="64294" customFormat="false" ht="12.8" hidden="false" customHeight="false" outlineLevel="0" collapsed="false">
      <c r="B64294" s="0" t="s">
        <v>164</v>
      </c>
    </row>
    <row r="64296" customFormat="false" ht="12.8" hidden="false" customHeight="false" outlineLevel="0" collapsed="false">
      <c r="A64296" s="0" t="s">
        <v>21369</v>
      </c>
      <c r="B64296" s="0" t="str">
        <f aca="false">HYPERLINK("https://lindat.mff.cuni.cz/services/teitok/pdtc10/index.php?action=vallex&amp;frame=v-w8798f1", "zahodit (v-w8798f1)")</f>
        <v>zahodit (v-w8798f1)</v>
      </c>
      <c r="E64296" s="0" t="str">
        <f aca="false">HYPERLINK("https://lindat.mff.cuni.cz/services/SynSemClass40/SynSemClass40.html?veclass=vec00380#vec00380-ces-cm00050", "vec00380")</f>
        <v>vec00380</v>
      </c>
      <c r="F64296" s="0" t="s">
        <v>4414</v>
      </c>
    </row>
    <row r="64297" customFormat="false" ht="12.8" hidden="false" customHeight="false" outlineLevel="0" collapsed="false">
      <c r="B64297" s="0" t="s">
        <v>1</v>
      </c>
      <c r="C64297" s="0" t="s">
        <v>4415</v>
      </c>
      <c r="E64297" s="0" t="s">
        <v>4416</v>
      </c>
      <c r="F64297" s="0" t="s">
        <v>4417</v>
      </c>
    </row>
    <row r="64298" customFormat="false" ht="12.8" hidden="false" customHeight="false" outlineLevel="0" collapsed="false">
      <c r="B64298" s="0" t="s">
        <v>8</v>
      </c>
      <c r="C64298" s="0" t="s">
        <v>4418</v>
      </c>
      <c r="E64298" s="0" t="s">
        <v>532</v>
      </c>
      <c r="F64298" s="0" t="s">
        <v>4419</v>
      </c>
    </row>
    <row r="64300" customFormat="false" ht="12.8" hidden="false" customHeight="false" outlineLevel="0" collapsed="false">
      <c r="A64300" s="0" t="s">
        <v>21370</v>
      </c>
      <c r="B64300" s="0" t="str">
        <f aca="false">HYPERLINK("https://lindat.mff.cuni.cz/services/teitok/pdtc10/index.php?action=vallex&amp;frame=v-w8798hsa_854", "zahodit (v-w8798hsa_854)")</f>
        <v>zahodit (v-w8798hsa_854)</v>
      </c>
      <c r="E64300" s="0" t="str">
        <f aca="false">HYPERLINK("https://lindat.mff.cuni.cz/services/SynSemClass40/SynSemClass40.html?veclass=vec00380#vec00380-ces-cm00071", "vec00380")</f>
        <v>vec00380</v>
      </c>
      <c r="F64300" s="0" t="s">
        <v>4414</v>
      </c>
    </row>
    <row r="64301" customFormat="false" ht="12.8" hidden="false" customHeight="false" outlineLevel="0" collapsed="false">
      <c r="B64301" s="0" t="s">
        <v>1</v>
      </c>
      <c r="C64301" s="0" t="s">
        <v>4415</v>
      </c>
      <c r="E64301" s="0" t="s">
        <v>4416</v>
      </c>
      <c r="F64301" s="0" t="s">
        <v>4417</v>
      </c>
    </row>
    <row r="64302" customFormat="false" ht="12.8" hidden="false" customHeight="false" outlineLevel="0" collapsed="false">
      <c r="B64302" s="0" t="s">
        <v>8</v>
      </c>
      <c r="C64302" s="0" t="s">
        <v>4418</v>
      </c>
      <c r="E64302" s="0" t="s">
        <v>532</v>
      </c>
      <c r="F64302" s="0" t="s">
        <v>4419</v>
      </c>
    </row>
    <row r="64304" customFormat="false" ht="12.8" hidden="false" customHeight="false" outlineLevel="0" collapsed="false">
      <c r="A64304" s="0" t="s">
        <v>21371</v>
      </c>
      <c r="B64304" s="0" t="str">
        <f aca="false">HYPERLINK("https://lindat.mff.cuni.cz/services/teitok/pdtc10/index.php?action=vallex&amp;frame=v-w11370f1", "zahojit (v-w11370f1)")</f>
        <v>zahojit (v-w11370f1)</v>
      </c>
    </row>
    <row r="64305" customFormat="false" ht="12.8" hidden="false" customHeight="false" outlineLevel="0" collapsed="false">
      <c r="B64305" s="0" t="s">
        <v>1</v>
      </c>
    </row>
    <row r="64306" customFormat="false" ht="12.8" hidden="false" customHeight="false" outlineLevel="0" collapsed="false">
      <c r="B64306" s="0" t="s">
        <v>8</v>
      </c>
    </row>
    <row r="64308" customFormat="false" ht="12.8" hidden="false" customHeight="false" outlineLevel="0" collapsed="false">
      <c r="A64308" s="0" t="s">
        <v>21372</v>
      </c>
      <c r="B64308" s="0" t="str">
        <f aca="false">HYPERLINK("https://lindat.mff.cuni.cz/services/teitok/pdtc10/index.php?action=vallex&amp;frame=v-w8799f1", "zahojit se (v-w8799f1)")</f>
        <v>zahojit se (v-w8799f1)</v>
      </c>
    </row>
    <row r="64309" customFormat="false" ht="12.8" hidden="false" customHeight="false" outlineLevel="0" collapsed="false">
      <c r="B64309" s="0" t="s">
        <v>1</v>
      </c>
    </row>
    <row r="64310" customFormat="false" ht="12.8" hidden="false" customHeight="false" outlineLevel="0" collapsed="false">
      <c r="B64310" s="0" t="s">
        <v>291</v>
      </c>
    </row>
    <row r="64312" customFormat="false" ht="12.8" hidden="false" customHeight="false" outlineLevel="0" collapsed="false">
      <c r="A64312" s="0" t="s">
        <v>21373</v>
      </c>
      <c r="B64312" s="0" t="str">
        <f aca="false">HYPERLINK("https://lindat.mff.cuni.cz/services/teitok/pdtc10/index.php?action=vallex&amp;frame=v-w8799hsa_774", "zahojit se (v-w8799hsa_774)")</f>
        <v>zahojit se (v-w8799hsa_774)</v>
      </c>
    </row>
    <row r="64313" customFormat="false" ht="12.8" hidden="false" customHeight="false" outlineLevel="0" collapsed="false">
      <c r="B64313" s="0" t="s">
        <v>1</v>
      </c>
    </row>
    <row r="64315" customFormat="false" ht="12.8" hidden="false" customHeight="false" outlineLevel="0" collapsed="false">
      <c r="A64315" s="0" t="s">
        <v>21374</v>
      </c>
      <c r="B64315" s="0" t="str">
        <f aca="false">HYPERLINK("https://lindat.mff.cuni.cz/services/teitok/pdtc10/index.php?action=vallex&amp;frame=v-whsa_1002hsa_1003", "zahoukat (v-whsa_1002hsa_1003)")</f>
        <v>zahoukat (v-whsa_1002hsa_1003)</v>
      </c>
    </row>
    <row r="64316" customFormat="false" ht="12.8" hidden="false" customHeight="false" outlineLevel="0" collapsed="false">
      <c r="B64316" s="0" t="s">
        <v>1</v>
      </c>
    </row>
    <row r="64317" customFormat="false" ht="12.8" hidden="false" customHeight="false" outlineLevel="0" collapsed="false">
      <c r="B64317" s="0" t="s">
        <v>390</v>
      </c>
    </row>
    <row r="64319" customFormat="false" ht="12.8" hidden="false" customHeight="false" outlineLevel="0" collapsed="false">
      <c r="A64319" s="0" t="s">
        <v>21375</v>
      </c>
      <c r="B64319" s="0" t="str">
        <f aca="false">HYPERLINK("https://lindat.mff.cuni.cz/services/teitok/pdtc10/index.php?action=vallex&amp;frame=v-w11787_ZUf1_ZU", "zahrabat (v-w11787_ZUf1_ZU)")</f>
        <v>zahrabat (v-w11787_ZUf1_ZU)</v>
      </c>
    </row>
    <row r="64320" customFormat="false" ht="12.8" hidden="false" customHeight="false" outlineLevel="0" collapsed="false">
      <c r="B64320" s="0" t="s">
        <v>1</v>
      </c>
    </row>
    <row r="64321" customFormat="false" ht="12.8" hidden="false" customHeight="false" outlineLevel="0" collapsed="false">
      <c r="B64321" s="0" t="s">
        <v>8</v>
      </c>
    </row>
    <row r="64322" customFormat="false" ht="12.8" hidden="false" customHeight="false" outlineLevel="0" collapsed="false">
      <c r="B64322" s="0" t="s">
        <v>454</v>
      </c>
    </row>
    <row r="64324" customFormat="false" ht="12.8" hidden="false" customHeight="false" outlineLevel="0" collapsed="false">
      <c r="A64324" s="0" t="s">
        <v>21376</v>
      </c>
      <c r="B64324" s="0" t="str">
        <f aca="false">HYPERLINK("https://lindat.mff.cuni.cz/services/teitok/pdtc10/index.php?action=vallex&amp;frame=v-w11787_ZUf2_ZU", "zahrabat (v-w11787_ZUf2_ZU)")</f>
        <v>zahrabat (v-w11787_ZUf2_ZU)</v>
      </c>
    </row>
    <row r="64325" customFormat="false" ht="12.8" hidden="false" customHeight="false" outlineLevel="0" collapsed="false">
      <c r="B64325" s="0" t="s">
        <v>1</v>
      </c>
    </row>
    <row r="64326" customFormat="false" ht="12.8" hidden="false" customHeight="false" outlineLevel="0" collapsed="false">
      <c r="B64326" s="0" t="s">
        <v>8</v>
      </c>
    </row>
    <row r="64327" customFormat="false" ht="12.8" hidden="false" customHeight="false" outlineLevel="0" collapsed="false">
      <c r="B64327" s="0" t="s">
        <v>7045</v>
      </c>
    </row>
    <row r="64329" customFormat="false" ht="12.8" hidden="false" customHeight="false" outlineLevel="0" collapsed="false">
      <c r="A64329" s="0" t="s">
        <v>21377</v>
      </c>
      <c r="B64329" s="0" t="str">
        <f aca="false">HYPERLINK("https://lindat.mff.cuni.cz/services/teitok/pdtc10/index.php?action=vallex&amp;frame=v-w10397f2", "zahradit (v-w10397f2)")</f>
        <v>zahradit (v-w10397f2)</v>
      </c>
      <c r="E64329" s="0" t="str">
        <f aca="false">HYPERLINK("https://lindat.mff.cuni.cz/services/SynSemClass40/SynSemClass40.html?veclass=vec00570#vec00570-ces-cm00008", "vec00570")</f>
        <v>vec00570</v>
      </c>
      <c r="F64329" s="0" t="s">
        <v>21151</v>
      </c>
    </row>
    <row r="64330" customFormat="false" ht="12.8" hidden="false" customHeight="false" outlineLevel="0" collapsed="false">
      <c r="B64330" s="0" t="s">
        <v>1</v>
      </c>
      <c r="C64330" s="0" t="s">
        <v>512</v>
      </c>
      <c r="E64330" s="0" t="s">
        <v>7276</v>
      </c>
      <c r="F64330" s="0" t="s">
        <v>21152</v>
      </c>
    </row>
    <row r="64331" customFormat="false" ht="12.8" hidden="false" customHeight="false" outlineLevel="0" collapsed="false">
      <c r="B64331" s="0" t="s">
        <v>8</v>
      </c>
      <c r="C64331" s="0" t="s">
        <v>798</v>
      </c>
      <c r="E64331" s="0" t="s">
        <v>6241</v>
      </c>
      <c r="F64331" s="0" t="s">
        <v>12306</v>
      </c>
    </row>
    <row r="64332" customFormat="false" ht="12.8" hidden="false" customHeight="false" outlineLevel="0" collapsed="false">
      <c r="B64332" s="0" t="s">
        <v>132</v>
      </c>
    </row>
    <row r="64334" customFormat="false" ht="12.8" hidden="false" customHeight="false" outlineLevel="0" collapsed="false">
      <c r="A64334" s="0" t="s">
        <v>21378</v>
      </c>
      <c r="B64334" s="0" t="str">
        <f aca="false">HYPERLINK("https://lindat.mff.cuni.cz/services/teitok/pdtc10/index.php?action=vallex&amp;frame=v-w10397hsa_1792", "zahradit (v-w10397hsa_1792)")</f>
        <v>zahradit (v-w10397hsa_1792)</v>
      </c>
    </row>
    <row r="64335" customFormat="false" ht="12.8" hidden="false" customHeight="false" outlineLevel="0" collapsed="false">
      <c r="B64335" s="0" t="s">
        <v>1</v>
      </c>
    </row>
    <row r="64336" customFormat="false" ht="12.8" hidden="false" customHeight="false" outlineLevel="0" collapsed="false">
      <c r="B64336" s="0" t="s">
        <v>8</v>
      </c>
    </row>
    <row r="64338" customFormat="false" ht="12.8" hidden="false" customHeight="false" outlineLevel="0" collapsed="false">
      <c r="A64338" s="0" t="s">
        <v>21379</v>
      </c>
      <c r="B64338" s="0" t="str">
        <f aca="false">HYPERLINK("https://lindat.mff.cuni.cz/services/teitok/pdtc10/index.php?action=vallex&amp;frame=v-w11225f2", "zahradničit (v-w11225f2)")</f>
        <v>zahradničit (v-w11225f2)</v>
      </c>
      <c r="E64338" s="0" t="str">
        <f aca="false">HYPERLINK("https://lindat.mff.cuni.cz/services/SynSemClass40/SynSemClass40.html?veclass=vec01476#vec01476-ces-cm00003", "vec01476")</f>
        <v>vec01476</v>
      </c>
      <c r="F64338" s="0" t="s">
        <v>5135</v>
      </c>
    </row>
    <row r="64339" customFormat="false" ht="12.8" hidden="false" customHeight="false" outlineLevel="0" collapsed="false">
      <c r="B64339" s="0" t="s">
        <v>1</v>
      </c>
      <c r="E64339" s="0" t="s">
        <v>11</v>
      </c>
      <c r="F64339" s="0" t="s">
        <v>959</v>
      </c>
    </row>
    <row r="64341" customFormat="false" ht="12.8" hidden="false" customHeight="false" outlineLevel="0" collapsed="false">
      <c r="A64341" s="0" t="s">
        <v>21380</v>
      </c>
      <c r="B64341" s="0" t="str">
        <f aca="false">HYPERLINK("https://lindat.mff.cuni.cz/services/teitok/pdtc10/index.php?action=vallex&amp;frame=v-w8804f3", "zahrnout (v-w8804f3)")</f>
        <v>zahrnout (v-w8804f3)</v>
      </c>
    </row>
    <row r="64342" customFormat="false" ht="12.8" hidden="false" customHeight="false" outlineLevel="0" collapsed="false">
      <c r="B64342" s="0" t="s">
        <v>1</v>
      </c>
    </row>
    <row r="64343" customFormat="false" ht="12.8" hidden="false" customHeight="false" outlineLevel="0" collapsed="false">
      <c r="B64343" s="0" t="s">
        <v>286</v>
      </c>
    </row>
    <row r="64344" customFormat="false" ht="12.8" hidden="false" customHeight="false" outlineLevel="0" collapsed="false">
      <c r="B64344" s="0" t="s">
        <v>98</v>
      </c>
    </row>
    <row r="64346" customFormat="false" ht="12.8" hidden="false" customHeight="false" outlineLevel="0" collapsed="false">
      <c r="A64346" s="0" t="s">
        <v>21381</v>
      </c>
      <c r="B64346" s="0" t="str">
        <f aca="false">HYPERLINK("https://lindat.mff.cuni.cz/services/teitok/pdtc10/index.php?action=vallex&amp;frame=v-w8804f2", "zahrnout (v-w8804f2)")</f>
        <v>zahrnout (v-w8804f2)</v>
      </c>
    </row>
    <row r="64347" customFormat="false" ht="12.8" hidden="false" customHeight="false" outlineLevel="0" collapsed="false">
      <c r="B64347" s="0" t="s">
        <v>1</v>
      </c>
    </row>
    <row r="64348" customFormat="false" ht="12.8" hidden="false" customHeight="false" outlineLevel="0" collapsed="false">
      <c r="B64348" s="0" t="s">
        <v>8</v>
      </c>
    </row>
    <row r="64349" customFormat="false" ht="12.8" hidden="false" customHeight="false" outlineLevel="0" collapsed="false">
      <c r="B64349" s="0" t="s">
        <v>5</v>
      </c>
    </row>
    <row r="64351" customFormat="false" ht="12.8" hidden="false" customHeight="false" outlineLevel="0" collapsed="false">
      <c r="A64351" s="0" t="s">
        <v>21382</v>
      </c>
      <c r="B64351" s="0" t="str">
        <f aca="false">HYPERLINK("https://lindat.mff.cuni.cz/services/teitok/pdtc10/index.php?action=vallex&amp;frame=v-w8804f1", "zahrnout (v-w8804f1)")</f>
        <v>zahrnout (v-w8804f1)</v>
      </c>
      <c r="E64351" s="0" t="str">
        <f aca="false">HYPERLINK("https://lindat.mff.cuni.cz/services/SynSemClass40/SynSemClass40.html?veclass=vec00175#vec00175-ces-cm00001", "vec00175")</f>
        <v>vec00175</v>
      </c>
      <c r="F64351" s="0" t="s">
        <v>4861</v>
      </c>
      <c r="H64351" s="0" t="str">
        <f aca="false">HYPERLINK("https://lindat.mff.cuni.cz/services/SynSemClass40/SynSemClass40.html?veclass=vec01536#vec01536-ces-cm00039", "vec01536")</f>
        <v>vec01536</v>
      </c>
      <c r="I64351" s="0" t="s">
        <v>14025</v>
      </c>
    </row>
    <row r="64352" customFormat="false" ht="12.8" hidden="false" customHeight="false" outlineLevel="0" collapsed="false">
      <c r="B64352" s="0" t="s">
        <v>1</v>
      </c>
      <c r="C64352" s="0" t="s">
        <v>14026</v>
      </c>
      <c r="E64352" s="0" t="s">
        <v>31</v>
      </c>
      <c r="F64352" s="0" t="s">
        <v>13929</v>
      </c>
      <c r="H64352" s="0" t="s">
        <v>31</v>
      </c>
      <c r="I64352" s="0" t="s">
        <v>14027</v>
      </c>
    </row>
    <row r="64353" customFormat="false" ht="12.8" hidden="false" customHeight="false" outlineLevel="0" collapsed="false">
      <c r="B64353" s="0" t="s">
        <v>8</v>
      </c>
      <c r="C64353" s="0" t="s">
        <v>14028</v>
      </c>
      <c r="E64353" s="0" t="s">
        <v>13931</v>
      </c>
      <c r="F64353" s="0" t="s">
        <v>13932</v>
      </c>
      <c r="H64353" s="0" t="s">
        <v>110</v>
      </c>
      <c r="I64353" s="0" t="s">
        <v>14029</v>
      </c>
    </row>
    <row r="64354" customFormat="false" ht="12.8" hidden="false" customHeight="false" outlineLevel="0" collapsed="false">
      <c r="B64354" s="0" t="s">
        <v>164</v>
      </c>
      <c r="C64354" s="0" t="s">
        <v>14030</v>
      </c>
      <c r="E64354" s="0" t="s">
        <v>4866</v>
      </c>
      <c r="F64354" s="0" t="s">
        <v>4867</v>
      </c>
      <c r="H64354" s="0" t="s">
        <v>14031</v>
      </c>
      <c r="I64354" s="0" t="s">
        <v>14032</v>
      </c>
    </row>
    <row r="64356" customFormat="false" ht="12.8" hidden="false" customHeight="false" outlineLevel="0" collapsed="false">
      <c r="A64356" s="0" t="s">
        <v>21383</v>
      </c>
      <c r="B64356" s="0" t="str">
        <f aca="false">HYPERLINK("https://lindat.mff.cuni.cz/services/teitok/pdtc10/index.php?action=vallex&amp;frame=v-w8804f4", "zahrnout (v-w8804f4)")</f>
        <v>zahrnout (v-w8804f4)</v>
      </c>
      <c r="E64356" s="0" t="str">
        <f aca="false">HYPERLINK("https://lindat.mff.cuni.cz/services/SynSemClass40/SynSemClass40.html?veclass=vec00366#vec00366-ces-cm00065", "vec00366")</f>
        <v>vec00366</v>
      </c>
      <c r="F64356" s="0" t="s">
        <v>8570</v>
      </c>
    </row>
    <row r="64357" customFormat="false" ht="12.8" hidden="false" customHeight="false" outlineLevel="0" collapsed="false">
      <c r="B64357" s="0" t="s">
        <v>1</v>
      </c>
      <c r="C64357" s="0" t="s">
        <v>8571</v>
      </c>
      <c r="E64357" s="0" t="s">
        <v>2017</v>
      </c>
      <c r="F64357" s="0" t="s">
        <v>8572</v>
      </c>
    </row>
    <row r="64358" customFormat="false" ht="12.8" hidden="false" customHeight="false" outlineLevel="0" collapsed="false">
      <c r="B64358" s="0" t="s">
        <v>8</v>
      </c>
      <c r="C64358" s="0" t="s">
        <v>8573</v>
      </c>
      <c r="E64358" s="0" t="s">
        <v>110</v>
      </c>
      <c r="F64358" s="0" t="s">
        <v>8574</v>
      </c>
    </row>
    <row r="64360" customFormat="false" ht="12.8" hidden="false" customHeight="false" outlineLevel="0" collapsed="false">
      <c r="A64360" s="0" t="s">
        <v>21384</v>
      </c>
      <c r="B64360" s="0" t="str">
        <f aca="false">HYPERLINK("https://lindat.mff.cuni.cz/services/teitok/pdtc10/index.php?action=vallex&amp;frame=v-w8805f3", "zahrnovat (v-w8805f3)")</f>
        <v>zahrnovat (v-w8805f3)</v>
      </c>
    </row>
    <row r="64361" customFormat="false" ht="12.8" hidden="false" customHeight="false" outlineLevel="0" collapsed="false">
      <c r="B64361" s="0" t="s">
        <v>1</v>
      </c>
    </row>
    <row r="64362" customFormat="false" ht="12.8" hidden="false" customHeight="false" outlineLevel="0" collapsed="false">
      <c r="B64362" s="0" t="s">
        <v>286</v>
      </c>
    </row>
    <row r="64363" customFormat="false" ht="12.8" hidden="false" customHeight="false" outlineLevel="0" collapsed="false">
      <c r="B64363" s="0" t="s">
        <v>98</v>
      </c>
    </row>
    <row r="64365" customFormat="false" ht="12.8" hidden="false" customHeight="false" outlineLevel="0" collapsed="false">
      <c r="A64365" s="0" t="s">
        <v>21385</v>
      </c>
      <c r="B64365" s="0" t="str">
        <f aca="false">HYPERLINK("https://lindat.mff.cuni.cz/services/teitok/pdtc10/index.php?action=vallex&amp;frame=v-w8805f2", "zahrnovat (v-w8805f2)")</f>
        <v>zahrnovat (v-w8805f2)</v>
      </c>
      <c r="E64365" s="0" t="str">
        <f aca="false">HYPERLINK("https://lindat.mff.cuni.cz/services/SynSemClass40/SynSemClass40.html?veclass=vec00175#vec00175-ces-cm00047", "vec00175")</f>
        <v>vec00175</v>
      </c>
      <c r="F64365" s="0" t="s">
        <v>4861</v>
      </c>
      <c r="H64365" s="0" t="str">
        <f aca="false">HYPERLINK("https://lindat.mff.cuni.cz/services/SynSemClass40/SynSemClass40.html?veclass=vec01536#vec01536-ces-cm00044", "vec01536")</f>
        <v>vec01536</v>
      </c>
      <c r="I64365" s="0" t="s">
        <v>14025</v>
      </c>
    </row>
    <row r="64366" customFormat="false" ht="12.8" hidden="false" customHeight="false" outlineLevel="0" collapsed="false">
      <c r="B64366" s="0" t="s">
        <v>1</v>
      </c>
      <c r="C64366" s="0" t="s">
        <v>14026</v>
      </c>
      <c r="E64366" s="0" t="s">
        <v>31</v>
      </c>
      <c r="F64366" s="0" t="s">
        <v>13929</v>
      </c>
      <c r="H64366" s="0" t="s">
        <v>31</v>
      </c>
      <c r="I64366" s="0" t="s">
        <v>14027</v>
      </c>
    </row>
    <row r="64367" customFormat="false" ht="12.8" hidden="false" customHeight="false" outlineLevel="0" collapsed="false">
      <c r="B64367" s="0" t="s">
        <v>8</v>
      </c>
      <c r="C64367" s="0" t="s">
        <v>14028</v>
      </c>
      <c r="E64367" s="0" t="s">
        <v>13931</v>
      </c>
      <c r="F64367" s="0" t="s">
        <v>13932</v>
      </c>
      <c r="H64367" s="0" t="s">
        <v>110</v>
      </c>
      <c r="I64367" s="0" t="s">
        <v>14029</v>
      </c>
    </row>
    <row r="64368" customFormat="false" ht="12.8" hidden="false" customHeight="false" outlineLevel="0" collapsed="false">
      <c r="B64368" s="0" t="s">
        <v>164</v>
      </c>
      <c r="C64368" s="0" t="s">
        <v>14030</v>
      </c>
      <c r="E64368" s="0" t="s">
        <v>4866</v>
      </c>
      <c r="F64368" s="0" t="s">
        <v>4867</v>
      </c>
      <c r="H64368" s="0" t="s">
        <v>14031</v>
      </c>
      <c r="I64368" s="0" t="s">
        <v>14032</v>
      </c>
    </row>
    <row r="64370" customFormat="false" ht="12.8" hidden="false" customHeight="false" outlineLevel="0" collapsed="false">
      <c r="A64370" s="0" t="s">
        <v>21386</v>
      </c>
      <c r="B64370" s="0" t="str">
        <f aca="false">HYPERLINK("https://lindat.mff.cuni.cz/services/teitok/pdtc10/index.php?action=vallex&amp;frame=v-w8805f1", "zahrnovat (v-w8805f1)")</f>
        <v>zahrnovat (v-w8805f1)</v>
      </c>
      <c r="E64370" s="0" t="str">
        <f aca="false">HYPERLINK("https://lindat.mff.cuni.cz/services/SynSemClass40/SynSemClass40.html?veclass=vec00366#vec00366-ces-cm00001", "vec00366")</f>
        <v>vec00366</v>
      </c>
      <c r="F64370" s="0" t="s">
        <v>8570</v>
      </c>
    </row>
    <row r="64371" customFormat="false" ht="12.8" hidden="false" customHeight="false" outlineLevel="0" collapsed="false">
      <c r="B64371" s="0" t="s">
        <v>1</v>
      </c>
      <c r="C64371" s="0" t="s">
        <v>8571</v>
      </c>
      <c r="E64371" s="0" t="s">
        <v>2017</v>
      </c>
      <c r="F64371" s="0" t="s">
        <v>8572</v>
      </c>
    </row>
    <row r="64372" customFormat="false" ht="12.8" hidden="false" customHeight="false" outlineLevel="0" collapsed="false">
      <c r="B64372" s="0" t="s">
        <v>8</v>
      </c>
      <c r="C64372" s="0" t="s">
        <v>8573</v>
      </c>
      <c r="E64372" s="0" t="s">
        <v>110</v>
      </c>
      <c r="F64372" s="0" t="s">
        <v>8574</v>
      </c>
    </row>
    <row r="64374" customFormat="false" ht="12.8" hidden="false" customHeight="false" outlineLevel="0" collapsed="false">
      <c r="A64374" s="0" t="s">
        <v>21387</v>
      </c>
      <c r="B64374" s="0" t="str">
        <f aca="false">HYPERLINK("https://lindat.mff.cuni.cz/services/teitok/pdtc10/index.php?action=vallex&amp;frame=v-w8807f1", "zahrozit (v-w8807f1)")</f>
        <v>zahrozit (v-w8807f1)</v>
      </c>
    </row>
    <row r="64375" customFormat="false" ht="12.8" hidden="false" customHeight="false" outlineLevel="0" collapsed="false">
      <c r="B64375" s="0" t="s">
        <v>1</v>
      </c>
    </row>
    <row r="64376" customFormat="false" ht="12.8" hidden="false" customHeight="false" outlineLevel="0" collapsed="false">
      <c r="B64376" s="0" t="s">
        <v>4601</v>
      </c>
    </row>
    <row r="64377" customFormat="false" ht="12.8" hidden="false" customHeight="false" outlineLevel="0" collapsed="false">
      <c r="B64377" s="0" t="s">
        <v>52</v>
      </c>
    </row>
    <row r="64379" customFormat="false" ht="12.8" hidden="false" customHeight="false" outlineLevel="0" collapsed="false">
      <c r="A64379" s="0" t="s">
        <v>21388</v>
      </c>
      <c r="B64379" s="0" t="str">
        <f aca="false">HYPERLINK("https://lindat.mff.cuni.cz/services/teitok/pdtc10/index.php?action=vallex&amp;frame=v-w8800f1", "zahrát (v-w8800f1)")</f>
        <v>zahrát (v-w8800f1)</v>
      </c>
      <c r="E64379" s="0" t="str">
        <f aca="false">HYPERLINK("https://lindat.mff.cuni.cz/services/SynSemClass40/SynSemClass40.html?veclass=vec00611#vec00611-ces-cm00119", "vec00611")</f>
        <v>vec00611</v>
      </c>
      <c r="F64379" s="0" t="s">
        <v>1828</v>
      </c>
    </row>
    <row r="64380" customFormat="false" ht="12.8" hidden="false" customHeight="false" outlineLevel="0" collapsed="false">
      <c r="B64380" s="0" t="s">
        <v>1</v>
      </c>
      <c r="C64380" s="0" t="s">
        <v>1829</v>
      </c>
      <c r="E64380" s="0" t="s">
        <v>1830</v>
      </c>
      <c r="F64380" s="0" t="s">
        <v>1831</v>
      </c>
    </row>
    <row r="64381" customFormat="false" ht="12.8" hidden="false" customHeight="false" outlineLevel="0" collapsed="false">
      <c r="B64381" s="0" t="s">
        <v>8</v>
      </c>
      <c r="C64381" s="0" t="s">
        <v>4002</v>
      </c>
      <c r="E64381" s="0" t="s">
        <v>4634</v>
      </c>
      <c r="F64381" s="0" t="s">
        <v>4635</v>
      </c>
    </row>
    <row r="64383" customFormat="false" ht="12.8" hidden="false" customHeight="false" outlineLevel="0" collapsed="false">
      <c r="A64383" s="0" t="s">
        <v>21389</v>
      </c>
      <c r="B64383" s="0" t="str">
        <f aca="false">HYPERLINK("https://lindat.mff.cuni.cz/services/teitok/pdtc10/index.php?action=vallex&amp;frame=v-w8800f2", "zahrát (v-w8800f2)")</f>
        <v>zahrát (v-w8800f2)</v>
      </c>
      <c r="E64383" s="0" t="str">
        <f aca="false">HYPERLINK("https://lindat.mff.cuni.cz/services/SynSemClass40/SynSemClass40.html?veclass=vec00823#vec00823-ces-cm00028", "vec00823")</f>
        <v>vec00823</v>
      </c>
      <c r="F64383" s="0" t="s">
        <v>2321</v>
      </c>
    </row>
    <row r="64384" customFormat="false" ht="12.8" hidden="false" customHeight="false" outlineLevel="0" collapsed="false">
      <c r="B64384" s="0" t="s">
        <v>1</v>
      </c>
      <c r="E64384" s="0" t="s">
        <v>1830</v>
      </c>
      <c r="F64384" s="0" t="s">
        <v>2322</v>
      </c>
    </row>
    <row r="64385" customFormat="false" ht="12.8" hidden="false" customHeight="false" outlineLevel="0" collapsed="false">
      <c r="B64385" s="0" t="s">
        <v>8</v>
      </c>
      <c r="E64385" s="0" t="s">
        <v>2323</v>
      </c>
      <c r="F64385" s="0" t="s">
        <v>2324</v>
      </c>
    </row>
    <row r="64387" customFormat="false" ht="12.8" hidden="false" customHeight="false" outlineLevel="0" collapsed="false">
      <c r="A64387" s="0" t="s">
        <v>21390</v>
      </c>
      <c r="B64387" s="0" t="str">
        <f aca="false">HYPERLINK("https://lindat.mff.cuni.cz/services/teitok/pdtc10/index.php?action=vallex&amp;frame=v-w8800f3", "zahrát (v-w8800f3)")</f>
        <v>zahrát (v-w8800f3)</v>
      </c>
    </row>
    <row r="64388" customFormat="false" ht="12.8" hidden="false" customHeight="false" outlineLevel="0" collapsed="false">
      <c r="B64388" s="0" t="s">
        <v>1</v>
      </c>
    </row>
    <row r="64389" customFormat="false" ht="12.8" hidden="false" customHeight="false" outlineLevel="0" collapsed="false">
      <c r="B64389" s="0" t="s">
        <v>8</v>
      </c>
    </row>
    <row r="64391" customFormat="false" ht="12.8" hidden="false" customHeight="false" outlineLevel="0" collapsed="false">
      <c r="A64391" s="0" t="s">
        <v>21391</v>
      </c>
      <c r="B64391" s="0" t="str">
        <f aca="false">HYPERLINK("https://lindat.mff.cuni.cz/services/teitok/pdtc10/index.php?action=vallex&amp;frame=v-w8800f5_ZU", "zahrát (v-w8800f5_ZU)")</f>
        <v>zahrát (v-w8800f5_ZU)</v>
      </c>
    </row>
    <row r="64392" customFormat="false" ht="12.8" hidden="false" customHeight="false" outlineLevel="0" collapsed="false">
      <c r="B64392" s="0" t="s">
        <v>1</v>
      </c>
    </row>
    <row r="64393" customFormat="false" ht="12.8" hidden="false" customHeight="false" outlineLevel="0" collapsed="false">
      <c r="B64393" s="0" t="s">
        <v>21392</v>
      </c>
    </row>
    <row r="64394" customFormat="false" ht="12.8" hidden="false" customHeight="false" outlineLevel="0" collapsed="false">
      <c r="B64394" s="0" t="s">
        <v>186</v>
      </c>
    </row>
    <row r="64396" customFormat="false" ht="12.8" hidden="false" customHeight="false" outlineLevel="0" collapsed="false">
      <c r="A64396" s="0" t="s">
        <v>21391</v>
      </c>
      <c r="B64396" s="0" t="str">
        <f aca="false">HYPERLINK("https://lindat.mff.cuni.cz/services/teitok/pdtc10/index.php?action=vallex&amp;frame=v-w8800f4_ZU", "zahrát (v-w8800f4_ZU) - substituted with v-w8800f5_ZU")</f>
        <v>zahrát (v-w8800f4_ZU) - substituted with v-w8800f5_ZU</v>
      </c>
    </row>
    <row r="64397" customFormat="false" ht="12.8" hidden="false" customHeight="false" outlineLevel="0" collapsed="false">
      <c r="B64397" s="0" t="s">
        <v>1</v>
      </c>
    </row>
    <row r="64398" customFormat="false" ht="12.8" hidden="false" customHeight="false" outlineLevel="0" collapsed="false">
      <c r="B64398" s="0" t="s">
        <v>21392</v>
      </c>
    </row>
    <row r="64399" customFormat="false" ht="12.8" hidden="false" customHeight="false" outlineLevel="0" collapsed="false">
      <c r="B64399" s="0" t="s">
        <v>186</v>
      </c>
    </row>
    <row r="64401" customFormat="false" ht="12.8" hidden="false" customHeight="false" outlineLevel="0" collapsed="false">
      <c r="A64401" s="0" t="s">
        <v>21393</v>
      </c>
      <c r="B64401" s="0" t="str">
        <f aca="false">HYPERLINK("https://lindat.mff.cuni.cz/services/teitok/pdtc10/index.php?action=vallex&amp;frame=v-w8801f1", "zahrát si (v-w8801f1)")</f>
        <v>zahrát si (v-w8801f1)</v>
      </c>
    </row>
    <row r="64402" customFormat="false" ht="12.8" hidden="false" customHeight="false" outlineLevel="0" collapsed="false">
      <c r="B64402" s="0" t="s">
        <v>1</v>
      </c>
    </row>
    <row r="64403" customFormat="false" ht="12.8" hidden="false" customHeight="false" outlineLevel="0" collapsed="false">
      <c r="B64403" s="0" t="s">
        <v>3321</v>
      </c>
    </row>
    <row r="64405" customFormat="false" ht="12.8" hidden="false" customHeight="false" outlineLevel="0" collapsed="false">
      <c r="A64405" s="0" t="s">
        <v>21394</v>
      </c>
      <c r="B64405" s="0" t="str">
        <f aca="false">HYPERLINK("https://lindat.mff.cuni.cz/services/teitok/pdtc10/index.php?action=vallex&amp;frame=v-w8801hsa_944", "zahrát si (v-w8801hsa_944)")</f>
        <v>zahrát si (v-w8801hsa_944)</v>
      </c>
    </row>
    <row r="64406" customFormat="false" ht="12.8" hidden="false" customHeight="false" outlineLevel="0" collapsed="false">
      <c r="B64406" s="0" t="s">
        <v>1</v>
      </c>
    </row>
    <row r="64407" customFormat="false" ht="12.8" hidden="false" customHeight="false" outlineLevel="0" collapsed="false">
      <c r="B64407" s="0" t="s">
        <v>21395</v>
      </c>
    </row>
    <row r="64408" customFormat="false" ht="12.8" hidden="false" customHeight="false" outlineLevel="0" collapsed="false">
      <c r="B64408" s="0" t="s">
        <v>3205</v>
      </c>
    </row>
    <row r="64410" customFormat="false" ht="12.8" hidden="false" customHeight="false" outlineLevel="0" collapsed="false">
      <c r="A64410" s="0" t="s">
        <v>21396</v>
      </c>
      <c r="B64410" s="0" t="str">
        <f aca="false">HYPERLINK("https://lindat.mff.cuni.cz/services/teitok/pdtc10/index.php?action=vallex&amp;frame=v-w8802f1", "zahrávat (v-w8802f1)")</f>
        <v>zahrávat (v-w8802f1)</v>
      </c>
    </row>
    <row r="64411" customFormat="false" ht="12.8" hidden="false" customHeight="false" outlineLevel="0" collapsed="false">
      <c r="B64411" s="0" t="s">
        <v>1</v>
      </c>
    </row>
    <row r="64412" customFormat="false" ht="12.8" hidden="false" customHeight="false" outlineLevel="0" collapsed="false">
      <c r="B64412" s="0" t="s">
        <v>8</v>
      </c>
    </row>
    <row r="64414" customFormat="false" ht="12.8" hidden="false" customHeight="false" outlineLevel="0" collapsed="false">
      <c r="A64414" s="0" t="s">
        <v>21397</v>
      </c>
      <c r="B64414" s="0" t="str">
        <f aca="false">HYPERLINK("https://lindat.mff.cuni.cz/services/teitok/pdtc10/index.php?action=vallex&amp;frame=v-w8803f1", "zahrávat si (v-w8803f1)")</f>
        <v>zahrávat si (v-w8803f1)</v>
      </c>
    </row>
    <row r="64415" customFormat="false" ht="12.8" hidden="false" customHeight="false" outlineLevel="0" collapsed="false">
      <c r="B64415" s="0" t="s">
        <v>1</v>
      </c>
    </row>
    <row r="64416" customFormat="false" ht="12.8" hidden="false" customHeight="false" outlineLevel="0" collapsed="false">
      <c r="B64416" s="0" t="s">
        <v>3321</v>
      </c>
    </row>
    <row r="64418" customFormat="false" ht="12.8" hidden="false" customHeight="false" outlineLevel="0" collapsed="false">
      <c r="A64418" s="0" t="s">
        <v>21398</v>
      </c>
      <c r="B64418" s="0" t="str">
        <f aca="false">HYPERLINK("https://lindat.mff.cuni.cz/services/teitok/pdtc10/index.php?action=vallex&amp;frame=v-w8810f1", "zahubit (v-w8810f1)")</f>
        <v>zahubit (v-w8810f1)</v>
      </c>
    </row>
    <row r="64419" customFormat="false" ht="12.8" hidden="false" customHeight="false" outlineLevel="0" collapsed="false">
      <c r="B64419" s="0" t="s">
        <v>1</v>
      </c>
    </row>
    <row r="64420" customFormat="false" ht="12.8" hidden="false" customHeight="false" outlineLevel="0" collapsed="false">
      <c r="B64420" s="0" t="s">
        <v>8</v>
      </c>
    </row>
    <row r="64422" customFormat="false" ht="12.8" hidden="false" customHeight="false" outlineLevel="0" collapsed="false">
      <c r="A64422" s="0" t="s">
        <v>21399</v>
      </c>
      <c r="B64422" s="0" t="str">
        <f aca="false">HYPERLINK("https://lindat.mff.cuni.cz/services/teitok/pdtc10/index.php?action=vallex&amp;frame=v-w8810hsa_862", "zahubit (v-w8810hsa_862)")</f>
        <v>zahubit (v-w8810hsa_862)</v>
      </c>
    </row>
    <row r="64423" customFormat="false" ht="12.8" hidden="false" customHeight="false" outlineLevel="0" collapsed="false">
      <c r="B64423" s="0" t="s">
        <v>1</v>
      </c>
    </row>
    <row r="64424" customFormat="false" ht="12.8" hidden="false" customHeight="false" outlineLevel="0" collapsed="false">
      <c r="B64424" s="0" t="s">
        <v>8</v>
      </c>
    </row>
    <row r="64426" customFormat="false" ht="12.8" hidden="false" customHeight="false" outlineLevel="0" collapsed="false">
      <c r="A64426" s="0" t="s">
        <v>21400</v>
      </c>
      <c r="B64426" s="0" t="str">
        <f aca="false">HYPERLINK("https://lindat.mff.cuni.cz/services/teitok/pdtc10/index.php?action=vallex&amp;frame=v-w8811f1", "zahynout (v-w8811f1)")</f>
        <v>zahynout (v-w8811f1)</v>
      </c>
      <c r="E64426" s="0" t="str">
        <f aca="false">HYPERLINK("https://lindat.mff.cuni.cz/services/SynSemClass40/SynSemClass40.html?veclass=vec00383#vec00383-ces-cm00007", "vec00383")</f>
        <v>vec00383</v>
      </c>
      <c r="F64426" s="0" t="s">
        <v>10390</v>
      </c>
    </row>
    <row r="64427" customFormat="false" ht="12.8" hidden="false" customHeight="false" outlineLevel="0" collapsed="false">
      <c r="B64427" s="0" t="s">
        <v>1</v>
      </c>
      <c r="C64427" s="0" t="s">
        <v>10391</v>
      </c>
      <c r="E64427" s="0" t="s">
        <v>11</v>
      </c>
      <c r="F64427" s="0" t="s">
        <v>10392</v>
      </c>
    </row>
    <row r="64429" customFormat="false" ht="12.8" hidden="false" customHeight="false" outlineLevel="0" collapsed="false">
      <c r="A64429" s="0" t="s">
        <v>21401</v>
      </c>
      <c r="B64429" s="0" t="str">
        <f aca="false">HYPERLINK("https://lindat.mff.cuni.cz/services/teitok/pdtc10/index.php?action=vallex&amp;frame=v-w8784f1", "zahájit (v-w8784f1)")</f>
        <v>zahájit (v-w8784f1)</v>
      </c>
      <c r="E64429" s="0" t="str">
        <f aca="false">HYPERLINK("https://lindat.mff.cuni.cz/services/SynSemClass40/SynSemClass40.html?veclass=vec00038#vec00038-ces-cm00053", "vec00038")</f>
        <v>vec00038</v>
      </c>
      <c r="F64429" s="0" t="s">
        <v>74</v>
      </c>
    </row>
    <row r="64430" customFormat="false" ht="12.8" hidden="false" customHeight="false" outlineLevel="0" collapsed="false">
      <c r="B64430" s="0" t="s">
        <v>1</v>
      </c>
      <c r="C64430" s="0" t="s">
        <v>75</v>
      </c>
      <c r="E64430" s="0" t="s">
        <v>76</v>
      </c>
      <c r="F64430" s="0" t="s">
        <v>77</v>
      </c>
    </row>
    <row r="64431" customFormat="false" ht="12.8" hidden="false" customHeight="false" outlineLevel="0" collapsed="false">
      <c r="B64431" s="0" t="s">
        <v>8</v>
      </c>
      <c r="C64431" s="0" t="s">
        <v>78</v>
      </c>
      <c r="E64431" s="0" t="s">
        <v>79</v>
      </c>
      <c r="F64431" s="0" t="s">
        <v>80</v>
      </c>
    </row>
    <row r="64433" customFormat="false" ht="12.8" hidden="false" customHeight="false" outlineLevel="0" collapsed="false">
      <c r="A64433" s="0" t="s">
        <v>21402</v>
      </c>
      <c r="B64433" s="0" t="str">
        <f aca="false">HYPERLINK("https://lindat.mff.cuni.cz/services/teitok/pdtc10/index.php?action=vallex&amp;frame=v-w8784f2", "zahájit (v-w8784f2)")</f>
        <v>zahájit (v-w8784f2)</v>
      </c>
      <c r="E64433" s="0" t="str">
        <f aca="false">HYPERLINK("https://lindat.mff.cuni.cz/services/SynSemClass40/SynSemClass40.html?veclass=vec00861#vec00861-ces-cm00020", "vec00861")</f>
        <v>vec00861</v>
      </c>
      <c r="F64433" s="0" t="s">
        <v>10062</v>
      </c>
    </row>
    <row r="64434" customFormat="false" ht="12.8" hidden="false" customHeight="false" outlineLevel="0" collapsed="false">
      <c r="B64434" s="0" t="s">
        <v>1</v>
      </c>
      <c r="C64434" s="0" t="s">
        <v>10063</v>
      </c>
      <c r="E64434" s="0" t="s">
        <v>10064</v>
      </c>
      <c r="F64434" s="0" t="s">
        <v>10065</v>
      </c>
    </row>
    <row r="64436" customFormat="false" ht="12.8" hidden="false" customHeight="false" outlineLevel="0" collapsed="false">
      <c r="A64436" s="0" t="s">
        <v>21403</v>
      </c>
      <c r="B64436" s="0" t="str">
        <f aca="false">HYPERLINK("https://lindat.mff.cuni.cz/services/teitok/pdtc10/index.php?action=vallex&amp;frame=v-w8784f3_ZU", "zahájit (v-w8784f3_ZU)")</f>
        <v>zahájit (v-w8784f3_ZU)</v>
      </c>
      <c r="E64436" s="0" t="str">
        <f aca="false">HYPERLINK("https://lindat.mff.cuni.cz/services/SynSemClass40/SynSemClass40.html?veclass=vec00059#vec00059-ces-cm00014", "vec00059")</f>
        <v>vec00059</v>
      </c>
      <c r="F64436" s="0" t="s">
        <v>9296</v>
      </c>
    </row>
    <row r="64437" customFormat="false" ht="12.8" hidden="false" customHeight="false" outlineLevel="0" collapsed="false">
      <c r="B64437" s="0" t="s">
        <v>1</v>
      </c>
      <c r="C64437" s="0" t="s">
        <v>9297</v>
      </c>
      <c r="E64437" s="0" t="s">
        <v>375</v>
      </c>
      <c r="F64437" s="0" t="s">
        <v>9298</v>
      </c>
    </row>
    <row r="64438" customFormat="false" ht="12.8" hidden="false" customHeight="false" outlineLevel="0" collapsed="false">
      <c r="B64438" s="0" t="s">
        <v>5</v>
      </c>
      <c r="C64438" s="0" t="s">
        <v>9299</v>
      </c>
      <c r="E64438" s="0" t="s">
        <v>16663</v>
      </c>
      <c r="F64438" s="0" t="s">
        <v>21337</v>
      </c>
    </row>
    <row r="64439" customFormat="false" ht="12.8" hidden="false" customHeight="false" outlineLevel="0" collapsed="false">
      <c r="B64439" s="0" t="s">
        <v>390</v>
      </c>
    </row>
    <row r="64441" customFormat="false" ht="12.8" hidden="false" customHeight="false" outlineLevel="0" collapsed="false">
      <c r="A64441" s="0" t="s">
        <v>21404</v>
      </c>
      <c r="B64441" s="0" t="str">
        <f aca="false">HYPERLINK("https://lindat.mff.cuni.cz/services/teitok/pdtc10/index.php?action=vallex&amp;frame=v-w12267_ZUf1_ZU", "zaháknout (v-w12267_ZUf1_ZU)")</f>
        <v>zaháknout (v-w12267_ZUf1_ZU)</v>
      </c>
    </row>
    <row r="64442" customFormat="false" ht="12.8" hidden="false" customHeight="false" outlineLevel="0" collapsed="false">
      <c r="B64442" s="0" t="s">
        <v>1</v>
      </c>
    </row>
    <row r="64443" customFormat="false" ht="12.8" hidden="false" customHeight="false" outlineLevel="0" collapsed="false">
      <c r="B64443" s="0" t="s">
        <v>8</v>
      </c>
    </row>
    <row r="64445" customFormat="false" ht="12.8" hidden="false" customHeight="false" outlineLevel="0" collapsed="false">
      <c r="A64445" s="0" t="s">
        <v>21405</v>
      </c>
      <c r="B64445" s="0" t="str">
        <f aca="false">HYPERLINK("https://lindat.mff.cuni.cz/services/teitok/pdtc10/index.php?action=vallex&amp;frame=v-w10797f2", "zahálet (v-w10797f2)")</f>
        <v>zahálet (v-w10797f2)</v>
      </c>
    </row>
    <row r="64446" customFormat="false" ht="12.8" hidden="false" customHeight="false" outlineLevel="0" collapsed="false">
      <c r="B64446" s="0" t="s">
        <v>1</v>
      </c>
    </row>
    <row r="64448" customFormat="false" ht="12.8" hidden="false" customHeight="false" outlineLevel="0" collapsed="false">
      <c r="A64448" s="0" t="s">
        <v>21406</v>
      </c>
      <c r="B64448" s="0" t="str">
        <f aca="false">HYPERLINK("https://lindat.mff.cuni.cz/services/teitok/pdtc10/index.php?action=vallex&amp;frame=v-w8789f1", "zahánět (v-w8789f1)")</f>
        <v>zahánět (v-w8789f1)</v>
      </c>
    </row>
    <row r="64449" customFormat="false" ht="12.8" hidden="false" customHeight="false" outlineLevel="0" collapsed="false">
      <c r="B64449" s="0" t="s">
        <v>1</v>
      </c>
    </row>
    <row r="64450" customFormat="false" ht="12.8" hidden="false" customHeight="false" outlineLevel="0" collapsed="false">
      <c r="B64450" s="0" t="s">
        <v>8</v>
      </c>
    </row>
    <row r="64451" customFormat="false" ht="12.8" hidden="false" customHeight="false" outlineLevel="0" collapsed="false">
      <c r="B64451" s="0" t="s">
        <v>164</v>
      </c>
    </row>
    <row r="64453" customFormat="false" ht="12.8" hidden="false" customHeight="false" outlineLevel="0" collapsed="false">
      <c r="A64453" s="0" t="s">
        <v>21407</v>
      </c>
      <c r="B64453" s="0" t="str">
        <f aca="false">HYPERLINK("https://lindat.mff.cuni.cz/services/teitok/pdtc10/index.php?action=vallex&amp;frame=v-w8789f2", "zahánět (v-w8789f2)")</f>
        <v>zahánět (v-w8789f2)</v>
      </c>
      <c r="E64453" s="0" t="str">
        <f aca="false">HYPERLINK("https://lindat.mff.cuni.cz/services/SynSemClass40/SynSemClass40.html?veclass=vec00456#vec00456-ces-cm00021", "vec00456")</f>
        <v>vec00456</v>
      </c>
      <c r="F64453" s="0" t="s">
        <v>9207</v>
      </c>
    </row>
    <row r="64454" customFormat="false" ht="12.8" hidden="false" customHeight="false" outlineLevel="0" collapsed="false">
      <c r="B64454" s="0" t="s">
        <v>1</v>
      </c>
      <c r="C64454" s="0" t="s">
        <v>1752</v>
      </c>
      <c r="E64454" s="0" t="s">
        <v>31</v>
      </c>
      <c r="F64454" s="0" t="s">
        <v>5293</v>
      </c>
    </row>
    <row r="64455" customFormat="false" ht="12.8" hidden="false" customHeight="false" outlineLevel="0" collapsed="false">
      <c r="B64455" s="0" t="s">
        <v>8</v>
      </c>
      <c r="C64455" s="0" t="s">
        <v>8841</v>
      </c>
      <c r="E64455" s="0" t="s">
        <v>384</v>
      </c>
      <c r="F64455" s="0" t="s">
        <v>9208</v>
      </c>
    </row>
    <row r="64457" customFormat="false" ht="12.8" hidden="false" customHeight="false" outlineLevel="0" collapsed="false">
      <c r="A64457" s="0" t="s">
        <v>21408</v>
      </c>
      <c r="B64457" s="0" t="str">
        <f aca="false">HYPERLINK("https://lindat.mff.cuni.cz/services/teitok/pdtc10/index.php?action=vallex&amp;frame=v-w8789f3", "zahánět (v-w8789f3)")</f>
        <v>zahánět (v-w8789f3)</v>
      </c>
    </row>
    <row r="64458" customFormat="false" ht="12.8" hidden="false" customHeight="false" outlineLevel="0" collapsed="false">
      <c r="B64458" s="0" t="s">
        <v>1</v>
      </c>
    </row>
    <row r="64459" customFormat="false" ht="12.8" hidden="false" customHeight="false" outlineLevel="0" collapsed="false">
      <c r="B64459" s="0" t="s">
        <v>2908</v>
      </c>
    </row>
    <row r="64460" customFormat="false" ht="12.8" hidden="false" customHeight="false" outlineLevel="0" collapsed="false">
      <c r="B64460" s="0" t="s">
        <v>8</v>
      </c>
    </row>
    <row r="64462" customFormat="false" ht="12.8" hidden="false" customHeight="false" outlineLevel="0" collapsed="false">
      <c r="A64462" s="0" t="s">
        <v>21409</v>
      </c>
      <c r="B64462" s="0" t="str">
        <f aca="false">HYPERLINK("https://lindat.mff.cuni.cz/services/teitok/pdtc10/index.php?action=vallex&amp;frame=v-w11752_ZUf1_ZU", "zaházet (v-w11752_ZUf1_ZU)")</f>
        <v>zaházet (v-w11752_ZUf1_ZU)</v>
      </c>
    </row>
    <row r="64463" customFormat="false" ht="12.8" hidden="false" customHeight="false" outlineLevel="0" collapsed="false">
      <c r="B64463" s="0" t="s">
        <v>1</v>
      </c>
    </row>
    <row r="64464" customFormat="false" ht="12.8" hidden="false" customHeight="false" outlineLevel="0" collapsed="false">
      <c r="B64464" s="0" t="s">
        <v>8</v>
      </c>
    </row>
    <row r="64466" customFormat="false" ht="12.8" hidden="false" customHeight="false" outlineLevel="0" collapsed="false">
      <c r="A64466" s="0" t="s">
        <v>21410</v>
      </c>
      <c r="B64466" s="0" t="str">
        <f aca="false">HYPERLINK("https://lindat.mff.cuni.cz/services/teitok/pdtc10/index.php?action=vallex&amp;frame=v-w11134f2", "zahýbat (v-w11134f2)")</f>
        <v>zahýbat (v-w11134f2)</v>
      </c>
    </row>
    <row r="64467" customFormat="false" ht="12.8" hidden="false" customHeight="false" outlineLevel="0" collapsed="false">
      <c r="B64467" s="0" t="s">
        <v>1</v>
      </c>
    </row>
    <row r="64468" customFormat="false" ht="12.8" hidden="false" customHeight="false" outlineLevel="0" collapsed="false">
      <c r="B64468" s="0" t="s">
        <v>4277</v>
      </c>
    </row>
    <row r="64470" customFormat="false" ht="12.8" hidden="false" customHeight="false" outlineLevel="0" collapsed="false">
      <c r="A64470" s="0" t="s">
        <v>21411</v>
      </c>
      <c r="B64470" s="0" t="str">
        <f aca="false">HYPERLINK("https://lindat.mff.cuni.cz/services/teitok/pdtc10/index.php?action=vallex&amp;frame=v-w11134hsa_1968", "zahýbat (v-w11134hsa_1968)")</f>
        <v>zahýbat (v-w11134hsa_1968)</v>
      </c>
    </row>
    <row r="64471" customFormat="false" ht="12.8" hidden="false" customHeight="false" outlineLevel="0" collapsed="false">
      <c r="B64471" s="0" t="s">
        <v>1</v>
      </c>
    </row>
    <row r="64472" customFormat="false" ht="12.8" hidden="false" customHeight="false" outlineLevel="0" collapsed="false">
      <c r="B64472" s="0" t="s">
        <v>186</v>
      </c>
    </row>
    <row r="64474" customFormat="false" ht="12.8" hidden="false" customHeight="false" outlineLevel="0" collapsed="false">
      <c r="A64474" s="0" t="s">
        <v>21412</v>
      </c>
      <c r="B64474" s="0" t="str">
        <f aca="false">HYPERLINK("https://lindat.mff.cuni.cz/services/teitok/pdtc10/index.php?action=vallex&amp;frame=v-w12253_ZUf1_ZU", "zahýbat si (v-w12253_ZUf1_ZU)")</f>
        <v>zahýbat si (v-w12253_ZUf1_ZU)</v>
      </c>
    </row>
    <row r="64475" customFormat="false" ht="12.8" hidden="false" customHeight="false" outlineLevel="0" collapsed="false">
      <c r="B64475" s="0" t="s">
        <v>1</v>
      </c>
    </row>
    <row r="64476" customFormat="false" ht="12.8" hidden="false" customHeight="false" outlineLevel="0" collapsed="false">
      <c r="B64476" s="0" t="s">
        <v>21413</v>
      </c>
    </row>
    <row r="64478" customFormat="false" ht="12.8" hidden="false" customHeight="false" outlineLevel="0" collapsed="false">
      <c r="A64478" s="0" t="s">
        <v>21414</v>
      </c>
      <c r="B64478" s="0" t="str">
        <f aca="false">HYPERLINK("https://lindat.mff.cuni.cz/services/teitok/pdtc10/index.php?action=vallex&amp;frame=v-w8808f1", "zahřát (v-w8808f1)")</f>
        <v>zahřát (v-w8808f1)</v>
      </c>
    </row>
    <row r="64479" customFormat="false" ht="12.8" hidden="false" customHeight="false" outlineLevel="0" collapsed="false">
      <c r="B64479" s="0" t="s">
        <v>1</v>
      </c>
    </row>
    <row r="64480" customFormat="false" ht="12.8" hidden="false" customHeight="false" outlineLevel="0" collapsed="false">
      <c r="B64480" s="0" t="s">
        <v>8</v>
      </c>
    </row>
    <row r="64482" customFormat="false" ht="12.8" hidden="false" customHeight="false" outlineLevel="0" collapsed="false">
      <c r="A64482" s="0" t="s">
        <v>21415</v>
      </c>
      <c r="B64482" s="0" t="str">
        <f aca="false">HYPERLINK("https://lindat.mff.cuni.cz/services/teitok/pdtc10/index.php?action=vallex&amp;frame=v-w8808f2", "zahřát (v-w8808f2)")</f>
        <v>zahřát (v-w8808f2)</v>
      </c>
    </row>
    <row r="64483" customFormat="false" ht="12.8" hidden="false" customHeight="false" outlineLevel="0" collapsed="false">
      <c r="B64483" s="0" t="s">
        <v>264</v>
      </c>
    </row>
    <row r="64484" customFormat="false" ht="12.8" hidden="false" customHeight="false" outlineLevel="0" collapsed="false">
      <c r="B64484" s="0" t="s">
        <v>5</v>
      </c>
    </row>
    <row r="64486" customFormat="false" ht="12.8" hidden="false" customHeight="false" outlineLevel="0" collapsed="false">
      <c r="A64486" s="0" t="s">
        <v>21416</v>
      </c>
      <c r="B64486" s="0" t="str">
        <f aca="false">HYPERLINK("https://lindat.mff.cuni.cz/services/teitok/pdtc10/index.php?action=vallex&amp;frame=v-w8809f1", "zahřát se (v-w8809f1)")</f>
        <v>zahřát se (v-w8809f1)</v>
      </c>
    </row>
    <row r="64487" customFormat="false" ht="12.8" hidden="false" customHeight="false" outlineLevel="0" collapsed="false">
      <c r="B64487" s="0" t="s">
        <v>1</v>
      </c>
    </row>
    <row r="64489" customFormat="false" ht="12.8" hidden="false" customHeight="false" outlineLevel="0" collapsed="false">
      <c r="A64489" s="0" t="s">
        <v>21417</v>
      </c>
      <c r="B64489" s="0" t="str">
        <f aca="false">HYPERLINK("https://lindat.mff.cuni.cz/services/teitok/pdtc10/index.php?action=vallex&amp;frame=v-w10238f2", "zahřívat (v-w10238f2)")</f>
        <v>zahřívat (v-w10238f2)</v>
      </c>
    </row>
    <row r="64490" customFormat="false" ht="12.8" hidden="false" customHeight="false" outlineLevel="0" collapsed="false">
      <c r="B64490" s="0" t="s">
        <v>1</v>
      </c>
    </row>
    <row r="64491" customFormat="false" ht="12.8" hidden="false" customHeight="false" outlineLevel="0" collapsed="false">
      <c r="B64491" s="0" t="s">
        <v>8</v>
      </c>
    </row>
    <row r="64493" customFormat="false" ht="12.8" hidden="false" customHeight="false" outlineLevel="0" collapsed="false">
      <c r="A64493" s="0" t="s">
        <v>21418</v>
      </c>
      <c r="B64493" s="0" t="str">
        <f aca="false">HYPERLINK("https://lindat.mff.cuni.cz/services/teitok/pdtc10/index.php?action=vallex&amp;frame=v-w8833f1", "zainteresovat (v-w8833f1)")</f>
        <v>zainteresovat (v-w8833f1)</v>
      </c>
    </row>
    <row r="64494" customFormat="false" ht="12.8" hidden="false" customHeight="false" outlineLevel="0" collapsed="false">
      <c r="B64494" s="0" t="s">
        <v>1</v>
      </c>
    </row>
    <row r="64495" customFormat="false" ht="12.8" hidden="false" customHeight="false" outlineLevel="0" collapsed="false">
      <c r="B64495" s="0" t="s">
        <v>15746</v>
      </c>
    </row>
    <row r="64496" customFormat="false" ht="12.8" hidden="false" customHeight="false" outlineLevel="0" collapsed="false">
      <c r="B64496" s="0" t="s">
        <v>98</v>
      </c>
    </row>
    <row r="64498" customFormat="false" ht="12.8" hidden="false" customHeight="false" outlineLevel="0" collapsed="false">
      <c r="A64498" s="0" t="s">
        <v>21419</v>
      </c>
      <c r="B64498" s="0" t="str">
        <f aca="false">HYPERLINK("https://lindat.mff.cuni.cz/services/teitok/pdtc10/index.php?action=vallex&amp;frame=v-w10631f2", "zainvestovat (v-w10631f2)")</f>
        <v>zainvestovat (v-w10631f2)</v>
      </c>
    </row>
    <row r="64499" customFormat="false" ht="12.8" hidden="false" customHeight="false" outlineLevel="0" collapsed="false">
      <c r="B64499" s="0" t="s">
        <v>1</v>
      </c>
    </row>
    <row r="64500" customFormat="false" ht="12.8" hidden="false" customHeight="false" outlineLevel="0" collapsed="false">
      <c r="B64500" s="0" t="s">
        <v>8</v>
      </c>
    </row>
    <row r="64502" customFormat="false" ht="12.8" hidden="false" customHeight="false" outlineLevel="0" collapsed="false">
      <c r="A64502" s="0" t="s">
        <v>21420</v>
      </c>
      <c r="B64502" s="0" t="str">
        <f aca="false">HYPERLINK("https://lindat.mff.cuni.cz/services/teitok/pdtc10/index.php?action=vallex&amp;frame=v-w8837f1", "zajet (v-w8837f1)")</f>
        <v>zajet (v-w8837f1)</v>
      </c>
    </row>
    <row r="64503" customFormat="false" ht="12.8" hidden="false" customHeight="false" outlineLevel="0" collapsed="false">
      <c r="B64503" s="0" t="s">
        <v>1</v>
      </c>
    </row>
    <row r="64504" customFormat="false" ht="12.8" hidden="false" customHeight="false" outlineLevel="0" collapsed="false">
      <c r="B64504" s="0" t="s">
        <v>8</v>
      </c>
    </row>
    <row r="64506" customFormat="false" ht="12.8" hidden="false" customHeight="false" outlineLevel="0" collapsed="false">
      <c r="A64506" s="0" t="s">
        <v>21421</v>
      </c>
      <c r="B64506" s="0" t="str">
        <f aca="false">HYPERLINK("https://lindat.mff.cuni.cz/services/teitok/pdtc10/index.php?action=vallex&amp;frame=v-w8837f3", "zajet (v-w8837f3)")</f>
        <v>zajet (v-w8837f3)</v>
      </c>
    </row>
    <row r="64507" customFormat="false" ht="12.8" hidden="false" customHeight="false" outlineLevel="0" collapsed="false">
      <c r="B64507" s="0" t="s">
        <v>1</v>
      </c>
    </row>
    <row r="64508" customFormat="false" ht="12.8" hidden="false" customHeight="false" outlineLevel="0" collapsed="false">
      <c r="B64508" s="0" t="s">
        <v>8</v>
      </c>
    </row>
    <row r="64510" customFormat="false" ht="12.8" hidden="false" customHeight="false" outlineLevel="0" collapsed="false">
      <c r="A64510" s="0" t="s">
        <v>21422</v>
      </c>
      <c r="B64510" s="0" t="str">
        <f aca="false">HYPERLINK("https://lindat.mff.cuni.cz/services/teitok/pdtc10/index.php?action=vallex&amp;frame=v-w8837f2", "zajet (v-w8837f2)")</f>
        <v>zajet (v-w8837f2)</v>
      </c>
    </row>
    <row r="64511" customFormat="false" ht="12.8" hidden="false" customHeight="false" outlineLevel="0" collapsed="false">
      <c r="B64511" s="0" t="s">
        <v>1</v>
      </c>
    </row>
    <row r="64512" customFormat="false" ht="12.8" hidden="false" customHeight="false" outlineLevel="0" collapsed="false">
      <c r="B64512" s="0" t="s">
        <v>164</v>
      </c>
    </row>
    <row r="64514" customFormat="false" ht="12.8" hidden="false" customHeight="false" outlineLevel="0" collapsed="false">
      <c r="A64514" s="0" t="s">
        <v>21423</v>
      </c>
      <c r="B64514" s="0" t="str">
        <f aca="false">HYPERLINK("https://lindat.mff.cuni.cz/services/teitok/pdtc10/index.php?action=vallex&amp;frame=v-w8837hsa_765", "zajet (v-w8837hsa_765)")</f>
        <v>zajet (v-w8837hsa_765)</v>
      </c>
    </row>
    <row r="64515" customFormat="false" ht="12.8" hidden="false" customHeight="false" outlineLevel="0" collapsed="false">
      <c r="B64515" s="0" t="s">
        <v>1</v>
      </c>
    </row>
    <row r="64516" customFormat="false" ht="12.8" hidden="false" customHeight="false" outlineLevel="0" collapsed="false">
      <c r="B64516" s="0" t="s">
        <v>8</v>
      </c>
    </row>
    <row r="64518" customFormat="false" ht="12.8" hidden="false" customHeight="false" outlineLevel="0" collapsed="false">
      <c r="A64518" s="0" t="s">
        <v>21424</v>
      </c>
      <c r="B64518" s="0" t="str">
        <f aca="false">HYPERLINK("https://lindat.mff.cuni.cz/services/teitok/pdtc10/index.php?action=vallex&amp;frame=v-whsa_961hsa_962", "zajet si (v-whsa_961hsa_962)")</f>
        <v>zajet si (v-whsa_961hsa_962)</v>
      </c>
    </row>
    <row r="64519" customFormat="false" ht="12.8" hidden="false" customHeight="false" outlineLevel="0" collapsed="false">
      <c r="B64519" s="0" t="s">
        <v>1</v>
      </c>
    </row>
    <row r="64520" customFormat="false" ht="12.8" hidden="false" customHeight="false" outlineLevel="0" collapsed="false">
      <c r="B64520" s="0" t="s">
        <v>164</v>
      </c>
    </row>
    <row r="64522" customFormat="false" ht="12.8" hidden="false" customHeight="false" outlineLevel="0" collapsed="false">
      <c r="A64522" s="0" t="s">
        <v>21425</v>
      </c>
      <c r="B64522" s="0" t="str">
        <f aca="false">HYPERLINK("https://lindat.mff.cuni.cz/services/teitok/pdtc10/index.php?action=vallex&amp;frame=v-w12082_ZUf1_ZU", "zajezdit si (v-w12082_ZUf1_ZU)")</f>
        <v>zajezdit si (v-w12082_ZUf1_ZU)</v>
      </c>
    </row>
    <row r="64523" customFormat="false" ht="12.8" hidden="false" customHeight="false" outlineLevel="0" collapsed="false">
      <c r="B64523" s="0" t="s">
        <v>1</v>
      </c>
    </row>
    <row r="64525" customFormat="false" ht="12.8" hidden="false" customHeight="false" outlineLevel="0" collapsed="false">
      <c r="A64525" s="0" t="s">
        <v>21426</v>
      </c>
      <c r="B64525" s="0" t="str">
        <f aca="false">HYPERLINK("https://lindat.mff.cuni.cz/services/teitok/pdtc10/index.php?action=vallex&amp;frame=v-w8844f1", "zajiskřit (v-w8844f1)")</f>
        <v>zajiskřit (v-w8844f1)</v>
      </c>
    </row>
    <row r="64526" customFormat="false" ht="12.8" hidden="false" customHeight="false" outlineLevel="0" collapsed="false">
      <c r="B64526" s="0" t="s">
        <v>1</v>
      </c>
    </row>
    <row r="64528" customFormat="false" ht="12.8" hidden="false" customHeight="false" outlineLevel="0" collapsed="false">
      <c r="A64528" s="0" t="s">
        <v>21427</v>
      </c>
      <c r="B64528" s="0" t="str">
        <f aca="false">HYPERLINK("https://lindat.mff.cuni.cz/services/teitok/pdtc10/index.php?action=vallex&amp;frame=v-w8844f2", "zajiskřit (v-w8844f2)")</f>
        <v>zajiskřit (v-w8844f2)</v>
      </c>
    </row>
    <row r="64529" customFormat="false" ht="12.8" hidden="false" customHeight="false" outlineLevel="0" collapsed="false">
      <c r="B64529" s="0" t="s">
        <v>1</v>
      </c>
    </row>
    <row r="64531" customFormat="false" ht="12.8" hidden="false" customHeight="false" outlineLevel="0" collapsed="false">
      <c r="A64531" s="0" t="s">
        <v>21428</v>
      </c>
      <c r="B64531" s="0" t="str">
        <f aca="false">HYPERLINK("https://lindat.mff.cuni.cz/services/teitok/pdtc10/index.php?action=vallex&amp;frame=v-w8845f1", "zajistit (v-w8845f1)")</f>
        <v>zajistit (v-w8845f1)</v>
      </c>
      <c r="E64531" s="0" t="str">
        <f aca="false">HYPERLINK("https://lindat.mff.cuni.cz/services/SynSemClass40/SynSemClass40.html?veclass=vec00178#vec00178-ces-cm00001", "vec00178")</f>
        <v>vec00178</v>
      </c>
      <c r="F64531" s="0" t="s">
        <v>8586</v>
      </c>
    </row>
    <row r="64532" customFormat="false" ht="12.8" hidden="false" customHeight="false" outlineLevel="0" collapsed="false">
      <c r="B64532" s="0" t="s">
        <v>1</v>
      </c>
      <c r="C64532" s="0" t="s">
        <v>5649</v>
      </c>
      <c r="E64532" s="0" t="s">
        <v>31</v>
      </c>
      <c r="F64532" s="0" t="s">
        <v>8587</v>
      </c>
    </row>
    <row r="64533" customFormat="false" ht="12.8" hidden="false" customHeight="false" outlineLevel="0" collapsed="false">
      <c r="B64533" s="0" t="s">
        <v>7589</v>
      </c>
      <c r="C64533" s="0" t="s">
        <v>8588</v>
      </c>
      <c r="E64533" s="0" t="s">
        <v>34</v>
      </c>
      <c r="F64533" s="0" t="s">
        <v>8589</v>
      </c>
    </row>
    <row r="64534" customFormat="false" ht="12.8" hidden="false" customHeight="false" outlineLevel="0" collapsed="false">
      <c r="B64534" s="0" t="s">
        <v>2410</v>
      </c>
      <c r="C64534" s="0" t="s">
        <v>14842</v>
      </c>
      <c r="E64534" s="0" t="s">
        <v>1392</v>
      </c>
      <c r="F64534" s="0" t="s">
        <v>11508</v>
      </c>
    </row>
    <row r="64536" customFormat="false" ht="12.8" hidden="false" customHeight="false" outlineLevel="0" collapsed="false">
      <c r="A64536" s="0" t="s">
        <v>21429</v>
      </c>
      <c r="B64536" s="0" t="str">
        <f aca="false">HYPERLINK("https://lindat.mff.cuni.cz/services/teitok/pdtc10/index.php?action=vallex&amp;frame=v-w8845f2", "zajistit (v-w8845f2)")</f>
        <v>zajistit (v-w8845f2)</v>
      </c>
      <c r="E64536" s="0" t="str">
        <f aca="false">HYPERLINK("https://lindat.mff.cuni.cz/services/SynSemClass40/SynSemClass40.html?veclass=vec00024#vec00024-ces-cm00041", "vec00024")</f>
        <v>vec00024</v>
      </c>
      <c r="F64536" s="0" t="s">
        <v>580</v>
      </c>
      <c r="H64536" s="0" t="str">
        <f aca="false">HYPERLINK("https://lindat.mff.cuni.cz/services/SynSemClass40/SynSemClass40.html?veclass=vec01503#vec01503-ces-cm00019", "vec01503")</f>
        <v>vec01503</v>
      </c>
      <c r="I64536" s="0" t="s">
        <v>1470</v>
      </c>
    </row>
    <row r="64537" customFormat="false" ht="12.8" hidden="false" customHeight="false" outlineLevel="0" collapsed="false">
      <c r="B64537" s="0" t="s">
        <v>1</v>
      </c>
      <c r="C64537" s="0" t="s">
        <v>1471</v>
      </c>
      <c r="E64537" s="0" t="s">
        <v>569</v>
      </c>
      <c r="F64537" s="0" t="s">
        <v>1472</v>
      </c>
      <c r="H64537" s="0" t="s">
        <v>569</v>
      </c>
      <c r="I64537" s="0" t="s">
        <v>1473</v>
      </c>
    </row>
    <row r="64538" customFormat="false" ht="12.8" hidden="false" customHeight="false" outlineLevel="0" collapsed="false">
      <c r="B64538" s="0" t="s">
        <v>8</v>
      </c>
      <c r="C64538" s="0" t="s">
        <v>1474</v>
      </c>
      <c r="E64538" s="0" t="s">
        <v>34</v>
      </c>
      <c r="F64538" s="0" t="s">
        <v>1475</v>
      </c>
      <c r="H64538" s="0" t="s">
        <v>572</v>
      </c>
      <c r="I64538" s="0" t="s">
        <v>1476</v>
      </c>
    </row>
    <row r="64539" customFormat="false" ht="12.8" hidden="false" customHeight="false" outlineLevel="0" collapsed="false">
      <c r="B64539" s="0" t="s">
        <v>574</v>
      </c>
      <c r="C64539" s="0" t="s">
        <v>1477</v>
      </c>
      <c r="E64539" s="0" t="s">
        <v>1478</v>
      </c>
      <c r="F64539" s="0" t="s">
        <v>1479</v>
      </c>
      <c r="H64539" s="0" t="s">
        <v>1480</v>
      </c>
      <c r="I64539" s="0" t="s">
        <v>1481</v>
      </c>
    </row>
    <row r="64541" customFormat="false" ht="12.8" hidden="false" customHeight="false" outlineLevel="0" collapsed="false">
      <c r="A64541" s="0" t="s">
        <v>21430</v>
      </c>
      <c r="B64541" s="0" t="str">
        <f aca="false">HYPERLINK("https://lindat.mff.cuni.cz/services/teitok/pdtc10/index.php?action=vallex&amp;frame=v-w8845f3", "zajistit (v-w8845f3)")</f>
        <v>zajistit (v-w8845f3)</v>
      </c>
    </row>
    <row r="64542" customFormat="false" ht="12.8" hidden="false" customHeight="false" outlineLevel="0" collapsed="false">
      <c r="B64542" s="0" t="s">
        <v>1</v>
      </c>
    </row>
    <row r="64543" customFormat="false" ht="12.8" hidden="false" customHeight="false" outlineLevel="0" collapsed="false">
      <c r="B64543" s="0" t="s">
        <v>8</v>
      </c>
    </row>
    <row r="64545" customFormat="false" ht="12.8" hidden="false" customHeight="false" outlineLevel="0" collapsed="false">
      <c r="A64545" s="0" t="s">
        <v>21431</v>
      </c>
      <c r="B64545" s="0" t="str">
        <f aca="false">HYPERLINK("https://lindat.mff.cuni.cz/services/teitok/pdtc10/index.php?action=vallex&amp;frame=v-w8845f4", "zajistit (v-w8845f4)")</f>
        <v>zajistit (v-w8845f4)</v>
      </c>
    </row>
    <row r="64546" customFormat="false" ht="12.8" hidden="false" customHeight="false" outlineLevel="0" collapsed="false">
      <c r="B64546" s="0" t="s">
        <v>1</v>
      </c>
    </row>
    <row r="64547" customFormat="false" ht="12.8" hidden="false" customHeight="false" outlineLevel="0" collapsed="false">
      <c r="B64547" s="0" t="s">
        <v>8</v>
      </c>
    </row>
    <row r="64549" customFormat="false" ht="12.8" hidden="false" customHeight="false" outlineLevel="0" collapsed="false">
      <c r="A64549" s="0" t="s">
        <v>21432</v>
      </c>
      <c r="B64549" s="0" t="str">
        <f aca="false">HYPERLINK("https://lindat.mff.cuni.cz/services/teitok/pdtc10/index.php?action=vallex&amp;frame=v-w8849f1", "zajišťovat (v-w8849f1)")</f>
        <v>zajišťovat (v-w8849f1)</v>
      </c>
      <c r="E64549" s="0" t="str">
        <f aca="false">HYPERLINK("https://lindat.mff.cuni.cz/services/SynSemClass40/SynSemClass40.html?veclass=vec00178#vec00178-ces-cm00104", "vec00178")</f>
        <v>vec00178</v>
      </c>
      <c r="F64549" s="0" t="s">
        <v>8586</v>
      </c>
      <c r="H64549" s="0" t="str">
        <f aca="false">HYPERLINK("https://lindat.mff.cuni.cz/services/SynSemClass40/SynSemClass40.html?veclass=vec00511#vec00511-ces-cm00038", "vec00511")</f>
        <v>vec00511</v>
      </c>
      <c r="I64549" s="0" t="s">
        <v>3726</v>
      </c>
    </row>
    <row r="64550" customFormat="false" ht="12.8" hidden="false" customHeight="false" outlineLevel="0" collapsed="false">
      <c r="B64550" s="0" t="s">
        <v>1</v>
      </c>
      <c r="C64550" s="0" t="s">
        <v>16337</v>
      </c>
      <c r="E64550" s="0" t="s">
        <v>31</v>
      </c>
      <c r="F64550" s="0" t="s">
        <v>8587</v>
      </c>
      <c r="H64550" s="0" t="s">
        <v>206</v>
      </c>
      <c r="I64550" s="0" t="s">
        <v>3728</v>
      </c>
    </row>
    <row r="64551" customFormat="false" ht="12.8" hidden="false" customHeight="false" outlineLevel="0" collapsed="false">
      <c r="B64551" s="0" t="s">
        <v>7589</v>
      </c>
      <c r="C64551" s="0" t="s">
        <v>16338</v>
      </c>
      <c r="E64551" s="0" t="s">
        <v>34</v>
      </c>
      <c r="F64551" s="0" t="s">
        <v>8589</v>
      </c>
      <c r="H64551" s="0" t="s">
        <v>4209</v>
      </c>
      <c r="I64551" s="0" t="s">
        <v>4210</v>
      </c>
    </row>
    <row r="64552" customFormat="false" ht="12.8" hidden="false" customHeight="false" outlineLevel="0" collapsed="false">
      <c r="B64552" s="0" t="s">
        <v>2410</v>
      </c>
      <c r="C64552" s="0" t="s">
        <v>16339</v>
      </c>
      <c r="E64552" s="0" t="s">
        <v>1392</v>
      </c>
      <c r="F64552" s="0" t="s">
        <v>11508</v>
      </c>
      <c r="H64552" s="0" t="s">
        <v>3734</v>
      </c>
      <c r="I64552" s="0" t="s">
        <v>3735</v>
      </c>
    </row>
    <row r="64554" customFormat="false" ht="12.8" hidden="false" customHeight="false" outlineLevel="0" collapsed="false">
      <c r="A64554" s="0" t="s">
        <v>21433</v>
      </c>
      <c r="B64554" s="0" t="str">
        <f aca="false">HYPERLINK("https://lindat.mff.cuni.cz/services/teitok/pdtc10/index.php?action=vallex&amp;frame=v-w8849f2", "zajišťovat (v-w8849f2)")</f>
        <v>zajišťovat (v-w8849f2)</v>
      </c>
      <c r="E64554" s="0" t="str">
        <f aca="false">HYPERLINK("https://lindat.mff.cuni.cz/services/SynSemClass40/SynSemClass40.html?veclass=vec00024#vec00024-ces-cm00043", "vec00024")</f>
        <v>vec00024</v>
      </c>
      <c r="F64554" s="0" t="s">
        <v>580</v>
      </c>
      <c r="H64554" s="0" t="str">
        <f aca="false">HYPERLINK("https://lindat.mff.cuni.cz/services/SynSemClass40/SynSemClass40.html?veclass=vec01503#vec01503-ces-cm00023", "vec01503")</f>
        <v>vec01503</v>
      </c>
      <c r="I64554" s="0" t="s">
        <v>1470</v>
      </c>
    </row>
    <row r="64555" customFormat="false" ht="12.8" hidden="false" customHeight="false" outlineLevel="0" collapsed="false">
      <c r="B64555" s="0" t="s">
        <v>1</v>
      </c>
      <c r="C64555" s="0" t="s">
        <v>1471</v>
      </c>
      <c r="E64555" s="0" t="s">
        <v>569</v>
      </c>
      <c r="F64555" s="0" t="s">
        <v>1472</v>
      </c>
      <c r="H64555" s="0" t="s">
        <v>569</v>
      </c>
      <c r="I64555" s="0" t="s">
        <v>1473</v>
      </c>
    </row>
    <row r="64556" customFormat="false" ht="12.8" hidden="false" customHeight="false" outlineLevel="0" collapsed="false">
      <c r="B64556" s="0" t="s">
        <v>8</v>
      </c>
      <c r="C64556" s="0" t="s">
        <v>1474</v>
      </c>
      <c r="E64556" s="0" t="s">
        <v>34</v>
      </c>
      <c r="F64556" s="0" t="s">
        <v>1475</v>
      </c>
      <c r="H64556" s="0" t="s">
        <v>572</v>
      </c>
      <c r="I64556" s="0" t="s">
        <v>1476</v>
      </c>
    </row>
    <row r="64557" customFormat="false" ht="12.8" hidden="false" customHeight="false" outlineLevel="0" collapsed="false">
      <c r="B64557" s="0" t="s">
        <v>574</v>
      </c>
      <c r="C64557" s="0" t="s">
        <v>1477</v>
      </c>
      <c r="E64557" s="0" t="s">
        <v>1478</v>
      </c>
      <c r="F64557" s="0" t="s">
        <v>1479</v>
      </c>
      <c r="H64557" s="0" t="s">
        <v>1480</v>
      </c>
      <c r="I64557" s="0" t="s">
        <v>1481</v>
      </c>
    </row>
    <row r="64559" customFormat="false" ht="12.8" hidden="false" customHeight="false" outlineLevel="0" collapsed="false">
      <c r="A64559" s="0" t="s">
        <v>21434</v>
      </c>
      <c r="B64559" s="0" t="str">
        <f aca="false">HYPERLINK("https://lindat.mff.cuni.cz/services/teitok/pdtc10/index.php?action=vallex&amp;frame=v-w8849f3_ZU", "zajišťovat (v-w8849f3_ZU)")</f>
        <v>zajišťovat (v-w8849f3_ZU)</v>
      </c>
    </row>
    <row r="64560" customFormat="false" ht="12.8" hidden="false" customHeight="false" outlineLevel="0" collapsed="false">
      <c r="B64560" s="0" t="s">
        <v>1</v>
      </c>
    </row>
    <row r="64561" customFormat="false" ht="12.8" hidden="false" customHeight="false" outlineLevel="0" collapsed="false">
      <c r="B64561" s="0" t="s">
        <v>8</v>
      </c>
    </row>
    <row r="64563" customFormat="false" ht="12.8" hidden="false" customHeight="false" outlineLevel="0" collapsed="false">
      <c r="A64563" s="0" t="s">
        <v>21434</v>
      </c>
      <c r="B64563" s="0" t="str">
        <f aca="false">HYPERLINK("https://lindat.mff.cuni.cz/services/teitok/pdtc10/index.php?action=vallex&amp;frame=v-w8849hsa_1520", "zajišťovat (v-w8849hsa_1520) - substituted with v-w8849f3_ZU")</f>
        <v>zajišťovat (v-w8849hsa_1520) - substituted with v-w8849f3_ZU</v>
      </c>
    </row>
    <row r="64564" customFormat="false" ht="12.8" hidden="false" customHeight="false" outlineLevel="0" collapsed="false">
      <c r="B64564" s="0" t="s">
        <v>1</v>
      </c>
    </row>
    <row r="64565" customFormat="false" ht="12.8" hidden="false" customHeight="false" outlineLevel="0" collapsed="false">
      <c r="B64565" s="0" t="s">
        <v>8</v>
      </c>
    </row>
    <row r="64567" customFormat="false" ht="12.8" hidden="false" customHeight="false" outlineLevel="0" collapsed="false">
      <c r="A64567" s="0" t="s">
        <v>21435</v>
      </c>
      <c r="B64567" s="0" t="str">
        <f aca="false">HYPERLINK("https://lindat.mff.cuni.cz/services/teitok/pdtc10/index.php?action=vallex&amp;frame=v-w8853f1", "zajmout (v-w8853f1)")</f>
        <v>zajmout (v-w8853f1)</v>
      </c>
      <c r="E64567" s="0" t="str">
        <f aca="false">HYPERLINK("https://lindat.mff.cuni.cz/services/SynSemClass40/SynSemClass40.html?veclass=vec00185#vec00185-ces-cm00016", "vec00185")</f>
        <v>vec00185</v>
      </c>
      <c r="F64567" s="0" t="s">
        <v>5931</v>
      </c>
    </row>
    <row r="64568" customFormat="false" ht="12.8" hidden="false" customHeight="false" outlineLevel="0" collapsed="false">
      <c r="B64568" s="0" t="s">
        <v>1</v>
      </c>
      <c r="C64568" s="0" t="s">
        <v>1436</v>
      </c>
      <c r="E64568" s="0" t="s">
        <v>206</v>
      </c>
      <c r="F64568" s="0" t="s">
        <v>5932</v>
      </c>
    </row>
    <row r="64569" customFormat="false" ht="12.8" hidden="false" customHeight="false" outlineLevel="0" collapsed="false">
      <c r="B64569" s="0" t="s">
        <v>8</v>
      </c>
      <c r="C64569" s="0" t="s">
        <v>1298</v>
      </c>
      <c r="E64569" s="0" t="s">
        <v>5934</v>
      </c>
      <c r="F64569" s="0" t="s">
        <v>5935</v>
      </c>
    </row>
    <row r="64571" customFormat="false" ht="12.8" hidden="false" customHeight="false" outlineLevel="0" collapsed="false">
      <c r="A64571" s="0" t="s">
        <v>21436</v>
      </c>
      <c r="B64571" s="0" t="str">
        <f aca="false">HYPERLINK("https://lindat.mff.cuni.cz/services/teitok/pdtc10/index.php?action=vallex&amp;frame=v-w8834f1", "zajásat (v-w8834f1)")</f>
        <v>zajásat (v-w8834f1)</v>
      </c>
      <c r="E64571" s="0" t="str">
        <f aca="false">HYPERLINK("https://lindat.mff.cuni.cz/services/SynSemClass40/SynSemClass40.html?veclass=vec01310#vec01310-ces-cm00007", "vec01310")</f>
        <v>vec01310</v>
      </c>
      <c r="F64571" s="0" t="s">
        <v>5023</v>
      </c>
    </row>
    <row r="64572" customFormat="false" ht="12.8" hidden="false" customHeight="false" outlineLevel="0" collapsed="false">
      <c r="B64572" s="0" t="s">
        <v>1</v>
      </c>
      <c r="C64572" s="0" t="s">
        <v>459</v>
      </c>
      <c r="E64572" s="0" t="s">
        <v>266</v>
      </c>
      <c r="F64572" s="0" t="s">
        <v>5024</v>
      </c>
    </row>
    <row r="64573" customFormat="false" ht="12.8" hidden="false" customHeight="false" outlineLevel="0" collapsed="false">
      <c r="B64573" s="0" t="s">
        <v>4070</v>
      </c>
      <c r="C64573" s="0" t="s">
        <v>744</v>
      </c>
      <c r="E64573" s="0" t="s">
        <v>271</v>
      </c>
      <c r="F64573" s="0" t="s">
        <v>5025</v>
      </c>
    </row>
    <row r="64575" customFormat="false" ht="12.8" hidden="false" customHeight="false" outlineLevel="0" collapsed="false">
      <c r="A64575" s="0" t="s">
        <v>21437</v>
      </c>
      <c r="B64575" s="0" t="str">
        <f aca="false">HYPERLINK("https://lindat.mff.cuni.cz/services/teitok/pdtc10/index.php?action=vallex&amp;frame=v-w8841f2", "zajímat (v-w8841f2)")</f>
        <v>zajímat (v-w8841f2)</v>
      </c>
      <c r="E64575" s="0" t="str">
        <f aca="false">HYPERLINK("https://lindat.mff.cuni.cz/services/SynSemClass40/SynSemClass40.html?veclass=vec00185#vec00185-ces-cm00023", "vec00185")</f>
        <v>vec00185</v>
      </c>
      <c r="F64575" s="0" t="s">
        <v>5931</v>
      </c>
    </row>
    <row r="64576" customFormat="false" ht="12.8" hidden="false" customHeight="false" outlineLevel="0" collapsed="false">
      <c r="B64576" s="0" t="s">
        <v>1</v>
      </c>
      <c r="C64576" s="0" t="s">
        <v>1436</v>
      </c>
      <c r="E64576" s="0" t="s">
        <v>206</v>
      </c>
      <c r="F64576" s="0" t="s">
        <v>5932</v>
      </c>
    </row>
    <row r="64577" customFormat="false" ht="12.8" hidden="false" customHeight="false" outlineLevel="0" collapsed="false">
      <c r="B64577" s="0" t="s">
        <v>8</v>
      </c>
      <c r="C64577" s="0" t="s">
        <v>1298</v>
      </c>
      <c r="E64577" s="0" t="s">
        <v>5934</v>
      </c>
      <c r="F64577" s="0" t="s">
        <v>5935</v>
      </c>
    </row>
    <row r="64579" customFormat="false" ht="12.8" hidden="false" customHeight="false" outlineLevel="0" collapsed="false">
      <c r="A64579" s="0" t="s">
        <v>21438</v>
      </c>
      <c r="B64579" s="0" t="str">
        <f aca="false">HYPERLINK("https://lindat.mff.cuni.cz/services/teitok/pdtc10/index.php?action=vallex&amp;frame=v-w8841f1", "zajímat (v-w8841f1)")</f>
        <v>zajímat (v-w8841f1)</v>
      </c>
      <c r="E64579" s="0" t="str">
        <f aca="false">HYPERLINK("https://lindat.mff.cuni.cz/services/SynSemClass40/SynSemClass40.html?veclass=vec00574#vec00574-ces-cm00018", "vec00574")</f>
        <v>vec00574</v>
      </c>
      <c r="F64579" s="0" t="s">
        <v>5067</v>
      </c>
    </row>
    <row r="64580" customFormat="false" ht="12.8" hidden="false" customHeight="false" outlineLevel="0" collapsed="false">
      <c r="B64580" s="0" t="s">
        <v>264</v>
      </c>
      <c r="C64580" s="0" t="s">
        <v>5068</v>
      </c>
      <c r="E64580" s="0" t="s">
        <v>621</v>
      </c>
      <c r="F64580" s="0" t="s">
        <v>5069</v>
      </c>
    </row>
    <row r="64581" customFormat="false" ht="12.8" hidden="false" customHeight="false" outlineLevel="0" collapsed="false">
      <c r="B64581" s="0" t="s">
        <v>269</v>
      </c>
      <c r="C64581" s="0" t="s">
        <v>5070</v>
      </c>
      <c r="E64581" s="0" t="s">
        <v>1732</v>
      </c>
      <c r="F64581" s="0" t="s">
        <v>5071</v>
      </c>
    </row>
    <row r="64583" customFormat="false" ht="12.8" hidden="false" customHeight="false" outlineLevel="0" collapsed="false">
      <c r="A64583" s="0" t="s">
        <v>21439</v>
      </c>
      <c r="B64583" s="0" t="str">
        <f aca="false">HYPERLINK("https://lindat.mff.cuni.cz/services/teitok/pdtc10/index.php?action=vallex&amp;frame=v-w8842f1", "zajímat se (v-w8842f1)")</f>
        <v>zajímat se (v-w8842f1)</v>
      </c>
      <c r="E64583" s="0" t="str">
        <f aca="false">HYPERLINK("https://lindat.mff.cuni.cz/services/SynSemClass40/SynSemClass40.html?veclass=vec00574#vec00574-ces-cm00001", "vec00574")</f>
        <v>vec00574</v>
      </c>
      <c r="F64583" s="0" t="s">
        <v>5067</v>
      </c>
    </row>
    <row r="64584" customFormat="false" ht="12.8" hidden="false" customHeight="false" outlineLevel="0" collapsed="false">
      <c r="B64584" s="0" t="s">
        <v>1</v>
      </c>
      <c r="C64584" s="0" t="s">
        <v>5068</v>
      </c>
      <c r="E64584" s="0" t="s">
        <v>621</v>
      </c>
      <c r="F64584" s="0" t="s">
        <v>5069</v>
      </c>
    </row>
    <row r="64585" customFormat="false" ht="12.8" hidden="false" customHeight="false" outlineLevel="0" collapsed="false">
      <c r="B64585" s="0" t="s">
        <v>21440</v>
      </c>
      <c r="C64585" s="0" t="s">
        <v>5070</v>
      </c>
      <c r="E64585" s="0" t="s">
        <v>1732</v>
      </c>
      <c r="F64585" s="0" t="s">
        <v>5071</v>
      </c>
    </row>
    <row r="64587" customFormat="false" ht="12.8" hidden="false" customHeight="false" outlineLevel="0" collapsed="false">
      <c r="A64587" s="0" t="s">
        <v>21441</v>
      </c>
      <c r="B64587" s="0" t="str">
        <f aca="false">HYPERLINK("https://lindat.mff.cuni.cz/services/teitok/pdtc10/index.php?action=vallex&amp;frame=v-whsa_1568f1_ZU", "zajímkovat (v-whsa_1568f1_ZU)")</f>
        <v>zajímkovat (v-whsa_1568f1_ZU)</v>
      </c>
    </row>
    <row r="64588" customFormat="false" ht="12.8" hidden="false" customHeight="false" outlineLevel="0" collapsed="false">
      <c r="B64588" s="0" t="s">
        <v>1</v>
      </c>
    </row>
    <row r="64589" customFormat="false" ht="12.8" hidden="false" customHeight="false" outlineLevel="0" collapsed="false">
      <c r="B64589" s="0" t="s">
        <v>8</v>
      </c>
    </row>
    <row r="64591" customFormat="false" ht="12.8" hidden="false" customHeight="false" outlineLevel="0" collapsed="false">
      <c r="A64591" s="0" t="s">
        <v>21441</v>
      </c>
      <c r="B64591" s="0" t="str">
        <f aca="false">HYPERLINK("https://lindat.mff.cuni.cz/services/teitok/pdtc10/index.php?action=vallex&amp;frame=v-whsa_1568hsa_1569", "zajímkovat (v-whsa_1568hsa_1569) - substituted with v-whsa_1568f1_ZU")</f>
        <v>zajímkovat (v-whsa_1568hsa_1569) - substituted with v-whsa_1568f1_ZU</v>
      </c>
    </row>
    <row r="64592" customFormat="false" ht="12.8" hidden="false" customHeight="false" outlineLevel="0" collapsed="false">
      <c r="B64592" s="0" t="s">
        <v>1</v>
      </c>
    </row>
    <row r="64593" customFormat="false" ht="12.8" hidden="false" customHeight="false" outlineLevel="0" collapsed="false">
      <c r="B64593" s="0" t="s">
        <v>8</v>
      </c>
    </row>
    <row r="64595" customFormat="false" ht="12.8" hidden="false" customHeight="false" outlineLevel="0" collapsed="false">
      <c r="A64595" s="0" t="s">
        <v>21442</v>
      </c>
      <c r="B64595" s="0" t="str">
        <f aca="false">HYPERLINK("https://lindat.mff.cuni.cz/services/teitok/pdtc10/index.php?action=vallex&amp;frame=v-w8851f1", "zajít (v-w8851f1)")</f>
        <v>zajít (v-w8851f1)</v>
      </c>
      <c r="E64595" s="0" t="str">
        <f aca="false">HYPERLINK("https://lindat.mff.cuni.cz/services/SynSemClass40/SynSemClass40.html?veclass=vec00218#vec00218-ces-cm00183", "vec00218")</f>
        <v>vec00218</v>
      </c>
      <c r="F64595" s="0" t="s">
        <v>2143</v>
      </c>
    </row>
    <row r="64596" customFormat="false" ht="12.8" hidden="false" customHeight="false" outlineLevel="0" collapsed="false">
      <c r="B64596" s="0" t="s">
        <v>1</v>
      </c>
      <c r="C64596" s="0" t="s">
        <v>2144</v>
      </c>
      <c r="E64596" s="0" t="s">
        <v>11</v>
      </c>
      <c r="F64596" s="0" t="s">
        <v>2145</v>
      </c>
    </row>
    <row r="64597" customFormat="false" ht="12.8" hidden="false" customHeight="false" outlineLevel="0" collapsed="false">
      <c r="B64597" s="0" t="s">
        <v>164</v>
      </c>
      <c r="C64597" s="0" t="s">
        <v>2146</v>
      </c>
      <c r="E64597" s="0" t="s">
        <v>370</v>
      </c>
      <c r="F64597" s="0" t="s">
        <v>2147</v>
      </c>
    </row>
    <row r="64599" customFormat="false" ht="12.8" hidden="false" customHeight="false" outlineLevel="0" collapsed="false">
      <c r="A64599" s="0" t="s">
        <v>21443</v>
      </c>
      <c r="B64599" s="0" t="str">
        <f aca="false">HYPERLINK("https://lindat.mff.cuni.cz/services/teitok/pdtc10/index.php?action=vallex&amp;frame=v-w8851f2", "zajít (v-w8851f2)")</f>
        <v>zajít (v-w8851f2)</v>
      </c>
    </row>
    <row r="64600" customFormat="false" ht="12.8" hidden="false" customHeight="false" outlineLevel="0" collapsed="false">
      <c r="B64600" s="0" t="s">
        <v>1</v>
      </c>
    </row>
    <row r="64601" customFormat="false" ht="12.8" hidden="false" customHeight="false" outlineLevel="0" collapsed="false">
      <c r="B64601" s="0" t="s">
        <v>21279</v>
      </c>
    </row>
    <row r="64603" customFormat="false" ht="12.8" hidden="false" customHeight="false" outlineLevel="0" collapsed="false">
      <c r="A64603" s="0" t="s">
        <v>21444</v>
      </c>
      <c r="B64603" s="0" t="str">
        <f aca="false">HYPERLINK("https://lindat.mff.cuni.cz/services/teitok/pdtc10/index.php?action=vallex&amp;frame=v-w8851f3_ZU", "zajít (v-w8851f3_ZU)")</f>
        <v>zajít (v-w8851f3_ZU)</v>
      </c>
    </row>
    <row r="64604" customFormat="false" ht="12.8" hidden="false" customHeight="false" outlineLevel="0" collapsed="false">
      <c r="B64604" s="0" t="s">
        <v>1</v>
      </c>
    </row>
    <row r="64605" customFormat="false" ht="12.8" hidden="false" customHeight="false" outlineLevel="0" collapsed="false">
      <c r="B64605" s="0" t="s">
        <v>2357</v>
      </c>
    </row>
    <row r="64607" customFormat="false" ht="12.8" hidden="false" customHeight="false" outlineLevel="0" collapsed="false">
      <c r="A64607" s="0" t="s">
        <v>21444</v>
      </c>
      <c r="B64607" s="0" t="str">
        <f aca="false">HYPERLINK("https://lindat.mff.cuni.cz/services/teitok/pdtc10/index.php?action=vallex&amp;frame=v-w8851hsa_994", "zajít (v-w8851hsa_994) - substituted with v-w8851f3_ZU")</f>
        <v>zajít (v-w8851hsa_994) - substituted with v-w8851f3_ZU</v>
      </c>
    </row>
    <row r="64608" customFormat="false" ht="12.8" hidden="false" customHeight="false" outlineLevel="0" collapsed="false">
      <c r="B64608" s="0" t="s">
        <v>1</v>
      </c>
    </row>
    <row r="64609" customFormat="false" ht="12.8" hidden="false" customHeight="false" outlineLevel="0" collapsed="false">
      <c r="B64609" s="0" t="s">
        <v>2357</v>
      </c>
    </row>
    <row r="64611" customFormat="false" ht="12.8" hidden="false" customHeight="false" outlineLevel="0" collapsed="false">
      <c r="A64611" s="0" t="s">
        <v>21445</v>
      </c>
      <c r="B64611" s="0" t="str">
        <f aca="false">HYPERLINK("https://lindat.mff.cuni.cz/services/teitok/pdtc10/index.php?action=vallex&amp;frame=v-w12246_ZUf1_ZU", "zajít si (v-w12246_ZUf1_ZU)")</f>
        <v>zajít si (v-w12246_ZUf1_ZU)</v>
      </c>
    </row>
    <row r="64612" customFormat="false" ht="12.8" hidden="false" customHeight="false" outlineLevel="0" collapsed="false">
      <c r="B64612" s="0" t="s">
        <v>1</v>
      </c>
    </row>
    <row r="64613" customFormat="false" ht="12.8" hidden="false" customHeight="false" outlineLevel="0" collapsed="false">
      <c r="B64613" s="0" t="s">
        <v>454</v>
      </c>
    </row>
    <row r="64615" customFormat="false" ht="12.8" hidden="false" customHeight="false" outlineLevel="0" collapsed="false">
      <c r="A64615" s="0" t="s">
        <v>21446</v>
      </c>
      <c r="B64615" s="0" t="str">
        <f aca="false">HYPERLINK("https://lindat.mff.cuni.cz/services/teitok/pdtc10/index.php?action=vallex&amp;frame=v-w8852f1", "zajíždět (v-w8852f1)")</f>
        <v>zajíždět (v-w8852f1)</v>
      </c>
      <c r="E64615" s="0" t="str">
        <f aca="false">HYPERLINK("https://lindat.mff.cuni.cz/services/SynSemClass40/SynSemClass40.html?veclass=vec00218#vec00218-ces-cm00271", "vec00218")</f>
        <v>vec00218</v>
      </c>
      <c r="F64615" s="0" t="s">
        <v>2143</v>
      </c>
      <c r="H64615" s="0" t="str">
        <f aca="false">HYPERLINK("https://lindat.mff.cuni.cz/services/SynSemClass40/SynSemClass40.html?veclass=vec00403#vec00403-ces-cm00037", "vec00403")</f>
        <v>vec00403</v>
      </c>
      <c r="I64615" s="0" t="s">
        <v>1368</v>
      </c>
      <c r="K64615" s="0" t="str">
        <f aca="false">HYPERLINK("https://lindat.mff.cuni.cz/services/SynSemClass40/SynSemClass40.html?veclass=vec00434#vec00434-ces-cm00017", "vec00434")</f>
        <v>vec00434</v>
      </c>
      <c r="L64615" s="0" t="s">
        <v>6238</v>
      </c>
    </row>
    <row r="64616" customFormat="false" ht="12.8" hidden="false" customHeight="false" outlineLevel="0" collapsed="false">
      <c r="B64616" s="0" t="s">
        <v>1</v>
      </c>
      <c r="C64616" s="0" t="s">
        <v>21447</v>
      </c>
      <c r="E64616" s="0" t="s">
        <v>11</v>
      </c>
      <c r="F64616" s="0" t="s">
        <v>2145</v>
      </c>
      <c r="H64616" s="0" t="s">
        <v>11</v>
      </c>
      <c r="I64616" s="0" t="s">
        <v>1370</v>
      </c>
      <c r="K64616" s="0" t="s">
        <v>11</v>
      </c>
      <c r="L64616" s="0" t="s">
        <v>6240</v>
      </c>
    </row>
    <row r="64617" customFormat="false" ht="12.8" hidden="false" customHeight="false" outlineLevel="0" collapsed="false">
      <c r="B64617" s="0" t="s">
        <v>164</v>
      </c>
      <c r="C64617" s="0" t="s">
        <v>21448</v>
      </c>
      <c r="E64617" s="0" t="s">
        <v>370</v>
      </c>
      <c r="F64617" s="0" t="s">
        <v>2147</v>
      </c>
      <c r="H64617" s="0" t="s">
        <v>2365</v>
      </c>
      <c r="I64617" s="0" t="s">
        <v>2366</v>
      </c>
      <c r="K64617" s="0" t="s">
        <v>370</v>
      </c>
      <c r="L64617" s="0" t="s">
        <v>2725</v>
      </c>
    </row>
    <row r="64619" customFormat="false" ht="12.8" hidden="false" customHeight="false" outlineLevel="0" collapsed="false">
      <c r="A64619" s="0" t="s">
        <v>21449</v>
      </c>
      <c r="B64619" s="0" t="str">
        <f aca="false">HYPERLINK("https://lindat.mff.cuni.cz/services/teitok/pdtc10/index.php?action=vallex&amp;frame=v-w8854f2", "zakalkulovat (v-w8854f2)")</f>
        <v>zakalkulovat (v-w8854f2)</v>
      </c>
    </row>
    <row r="64620" customFormat="false" ht="12.8" hidden="false" customHeight="false" outlineLevel="0" collapsed="false">
      <c r="B64620" s="0" t="s">
        <v>1</v>
      </c>
    </row>
    <row r="64621" customFormat="false" ht="12.8" hidden="false" customHeight="false" outlineLevel="0" collapsed="false">
      <c r="B64621" s="0" t="s">
        <v>59</v>
      </c>
    </row>
    <row r="64622" customFormat="false" ht="12.8" hidden="false" customHeight="false" outlineLevel="0" collapsed="false">
      <c r="B64622" s="0" t="s">
        <v>164</v>
      </c>
    </row>
    <row r="64624" customFormat="false" ht="12.8" hidden="false" customHeight="false" outlineLevel="0" collapsed="false">
      <c r="A64624" s="0" t="s">
        <v>21450</v>
      </c>
      <c r="B64624" s="0" t="str">
        <f aca="false">HYPERLINK("https://lindat.mff.cuni.cz/services/teitok/pdtc10/index.php?action=vallex&amp;frame=v-w8854f1", "zakalkulovat (v-w8854f1)")</f>
        <v>zakalkulovat (v-w8854f1)</v>
      </c>
    </row>
    <row r="64625" customFormat="false" ht="12.8" hidden="false" customHeight="false" outlineLevel="0" collapsed="false">
      <c r="B64625" s="0" t="s">
        <v>1</v>
      </c>
    </row>
    <row r="64626" customFormat="false" ht="12.8" hidden="false" customHeight="false" outlineLevel="0" collapsed="false">
      <c r="B64626" s="0" t="s">
        <v>59</v>
      </c>
    </row>
    <row r="64628" customFormat="false" ht="12.8" hidden="false" customHeight="false" outlineLevel="0" collapsed="false">
      <c r="A64628" s="0" t="s">
        <v>21451</v>
      </c>
      <c r="B64628" s="0" t="str">
        <f aca="false">HYPERLINK("https://lindat.mff.cuni.cz/services/teitok/pdtc10/index.php?action=vallex&amp;frame=v-w8855f1", "zakalkulovávat (v-w8855f1)")</f>
        <v>zakalkulovávat (v-w8855f1)</v>
      </c>
    </row>
    <row r="64629" customFormat="false" ht="12.8" hidden="false" customHeight="false" outlineLevel="0" collapsed="false">
      <c r="B64629" s="0" t="s">
        <v>1</v>
      </c>
    </row>
    <row r="64630" customFormat="false" ht="12.8" hidden="false" customHeight="false" outlineLevel="0" collapsed="false">
      <c r="B64630" s="0" t="s">
        <v>8</v>
      </c>
    </row>
    <row r="64631" customFormat="false" ht="12.8" hidden="false" customHeight="false" outlineLevel="0" collapsed="false">
      <c r="B64631" s="0" t="s">
        <v>164</v>
      </c>
    </row>
    <row r="64633" customFormat="false" ht="12.8" hidden="false" customHeight="false" outlineLevel="0" collapsed="false">
      <c r="A64633" s="0" t="s">
        <v>21452</v>
      </c>
      <c r="B64633" s="0" t="str">
        <f aca="false">HYPERLINK("https://lindat.mff.cuni.cz/services/teitok/pdtc10/index.php?action=vallex&amp;frame=v-w8855f2", "zakalkulovávat (v-w8855f2)")</f>
        <v>zakalkulovávat (v-w8855f2)</v>
      </c>
    </row>
    <row r="64634" customFormat="false" ht="12.8" hidden="false" customHeight="false" outlineLevel="0" collapsed="false">
      <c r="B64634" s="0" t="s">
        <v>1</v>
      </c>
    </row>
    <row r="64635" customFormat="false" ht="12.8" hidden="false" customHeight="false" outlineLevel="0" collapsed="false">
      <c r="B64635" s="0" t="s">
        <v>59</v>
      </c>
    </row>
    <row r="64637" customFormat="false" ht="12.8" hidden="false" customHeight="false" outlineLevel="0" collapsed="false">
      <c r="A64637" s="0" t="s">
        <v>21453</v>
      </c>
      <c r="B64637" s="0" t="str">
        <f aca="false">HYPERLINK("https://lindat.mff.cuni.cz/services/teitok/pdtc10/index.php?action=vallex&amp;frame=v-w8859f1", "zakazovat (v-w8859f1)")</f>
        <v>zakazovat (v-w8859f1)</v>
      </c>
      <c r="E64637" s="0" t="str">
        <f aca="false">HYPERLINK("https://lindat.mff.cuni.cz/services/SynSemClass40/SynSemClass40.html?veclass=vec00367#vec00367-ces-cm00010", "vec00367")</f>
        <v>vec00367</v>
      </c>
      <c r="F64637" s="0" t="s">
        <v>556</v>
      </c>
    </row>
    <row r="64638" customFormat="false" ht="12.8" hidden="false" customHeight="false" outlineLevel="0" collapsed="false">
      <c r="B64638" s="0" t="s">
        <v>1</v>
      </c>
      <c r="C64638" s="0" t="s">
        <v>557</v>
      </c>
      <c r="E64638" s="0" t="s">
        <v>206</v>
      </c>
      <c r="F64638" s="0" t="s">
        <v>558</v>
      </c>
    </row>
    <row r="64639" customFormat="false" ht="12.8" hidden="false" customHeight="false" outlineLevel="0" collapsed="false">
      <c r="B64639" s="0" t="s">
        <v>1983</v>
      </c>
      <c r="C64639" s="0" t="s">
        <v>560</v>
      </c>
      <c r="E64639" s="0" t="s">
        <v>561</v>
      </c>
      <c r="F64639" s="0" t="s">
        <v>562</v>
      </c>
    </row>
    <row r="64640" customFormat="false" ht="12.8" hidden="false" customHeight="false" outlineLevel="0" collapsed="false">
      <c r="B64640" s="0" t="s">
        <v>52</v>
      </c>
      <c r="C64640" s="0" t="s">
        <v>563</v>
      </c>
      <c r="E64640" s="0" t="s">
        <v>564</v>
      </c>
      <c r="F64640" s="0" t="s">
        <v>565</v>
      </c>
    </row>
    <row r="64642" customFormat="false" ht="12.8" hidden="false" customHeight="false" outlineLevel="0" collapsed="false">
      <c r="A64642" s="0" t="s">
        <v>21454</v>
      </c>
      <c r="B64642" s="0" t="str">
        <f aca="false">HYPERLINK("https://lindat.mff.cuni.cz/services/teitok/pdtc10/index.php?action=vallex&amp;frame=v-whsa_1708hsa_1709", "zakleknout (v-whsa_1708hsa_1709)")</f>
        <v>zakleknout (v-whsa_1708hsa_1709)</v>
      </c>
    </row>
    <row r="64643" customFormat="false" ht="12.8" hidden="false" customHeight="false" outlineLevel="0" collapsed="false">
      <c r="B64643" s="0" t="s">
        <v>1</v>
      </c>
    </row>
    <row r="64645" customFormat="false" ht="12.8" hidden="false" customHeight="false" outlineLevel="0" collapsed="false">
      <c r="A64645" s="0" t="s">
        <v>21455</v>
      </c>
      <c r="B64645" s="0" t="str">
        <f aca="false">HYPERLINK("https://lindat.mff.cuni.cz/services/teitok/pdtc10/index.php?action=vallex&amp;frame=v-w8870f1", "zaklepat (v-w8870f1)")</f>
        <v>zaklepat (v-w8870f1)</v>
      </c>
      <c r="E64645" s="0" t="str">
        <f aca="false">HYPERLINK("https://lindat.mff.cuni.cz/services/SynSemClass40/SynSemClass40.html?veclass=vec01035#vec01035-ces-cm00003", "vec01035")</f>
        <v>vec01035</v>
      </c>
      <c r="F64645" s="0" t="s">
        <v>5292</v>
      </c>
    </row>
    <row r="64646" customFormat="false" ht="12.8" hidden="false" customHeight="false" outlineLevel="0" collapsed="false">
      <c r="B64646" s="0" t="s">
        <v>1</v>
      </c>
      <c r="C64646" s="0" t="s">
        <v>1752</v>
      </c>
      <c r="E64646" s="0" t="s">
        <v>31</v>
      </c>
      <c r="F64646" s="0" t="s">
        <v>5293</v>
      </c>
    </row>
    <row r="64648" customFormat="false" ht="12.8" hidden="false" customHeight="false" outlineLevel="0" collapsed="false">
      <c r="A64648" s="0" t="s">
        <v>21456</v>
      </c>
      <c r="B64648" s="0" t="str">
        <f aca="false">HYPERLINK("https://lindat.mff.cuni.cz/services/teitok/pdtc10/index.php?action=vallex&amp;frame=v-w8870f2_ZU", "zaklepat (v-w8870f2_ZU)")</f>
        <v>zaklepat (v-w8870f2_ZU)</v>
      </c>
    </row>
    <row r="64649" customFormat="false" ht="12.8" hidden="false" customHeight="false" outlineLevel="0" collapsed="false">
      <c r="B64649" s="0" t="s">
        <v>1</v>
      </c>
    </row>
    <row r="64650" customFormat="false" ht="12.8" hidden="false" customHeight="false" outlineLevel="0" collapsed="false">
      <c r="B64650" s="0" t="s">
        <v>21457</v>
      </c>
    </row>
    <row r="64652" customFormat="false" ht="12.8" hidden="false" customHeight="false" outlineLevel="0" collapsed="false">
      <c r="A64652" s="0" t="s">
        <v>21456</v>
      </c>
      <c r="B64652" s="0" t="str">
        <f aca="false">HYPERLINK("https://lindat.mff.cuni.cz/services/teitok/pdtc10/index.php?action=vallex&amp;frame=v-w8870hsa_1474", "zaklepat (v-w8870hsa_1474) - substituted with v-w8870f2_ZU")</f>
        <v>zaklepat (v-w8870hsa_1474) - substituted with v-w8870f2_ZU</v>
      </c>
    </row>
    <row r="64653" customFormat="false" ht="12.8" hidden="false" customHeight="false" outlineLevel="0" collapsed="false">
      <c r="B64653" s="0" t="s">
        <v>1</v>
      </c>
    </row>
    <row r="64654" customFormat="false" ht="12.8" hidden="false" customHeight="false" outlineLevel="0" collapsed="false">
      <c r="B64654" s="0" t="s">
        <v>21457</v>
      </c>
    </row>
    <row r="64656" customFormat="false" ht="12.8" hidden="false" customHeight="false" outlineLevel="0" collapsed="false">
      <c r="A64656" s="0" t="s">
        <v>21458</v>
      </c>
      <c r="B64656" s="0" t="str">
        <f aca="false">HYPERLINK("https://lindat.mff.cuni.cz/services/teitok/pdtc10/index.php?action=vallex&amp;frame=v-w8870f3_MM", "zaklepat (v-w8870f3_MM)")</f>
        <v>zaklepat (v-w8870f3_MM)</v>
      </c>
    </row>
    <row r="64657" customFormat="false" ht="12.8" hidden="false" customHeight="false" outlineLevel="0" collapsed="false">
      <c r="B64657" s="0" t="s">
        <v>1</v>
      </c>
    </row>
    <row r="64658" customFormat="false" ht="12.8" hidden="false" customHeight="false" outlineLevel="0" collapsed="false">
      <c r="B64658" s="0" t="s">
        <v>390</v>
      </c>
    </row>
    <row r="64660" customFormat="false" ht="12.8" hidden="false" customHeight="false" outlineLevel="0" collapsed="false">
      <c r="A64660" s="0" t="s">
        <v>21458</v>
      </c>
      <c r="B64660" s="0" t="str">
        <f aca="false">HYPERLINK("https://lindat.mff.cuni.cz/services/teitok/pdtc10/index.php?action=vallex&amp;frame=v-w8870hsa_1473", "zaklepat (v-w8870hsa_1473) - substituted with v-w8870f3_MM")</f>
        <v>zaklepat (v-w8870hsa_1473) - substituted with v-w8870f3_MM</v>
      </c>
    </row>
    <row r="64661" customFormat="false" ht="12.8" hidden="false" customHeight="false" outlineLevel="0" collapsed="false">
      <c r="B64661" s="0" t="s">
        <v>1</v>
      </c>
    </row>
    <row r="64662" customFormat="false" ht="12.8" hidden="false" customHeight="false" outlineLevel="0" collapsed="false">
      <c r="B64662" s="0" t="s">
        <v>390</v>
      </c>
    </row>
    <row r="64664" customFormat="false" ht="12.8" hidden="false" customHeight="false" outlineLevel="0" collapsed="false">
      <c r="A64664" s="0" t="s">
        <v>21459</v>
      </c>
      <c r="B64664" s="0" t="str">
        <f aca="false">HYPERLINK("https://lindat.mff.cuni.cz/services/teitok/pdtc10/index.php?action=vallex&amp;frame=v-w10936f2", "zaklesnout (v-w10936f2)")</f>
        <v>zaklesnout (v-w10936f2)</v>
      </c>
    </row>
    <row r="64665" customFormat="false" ht="12.8" hidden="false" customHeight="false" outlineLevel="0" collapsed="false">
      <c r="B64665" s="0" t="s">
        <v>1</v>
      </c>
    </row>
    <row r="64666" customFormat="false" ht="12.8" hidden="false" customHeight="false" outlineLevel="0" collapsed="false">
      <c r="B64666" s="0" t="s">
        <v>8</v>
      </c>
    </row>
    <row r="64667" customFormat="false" ht="12.8" hidden="false" customHeight="false" outlineLevel="0" collapsed="false">
      <c r="B64667" s="0" t="s">
        <v>164</v>
      </c>
    </row>
    <row r="64669" customFormat="false" ht="12.8" hidden="false" customHeight="false" outlineLevel="0" collapsed="false">
      <c r="A64669" s="0" t="s">
        <v>21460</v>
      </c>
      <c r="B64669" s="0" t="str">
        <f aca="false">HYPERLINK("https://lindat.mff.cuni.cz/services/teitok/pdtc10/index.php?action=vallex&amp;frame=v-whsa_1285hsa_1286", "zaklopýtnout (v-whsa_1285hsa_1286)")</f>
        <v>zaklopýtnout (v-whsa_1285hsa_1286)</v>
      </c>
    </row>
    <row r="64670" customFormat="false" ht="12.8" hidden="false" customHeight="false" outlineLevel="0" collapsed="false">
      <c r="B64670" s="0" t="s">
        <v>1</v>
      </c>
    </row>
    <row r="64671" customFormat="false" ht="12.8" hidden="false" customHeight="false" outlineLevel="0" collapsed="false">
      <c r="B64671" s="0" t="s">
        <v>814</v>
      </c>
    </row>
    <row r="64673" customFormat="false" ht="12.8" hidden="false" customHeight="false" outlineLevel="0" collapsed="false">
      <c r="A64673" s="0" t="s">
        <v>21461</v>
      </c>
      <c r="B64673" s="0" t="str">
        <f aca="false">HYPERLINK("https://lindat.mff.cuni.cz/services/teitok/pdtc10/index.php?action=vallex&amp;frame=v-w8864f1", "zakládat (v-w8864f1)")</f>
        <v>zakládat (v-w8864f1)</v>
      </c>
      <c r="E64673" s="0" t="str">
        <f aca="false">HYPERLINK("https://lindat.mff.cuni.cz/services/SynSemClass40/SynSemClass40.html?veclass=vec00179#vec00179-ces-cm00001", "vec00179")</f>
        <v>vec00179</v>
      </c>
      <c r="F64673" s="0" t="s">
        <v>779</v>
      </c>
    </row>
    <row r="64674" customFormat="false" ht="12.8" hidden="false" customHeight="false" outlineLevel="0" collapsed="false">
      <c r="B64674" s="0" t="s">
        <v>1</v>
      </c>
      <c r="C64674" s="0" t="s">
        <v>14765</v>
      </c>
      <c r="E64674" s="0" t="s">
        <v>768</v>
      </c>
      <c r="F64674" s="0" t="s">
        <v>782</v>
      </c>
    </row>
    <row r="64675" customFormat="false" ht="12.8" hidden="false" customHeight="false" outlineLevel="0" collapsed="false">
      <c r="B64675" s="0" t="s">
        <v>8</v>
      </c>
      <c r="C64675" s="0" t="s">
        <v>14766</v>
      </c>
      <c r="E64675" s="0" t="s">
        <v>771</v>
      </c>
      <c r="F64675" s="0" t="s">
        <v>785</v>
      </c>
    </row>
    <row r="64676" customFormat="false" ht="12.8" hidden="false" customHeight="false" outlineLevel="0" collapsed="false">
      <c r="B64676" s="0" t="s">
        <v>16341</v>
      </c>
      <c r="C64676" s="0" t="s">
        <v>14767</v>
      </c>
      <c r="E64676" s="0" t="s">
        <v>787</v>
      </c>
      <c r="F64676" s="0" t="s">
        <v>789</v>
      </c>
    </row>
    <row r="64678" customFormat="false" ht="12.8" hidden="false" customHeight="false" outlineLevel="0" collapsed="false">
      <c r="A64678" s="0" t="s">
        <v>21462</v>
      </c>
      <c r="B64678" s="0" t="str">
        <f aca="false">HYPERLINK("https://lindat.mff.cuni.cz/services/teitok/pdtc10/index.php?action=vallex&amp;frame=v-w8864f3", "zakládat (v-w8864f3)")</f>
        <v>zakládat (v-w8864f3)</v>
      </c>
    </row>
    <row r="64679" customFormat="false" ht="12.8" hidden="false" customHeight="false" outlineLevel="0" collapsed="false">
      <c r="B64679" s="0" t="s">
        <v>1</v>
      </c>
    </row>
    <row r="64680" customFormat="false" ht="12.8" hidden="false" customHeight="false" outlineLevel="0" collapsed="false">
      <c r="B64680" s="0" t="s">
        <v>8</v>
      </c>
    </row>
    <row r="64681" customFormat="false" ht="12.8" hidden="false" customHeight="false" outlineLevel="0" collapsed="false">
      <c r="B64681" s="0" t="s">
        <v>164</v>
      </c>
    </row>
    <row r="64683" customFormat="false" ht="12.8" hidden="false" customHeight="false" outlineLevel="0" collapsed="false">
      <c r="A64683" s="0" t="s">
        <v>21463</v>
      </c>
      <c r="B64683" s="0" t="str">
        <f aca="false">HYPERLINK("https://lindat.mff.cuni.cz/services/teitok/pdtc10/index.php?action=vallex&amp;frame=v-w8864f5", "zakládat (v-w8864f5)")</f>
        <v>zakládat (v-w8864f5)</v>
      </c>
    </row>
    <row r="64684" customFormat="false" ht="12.8" hidden="false" customHeight="false" outlineLevel="0" collapsed="false">
      <c r="B64684" s="0" t="s">
        <v>1</v>
      </c>
    </row>
    <row r="64685" customFormat="false" ht="12.8" hidden="false" customHeight="false" outlineLevel="0" collapsed="false">
      <c r="B64685" s="0" t="s">
        <v>8</v>
      </c>
    </row>
    <row r="64687" customFormat="false" ht="12.8" hidden="false" customHeight="false" outlineLevel="0" collapsed="false">
      <c r="A64687" s="0" t="s">
        <v>21464</v>
      </c>
      <c r="B64687" s="0" t="str">
        <f aca="false">HYPERLINK("https://lindat.mff.cuni.cz/services/teitok/pdtc10/index.php?action=vallex&amp;frame=v-w8864f4", "zakládat (v-w8864f4)")</f>
        <v>zakládat (v-w8864f4)</v>
      </c>
    </row>
    <row r="64688" customFormat="false" ht="12.8" hidden="false" customHeight="false" outlineLevel="0" collapsed="false">
      <c r="B64688" s="0" t="s">
        <v>1</v>
      </c>
    </row>
    <row r="64689" customFormat="false" ht="12.8" hidden="false" customHeight="false" outlineLevel="0" collapsed="false">
      <c r="B64689" s="0" t="s">
        <v>8</v>
      </c>
    </row>
    <row r="64691" customFormat="false" ht="12.8" hidden="false" customHeight="false" outlineLevel="0" collapsed="false">
      <c r="A64691" s="0" t="s">
        <v>21465</v>
      </c>
      <c r="B64691" s="0" t="str">
        <f aca="false">HYPERLINK("https://lindat.mff.cuni.cz/services/teitok/pdtc10/index.php?action=vallex&amp;frame=v-w8864f2", "zakládat (v-w8864f2)")</f>
        <v>zakládat (v-w8864f2)</v>
      </c>
    </row>
    <row r="64692" customFormat="false" ht="12.8" hidden="false" customHeight="false" outlineLevel="0" collapsed="false">
      <c r="B64692" s="0" t="s">
        <v>1</v>
      </c>
    </row>
    <row r="64693" customFormat="false" ht="12.8" hidden="false" customHeight="false" outlineLevel="0" collapsed="false">
      <c r="B64693" s="0" t="s">
        <v>45</v>
      </c>
    </row>
    <row r="64695" customFormat="false" ht="12.8" hidden="false" customHeight="false" outlineLevel="0" collapsed="false">
      <c r="A64695" s="0" t="s">
        <v>21466</v>
      </c>
      <c r="B64695" s="0" t="str">
        <f aca="false">HYPERLINK("https://lindat.mff.cuni.cz/services/teitok/pdtc10/index.php?action=vallex&amp;frame=v-w8867f1", "zakládat se (v-w8867f1)")</f>
        <v>zakládat se (v-w8867f1)</v>
      </c>
      <c r="E64695" s="0" t="str">
        <f aca="false">HYPERLINK("https://lindat.mff.cuni.cz/services/SynSemClass40/SynSemClass40.html?veclass=vec00258#vec00258-ces-cm00015", "vec00258")</f>
        <v>vec00258</v>
      </c>
      <c r="F64695" s="0" t="s">
        <v>10649</v>
      </c>
    </row>
    <row r="64696" customFormat="false" ht="12.8" hidden="false" customHeight="false" outlineLevel="0" collapsed="false">
      <c r="B64696" s="0" t="s">
        <v>1</v>
      </c>
      <c r="C64696" s="0" t="s">
        <v>10650</v>
      </c>
      <c r="E64696" s="0" t="s">
        <v>957</v>
      </c>
      <c r="F64696" s="0" t="s">
        <v>10651</v>
      </c>
    </row>
    <row r="64697" customFormat="false" ht="12.8" hidden="false" customHeight="false" outlineLevel="0" collapsed="false">
      <c r="B64697" s="0" t="s">
        <v>291</v>
      </c>
      <c r="C64697" s="0" t="s">
        <v>10652</v>
      </c>
      <c r="E64697" s="0" t="s">
        <v>6001</v>
      </c>
      <c r="F64697" s="0" t="s">
        <v>10653</v>
      </c>
    </row>
    <row r="64699" customFormat="false" ht="12.8" hidden="false" customHeight="false" outlineLevel="0" collapsed="false">
      <c r="A64699" s="0" t="s">
        <v>21467</v>
      </c>
      <c r="B64699" s="0" t="str">
        <f aca="false">HYPERLINK("https://lindat.mff.cuni.cz/services/teitok/pdtc10/index.php?action=vallex&amp;frame=v-w8868hsa_1396", "zakládat si (v-w8868hsa_1396)")</f>
        <v>zakládat si (v-w8868hsa_1396)</v>
      </c>
    </row>
    <row r="64700" customFormat="false" ht="12.8" hidden="false" customHeight="false" outlineLevel="0" collapsed="false">
      <c r="B64700" s="0" t="s">
        <v>1</v>
      </c>
    </row>
    <row r="64701" customFormat="false" ht="12.8" hidden="false" customHeight="false" outlineLevel="0" collapsed="false">
      <c r="B64701" s="0" t="s">
        <v>21468</v>
      </c>
    </row>
    <row r="64703" customFormat="false" ht="12.8" hidden="false" customHeight="false" outlineLevel="0" collapsed="false">
      <c r="A64703" s="0" t="s">
        <v>21467</v>
      </c>
      <c r="B64703" s="0" t="str">
        <f aca="false">HYPERLINK("https://lindat.mff.cuni.cz/services/teitok/pdtc10/index.php?action=vallex&amp;frame=v-w8868f1", "zakládat si (v-w8868f1) - substituted with v-w8868hsa_1396")</f>
        <v>zakládat si (v-w8868f1) - substituted with v-w8868hsa_1396</v>
      </c>
    </row>
    <row r="64704" customFormat="false" ht="12.8" hidden="false" customHeight="false" outlineLevel="0" collapsed="false">
      <c r="B64704" s="0" t="s">
        <v>1</v>
      </c>
    </row>
    <row r="64705" customFormat="false" ht="12.8" hidden="false" customHeight="false" outlineLevel="0" collapsed="false">
      <c r="B64705" s="0" t="s">
        <v>21468</v>
      </c>
    </row>
    <row r="64707" customFormat="false" ht="12.8" hidden="false" customHeight="false" outlineLevel="0" collapsed="false">
      <c r="A64707" s="0" t="s">
        <v>21469</v>
      </c>
      <c r="B64707" s="0" t="str">
        <f aca="false">HYPERLINK("https://lindat.mff.cuni.cz/services/teitok/pdtc10/index.php?action=vallex&amp;frame=v-w10270f3", "zaklínit (v-w10270f3)")</f>
        <v>zaklínit (v-w10270f3)</v>
      </c>
      <c r="E64707" s="0" t="str">
        <f aca="false">HYPERLINK("https://lindat.mff.cuni.cz/services/SynSemClass40/SynSemClass40.html?veclass=vec00735#vec00735-ces-cm00163", "vec00735")</f>
        <v>vec00735</v>
      </c>
      <c r="F64707" s="0" t="s">
        <v>2719</v>
      </c>
    </row>
    <row r="64708" customFormat="false" ht="12.8" hidden="false" customHeight="false" outlineLevel="0" collapsed="false">
      <c r="B64708" s="0" t="s">
        <v>1</v>
      </c>
      <c r="C64708" s="0" t="s">
        <v>2720</v>
      </c>
      <c r="E64708" s="0" t="s">
        <v>334</v>
      </c>
      <c r="F64708" s="0" t="s">
        <v>2721</v>
      </c>
    </row>
    <row r="64709" customFormat="false" ht="12.8" hidden="false" customHeight="false" outlineLevel="0" collapsed="false">
      <c r="B64709" s="0" t="s">
        <v>8</v>
      </c>
      <c r="C64709" s="0" t="s">
        <v>2722</v>
      </c>
      <c r="E64709" s="0" t="s">
        <v>2648</v>
      </c>
      <c r="F64709" s="0" t="s">
        <v>2723</v>
      </c>
    </row>
    <row r="64710" customFormat="false" ht="12.8" hidden="false" customHeight="false" outlineLevel="0" collapsed="false">
      <c r="B64710" s="0" t="s">
        <v>5</v>
      </c>
      <c r="C64710" s="0" t="s">
        <v>6068</v>
      </c>
      <c r="E64710" s="0" t="s">
        <v>3254</v>
      </c>
      <c r="F64710" s="0" t="s">
        <v>6069</v>
      </c>
    </row>
    <row r="64712" customFormat="false" ht="12.8" hidden="false" customHeight="false" outlineLevel="0" collapsed="false">
      <c r="A64712" s="0" t="s">
        <v>21470</v>
      </c>
      <c r="B64712" s="0" t="str">
        <f aca="false">HYPERLINK("https://lindat.mff.cuni.cz/services/teitok/pdtc10/index.php?action=vallex&amp;frame=v-w10270f2", "zaklínit (v-w10270f2)")</f>
        <v>zaklínit (v-w10270f2)</v>
      </c>
    </row>
    <row r="64713" customFormat="false" ht="12.8" hidden="false" customHeight="false" outlineLevel="0" collapsed="false">
      <c r="B64713" s="0" t="s">
        <v>1</v>
      </c>
    </row>
    <row r="64714" customFormat="false" ht="12.8" hidden="false" customHeight="false" outlineLevel="0" collapsed="false">
      <c r="B64714" s="0" t="s">
        <v>8</v>
      </c>
    </row>
    <row r="64715" customFormat="false" ht="12.8" hidden="false" customHeight="false" outlineLevel="0" collapsed="false">
      <c r="B64715" s="0" t="s">
        <v>164</v>
      </c>
    </row>
    <row r="64717" customFormat="false" ht="12.8" hidden="false" customHeight="false" outlineLevel="0" collapsed="false">
      <c r="A64717" s="0" t="s">
        <v>21471</v>
      </c>
      <c r="B64717" s="0" t="str">
        <f aca="false">HYPERLINK("https://lindat.mff.cuni.cz/services/teitok/pdtc10/index.php?action=vallex&amp;frame=v-w8872f1", "zaklít (v-w8872f1)")</f>
        <v>zaklít (v-w8872f1)</v>
      </c>
    </row>
    <row r="64718" customFormat="false" ht="12.8" hidden="false" customHeight="false" outlineLevel="0" collapsed="false">
      <c r="B64718" s="0" t="s">
        <v>1</v>
      </c>
    </row>
    <row r="64719" customFormat="false" ht="12.8" hidden="false" customHeight="false" outlineLevel="0" collapsed="false">
      <c r="B64719" s="0" t="s">
        <v>8</v>
      </c>
    </row>
    <row r="64720" customFormat="false" ht="12.8" hidden="false" customHeight="false" outlineLevel="0" collapsed="false">
      <c r="B64720" s="0" t="s">
        <v>4167</v>
      </c>
    </row>
    <row r="64722" customFormat="false" ht="12.8" hidden="false" customHeight="false" outlineLevel="0" collapsed="false">
      <c r="A64722" s="0" t="s">
        <v>21472</v>
      </c>
      <c r="B64722" s="0" t="str">
        <f aca="false">HYPERLINK("https://lindat.mff.cuni.cz/services/teitok/pdtc10/index.php?action=vallex&amp;frame=v-w10596f2", "zaknihovat (v-w10596f2)")</f>
        <v>zaknihovat (v-w10596f2)</v>
      </c>
    </row>
    <row r="64723" customFormat="false" ht="12.8" hidden="false" customHeight="false" outlineLevel="0" collapsed="false">
      <c r="B64723" s="0" t="s">
        <v>1</v>
      </c>
    </row>
    <row r="64724" customFormat="false" ht="12.8" hidden="false" customHeight="false" outlineLevel="0" collapsed="false">
      <c r="B64724" s="0" t="s">
        <v>8</v>
      </c>
    </row>
    <row r="64725" customFormat="false" ht="12.8" hidden="false" customHeight="false" outlineLevel="0" collapsed="false">
      <c r="B64725" s="0" t="s">
        <v>164</v>
      </c>
    </row>
    <row r="64727" customFormat="false" ht="12.8" hidden="false" customHeight="false" outlineLevel="0" collapsed="false">
      <c r="A64727" s="0" t="s">
        <v>21473</v>
      </c>
      <c r="B64727" s="0" t="str">
        <f aca="false">HYPERLINK("https://lindat.mff.cuni.cz/services/teitok/pdtc10/index.php?action=vallex&amp;frame=v-whsa_1828hsa_1829", "zakoktávat se (v-whsa_1828hsa_1829)")</f>
        <v>zakoktávat se (v-whsa_1828hsa_1829)</v>
      </c>
    </row>
    <row r="64728" customFormat="false" ht="12.8" hidden="false" customHeight="false" outlineLevel="0" collapsed="false">
      <c r="B64728" s="0" t="s">
        <v>1</v>
      </c>
    </row>
    <row r="64730" customFormat="false" ht="12.8" hidden="false" customHeight="false" outlineLevel="0" collapsed="false">
      <c r="A64730" s="0" t="s">
        <v>21474</v>
      </c>
      <c r="B64730" s="0" t="str">
        <f aca="false">HYPERLINK("https://lindat.mff.cuni.cz/services/teitok/pdtc10/index.php?action=vallex&amp;frame=v-w8874f1", "zakolísat (v-w8874f1)")</f>
        <v>zakolísat (v-w8874f1)</v>
      </c>
    </row>
    <row r="64731" customFormat="false" ht="12.8" hidden="false" customHeight="false" outlineLevel="0" collapsed="false">
      <c r="B64731" s="0" t="s">
        <v>1</v>
      </c>
    </row>
    <row r="64732" customFormat="false" ht="12.8" hidden="false" customHeight="false" outlineLevel="0" collapsed="false">
      <c r="B64732" s="0" t="s">
        <v>21475</v>
      </c>
    </row>
    <row r="64734" customFormat="false" ht="12.8" hidden="false" customHeight="false" outlineLevel="0" collapsed="false">
      <c r="A64734" s="0" t="s">
        <v>21476</v>
      </c>
      <c r="B64734" s="0" t="str">
        <f aca="false">HYPERLINK("https://lindat.mff.cuni.cz/services/teitok/pdtc10/index.php?action=vallex&amp;frame=v-w8874f2", "zakolísat (v-w8874f2)")</f>
        <v>zakolísat (v-w8874f2)</v>
      </c>
    </row>
    <row r="64735" customFormat="false" ht="12.8" hidden="false" customHeight="false" outlineLevel="0" collapsed="false">
      <c r="B64735" s="0" t="s">
        <v>1</v>
      </c>
    </row>
    <row r="64737" customFormat="false" ht="12.8" hidden="false" customHeight="false" outlineLevel="0" collapsed="false">
      <c r="A64737" s="0" t="s">
        <v>21477</v>
      </c>
      <c r="B64737" s="0" t="str">
        <f aca="false">HYPERLINK("https://lindat.mff.cuni.cz/services/teitok/pdtc10/index.php?action=vallex&amp;frame=v-w10249f3", "zakomponovat (v-w10249f3)")</f>
        <v>zakomponovat (v-w10249f3)</v>
      </c>
      <c r="E64737" s="0" t="str">
        <f aca="false">HYPERLINK("https://lindat.mff.cuni.cz/services/SynSemClass40/SynSemClass40.html?veclass=vec00175#vec00175-ces-cm00088", "vec00175")</f>
        <v>vec00175</v>
      </c>
      <c r="F64737" s="0" t="s">
        <v>4861</v>
      </c>
      <c r="H64737" s="0" t="str">
        <f aca="false">HYPERLINK("https://lindat.mff.cuni.cz/services/SynSemClass40/SynSemClass40.html?veclass=vec00407#vec00407-ces-cm00080", "vec00407")</f>
        <v>vec00407</v>
      </c>
      <c r="I64737" s="0" t="s">
        <v>2577</v>
      </c>
      <c r="K64737" s="0" t="str">
        <f aca="false">HYPERLINK("https://lindat.mff.cuni.cz/services/SynSemClass40/SynSemClass40.html?veclass=vec01167#vec01167-ces-cm00007", "vec01167")</f>
        <v>vec01167</v>
      </c>
      <c r="L64737" s="0" t="s">
        <v>7657</v>
      </c>
    </row>
    <row r="64738" customFormat="false" ht="12.8" hidden="false" customHeight="false" outlineLevel="0" collapsed="false">
      <c r="B64738" s="0" t="s">
        <v>1</v>
      </c>
      <c r="C64738" s="0" t="s">
        <v>21478</v>
      </c>
      <c r="E64738" s="0" t="s">
        <v>31</v>
      </c>
      <c r="F64738" s="0" t="s">
        <v>13929</v>
      </c>
      <c r="H64738" s="0" t="s">
        <v>31</v>
      </c>
      <c r="I64738" s="0" t="s">
        <v>2579</v>
      </c>
      <c r="K64738" s="0" t="s">
        <v>768</v>
      </c>
      <c r="L64738" s="0" t="s">
        <v>7658</v>
      </c>
    </row>
    <row r="64739" customFormat="false" ht="12.8" hidden="false" customHeight="false" outlineLevel="0" collapsed="false">
      <c r="B64739" s="0" t="s">
        <v>8</v>
      </c>
      <c r="C64739" s="0" t="s">
        <v>21479</v>
      </c>
      <c r="E64739" s="0" t="s">
        <v>13931</v>
      </c>
      <c r="F64739" s="0" t="s">
        <v>13932</v>
      </c>
      <c r="H64739" s="0" t="s">
        <v>110</v>
      </c>
      <c r="I64739" s="0" t="s">
        <v>14267</v>
      </c>
      <c r="K64739" s="0" t="s">
        <v>110</v>
      </c>
      <c r="L64739" s="0" t="s">
        <v>7659</v>
      </c>
    </row>
    <row r="64740" customFormat="false" ht="12.8" hidden="false" customHeight="false" outlineLevel="0" collapsed="false">
      <c r="B64740" s="0" t="s">
        <v>5</v>
      </c>
      <c r="C64740" s="0" t="s">
        <v>21480</v>
      </c>
      <c r="E64740" s="0" t="s">
        <v>21481</v>
      </c>
      <c r="F64740" s="0" t="s">
        <v>21482</v>
      </c>
      <c r="K64740" s="0" t="s">
        <v>21483</v>
      </c>
      <c r="L64740" s="0" t="s">
        <v>21484</v>
      </c>
    </row>
    <row r="64742" customFormat="false" ht="12.8" hidden="false" customHeight="false" outlineLevel="0" collapsed="false">
      <c r="A64742" s="0" t="s">
        <v>21485</v>
      </c>
      <c r="B64742" s="0" t="str">
        <f aca="false">HYPERLINK("https://lindat.mff.cuni.cz/services/teitok/pdtc10/index.php?action=vallex&amp;frame=v-w10249f2", "zakomponovat (v-w10249f2)")</f>
        <v>zakomponovat (v-w10249f2)</v>
      </c>
      <c r="E64742" s="0" t="str">
        <f aca="false">HYPERLINK("https://lindat.mff.cuni.cz/services/SynSemClass40/SynSemClass40.html?veclass=vec00175#vec00175-ces-cm00087", "vec00175")</f>
        <v>vec00175</v>
      </c>
      <c r="F64742" s="0" t="s">
        <v>4861</v>
      </c>
      <c r="H64742" s="0" t="str">
        <f aca="false">HYPERLINK("https://lindat.mff.cuni.cz/services/SynSemClass40/SynSemClass40.html?veclass=vec00407#vec00407-ces-cm00079", "vec00407")</f>
        <v>vec00407</v>
      </c>
      <c r="I64742" s="0" t="s">
        <v>2577</v>
      </c>
      <c r="K64742" s="0" t="str">
        <f aca="false">HYPERLINK("https://lindat.mff.cuni.cz/services/SynSemClass40/SynSemClass40.html?veclass=vec01167#vec01167-ces-cm00006", "vec01167")</f>
        <v>vec01167</v>
      </c>
      <c r="L64742" s="0" t="s">
        <v>7657</v>
      </c>
    </row>
    <row r="64743" customFormat="false" ht="12.8" hidden="false" customHeight="false" outlineLevel="0" collapsed="false">
      <c r="B64743" s="0" t="s">
        <v>1</v>
      </c>
      <c r="C64743" s="0" t="s">
        <v>21478</v>
      </c>
      <c r="E64743" s="0" t="s">
        <v>31</v>
      </c>
      <c r="F64743" s="0" t="s">
        <v>13929</v>
      </c>
      <c r="H64743" s="0" t="s">
        <v>31</v>
      </c>
      <c r="I64743" s="0" t="s">
        <v>2579</v>
      </c>
      <c r="K64743" s="0" t="s">
        <v>768</v>
      </c>
      <c r="L64743" s="0" t="s">
        <v>7658</v>
      </c>
    </row>
    <row r="64744" customFormat="false" ht="12.8" hidden="false" customHeight="false" outlineLevel="0" collapsed="false">
      <c r="B64744" s="0" t="s">
        <v>8</v>
      </c>
      <c r="C64744" s="0" t="s">
        <v>21479</v>
      </c>
      <c r="E64744" s="0" t="s">
        <v>13931</v>
      </c>
      <c r="F64744" s="0" t="s">
        <v>13932</v>
      </c>
      <c r="H64744" s="0" t="s">
        <v>110</v>
      </c>
      <c r="I64744" s="0" t="s">
        <v>14267</v>
      </c>
      <c r="K64744" s="0" t="s">
        <v>110</v>
      </c>
      <c r="L64744" s="0" t="s">
        <v>7659</v>
      </c>
    </row>
    <row r="64745" customFormat="false" ht="12.8" hidden="false" customHeight="false" outlineLevel="0" collapsed="false">
      <c r="B64745" s="0" t="s">
        <v>164</v>
      </c>
      <c r="C64745" s="0" t="s">
        <v>21486</v>
      </c>
      <c r="E64745" s="0" t="s">
        <v>4866</v>
      </c>
      <c r="F64745" s="0" t="s">
        <v>4867</v>
      </c>
      <c r="H64745" s="0" t="s">
        <v>14269</v>
      </c>
      <c r="I64745" s="0" t="s">
        <v>14270</v>
      </c>
      <c r="K64745" s="0" t="s">
        <v>14031</v>
      </c>
      <c r="L64745" s="0" t="s">
        <v>18742</v>
      </c>
    </row>
    <row r="64747" customFormat="false" ht="12.8" hidden="false" customHeight="false" outlineLevel="0" collapsed="false">
      <c r="A64747" s="0" t="s">
        <v>21487</v>
      </c>
      <c r="B64747" s="0" t="str">
        <f aca="false">HYPERLINK("https://lindat.mff.cuni.cz/services/teitok/pdtc10/index.php?action=vallex&amp;frame=v-w8881f1", "zakonzervovat (v-w8881f1)")</f>
        <v>zakonzervovat (v-w8881f1)</v>
      </c>
    </row>
    <row r="64748" customFormat="false" ht="12.8" hidden="false" customHeight="false" outlineLevel="0" collapsed="false">
      <c r="B64748" s="0" t="s">
        <v>1</v>
      </c>
    </row>
    <row r="64749" customFormat="false" ht="12.8" hidden="false" customHeight="false" outlineLevel="0" collapsed="false">
      <c r="B64749" s="0" t="s">
        <v>8</v>
      </c>
    </row>
    <row r="64750" customFormat="false" ht="12.8" hidden="false" customHeight="false" outlineLevel="0" collapsed="false">
      <c r="B64750" s="0" t="s">
        <v>164</v>
      </c>
    </row>
    <row r="64752" customFormat="false" ht="12.8" hidden="false" customHeight="false" outlineLevel="0" collapsed="false">
      <c r="A64752" s="0" t="s">
        <v>21488</v>
      </c>
      <c r="B64752" s="0" t="str">
        <f aca="false">HYPERLINK("https://lindat.mff.cuni.cz/services/teitok/pdtc10/index.php?action=vallex&amp;frame=v-w8879f1", "zakončit (v-w8879f1)")</f>
        <v>zakončit (v-w8879f1)</v>
      </c>
      <c r="E64752" s="0" t="str">
        <f aca="false">HYPERLINK("https://lindat.mff.cuni.cz/services/SynSemClass40/SynSemClass40.html?veclass=vec00213#vec00213-ces-cm00025", "vec00213")</f>
        <v>vec00213</v>
      </c>
      <c r="F64752" s="0" t="s">
        <v>2399</v>
      </c>
    </row>
    <row r="64753" customFormat="false" ht="12.8" hidden="false" customHeight="false" outlineLevel="0" collapsed="false">
      <c r="B64753" s="0" t="s">
        <v>1</v>
      </c>
      <c r="C64753" s="0" t="s">
        <v>2400</v>
      </c>
      <c r="E64753" s="0" t="s">
        <v>31</v>
      </c>
      <c r="F64753" s="0" t="s">
        <v>2401</v>
      </c>
    </row>
    <row r="64754" customFormat="false" ht="12.8" hidden="false" customHeight="false" outlineLevel="0" collapsed="false">
      <c r="B64754" s="0" t="s">
        <v>8</v>
      </c>
      <c r="C64754" s="0" t="s">
        <v>2402</v>
      </c>
      <c r="E64754" s="0" t="s">
        <v>2403</v>
      </c>
      <c r="F64754" s="0" t="s">
        <v>2404</v>
      </c>
    </row>
    <row r="64756" customFormat="false" ht="12.8" hidden="false" customHeight="false" outlineLevel="0" collapsed="false">
      <c r="A64756" s="0" t="s">
        <v>21489</v>
      </c>
      <c r="B64756" s="0" t="str">
        <f aca="false">HYPERLINK("https://lindat.mff.cuni.cz/services/teitok/pdtc10/index.php?action=vallex&amp;frame=v-w8879f5_ZU", "zakončit (v-w8879f5_ZU)")</f>
        <v>zakončit (v-w8879f5_ZU)</v>
      </c>
      <c r="E64756" s="0" t="str">
        <f aca="false">HYPERLINK("https://lindat.mff.cuni.cz/services/SynSemClass40/SynSemClass40.html?veclass=vec00741#vec00741-ces-cm00026", "vec00741")</f>
        <v>vec00741</v>
      </c>
      <c r="F64756" s="0" t="s">
        <v>5600</v>
      </c>
    </row>
    <row r="64757" customFormat="false" ht="12.8" hidden="false" customHeight="false" outlineLevel="0" collapsed="false">
      <c r="B64757" s="0" t="s">
        <v>1</v>
      </c>
      <c r="C64757" s="0" t="s">
        <v>15932</v>
      </c>
      <c r="E64757" s="0" t="s">
        <v>957</v>
      </c>
      <c r="F64757" s="0" t="s">
        <v>5602</v>
      </c>
    </row>
    <row r="64758" customFormat="false" ht="12.8" hidden="false" customHeight="false" outlineLevel="0" collapsed="false">
      <c r="B64758" s="0" t="s">
        <v>10090</v>
      </c>
      <c r="C64758" s="0" t="s">
        <v>15934</v>
      </c>
      <c r="E64758" s="0" t="s">
        <v>17690</v>
      </c>
      <c r="F64758" s="0" t="s">
        <v>17691</v>
      </c>
    </row>
    <row r="64759" customFormat="false" ht="12.8" hidden="false" customHeight="false" outlineLevel="0" collapsed="false">
      <c r="B64759" s="0" t="s">
        <v>4656</v>
      </c>
      <c r="C64759" s="0" t="s">
        <v>18372</v>
      </c>
      <c r="E64759" s="0" t="s">
        <v>17690</v>
      </c>
      <c r="F64759" s="0" t="s">
        <v>17691</v>
      </c>
    </row>
    <row r="64760" customFormat="false" ht="12.8" hidden="false" customHeight="false" outlineLevel="0" collapsed="false">
      <c r="B64760" s="0" t="s">
        <v>21490</v>
      </c>
      <c r="C64760" s="0" t="s">
        <v>18373</v>
      </c>
      <c r="E64760" s="0" t="s">
        <v>17690</v>
      </c>
      <c r="F64760" s="0" t="s">
        <v>17691</v>
      </c>
    </row>
    <row r="64762" customFormat="false" ht="12.8" hidden="false" customHeight="false" outlineLevel="0" collapsed="false">
      <c r="A64762" s="0" t="s">
        <v>21489</v>
      </c>
      <c r="B64762" s="0" t="str">
        <f aca="false">HYPERLINK("https://lindat.mff.cuni.cz/services/teitok/pdtc10/index.php?action=vallex&amp;frame=v-w8879f2_ZU", "zakončit (v-w8879f2_ZU) - substituted with v-w8879f5_ZU")</f>
        <v>zakončit (v-w8879f2_ZU) - substituted with v-w8879f5_ZU</v>
      </c>
    </row>
    <row r="64763" customFormat="false" ht="12.8" hidden="false" customHeight="false" outlineLevel="0" collapsed="false">
      <c r="B64763" s="0" t="s">
        <v>1</v>
      </c>
    </row>
    <row r="64764" customFormat="false" ht="12.8" hidden="false" customHeight="false" outlineLevel="0" collapsed="false">
      <c r="B64764" s="0" t="s">
        <v>10090</v>
      </c>
    </row>
    <row r="64765" customFormat="false" ht="12.8" hidden="false" customHeight="false" outlineLevel="0" collapsed="false">
      <c r="B64765" s="0" t="s">
        <v>4656</v>
      </c>
    </row>
    <row r="64766" customFormat="false" ht="12.8" hidden="false" customHeight="false" outlineLevel="0" collapsed="false">
      <c r="B64766" s="0" t="s">
        <v>21490</v>
      </c>
    </row>
    <row r="64768" customFormat="false" ht="12.8" hidden="false" customHeight="false" outlineLevel="0" collapsed="false">
      <c r="A64768" s="0" t="s">
        <v>21489</v>
      </c>
      <c r="B64768" s="0" t="str">
        <f aca="false">HYPERLINK("https://lindat.mff.cuni.cz/services/teitok/pdtc10/index.php?action=vallex&amp;frame=v-w8879f3_ZU", "zakončit (v-w8879f3_ZU) - substituted with v-w8879f5_ZU")</f>
        <v>zakončit (v-w8879f3_ZU) - substituted with v-w8879f5_ZU</v>
      </c>
    </row>
    <row r="64769" customFormat="false" ht="12.8" hidden="false" customHeight="false" outlineLevel="0" collapsed="false">
      <c r="B64769" s="0" t="s">
        <v>1</v>
      </c>
    </row>
    <row r="64770" customFormat="false" ht="12.8" hidden="false" customHeight="false" outlineLevel="0" collapsed="false">
      <c r="B64770" s="0" t="s">
        <v>10090</v>
      </c>
    </row>
    <row r="64771" customFormat="false" ht="12.8" hidden="false" customHeight="false" outlineLevel="0" collapsed="false">
      <c r="B64771" s="0" t="s">
        <v>4656</v>
      </c>
    </row>
    <row r="64772" customFormat="false" ht="12.8" hidden="false" customHeight="false" outlineLevel="0" collapsed="false">
      <c r="B64772" s="0" t="s">
        <v>21490</v>
      </c>
    </row>
    <row r="64774" customFormat="false" ht="12.8" hidden="false" customHeight="false" outlineLevel="0" collapsed="false">
      <c r="A64774" s="0" t="s">
        <v>21489</v>
      </c>
      <c r="B64774" s="0" t="str">
        <f aca="false">HYPERLINK("https://lindat.mff.cuni.cz/services/teitok/pdtc10/index.php?action=vallex&amp;frame=v-w8879f4_ZU", "zakončit (v-w8879f4_ZU) - substituted with v-w8879f5_ZU")</f>
        <v>zakončit (v-w8879f4_ZU) - substituted with v-w8879f5_ZU</v>
      </c>
    </row>
    <row r="64775" customFormat="false" ht="12.8" hidden="false" customHeight="false" outlineLevel="0" collapsed="false">
      <c r="B64775" s="0" t="s">
        <v>1</v>
      </c>
    </row>
    <row r="64776" customFormat="false" ht="12.8" hidden="false" customHeight="false" outlineLevel="0" collapsed="false">
      <c r="B64776" s="0" t="s">
        <v>10090</v>
      </c>
    </row>
    <row r="64777" customFormat="false" ht="12.8" hidden="false" customHeight="false" outlineLevel="0" collapsed="false">
      <c r="B64777" s="0" t="s">
        <v>4656</v>
      </c>
    </row>
    <row r="64778" customFormat="false" ht="12.8" hidden="false" customHeight="false" outlineLevel="0" collapsed="false">
      <c r="B64778" s="0" t="s">
        <v>21490</v>
      </c>
    </row>
    <row r="64780" customFormat="false" ht="12.8" hidden="false" customHeight="false" outlineLevel="0" collapsed="false">
      <c r="A64780" s="0" t="s">
        <v>21491</v>
      </c>
      <c r="B64780" s="0" t="str">
        <f aca="false">HYPERLINK("https://lindat.mff.cuni.cz/services/teitok/pdtc10/index.php?action=vallex&amp;frame=v-w8882f1", "zakopat (v-w8882f1)")</f>
        <v>zakopat (v-w8882f1)</v>
      </c>
    </row>
    <row r="64781" customFormat="false" ht="12.8" hidden="false" customHeight="false" outlineLevel="0" collapsed="false">
      <c r="B64781" s="0" t="s">
        <v>1</v>
      </c>
    </row>
    <row r="64782" customFormat="false" ht="12.8" hidden="false" customHeight="false" outlineLevel="0" collapsed="false">
      <c r="B64782" s="0" t="s">
        <v>8</v>
      </c>
    </row>
    <row r="64783" customFormat="false" ht="12.8" hidden="false" customHeight="false" outlineLevel="0" collapsed="false">
      <c r="B64783" s="0" t="s">
        <v>4248</v>
      </c>
    </row>
    <row r="64785" customFormat="false" ht="12.8" hidden="false" customHeight="false" outlineLevel="0" collapsed="false">
      <c r="A64785" s="0" t="s">
        <v>21492</v>
      </c>
      <c r="B64785" s="0" t="str">
        <f aca="false">HYPERLINK("https://lindat.mff.cuni.cz/services/teitok/pdtc10/index.php?action=vallex&amp;frame=v-w8882f2", "zakopat (v-w8882f2)")</f>
        <v>zakopat (v-w8882f2)</v>
      </c>
    </row>
    <row r="64786" customFormat="false" ht="12.8" hidden="false" customHeight="false" outlineLevel="0" collapsed="false">
      <c r="B64786" s="0" t="s">
        <v>1</v>
      </c>
    </row>
    <row r="64787" customFormat="false" ht="12.8" hidden="false" customHeight="false" outlineLevel="0" collapsed="false">
      <c r="B64787" s="0" t="s">
        <v>8</v>
      </c>
    </row>
    <row r="64789" customFormat="false" ht="12.8" hidden="false" customHeight="false" outlineLevel="0" collapsed="false">
      <c r="A64789" s="0" t="s">
        <v>21493</v>
      </c>
      <c r="B64789" s="0" t="str">
        <f aca="false">HYPERLINK("https://lindat.mff.cuni.cz/services/teitok/pdtc10/index.php?action=vallex&amp;frame=v-w8882f3_ZU", "zakopat (v-w8882f3_ZU)")</f>
        <v>zakopat (v-w8882f3_ZU)</v>
      </c>
    </row>
    <row r="64790" customFormat="false" ht="12.8" hidden="false" customHeight="false" outlineLevel="0" collapsed="false">
      <c r="B64790" s="0" t="s">
        <v>1</v>
      </c>
    </row>
    <row r="64791" customFormat="false" ht="12.8" hidden="false" customHeight="false" outlineLevel="0" collapsed="false">
      <c r="B64791" s="0" t="s">
        <v>21494</v>
      </c>
    </row>
    <row r="64793" customFormat="false" ht="12.8" hidden="false" customHeight="false" outlineLevel="0" collapsed="false">
      <c r="A64793" s="0" t="s">
        <v>21495</v>
      </c>
      <c r="B64793" s="0" t="str">
        <f aca="false">HYPERLINK("https://lindat.mff.cuni.cz/services/teitok/pdtc10/index.php?action=vallex&amp;frame=v-w8882f4_ZU", "zakopat (v-w8882f4_ZU)")</f>
        <v>zakopat (v-w8882f4_ZU)</v>
      </c>
    </row>
    <row r="64794" customFormat="false" ht="12.8" hidden="false" customHeight="false" outlineLevel="0" collapsed="false">
      <c r="B64794" s="0" t="s">
        <v>1</v>
      </c>
    </row>
    <row r="64795" customFormat="false" ht="12.8" hidden="false" customHeight="false" outlineLevel="0" collapsed="false">
      <c r="B64795" s="0" t="s">
        <v>8</v>
      </c>
    </row>
    <row r="64796" customFormat="false" ht="12.8" hidden="false" customHeight="false" outlineLevel="0" collapsed="false">
      <c r="B64796" s="0" t="s">
        <v>454</v>
      </c>
    </row>
    <row r="64798" customFormat="false" ht="12.8" hidden="false" customHeight="false" outlineLevel="0" collapsed="false">
      <c r="A64798" s="0" t="s">
        <v>21496</v>
      </c>
      <c r="B64798" s="0" t="str">
        <f aca="false">HYPERLINK("https://lindat.mff.cuni.cz/services/teitok/pdtc10/index.php?action=vallex&amp;frame=v-w8883f1", "zakopat se (v-w8883f1)")</f>
        <v>zakopat se (v-w8883f1)</v>
      </c>
    </row>
    <row r="64799" customFormat="false" ht="12.8" hidden="false" customHeight="false" outlineLevel="0" collapsed="false">
      <c r="B64799" s="0" t="s">
        <v>1</v>
      </c>
    </row>
    <row r="64801" customFormat="false" ht="12.8" hidden="false" customHeight="false" outlineLevel="0" collapsed="false">
      <c r="A64801" s="0" t="s">
        <v>21497</v>
      </c>
      <c r="B64801" s="0" t="str">
        <f aca="false">HYPERLINK("https://lindat.mff.cuni.cz/services/teitok/pdtc10/index.php?action=vallex&amp;frame=v-whsa_167hsa_168", "zakopnout (v-whsa_167hsa_168)")</f>
        <v>zakopnout (v-whsa_167hsa_168)</v>
      </c>
    </row>
    <row r="64802" customFormat="false" ht="12.8" hidden="false" customHeight="false" outlineLevel="0" collapsed="false">
      <c r="B64802" s="0" t="s">
        <v>1</v>
      </c>
    </row>
    <row r="64803" customFormat="false" ht="12.8" hidden="false" customHeight="false" outlineLevel="0" collapsed="false">
      <c r="B64803" s="0" t="s">
        <v>3152</v>
      </c>
    </row>
    <row r="64805" customFormat="false" ht="12.8" hidden="false" customHeight="false" outlineLevel="0" collapsed="false">
      <c r="A64805" s="0" t="s">
        <v>21498</v>
      </c>
      <c r="B64805" s="0" t="str">
        <f aca="false">HYPERLINK("https://lindat.mff.cuni.cz/services/teitok/pdtc10/index.php?action=vallex&amp;frame=v-w11008f3_ZU", "zakopávat (v-w11008f3_ZU)")</f>
        <v>zakopávat (v-w11008f3_ZU)</v>
      </c>
      <c r="E64805" s="0" t="str">
        <f aca="false">HYPERLINK("https://lindat.mff.cuni.cz/services/SynSemClass40/SynSemClass40.html?veclass=vec00932#vec00932-ces-cm00011", "vec00932")</f>
        <v>vec00932</v>
      </c>
      <c r="F64805" s="0" t="s">
        <v>4723</v>
      </c>
    </row>
    <row r="64806" customFormat="false" ht="12.8" hidden="false" customHeight="false" outlineLevel="0" collapsed="false">
      <c r="B64806" s="0" t="s">
        <v>1</v>
      </c>
      <c r="C64806" s="0" t="s">
        <v>3000</v>
      </c>
      <c r="E64806" s="0" t="s">
        <v>4726</v>
      </c>
      <c r="F64806" s="0" t="s">
        <v>4727</v>
      </c>
    </row>
    <row r="64807" customFormat="false" ht="12.8" hidden="false" customHeight="false" outlineLevel="0" collapsed="false">
      <c r="B64807" s="0" t="s">
        <v>8</v>
      </c>
      <c r="C64807" s="0" t="s">
        <v>639</v>
      </c>
      <c r="E64807" s="0" t="s">
        <v>514</v>
      </c>
      <c r="F64807" s="0" t="s">
        <v>4730</v>
      </c>
    </row>
    <row r="64808" customFormat="false" ht="12.8" hidden="false" customHeight="false" outlineLevel="0" collapsed="false">
      <c r="B64808" s="0" t="s">
        <v>454</v>
      </c>
      <c r="E64808" s="0" t="s">
        <v>370</v>
      </c>
      <c r="F64808" s="0" t="s">
        <v>3041</v>
      </c>
    </row>
    <row r="64810" customFormat="false" ht="12.8" hidden="false" customHeight="false" outlineLevel="0" collapsed="false">
      <c r="A64810" s="0" t="s">
        <v>21499</v>
      </c>
      <c r="B64810" s="0" t="str">
        <f aca="false">HYPERLINK("https://lindat.mff.cuni.cz/services/teitok/pdtc10/index.php?action=vallex&amp;frame=v-w11008f2", "zakopávat (v-w11008f2)")</f>
        <v>zakopávat (v-w11008f2)</v>
      </c>
    </row>
    <row r="64811" customFormat="false" ht="12.8" hidden="false" customHeight="false" outlineLevel="0" collapsed="false">
      <c r="B64811" s="0" t="s">
        <v>1</v>
      </c>
    </row>
    <row r="64812" customFormat="false" ht="12.8" hidden="false" customHeight="false" outlineLevel="0" collapsed="false">
      <c r="B64812" s="0" t="s">
        <v>814</v>
      </c>
    </row>
    <row r="64814" customFormat="false" ht="12.8" hidden="false" customHeight="false" outlineLevel="0" collapsed="false">
      <c r="A64814" s="0" t="s">
        <v>21500</v>
      </c>
      <c r="B64814" s="0" t="str">
        <f aca="false">HYPERLINK("https://lindat.mff.cuni.cz/services/teitok/pdtc10/index.php?action=vallex&amp;frame=v-w11008f4_MM", "zakopávat (v-w11008f4_MM)")</f>
        <v>zakopávat (v-w11008f4_MM)</v>
      </c>
    </row>
    <row r="64815" customFormat="false" ht="12.8" hidden="false" customHeight="false" outlineLevel="0" collapsed="false">
      <c r="B64815" s="0" t="s">
        <v>1</v>
      </c>
    </row>
    <row r="64816" customFormat="false" ht="12.8" hidden="false" customHeight="false" outlineLevel="0" collapsed="false">
      <c r="B64816" s="0" t="s">
        <v>3152</v>
      </c>
    </row>
    <row r="64818" customFormat="false" ht="12.8" hidden="false" customHeight="false" outlineLevel="0" collapsed="false">
      <c r="A64818" s="0" t="s">
        <v>21501</v>
      </c>
      <c r="B64818" s="0" t="str">
        <f aca="false">HYPERLINK("https://lindat.mff.cuni.cz/services/teitok/pdtc10/index.php?action=vallex&amp;frame=v-w8885f1", "zakotvit (v-w8885f1)")</f>
        <v>zakotvit (v-w8885f1)</v>
      </c>
      <c r="E64818" s="0" t="str">
        <f aca="false">HYPERLINK("https://lindat.mff.cuni.cz/services/SynSemClass40/SynSemClass40.html?veclass=vec01370#vec01370-ces-cm00003", "vec01370")</f>
        <v>vec01370</v>
      </c>
      <c r="F64818" s="0" t="s">
        <v>21502</v>
      </c>
    </row>
    <row r="64819" customFormat="false" ht="12.8" hidden="false" customHeight="false" outlineLevel="0" collapsed="false">
      <c r="B64819" s="0" t="s">
        <v>1</v>
      </c>
      <c r="E64819" s="0" t="s">
        <v>206</v>
      </c>
      <c r="F64819" s="0" t="s">
        <v>1359</v>
      </c>
    </row>
    <row r="64820" customFormat="false" ht="12.8" hidden="false" customHeight="false" outlineLevel="0" collapsed="false">
      <c r="B64820" s="0" t="s">
        <v>8</v>
      </c>
      <c r="E64820" s="0" t="s">
        <v>218</v>
      </c>
      <c r="F64820" s="0" t="s">
        <v>12586</v>
      </c>
    </row>
    <row r="64821" customFormat="false" ht="12.8" hidden="false" customHeight="false" outlineLevel="0" collapsed="false">
      <c r="B64821" s="0" t="s">
        <v>5</v>
      </c>
      <c r="E64821" s="0" t="s">
        <v>21503</v>
      </c>
      <c r="F64821" s="0" t="s">
        <v>21504</v>
      </c>
    </row>
    <row r="64823" customFormat="false" ht="12.8" hidden="false" customHeight="false" outlineLevel="0" collapsed="false">
      <c r="A64823" s="0" t="s">
        <v>21505</v>
      </c>
      <c r="B64823" s="0" t="str">
        <f aca="false">HYPERLINK("https://lindat.mff.cuni.cz/services/teitok/pdtc10/index.php?action=vallex&amp;frame=v-w8885f2", "zakotvit (v-w8885f2)")</f>
        <v>zakotvit (v-w8885f2)</v>
      </c>
      <c r="E64823" s="0" t="str">
        <f aca="false">HYPERLINK("https://lindat.mff.cuni.cz/services/SynSemClass40/SynSemClass40.html?veclass=vec01370#vec01370-ces-cm00004", "vec01370")</f>
        <v>vec01370</v>
      </c>
      <c r="F64823" s="0" t="s">
        <v>21502</v>
      </c>
    </row>
    <row r="64824" customFormat="false" ht="12.8" hidden="false" customHeight="false" outlineLevel="0" collapsed="false">
      <c r="B64824" s="0" t="s">
        <v>1</v>
      </c>
      <c r="E64824" s="0" t="s">
        <v>206</v>
      </c>
      <c r="F64824" s="0" t="s">
        <v>1359</v>
      </c>
    </row>
    <row r="64825" customFormat="false" ht="12.8" hidden="false" customHeight="false" outlineLevel="0" collapsed="false">
      <c r="B64825" s="0" t="s">
        <v>59</v>
      </c>
      <c r="E64825" s="0" t="s">
        <v>218</v>
      </c>
      <c r="F64825" s="0" t="s">
        <v>12586</v>
      </c>
    </row>
    <row r="64826" customFormat="false" ht="12.8" hidden="false" customHeight="false" outlineLevel="0" collapsed="false">
      <c r="B64826" s="0" t="s">
        <v>164</v>
      </c>
      <c r="E64826" s="0" t="s">
        <v>21506</v>
      </c>
      <c r="F64826" s="0" t="s">
        <v>21507</v>
      </c>
    </row>
    <row r="64828" customFormat="false" ht="12.8" hidden="false" customHeight="false" outlineLevel="0" collapsed="false">
      <c r="A64828" s="0" t="s">
        <v>21508</v>
      </c>
      <c r="B64828" s="0" t="str">
        <f aca="false">HYPERLINK("https://lindat.mff.cuni.cz/services/teitok/pdtc10/index.php?action=vallex&amp;frame=v-w8885f3", "zakotvit (v-w8885f3)")</f>
        <v>zakotvit (v-w8885f3)</v>
      </c>
    </row>
    <row r="64829" customFormat="false" ht="12.8" hidden="false" customHeight="false" outlineLevel="0" collapsed="false">
      <c r="B64829" s="0" t="s">
        <v>1</v>
      </c>
    </row>
    <row r="64830" customFormat="false" ht="12.8" hidden="false" customHeight="false" outlineLevel="0" collapsed="false">
      <c r="B64830" s="0" t="s">
        <v>5</v>
      </c>
    </row>
    <row r="64832" customFormat="false" ht="12.8" hidden="false" customHeight="false" outlineLevel="0" collapsed="false">
      <c r="A64832" s="0" t="s">
        <v>21509</v>
      </c>
      <c r="B64832" s="0" t="str">
        <f aca="false">HYPERLINK("https://lindat.mff.cuni.cz/services/teitok/pdtc10/index.php?action=vallex&amp;frame=v-w8886f1", "zakotvovat (v-w8886f1)")</f>
        <v>zakotvovat (v-w8886f1)</v>
      </c>
      <c r="E64832" s="0" t="str">
        <f aca="false">HYPERLINK("https://lindat.mff.cuni.cz/services/SynSemClass40/SynSemClass40.html?veclass=vec01370#vec01370-ces-cm00005", "vec01370")</f>
        <v>vec01370</v>
      </c>
      <c r="F64832" s="0" t="s">
        <v>21502</v>
      </c>
    </row>
    <row r="64833" customFormat="false" ht="12.8" hidden="false" customHeight="false" outlineLevel="0" collapsed="false">
      <c r="B64833" s="0" t="s">
        <v>1</v>
      </c>
      <c r="E64833" s="0" t="s">
        <v>206</v>
      </c>
      <c r="F64833" s="0" t="s">
        <v>1359</v>
      </c>
    </row>
    <row r="64834" customFormat="false" ht="12.8" hidden="false" customHeight="false" outlineLevel="0" collapsed="false">
      <c r="B64834" s="0" t="s">
        <v>8</v>
      </c>
      <c r="E64834" s="0" t="s">
        <v>218</v>
      </c>
      <c r="F64834" s="0" t="s">
        <v>12586</v>
      </c>
    </row>
    <row r="64835" customFormat="false" ht="12.8" hidden="false" customHeight="false" outlineLevel="0" collapsed="false">
      <c r="B64835" s="0" t="s">
        <v>5</v>
      </c>
      <c r="E64835" s="0" t="s">
        <v>21503</v>
      </c>
      <c r="F64835" s="0" t="s">
        <v>21504</v>
      </c>
    </row>
    <row r="64837" customFormat="false" ht="12.8" hidden="false" customHeight="false" outlineLevel="0" collapsed="false">
      <c r="A64837" s="0" t="s">
        <v>21510</v>
      </c>
      <c r="B64837" s="0" t="str">
        <f aca="false">HYPERLINK("https://lindat.mff.cuni.cz/services/teitok/pdtc10/index.php?action=vallex&amp;frame=v-w8886f2", "zakotvovat (v-w8886f2)")</f>
        <v>zakotvovat (v-w8886f2)</v>
      </c>
      <c r="E64837" s="0" t="str">
        <f aca="false">HYPERLINK("https://lindat.mff.cuni.cz/services/SynSemClass40/SynSemClass40.html?veclass=vec01370#vec01370-ces-cm00006", "vec01370")</f>
        <v>vec01370</v>
      </c>
      <c r="F64837" s="0" t="s">
        <v>21502</v>
      </c>
    </row>
    <row r="64838" customFormat="false" ht="12.8" hidden="false" customHeight="false" outlineLevel="0" collapsed="false">
      <c r="B64838" s="0" t="s">
        <v>1</v>
      </c>
      <c r="E64838" s="0" t="s">
        <v>206</v>
      </c>
      <c r="F64838" s="0" t="s">
        <v>1359</v>
      </c>
    </row>
    <row r="64839" customFormat="false" ht="12.8" hidden="false" customHeight="false" outlineLevel="0" collapsed="false">
      <c r="B64839" s="0" t="s">
        <v>8</v>
      </c>
      <c r="E64839" s="0" t="s">
        <v>218</v>
      </c>
      <c r="F64839" s="0" t="s">
        <v>12586</v>
      </c>
    </row>
    <row r="64840" customFormat="false" ht="12.8" hidden="false" customHeight="false" outlineLevel="0" collapsed="false">
      <c r="B64840" s="0" t="s">
        <v>164</v>
      </c>
      <c r="E64840" s="0" t="s">
        <v>21506</v>
      </c>
      <c r="F64840" s="0" t="s">
        <v>21507</v>
      </c>
    </row>
    <row r="64842" customFormat="false" ht="12.8" hidden="false" customHeight="false" outlineLevel="0" collapsed="false">
      <c r="A64842" s="0" t="s">
        <v>21511</v>
      </c>
      <c r="B64842" s="0" t="str">
        <f aca="false">HYPERLINK("https://lindat.mff.cuni.cz/services/teitok/pdtc10/index.php?action=vallex&amp;frame=v-w8886f3_ZU", "zakotvovat (v-w8886f3_ZU)")</f>
        <v>zakotvovat (v-w8886f3_ZU)</v>
      </c>
    </row>
    <row r="64843" customFormat="false" ht="12.8" hidden="false" customHeight="false" outlineLevel="0" collapsed="false">
      <c r="B64843" s="0" t="s">
        <v>1</v>
      </c>
    </row>
    <row r="64844" customFormat="false" ht="12.8" hidden="false" customHeight="false" outlineLevel="0" collapsed="false">
      <c r="B64844" s="0" t="s">
        <v>1262</v>
      </c>
    </row>
    <row r="64846" customFormat="false" ht="12.8" hidden="false" customHeight="false" outlineLevel="0" collapsed="false">
      <c r="A64846" s="0" t="s">
        <v>21512</v>
      </c>
      <c r="B64846" s="0" t="str">
        <f aca="false">HYPERLINK("https://lindat.mff.cuni.cz/services/teitok/pdtc10/index.php?action=vallex&amp;frame=v-w8888f1", "zakoukat se (v-w8888f1)")</f>
        <v>zakoukat se (v-w8888f1)</v>
      </c>
    </row>
    <row r="64847" customFormat="false" ht="12.8" hidden="false" customHeight="false" outlineLevel="0" collapsed="false">
      <c r="B64847" s="0" t="s">
        <v>1</v>
      </c>
    </row>
    <row r="64848" customFormat="false" ht="12.8" hidden="false" customHeight="false" outlineLevel="0" collapsed="false">
      <c r="B64848" s="0" t="s">
        <v>1187</v>
      </c>
    </row>
    <row r="64850" customFormat="false" ht="12.8" hidden="false" customHeight="false" outlineLevel="0" collapsed="false">
      <c r="A64850" s="0" t="s">
        <v>21513</v>
      </c>
      <c r="B64850" s="0" t="str">
        <f aca="false">HYPERLINK("https://lindat.mff.cuni.cz/services/teitok/pdtc10/index.php?action=vallex&amp;frame=v-w8888f2", "zakoukat se (v-w8888f2)")</f>
        <v>zakoukat se (v-w8888f2)</v>
      </c>
    </row>
    <row r="64851" customFormat="false" ht="12.8" hidden="false" customHeight="false" outlineLevel="0" collapsed="false">
      <c r="B64851" s="0" t="s">
        <v>1</v>
      </c>
    </row>
    <row r="64852" customFormat="false" ht="12.8" hidden="false" customHeight="false" outlineLevel="0" collapsed="false">
      <c r="B64852" s="0" t="s">
        <v>164</v>
      </c>
    </row>
    <row r="64854" customFormat="false" ht="12.8" hidden="false" customHeight="false" outlineLevel="0" collapsed="false">
      <c r="A64854" s="0" t="s">
        <v>21514</v>
      </c>
      <c r="B64854" s="0" t="str">
        <f aca="false">HYPERLINK("https://lindat.mff.cuni.cz/services/teitok/pdtc10/index.php?action=vallex&amp;frame=v-w8891f1", "zakoupit (v-w8891f1)")</f>
        <v>zakoupit (v-w8891f1)</v>
      </c>
      <c r="E64854" s="0" t="str">
        <f aca="false">HYPERLINK("https://lindat.mff.cuni.cz/services/SynSemClass40/SynSemClass40.html?veclass=vec00035#vec00035-ces-cm00018", "vec00035")</f>
        <v>vec00035</v>
      </c>
      <c r="F64854" s="0" t="s">
        <v>5701</v>
      </c>
    </row>
    <row r="64855" customFormat="false" ht="12.8" hidden="false" customHeight="false" outlineLevel="0" collapsed="false">
      <c r="B64855" s="0" t="s">
        <v>1</v>
      </c>
      <c r="C64855" s="0" t="s">
        <v>5702</v>
      </c>
      <c r="E64855" s="0" t="s">
        <v>5703</v>
      </c>
      <c r="F64855" s="0" t="s">
        <v>5704</v>
      </c>
    </row>
    <row r="64856" customFormat="false" ht="12.8" hidden="false" customHeight="false" outlineLevel="0" collapsed="false">
      <c r="B64856" s="0" t="s">
        <v>8</v>
      </c>
      <c r="C64856" s="0" t="s">
        <v>5705</v>
      </c>
      <c r="E64856" s="0" t="s">
        <v>3201</v>
      </c>
      <c r="F64856" s="0" t="s">
        <v>5706</v>
      </c>
    </row>
    <row r="64857" customFormat="false" ht="12.8" hidden="false" customHeight="false" outlineLevel="0" collapsed="false">
      <c r="B64857" s="0" t="s">
        <v>2410</v>
      </c>
      <c r="C64857" s="0" t="s">
        <v>5707</v>
      </c>
      <c r="E64857" s="0" t="s">
        <v>4235</v>
      </c>
      <c r="F64857" s="0" t="s">
        <v>5708</v>
      </c>
    </row>
    <row r="64858" customFormat="false" ht="12.8" hidden="false" customHeight="false" outlineLevel="0" collapsed="false">
      <c r="B64858" s="0" t="s">
        <v>602</v>
      </c>
      <c r="C64858" s="0" t="s">
        <v>5709</v>
      </c>
      <c r="E64858" s="0" t="s">
        <v>5710</v>
      </c>
      <c r="F64858" s="0" t="s">
        <v>5711</v>
      </c>
    </row>
    <row r="64860" customFormat="false" ht="12.8" hidden="false" customHeight="false" outlineLevel="0" collapsed="false">
      <c r="A64860" s="0" t="s">
        <v>21515</v>
      </c>
      <c r="B64860" s="0" t="str">
        <f aca="false">HYPERLINK("https://lindat.mff.cuni.cz/services/teitok/pdtc10/index.php?action=vallex&amp;frame=v-w11978_ZUf1_ZU", "zakousnout (v-w11978_ZUf1_ZU)")</f>
        <v>zakousnout (v-w11978_ZUf1_ZU)</v>
      </c>
    </row>
    <row r="64861" customFormat="false" ht="12.8" hidden="false" customHeight="false" outlineLevel="0" collapsed="false">
      <c r="B64861" s="0" t="s">
        <v>1</v>
      </c>
    </row>
    <row r="64862" customFormat="false" ht="12.8" hidden="false" customHeight="false" outlineLevel="0" collapsed="false">
      <c r="B64862" s="0" t="s">
        <v>8</v>
      </c>
    </row>
    <row r="64864" customFormat="false" ht="12.8" hidden="false" customHeight="false" outlineLevel="0" collapsed="false">
      <c r="A64864" s="0" t="s">
        <v>21516</v>
      </c>
      <c r="B64864" s="0" t="str">
        <f aca="false">HYPERLINK("https://lindat.mff.cuni.cz/services/teitok/pdtc10/index.php?action=vallex&amp;frame=v-w8892f1", "zakousnout se (v-w8892f1)")</f>
        <v>zakousnout se (v-w8892f1)</v>
      </c>
    </row>
    <row r="64865" customFormat="false" ht="12.8" hidden="false" customHeight="false" outlineLevel="0" collapsed="false">
      <c r="B64865" s="0" t="s">
        <v>1</v>
      </c>
    </row>
    <row r="64866" customFormat="false" ht="12.8" hidden="false" customHeight="false" outlineLevel="0" collapsed="false">
      <c r="B64866" s="0" t="s">
        <v>1187</v>
      </c>
    </row>
    <row r="64868" customFormat="false" ht="12.8" hidden="false" customHeight="false" outlineLevel="0" collapsed="false">
      <c r="A64868" s="0" t="s">
        <v>21517</v>
      </c>
      <c r="B64868" s="0" t="str">
        <f aca="false">HYPERLINK("https://lindat.mff.cuni.cz/services/teitok/pdtc10/index.php?action=vallex&amp;frame=v-w8892f2", "zakousnout se (v-w8892f2)")</f>
        <v>zakousnout se (v-w8892f2)</v>
      </c>
      <c r="E64868" s="0" t="str">
        <f aca="false">HYPERLINK("https://lindat.mff.cuni.cz/services/SynSemClass40/SynSemClass40.html?veclass=vec01039#vec01039-ces-cm00004", "vec01039")</f>
        <v>vec01039</v>
      </c>
      <c r="F64868" s="0" t="s">
        <v>5731</v>
      </c>
    </row>
    <row r="64869" customFormat="false" ht="12.8" hidden="false" customHeight="false" outlineLevel="0" collapsed="false">
      <c r="B64869" s="0" t="s">
        <v>1</v>
      </c>
      <c r="E64869" s="0" t="s">
        <v>11</v>
      </c>
      <c r="F64869" s="0" t="s">
        <v>959</v>
      </c>
    </row>
    <row r="64870" customFormat="false" ht="12.8" hidden="false" customHeight="false" outlineLevel="0" collapsed="false">
      <c r="B64870" s="0" t="s">
        <v>164</v>
      </c>
      <c r="E64870" s="0" t="s">
        <v>388</v>
      </c>
      <c r="F64870" s="0" t="s">
        <v>389</v>
      </c>
    </row>
    <row r="64872" customFormat="false" ht="12.8" hidden="false" customHeight="false" outlineLevel="0" collapsed="false">
      <c r="A64872" s="0" t="s">
        <v>21518</v>
      </c>
      <c r="B64872" s="0" t="str">
        <f aca="false">HYPERLINK("https://lindat.mff.cuni.cz/services/teitok/pdtc10/index.php?action=vallex&amp;frame=v-whsa_832hsa_833", "zakouřit si (v-whsa_832hsa_833)")</f>
        <v>zakouřit si (v-whsa_832hsa_833)</v>
      </c>
    </row>
    <row r="64873" customFormat="false" ht="12.8" hidden="false" customHeight="false" outlineLevel="0" collapsed="false">
      <c r="B64873" s="0" t="s">
        <v>1</v>
      </c>
    </row>
    <row r="64874" customFormat="false" ht="12.8" hidden="false" customHeight="false" outlineLevel="0" collapsed="false">
      <c r="B64874" s="0" t="s">
        <v>8</v>
      </c>
    </row>
    <row r="64876" customFormat="false" ht="12.8" hidden="false" customHeight="false" outlineLevel="0" collapsed="false">
      <c r="A64876" s="0" t="s">
        <v>21519</v>
      </c>
      <c r="B64876" s="0" t="str">
        <f aca="false">HYPERLINK("https://lindat.mff.cuni.cz/services/teitok/pdtc10/index.php?action=vallex&amp;frame=v-whsa_1639hsa_1640", "zakoušet (v-whsa_1639hsa_1640)")</f>
        <v>zakoušet (v-whsa_1639hsa_1640)</v>
      </c>
    </row>
    <row r="64877" customFormat="false" ht="12.8" hidden="false" customHeight="false" outlineLevel="0" collapsed="false">
      <c r="B64877" s="0" t="s">
        <v>1</v>
      </c>
    </row>
    <row r="64878" customFormat="false" ht="12.8" hidden="false" customHeight="false" outlineLevel="0" collapsed="false">
      <c r="B64878" s="0" t="s">
        <v>8</v>
      </c>
    </row>
    <row r="64880" customFormat="false" ht="12.8" hidden="false" customHeight="false" outlineLevel="0" collapsed="false">
      <c r="A64880" s="0" t="s">
        <v>21520</v>
      </c>
      <c r="B64880" s="0" t="str">
        <f aca="false">HYPERLINK("https://lindat.mff.cuni.cz/services/teitok/pdtc10/index.php?action=vallex&amp;frame=v-w10698f3", "zakořenit (v-w10698f3)")</f>
        <v>zakořenit (v-w10698f3)</v>
      </c>
    </row>
    <row r="64881" customFormat="false" ht="12.8" hidden="false" customHeight="false" outlineLevel="0" collapsed="false">
      <c r="B64881" s="0" t="s">
        <v>1</v>
      </c>
    </row>
    <row r="64882" customFormat="false" ht="12.8" hidden="false" customHeight="false" outlineLevel="0" collapsed="false">
      <c r="B64882" s="0" t="s">
        <v>5</v>
      </c>
    </row>
    <row r="64884" customFormat="false" ht="12.8" hidden="false" customHeight="false" outlineLevel="0" collapsed="false">
      <c r="A64884" s="0" t="s">
        <v>21521</v>
      </c>
      <c r="B64884" s="0" t="str">
        <f aca="false">HYPERLINK("https://lindat.mff.cuni.cz/services/teitok/pdtc10/index.php?action=vallex&amp;frame=v-w10222f2", "zakrajovat (v-w10222f2)")</f>
        <v>zakrajovat (v-w10222f2)</v>
      </c>
    </row>
    <row r="64885" customFormat="false" ht="12.8" hidden="false" customHeight="false" outlineLevel="0" collapsed="false">
      <c r="B64885" s="0" t="s">
        <v>1</v>
      </c>
    </row>
    <row r="64886" customFormat="false" ht="12.8" hidden="false" customHeight="false" outlineLevel="0" collapsed="false">
      <c r="B64886" s="0" t="s">
        <v>164</v>
      </c>
    </row>
    <row r="64888" customFormat="false" ht="12.8" hidden="false" customHeight="false" outlineLevel="0" collapsed="false">
      <c r="A64888" s="0" t="s">
        <v>21522</v>
      </c>
      <c r="B64888" s="0" t="str">
        <f aca="false">HYPERLINK("https://lindat.mff.cuni.cz/services/teitok/pdtc10/index.php?action=vallex&amp;frame=v-w12361_MMf1_MM", "zakreslit (v-w12361_MMf1_MM)")</f>
        <v>zakreslit (v-w12361_MMf1_MM)</v>
      </c>
    </row>
    <row r="64889" customFormat="false" ht="12.8" hidden="false" customHeight="false" outlineLevel="0" collapsed="false">
      <c r="B64889" s="0" t="s">
        <v>1</v>
      </c>
    </row>
    <row r="64890" customFormat="false" ht="12.8" hidden="false" customHeight="false" outlineLevel="0" collapsed="false">
      <c r="B64890" s="0" t="s">
        <v>8</v>
      </c>
    </row>
    <row r="64892" customFormat="false" ht="12.8" hidden="false" customHeight="false" outlineLevel="0" collapsed="false">
      <c r="A64892" s="0" t="s">
        <v>21523</v>
      </c>
      <c r="B64892" s="0" t="str">
        <f aca="false">HYPERLINK("https://lindat.mff.cuni.cz/services/teitok/pdtc10/index.php?action=vallex&amp;frame=v-whsa_893hsa_894", "zakreslovat (v-whsa_893hsa_894)")</f>
        <v>zakreslovat (v-whsa_893hsa_894)</v>
      </c>
    </row>
    <row r="64893" customFormat="false" ht="12.8" hidden="false" customHeight="false" outlineLevel="0" collapsed="false">
      <c r="B64893" s="0" t="s">
        <v>1</v>
      </c>
    </row>
    <row r="64894" customFormat="false" ht="12.8" hidden="false" customHeight="false" outlineLevel="0" collapsed="false">
      <c r="B64894" s="0" t="s">
        <v>8</v>
      </c>
    </row>
    <row r="64895" customFormat="false" ht="12.8" hidden="false" customHeight="false" outlineLevel="0" collapsed="false">
      <c r="B64895" s="0" t="s">
        <v>164</v>
      </c>
    </row>
    <row r="64897" customFormat="false" ht="12.8" hidden="false" customHeight="false" outlineLevel="0" collapsed="false">
      <c r="A64897" s="0" t="s">
        <v>21524</v>
      </c>
      <c r="B64897" s="0" t="str">
        <f aca="false">HYPERLINK("https://lindat.mff.cuni.cz/services/teitok/pdtc10/index.php?action=vallex&amp;frame=v-w8893f1", "zakrnět (v-w8893f1)")</f>
        <v>zakrnět (v-w8893f1)</v>
      </c>
    </row>
    <row r="64898" customFormat="false" ht="12.8" hidden="false" customHeight="false" outlineLevel="0" collapsed="false">
      <c r="B64898" s="0" t="s">
        <v>1</v>
      </c>
    </row>
    <row r="64900" customFormat="false" ht="12.8" hidden="false" customHeight="false" outlineLevel="0" collapsed="false">
      <c r="A64900" s="0" t="s">
        <v>21525</v>
      </c>
      <c r="B64900" s="0" t="str">
        <f aca="false">HYPERLINK("https://lindat.mff.cuni.cz/services/teitok/pdtc10/index.php?action=vallex&amp;frame=v-w12187_ZUf1_ZU", "zakroutit (v-w12187_ZUf1_ZU)")</f>
        <v>zakroutit (v-w12187_ZUf1_ZU)</v>
      </c>
    </row>
    <row r="64901" customFormat="false" ht="12.8" hidden="false" customHeight="false" outlineLevel="0" collapsed="false">
      <c r="B64901" s="0" t="s">
        <v>1</v>
      </c>
    </row>
    <row r="64902" customFormat="false" ht="12.8" hidden="false" customHeight="false" outlineLevel="0" collapsed="false">
      <c r="B64902" s="0" t="s">
        <v>12501</v>
      </c>
    </row>
    <row r="64903" customFormat="false" ht="12.8" hidden="false" customHeight="false" outlineLevel="0" collapsed="false">
      <c r="B64903" s="0" t="s">
        <v>294</v>
      </c>
    </row>
    <row r="64905" customFormat="false" ht="12.8" hidden="false" customHeight="false" outlineLevel="0" collapsed="false">
      <c r="A64905" s="0" t="s">
        <v>21526</v>
      </c>
      <c r="B64905" s="0" t="str">
        <f aca="false">HYPERLINK("https://lindat.mff.cuni.cz/services/teitok/pdtc10/index.php?action=vallex&amp;frame=v-w8894f1", "zakročit (v-w8894f1)")</f>
        <v>zakročit (v-w8894f1)</v>
      </c>
      <c r="E64905" s="0" t="str">
        <f aca="false">HYPERLINK("https://lindat.mff.cuni.cz/services/SynSemClass40/SynSemClass40.html?veclass=vec00774#vec00774-ces-cm00036", "vec00774")</f>
        <v>vec00774</v>
      </c>
      <c r="F64905" s="0" t="s">
        <v>4875</v>
      </c>
    </row>
    <row r="64906" customFormat="false" ht="12.8" hidden="false" customHeight="false" outlineLevel="0" collapsed="false">
      <c r="B64906" s="0" t="s">
        <v>1</v>
      </c>
      <c r="C64906" s="0" t="s">
        <v>21527</v>
      </c>
      <c r="E64906" s="0" t="s">
        <v>206</v>
      </c>
      <c r="F64906" s="0" t="s">
        <v>4877</v>
      </c>
    </row>
    <row r="64907" customFormat="false" ht="12.8" hidden="false" customHeight="false" outlineLevel="0" collapsed="false">
      <c r="B64907" s="0" t="s">
        <v>21528</v>
      </c>
      <c r="C64907" s="0" t="s">
        <v>4017</v>
      </c>
      <c r="E64907" s="0" t="s">
        <v>532</v>
      </c>
      <c r="F64907" s="0" t="s">
        <v>4880</v>
      </c>
    </row>
    <row r="64909" customFormat="false" ht="12.8" hidden="false" customHeight="false" outlineLevel="0" collapsed="false">
      <c r="A64909" s="0" t="s">
        <v>21529</v>
      </c>
      <c r="B64909" s="0" t="str">
        <f aca="false">HYPERLINK("https://lindat.mff.cuni.cz/services/teitok/pdtc10/index.php?action=vallex&amp;frame=v-w8895f1", "zakročovat (v-w8895f1)")</f>
        <v>zakročovat (v-w8895f1)</v>
      </c>
      <c r="E64909" s="0" t="str">
        <f aca="false">HYPERLINK("https://lindat.mff.cuni.cz/services/SynSemClass40/SynSemClass40.html?veclass=vec00774#vec00774-ces-cm00117", "vec00774")</f>
        <v>vec00774</v>
      </c>
      <c r="F64909" s="0" t="s">
        <v>4875</v>
      </c>
    </row>
    <row r="64910" customFormat="false" ht="12.8" hidden="false" customHeight="false" outlineLevel="0" collapsed="false">
      <c r="B64910" s="0" t="s">
        <v>1</v>
      </c>
      <c r="C64910" s="0" t="s">
        <v>21527</v>
      </c>
      <c r="E64910" s="0" t="s">
        <v>206</v>
      </c>
      <c r="F64910" s="0" t="s">
        <v>4877</v>
      </c>
    </row>
    <row r="64911" customFormat="false" ht="12.8" hidden="false" customHeight="false" outlineLevel="0" collapsed="false">
      <c r="B64911" s="0" t="s">
        <v>21528</v>
      </c>
      <c r="C64911" s="0" t="s">
        <v>4017</v>
      </c>
      <c r="E64911" s="0" t="s">
        <v>532</v>
      </c>
      <c r="F64911" s="0" t="s">
        <v>4880</v>
      </c>
    </row>
    <row r="64913" customFormat="false" ht="12.8" hidden="false" customHeight="false" outlineLevel="0" collapsed="false">
      <c r="A64913" s="0" t="s">
        <v>21530</v>
      </c>
      <c r="B64913" s="0" t="str">
        <f aca="false">HYPERLINK("https://lindat.mff.cuni.cz/services/teitok/pdtc10/index.php?action=vallex&amp;frame=v-w8897f1", "zakrýt (v-w8897f1)")</f>
        <v>zakrýt (v-w8897f1)</v>
      </c>
      <c r="E64913" s="0" t="str">
        <f aca="false">HYPERLINK("https://lindat.mff.cuni.cz/services/SynSemClass40/SynSemClass40.html?veclass=vec00514#vec00514-ces-cm00091", "vec00514")</f>
        <v>vec00514</v>
      </c>
      <c r="F64913" s="0" t="s">
        <v>5808</v>
      </c>
    </row>
    <row r="64914" customFormat="false" ht="12.8" hidden="false" customHeight="false" outlineLevel="0" collapsed="false">
      <c r="B64914" s="0" t="s">
        <v>1</v>
      </c>
      <c r="C64914" s="0" t="s">
        <v>5809</v>
      </c>
      <c r="E64914" s="0" t="s">
        <v>4243</v>
      </c>
      <c r="F64914" s="0" t="s">
        <v>5810</v>
      </c>
    </row>
    <row r="64915" customFormat="false" ht="12.8" hidden="false" customHeight="false" outlineLevel="0" collapsed="false">
      <c r="B64915" s="0" t="s">
        <v>228</v>
      </c>
      <c r="C64915" s="0" t="s">
        <v>5811</v>
      </c>
      <c r="E64915" s="0" t="s">
        <v>4246</v>
      </c>
      <c r="F64915" s="0" t="s">
        <v>5812</v>
      </c>
    </row>
    <row r="64916" customFormat="false" ht="12.8" hidden="false" customHeight="false" outlineLevel="0" collapsed="false">
      <c r="B64916" s="0" t="s">
        <v>381</v>
      </c>
      <c r="C64916" s="0" t="s">
        <v>5813</v>
      </c>
      <c r="E64916" s="0" t="s">
        <v>5814</v>
      </c>
      <c r="F64916" s="0" t="s">
        <v>5815</v>
      </c>
    </row>
    <row r="64918" customFormat="false" ht="12.8" hidden="false" customHeight="false" outlineLevel="0" collapsed="false">
      <c r="A64918" s="0" t="s">
        <v>21531</v>
      </c>
      <c r="B64918" s="0" t="str">
        <f aca="false">HYPERLINK("https://lindat.mff.cuni.cz/services/teitok/pdtc10/index.php?action=vallex&amp;frame=v-w8897f2_ZU", "zakrýt (v-w8897f2_ZU)")</f>
        <v>zakrýt (v-w8897f2_ZU)</v>
      </c>
    </row>
    <row r="64919" customFormat="false" ht="12.8" hidden="false" customHeight="false" outlineLevel="0" collapsed="false">
      <c r="B64919" s="0" t="s">
        <v>1</v>
      </c>
    </row>
    <row r="64920" customFormat="false" ht="12.8" hidden="false" customHeight="false" outlineLevel="0" collapsed="false">
      <c r="B64920" s="0" t="s">
        <v>8</v>
      </c>
    </row>
    <row r="64922" customFormat="false" ht="12.8" hidden="false" customHeight="false" outlineLevel="0" collapsed="false">
      <c r="A64922" s="0" t="s">
        <v>21531</v>
      </c>
      <c r="B64922" s="0" t="str">
        <f aca="false">HYPERLINK("https://lindat.mff.cuni.cz/services/teitok/pdtc10/index.php?action=vallex&amp;frame=v-w8897hsa_1312", "zakrýt (v-w8897hsa_1312) - substituted with v-w8897f2_ZU")</f>
        <v>zakrýt (v-w8897hsa_1312) - substituted with v-w8897f2_ZU</v>
      </c>
    </row>
    <row r="64923" customFormat="false" ht="12.8" hidden="false" customHeight="false" outlineLevel="0" collapsed="false">
      <c r="B64923" s="0" t="s">
        <v>1</v>
      </c>
    </row>
    <row r="64924" customFormat="false" ht="12.8" hidden="false" customHeight="false" outlineLevel="0" collapsed="false">
      <c r="B64924" s="0" t="s">
        <v>8</v>
      </c>
    </row>
    <row r="64926" customFormat="false" ht="12.8" hidden="false" customHeight="false" outlineLevel="0" collapsed="false">
      <c r="A64926" s="0" t="s">
        <v>21532</v>
      </c>
      <c r="B64926" s="0" t="str">
        <f aca="false">HYPERLINK("https://lindat.mff.cuni.cz/services/teitok/pdtc10/index.php?action=vallex&amp;frame=v-w8900f1", "zakrývat (v-w8900f1)")</f>
        <v>zakrývat (v-w8900f1)</v>
      </c>
      <c r="E64926" s="0" t="str">
        <f aca="false">HYPERLINK("https://lindat.mff.cuni.cz/services/SynSemClass40/SynSemClass40.html?veclass=vec00514#vec00514-ces-cm00092", "vec00514")</f>
        <v>vec00514</v>
      </c>
      <c r="F64926" s="0" t="s">
        <v>5808</v>
      </c>
    </row>
    <row r="64927" customFormat="false" ht="12.8" hidden="false" customHeight="false" outlineLevel="0" collapsed="false">
      <c r="B64927" s="0" t="s">
        <v>1</v>
      </c>
      <c r="C64927" s="0" t="s">
        <v>5809</v>
      </c>
      <c r="E64927" s="0" t="s">
        <v>4243</v>
      </c>
      <c r="F64927" s="0" t="s">
        <v>5810</v>
      </c>
    </row>
    <row r="64928" customFormat="false" ht="12.8" hidden="false" customHeight="false" outlineLevel="0" collapsed="false">
      <c r="B64928" s="0" t="s">
        <v>228</v>
      </c>
      <c r="C64928" s="0" t="s">
        <v>5811</v>
      </c>
      <c r="E64928" s="0" t="s">
        <v>4246</v>
      </c>
      <c r="F64928" s="0" t="s">
        <v>5812</v>
      </c>
    </row>
    <row r="64929" customFormat="false" ht="12.8" hidden="false" customHeight="false" outlineLevel="0" collapsed="false">
      <c r="B64929" s="0" t="s">
        <v>4248</v>
      </c>
      <c r="C64929" s="0" t="s">
        <v>5813</v>
      </c>
      <c r="E64929" s="0" t="s">
        <v>5814</v>
      </c>
      <c r="F64929" s="0" t="s">
        <v>5815</v>
      </c>
    </row>
    <row r="64931" customFormat="false" ht="12.8" hidden="false" customHeight="false" outlineLevel="0" collapsed="false">
      <c r="A64931" s="0" t="s">
        <v>21533</v>
      </c>
      <c r="B64931" s="0" t="str">
        <f aca="false">HYPERLINK("https://lindat.mff.cuni.cz/services/teitok/pdtc10/index.php?action=vallex&amp;frame=v-w8900f2_ZU", "zakrývat (v-w8900f2_ZU)")</f>
        <v>zakrývat (v-w8900f2_ZU)</v>
      </c>
    </row>
    <row r="64932" customFormat="false" ht="12.8" hidden="false" customHeight="false" outlineLevel="0" collapsed="false">
      <c r="B64932" s="0" t="s">
        <v>1</v>
      </c>
    </row>
    <row r="64933" customFormat="false" ht="12.8" hidden="false" customHeight="false" outlineLevel="0" collapsed="false">
      <c r="B64933" s="0" t="s">
        <v>8</v>
      </c>
    </row>
    <row r="64934" customFormat="false" ht="12.8" hidden="false" customHeight="false" outlineLevel="0" collapsed="false">
      <c r="B64934" s="0" t="s">
        <v>4248</v>
      </c>
    </row>
    <row r="64936" customFormat="false" ht="12.8" hidden="false" customHeight="false" outlineLevel="0" collapsed="false">
      <c r="A64936" s="0" t="s">
        <v>21534</v>
      </c>
      <c r="B64936" s="0" t="str">
        <f aca="false">HYPERLINK("https://lindat.mff.cuni.cz/services/teitok/pdtc10/index.php?action=vallex&amp;frame=v-w8903f1", "zaktivizovat (v-w8903f1)")</f>
        <v>zaktivizovat (v-w8903f1)</v>
      </c>
    </row>
    <row r="64937" customFormat="false" ht="12.8" hidden="false" customHeight="false" outlineLevel="0" collapsed="false">
      <c r="B64937" s="0" t="s">
        <v>1</v>
      </c>
    </row>
    <row r="64938" customFormat="false" ht="12.8" hidden="false" customHeight="false" outlineLevel="0" collapsed="false">
      <c r="B64938" s="0" t="s">
        <v>8</v>
      </c>
    </row>
    <row r="64940" customFormat="false" ht="12.8" hidden="false" customHeight="false" outlineLevel="0" collapsed="false">
      <c r="A64940" s="0" t="s">
        <v>21535</v>
      </c>
      <c r="B64940" s="0" t="str">
        <f aca="false">HYPERLINK("https://lindat.mff.cuni.cz/services/teitok/pdtc10/index.php?action=vallex&amp;frame=v-w11636_ZUf1_ZU", "zaktivovat (v-w11636_ZUf1_ZU)")</f>
        <v>zaktivovat (v-w11636_ZUf1_ZU)</v>
      </c>
    </row>
    <row r="64941" customFormat="false" ht="12.8" hidden="false" customHeight="false" outlineLevel="0" collapsed="false">
      <c r="B64941" s="0" t="s">
        <v>1</v>
      </c>
    </row>
    <row r="64942" customFormat="false" ht="12.8" hidden="false" customHeight="false" outlineLevel="0" collapsed="false">
      <c r="B64942" s="0" t="s">
        <v>8</v>
      </c>
    </row>
    <row r="64944" customFormat="false" ht="12.8" hidden="false" customHeight="false" outlineLevel="0" collapsed="false">
      <c r="A64944" s="0" t="s">
        <v>21536</v>
      </c>
      <c r="B64944" s="0" t="str">
        <f aca="false">HYPERLINK("https://lindat.mff.cuni.cz/services/teitok/pdtc10/index.php?action=vallex&amp;frame=v-w8905f1", "zaktualizovat (v-w8905f1)")</f>
        <v>zaktualizovat (v-w8905f1)</v>
      </c>
    </row>
    <row r="64945" customFormat="false" ht="12.8" hidden="false" customHeight="false" outlineLevel="0" collapsed="false">
      <c r="B64945" s="0" t="s">
        <v>1</v>
      </c>
    </row>
    <row r="64946" customFormat="false" ht="12.8" hidden="false" customHeight="false" outlineLevel="0" collapsed="false">
      <c r="B64946" s="0" t="s">
        <v>8</v>
      </c>
    </row>
    <row r="64948" customFormat="false" ht="12.8" hidden="false" customHeight="false" outlineLevel="0" collapsed="false">
      <c r="A64948" s="0" t="s">
        <v>21537</v>
      </c>
      <c r="B64948" s="0" t="str">
        <f aca="false">HYPERLINK("https://lindat.mff.cuni.cz/services/teitok/pdtc10/index.php?action=vallex&amp;frame=v-whsa_735hsa_736", "zakuplovat (v-whsa_735hsa_736)")</f>
        <v>zakuplovat (v-whsa_735hsa_736)</v>
      </c>
    </row>
    <row r="64949" customFormat="false" ht="12.8" hidden="false" customHeight="false" outlineLevel="0" collapsed="false">
      <c r="B64949" s="0" t="s">
        <v>1</v>
      </c>
    </row>
    <row r="64950" customFormat="false" ht="12.8" hidden="false" customHeight="false" outlineLevel="0" collapsed="false">
      <c r="B64950" s="0" t="s">
        <v>8</v>
      </c>
    </row>
    <row r="64952" customFormat="false" ht="12.8" hidden="false" customHeight="false" outlineLevel="0" collapsed="false">
      <c r="A64952" s="0" t="s">
        <v>21538</v>
      </c>
      <c r="B64952" s="0" t="str">
        <f aca="false">HYPERLINK("https://lindat.mff.cuni.cz/services/teitok/pdtc10/index.php?action=vallex&amp;frame=v-w10183f2", "zakusit (v-w10183f2)")</f>
        <v>zakusit (v-w10183f2)</v>
      </c>
      <c r="E64952" s="0" t="str">
        <f aca="false">HYPERLINK("https://lindat.mff.cuni.cz/services/SynSemClass40/SynSemClass40.html?veclass=vec00379#vec00379-ces-cm00027", "vec00379")</f>
        <v>vec00379</v>
      </c>
      <c r="F64952" s="0" t="s">
        <v>10883</v>
      </c>
    </row>
    <row r="64953" customFormat="false" ht="12.8" hidden="false" customHeight="false" outlineLevel="0" collapsed="false">
      <c r="B64953" s="0" t="s">
        <v>1</v>
      </c>
      <c r="C64953" s="0" t="s">
        <v>10884</v>
      </c>
      <c r="E64953" s="0" t="s">
        <v>266</v>
      </c>
      <c r="F64953" s="0" t="s">
        <v>10885</v>
      </c>
    </row>
    <row r="64954" customFormat="false" ht="12.8" hidden="false" customHeight="false" outlineLevel="0" collapsed="false">
      <c r="B64954" s="0" t="s">
        <v>7589</v>
      </c>
      <c r="C64954" s="0" t="s">
        <v>10886</v>
      </c>
      <c r="E64954" s="0" t="s">
        <v>10887</v>
      </c>
      <c r="F64954" s="0" t="s">
        <v>10888</v>
      </c>
    </row>
    <row r="64956" customFormat="false" ht="12.8" hidden="false" customHeight="false" outlineLevel="0" collapsed="false">
      <c r="A64956" s="0" t="s">
        <v>21539</v>
      </c>
      <c r="B64956" s="0" t="str">
        <f aca="false">HYPERLINK("https://lindat.mff.cuni.cz/services/teitok/pdtc10/index.php?action=vallex&amp;frame=v-w8906f2", "zakusovat se (v-w8906f2)")</f>
        <v>zakusovat se (v-w8906f2)</v>
      </c>
    </row>
    <row r="64957" customFormat="false" ht="12.8" hidden="false" customHeight="false" outlineLevel="0" collapsed="false">
      <c r="B64957" s="0" t="s">
        <v>1</v>
      </c>
    </row>
    <row r="64958" customFormat="false" ht="12.8" hidden="false" customHeight="false" outlineLevel="0" collapsed="false">
      <c r="B64958" s="0" t="s">
        <v>1187</v>
      </c>
    </row>
    <row r="64960" customFormat="false" ht="12.8" hidden="false" customHeight="false" outlineLevel="0" collapsed="false">
      <c r="A64960" s="0" t="s">
        <v>21540</v>
      </c>
      <c r="B64960" s="0" t="str">
        <f aca="false">HYPERLINK("https://lindat.mff.cuni.cz/services/teitok/pdtc10/index.php?action=vallex&amp;frame=v-w8906f1", "zakusovat se (v-w8906f1)")</f>
        <v>zakusovat se (v-w8906f1)</v>
      </c>
    </row>
    <row r="64961" customFormat="false" ht="12.8" hidden="false" customHeight="false" outlineLevel="0" collapsed="false">
      <c r="B64961" s="0" t="s">
        <v>1</v>
      </c>
    </row>
    <row r="64962" customFormat="false" ht="12.8" hidden="false" customHeight="false" outlineLevel="0" collapsed="false">
      <c r="B64962" s="0" t="s">
        <v>164</v>
      </c>
    </row>
    <row r="64964" customFormat="false" ht="12.8" hidden="false" customHeight="false" outlineLevel="0" collapsed="false">
      <c r="A64964" s="0" t="s">
        <v>21541</v>
      </c>
      <c r="B64964" s="0" t="str">
        <f aca="false">HYPERLINK("https://lindat.mff.cuni.cz/services/teitok/pdtc10/index.php?action=vallex&amp;frame=v-w8906hsa_439", "zakusovat se (v-w8906hsa_439)")</f>
        <v>zakusovat se (v-w8906hsa_439)</v>
      </c>
    </row>
    <row r="64965" customFormat="false" ht="12.8" hidden="false" customHeight="false" outlineLevel="0" collapsed="false">
      <c r="B64965" s="0" t="s">
        <v>1</v>
      </c>
    </row>
    <row r="64966" customFormat="false" ht="12.8" hidden="false" customHeight="false" outlineLevel="0" collapsed="false">
      <c r="B64966" s="0" t="s">
        <v>164</v>
      </c>
    </row>
    <row r="64968" customFormat="false" ht="12.8" hidden="false" customHeight="false" outlineLevel="0" collapsed="false">
      <c r="A64968" s="0" t="s">
        <v>21542</v>
      </c>
      <c r="B64968" s="0" t="str">
        <f aca="false">HYPERLINK("https://lindat.mff.cuni.cz/services/teitok/pdtc10/index.php?action=vallex&amp;frame=v-w8857f1", "zakázat (v-w8857f1)")</f>
        <v>zakázat (v-w8857f1)</v>
      </c>
      <c r="E64968" s="0" t="str">
        <f aca="false">HYPERLINK("https://lindat.mff.cuni.cz/services/SynSemClass40/SynSemClass40.html?veclass=vec00367#vec00367-ces-cm00001", "vec00367")</f>
        <v>vec00367</v>
      </c>
      <c r="F64968" s="0" t="s">
        <v>556</v>
      </c>
    </row>
    <row r="64969" customFormat="false" ht="12.8" hidden="false" customHeight="false" outlineLevel="0" collapsed="false">
      <c r="B64969" s="0" t="s">
        <v>1</v>
      </c>
      <c r="C64969" s="0" t="s">
        <v>557</v>
      </c>
      <c r="E64969" s="0" t="s">
        <v>206</v>
      </c>
      <c r="F64969" s="0" t="s">
        <v>558</v>
      </c>
    </row>
    <row r="64970" customFormat="false" ht="12.8" hidden="false" customHeight="false" outlineLevel="0" collapsed="false">
      <c r="B64970" s="0" t="s">
        <v>1983</v>
      </c>
      <c r="C64970" s="0" t="s">
        <v>560</v>
      </c>
      <c r="E64970" s="0" t="s">
        <v>561</v>
      </c>
      <c r="F64970" s="0" t="s">
        <v>562</v>
      </c>
    </row>
    <row r="64971" customFormat="false" ht="12.8" hidden="false" customHeight="false" outlineLevel="0" collapsed="false">
      <c r="B64971" s="0" t="s">
        <v>52</v>
      </c>
      <c r="C64971" s="0" t="s">
        <v>563</v>
      </c>
      <c r="E64971" s="0" t="s">
        <v>564</v>
      </c>
      <c r="F64971" s="0" t="s">
        <v>565</v>
      </c>
    </row>
    <row r="64973" customFormat="false" ht="12.8" hidden="false" customHeight="false" outlineLevel="0" collapsed="false">
      <c r="A64973" s="0" t="s">
        <v>21543</v>
      </c>
      <c r="B64973" s="0" t="str">
        <f aca="false">HYPERLINK("https://lindat.mff.cuni.cz/services/teitok/pdtc10/index.php?action=vallex&amp;frame=v-w8873f2", "zakódovat (v-w8873f2)")</f>
        <v>zakódovat (v-w8873f2)</v>
      </c>
    </row>
    <row r="64974" customFormat="false" ht="12.8" hidden="false" customHeight="false" outlineLevel="0" collapsed="false">
      <c r="B64974" s="0" t="s">
        <v>1</v>
      </c>
    </row>
    <row r="64975" customFormat="false" ht="12.8" hidden="false" customHeight="false" outlineLevel="0" collapsed="false">
      <c r="B64975" s="0" t="s">
        <v>8</v>
      </c>
    </row>
    <row r="64976" customFormat="false" ht="12.8" hidden="false" customHeight="false" outlineLevel="0" collapsed="false">
      <c r="B64976" s="0" t="s">
        <v>5</v>
      </c>
    </row>
    <row r="64978" customFormat="false" ht="12.8" hidden="false" customHeight="false" outlineLevel="0" collapsed="false">
      <c r="A64978" s="0" t="s">
        <v>21544</v>
      </c>
      <c r="B64978" s="0" t="str">
        <f aca="false">HYPERLINK("https://lindat.mff.cuni.cz/services/teitok/pdtc10/index.php?action=vallex&amp;frame=v-w8873f1", "zakódovat (v-w8873f1)")</f>
        <v>zakódovat (v-w8873f1)</v>
      </c>
    </row>
    <row r="64979" customFormat="false" ht="12.8" hidden="false" customHeight="false" outlineLevel="0" collapsed="false">
      <c r="B64979" s="0" t="s">
        <v>1</v>
      </c>
    </row>
    <row r="64980" customFormat="false" ht="12.8" hidden="false" customHeight="false" outlineLevel="0" collapsed="false">
      <c r="B64980" s="0" t="s">
        <v>8</v>
      </c>
    </row>
    <row r="64981" customFormat="false" ht="12.8" hidden="false" customHeight="false" outlineLevel="0" collapsed="false">
      <c r="B64981" s="0" t="s">
        <v>164</v>
      </c>
    </row>
    <row r="64983" customFormat="false" ht="12.8" hidden="false" customHeight="false" outlineLevel="0" collapsed="false">
      <c r="A64983" s="0" t="s">
        <v>21545</v>
      </c>
      <c r="B64983" s="0" t="str">
        <f aca="false">HYPERLINK("https://lindat.mff.cuni.cz/services/teitok/pdtc10/index.php?action=vallex&amp;frame=v-whsa_3f1_ZU", "zakřiknout (v-whsa_3f1_ZU)")</f>
        <v>zakřiknout (v-whsa_3f1_ZU)</v>
      </c>
    </row>
    <row r="64984" customFormat="false" ht="12.8" hidden="false" customHeight="false" outlineLevel="0" collapsed="false">
      <c r="B64984" s="0" t="s">
        <v>1</v>
      </c>
    </row>
    <row r="64985" customFormat="false" ht="12.8" hidden="false" customHeight="false" outlineLevel="0" collapsed="false">
      <c r="B64985" s="0" t="s">
        <v>8</v>
      </c>
    </row>
    <row r="64987" customFormat="false" ht="12.8" hidden="false" customHeight="false" outlineLevel="0" collapsed="false">
      <c r="A64987" s="0" t="s">
        <v>21546</v>
      </c>
      <c r="B64987" s="0" t="str">
        <f aca="false">HYPERLINK("https://lindat.mff.cuni.cz/services/teitok/pdtc10/index.php?action=vallex&amp;frame=v-whsa_3hsa_4", "zakřiknout (v-whsa_3hsa_4)")</f>
        <v>zakřiknout (v-whsa_3hsa_4)</v>
      </c>
    </row>
    <row r="64988" customFormat="false" ht="12.8" hidden="false" customHeight="false" outlineLevel="0" collapsed="false">
      <c r="B64988" s="0" t="s">
        <v>1</v>
      </c>
    </row>
    <row r="64989" customFormat="false" ht="12.8" hidden="false" customHeight="false" outlineLevel="0" collapsed="false">
      <c r="B64989" s="0" t="s">
        <v>7589</v>
      </c>
    </row>
    <row r="64990" customFormat="false" ht="12.8" hidden="false" customHeight="false" outlineLevel="0" collapsed="false">
      <c r="B64990" s="0" t="s">
        <v>4688</v>
      </c>
    </row>
    <row r="64992" customFormat="false" ht="12.8" hidden="false" customHeight="false" outlineLevel="0" collapsed="false">
      <c r="A64992" s="0" t="s">
        <v>21547</v>
      </c>
      <c r="B64992" s="0" t="str">
        <f aca="false">HYPERLINK("https://lindat.mff.cuni.cz/services/teitok/pdtc10/index.php?action=vallex&amp;frame=v-w8902f1", "zakřivovat (v-w8902f1)")</f>
        <v>zakřivovat (v-w8902f1)</v>
      </c>
    </row>
    <row r="64993" customFormat="false" ht="12.8" hidden="false" customHeight="false" outlineLevel="0" collapsed="false">
      <c r="B64993" s="0" t="s">
        <v>1</v>
      </c>
    </row>
    <row r="64994" customFormat="false" ht="12.8" hidden="false" customHeight="false" outlineLevel="0" collapsed="false">
      <c r="B64994" s="0" t="s">
        <v>8</v>
      </c>
    </row>
    <row r="64996" customFormat="false" ht="12.8" hidden="false" customHeight="false" outlineLevel="0" collapsed="false">
      <c r="A64996" s="0" t="s">
        <v>21548</v>
      </c>
      <c r="B64996" s="0" t="str">
        <f aca="false">HYPERLINK("https://lindat.mff.cuni.cz/services/teitok/pdtc10/index.php?action=vallex&amp;frame=v-w11365f1", "zakřičet (v-w11365f1)")</f>
        <v>zakřičet (v-w11365f1)</v>
      </c>
      <c r="E64996" s="0" t="str">
        <f aca="false">HYPERLINK("https://lindat.mff.cuni.cz/services/SynSemClass40/SynSemClass40.html?veclass=vec00426#vec00426-ces-cm00008", "vec00426")</f>
        <v>vec00426</v>
      </c>
      <c r="F64996" s="0" t="s">
        <v>4756</v>
      </c>
    </row>
    <row r="64997" customFormat="false" ht="12.8" hidden="false" customHeight="false" outlineLevel="0" collapsed="false">
      <c r="B64997" s="0" t="s">
        <v>1</v>
      </c>
      <c r="C64997" s="0" t="s">
        <v>4725</v>
      </c>
      <c r="E64997" s="0" t="s">
        <v>147</v>
      </c>
      <c r="F64997" s="0" t="s">
        <v>4757</v>
      </c>
    </row>
    <row r="64998" customFormat="false" ht="12.8" hidden="false" customHeight="false" outlineLevel="0" collapsed="false">
      <c r="B64998" s="0" t="s">
        <v>4977</v>
      </c>
      <c r="C64998" s="0" t="s">
        <v>4627</v>
      </c>
      <c r="E64998" s="0" t="s">
        <v>218</v>
      </c>
      <c r="F64998" s="0" t="s">
        <v>4978</v>
      </c>
    </row>
    <row r="64999" customFormat="false" ht="12.8" hidden="false" customHeight="false" outlineLevel="0" collapsed="false">
      <c r="B64999" s="0" t="s">
        <v>4688</v>
      </c>
      <c r="C64999" s="0" t="s">
        <v>4761</v>
      </c>
      <c r="E64999" s="0" t="s">
        <v>564</v>
      </c>
      <c r="F64999" s="0" t="s">
        <v>4762</v>
      </c>
    </row>
    <row r="65001" customFormat="false" ht="12.8" hidden="false" customHeight="false" outlineLevel="0" collapsed="false">
      <c r="A65001" s="0" t="s">
        <v>21549</v>
      </c>
      <c r="B65001" s="0" t="str">
        <f aca="false">HYPERLINK("https://lindat.mff.cuni.cz/services/teitok/pdtc10/index.php?action=vallex&amp;frame=v-w8901f1", "zakřičet si (v-w8901f1)")</f>
        <v>zakřičet si (v-w8901f1)</v>
      </c>
    </row>
    <row r="65002" customFormat="false" ht="12.8" hidden="false" customHeight="false" outlineLevel="0" collapsed="false">
      <c r="B65002" s="0" t="s">
        <v>1</v>
      </c>
    </row>
    <row r="65003" customFormat="false" ht="12.8" hidden="false" customHeight="false" outlineLevel="0" collapsed="false">
      <c r="B65003" s="0" t="s">
        <v>4697</v>
      </c>
    </row>
    <row r="65004" customFormat="false" ht="12.8" hidden="false" customHeight="false" outlineLevel="0" collapsed="false">
      <c r="B65004" s="0" t="s">
        <v>4688</v>
      </c>
    </row>
    <row r="65006" customFormat="false" ht="12.8" hidden="false" customHeight="false" outlineLevel="0" collapsed="false">
      <c r="A65006" s="0" t="s">
        <v>21550</v>
      </c>
      <c r="B65006" s="0" t="str">
        <f aca="false">HYPERLINK("https://lindat.mff.cuni.cz/services/teitok/pdtc10/index.php?action=vallex&amp;frame=v-w11207f2", "zalapat (v-w11207f2)")</f>
        <v>zalapat (v-w11207f2)</v>
      </c>
      <c r="E65006" s="0" t="str">
        <f aca="false">HYPERLINK("https://lindat.mff.cuni.cz/services/SynSemClass40/SynSemClass40.html?veclass=vec01371#vec01371-ces-cm00003", "vec01371")</f>
        <v>vec01371</v>
      </c>
      <c r="F65006" s="0" t="s">
        <v>5923</v>
      </c>
    </row>
    <row r="65007" customFormat="false" ht="12.8" hidden="false" customHeight="false" outlineLevel="0" collapsed="false">
      <c r="B65007" s="0" t="s">
        <v>1</v>
      </c>
      <c r="C65007" s="0" t="s">
        <v>4695</v>
      </c>
      <c r="E65007" s="0" t="s">
        <v>658</v>
      </c>
      <c r="F65007" s="0" t="s">
        <v>5924</v>
      </c>
    </row>
    <row r="65008" customFormat="false" ht="12.8" hidden="false" customHeight="false" outlineLevel="0" collapsed="false">
      <c r="B65008" s="0" t="s">
        <v>5925</v>
      </c>
      <c r="C65008" s="0" t="s">
        <v>5926</v>
      </c>
      <c r="E65008" s="0" t="s">
        <v>5927</v>
      </c>
      <c r="F65008" s="0" t="s">
        <v>5928</v>
      </c>
    </row>
    <row r="65010" customFormat="false" ht="12.8" hidden="false" customHeight="false" outlineLevel="0" collapsed="false">
      <c r="A65010" s="0" t="s">
        <v>21551</v>
      </c>
      <c r="B65010" s="0" t="str">
        <f aca="false">HYPERLINK("https://lindat.mff.cuni.cz/services/teitok/pdtc10/index.php?action=vallex&amp;frame=v-w11792_ZUf1_ZU", "zalehnout (v-w11792_ZUf1_ZU)")</f>
        <v>zalehnout (v-w11792_ZUf1_ZU)</v>
      </c>
    </row>
    <row r="65011" customFormat="false" ht="12.8" hidden="false" customHeight="false" outlineLevel="0" collapsed="false">
      <c r="B65011" s="0" t="s">
        <v>1</v>
      </c>
    </row>
    <row r="65012" customFormat="false" ht="12.8" hidden="false" customHeight="false" outlineLevel="0" collapsed="false">
      <c r="B65012" s="0" t="s">
        <v>454</v>
      </c>
    </row>
    <row r="65014" customFormat="false" ht="12.8" hidden="false" customHeight="false" outlineLevel="0" collapsed="false">
      <c r="A65014" s="0" t="s">
        <v>21552</v>
      </c>
      <c r="B65014" s="0" t="str">
        <f aca="false">HYPERLINK("https://lindat.mff.cuni.cz/services/teitok/pdtc10/index.php?action=vallex&amp;frame=v-w8907f1", "zaleknout se (v-w8907f1)")</f>
        <v>zaleknout se (v-w8907f1)</v>
      </c>
    </row>
    <row r="65015" customFormat="false" ht="12.8" hidden="false" customHeight="false" outlineLevel="0" collapsed="false">
      <c r="B65015" s="0" t="s">
        <v>1</v>
      </c>
    </row>
    <row r="65016" customFormat="false" ht="12.8" hidden="false" customHeight="false" outlineLevel="0" collapsed="false">
      <c r="B65016" s="0" t="s">
        <v>5954</v>
      </c>
    </row>
    <row r="65018" customFormat="false" ht="12.8" hidden="false" customHeight="false" outlineLevel="0" collapsed="false">
      <c r="A65018" s="0" t="s">
        <v>21553</v>
      </c>
      <c r="B65018" s="0" t="str">
        <f aca="false">HYPERLINK("https://lindat.mff.cuni.cz/services/teitok/pdtc10/index.php?action=vallex&amp;frame=v-w8908f1", "zalepit (v-w8908f1)")</f>
        <v>zalepit (v-w8908f1)</v>
      </c>
    </row>
    <row r="65019" customFormat="false" ht="12.8" hidden="false" customHeight="false" outlineLevel="0" collapsed="false">
      <c r="B65019" s="0" t="s">
        <v>1</v>
      </c>
    </row>
    <row r="65020" customFormat="false" ht="12.8" hidden="false" customHeight="false" outlineLevel="0" collapsed="false">
      <c r="B65020" s="0" t="s">
        <v>8</v>
      </c>
    </row>
    <row r="65022" customFormat="false" ht="12.8" hidden="false" customHeight="false" outlineLevel="0" collapsed="false">
      <c r="A65022" s="0" t="s">
        <v>21554</v>
      </c>
      <c r="B65022" s="0" t="str">
        <f aca="false">HYPERLINK("https://lindat.mff.cuni.cz/services/teitok/pdtc10/index.php?action=vallex&amp;frame=v-w8908f2", "zalepit (v-w8908f2)")</f>
        <v>zalepit (v-w8908f2)</v>
      </c>
      <c r="E65022" s="0" t="str">
        <f aca="false">HYPERLINK("https://lindat.mff.cuni.cz/services/SynSemClass40/SynSemClass40.html?veclass=vec01479#vec01479-ces-cm00003", "vec01479")</f>
        <v>vec01479</v>
      </c>
      <c r="F65022" s="0" t="s">
        <v>5973</v>
      </c>
    </row>
    <row r="65023" customFormat="false" ht="12.8" hidden="false" customHeight="false" outlineLevel="0" collapsed="false">
      <c r="B65023" s="0" t="s">
        <v>1</v>
      </c>
      <c r="C65023" s="0" t="s">
        <v>4695</v>
      </c>
      <c r="E65023" s="0" t="s">
        <v>4850</v>
      </c>
      <c r="F65023" s="0" t="s">
        <v>5974</v>
      </c>
    </row>
    <row r="65024" customFormat="false" ht="12.8" hidden="false" customHeight="false" outlineLevel="0" collapsed="false">
      <c r="B65024" s="0" t="s">
        <v>8</v>
      </c>
      <c r="C65024" s="0" t="s">
        <v>800</v>
      </c>
      <c r="E65024" s="0" t="s">
        <v>110</v>
      </c>
      <c r="F65024" s="0" t="s">
        <v>5975</v>
      </c>
    </row>
    <row r="65026" customFormat="false" ht="12.8" hidden="false" customHeight="false" outlineLevel="0" collapsed="false">
      <c r="A65026" s="0" t="s">
        <v>21555</v>
      </c>
      <c r="B65026" s="0" t="str">
        <f aca="false">HYPERLINK("https://lindat.mff.cuni.cz/services/teitok/pdtc10/index.php?action=vallex&amp;frame=v-w11850_ZUf1_ZU", "zalepovat (v-w11850_ZUf1_ZU)")</f>
        <v>zalepovat (v-w11850_ZUf1_ZU)</v>
      </c>
    </row>
    <row r="65027" customFormat="false" ht="12.8" hidden="false" customHeight="false" outlineLevel="0" collapsed="false">
      <c r="B65027" s="0" t="s">
        <v>1</v>
      </c>
    </row>
    <row r="65028" customFormat="false" ht="12.8" hidden="false" customHeight="false" outlineLevel="0" collapsed="false">
      <c r="B65028" s="0" t="s">
        <v>8</v>
      </c>
    </row>
    <row r="65030" customFormat="false" ht="12.8" hidden="false" customHeight="false" outlineLevel="0" collapsed="false">
      <c r="A65030" s="0" t="s">
        <v>21556</v>
      </c>
      <c r="B65030" s="0" t="str">
        <f aca="false">HYPERLINK("https://lindat.mff.cuni.cz/services/teitok/pdtc10/index.php?action=vallex&amp;frame=v-w12183_ZUf1_ZU", "zalesňovat (v-w12183_ZUf1_ZU)")</f>
        <v>zalesňovat (v-w12183_ZUf1_ZU)</v>
      </c>
    </row>
    <row r="65031" customFormat="false" ht="12.8" hidden="false" customHeight="false" outlineLevel="0" collapsed="false">
      <c r="B65031" s="0" t="s">
        <v>1</v>
      </c>
    </row>
    <row r="65032" customFormat="false" ht="12.8" hidden="false" customHeight="false" outlineLevel="0" collapsed="false">
      <c r="B65032" s="0" t="s">
        <v>8</v>
      </c>
    </row>
    <row r="65034" customFormat="false" ht="12.8" hidden="false" customHeight="false" outlineLevel="0" collapsed="false">
      <c r="A65034" s="0" t="s">
        <v>21557</v>
      </c>
      <c r="B65034" s="0" t="str">
        <f aca="false">HYPERLINK("https://lindat.mff.cuni.cz/services/teitok/pdtc10/index.php?action=vallex&amp;frame=v-w12114_ZUf1_ZU", "zalhat (v-w12114_ZUf1_ZU)")</f>
        <v>zalhat (v-w12114_ZUf1_ZU)</v>
      </c>
    </row>
    <row r="65035" customFormat="false" ht="12.8" hidden="false" customHeight="false" outlineLevel="0" collapsed="false">
      <c r="B65035" s="0" t="s">
        <v>1</v>
      </c>
    </row>
    <row r="65036" customFormat="false" ht="12.8" hidden="false" customHeight="false" outlineLevel="0" collapsed="false">
      <c r="B65036" s="0" t="s">
        <v>6024</v>
      </c>
    </row>
    <row r="65037" customFormat="false" ht="12.8" hidden="false" customHeight="false" outlineLevel="0" collapsed="false">
      <c r="B65037" s="0" t="s">
        <v>132</v>
      </c>
    </row>
    <row r="65039" customFormat="false" ht="12.8" hidden="false" customHeight="false" outlineLevel="0" collapsed="false">
      <c r="A65039" s="0" t="s">
        <v>21558</v>
      </c>
      <c r="B65039" s="0" t="str">
        <f aca="false">HYPERLINK("https://lindat.mff.cuni.cz/services/teitok/pdtc10/index.php?action=vallex&amp;frame=v-w8917f1", "zalichotit (v-w8917f1)")</f>
        <v>zalichotit (v-w8917f1)</v>
      </c>
    </row>
    <row r="65040" customFormat="false" ht="12.8" hidden="false" customHeight="false" outlineLevel="0" collapsed="false">
      <c r="B65040" s="0" t="s">
        <v>1</v>
      </c>
    </row>
    <row r="65041" customFormat="false" ht="12.8" hidden="false" customHeight="false" outlineLevel="0" collapsed="false">
      <c r="B65041" s="0" t="s">
        <v>186</v>
      </c>
    </row>
    <row r="65043" customFormat="false" ht="12.8" hidden="false" customHeight="false" outlineLevel="0" collapsed="false">
      <c r="A65043" s="0" t="s">
        <v>21559</v>
      </c>
      <c r="B65043" s="0" t="str">
        <f aca="false">HYPERLINK("https://lindat.mff.cuni.cz/services/teitok/pdtc10/index.php?action=vallex&amp;frame=v-w11074f2", "zalidnit (v-w11074f2)")</f>
        <v>zalidnit (v-w11074f2)</v>
      </c>
      <c r="E65043" s="0" t="str">
        <f aca="false">HYPERLINK("https://lindat.mff.cuni.cz/services/SynSemClass40/SynSemClass40.html?veclass=vec00984#vec00984-ces-cm00001", "vec00984")</f>
        <v>vec00984</v>
      </c>
      <c r="F65043" s="0" t="s">
        <v>21560</v>
      </c>
    </row>
    <row r="65044" customFormat="false" ht="12.8" hidden="false" customHeight="false" outlineLevel="0" collapsed="false">
      <c r="B65044" s="0" t="s">
        <v>1</v>
      </c>
      <c r="C65044" s="0" t="s">
        <v>21561</v>
      </c>
      <c r="E65044" s="0" t="s">
        <v>11</v>
      </c>
      <c r="F65044" s="0" t="s">
        <v>21562</v>
      </c>
    </row>
    <row r="65045" customFormat="false" ht="12.8" hidden="false" customHeight="false" outlineLevel="0" collapsed="false">
      <c r="B65045" s="0" t="s">
        <v>8</v>
      </c>
      <c r="C65045" s="0" t="s">
        <v>800</v>
      </c>
      <c r="E65045" s="0" t="s">
        <v>4060</v>
      </c>
      <c r="F65045" s="0" t="s">
        <v>21563</v>
      </c>
    </row>
    <row r="65047" customFormat="false" ht="12.8" hidden="false" customHeight="false" outlineLevel="0" collapsed="false">
      <c r="A65047" s="0" t="s">
        <v>21564</v>
      </c>
      <c r="B65047" s="0" t="str">
        <f aca="false">HYPERLINK("https://lindat.mff.cuni.cz/services/teitok/pdtc10/index.php?action=vallex&amp;frame=v-whsa_1283hsa_1284", "zalistovat (v-whsa_1283hsa_1284)")</f>
        <v>zalistovat (v-whsa_1283hsa_1284)</v>
      </c>
      <c r="E65047" s="0" t="str">
        <f aca="false">HYPERLINK("https://lindat.mff.cuni.cz/services/SynSemClass40/SynSemClass40.html?veclass=vec01224#vec01224-ces-cm00005", "vec01224")</f>
        <v>vec01224</v>
      </c>
      <c r="F65047" s="0" t="s">
        <v>6051</v>
      </c>
    </row>
    <row r="65048" customFormat="false" ht="12.8" hidden="false" customHeight="false" outlineLevel="0" collapsed="false">
      <c r="B65048" s="0" t="s">
        <v>1</v>
      </c>
      <c r="E65048" s="0" t="s">
        <v>621</v>
      </c>
      <c r="F65048" s="0" t="s">
        <v>4213</v>
      </c>
    </row>
    <row r="65049" customFormat="false" ht="12.8" hidden="false" customHeight="false" outlineLevel="0" collapsed="false">
      <c r="B65049" s="0" t="s">
        <v>5</v>
      </c>
      <c r="E65049" s="0" t="s">
        <v>21565</v>
      </c>
      <c r="F65049" s="0" t="s">
        <v>21566</v>
      </c>
    </row>
    <row r="65051" customFormat="false" ht="12.8" hidden="false" customHeight="false" outlineLevel="0" collapsed="false">
      <c r="A65051" s="0" t="s">
        <v>21567</v>
      </c>
      <c r="B65051" s="0" t="str">
        <f aca="false">HYPERLINK("https://lindat.mff.cuni.cz/services/teitok/pdtc10/index.php?action=vallex&amp;frame=v-w8920f1", "zalitovat (v-w8920f1)")</f>
        <v>zalitovat (v-w8920f1)</v>
      </c>
    </row>
    <row r="65052" customFormat="false" ht="12.8" hidden="false" customHeight="false" outlineLevel="0" collapsed="false">
      <c r="B65052" s="0" t="s">
        <v>1</v>
      </c>
    </row>
    <row r="65053" customFormat="false" ht="12.8" hidden="false" customHeight="false" outlineLevel="0" collapsed="false">
      <c r="B65053" s="0" t="s">
        <v>3106</v>
      </c>
    </row>
    <row r="65055" customFormat="false" ht="12.8" hidden="false" customHeight="false" outlineLevel="0" collapsed="false">
      <c r="A65055" s="0" t="s">
        <v>21568</v>
      </c>
      <c r="B65055" s="0" t="str">
        <f aca="false">HYPERLINK("https://lindat.mff.cuni.cz/services/teitok/pdtc10/index.php?action=vallex&amp;frame=v-w8927f1", "založit (v-w8927f1)")</f>
        <v>založit (v-w8927f1)</v>
      </c>
      <c r="E65055" s="0" t="str">
        <f aca="false">HYPERLINK("https://lindat.mff.cuni.cz/services/SynSemClass40/SynSemClass40.html?veclass=vec00179#vec00179-ces-cm00088", "vec00179")</f>
        <v>vec00179</v>
      </c>
      <c r="F65055" s="0" t="s">
        <v>779</v>
      </c>
    </row>
    <row r="65056" customFormat="false" ht="12.8" hidden="false" customHeight="false" outlineLevel="0" collapsed="false">
      <c r="B65056" s="0" t="s">
        <v>1</v>
      </c>
      <c r="C65056" s="0" t="s">
        <v>14765</v>
      </c>
      <c r="E65056" s="0" t="s">
        <v>768</v>
      </c>
      <c r="F65056" s="0" t="s">
        <v>782</v>
      </c>
    </row>
    <row r="65057" customFormat="false" ht="12.8" hidden="false" customHeight="false" outlineLevel="0" collapsed="false">
      <c r="B65057" s="0" t="s">
        <v>8</v>
      </c>
      <c r="C65057" s="0" t="s">
        <v>14766</v>
      </c>
      <c r="E65057" s="0" t="s">
        <v>771</v>
      </c>
      <c r="F65057" s="0" t="s">
        <v>785</v>
      </c>
    </row>
    <row r="65058" customFormat="false" ht="12.8" hidden="false" customHeight="false" outlineLevel="0" collapsed="false">
      <c r="B65058" s="0" t="s">
        <v>16341</v>
      </c>
      <c r="C65058" s="0" t="s">
        <v>14767</v>
      </c>
      <c r="E65058" s="0" t="s">
        <v>787</v>
      </c>
      <c r="F65058" s="0" t="s">
        <v>789</v>
      </c>
    </row>
    <row r="65060" customFormat="false" ht="12.8" hidden="false" customHeight="false" outlineLevel="0" collapsed="false">
      <c r="A65060" s="0" t="s">
        <v>21569</v>
      </c>
      <c r="B65060" s="0" t="str">
        <f aca="false">HYPERLINK("https://lindat.mff.cuni.cz/services/teitok/pdtc10/index.php?action=vallex&amp;frame=v-w8927f2", "založit (v-w8927f2)")</f>
        <v>založit (v-w8927f2)</v>
      </c>
    </row>
    <row r="65061" customFormat="false" ht="12.8" hidden="false" customHeight="false" outlineLevel="0" collapsed="false">
      <c r="B65061" s="0" t="s">
        <v>1</v>
      </c>
    </row>
    <row r="65062" customFormat="false" ht="12.8" hidden="false" customHeight="false" outlineLevel="0" collapsed="false">
      <c r="B65062" s="0" t="s">
        <v>8</v>
      </c>
    </row>
    <row r="65063" customFormat="false" ht="12.8" hidden="false" customHeight="false" outlineLevel="0" collapsed="false">
      <c r="B65063" s="0" t="s">
        <v>164</v>
      </c>
    </row>
    <row r="65065" customFormat="false" ht="12.8" hidden="false" customHeight="false" outlineLevel="0" collapsed="false">
      <c r="A65065" s="0" t="s">
        <v>21570</v>
      </c>
      <c r="B65065" s="0" t="str">
        <f aca="false">HYPERLINK("https://lindat.mff.cuni.cz/services/teitok/pdtc10/index.php?action=vallex&amp;frame=v-w8927f3", "založit (v-w8927f3)")</f>
        <v>založit (v-w8927f3)</v>
      </c>
    </row>
    <row r="65066" customFormat="false" ht="12.8" hidden="false" customHeight="false" outlineLevel="0" collapsed="false">
      <c r="B65066" s="0" t="s">
        <v>1</v>
      </c>
    </row>
    <row r="65067" customFormat="false" ht="12.8" hidden="false" customHeight="false" outlineLevel="0" collapsed="false">
      <c r="B65067" s="0" t="s">
        <v>8</v>
      </c>
    </row>
    <row r="65069" customFormat="false" ht="12.8" hidden="false" customHeight="false" outlineLevel="0" collapsed="false">
      <c r="A65069" s="0" t="s">
        <v>21571</v>
      </c>
      <c r="B65069" s="0" t="str">
        <f aca="false">HYPERLINK("https://lindat.mff.cuni.cz/services/teitok/pdtc10/index.php?action=vallex&amp;frame=v-w8927f5", "založit (v-w8927f5)")</f>
        <v>založit (v-w8927f5)</v>
      </c>
    </row>
    <row r="65070" customFormat="false" ht="12.8" hidden="false" customHeight="false" outlineLevel="0" collapsed="false">
      <c r="B65070" s="0" t="s">
        <v>1</v>
      </c>
    </row>
    <row r="65071" customFormat="false" ht="12.8" hidden="false" customHeight="false" outlineLevel="0" collapsed="false">
      <c r="B65071" s="0" t="s">
        <v>8</v>
      </c>
    </row>
    <row r="65073" customFormat="false" ht="12.8" hidden="false" customHeight="false" outlineLevel="0" collapsed="false">
      <c r="A65073" s="0" t="s">
        <v>21572</v>
      </c>
      <c r="B65073" s="0" t="str">
        <f aca="false">HYPERLINK("https://lindat.mff.cuni.cz/services/teitok/pdtc10/index.php?action=vallex&amp;frame=v-w8927f4", "založit (v-w8927f4)")</f>
        <v>založit (v-w8927f4)</v>
      </c>
    </row>
    <row r="65074" customFormat="false" ht="12.8" hidden="false" customHeight="false" outlineLevel="0" collapsed="false">
      <c r="B65074" s="0" t="s">
        <v>1</v>
      </c>
    </row>
    <row r="65075" customFormat="false" ht="12.8" hidden="false" customHeight="false" outlineLevel="0" collapsed="false">
      <c r="B65075" s="0" t="s">
        <v>8</v>
      </c>
    </row>
    <row r="65077" customFormat="false" ht="12.8" hidden="false" customHeight="false" outlineLevel="0" collapsed="false">
      <c r="A65077" s="0" t="s">
        <v>21573</v>
      </c>
      <c r="B65077" s="0" t="str">
        <f aca="false">HYPERLINK("https://lindat.mff.cuni.cz/services/teitok/pdtc10/index.php?action=vallex&amp;frame=v-w11324f1", "zalykat se (v-w11324f1)")</f>
        <v>zalykat se (v-w11324f1)</v>
      </c>
    </row>
    <row r="65078" customFormat="false" ht="12.8" hidden="false" customHeight="false" outlineLevel="0" collapsed="false">
      <c r="B65078" s="0" t="s">
        <v>1</v>
      </c>
    </row>
    <row r="65080" customFormat="false" ht="12.8" hidden="false" customHeight="false" outlineLevel="0" collapsed="false">
      <c r="A65080" s="0" t="s">
        <v>21574</v>
      </c>
      <c r="B65080" s="0" t="str">
        <f aca="false">HYPERLINK("https://lindat.mff.cuni.cz/services/teitok/pdtc10/index.php?action=vallex&amp;frame=v-whsa_1348hsa_1349", "zalyžovat si (v-whsa_1348hsa_1349)")</f>
        <v>zalyžovat si (v-whsa_1348hsa_1349)</v>
      </c>
    </row>
    <row r="65081" customFormat="false" ht="12.8" hidden="false" customHeight="false" outlineLevel="0" collapsed="false">
      <c r="B65081" s="0" t="s">
        <v>1</v>
      </c>
    </row>
    <row r="65083" customFormat="false" ht="12.8" hidden="false" customHeight="false" outlineLevel="0" collapsed="false">
      <c r="A65083" s="0" t="s">
        <v>21575</v>
      </c>
      <c r="B65083" s="0" t="str">
        <f aca="false">HYPERLINK("https://lindat.mff.cuni.cz/services/teitok/pdtc10/index.php?action=vallex&amp;frame=v-w8911f1", "zalévat (v-w8911f1)")</f>
        <v>zalévat (v-w8911f1)</v>
      </c>
    </row>
    <row r="65084" customFormat="false" ht="12.8" hidden="false" customHeight="false" outlineLevel="0" collapsed="false">
      <c r="B65084" s="0" t="s">
        <v>1</v>
      </c>
    </row>
    <row r="65085" customFormat="false" ht="12.8" hidden="false" customHeight="false" outlineLevel="0" collapsed="false">
      <c r="B65085" s="0" t="s">
        <v>8</v>
      </c>
    </row>
    <row r="65087" customFormat="false" ht="12.8" hidden="false" customHeight="false" outlineLevel="0" collapsed="false">
      <c r="A65087" s="0" t="s">
        <v>21576</v>
      </c>
      <c r="B65087" s="0" t="str">
        <f aca="false">HYPERLINK("https://lindat.mff.cuni.cz/services/teitok/pdtc10/index.php?action=vallex&amp;frame=v-w12129_ZUf1_ZU", "zalézat (v-w12129_ZUf1_ZU)")</f>
        <v>zalézat (v-w12129_ZUf1_ZU)</v>
      </c>
    </row>
    <row r="65088" customFormat="false" ht="12.8" hidden="false" customHeight="false" outlineLevel="0" collapsed="false">
      <c r="B65088" s="0" t="s">
        <v>1</v>
      </c>
    </row>
    <row r="65089" customFormat="false" ht="12.8" hidden="false" customHeight="false" outlineLevel="0" collapsed="false">
      <c r="B65089" s="0" t="s">
        <v>454</v>
      </c>
    </row>
    <row r="65091" customFormat="false" ht="12.8" hidden="false" customHeight="false" outlineLevel="0" collapsed="false">
      <c r="A65091" s="0" t="s">
        <v>21577</v>
      </c>
      <c r="B65091" s="0" t="str">
        <f aca="false">HYPERLINK("https://lindat.mff.cuni.cz/services/teitok/pdtc10/index.php?action=vallex&amp;frame=v-w8912f1", "zalézt (v-w8912f1)")</f>
        <v>zalézt (v-w8912f1)</v>
      </c>
      <c r="E65091" s="0" t="str">
        <f aca="false">HYPERLINK("https://lindat.mff.cuni.cz/services/SynSemClass40/SynSemClass40.html?veclass=vec00218#vec00218-ces-cm00281", "vec00218")</f>
        <v>vec00218</v>
      </c>
      <c r="F65091" s="0" t="s">
        <v>2143</v>
      </c>
    </row>
    <row r="65092" customFormat="false" ht="12.8" hidden="false" customHeight="false" outlineLevel="0" collapsed="false">
      <c r="B65092" s="0" t="s">
        <v>1</v>
      </c>
      <c r="C65092" s="0" t="s">
        <v>2144</v>
      </c>
      <c r="E65092" s="0" t="s">
        <v>11</v>
      </c>
      <c r="F65092" s="0" t="s">
        <v>2145</v>
      </c>
    </row>
    <row r="65093" customFormat="false" ht="12.8" hidden="false" customHeight="false" outlineLevel="0" collapsed="false">
      <c r="B65093" s="0" t="s">
        <v>164</v>
      </c>
      <c r="C65093" s="0" t="s">
        <v>2146</v>
      </c>
      <c r="E65093" s="0" t="s">
        <v>370</v>
      </c>
      <c r="F65093" s="0" t="s">
        <v>2147</v>
      </c>
    </row>
    <row r="65095" customFormat="false" ht="12.8" hidden="false" customHeight="false" outlineLevel="0" collapsed="false">
      <c r="A65095" s="0" t="s">
        <v>21578</v>
      </c>
      <c r="B65095" s="0" t="str">
        <f aca="false">HYPERLINK("https://lindat.mff.cuni.cz/services/teitok/pdtc10/index.php?action=vallex&amp;frame=v-w8916f1", "zalíbit se (v-w8916f1)")</f>
        <v>zalíbit se (v-w8916f1)</v>
      </c>
      <c r="E65095" s="0" t="str">
        <f aca="false">HYPERLINK("https://lindat.mff.cuni.cz/services/SynSemClass40/SynSemClass40.html?veclass=vec00188#vec00188-ces-cm00076", "vec00188")</f>
        <v>vec00188</v>
      </c>
      <c r="F65095" s="0" t="s">
        <v>7128</v>
      </c>
    </row>
    <row r="65096" customFormat="false" ht="12.8" hidden="false" customHeight="false" outlineLevel="0" collapsed="false">
      <c r="B65096" s="0" t="s">
        <v>804</v>
      </c>
      <c r="C65096" s="0" t="s">
        <v>9998</v>
      </c>
      <c r="E65096" s="0" t="s">
        <v>1567</v>
      </c>
      <c r="F65096" s="0" t="s">
        <v>7130</v>
      </c>
    </row>
    <row r="65097" customFormat="false" ht="12.8" hidden="false" customHeight="false" outlineLevel="0" collapsed="false">
      <c r="B65097" s="0" t="s">
        <v>5918</v>
      </c>
      <c r="C65097" s="0" t="s">
        <v>1575</v>
      </c>
      <c r="E65097" s="0" t="s">
        <v>3388</v>
      </c>
      <c r="F65097" s="0" t="s">
        <v>7132</v>
      </c>
    </row>
    <row r="65099" customFormat="false" ht="12.8" hidden="false" customHeight="false" outlineLevel="0" collapsed="false">
      <c r="A65099" s="0" t="s">
        <v>21579</v>
      </c>
      <c r="B65099" s="0" t="str">
        <f aca="false">HYPERLINK("https://lindat.mff.cuni.cz/services/teitok/pdtc10/index.php?action=vallex&amp;frame=v-w8918f1", "zalít (v-w8918f1)")</f>
        <v>zalít (v-w8918f1)</v>
      </c>
    </row>
    <row r="65100" customFormat="false" ht="12.8" hidden="false" customHeight="false" outlineLevel="0" collapsed="false">
      <c r="B65100" s="0" t="s">
        <v>1</v>
      </c>
    </row>
    <row r="65101" customFormat="false" ht="12.8" hidden="false" customHeight="false" outlineLevel="0" collapsed="false">
      <c r="B65101" s="0" t="s">
        <v>8</v>
      </c>
    </row>
    <row r="65103" customFormat="false" ht="12.8" hidden="false" customHeight="false" outlineLevel="0" collapsed="false">
      <c r="A65103" s="0" t="s">
        <v>21580</v>
      </c>
      <c r="B65103" s="0" t="str">
        <f aca="false">HYPERLINK("https://lindat.mff.cuni.cz/services/teitok/pdtc10/index.php?action=vallex&amp;frame=v-w8918f2_ZU", "zalít (v-w8918f2_ZU)")</f>
        <v>zalít (v-w8918f2_ZU)</v>
      </c>
    </row>
    <row r="65104" customFormat="false" ht="12.8" hidden="false" customHeight="false" outlineLevel="0" collapsed="false">
      <c r="B65104" s="0" t="s">
        <v>1</v>
      </c>
    </row>
    <row r="65105" customFormat="false" ht="12.8" hidden="false" customHeight="false" outlineLevel="0" collapsed="false">
      <c r="B65105" s="0" t="s">
        <v>8</v>
      </c>
    </row>
    <row r="65106" customFormat="false" ht="12.8" hidden="false" customHeight="false" outlineLevel="0" collapsed="false">
      <c r="B65106" s="0" t="s">
        <v>7045</v>
      </c>
    </row>
    <row r="65108" customFormat="false" ht="12.8" hidden="false" customHeight="false" outlineLevel="0" collapsed="false">
      <c r="A65108" s="0" t="s">
        <v>21580</v>
      </c>
      <c r="B65108" s="0" t="str">
        <f aca="false">HYPERLINK("https://lindat.mff.cuni.cz/services/teitok/pdtc10/index.php?action=vallex&amp;frame=v-w8918hsa_230", "zalít (v-w8918hsa_230) - substituted with v-w8918f2_ZU")</f>
        <v>zalít (v-w8918hsa_230) - substituted with v-w8918f2_ZU</v>
      </c>
    </row>
    <row r="65109" customFormat="false" ht="12.8" hidden="false" customHeight="false" outlineLevel="0" collapsed="false">
      <c r="B65109" s="0" t="s">
        <v>1</v>
      </c>
    </row>
    <row r="65110" customFormat="false" ht="12.8" hidden="false" customHeight="false" outlineLevel="0" collapsed="false">
      <c r="B65110" s="0" t="s">
        <v>8</v>
      </c>
    </row>
    <row r="65111" customFormat="false" ht="12.8" hidden="false" customHeight="false" outlineLevel="0" collapsed="false">
      <c r="B65111" s="0" t="s">
        <v>7045</v>
      </c>
    </row>
    <row r="65113" customFormat="false" ht="12.8" hidden="false" customHeight="false" outlineLevel="0" collapsed="false">
      <c r="A65113" s="0" t="s">
        <v>21581</v>
      </c>
      <c r="B65113" s="0" t="str">
        <f aca="false">HYPERLINK("https://lindat.mff.cuni.cz/services/teitok/pdtc10/index.php?action=vallex&amp;frame=v-w8918f3_ZU", "zalít (v-w8918f3_ZU)")</f>
        <v>zalít (v-w8918f3_ZU)</v>
      </c>
    </row>
    <row r="65114" customFormat="false" ht="12.8" hidden="false" customHeight="false" outlineLevel="0" collapsed="false">
      <c r="B65114" s="0" t="s">
        <v>1</v>
      </c>
    </row>
    <row r="65115" customFormat="false" ht="12.8" hidden="false" customHeight="false" outlineLevel="0" collapsed="false">
      <c r="B65115" s="0" t="s">
        <v>8</v>
      </c>
    </row>
    <row r="65116" customFormat="false" ht="12.8" hidden="false" customHeight="false" outlineLevel="0" collapsed="false">
      <c r="B65116" s="0" t="s">
        <v>454</v>
      </c>
    </row>
    <row r="65118" customFormat="false" ht="12.8" hidden="false" customHeight="false" outlineLevel="0" collapsed="false">
      <c r="A65118" s="0" t="s">
        <v>21582</v>
      </c>
      <c r="B65118" s="0" t="str">
        <f aca="false">HYPERLINK("https://lindat.mff.cuni.cz/services/teitok/pdtc10/index.php?action=vallex&amp;frame=v-w8921f1", "zalít se (v-w8921f1)")</f>
        <v>zalít se (v-w8921f1)</v>
      </c>
    </row>
    <row r="65119" customFormat="false" ht="12.8" hidden="false" customHeight="false" outlineLevel="0" collapsed="false">
      <c r="B65119" s="0" t="s">
        <v>1</v>
      </c>
    </row>
    <row r="65120" customFormat="false" ht="12.8" hidden="false" customHeight="false" outlineLevel="0" collapsed="false">
      <c r="B65120" s="0" t="s">
        <v>286</v>
      </c>
    </row>
    <row r="65122" customFormat="false" ht="12.8" hidden="false" customHeight="false" outlineLevel="0" collapsed="false">
      <c r="A65122" s="0" t="s">
        <v>21583</v>
      </c>
      <c r="B65122" s="0" t="str">
        <f aca="false">HYPERLINK("https://lindat.mff.cuni.cz/services/teitok/pdtc10/index.php?action=vallex&amp;frame=v-w11771_ZUf1_ZU", "zalívat (v-w11771_ZUf1_ZU)")</f>
        <v>zalívat (v-w11771_ZUf1_ZU)</v>
      </c>
    </row>
    <row r="65123" customFormat="false" ht="12.8" hidden="false" customHeight="false" outlineLevel="0" collapsed="false">
      <c r="B65123" s="0" t="s">
        <v>1</v>
      </c>
    </row>
    <row r="65124" customFormat="false" ht="12.8" hidden="false" customHeight="false" outlineLevel="0" collapsed="false">
      <c r="B65124" s="0" t="s">
        <v>8</v>
      </c>
    </row>
    <row r="65126" customFormat="false" ht="12.8" hidden="false" customHeight="false" outlineLevel="0" collapsed="false">
      <c r="A65126" s="0" t="s">
        <v>21584</v>
      </c>
      <c r="B65126" s="0" t="str">
        <f aca="false">HYPERLINK("https://lindat.mff.cuni.cz/services/teitok/pdtc10/index.php?action=vallex&amp;frame=v-w8929f1", "zamanout si (v-w8929f1)")</f>
        <v>zamanout si (v-w8929f1)</v>
      </c>
    </row>
    <row r="65127" customFormat="false" ht="12.8" hidden="false" customHeight="false" outlineLevel="0" collapsed="false">
      <c r="B65127" s="0" t="s">
        <v>1</v>
      </c>
    </row>
    <row r="65128" customFormat="false" ht="12.8" hidden="false" customHeight="false" outlineLevel="0" collapsed="false">
      <c r="B65128" s="0" t="s">
        <v>17800</v>
      </c>
    </row>
    <row r="65130" customFormat="false" ht="12.8" hidden="false" customHeight="false" outlineLevel="0" collapsed="false">
      <c r="A65130" s="0" t="s">
        <v>21585</v>
      </c>
      <c r="B65130" s="0" t="str">
        <f aca="false">HYPERLINK("https://lindat.mff.cuni.cz/services/teitok/pdtc10/index.php?action=vallex&amp;frame=v-w10659f2", "zamaskovat (v-w10659f2)")</f>
        <v>zamaskovat (v-w10659f2)</v>
      </c>
    </row>
    <row r="65131" customFormat="false" ht="12.8" hidden="false" customHeight="false" outlineLevel="0" collapsed="false">
      <c r="B65131" s="0" t="s">
        <v>1</v>
      </c>
    </row>
    <row r="65132" customFormat="false" ht="12.8" hidden="false" customHeight="false" outlineLevel="0" collapsed="false">
      <c r="B65132" s="0" t="s">
        <v>228</v>
      </c>
    </row>
    <row r="65133" customFormat="false" ht="12.8" hidden="false" customHeight="false" outlineLevel="0" collapsed="false">
      <c r="B65133" s="0" t="s">
        <v>381</v>
      </c>
    </row>
    <row r="65135" customFormat="false" ht="12.8" hidden="false" customHeight="false" outlineLevel="0" collapsed="false">
      <c r="A65135" s="0" t="s">
        <v>21586</v>
      </c>
      <c r="B65135" s="0" t="str">
        <f aca="false">HYPERLINK("https://lindat.mff.cuni.cz/services/teitok/pdtc10/index.php?action=vallex&amp;frame=v-w10958f2", "zamerikanizovat (v-w10958f2)")</f>
        <v>zamerikanizovat (v-w10958f2)</v>
      </c>
    </row>
    <row r="65136" customFormat="false" ht="12.8" hidden="false" customHeight="false" outlineLevel="0" collapsed="false">
      <c r="B65136" s="0" t="s">
        <v>1</v>
      </c>
    </row>
    <row r="65137" customFormat="false" ht="12.8" hidden="false" customHeight="false" outlineLevel="0" collapsed="false">
      <c r="B65137" s="0" t="s">
        <v>8</v>
      </c>
    </row>
    <row r="65139" customFormat="false" ht="12.8" hidden="false" customHeight="false" outlineLevel="0" collapsed="false">
      <c r="A65139" s="0" t="s">
        <v>21587</v>
      </c>
      <c r="B65139" s="0" t="str">
        <f aca="false">HYPERLINK("https://lindat.mff.cuni.cz/services/teitok/pdtc10/index.php?action=vallex&amp;frame=v-whsa_1745hsa_1746", "zametat (v-whsa_1745hsa_1746)")</f>
        <v>zametat (v-whsa_1745hsa_1746)</v>
      </c>
    </row>
    <row r="65140" customFormat="false" ht="12.8" hidden="false" customHeight="false" outlineLevel="0" collapsed="false">
      <c r="B65140" s="0" t="s">
        <v>1</v>
      </c>
    </row>
    <row r="65141" customFormat="false" ht="12.8" hidden="false" customHeight="false" outlineLevel="0" collapsed="false">
      <c r="B65141" s="0" t="s">
        <v>8</v>
      </c>
    </row>
    <row r="65143" customFormat="false" ht="12.8" hidden="false" customHeight="false" outlineLevel="0" collapsed="false">
      <c r="A65143" s="0" t="s">
        <v>21588</v>
      </c>
      <c r="B65143" s="0" t="str">
        <f aca="false">HYPERLINK("https://lindat.mff.cuni.cz/services/teitok/pdtc10/index.php?action=vallex&amp;frame=v-w8950f2", "zamezit (v-w8950f2)")</f>
        <v>zamezit (v-w8950f2)</v>
      </c>
      <c r="E65143" s="0" t="str">
        <f aca="false">HYPERLINK("https://lindat.mff.cuni.cz/services/SynSemClass40/SynSemClass40.html?veclass=vec00367#vec00367-ces-cm00033", "vec00367")</f>
        <v>vec00367</v>
      </c>
      <c r="F65143" s="0" t="s">
        <v>556</v>
      </c>
    </row>
    <row r="65144" customFormat="false" ht="12.8" hidden="false" customHeight="false" outlineLevel="0" collapsed="false">
      <c r="B65144" s="0" t="s">
        <v>1</v>
      </c>
      <c r="C65144" s="0" t="s">
        <v>557</v>
      </c>
      <c r="E65144" s="0" t="s">
        <v>206</v>
      </c>
      <c r="F65144" s="0" t="s">
        <v>558</v>
      </c>
    </row>
    <row r="65145" customFormat="false" ht="12.8" hidden="false" customHeight="false" outlineLevel="0" collapsed="false">
      <c r="B65145" s="0" t="s">
        <v>21589</v>
      </c>
      <c r="C65145" s="0" t="s">
        <v>560</v>
      </c>
      <c r="E65145" s="0" t="s">
        <v>561</v>
      </c>
      <c r="F65145" s="0" t="s">
        <v>562</v>
      </c>
    </row>
    <row r="65146" customFormat="false" ht="12.8" hidden="false" customHeight="false" outlineLevel="0" collapsed="false">
      <c r="B65146" s="0" t="s">
        <v>52</v>
      </c>
      <c r="C65146" s="0" t="s">
        <v>563</v>
      </c>
      <c r="E65146" s="0" t="s">
        <v>564</v>
      </c>
      <c r="F65146" s="0" t="s">
        <v>565</v>
      </c>
    </row>
    <row r="65148" customFormat="false" ht="12.8" hidden="false" customHeight="false" outlineLevel="0" collapsed="false">
      <c r="A65148" s="0" t="s">
        <v>21590</v>
      </c>
      <c r="B65148" s="0" t="str">
        <f aca="false">HYPERLINK("https://lindat.mff.cuni.cz/services/teitok/pdtc10/index.php?action=vallex&amp;frame=v-w8950f1", "zamezit (v-w8950f1)")</f>
        <v>zamezit (v-w8950f1)</v>
      </c>
      <c r="E65148" s="0" t="str">
        <f aca="false">HYPERLINK("https://lindat.mff.cuni.cz/services/SynSemClass40/SynSemClass40.html?veclass=vec00174#vec00174-ces-cm00020", "vec00174")</f>
        <v>vec00174</v>
      </c>
      <c r="F65148" s="0" t="s">
        <v>325</v>
      </c>
    </row>
    <row r="65149" customFormat="false" ht="12.8" hidden="false" customHeight="false" outlineLevel="0" collapsed="false">
      <c r="B65149" s="0" t="s">
        <v>1</v>
      </c>
      <c r="C65149" s="0" t="s">
        <v>326</v>
      </c>
      <c r="E65149" s="0" t="s">
        <v>76</v>
      </c>
      <c r="F65149" s="0" t="s">
        <v>327</v>
      </c>
    </row>
    <row r="65150" customFormat="false" ht="12.8" hidden="false" customHeight="false" outlineLevel="0" collapsed="false">
      <c r="B65150" s="0" t="s">
        <v>13159</v>
      </c>
      <c r="C65150" s="0" t="s">
        <v>328</v>
      </c>
      <c r="E65150" s="0" t="s">
        <v>188</v>
      </c>
      <c r="F65150" s="0" t="s">
        <v>329</v>
      </c>
    </row>
    <row r="65152" customFormat="false" ht="12.8" hidden="false" customHeight="false" outlineLevel="0" collapsed="false">
      <c r="A65152" s="0" t="s">
        <v>21591</v>
      </c>
      <c r="B65152" s="0" t="str">
        <f aca="false">HYPERLINK("https://lindat.mff.cuni.cz/services/teitok/pdtc10/index.php?action=vallex&amp;frame=v-w8951f2", "zamezovat (v-w8951f2)")</f>
        <v>zamezovat (v-w8951f2)</v>
      </c>
      <c r="E65152" s="0" t="str">
        <f aca="false">HYPERLINK("https://lindat.mff.cuni.cz/services/SynSemClass40/SynSemClass40.html?veclass=vec00367#vec00367-ces-cm00019", "vec00367")</f>
        <v>vec00367</v>
      </c>
      <c r="F65152" s="0" t="s">
        <v>556</v>
      </c>
    </row>
    <row r="65153" customFormat="false" ht="12.8" hidden="false" customHeight="false" outlineLevel="0" collapsed="false">
      <c r="B65153" s="0" t="s">
        <v>1</v>
      </c>
      <c r="C65153" s="0" t="s">
        <v>557</v>
      </c>
      <c r="E65153" s="0" t="s">
        <v>206</v>
      </c>
      <c r="F65153" s="0" t="s">
        <v>558</v>
      </c>
    </row>
    <row r="65154" customFormat="false" ht="12.8" hidden="false" customHeight="false" outlineLevel="0" collapsed="false">
      <c r="B65154" s="0" t="s">
        <v>21589</v>
      </c>
      <c r="C65154" s="0" t="s">
        <v>560</v>
      </c>
      <c r="E65154" s="0" t="s">
        <v>561</v>
      </c>
      <c r="F65154" s="0" t="s">
        <v>562</v>
      </c>
    </row>
    <row r="65155" customFormat="false" ht="12.8" hidden="false" customHeight="false" outlineLevel="0" collapsed="false">
      <c r="B65155" s="0" t="s">
        <v>52</v>
      </c>
      <c r="C65155" s="0" t="s">
        <v>563</v>
      </c>
      <c r="E65155" s="0" t="s">
        <v>564</v>
      </c>
      <c r="F65155" s="0" t="s">
        <v>565</v>
      </c>
    </row>
    <row r="65157" customFormat="false" ht="12.8" hidden="false" customHeight="false" outlineLevel="0" collapsed="false">
      <c r="A65157" s="0" t="s">
        <v>21592</v>
      </c>
      <c r="B65157" s="0" t="str">
        <f aca="false">HYPERLINK("https://lindat.mff.cuni.cz/services/teitok/pdtc10/index.php?action=vallex&amp;frame=v-w8951f3", "zamezovat (v-w8951f3)")</f>
        <v>zamezovat (v-w8951f3)</v>
      </c>
      <c r="E65157" s="0" t="str">
        <f aca="false">HYPERLINK("https://lindat.mff.cuni.cz/services/SynSemClass40/SynSemClass40.html?veclass=vec00174#vec00174-ces-cm00021", "vec00174")</f>
        <v>vec00174</v>
      </c>
      <c r="F65157" s="0" t="s">
        <v>325</v>
      </c>
    </row>
    <row r="65158" customFormat="false" ht="12.8" hidden="false" customHeight="false" outlineLevel="0" collapsed="false">
      <c r="B65158" s="0" t="s">
        <v>1</v>
      </c>
      <c r="C65158" s="0" t="s">
        <v>326</v>
      </c>
      <c r="E65158" s="0" t="s">
        <v>76</v>
      </c>
      <c r="F65158" s="0" t="s">
        <v>327</v>
      </c>
    </row>
    <row r="65159" customFormat="false" ht="12.8" hidden="false" customHeight="false" outlineLevel="0" collapsed="false">
      <c r="B65159" s="0" t="s">
        <v>21593</v>
      </c>
      <c r="C65159" s="0" t="s">
        <v>328</v>
      </c>
      <c r="E65159" s="0" t="s">
        <v>188</v>
      </c>
      <c r="F65159" s="0" t="s">
        <v>329</v>
      </c>
    </row>
    <row r="65161" customFormat="false" ht="12.8" hidden="false" customHeight="false" outlineLevel="0" collapsed="false">
      <c r="A65161" s="0" t="s">
        <v>21592</v>
      </c>
      <c r="B65161" s="0" t="str">
        <f aca="false">HYPERLINK("https://lindat.mff.cuni.cz/services/teitok/pdtc10/index.php?action=vallex&amp;frame=v-w8951f1", "zamezovat (v-w8951f1) - substituted with v-w8951f3")</f>
        <v>zamezovat (v-w8951f1) - substituted with v-w8951f3</v>
      </c>
    </row>
    <row r="65162" customFormat="false" ht="12.8" hidden="false" customHeight="false" outlineLevel="0" collapsed="false">
      <c r="B65162" s="0" t="s">
        <v>1</v>
      </c>
    </row>
    <row r="65163" customFormat="false" ht="12.8" hidden="false" customHeight="false" outlineLevel="0" collapsed="false">
      <c r="B65163" s="0" t="s">
        <v>21593</v>
      </c>
    </row>
    <row r="65165" customFormat="false" ht="12.8" hidden="false" customHeight="false" outlineLevel="0" collapsed="false">
      <c r="A65165" s="0" t="s">
        <v>21594</v>
      </c>
      <c r="B65165" s="0" t="str">
        <f aca="false">HYPERLINK("https://lindat.mff.cuni.cz/services/teitok/pdtc10/index.php?action=vallex&amp;frame=v-w8948f1", "zameškat (v-w8948f1)")</f>
        <v>zameškat (v-w8948f1)</v>
      </c>
      <c r="E65165" s="0" t="str">
        <f aca="false">HYPERLINK("https://lindat.mff.cuni.cz/services/SynSemClass40/SynSemClass40.html?veclass=vec01328#vec01328-ces-cm00004", "vec01328")</f>
        <v>vec01328</v>
      </c>
      <c r="F65165" s="0" t="s">
        <v>16566</v>
      </c>
      <c r="H65165" s="0" t="str">
        <f aca="false">HYPERLINK("https://lindat.mff.cuni.cz/services/SynSemClass40/SynSemClass40.html?veclass=vec01430#vec01430-ces-cm00006", "vec01430")</f>
        <v>vec01430</v>
      </c>
      <c r="I65165" s="0" t="s">
        <v>12506</v>
      </c>
    </row>
    <row r="65166" customFormat="false" ht="12.8" hidden="false" customHeight="false" outlineLevel="0" collapsed="false">
      <c r="B65166" s="0" t="s">
        <v>1</v>
      </c>
      <c r="C65166" s="0" t="s">
        <v>16580</v>
      </c>
      <c r="E65166" s="0" t="s">
        <v>11</v>
      </c>
      <c r="F65166" s="0" t="s">
        <v>16567</v>
      </c>
      <c r="H65166" s="0" t="s">
        <v>11</v>
      </c>
      <c r="I65166" s="0" t="s">
        <v>12508</v>
      </c>
    </row>
    <row r="65167" customFormat="false" ht="12.8" hidden="false" customHeight="false" outlineLevel="0" collapsed="false">
      <c r="B65167" s="0" t="s">
        <v>8</v>
      </c>
      <c r="C65167" s="0" t="s">
        <v>16581</v>
      </c>
      <c r="E65167" s="0" t="s">
        <v>6091</v>
      </c>
      <c r="F65167" s="0" t="s">
        <v>16568</v>
      </c>
      <c r="H65167" s="0" t="s">
        <v>6091</v>
      </c>
      <c r="I65167" s="0" t="s">
        <v>12510</v>
      </c>
    </row>
    <row r="65169" customFormat="false" ht="12.8" hidden="false" customHeight="false" outlineLevel="0" collapsed="false">
      <c r="A65169" s="0" t="s">
        <v>21595</v>
      </c>
      <c r="B65169" s="0" t="str">
        <f aca="false">HYPERLINK("https://lindat.mff.cuni.cz/services/teitok/pdtc10/index.php?action=vallex&amp;frame=v-w11847_ZUf1_ZU", "zamhouřit (v-w11847_ZUf1_ZU)")</f>
        <v>zamhouřit (v-w11847_ZUf1_ZU)</v>
      </c>
    </row>
    <row r="65170" customFormat="false" ht="12.8" hidden="false" customHeight="false" outlineLevel="0" collapsed="false">
      <c r="B65170" s="0" t="s">
        <v>1</v>
      </c>
    </row>
    <row r="65171" customFormat="false" ht="12.8" hidden="false" customHeight="false" outlineLevel="0" collapsed="false">
      <c r="B65171" s="0" t="s">
        <v>8</v>
      </c>
    </row>
    <row r="65173" customFormat="false" ht="12.8" hidden="false" customHeight="false" outlineLevel="0" collapsed="false">
      <c r="A65173" s="0" t="s">
        <v>21596</v>
      </c>
      <c r="B65173" s="0" t="str">
        <f aca="false">HYPERLINK("https://lindat.mff.cuni.cz/services/teitok/pdtc10/index.php?action=vallex&amp;frame=v-w8953f1", "zamilovat se (v-w8953f1)")</f>
        <v>zamilovat se (v-w8953f1)</v>
      </c>
      <c r="E65173" s="0" t="str">
        <f aca="false">HYPERLINK("https://lindat.mff.cuni.cz/services/SynSemClass40/SynSemClass40.html?veclass=vec00432#vec00432-ces-cm00012", "vec00432")</f>
        <v>vec00432</v>
      </c>
      <c r="F65173" s="0" t="s">
        <v>6251</v>
      </c>
    </row>
    <row r="65174" customFormat="false" ht="12.8" hidden="false" customHeight="false" outlineLevel="0" collapsed="false">
      <c r="B65174" s="0" t="s">
        <v>1</v>
      </c>
      <c r="C65174" s="0" t="s">
        <v>6252</v>
      </c>
      <c r="E65174" s="0" t="s">
        <v>155</v>
      </c>
      <c r="F65174" s="0" t="s">
        <v>6253</v>
      </c>
    </row>
    <row r="65175" customFormat="false" ht="12.8" hidden="false" customHeight="false" outlineLevel="0" collapsed="false">
      <c r="B65175" s="0" t="s">
        <v>4250</v>
      </c>
      <c r="C65175" s="0" t="s">
        <v>5583</v>
      </c>
      <c r="E65175" s="0" t="s">
        <v>142</v>
      </c>
      <c r="F65175" s="0" t="s">
        <v>6254</v>
      </c>
    </row>
    <row r="65177" customFormat="false" ht="12.8" hidden="false" customHeight="false" outlineLevel="0" collapsed="false">
      <c r="A65177" s="0" t="s">
        <v>21597</v>
      </c>
      <c r="B65177" s="0" t="str">
        <f aca="false">HYPERLINK("https://lindat.mff.cuni.cz/services/teitok/pdtc10/index.php?action=vallex&amp;frame=v-w8954f1", "zamilovat si (v-w8954f1)")</f>
        <v>zamilovat si (v-w8954f1)</v>
      </c>
    </row>
    <row r="65178" customFormat="false" ht="12.8" hidden="false" customHeight="false" outlineLevel="0" collapsed="false">
      <c r="B65178" s="0" t="s">
        <v>1</v>
      </c>
    </row>
    <row r="65179" customFormat="false" ht="12.8" hidden="false" customHeight="false" outlineLevel="0" collapsed="false">
      <c r="B65179" s="0" t="s">
        <v>8</v>
      </c>
    </row>
    <row r="65181" customFormat="false" ht="12.8" hidden="false" customHeight="false" outlineLevel="0" collapsed="false">
      <c r="A65181" s="0" t="s">
        <v>21598</v>
      </c>
      <c r="B65181" s="0" t="str">
        <f aca="false">HYPERLINK("https://lindat.mff.cuni.cz/services/teitok/pdtc10/index.php?action=vallex&amp;frame=v-whsa_1534hsa_1535", "zamilovávat se (v-whsa_1534hsa_1535)")</f>
        <v>zamilovávat se (v-whsa_1534hsa_1535)</v>
      </c>
    </row>
    <row r="65182" customFormat="false" ht="12.8" hidden="false" customHeight="false" outlineLevel="0" collapsed="false">
      <c r="B65182" s="0" t="s">
        <v>1</v>
      </c>
    </row>
    <row r="65183" customFormat="false" ht="12.8" hidden="false" customHeight="false" outlineLevel="0" collapsed="false">
      <c r="B65183" s="0" t="s">
        <v>4250</v>
      </c>
    </row>
    <row r="65185" customFormat="false" ht="12.8" hidden="false" customHeight="false" outlineLevel="0" collapsed="false">
      <c r="A65185" s="0" t="s">
        <v>21599</v>
      </c>
      <c r="B65185" s="0" t="str">
        <f aca="false">HYPERLINK("https://lindat.mff.cuni.cz/services/teitok/pdtc10/index.php?action=vallex&amp;frame=v-w8959f3_ZU", "zamknout (v-w8959f3_ZU)")</f>
        <v>zamknout (v-w8959f3_ZU)</v>
      </c>
    </row>
    <row r="65186" customFormat="false" ht="12.8" hidden="false" customHeight="false" outlineLevel="0" collapsed="false">
      <c r="B65186" s="0" t="s">
        <v>1</v>
      </c>
    </row>
    <row r="65187" customFormat="false" ht="12.8" hidden="false" customHeight="false" outlineLevel="0" collapsed="false">
      <c r="B65187" s="0" t="s">
        <v>8</v>
      </c>
    </row>
    <row r="65188" customFormat="false" ht="12.8" hidden="false" customHeight="false" outlineLevel="0" collapsed="false">
      <c r="B65188" s="0" t="s">
        <v>4248</v>
      </c>
    </row>
    <row r="65190" customFormat="false" ht="12.8" hidden="false" customHeight="false" outlineLevel="0" collapsed="false">
      <c r="A65190" s="0" t="s">
        <v>21599</v>
      </c>
      <c r="B65190" s="0" t="str">
        <f aca="false">HYPERLINK("https://lindat.mff.cuni.cz/services/teitok/pdtc10/index.php?action=vallex&amp;frame=v-w8959f1", "zamknout (v-w8959f1) - substituted with v-w8959f3_ZU")</f>
        <v>zamknout (v-w8959f1) - substituted with v-w8959f3_ZU</v>
      </c>
      <c r="E65190" s="0" t="str">
        <f aca="false">HYPERLINK("https://lindat.mff.cuni.cz/services/SynSemClass40/SynSemClass40.html?veclass=vec01342#vec01342-ces-cm00005", "vec01342")</f>
        <v>vec01342</v>
      </c>
      <c r="F65190" s="0" t="s">
        <v>8829</v>
      </c>
    </row>
    <row r="65191" customFormat="false" ht="12.8" hidden="false" customHeight="false" outlineLevel="0" collapsed="false">
      <c r="B65191" s="0" t="s">
        <v>1</v>
      </c>
      <c r="C65191" s="0" t="s">
        <v>18362</v>
      </c>
      <c r="E65191" s="0" t="s">
        <v>31</v>
      </c>
      <c r="F65191" s="0" t="s">
        <v>8833</v>
      </c>
    </row>
    <row r="65192" customFormat="false" ht="12.8" hidden="false" customHeight="false" outlineLevel="0" collapsed="false">
      <c r="B65192" s="0" t="s">
        <v>8</v>
      </c>
      <c r="C65192" s="0" t="s">
        <v>16683</v>
      </c>
      <c r="E65192" s="0" t="s">
        <v>34</v>
      </c>
      <c r="F65192" s="0" t="s">
        <v>8837</v>
      </c>
    </row>
    <row r="65193" customFormat="false" ht="12.8" hidden="false" customHeight="false" outlineLevel="0" collapsed="false">
      <c r="B65193" s="0" t="s">
        <v>4248</v>
      </c>
    </row>
    <row r="65195" customFormat="false" ht="12.8" hidden="false" customHeight="false" outlineLevel="0" collapsed="false">
      <c r="A65195" s="0" t="s">
        <v>21600</v>
      </c>
      <c r="B65195" s="0" t="str">
        <f aca="false">HYPERLINK("https://lindat.mff.cuni.cz/services/teitok/pdtc10/index.php?action=vallex&amp;frame=v-w8959f2_ZU", "zamknout (v-w8959f2_ZU)")</f>
        <v>zamknout (v-w8959f2_ZU)</v>
      </c>
    </row>
    <row r="65196" customFormat="false" ht="12.8" hidden="false" customHeight="false" outlineLevel="0" collapsed="false">
      <c r="B65196" s="0" t="s">
        <v>1</v>
      </c>
    </row>
    <row r="65197" customFormat="false" ht="12.8" hidden="false" customHeight="false" outlineLevel="0" collapsed="false">
      <c r="B65197" s="0" t="s">
        <v>8</v>
      </c>
    </row>
    <row r="65199" customFormat="false" ht="12.8" hidden="false" customHeight="false" outlineLevel="0" collapsed="false">
      <c r="A65199" s="0" t="s">
        <v>21600</v>
      </c>
      <c r="B65199" s="0" t="str">
        <f aca="false">HYPERLINK("https://lindat.mff.cuni.cz/services/teitok/pdtc10/index.php?action=vallex&amp;frame=v-w8959hsa_1336", "zamknout (v-w8959hsa_1336) - substituted with v-w8959f2_ZU")</f>
        <v>zamknout (v-w8959hsa_1336) - substituted with v-w8959f2_ZU</v>
      </c>
    </row>
    <row r="65200" customFormat="false" ht="12.8" hidden="false" customHeight="false" outlineLevel="0" collapsed="false">
      <c r="B65200" s="0" t="s">
        <v>1</v>
      </c>
    </row>
    <row r="65201" customFormat="false" ht="12.8" hidden="false" customHeight="false" outlineLevel="0" collapsed="false">
      <c r="B65201" s="0" t="s">
        <v>8</v>
      </c>
    </row>
    <row r="65203" customFormat="false" ht="12.8" hidden="false" customHeight="false" outlineLevel="0" collapsed="false">
      <c r="A65203" s="0" t="s">
        <v>21601</v>
      </c>
      <c r="B65203" s="0" t="str">
        <f aca="false">HYPERLINK("https://lindat.mff.cuni.cz/services/teitok/pdtc10/index.php?action=vallex&amp;frame=v-w8962f1", "zamlouvat se (v-w8962f1)")</f>
        <v>zamlouvat se (v-w8962f1)</v>
      </c>
      <c r="E65203" s="0" t="str">
        <f aca="false">HYPERLINK("https://lindat.mff.cuni.cz/services/SynSemClass40/SynSemClass40.html?veclass=vec00231#vec00231-ces-cm00037", "vec00231")</f>
        <v>vec00231</v>
      </c>
      <c r="F65203" s="0" t="s">
        <v>262</v>
      </c>
    </row>
    <row r="65204" customFormat="false" ht="12.8" hidden="false" customHeight="false" outlineLevel="0" collapsed="false">
      <c r="B65204" s="0" t="s">
        <v>804</v>
      </c>
      <c r="C65204" s="0" t="s">
        <v>5917</v>
      </c>
      <c r="E65204" s="0" t="s">
        <v>266</v>
      </c>
      <c r="F65204" s="0" t="s">
        <v>267</v>
      </c>
    </row>
    <row r="65205" customFormat="false" ht="12.8" hidden="false" customHeight="false" outlineLevel="0" collapsed="false">
      <c r="B65205" s="0" t="s">
        <v>5918</v>
      </c>
      <c r="C65205" s="0" t="s">
        <v>5919</v>
      </c>
      <c r="E65205" s="0" t="s">
        <v>271</v>
      </c>
      <c r="F65205" s="0" t="s">
        <v>272</v>
      </c>
    </row>
    <row r="65207" customFormat="false" ht="12.8" hidden="false" customHeight="false" outlineLevel="0" collapsed="false">
      <c r="A65207" s="0" t="s">
        <v>21602</v>
      </c>
      <c r="B65207" s="0" t="str">
        <f aca="false">HYPERLINK("https://lindat.mff.cuni.cz/services/teitok/pdtc10/index.php?action=vallex&amp;frame=v-w8963f1", "zamluvit (v-w8963f1)")</f>
        <v>zamluvit (v-w8963f1)</v>
      </c>
    </row>
    <row r="65208" customFormat="false" ht="12.8" hidden="false" customHeight="false" outlineLevel="0" collapsed="false">
      <c r="B65208" s="0" t="s">
        <v>1</v>
      </c>
    </row>
    <row r="65209" customFormat="false" ht="12.8" hidden="false" customHeight="false" outlineLevel="0" collapsed="false">
      <c r="B65209" s="0" t="s">
        <v>4245</v>
      </c>
    </row>
    <row r="65210" customFormat="false" ht="12.8" hidden="false" customHeight="false" outlineLevel="0" collapsed="false">
      <c r="B65210" s="0" t="s">
        <v>381</v>
      </c>
    </row>
    <row r="65212" customFormat="false" ht="12.8" hidden="false" customHeight="false" outlineLevel="0" collapsed="false">
      <c r="A65212" s="0" t="s">
        <v>21603</v>
      </c>
      <c r="B65212" s="0" t="str">
        <f aca="false">HYPERLINK("https://lindat.mff.cuni.cz/services/teitok/pdtc10/index.php?action=vallex&amp;frame=v-w8963f2", "zamluvit (v-w8963f2)")</f>
        <v>zamluvit (v-w8963f2)</v>
      </c>
      <c r="E65212" s="0" t="str">
        <f aca="false">HYPERLINK("https://lindat.mff.cuni.cz/services/SynSemClass40/SynSemClass40.html?veclass=vec00178#vec00178-ces-cm00129", "vec00178")</f>
        <v>vec00178</v>
      </c>
      <c r="F65212" s="0" t="s">
        <v>8586</v>
      </c>
    </row>
    <row r="65213" customFormat="false" ht="12.8" hidden="false" customHeight="false" outlineLevel="0" collapsed="false">
      <c r="B65213" s="0" t="s">
        <v>1</v>
      </c>
      <c r="C65213" s="0" t="s">
        <v>5649</v>
      </c>
      <c r="E65213" s="0" t="s">
        <v>31</v>
      </c>
      <c r="F65213" s="0" t="s">
        <v>8587</v>
      </c>
    </row>
    <row r="65214" customFormat="false" ht="12.8" hidden="false" customHeight="false" outlineLevel="0" collapsed="false">
      <c r="B65214" s="0" t="s">
        <v>8</v>
      </c>
      <c r="C65214" s="0" t="s">
        <v>8588</v>
      </c>
      <c r="E65214" s="0" t="s">
        <v>34</v>
      </c>
      <c r="F65214" s="0" t="s">
        <v>8589</v>
      </c>
    </row>
    <row r="65216" customFormat="false" ht="12.8" hidden="false" customHeight="false" outlineLevel="0" collapsed="false">
      <c r="A65216" s="0" t="s">
        <v>21604</v>
      </c>
      <c r="B65216" s="0" t="str">
        <f aca="false">HYPERLINK("https://lindat.mff.cuni.cz/services/teitok/pdtc10/index.php?action=vallex&amp;frame=v-w8960f1", "zamlčet (v-w8960f1)")</f>
        <v>zamlčet (v-w8960f1)</v>
      </c>
      <c r="E65216" s="0" t="str">
        <f aca="false">HYPERLINK("https://lindat.mff.cuni.cz/services/SynSemClass40/SynSemClass40.html?veclass=vec00514#vec00514-ces-cm00005", "vec00514")</f>
        <v>vec00514</v>
      </c>
      <c r="F65216" s="0" t="s">
        <v>5808</v>
      </c>
    </row>
    <row r="65217" customFormat="false" ht="12.8" hidden="false" customHeight="false" outlineLevel="0" collapsed="false">
      <c r="B65217" s="0" t="s">
        <v>1</v>
      </c>
      <c r="C65217" s="0" t="s">
        <v>5809</v>
      </c>
      <c r="E65217" s="0" t="s">
        <v>4243</v>
      </c>
      <c r="F65217" s="0" t="s">
        <v>5810</v>
      </c>
    </row>
    <row r="65218" customFormat="false" ht="12.8" hidden="false" customHeight="false" outlineLevel="0" collapsed="false">
      <c r="B65218" s="0" t="s">
        <v>4245</v>
      </c>
      <c r="C65218" s="0" t="s">
        <v>5811</v>
      </c>
      <c r="E65218" s="0" t="s">
        <v>4246</v>
      </c>
      <c r="F65218" s="0" t="s">
        <v>5812</v>
      </c>
    </row>
    <row r="65219" customFormat="false" ht="12.8" hidden="false" customHeight="false" outlineLevel="0" collapsed="false">
      <c r="B65219" s="0" t="s">
        <v>381</v>
      </c>
      <c r="C65219" s="0" t="s">
        <v>5813</v>
      </c>
      <c r="E65219" s="0" t="s">
        <v>5814</v>
      </c>
      <c r="F65219" s="0" t="s">
        <v>5815</v>
      </c>
    </row>
    <row r="65221" customFormat="false" ht="12.8" hidden="false" customHeight="false" outlineLevel="0" collapsed="false">
      <c r="A65221" s="0" t="s">
        <v>21605</v>
      </c>
      <c r="B65221" s="0" t="str">
        <f aca="false">HYPERLINK("https://lindat.mff.cuni.cz/services/teitok/pdtc10/index.php?action=vallex&amp;frame=v-w8961f1", "zamlčovat (v-w8961f1)")</f>
        <v>zamlčovat (v-w8961f1)</v>
      </c>
      <c r="E65221" s="0" t="str">
        <f aca="false">HYPERLINK("https://lindat.mff.cuni.cz/services/SynSemClass40/SynSemClass40.html?veclass=vec00514#vec00514-ces-cm00099", "vec00514")</f>
        <v>vec00514</v>
      </c>
      <c r="F65221" s="0" t="s">
        <v>5808</v>
      </c>
    </row>
    <row r="65222" customFormat="false" ht="12.8" hidden="false" customHeight="false" outlineLevel="0" collapsed="false">
      <c r="B65222" s="0" t="s">
        <v>1</v>
      </c>
      <c r="C65222" s="0" t="s">
        <v>5809</v>
      </c>
      <c r="E65222" s="0" t="s">
        <v>4243</v>
      </c>
      <c r="F65222" s="0" t="s">
        <v>5810</v>
      </c>
    </row>
    <row r="65223" customFormat="false" ht="12.8" hidden="false" customHeight="false" outlineLevel="0" collapsed="false">
      <c r="B65223" s="0" t="s">
        <v>4245</v>
      </c>
      <c r="C65223" s="0" t="s">
        <v>5811</v>
      </c>
      <c r="E65223" s="0" t="s">
        <v>4246</v>
      </c>
      <c r="F65223" s="0" t="s">
        <v>5812</v>
      </c>
    </row>
    <row r="65224" customFormat="false" ht="12.8" hidden="false" customHeight="false" outlineLevel="0" collapsed="false">
      <c r="B65224" s="0" t="s">
        <v>381</v>
      </c>
      <c r="C65224" s="0" t="s">
        <v>5813</v>
      </c>
      <c r="E65224" s="0" t="s">
        <v>5814</v>
      </c>
      <c r="F65224" s="0" t="s">
        <v>5815</v>
      </c>
    </row>
    <row r="65226" customFormat="false" ht="12.8" hidden="false" customHeight="false" outlineLevel="0" collapsed="false">
      <c r="A65226" s="0" t="s">
        <v>21606</v>
      </c>
      <c r="B65226" s="0" t="str">
        <f aca="false">HYPERLINK("https://lindat.mff.cuni.cz/services/teitok/pdtc10/index.php?action=vallex&amp;frame=v-w10368f2", "zamlžit (v-w10368f2)")</f>
        <v>zamlžit (v-w10368f2)</v>
      </c>
      <c r="E65226" s="0" t="str">
        <f aca="false">HYPERLINK("https://lindat.mff.cuni.cz/services/SynSemClass40/SynSemClass40.html?veclass=vec00770#vec00770-ces-cm00001", "vec00770")</f>
        <v>vec00770</v>
      </c>
      <c r="F65226" s="0" t="s">
        <v>21607</v>
      </c>
    </row>
    <row r="65227" customFormat="false" ht="12.8" hidden="false" customHeight="false" outlineLevel="0" collapsed="false">
      <c r="B65227" s="0" t="s">
        <v>1</v>
      </c>
      <c r="C65227" s="0" t="s">
        <v>825</v>
      </c>
      <c r="E65227" s="0" t="s">
        <v>63</v>
      </c>
      <c r="F65227" s="0" t="s">
        <v>21608</v>
      </c>
    </row>
    <row r="65228" customFormat="false" ht="12.8" hidden="false" customHeight="false" outlineLevel="0" collapsed="false">
      <c r="B65228" s="0" t="s">
        <v>4245</v>
      </c>
      <c r="C65228" s="0" t="s">
        <v>2627</v>
      </c>
      <c r="E65228" s="0" t="s">
        <v>4246</v>
      </c>
      <c r="F65228" s="0" t="s">
        <v>21609</v>
      </c>
    </row>
    <row r="65229" customFormat="false" ht="12.8" hidden="false" customHeight="false" outlineLevel="0" collapsed="false">
      <c r="B65229" s="0" t="s">
        <v>381</v>
      </c>
      <c r="E65229" s="0" t="s">
        <v>221</v>
      </c>
      <c r="F65229" s="0" t="s">
        <v>4699</v>
      </c>
    </row>
    <row r="65231" customFormat="false" ht="12.8" hidden="false" customHeight="false" outlineLevel="0" collapsed="false">
      <c r="A65231" s="0" t="s">
        <v>21610</v>
      </c>
      <c r="B65231" s="0" t="str">
        <f aca="false">HYPERLINK("https://lindat.mff.cuni.cz/services/teitok/pdtc10/index.php?action=vallex&amp;frame=v-w8965f1", "zamlžovat (v-w8965f1)")</f>
        <v>zamlžovat (v-w8965f1)</v>
      </c>
      <c r="E65231" s="0" t="str">
        <f aca="false">HYPERLINK("https://lindat.mff.cuni.cz/services/SynSemClass40/SynSemClass40.html?veclass=vec00770#vec00770-ces-cm00005", "vec00770")</f>
        <v>vec00770</v>
      </c>
      <c r="F65231" s="0" t="s">
        <v>21607</v>
      </c>
    </row>
    <row r="65232" customFormat="false" ht="12.8" hidden="false" customHeight="false" outlineLevel="0" collapsed="false">
      <c r="B65232" s="0" t="s">
        <v>1</v>
      </c>
      <c r="C65232" s="0" t="s">
        <v>825</v>
      </c>
      <c r="E65232" s="0" t="s">
        <v>63</v>
      </c>
      <c r="F65232" s="0" t="s">
        <v>21608</v>
      </c>
    </row>
    <row r="65233" customFormat="false" ht="12.8" hidden="false" customHeight="false" outlineLevel="0" collapsed="false">
      <c r="B65233" s="0" t="s">
        <v>4245</v>
      </c>
      <c r="C65233" s="0" t="s">
        <v>2627</v>
      </c>
      <c r="E65233" s="0" t="s">
        <v>4246</v>
      </c>
      <c r="F65233" s="0" t="s">
        <v>21609</v>
      </c>
    </row>
    <row r="65234" customFormat="false" ht="12.8" hidden="false" customHeight="false" outlineLevel="0" collapsed="false">
      <c r="B65234" s="0" t="s">
        <v>381</v>
      </c>
      <c r="E65234" s="0" t="s">
        <v>221</v>
      </c>
      <c r="F65234" s="0" t="s">
        <v>4699</v>
      </c>
    </row>
    <row r="65236" customFormat="false" ht="12.8" hidden="false" customHeight="false" outlineLevel="0" collapsed="false">
      <c r="A65236" s="0" t="s">
        <v>21611</v>
      </c>
      <c r="B65236" s="0" t="str">
        <f aca="false">HYPERLINK("https://lindat.mff.cuni.cz/services/teitok/pdtc10/index.php?action=vallex&amp;frame=v-w8966f1", "zamnout si (v-w8966f1)")</f>
        <v>zamnout si (v-w8966f1)</v>
      </c>
    </row>
    <row r="65237" customFormat="false" ht="12.8" hidden="false" customHeight="false" outlineLevel="0" collapsed="false">
      <c r="B65237" s="0" t="s">
        <v>1</v>
      </c>
    </row>
    <row r="65238" customFormat="false" ht="12.8" hidden="false" customHeight="false" outlineLevel="0" collapsed="false">
      <c r="B65238" s="0" t="s">
        <v>17815</v>
      </c>
    </row>
    <row r="65240" customFormat="false" ht="12.8" hidden="false" customHeight="false" outlineLevel="0" collapsed="false">
      <c r="A65240" s="0" t="s">
        <v>21612</v>
      </c>
      <c r="B65240" s="0" t="str">
        <f aca="false">HYPERLINK("https://lindat.mff.cuni.cz/services/teitok/pdtc10/index.php?action=vallex&amp;frame=v-w11058f2", "zamotat (v-w11058f2)")</f>
        <v>zamotat (v-w11058f2)</v>
      </c>
    </row>
    <row r="65241" customFormat="false" ht="12.8" hidden="false" customHeight="false" outlineLevel="0" collapsed="false">
      <c r="B65241" s="0" t="s">
        <v>1</v>
      </c>
    </row>
    <row r="65242" customFormat="false" ht="12.8" hidden="false" customHeight="false" outlineLevel="0" collapsed="false">
      <c r="B65242" s="0" t="s">
        <v>8</v>
      </c>
    </row>
    <row r="65244" customFormat="false" ht="12.8" hidden="false" customHeight="false" outlineLevel="0" collapsed="false">
      <c r="A65244" s="0" t="s">
        <v>21613</v>
      </c>
      <c r="B65244" s="0" t="str">
        <f aca="false">HYPERLINK("https://lindat.mff.cuni.cz/services/teitok/pdtc10/index.php?action=vallex&amp;frame=v-w11058hsa_1908", "zamotat (v-w11058hsa_1908)")</f>
        <v>zamotat (v-w11058hsa_1908)</v>
      </c>
    </row>
    <row r="65245" customFormat="false" ht="12.8" hidden="false" customHeight="false" outlineLevel="0" collapsed="false">
      <c r="B65245" s="0" t="s">
        <v>1</v>
      </c>
    </row>
    <row r="65246" customFormat="false" ht="12.8" hidden="false" customHeight="false" outlineLevel="0" collapsed="false">
      <c r="B65246" s="0" t="s">
        <v>8</v>
      </c>
    </row>
    <row r="65248" customFormat="false" ht="12.8" hidden="false" customHeight="false" outlineLevel="0" collapsed="false">
      <c r="A65248" s="0" t="s">
        <v>21614</v>
      </c>
      <c r="B65248" s="0" t="str">
        <f aca="false">HYPERLINK("https://lindat.mff.cuni.cz/services/teitok/pdtc10/index.php?action=vallex&amp;frame=v-w11452f1", "zamotat se (v-w11452f1)")</f>
        <v>zamotat se (v-w11452f1)</v>
      </c>
    </row>
    <row r="65249" customFormat="false" ht="12.8" hidden="false" customHeight="false" outlineLevel="0" collapsed="false">
      <c r="B65249" s="0" t="s">
        <v>1</v>
      </c>
    </row>
    <row r="65250" customFormat="false" ht="12.8" hidden="false" customHeight="false" outlineLevel="0" collapsed="false">
      <c r="B65250" s="0" t="s">
        <v>1187</v>
      </c>
    </row>
    <row r="65252" customFormat="false" ht="12.8" hidden="false" customHeight="false" outlineLevel="0" collapsed="false">
      <c r="A65252" s="0" t="s">
        <v>21615</v>
      </c>
      <c r="B65252" s="0" t="str">
        <f aca="false">HYPERLINK("https://lindat.mff.cuni.cz/services/teitok/pdtc10/index.php?action=vallex&amp;frame=v-w11452f2", "zamotat se (v-w11452f2)")</f>
        <v>zamotat se (v-w11452f2)</v>
      </c>
    </row>
    <row r="65253" customFormat="false" ht="12.8" hidden="false" customHeight="false" outlineLevel="0" collapsed="false">
      <c r="B65253" s="0" t="s">
        <v>1</v>
      </c>
    </row>
    <row r="65254" customFormat="false" ht="12.8" hidden="false" customHeight="false" outlineLevel="0" collapsed="false">
      <c r="B65254" s="0" t="s">
        <v>164</v>
      </c>
    </row>
    <row r="65256" customFormat="false" ht="12.8" hidden="false" customHeight="false" outlineLevel="0" collapsed="false">
      <c r="A65256" s="0" t="s">
        <v>21616</v>
      </c>
      <c r="B65256" s="0" t="str">
        <f aca="false">HYPERLINK("https://lindat.mff.cuni.cz/services/teitok/pdtc10/index.php?action=vallex&amp;frame=v-w11452f3_ZU", "zamotat se (v-w11452f3_ZU)")</f>
        <v>zamotat se (v-w11452f3_ZU)</v>
      </c>
    </row>
    <row r="65257" customFormat="false" ht="12.8" hidden="false" customHeight="false" outlineLevel="0" collapsed="false">
      <c r="B65257" s="0" t="s">
        <v>1</v>
      </c>
    </row>
    <row r="65259" customFormat="false" ht="12.8" hidden="false" customHeight="false" outlineLevel="0" collapsed="false">
      <c r="A65259" s="0" t="s">
        <v>21617</v>
      </c>
      <c r="B65259" s="0" t="str">
        <f aca="false">HYPERLINK("https://lindat.mff.cuni.cz/services/teitok/pdtc10/index.php?action=vallex&amp;frame=v-w11452hsa_314", "zamotat se (v-w11452hsa_314)")</f>
        <v>zamotat se (v-w11452hsa_314)</v>
      </c>
    </row>
    <row r="65260" customFormat="false" ht="12.8" hidden="false" customHeight="false" outlineLevel="0" collapsed="false">
      <c r="B65260" s="0" t="s">
        <v>1</v>
      </c>
    </row>
    <row r="65262" customFormat="false" ht="12.8" hidden="false" customHeight="false" outlineLevel="0" collapsed="false">
      <c r="A65262" s="0" t="s">
        <v>21618</v>
      </c>
      <c r="B65262" s="0" t="str">
        <f aca="false">HYPERLINK("https://lindat.mff.cuni.cz/services/teitok/pdtc10/index.php?action=vallex&amp;frame=v-w11023f2", "zamotávat (v-w11023f2)")</f>
        <v>zamotávat (v-w11023f2)</v>
      </c>
    </row>
    <row r="65263" customFormat="false" ht="12.8" hidden="false" customHeight="false" outlineLevel="0" collapsed="false">
      <c r="B65263" s="0" t="s">
        <v>1</v>
      </c>
    </row>
    <row r="65264" customFormat="false" ht="12.8" hidden="false" customHeight="false" outlineLevel="0" collapsed="false">
      <c r="B65264" s="0" t="s">
        <v>8</v>
      </c>
    </row>
    <row r="65266" customFormat="false" ht="12.8" hidden="false" customHeight="false" outlineLevel="0" collapsed="false">
      <c r="A65266" s="0" t="s">
        <v>21619</v>
      </c>
      <c r="B65266" s="0" t="str">
        <f aca="false">HYPERLINK("https://lindat.mff.cuni.cz/services/teitok/pdtc10/index.php?action=vallex&amp;frame=v-w8969f1", "zamořit (v-w8969f1)")</f>
        <v>zamořit (v-w8969f1)</v>
      </c>
      <c r="E65266" s="0" t="str">
        <f aca="false">HYPERLINK("https://lindat.mff.cuni.cz/services/SynSemClass40/SynSemClass40.html?veclass=vec00372#vec00372-ces-cm00097", "vec00372")</f>
        <v>vec00372</v>
      </c>
      <c r="F65266" s="0" t="s">
        <v>2524</v>
      </c>
    </row>
    <row r="65267" customFormat="false" ht="12.8" hidden="false" customHeight="false" outlineLevel="0" collapsed="false">
      <c r="B65267" s="0" t="s">
        <v>1</v>
      </c>
      <c r="C65267" s="0" t="s">
        <v>2525</v>
      </c>
      <c r="E65267" s="0" t="s">
        <v>2526</v>
      </c>
      <c r="F65267" s="0" t="s">
        <v>2527</v>
      </c>
    </row>
    <row r="65268" customFormat="false" ht="12.8" hidden="false" customHeight="false" outlineLevel="0" collapsed="false">
      <c r="B65268" s="0" t="s">
        <v>8</v>
      </c>
      <c r="C65268" s="0" t="s">
        <v>2528</v>
      </c>
      <c r="E65268" s="0" t="s">
        <v>142</v>
      </c>
      <c r="F65268" s="0" t="s">
        <v>2529</v>
      </c>
    </row>
    <row r="65270" customFormat="false" ht="12.8" hidden="false" customHeight="false" outlineLevel="0" collapsed="false">
      <c r="A65270" s="0" t="s">
        <v>21620</v>
      </c>
      <c r="B65270" s="0" t="str">
        <f aca="false">HYPERLINK("https://lindat.mff.cuni.cz/services/teitok/pdtc10/index.php?action=vallex&amp;frame=v-w11926_ZUf1_ZU", "zamražovat (v-w11926_ZUf1_ZU)")</f>
        <v>zamražovat (v-w11926_ZUf1_ZU)</v>
      </c>
    </row>
    <row r="65271" customFormat="false" ht="12.8" hidden="false" customHeight="false" outlineLevel="0" collapsed="false">
      <c r="B65271" s="0" t="s">
        <v>1</v>
      </c>
    </row>
    <row r="65272" customFormat="false" ht="12.8" hidden="false" customHeight="false" outlineLevel="0" collapsed="false">
      <c r="B65272" s="0" t="s">
        <v>8</v>
      </c>
    </row>
    <row r="65274" customFormat="false" ht="12.8" hidden="false" customHeight="false" outlineLevel="0" collapsed="false">
      <c r="A65274" s="0" t="s">
        <v>21621</v>
      </c>
      <c r="B65274" s="0" t="str">
        <f aca="false">HYPERLINK("https://lindat.mff.cuni.cz/services/teitok/pdtc10/index.php?action=vallex&amp;frame=v-w8971f2", "zamručet (v-w8971f2)")</f>
        <v>zamručet (v-w8971f2)</v>
      </c>
      <c r="E65274" s="0" t="str">
        <f aca="false">HYPERLINK("https://lindat.mff.cuni.cz/services/SynSemClass40/SynSemClass40.html?veclass=vec00633#vec00633-ces-cm00010", "vec00633")</f>
        <v>vec00633</v>
      </c>
      <c r="F65274" s="0" t="s">
        <v>528</v>
      </c>
    </row>
    <row r="65275" customFormat="false" ht="12.8" hidden="false" customHeight="false" outlineLevel="0" collapsed="false">
      <c r="B65275" s="0" t="s">
        <v>1</v>
      </c>
      <c r="C65275" s="0" t="s">
        <v>512</v>
      </c>
      <c r="E65275" s="0" t="s">
        <v>147</v>
      </c>
      <c r="F65275" s="0" t="s">
        <v>529</v>
      </c>
    </row>
    <row r="65276" customFormat="false" ht="12.8" hidden="false" customHeight="false" outlineLevel="0" collapsed="false">
      <c r="B65276" s="0" t="s">
        <v>21622</v>
      </c>
      <c r="C65276" s="0" t="s">
        <v>798</v>
      </c>
      <c r="E65276" s="0" t="s">
        <v>532</v>
      </c>
      <c r="F65276" s="0" t="s">
        <v>533</v>
      </c>
    </row>
    <row r="65278" customFormat="false" ht="12.8" hidden="false" customHeight="false" outlineLevel="0" collapsed="false">
      <c r="A65278" s="0" t="s">
        <v>21623</v>
      </c>
      <c r="B65278" s="0" t="str">
        <f aca="false">HYPERLINK("https://lindat.mff.cuni.cz/services/teitok/pdtc10/index.php?action=vallex&amp;frame=v-w8971f1", "zamručet (v-w8971f1)")</f>
        <v>zamručet (v-w8971f1)</v>
      </c>
      <c r="E65278" s="0" t="str">
        <f aca="false">HYPERLINK("https://lindat.mff.cuni.cz/services/SynSemClass40/SynSemClass40.html?veclass=vec01540#vec01540-ces-cm00008", "vec01540")</f>
        <v>vec01540</v>
      </c>
      <c r="F65278" s="0" t="s">
        <v>539</v>
      </c>
    </row>
    <row r="65279" customFormat="false" ht="12.8" hidden="false" customHeight="false" outlineLevel="0" collapsed="false">
      <c r="B65279" s="0" t="s">
        <v>1</v>
      </c>
      <c r="E65279" s="0" t="s">
        <v>155</v>
      </c>
      <c r="F65279" s="0" t="s">
        <v>540</v>
      </c>
    </row>
    <row r="65281" customFormat="false" ht="12.8" hidden="false" customHeight="false" outlineLevel="0" collapsed="false">
      <c r="A65281" s="0" t="s">
        <v>21624</v>
      </c>
      <c r="B65281" s="0" t="str">
        <f aca="false">HYPERLINK("https://lindat.mff.cuni.cz/services/teitok/pdtc10/index.php?action=vallex&amp;frame=v-w12010_ZUf1_ZU", "zamrzet (v-w12010_ZUf1_ZU)")</f>
        <v>zamrzet (v-w12010_ZUf1_ZU)</v>
      </c>
    </row>
    <row r="65282" customFormat="false" ht="12.8" hidden="false" customHeight="false" outlineLevel="0" collapsed="false">
      <c r="B65282" s="0" t="s">
        <v>264</v>
      </c>
    </row>
    <row r="65283" customFormat="false" ht="12.8" hidden="false" customHeight="false" outlineLevel="0" collapsed="false">
      <c r="B65283" s="0" t="s">
        <v>439</v>
      </c>
    </row>
    <row r="65285" customFormat="false" ht="12.8" hidden="false" customHeight="false" outlineLevel="0" collapsed="false">
      <c r="A65285" s="0" t="s">
        <v>21625</v>
      </c>
      <c r="B65285" s="0" t="str">
        <f aca="false">HYPERLINK("https://lindat.mff.cuni.cz/services/teitok/pdtc10/index.php?action=vallex&amp;frame=v-whsa_1949hsa_1950", "zamrznout (v-whsa_1949hsa_1950)")</f>
        <v>zamrznout (v-whsa_1949hsa_1950)</v>
      </c>
    </row>
    <row r="65286" customFormat="false" ht="12.8" hidden="false" customHeight="false" outlineLevel="0" collapsed="false">
      <c r="B65286" s="0" t="s">
        <v>1</v>
      </c>
    </row>
    <row r="65288" customFormat="false" ht="12.8" hidden="false" customHeight="false" outlineLevel="0" collapsed="false">
      <c r="A65288" s="0" t="s">
        <v>21626</v>
      </c>
      <c r="B65288" s="0" t="str">
        <f aca="false">HYPERLINK("https://lindat.mff.cuni.cz/services/teitok/pdtc10/index.php?action=vallex&amp;frame=v-w8973f1", "zamykat (v-w8973f1)")</f>
        <v>zamykat (v-w8973f1)</v>
      </c>
      <c r="E65288" s="0" t="str">
        <f aca="false">HYPERLINK("https://lindat.mff.cuni.cz/services/SynSemClass40/SynSemClass40.html?veclass=vec01342#vec01342-ces-cm00006", "vec01342")</f>
        <v>vec01342</v>
      </c>
      <c r="F65288" s="0" t="s">
        <v>8829</v>
      </c>
    </row>
    <row r="65289" customFormat="false" ht="12.8" hidden="false" customHeight="false" outlineLevel="0" collapsed="false">
      <c r="B65289" s="0" t="s">
        <v>1</v>
      </c>
      <c r="C65289" s="0" t="s">
        <v>18362</v>
      </c>
      <c r="E65289" s="0" t="s">
        <v>31</v>
      </c>
      <c r="F65289" s="0" t="s">
        <v>8833</v>
      </c>
    </row>
    <row r="65290" customFormat="false" ht="12.8" hidden="false" customHeight="false" outlineLevel="0" collapsed="false">
      <c r="B65290" s="0" t="s">
        <v>8</v>
      </c>
      <c r="C65290" s="0" t="s">
        <v>16683</v>
      </c>
      <c r="E65290" s="0" t="s">
        <v>34</v>
      </c>
      <c r="F65290" s="0" t="s">
        <v>8837</v>
      </c>
    </row>
    <row r="65292" customFormat="false" ht="12.8" hidden="false" customHeight="false" outlineLevel="0" collapsed="false">
      <c r="A65292" s="0" t="s">
        <v>21627</v>
      </c>
      <c r="B65292" s="0" t="str">
        <f aca="false">HYPERLINK("https://lindat.mff.cuni.cz/services/teitok/pdtc10/index.php?action=vallex&amp;frame=v-w8974f1", "zamyslet se (v-w8974f1)")</f>
        <v>zamyslet se (v-w8974f1)</v>
      </c>
      <c r="E65292" s="0" t="str">
        <f aca="false">HYPERLINK("https://lindat.mff.cuni.cz/services/SynSemClass40/SynSemClass40.html?veclass=vec00149#vec00149-ces-cm00018", "vec00149")</f>
        <v>vec00149</v>
      </c>
      <c r="F65292" s="0" t="s">
        <v>686</v>
      </c>
    </row>
    <row r="65293" customFormat="false" ht="12.8" hidden="false" customHeight="false" outlineLevel="0" collapsed="false">
      <c r="B65293" s="0" t="s">
        <v>1</v>
      </c>
      <c r="C65293" s="0" t="s">
        <v>687</v>
      </c>
      <c r="E65293" s="0" t="s">
        <v>621</v>
      </c>
      <c r="F65293" s="0" t="s">
        <v>688</v>
      </c>
    </row>
    <row r="65294" customFormat="false" ht="12.8" hidden="false" customHeight="false" outlineLevel="0" collapsed="false">
      <c r="B65294" s="0" t="s">
        <v>21628</v>
      </c>
      <c r="C65294" s="0" t="s">
        <v>690</v>
      </c>
      <c r="E65294" s="0" t="s">
        <v>209</v>
      </c>
      <c r="F65294" s="0" t="s">
        <v>691</v>
      </c>
    </row>
    <row r="65296" customFormat="false" ht="12.8" hidden="false" customHeight="false" outlineLevel="0" collapsed="false">
      <c r="A65296" s="0" t="s">
        <v>21629</v>
      </c>
      <c r="B65296" s="0" t="str">
        <f aca="false">HYPERLINK("https://lindat.mff.cuni.cz/services/teitok/pdtc10/index.php?action=vallex&amp;frame=v-w8975f1", "zamyslit se (v-w8975f1)")</f>
        <v>zamyslit se (v-w8975f1)</v>
      </c>
    </row>
    <row r="65297" customFormat="false" ht="12.8" hidden="false" customHeight="false" outlineLevel="0" collapsed="false">
      <c r="B65297" s="0" t="s">
        <v>1</v>
      </c>
    </row>
    <row r="65298" customFormat="false" ht="12.8" hidden="false" customHeight="false" outlineLevel="0" collapsed="false">
      <c r="B65298" s="0" t="s">
        <v>21628</v>
      </c>
    </row>
    <row r="65300" customFormat="false" ht="12.8" hidden="false" customHeight="false" outlineLevel="0" collapsed="false">
      <c r="A65300" s="0" t="s">
        <v>21630</v>
      </c>
      <c r="B65300" s="0" t="str">
        <f aca="false">HYPERLINK("https://lindat.mff.cuni.cz/services/teitok/pdtc10/index.php?action=vallex&amp;frame=v-w8930hsa_186", "zamávat (v-w8930hsa_186)")</f>
        <v>zamávat (v-w8930hsa_186)</v>
      </c>
      <c r="E65300" s="0" t="str">
        <f aca="false">HYPERLINK("https://lindat.mff.cuni.cz/services/SynSemClass40/SynSemClass40.html?veclass=vec00631#vec00631-ces-cm00003", "vec00631")</f>
        <v>vec00631</v>
      </c>
      <c r="F65300" s="0" t="s">
        <v>6421</v>
      </c>
    </row>
    <row r="65301" customFormat="false" ht="12.8" hidden="false" customHeight="false" outlineLevel="0" collapsed="false">
      <c r="B65301" s="0" t="s">
        <v>1</v>
      </c>
      <c r="C65301" s="0" t="s">
        <v>3288</v>
      </c>
      <c r="E65301" s="0" t="s">
        <v>155</v>
      </c>
      <c r="F65301" s="0" t="s">
        <v>6423</v>
      </c>
    </row>
    <row r="65302" customFormat="false" ht="12.8" hidden="false" customHeight="false" outlineLevel="0" collapsed="false">
      <c r="B65302" s="0" t="s">
        <v>4287</v>
      </c>
      <c r="C65302" s="0" t="s">
        <v>2627</v>
      </c>
      <c r="E65302" s="0" t="s">
        <v>170</v>
      </c>
      <c r="F65302" s="0" t="s">
        <v>6425</v>
      </c>
    </row>
    <row r="65303" customFormat="false" ht="12.8" hidden="false" customHeight="false" outlineLevel="0" collapsed="false">
      <c r="B65303" s="0" t="s">
        <v>6434</v>
      </c>
      <c r="C65303" s="0" t="s">
        <v>6427</v>
      </c>
      <c r="E65303" s="0" t="s">
        <v>4235</v>
      </c>
      <c r="F65303" s="0" t="s">
        <v>6428</v>
      </c>
    </row>
    <row r="65305" customFormat="false" ht="12.8" hidden="false" customHeight="false" outlineLevel="0" collapsed="false">
      <c r="A65305" s="0" t="s">
        <v>21630</v>
      </c>
      <c r="B65305" s="0" t="str">
        <f aca="false">HYPERLINK("https://lindat.mff.cuni.cz/services/teitok/pdtc10/index.php?action=vallex&amp;frame=v-w8930f2", "zamávat (v-w8930f2) - substituted with v-w8930hsa_186")</f>
        <v>zamávat (v-w8930f2) - substituted with v-w8930hsa_186</v>
      </c>
    </row>
    <row r="65306" customFormat="false" ht="12.8" hidden="false" customHeight="false" outlineLevel="0" collapsed="false">
      <c r="B65306" s="0" t="s">
        <v>1</v>
      </c>
    </row>
    <row r="65307" customFormat="false" ht="12.8" hidden="false" customHeight="false" outlineLevel="0" collapsed="false">
      <c r="B65307" s="0" t="s">
        <v>4287</v>
      </c>
    </row>
    <row r="65308" customFormat="false" ht="12.8" hidden="false" customHeight="false" outlineLevel="0" collapsed="false">
      <c r="B65308" s="0" t="s">
        <v>6434</v>
      </c>
    </row>
    <row r="65310" customFormat="false" ht="12.8" hidden="false" customHeight="false" outlineLevel="0" collapsed="false">
      <c r="A65310" s="0" t="s">
        <v>21631</v>
      </c>
      <c r="B65310" s="0" t="str">
        <f aca="false">HYPERLINK("https://lindat.mff.cuni.cz/services/teitok/pdtc10/index.php?action=vallex&amp;frame=v-w8930f1", "zamávat (v-w8930f1)")</f>
        <v>zamávat (v-w8930f1)</v>
      </c>
      <c r="E65310" s="0" t="str">
        <f aca="false">HYPERLINK("https://lindat.mff.cuni.cz/services/SynSemClass40/SynSemClass40.html?veclass=vec01226#vec01226-ces-cm00005", "vec01226")</f>
        <v>vec01226</v>
      </c>
      <c r="F65310" s="0" t="s">
        <v>6422</v>
      </c>
    </row>
    <row r="65311" customFormat="false" ht="12.8" hidden="false" customHeight="false" outlineLevel="0" collapsed="false">
      <c r="B65311" s="0" t="s">
        <v>1</v>
      </c>
      <c r="C65311" s="0" t="s">
        <v>4114</v>
      </c>
      <c r="E65311" s="0" t="s">
        <v>31</v>
      </c>
      <c r="F65311" s="0" t="s">
        <v>4507</v>
      </c>
    </row>
    <row r="65312" customFormat="false" ht="12.8" hidden="false" customHeight="false" outlineLevel="0" collapsed="false">
      <c r="B65312" s="0" t="s">
        <v>286</v>
      </c>
      <c r="C65312" s="0" t="s">
        <v>1575</v>
      </c>
      <c r="E65312" s="0" t="s">
        <v>170</v>
      </c>
      <c r="F65312" s="0" t="s">
        <v>6426</v>
      </c>
    </row>
    <row r="65314" customFormat="false" ht="12.8" hidden="false" customHeight="false" outlineLevel="0" collapsed="false">
      <c r="A65314" s="0" t="s">
        <v>21632</v>
      </c>
      <c r="B65314" s="0" t="str">
        <f aca="false">HYPERLINK("https://lindat.mff.cuni.cz/services/teitok/pdtc10/index.php?action=vallex&amp;frame=v-w8928f2", "zamáčknout (v-w8928f2)")</f>
        <v>zamáčknout (v-w8928f2)</v>
      </c>
    </row>
    <row r="65315" customFormat="false" ht="12.8" hidden="false" customHeight="false" outlineLevel="0" collapsed="false">
      <c r="B65315" s="0" t="s">
        <v>1</v>
      </c>
    </row>
    <row r="65316" customFormat="false" ht="12.8" hidden="false" customHeight="false" outlineLevel="0" collapsed="false">
      <c r="B65316" s="0" t="s">
        <v>8</v>
      </c>
    </row>
    <row r="65317" customFormat="false" ht="12.8" hidden="false" customHeight="false" outlineLevel="0" collapsed="false">
      <c r="B65317" s="0" t="s">
        <v>164</v>
      </c>
    </row>
    <row r="65319" customFormat="false" ht="12.8" hidden="false" customHeight="false" outlineLevel="0" collapsed="false">
      <c r="A65319" s="0" t="s">
        <v>21633</v>
      </c>
      <c r="B65319" s="0" t="str">
        <f aca="false">HYPERLINK("https://lindat.mff.cuni.cz/services/teitok/pdtc10/index.php?action=vallex&amp;frame=v-w8928f1", "zamáčknout (v-w8928f1)")</f>
        <v>zamáčknout (v-w8928f1)</v>
      </c>
    </row>
    <row r="65320" customFormat="false" ht="12.8" hidden="false" customHeight="false" outlineLevel="0" collapsed="false">
      <c r="B65320" s="0" t="s">
        <v>1</v>
      </c>
    </row>
    <row r="65321" customFormat="false" ht="12.8" hidden="false" customHeight="false" outlineLevel="0" collapsed="false">
      <c r="B65321" s="0" t="s">
        <v>8</v>
      </c>
    </row>
    <row r="65323" customFormat="false" ht="12.8" hidden="false" customHeight="false" outlineLevel="0" collapsed="false">
      <c r="A65323" s="0" t="s">
        <v>21634</v>
      </c>
      <c r="B65323" s="0" t="str">
        <f aca="false">HYPERLINK("https://lindat.mff.cuni.cz/services/teitok/pdtc10/index.php?action=vallex&amp;frame=v-w8942f3", "zamést (v-w8942f3)")</f>
        <v>zamést (v-w8942f3)</v>
      </c>
    </row>
    <row r="65324" customFormat="false" ht="12.8" hidden="false" customHeight="false" outlineLevel="0" collapsed="false">
      <c r="B65324" s="0" t="s">
        <v>1</v>
      </c>
    </row>
    <row r="65325" customFormat="false" ht="12.8" hidden="false" customHeight="false" outlineLevel="0" collapsed="false">
      <c r="B65325" s="0" t="s">
        <v>8</v>
      </c>
    </row>
    <row r="65327" customFormat="false" ht="12.8" hidden="false" customHeight="false" outlineLevel="0" collapsed="false">
      <c r="A65327" s="0" t="s">
        <v>21635</v>
      </c>
      <c r="B65327" s="0" t="str">
        <f aca="false">HYPERLINK("https://lindat.mff.cuni.cz/services/teitok/pdtc10/index.php?action=vallex&amp;frame=v-w8942f2", "zamést (v-w8942f2)")</f>
        <v>zamést (v-w8942f2)</v>
      </c>
    </row>
    <row r="65328" customFormat="false" ht="12.8" hidden="false" customHeight="false" outlineLevel="0" collapsed="false">
      <c r="B65328" s="0" t="s">
        <v>1</v>
      </c>
    </row>
    <row r="65329" customFormat="false" ht="12.8" hidden="false" customHeight="false" outlineLevel="0" collapsed="false">
      <c r="B65329" s="0" t="s">
        <v>721</v>
      </c>
    </row>
    <row r="65331" customFormat="false" ht="12.8" hidden="false" customHeight="false" outlineLevel="0" collapsed="false">
      <c r="A65331" s="0" t="s">
        <v>21636</v>
      </c>
      <c r="B65331" s="0" t="str">
        <f aca="false">HYPERLINK("https://lindat.mff.cuni.cz/services/teitok/pdtc10/index.php?action=vallex&amp;frame=v-w8942f4_ZU", "zamést (v-w8942f4_ZU)")</f>
        <v>zamést (v-w8942f4_ZU)</v>
      </c>
      <c r="E65331" s="0" t="str">
        <f aca="false">HYPERLINK("https://lindat.mff.cuni.cz/services/SynSemClass40/SynSemClass40.html?veclass=vec00380#vec00380-ces-cm00079", "vec00380")</f>
        <v>vec00380</v>
      </c>
      <c r="F65331" s="0" t="s">
        <v>4414</v>
      </c>
    </row>
    <row r="65332" customFormat="false" ht="12.8" hidden="false" customHeight="false" outlineLevel="0" collapsed="false">
      <c r="B65332" s="0" t="s">
        <v>1</v>
      </c>
      <c r="C65332" s="0" t="s">
        <v>4415</v>
      </c>
      <c r="E65332" s="0" t="s">
        <v>4416</v>
      </c>
      <c r="F65332" s="0" t="s">
        <v>4417</v>
      </c>
    </row>
    <row r="65333" customFormat="false" ht="12.8" hidden="false" customHeight="false" outlineLevel="0" collapsed="false">
      <c r="B65333" s="0" t="s">
        <v>17666</v>
      </c>
    </row>
    <row r="65334" customFormat="false" ht="12.8" hidden="false" customHeight="false" outlineLevel="0" collapsed="false">
      <c r="B65334" s="0" t="s">
        <v>8</v>
      </c>
      <c r="C65334" s="0" t="s">
        <v>4418</v>
      </c>
      <c r="E65334" s="0" t="s">
        <v>532</v>
      </c>
      <c r="F65334" s="0" t="s">
        <v>4419</v>
      </c>
    </row>
    <row r="65336" customFormat="false" ht="12.8" hidden="false" customHeight="false" outlineLevel="0" collapsed="false">
      <c r="A65336" s="0" t="s">
        <v>21637</v>
      </c>
      <c r="B65336" s="0" t="str">
        <f aca="false">HYPERLINK("https://lindat.mff.cuni.cz/services/teitok/pdtc10/index.php?action=vallex&amp;frame=v-w8942f1", "zamést (v-w8942f1)")</f>
        <v>zamést (v-w8942f1)</v>
      </c>
    </row>
    <row r="65337" customFormat="false" ht="12.8" hidden="false" customHeight="false" outlineLevel="0" collapsed="false">
      <c r="B65337" s="0" t="s">
        <v>1</v>
      </c>
    </row>
    <row r="65338" customFormat="false" ht="12.8" hidden="false" customHeight="false" outlineLevel="0" collapsed="false">
      <c r="B65338" s="0" t="s">
        <v>21638</v>
      </c>
    </row>
    <row r="65340" customFormat="false" ht="12.8" hidden="false" customHeight="false" outlineLevel="0" collapsed="false">
      <c r="A65340" s="0" t="s">
        <v>21639</v>
      </c>
      <c r="B65340" s="0" t="str">
        <f aca="false">HYPERLINK("https://lindat.mff.cuni.cz/services/teitok/pdtc10/index.php?action=vallex&amp;frame=v-w8952f1", "zamíchat (v-w8952f1)")</f>
        <v>zamíchat (v-w8952f1)</v>
      </c>
    </row>
    <row r="65341" customFormat="false" ht="12.8" hidden="false" customHeight="false" outlineLevel="0" collapsed="false">
      <c r="B65341" s="0" t="s">
        <v>1</v>
      </c>
    </row>
    <row r="65342" customFormat="false" ht="12.8" hidden="false" customHeight="false" outlineLevel="0" collapsed="false">
      <c r="B65342" s="0" t="s">
        <v>21640</v>
      </c>
    </row>
    <row r="65344" customFormat="false" ht="12.8" hidden="false" customHeight="false" outlineLevel="0" collapsed="false">
      <c r="A65344" s="0" t="s">
        <v>21641</v>
      </c>
      <c r="B65344" s="0" t="str">
        <f aca="false">HYPERLINK("https://lindat.mff.cuni.cz/services/teitok/pdtc10/index.php?action=vallex&amp;frame=v-w10491f2", "zamítat (v-w10491f2)")</f>
        <v>zamítat (v-w10491f2)</v>
      </c>
      <c r="E65344" s="0" t="str">
        <f aca="false">HYPERLINK("https://lindat.mff.cuni.cz/services/SynSemClass40/SynSemClass40.html?veclass=vec00050#vec00050-ces-cm00030", "vec00050")</f>
        <v>vec00050</v>
      </c>
      <c r="F65344" s="0" t="s">
        <v>399</v>
      </c>
    </row>
    <row r="65345" customFormat="false" ht="12.8" hidden="false" customHeight="false" outlineLevel="0" collapsed="false">
      <c r="B65345" s="0" t="s">
        <v>1</v>
      </c>
      <c r="C65345" s="0" t="s">
        <v>400</v>
      </c>
      <c r="E65345" s="0" t="s">
        <v>206</v>
      </c>
      <c r="F65345" s="0" t="s">
        <v>401</v>
      </c>
    </row>
    <row r="65346" customFormat="false" ht="12.8" hidden="false" customHeight="false" outlineLevel="0" collapsed="false">
      <c r="B65346" s="0" t="s">
        <v>8</v>
      </c>
      <c r="C65346" s="0" t="s">
        <v>403</v>
      </c>
      <c r="E65346" s="0" t="s">
        <v>66</v>
      </c>
      <c r="F65346" s="0" t="s">
        <v>404</v>
      </c>
    </row>
    <row r="65348" customFormat="false" ht="12.8" hidden="false" customHeight="false" outlineLevel="0" collapsed="false">
      <c r="A65348" s="0" t="s">
        <v>21642</v>
      </c>
      <c r="B65348" s="0" t="str">
        <f aca="false">HYPERLINK("https://lindat.mff.cuni.cz/services/teitok/pdtc10/index.php?action=vallex&amp;frame=v-w8957f1", "zamítnout (v-w8957f1)")</f>
        <v>zamítnout (v-w8957f1)</v>
      </c>
      <c r="E65348" s="0" t="str">
        <f aca="false">HYPERLINK("https://lindat.mff.cuni.cz/services/SynSemClass40/SynSemClass40.html?veclass=vec00050#vec00050-ces-cm00031", "vec00050")</f>
        <v>vec00050</v>
      </c>
      <c r="F65348" s="0" t="s">
        <v>399</v>
      </c>
    </row>
    <row r="65349" customFormat="false" ht="12.8" hidden="false" customHeight="false" outlineLevel="0" collapsed="false">
      <c r="B65349" s="0" t="s">
        <v>1</v>
      </c>
      <c r="C65349" s="0" t="s">
        <v>400</v>
      </c>
      <c r="E65349" s="0" t="s">
        <v>206</v>
      </c>
      <c r="F65349" s="0" t="s">
        <v>401</v>
      </c>
    </row>
    <row r="65350" customFormat="false" ht="12.8" hidden="false" customHeight="false" outlineLevel="0" collapsed="false">
      <c r="B65350" s="0" t="s">
        <v>8</v>
      </c>
      <c r="C65350" s="0" t="s">
        <v>403</v>
      </c>
      <c r="E65350" s="0" t="s">
        <v>66</v>
      </c>
      <c r="F65350" s="0" t="s">
        <v>404</v>
      </c>
    </row>
    <row r="65352" customFormat="false" ht="12.8" hidden="false" customHeight="false" outlineLevel="0" collapsed="false">
      <c r="A65352" s="0" t="s">
        <v>21643</v>
      </c>
      <c r="B65352" s="0" t="str">
        <f aca="false">HYPERLINK("https://lindat.mff.cuni.cz/services/teitok/pdtc10/index.php?action=vallex&amp;frame=v-w8956f3", "zamířit (v-w8956f3)")</f>
        <v>zamířit (v-w8956f3)</v>
      </c>
    </row>
    <row r="65353" customFormat="false" ht="12.8" hidden="false" customHeight="false" outlineLevel="0" collapsed="false">
      <c r="B65353" s="0" t="s">
        <v>1</v>
      </c>
    </row>
    <row r="65354" customFormat="false" ht="12.8" hidden="false" customHeight="false" outlineLevel="0" collapsed="false">
      <c r="B65354" s="0" t="s">
        <v>8</v>
      </c>
    </row>
    <row r="65355" customFormat="false" ht="12.8" hidden="false" customHeight="false" outlineLevel="0" collapsed="false">
      <c r="B65355" s="0" t="s">
        <v>164</v>
      </c>
    </row>
    <row r="65357" customFormat="false" ht="12.8" hidden="false" customHeight="false" outlineLevel="0" collapsed="false">
      <c r="A65357" s="0" t="s">
        <v>21644</v>
      </c>
      <c r="B65357" s="0" t="str">
        <f aca="false">HYPERLINK("https://lindat.mff.cuni.cz/services/teitok/pdtc10/index.php?action=vallex&amp;frame=v-w8956f1", "zamířit (v-w8956f1)")</f>
        <v>zamířit (v-w8956f1)</v>
      </c>
      <c r="E65357" s="0" t="str">
        <f aca="false">HYPERLINK("https://lindat.mff.cuni.cz/services/SynSemClass40/SynSemClass40.html?veclass=vec00434#vec00434-ces-cm00012", "vec00434")</f>
        <v>vec00434</v>
      </c>
      <c r="F65357" s="0" t="s">
        <v>6238</v>
      </c>
    </row>
    <row r="65358" customFormat="false" ht="12.8" hidden="false" customHeight="false" outlineLevel="0" collapsed="false">
      <c r="B65358" s="0" t="s">
        <v>1</v>
      </c>
      <c r="C65358" s="0" t="s">
        <v>6239</v>
      </c>
      <c r="E65358" s="0" t="s">
        <v>11</v>
      </c>
      <c r="F65358" s="0" t="s">
        <v>6240</v>
      </c>
    </row>
    <row r="65359" customFormat="false" ht="12.8" hidden="false" customHeight="false" outlineLevel="0" collapsed="false">
      <c r="B65359" s="0" t="s">
        <v>164</v>
      </c>
      <c r="C65359" s="0" t="s">
        <v>2724</v>
      </c>
      <c r="E65359" s="0" t="s">
        <v>370</v>
      </c>
      <c r="F65359" s="0" t="s">
        <v>2725</v>
      </c>
    </row>
    <row r="65361" customFormat="false" ht="12.8" hidden="false" customHeight="false" outlineLevel="0" collapsed="false">
      <c r="A65361" s="0" t="s">
        <v>21645</v>
      </c>
      <c r="B65361" s="0" t="str">
        <f aca="false">HYPERLINK("https://lindat.mff.cuni.cz/services/teitok/pdtc10/index.php?action=vallex&amp;frame=v-w8956f2", "zamířit (v-w8956f2)")</f>
        <v>zamířit (v-w8956f2)</v>
      </c>
    </row>
    <row r="65362" customFormat="false" ht="12.8" hidden="false" customHeight="false" outlineLevel="0" collapsed="false">
      <c r="B65362" s="0" t="s">
        <v>1</v>
      </c>
    </row>
    <row r="65363" customFormat="false" ht="12.8" hidden="false" customHeight="false" outlineLevel="0" collapsed="false">
      <c r="B65363" s="0" t="s">
        <v>164</v>
      </c>
    </row>
    <row r="65365" customFormat="false" ht="12.8" hidden="false" customHeight="false" outlineLevel="0" collapsed="false">
      <c r="A65365" s="0" t="s">
        <v>21646</v>
      </c>
      <c r="B65365" s="0" t="str">
        <f aca="false">HYPERLINK("https://lindat.mff.cuni.cz/services/teitok/pdtc10/index.php?action=vallex&amp;frame=v-w8977f2", "zamýšlet (v-w8977f2)")</f>
        <v>zamýšlet (v-w8977f2)</v>
      </c>
      <c r="E65365" s="0" t="str">
        <f aca="false">HYPERLINK("https://lindat.mff.cuni.cz/services/SynSemClass40/SynSemClass40.html?veclass=vec00771#vec00771-ces-cm00001", "vec00771")</f>
        <v>vec00771</v>
      </c>
      <c r="F65365" s="0" t="s">
        <v>6470</v>
      </c>
    </row>
    <row r="65366" customFormat="false" ht="12.8" hidden="false" customHeight="false" outlineLevel="0" collapsed="false">
      <c r="B65366" s="0" t="s">
        <v>1</v>
      </c>
      <c r="C65366" s="0" t="s">
        <v>6471</v>
      </c>
      <c r="E65366" s="0" t="s">
        <v>206</v>
      </c>
      <c r="F65366" s="0" t="s">
        <v>6472</v>
      </c>
    </row>
    <row r="65367" customFormat="false" ht="12.8" hidden="false" customHeight="false" outlineLevel="0" collapsed="false">
      <c r="B65367" s="0" t="s">
        <v>8</v>
      </c>
      <c r="C65367" s="0" t="s">
        <v>6473</v>
      </c>
      <c r="E65367" s="0" t="s">
        <v>1556</v>
      </c>
      <c r="F65367" s="0" t="s">
        <v>6474</v>
      </c>
    </row>
    <row r="65368" customFormat="false" ht="12.8" hidden="false" customHeight="false" outlineLevel="0" collapsed="false">
      <c r="B65368" s="0" t="s">
        <v>1640</v>
      </c>
      <c r="E65368" s="0" t="s">
        <v>6476</v>
      </c>
      <c r="F65368" s="0" t="s">
        <v>6477</v>
      </c>
    </row>
    <row r="65370" customFormat="false" ht="12.8" hidden="false" customHeight="false" outlineLevel="0" collapsed="false">
      <c r="A65370" s="0" t="s">
        <v>21647</v>
      </c>
      <c r="B65370" s="0" t="str">
        <f aca="false">HYPERLINK("https://lindat.mff.cuni.cz/services/teitok/pdtc10/index.php?action=vallex&amp;frame=v-w8977f1", "zamýšlet (v-w8977f1)")</f>
        <v>zamýšlet (v-w8977f1)</v>
      </c>
      <c r="E65370" s="0" t="str">
        <f aca="false">HYPERLINK("https://lindat.mff.cuni.cz/services/SynSemClass40/SynSemClass40.html?veclass=vec00256#vec00256-ces-cm00038", "vec00256")</f>
        <v>vec00256</v>
      </c>
      <c r="F65370" s="0" t="s">
        <v>993</v>
      </c>
    </row>
    <row r="65371" customFormat="false" ht="12.8" hidden="false" customHeight="false" outlineLevel="0" collapsed="false">
      <c r="B65371" s="0" t="s">
        <v>1</v>
      </c>
      <c r="C65371" s="0" t="s">
        <v>6482</v>
      </c>
      <c r="E65371" s="0" t="s">
        <v>31</v>
      </c>
      <c r="F65371" s="0" t="s">
        <v>6483</v>
      </c>
    </row>
    <row r="65372" customFormat="false" ht="12.8" hidden="false" customHeight="false" outlineLevel="0" collapsed="false">
      <c r="B65372" s="0" t="s">
        <v>886</v>
      </c>
      <c r="C65372" s="0" t="s">
        <v>6484</v>
      </c>
      <c r="E65372" s="0" t="s">
        <v>1556</v>
      </c>
      <c r="F65372" s="0" t="s">
        <v>6485</v>
      </c>
    </row>
    <row r="65374" customFormat="false" ht="12.8" hidden="false" customHeight="false" outlineLevel="0" collapsed="false">
      <c r="A65374" s="0" t="s">
        <v>21648</v>
      </c>
      <c r="B65374" s="0" t="str">
        <f aca="false">HYPERLINK("https://lindat.mff.cuni.cz/services/teitok/pdtc10/index.php?action=vallex&amp;frame=v-w8978f1", "zamýšlet se (v-w8978f1)")</f>
        <v>zamýšlet se (v-w8978f1)</v>
      </c>
    </row>
    <row r="65375" customFormat="false" ht="12.8" hidden="false" customHeight="false" outlineLevel="0" collapsed="false">
      <c r="B65375" s="0" t="s">
        <v>1</v>
      </c>
    </row>
    <row r="65376" customFormat="false" ht="12.8" hidden="false" customHeight="false" outlineLevel="0" collapsed="false">
      <c r="B65376" s="0" t="s">
        <v>21628</v>
      </c>
    </row>
    <row r="65378" customFormat="false" ht="12.8" hidden="false" customHeight="false" outlineLevel="0" collapsed="false">
      <c r="A65378" s="0" t="s">
        <v>21649</v>
      </c>
      <c r="B65378" s="0" t="str">
        <f aca="false">HYPERLINK("https://lindat.mff.cuni.cz/services/teitok/pdtc10/index.php?action=vallex&amp;frame=v-w8932f1", "zaměnit (v-w8932f1)")</f>
        <v>zaměnit (v-w8932f1)</v>
      </c>
      <c r="E65378" s="0" t="str">
        <f aca="false">HYPERLINK("https://lindat.mff.cuni.cz/services/SynSemClass40/SynSemClass40.html?veclass=vec01170#vec01170-ces-cm00004", "vec01170")</f>
        <v>vec01170</v>
      </c>
      <c r="F65378" s="0" t="s">
        <v>10574</v>
      </c>
    </row>
    <row r="65379" customFormat="false" ht="12.8" hidden="false" customHeight="false" outlineLevel="0" collapsed="false">
      <c r="B65379" s="0" t="s">
        <v>1</v>
      </c>
      <c r="C65379" s="0" t="s">
        <v>1507</v>
      </c>
      <c r="E65379" s="0" t="s">
        <v>10575</v>
      </c>
      <c r="F65379" s="0" t="s">
        <v>10576</v>
      </c>
    </row>
    <row r="65380" customFormat="false" ht="12.8" hidden="false" customHeight="false" outlineLevel="0" collapsed="false">
      <c r="B65380" s="0" t="s">
        <v>8</v>
      </c>
      <c r="C65380" s="0" t="s">
        <v>10577</v>
      </c>
      <c r="E65380" s="0" t="s">
        <v>4852</v>
      </c>
      <c r="F65380" s="0" t="s">
        <v>10578</v>
      </c>
    </row>
    <row r="65381" customFormat="false" ht="12.8" hidden="false" customHeight="false" outlineLevel="0" collapsed="false">
      <c r="B65381" s="0" t="s">
        <v>10565</v>
      </c>
      <c r="C65381" s="0" t="s">
        <v>10579</v>
      </c>
      <c r="E65381" s="0" t="s">
        <v>5445</v>
      </c>
      <c r="F65381" s="0" t="s">
        <v>10580</v>
      </c>
    </row>
    <row r="65383" customFormat="false" ht="12.8" hidden="false" customHeight="false" outlineLevel="0" collapsed="false">
      <c r="A65383" s="0" t="s">
        <v>21650</v>
      </c>
      <c r="B65383" s="0" t="str">
        <f aca="false">HYPERLINK("https://lindat.mff.cuni.cz/services/teitok/pdtc10/index.php?action=vallex&amp;frame=v-w8943f1", "zaměstnat (v-w8943f1)")</f>
        <v>zaměstnat (v-w8943f1)</v>
      </c>
      <c r="E65383" s="0" t="str">
        <f aca="false">HYPERLINK("https://lindat.mff.cuni.cz/services/SynSemClass40/SynSemClass40.html?veclass=vec00369#vec00369-ces-cm00008", "vec00369")</f>
        <v>vec00369</v>
      </c>
      <c r="F65383" s="0" t="s">
        <v>7284</v>
      </c>
    </row>
    <row r="65384" customFormat="false" ht="12.8" hidden="false" customHeight="false" outlineLevel="0" collapsed="false">
      <c r="B65384" s="0" t="s">
        <v>1</v>
      </c>
      <c r="C65384" s="0" t="s">
        <v>7285</v>
      </c>
      <c r="E65384" s="0" t="s">
        <v>7286</v>
      </c>
      <c r="F65384" s="0" t="s">
        <v>7287</v>
      </c>
    </row>
    <row r="65385" customFormat="false" ht="12.8" hidden="false" customHeight="false" outlineLevel="0" collapsed="false">
      <c r="B65385" s="0" t="s">
        <v>8</v>
      </c>
      <c r="C65385" s="0" t="s">
        <v>7288</v>
      </c>
      <c r="E65385" s="0" t="s">
        <v>7289</v>
      </c>
      <c r="F65385" s="0" t="s">
        <v>7290</v>
      </c>
    </row>
    <row r="65386" customFormat="false" ht="12.8" hidden="false" customHeight="false" outlineLevel="0" collapsed="false">
      <c r="B65386" s="0" t="s">
        <v>123</v>
      </c>
      <c r="C65386" s="0" t="s">
        <v>21651</v>
      </c>
      <c r="E65386" s="0" t="s">
        <v>5007</v>
      </c>
      <c r="F65386" s="0" t="s">
        <v>21652</v>
      </c>
    </row>
    <row r="65388" customFormat="false" ht="12.8" hidden="false" customHeight="false" outlineLevel="0" collapsed="false">
      <c r="A65388" s="0" t="s">
        <v>21653</v>
      </c>
      <c r="B65388" s="0" t="str">
        <f aca="false">HYPERLINK("https://lindat.mff.cuni.cz/services/teitok/pdtc10/index.php?action=vallex&amp;frame=v-w8943hsa_242", "zaměstnat (v-w8943hsa_242)")</f>
        <v>zaměstnat (v-w8943hsa_242)</v>
      </c>
    </row>
    <row r="65389" customFormat="false" ht="12.8" hidden="false" customHeight="false" outlineLevel="0" collapsed="false">
      <c r="B65389" s="0" t="s">
        <v>1</v>
      </c>
    </row>
    <row r="65390" customFormat="false" ht="12.8" hidden="false" customHeight="false" outlineLevel="0" collapsed="false">
      <c r="B65390" s="0" t="s">
        <v>8</v>
      </c>
    </row>
    <row r="65392" customFormat="false" ht="12.8" hidden="false" customHeight="false" outlineLevel="0" collapsed="false">
      <c r="A65392" s="0" t="s">
        <v>21654</v>
      </c>
      <c r="B65392" s="0" t="str">
        <f aca="false">HYPERLINK("https://lindat.mff.cuni.cz/services/teitok/pdtc10/index.php?action=vallex&amp;frame=v-w8946f1", "zaměstnávat (v-w8946f1)")</f>
        <v>zaměstnávat (v-w8946f1)</v>
      </c>
      <c r="E65392" s="0" t="str">
        <f aca="false">HYPERLINK("https://lindat.mff.cuni.cz/services/SynSemClass40/SynSemClass40.html?veclass=vec00369#vec00369-ces-cm00001", "vec00369")</f>
        <v>vec00369</v>
      </c>
      <c r="F65392" s="0" t="s">
        <v>7284</v>
      </c>
    </row>
    <row r="65393" customFormat="false" ht="12.8" hidden="false" customHeight="false" outlineLevel="0" collapsed="false">
      <c r="B65393" s="0" t="s">
        <v>1</v>
      </c>
      <c r="C65393" s="0" t="s">
        <v>7285</v>
      </c>
      <c r="E65393" s="0" t="s">
        <v>7286</v>
      </c>
      <c r="F65393" s="0" t="s">
        <v>7287</v>
      </c>
    </row>
    <row r="65394" customFormat="false" ht="12.8" hidden="false" customHeight="false" outlineLevel="0" collapsed="false">
      <c r="B65394" s="0" t="s">
        <v>8</v>
      </c>
      <c r="C65394" s="0" t="s">
        <v>7288</v>
      </c>
      <c r="E65394" s="0" t="s">
        <v>7289</v>
      </c>
      <c r="F65394" s="0" t="s">
        <v>7290</v>
      </c>
    </row>
    <row r="65395" customFormat="false" ht="12.8" hidden="false" customHeight="false" outlineLevel="0" collapsed="false">
      <c r="B65395" s="0" t="s">
        <v>123</v>
      </c>
      <c r="C65395" s="0" t="s">
        <v>21651</v>
      </c>
      <c r="E65395" s="0" t="s">
        <v>5007</v>
      </c>
      <c r="F65395" s="0" t="s">
        <v>21652</v>
      </c>
    </row>
    <row r="65397" customFormat="false" ht="12.8" hidden="false" customHeight="false" outlineLevel="0" collapsed="false">
      <c r="A65397" s="0" t="s">
        <v>21655</v>
      </c>
      <c r="B65397" s="0" t="str">
        <f aca="false">HYPERLINK("https://lindat.mff.cuni.cz/services/teitok/pdtc10/index.php?action=vallex&amp;frame=v-w8946f2_ZU", "zaměstnávat (v-w8946f2_ZU)")</f>
        <v>zaměstnávat (v-w8946f2_ZU)</v>
      </c>
    </row>
    <row r="65398" customFormat="false" ht="12.8" hidden="false" customHeight="false" outlineLevel="0" collapsed="false">
      <c r="B65398" s="0" t="s">
        <v>1</v>
      </c>
    </row>
    <row r="65399" customFormat="false" ht="12.8" hidden="false" customHeight="false" outlineLevel="0" collapsed="false">
      <c r="B65399" s="0" t="s">
        <v>8</v>
      </c>
    </row>
    <row r="65401" customFormat="false" ht="12.8" hidden="false" customHeight="false" outlineLevel="0" collapsed="false">
      <c r="A65401" s="0" t="s">
        <v>21656</v>
      </c>
      <c r="B65401" s="0" t="str">
        <f aca="false">HYPERLINK("https://lindat.mff.cuni.cz/services/teitok/pdtc10/index.php?action=vallex&amp;frame=v-whsa_710hsa_711", "zaměstnávat se (v-whsa_710hsa_711)")</f>
        <v>zaměstnávat se (v-whsa_710hsa_711)</v>
      </c>
      <c r="E65401" s="0" t="str">
        <f aca="false">HYPERLINK("https://lindat.mff.cuni.cz/services/SynSemClass40/SynSemClass40.html?veclass=vec01268#vec01268-ces-cm00007", "vec01268")</f>
        <v>vec01268</v>
      </c>
      <c r="F65401" s="0" t="s">
        <v>4025</v>
      </c>
    </row>
    <row r="65402" customFormat="false" ht="12.8" hidden="false" customHeight="false" outlineLevel="0" collapsed="false">
      <c r="B65402" s="0" t="s">
        <v>1</v>
      </c>
      <c r="C65402" s="0" t="s">
        <v>12087</v>
      </c>
      <c r="E65402" s="0" t="s">
        <v>31</v>
      </c>
      <c r="F65402" s="0" t="s">
        <v>4028</v>
      </c>
    </row>
    <row r="65403" customFormat="false" ht="12.8" hidden="false" customHeight="false" outlineLevel="0" collapsed="false">
      <c r="B65403" s="0" t="s">
        <v>286</v>
      </c>
      <c r="C65403" s="0" t="s">
        <v>12088</v>
      </c>
      <c r="E65403" s="0" t="s">
        <v>2438</v>
      </c>
      <c r="F65403" s="0" t="s">
        <v>10936</v>
      </c>
    </row>
    <row r="65405" customFormat="false" ht="12.8" hidden="false" customHeight="false" outlineLevel="0" collapsed="false">
      <c r="A65405" s="0" t="s">
        <v>21657</v>
      </c>
      <c r="B65405" s="0" t="str">
        <f aca="false">HYPERLINK("https://lindat.mff.cuni.cz/services/teitok/pdtc10/index.php?action=vallex&amp;frame=v-w8934f1", "zaměňovat (v-w8934f1)")</f>
        <v>zaměňovat (v-w8934f1)</v>
      </c>
      <c r="E65405" s="0" t="str">
        <f aca="false">HYPERLINK("https://lindat.mff.cuni.cz/services/SynSemClass40/SynSemClass40.html?veclass=vec01170#vec01170-ces-cm00001", "vec01170")</f>
        <v>vec01170</v>
      </c>
      <c r="F65405" s="0" t="s">
        <v>10574</v>
      </c>
    </row>
    <row r="65406" customFormat="false" ht="12.8" hidden="false" customHeight="false" outlineLevel="0" collapsed="false">
      <c r="B65406" s="0" t="s">
        <v>1</v>
      </c>
      <c r="C65406" s="0" t="s">
        <v>1507</v>
      </c>
      <c r="E65406" s="0" t="s">
        <v>10575</v>
      </c>
      <c r="F65406" s="0" t="s">
        <v>10576</v>
      </c>
    </row>
    <row r="65407" customFormat="false" ht="12.8" hidden="false" customHeight="false" outlineLevel="0" collapsed="false">
      <c r="B65407" s="0" t="s">
        <v>8</v>
      </c>
      <c r="C65407" s="0" t="s">
        <v>10577</v>
      </c>
      <c r="E65407" s="0" t="s">
        <v>4852</v>
      </c>
      <c r="F65407" s="0" t="s">
        <v>10578</v>
      </c>
    </row>
    <row r="65408" customFormat="false" ht="12.8" hidden="false" customHeight="false" outlineLevel="0" collapsed="false">
      <c r="B65408" s="0" t="s">
        <v>3537</v>
      </c>
      <c r="C65408" s="0" t="s">
        <v>10579</v>
      </c>
      <c r="E65408" s="0" t="s">
        <v>5445</v>
      </c>
      <c r="F65408" s="0" t="s">
        <v>10580</v>
      </c>
    </row>
    <row r="65410" customFormat="false" ht="12.8" hidden="false" customHeight="false" outlineLevel="0" collapsed="false">
      <c r="A65410" s="0" t="s">
        <v>21658</v>
      </c>
      <c r="B65410" s="0" t="str">
        <f aca="false">HYPERLINK("https://lindat.mff.cuni.cz/services/teitok/pdtc10/index.php?action=vallex&amp;frame=v-w8938f3_MM", "zaměřit (v-w8938f3_MM)")</f>
        <v>zaměřit (v-w8938f3_MM)</v>
      </c>
    </row>
    <row r="65411" customFormat="false" ht="12.8" hidden="false" customHeight="false" outlineLevel="0" collapsed="false">
      <c r="B65411" s="0" t="s">
        <v>1</v>
      </c>
    </row>
    <row r="65412" customFormat="false" ht="12.8" hidden="false" customHeight="false" outlineLevel="0" collapsed="false">
      <c r="B65412" s="0" t="s">
        <v>8</v>
      </c>
    </row>
    <row r="65413" customFormat="false" ht="12.8" hidden="false" customHeight="false" outlineLevel="0" collapsed="false">
      <c r="B65413" s="0" t="s">
        <v>21659</v>
      </c>
    </row>
    <row r="65414" customFormat="false" ht="12.8" hidden="false" customHeight="false" outlineLevel="0" collapsed="false">
      <c r="B65414" s="0" t="s">
        <v>642</v>
      </c>
    </row>
    <row r="65416" customFormat="false" ht="12.8" hidden="false" customHeight="false" outlineLevel="0" collapsed="false">
      <c r="A65416" s="0" t="s">
        <v>21658</v>
      </c>
      <c r="B65416" s="0" t="str">
        <f aca="false">HYPERLINK("https://lindat.mff.cuni.cz/services/teitok/pdtc10/index.php?action=vallex&amp;frame=v-w8938f1", "zaměřit (v-w8938f1) - substituted with v-w8938f3_MM")</f>
        <v>zaměřit (v-w8938f1) - substituted with v-w8938f3_MM</v>
      </c>
      <c r="E65416" s="0" t="str">
        <f aca="false">HYPERLINK("https://lindat.mff.cuni.cz/services/SynSemClass40/SynSemClass40.html?veclass=vec00859#vec00859-ces-cm00027", "vec00859")</f>
        <v>vec00859</v>
      </c>
      <c r="F65416" s="0" t="s">
        <v>1728</v>
      </c>
    </row>
    <row r="65417" customFormat="false" ht="12.8" hidden="false" customHeight="false" outlineLevel="0" collapsed="false">
      <c r="B65417" s="0" t="s">
        <v>1</v>
      </c>
      <c r="C65417" s="0" t="s">
        <v>1729</v>
      </c>
      <c r="E65417" s="0" t="s">
        <v>206</v>
      </c>
      <c r="F65417" s="0" t="s">
        <v>1730</v>
      </c>
    </row>
    <row r="65418" customFormat="false" ht="12.8" hidden="false" customHeight="false" outlineLevel="0" collapsed="false">
      <c r="B65418" s="0" t="s">
        <v>8</v>
      </c>
      <c r="C65418" s="0" t="s">
        <v>1731</v>
      </c>
      <c r="E65418" s="0" t="s">
        <v>1732</v>
      </c>
      <c r="F65418" s="0" t="s">
        <v>1733</v>
      </c>
    </row>
    <row r="65419" customFormat="false" ht="12.8" hidden="false" customHeight="false" outlineLevel="0" collapsed="false">
      <c r="B65419" s="0" t="s">
        <v>21659</v>
      </c>
      <c r="C65419" s="0" t="s">
        <v>7761</v>
      </c>
      <c r="E65419" s="0" t="s">
        <v>3229</v>
      </c>
      <c r="F65419" s="0" t="s">
        <v>7762</v>
      </c>
    </row>
    <row r="65420" customFormat="false" ht="12.8" hidden="false" customHeight="false" outlineLevel="0" collapsed="false">
      <c r="B65420" s="0" t="s">
        <v>642</v>
      </c>
    </row>
    <row r="65422" customFormat="false" ht="12.8" hidden="false" customHeight="false" outlineLevel="0" collapsed="false">
      <c r="A65422" s="0" t="s">
        <v>21660</v>
      </c>
      <c r="B65422" s="0" t="str">
        <f aca="false">HYPERLINK("https://lindat.mff.cuni.cz/services/teitok/pdtc10/index.php?action=vallex&amp;frame=v-w8938f2_ZU", "zaměřit (v-w8938f2_ZU)")</f>
        <v>zaměřit (v-w8938f2_ZU)</v>
      </c>
      <c r="E65422" s="0" t="str">
        <f aca="false">HYPERLINK("https://lindat.mff.cuni.cz/services/SynSemClass40/SynSemClass40.html?veclass=vec01372#vec01372-ces-cm00003", "vec01372")</f>
        <v>vec01372</v>
      </c>
      <c r="F65422" s="0" t="s">
        <v>21661</v>
      </c>
    </row>
    <row r="65423" customFormat="false" ht="12.8" hidden="false" customHeight="false" outlineLevel="0" collapsed="false">
      <c r="B65423" s="0" t="s">
        <v>1</v>
      </c>
      <c r="C65423" s="0" t="s">
        <v>3375</v>
      </c>
      <c r="E65423" s="0" t="s">
        <v>2263</v>
      </c>
      <c r="F65423" s="0" t="s">
        <v>21662</v>
      </c>
    </row>
    <row r="65424" customFormat="false" ht="12.8" hidden="false" customHeight="false" outlineLevel="0" collapsed="false">
      <c r="B65424" s="0" t="s">
        <v>8</v>
      </c>
      <c r="C65424" s="0" t="s">
        <v>21663</v>
      </c>
      <c r="E65424" s="0" t="s">
        <v>450</v>
      </c>
      <c r="F65424" s="0" t="s">
        <v>21664</v>
      </c>
    </row>
    <row r="65426" customFormat="false" ht="12.8" hidden="false" customHeight="false" outlineLevel="0" collapsed="false">
      <c r="A65426" s="0" t="s">
        <v>21665</v>
      </c>
      <c r="B65426" s="0" t="str">
        <f aca="false">HYPERLINK("https://lindat.mff.cuni.cz/services/teitok/pdtc10/index.php?action=vallex&amp;frame=v-w8939f1", "zaměřit se (v-w8939f1)")</f>
        <v>zaměřit se (v-w8939f1)</v>
      </c>
      <c r="E65426" s="0" t="str">
        <f aca="false">HYPERLINK("https://lindat.mff.cuni.cz/services/SynSemClass40/SynSemClass40.html?veclass=vec00314#vec00314-ces-cm00004", "vec00314")</f>
        <v>vec00314</v>
      </c>
      <c r="F65426" s="0" t="s">
        <v>16258</v>
      </c>
      <c r="H65426" s="0" t="str">
        <f aca="false">HYPERLINK("https://lindat.mff.cuni.cz/services/SynSemClass40/SynSemClass40.html?veclass=vec00859#vec00859-ces-cm00028", "vec00859")</f>
        <v>vec00859</v>
      </c>
      <c r="I65426" s="0" t="s">
        <v>1728</v>
      </c>
    </row>
    <row r="65427" customFormat="false" ht="12.8" hidden="false" customHeight="false" outlineLevel="0" collapsed="false">
      <c r="B65427" s="0" t="s">
        <v>1</v>
      </c>
      <c r="C65427" s="0" t="s">
        <v>21666</v>
      </c>
      <c r="E65427" s="0" t="s">
        <v>11</v>
      </c>
      <c r="F65427" s="0" t="s">
        <v>16260</v>
      </c>
      <c r="H65427" s="0" t="s">
        <v>5494</v>
      </c>
      <c r="I65427" s="0" t="s">
        <v>5495</v>
      </c>
    </row>
    <row r="65428" customFormat="false" ht="12.8" hidden="false" customHeight="false" outlineLevel="0" collapsed="false">
      <c r="B65428" s="0" t="s">
        <v>45</v>
      </c>
      <c r="C65428" s="0" t="s">
        <v>21667</v>
      </c>
      <c r="E65428" s="0" t="s">
        <v>16262</v>
      </c>
      <c r="F65428" s="0" t="s">
        <v>16263</v>
      </c>
      <c r="H65428" s="0" t="s">
        <v>523</v>
      </c>
      <c r="I65428" s="0" t="s">
        <v>5497</v>
      </c>
    </row>
    <row r="65430" customFormat="false" ht="12.8" hidden="false" customHeight="false" outlineLevel="0" collapsed="false">
      <c r="A65430" s="0" t="s">
        <v>21668</v>
      </c>
      <c r="B65430" s="0" t="str">
        <f aca="false">HYPERLINK("https://lindat.mff.cuni.cz/services/teitok/pdtc10/index.php?action=vallex&amp;frame=v-w8939f2_ZU", "zaměřit se (v-w8939f2_ZU)")</f>
        <v>zaměřit se (v-w8939f2_ZU)</v>
      </c>
    </row>
    <row r="65431" customFormat="false" ht="12.8" hidden="false" customHeight="false" outlineLevel="0" collapsed="false">
      <c r="B65431" s="0" t="s">
        <v>1</v>
      </c>
    </row>
    <row r="65432" customFormat="false" ht="12.8" hidden="false" customHeight="false" outlineLevel="0" collapsed="false">
      <c r="B65432" s="0" t="s">
        <v>852</v>
      </c>
    </row>
    <row r="65434" customFormat="false" ht="12.8" hidden="false" customHeight="false" outlineLevel="0" collapsed="false">
      <c r="A65434" s="0" t="s">
        <v>21668</v>
      </c>
      <c r="B65434" s="0" t="str">
        <f aca="false">HYPERLINK("https://lindat.mff.cuni.cz/services/teitok/pdtc10/index.php?action=vallex&amp;frame=v-w8939hsa_546", "zaměřit se (v-w8939hsa_546) - substituted with v-w8939f2_ZU")</f>
        <v>zaměřit se (v-w8939hsa_546) - substituted with v-w8939f2_ZU</v>
      </c>
    </row>
    <row r="65435" customFormat="false" ht="12.8" hidden="false" customHeight="false" outlineLevel="0" collapsed="false">
      <c r="B65435" s="0" t="s">
        <v>1</v>
      </c>
    </row>
    <row r="65436" customFormat="false" ht="12.8" hidden="false" customHeight="false" outlineLevel="0" collapsed="false">
      <c r="B65436" s="0" t="s">
        <v>852</v>
      </c>
    </row>
    <row r="65438" customFormat="false" ht="12.8" hidden="false" customHeight="false" outlineLevel="0" collapsed="false">
      <c r="A65438" s="0" t="s">
        <v>21669</v>
      </c>
      <c r="B65438" s="0" t="str">
        <f aca="false">HYPERLINK("https://lindat.mff.cuni.cz/services/teitok/pdtc10/index.php?action=vallex&amp;frame=v-w8940f2_ZU", "zaměřovat (v-w8940f2_ZU)")</f>
        <v>zaměřovat (v-w8940f2_ZU)</v>
      </c>
      <c r="E65438" s="0" t="str">
        <f aca="false">HYPERLINK("https://lindat.mff.cuni.cz/services/SynSemClass40/SynSemClass40.html?veclass=vec00859#vec00859-ces-cm00060", "vec00859")</f>
        <v>vec00859</v>
      </c>
      <c r="F65438" s="0" t="s">
        <v>1728</v>
      </c>
    </row>
    <row r="65439" customFormat="false" ht="12.8" hidden="false" customHeight="false" outlineLevel="0" collapsed="false">
      <c r="B65439" s="0" t="s">
        <v>1</v>
      </c>
      <c r="C65439" s="0" t="s">
        <v>1729</v>
      </c>
      <c r="E65439" s="0" t="s">
        <v>206</v>
      </c>
      <c r="F65439" s="0" t="s">
        <v>1730</v>
      </c>
    </row>
    <row r="65440" customFormat="false" ht="12.8" hidden="false" customHeight="false" outlineLevel="0" collapsed="false">
      <c r="B65440" s="0" t="s">
        <v>8</v>
      </c>
      <c r="C65440" s="0" t="s">
        <v>1731</v>
      </c>
      <c r="E65440" s="0" t="s">
        <v>1732</v>
      </c>
      <c r="F65440" s="0" t="s">
        <v>1733</v>
      </c>
    </row>
    <row r="65441" customFormat="false" ht="12.8" hidden="false" customHeight="false" outlineLevel="0" collapsed="false">
      <c r="B65441" s="0" t="s">
        <v>164</v>
      </c>
      <c r="C65441" s="0" t="s">
        <v>7761</v>
      </c>
      <c r="E65441" s="0" t="s">
        <v>3229</v>
      </c>
      <c r="F65441" s="0" t="s">
        <v>7762</v>
      </c>
    </row>
    <row r="65443" customFormat="false" ht="12.8" hidden="false" customHeight="false" outlineLevel="0" collapsed="false">
      <c r="A65443" s="0" t="s">
        <v>21669</v>
      </c>
      <c r="B65443" s="0" t="str">
        <f aca="false">HYPERLINK("https://lindat.mff.cuni.cz/services/teitok/pdtc10/index.php?action=vallex&amp;frame=v-w8940f1", "zaměřovat (v-w8940f1) - substituted with v-w8940f2_ZU")</f>
        <v>zaměřovat (v-w8940f1) - substituted with v-w8940f2_ZU</v>
      </c>
    </row>
    <row r="65444" customFormat="false" ht="12.8" hidden="false" customHeight="false" outlineLevel="0" collapsed="false">
      <c r="B65444" s="0" t="s">
        <v>1</v>
      </c>
    </row>
    <row r="65445" customFormat="false" ht="12.8" hidden="false" customHeight="false" outlineLevel="0" collapsed="false">
      <c r="B65445" s="0" t="s">
        <v>8</v>
      </c>
    </row>
    <row r="65446" customFormat="false" ht="12.8" hidden="false" customHeight="false" outlineLevel="0" collapsed="false">
      <c r="B65446" s="0" t="s">
        <v>164</v>
      </c>
    </row>
    <row r="65448" customFormat="false" ht="12.8" hidden="false" customHeight="false" outlineLevel="0" collapsed="false">
      <c r="A65448" s="0" t="s">
        <v>21670</v>
      </c>
      <c r="B65448" s="0" t="str">
        <f aca="false">HYPERLINK("https://lindat.mff.cuni.cz/services/teitok/pdtc10/index.php?action=vallex&amp;frame=v-w8940f3_ZU", "zaměřovat (v-w8940f3_ZU)")</f>
        <v>zaměřovat (v-w8940f3_ZU)</v>
      </c>
    </row>
    <row r="65449" customFormat="false" ht="12.8" hidden="false" customHeight="false" outlineLevel="0" collapsed="false">
      <c r="B65449" s="0" t="s">
        <v>1</v>
      </c>
    </row>
    <row r="65450" customFormat="false" ht="12.8" hidden="false" customHeight="false" outlineLevel="0" collapsed="false">
      <c r="B65450" s="0" t="s">
        <v>8</v>
      </c>
    </row>
    <row r="65452" customFormat="false" ht="12.8" hidden="false" customHeight="false" outlineLevel="0" collapsed="false">
      <c r="A65452" s="0" t="s">
        <v>21670</v>
      </c>
      <c r="B65452" s="0" t="str">
        <f aca="false">HYPERLINK("https://lindat.mff.cuni.cz/services/teitok/pdtc10/index.php?action=vallex&amp;frame=v-w8940hsa_1204", "zaměřovat (v-w8940hsa_1204) - substituted with v-w8940f3_ZU")</f>
        <v>zaměřovat (v-w8940hsa_1204) - substituted with v-w8940f3_ZU</v>
      </c>
    </row>
    <row r="65453" customFormat="false" ht="12.8" hidden="false" customHeight="false" outlineLevel="0" collapsed="false">
      <c r="B65453" s="0" t="s">
        <v>1</v>
      </c>
    </row>
    <row r="65454" customFormat="false" ht="12.8" hidden="false" customHeight="false" outlineLevel="0" collapsed="false">
      <c r="B65454" s="0" t="s">
        <v>8</v>
      </c>
    </row>
    <row r="65456" customFormat="false" ht="12.8" hidden="false" customHeight="false" outlineLevel="0" collapsed="false">
      <c r="A65456" s="0" t="s">
        <v>21671</v>
      </c>
      <c r="B65456" s="0" t="str">
        <f aca="false">HYPERLINK("https://lindat.mff.cuni.cz/services/teitok/pdtc10/index.php?action=vallex&amp;frame=v-w8940f4_ZU", "zaměřovat (v-w8940f4_ZU)")</f>
        <v>zaměřovat (v-w8940f4_ZU)</v>
      </c>
    </row>
    <row r="65457" customFormat="false" ht="12.8" hidden="false" customHeight="false" outlineLevel="0" collapsed="false">
      <c r="B65457" s="0" t="s">
        <v>1</v>
      </c>
    </row>
    <row r="65458" customFormat="false" ht="12.8" hidden="false" customHeight="false" outlineLevel="0" collapsed="false">
      <c r="B65458" s="0" t="s">
        <v>8</v>
      </c>
    </row>
    <row r="65460" customFormat="false" ht="12.8" hidden="false" customHeight="false" outlineLevel="0" collapsed="false">
      <c r="A65460" s="0" t="s">
        <v>21672</v>
      </c>
      <c r="B65460" s="0" t="str">
        <f aca="false">HYPERLINK("https://lindat.mff.cuni.cz/services/teitok/pdtc10/index.php?action=vallex&amp;frame=v-w8941f1", "zaměřovat se (v-w8941f1)")</f>
        <v>zaměřovat se (v-w8941f1)</v>
      </c>
      <c r="E65460" s="0" t="str">
        <f aca="false">HYPERLINK("https://lindat.mff.cuni.cz/services/SynSemClass40/SynSemClass40.html?veclass=vec00314#vec00314-ces-cm00005", "vec00314")</f>
        <v>vec00314</v>
      </c>
      <c r="F65460" s="0" t="s">
        <v>16258</v>
      </c>
      <c r="H65460" s="0" t="str">
        <f aca="false">HYPERLINK("https://lindat.mff.cuni.cz/services/SynSemClass40/SynSemClass40.html?veclass=vec00859#vec00859-ces-cm00029", "vec00859")</f>
        <v>vec00859</v>
      </c>
      <c r="I65460" s="0" t="s">
        <v>1728</v>
      </c>
    </row>
    <row r="65461" customFormat="false" ht="12.8" hidden="false" customHeight="false" outlineLevel="0" collapsed="false">
      <c r="B65461" s="0" t="s">
        <v>1</v>
      </c>
      <c r="C65461" s="0" t="s">
        <v>21666</v>
      </c>
      <c r="E65461" s="0" t="s">
        <v>11</v>
      </c>
      <c r="F65461" s="0" t="s">
        <v>16260</v>
      </c>
      <c r="H65461" s="0" t="s">
        <v>5494</v>
      </c>
      <c r="I65461" s="0" t="s">
        <v>5495</v>
      </c>
    </row>
    <row r="65462" customFormat="false" ht="12.8" hidden="false" customHeight="false" outlineLevel="0" collapsed="false">
      <c r="B65462" s="0" t="s">
        <v>45</v>
      </c>
      <c r="C65462" s="0" t="s">
        <v>21667</v>
      </c>
      <c r="E65462" s="0" t="s">
        <v>16262</v>
      </c>
      <c r="F65462" s="0" t="s">
        <v>16263</v>
      </c>
      <c r="H65462" s="0" t="s">
        <v>523</v>
      </c>
      <c r="I65462" s="0" t="s">
        <v>5497</v>
      </c>
    </row>
    <row r="65464" customFormat="false" ht="12.8" hidden="false" customHeight="false" outlineLevel="0" collapsed="false">
      <c r="A65464" s="0" t="s">
        <v>21673</v>
      </c>
      <c r="B65464" s="0" t="str">
        <f aca="false">HYPERLINK("https://lindat.mff.cuni.cz/services/teitok/pdtc10/index.php?action=vallex&amp;frame=v-w10707f2", "zanalyzovat (v-w10707f2)")</f>
        <v>zanalyzovat (v-w10707f2)</v>
      </c>
    </row>
    <row r="65465" customFormat="false" ht="12.8" hidden="false" customHeight="false" outlineLevel="0" collapsed="false">
      <c r="B65465" s="0" t="s">
        <v>1</v>
      </c>
    </row>
    <row r="65466" customFormat="false" ht="12.8" hidden="false" customHeight="false" outlineLevel="0" collapsed="false">
      <c r="B65466" s="0" t="s">
        <v>8</v>
      </c>
    </row>
    <row r="65468" customFormat="false" ht="12.8" hidden="false" customHeight="false" outlineLevel="0" collapsed="false">
      <c r="A65468" s="0" t="s">
        <v>21674</v>
      </c>
      <c r="B65468" s="0" t="str">
        <f aca="false">HYPERLINK("https://lindat.mff.cuni.cz/services/teitok/pdtc10/index.php?action=vallex&amp;frame=v-w8984f3", "zanechat (v-w8984f3)")</f>
        <v>zanechat (v-w8984f3)</v>
      </c>
      <c r="E65468" s="0" t="str">
        <f aca="false">HYPERLINK("https://lindat.mff.cuni.cz/services/SynSemClass40/SynSemClass40.html?veclass=vec00291#vec00291-ces-cm00031", "vec00291")</f>
        <v>vec00291</v>
      </c>
      <c r="F65468" s="0" t="s">
        <v>10760</v>
      </c>
    </row>
    <row r="65469" customFormat="false" ht="12.8" hidden="false" customHeight="false" outlineLevel="0" collapsed="false">
      <c r="B65469" s="0" t="s">
        <v>1</v>
      </c>
      <c r="C65469" s="0" t="s">
        <v>2240</v>
      </c>
      <c r="E65469" s="0" t="s">
        <v>10761</v>
      </c>
      <c r="F65469" s="0" t="s">
        <v>10762</v>
      </c>
    </row>
    <row r="65470" customFormat="false" ht="12.8" hidden="false" customHeight="false" outlineLevel="0" collapsed="false">
      <c r="B65470" s="0" t="s">
        <v>8</v>
      </c>
      <c r="C65470" s="0" t="s">
        <v>10763</v>
      </c>
      <c r="E65470" s="0" t="s">
        <v>1544</v>
      </c>
      <c r="F65470" s="0" t="s">
        <v>10764</v>
      </c>
    </row>
    <row r="65471" customFormat="false" ht="12.8" hidden="false" customHeight="false" outlineLevel="0" collapsed="false">
      <c r="B65471" s="0" t="s">
        <v>52</v>
      </c>
      <c r="C65471" s="0" t="s">
        <v>10765</v>
      </c>
      <c r="E65471" s="0" t="s">
        <v>53</v>
      </c>
      <c r="F65471" s="0" t="s">
        <v>10766</v>
      </c>
    </row>
    <row r="65473" customFormat="false" ht="12.8" hidden="false" customHeight="false" outlineLevel="0" collapsed="false">
      <c r="A65473" s="0" t="s">
        <v>21675</v>
      </c>
      <c r="B65473" s="0" t="str">
        <f aca="false">HYPERLINK("https://lindat.mff.cuni.cz/services/teitok/pdtc10/index.php?action=vallex&amp;frame=v-w8984f7_ZU", "zanechat (v-w8984f7_ZU)")</f>
        <v>zanechat (v-w8984f7_ZU)</v>
      </c>
    </row>
    <row r="65474" customFormat="false" ht="12.8" hidden="false" customHeight="false" outlineLevel="0" collapsed="false">
      <c r="B65474" s="0" t="s">
        <v>1</v>
      </c>
    </row>
    <row r="65475" customFormat="false" ht="12.8" hidden="false" customHeight="false" outlineLevel="0" collapsed="false">
      <c r="B65475" s="0" t="s">
        <v>8</v>
      </c>
    </row>
    <row r="65476" customFormat="false" ht="12.8" hidden="false" customHeight="false" outlineLevel="0" collapsed="false">
      <c r="B65476" s="0" t="s">
        <v>6918</v>
      </c>
    </row>
    <row r="65478" customFormat="false" ht="12.8" hidden="false" customHeight="false" outlineLevel="0" collapsed="false">
      <c r="A65478" s="0" t="s">
        <v>21675</v>
      </c>
      <c r="B65478" s="0" t="str">
        <f aca="false">HYPERLINK("https://lindat.mff.cuni.cz/services/teitok/pdtc10/index.php?action=vallex&amp;frame=v-w8984f6_ZU", "zanechat (v-w8984f6_ZU) - substituted with v-w8984f7_ZU")</f>
        <v>zanechat (v-w8984f6_ZU) - substituted with v-w8984f7_ZU</v>
      </c>
    </row>
    <row r="65479" customFormat="false" ht="12.8" hidden="false" customHeight="false" outlineLevel="0" collapsed="false">
      <c r="B65479" s="0" t="s">
        <v>1</v>
      </c>
    </row>
    <row r="65480" customFormat="false" ht="12.8" hidden="false" customHeight="false" outlineLevel="0" collapsed="false">
      <c r="B65480" s="0" t="s">
        <v>8</v>
      </c>
    </row>
    <row r="65481" customFormat="false" ht="12.8" hidden="false" customHeight="false" outlineLevel="0" collapsed="false">
      <c r="B65481" s="0" t="s">
        <v>6918</v>
      </c>
    </row>
    <row r="65483" customFormat="false" ht="12.8" hidden="false" customHeight="false" outlineLevel="0" collapsed="false">
      <c r="A65483" s="0" t="s">
        <v>21676</v>
      </c>
      <c r="B65483" s="0" t="str">
        <f aca="false">HYPERLINK("https://lindat.mff.cuni.cz/services/teitok/pdtc10/index.php?action=vallex&amp;frame=v-w8984f1", "zanechat (v-w8984f1)")</f>
        <v>zanechat (v-w8984f1)</v>
      </c>
      <c r="E65483" s="0" t="str">
        <f aca="false">HYPERLINK("https://lindat.mff.cuni.cz/services/SynSemClass40/SynSemClass40.html?veclass=vec00575#vec00575-ces-cm00001", "vec00575")</f>
        <v>vec00575</v>
      </c>
      <c r="F65483" s="0" t="s">
        <v>8120</v>
      </c>
    </row>
    <row r="65484" customFormat="false" ht="12.8" hidden="false" customHeight="false" outlineLevel="0" collapsed="false">
      <c r="B65484" s="0" t="s">
        <v>1</v>
      </c>
      <c r="E65484" s="0" t="s">
        <v>11</v>
      </c>
      <c r="F65484" s="0" t="s">
        <v>959</v>
      </c>
    </row>
    <row r="65485" customFormat="false" ht="12.8" hidden="false" customHeight="false" outlineLevel="0" collapsed="false">
      <c r="B65485" s="0" t="s">
        <v>8</v>
      </c>
      <c r="E65485" s="0" t="s">
        <v>140</v>
      </c>
      <c r="F65485" s="0" t="s">
        <v>8121</v>
      </c>
    </row>
    <row r="65486" customFormat="false" ht="12.8" hidden="false" customHeight="false" outlineLevel="0" collapsed="false">
      <c r="B65486" s="0" t="s">
        <v>5</v>
      </c>
      <c r="E65486" s="0" t="s">
        <v>3254</v>
      </c>
      <c r="F65486" s="0" t="s">
        <v>3255</v>
      </c>
    </row>
    <row r="65488" customFormat="false" ht="12.8" hidden="false" customHeight="false" outlineLevel="0" collapsed="false">
      <c r="A65488" s="0" t="s">
        <v>21677</v>
      </c>
      <c r="B65488" s="0" t="str">
        <f aca="false">HYPERLINK("https://lindat.mff.cuni.cz/services/teitok/pdtc10/index.php?action=vallex&amp;frame=v-w8984f8_ZU", "zanechat (v-w8984f8_ZU)")</f>
        <v>zanechat (v-w8984f8_ZU)</v>
      </c>
    </row>
    <row r="65489" customFormat="false" ht="12.8" hidden="false" customHeight="false" outlineLevel="0" collapsed="false">
      <c r="B65489" s="0" t="s">
        <v>1</v>
      </c>
    </row>
    <row r="65490" customFormat="false" ht="12.8" hidden="false" customHeight="false" outlineLevel="0" collapsed="false">
      <c r="B65490" s="0" t="s">
        <v>8</v>
      </c>
    </row>
    <row r="65491" customFormat="false" ht="12.8" hidden="false" customHeight="false" outlineLevel="0" collapsed="false">
      <c r="B65491" s="0" t="s">
        <v>6510</v>
      </c>
    </row>
    <row r="65492" customFormat="false" ht="12.8" hidden="false" customHeight="false" outlineLevel="0" collapsed="false">
      <c r="B65492" s="0" t="s">
        <v>8123</v>
      </c>
    </row>
    <row r="65494" customFormat="false" ht="12.8" hidden="false" customHeight="false" outlineLevel="0" collapsed="false">
      <c r="A65494" s="0" t="s">
        <v>21677</v>
      </c>
      <c r="B65494" s="0" t="str">
        <f aca="false">HYPERLINK("https://lindat.mff.cuni.cz/services/teitok/pdtc10/index.php?action=vallex&amp;frame=v-w8984f5_ZU", "zanechat (v-w8984f5_ZU) - substituted with v-w8984f8_ZU")</f>
        <v>zanechat (v-w8984f5_ZU) - substituted with v-w8984f8_ZU</v>
      </c>
    </row>
    <row r="65495" customFormat="false" ht="12.8" hidden="false" customHeight="false" outlineLevel="0" collapsed="false">
      <c r="B65495" s="0" t="s">
        <v>1</v>
      </c>
    </row>
    <row r="65496" customFormat="false" ht="12.8" hidden="false" customHeight="false" outlineLevel="0" collapsed="false">
      <c r="B65496" s="0" t="s">
        <v>8</v>
      </c>
    </row>
    <row r="65497" customFormat="false" ht="12.8" hidden="false" customHeight="false" outlineLevel="0" collapsed="false">
      <c r="B65497" s="0" t="s">
        <v>6510</v>
      </c>
    </row>
    <row r="65498" customFormat="false" ht="12.8" hidden="false" customHeight="false" outlineLevel="0" collapsed="false">
      <c r="B65498" s="0" t="s">
        <v>8123</v>
      </c>
    </row>
    <row r="65500" customFormat="false" ht="12.8" hidden="false" customHeight="false" outlineLevel="0" collapsed="false">
      <c r="A65500" s="0" t="s">
        <v>21678</v>
      </c>
      <c r="B65500" s="0" t="str">
        <f aca="false">HYPERLINK("https://lindat.mff.cuni.cz/services/teitok/pdtc10/index.php?action=vallex&amp;frame=v-w8984f2", "zanechat (v-w8984f2)")</f>
        <v>zanechat (v-w8984f2)</v>
      </c>
      <c r="E65500" s="0" t="str">
        <f aca="false">HYPERLINK("https://lindat.mff.cuni.cz/services/SynSemClass40/SynSemClass40.html?veclass=vec00942#vec00942-ces-cm00013", "vec00942")</f>
        <v>vec00942</v>
      </c>
      <c r="F65500" s="0" t="s">
        <v>1686</v>
      </c>
    </row>
    <row r="65501" customFormat="false" ht="12.8" hidden="false" customHeight="false" outlineLevel="0" collapsed="false">
      <c r="B65501" s="0" t="s">
        <v>1</v>
      </c>
      <c r="C65501" s="0" t="s">
        <v>1687</v>
      </c>
      <c r="E65501" s="0" t="s">
        <v>11</v>
      </c>
      <c r="F65501" s="0" t="s">
        <v>1688</v>
      </c>
    </row>
    <row r="65502" customFormat="false" ht="12.8" hidden="false" customHeight="false" outlineLevel="0" collapsed="false">
      <c r="B65502" s="0" t="s">
        <v>1289</v>
      </c>
      <c r="C65502" s="0" t="s">
        <v>1690</v>
      </c>
      <c r="E65502" s="0" t="s">
        <v>140</v>
      </c>
      <c r="F65502" s="0" t="s">
        <v>1691</v>
      </c>
    </row>
    <row r="65504" customFormat="false" ht="12.8" hidden="false" customHeight="false" outlineLevel="0" collapsed="false">
      <c r="A65504" s="0" t="s">
        <v>21679</v>
      </c>
      <c r="B65504" s="0" t="str">
        <f aca="false">HYPERLINK("https://lindat.mff.cuni.cz/services/teitok/pdtc10/index.php?action=vallex&amp;frame=v-w8984f4", "zanechat (v-w8984f4)")</f>
        <v>zanechat (v-w8984f4)</v>
      </c>
    </row>
    <row r="65505" customFormat="false" ht="12.8" hidden="false" customHeight="false" outlineLevel="0" collapsed="false">
      <c r="B65505" s="0" t="s">
        <v>1</v>
      </c>
    </row>
    <row r="65506" customFormat="false" ht="12.8" hidden="false" customHeight="false" outlineLevel="0" collapsed="false">
      <c r="B65506" s="0" t="s">
        <v>21680</v>
      </c>
    </row>
    <row r="65507" customFormat="false" ht="12.8" hidden="false" customHeight="false" outlineLevel="0" collapsed="false">
      <c r="B65507" s="0" t="s">
        <v>8</v>
      </c>
    </row>
    <row r="65508" customFormat="false" ht="12.8" hidden="false" customHeight="false" outlineLevel="0" collapsed="false">
      <c r="B65508" s="0" t="s">
        <v>132</v>
      </c>
    </row>
    <row r="65510" customFormat="false" ht="12.8" hidden="false" customHeight="false" outlineLevel="0" collapsed="false">
      <c r="A65510" s="0" t="s">
        <v>21681</v>
      </c>
      <c r="B65510" s="0" t="str">
        <f aca="false">HYPERLINK("https://lindat.mff.cuni.cz/services/teitok/pdtc10/index.php?action=vallex&amp;frame=v-w8985f1", "zanechávat (v-w8985f1)")</f>
        <v>zanechávat (v-w8985f1)</v>
      </c>
      <c r="E65510" s="0" t="str">
        <f aca="false">HYPERLINK("https://lindat.mff.cuni.cz/services/SynSemClass40/SynSemClass40.html?veclass=vec00575#vec00575-ces-cm00048", "vec00575")</f>
        <v>vec00575</v>
      </c>
      <c r="F65510" s="0" t="s">
        <v>8120</v>
      </c>
    </row>
    <row r="65511" customFormat="false" ht="12.8" hidden="false" customHeight="false" outlineLevel="0" collapsed="false">
      <c r="B65511" s="0" t="s">
        <v>1</v>
      </c>
      <c r="E65511" s="0" t="s">
        <v>11</v>
      </c>
      <c r="F65511" s="0" t="s">
        <v>959</v>
      </c>
    </row>
    <row r="65512" customFormat="false" ht="12.8" hidden="false" customHeight="false" outlineLevel="0" collapsed="false">
      <c r="B65512" s="0" t="s">
        <v>8</v>
      </c>
      <c r="E65512" s="0" t="s">
        <v>140</v>
      </c>
      <c r="F65512" s="0" t="s">
        <v>8121</v>
      </c>
    </row>
    <row r="65513" customFormat="false" ht="12.8" hidden="false" customHeight="false" outlineLevel="0" collapsed="false">
      <c r="B65513" s="0" t="s">
        <v>5</v>
      </c>
      <c r="E65513" s="0" t="s">
        <v>3254</v>
      </c>
      <c r="F65513" s="0" t="s">
        <v>3255</v>
      </c>
    </row>
    <row r="65515" customFormat="false" ht="12.8" hidden="false" customHeight="false" outlineLevel="0" collapsed="false">
      <c r="A65515" s="0" t="s">
        <v>21682</v>
      </c>
      <c r="B65515" s="0" t="str">
        <f aca="false">HYPERLINK("https://lindat.mff.cuni.cz/services/teitok/pdtc10/index.php?action=vallex&amp;frame=v-w8985f2_ZU", "zanechávat (v-w8985f2_ZU)")</f>
        <v>zanechávat (v-w8985f2_ZU)</v>
      </c>
      <c r="E65515" s="0" t="str">
        <f aca="false">HYPERLINK("https://lindat.mff.cuni.cz/services/SynSemClass40/SynSemClass40.html?veclass=vec00198#vec00198-ces-cm00175", "vec00198")</f>
        <v>vec00198</v>
      </c>
      <c r="F65515" s="0" t="s">
        <v>134</v>
      </c>
    </row>
    <row r="65516" customFormat="false" ht="12.8" hidden="false" customHeight="false" outlineLevel="0" collapsed="false">
      <c r="B65516" s="0" t="s">
        <v>1</v>
      </c>
      <c r="C65516" s="0" t="s">
        <v>8126</v>
      </c>
      <c r="E65516" s="0" t="s">
        <v>31</v>
      </c>
      <c r="F65516" s="0" t="s">
        <v>137</v>
      </c>
    </row>
    <row r="65517" customFormat="false" ht="12.8" hidden="false" customHeight="false" outlineLevel="0" collapsed="false">
      <c r="B65517" s="0" t="s">
        <v>1289</v>
      </c>
      <c r="C65517" s="0" t="s">
        <v>8127</v>
      </c>
      <c r="E65517" s="0" t="s">
        <v>140</v>
      </c>
      <c r="F65517" s="0" t="s">
        <v>141</v>
      </c>
    </row>
    <row r="65519" customFormat="false" ht="12.8" hidden="false" customHeight="false" outlineLevel="0" collapsed="false">
      <c r="A65519" s="0" t="s">
        <v>21682</v>
      </c>
      <c r="B65519" s="0" t="str">
        <f aca="false">HYPERLINK("https://lindat.mff.cuni.cz/services/teitok/pdtc10/index.php?action=vallex&amp;frame=v-w8985hsa_197", "zanechávat (v-w8985hsa_197) - substituted with v-w8985f2_ZU")</f>
        <v>zanechávat (v-w8985hsa_197) - substituted with v-w8985f2_ZU</v>
      </c>
    </row>
    <row r="65520" customFormat="false" ht="12.8" hidden="false" customHeight="false" outlineLevel="0" collapsed="false">
      <c r="B65520" s="0" t="s">
        <v>1</v>
      </c>
    </row>
    <row r="65521" customFormat="false" ht="12.8" hidden="false" customHeight="false" outlineLevel="0" collapsed="false">
      <c r="B65521" s="0" t="s">
        <v>1289</v>
      </c>
    </row>
    <row r="65523" customFormat="false" ht="12.8" hidden="false" customHeight="false" outlineLevel="0" collapsed="false">
      <c r="A65523" s="0" t="s">
        <v>21683</v>
      </c>
      <c r="B65523" s="0" t="str">
        <f aca="false">HYPERLINK("https://lindat.mff.cuni.cz/services/teitok/pdtc10/index.php?action=vallex&amp;frame=v-w8981f2", "zanedbat (v-w8981f2)")</f>
        <v>zanedbat (v-w8981f2)</v>
      </c>
      <c r="E65523" s="0" t="str">
        <f aca="false">HYPERLINK("https://lindat.mff.cuni.cz/services/SynSemClass40/SynSemClass40.html?veclass=vec00460#vec00460-ces-cm00032", "vec00460")</f>
        <v>vec00460</v>
      </c>
      <c r="F65523" s="0" t="s">
        <v>4773</v>
      </c>
    </row>
    <row r="65524" customFormat="false" ht="12.8" hidden="false" customHeight="false" outlineLevel="0" collapsed="false">
      <c r="B65524" s="0" t="s">
        <v>1</v>
      </c>
      <c r="C65524" s="0" t="s">
        <v>4774</v>
      </c>
      <c r="E65524" s="0" t="s">
        <v>2034</v>
      </c>
      <c r="F65524" s="0" t="s">
        <v>4775</v>
      </c>
    </row>
    <row r="65525" customFormat="false" ht="12.8" hidden="false" customHeight="false" outlineLevel="0" collapsed="false">
      <c r="B65525" s="0" t="s">
        <v>59</v>
      </c>
      <c r="C65525" s="0" t="s">
        <v>4776</v>
      </c>
      <c r="E65525" s="0" t="s">
        <v>2037</v>
      </c>
      <c r="F65525" s="0" t="s">
        <v>4777</v>
      </c>
    </row>
    <row r="65527" customFormat="false" ht="12.8" hidden="false" customHeight="false" outlineLevel="0" collapsed="false">
      <c r="A65527" s="0" t="s">
        <v>21684</v>
      </c>
      <c r="B65527" s="0" t="str">
        <f aca="false">HYPERLINK("https://lindat.mff.cuni.cz/services/teitok/pdtc10/index.php?action=vallex&amp;frame=v-w8981f1", "zanedbat (v-w8981f1)")</f>
        <v>zanedbat (v-w8981f1)</v>
      </c>
      <c r="E65527" s="0" t="str">
        <f aca="false">HYPERLINK("https://lindat.mff.cuni.cz/services/SynSemClass40/SynSemClass40.html?veclass=vec00460#vec00460-ces-cm00013", "vec00460")</f>
        <v>vec00460</v>
      </c>
      <c r="F65527" s="0" t="s">
        <v>4773</v>
      </c>
    </row>
    <row r="65528" customFormat="false" ht="12.8" hidden="false" customHeight="false" outlineLevel="0" collapsed="false">
      <c r="B65528" s="0" t="s">
        <v>1</v>
      </c>
      <c r="C65528" s="0" t="s">
        <v>4774</v>
      </c>
      <c r="E65528" s="0" t="s">
        <v>2034</v>
      </c>
      <c r="F65528" s="0" t="s">
        <v>4775</v>
      </c>
    </row>
    <row r="65529" customFormat="false" ht="12.8" hidden="false" customHeight="false" outlineLevel="0" collapsed="false">
      <c r="B65529" s="0" t="s">
        <v>8</v>
      </c>
      <c r="C65529" s="0" t="s">
        <v>4776</v>
      </c>
      <c r="E65529" s="0" t="s">
        <v>2037</v>
      </c>
      <c r="F65529" s="0" t="s">
        <v>4777</v>
      </c>
    </row>
    <row r="65531" customFormat="false" ht="12.8" hidden="false" customHeight="false" outlineLevel="0" collapsed="false">
      <c r="A65531" s="0" t="s">
        <v>21685</v>
      </c>
      <c r="B65531" s="0" t="str">
        <f aca="false">HYPERLINK("https://lindat.mff.cuni.cz/services/teitok/pdtc10/index.php?action=vallex&amp;frame=v-w8983f2", "zanedbávat (v-w8983f2)")</f>
        <v>zanedbávat (v-w8983f2)</v>
      </c>
      <c r="E65531" s="0" t="str">
        <f aca="false">HYPERLINK("https://lindat.mff.cuni.cz/services/SynSemClass40/SynSemClass40.html?veclass=vec00460#vec00460-ces-cm00015", "vec00460")</f>
        <v>vec00460</v>
      </c>
      <c r="F65531" s="0" t="s">
        <v>4773</v>
      </c>
    </row>
    <row r="65532" customFormat="false" ht="12.8" hidden="false" customHeight="false" outlineLevel="0" collapsed="false">
      <c r="B65532" s="0" t="s">
        <v>1</v>
      </c>
      <c r="C65532" s="0" t="s">
        <v>4774</v>
      </c>
      <c r="E65532" s="0" t="s">
        <v>2034</v>
      </c>
      <c r="F65532" s="0" t="s">
        <v>4775</v>
      </c>
    </row>
    <row r="65533" customFormat="false" ht="12.8" hidden="false" customHeight="false" outlineLevel="0" collapsed="false">
      <c r="B65533" s="0" t="s">
        <v>59</v>
      </c>
      <c r="C65533" s="0" t="s">
        <v>4776</v>
      </c>
      <c r="E65533" s="0" t="s">
        <v>2037</v>
      </c>
      <c r="F65533" s="0" t="s">
        <v>4777</v>
      </c>
    </row>
    <row r="65535" customFormat="false" ht="12.8" hidden="false" customHeight="false" outlineLevel="0" collapsed="false">
      <c r="A65535" s="0" t="s">
        <v>21686</v>
      </c>
      <c r="B65535" s="0" t="str">
        <f aca="false">HYPERLINK("https://lindat.mff.cuni.cz/services/teitok/pdtc10/index.php?action=vallex&amp;frame=v-w8983f1", "zanedbávat (v-w8983f1)")</f>
        <v>zanedbávat (v-w8983f1)</v>
      </c>
      <c r="E65535" s="0" t="str">
        <f aca="false">HYPERLINK("https://lindat.mff.cuni.cz/services/SynSemClass40/SynSemClass40.html?veclass=vec00460#vec00460-ces-cm00014", "vec00460")</f>
        <v>vec00460</v>
      </c>
      <c r="F65535" s="0" t="s">
        <v>4773</v>
      </c>
    </row>
    <row r="65536" customFormat="false" ht="12.8" hidden="false" customHeight="false" outlineLevel="0" collapsed="false">
      <c r="B65536" s="0" t="s">
        <v>1</v>
      </c>
      <c r="C65536" s="0" t="s">
        <v>4774</v>
      </c>
      <c r="E65536" s="0" t="s">
        <v>2034</v>
      </c>
      <c r="F65536" s="0" t="s">
        <v>4775</v>
      </c>
    </row>
    <row r="65537" customFormat="false" ht="12.8" hidden="false" customHeight="false" outlineLevel="0" collapsed="false">
      <c r="B65537" s="0" t="s">
        <v>8</v>
      </c>
      <c r="C65537" s="0" t="s">
        <v>4776</v>
      </c>
      <c r="E65537" s="0" t="s">
        <v>2037</v>
      </c>
      <c r="F65537" s="0" t="s">
        <v>4777</v>
      </c>
    </row>
    <row r="65539" customFormat="false" ht="12.8" hidden="false" customHeight="false" outlineLevel="0" collapsed="false">
      <c r="A65539" s="0" t="s">
        <v>21687</v>
      </c>
      <c r="B65539" s="0" t="str">
        <f aca="false">HYPERLINK("https://lindat.mff.cuni.cz/services/teitok/pdtc10/index.php?action=vallex&amp;frame=v-w8987f1", "zaneprázdnit (v-w8987f1)")</f>
        <v>zaneprázdnit (v-w8987f1)</v>
      </c>
    </row>
    <row r="65540" customFormat="false" ht="12.8" hidden="false" customHeight="false" outlineLevel="0" collapsed="false">
      <c r="B65540" s="0" t="s">
        <v>1</v>
      </c>
    </row>
    <row r="65541" customFormat="false" ht="12.8" hidden="false" customHeight="false" outlineLevel="0" collapsed="false">
      <c r="B65541" s="0" t="s">
        <v>8</v>
      </c>
    </row>
    <row r="65543" customFormat="false" ht="12.8" hidden="false" customHeight="false" outlineLevel="0" collapsed="false">
      <c r="A65543" s="0" t="s">
        <v>21688</v>
      </c>
      <c r="B65543" s="0" t="str">
        <f aca="false">HYPERLINK("https://lindat.mff.cuni.cz/services/teitok/pdtc10/index.php?action=vallex&amp;frame=v-w12116_ZUf1_ZU", "zanevřít (v-w12116_ZUf1_ZU)")</f>
        <v>zanevřít (v-w12116_ZUf1_ZU)</v>
      </c>
    </row>
    <row r="65544" customFormat="false" ht="12.8" hidden="false" customHeight="false" outlineLevel="0" collapsed="false">
      <c r="B65544" s="0" t="s">
        <v>1</v>
      </c>
    </row>
    <row r="65545" customFormat="false" ht="12.8" hidden="false" customHeight="false" outlineLevel="0" collapsed="false">
      <c r="B65545" s="0" t="s">
        <v>45</v>
      </c>
    </row>
    <row r="65547" customFormat="false" ht="12.8" hidden="false" customHeight="false" outlineLevel="0" collapsed="false">
      <c r="A65547" s="0" t="s">
        <v>21689</v>
      </c>
      <c r="B65547" s="0" t="str">
        <f aca="false">HYPERLINK("https://lindat.mff.cuni.cz/services/teitok/pdtc10/index.php?action=vallex&amp;frame=v-w8991f1", "zanikat (v-w8991f1)")</f>
        <v>zanikat (v-w8991f1)</v>
      </c>
    </row>
    <row r="65548" customFormat="false" ht="12.8" hidden="false" customHeight="false" outlineLevel="0" collapsed="false">
      <c r="B65548" s="0" t="s">
        <v>1</v>
      </c>
    </row>
    <row r="65550" customFormat="false" ht="12.8" hidden="false" customHeight="false" outlineLevel="0" collapsed="false">
      <c r="A65550" s="0" t="s">
        <v>21690</v>
      </c>
      <c r="B65550" s="0" t="str">
        <f aca="false">HYPERLINK("https://lindat.mff.cuni.cz/services/teitok/pdtc10/index.php?action=vallex&amp;frame=v-w8991f2", "zanikat (v-w8991f2)")</f>
        <v>zanikat (v-w8991f2)</v>
      </c>
    </row>
    <row r="65551" customFormat="false" ht="12.8" hidden="false" customHeight="false" outlineLevel="0" collapsed="false">
      <c r="B65551" s="0" t="s">
        <v>21691</v>
      </c>
    </row>
    <row r="65552" customFormat="false" ht="12.8" hidden="false" customHeight="false" outlineLevel="0" collapsed="false">
      <c r="B65552" s="0" t="s">
        <v>7052</v>
      </c>
    </row>
    <row r="65554" customFormat="false" ht="12.8" hidden="false" customHeight="false" outlineLevel="0" collapsed="false">
      <c r="A65554" s="0" t="s">
        <v>21692</v>
      </c>
      <c r="B65554" s="0" t="str">
        <f aca="false">HYPERLINK("https://lindat.mff.cuni.cz/services/teitok/pdtc10/index.php?action=vallex&amp;frame=v-w8992f1", "zaniknout (v-w8992f1)")</f>
        <v>zaniknout (v-w8992f1)</v>
      </c>
      <c r="E65554" s="0" t="str">
        <f aca="false">HYPERLINK("https://lindat.mff.cuni.cz/services/SynSemClass40/SynSemClass40.html?veclass=vec00755#vec00755-ces-cm00007", "vec00755")</f>
        <v>vec00755</v>
      </c>
      <c r="F65554" s="0" t="s">
        <v>6268</v>
      </c>
    </row>
    <row r="65555" customFormat="false" ht="12.8" hidden="false" customHeight="false" outlineLevel="0" collapsed="false">
      <c r="B65555" s="0" t="s">
        <v>1</v>
      </c>
      <c r="C65555" s="0" t="s">
        <v>6269</v>
      </c>
      <c r="E65555" s="0" t="s">
        <v>6270</v>
      </c>
      <c r="F65555" s="0" t="s">
        <v>6271</v>
      </c>
    </row>
    <row r="65557" customFormat="false" ht="12.8" hidden="false" customHeight="false" outlineLevel="0" collapsed="false">
      <c r="A65557" s="0" t="s">
        <v>21693</v>
      </c>
      <c r="B65557" s="0" t="str">
        <f aca="false">HYPERLINK("https://lindat.mff.cuni.cz/services/teitok/pdtc10/index.php?action=vallex&amp;frame=v-w8992f2", "zaniknout (v-w8992f2)")</f>
        <v>zaniknout (v-w8992f2)</v>
      </c>
    </row>
    <row r="65558" customFormat="false" ht="12.8" hidden="false" customHeight="false" outlineLevel="0" collapsed="false">
      <c r="B65558" s="0" t="s">
        <v>20780</v>
      </c>
    </row>
    <row r="65559" customFormat="false" ht="12.8" hidden="false" customHeight="false" outlineLevel="0" collapsed="false">
      <c r="B65559" s="0" t="s">
        <v>7052</v>
      </c>
    </row>
    <row r="65561" customFormat="false" ht="12.8" hidden="false" customHeight="false" outlineLevel="0" collapsed="false">
      <c r="A65561" s="0" t="s">
        <v>21694</v>
      </c>
      <c r="B65561" s="0" t="str">
        <f aca="false">HYPERLINK("https://lindat.mff.cuni.cz/services/teitok/pdtc10/index.php?action=vallex&amp;frame=v-w8992f3_ZU", "zaniknout (v-w8992f3_ZU)")</f>
        <v>zaniknout (v-w8992f3_ZU)</v>
      </c>
    </row>
    <row r="65562" customFormat="false" ht="12.8" hidden="false" customHeight="false" outlineLevel="0" collapsed="false">
      <c r="B65562" s="0" t="s">
        <v>1</v>
      </c>
    </row>
    <row r="65564" customFormat="false" ht="12.8" hidden="false" customHeight="false" outlineLevel="0" collapsed="false">
      <c r="A65564" s="0" t="s">
        <v>21695</v>
      </c>
      <c r="B65564" s="0" t="str">
        <f aca="false">HYPERLINK("https://lindat.mff.cuni.cz/services/teitok/pdtc10/index.php?action=vallex&amp;frame=v-w10226f2", "zanotovat (v-w10226f2)")</f>
        <v>zanotovat (v-w10226f2)</v>
      </c>
      <c r="E65564" s="0" t="str">
        <f aca="false">HYPERLINK("https://lindat.mff.cuni.cz/services/SynSemClass40/SynSemClass40.html?veclass=vec00794#vec00794-ces-cm00009", "vec00794")</f>
        <v>vec00794</v>
      </c>
      <c r="F65564" s="0" t="s">
        <v>506</v>
      </c>
    </row>
    <row r="65565" customFormat="false" ht="12.8" hidden="false" customHeight="false" outlineLevel="0" collapsed="false">
      <c r="B65565" s="0" t="s">
        <v>1</v>
      </c>
      <c r="C65565" s="0" t="s">
        <v>428</v>
      </c>
      <c r="E65565" s="0" t="s">
        <v>147</v>
      </c>
      <c r="F65565" s="0" t="s">
        <v>507</v>
      </c>
    </row>
    <row r="65566" customFormat="false" ht="12.8" hidden="false" customHeight="false" outlineLevel="0" collapsed="false">
      <c r="B65566" s="0" t="s">
        <v>12917</v>
      </c>
      <c r="C65566" s="0" t="s">
        <v>10607</v>
      </c>
      <c r="E65566" s="0" t="s">
        <v>2217</v>
      </c>
      <c r="F65566" s="0" t="s">
        <v>10608</v>
      </c>
    </row>
    <row r="65567" customFormat="false" ht="12.8" hidden="false" customHeight="false" outlineLevel="0" collapsed="false">
      <c r="B65567" s="0" t="s">
        <v>496</v>
      </c>
      <c r="C65567" s="0" t="s">
        <v>158</v>
      </c>
      <c r="E65567" s="0" t="s">
        <v>218</v>
      </c>
      <c r="F65567" s="0" t="s">
        <v>509</v>
      </c>
    </row>
    <row r="65568" customFormat="false" ht="12.8" hidden="false" customHeight="false" outlineLevel="0" collapsed="false">
      <c r="B65568" s="0" t="s">
        <v>132</v>
      </c>
      <c r="E65568" s="0" t="s">
        <v>221</v>
      </c>
      <c r="F65568" s="0" t="s">
        <v>4699</v>
      </c>
    </row>
    <row r="65570" customFormat="false" ht="12.8" hidden="false" customHeight="false" outlineLevel="0" collapsed="false">
      <c r="A65570" s="0" t="s">
        <v>21696</v>
      </c>
      <c r="B65570" s="0" t="str">
        <f aca="false">HYPERLINK("https://lindat.mff.cuni.cz/services/teitok/pdtc10/index.php?action=vallex&amp;frame=v-w8993f1", "zanořovat se (v-w8993f1)")</f>
        <v>zanořovat se (v-w8993f1)</v>
      </c>
      <c r="E65570" s="0" t="str">
        <f aca="false">HYPERLINK("https://lindat.mff.cuni.cz/services/SynSemClass40/SynSemClass40.html?veclass=vec01542#vec01542-ces-cm00022", "vec01542")</f>
        <v>vec01542</v>
      </c>
      <c r="F65570" s="0" t="s">
        <v>11702</v>
      </c>
    </row>
    <row r="65571" customFormat="false" ht="12.8" hidden="false" customHeight="false" outlineLevel="0" collapsed="false">
      <c r="B65571" s="0" t="s">
        <v>1</v>
      </c>
      <c r="C65571" s="0" t="s">
        <v>21697</v>
      </c>
      <c r="E65571" s="0" t="s">
        <v>6270</v>
      </c>
      <c r="F65571" s="0" t="s">
        <v>11704</v>
      </c>
    </row>
    <row r="65572" customFormat="false" ht="12.8" hidden="false" customHeight="false" outlineLevel="0" collapsed="false">
      <c r="B65572" s="0" t="s">
        <v>164</v>
      </c>
      <c r="C65572" s="0" t="s">
        <v>21698</v>
      </c>
      <c r="E65572" s="0" t="s">
        <v>18869</v>
      </c>
      <c r="F65572" s="0" t="s">
        <v>18870</v>
      </c>
    </row>
    <row r="65574" customFormat="false" ht="12.8" hidden="false" customHeight="false" outlineLevel="0" collapsed="false">
      <c r="A65574" s="0" t="s">
        <v>21699</v>
      </c>
      <c r="B65574" s="0" t="str">
        <f aca="false">HYPERLINK("https://lindat.mff.cuni.cz/services/teitok/pdtc10/index.php?action=vallex&amp;frame=v-w8979f1", "zanášet (v-w8979f1)")</f>
        <v>zanášet (v-w8979f1)</v>
      </c>
    </row>
    <row r="65575" customFormat="false" ht="12.8" hidden="false" customHeight="false" outlineLevel="0" collapsed="false">
      <c r="B65575" s="0" t="s">
        <v>1</v>
      </c>
    </row>
    <row r="65576" customFormat="false" ht="12.8" hidden="false" customHeight="false" outlineLevel="0" collapsed="false">
      <c r="B65576" s="0" t="s">
        <v>8</v>
      </c>
    </row>
    <row r="65577" customFormat="false" ht="12.8" hidden="false" customHeight="false" outlineLevel="0" collapsed="false">
      <c r="B65577" s="0" t="s">
        <v>164</v>
      </c>
    </row>
    <row r="65579" customFormat="false" ht="12.8" hidden="false" customHeight="false" outlineLevel="0" collapsed="false">
      <c r="A65579" s="0" t="s">
        <v>21700</v>
      </c>
      <c r="B65579" s="0" t="str">
        <f aca="false">HYPERLINK("https://lindat.mff.cuni.cz/services/teitok/pdtc10/index.php?action=vallex&amp;frame=v-w8988f4", "zanést (v-w8988f4)")</f>
        <v>zanést (v-w8988f4)</v>
      </c>
    </row>
    <row r="65580" customFormat="false" ht="12.8" hidden="false" customHeight="false" outlineLevel="0" collapsed="false">
      <c r="B65580" s="0" t="s">
        <v>1</v>
      </c>
    </row>
    <row r="65581" customFormat="false" ht="12.8" hidden="false" customHeight="false" outlineLevel="0" collapsed="false">
      <c r="B65581" s="0" t="s">
        <v>8</v>
      </c>
    </row>
    <row r="65582" customFormat="false" ht="12.8" hidden="false" customHeight="false" outlineLevel="0" collapsed="false">
      <c r="B65582" s="0" t="s">
        <v>3473</v>
      </c>
    </row>
    <row r="65584" customFormat="false" ht="12.8" hidden="false" customHeight="false" outlineLevel="0" collapsed="false">
      <c r="A65584" s="0" t="s">
        <v>21701</v>
      </c>
      <c r="B65584" s="0" t="str">
        <f aca="false">HYPERLINK("https://lindat.mff.cuni.cz/services/teitok/pdtc10/index.php?action=vallex&amp;frame=v-w8988f1", "zanést (v-w8988f1)")</f>
        <v>zanést (v-w8988f1)</v>
      </c>
      <c r="E65584" s="0" t="str">
        <f aca="false">HYPERLINK("https://lindat.mff.cuni.cz/services/SynSemClass40/SynSemClass40.html?veclass=vec00735#vec00735-ces-cm00051", "vec00735")</f>
        <v>vec00735</v>
      </c>
      <c r="F65584" s="0" t="s">
        <v>2719</v>
      </c>
    </row>
    <row r="65585" customFormat="false" ht="12.8" hidden="false" customHeight="false" outlineLevel="0" collapsed="false">
      <c r="B65585" s="0" t="s">
        <v>1</v>
      </c>
      <c r="C65585" s="0" t="s">
        <v>2720</v>
      </c>
      <c r="E65585" s="0" t="s">
        <v>334</v>
      </c>
      <c r="F65585" s="0" t="s">
        <v>2721</v>
      </c>
    </row>
    <row r="65586" customFormat="false" ht="12.8" hidden="false" customHeight="false" outlineLevel="0" collapsed="false">
      <c r="B65586" s="0" t="s">
        <v>8</v>
      </c>
      <c r="C65586" s="0" t="s">
        <v>2722</v>
      </c>
      <c r="E65586" s="0" t="s">
        <v>2648</v>
      </c>
      <c r="F65586" s="0" t="s">
        <v>2723</v>
      </c>
    </row>
    <row r="65587" customFormat="false" ht="12.8" hidden="false" customHeight="false" outlineLevel="0" collapsed="false">
      <c r="B65587" s="0" t="s">
        <v>5</v>
      </c>
      <c r="C65587" s="0" t="s">
        <v>6068</v>
      </c>
      <c r="E65587" s="0" t="s">
        <v>3254</v>
      </c>
      <c r="F65587" s="0" t="s">
        <v>6069</v>
      </c>
    </row>
    <row r="65589" customFormat="false" ht="12.8" hidden="false" customHeight="false" outlineLevel="0" collapsed="false">
      <c r="A65589" s="0" t="s">
        <v>21702</v>
      </c>
      <c r="B65589" s="0" t="str">
        <f aca="false">HYPERLINK("https://lindat.mff.cuni.cz/services/teitok/pdtc10/index.php?action=vallex&amp;frame=v-w8988f3", "zanést (v-w8988f3)")</f>
        <v>zanést (v-w8988f3)</v>
      </c>
      <c r="E65589" s="0" t="str">
        <f aca="false">HYPERLINK("https://lindat.mff.cuni.cz/services/SynSemClass40/SynSemClass40.html?veclass=vec00735#vec00735-ces-cm00164", "vec00735")</f>
        <v>vec00735</v>
      </c>
      <c r="F65589" s="0" t="s">
        <v>2719</v>
      </c>
      <c r="H65589" s="0" t="str">
        <f aca="false">HYPERLINK("https://lindat.mff.cuni.cz/services/SynSemClass40/SynSemClass40.html?veclass=vec01167#vec01167-ces-cm00005", "vec01167")</f>
        <v>vec01167</v>
      </c>
      <c r="I65589" s="0" t="s">
        <v>7657</v>
      </c>
    </row>
    <row r="65590" customFormat="false" ht="12.8" hidden="false" customHeight="false" outlineLevel="0" collapsed="false">
      <c r="B65590" s="0" t="s">
        <v>1</v>
      </c>
      <c r="C65590" s="0" t="s">
        <v>7110</v>
      </c>
      <c r="E65590" s="0" t="s">
        <v>334</v>
      </c>
      <c r="F65590" s="0" t="s">
        <v>2721</v>
      </c>
      <c r="H65590" s="0" t="s">
        <v>768</v>
      </c>
      <c r="I65590" s="0" t="s">
        <v>7658</v>
      </c>
    </row>
    <row r="65591" customFormat="false" ht="12.8" hidden="false" customHeight="false" outlineLevel="0" collapsed="false">
      <c r="B65591" s="0" t="s">
        <v>8</v>
      </c>
      <c r="C65591" s="0" t="s">
        <v>21703</v>
      </c>
      <c r="E65591" s="0" t="s">
        <v>2648</v>
      </c>
      <c r="F65591" s="0" t="s">
        <v>2723</v>
      </c>
      <c r="H65591" s="0" t="s">
        <v>110</v>
      </c>
      <c r="I65591" s="0" t="s">
        <v>7659</v>
      </c>
    </row>
    <row r="65592" customFormat="false" ht="12.8" hidden="false" customHeight="false" outlineLevel="0" collapsed="false">
      <c r="B65592" s="0" t="s">
        <v>164</v>
      </c>
      <c r="C65592" s="0" t="s">
        <v>2724</v>
      </c>
      <c r="E65592" s="0" t="s">
        <v>370</v>
      </c>
      <c r="F65592" s="0" t="s">
        <v>2725</v>
      </c>
      <c r="H65592" s="0" t="s">
        <v>14031</v>
      </c>
      <c r="I65592" s="0" t="s">
        <v>18742</v>
      </c>
    </row>
    <row r="65594" customFormat="false" ht="12.8" hidden="false" customHeight="false" outlineLevel="0" collapsed="false">
      <c r="A65594" s="0" t="s">
        <v>21704</v>
      </c>
      <c r="B65594" s="0" t="str">
        <f aca="false">HYPERLINK("https://lindat.mff.cuni.cz/services/teitok/pdtc10/index.php?action=vallex&amp;frame=v-w8988f2", "zanést (v-w8988f2)")</f>
        <v>zanést (v-w8988f2)</v>
      </c>
    </row>
    <row r="65595" customFormat="false" ht="12.8" hidden="false" customHeight="false" outlineLevel="0" collapsed="false">
      <c r="B65595" s="0" t="s">
        <v>1</v>
      </c>
    </row>
    <row r="65596" customFormat="false" ht="12.8" hidden="false" customHeight="false" outlineLevel="0" collapsed="false">
      <c r="B65596" s="0" t="s">
        <v>8</v>
      </c>
    </row>
    <row r="65597" customFormat="false" ht="12.8" hidden="false" customHeight="false" outlineLevel="0" collapsed="false">
      <c r="B65597" s="0" t="s">
        <v>164</v>
      </c>
    </row>
    <row r="65599" customFormat="false" ht="12.8" hidden="false" customHeight="false" outlineLevel="0" collapsed="false">
      <c r="A65599" s="0" t="s">
        <v>21705</v>
      </c>
      <c r="B65599" s="0" t="str">
        <f aca="false">HYPERLINK("https://lindat.mff.cuni.cz/services/teitok/pdtc10/index.php?action=vallex&amp;frame=v-w8988f5_ZU", "zanést (v-w8988f5_ZU)")</f>
        <v>zanést (v-w8988f5_ZU)</v>
      </c>
    </row>
    <row r="65600" customFormat="false" ht="12.8" hidden="false" customHeight="false" outlineLevel="0" collapsed="false">
      <c r="B65600" s="0" t="s">
        <v>1</v>
      </c>
    </row>
    <row r="65601" customFormat="false" ht="12.8" hidden="false" customHeight="false" outlineLevel="0" collapsed="false">
      <c r="B65601" s="0" t="s">
        <v>8</v>
      </c>
    </row>
    <row r="65602" customFormat="false" ht="12.8" hidden="false" customHeight="false" outlineLevel="0" collapsed="false">
      <c r="B65602" s="0" t="s">
        <v>7045</v>
      </c>
    </row>
    <row r="65604" customFormat="false" ht="12.8" hidden="false" customHeight="false" outlineLevel="0" collapsed="false">
      <c r="A65604" s="0" t="s">
        <v>21706</v>
      </c>
      <c r="B65604" s="0" t="str">
        <f aca="false">HYPERLINK("https://lindat.mff.cuni.cz/services/teitok/pdtc10/index.php?action=vallex&amp;frame=v-w8988f6_ZU", "zanést (v-w8988f6_ZU)")</f>
        <v>zanést (v-w8988f6_ZU)</v>
      </c>
    </row>
    <row r="65605" customFormat="false" ht="12.8" hidden="false" customHeight="false" outlineLevel="0" collapsed="false">
      <c r="B65605" s="0" t="s">
        <v>1</v>
      </c>
    </row>
    <row r="65606" customFormat="false" ht="12.8" hidden="false" customHeight="false" outlineLevel="0" collapsed="false">
      <c r="B65606" s="0" t="s">
        <v>8</v>
      </c>
    </row>
    <row r="65607" customFormat="false" ht="12.8" hidden="false" customHeight="false" outlineLevel="0" collapsed="false">
      <c r="B65607" s="0" t="s">
        <v>454</v>
      </c>
    </row>
    <row r="65609" customFormat="false" ht="12.8" hidden="false" customHeight="false" outlineLevel="0" collapsed="false">
      <c r="A65609" s="0" t="s">
        <v>21707</v>
      </c>
      <c r="B65609" s="0" t="str">
        <f aca="false">HYPERLINK("https://lindat.mff.cuni.cz/services/teitok/pdtc10/index.php?action=vallex&amp;frame=v-whsa_586hsa_587", "zaobalovat (v-whsa_586hsa_587)")</f>
        <v>zaobalovat (v-whsa_586hsa_587)</v>
      </c>
      <c r="E65609" s="0" t="str">
        <f aca="false">HYPERLINK("https://lindat.mff.cuni.cz/services/SynSemClass40/SynSemClass40.html?veclass=vec00791#vec00791-ces-cm00011", "vec00791")</f>
        <v>vec00791</v>
      </c>
      <c r="F65609" s="0" t="s">
        <v>4768</v>
      </c>
    </row>
    <row r="65610" customFormat="false" ht="12.8" hidden="false" customHeight="false" outlineLevel="0" collapsed="false">
      <c r="B65610" s="0" t="s">
        <v>1</v>
      </c>
      <c r="C65610" s="0" t="s">
        <v>4264</v>
      </c>
      <c r="E65610" s="0" t="s">
        <v>4726</v>
      </c>
      <c r="F65610" s="0" t="s">
        <v>4769</v>
      </c>
    </row>
    <row r="65611" customFormat="false" ht="12.8" hidden="false" customHeight="false" outlineLevel="0" collapsed="false">
      <c r="B65611" s="0" t="s">
        <v>8</v>
      </c>
      <c r="C65611" s="0" t="s">
        <v>4770</v>
      </c>
      <c r="E65611" s="0" t="s">
        <v>142</v>
      </c>
      <c r="F65611" s="0" t="s">
        <v>4771</v>
      </c>
    </row>
    <row r="65612" customFormat="false" ht="12.8" hidden="false" customHeight="false" outlineLevel="0" collapsed="false">
      <c r="B65612" s="0" t="s">
        <v>245</v>
      </c>
    </row>
    <row r="65614" customFormat="false" ht="12.8" hidden="false" customHeight="false" outlineLevel="0" collapsed="false">
      <c r="A65614" s="0" t="s">
        <v>21708</v>
      </c>
      <c r="B65614" s="0" t="str">
        <f aca="false">HYPERLINK("https://lindat.mff.cuni.cz/services/teitok/pdtc10/index.php?action=vallex&amp;frame=v-w8994f1", "zaoblit (v-w8994f1)")</f>
        <v>zaoblit (v-w8994f1)</v>
      </c>
    </row>
    <row r="65615" customFormat="false" ht="12.8" hidden="false" customHeight="false" outlineLevel="0" collapsed="false">
      <c r="B65615" s="0" t="s">
        <v>1</v>
      </c>
    </row>
    <row r="65616" customFormat="false" ht="12.8" hidden="false" customHeight="false" outlineLevel="0" collapsed="false">
      <c r="B65616" s="0" t="s">
        <v>8</v>
      </c>
    </row>
    <row r="65618" customFormat="false" ht="12.8" hidden="false" customHeight="false" outlineLevel="0" collapsed="false">
      <c r="A65618" s="0" t="s">
        <v>21709</v>
      </c>
      <c r="B65618" s="0" t="str">
        <f aca="false">HYPERLINK("https://lindat.mff.cuni.cz/services/teitok/pdtc10/index.php?action=vallex&amp;frame=v-w11462f1", "zaobírat se (v-w11462f1)")</f>
        <v>zaobírat se (v-w11462f1)</v>
      </c>
      <c r="E65618" s="0" t="str">
        <f aca="false">HYPERLINK("https://lindat.mff.cuni.cz/services/SynSemClass40/SynSemClass40.html?veclass=vec01458#vec01458-ces-cm00007", "vec01458")</f>
        <v>vec01458</v>
      </c>
      <c r="F65618" s="0" t="s">
        <v>127</v>
      </c>
    </row>
    <row r="65619" customFormat="false" ht="12.8" hidden="false" customHeight="false" outlineLevel="0" collapsed="false">
      <c r="B65619" s="0" t="s">
        <v>1</v>
      </c>
      <c r="C65619" s="0" t="s">
        <v>285</v>
      </c>
      <c r="E65619" s="0" t="s">
        <v>31</v>
      </c>
      <c r="F65619" s="0" t="s">
        <v>130</v>
      </c>
    </row>
    <row r="65620" customFormat="false" ht="12.8" hidden="false" customHeight="false" outlineLevel="0" collapsed="false">
      <c r="B65620" s="0" t="s">
        <v>286</v>
      </c>
      <c r="C65620" s="0" t="s">
        <v>287</v>
      </c>
      <c r="E65620" s="0" t="s">
        <v>14</v>
      </c>
      <c r="F65620" s="0" t="s">
        <v>288</v>
      </c>
    </row>
    <row r="65622" customFormat="false" ht="12.8" hidden="false" customHeight="false" outlineLevel="0" collapsed="false">
      <c r="A65622" s="0" t="s">
        <v>21710</v>
      </c>
      <c r="B65622" s="0" t="str">
        <f aca="false">HYPERLINK("https://lindat.mff.cuni.cz/services/teitok/pdtc10/index.php?action=vallex&amp;frame=v-w8995f1", "zaopatřovat (v-w8995f1)")</f>
        <v>zaopatřovat (v-w8995f1)</v>
      </c>
    </row>
    <row r="65623" customFormat="false" ht="12.8" hidden="false" customHeight="false" outlineLevel="0" collapsed="false">
      <c r="B65623" s="0" t="s">
        <v>1</v>
      </c>
    </row>
    <row r="65624" customFormat="false" ht="12.8" hidden="false" customHeight="false" outlineLevel="0" collapsed="false">
      <c r="B65624" s="0" t="s">
        <v>8</v>
      </c>
    </row>
    <row r="65625" customFormat="false" ht="12.8" hidden="false" customHeight="false" outlineLevel="0" collapsed="false">
      <c r="B65625" s="0" t="s">
        <v>574</v>
      </c>
    </row>
    <row r="65627" customFormat="false" ht="12.8" hidden="false" customHeight="false" outlineLevel="0" collapsed="false">
      <c r="A65627" s="0" t="s">
        <v>21711</v>
      </c>
      <c r="B65627" s="0" t="str">
        <f aca="false">HYPERLINK("https://lindat.mff.cuni.cz/services/teitok/pdtc10/index.php?action=vallex&amp;frame=v-w8996f1", "zaostat (v-w8996f1)")</f>
        <v>zaostat (v-w8996f1)</v>
      </c>
      <c r="E65627" s="0" t="str">
        <f aca="false">HYPERLINK("https://lindat.mff.cuni.cz/services/SynSemClass40/SynSemClass40.html?veclass=vec00370#vec00370-ces-cm00013", "vec00370")</f>
        <v>vec00370</v>
      </c>
      <c r="F65627" s="0" t="s">
        <v>9840</v>
      </c>
    </row>
    <row r="65628" customFormat="false" ht="12.8" hidden="false" customHeight="false" outlineLevel="0" collapsed="false">
      <c r="B65628" s="0" t="s">
        <v>1</v>
      </c>
      <c r="C65628" s="0" t="s">
        <v>3241</v>
      </c>
      <c r="E65628" s="0" t="s">
        <v>11</v>
      </c>
      <c r="F65628" s="0" t="s">
        <v>6122</v>
      </c>
    </row>
    <row r="65629" customFormat="false" ht="12.8" hidden="false" customHeight="false" outlineLevel="0" collapsed="false">
      <c r="B65629" s="0" t="s">
        <v>9838</v>
      </c>
      <c r="C65629" s="0" t="s">
        <v>9841</v>
      </c>
      <c r="E65629" s="0" t="s">
        <v>34</v>
      </c>
      <c r="F65629" s="0" t="s">
        <v>9842</v>
      </c>
    </row>
    <row r="65631" customFormat="false" ht="12.8" hidden="false" customHeight="false" outlineLevel="0" collapsed="false">
      <c r="A65631" s="0" t="s">
        <v>21712</v>
      </c>
      <c r="B65631" s="0" t="str">
        <f aca="false">HYPERLINK("https://lindat.mff.cuni.cz/services/teitok/pdtc10/index.php?action=vallex&amp;frame=v-w8998f1", "zaostávat (v-w8998f1)")</f>
        <v>zaostávat (v-w8998f1)</v>
      </c>
      <c r="E65631" s="0" t="str">
        <f aca="false">HYPERLINK("https://lindat.mff.cuni.cz/services/SynSemClass40/SynSemClass40.html?veclass=vec00370#vec00370-ces-cm00001", "vec00370")</f>
        <v>vec00370</v>
      </c>
      <c r="F65631" s="0" t="s">
        <v>9840</v>
      </c>
    </row>
    <row r="65632" customFormat="false" ht="12.8" hidden="false" customHeight="false" outlineLevel="0" collapsed="false">
      <c r="B65632" s="0" t="s">
        <v>1</v>
      </c>
      <c r="C65632" s="0" t="s">
        <v>3241</v>
      </c>
      <c r="E65632" s="0" t="s">
        <v>11</v>
      </c>
      <c r="F65632" s="0" t="s">
        <v>6122</v>
      </c>
    </row>
    <row r="65633" customFormat="false" ht="12.8" hidden="false" customHeight="false" outlineLevel="0" collapsed="false">
      <c r="B65633" s="0" t="s">
        <v>9838</v>
      </c>
      <c r="C65633" s="0" t="s">
        <v>9841</v>
      </c>
      <c r="E65633" s="0" t="s">
        <v>34</v>
      </c>
      <c r="F65633" s="0" t="s">
        <v>9842</v>
      </c>
    </row>
    <row r="65635" customFormat="false" ht="12.8" hidden="false" customHeight="false" outlineLevel="0" collapsed="false">
      <c r="A65635" s="0" t="s">
        <v>21713</v>
      </c>
      <c r="B65635" s="0" t="str">
        <f aca="false">HYPERLINK("https://lindat.mff.cuni.cz/services/teitok/pdtc10/index.php?action=vallex&amp;frame=v-w11002f2", "zaostřit (v-w11002f2)")</f>
        <v>zaostřit (v-w11002f2)</v>
      </c>
    </row>
    <row r="65636" customFormat="false" ht="12.8" hidden="false" customHeight="false" outlineLevel="0" collapsed="false">
      <c r="B65636" s="0" t="s">
        <v>1</v>
      </c>
    </row>
    <row r="65637" customFormat="false" ht="12.8" hidden="false" customHeight="false" outlineLevel="0" collapsed="false">
      <c r="B65637" s="0" t="s">
        <v>8</v>
      </c>
    </row>
    <row r="65639" customFormat="false" ht="12.8" hidden="false" customHeight="false" outlineLevel="0" collapsed="false">
      <c r="A65639" s="0" t="s">
        <v>21714</v>
      </c>
      <c r="B65639" s="0" t="str">
        <f aca="false">HYPERLINK("https://lindat.mff.cuni.cz/services/teitok/pdtc10/index.php?action=vallex&amp;frame=v-w8999f2", "zapadat (v-w8999f2)")</f>
        <v>zapadat (v-w8999f2)</v>
      </c>
    </row>
    <row r="65640" customFormat="false" ht="12.8" hidden="false" customHeight="false" outlineLevel="0" collapsed="false">
      <c r="B65640" s="0" t="s">
        <v>1</v>
      </c>
    </row>
    <row r="65641" customFormat="false" ht="12.8" hidden="false" customHeight="false" outlineLevel="0" collapsed="false">
      <c r="B65641" s="0" t="s">
        <v>164</v>
      </c>
    </row>
    <row r="65643" customFormat="false" ht="12.8" hidden="false" customHeight="false" outlineLevel="0" collapsed="false">
      <c r="A65643" s="0" t="s">
        <v>21715</v>
      </c>
      <c r="B65643" s="0" t="str">
        <f aca="false">HYPERLINK("https://lindat.mff.cuni.cz/services/teitok/pdtc10/index.php?action=vallex&amp;frame=v-w8999f3", "zapadat (v-w8999f3)")</f>
        <v>zapadat (v-w8999f3)</v>
      </c>
      <c r="E65643" s="0" t="str">
        <f aca="false">HYPERLINK("https://lindat.mff.cuni.cz/services/SynSemClass40/SynSemClass40.html?veclass=vec00218#vec00218-ces-cm00228", "vec00218")</f>
        <v>vec00218</v>
      </c>
      <c r="F65643" s="0" t="s">
        <v>2143</v>
      </c>
    </row>
    <row r="65644" customFormat="false" ht="12.8" hidden="false" customHeight="false" outlineLevel="0" collapsed="false">
      <c r="B65644" s="0" t="s">
        <v>1</v>
      </c>
      <c r="C65644" s="0" t="s">
        <v>2144</v>
      </c>
      <c r="E65644" s="0" t="s">
        <v>11</v>
      </c>
      <c r="F65644" s="0" t="s">
        <v>2145</v>
      </c>
    </row>
    <row r="65645" customFormat="false" ht="12.8" hidden="false" customHeight="false" outlineLevel="0" collapsed="false">
      <c r="B65645" s="0" t="s">
        <v>164</v>
      </c>
      <c r="C65645" s="0" t="s">
        <v>2146</v>
      </c>
      <c r="E65645" s="0" t="s">
        <v>370</v>
      </c>
      <c r="F65645" s="0" t="s">
        <v>2147</v>
      </c>
    </row>
    <row r="65647" customFormat="false" ht="12.8" hidden="false" customHeight="false" outlineLevel="0" collapsed="false">
      <c r="A65647" s="0" t="s">
        <v>21716</v>
      </c>
      <c r="B65647" s="0" t="str">
        <f aca="false">HYPERLINK("https://lindat.mff.cuni.cz/services/teitok/pdtc10/index.php?action=vallex&amp;frame=v-w8999f1", "zapadat (v-w8999f1)")</f>
        <v>zapadat (v-w8999f1)</v>
      </c>
    </row>
    <row r="65648" customFormat="false" ht="12.8" hidden="false" customHeight="false" outlineLevel="0" collapsed="false">
      <c r="B65648" s="0" t="s">
        <v>1</v>
      </c>
    </row>
    <row r="65650" customFormat="false" ht="12.8" hidden="false" customHeight="false" outlineLevel="0" collapsed="false">
      <c r="A65650" s="0" t="s">
        <v>21717</v>
      </c>
      <c r="B65650" s="0" t="str">
        <f aca="false">HYPERLINK("https://lindat.mff.cuni.cz/services/teitok/pdtc10/index.php?action=vallex&amp;frame=v-w8999f4", "zapadat (v-w8999f4)")</f>
        <v>zapadat (v-w8999f4)</v>
      </c>
    </row>
    <row r="65651" customFormat="false" ht="12.8" hidden="false" customHeight="false" outlineLevel="0" collapsed="false">
      <c r="B65651" s="0" t="s">
        <v>1</v>
      </c>
    </row>
    <row r="65653" customFormat="false" ht="12.8" hidden="false" customHeight="false" outlineLevel="0" collapsed="false">
      <c r="A65653" s="0" t="s">
        <v>21718</v>
      </c>
      <c r="B65653" s="0" t="str">
        <f aca="false">HYPERLINK("https://lindat.mff.cuni.cz/services/teitok/pdtc10/index.php?action=vallex&amp;frame=v-w9000f2", "zapadnout (v-w9000f2)")</f>
        <v>zapadnout (v-w9000f2)</v>
      </c>
      <c r="E65653" s="0" t="str">
        <f aca="false">HYPERLINK("https://lindat.mff.cuni.cz/services/SynSemClass40/SynSemClass40.html?veclass=vec00218#vec00218-ces-cm00210", "vec00218")</f>
        <v>vec00218</v>
      </c>
      <c r="F65653" s="0" t="s">
        <v>2143</v>
      </c>
    </row>
    <row r="65654" customFormat="false" ht="12.8" hidden="false" customHeight="false" outlineLevel="0" collapsed="false">
      <c r="B65654" s="0" t="s">
        <v>1</v>
      </c>
      <c r="C65654" s="0" t="s">
        <v>2144</v>
      </c>
      <c r="E65654" s="0" t="s">
        <v>11</v>
      </c>
      <c r="F65654" s="0" t="s">
        <v>2145</v>
      </c>
    </row>
    <row r="65655" customFormat="false" ht="12.8" hidden="false" customHeight="false" outlineLevel="0" collapsed="false">
      <c r="B65655" s="0" t="s">
        <v>164</v>
      </c>
      <c r="C65655" s="0" t="s">
        <v>2146</v>
      </c>
      <c r="E65655" s="0" t="s">
        <v>370</v>
      </c>
      <c r="F65655" s="0" t="s">
        <v>2147</v>
      </c>
    </row>
    <row r="65657" customFormat="false" ht="12.8" hidden="false" customHeight="false" outlineLevel="0" collapsed="false">
      <c r="A65657" s="0" t="s">
        <v>21719</v>
      </c>
      <c r="B65657" s="0" t="str">
        <f aca="false">HYPERLINK("https://lindat.mff.cuni.cz/services/teitok/pdtc10/index.php?action=vallex&amp;frame=v-w9000f1", "zapadnout (v-w9000f1)")</f>
        <v>zapadnout (v-w9000f1)</v>
      </c>
    </row>
    <row r="65658" customFormat="false" ht="12.8" hidden="false" customHeight="false" outlineLevel="0" collapsed="false">
      <c r="B65658" s="0" t="s">
        <v>1</v>
      </c>
    </row>
    <row r="65660" customFormat="false" ht="12.8" hidden="false" customHeight="false" outlineLevel="0" collapsed="false">
      <c r="A65660" s="0" t="s">
        <v>21720</v>
      </c>
      <c r="B65660" s="0" t="str">
        <f aca="false">HYPERLINK("https://lindat.mff.cuni.cz/services/teitok/pdtc10/index.php?action=vallex&amp;frame=v-w9000f3_ZU", "zapadnout (v-w9000f3_ZU)")</f>
        <v>zapadnout (v-w9000f3_ZU)</v>
      </c>
      <c r="E65660" s="0" t="str">
        <f aca="false">HYPERLINK("https://lindat.mff.cuni.cz/services/SynSemClass40/SynSemClass40.html?veclass=vec00865#vec00865-ces-cm00050", "vec00865")</f>
        <v>vec00865</v>
      </c>
      <c r="F65660" s="0" t="s">
        <v>8232</v>
      </c>
    </row>
    <row r="65661" customFormat="false" ht="12.8" hidden="false" customHeight="false" outlineLevel="0" collapsed="false">
      <c r="B65661" s="0" t="s">
        <v>1</v>
      </c>
      <c r="C65661" s="0" t="s">
        <v>8233</v>
      </c>
      <c r="E65661" s="0" t="s">
        <v>957</v>
      </c>
      <c r="F65661" s="0" t="s">
        <v>8234</v>
      </c>
    </row>
    <row r="65662" customFormat="false" ht="12.8" hidden="false" customHeight="false" outlineLevel="0" collapsed="false">
      <c r="B65662" s="0" t="s">
        <v>164</v>
      </c>
      <c r="C65662" s="0" t="s">
        <v>8235</v>
      </c>
      <c r="E65662" s="0" t="s">
        <v>8236</v>
      </c>
      <c r="F65662" s="0" t="s">
        <v>8237</v>
      </c>
    </row>
    <row r="65664" customFormat="false" ht="12.8" hidden="false" customHeight="false" outlineLevel="0" collapsed="false">
      <c r="A65664" s="0" t="s">
        <v>21720</v>
      </c>
      <c r="B65664" s="0" t="str">
        <f aca="false">HYPERLINK("https://lindat.mff.cuni.cz/services/teitok/pdtc10/index.php?action=vallex&amp;frame=v-w9000hsa_377", "zapadnout (v-w9000hsa_377) - substituted with v-w9000f3_ZU")</f>
        <v>zapadnout (v-w9000hsa_377) - substituted with v-w9000f3_ZU</v>
      </c>
    </row>
    <row r="65665" customFormat="false" ht="12.8" hidden="false" customHeight="false" outlineLevel="0" collapsed="false">
      <c r="B65665" s="0" t="s">
        <v>1</v>
      </c>
    </row>
    <row r="65666" customFormat="false" ht="12.8" hidden="false" customHeight="false" outlineLevel="0" collapsed="false">
      <c r="B65666" s="0" t="s">
        <v>164</v>
      </c>
    </row>
    <row r="65668" customFormat="false" ht="12.8" hidden="false" customHeight="false" outlineLevel="0" collapsed="false">
      <c r="A65668" s="0" t="s">
        <v>21721</v>
      </c>
      <c r="B65668" s="0" t="str">
        <f aca="false">HYPERLINK("https://lindat.mff.cuni.cz/services/teitok/pdtc10/index.php?action=vallex&amp;frame=v-w9000hsa_1387", "zapadnout (v-w9000hsa_1387)")</f>
        <v>zapadnout (v-w9000hsa_1387)</v>
      </c>
    </row>
    <row r="65669" customFormat="false" ht="12.8" hidden="false" customHeight="false" outlineLevel="0" collapsed="false">
      <c r="B65669" s="0" t="s">
        <v>1</v>
      </c>
    </row>
    <row r="65670" customFormat="false" ht="12.8" hidden="false" customHeight="false" outlineLevel="0" collapsed="false">
      <c r="B65670" s="0" t="s">
        <v>164</v>
      </c>
    </row>
    <row r="65672" customFormat="false" ht="12.8" hidden="false" customHeight="false" outlineLevel="0" collapsed="false">
      <c r="A65672" s="0" t="s">
        <v>21722</v>
      </c>
      <c r="B65672" s="0" t="str">
        <f aca="false">HYPERLINK("https://lindat.mff.cuni.cz/services/teitok/pdtc10/index.php?action=vallex&amp;frame=v-w9003f1", "zapalovat (v-w9003f1)")</f>
        <v>zapalovat (v-w9003f1)</v>
      </c>
      <c r="E65672" s="0" t="str">
        <f aca="false">HYPERLINK("https://lindat.mff.cuni.cz/services/SynSemClass40/SynSemClass40.html?veclass=vec00986#vec00986-ces-cm00013", "vec00986")</f>
        <v>vec00986</v>
      </c>
      <c r="F65672" s="0" t="s">
        <v>15327</v>
      </c>
    </row>
    <row r="65673" customFormat="false" ht="12.8" hidden="false" customHeight="false" outlineLevel="0" collapsed="false">
      <c r="B65673" s="0" t="s">
        <v>1</v>
      </c>
      <c r="C65673" s="0" t="s">
        <v>459</v>
      </c>
      <c r="E65673" s="0" t="s">
        <v>15328</v>
      </c>
      <c r="F65673" s="0" t="s">
        <v>15329</v>
      </c>
    </row>
    <row r="65674" customFormat="false" ht="12.8" hidden="false" customHeight="false" outlineLevel="0" collapsed="false">
      <c r="B65674" s="0" t="s">
        <v>8</v>
      </c>
      <c r="C65674" s="0" t="s">
        <v>462</v>
      </c>
      <c r="E65674" s="0" t="s">
        <v>15330</v>
      </c>
      <c r="F65674" s="0" t="s">
        <v>15331</v>
      </c>
    </row>
    <row r="65676" customFormat="false" ht="12.8" hidden="false" customHeight="false" outlineLevel="0" collapsed="false">
      <c r="A65676" s="0" t="s">
        <v>21723</v>
      </c>
      <c r="B65676" s="0" t="str">
        <f aca="false">HYPERLINK("https://lindat.mff.cuni.cz/services/teitok/pdtc10/index.php?action=vallex&amp;frame=v-w9004f2", "zapamatovat si (v-w9004f2)")</f>
        <v>zapamatovat si (v-w9004f2)</v>
      </c>
    </row>
    <row r="65677" customFormat="false" ht="12.8" hidden="false" customHeight="false" outlineLevel="0" collapsed="false">
      <c r="B65677" s="0" t="s">
        <v>1</v>
      </c>
    </row>
    <row r="65678" customFormat="false" ht="12.8" hidden="false" customHeight="false" outlineLevel="0" collapsed="false">
      <c r="B65678" s="0" t="s">
        <v>2126</v>
      </c>
    </row>
    <row r="65680" customFormat="false" ht="12.8" hidden="false" customHeight="false" outlineLevel="0" collapsed="false">
      <c r="A65680" s="0" t="s">
        <v>21724</v>
      </c>
      <c r="B65680" s="0" t="str">
        <f aca="false">HYPERLINK("https://lindat.mff.cuni.cz/services/teitok/pdtc10/index.php?action=vallex&amp;frame=v-w9004f1", "zapamatovat si (v-w9004f1)")</f>
        <v>zapamatovat si (v-w9004f1)</v>
      </c>
    </row>
    <row r="65681" customFormat="false" ht="12.8" hidden="false" customHeight="false" outlineLevel="0" collapsed="false">
      <c r="B65681" s="0" t="s">
        <v>1</v>
      </c>
    </row>
    <row r="65682" customFormat="false" ht="12.8" hidden="false" customHeight="false" outlineLevel="0" collapsed="false">
      <c r="B65682" s="0" t="s">
        <v>6407</v>
      </c>
    </row>
    <row r="65683" customFormat="false" ht="12.8" hidden="false" customHeight="false" outlineLevel="0" collapsed="false">
      <c r="B65683" s="0" t="s">
        <v>496</v>
      </c>
    </row>
    <row r="65685" customFormat="false" ht="12.8" hidden="false" customHeight="false" outlineLevel="0" collapsed="false">
      <c r="A65685" s="0" t="s">
        <v>21725</v>
      </c>
      <c r="B65685" s="0" t="str">
        <f aca="false">HYPERLINK("https://lindat.mff.cuni.cz/services/teitok/pdtc10/index.php?action=vallex&amp;frame=v-whsa_1719hsa_1720", "zapamatovávat si (v-whsa_1719hsa_1720)")</f>
        <v>zapamatovávat si (v-whsa_1719hsa_1720)</v>
      </c>
    </row>
    <row r="65686" customFormat="false" ht="12.8" hidden="false" customHeight="false" outlineLevel="0" collapsed="false">
      <c r="B65686" s="0" t="s">
        <v>1</v>
      </c>
    </row>
    <row r="65687" customFormat="false" ht="12.8" hidden="false" customHeight="false" outlineLevel="0" collapsed="false">
      <c r="B65687" s="0" t="s">
        <v>2126</v>
      </c>
    </row>
    <row r="65689" customFormat="false" ht="12.8" hidden="false" customHeight="false" outlineLevel="0" collapsed="false">
      <c r="A65689" s="0" t="s">
        <v>21726</v>
      </c>
      <c r="B65689" s="0" t="str">
        <f aca="false">HYPERLINK("https://lindat.mff.cuni.cz/services/teitok/pdtc10/index.php?action=vallex&amp;frame=v-w9005f1", "zaparkovat (v-w9005f1)")</f>
        <v>zaparkovat (v-w9005f1)</v>
      </c>
    </row>
    <row r="65690" customFormat="false" ht="12.8" hidden="false" customHeight="false" outlineLevel="0" collapsed="false">
      <c r="B65690" s="0" t="s">
        <v>1</v>
      </c>
    </row>
    <row r="65691" customFormat="false" ht="12.8" hidden="false" customHeight="false" outlineLevel="0" collapsed="false">
      <c r="B65691" s="0" t="s">
        <v>8</v>
      </c>
    </row>
    <row r="65693" customFormat="false" ht="12.8" hidden="false" customHeight="false" outlineLevel="0" collapsed="false">
      <c r="A65693" s="0" t="s">
        <v>21727</v>
      </c>
      <c r="B65693" s="0" t="str">
        <f aca="false">HYPERLINK("https://lindat.mff.cuni.cz/services/teitok/pdtc10/index.php?action=vallex&amp;frame=v-w9008f1", "zapečetit (v-w9008f1)")</f>
        <v>zapečetit (v-w9008f1)</v>
      </c>
      <c r="E65693" s="0" t="str">
        <f aca="false">HYPERLINK("https://lindat.mff.cuni.cz/services/SynSemClass40/SynSemClass40.html?veclass=vec01342#vec01342-ces-cm00007", "vec01342")</f>
        <v>vec01342</v>
      </c>
      <c r="F65693" s="0" t="s">
        <v>8829</v>
      </c>
    </row>
    <row r="65694" customFormat="false" ht="12.8" hidden="false" customHeight="false" outlineLevel="0" collapsed="false">
      <c r="B65694" s="0" t="s">
        <v>1</v>
      </c>
      <c r="C65694" s="0" t="s">
        <v>18362</v>
      </c>
      <c r="E65694" s="0" t="s">
        <v>31</v>
      </c>
      <c r="F65694" s="0" t="s">
        <v>8833</v>
      </c>
    </row>
    <row r="65695" customFormat="false" ht="12.8" hidden="false" customHeight="false" outlineLevel="0" collapsed="false">
      <c r="B65695" s="0" t="s">
        <v>8</v>
      </c>
      <c r="C65695" s="0" t="s">
        <v>16683</v>
      </c>
      <c r="E65695" s="0" t="s">
        <v>34</v>
      </c>
      <c r="F65695" s="0" t="s">
        <v>8837</v>
      </c>
    </row>
    <row r="65697" customFormat="false" ht="12.8" hidden="false" customHeight="false" outlineLevel="0" collapsed="false">
      <c r="A65697" s="0" t="s">
        <v>21728</v>
      </c>
      <c r="B65697" s="0" t="str">
        <f aca="false">HYPERLINK("https://lindat.mff.cuni.cz/services/teitok/pdtc10/index.php?action=vallex&amp;frame=v-whsa_1749f1_ZU", "zapinkat si (v-whsa_1749f1_ZU)")</f>
        <v>zapinkat si (v-whsa_1749f1_ZU)</v>
      </c>
    </row>
    <row r="65698" customFormat="false" ht="12.8" hidden="false" customHeight="false" outlineLevel="0" collapsed="false">
      <c r="B65698" s="0" t="s">
        <v>1</v>
      </c>
    </row>
    <row r="65699" customFormat="false" ht="12.8" hidden="false" customHeight="false" outlineLevel="0" collapsed="false">
      <c r="B65699" s="0" t="s">
        <v>3321</v>
      </c>
    </row>
    <row r="65701" customFormat="false" ht="12.8" hidden="false" customHeight="false" outlineLevel="0" collapsed="false">
      <c r="A65701" s="0" t="s">
        <v>21728</v>
      </c>
      <c r="B65701" s="0" t="str">
        <f aca="false">HYPERLINK("https://lindat.mff.cuni.cz/services/teitok/pdtc10/index.php?action=vallex&amp;frame=v-whsa_1749hsa_1750", "zapinkat si (v-whsa_1749hsa_1750) - substituted with v-whsa_1749f1_ZU")</f>
        <v>zapinkat si (v-whsa_1749hsa_1750) - substituted with v-whsa_1749f1_ZU</v>
      </c>
    </row>
    <row r="65702" customFormat="false" ht="12.8" hidden="false" customHeight="false" outlineLevel="0" collapsed="false">
      <c r="B65702" s="0" t="s">
        <v>1</v>
      </c>
    </row>
    <row r="65703" customFormat="false" ht="12.8" hidden="false" customHeight="false" outlineLevel="0" collapsed="false">
      <c r="B65703" s="0" t="s">
        <v>3321</v>
      </c>
    </row>
    <row r="65705" customFormat="false" ht="12.8" hidden="false" customHeight="false" outlineLevel="0" collapsed="false">
      <c r="A65705" s="0" t="s">
        <v>21729</v>
      </c>
      <c r="B65705" s="0" t="str">
        <f aca="false">HYPERLINK("https://lindat.mff.cuni.cz/services/teitok/pdtc10/index.php?action=vallex&amp;frame=v-w9013f3", "zapisovat (v-w9013f3)")</f>
        <v>zapisovat (v-w9013f3)</v>
      </c>
      <c r="E65705" s="0" t="str">
        <f aca="false">HYPERLINK("https://lindat.mff.cuni.cz/services/SynSemClass40/SynSemClass40.html?veclass=vec00507#vec00507-ces-cm00042", "vec00507")</f>
        <v>vec00507</v>
      </c>
      <c r="F65705" s="0" t="s">
        <v>14791</v>
      </c>
    </row>
    <row r="65706" customFormat="false" ht="12.8" hidden="false" customHeight="false" outlineLevel="0" collapsed="false">
      <c r="B65706" s="0" t="s">
        <v>1</v>
      </c>
      <c r="C65706" s="0" t="s">
        <v>11762</v>
      </c>
      <c r="E65706" s="0" t="s">
        <v>31</v>
      </c>
      <c r="F65706" s="0" t="s">
        <v>14792</v>
      </c>
    </row>
    <row r="65707" customFormat="false" ht="12.8" hidden="false" customHeight="false" outlineLevel="0" collapsed="false">
      <c r="B65707" s="0" t="s">
        <v>8</v>
      </c>
      <c r="C65707" s="0" t="s">
        <v>14793</v>
      </c>
      <c r="E65707" s="0" t="s">
        <v>180</v>
      </c>
      <c r="F65707" s="0" t="s">
        <v>14794</v>
      </c>
    </row>
    <row r="65708" customFormat="false" ht="12.8" hidden="false" customHeight="false" outlineLevel="0" collapsed="false">
      <c r="B65708" s="0" t="s">
        <v>5</v>
      </c>
      <c r="C65708" s="0" t="s">
        <v>21730</v>
      </c>
      <c r="E65708" s="0" t="s">
        <v>3254</v>
      </c>
      <c r="F65708" s="0" t="s">
        <v>21731</v>
      </c>
    </row>
    <row r="65710" customFormat="false" ht="12.8" hidden="false" customHeight="false" outlineLevel="0" collapsed="false">
      <c r="A65710" s="0" t="s">
        <v>21732</v>
      </c>
      <c r="B65710" s="0" t="str">
        <f aca="false">HYPERLINK("https://lindat.mff.cuni.cz/services/teitok/pdtc10/index.php?action=vallex&amp;frame=v-w9013f1", "zapisovat (v-w9013f1)")</f>
        <v>zapisovat (v-w9013f1)</v>
      </c>
      <c r="E65710" s="0" t="str">
        <f aca="false">HYPERLINK("https://lindat.mff.cuni.cz/services/SynSemClass40/SynSemClass40.html?veclass=vec00507#vec00507-ces-cm00048", "vec00507")</f>
        <v>vec00507</v>
      </c>
      <c r="F65710" s="0" t="s">
        <v>14791</v>
      </c>
      <c r="H65710" s="0" t="str">
        <f aca="false">HYPERLINK("https://lindat.mff.cuni.cz/services/SynSemClass40/SynSemClass40.html?veclass=vec00778#vec00778-ces-cm00017", "vec00778")</f>
        <v>vec00778</v>
      </c>
      <c r="I65710" s="0" t="s">
        <v>18636</v>
      </c>
      <c r="K65710" s="0" t="str">
        <f aca="false">HYPERLINK("https://lindat.mff.cuni.cz/services/SynSemClass40/SynSemClass40.html?veclass=vec01345#vec01345-ces-cm00006", "vec01345")</f>
        <v>vec01345</v>
      </c>
      <c r="L65710" s="0" t="s">
        <v>7584</v>
      </c>
    </row>
    <row r="65711" customFormat="false" ht="12.8" hidden="false" customHeight="false" outlineLevel="0" collapsed="false">
      <c r="B65711" s="0" t="s">
        <v>1</v>
      </c>
      <c r="C65711" s="0" t="s">
        <v>21733</v>
      </c>
      <c r="E65711" s="0" t="s">
        <v>31</v>
      </c>
      <c r="F65711" s="0" t="s">
        <v>14792</v>
      </c>
      <c r="H65711" s="0" t="s">
        <v>31</v>
      </c>
      <c r="I65711" s="0" t="s">
        <v>18638</v>
      </c>
      <c r="K65711" s="0" t="s">
        <v>768</v>
      </c>
      <c r="L65711" s="0" t="s">
        <v>7585</v>
      </c>
    </row>
    <row r="65712" customFormat="false" ht="12.8" hidden="false" customHeight="false" outlineLevel="0" collapsed="false">
      <c r="B65712" s="0" t="s">
        <v>8</v>
      </c>
      <c r="C65712" s="0" t="s">
        <v>21734</v>
      </c>
      <c r="E65712" s="0" t="s">
        <v>180</v>
      </c>
      <c r="F65712" s="0" t="s">
        <v>14794</v>
      </c>
      <c r="H65712" s="0" t="s">
        <v>610</v>
      </c>
      <c r="I65712" s="0" t="s">
        <v>18640</v>
      </c>
      <c r="K65712" s="0" t="s">
        <v>218</v>
      </c>
      <c r="L65712" s="0" t="s">
        <v>7587</v>
      </c>
    </row>
    <row r="65713" customFormat="false" ht="12.8" hidden="false" customHeight="false" outlineLevel="0" collapsed="false">
      <c r="B65713" s="0" t="s">
        <v>164</v>
      </c>
      <c r="C65713" s="0" t="s">
        <v>21735</v>
      </c>
      <c r="E65713" s="0" t="s">
        <v>370</v>
      </c>
      <c r="F65713" s="0" t="s">
        <v>21736</v>
      </c>
      <c r="H65713" s="0" t="s">
        <v>18642</v>
      </c>
      <c r="I65713" s="0" t="s">
        <v>18643</v>
      </c>
      <c r="K65713" s="0" t="s">
        <v>370</v>
      </c>
      <c r="L65713" s="0" t="s">
        <v>3041</v>
      </c>
    </row>
    <row r="65715" customFormat="false" ht="12.8" hidden="false" customHeight="false" outlineLevel="0" collapsed="false">
      <c r="A65715" s="0" t="s">
        <v>21737</v>
      </c>
      <c r="B65715" s="0" t="str">
        <f aca="false">HYPERLINK("https://lindat.mff.cuni.cz/services/teitok/pdtc10/index.php?action=vallex&amp;frame=v-w9013f2", "zapisovat (v-w9013f2)")</f>
        <v>zapisovat (v-w9013f2)</v>
      </c>
    </row>
    <row r="65716" customFormat="false" ht="12.8" hidden="false" customHeight="false" outlineLevel="0" collapsed="false">
      <c r="B65716" s="0" t="s">
        <v>1</v>
      </c>
    </row>
    <row r="65717" customFormat="false" ht="12.8" hidden="false" customHeight="false" outlineLevel="0" collapsed="false">
      <c r="B65717" s="0" t="s">
        <v>4065</v>
      </c>
    </row>
    <row r="65718" customFormat="false" ht="12.8" hidden="false" customHeight="false" outlineLevel="0" collapsed="false">
      <c r="B65718" s="0" t="s">
        <v>496</v>
      </c>
    </row>
    <row r="65720" customFormat="false" ht="12.8" hidden="false" customHeight="false" outlineLevel="0" collapsed="false">
      <c r="A65720" s="0" t="s">
        <v>21738</v>
      </c>
      <c r="B65720" s="0" t="str">
        <f aca="false">HYPERLINK("https://lindat.mff.cuni.cz/services/teitok/pdtc10/index.php?action=vallex&amp;frame=v-w9020f4_ZU", "zaplatit (v-w9020f4_ZU)")</f>
        <v>zaplatit (v-w9020f4_ZU)</v>
      </c>
    </row>
    <row r="65721" customFormat="false" ht="12.8" hidden="false" customHeight="false" outlineLevel="0" collapsed="false">
      <c r="B65721" s="0" t="s">
        <v>1</v>
      </c>
    </row>
    <row r="65722" customFormat="false" ht="12.8" hidden="false" customHeight="false" outlineLevel="0" collapsed="false">
      <c r="B65722" s="0" t="s">
        <v>305</v>
      </c>
    </row>
    <row r="65723" customFormat="false" ht="12.8" hidden="false" customHeight="false" outlineLevel="0" collapsed="false">
      <c r="B65723" s="0" t="s">
        <v>132</v>
      </c>
    </row>
    <row r="65724" customFormat="false" ht="12.8" hidden="false" customHeight="false" outlineLevel="0" collapsed="false">
      <c r="B65724" s="0" t="s">
        <v>723</v>
      </c>
    </row>
    <row r="65726" customFormat="false" ht="12.8" hidden="false" customHeight="false" outlineLevel="0" collapsed="false">
      <c r="A65726" s="0" t="s">
        <v>21738</v>
      </c>
      <c r="B65726" s="0" t="str">
        <f aca="false">HYPERLINK("https://lindat.mff.cuni.cz/services/teitok/pdtc10/index.php?action=vallex&amp;frame=v-w9020f1", "zaplatit (v-w9020f1) - substituted with v-w9020f4_ZU")</f>
        <v>zaplatit (v-w9020f1) - substituted with v-w9020f4_ZU</v>
      </c>
      <c r="E65726" s="0" t="str">
        <f aca="false">HYPERLINK("https://lindat.mff.cuni.cz/services/SynSemClass40/SynSemClass40.html?veclass=vec00125#vec00125-ces-cm00088", "vec00125")</f>
        <v>vec00125</v>
      </c>
      <c r="F65726" s="0" t="s">
        <v>2552</v>
      </c>
      <c r="H65726" s="0" t="str">
        <f aca="false">HYPERLINK("https://lindat.mff.cuni.cz/services/SynSemClass40/SynSemClass40.html?veclass=vec01356#vec01356-ces-cm00028", "vec01356")</f>
        <v>vec01356</v>
      </c>
      <c r="I65726" s="0" t="s">
        <v>4139</v>
      </c>
    </row>
    <row r="65727" customFormat="false" ht="12.8" hidden="false" customHeight="false" outlineLevel="0" collapsed="false">
      <c r="B65727" s="0" t="s">
        <v>1</v>
      </c>
      <c r="C65727" s="0" t="s">
        <v>4563</v>
      </c>
      <c r="E65727" s="0" t="s">
        <v>2554</v>
      </c>
      <c r="F65727" s="0" t="s">
        <v>2555</v>
      </c>
      <c r="H65727" s="0" t="s">
        <v>2554</v>
      </c>
      <c r="I65727" s="0" t="s">
        <v>4141</v>
      </c>
    </row>
    <row r="65728" customFormat="false" ht="12.8" hidden="false" customHeight="false" outlineLevel="0" collapsed="false">
      <c r="B65728" s="0" t="s">
        <v>305</v>
      </c>
      <c r="C65728" s="0" t="s">
        <v>4564</v>
      </c>
      <c r="E65728" s="0" t="s">
        <v>2557</v>
      </c>
      <c r="F65728" s="0" t="s">
        <v>2558</v>
      </c>
      <c r="H65728" s="0" t="s">
        <v>4565</v>
      </c>
      <c r="I65728" s="0" t="s">
        <v>4566</v>
      </c>
    </row>
    <row r="65729" customFormat="false" ht="12.8" hidden="false" customHeight="false" outlineLevel="0" collapsed="false">
      <c r="B65729" s="0" t="s">
        <v>132</v>
      </c>
      <c r="C65729" s="0" t="s">
        <v>4567</v>
      </c>
      <c r="E65729" s="0" t="s">
        <v>2560</v>
      </c>
      <c r="F65729" s="0" t="s">
        <v>2561</v>
      </c>
      <c r="H65729" s="0" t="s">
        <v>2560</v>
      </c>
      <c r="I65729" s="0" t="s">
        <v>4568</v>
      </c>
    </row>
    <row r="65730" customFormat="false" ht="12.8" hidden="false" customHeight="false" outlineLevel="0" collapsed="false">
      <c r="B65730" s="0" t="s">
        <v>723</v>
      </c>
    </row>
    <row r="65732" customFormat="false" ht="12.8" hidden="false" customHeight="false" outlineLevel="0" collapsed="false">
      <c r="A65732" s="0" t="s">
        <v>21739</v>
      </c>
      <c r="B65732" s="0" t="str">
        <f aca="false">HYPERLINK("https://lindat.mff.cuni.cz/services/teitok/pdtc10/index.php?action=vallex&amp;frame=v-w9020f2", "zaplatit (v-w9020f2)")</f>
        <v>zaplatit (v-w9020f2)</v>
      </c>
      <c r="E65732" s="0" t="str">
        <f aca="false">HYPERLINK("https://lindat.mff.cuni.cz/services/SynSemClass40/SynSemClass40.html?veclass=vec00125#vec00125-ces-cm00089", "vec00125")</f>
        <v>vec00125</v>
      </c>
      <c r="F65732" s="0" t="s">
        <v>2552</v>
      </c>
      <c r="H65732" s="0" t="str">
        <f aca="false">HYPERLINK("https://lindat.mff.cuni.cz/services/SynSemClass40/SynSemClass40.html?veclass=vec01356#vec01356-ces-cm00029", "vec01356")</f>
        <v>vec01356</v>
      </c>
      <c r="I65732" s="0" t="s">
        <v>4139</v>
      </c>
    </row>
    <row r="65733" customFormat="false" ht="12.8" hidden="false" customHeight="false" outlineLevel="0" collapsed="false">
      <c r="B65733" s="0" t="s">
        <v>1</v>
      </c>
      <c r="C65733" s="0" t="s">
        <v>4563</v>
      </c>
      <c r="E65733" s="0" t="s">
        <v>2554</v>
      </c>
      <c r="F65733" s="0" t="s">
        <v>2555</v>
      </c>
      <c r="H65733" s="0" t="s">
        <v>2554</v>
      </c>
      <c r="I65733" s="0" t="s">
        <v>4141</v>
      </c>
    </row>
    <row r="65734" customFormat="false" ht="12.8" hidden="false" customHeight="false" outlineLevel="0" collapsed="false">
      <c r="B65734" s="0" t="s">
        <v>865</v>
      </c>
      <c r="C65734" s="0" t="s">
        <v>10513</v>
      </c>
      <c r="E65734" s="0" t="s">
        <v>2572</v>
      </c>
      <c r="F65734" s="0" t="s">
        <v>2573</v>
      </c>
      <c r="H65734" s="0" t="s">
        <v>10514</v>
      </c>
      <c r="I65734" s="0" t="s">
        <v>10515</v>
      </c>
    </row>
    <row r="65735" customFormat="false" ht="12.8" hidden="false" customHeight="false" outlineLevel="0" collapsed="false">
      <c r="B65735" s="0" t="s">
        <v>2069</v>
      </c>
    </row>
    <row r="65736" customFormat="false" ht="12.8" hidden="false" customHeight="false" outlineLevel="0" collapsed="false">
      <c r="B65736" s="0" t="s">
        <v>132</v>
      </c>
      <c r="C65736" s="0" t="s">
        <v>4567</v>
      </c>
      <c r="E65736" s="0" t="s">
        <v>2560</v>
      </c>
      <c r="F65736" s="0" t="s">
        <v>2561</v>
      </c>
      <c r="H65736" s="0" t="s">
        <v>2560</v>
      </c>
      <c r="I65736" s="0" t="s">
        <v>4568</v>
      </c>
    </row>
    <row r="65738" customFormat="false" ht="12.8" hidden="false" customHeight="false" outlineLevel="0" collapsed="false">
      <c r="A65738" s="0" t="s">
        <v>21740</v>
      </c>
      <c r="B65738" s="0" t="str">
        <f aca="false">HYPERLINK("https://lindat.mff.cuni.cz/services/teitok/pdtc10/index.php?action=vallex&amp;frame=v-w9020f3", "zaplatit (v-w9020f3)")</f>
        <v>zaplatit (v-w9020f3)</v>
      </c>
    </row>
    <row r="65739" customFormat="false" ht="12.8" hidden="false" customHeight="false" outlineLevel="0" collapsed="false">
      <c r="B65739" s="0" t="s">
        <v>804</v>
      </c>
    </row>
    <row r="65740" customFormat="false" ht="12.8" hidden="false" customHeight="false" outlineLevel="0" collapsed="false">
      <c r="B65740" s="0" t="s">
        <v>16200</v>
      </c>
    </row>
    <row r="65742" customFormat="false" ht="12.8" hidden="false" customHeight="false" outlineLevel="0" collapsed="false">
      <c r="A65742" s="0" t="s">
        <v>21741</v>
      </c>
      <c r="B65742" s="0" t="str">
        <f aca="false">HYPERLINK("https://lindat.mff.cuni.cz/services/teitok/pdtc10/index.php?action=vallex&amp;frame=v-w9020f5_ZU", "zaplatit (v-w9020f5_ZU)")</f>
        <v>zaplatit (v-w9020f5_ZU)</v>
      </c>
    </row>
    <row r="65743" customFormat="false" ht="12.8" hidden="false" customHeight="false" outlineLevel="0" collapsed="false">
      <c r="B65743" s="0" t="s">
        <v>21742</v>
      </c>
    </row>
    <row r="65744" customFormat="false" ht="12.8" hidden="false" customHeight="false" outlineLevel="0" collapsed="false">
      <c r="B65744" s="0" t="s">
        <v>21743</v>
      </c>
    </row>
    <row r="65746" customFormat="false" ht="12.8" hidden="false" customHeight="false" outlineLevel="0" collapsed="false">
      <c r="A65746" s="0" t="s">
        <v>21741</v>
      </c>
      <c r="B65746" s="0" t="str">
        <f aca="false">HYPERLINK("https://lindat.mff.cuni.cz/services/teitok/pdtc10/index.php?action=vallex&amp;frame=v-w9020hsa_640", "zaplatit (v-w9020hsa_640) - substituted with v-w9020f5_ZU")</f>
        <v>zaplatit (v-w9020hsa_640) - substituted with v-w9020f5_ZU</v>
      </c>
    </row>
    <row r="65747" customFormat="false" ht="12.8" hidden="false" customHeight="false" outlineLevel="0" collapsed="false">
      <c r="B65747" s="0" t="s">
        <v>21742</v>
      </c>
    </row>
    <row r="65748" customFormat="false" ht="12.8" hidden="false" customHeight="false" outlineLevel="0" collapsed="false">
      <c r="B65748" s="0" t="s">
        <v>21743</v>
      </c>
    </row>
    <row r="65750" customFormat="false" ht="12.8" hidden="false" customHeight="false" outlineLevel="0" collapsed="false">
      <c r="A65750" s="0" t="s">
        <v>21744</v>
      </c>
      <c r="B65750" s="0" t="str">
        <f aca="false">HYPERLINK("https://lindat.mff.cuni.cz/services/teitok/pdtc10/index.php?action=vallex&amp;frame=v-w9020hsa_639", "zaplatit (v-w9020hsa_639)")</f>
        <v>zaplatit (v-w9020hsa_639)</v>
      </c>
    </row>
    <row r="65751" customFormat="false" ht="12.8" hidden="false" customHeight="false" outlineLevel="0" collapsed="false">
      <c r="B65751" s="0" t="s">
        <v>1</v>
      </c>
    </row>
    <row r="65752" customFormat="false" ht="12.8" hidden="false" customHeight="false" outlineLevel="0" collapsed="false">
      <c r="B65752" s="0" t="s">
        <v>8</v>
      </c>
    </row>
    <row r="65754" customFormat="false" ht="12.8" hidden="false" customHeight="false" outlineLevel="0" collapsed="false">
      <c r="A65754" s="0" t="s">
        <v>21745</v>
      </c>
      <c r="B65754" s="0" t="str">
        <f aca="false">HYPERLINK("https://lindat.mff.cuni.cz/services/teitok/pdtc10/index.php?action=vallex&amp;frame=v-w9021f1", "zaplatit se (v-w9021f1)")</f>
        <v>zaplatit se (v-w9021f1)</v>
      </c>
    </row>
    <row r="65755" customFormat="false" ht="12.8" hidden="false" customHeight="false" outlineLevel="0" collapsed="false">
      <c r="B65755" s="0" t="s">
        <v>1</v>
      </c>
    </row>
    <row r="65757" customFormat="false" ht="12.8" hidden="false" customHeight="false" outlineLevel="0" collapsed="false">
      <c r="A65757" s="0" t="s">
        <v>21746</v>
      </c>
      <c r="B65757" s="0" t="str">
        <f aca="false">HYPERLINK("https://lindat.mff.cuni.cz/services/teitok/pdtc10/index.php?action=vallex&amp;frame=v-w9024f1", "zaplavat (v-w9024f1)")</f>
        <v>zaplavat (v-w9024f1)</v>
      </c>
    </row>
    <row r="65758" customFormat="false" ht="12.8" hidden="false" customHeight="false" outlineLevel="0" collapsed="false">
      <c r="B65758" s="0" t="s">
        <v>1</v>
      </c>
    </row>
    <row r="65759" customFormat="false" ht="12.8" hidden="false" customHeight="false" outlineLevel="0" collapsed="false">
      <c r="B65759" s="0" t="s">
        <v>8</v>
      </c>
    </row>
    <row r="65761" customFormat="false" ht="12.8" hidden="false" customHeight="false" outlineLevel="0" collapsed="false">
      <c r="A65761" s="0" t="s">
        <v>21747</v>
      </c>
      <c r="B65761" s="0" t="str">
        <f aca="false">HYPERLINK("https://lindat.mff.cuni.cz/services/teitok/pdtc10/index.php?action=vallex&amp;frame=v-whsa_1090hsa_1091", "zaplavat si (v-whsa_1090hsa_1091)")</f>
        <v>zaplavat si (v-whsa_1090hsa_1091)</v>
      </c>
    </row>
    <row r="65762" customFormat="false" ht="12.8" hidden="false" customHeight="false" outlineLevel="0" collapsed="false">
      <c r="B65762" s="0" t="s">
        <v>1</v>
      </c>
    </row>
    <row r="65764" customFormat="false" ht="12.8" hidden="false" customHeight="false" outlineLevel="0" collapsed="false">
      <c r="A65764" s="0" t="s">
        <v>21748</v>
      </c>
      <c r="B65764" s="0" t="str">
        <f aca="false">HYPERLINK("https://lindat.mff.cuni.cz/services/teitok/pdtc10/index.php?action=vallex&amp;frame=v-w9027f2_ZU", "zaplavit (v-w9027f2_ZU)")</f>
        <v>zaplavit (v-w9027f2_ZU)</v>
      </c>
      <c r="E65764" s="0" t="str">
        <f aca="false">HYPERLINK("https://lindat.mff.cuni.cz/services/SynSemClass40/SynSemClass40.html?veclass=vec01376#vec01376-ces-cm00001", "vec01376")</f>
        <v>vec01376</v>
      </c>
      <c r="F65764" s="0" t="s">
        <v>21353</v>
      </c>
    </row>
    <row r="65765" customFormat="false" ht="12.8" hidden="false" customHeight="false" outlineLevel="0" collapsed="false">
      <c r="B65765" s="0" t="s">
        <v>1</v>
      </c>
      <c r="C65765" s="0" t="s">
        <v>21749</v>
      </c>
      <c r="E65765" s="0" t="s">
        <v>9766</v>
      </c>
      <c r="F65765" s="0" t="s">
        <v>21355</v>
      </c>
    </row>
    <row r="65766" customFormat="false" ht="12.8" hidden="false" customHeight="false" outlineLevel="0" collapsed="false">
      <c r="B65766" s="0" t="s">
        <v>8</v>
      </c>
      <c r="C65766" s="0" t="s">
        <v>21750</v>
      </c>
      <c r="E65766" s="0" t="s">
        <v>2588</v>
      </c>
      <c r="F65766" s="0" t="s">
        <v>21357</v>
      </c>
    </row>
    <row r="65767" customFormat="false" ht="12.8" hidden="false" customHeight="false" outlineLevel="0" collapsed="false">
      <c r="B65767" s="0" t="s">
        <v>1696</v>
      </c>
      <c r="C65767" s="0" t="s">
        <v>21751</v>
      </c>
      <c r="E65767" s="0" t="s">
        <v>9771</v>
      </c>
      <c r="F65767" s="0" t="s">
        <v>21752</v>
      </c>
    </row>
    <row r="65769" customFormat="false" ht="12.8" hidden="false" customHeight="false" outlineLevel="0" collapsed="false">
      <c r="A65769" s="0" t="s">
        <v>21753</v>
      </c>
      <c r="B65769" s="0" t="str">
        <f aca="false">HYPERLINK("https://lindat.mff.cuni.cz/services/teitok/pdtc10/index.php?action=vallex&amp;frame=v-w9027f1", "zaplavit (v-w9027f1)")</f>
        <v>zaplavit (v-w9027f1)</v>
      </c>
      <c r="E65769" s="0" t="str">
        <f aca="false">HYPERLINK("https://lindat.mff.cuni.cz/services/SynSemClass40/SynSemClass40.html?veclass=vec00576#vec00576-ces-cm00001", "vec00576")</f>
        <v>vec00576</v>
      </c>
      <c r="F65769" s="0" t="s">
        <v>8601</v>
      </c>
      <c r="H65769" s="0" t="str">
        <f aca="false">HYPERLINK("https://lindat.mff.cuni.cz/services/SynSemClass40/SynSemClass40.html?veclass=vec01499#vec01499-ces-cm00014", "vec01499")</f>
        <v>vec01499</v>
      </c>
      <c r="I65769" s="0" t="s">
        <v>4578</v>
      </c>
    </row>
    <row r="65770" customFormat="false" ht="12.8" hidden="false" customHeight="false" outlineLevel="0" collapsed="false">
      <c r="B65770" s="0" t="s">
        <v>1</v>
      </c>
      <c r="C65770" s="0" t="s">
        <v>21754</v>
      </c>
      <c r="E65770" s="0" t="s">
        <v>957</v>
      </c>
      <c r="F65770" s="0" t="s">
        <v>8603</v>
      </c>
      <c r="H65770" s="0" t="s">
        <v>4581</v>
      </c>
      <c r="I65770" s="0" t="s">
        <v>4582</v>
      </c>
    </row>
    <row r="65771" customFormat="false" ht="12.8" hidden="false" customHeight="false" outlineLevel="0" collapsed="false">
      <c r="B65771" s="0" t="s">
        <v>8</v>
      </c>
      <c r="C65771" s="0" t="s">
        <v>21755</v>
      </c>
      <c r="E65771" s="0" t="s">
        <v>142</v>
      </c>
      <c r="F65771" s="0" t="s">
        <v>8605</v>
      </c>
      <c r="H65771" s="0" t="s">
        <v>142</v>
      </c>
      <c r="I65771" s="0" t="s">
        <v>7883</v>
      </c>
    </row>
    <row r="65773" customFormat="false" ht="12.8" hidden="false" customHeight="false" outlineLevel="0" collapsed="false">
      <c r="A65773" s="0" t="s">
        <v>21756</v>
      </c>
      <c r="B65773" s="0" t="str">
        <f aca="false">HYPERLINK("https://lindat.mff.cuni.cz/services/teitok/pdtc10/index.php?action=vallex&amp;frame=v-w9027f3_ZU", "zaplavit (v-w9027f3_ZU)")</f>
        <v>zaplavit (v-w9027f3_ZU)</v>
      </c>
    </row>
    <row r="65774" customFormat="false" ht="12.8" hidden="false" customHeight="false" outlineLevel="0" collapsed="false">
      <c r="B65774" s="0" t="s">
        <v>1</v>
      </c>
    </row>
    <row r="65775" customFormat="false" ht="12.8" hidden="false" customHeight="false" outlineLevel="0" collapsed="false">
      <c r="B65775" s="0" t="s">
        <v>8</v>
      </c>
    </row>
    <row r="65777" customFormat="false" ht="12.8" hidden="false" customHeight="false" outlineLevel="0" collapsed="false">
      <c r="A65777" s="0" t="s">
        <v>21756</v>
      </c>
      <c r="B65777" s="0" t="str">
        <f aca="false">HYPERLINK("https://lindat.mff.cuni.cz/services/teitok/pdtc10/index.php?action=vallex&amp;frame=v-w9027hsa_296", "zaplavit (v-w9027hsa_296) - substituted with v-w9027f3_ZU")</f>
        <v>zaplavit (v-w9027hsa_296) - substituted with v-w9027f3_ZU</v>
      </c>
    </row>
    <row r="65778" customFormat="false" ht="12.8" hidden="false" customHeight="false" outlineLevel="0" collapsed="false">
      <c r="B65778" s="0" t="s">
        <v>1</v>
      </c>
    </row>
    <row r="65779" customFormat="false" ht="12.8" hidden="false" customHeight="false" outlineLevel="0" collapsed="false">
      <c r="B65779" s="0" t="s">
        <v>8</v>
      </c>
    </row>
    <row r="65781" customFormat="false" ht="12.8" hidden="false" customHeight="false" outlineLevel="0" collapsed="false">
      <c r="A65781" s="0" t="s">
        <v>21757</v>
      </c>
      <c r="B65781" s="0" t="str">
        <f aca="false">HYPERLINK("https://lindat.mff.cuni.cz/services/teitok/pdtc10/index.php?action=vallex&amp;frame=v-w9028f1", "zaplavovat (v-w9028f1)")</f>
        <v>zaplavovat (v-w9028f1)</v>
      </c>
      <c r="E65781" s="0" t="str">
        <f aca="false">HYPERLINK("https://lindat.mff.cuni.cz/services/SynSemClass40/SynSemClass40.html?veclass=vec00576#vec00576-ces-cm00004", "vec00576")</f>
        <v>vec00576</v>
      </c>
      <c r="F65781" s="0" t="s">
        <v>8601</v>
      </c>
    </row>
    <row r="65782" customFormat="false" ht="12.8" hidden="false" customHeight="false" outlineLevel="0" collapsed="false">
      <c r="B65782" s="0" t="s">
        <v>1</v>
      </c>
      <c r="C65782" s="0" t="s">
        <v>8602</v>
      </c>
      <c r="E65782" s="0" t="s">
        <v>957</v>
      </c>
      <c r="F65782" s="0" t="s">
        <v>8603</v>
      </c>
    </row>
    <row r="65783" customFormat="false" ht="12.8" hidden="false" customHeight="false" outlineLevel="0" collapsed="false">
      <c r="B65783" s="0" t="s">
        <v>8</v>
      </c>
      <c r="C65783" s="0" t="s">
        <v>8604</v>
      </c>
      <c r="E65783" s="0" t="s">
        <v>142</v>
      </c>
      <c r="F65783" s="0" t="s">
        <v>8605</v>
      </c>
    </row>
    <row r="65784" customFormat="false" ht="12.8" hidden="false" customHeight="false" outlineLevel="0" collapsed="false">
      <c r="B65784" s="0" t="s">
        <v>7045</v>
      </c>
    </row>
    <row r="65786" customFormat="false" ht="12.8" hidden="false" customHeight="false" outlineLevel="0" collapsed="false">
      <c r="A65786" s="0" t="s">
        <v>21758</v>
      </c>
      <c r="B65786" s="0" t="str">
        <f aca="false">HYPERLINK("https://lindat.mff.cuni.cz/services/teitok/pdtc10/index.php?action=vallex&amp;frame=v-w11968_ZUf1_ZU", "zaplavčíkovat si (v-w11968_ZUf1_ZU)")</f>
        <v>zaplavčíkovat si (v-w11968_ZUf1_ZU)</v>
      </c>
    </row>
    <row r="65787" customFormat="false" ht="12.8" hidden="false" customHeight="false" outlineLevel="0" collapsed="false">
      <c r="B65787" s="0" t="s">
        <v>1</v>
      </c>
    </row>
    <row r="65789" customFormat="false" ht="12.8" hidden="false" customHeight="false" outlineLevel="0" collapsed="false">
      <c r="A65789" s="0" t="s">
        <v>21759</v>
      </c>
      <c r="B65789" s="0" t="str">
        <f aca="false">HYPERLINK("https://lindat.mff.cuni.cz/services/teitok/pdtc10/index.php?action=vallex&amp;frame=v-w9019f1", "zaplašit (v-w9019f1)")</f>
        <v>zaplašit (v-w9019f1)</v>
      </c>
    </row>
    <row r="65790" customFormat="false" ht="12.8" hidden="false" customHeight="false" outlineLevel="0" collapsed="false">
      <c r="B65790" s="0" t="s">
        <v>1</v>
      </c>
    </row>
    <row r="65791" customFormat="false" ht="12.8" hidden="false" customHeight="false" outlineLevel="0" collapsed="false">
      <c r="B65791" s="0" t="s">
        <v>8</v>
      </c>
    </row>
    <row r="65793" customFormat="false" ht="12.8" hidden="false" customHeight="false" outlineLevel="0" collapsed="false">
      <c r="A65793" s="0" t="s">
        <v>21760</v>
      </c>
      <c r="B65793" s="0" t="str">
        <f aca="false">HYPERLINK("https://lindat.mff.cuni.cz/services/teitok/pdtc10/index.php?action=vallex&amp;frame=v-w9032f3_MM", "zaplnit (v-w9032f3_MM)")</f>
        <v>zaplnit (v-w9032f3_MM)</v>
      </c>
    </row>
    <row r="65794" customFormat="false" ht="12.8" hidden="false" customHeight="false" outlineLevel="0" collapsed="false">
      <c r="B65794" s="0" t="s">
        <v>1</v>
      </c>
    </row>
    <row r="65795" customFormat="false" ht="12.8" hidden="false" customHeight="false" outlineLevel="0" collapsed="false">
      <c r="B65795" s="0" t="s">
        <v>8</v>
      </c>
    </row>
    <row r="65796" customFormat="false" ht="12.8" hidden="false" customHeight="false" outlineLevel="0" collapsed="false">
      <c r="B65796" s="0" t="s">
        <v>7045</v>
      </c>
    </row>
    <row r="65798" customFormat="false" ht="12.8" hidden="false" customHeight="false" outlineLevel="0" collapsed="false">
      <c r="A65798" s="0" t="s">
        <v>21760</v>
      </c>
      <c r="B65798" s="0" t="str">
        <f aca="false">HYPERLINK("https://lindat.mff.cuni.cz/services/teitok/pdtc10/index.php?action=vallex&amp;frame=v-w9032f1", "zaplnit (v-w9032f1) - substituted with v-w9032f3_MM")</f>
        <v>zaplnit (v-w9032f1) - substituted with v-w9032f3_MM</v>
      </c>
      <c r="E65798" s="0" t="str">
        <f aca="false">HYPERLINK("https://lindat.mff.cuni.cz/services/SynSemClass40/SynSemClass40.html?veclass=vec00577#vec00577-ces-cm00001", "vec00577")</f>
        <v>vec00577</v>
      </c>
      <c r="F65798" s="0" t="s">
        <v>7484</v>
      </c>
    </row>
    <row r="65799" customFormat="false" ht="12.8" hidden="false" customHeight="false" outlineLevel="0" collapsed="false">
      <c r="B65799" s="0" t="s">
        <v>1</v>
      </c>
      <c r="C65799" s="0" t="s">
        <v>7485</v>
      </c>
      <c r="E65799" s="0" t="s">
        <v>31</v>
      </c>
      <c r="F65799" s="0" t="s">
        <v>7486</v>
      </c>
    </row>
    <row r="65800" customFormat="false" ht="12.8" hidden="false" customHeight="false" outlineLevel="0" collapsed="false">
      <c r="B65800" s="0" t="s">
        <v>8</v>
      </c>
      <c r="C65800" s="0" t="s">
        <v>7487</v>
      </c>
      <c r="E65800" s="0" t="s">
        <v>7098</v>
      </c>
      <c r="F65800" s="0" t="s">
        <v>7488</v>
      </c>
    </row>
    <row r="65801" customFormat="false" ht="12.8" hidden="false" customHeight="false" outlineLevel="0" collapsed="false">
      <c r="B65801" s="0" t="s">
        <v>7045</v>
      </c>
      <c r="C65801" s="0" t="s">
        <v>7489</v>
      </c>
      <c r="E65801" s="0" t="s">
        <v>7101</v>
      </c>
      <c r="F65801" s="0" t="s">
        <v>7490</v>
      </c>
    </row>
    <row r="65803" customFormat="false" ht="12.8" hidden="false" customHeight="false" outlineLevel="0" collapsed="false">
      <c r="A65803" s="0" t="s">
        <v>21760</v>
      </c>
      <c r="B65803" s="0" t="str">
        <f aca="false">HYPERLINK("https://lindat.mff.cuni.cz/services/teitok/pdtc10/index.php?action=vallex&amp;frame=v-w9032f2_ZU", "zaplnit (v-w9032f2_ZU) - substituted with v-w9032f3_MM")</f>
        <v>zaplnit (v-w9032f2_ZU) - substituted with v-w9032f3_MM</v>
      </c>
    </row>
    <row r="65804" customFormat="false" ht="12.8" hidden="false" customHeight="false" outlineLevel="0" collapsed="false">
      <c r="B65804" s="0" t="s">
        <v>1</v>
      </c>
    </row>
    <row r="65805" customFormat="false" ht="12.8" hidden="false" customHeight="false" outlineLevel="0" collapsed="false">
      <c r="B65805" s="0" t="s">
        <v>8</v>
      </c>
    </row>
    <row r="65806" customFormat="false" ht="12.8" hidden="false" customHeight="false" outlineLevel="0" collapsed="false">
      <c r="B65806" s="0" t="s">
        <v>7045</v>
      </c>
    </row>
    <row r="65808" customFormat="false" ht="12.8" hidden="false" customHeight="false" outlineLevel="0" collapsed="false">
      <c r="A65808" s="0" t="s">
        <v>21761</v>
      </c>
      <c r="B65808" s="0" t="str">
        <f aca="false">HYPERLINK("https://lindat.mff.cuni.cz/services/teitok/pdtc10/index.php?action=vallex&amp;frame=v-w12338_MMf1_MM", "zaplnit se (v-w12338_MMf1_MM)")</f>
        <v>zaplnit se (v-w12338_MMf1_MM)</v>
      </c>
    </row>
    <row r="65809" customFormat="false" ht="12.8" hidden="false" customHeight="false" outlineLevel="0" collapsed="false">
      <c r="B65809" s="0" t="s">
        <v>1</v>
      </c>
    </row>
    <row r="65810" customFormat="false" ht="12.8" hidden="false" customHeight="false" outlineLevel="0" collapsed="false">
      <c r="B65810" s="0" t="s">
        <v>4287</v>
      </c>
    </row>
    <row r="65812" customFormat="false" ht="12.8" hidden="false" customHeight="false" outlineLevel="0" collapsed="false">
      <c r="A65812" s="0" t="s">
        <v>21762</v>
      </c>
      <c r="B65812" s="0" t="str">
        <f aca="false">HYPERLINK("https://lindat.mff.cuni.cz/services/teitok/pdtc10/index.php?action=vallex&amp;frame=v-w10647f2", "zaplombovat (v-w10647f2)")</f>
        <v>zaplombovat (v-w10647f2)</v>
      </c>
    </row>
    <row r="65813" customFormat="false" ht="12.8" hidden="false" customHeight="false" outlineLevel="0" collapsed="false">
      <c r="B65813" s="0" t="s">
        <v>1</v>
      </c>
    </row>
    <row r="65814" customFormat="false" ht="12.8" hidden="false" customHeight="false" outlineLevel="0" collapsed="false">
      <c r="B65814" s="0" t="s">
        <v>8</v>
      </c>
    </row>
    <row r="65816" customFormat="false" ht="12.8" hidden="false" customHeight="false" outlineLevel="0" collapsed="false">
      <c r="A65816" s="0" t="s">
        <v>21763</v>
      </c>
      <c r="B65816" s="0" t="str">
        <f aca="false">HYPERLINK("https://lindat.mff.cuni.cz/services/teitok/pdtc10/index.php?action=vallex&amp;frame=v-w12322_MMf1_MM", "zaplynovat (v-w12322_MMf1_MM)")</f>
        <v>zaplynovat (v-w12322_MMf1_MM)</v>
      </c>
    </row>
    <row r="65817" customFormat="false" ht="12.8" hidden="false" customHeight="false" outlineLevel="0" collapsed="false">
      <c r="B65817" s="0" t="s">
        <v>1</v>
      </c>
    </row>
    <row r="65818" customFormat="false" ht="12.8" hidden="false" customHeight="false" outlineLevel="0" collapsed="false">
      <c r="B65818" s="0" t="s">
        <v>8</v>
      </c>
    </row>
    <row r="65820" customFormat="false" ht="12.8" hidden="false" customHeight="false" outlineLevel="0" collapsed="false">
      <c r="A65820" s="0" t="s">
        <v>21764</v>
      </c>
      <c r="B65820" s="0" t="str">
        <f aca="false">HYPERLINK("https://lindat.mff.cuni.cz/services/teitok/pdtc10/index.php?action=vallex&amp;frame=v-whsa_122hsa_123", "zaplácat (v-whsa_122hsa_123)")</f>
        <v>zaplácat (v-whsa_122hsa_123)</v>
      </c>
    </row>
    <row r="65821" customFormat="false" ht="12.8" hidden="false" customHeight="false" outlineLevel="0" collapsed="false">
      <c r="B65821" s="0" t="s">
        <v>1</v>
      </c>
    </row>
    <row r="65823" customFormat="false" ht="12.8" hidden="false" customHeight="false" outlineLevel="0" collapsed="false">
      <c r="A65823" s="0" t="s">
        <v>21765</v>
      </c>
      <c r="B65823" s="0" t="str">
        <f aca="false">HYPERLINK("https://lindat.mff.cuni.cz/services/teitok/pdtc10/index.php?action=vallex&amp;frame=v-w9029f2", "zaplést (v-w9029f2)")</f>
        <v>zaplést (v-w9029f2)</v>
      </c>
    </row>
    <row r="65824" customFormat="false" ht="12.8" hidden="false" customHeight="false" outlineLevel="0" collapsed="false">
      <c r="B65824" s="0" t="s">
        <v>1</v>
      </c>
    </row>
    <row r="65825" customFormat="false" ht="12.8" hidden="false" customHeight="false" outlineLevel="0" collapsed="false">
      <c r="B65825" s="0" t="s">
        <v>1187</v>
      </c>
    </row>
    <row r="65826" customFormat="false" ht="12.8" hidden="false" customHeight="false" outlineLevel="0" collapsed="false">
      <c r="B65826" s="0" t="s">
        <v>98</v>
      </c>
    </row>
    <row r="65828" customFormat="false" ht="12.8" hidden="false" customHeight="false" outlineLevel="0" collapsed="false">
      <c r="A65828" s="0" t="s">
        <v>21766</v>
      </c>
      <c r="B65828" s="0" t="str">
        <f aca="false">HYPERLINK("https://lindat.mff.cuni.cz/services/teitok/pdtc10/index.php?action=vallex&amp;frame=v-w9029f1", "zaplést (v-w9029f1)")</f>
        <v>zaplést (v-w9029f1)</v>
      </c>
    </row>
    <row r="65829" customFormat="false" ht="12.8" hidden="false" customHeight="false" outlineLevel="0" collapsed="false">
      <c r="B65829" s="0" t="s">
        <v>1</v>
      </c>
    </row>
    <row r="65830" customFormat="false" ht="12.8" hidden="false" customHeight="false" outlineLevel="0" collapsed="false">
      <c r="B65830" s="0" t="s">
        <v>8</v>
      </c>
    </row>
    <row r="65831" customFormat="false" ht="12.8" hidden="false" customHeight="false" outlineLevel="0" collapsed="false">
      <c r="B65831" s="0" t="s">
        <v>164</v>
      </c>
    </row>
    <row r="65833" customFormat="false" ht="12.8" hidden="false" customHeight="false" outlineLevel="0" collapsed="false">
      <c r="A65833" s="0" t="s">
        <v>21767</v>
      </c>
      <c r="B65833" s="0" t="str">
        <f aca="false">HYPERLINK("https://lindat.mff.cuni.cz/services/teitok/pdtc10/index.php?action=vallex&amp;frame=v-w9030f1", "zaplést se (v-w9030f1)")</f>
        <v>zaplést se (v-w9030f1)</v>
      </c>
      <c r="E65833" s="0" t="str">
        <f aca="false">HYPERLINK("https://lindat.mff.cuni.cz/services/SynSemClass40/SynSemClass40.html?veclass=vec00775#vec00775-ces-cm00058", "vec00775")</f>
        <v>vec00775</v>
      </c>
      <c r="F65833" s="0" t="s">
        <v>6457</v>
      </c>
    </row>
    <row r="65834" customFormat="false" ht="12.8" hidden="false" customHeight="false" outlineLevel="0" collapsed="false">
      <c r="B65834" s="0" t="s">
        <v>1</v>
      </c>
      <c r="C65834" s="0" t="s">
        <v>6619</v>
      </c>
      <c r="E65834" s="0" t="s">
        <v>3010</v>
      </c>
      <c r="F65834" s="0" t="s">
        <v>6459</v>
      </c>
    </row>
    <row r="65835" customFormat="false" ht="12.8" hidden="false" customHeight="false" outlineLevel="0" collapsed="false">
      <c r="B65835" s="0" t="s">
        <v>1187</v>
      </c>
      <c r="C65835" s="0" t="s">
        <v>6621</v>
      </c>
      <c r="E65835" s="0" t="s">
        <v>4202</v>
      </c>
      <c r="F65835" s="0" t="s">
        <v>6461</v>
      </c>
    </row>
    <row r="65837" customFormat="false" ht="12.8" hidden="false" customHeight="false" outlineLevel="0" collapsed="false">
      <c r="A65837" s="0" t="s">
        <v>21768</v>
      </c>
      <c r="B65837" s="0" t="str">
        <f aca="false">HYPERLINK("https://lindat.mff.cuni.cz/services/teitok/pdtc10/index.php?action=vallex&amp;frame=v-w9030f3_ZU", "zaplést se (v-w9030f3_ZU)")</f>
        <v>zaplést se (v-w9030f3_ZU)</v>
      </c>
    </row>
    <row r="65838" customFormat="false" ht="12.8" hidden="false" customHeight="false" outlineLevel="0" collapsed="false">
      <c r="B65838" s="0" t="s">
        <v>1</v>
      </c>
    </row>
    <row r="65839" customFormat="false" ht="12.8" hidden="false" customHeight="false" outlineLevel="0" collapsed="false">
      <c r="B65839" s="0" t="s">
        <v>721</v>
      </c>
    </row>
    <row r="65841" customFormat="false" ht="12.8" hidden="false" customHeight="false" outlineLevel="0" collapsed="false">
      <c r="A65841" s="0" t="s">
        <v>21768</v>
      </c>
      <c r="B65841" s="0" t="str">
        <f aca="false">HYPERLINK("https://lindat.mff.cuni.cz/services/teitok/pdtc10/index.php?action=vallex&amp;frame=v-w9030f2_ZU", "zaplést se (v-w9030f2_ZU) - substituted with v-w9030f3_ZU")</f>
        <v>zaplést se (v-w9030f2_ZU) - substituted with v-w9030f3_ZU</v>
      </c>
    </row>
    <row r="65842" customFormat="false" ht="12.8" hidden="false" customHeight="false" outlineLevel="0" collapsed="false">
      <c r="B65842" s="0" t="s">
        <v>1</v>
      </c>
    </row>
    <row r="65843" customFormat="false" ht="12.8" hidden="false" customHeight="false" outlineLevel="0" collapsed="false">
      <c r="B65843" s="0" t="s">
        <v>721</v>
      </c>
    </row>
    <row r="65845" customFormat="false" ht="12.8" hidden="false" customHeight="false" outlineLevel="0" collapsed="false">
      <c r="A65845" s="0" t="s">
        <v>21769</v>
      </c>
      <c r="B65845" s="0" t="str">
        <f aca="false">HYPERLINK("https://lindat.mff.cuni.cz/services/teitok/pdtc10/index.php?action=vallex&amp;frame=v-w9030hsa_576", "zaplést se (v-w9030hsa_576)")</f>
        <v>zaplést se (v-w9030hsa_576)</v>
      </c>
    </row>
    <row r="65846" customFormat="false" ht="12.8" hidden="false" customHeight="false" outlineLevel="0" collapsed="false">
      <c r="B65846" s="0" t="s">
        <v>1</v>
      </c>
    </row>
    <row r="65847" customFormat="false" ht="12.8" hidden="false" customHeight="false" outlineLevel="0" collapsed="false">
      <c r="B65847" s="0" t="s">
        <v>164</v>
      </c>
    </row>
    <row r="65849" customFormat="false" ht="12.8" hidden="false" customHeight="false" outlineLevel="0" collapsed="false">
      <c r="A65849" s="0" t="s">
        <v>21770</v>
      </c>
      <c r="B65849" s="0" t="str">
        <f aca="false">HYPERLINK("https://lindat.mff.cuni.cz/services/teitok/pdtc10/index.php?action=vallex&amp;frame=v-w9031f2", "zaplétat (v-w9031f2)")</f>
        <v>zaplétat (v-w9031f2)</v>
      </c>
    </row>
    <row r="65850" customFormat="false" ht="12.8" hidden="false" customHeight="false" outlineLevel="0" collapsed="false">
      <c r="B65850" s="0" t="s">
        <v>1</v>
      </c>
    </row>
    <row r="65851" customFormat="false" ht="12.8" hidden="false" customHeight="false" outlineLevel="0" collapsed="false">
      <c r="B65851" s="0" t="s">
        <v>1187</v>
      </c>
    </row>
    <row r="65852" customFormat="false" ht="12.8" hidden="false" customHeight="false" outlineLevel="0" collapsed="false">
      <c r="B65852" s="0" t="s">
        <v>98</v>
      </c>
    </row>
    <row r="65854" customFormat="false" ht="12.8" hidden="false" customHeight="false" outlineLevel="0" collapsed="false">
      <c r="A65854" s="0" t="s">
        <v>21771</v>
      </c>
      <c r="B65854" s="0" t="str">
        <f aca="false">HYPERLINK("https://lindat.mff.cuni.cz/services/teitok/pdtc10/index.php?action=vallex&amp;frame=v-w9031f1", "zaplétat (v-w9031f1)")</f>
        <v>zaplétat (v-w9031f1)</v>
      </c>
    </row>
    <row r="65855" customFormat="false" ht="12.8" hidden="false" customHeight="false" outlineLevel="0" collapsed="false">
      <c r="B65855" s="0" t="s">
        <v>1</v>
      </c>
    </row>
    <row r="65856" customFormat="false" ht="12.8" hidden="false" customHeight="false" outlineLevel="0" collapsed="false">
      <c r="B65856" s="0" t="s">
        <v>8</v>
      </c>
    </row>
    <row r="65857" customFormat="false" ht="12.8" hidden="false" customHeight="false" outlineLevel="0" collapsed="false">
      <c r="B65857" s="0" t="s">
        <v>164</v>
      </c>
    </row>
    <row r="65859" customFormat="false" ht="12.8" hidden="false" customHeight="false" outlineLevel="0" collapsed="false">
      <c r="A65859" s="0" t="s">
        <v>21772</v>
      </c>
      <c r="B65859" s="0" t="str">
        <f aca="false">HYPERLINK("https://lindat.mff.cuni.cz/services/teitok/pdtc10/index.php?action=vallex&amp;frame=v-w9034f1", "zaplňovat (v-w9034f1)")</f>
        <v>zaplňovat (v-w9034f1)</v>
      </c>
      <c r="E65859" s="0" t="str">
        <f aca="false">HYPERLINK("https://lindat.mff.cuni.cz/services/SynSemClass40/SynSemClass40.html?veclass=vec00577#vec00577-ces-cm00010", "vec00577")</f>
        <v>vec00577</v>
      </c>
      <c r="F65859" s="0" t="s">
        <v>7484</v>
      </c>
    </row>
    <row r="65860" customFormat="false" ht="12.8" hidden="false" customHeight="false" outlineLevel="0" collapsed="false">
      <c r="B65860" s="0" t="s">
        <v>1</v>
      </c>
      <c r="C65860" s="0" t="s">
        <v>7485</v>
      </c>
      <c r="E65860" s="0" t="s">
        <v>31</v>
      </c>
      <c r="F65860" s="0" t="s">
        <v>7486</v>
      </c>
    </row>
    <row r="65861" customFormat="false" ht="12.8" hidden="false" customHeight="false" outlineLevel="0" collapsed="false">
      <c r="B65861" s="0" t="s">
        <v>8</v>
      </c>
      <c r="C65861" s="0" t="s">
        <v>7487</v>
      </c>
      <c r="E65861" s="0" t="s">
        <v>7098</v>
      </c>
      <c r="F65861" s="0" t="s">
        <v>7488</v>
      </c>
    </row>
    <row r="65862" customFormat="false" ht="12.8" hidden="false" customHeight="false" outlineLevel="0" collapsed="false">
      <c r="B65862" s="0" t="s">
        <v>7045</v>
      </c>
      <c r="C65862" s="0" t="s">
        <v>7489</v>
      </c>
      <c r="E65862" s="0" t="s">
        <v>7101</v>
      </c>
      <c r="F65862" s="0" t="s">
        <v>7490</v>
      </c>
    </row>
    <row r="65864" customFormat="false" ht="12.8" hidden="false" customHeight="false" outlineLevel="0" collapsed="false">
      <c r="A65864" s="0" t="s">
        <v>21773</v>
      </c>
      <c r="B65864" s="0" t="str">
        <f aca="false">HYPERLINK("https://lindat.mff.cuni.cz/services/teitok/pdtc10/index.php?action=vallex&amp;frame=v-w11637_ZUf2_ZU", "zaplňovat se (v-w11637_ZUf2_ZU)")</f>
        <v>zaplňovat se (v-w11637_ZUf2_ZU)</v>
      </c>
    </row>
    <row r="65865" customFormat="false" ht="12.8" hidden="false" customHeight="false" outlineLevel="0" collapsed="false">
      <c r="B65865" s="0" t="s">
        <v>1</v>
      </c>
    </row>
    <row r="65866" customFormat="false" ht="12.8" hidden="false" customHeight="false" outlineLevel="0" collapsed="false">
      <c r="B65866" s="0" t="s">
        <v>4287</v>
      </c>
    </row>
    <row r="65868" customFormat="false" ht="12.8" hidden="false" customHeight="false" outlineLevel="0" collapsed="false">
      <c r="A65868" s="0" t="s">
        <v>21773</v>
      </c>
      <c r="B65868" s="0" t="str">
        <f aca="false">HYPERLINK("https://lindat.mff.cuni.cz/services/teitok/pdtc10/index.php?action=vallex&amp;frame=v-w11637_ZUf1_ZU", "zaplňovat se (v-w11637_ZUf1_ZU) - substituted with v-w11637_ZUf2_ZU")</f>
        <v>zaplňovat se (v-w11637_ZUf1_ZU) - substituted with v-w11637_ZUf2_ZU</v>
      </c>
      <c r="E65868" s="0" t="str">
        <f aca="false">HYPERLINK("https://lindat.mff.cuni.cz/services/SynSemClass40/SynSemClass40.html?veclass=vec01171#vec01171-ces-cm00001", "vec01171")</f>
        <v>vec01171</v>
      </c>
      <c r="F65868" s="0" t="s">
        <v>21774</v>
      </c>
    </row>
    <row r="65869" customFormat="false" ht="12.8" hidden="false" customHeight="false" outlineLevel="0" collapsed="false">
      <c r="B65869" s="0" t="s">
        <v>1</v>
      </c>
      <c r="C65869" s="0" t="s">
        <v>4695</v>
      </c>
      <c r="E65869" s="0" t="s">
        <v>21775</v>
      </c>
      <c r="F65869" s="0" t="s">
        <v>21776</v>
      </c>
    </row>
    <row r="65870" customFormat="false" ht="12.8" hidden="false" customHeight="false" outlineLevel="0" collapsed="false">
      <c r="B65870" s="0" t="s">
        <v>4287</v>
      </c>
      <c r="E65870" s="0" t="s">
        <v>21777</v>
      </c>
      <c r="F65870" s="0" t="s">
        <v>21778</v>
      </c>
    </row>
    <row r="65872" customFormat="false" ht="12.8" hidden="false" customHeight="false" outlineLevel="0" collapsed="false">
      <c r="A65872" s="0" t="s">
        <v>21779</v>
      </c>
      <c r="B65872" s="0" t="str">
        <f aca="false">HYPERLINK("https://lindat.mff.cuni.cz/services/teitok/pdtc10/index.php?action=vallex&amp;frame=v-w9035f1", "zapnout (v-w9035f1)")</f>
        <v>zapnout (v-w9035f1)</v>
      </c>
      <c r="E65872" s="0" t="str">
        <f aca="false">HYPERLINK("https://lindat.mff.cuni.cz/services/SynSemClass40/SynSemClass40.html?veclass=vec00182#vec00182-ces-cm00003", "vec00182")</f>
        <v>vec00182</v>
      </c>
      <c r="F65872" s="0" t="s">
        <v>19849</v>
      </c>
    </row>
    <row r="65873" customFormat="false" ht="12.8" hidden="false" customHeight="false" outlineLevel="0" collapsed="false">
      <c r="B65873" s="0" t="s">
        <v>1</v>
      </c>
      <c r="C65873" s="0" t="s">
        <v>106</v>
      </c>
      <c r="E65873" s="0" t="s">
        <v>19850</v>
      </c>
      <c r="F65873" s="0" t="s">
        <v>19851</v>
      </c>
    </row>
    <row r="65874" customFormat="false" ht="12.8" hidden="false" customHeight="false" outlineLevel="0" collapsed="false">
      <c r="B65874" s="0" t="s">
        <v>8</v>
      </c>
      <c r="C65874" s="0" t="s">
        <v>827</v>
      </c>
      <c r="E65874" s="0" t="s">
        <v>19852</v>
      </c>
      <c r="F65874" s="0" t="s">
        <v>19853</v>
      </c>
    </row>
    <row r="65876" customFormat="false" ht="12.8" hidden="false" customHeight="false" outlineLevel="0" collapsed="false">
      <c r="A65876" s="0" t="s">
        <v>21780</v>
      </c>
      <c r="B65876" s="0" t="str">
        <f aca="false">HYPERLINK("https://lindat.mff.cuni.cz/services/teitok/pdtc10/index.php?action=vallex&amp;frame=v-w9035f2", "zapnout (v-w9035f2)")</f>
        <v>zapnout (v-w9035f2)</v>
      </c>
    </row>
    <row r="65877" customFormat="false" ht="12.8" hidden="false" customHeight="false" outlineLevel="0" collapsed="false">
      <c r="B65877" s="0" t="s">
        <v>1</v>
      </c>
    </row>
    <row r="65878" customFormat="false" ht="12.8" hidden="false" customHeight="false" outlineLevel="0" collapsed="false">
      <c r="B65878" s="0" t="s">
        <v>8</v>
      </c>
    </row>
    <row r="65880" customFormat="false" ht="12.8" hidden="false" customHeight="false" outlineLevel="0" collapsed="false">
      <c r="A65880" s="0" t="s">
        <v>21781</v>
      </c>
      <c r="B65880" s="0" t="str">
        <f aca="false">HYPERLINK("https://lindat.mff.cuni.cz/services/teitok/pdtc10/index.php?action=vallex&amp;frame=v-w9035hsa_1064", "zapnout (v-w9035hsa_1064)")</f>
        <v>zapnout (v-w9035hsa_1064)</v>
      </c>
    </row>
    <row r="65881" customFormat="false" ht="12.8" hidden="false" customHeight="false" outlineLevel="0" collapsed="false">
      <c r="B65881" s="0" t="s">
        <v>1</v>
      </c>
    </row>
    <row r="65882" customFormat="false" ht="12.8" hidden="false" customHeight="false" outlineLevel="0" collapsed="false">
      <c r="B65882" s="0" t="s">
        <v>8</v>
      </c>
    </row>
    <row r="65883" customFormat="false" ht="12.8" hidden="false" customHeight="false" outlineLevel="0" collapsed="false">
      <c r="B65883" s="0" t="s">
        <v>164</v>
      </c>
    </row>
    <row r="65885" customFormat="false" ht="12.8" hidden="false" customHeight="false" outlineLevel="0" collapsed="false">
      <c r="A65885" s="0" t="s">
        <v>21782</v>
      </c>
      <c r="B65885" s="0" t="str">
        <f aca="false">HYPERLINK("https://lindat.mff.cuni.cz/services/teitok/pdtc10/index.php?action=vallex&amp;frame=v-whsa_812hsa_813", "zapnout se (v-whsa_812hsa_813)")</f>
        <v>zapnout se (v-whsa_812hsa_813)</v>
      </c>
      <c r="E65885" s="0" t="str">
        <f aca="false">HYPERLINK("https://lindat.mff.cuni.cz/services/SynSemClass40/SynSemClass40.html?veclass=vec00182#vec00182-ces-cm00005", "vec00182")</f>
        <v>vec00182</v>
      </c>
      <c r="F65885" s="0" t="s">
        <v>19849</v>
      </c>
    </row>
    <row r="65886" customFormat="false" ht="12.8" hidden="false" customHeight="false" outlineLevel="0" collapsed="false">
      <c r="B65886" s="0" t="s">
        <v>1</v>
      </c>
      <c r="C65886" s="0" t="s">
        <v>21783</v>
      </c>
      <c r="E65886" s="0" t="s">
        <v>21784</v>
      </c>
      <c r="F65886" s="0" t="s">
        <v>21785</v>
      </c>
    </row>
    <row r="65888" customFormat="false" ht="12.8" hidden="false" customHeight="false" outlineLevel="0" collapsed="false">
      <c r="A65888" s="0" t="s">
        <v>21786</v>
      </c>
      <c r="B65888" s="0" t="str">
        <f aca="false">HYPERLINK("https://lindat.mff.cuni.cz/services/teitok/pdtc10/index.php?action=vallex&amp;frame=v-w9043f1", "zapochybovat (v-w9043f1)")</f>
        <v>zapochybovat (v-w9043f1)</v>
      </c>
    </row>
    <row r="65889" customFormat="false" ht="12.8" hidden="false" customHeight="false" outlineLevel="0" collapsed="false">
      <c r="B65889" s="0" t="s">
        <v>1</v>
      </c>
    </row>
    <row r="65890" customFormat="false" ht="12.8" hidden="false" customHeight="false" outlineLevel="0" collapsed="false">
      <c r="B65890" s="0" t="s">
        <v>10644</v>
      </c>
    </row>
    <row r="65892" customFormat="false" ht="12.8" hidden="false" customHeight="false" outlineLevel="0" collapsed="false">
      <c r="A65892" s="0" t="s">
        <v>21787</v>
      </c>
      <c r="B65892" s="0" t="str">
        <f aca="false">HYPERLINK("https://lindat.mff.cuni.cz/services/teitok/pdtc10/index.php?action=vallex&amp;frame=v-w9045f1", "zapojit (v-w9045f1)")</f>
        <v>zapojit (v-w9045f1)</v>
      </c>
      <c r="E65892" s="0" t="str">
        <f aca="false">HYPERLINK("https://lindat.mff.cuni.cz/services/SynSemClass40/SynSemClass40.html?veclass=vec00175#vec00175-ces-cm00050", "vec00175")</f>
        <v>vec00175</v>
      </c>
      <c r="F65892" s="0" t="s">
        <v>4861</v>
      </c>
    </row>
    <row r="65893" customFormat="false" ht="12.8" hidden="false" customHeight="false" outlineLevel="0" collapsed="false">
      <c r="B65893" s="0" t="s">
        <v>1</v>
      </c>
      <c r="C65893" s="0" t="s">
        <v>13928</v>
      </c>
      <c r="E65893" s="0" t="s">
        <v>31</v>
      </c>
      <c r="F65893" s="0" t="s">
        <v>13929</v>
      </c>
    </row>
    <row r="65894" customFormat="false" ht="12.8" hidden="false" customHeight="false" outlineLevel="0" collapsed="false">
      <c r="B65894" s="0" t="s">
        <v>21788</v>
      </c>
      <c r="C65894" s="0" t="s">
        <v>21789</v>
      </c>
      <c r="E65894" s="0" t="s">
        <v>21790</v>
      </c>
      <c r="F65894" s="0" t="s">
        <v>21791</v>
      </c>
    </row>
    <row r="65895" customFormat="false" ht="12.8" hidden="false" customHeight="false" outlineLevel="0" collapsed="false">
      <c r="B65895" s="0" t="s">
        <v>98</v>
      </c>
      <c r="C65895" s="0" t="s">
        <v>21792</v>
      </c>
      <c r="E65895" s="0" t="s">
        <v>21793</v>
      </c>
      <c r="F65895" s="0" t="s">
        <v>21794</v>
      </c>
    </row>
    <row r="65897" customFormat="false" ht="12.8" hidden="false" customHeight="false" outlineLevel="0" collapsed="false">
      <c r="A65897" s="0" t="s">
        <v>21795</v>
      </c>
      <c r="B65897" s="0" t="str">
        <f aca="false">HYPERLINK("https://lindat.mff.cuni.cz/services/teitok/pdtc10/index.php?action=vallex&amp;frame=v-w9045f2", "zapojit (v-w9045f2)")</f>
        <v>zapojit (v-w9045f2)</v>
      </c>
      <c r="E65897" s="0" t="str">
        <f aca="false">HYPERLINK("https://lindat.mff.cuni.cz/services/SynSemClass40/SynSemClass40.html?veclass=vec01480#vec01480-ces-cm00007", "vec01480")</f>
        <v>vec01480</v>
      </c>
      <c r="F65897" s="0" t="s">
        <v>7517</v>
      </c>
    </row>
    <row r="65898" customFormat="false" ht="12.8" hidden="false" customHeight="false" outlineLevel="0" collapsed="false">
      <c r="B65898" s="0" t="s">
        <v>1</v>
      </c>
      <c r="C65898" s="0" t="s">
        <v>7518</v>
      </c>
      <c r="E65898" s="0" t="s">
        <v>31</v>
      </c>
      <c r="F65898" s="0" t="s">
        <v>7519</v>
      </c>
    </row>
    <row r="65899" customFormat="false" ht="12.8" hidden="false" customHeight="false" outlineLevel="0" collapsed="false">
      <c r="B65899" s="0" t="s">
        <v>8</v>
      </c>
      <c r="C65899" s="0" t="s">
        <v>5391</v>
      </c>
      <c r="E65899" s="0" t="s">
        <v>7520</v>
      </c>
      <c r="F65899" s="0" t="s">
        <v>7521</v>
      </c>
    </row>
    <row r="65900" customFormat="false" ht="12.8" hidden="false" customHeight="false" outlineLevel="0" collapsed="false">
      <c r="B65900" s="0" t="s">
        <v>164</v>
      </c>
      <c r="C65900" s="0" t="s">
        <v>7522</v>
      </c>
      <c r="E65900" s="0" t="s">
        <v>7523</v>
      </c>
      <c r="F65900" s="0" t="s">
        <v>7524</v>
      </c>
    </row>
    <row r="65902" customFormat="false" ht="12.8" hidden="false" customHeight="false" outlineLevel="0" collapsed="false">
      <c r="A65902" s="0" t="s">
        <v>21796</v>
      </c>
      <c r="B65902" s="0" t="str">
        <f aca="false">HYPERLINK("https://lindat.mff.cuni.cz/services/teitok/pdtc10/index.php?action=vallex&amp;frame=v-w9045f3", "zapojit (v-w9045f3)")</f>
        <v>zapojit (v-w9045f3)</v>
      </c>
      <c r="E65902" s="0" t="str">
        <f aca="false">HYPERLINK("https://lindat.mff.cuni.cz/services/SynSemClass40/SynSemClass40.html?veclass=vec00175#vec00175-ces-cm00051", "vec00175")</f>
        <v>vec00175</v>
      </c>
      <c r="F65902" s="0" t="s">
        <v>4861</v>
      </c>
      <c r="H65902" s="0" t="str">
        <f aca="false">HYPERLINK("https://lindat.mff.cuni.cz/services/SynSemClass40/SynSemClass40.html?veclass=vec01536#vec01536-ces-cm00048", "vec01536")</f>
        <v>vec01536</v>
      </c>
      <c r="I65902" s="0" t="s">
        <v>14025</v>
      </c>
    </row>
    <row r="65903" customFormat="false" ht="12.8" hidden="false" customHeight="false" outlineLevel="0" collapsed="false">
      <c r="B65903" s="0" t="s">
        <v>1</v>
      </c>
      <c r="C65903" s="0" t="s">
        <v>14026</v>
      </c>
      <c r="E65903" s="0" t="s">
        <v>31</v>
      </c>
      <c r="F65903" s="0" t="s">
        <v>13929</v>
      </c>
      <c r="H65903" s="0" t="s">
        <v>31</v>
      </c>
      <c r="I65903" s="0" t="s">
        <v>14027</v>
      </c>
    </row>
    <row r="65904" customFormat="false" ht="12.8" hidden="false" customHeight="false" outlineLevel="0" collapsed="false">
      <c r="B65904" s="0" t="s">
        <v>8</v>
      </c>
      <c r="C65904" s="0" t="s">
        <v>14028</v>
      </c>
      <c r="E65904" s="0" t="s">
        <v>13931</v>
      </c>
      <c r="F65904" s="0" t="s">
        <v>13932</v>
      </c>
      <c r="H65904" s="0" t="s">
        <v>110</v>
      </c>
      <c r="I65904" s="0" t="s">
        <v>14029</v>
      </c>
    </row>
    <row r="65905" customFormat="false" ht="12.8" hidden="false" customHeight="false" outlineLevel="0" collapsed="false">
      <c r="B65905" s="0" t="s">
        <v>164</v>
      </c>
      <c r="C65905" s="0" t="s">
        <v>14030</v>
      </c>
      <c r="E65905" s="0" t="s">
        <v>4866</v>
      </c>
      <c r="F65905" s="0" t="s">
        <v>4867</v>
      </c>
      <c r="H65905" s="0" t="s">
        <v>14031</v>
      </c>
      <c r="I65905" s="0" t="s">
        <v>14032</v>
      </c>
    </row>
    <row r="65907" customFormat="false" ht="12.8" hidden="false" customHeight="false" outlineLevel="0" collapsed="false">
      <c r="A65907" s="0" t="s">
        <v>21797</v>
      </c>
      <c r="B65907" s="0" t="str">
        <f aca="false">HYPERLINK("https://lindat.mff.cuni.cz/services/teitok/pdtc10/index.php?action=vallex&amp;frame=v-w9046f1", "zapojit se (v-w9046f1)")</f>
        <v>zapojit se (v-w9046f1)</v>
      </c>
      <c r="E65907" s="0" t="str">
        <f aca="false">HYPERLINK("https://lindat.mff.cuni.cz/services/SynSemClass40/SynSemClass40.html?veclass=vec00067#vec00067-ces-cm00269", "vec00067")</f>
        <v>vec00067</v>
      </c>
      <c r="F65907" s="0" t="s">
        <v>126</v>
      </c>
      <c r="H65907" s="0" t="str">
        <f aca="false">HYPERLINK("https://lindat.mff.cuni.cz/services/SynSemClass40/SynSemClass40.html?veclass=vec01458#vec01458-ces-cm00107", "vec01458")</f>
        <v>vec01458</v>
      </c>
      <c r="I65907" s="0" t="s">
        <v>127</v>
      </c>
    </row>
    <row r="65908" customFormat="false" ht="12.8" hidden="false" customHeight="false" outlineLevel="0" collapsed="false">
      <c r="B65908" s="0" t="s">
        <v>1</v>
      </c>
      <c r="C65908" s="0" t="s">
        <v>128</v>
      </c>
      <c r="E65908" s="0" t="s">
        <v>11</v>
      </c>
      <c r="F65908" s="0" t="s">
        <v>129</v>
      </c>
      <c r="H65908" s="0" t="s">
        <v>31</v>
      </c>
      <c r="I65908" s="0" t="s">
        <v>130</v>
      </c>
    </row>
    <row r="65909" customFormat="false" ht="12.8" hidden="false" customHeight="false" outlineLevel="0" collapsed="false">
      <c r="B65909" s="0" t="s">
        <v>1187</v>
      </c>
      <c r="C65909" s="0" t="s">
        <v>21216</v>
      </c>
      <c r="E65909" s="0" t="s">
        <v>188</v>
      </c>
      <c r="F65909" s="0" t="s">
        <v>189</v>
      </c>
      <c r="H65909" s="0" t="s">
        <v>14</v>
      </c>
      <c r="I65909" s="0" t="s">
        <v>288</v>
      </c>
    </row>
    <row r="65911" customFormat="false" ht="12.8" hidden="false" customHeight="false" outlineLevel="0" collapsed="false">
      <c r="A65911" s="0" t="s">
        <v>21798</v>
      </c>
      <c r="B65911" s="0" t="str">
        <f aca="false">HYPERLINK("https://lindat.mff.cuni.cz/services/teitok/pdtc10/index.php?action=vallex&amp;frame=v-w9046f2", "zapojit se (v-w9046f2)")</f>
        <v>zapojit se (v-w9046f2)</v>
      </c>
      <c r="E65911" s="0" t="str">
        <f aca="false">HYPERLINK("https://lindat.mff.cuni.cz/services/SynSemClass40/SynSemClass40.html?veclass=vec00239#vec00239-ces-cm00066", "vec00239")</f>
        <v>vec00239</v>
      </c>
      <c r="F65911" s="0" t="s">
        <v>4352</v>
      </c>
    </row>
    <row r="65912" customFormat="false" ht="12.8" hidden="false" customHeight="false" outlineLevel="0" collapsed="false">
      <c r="B65912" s="0" t="s">
        <v>1</v>
      </c>
      <c r="C65912" s="0" t="s">
        <v>4353</v>
      </c>
      <c r="E65912" s="0" t="s">
        <v>4354</v>
      </c>
      <c r="F65912" s="0" t="s">
        <v>4355</v>
      </c>
    </row>
    <row r="65913" customFormat="false" ht="12.8" hidden="false" customHeight="false" outlineLevel="0" collapsed="false">
      <c r="B65913" s="0" t="s">
        <v>164</v>
      </c>
      <c r="C65913" s="0" t="s">
        <v>7792</v>
      </c>
      <c r="E65913" s="0" t="s">
        <v>7793</v>
      </c>
      <c r="F65913" s="0" t="s">
        <v>7794</v>
      </c>
    </row>
    <row r="65915" customFormat="false" ht="12.8" hidden="false" customHeight="false" outlineLevel="0" collapsed="false">
      <c r="A65915" s="0" t="s">
        <v>21799</v>
      </c>
      <c r="B65915" s="0" t="str">
        <f aca="false">HYPERLINK("https://lindat.mff.cuni.cz/services/teitok/pdtc10/index.php?action=vallex&amp;frame=v-w9047f2", "zapojovat (v-w9047f2)")</f>
        <v>zapojovat (v-w9047f2)</v>
      </c>
      <c r="E65915" s="0" t="str">
        <f aca="false">HYPERLINK("https://lindat.mff.cuni.cz/services/SynSemClass40/SynSemClass40.html?veclass=vec01480#vec01480-ces-cm00009", "vec01480")</f>
        <v>vec01480</v>
      </c>
      <c r="F65915" s="0" t="s">
        <v>7517</v>
      </c>
    </row>
    <row r="65916" customFormat="false" ht="12.8" hidden="false" customHeight="false" outlineLevel="0" collapsed="false">
      <c r="B65916" s="0" t="s">
        <v>1</v>
      </c>
      <c r="C65916" s="0" t="s">
        <v>7518</v>
      </c>
      <c r="E65916" s="0" t="s">
        <v>31</v>
      </c>
      <c r="F65916" s="0" t="s">
        <v>7519</v>
      </c>
    </row>
    <row r="65917" customFormat="false" ht="12.8" hidden="false" customHeight="false" outlineLevel="0" collapsed="false">
      <c r="B65917" s="0" t="s">
        <v>8</v>
      </c>
      <c r="C65917" s="0" t="s">
        <v>5391</v>
      </c>
      <c r="E65917" s="0" t="s">
        <v>7520</v>
      </c>
      <c r="F65917" s="0" t="s">
        <v>7521</v>
      </c>
    </row>
    <row r="65918" customFormat="false" ht="12.8" hidden="false" customHeight="false" outlineLevel="0" collapsed="false">
      <c r="B65918" s="0" t="s">
        <v>5</v>
      </c>
      <c r="C65918" s="0" t="s">
        <v>21800</v>
      </c>
      <c r="E65918" s="0" t="s">
        <v>21801</v>
      </c>
      <c r="F65918" s="0" t="s">
        <v>21802</v>
      </c>
    </row>
    <row r="65920" customFormat="false" ht="12.8" hidden="false" customHeight="false" outlineLevel="0" collapsed="false">
      <c r="A65920" s="0" t="s">
        <v>21803</v>
      </c>
      <c r="B65920" s="0" t="str">
        <f aca="false">HYPERLINK("https://lindat.mff.cuni.cz/services/teitok/pdtc10/index.php?action=vallex&amp;frame=v-w9047f1", "zapojovat (v-w9047f1)")</f>
        <v>zapojovat (v-w9047f1)</v>
      </c>
      <c r="E65920" s="0" t="str">
        <f aca="false">HYPERLINK("https://lindat.mff.cuni.cz/services/SynSemClass40/SynSemClass40.html?veclass=vec01480#vec01480-ces-cm00008", "vec01480")</f>
        <v>vec01480</v>
      </c>
      <c r="F65920" s="0" t="s">
        <v>7517</v>
      </c>
    </row>
    <row r="65921" customFormat="false" ht="12.8" hidden="false" customHeight="false" outlineLevel="0" collapsed="false">
      <c r="B65921" s="0" t="s">
        <v>1</v>
      </c>
      <c r="C65921" s="0" t="s">
        <v>7518</v>
      </c>
      <c r="E65921" s="0" t="s">
        <v>31</v>
      </c>
      <c r="F65921" s="0" t="s">
        <v>7519</v>
      </c>
    </row>
    <row r="65922" customFormat="false" ht="12.8" hidden="false" customHeight="false" outlineLevel="0" collapsed="false">
      <c r="B65922" s="0" t="s">
        <v>8</v>
      </c>
      <c r="C65922" s="0" t="s">
        <v>5391</v>
      </c>
      <c r="E65922" s="0" t="s">
        <v>7520</v>
      </c>
      <c r="F65922" s="0" t="s">
        <v>7521</v>
      </c>
    </row>
    <row r="65923" customFormat="false" ht="12.8" hidden="false" customHeight="false" outlineLevel="0" collapsed="false">
      <c r="B65923" s="0" t="s">
        <v>164</v>
      </c>
      <c r="C65923" s="0" t="s">
        <v>7522</v>
      </c>
      <c r="E65923" s="0" t="s">
        <v>7523</v>
      </c>
      <c r="F65923" s="0" t="s">
        <v>7524</v>
      </c>
    </row>
    <row r="65925" customFormat="false" ht="12.8" hidden="false" customHeight="false" outlineLevel="0" collapsed="false">
      <c r="A65925" s="0" t="s">
        <v>21804</v>
      </c>
      <c r="B65925" s="0" t="str">
        <f aca="false">HYPERLINK("https://lindat.mff.cuni.cz/services/teitok/pdtc10/index.php?action=vallex&amp;frame=v-w9048f1", "zapojovat se (v-w9048f1)")</f>
        <v>zapojovat se (v-w9048f1)</v>
      </c>
      <c r="E65925" s="0" t="str">
        <f aca="false">HYPERLINK("https://lindat.mff.cuni.cz/services/SynSemClass40/SynSemClass40.html?veclass=vec00067#vec00067-ces-cm00270", "vec00067")</f>
        <v>vec00067</v>
      </c>
      <c r="F65925" s="0" t="s">
        <v>126</v>
      </c>
    </row>
    <row r="65926" customFormat="false" ht="12.8" hidden="false" customHeight="false" outlineLevel="0" collapsed="false">
      <c r="B65926" s="0" t="s">
        <v>1</v>
      </c>
      <c r="C65926" s="0" t="s">
        <v>185</v>
      </c>
      <c r="E65926" s="0" t="s">
        <v>11</v>
      </c>
      <c r="F65926" s="0" t="s">
        <v>129</v>
      </c>
    </row>
    <row r="65927" customFormat="false" ht="12.8" hidden="false" customHeight="false" outlineLevel="0" collapsed="false">
      <c r="B65927" s="0" t="s">
        <v>1187</v>
      </c>
      <c r="C65927" s="0" t="s">
        <v>187</v>
      </c>
      <c r="E65927" s="0" t="s">
        <v>188</v>
      </c>
      <c r="F65927" s="0" t="s">
        <v>189</v>
      </c>
    </row>
    <row r="65929" customFormat="false" ht="12.8" hidden="false" customHeight="false" outlineLevel="0" collapsed="false">
      <c r="A65929" s="0" t="s">
        <v>21805</v>
      </c>
      <c r="B65929" s="0" t="str">
        <f aca="false">HYPERLINK("https://lindat.mff.cuni.cz/services/teitok/pdtc10/index.php?action=vallex&amp;frame=v-w9048f2", "zapojovat se (v-w9048f2)")</f>
        <v>zapojovat se (v-w9048f2)</v>
      </c>
      <c r="E65929" s="0" t="str">
        <f aca="false">HYPERLINK("https://lindat.mff.cuni.cz/services/SynSemClass40/SynSemClass40.html?veclass=vec00239#vec00239-ces-cm00080", "vec00239")</f>
        <v>vec00239</v>
      </c>
      <c r="F65929" s="0" t="s">
        <v>4352</v>
      </c>
    </row>
    <row r="65930" customFormat="false" ht="12.8" hidden="false" customHeight="false" outlineLevel="0" collapsed="false">
      <c r="B65930" s="0" t="s">
        <v>1</v>
      </c>
      <c r="C65930" s="0" t="s">
        <v>4353</v>
      </c>
      <c r="E65930" s="0" t="s">
        <v>4354</v>
      </c>
      <c r="F65930" s="0" t="s">
        <v>4355</v>
      </c>
    </row>
    <row r="65931" customFormat="false" ht="12.8" hidden="false" customHeight="false" outlineLevel="0" collapsed="false">
      <c r="B65931" s="0" t="s">
        <v>164</v>
      </c>
      <c r="C65931" s="0" t="s">
        <v>7792</v>
      </c>
      <c r="E65931" s="0" t="s">
        <v>7793</v>
      </c>
      <c r="F65931" s="0" t="s">
        <v>7794</v>
      </c>
    </row>
    <row r="65933" customFormat="false" ht="12.8" hidden="false" customHeight="false" outlineLevel="0" collapsed="false">
      <c r="A65933" s="0" t="s">
        <v>21806</v>
      </c>
      <c r="B65933" s="0" t="str">
        <f aca="false">HYPERLINK("https://lindat.mff.cuni.cz/services/teitok/pdtc10/index.php?action=vallex&amp;frame=v-w9050f3_ZU", "zapomenout (v-w9050f3_ZU)")</f>
        <v>zapomenout (v-w9050f3_ZU)</v>
      </c>
    </row>
    <row r="65934" customFormat="false" ht="12.8" hidden="false" customHeight="false" outlineLevel="0" collapsed="false">
      <c r="B65934" s="0" t="s">
        <v>1</v>
      </c>
    </row>
    <row r="65935" customFormat="false" ht="12.8" hidden="false" customHeight="false" outlineLevel="0" collapsed="false">
      <c r="B65935" s="0" t="s">
        <v>21807</v>
      </c>
    </row>
    <row r="65937" customFormat="false" ht="12.8" hidden="false" customHeight="false" outlineLevel="0" collapsed="false">
      <c r="A65937" s="0" t="s">
        <v>21806</v>
      </c>
      <c r="B65937" s="0" t="str">
        <f aca="false">HYPERLINK("https://lindat.mff.cuni.cz/services/teitok/pdtc10/index.php?action=vallex&amp;frame=v-w9050f1", "zapomenout (v-w9050f1) - substituted with v-w9050f3_ZU")</f>
        <v>zapomenout (v-w9050f1) - substituted with v-w9050f3_ZU</v>
      </c>
      <c r="E65937" s="0" t="str">
        <f aca="false">HYPERLINK("https://lindat.mff.cuni.cz/services/SynSemClass40/SynSemClass40.html?veclass=vec00371#vec00371-ces-cm00001", "vec00371")</f>
        <v>vec00371</v>
      </c>
      <c r="F65937" s="0" t="s">
        <v>21808</v>
      </c>
    </row>
    <row r="65938" customFormat="false" ht="12.8" hidden="false" customHeight="false" outlineLevel="0" collapsed="false">
      <c r="B65938" s="0" t="s">
        <v>1</v>
      </c>
      <c r="C65938" s="0" t="s">
        <v>4264</v>
      </c>
      <c r="E65938" s="0" t="s">
        <v>621</v>
      </c>
      <c r="F65938" s="0" t="s">
        <v>21809</v>
      </c>
    </row>
    <row r="65939" customFormat="false" ht="12.8" hidden="false" customHeight="false" outlineLevel="0" collapsed="false">
      <c r="B65939" s="0" t="s">
        <v>21807</v>
      </c>
      <c r="C65939" s="0" t="s">
        <v>1388</v>
      </c>
      <c r="E65939" s="0" t="s">
        <v>180</v>
      </c>
      <c r="F65939" s="0" t="s">
        <v>21810</v>
      </c>
    </row>
    <row r="65941" customFormat="false" ht="12.8" hidden="false" customHeight="false" outlineLevel="0" collapsed="false">
      <c r="A65941" s="0" t="s">
        <v>21811</v>
      </c>
      <c r="B65941" s="0" t="str">
        <f aca="false">HYPERLINK("https://lindat.mff.cuni.cz/services/teitok/pdtc10/index.php?action=vallex&amp;frame=v-w9050f2", "zapomenout (v-w9050f2)")</f>
        <v>zapomenout (v-w9050f2)</v>
      </c>
    </row>
    <row r="65942" customFormat="false" ht="12.8" hidden="false" customHeight="false" outlineLevel="0" collapsed="false">
      <c r="B65942" s="0" t="s">
        <v>1</v>
      </c>
    </row>
    <row r="65943" customFormat="false" ht="12.8" hidden="false" customHeight="false" outlineLevel="0" collapsed="false">
      <c r="B65943" s="0" t="s">
        <v>8</v>
      </c>
    </row>
    <row r="65945" customFormat="false" ht="12.8" hidden="false" customHeight="false" outlineLevel="0" collapsed="false">
      <c r="A65945" s="0" t="s">
        <v>21812</v>
      </c>
      <c r="B65945" s="0" t="str">
        <f aca="false">HYPERLINK("https://lindat.mff.cuni.cz/services/teitok/pdtc10/index.php?action=vallex&amp;frame=v-w9052hsa_106", "zapomínat (v-w9052hsa_106)")</f>
        <v>zapomínat (v-w9052hsa_106)</v>
      </c>
    </row>
    <row r="65946" customFormat="false" ht="12.8" hidden="false" customHeight="false" outlineLevel="0" collapsed="false">
      <c r="B65946" s="0" t="s">
        <v>1</v>
      </c>
    </row>
    <row r="65947" customFormat="false" ht="12.8" hidden="false" customHeight="false" outlineLevel="0" collapsed="false">
      <c r="B65947" s="0" t="s">
        <v>21813</v>
      </c>
    </row>
    <row r="65949" customFormat="false" ht="12.8" hidden="false" customHeight="false" outlineLevel="0" collapsed="false">
      <c r="A65949" s="0" t="s">
        <v>21812</v>
      </c>
      <c r="B65949" s="0" t="str">
        <f aca="false">HYPERLINK("https://lindat.mff.cuni.cz/services/teitok/pdtc10/index.php?action=vallex&amp;frame=v-w9052f1", "zapomínat (v-w9052f1) - substituted with v-w9052hsa_106")</f>
        <v>zapomínat (v-w9052f1) - substituted with v-w9052hsa_106</v>
      </c>
      <c r="E65949" s="0" t="str">
        <f aca="false">HYPERLINK("https://lindat.mff.cuni.cz/services/SynSemClass40/SynSemClass40.html?veclass=vec00371#vec00371-ces-cm00004", "vec00371")</f>
        <v>vec00371</v>
      </c>
      <c r="F65949" s="0" t="s">
        <v>21808</v>
      </c>
    </row>
    <row r="65950" customFormat="false" ht="12.8" hidden="false" customHeight="false" outlineLevel="0" collapsed="false">
      <c r="B65950" s="0" t="s">
        <v>1</v>
      </c>
      <c r="C65950" s="0" t="s">
        <v>4264</v>
      </c>
      <c r="E65950" s="0" t="s">
        <v>621</v>
      </c>
      <c r="F65950" s="0" t="s">
        <v>21809</v>
      </c>
    </row>
    <row r="65951" customFormat="false" ht="12.8" hidden="false" customHeight="false" outlineLevel="0" collapsed="false">
      <c r="B65951" s="0" t="s">
        <v>21813</v>
      </c>
      <c r="C65951" s="0" t="s">
        <v>1388</v>
      </c>
      <c r="E65951" s="0" t="s">
        <v>180</v>
      </c>
      <c r="F65951" s="0" t="s">
        <v>21810</v>
      </c>
    </row>
    <row r="65953" customFormat="false" ht="12.8" hidden="false" customHeight="false" outlineLevel="0" collapsed="false">
      <c r="A65953" s="0" t="s">
        <v>21814</v>
      </c>
      <c r="B65953" s="0" t="str">
        <f aca="false">HYPERLINK("https://lindat.mff.cuni.cz/services/teitok/pdtc10/index.php?action=vallex&amp;frame=v-w9054f1", "zapotit se (v-w9054f1)")</f>
        <v>zapotit se (v-w9054f1)</v>
      </c>
    </row>
    <row r="65954" customFormat="false" ht="12.8" hidden="false" customHeight="false" outlineLevel="0" collapsed="false">
      <c r="B65954" s="0" t="s">
        <v>1</v>
      </c>
    </row>
    <row r="65956" customFormat="false" ht="12.8" hidden="false" customHeight="false" outlineLevel="0" collapsed="false">
      <c r="A65956" s="0" t="s">
        <v>21815</v>
      </c>
      <c r="B65956" s="0" t="str">
        <f aca="false">HYPERLINK("https://lindat.mff.cuni.cz/services/teitok/pdtc10/index.php?action=vallex&amp;frame=v-w11426f1", "zapotácet se (v-w11426f1)")</f>
        <v>zapotácet se (v-w11426f1)</v>
      </c>
    </row>
    <row r="65957" customFormat="false" ht="12.8" hidden="false" customHeight="false" outlineLevel="0" collapsed="false">
      <c r="B65957" s="0" t="s">
        <v>1</v>
      </c>
    </row>
    <row r="65959" customFormat="false" ht="12.8" hidden="false" customHeight="false" outlineLevel="0" collapsed="false">
      <c r="A65959" s="0" t="s">
        <v>21816</v>
      </c>
      <c r="B65959" s="0" t="str">
        <f aca="false">HYPERLINK("https://lindat.mff.cuni.cz/services/teitok/pdtc10/index.php?action=vallex&amp;frame=v-w9056f1", "zapovídat (v-w9056f1)")</f>
        <v>zapovídat (v-w9056f1)</v>
      </c>
    </row>
    <row r="65960" customFormat="false" ht="12.8" hidden="false" customHeight="false" outlineLevel="0" collapsed="false">
      <c r="B65960" s="0" t="s">
        <v>1</v>
      </c>
    </row>
    <row r="65961" customFormat="false" ht="12.8" hidden="false" customHeight="false" outlineLevel="0" collapsed="false">
      <c r="B65961" s="0" t="s">
        <v>1983</v>
      </c>
    </row>
    <row r="65962" customFormat="false" ht="12.8" hidden="false" customHeight="false" outlineLevel="0" collapsed="false">
      <c r="B65962" s="0" t="s">
        <v>52</v>
      </c>
    </row>
    <row r="65964" customFormat="false" ht="12.8" hidden="false" customHeight="false" outlineLevel="0" collapsed="false">
      <c r="A65964" s="0" t="s">
        <v>21817</v>
      </c>
      <c r="B65964" s="0" t="str">
        <f aca="false">HYPERLINK("https://lindat.mff.cuni.cz/services/teitok/pdtc10/index.php?action=vallex&amp;frame=v-w9038f2", "započíst (v-w9038f2)")</f>
        <v>započíst (v-w9038f2)</v>
      </c>
      <c r="E65964" s="0" t="str">
        <f aca="false">HYPERLINK("https://lindat.mff.cuni.cz/services/SynSemClass40/SynSemClass40.html?veclass=vec00772#vec00772-ces-cm00023", "vec00772")</f>
        <v>vec00772</v>
      </c>
      <c r="F65964" s="0" t="s">
        <v>21818</v>
      </c>
    </row>
    <row r="65965" customFormat="false" ht="12.8" hidden="false" customHeight="false" outlineLevel="0" collapsed="false">
      <c r="B65965" s="0" t="s">
        <v>1</v>
      </c>
      <c r="C65965" s="0" t="s">
        <v>21819</v>
      </c>
      <c r="E65965" s="0" t="s">
        <v>31</v>
      </c>
      <c r="F65965" s="0" t="s">
        <v>21820</v>
      </c>
    </row>
    <row r="65966" customFormat="false" ht="12.8" hidden="false" customHeight="false" outlineLevel="0" collapsed="false">
      <c r="B65966" s="0" t="s">
        <v>8</v>
      </c>
      <c r="C65966" s="0" t="s">
        <v>21821</v>
      </c>
      <c r="E65966" s="0" t="s">
        <v>110</v>
      </c>
      <c r="F65966" s="0" t="s">
        <v>21822</v>
      </c>
    </row>
    <row r="65967" customFormat="false" ht="12.8" hidden="false" customHeight="false" outlineLevel="0" collapsed="false">
      <c r="B65967" s="0" t="s">
        <v>164</v>
      </c>
      <c r="E65967" s="0" t="s">
        <v>14031</v>
      </c>
      <c r="F65967" s="0" t="s">
        <v>18742</v>
      </c>
    </row>
    <row r="65969" customFormat="false" ht="12.8" hidden="false" customHeight="false" outlineLevel="0" collapsed="false">
      <c r="A65969" s="0" t="s">
        <v>21823</v>
      </c>
      <c r="B65969" s="0" t="str">
        <f aca="false">HYPERLINK("https://lindat.mff.cuni.cz/services/teitok/pdtc10/index.php?action=vallex&amp;frame=v-w9038f3_ZU", "započíst (v-w9038f3_ZU)")</f>
        <v>započíst (v-w9038f3_ZU)</v>
      </c>
    </row>
    <row r="65970" customFormat="false" ht="12.8" hidden="false" customHeight="false" outlineLevel="0" collapsed="false">
      <c r="B65970" s="0" t="s">
        <v>1</v>
      </c>
    </row>
    <row r="65971" customFormat="false" ht="12.8" hidden="false" customHeight="false" outlineLevel="0" collapsed="false">
      <c r="B65971" s="0" t="s">
        <v>8</v>
      </c>
    </row>
    <row r="65973" customFormat="false" ht="12.8" hidden="false" customHeight="false" outlineLevel="0" collapsed="false">
      <c r="A65973" s="0" t="s">
        <v>21823</v>
      </c>
      <c r="B65973" s="0" t="str">
        <f aca="false">HYPERLINK("https://lindat.mff.cuni.cz/services/teitok/pdtc10/index.php?action=vallex&amp;frame=v-w9038f1", "započíst (v-w9038f1) - substituted with v-w9038f3_ZU")</f>
        <v>započíst (v-w9038f1) - substituted with v-w9038f3_ZU</v>
      </c>
    </row>
    <row r="65974" customFormat="false" ht="12.8" hidden="false" customHeight="false" outlineLevel="0" collapsed="false">
      <c r="B65974" s="0" t="s">
        <v>1</v>
      </c>
    </row>
    <row r="65975" customFormat="false" ht="12.8" hidden="false" customHeight="false" outlineLevel="0" collapsed="false">
      <c r="B65975" s="0" t="s">
        <v>8</v>
      </c>
    </row>
    <row r="65977" customFormat="false" ht="12.8" hidden="false" customHeight="false" outlineLevel="0" collapsed="false">
      <c r="A65977" s="0" t="s">
        <v>21824</v>
      </c>
      <c r="B65977" s="0" t="str">
        <f aca="false">HYPERLINK("https://lindat.mff.cuni.cz/services/teitok/pdtc10/index.php?action=vallex&amp;frame=v-w9038hsa_624", "započíst (v-w9038hsa_624)")</f>
        <v>započíst (v-w9038hsa_624)</v>
      </c>
    </row>
    <row r="65978" customFormat="false" ht="12.8" hidden="false" customHeight="false" outlineLevel="0" collapsed="false">
      <c r="B65978" s="0" t="s">
        <v>1</v>
      </c>
    </row>
    <row r="65979" customFormat="false" ht="12.8" hidden="false" customHeight="false" outlineLevel="0" collapsed="false">
      <c r="B65979" s="0" t="s">
        <v>8</v>
      </c>
    </row>
    <row r="65980" customFormat="false" ht="12.8" hidden="false" customHeight="false" outlineLevel="0" collapsed="false">
      <c r="B65980" s="0" t="s">
        <v>21825</v>
      </c>
    </row>
    <row r="65982" customFormat="false" ht="12.8" hidden="false" customHeight="false" outlineLevel="0" collapsed="false">
      <c r="A65982" s="0" t="s">
        <v>21826</v>
      </c>
      <c r="B65982" s="0" t="str">
        <f aca="false">HYPERLINK("https://lindat.mff.cuni.cz/services/teitok/pdtc10/index.php?action=vallex&amp;frame=v-w9039f1", "započít (v-w9039f1)")</f>
        <v>započít (v-w9039f1)</v>
      </c>
      <c r="E65982" s="0" t="str">
        <f aca="false">HYPERLINK("https://lindat.mff.cuni.cz/services/SynSemClass40/SynSemClass40.html?veclass=vec00038#vec00038-ces-cm00228", "vec00038")</f>
        <v>vec00038</v>
      </c>
      <c r="F65982" s="0" t="s">
        <v>74</v>
      </c>
    </row>
    <row r="65983" customFormat="false" ht="12.8" hidden="false" customHeight="false" outlineLevel="0" collapsed="false">
      <c r="B65983" s="0" t="s">
        <v>1</v>
      </c>
      <c r="C65983" s="0" t="s">
        <v>75</v>
      </c>
      <c r="E65983" s="0" t="s">
        <v>76</v>
      </c>
      <c r="F65983" s="0" t="s">
        <v>77</v>
      </c>
    </row>
    <row r="65984" customFormat="false" ht="12.8" hidden="false" customHeight="false" outlineLevel="0" collapsed="false">
      <c r="B65984" s="0" t="s">
        <v>21827</v>
      </c>
      <c r="C65984" s="0" t="s">
        <v>78</v>
      </c>
      <c r="E65984" s="0" t="s">
        <v>79</v>
      </c>
      <c r="F65984" s="0" t="s">
        <v>80</v>
      </c>
    </row>
    <row r="65986" customFormat="false" ht="12.8" hidden="false" customHeight="false" outlineLevel="0" collapsed="false">
      <c r="A65986" s="0" t="s">
        <v>21828</v>
      </c>
      <c r="B65986" s="0" t="str">
        <f aca="false">HYPERLINK("https://lindat.mff.cuni.cz/services/teitok/pdtc10/index.php?action=vallex&amp;frame=v-w9039f2", "započít (v-w9039f2)")</f>
        <v>započít (v-w9039f2)</v>
      </c>
    </row>
    <row r="65987" customFormat="false" ht="12.8" hidden="false" customHeight="false" outlineLevel="0" collapsed="false">
      <c r="B65987" s="0" t="s">
        <v>345</v>
      </c>
    </row>
    <row r="65989" customFormat="false" ht="12.8" hidden="false" customHeight="false" outlineLevel="0" collapsed="false">
      <c r="A65989" s="0" t="s">
        <v>21829</v>
      </c>
      <c r="B65989" s="0" t="str">
        <f aca="false">HYPERLINK("https://lindat.mff.cuni.cz/services/teitok/pdtc10/index.php?action=vallex&amp;frame=v-w9040f2", "započítat (v-w9040f2)")</f>
        <v>započítat (v-w9040f2)</v>
      </c>
      <c r="E65989" s="0" t="str">
        <f aca="false">HYPERLINK("https://lindat.mff.cuni.cz/services/SynSemClass40/SynSemClass40.html?veclass=vec00772#vec00772-ces-cm00001", "vec00772")</f>
        <v>vec00772</v>
      </c>
      <c r="F65989" s="0" t="s">
        <v>21818</v>
      </c>
    </row>
    <row r="65990" customFormat="false" ht="12.8" hidden="false" customHeight="false" outlineLevel="0" collapsed="false">
      <c r="B65990" s="0" t="s">
        <v>1</v>
      </c>
      <c r="C65990" s="0" t="s">
        <v>21819</v>
      </c>
      <c r="E65990" s="0" t="s">
        <v>31</v>
      </c>
      <c r="F65990" s="0" t="s">
        <v>21820</v>
      </c>
    </row>
    <row r="65991" customFormat="false" ht="12.8" hidden="false" customHeight="false" outlineLevel="0" collapsed="false">
      <c r="B65991" s="0" t="s">
        <v>8</v>
      </c>
      <c r="C65991" s="0" t="s">
        <v>21821</v>
      </c>
      <c r="E65991" s="0" t="s">
        <v>110</v>
      </c>
      <c r="F65991" s="0" t="s">
        <v>21822</v>
      </c>
    </row>
    <row r="65992" customFormat="false" ht="12.8" hidden="false" customHeight="false" outlineLevel="0" collapsed="false">
      <c r="B65992" s="0" t="s">
        <v>164</v>
      </c>
      <c r="E65992" s="0" t="s">
        <v>14031</v>
      </c>
      <c r="F65992" s="0" t="s">
        <v>18742</v>
      </c>
    </row>
    <row r="65994" customFormat="false" ht="12.8" hidden="false" customHeight="false" outlineLevel="0" collapsed="false">
      <c r="A65994" s="0" t="s">
        <v>21830</v>
      </c>
      <c r="B65994" s="0" t="str">
        <f aca="false">HYPERLINK("https://lindat.mff.cuni.cz/services/teitok/pdtc10/index.php?action=vallex&amp;frame=v-w9040f3_ZU", "započítat (v-w9040f3_ZU)")</f>
        <v>započítat (v-w9040f3_ZU)</v>
      </c>
    </row>
    <row r="65995" customFormat="false" ht="12.8" hidden="false" customHeight="false" outlineLevel="0" collapsed="false">
      <c r="B65995" s="0" t="s">
        <v>1</v>
      </c>
    </row>
    <row r="65996" customFormat="false" ht="12.8" hidden="false" customHeight="false" outlineLevel="0" collapsed="false">
      <c r="B65996" s="0" t="s">
        <v>8</v>
      </c>
    </row>
    <row r="65998" customFormat="false" ht="12.8" hidden="false" customHeight="false" outlineLevel="0" collapsed="false">
      <c r="A65998" s="0" t="s">
        <v>21830</v>
      </c>
      <c r="B65998" s="0" t="str">
        <f aca="false">HYPERLINK("https://lindat.mff.cuni.cz/services/teitok/pdtc10/index.php?action=vallex&amp;frame=v-w9040f1", "započítat (v-w9040f1) - substituted with v-w9040f3_ZU")</f>
        <v>započítat (v-w9040f1) - substituted with v-w9040f3_ZU</v>
      </c>
    </row>
    <row r="65999" customFormat="false" ht="12.8" hidden="false" customHeight="false" outlineLevel="0" collapsed="false">
      <c r="B65999" s="0" t="s">
        <v>1</v>
      </c>
    </row>
    <row r="66000" customFormat="false" ht="12.8" hidden="false" customHeight="false" outlineLevel="0" collapsed="false">
      <c r="B66000" s="0" t="s">
        <v>8</v>
      </c>
    </row>
    <row r="66002" customFormat="false" ht="12.8" hidden="false" customHeight="false" outlineLevel="0" collapsed="false">
      <c r="A66002" s="0" t="s">
        <v>21831</v>
      </c>
      <c r="B66002" s="0" t="str">
        <f aca="false">HYPERLINK("https://lindat.mff.cuni.cz/services/teitok/pdtc10/index.php?action=vallex&amp;frame=v-w9040hsa_705", "započítat (v-w9040hsa_705)")</f>
        <v>započítat (v-w9040hsa_705)</v>
      </c>
    </row>
    <row r="66003" customFormat="false" ht="12.8" hidden="false" customHeight="false" outlineLevel="0" collapsed="false">
      <c r="B66003" s="0" t="s">
        <v>1</v>
      </c>
    </row>
    <row r="66004" customFormat="false" ht="12.8" hidden="false" customHeight="false" outlineLevel="0" collapsed="false">
      <c r="B66004" s="0" t="s">
        <v>8</v>
      </c>
    </row>
    <row r="66005" customFormat="false" ht="12.8" hidden="false" customHeight="false" outlineLevel="0" collapsed="false">
      <c r="B66005" s="0" t="s">
        <v>21825</v>
      </c>
    </row>
    <row r="66007" customFormat="false" ht="12.8" hidden="false" customHeight="false" outlineLevel="0" collapsed="false">
      <c r="A66007" s="0" t="s">
        <v>21832</v>
      </c>
      <c r="B66007" s="0" t="str">
        <f aca="false">HYPERLINK("https://lindat.mff.cuni.cz/services/teitok/pdtc10/index.php?action=vallex&amp;frame=v-w9041f1", "započítávat (v-w9041f1)")</f>
        <v>započítávat (v-w9041f1)</v>
      </c>
      <c r="E66007" s="0" t="str">
        <f aca="false">HYPERLINK("https://lindat.mff.cuni.cz/services/SynSemClass40/SynSemClass40.html?veclass=vec00772#vec00772-ces-cm00034", "vec00772")</f>
        <v>vec00772</v>
      </c>
      <c r="F66007" s="0" t="s">
        <v>21818</v>
      </c>
    </row>
    <row r="66008" customFormat="false" ht="12.8" hidden="false" customHeight="false" outlineLevel="0" collapsed="false">
      <c r="B66008" s="0" t="s">
        <v>1</v>
      </c>
      <c r="C66008" s="0" t="s">
        <v>21819</v>
      </c>
      <c r="E66008" s="0" t="s">
        <v>31</v>
      </c>
      <c r="F66008" s="0" t="s">
        <v>21820</v>
      </c>
    </row>
    <row r="66009" customFormat="false" ht="12.8" hidden="false" customHeight="false" outlineLevel="0" collapsed="false">
      <c r="B66009" s="0" t="s">
        <v>8</v>
      </c>
      <c r="C66009" s="0" t="s">
        <v>21821</v>
      </c>
      <c r="E66009" s="0" t="s">
        <v>110</v>
      </c>
      <c r="F66009" s="0" t="s">
        <v>21822</v>
      </c>
    </row>
    <row r="66010" customFormat="false" ht="12.8" hidden="false" customHeight="false" outlineLevel="0" collapsed="false">
      <c r="B66010" s="0" t="s">
        <v>164</v>
      </c>
      <c r="E66010" s="0" t="s">
        <v>14031</v>
      </c>
      <c r="F66010" s="0" t="s">
        <v>18742</v>
      </c>
    </row>
    <row r="66012" customFormat="false" ht="12.8" hidden="false" customHeight="false" outlineLevel="0" collapsed="false">
      <c r="A66012" s="0" t="s">
        <v>21833</v>
      </c>
      <c r="B66012" s="0" t="str">
        <f aca="false">HYPERLINK("https://lindat.mff.cuni.cz/services/teitok/pdtc10/index.php?action=vallex&amp;frame=v-w9041f2", "započítávat (v-w9041f2)")</f>
        <v>započítávat (v-w9041f2)</v>
      </c>
    </row>
    <row r="66013" customFormat="false" ht="12.8" hidden="false" customHeight="false" outlineLevel="0" collapsed="false">
      <c r="B66013" s="0" t="s">
        <v>1</v>
      </c>
    </row>
    <row r="66014" customFormat="false" ht="12.8" hidden="false" customHeight="false" outlineLevel="0" collapsed="false">
      <c r="B66014" s="0" t="s">
        <v>8</v>
      </c>
    </row>
    <row r="66016" customFormat="false" ht="12.8" hidden="false" customHeight="false" outlineLevel="0" collapsed="false">
      <c r="A66016" s="0" t="s">
        <v>21834</v>
      </c>
      <c r="B66016" s="0" t="str">
        <f aca="false">HYPERLINK("https://lindat.mff.cuni.cz/services/teitok/pdtc10/index.php?action=vallex&amp;frame=v-w10143f2", "zapracovat (v-w10143f2)")</f>
        <v>zapracovat (v-w10143f2)</v>
      </c>
    </row>
    <row r="66017" customFormat="false" ht="12.8" hidden="false" customHeight="false" outlineLevel="0" collapsed="false">
      <c r="B66017" s="0" t="s">
        <v>1</v>
      </c>
    </row>
    <row r="66018" customFormat="false" ht="12.8" hidden="false" customHeight="false" outlineLevel="0" collapsed="false">
      <c r="B66018" s="0" t="s">
        <v>8</v>
      </c>
    </row>
    <row r="66019" customFormat="false" ht="12.8" hidden="false" customHeight="false" outlineLevel="0" collapsed="false">
      <c r="B66019" s="0" t="s">
        <v>164</v>
      </c>
    </row>
    <row r="66021" customFormat="false" ht="12.8" hidden="false" customHeight="false" outlineLevel="0" collapsed="false">
      <c r="A66021" s="0" t="s">
        <v>21835</v>
      </c>
      <c r="B66021" s="0" t="str">
        <f aca="false">HYPERLINK("https://lindat.mff.cuni.cz/services/teitok/pdtc10/index.php?action=vallex&amp;frame=v-w10143f3", "zapracovat (v-w10143f3)")</f>
        <v>zapracovat (v-w10143f3)</v>
      </c>
    </row>
    <row r="66022" customFormat="false" ht="12.8" hidden="false" customHeight="false" outlineLevel="0" collapsed="false">
      <c r="B66022" s="0" t="s">
        <v>1</v>
      </c>
    </row>
    <row r="66023" customFormat="false" ht="12.8" hidden="false" customHeight="false" outlineLevel="0" collapsed="false">
      <c r="B66023" s="0" t="s">
        <v>8</v>
      </c>
    </row>
    <row r="66025" customFormat="false" ht="12.8" hidden="false" customHeight="false" outlineLevel="0" collapsed="false">
      <c r="A66025" s="0" t="s">
        <v>21836</v>
      </c>
      <c r="B66025" s="0" t="str">
        <f aca="false">HYPERLINK("https://lindat.mff.cuni.cz/services/teitok/pdtc10/index.php?action=vallex&amp;frame=v-w10143f4_ZU", "zapracovat (v-w10143f4_ZU)")</f>
        <v>zapracovat (v-w10143f4_ZU)</v>
      </c>
    </row>
    <row r="66026" customFormat="false" ht="12.8" hidden="false" customHeight="false" outlineLevel="0" collapsed="false">
      <c r="B66026" s="0" t="s">
        <v>1</v>
      </c>
    </row>
    <row r="66027" customFormat="false" ht="12.8" hidden="false" customHeight="false" outlineLevel="0" collapsed="false">
      <c r="B66027" s="0" t="s">
        <v>3642</v>
      </c>
    </row>
    <row r="66029" customFormat="false" ht="12.8" hidden="false" customHeight="false" outlineLevel="0" collapsed="false">
      <c r="A66029" s="0" t="s">
        <v>21837</v>
      </c>
      <c r="B66029" s="0" t="str">
        <f aca="false">HYPERLINK("https://lindat.mff.cuni.cz/services/teitok/pdtc10/index.php?action=vallex&amp;frame=v-whsa_806f1_ZU", "zapracovat se (v-whsa_806f1_ZU)")</f>
        <v>zapracovat se (v-whsa_806f1_ZU)</v>
      </c>
    </row>
    <row r="66030" customFormat="false" ht="12.8" hidden="false" customHeight="false" outlineLevel="0" collapsed="false">
      <c r="B66030" s="0" t="s">
        <v>1</v>
      </c>
    </row>
    <row r="66031" customFormat="false" ht="12.8" hidden="false" customHeight="false" outlineLevel="0" collapsed="false">
      <c r="B66031" s="0" t="s">
        <v>4250</v>
      </c>
    </row>
    <row r="66033" customFormat="false" ht="12.8" hidden="false" customHeight="false" outlineLevel="0" collapsed="false">
      <c r="A66033" s="0" t="s">
        <v>21837</v>
      </c>
      <c r="B66033" s="0" t="str">
        <f aca="false">HYPERLINK("https://lindat.mff.cuni.cz/services/teitok/pdtc10/index.php?action=vallex&amp;frame=v-whsa_806hsa_807", "zapracovat se (v-whsa_806hsa_807) - substituted with v-whsa_806f1_ZU")</f>
        <v>zapracovat se (v-whsa_806hsa_807) - substituted with v-whsa_806f1_ZU</v>
      </c>
    </row>
    <row r="66034" customFormat="false" ht="12.8" hidden="false" customHeight="false" outlineLevel="0" collapsed="false">
      <c r="B66034" s="0" t="s">
        <v>1</v>
      </c>
    </row>
    <row r="66035" customFormat="false" ht="12.8" hidden="false" customHeight="false" outlineLevel="0" collapsed="false">
      <c r="B66035" s="0" t="s">
        <v>4250</v>
      </c>
    </row>
    <row r="66037" customFormat="false" ht="12.8" hidden="false" customHeight="false" outlineLevel="0" collapsed="false">
      <c r="A66037" s="0" t="s">
        <v>21838</v>
      </c>
      <c r="B66037" s="0" t="str">
        <f aca="false">HYPERLINK("https://lindat.mff.cuni.cz/services/teitok/pdtc10/index.php?action=vallex&amp;frame=v-w9058f1", "zapracovávat (v-w9058f1)")</f>
        <v>zapracovávat (v-w9058f1)</v>
      </c>
    </row>
    <row r="66038" customFormat="false" ht="12.8" hidden="false" customHeight="false" outlineLevel="0" collapsed="false">
      <c r="B66038" s="0" t="s">
        <v>1</v>
      </c>
    </row>
    <row r="66039" customFormat="false" ht="12.8" hidden="false" customHeight="false" outlineLevel="0" collapsed="false">
      <c r="B66039" s="0" t="s">
        <v>8</v>
      </c>
    </row>
    <row r="66040" customFormat="false" ht="12.8" hidden="false" customHeight="false" outlineLevel="0" collapsed="false">
      <c r="B66040" s="0" t="s">
        <v>164</v>
      </c>
    </row>
    <row r="66042" customFormat="false" ht="12.8" hidden="false" customHeight="false" outlineLevel="0" collapsed="false">
      <c r="A66042" s="0" t="s">
        <v>21839</v>
      </c>
      <c r="B66042" s="0" t="str">
        <f aca="false">HYPERLINK("https://lindat.mff.cuni.cz/services/teitok/pdtc10/index.php?action=vallex&amp;frame=v-w9058f2_ZU", "zapracovávat (v-w9058f2_ZU)")</f>
        <v>zapracovávat (v-w9058f2_ZU)</v>
      </c>
    </row>
    <row r="66043" customFormat="false" ht="12.8" hidden="false" customHeight="false" outlineLevel="0" collapsed="false">
      <c r="B66043" s="0" t="s">
        <v>1</v>
      </c>
    </row>
    <row r="66044" customFormat="false" ht="12.8" hidden="false" customHeight="false" outlineLevel="0" collapsed="false">
      <c r="B66044" s="0" t="s">
        <v>98</v>
      </c>
    </row>
    <row r="66045" customFormat="false" ht="12.8" hidden="false" customHeight="false" outlineLevel="0" collapsed="false">
      <c r="B66045" s="0" t="s">
        <v>21840</v>
      </c>
    </row>
    <row r="66047" customFormat="false" ht="12.8" hidden="false" customHeight="false" outlineLevel="0" collapsed="false">
      <c r="A66047" s="0" t="s">
        <v>21841</v>
      </c>
      <c r="B66047" s="0" t="str">
        <f aca="false">HYPERLINK("https://lindat.mff.cuni.cz/services/teitok/pdtc10/index.php?action=vallex&amp;frame=v-w12355_MMf1_MM", "zapracovávat se (v-w12355_MMf1_MM)")</f>
        <v>zapracovávat se (v-w12355_MMf1_MM)</v>
      </c>
    </row>
    <row r="66048" customFormat="false" ht="12.8" hidden="false" customHeight="false" outlineLevel="0" collapsed="false">
      <c r="B66048" s="0" t="s">
        <v>1</v>
      </c>
    </row>
    <row r="66049" customFormat="false" ht="12.8" hidden="false" customHeight="false" outlineLevel="0" collapsed="false">
      <c r="B66049" s="0" t="s">
        <v>4250</v>
      </c>
    </row>
    <row r="66051" customFormat="false" ht="12.8" hidden="false" customHeight="false" outlineLevel="0" collapsed="false">
      <c r="A66051" s="0" t="s">
        <v>21842</v>
      </c>
      <c r="B66051" s="0" t="str">
        <f aca="false">HYPERLINK("https://lindat.mff.cuni.cz/services/teitok/pdtc10/index.php?action=vallex&amp;frame=v-w9059f1", "zapraskat (v-w9059f1)")</f>
        <v>zapraskat (v-w9059f1)</v>
      </c>
    </row>
    <row r="66052" customFormat="false" ht="12.8" hidden="false" customHeight="false" outlineLevel="0" collapsed="false">
      <c r="B66052" s="0" t="s">
        <v>1</v>
      </c>
    </row>
    <row r="66054" customFormat="false" ht="12.8" hidden="false" customHeight="false" outlineLevel="0" collapsed="false">
      <c r="A66054" s="0" t="s">
        <v>21843</v>
      </c>
      <c r="B66054" s="0" t="str">
        <f aca="false">HYPERLINK("https://lindat.mff.cuni.cz/services/teitok/pdtc10/index.php?action=vallex&amp;frame=v-w9059f2", "zapraskat (v-w9059f2)")</f>
        <v>zapraskat (v-w9059f2)</v>
      </c>
    </row>
    <row r="66055" customFormat="false" ht="12.8" hidden="false" customHeight="false" outlineLevel="0" collapsed="false">
      <c r="B66055" s="0" t="s">
        <v>5</v>
      </c>
    </row>
    <row r="66057" customFormat="false" ht="12.8" hidden="false" customHeight="false" outlineLevel="0" collapsed="false">
      <c r="A66057" s="0" t="s">
        <v>21844</v>
      </c>
      <c r="B66057" s="0" t="str">
        <f aca="false">HYPERLINK("https://lindat.mff.cuni.cz/services/teitok/pdtc10/index.php?action=vallex&amp;frame=v-w11861_ZUf1_ZU", "zaprašovat (v-w11861_ZUf1_ZU)")</f>
        <v>zaprašovat (v-w11861_ZUf1_ZU)</v>
      </c>
    </row>
    <row r="66058" customFormat="false" ht="12.8" hidden="false" customHeight="false" outlineLevel="0" collapsed="false">
      <c r="B66058" s="0" t="s">
        <v>1</v>
      </c>
    </row>
    <row r="66059" customFormat="false" ht="12.8" hidden="false" customHeight="false" outlineLevel="0" collapsed="false">
      <c r="B66059" s="0" t="s">
        <v>8</v>
      </c>
    </row>
    <row r="66060" customFormat="false" ht="12.8" hidden="false" customHeight="false" outlineLevel="0" collapsed="false">
      <c r="B66060" s="0" t="s">
        <v>7045</v>
      </c>
    </row>
    <row r="66062" customFormat="false" ht="12.8" hidden="false" customHeight="false" outlineLevel="0" collapsed="false">
      <c r="A66062" s="0" t="s">
        <v>21845</v>
      </c>
      <c r="B66062" s="0" t="str">
        <f aca="false">HYPERLINK("https://lindat.mff.cuni.cz/services/teitok/pdtc10/index.php?action=vallex&amp;frame=v-w10253f2", "zaprodat (v-w10253f2)")</f>
        <v>zaprodat (v-w10253f2)</v>
      </c>
    </row>
    <row r="66063" customFormat="false" ht="12.8" hidden="false" customHeight="false" outlineLevel="0" collapsed="false">
      <c r="B66063" s="0" t="s">
        <v>1</v>
      </c>
    </row>
    <row r="66064" customFormat="false" ht="12.8" hidden="false" customHeight="false" outlineLevel="0" collapsed="false">
      <c r="B66064" s="0" t="s">
        <v>8</v>
      </c>
    </row>
    <row r="66065" customFormat="false" ht="12.8" hidden="false" customHeight="false" outlineLevel="0" collapsed="false">
      <c r="B66065" s="0" t="s">
        <v>132</v>
      </c>
    </row>
    <row r="66067" customFormat="false" ht="12.8" hidden="false" customHeight="false" outlineLevel="0" collapsed="false">
      <c r="A66067" s="0" t="s">
        <v>21846</v>
      </c>
      <c r="B66067" s="0" t="str">
        <f aca="false">HYPERLINK("https://lindat.mff.cuni.cz/services/teitok/pdtc10/index.php?action=vallex&amp;frame=v-w9061f1", "zaprodávat (v-w9061f1)")</f>
        <v>zaprodávat (v-w9061f1)</v>
      </c>
    </row>
    <row r="66068" customFormat="false" ht="12.8" hidden="false" customHeight="false" outlineLevel="0" collapsed="false">
      <c r="B66068" s="0" t="s">
        <v>1</v>
      </c>
    </row>
    <row r="66069" customFormat="false" ht="12.8" hidden="false" customHeight="false" outlineLevel="0" collapsed="false">
      <c r="B66069" s="0" t="s">
        <v>8</v>
      </c>
    </row>
    <row r="66070" customFormat="false" ht="12.8" hidden="false" customHeight="false" outlineLevel="0" collapsed="false">
      <c r="B66070" s="0" t="s">
        <v>132</v>
      </c>
    </row>
    <row r="66072" customFormat="false" ht="12.8" hidden="false" customHeight="false" outlineLevel="0" collapsed="false">
      <c r="A66072" s="0" t="s">
        <v>21847</v>
      </c>
      <c r="B66072" s="0" t="str">
        <f aca="false">HYPERLINK("https://lindat.mff.cuni.cz/services/teitok/pdtc10/index.php?action=vallex&amp;frame=v-w9062f1", "zaprodávat se (v-w9062f1)")</f>
        <v>zaprodávat se (v-w9062f1)</v>
      </c>
    </row>
    <row r="66073" customFormat="false" ht="12.8" hidden="false" customHeight="false" outlineLevel="0" collapsed="false">
      <c r="B66073" s="0" t="s">
        <v>1</v>
      </c>
    </row>
    <row r="66074" customFormat="false" ht="12.8" hidden="false" customHeight="false" outlineLevel="0" collapsed="false">
      <c r="B66074" s="0" t="s">
        <v>186</v>
      </c>
    </row>
    <row r="66076" customFormat="false" ht="12.8" hidden="false" customHeight="false" outlineLevel="0" collapsed="false">
      <c r="A66076" s="0" t="s">
        <v>21848</v>
      </c>
      <c r="B66076" s="0" t="str">
        <f aca="false">HYPERLINK("https://lindat.mff.cuni.cz/services/teitok/pdtc10/index.php?action=vallex&amp;frame=v-w9063f1", "zaprotokolovat (v-w9063f1)")</f>
        <v>zaprotokolovat (v-w9063f1)</v>
      </c>
    </row>
    <row r="66077" customFormat="false" ht="12.8" hidden="false" customHeight="false" outlineLevel="0" collapsed="false">
      <c r="B66077" s="0" t="s">
        <v>1</v>
      </c>
    </row>
    <row r="66078" customFormat="false" ht="12.8" hidden="false" customHeight="false" outlineLevel="0" collapsed="false">
      <c r="B66078" s="0" t="s">
        <v>8</v>
      </c>
    </row>
    <row r="66080" customFormat="false" ht="12.8" hidden="false" customHeight="false" outlineLevel="0" collapsed="false">
      <c r="A66080" s="0" t="s">
        <v>21849</v>
      </c>
      <c r="B66080" s="0" t="str">
        <f aca="false">HYPERLINK("https://lindat.mff.cuni.cz/services/teitok/pdtc10/index.php?action=vallex&amp;frame=v-w11766_ZUf1_ZU", "zaprášit se (v-w11766_ZUf1_ZU)")</f>
        <v>zaprášit se (v-w11766_ZUf1_ZU)</v>
      </c>
    </row>
    <row r="66081" customFormat="false" ht="12.8" hidden="false" customHeight="false" outlineLevel="0" collapsed="false">
      <c r="B66081" s="0" t="s">
        <v>861</v>
      </c>
    </row>
    <row r="66083" customFormat="false" ht="12.8" hidden="false" customHeight="false" outlineLevel="0" collapsed="false">
      <c r="A66083" s="0" t="s">
        <v>21850</v>
      </c>
      <c r="B66083" s="0" t="str">
        <f aca="false">HYPERLINK("https://lindat.mff.cuni.cz/services/teitok/pdtc10/index.php?action=vallex&amp;frame=v-w11013f2", "zapršet (v-w11013f2)")</f>
        <v>zapršet (v-w11013f2)</v>
      </c>
      <c r="E66083" s="0" t="str">
        <f aca="false">HYPERLINK("https://lindat.mff.cuni.cz/services/SynSemClass40/SynSemClass40.html?veclass=vec01524#vec01524-ces-cm00031", "vec01524")</f>
        <v>vec01524</v>
      </c>
      <c r="F66083" s="0" t="s">
        <v>12972</v>
      </c>
    </row>
    <row r="66085" customFormat="false" ht="12.8" hidden="false" customHeight="false" outlineLevel="0" collapsed="false">
      <c r="A66085" s="0" t="s">
        <v>21851</v>
      </c>
      <c r="B66085" s="0" t="str">
        <f aca="false">HYPERLINK("https://lindat.mff.cuni.cz/services/teitok/pdtc10/index.php?action=vallex&amp;frame=v-w9070f2", "zapsat (v-w9070f2)")</f>
        <v>zapsat (v-w9070f2)</v>
      </c>
      <c r="E66085" s="0" t="str">
        <f aca="false">HYPERLINK("https://lindat.mff.cuni.cz/services/SynSemClass40/SynSemClass40.html?veclass=vec00507#vec00507-ces-cm00026", "vec00507")</f>
        <v>vec00507</v>
      </c>
      <c r="F66085" s="0" t="s">
        <v>14791</v>
      </c>
    </row>
    <row r="66086" customFormat="false" ht="12.8" hidden="false" customHeight="false" outlineLevel="0" collapsed="false">
      <c r="B66086" s="0" t="s">
        <v>1</v>
      </c>
      <c r="C66086" s="0" t="s">
        <v>11762</v>
      </c>
      <c r="E66086" s="0" t="s">
        <v>31</v>
      </c>
      <c r="F66086" s="0" t="s">
        <v>14792</v>
      </c>
    </row>
    <row r="66087" customFormat="false" ht="12.8" hidden="false" customHeight="false" outlineLevel="0" collapsed="false">
      <c r="B66087" s="0" t="s">
        <v>8</v>
      </c>
      <c r="C66087" s="0" t="s">
        <v>14793</v>
      </c>
      <c r="E66087" s="0" t="s">
        <v>180</v>
      </c>
      <c r="F66087" s="0" t="s">
        <v>14794</v>
      </c>
    </row>
    <row r="66088" customFormat="false" ht="12.8" hidden="false" customHeight="false" outlineLevel="0" collapsed="false">
      <c r="B66088" s="0" t="s">
        <v>5</v>
      </c>
      <c r="C66088" s="0" t="s">
        <v>21730</v>
      </c>
      <c r="E66088" s="0" t="s">
        <v>3254</v>
      </c>
      <c r="F66088" s="0" t="s">
        <v>21731</v>
      </c>
    </row>
    <row r="66090" customFormat="false" ht="12.8" hidden="false" customHeight="false" outlineLevel="0" collapsed="false">
      <c r="A66090" s="0" t="s">
        <v>21852</v>
      </c>
      <c r="B66090" s="0" t="str">
        <f aca="false">HYPERLINK("https://lindat.mff.cuni.cz/services/teitok/pdtc10/index.php?action=vallex&amp;frame=v-w9070f1", "zapsat (v-w9070f1)")</f>
        <v>zapsat (v-w9070f1)</v>
      </c>
      <c r="E66090" s="0" t="str">
        <f aca="false">HYPERLINK("https://lindat.mff.cuni.cz/services/SynSemClass40/SynSemClass40.html?veclass=vec01345#vec01345-ces-cm00007", "vec01345")</f>
        <v>vec01345</v>
      </c>
      <c r="F66090" s="0" t="s">
        <v>7584</v>
      </c>
    </row>
    <row r="66091" customFormat="false" ht="12.8" hidden="false" customHeight="false" outlineLevel="0" collapsed="false">
      <c r="B66091" s="0" t="s">
        <v>1</v>
      </c>
      <c r="C66091" s="0" t="s">
        <v>3288</v>
      </c>
      <c r="E66091" s="0" t="s">
        <v>768</v>
      </c>
      <c r="F66091" s="0" t="s">
        <v>7585</v>
      </c>
    </row>
    <row r="66092" customFormat="false" ht="12.8" hidden="false" customHeight="false" outlineLevel="0" collapsed="false">
      <c r="B66092" s="0" t="s">
        <v>8</v>
      </c>
      <c r="C66092" s="0" t="s">
        <v>7586</v>
      </c>
      <c r="E66092" s="0" t="s">
        <v>218</v>
      </c>
      <c r="F66092" s="0" t="s">
        <v>7587</v>
      </c>
    </row>
    <row r="66093" customFormat="false" ht="12.8" hidden="false" customHeight="false" outlineLevel="0" collapsed="false">
      <c r="B66093" s="0" t="s">
        <v>164</v>
      </c>
      <c r="E66093" s="0" t="s">
        <v>370</v>
      </c>
      <c r="F66093" s="0" t="s">
        <v>3041</v>
      </c>
    </row>
    <row r="66095" customFormat="false" ht="12.8" hidden="false" customHeight="false" outlineLevel="0" collapsed="false">
      <c r="A66095" s="0" t="s">
        <v>21853</v>
      </c>
      <c r="B66095" s="0" t="str">
        <f aca="false">HYPERLINK("https://lindat.mff.cuni.cz/services/teitok/pdtc10/index.php?action=vallex&amp;frame=v-w9070f3", "zapsat (v-w9070f3)")</f>
        <v>zapsat (v-w9070f3)</v>
      </c>
    </row>
    <row r="66096" customFormat="false" ht="12.8" hidden="false" customHeight="false" outlineLevel="0" collapsed="false">
      <c r="B66096" s="0" t="s">
        <v>1</v>
      </c>
    </row>
    <row r="66097" customFormat="false" ht="12.8" hidden="false" customHeight="false" outlineLevel="0" collapsed="false">
      <c r="B66097" s="0" t="s">
        <v>15997</v>
      </c>
    </row>
    <row r="66099" customFormat="false" ht="12.8" hidden="false" customHeight="false" outlineLevel="0" collapsed="false">
      <c r="A66099" s="0" t="s">
        <v>21854</v>
      </c>
      <c r="B66099" s="0" t="str">
        <f aca="false">HYPERLINK("https://lindat.mff.cuni.cz/services/teitok/pdtc10/index.php?action=vallex&amp;frame=v-w9070f4", "zapsat (v-w9070f4)")</f>
        <v>zapsat (v-w9070f4)</v>
      </c>
    </row>
    <row r="66100" customFormat="false" ht="12.8" hidden="false" customHeight="false" outlineLevel="0" collapsed="false">
      <c r="B66100" s="0" t="s">
        <v>1</v>
      </c>
    </row>
    <row r="66101" customFormat="false" ht="12.8" hidden="false" customHeight="false" outlineLevel="0" collapsed="false">
      <c r="B66101" s="0" t="s">
        <v>4065</v>
      </c>
    </row>
    <row r="66102" customFormat="false" ht="12.8" hidden="false" customHeight="false" outlineLevel="0" collapsed="false">
      <c r="B66102" s="0" t="s">
        <v>496</v>
      </c>
    </row>
    <row r="66104" customFormat="false" ht="12.8" hidden="false" customHeight="false" outlineLevel="0" collapsed="false">
      <c r="A66104" s="0" t="s">
        <v>21855</v>
      </c>
      <c r="B66104" s="0" t="str">
        <f aca="false">HYPERLINK("https://lindat.mff.cuni.cz/services/teitok/pdtc10/index.php?action=vallex&amp;frame=v-w9071f2", "zapsat se (v-w9071f2)")</f>
        <v>zapsat se (v-w9071f2)</v>
      </c>
    </row>
    <row r="66105" customFormat="false" ht="12.8" hidden="false" customHeight="false" outlineLevel="0" collapsed="false">
      <c r="B66105" s="0" t="s">
        <v>1</v>
      </c>
    </row>
    <row r="66106" customFormat="false" ht="12.8" hidden="false" customHeight="false" outlineLevel="0" collapsed="false">
      <c r="B66106" s="0" t="s">
        <v>5</v>
      </c>
    </row>
    <row r="66108" customFormat="false" ht="12.8" hidden="false" customHeight="false" outlineLevel="0" collapsed="false">
      <c r="A66108" s="0" t="s">
        <v>21856</v>
      </c>
      <c r="B66108" s="0" t="str">
        <f aca="false">HYPERLINK("https://lindat.mff.cuni.cz/services/teitok/pdtc10/index.php?action=vallex&amp;frame=v-w9071f1", "zapsat se (v-w9071f1)")</f>
        <v>zapsat se (v-w9071f1)</v>
      </c>
      <c r="E66108" s="0" t="str">
        <f aca="false">HYPERLINK("https://lindat.mff.cuni.cz/services/SynSemClass40/SynSemClass40.html?veclass=vec00239#vec00239-ces-cm00075", "vec00239")</f>
        <v>vec00239</v>
      </c>
      <c r="F66108" s="0" t="s">
        <v>4352</v>
      </c>
    </row>
    <row r="66109" customFormat="false" ht="12.8" hidden="false" customHeight="false" outlineLevel="0" collapsed="false">
      <c r="B66109" s="0" t="s">
        <v>1</v>
      </c>
      <c r="C66109" s="0" t="s">
        <v>14064</v>
      </c>
      <c r="E66109" s="0" t="s">
        <v>14065</v>
      </c>
      <c r="F66109" s="0" t="s">
        <v>14066</v>
      </c>
    </row>
    <row r="66110" customFormat="false" ht="12.8" hidden="false" customHeight="false" outlineLevel="0" collapsed="false">
      <c r="B66110" s="0" t="s">
        <v>164</v>
      </c>
      <c r="C66110" s="0" t="s">
        <v>21857</v>
      </c>
      <c r="E66110" s="0" t="s">
        <v>21858</v>
      </c>
      <c r="F66110" s="0" t="s">
        <v>21859</v>
      </c>
    </row>
    <row r="66112" customFormat="false" ht="12.8" hidden="false" customHeight="false" outlineLevel="0" collapsed="false">
      <c r="A66112" s="0" t="s">
        <v>21860</v>
      </c>
      <c r="B66112" s="0" t="str">
        <f aca="false">HYPERLINK("https://lindat.mff.cuni.cz/services/teitok/pdtc10/index.php?action=vallex&amp;frame=v-w9072f1", "zapudit (v-w9072f1)")</f>
        <v>zapudit (v-w9072f1)</v>
      </c>
    </row>
    <row r="66113" customFormat="false" ht="12.8" hidden="false" customHeight="false" outlineLevel="0" collapsed="false">
      <c r="B66113" s="0" t="s">
        <v>1</v>
      </c>
    </row>
    <row r="66114" customFormat="false" ht="12.8" hidden="false" customHeight="false" outlineLevel="0" collapsed="false">
      <c r="B66114" s="0" t="s">
        <v>7589</v>
      </c>
    </row>
    <row r="66116" customFormat="false" ht="12.8" hidden="false" customHeight="false" outlineLevel="0" collapsed="false">
      <c r="A66116" s="0" t="s">
        <v>21861</v>
      </c>
      <c r="B66116" s="0" t="str">
        <f aca="false">HYPERLINK("https://lindat.mff.cuni.cz/services/teitok/pdtc10/index.php?action=vallex&amp;frame=v-w9078f2", "zapustit (v-w9078f2)")</f>
        <v>zapustit (v-w9078f2)</v>
      </c>
    </row>
    <row r="66117" customFormat="false" ht="12.8" hidden="false" customHeight="false" outlineLevel="0" collapsed="false">
      <c r="B66117" s="0" t="s">
        <v>1</v>
      </c>
    </row>
    <row r="66118" customFormat="false" ht="12.8" hidden="false" customHeight="false" outlineLevel="0" collapsed="false">
      <c r="B66118" s="0" t="s">
        <v>8</v>
      </c>
    </row>
    <row r="66119" customFormat="false" ht="12.8" hidden="false" customHeight="false" outlineLevel="0" collapsed="false">
      <c r="B66119" s="0" t="s">
        <v>5</v>
      </c>
    </row>
    <row r="66121" customFormat="false" ht="12.8" hidden="false" customHeight="false" outlineLevel="0" collapsed="false">
      <c r="A66121" s="0" t="s">
        <v>21862</v>
      </c>
      <c r="B66121" s="0" t="str">
        <f aca="false">HYPERLINK("https://lindat.mff.cuni.cz/services/teitok/pdtc10/index.php?action=vallex&amp;frame=v-w9078f1", "zapustit (v-w9078f1)")</f>
        <v>zapustit (v-w9078f1)</v>
      </c>
    </row>
    <row r="66122" customFormat="false" ht="12.8" hidden="false" customHeight="false" outlineLevel="0" collapsed="false">
      <c r="B66122" s="0" t="s">
        <v>1</v>
      </c>
    </row>
    <row r="66123" customFormat="false" ht="12.8" hidden="false" customHeight="false" outlineLevel="0" collapsed="false">
      <c r="B66123" s="0" t="s">
        <v>8</v>
      </c>
    </row>
    <row r="66124" customFormat="false" ht="12.8" hidden="false" customHeight="false" outlineLevel="0" collapsed="false">
      <c r="B66124" s="0" t="s">
        <v>164</v>
      </c>
    </row>
    <row r="66126" customFormat="false" ht="12.8" hidden="false" customHeight="false" outlineLevel="0" collapsed="false">
      <c r="A66126" s="0" t="s">
        <v>21863</v>
      </c>
      <c r="B66126" s="0" t="str">
        <f aca="false">HYPERLINK("https://lindat.mff.cuni.cz/services/teitok/pdtc10/index.php?action=vallex&amp;frame=v-whsa_1367f1_ZU", "zapáchat (v-whsa_1367f1_ZU)")</f>
        <v>zapáchat (v-whsa_1367f1_ZU)</v>
      </c>
    </row>
    <row r="66127" customFormat="false" ht="12.8" hidden="false" customHeight="false" outlineLevel="0" collapsed="false">
      <c r="B66127" s="0" t="s">
        <v>1</v>
      </c>
    </row>
    <row r="66128" customFormat="false" ht="12.8" hidden="false" customHeight="false" outlineLevel="0" collapsed="false">
      <c r="B66128" s="0" t="s">
        <v>13036</v>
      </c>
    </row>
    <row r="66130" customFormat="false" ht="12.8" hidden="false" customHeight="false" outlineLevel="0" collapsed="false">
      <c r="A66130" s="0" t="s">
        <v>21863</v>
      </c>
      <c r="B66130" s="0" t="str">
        <f aca="false">HYPERLINK("https://lindat.mff.cuni.cz/services/teitok/pdtc10/index.php?action=vallex&amp;frame=v-whsa_1367hsa_1368", "zapáchat (v-whsa_1367hsa_1368) - substituted with v-whsa_1367f1_ZU")</f>
        <v>zapáchat (v-whsa_1367hsa_1368) - substituted with v-whsa_1367f1_ZU</v>
      </c>
    </row>
    <row r="66131" customFormat="false" ht="12.8" hidden="false" customHeight="false" outlineLevel="0" collapsed="false">
      <c r="B66131" s="0" t="s">
        <v>1</v>
      </c>
    </row>
    <row r="66132" customFormat="false" ht="12.8" hidden="false" customHeight="false" outlineLevel="0" collapsed="false">
      <c r="B66132" s="0" t="s">
        <v>13036</v>
      </c>
    </row>
    <row r="66134" customFormat="false" ht="12.8" hidden="false" customHeight="false" outlineLevel="0" collapsed="false">
      <c r="A66134" s="0" t="s">
        <v>21864</v>
      </c>
      <c r="B66134" s="0" t="str">
        <f aca="false">HYPERLINK("https://lindat.mff.cuni.cz/services/teitok/pdtc10/index.php?action=vallex&amp;frame=v-w9002f1", "zapálit (v-w9002f1)")</f>
        <v>zapálit (v-w9002f1)</v>
      </c>
      <c r="E66134" s="0" t="str">
        <f aca="false">HYPERLINK("https://lindat.mff.cuni.cz/services/SynSemClass40/SynSemClass40.html?veclass=vec00986#vec00986-ces-cm00001", "vec00986")</f>
        <v>vec00986</v>
      </c>
      <c r="F66134" s="0" t="s">
        <v>15327</v>
      </c>
    </row>
    <row r="66135" customFormat="false" ht="12.8" hidden="false" customHeight="false" outlineLevel="0" collapsed="false">
      <c r="B66135" s="0" t="s">
        <v>1</v>
      </c>
      <c r="C66135" s="0" t="s">
        <v>459</v>
      </c>
      <c r="E66135" s="0" t="s">
        <v>15328</v>
      </c>
      <c r="F66135" s="0" t="s">
        <v>15329</v>
      </c>
    </row>
    <row r="66136" customFormat="false" ht="12.8" hidden="false" customHeight="false" outlineLevel="0" collapsed="false">
      <c r="B66136" s="0" t="s">
        <v>8</v>
      </c>
      <c r="C66136" s="0" t="s">
        <v>462</v>
      </c>
      <c r="E66136" s="0" t="s">
        <v>15330</v>
      </c>
      <c r="F66136" s="0" t="s">
        <v>15331</v>
      </c>
    </row>
    <row r="66138" customFormat="false" ht="12.8" hidden="false" customHeight="false" outlineLevel="0" collapsed="false">
      <c r="A66138" s="0" t="s">
        <v>21865</v>
      </c>
      <c r="B66138" s="0" t="str">
        <f aca="false">HYPERLINK("https://lindat.mff.cuni.cz/services/teitok/pdtc10/index.php?action=vallex&amp;frame=v-w12348_MMf1_MM", "zapéci (v-w12348_MMf1_MM)")</f>
        <v>zapéci (v-w12348_MMf1_MM)</v>
      </c>
    </row>
    <row r="66139" customFormat="false" ht="12.8" hidden="false" customHeight="false" outlineLevel="0" collapsed="false">
      <c r="B66139" s="0" t="s">
        <v>1</v>
      </c>
    </row>
    <row r="66140" customFormat="false" ht="12.8" hidden="false" customHeight="false" outlineLevel="0" collapsed="false">
      <c r="B66140" s="0" t="s">
        <v>8</v>
      </c>
    </row>
    <row r="66142" customFormat="false" ht="12.8" hidden="false" customHeight="false" outlineLevel="0" collapsed="false">
      <c r="A66142" s="0" t="s">
        <v>21866</v>
      </c>
      <c r="B66142" s="0" t="str">
        <f aca="false">HYPERLINK("https://lindat.mff.cuni.cz/services/teitok/pdtc10/index.php?action=vallex&amp;frame=v-w9010f2", "zapíchnout (v-w9010f2)")</f>
        <v>zapíchnout (v-w9010f2)</v>
      </c>
    </row>
    <row r="66143" customFormat="false" ht="12.8" hidden="false" customHeight="false" outlineLevel="0" collapsed="false">
      <c r="B66143" s="0" t="s">
        <v>1</v>
      </c>
    </row>
    <row r="66144" customFormat="false" ht="12.8" hidden="false" customHeight="false" outlineLevel="0" collapsed="false">
      <c r="B66144" s="0" t="s">
        <v>8</v>
      </c>
    </row>
    <row r="66145" customFormat="false" ht="12.8" hidden="false" customHeight="false" outlineLevel="0" collapsed="false">
      <c r="B66145" s="0" t="s">
        <v>5</v>
      </c>
    </row>
    <row r="66147" customFormat="false" ht="12.8" hidden="false" customHeight="false" outlineLevel="0" collapsed="false">
      <c r="A66147" s="0" t="s">
        <v>21867</v>
      </c>
      <c r="B66147" s="0" t="str">
        <f aca="false">HYPERLINK("https://lindat.mff.cuni.cz/services/teitok/pdtc10/index.php?action=vallex&amp;frame=v-w9010f1", "zapíchnout (v-w9010f1)")</f>
        <v>zapíchnout (v-w9010f1)</v>
      </c>
    </row>
    <row r="66148" customFormat="false" ht="12.8" hidden="false" customHeight="false" outlineLevel="0" collapsed="false">
      <c r="B66148" s="0" t="s">
        <v>1</v>
      </c>
    </row>
    <row r="66149" customFormat="false" ht="12.8" hidden="false" customHeight="false" outlineLevel="0" collapsed="false">
      <c r="B66149" s="0" t="s">
        <v>8</v>
      </c>
    </row>
    <row r="66150" customFormat="false" ht="12.8" hidden="false" customHeight="false" outlineLevel="0" collapsed="false">
      <c r="B66150" s="0" t="s">
        <v>164</v>
      </c>
    </row>
    <row r="66152" customFormat="false" ht="12.8" hidden="false" customHeight="false" outlineLevel="0" collapsed="false">
      <c r="A66152" s="0" t="s">
        <v>21868</v>
      </c>
      <c r="B66152" s="0" t="str">
        <f aca="false">HYPERLINK("https://lindat.mff.cuni.cz/services/teitok/pdtc10/index.php?action=vallex&amp;frame=v-w9010hsa_573", "zapíchnout (v-w9010hsa_573)")</f>
        <v>zapíchnout (v-w9010hsa_573)</v>
      </c>
    </row>
    <row r="66153" customFormat="false" ht="12.8" hidden="false" customHeight="false" outlineLevel="0" collapsed="false">
      <c r="B66153" s="0" t="s">
        <v>1</v>
      </c>
    </row>
    <row r="66154" customFormat="false" ht="12.8" hidden="false" customHeight="false" outlineLevel="0" collapsed="false">
      <c r="B66154" s="0" t="s">
        <v>8</v>
      </c>
    </row>
    <row r="66156" customFormat="false" ht="12.8" hidden="false" customHeight="false" outlineLevel="0" collapsed="false">
      <c r="A66156" s="0" t="s">
        <v>21869</v>
      </c>
      <c r="B66156" s="0" t="str">
        <f aca="false">HYPERLINK("https://lindat.mff.cuni.cz/services/teitok/pdtc10/index.php?action=vallex&amp;frame=v-whsa_1337hsa_1338", "zapíchávat (v-whsa_1337hsa_1338)")</f>
        <v>zapíchávat (v-whsa_1337hsa_1338)</v>
      </c>
    </row>
    <row r="66157" customFormat="false" ht="12.8" hidden="false" customHeight="false" outlineLevel="0" collapsed="false">
      <c r="B66157" s="0" t="s">
        <v>1</v>
      </c>
    </row>
    <row r="66158" customFormat="false" ht="12.8" hidden="false" customHeight="false" outlineLevel="0" collapsed="false">
      <c r="B66158" s="0" t="s">
        <v>8</v>
      </c>
    </row>
    <row r="66159" customFormat="false" ht="12.8" hidden="false" customHeight="false" outlineLevel="0" collapsed="false">
      <c r="B66159" s="0" t="s">
        <v>164</v>
      </c>
    </row>
    <row r="66161" customFormat="false" ht="12.8" hidden="false" customHeight="false" outlineLevel="0" collapsed="false">
      <c r="A66161" s="0" t="s">
        <v>21870</v>
      </c>
      <c r="B66161" s="0" t="str">
        <f aca="false">HYPERLINK("https://lindat.mff.cuni.cz/services/teitok/pdtc10/index.php?action=vallex&amp;frame=v-whsa_2045hsa_2046", "zapíjet (v-whsa_2045hsa_2046)")</f>
        <v>zapíjet (v-whsa_2045hsa_2046)</v>
      </c>
    </row>
    <row r="66162" customFormat="false" ht="12.8" hidden="false" customHeight="false" outlineLevel="0" collapsed="false">
      <c r="B66162" s="0" t="s">
        <v>1</v>
      </c>
    </row>
    <row r="66163" customFormat="false" ht="12.8" hidden="false" customHeight="false" outlineLevel="0" collapsed="false">
      <c r="B66163" s="0" t="s">
        <v>8</v>
      </c>
    </row>
    <row r="66165" customFormat="false" ht="12.8" hidden="false" customHeight="false" outlineLevel="0" collapsed="false">
      <c r="A66165" s="0" t="s">
        <v>21871</v>
      </c>
      <c r="B66165" s="0" t="str">
        <f aca="false">HYPERLINK("https://lindat.mff.cuni.cz/services/teitok/pdtc10/index.php?action=vallex&amp;frame=v-w9011f1", "zapínat (v-w9011f1)")</f>
        <v>zapínat (v-w9011f1)</v>
      </c>
      <c r="E66165" s="0" t="str">
        <f aca="false">HYPERLINK("https://lindat.mff.cuni.cz/services/SynSemClass40/SynSemClass40.html?veclass=vec00182#vec00182-ces-cm00001", "vec00182")</f>
        <v>vec00182</v>
      </c>
      <c r="F66165" s="0" t="s">
        <v>19849</v>
      </c>
    </row>
    <row r="66166" customFormat="false" ht="12.8" hidden="false" customHeight="false" outlineLevel="0" collapsed="false">
      <c r="B66166" s="0" t="s">
        <v>21872</v>
      </c>
      <c r="C66166" s="0" t="s">
        <v>106</v>
      </c>
      <c r="E66166" s="0" t="s">
        <v>19850</v>
      </c>
      <c r="F66166" s="0" t="s">
        <v>19851</v>
      </c>
    </row>
    <row r="66167" customFormat="false" ht="12.8" hidden="false" customHeight="false" outlineLevel="0" collapsed="false">
      <c r="B66167" s="0" t="s">
        <v>8</v>
      </c>
      <c r="C66167" s="0" t="s">
        <v>827</v>
      </c>
      <c r="E66167" s="0" t="s">
        <v>19852</v>
      </c>
      <c r="F66167" s="0" t="s">
        <v>19853</v>
      </c>
    </row>
    <row r="66169" customFormat="false" ht="12.8" hidden="false" customHeight="false" outlineLevel="0" collapsed="false">
      <c r="A66169" s="0" t="s">
        <v>21873</v>
      </c>
      <c r="B66169" s="0" t="str">
        <f aca="false">HYPERLINK("https://lindat.mff.cuni.cz/services/teitok/pdtc10/index.php?action=vallex&amp;frame=v-w9011f2_ZU", "zapínat (v-w9011f2_ZU)")</f>
        <v>zapínat (v-w9011f2_ZU)</v>
      </c>
      <c r="E66169" s="0" t="str">
        <f aca="false">HYPERLINK("https://lindat.mff.cuni.cz/services/SynSemClass40/SynSemClass40.html?veclass=vec00943#vec00943-ces-cm00008", "vec00943")</f>
        <v>vec00943</v>
      </c>
      <c r="F66169" s="0" t="s">
        <v>18135</v>
      </c>
    </row>
    <row r="66170" customFormat="false" ht="12.8" hidden="false" customHeight="false" outlineLevel="0" collapsed="false">
      <c r="B66170" s="0" t="s">
        <v>1</v>
      </c>
      <c r="C66170" s="0" t="s">
        <v>154</v>
      </c>
      <c r="E66170" s="0" t="s">
        <v>4581</v>
      </c>
      <c r="F66170" s="0" t="s">
        <v>18136</v>
      </c>
    </row>
    <row r="66171" customFormat="false" ht="12.8" hidden="false" customHeight="false" outlineLevel="0" collapsed="false">
      <c r="B66171" s="0" t="s">
        <v>8</v>
      </c>
      <c r="C66171" s="0" t="s">
        <v>109</v>
      </c>
      <c r="E66171" s="0" t="s">
        <v>514</v>
      </c>
      <c r="F66171" s="0" t="s">
        <v>18137</v>
      </c>
    </row>
    <row r="66173" customFormat="false" ht="12.8" hidden="false" customHeight="false" outlineLevel="0" collapsed="false">
      <c r="A66173" s="0" t="s">
        <v>21874</v>
      </c>
      <c r="B66173" s="0" t="str">
        <f aca="false">HYPERLINK("https://lindat.mff.cuni.cz/services/teitok/pdtc10/index.php?action=vallex&amp;frame=v-w10294f2", "zapírat (v-w10294f2)")</f>
        <v>zapírat (v-w10294f2)</v>
      </c>
    </row>
    <row r="66174" customFormat="false" ht="12.8" hidden="false" customHeight="false" outlineLevel="0" collapsed="false">
      <c r="B66174" s="0" t="s">
        <v>1</v>
      </c>
    </row>
    <row r="66175" customFormat="false" ht="12.8" hidden="false" customHeight="false" outlineLevel="0" collapsed="false">
      <c r="B66175" s="0" t="s">
        <v>918</v>
      </c>
    </row>
    <row r="66176" customFormat="false" ht="12.8" hidden="false" customHeight="false" outlineLevel="0" collapsed="false">
      <c r="B66176" s="0" t="s">
        <v>132</v>
      </c>
    </row>
    <row r="66178" customFormat="false" ht="12.8" hidden="false" customHeight="false" outlineLevel="0" collapsed="false">
      <c r="A66178" s="0" t="s">
        <v>21875</v>
      </c>
      <c r="B66178" s="0" t="str">
        <f aca="false">HYPERLINK("https://lindat.mff.cuni.cz/services/teitok/pdtc10/index.php?action=vallex&amp;frame=v-w11810_ZUf1_ZU", "zapít (v-w11810_ZUf1_ZU)")</f>
        <v>zapít (v-w11810_ZUf1_ZU)</v>
      </c>
    </row>
    <row r="66179" customFormat="false" ht="12.8" hidden="false" customHeight="false" outlineLevel="0" collapsed="false">
      <c r="B66179" s="0" t="s">
        <v>1</v>
      </c>
    </row>
    <row r="66180" customFormat="false" ht="12.8" hidden="false" customHeight="false" outlineLevel="0" collapsed="false">
      <c r="B66180" s="0" t="s">
        <v>8</v>
      </c>
    </row>
    <row r="66182" customFormat="false" ht="12.8" hidden="false" customHeight="false" outlineLevel="0" collapsed="false">
      <c r="A66182" s="0" t="s">
        <v>21876</v>
      </c>
      <c r="B66182" s="0" t="str">
        <f aca="false">HYPERLINK("https://lindat.mff.cuni.cz/services/teitok/pdtc10/index.php?action=vallex&amp;frame=v-w9009f1", "zapět (v-w9009f1)")</f>
        <v>zapět (v-w9009f1)</v>
      </c>
    </row>
    <row r="66183" customFormat="false" ht="12.8" hidden="false" customHeight="false" outlineLevel="0" collapsed="false">
      <c r="B66183" s="0" t="s">
        <v>1</v>
      </c>
    </row>
    <row r="66184" customFormat="false" ht="12.8" hidden="false" customHeight="false" outlineLevel="0" collapsed="false">
      <c r="B66184" s="0" t="s">
        <v>8</v>
      </c>
    </row>
    <row r="66185" customFormat="false" ht="12.8" hidden="false" customHeight="false" outlineLevel="0" collapsed="false">
      <c r="B66185" s="0" t="s">
        <v>132</v>
      </c>
    </row>
    <row r="66187" customFormat="false" ht="12.8" hidden="false" customHeight="false" outlineLevel="0" collapsed="false">
      <c r="A66187" s="0" t="s">
        <v>21877</v>
      </c>
      <c r="B66187" s="0" t="str">
        <f aca="false">HYPERLINK("https://lindat.mff.cuni.cz/services/teitok/pdtc10/index.php?action=vallex&amp;frame=v-w9009f3", "zapět (v-w9009f3)")</f>
        <v>zapět (v-w9009f3)</v>
      </c>
    </row>
    <row r="66188" customFormat="false" ht="12.8" hidden="false" customHeight="false" outlineLevel="0" collapsed="false">
      <c r="B66188" s="0" t="s">
        <v>1</v>
      </c>
    </row>
    <row r="66189" customFormat="false" ht="12.8" hidden="false" customHeight="false" outlineLevel="0" collapsed="false">
      <c r="B66189" s="0" t="s">
        <v>318</v>
      </c>
    </row>
    <row r="66190" customFormat="false" ht="12.8" hidden="false" customHeight="false" outlineLevel="0" collapsed="false">
      <c r="B66190" s="0" t="s">
        <v>132</v>
      </c>
    </row>
    <row r="66192" customFormat="false" ht="12.8" hidden="false" customHeight="false" outlineLevel="0" collapsed="false">
      <c r="A66192" s="0" t="s">
        <v>21878</v>
      </c>
      <c r="B66192" s="0" t="str">
        <f aca="false">HYPERLINK("https://lindat.mff.cuni.cz/services/teitok/pdtc10/index.php?action=vallex&amp;frame=v-w9009f2", "zapět (v-w9009f2)")</f>
        <v>zapět (v-w9009f2)</v>
      </c>
    </row>
    <row r="66193" customFormat="false" ht="12.8" hidden="false" customHeight="false" outlineLevel="0" collapsed="false">
      <c r="B66193" s="0" t="s">
        <v>1</v>
      </c>
    </row>
    <row r="66194" customFormat="false" ht="12.8" hidden="false" customHeight="false" outlineLevel="0" collapsed="false">
      <c r="B66194" s="0" t="s">
        <v>12917</v>
      </c>
    </row>
    <row r="66195" customFormat="false" ht="12.8" hidden="false" customHeight="false" outlineLevel="0" collapsed="false">
      <c r="B66195" s="0" t="s">
        <v>496</v>
      </c>
    </row>
    <row r="66196" customFormat="false" ht="12.8" hidden="false" customHeight="false" outlineLevel="0" collapsed="false">
      <c r="B66196" s="0" t="s">
        <v>132</v>
      </c>
    </row>
    <row r="66198" customFormat="false" ht="12.8" hidden="false" customHeight="false" outlineLevel="0" collapsed="false">
      <c r="A66198" s="0" t="s">
        <v>21879</v>
      </c>
      <c r="B66198" s="0" t="str">
        <f aca="false">HYPERLINK("https://lindat.mff.cuni.cz/services/teitok/pdtc10/index.php?action=vallex&amp;frame=v-w9064f1", "zapřáhnout (v-w9064f1)")</f>
        <v>zapřáhnout (v-w9064f1)</v>
      </c>
    </row>
    <row r="66199" customFormat="false" ht="12.8" hidden="false" customHeight="false" outlineLevel="0" collapsed="false">
      <c r="B66199" s="0" t="s">
        <v>1</v>
      </c>
    </row>
    <row r="66200" customFormat="false" ht="12.8" hidden="false" customHeight="false" outlineLevel="0" collapsed="false">
      <c r="B66200" s="0" t="s">
        <v>8</v>
      </c>
    </row>
    <row r="66201" customFormat="false" ht="12.8" hidden="false" customHeight="false" outlineLevel="0" collapsed="false">
      <c r="B66201" s="0" t="s">
        <v>164</v>
      </c>
    </row>
    <row r="66203" customFormat="false" ht="12.8" hidden="false" customHeight="false" outlineLevel="0" collapsed="false">
      <c r="A66203" s="0" t="s">
        <v>21880</v>
      </c>
      <c r="B66203" s="0" t="str">
        <f aca="false">HYPERLINK("https://lindat.mff.cuni.cz/services/teitok/pdtc10/index.php?action=vallex&amp;frame=v-w9064f2_MM", "zapřáhnout (v-w9064f2_MM)")</f>
        <v>zapřáhnout (v-w9064f2_MM)</v>
      </c>
    </row>
    <row r="66204" customFormat="false" ht="12.8" hidden="false" customHeight="false" outlineLevel="0" collapsed="false">
      <c r="B66204" s="0" t="s">
        <v>1</v>
      </c>
    </row>
    <row r="66205" customFormat="false" ht="12.8" hidden="false" customHeight="false" outlineLevel="0" collapsed="false">
      <c r="B66205" s="0" t="s">
        <v>98</v>
      </c>
    </row>
    <row r="66206" customFormat="false" ht="12.8" hidden="false" customHeight="false" outlineLevel="0" collapsed="false">
      <c r="B66206" s="0" t="s">
        <v>4250</v>
      </c>
    </row>
    <row r="66208" customFormat="false" ht="12.8" hidden="false" customHeight="false" outlineLevel="0" collapsed="false">
      <c r="A66208" s="0" t="s">
        <v>21881</v>
      </c>
      <c r="B66208" s="0" t="str">
        <f aca="false">HYPERLINK("https://lindat.mff.cuni.cz/services/teitok/pdtc10/index.php?action=vallex&amp;frame=v-whsa_134hsa_135", "zapříst (v-whsa_134hsa_135)")</f>
        <v>zapříst (v-whsa_134hsa_135)</v>
      </c>
      <c r="E66208" s="0" t="str">
        <f aca="false">HYPERLINK("https://lindat.mff.cuni.cz/services/SynSemClass40/SynSemClass40.html?veclass=vec00038#vec00038-ces-cm00229", "vec00038")</f>
        <v>vec00038</v>
      </c>
      <c r="F66208" s="0" t="s">
        <v>74</v>
      </c>
    </row>
    <row r="66209" customFormat="false" ht="12.8" hidden="false" customHeight="false" outlineLevel="0" collapsed="false">
      <c r="B66209" s="0" t="s">
        <v>1</v>
      </c>
      <c r="C66209" s="0" t="s">
        <v>75</v>
      </c>
      <c r="E66209" s="0" t="s">
        <v>76</v>
      </c>
      <c r="F66209" s="0" t="s">
        <v>77</v>
      </c>
    </row>
    <row r="66210" customFormat="false" ht="12.8" hidden="false" customHeight="false" outlineLevel="0" collapsed="false">
      <c r="B66210" s="0" t="s">
        <v>8</v>
      </c>
      <c r="C66210" s="0" t="s">
        <v>78</v>
      </c>
      <c r="E66210" s="0" t="s">
        <v>79</v>
      </c>
      <c r="F66210" s="0" t="s">
        <v>80</v>
      </c>
    </row>
    <row r="66212" customFormat="false" ht="12.8" hidden="false" customHeight="false" outlineLevel="0" collapsed="false">
      <c r="A66212" s="0" t="s">
        <v>21882</v>
      </c>
      <c r="B66212" s="0" t="str">
        <f aca="false">HYPERLINK("https://lindat.mff.cuni.cz/services/teitok/pdtc10/index.php?action=vallex&amp;frame=v-w9067f1", "zapřít (v-w9067f1)")</f>
        <v>zapřít (v-w9067f1)</v>
      </c>
    </row>
    <row r="66213" customFormat="false" ht="12.8" hidden="false" customHeight="false" outlineLevel="0" collapsed="false">
      <c r="B66213" s="0" t="s">
        <v>1</v>
      </c>
    </row>
    <row r="66214" customFormat="false" ht="12.8" hidden="false" customHeight="false" outlineLevel="0" collapsed="false">
      <c r="B66214" s="0" t="s">
        <v>4245</v>
      </c>
    </row>
    <row r="66215" customFormat="false" ht="12.8" hidden="false" customHeight="false" outlineLevel="0" collapsed="false">
      <c r="B66215" s="0" t="s">
        <v>381</v>
      </c>
    </row>
    <row r="66217" customFormat="false" ht="12.8" hidden="false" customHeight="false" outlineLevel="0" collapsed="false">
      <c r="A66217" s="0" t="s">
        <v>21883</v>
      </c>
      <c r="B66217" s="0" t="str">
        <f aca="false">HYPERLINK("https://lindat.mff.cuni.cz/services/teitok/pdtc10/index.php?action=vallex&amp;frame=v-w9068f1", "zapřít se (v-w9068f1)")</f>
        <v>zapřít se (v-w9068f1)</v>
      </c>
    </row>
    <row r="66218" customFormat="false" ht="12.8" hidden="false" customHeight="false" outlineLevel="0" collapsed="false">
      <c r="B66218" s="0" t="s">
        <v>1</v>
      </c>
    </row>
    <row r="66219" customFormat="false" ht="12.8" hidden="false" customHeight="false" outlineLevel="0" collapsed="false">
      <c r="B66219" s="0" t="s">
        <v>1689</v>
      </c>
    </row>
    <row r="66221" customFormat="false" ht="12.8" hidden="false" customHeight="false" outlineLevel="0" collapsed="false">
      <c r="A66221" s="0" t="s">
        <v>21884</v>
      </c>
      <c r="B66221" s="0" t="str">
        <f aca="false">HYPERLINK("https://lindat.mff.cuni.cz/services/teitok/pdtc10/index.php?action=vallex&amp;frame=v-w9066f1", "zapříčinit (v-w9066f1)")</f>
        <v>zapříčinit (v-w9066f1)</v>
      </c>
      <c r="E66221" s="0" t="str">
        <f aca="false">HYPERLINK("https://lindat.mff.cuni.cz/services/SynSemClass40/SynSemClass40.html?veclass=vec00196#vec00196-ces-cm00234", "vec00196")</f>
        <v>vec00196</v>
      </c>
      <c r="F66221" s="0" t="s">
        <v>749</v>
      </c>
    </row>
    <row r="66222" customFormat="false" ht="12.8" hidden="false" customHeight="false" outlineLevel="0" collapsed="false">
      <c r="B66222" s="0" t="s">
        <v>1</v>
      </c>
      <c r="C66222" s="0" t="s">
        <v>750</v>
      </c>
      <c r="E66222" s="0" t="s">
        <v>76</v>
      </c>
      <c r="F66222" s="0" t="s">
        <v>751</v>
      </c>
    </row>
    <row r="66223" customFormat="false" ht="12.8" hidden="false" customHeight="false" outlineLevel="0" collapsed="false">
      <c r="B66223" s="0" t="s">
        <v>7589</v>
      </c>
      <c r="C66223" s="0" t="s">
        <v>6686</v>
      </c>
      <c r="E66223" s="0" t="s">
        <v>6358</v>
      </c>
      <c r="F66223" s="0" t="s">
        <v>6645</v>
      </c>
    </row>
    <row r="66225" customFormat="false" ht="12.8" hidden="false" customHeight="false" outlineLevel="0" collapsed="false">
      <c r="A66225" s="0" t="s">
        <v>21885</v>
      </c>
      <c r="B66225" s="0" t="str">
        <f aca="false">HYPERLINK("https://lindat.mff.cuni.cz/services/teitok/pdtc10/index.php?action=vallex&amp;frame=v-w10475f2", "zapříčiňovat (v-w10475f2)")</f>
        <v>zapříčiňovat (v-w10475f2)</v>
      </c>
      <c r="E66225" s="0" t="str">
        <f aca="false">HYPERLINK("https://lindat.mff.cuni.cz/services/SynSemClass40/SynSemClass40.html?veclass=vec00196#vec00196-ces-cm00235", "vec00196")</f>
        <v>vec00196</v>
      </c>
      <c r="F66225" s="0" t="s">
        <v>749</v>
      </c>
    </row>
    <row r="66226" customFormat="false" ht="12.8" hidden="false" customHeight="false" outlineLevel="0" collapsed="false">
      <c r="B66226" s="0" t="s">
        <v>1</v>
      </c>
      <c r="C66226" s="0" t="s">
        <v>750</v>
      </c>
      <c r="E66226" s="0" t="s">
        <v>76</v>
      </c>
      <c r="F66226" s="0" t="s">
        <v>751</v>
      </c>
    </row>
    <row r="66227" customFormat="false" ht="12.8" hidden="false" customHeight="false" outlineLevel="0" collapsed="false">
      <c r="B66227" s="0" t="s">
        <v>7589</v>
      </c>
      <c r="C66227" s="0" t="s">
        <v>6686</v>
      </c>
      <c r="E66227" s="0" t="s">
        <v>6358</v>
      </c>
      <c r="F66227" s="0" t="s">
        <v>6645</v>
      </c>
    </row>
    <row r="66229" customFormat="false" ht="12.8" hidden="false" customHeight="false" outlineLevel="0" collapsed="false">
      <c r="A66229" s="0" t="s">
        <v>21886</v>
      </c>
      <c r="B66229" s="0" t="str">
        <f aca="false">HYPERLINK("https://lindat.mff.cuni.cz/services/teitok/pdtc10/index.php?action=vallex&amp;frame=v-w9074f1", "zapůjčit (v-w9074f1)")</f>
        <v>zapůjčit (v-w9074f1)</v>
      </c>
      <c r="E66229" s="0" t="str">
        <f aca="false">HYPERLINK("https://lindat.mff.cuni.cz/services/SynSemClass40/SynSemClass40.html?veclass=vec00074#vec00074-ces-cm00248", "vec00074")</f>
        <v>vec00074</v>
      </c>
      <c r="F66229" s="0" t="s">
        <v>1782</v>
      </c>
    </row>
    <row r="66230" customFormat="false" ht="12.8" hidden="false" customHeight="false" outlineLevel="0" collapsed="false">
      <c r="B66230" s="0" t="s">
        <v>1</v>
      </c>
      <c r="C66230" s="0" t="s">
        <v>1783</v>
      </c>
      <c r="E66230" s="0" t="s">
        <v>1784</v>
      </c>
      <c r="F66230" s="0" t="s">
        <v>1785</v>
      </c>
    </row>
    <row r="66231" customFormat="false" ht="12.8" hidden="false" customHeight="false" outlineLevel="0" collapsed="false">
      <c r="B66231" s="0" t="s">
        <v>8</v>
      </c>
      <c r="C66231" s="0" t="s">
        <v>1786</v>
      </c>
      <c r="E66231" s="0" t="s">
        <v>1787</v>
      </c>
      <c r="F66231" s="0" t="s">
        <v>1788</v>
      </c>
    </row>
    <row r="66232" customFormat="false" ht="12.8" hidden="false" customHeight="false" outlineLevel="0" collapsed="false">
      <c r="B66232" s="0" t="s">
        <v>52</v>
      </c>
      <c r="C66232" s="0" t="s">
        <v>1789</v>
      </c>
      <c r="E66232" s="0" t="s">
        <v>53</v>
      </c>
      <c r="F66232" s="0" t="s">
        <v>1790</v>
      </c>
    </row>
    <row r="66234" customFormat="false" ht="12.8" hidden="false" customHeight="false" outlineLevel="0" collapsed="false">
      <c r="A66234" s="0" t="s">
        <v>21887</v>
      </c>
      <c r="B66234" s="0" t="str">
        <f aca="false">HYPERLINK("https://lindat.mff.cuni.cz/services/teitok/pdtc10/index.php?action=vallex&amp;frame=v-w9075f1", "zapůjčit si (v-w9075f1)")</f>
        <v>zapůjčit si (v-w9075f1)</v>
      </c>
    </row>
    <row r="66235" customFormat="false" ht="12.8" hidden="false" customHeight="false" outlineLevel="0" collapsed="false">
      <c r="B66235" s="0" t="s">
        <v>1</v>
      </c>
    </row>
    <row r="66236" customFormat="false" ht="12.8" hidden="false" customHeight="false" outlineLevel="0" collapsed="false">
      <c r="B66236" s="0" t="s">
        <v>8</v>
      </c>
    </row>
    <row r="66237" customFormat="false" ht="12.8" hidden="false" customHeight="false" outlineLevel="0" collapsed="false">
      <c r="B66237" s="0" t="s">
        <v>602</v>
      </c>
    </row>
    <row r="66239" customFormat="false" ht="12.8" hidden="false" customHeight="false" outlineLevel="0" collapsed="false">
      <c r="A66239" s="0" t="s">
        <v>21888</v>
      </c>
      <c r="B66239" s="0" t="str">
        <f aca="false">HYPERLINK("https://lindat.mff.cuni.cz/services/teitok/pdtc10/index.php?action=vallex&amp;frame=v-w9077f1", "zapůsobit (v-w9077f1)")</f>
        <v>zapůsobit (v-w9077f1)</v>
      </c>
      <c r="E66239" s="0" t="str">
        <f aca="false">HYPERLINK("https://lindat.mff.cuni.cz/services/SynSemClass40/SynSemClass40.html?veclass=vec00773#vec00773-ces-cm00001", "vec00773")</f>
        <v>vec00773</v>
      </c>
      <c r="F66239" s="0" t="s">
        <v>21889</v>
      </c>
    </row>
    <row r="66240" customFormat="false" ht="12.8" hidden="false" customHeight="false" outlineLevel="0" collapsed="false">
      <c r="B66240" s="0" t="s">
        <v>3921</v>
      </c>
      <c r="C66240" s="0" t="s">
        <v>4114</v>
      </c>
      <c r="E66240" s="0" t="s">
        <v>3010</v>
      </c>
      <c r="F66240" s="0" t="s">
        <v>21890</v>
      </c>
    </row>
    <row r="66241" customFormat="false" ht="12.8" hidden="false" customHeight="false" outlineLevel="0" collapsed="false">
      <c r="B66241" s="0" t="s">
        <v>45</v>
      </c>
      <c r="C66241" s="0" t="s">
        <v>1575</v>
      </c>
      <c r="E66241" s="0" t="s">
        <v>1399</v>
      </c>
      <c r="F66241" s="0" t="s">
        <v>21891</v>
      </c>
    </row>
    <row r="66243" customFormat="false" ht="12.8" hidden="false" customHeight="false" outlineLevel="0" collapsed="false">
      <c r="A66243" s="0" t="s">
        <v>21892</v>
      </c>
      <c r="B66243" s="0" t="str">
        <f aca="false">HYPERLINK("https://lindat.mff.cuni.cz/services/teitok/pdtc10/index.php?action=vallex&amp;frame=v-w9079f1", "zaradovat se (v-w9079f1)")</f>
        <v>zaradovat se (v-w9079f1)</v>
      </c>
      <c r="E66243" s="0" t="str">
        <f aca="false">HYPERLINK("https://lindat.mff.cuni.cz/services/SynSemClass40/SynSemClass40.html?veclass=vec01310#vec01310-ces-cm00008", "vec01310")</f>
        <v>vec01310</v>
      </c>
      <c r="F66243" s="0" t="s">
        <v>5023</v>
      </c>
    </row>
    <row r="66244" customFormat="false" ht="12.8" hidden="false" customHeight="false" outlineLevel="0" collapsed="false">
      <c r="B66244" s="0" t="s">
        <v>1</v>
      </c>
      <c r="C66244" s="0" t="s">
        <v>459</v>
      </c>
      <c r="E66244" s="0" t="s">
        <v>266</v>
      </c>
      <c r="F66244" s="0" t="s">
        <v>5024</v>
      </c>
    </row>
    <row r="66245" customFormat="false" ht="12.8" hidden="false" customHeight="false" outlineLevel="0" collapsed="false">
      <c r="B66245" s="0" t="s">
        <v>8069</v>
      </c>
      <c r="C66245" s="0" t="s">
        <v>744</v>
      </c>
      <c r="E66245" s="0" t="s">
        <v>271</v>
      </c>
      <c r="F66245" s="0" t="s">
        <v>5025</v>
      </c>
    </row>
    <row r="66247" customFormat="false" ht="12.8" hidden="false" customHeight="false" outlineLevel="0" collapsed="false">
      <c r="A66247" s="0" t="s">
        <v>21893</v>
      </c>
      <c r="B66247" s="0" t="str">
        <f aca="false">HYPERLINK("https://lindat.mff.cuni.cz/services/teitok/pdtc10/index.php?action=vallex&amp;frame=v-w9081f4", "zarazit (v-w9081f4)")</f>
        <v>zarazit (v-w9081f4)</v>
      </c>
    </row>
    <row r="66248" customFormat="false" ht="12.8" hidden="false" customHeight="false" outlineLevel="0" collapsed="false">
      <c r="B66248" s="0" t="s">
        <v>1</v>
      </c>
    </row>
    <row r="66249" customFormat="false" ht="12.8" hidden="false" customHeight="false" outlineLevel="0" collapsed="false">
      <c r="B66249" s="0" t="s">
        <v>8</v>
      </c>
    </row>
    <row r="66250" customFormat="false" ht="12.8" hidden="false" customHeight="false" outlineLevel="0" collapsed="false">
      <c r="B66250" s="0" t="s">
        <v>5</v>
      </c>
    </row>
    <row r="66252" customFormat="false" ht="12.8" hidden="false" customHeight="false" outlineLevel="0" collapsed="false">
      <c r="A66252" s="0" t="s">
        <v>21894</v>
      </c>
      <c r="B66252" s="0" t="str">
        <f aca="false">HYPERLINK("https://lindat.mff.cuni.cz/services/teitok/pdtc10/index.php?action=vallex&amp;frame=v-w9081f3", "zarazit (v-w9081f3)")</f>
        <v>zarazit (v-w9081f3)</v>
      </c>
      <c r="E66252" s="0" t="str">
        <f aca="false">HYPERLINK("https://lindat.mff.cuni.cz/services/SynSemClass40/SynSemClass40.html?veclass=vec00735#vec00735-ces-cm00133", "vec00735")</f>
        <v>vec00735</v>
      </c>
      <c r="F66252" s="0" t="s">
        <v>2719</v>
      </c>
    </row>
    <row r="66253" customFormat="false" ht="12.8" hidden="false" customHeight="false" outlineLevel="0" collapsed="false">
      <c r="B66253" s="0" t="s">
        <v>1</v>
      </c>
      <c r="C66253" s="0" t="s">
        <v>2720</v>
      </c>
      <c r="E66253" s="0" t="s">
        <v>334</v>
      </c>
      <c r="F66253" s="0" t="s">
        <v>2721</v>
      </c>
    </row>
    <row r="66254" customFormat="false" ht="12.8" hidden="false" customHeight="false" outlineLevel="0" collapsed="false">
      <c r="B66254" s="0" t="s">
        <v>8</v>
      </c>
      <c r="C66254" s="0" t="s">
        <v>2722</v>
      </c>
      <c r="E66254" s="0" t="s">
        <v>2648</v>
      </c>
      <c r="F66254" s="0" t="s">
        <v>2723</v>
      </c>
    </row>
    <row r="66255" customFormat="false" ht="12.8" hidden="false" customHeight="false" outlineLevel="0" collapsed="false">
      <c r="B66255" s="0" t="s">
        <v>164</v>
      </c>
      <c r="C66255" s="0" t="s">
        <v>2724</v>
      </c>
      <c r="E66255" s="0" t="s">
        <v>370</v>
      </c>
      <c r="F66255" s="0" t="s">
        <v>2725</v>
      </c>
    </row>
    <row r="66257" customFormat="false" ht="12.8" hidden="false" customHeight="false" outlineLevel="0" collapsed="false">
      <c r="A66257" s="0" t="s">
        <v>21895</v>
      </c>
      <c r="B66257" s="0" t="str">
        <f aca="false">HYPERLINK("https://lindat.mff.cuni.cz/services/teitok/pdtc10/index.php?action=vallex&amp;frame=v-w9081f2", "zarazit (v-w9081f2)")</f>
        <v>zarazit (v-w9081f2)</v>
      </c>
      <c r="E66257" s="0" t="str">
        <f aca="false">HYPERLINK("https://lindat.mff.cuni.cz/services/SynSemClass40/SynSemClass40.html?veclass=vec01506#vec01506-ces-cm00015", "vec01506")</f>
        <v>vec01506</v>
      </c>
      <c r="F66257" s="0" t="s">
        <v>5550</v>
      </c>
    </row>
    <row r="66258" customFormat="false" ht="12.8" hidden="false" customHeight="false" outlineLevel="0" collapsed="false">
      <c r="B66258" s="0" t="s">
        <v>9620</v>
      </c>
      <c r="C66258" s="0" t="s">
        <v>5551</v>
      </c>
      <c r="E66258" s="0" t="s">
        <v>266</v>
      </c>
      <c r="F66258" s="0" t="s">
        <v>5552</v>
      </c>
    </row>
    <row r="66259" customFormat="false" ht="12.8" hidden="false" customHeight="false" outlineLevel="0" collapsed="false">
      <c r="B66259" s="0" t="s">
        <v>8</v>
      </c>
      <c r="C66259" s="0" t="s">
        <v>5553</v>
      </c>
      <c r="E66259" s="0" t="s">
        <v>271</v>
      </c>
      <c r="F66259" s="0" t="s">
        <v>5554</v>
      </c>
    </row>
    <row r="66261" customFormat="false" ht="12.8" hidden="false" customHeight="false" outlineLevel="0" collapsed="false">
      <c r="A66261" s="0" t="s">
        <v>21896</v>
      </c>
      <c r="B66261" s="0" t="str">
        <f aca="false">HYPERLINK("https://lindat.mff.cuni.cz/services/teitok/pdtc10/index.php?action=vallex&amp;frame=v-w9081f1", "zarazit (v-w9081f1)")</f>
        <v>zarazit (v-w9081f1)</v>
      </c>
    </row>
    <row r="66262" customFormat="false" ht="12.8" hidden="false" customHeight="false" outlineLevel="0" collapsed="false">
      <c r="B66262" s="0" t="s">
        <v>1</v>
      </c>
    </row>
    <row r="66263" customFormat="false" ht="12.8" hidden="false" customHeight="false" outlineLevel="0" collapsed="false">
      <c r="B66263" s="0" t="s">
        <v>8</v>
      </c>
    </row>
    <row r="66265" customFormat="false" ht="12.8" hidden="false" customHeight="false" outlineLevel="0" collapsed="false">
      <c r="A66265" s="0" t="s">
        <v>21897</v>
      </c>
      <c r="B66265" s="0" t="str">
        <f aca="false">HYPERLINK("https://lindat.mff.cuni.cz/services/teitok/pdtc10/index.php?action=vallex&amp;frame=v-w11638_ZUf1_ZU", "zarazit se (v-w11638_ZUf1_ZU)")</f>
        <v>zarazit se (v-w11638_ZUf1_ZU)</v>
      </c>
      <c r="E66265" s="0" t="str">
        <f aca="false">HYPERLINK("https://lindat.mff.cuni.cz/services/SynSemClass40/SynSemClass40.html?veclass=vec01369#vec01369-ces-cm00007", "vec01369")</f>
        <v>vec01369</v>
      </c>
      <c r="F66265" s="0" t="s">
        <v>16483</v>
      </c>
      <c r="H66265" s="0" t="str">
        <f aca="false">HYPERLINK("https://lindat.mff.cuni.cz/services/SynSemClass40/SynSemClass40.html?veclass=vec01475#vec01475-ces-cm00005", "vec01475")</f>
        <v>vec01475</v>
      </c>
      <c r="I66265" s="0" t="s">
        <v>1082</v>
      </c>
    </row>
    <row r="66266" customFormat="false" ht="12.8" hidden="false" customHeight="false" outlineLevel="0" collapsed="false">
      <c r="B66266" s="0" t="s">
        <v>1</v>
      </c>
      <c r="C66266" s="0" t="s">
        <v>21309</v>
      </c>
      <c r="E66266" s="0" t="s">
        <v>1086</v>
      </c>
      <c r="F66266" s="0" t="s">
        <v>16485</v>
      </c>
      <c r="H66266" s="0" t="s">
        <v>1086</v>
      </c>
      <c r="I66266" s="0" t="s">
        <v>1087</v>
      </c>
    </row>
    <row r="66267" customFormat="false" ht="12.8" hidden="false" customHeight="false" outlineLevel="0" collapsed="false">
      <c r="B66267" s="0" t="s">
        <v>1262</v>
      </c>
      <c r="C66267" s="0" t="s">
        <v>21898</v>
      </c>
      <c r="E66267" s="0" t="s">
        <v>3247</v>
      </c>
      <c r="F66267" s="0" t="s">
        <v>21899</v>
      </c>
      <c r="H66267" s="0" t="s">
        <v>18350</v>
      </c>
      <c r="I66267" s="0" t="s">
        <v>18351</v>
      </c>
    </row>
    <row r="66269" customFormat="false" ht="12.8" hidden="false" customHeight="false" outlineLevel="0" collapsed="false">
      <c r="A66269" s="0" t="s">
        <v>21900</v>
      </c>
      <c r="B66269" s="0" t="str">
        <f aca="false">HYPERLINK("https://lindat.mff.cuni.cz/services/teitok/pdtc10/index.php?action=vallex&amp;frame=v-w11638_ZUhsa_30", "zarazit se (v-w11638_ZUhsa_30)")</f>
        <v>zarazit se (v-w11638_ZUhsa_30)</v>
      </c>
    </row>
    <row r="66270" customFormat="false" ht="12.8" hidden="false" customHeight="false" outlineLevel="0" collapsed="false">
      <c r="B66270" s="0" t="s">
        <v>1</v>
      </c>
    </row>
    <row r="66271" customFormat="false" ht="12.8" hidden="false" customHeight="false" outlineLevel="0" collapsed="false">
      <c r="B66271" s="0" t="s">
        <v>21901</v>
      </c>
    </row>
    <row r="66273" customFormat="false" ht="12.8" hidden="false" customHeight="false" outlineLevel="0" collapsed="false">
      <c r="A66273" s="0" t="s">
        <v>21902</v>
      </c>
      <c r="B66273" s="0" t="str">
        <f aca="false">HYPERLINK("https://lindat.mff.cuni.cz/services/teitok/pdtc10/index.php?action=vallex&amp;frame=v-w11638_ZUf2_ZU", "zarazit se (v-w11638_ZUf2_ZU)")</f>
        <v>zarazit se (v-w11638_ZUf2_ZU)</v>
      </c>
    </row>
    <row r="66274" customFormat="false" ht="12.8" hidden="false" customHeight="false" outlineLevel="0" collapsed="false">
      <c r="B66274" s="0" t="s">
        <v>1</v>
      </c>
    </row>
    <row r="66276" customFormat="false" ht="12.8" hidden="false" customHeight="false" outlineLevel="0" collapsed="false">
      <c r="A66276" s="0" t="s">
        <v>21902</v>
      </c>
      <c r="B66276" s="0" t="str">
        <f aca="false">HYPERLINK("https://lindat.mff.cuni.cz/services/teitok/pdtc10/index.php?action=vallex&amp;frame=v-w11638_ZUhsa_32", "zarazit se (v-w11638_ZUhsa_32) - substituted with v-w11638_ZUf2_ZU")</f>
        <v>zarazit se (v-w11638_ZUhsa_32) - substituted with v-w11638_ZUf2_ZU</v>
      </c>
    </row>
    <row r="66277" customFormat="false" ht="12.8" hidden="false" customHeight="false" outlineLevel="0" collapsed="false">
      <c r="B66277" s="0" t="s">
        <v>1</v>
      </c>
    </row>
    <row r="66279" customFormat="false" ht="12.8" hidden="false" customHeight="false" outlineLevel="0" collapsed="false">
      <c r="A66279" s="0" t="s">
        <v>21903</v>
      </c>
      <c r="B66279" s="0" t="str">
        <f aca="false">HYPERLINK("https://lindat.mff.cuni.cz/services/teitok/pdtc10/index.php?action=vallex&amp;frame=v-w9083f1", "zareagovat (v-w9083f1)")</f>
        <v>zareagovat (v-w9083f1)</v>
      </c>
      <c r="E66279" s="0" t="str">
        <f aca="false">HYPERLINK("https://lindat.mff.cuni.cz/services/SynSemClass40/SynSemClass40.html?veclass=vec00102#vec00102-ces-cm00032", "vec00102")</f>
        <v>vec00102</v>
      </c>
      <c r="F66279" s="0" t="s">
        <v>9130</v>
      </c>
    </row>
    <row r="66280" customFormat="false" ht="12.8" hidden="false" customHeight="false" outlineLevel="0" collapsed="false">
      <c r="B66280" s="0" t="s">
        <v>1</v>
      </c>
      <c r="C66280" s="0" t="s">
        <v>9131</v>
      </c>
      <c r="E66280" s="0" t="s">
        <v>11</v>
      </c>
      <c r="F66280" s="0" t="s">
        <v>9132</v>
      </c>
    </row>
    <row r="66281" customFormat="false" ht="12.8" hidden="false" customHeight="false" outlineLevel="0" collapsed="false">
      <c r="B66281" s="0" t="s">
        <v>45</v>
      </c>
      <c r="C66281" s="0" t="s">
        <v>9133</v>
      </c>
      <c r="E66281" s="0" t="s">
        <v>271</v>
      </c>
      <c r="F66281" s="0" t="s">
        <v>9134</v>
      </c>
    </row>
    <row r="66283" customFormat="false" ht="12.8" hidden="false" customHeight="false" outlineLevel="0" collapsed="false">
      <c r="A66283" s="0" t="s">
        <v>21904</v>
      </c>
      <c r="B66283" s="0" t="str">
        <f aca="false">HYPERLINK("https://lindat.mff.cuni.cz/services/teitok/pdtc10/index.php?action=vallex&amp;frame=v-w9083hsa_1225", "zareagovat (v-w9083hsa_1225)")</f>
        <v>zareagovat (v-w9083hsa_1225)</v>
      </c>
      <c r="E66283" s="0" t="str">
        <f aca="false">HYPERLINK("https://lindat.mff.cuni.cz/services/SynSemClass40/SynSemClass40.html?veclass=vec00102#vec00102-ces-cm00033", "vec00102")</f>
        <v>vec00102</v>
      </c>
      <c r="F66283" s="0" t="s">
        <v>9130</v>
      </c>
    </row>
    <row r="66284" customFormat="false" ht="12.8" hidden="false" customHeight="false" outlineLevel="0" collapsed="false">
      <c r="B66284" s="0" t="s">
        <v>1</v>
      </c>
      <c r="C66284" s="0" t="s">
        <v>9131</v>
      </c>
      <c r="E66284" s="0" t="s">
        <v>11</v>
      </c>
      <c r="F66284" s="0" t="s">
        <v>9132</v>
      </c>
    </row>
    <row r="66285" customFormat="false" ht="12.8" hidden="false" customHeight="false" outlineLevel="0" collapsed="false">
      <c r="B66285" s="0" t="s">
        <v>21905</v>
      </c>
      <c r="C66285" s="0" t="s">
        <v>21906</v>
      </c>
      <c r="E66285" s="0" t="s">
        <v>21907</v>
      </c>
      <c r="F66285" s="0" t="s">
        <v>21908</v>
      </c>
    </row>
    <row r="66286" customFormat="false" ht="12.8" hidden="false" customHeight="false" outlineLevel="0" collapsed="false">
      <c r="B66286" s="0" t="s">
        <v>69</v>
      </c>
      <c r="C66286" s="0" t="s">
        <v>9133</v>
      </c>
      <c r="E66286" s="0" t="s">
        <v>271</v>
      </c>
      <c r="F66286" s="0" t="s">
        <v>9134</v>
      </c>
    </row>
    <row r="66288" customFormat="false" ht="12.8" hidden="false" customHeight="false" outlineLevel="0" collapsed="false">
      <c r="A66288" s="0" t="s">
        <v>21904</v>
      </c>
      <c r="B66288" s="0" t="str">
        <f aca="false">HYPERLINK("https://lindat.mff.cuni.cz/services/teitok/pdtc10/index.php?action=vallex&amp;frame=v-w9083f2", "zareagovat (v-w9083f2) - substituted with v-w9083hsa_1225")</f>
        <v>zareagovat (v-w9083f2) - substituted with v-w9083hsa_1225</v>
      </c>
    </row>
    <row r="66289" customFormat="false" ht="12.8" hidden="false" customHeight="false" outlineLevel="0" collapsed="false">
      <c r="B66289" s="0" t="s">
        <v>1</v>
      </c>
    </row>
    <row r="66290" customFormat="false" ht="12.8" hidden="false" customHeight="false" outlineLevel="0" collapsed="false">
      <c r="B66290" s="0" t="s">
        <v>21905</v>
      </c>
    </row>
    <row r="66291" customFormat="false" ht="12.8" hidden="false" customHeight="false" outlineLevel="0" collapsed="false">
      <c r="B66291" s="0" t="s">
        <v>69</v>
      </c>
    </row>
    <row r="66293" customFormat="false" ht="12.8" hidden="false" customHeight="false" outlineLevel="0" collapsed="false">
      <c r="A66293" s="0" t="s">
        <v>21909</v>
      </c>
      <c r="B66293" s="0" t="str">
        <f aca="false">HYPERLINK("https://lindat.mff.cuni.cz/services/teitok/pdtc10/index.php?action=vallex&amp;frame=v-w9085f1", "zaregistrovat (v-w9085f1)")</f>
        <v>zaregistrovat (v-w9085f1)</v>
      </c>
      <c r="E66293" s="0" t="str">
        <f aca="false">HYPERLINK("https://lindat.mff.cuni.cz/services/SynSemClass40/SynSemClass40.html?veclass=vec01545#vec01545-ces-cm00029", "vec01545")</f>
        <v>vec01545</v>
      </c>
      <c r="F66293" s="0" t="s">
        <v>11902</v>
      </c>
    </row>
    <row r="66294" customFormat="false" ht="12.8" hidden="false" customHeight="false" outlineLevel="0" collapsed="false">
      <c r="B66294" s="0" t="s">
        <v>1</v>
      </c>
      <c r="C66294" s="0" t="s">
        <v>11624</v>
      </c>
      <c r="E66294" s="0" t="s">
        <v>621</v>
      </c>
      <c r="F66294" s="0" t="s">
        <v>11905</v>
      </c>
    </row>
    <row r="66295" customFormat="false" ht="12.8" hidden="false" customHeight="false" outlineLevel="0" collapsed="false">
      <c r="B66295" s="0" t="s">
        <v>15997</v>
      </c>
      <c r="C66295" s="0" t="s">
        <v>7322</v>
      </c>
      <c r="E66295" s="0" t="s">
        <v>271</v>
      </c>
      <c r="F66295" s="0" t="s">
        <v>11909</v>
      </c>
    </row>
    <row r="66297" customFormat="false" ht="12.8" hidden="false" customHeight="false" outlineLevel="0" collapsed="false">
      <c r="A66297" s="0" t="s">
        <v>21910</v>
      </c>
      <c r="B66297" s="0" t="str">
        <f aca="false">HYPERLINK("https://lindat.mff.cuni.cz/services/teitok/pdtc10/index.php?action=vallex&amp;frame=v-w9085f2", "zaregistrovat (v-w9085f2)")</f>
        <v>zaregistrovat (v-w9085f2)</v>
      </c>
      <c r="E66297" s="0" t="str">
        <f aca="false">HYPERLINK("https://lindat.mff.cuni.cz/services/SynSemClass40/SynSemClass40.html?veclass=vec00507#vec00507-ces-cm00028", "vec00507")</f>
        <v>vec00507</v>
      </c>
      <c r="F66297" s="0" t="s">
        <v>14791</v>
      </c>
    </row>
    <row r="66298" customFormat="false" ht="12.8" hidden="false" customHeight="false" outlineLevel="0" collapsed="false">
      <c r="B66298" s="0" t="s">
        <v>1</v>
      </c>
      <c r="C66298" s="0" t="s">
        <v>11762</v>
      </c>
      <c r="E66298" s="0" t="s">
        <v>31</v>
      </c>
      <c r="F66298" s="0" t="s">
        <v>14792</v>
      </c>
    </row>
    <row r="66299" customFormat="false" ht="12.8" hidden="false" customHeight="false" outlineLevel="0" collapsed="false">
      <c r="B66299" s="0" t="s">
        <v>8</v>
      </c>
      <c r="C66299" s="0" t="s">
        <v>14793</v>
      </c>
      <c r="E66299" s="0" t="s">
        <v>180</v>
      </c>
      <c r="F66299" s="0" t="s">
        <v>14794</v>
      </c>
    </row>
    <row r="66301" customFormat="false" ht="12.8" hidden="false" customHeight="false" outlineLevel="0" collapsed="false">
      <c r="A66301" s="0" t="s">
        <v>21911</v>
      </c>
      <c r="B66301" s="0" t="str">
        <f aca="false">HYPERLINK("https://lindat.mff.cuni.cz/services/teitok/pdtc10/index.php?action=vallex&amp;frame=v-w10917f2", "zarezervovat (v-w10917f2)")</f>
        <v>zarezervovat (v-w10917f2)</v>
      </c>
      <c r="E66301" s="0" t="str">
        <f aca="false">HYPERLINK("https://lindat.mff.cuni.cz/services/SynSemClass40/SynSemClass40.html?veclass=vec00178#vec00178-ces-cm00130", "vec00178")</f>
        <v>vec00178</v>
      </c>
      <c r="F66301" s="0" t="s">
        <v>8586</v>
      </c>
    </row>
    <row r="66302" customFormat="false" ht="12.8" hidden="false" customHeight="false" outlineLevel="0" collapsed="false">
      <c r="B66302" s="0" t="s">
        <v>1</v>
      </c>
      <c r="C66302" s="0" t="s">
        <v>5649</v>
      </c>
      <c r="E66302" s="0" t="s">
        <v>31</v>
      </c>
      <c r="F66302" s="0" t="s">
        <v>8587</v>
      </c>
    </row>
    <row r="66303" customFormat="false" ht="12.8" hidden="false" customHeight="false" outlineLevel="0" collapsed="false">
      <c r="B66303" s="0" t="s">
        <v>8</v>
      </c>
      <c r="C66303" s="0" t="s">
        <v>8588</v>
      </c>
      <c r="E66303" s="0" t="s">
        <v>34</v>
      </c>
      <c r="F66303" s="0" t="s">
        <v>8589</v>
      </c>
    </row>
    <row r="66304" customFormat="false" ht="12.8" hidden="false" customHeight="false" outlineLevel="0" collapsed="false">
      <c r="B66304" s="0" t="s">
        <v>3473</v>
      </c>
      <c r="C66304" s="0" t="s">
        <v>14842</v>
      </c>
      <c r="E66304" s="0" t="s">
        <v>1392</v>
      </c>
      <c r="F66304" s="0" t="s">
        <v>11508</v>
      </c>
    </row>
    <row r="66306" customFormat="false" ht="12.8" hidden="false" customHeight="false" outlineLevel="0" collapsed="false">
      <c r="A66306" s="0" t="s">
        <v>21912</v>
      </c>
      <c r="B66306" s="0" t="str">
        <f aca="false">HYPERLINK("https://lindat.mff.cuni.cz/services/teitok/pdtc10/index.php?action=vallex&amp;frame=v-w9086f1", "zariskovat (v-w9086f1)")</f>
        <v>zariskovat (v-w9086f1)</v>
      </c>
      <c r="E66306" s="0" t="str">
        <f aca="false">HYPERLINK("https://lindat.mff.cuni.cz/services/SynSemClass40/SynSemClass40.html?veclass=vec01401#vec01401-ces-cm00008", "vec01401")</f>
        <v>vec01401</v>
      </c>
      <c r="F66306" s="0" t="s">
        <v>5135</v>
      </c>
    </row>
    <row r="66307" customFormat="false" ht="12.8" hidden="false" customHeight="false" outlineLevel="0" collapsed="false">
      <c r="B66307" s="0" t="s">
        <v>1</v>
      </c>
      <c r="E66307" s="0" t="s">
        <v>11</v>
      </c>
      <c r="F66307" s="0" t="s">
        <v>959</v>
      </c>
    </row>
    <row r="66309" customFormat="false" ht="12.8" hidden="false" customHeight="false" outlineLevel="0" collapsed="false">
      <c r="A66309" s="0" t="s">
        <v>21913</v>
      </c>
      <c r="B66309" s="0" t="str">
        <f aca="false">HYPERLINK("https://lindat.mff.cuni.cz/services/teitok/pdtc10/index.php?action=vallex&amp;frame=v-w10670f2", "zarmoutit (v-w10670f2)")</f>
        <v>zarmoutit (v-w10670f2)</v>
      </c>
      <c r="E66309" s="0" t="str">
        <f aca="false">HYPERLINK("https://lindat.mff.cuni.cz/services/SynSemClass40/SynSemClass40.html?veclass=vec00587#vec00587-ces-cm00002", "vec00587")</f>
        <v>vec00587</v>
      </c>
      <c r="F66309" s="0" t="s">
        <v>15434</v>
      </c>
    </row>
    <row r="66310" customFormat="false" ht="12.8" hidden="false" customHeight="false" outlineLevel="0" collapsed="false">
      <c r="B66310" s="0" t="s">
        <v>1</v>
      </c>
      <c r="C66310" s="0" t="s">
        <v>106</v>
      </c>
      <c r="E66310" s="0" t="s">
        <v>1103</v>
      </c>
      <c r="F66310" s="0" t="s">
        <v>15436</v>
      </c>
    </row>
    <row r="66311" customFormat="false" ht="12.8" hidden="false" customHeight="false" outlineLevel="0" collapsed="false">
      <c r="B66311" s="0" t="s">
        <v>8</v>
      </c>
      <c r="C66311" s="0" t="s">
        <v>15437</v>
      </c>
      <c r="E66311" s="0" t="s">
        <v>1399</v>
      </c>
      <c r="F66311" s="0" t="s">
        <v>15438</v>
      </c>
    </row>
    <row r="66313" customFormat="false" ht="12.8" hidden="false" customHeight="false" outlineLevel="0" collapsed="false">
      <c r="A66313" s="0" t="s">
        <v>21914</v>
      </c>
      <c r="B66313" s="0" t="str">
        <f aca="false">HYPERLINK("https://lindat.mff.cuni.cz/services/teitok/pdtc10/index.php?action=vallex&amp;frame=v-w9089f1", "zaručit (v-w9089f1)")</f>
        <v>zaručit (v-w9089f1)</v>
      </c>
      <c r="E66313" s="0" t="str">
        <f aca="false">HYPERLINK("https://lindat.mff.cuni.cz/services/SynSemClass40/SynSemClass40.html?veclass=vec00511#vec00511-ces-cm00013", "vec00511")</f>
        <v>vec00511</v>
      </c>
      <c r="F66313" s="0" t="s">
        <v>3726</v>
      </c>
    </row>
    <row r="66314" customFormat="false" ht="12.8" hidden="false" customHeight="false" outlineLevel="0" collapsed="false">
      <c r="B66314" s="0" t="s">
        <v>1</v>
      </c>
      <c r="C66314" s="0" t="s">
        <v>3727</v>
      </c>
      <c r="E66314" s="0" t="s">
        <v>206</v>
      </c>
      <c r="F66314" s="0" t="s">
        <v>3728</v>
      </c>
    </row>
    <row r="66315" customFormat="false" ht="12.8" hidden="false" customHeight="false" outlineLevel="0" collapsed="false">
      <c r="B66315" s="0" t="s">
        <v>7589</v>
      </c>
      <c r="C66315" s="0" t="s">
        <v>4208</v>
      </c>
      <c r="E66315" s="0" t="s">
        <v>4209</v>
      </c>
      <c r="F66315" s="0" t="s">
        <v>4210</v>
      </c>
    </row>
    <row r="66316" customFormat="false" ht="12.8" hidden="false" customHeight="false" outlineLevel="0" collapsed="false">
      <c r="B66316" s="0" t="s">
        <v>2410</v>
      </c>
      <c r="C66316" s="0" t="s">
        <v>3733</v>
      </c>
      <c r="E66316" s="0" t="s">
        <v>3734</v>
      </c>
      <c r="F66316" s="0" t="s">
        <v>3735</v>
      </c>
    </row>
    <row r="66318" customFormat="false" ht="12.8" hidden="false" customHeight="false" outlineLevel="0" collapsed="false">
      <c r="A66318" s="0" t="s">
        <v>21915</v>
      </c>
      <c r="B66318" s="0" t="str">
        <f aca="false">HYPERLINK("https://lindat.mff.cuni.cz/services/teitok/pdtc10/index.php?action=vallex&amp;frame=v-w9090hsa_260", "zaručit se (v-w9090hsa_260)")</f>
        <v>zaručit se (v-w9090hsa_260)</v>
      </c>
    </row>
    <row r="66319" customFormat="false" ht="12.8" hidden="false" customHeight="false" outlineLevel="0" collapsed="false">
      <c r="B66319" s="0" t="s">
        <v>1</v>
      </c>
    </row>
    <row r="66320" customFormat="false" ht="12.8" hidden="false" customHeight="false" outlineLevel="0" collapsed="false">
      <c r="B66320" s="0" t="s">
        <v>21916</v>
      </c>
    </row>
    <row r="66321" customFormat="false" ht="12.8" hidden="false" customHeight="false" outlineLevel="0" collapsed="false">
      <c r="B66321" s="0" t="s">
        <v>52</v>
      </c>
    </row>
    <row r="66323" customFormat="false" ht="12.8" hidden="false" customHeight="false" outlineLevel="0" collapsed="false">
      <c r="A66323" s="0" t="s">
        <v>21915</v>
      </c>
      <c r="B66323" s="0" t="str">
        <f aca="false">HYPERLINK("https://lindat.mff.cuni.cz/services/teitok/pdtc10/index.php?action=vallex&amp;frame=v-w9090f1", "zaručit se (v-w9090f1) - substituted with v-w9090hsa_260")</f>
        <v>zaručit se (v-w9090f1) - substituted with v-w9090hsa_260</v>
      </c>
    </row>
    <row r="66324" customFormat="false" ht="12.8" hidden="false" customHeight="false" outlineLevel="0" collapsed="false">
      <c r="B66324" s="0" t="s">
        <v>1</v>
      </c>
    </row>
    <row r="66325" customFormat="false" ht="12.8" hidden="false" customHeight="false" outlineLevel="0" collapsed="false">
      <c r="B66325" s="0" t="s">
        <v>21916</v>
      </c>
    </row>
    <row r="66326" customFormat="false" ht="12.8" hidden="false" customHeight="false" outlineLevel="0" collapsed="false">
      <c r="B66326" s="0" t="s">
        <v>52</v>
      </c>
    </row>
    <row r="66328" customFormat="false" ht="12.8" hidden="false" customHeight="false" outlineLevel="0" collapsed="false">
      <c r="A66328" s="0" t="s">
        <v>21915</v>
      </c>
      <c r="B66328" s="0" t="str">
        <f aca="false">HYPERLINK("https://lindat.mff.cuni.cz/services/teitok/pdtc10/index.php?action=vallex&amp;frame=v-w9090f2_ZU", "zaručit se (v-w9090f2_ZU) - substituted with v-w9090hsa_260")</f>
        <v>zaručit se (v-w9090f2_ZU) - substituted with v-w9090hsa_260</v>
      </c>
    </row>
    <row r="66329" customFormat="false" ht="12.8" hidden="false" customHeight="false" outlineLevel="0" collapsed="false">
      <c r="B66329" s="0" t="s">
        <v>1</v>
      </c>
    </row>
    <row r="66330" customFormat="false" ht="12.8" hidden="false" customHeight="false" outlineLevel="0" collapsed="false">
      <c r="B66330" s="0" t="s">
        <v>21916</v>
      </c>
    </row>
    <row r="66331" customFormat="false" ht="12.8" hidden="false" customHeight="false" outlineLevel="0" collapsed="false">
      <c r="B66331" s="0" t="s">
        <v>52</v>
      </c>
    </row>
    <row r="66333" customFormat="false" ht="12.8" hidden="false" customHeight="false" outlineLevel="0" collapsed="false">
      <c r="A66333" s="0" t="s">
        <v>21917</v>
      </c>
      <c r="B66333" s="0" t="str">
        <f aca="false">HYPERLINK("https://lindat.mff.cuni.cz/services/teitok/pdtc10/index.php?action=vallex&amp;frame=v-w9091f3_ZU", "zaručovat (v-w9091f3_ZU)")</f>
        <v>zaručovat (v-w9091f3_ZU)</v>
      </c>
      <c r="E66333" s="0" t="str">
        <f aca="false">HYPERLINK("https://lindat.mff.cuni.cz/services/SynSemClass40/SynSemClass40.html?veclass=vec00511#vec00511-ces-cm00015", "vec00511")</f>
        <v>vec00511</v>
      </c>
      <c r="F66333" s="0" t="s">
        <v>3726</v>
      </c>
    </row>
    <row r="66334" customFormat="false" ht="12.8" hidden="false" customHeight="false" outlineLevel="0" collapsed="false">
      <c r="B66334" s="0" t="s">
        <v>1</v>
      </c>
      <c r="C66334" s="0" t="s">
        <v>3727</v>
      </c>
      <c r="E66334" s="0" t="s">
        <v>206</v>
      </c>
      <c r="F66334" s="0" t="s">
        <v>3728</v>
      </c>
    </row>
    <row r="66335" customFormat="false" ht="12.8" hidden="false" customHeight="false" outlineLevel="0" collapsed="false">
      <c r="B66335" s="0" t="s">
        <v>2811</v>
      </c>
      <c r="C66335" s="0" t="s">
        <v>4208</v>
      </c>
      <c r="E66335" s="0" t="s">
        <v>4209</v>
      </c>
      <c r="F66335" s="0" t="s">
        <v>4210</v>
      </c>
    </row>
    <row r="66336" customFormat="false" ht="12.8" hidden="false" customHeight="false" outlineLevel="0" collapsed="false">
      <c r="B66336" s="0" t="s">
        <v>2410</v>
      </c>
      <c r="C66336" s="0" t="s">
        <v>3733</v>
      </c>
      <c r="E66336" s="0" t="s">
        <v>3734</v>
      </c>
      <c r="F66336" s="0" t="s">
        <v>3735</v>
      </c>
    </row>
    <row r="66338" customFormat="false" ht="12.8" hidden="false" customHeight="false" outlineLevel="0" collapsed="false">
      <c r="A66338" s="0" t="s">
        <v>21917</v>
      </c>
      <c r="B66338" s="0" t="str">
        <f aca="false">HYPERLINK("https://lindat.mff.cuni.cz/services/teitok/pdtc10/index.php?action=vallex&amp;frame=v-w9091f1", "zaručovat (v-w9091f1) - substituted with v-w9091f3_ZU")</f>
        <v>zaručovat (v-w9091f1) - substituted with v-w9091f3_ZU</v>
      </c>
    </row>
    <row r="66339" customFormat="false" ht="12.8" hidden="false" customHeight="false" outlineLevel="0" collapsed="false">
      <c r="B66339" s="0" t="s">
        <v>1</v>
      </c>
    </row>
    <row r="66340" customFormat="false" ht="12.8" hidden="false" customHeight="false" outlineLevel="0" collapsed="false">
      <c r="B66340" s="0" t="s">
        <v>2811</v>
      </c>
    </row>
    <row r="66341" customFormat="false" ht="12.8" hidden="false" customHeight="false" outlineLevel="0" collapsed="false">
      <c r="B66341" s="0" t="s">
        <v>2410</v>
      </c>
    </row>
    <row r="66343" customFormat="false" ht="12.8" hidden="false" customHeight="false" outlineLevel="0" collapsed="false">
      <c r="A66343" s="0" t="s">
        <v>21917</v>
      </c>
      <c r="B66343" s="0" t="str">
        <f aca="false">HYPERLINK("https://lindat.mff.cuni.cz/services/teitok/pdtc10/index.php?action=vallex&amp;frame=v-w9091f2_ZU", "zaručovat (v-w9091f2_ZU) - substituted with v-w9091f3_ZU")</f>
        <v>zaručovat (v-w9091f2_ZU) - substituted with v-w9091f3_ZU</v>
      </c>
    </row>
    <row r="66344" customFormat="false" ht="12.8" hidden="false" customHeight="false" outlineLevel="0" collapsed="false">
      <c r="B66344" s="0" t="s">
        <v>1</v>
      </c>
    </row>
    <row r="66345" customFormat="false" ht="12.8" hidden="false" customHeight="false" outlineLevel="0" collapsed="false">
      <c r="B66345" s="0" t="s">
        <v>2811</v>
      </c>
    </row>
    <row r="66346" customFormat="false" ht="12.8" hidden="false" customHeight="false" outlineLevel="0" collapsed="false">
      <c r="B66346" s="0" t="s">
        <v>2410</v>
      </c>
    </row>
    <row r="66348" customFormat="false" ht="12.8" hidden="false" customHeight="false" outlineLevel="0" collapsed="false">
      <c r="A66348" s="0" t="s">
        <v>21918</v>
      </c>
      <c r="B66348" s="0" t="str">
        <f aca="false">HYPERLINK("https://lindat.mff.cuni.cz/services/teitok/pdtc10/index.php?action=vallex&amp;frame=v-w11436f1", "zarybařit si (v-w11436f1)")</f>
        <v>zarybařit si (v-w11436f1)</v>
      </c>
    </row>
    <row r="66349" customFormat="false" ht="12.8" hidden="false" customHeight="false" outlineLevel="0" collapsed="false">
      <c r="B66349" s="0" t="s">
        <v>1</v>
      </c>
    </row>
    <row r="66351" customFormat="false" ht="12.8" hidden="false" customHeight="false" outlineLevel="0" collapsed="false">
      <c r="A66351" s="0" t="s">
        <v>21919</v>
      </c>
      <c r="B66351" s="0" t="str">
        <f aca="false">HYPERLINK("https://lindat.mff.cuni.cz/services/teitok/pdtc10/index.php?action=vallex&amp;frame=v-whsa_292hsa_293", "zarychtovat (v-whsa_292hsa_293)")</f>
        <v>zarychtovat (v-whsa_292hsa_293)</v>
      </c>
    </row>
    <row r="66352" customFormat="false" ht="12.8" hidden="false" customHeight="false" outlineLevel="0" collapsed="false">
      <c r="B66352" s="0" t="s">
        <v>1</v>
      </c>
    </row>
    <row r="66353" customFormat="false" ht="12.8" hidden="false" customHeight="false" outlineLevel="0" collapsed="false">
      <c r="B66353" s="0" t="s">
        <v>8</v>
      </c>
    </row>
    <row r="66355" customFormat="false" ht="12.8" hidden="false" customHeight="false" outlineLevel="0" collapsed="false">
      <c r="A66355" s="0" t="s">
        <v>21920</v>
      </c>
      <c r="B66355" s="0" t="str">
        <f aca="false">HYPERLINK("https://lindat.mff.cuni.cz/services/teitok/pdtc10/index.php?action=vallex&amp;frame=v-w9080f1", "zarámovat (v-w9080f1)")</f>
        <v>zarámovat (v-w9080f1)</v>
      </c>
    </row>
    <row r="66356" customFormat="false" ht="12.8" hidden="false" customHeight="false" outlineLevel="0" collapsed="false">
      <c r="B66356" s="0" t="s">
        <v>1</v>
      </c>
    </row>
    <row r="66357" customFormat="false" ht="12.8" hidden="false" customHeight="false" outlineLevel="0" collapsed="false">
      <c r="B66357" s="0" t="s">
        <v>8</v>
      </c>
    </row>
    <row r="66359" customFormat="false" ht="12.8" hidden="false" customHeight="false" outlineLevel="0" collapsed="false">
      <c r="A66359" s="0" t="s">
        <v>21921</v>
      </c>
      <c r="B66359" s="0" t="str">
        <f aca="false">HYPERLINK("https://lindat.mff.cuni.cz/services/teitok/pdtc10/index.php?action=vallex&amp;frame=v-w9080f2", "zarámovat (v-w9080f2)")</f>
        <v>zarámovat (v-w9080f2)</v>
      </c>
    </row>
    <row r="66360" customFormat="false" ht="12.8" hidden="false" customHeight="false" outlineLevel="0" collapsed="false">
      <c r="B66360" s="0" t="s">
        <v>1</v>
      </c>
    </row>
    <row r="66361" customFormat="false" ht="12.8" hidden="false" customHeight="false" outlineLevel="0" collapsed="false">
      <c r="B66361" s="0" t="s">
        <v>8</v>
      </c>
    </row>
    <row r="66363" customFormat="false" ht="12.8" hidden="false" customHeight="false" outlineLevel="0" collapsed="false">
      <c r="A66363" s="0" t="s">
        <v>21922</v>
      </c>
      <c r="B66363" s="0" t="str">
        <f aca="false">HYPERLINK("https://lindat.mff.cuni.cz/services/teitok/pdtc10/index.php?action=vallex&amp;frame=v-w9082f3", "zarážet (v-w9082f3)")</f>
        <v>zarážet (v-w9082f3)</v>
      </c>
    </row>
    <row r="66364" customFormat="false" ht="12.8" hidden="false" customHeight="false" outlineLevel="0" collapsed="false">
      <c r="B66364" s="0" t="s">
        <v>1</v>
      </c>
    </row>
    <row r="66365" customFormat="false" ht="12.8" hidden="false" customHeight="false" outlineLevel="0" collapsed="false">
      <c r="B66365" s="0" t="s">
        <v>8</v>
      </c>
    </row>
    <row r="66366" customFormat="false" ht="12.8" hidden="false" customHeight="false" outlineLevel="0" collapsed="false">
      <c r="B66366" s="0" t="s">
        <v>5</v>
      </c>
    </row>
    <row r="66368" customFormat="false" ht="12.8" hidden="false" customHeight="false" outlineLevel="0" collapsed="false">
      <c r="A66368" s="0" t="s">
        <v>21923</v>
      </c>
      <c r="B66368" s="0" t="str">
        <f aca="false">HYPERLINK("https://lindat.mff.cuni.cz/services/teitok/pdtc10/index.php?action=vallex&amp;frame=v-w9082f2", "zarážet (v-w9082f2)")</f>
        <v>zarážet (v-w9082f2)</v>
      </c>
      <c r="E66368" s="0" t="str">
        <f aca="false">HYPERLINK("https://lindat.mff.cuni.cz/services/SynSemClass40/SynSemClass40.html?veclass=vec00735#vec00735-ces-cm00149", "vec00735")</f>
        <v>vec00735</v>
      </c>
      <c r="F66368" s="0" t="s">
        <v>2719</v>
      </c>
    </row>
    <row r="66369" customFormat="false" ht="12.8" hidden="false" customHeight="false" outlineLevel="0" collapsed="false">
      <c r="B66369" s="0" t="s">
        <v>1</v>
      </c>
      <c r="C66369" s="0" t="s">
        <v>2720</v>
      </c>
      <c r="E66369" s="0" t="s">
        <v>334</v>
      </c>
      <c r="F66369" s="0" t="s">
        <v>2721</v>
      </c>
    </row>
    <row r="66370" customFormat="false" ht="12.8" hidden="false" customHeight="false" outlineLevel="0" collapsed="false">
      <c r="B66370" s="0" t="s">
        <v>8</v>
      </c>
      <c r="C66370" s="0" t="s">
        <v>2722</v>
      </c>
      <c r="E66370" s="0" t="s">
        <v>2648</v>
      </c>
      <c r="F66370" s="0" t="s">
        <v>2723</v>
      </c>
    </row>
    <row r="66371" customFormat="false" ht="12.8" hidden="false" customHeight="false" outlineLevel="0" collapsed="false">
      <c r="B66371" s="0" t="s">
        <v>164</v>
      </c>
      <c r="C66371" s="0" t="s">
        <v>2724</v>
      </c>
      <c r="E66371" s="0" t="s">
        <v>370</v>
      </c>
      <c r="F66371" s="0" t="s">
        <v>2725</v>
      </c>
    </row>
    <row r="66373" customFormat="false" ht="12.8" hidden="false" customHeight="false" outlineLevel="0" collapsed="false">
      <c r="A66373" s="0" t="s">
        <v>21924</v>
      </c>
      <c r="B66373" s="0" t="str">
        <f aca="false">HYPERLINK("https://lindat.mff.cuni.cz/services/teitok/pdtc10/index.php?action=vallex&amp;frame=v-w9082f1", "zarážet (v-w9082f1)")</f>
        <v>zarážet (v-w9082f1)</v>
      </c>
      <c r="E66373" s="0" t="str">
        <f aca="false">HYPERLINK("https://lindat.mff.cuni.cz/services/SynSemClass40/SynSemClass40.html?veclass=vec01506#vec01506-ces-cm00020", "vec01506")</f>
        <v>vec01506</v>
      </c>
      <c r="F66373" s="0" t="s">
        <v>5550</v>
      </c>
    </row>
    <row r="66374" customFormat="false" ht="12.8" hidden="false" customHeight="false" outlineLevel="0" collapsed="false">
      <c r="B66374" s="0" t="s">
        <v>9620</v>
      </c>
      <c r="C66374" s="0" t="s">
        <v>5551</v>
      </c>
      <c r="E66374" s="0" t="s">
        <v>266</v>
      </c>
      <c r="F66374" s="0" t="s">
        <v>5552</v>
      </c>
    </row>
    <row r="66375" customFormat="false" ht="12.8" hidden="false" customHeight="false" outlineLevel="0" collapsed="false">
      <c r="B66375" s="0" t="s">
        <v>8</v>
      </c>
      <c r="C66375" s="0" t="s">
        <v>5553</v>
      </c>
      <c r="E66375" s="0" t="s">
        <v>271</v>
      </c>
      <c r="F66375" s="0" t="s">
        <v>5554</v>
      </c>
    </row>
    <row r="66377" customFormat="false" ht="12.8" hidden="false" customHeight="false" outlineLevel="0" collapsed="false">
      <c r="A66377" s="0" t="s">
        <v>21925</v>
      </c>
      <c r="B66377" s="0" t="str">
        <f aca="false">HYPERLINK("https://lindat.mff.cuni.cz/services/teitok/pdtc10/index.php?action=vallex&amp;frame=v-w11957_ZUf1_ZU", "zarýt se (v-w11957_ZUf1_ZU)")</f>
        <v>zarýt se (v-w11957_ZUf1_ZU)</v>
      </c>
    </row>
    <row r="66378" customFormat="false" ht="12.8" hidden="false" customHeight="false" outlineLevel="0" collapsed="false">
      <c r="B66378" s="0" t="s">
        <v>1</v>
      </c>
    </row>
    <row r="66379" customFormat="false" ht="12.8" hidden="false" customHeight="false" outlineLevel="0" collapsed="false">
      <c r="B66379" s="0" t="s">
        <v>454</v>
      </c>
    </row>
    <row r="66381" customFormat="false" ht="12.8" hidden="false" customHeight="false" outlineLevel="0" collapsed="false">
      <c r="A66381" s="0" t="s">
        <v>21926</v>
      </c>
      <c r="B66381" s="0" t="str">
        <f aca="false">HYPERLINK("https://lindat.mff.cuni.cz/services/teitok/pdtc10/index.php?action=vallex&amp;frame=v-w9096f1", "zarývat se (v-w9096f1)")</f>
        <v>zarývat se (v-w9096f1)</v>
      </c>
    </row>
    <row r="66382" customFormat="false" ht="12.8" hidden="false" customHeight="false" outlineLevel="0" collapsed="false">
      <c r="B66382" s="0" t="s">
        <v>1</v>
      </c>
    </row>
    <row r="66383" customFormat="false" ht="12.8" hidden="false" customHeight="false" outlineLevel="0" collapsed="false">
      <c r="B66383" s="0" t="s">
        <v>164</v>
      </c>
    </row>
    <row r="66385" customFormat="false" ht="12.8" hidden="false" customHeight="false" outlineLevel="0" collapsed="false">
      <c r="A66385" s="0" t="s">
        <v>21927</v>
      </c>
      <c r="B66385" s="0" t="str">
        <f aca="false">HYPERLINK("https://lindat.mff.cuni.cz/services/teitok/pdtc10/index.php?action=vallex&amp;frame=v-w12081_ZUf1_ZU", "zarýžovat si (v-w12081_ZUf1_ZU)")</f>
        <v>zarýžovat si (v-w12081_ZUf1_ZU)</v>
      </c>
    </row>
    <row r="66386" customFormat="false" ht="12.8" hidden="false" customHeight="false" outlineLevel="0" collapsed="false">
      <c r="B66386" s="0" t="s">
        <v>1</v>
      </c>
    </row>
    <row r="66388" customFormat="false" ht="12.8" hidden="false" customHeight="false" outlineLevel="0" collapsed="false">
      <c r="A66388" s="0" t="s">
        <v>21928</v>
      </c>
      <c r="B66388" s="0" t="str">
        <f aca="false">HYPERLINK("https://lindat.mff.cuni.cz/services/teitok/pdtc10/index.php?action=vallex&amp;frame=v-whsb_1305hsa_1306", "zarůst (v-whsb_1305hsa_1306)")</f>
        <v>zarůst (v-whsb_1305hsa_1306)</v>
      </c>
    </row>
    <row r="66389" customFormat="false" ht="12.8" hidden="false" customHeight="false" outlineLevel="0" collapsed="false">
      <c r="B66389" s="0" t="s">
        <v>1</v>
      </c>
    </row>
    <row r="66391" customFormat="false" ht="12.8" hidden="false" customHeight="false" outlineLevel="0" collapsed="false">
      <c r="A66391" s="0" t="s">
        <v>21929</v>
      </c>
      <c r="B66391" s="0" t="str">
        <f aca="false">HYPERLINK("https://lindat.mff.cuni.cz/services/teitok/pdtc10/index.php?action=vallex&amp;frame=v-w9095f1", "zarůstat (v-w9095f1)")</f>
        <v>zarůstat (v-w9095f1)</v>
      </c>
    </row>
    <row r="66392" customFormat="false" ht="12.8" hidden="false" customHeight="false" outlineLevel="0" collapsed="false">
      <c r="B66392" s="0" t="s">
        <v>1</v>
      </c>
    </row>
    <row r="66394" customFormat="false" ht="12.8" hidden="false" customHeight="false" outlineLevel="0" collapsed="false">
      <c r="A66394" s="0" t="s">
        <v>21930</v>
      </c>
      <c r="B66394" s="0" t="str">
        <f aca="false">HYPERLINK("https://lindat.mff.cuni.cz/services/teitok/pdtc10/index.php?action=vallex&amp;frame=v-w9095f2", "zarůstat (v-w9095f2)")</f>
        <v>zarůstat (v-w9095f2)</v>
      </c>
    </row>
    <row r="66395" customFormat="false" ht="12.8" hidden="false" customHeight="false" outlineLevel="0" collapsed="false">
      <c r="B66395" s="0" t="s">
        <v>1</v>
      </c>
    </row>
    <row r="66397" customFormat="false" ht="12.8" hidden="false" customHeight="false" outlineLevel="0" collapsed="false">
      <c r="A66397" s="0" t="s">
        <v>21931</v>
      </c>
      <c r="B66397" s="0" t="str">
        <f aca="false">HYPERLINK("https://lindat.mff.cuni.cz/services/teitok/pdtc10/index.php?action=vallex&amp;frame=v-w9113f2", "zasadit (v-w9113f2)")</f>
        <v>zasadit (v-w9113f2)</v>
      </c>
    </row>
    <row r="66398" customFormat="false" ht="12.8" hidden="false" customHeight="false" outlineLevel="0" collapsed="false">
      <c r="B66398" s="0" t="s">
        <v>1</v>
      </c>
    </row>
    <row r="66399" customFormat="false" ht="12.8" hidden="false" customHeight="false" outlineLevel="0" collapsed="false">
      <c r="B66399" s="0" t="s">
        <v>8</v>
      </c>
    </row>
    <row r="66400" customFormat="false" ht="12.8" hidden="false" customHeight="false" outlineLevel="0" collapsed="false">
      <c r="B66400" s="0" t="s">
        <v>52</v>
      </c>
    </row>
    <row r="66402" customFormat="false" ht="12.8" hidden="false" customHeight="false" outlineLevel="0" collapsed="false">
      <c r="A66402" s="0" t="s">
        <v>21932</v>
      </c>
      <c r="B66402" s="0" t="str">
        <f aca="false">HYPERLINK("https://lindat.mff.cuni.cz/services/teitok/pdtc10/index.php?action=vallex&amp;frame=v-w9113f1", "zasadit (v-w9113f1)")</f>
        <v>zasadit (v-w9113f1)</v>
      </c>
    </row>
    <row r="66403" customFormat="false" ht="12.8" hidden="false" customHeight="false" outlineLevel="0" collapsed="false">
      <c r="B66403" s="0" t="s">
        <v>1</v>
      </c>
    </row>
    <row r="66404" customFormat="false" ht="12.8" hidden="false" customHeight="false" outlineLevel="0" collapsed="false">
      <c r="B66404" s="0" t="s">
        <v>8</v>
      </c>
    </row>
    <row r="66405" customFormat="false" ht="12.8" hidden="false" customHeight="false" outlineLevel="0" collapsed="false">
      <c r="B66405" s="0" t="s">
        <v>164</v>
      </c>
    </row>
    <row r="66407" customFormat="false" ht="12.8" hidden="false" customHeight="false" outlineLevel="0" collapsed="false">
      <c r="A66407" s="0" t="s">
        <v>21933</v>
      </c>
      <c r="B66407" s="0" t="str">
        <f aca="false">HYPERLINK("https://lindat.mff.cuni.cz/services/teitok/pdtc10/index.php?action=vallex&amp;frame=v-w9113f4", "zasadit (v-w9113f4)")</f>
        <v>zasadit (v-w9113f4)</v>
      </c>
    </row>
    <row r="66408" customFormat="false" ht="12.8" hidden="false" customHeight="false" outlineLevel="0" collapsed="false">
      <c r="B66408" s="0" t="s">
        <v>1</v>
      </c>
    </row>
    <row r="66409" customFormat="false" ht="12.8" hidden="false" customHeight="false" outlineLevel="0" collapsed="false">
      <c r="B66409" s="0" t="s">
        <v>5</v>
      </c>
    </row>
    <row r="66411" customFormat="false" ht="12.8" hidden="false" customHeight="false" outlineLevel="0" collapsed="false">
      <c r="A66411" s="0" t="s">
        <v>21934</v>
      </c>
      <c r="B66411" s="0" t="str">
        <f aca="false">HYPERLINK("https://lindat.mff.cuni.cz/services/teitok/pdtc10/index.php?action=vallex&amp;frame=v-w9113f5_ZU", "zasadit (v-w9113f5_ZU)")</f>
        <v>zasadit (v-w9113f5_ZU)</v>
      </c>
      <c r="E66411" s="0" t="str">
        <f aca="false">HYPERLINK("https://lindat.mff.cuni.cz/services/SynSemClass40/SynSemClass40.html?veclass=vec00735#vec00735-ces-cm00165", "vec00735")</f>
        <v>vec00735</v>
      </c>
      <c r="F66411" s="0" t="s">
        <v>2719</v>
      </c>
    </row>
    <row r="66412" customFormat="false" ht="12.8" hidden="false" customHeight="false" outlineLevel="0" collapsed="false">
      <c r="B66412" s="0" t="s">
        <v>1</v>
      </c>
      <c r="C66412" s="0" t="s">
        <v>2720</v>
      </c>
      <c r="E66412" s="0" t="s">
        <v>334</v>
      </c>
      <c r="F66412" s="0" t="s">
        <v>2721</v>
      </c>
    </row>
    <row r="66413" customFormat="false" ht="12.8" hidden="false" customHeight="false" outlineLevel="0" collapsed="false">
      <c r="B66413" s="0" t="s">
        <v>8</v>
      </c>
      <c r="C66413" s="0" t="s">
        <v>2722</v>
      </c>
      <c r="E66413" s="0" t="s">
        <v>2648</v>
      </c>
      <c r="F66413" s="0" t="s">
        <v>2723</v>
      </c>
    </row>
    <row r="66414" customFormat="false" ht="12.8" hidden="false" customHeight="false" outlineLevel="0" collapsed="false">
      <c r="B66414" s="0" t="s">
        <v>164</v>
      </c>
      <c r="C66414" s="0" t="s">
        <v>2724</v>
      </c>
      <c r="E66414" s="0" t="s">
        <v>370</v>
      </c>
      <c r="F66414" s="0" t="s">
        <v>2725</v>
      </c>
    </row>
    <row r="66416" customFormat="false" ht="12.8" hidden="false" customHeight="false" outlineLevel="0" collapsed="false">
      <c r="A66416" s="0" t="s">
        <v>21934</v>
      </c>
      <c r="B66416" s="0" t="str">
        <f aca="false">HYPERLINK("https://lindat.mff.cuni.cz/services/teitok/pdtc10/index.php?action=vallex&amp;frame=v-w9113hsa_428", "zasadit (v-w9113hsa_428) - substituted with v-w9113f5_ZU")</f>
        <v>zasadit (v-w9113hsa_428) - substituted with v-w9113f5_ZU</v>
      </c>
    </row>
    <row r="66417" customFormat="false" ht="12.8" hidden="false" customHeight="false" outlineLevel="0" collapsed="false">
      <c r="B66417" s="0" t="s">
        <v>1</v>
      </c>
    </row>
    <row r="66418" customFormat="false" ht="12.8" hidden="false" customHeight="false" outlineLevel="0" collapsed="false">
      <c r="B66418" s="0" t="s">
        <v>8</v>
      </c>
    </row>
    <row r="66419" customFormat="false" ht="12.8" hidden="false" customHeight="false" outlineLevel="0" collapsed="false">
      <c r="B66419" s="0" t="s">
        <v>164</v>
      </c>
    </row>
    <row r="66421" customFormat="false" ht="12.8" hidden="false" customHeight="false" outlineLevel="0" collapsed="false">
      <c r="A66421" s="0" t="s">
        <v>21935</v>
      </c>
      <c r="B66421" s="0" t="str">
        <f aca="false">HYPERLINK("https://lindat.mff.cuni.cz/services/teitok/pdtc10/index.php?action=vallex&amp;frame=v-w9113f6_ZU", "zasadit (v-w9113f6_ZU)")</f>
        <v>zasadit (v-w9113f6_ZU)</v>
      </c>
    </row>
    <row r="66422" customFormat="false" ht="12.8" hidden="false" customHeight="false" outlineLevel="0" collapsed="false">
      <c r="B66422" s="0" t="s">
        <v>1</v>
      </c>
    </row>
    <row r="66423" customFormat="false" ht="12.8" hidden="false" customHeight="false" outlineLevel="0" collapsed="false">
      <c r="B66423" s="0" t="s">
        <v>8</v>
      </c>
    </row>
    <row r="66424" customFormat="false" ht="12.8" hidden="false" customHeight="false" outlineLevel="0" collapsed="false">
      <c r="B66424" s="0" t="s">
        <v>361</v>
      </c>
    </row>
    <row r="66426" customFormat="false" ht="12.8" hidden="false" customHeight="false" outlineLevel="0" collapsed="false">
      <c r="A66426" s="0" t="s">
        <v>21936</v>
      </c>
      <c r="B66426" s="0" t="str">
        <f aca="false">HYPERLINK("https://lindat.mff.cuni.cz/services/teitok/pdtc10/index.php?action=vallex&amp;frame=v-w9114f1", "zasadit se (v-w9114f1)")</f>
        <v>zasadit se (v-w9114f1)</v>
      </c>
      <c r="E66426" s="0" t="str">
        <f aca="false">HYPERLINK("https://lindat.mff.cuni.cz/services/SynSemClass40/SynSemClass40.html?veclass=vec00069#vec00069-ces-cm00268", "vec00069")</f>
        <v>vec00069</v>
      </c>
      <c r="F66426" s="0" t="s">
        <v>4300</v>
      </c>
    </row>
    <row r="66427" customFormat="false" ht="12.8" hidden="false" customHeight="false" outlineLevel="0" collapsed="false">
      <c r="B66427" s="0" t="s">
        <v>1</v>
      </c>
      <c r="C66427" s="0" t="s">
        <v>7530</v>
      </c>
      <c r="E66427" s="0" t="s">
        <v>3021</v>
      </c>
      <c r="F66427" s="0" t="s">
        <v>4302</v>
      </c>
    </row>
    <row r="66428" customFormat="false" ht="12.8" hidden="false" customHeight="false" outlineLevel="0" collapsed="false">
      <c r="B66428" s="0" t="s">
        <v>21937</v>
      </c>
      <c r="C66428" s="0" t="s">
        <v>7531</v>
      </c>
      <c r="E66428" s="0" t="s">
        <v>3023</v>
      </c>
      <c r="F66428" s="0" t="s">
        <v>4305</v>
      </c>
    </row>
    <row r="66430" customFormat="false" ht="12.8" hidden="false" customHeight="false" outlineLevel="0" collapsed="false">
      <c r="A66430" s="0" t="s">
        <v>21938</v>
      </c>
      <c r="B66430" s="0" t="str">
        <f aca="false">HYPERLINK("https://lindat.mff.cuni.cz/services/teitok/pdtc10/index.php?action=vallex&amp;frame=v-w9118f4", "zasahovat (v-w9118f4)")</f>
        <v>zasahovat (v-w9118f4)</v>
      </c>
      <c r="E66430" s="0" t="str">
        <f aca="false">HYPERLINK("https://lindat.mff.cuni.cz/services/SynSemClass40/SynSemClass40.html?veclass=vec00372#vec00372-ces-cm00059", "vec00372")</f>
        <v>vec00372</v>
      </c>
      <c r="F66430" s="0" t="s">
        <v>2524</v>
      </c>
    </row>
    <row r="66431" customFormat="false" ht="12.8" hidden="false" customHeight="false" outlineLevel="0" collapsed="false">
      <c r="B66431" s="0" t="s">
        <v>1</v>
      </c>
      <c r="C66431" s="0" t="s">
        <v>2525</v>
      </c>
      <c r="E66431" s="0" t="s">
        <v>2526</v>
      </c>
      <c r="F66431" s="0" t="s">
        <v>2527</v>
      </c>
    </row>
    <row r="66432" customFormat="false" ht="12.8" hidden="false" customHeight="false" outlineLevel="0" collapsed="false">
      <c r="B66432" s="0" t="s">
        <v>8</v>
      </c>
      <c r="C66432" s="0" t="s">
        <v>2528</v>
      </c>
      <c r="E66432" s="0" t="s">
        <v>142</v>
      </c>
      <c r="F66432" s="0" t="s">
        <v>2529</v>
      </c>
    </row>
    <row r="66434" customFormat="false" ht="12.8" hidden="false" customHeight="false" outlineLevel="0" collapsed="false">
      <c r="A66434" s="0" t="s">
        <v>21939</v>
      </c>
      <c r="B66434" s="0" t="str">
        <f aca="false">HYPERLINK("https://lindat.mff.cuni.cz/services/teitok/pdtc10/index.php?action=vallex&amp;frame=v-w9118f1", "zasahovat (v-w9118f1)")</f>
        <v>zasahovat (v-w9118f1)</v>
      </c>
      <c r="E66434" s="0" t="str">
        <f aca="false">HYPERLINK("https://lindat.mff.cuni.cz/services/SynSemClass40/SynSemClass40.html?veclass=vec00775#vec00775-ces-cm00001", "vec00775")</f>
        <v>vec00775</v>
      </c>
      <c r="F66434" s="0" t="s">
        <v>6457</v>
      </c>
    </row>
    <row r="66435" customFormat="false" ht="12.8" hidden="false" customHeight="false" outlineLevel="0" collapsed="false">
      <c r="B66435" s="0" t="s">
        <v>1</v>
      </c>
      <c r="C66435" s="0" t="s">
        <v>6619</v>
      </c>
      <c r="E66435" s="0" t="s">
        <v>3010</v>
      </c>
      <c r="F66435" s="0" t="s">
        <v>6459</v>
      </c>
    </row>
    <row r="66436" customFormat="false" ht="12.8" hidden="false" customHeight="false" outlineLevel="0" collapsed="false">
      <c r="B66436" s="0" t="s">
        <v>1187</v>
      </c>
      <c r="C66436" s="0" t="s">
        <v>6621</v>
      </c>
      <c r="E66436" s="0" t="s">
        <v>4202</v>
      </c>
      <c r="F66436" s="0" t="s">
        <v>6461</v>
      </c>
    </row>
    <row r="66438" customFormat="false" ht="12.8" hidden="false" customHeight="false" outlineLevel="0" collapsed="false">
      <c r="A66438" s="0" t="s">
        <v>21940</v>
      </c>
      <c r="B66438" s="0" t="str">
        <f aca="false">HYPERLINK("https://lindat.mff.cuni.cz/services/teitok/pdtc10/index.php?action=vallex&amp;frame=v-w9118f2", "zasahovat (v-w9118f2)")</f>
        <v>zasahovat (v-w9118f2)</v>
      </c>
      <c r="E66438" s="0" t="str">
        <f aca="false">HYPERLINK("https://lindat.mff.cuni.cz/services/SynSemClass40/SynSemClass40.html?veclass=vec00774#vec00774-ces-cm00120", "vec00774")</f>
        <v>vec00774</v>
      </c>
      <c r="F66438" s="0" t="s">
        <v>4875</v>
      </c>
    </row>
    <row r="66439" customFormat="false" ht="12.8" hidden="false" customHeight="false" outlineLevel="0" collapsed="false">
      <c r="B66439" s="0" t="s">
        <v>1</v>
      </c>
      <c r="C66439" s="0" t="s">
        <v>21527</v>
      </c>
      <c r="E66439" s="0" t="s">
        <v>206</v>
      </c>
      <c r="F66439" s="0" t="s">
        <v>4877</v>
      </c>
    </row>
    <row r="66440" customFormat="false" ht="12.8" hidden="false" customHeight="false" outlineLevel="0" collapsed="false">
      <c r="B66440" s="0" t="s">
        <v>21941</v>
      </c>
      <c r="C66440" s="0" t="s">
        <v>4017</v>
      </c>
      <c r="E66440" s="0" t="s">
        <v>532</v>
      </c>
      <c r="F66440" s="0" t="s">
        <v>4880</v>
      </c>
    </row>
    <row r="66442" customFormat="false" ht="12.8" hidden="false" customHeight="false" outlineLevel="0" collapsed="false">
      <c r="A66442" s="0" t="s">
        <v>21942</v>
      </c>
      <c r="B66442" s="0" t="str">
        <f aca="false">HYPERLINK("https://lindat.mff.cuni.cz/services/teitok/pdtc10/index.php?action=vallex&amp;frame=v-w9118f3", "zasahovat (v-w9118f3)")</f>
        <v>zasahovat (v-w9118f3)</v>
      </c>
      <c r="E66442" s="0" t="str">
        <f aca="false">HYPERLINK("https://lindat.mff.cuni.cz/services/SynSemClass40/SynSemClass40.html?veclass=vec00774#vec00774-ces-cm00040", "vec00774")</f>
        <v>vec00774</v>
      </c>
      <c r="F66442" s="0" t="s">
        <v>4875</v>
      </c>
    </row>
    <row r="66443" customFormat="false" ht="12.8" hidden="false" customHeight="false" outlineLevel="0" collapsed="false">
      <c r="B66443" s="0" t="s">
        <v>1</v>
      </c>
      <c r="C66443" s="0" t="s">
        <v>21527</v>
      </c>
      <c r="E66443" s="0" t="s">
        <v>206</v>
      </c>
      <c r="F66443" s="0" t="s">
        <v>4877</v>
      </c>
    </row>
    <row r="66444" customFormat="false" ht="12.8" hidden="false" customHeight="false" outlineLevel="0" collapsed="false">
      <c r="B66444" s="0" t="s">
        <v>21528</v>
      </c>
      <c r="C66444" s="0" t="s">
        <v>4017</v>
      </c>
      <c r="E66444" s="0" t="s">
        <v>532</v>
      </c>
      <c r="F66444" s="0" t="s">
        <v>4880</v>
      </c>
    </row>
    <row r="66446" customFormat="false" ht="12.8" hidden="false" customHeight="false" outlineLevel="0" collapsed="false">
      <c r="A66446" s="0" t="s">
        <v>21943</v>
      </c>
      <c r="B66446" s="0" t="str">
        <f aca="false">HYPERLINK("https://lindat.mff.cuni.cz/services/teitok/pdtc10/index.php?action=vallex&amp;frame=v-w9118f5", "zasahovat (v-w9118f5)")</f>
        <v>zasahovat (v-w9118f5)</v>
      </c>
    </row>
    <row r="66447" customFormat="false" ht="12.8" hidden="false" customHeight="false" outlineLevel="0" collapsed="false">
      <c r="B66447" s="0" t="s">
        <v>1</v>
      </c>
    </row>
    <row r="66448" customFormat="false" ht="12.8" hidden="false" customHeight="false" outlineLevel="0" collapsed="false">
      <c r="B66448" s="0" t="s">
        <v>164</v>
      </c>
    </row>
    <row r="66450" customFormat="false" ht="12.8" hidden="false" customHeight="false" outlineLevel="0" collapsed="false">
      <c r="A66450" s="0" t="s">
        <v>21944</v>
      </c>
      <c r="B66450" s="0" t="str">
        <f aca="false">HYPERLINK("https://lindat.mff.cuni.cz/services/teitok/pdtc10/index.php?action=vallex&amp;frame=v-w10522f2", "zasalutovat (v-w10522f2)")</f>
        <v>zasalutovat (v-w10522f2)</v>
      </c>
      <c r="E66450" s="0" t="str">
        <f aca="false">HYPERLINK("https://lindat.mff.cuni.cz/services/SynSemClass40/SynSemClass40.html?veclass=vec00631#vec00631-ces-cm00006", "vec00631")</f>
        <v>vec00631</v>
      </c>
      <c r="F66450" s="0" t="s">
        <v>6421</v>
      </c>
    </row>
    <row r="66451" customFormat="false" ht="12.8" hidden="false" customHeight="false" outlineLevel="0" collapsed="false">
      <c r="B66451" s="0" t="s">
        <v>1</v>
      </c>
      <c r="C66451" s="0" t="s">
        <v>3288</v>
      </c>
      <c r="E66451" s="0" t="s">
        <v>155</v>
      </c>
      <c r="F66451" s="0" t="s">
        <v>6423</v>
      </c>
    </row>
    <row r="66452" customFormat="false" ht="12.8" hidden="false" customHeight="false" outlineLevel="0" collapsed="false">
      <c r="B66452" s="0" t="s">
        <v>157</v>
      </c>
      <c r="C66452" s="0" t="s">
        <v>2293</v>
      </c>
      <c r="E66452" s="0" t="s">
        <v>4438</v>
      </c>
      <c r="F66452" s="0" t="s">
        <v>21945</v>
      </c>
    </row>
    <row r="66454" customFormat="false" ht="12.8" hidden="false" customHeight="false" outlineLevel="0" collapsed="false">
      <c r="A66454" s="0" t="s">
        <v>21946</v>
      </c>
      <c r="B66454" s="0" t="str">
        <f aca="false">HYPERLINK("https://lindat.mff.cuni.cz/services/teitok/pdtc10/index.php?action=vallex&amp;frame=v-whsa_781hsa_782", "zasazovat (v-whsa_781hsa_782)")</f>
        <v>zasazovat (v-whsa_781hsa_782)</v>
      </c>
      <c r="E66454" s="0" t="str">
        <f aca="false">HYPERLINK("https://lindat.mff.cuni.cz/services/SynSemClass40/SynSemClass40.html?veclass=vec00812#vec00812-ces-cm00370", "vec00812")</f>
        <v>vec00812</v>
      </c>
      <c r="F66454" s="0" t="s">
        <v>2822</v>
      </c>
    </row>
    <row r="66455" customFormat="false" ht="12.8" hidden="false" customHeight="false" outlineLevel="0" collapsed="false">
      <c r="B66455" s="0" t="s">
        <v>1</v>
      </c>
      <c r="C66455" s="0" t="s">
        <v>2823</v>
      </c>
      <c r="E66455" s="0" t="s">
        <v>1103</v>
      </c>
      <c r="F66455" s="0" t="s">
        <v>2824</v>
      </c>
    </row>
    <row r="66456" customFormat="false" ht="12.8" hidden="false" customHeight="false" outlineLevel="0" collapsed="false">
      <c r="B66456" s="0" t="s">
        <v>8</v>
      </c>
      <c r="C66456" s="0" t="s">
        <v>2372</v>
      </c>
      <c r="E66456" s="0" t="s">
        <v>142</v>
      </c>
      <c r="F66456" s="0" t="s">
        <v>2825</v>
      </c>
    </row>
    <row r="66457" customFormat="false" ht="12.8" hidden="false" customHeight="false" outlineLevel="0" collapsed="false">
      <c r="B66457" s="0" t="s">
        <v>164</v>
      </c>
      <c r="C66457" s="0" t="s">
        <v>2826</v>
      </c>
      <c r="E66457" s="0" t="s">
        <v>2827</v>
      </c>
      <c r="F66457" s="0" t="s">
        <v>2828</v>
      </c>
    </row>
    <row r="66459" customFormat="false" ht="12.8" hidden="false" customHeight="false" outlineLevel="0" collapsed="false">
      <c r="A66459" s="0" t="s">
        <v>21947</v>
      </c>
      <c r="B66459" s="0" t="str">
        <f aca="false">HYPERLINK("https://lindat.mff.cuni.cz/services/teitok/pdtc10/index.php?action=vallex&amp;frame=v-whsa_781f2_ZU", "zasazovat (v-whsa_781f2_ZU)")</f>
        <v>zasazovat (v-whsa_781f2_ZU)</v>
      </c>
    </row>
    <row r="66460" customFormat="false" ht="12.8" hidden="false" customHeight="false" outlineLevel="0" collapsed="false">
      <c r="B66460" s="0" t="s">
        <v>1</v>
      </c>
    </row>
    <row r="66461" customFormat="false" ht="12.8" hidden="false" customHeight="false" outlineLevel="0" collapsed="false">
      <c r="B66461" s="0" t="s">
        <v>8</v>
      </c>
    </row>
    <row r="66462" customFormat="false" ht="12.8" hidden="false" customHeight="false" outlineLevel="0" collapsed="false">
      <c r="B66462" s="0" t="s">
        <v>52</v>
      </c>
    </row>
    <row r="66464" customFormat="false" ht="12.8" hidden="false" customHeight="false" outlineLevel="0" collapsed="false">
      <c r="A66464" s="0" t="s">
        <v>21947</v>
      </c>
      <c r="B66464" s="0" t="str">
        <f aca="false">HYPERLINK("https://lindat.mff.cuni.cz/services/teitok/pdtc10/index.php?action=vallex&amp;frame=v-whsa_781f1_ZU", "zasazovat (v-whsa_781f1_ZU) - substituted with v-whsa_781f2_ZU")</f>
        <v>zasazovat (v-whsa_781f1_ZU) - substituted with v-whsa_781f2_ZU</v>
      </c>
    </row>
    <row r="66465" customFormat="false" ht="12.8" hidden="false" customHeight="false" outlineLevel="0" collapsed="false">
      <c r="B66465" s="0" t="s">
        <v>1</v>
      </c>
    </row>
    <row r="66466" customFormat="false" ht="12.8" hidden="false" customHeight="false" outlineLevel="0" collapsed="false">
      <c r="B66466" s="0" t="s">
        <v>8</v>
      </c>
    </row>
    <row r="66467" customFormat="false" ht="12.8" hidden="false" customHeight="false" outlineLevel="0" collapsed="false">
      <c r="B66467" s="0" t="s">
        <v>52</v>
      </c>
    </row>
    <row r="66469" customFormat="false" ht="12.8" hidden="false" customHeight="false" outlineLevel="0" collapsed="false">
      <c r="A66469" s="0" t="s">
        <v>21948</v>
      </c>
      <c r="B66469" s="0" t="str">
        <f aca="false">HYPERLINK("https://lindat.mff.cuni.cz/services/teitok/pdtc10/index.php?action=vallex&amp;frame=v-whsa_779hsa_780", "zasazovat (v-whsa_779hsa_780)")</f>
        <v>zasazovat (v-whsa_779hsa_780)</v>
      </c>
    </row>
    <row r="66470" customFormat="false" ht="12.8" hidden="false" customHeight="false" outlineLevel="0" collapsed="false">
      <c r="B66470" s="0" t="s">
        <v>1</v>
      </c>
    </row>
    <row r="66471" customFormat="false" ht="12.8" hidden="false" customHeight="false" outlineLevel="0" collapsed="false">
      <c r="B66471" s="0" t="s">
        <v>8</v>
      </c>
    </row>
    <row r="66472" customFormat="false" ht="12.8" hidden="false" customHeight="false" outlineLevel="0" collapsed="false">
      <c r="B66472" s="0" t="s">
        <v>52</v>
      </c>
    </row>
    <row r="66474" customFormat="false" ht="12.8" hidden="false" customHeight="false" outlineLevel="0" collapsed="false">
      <c r="A66474" s="0" t="s">
        <v>21949</v>
      </c>
      <c r="B66474" s="0" t="str">
        <f aca="false">HYPERLINK("https://lindat.mff.cuni.cz/services/teitok/pdtc10/index.php?action=vallex&amp;frame=v-w9120f1", "zasazovat se (v-w9120f1)")</f>
        <v>zasazovat se (v-w9120f1)</v>
      </c>
      <c r="E66474" s="0" t="str">
        <f aca="false">HYPERLINK("https://lindat.mff.cuni.cz/services/SynSemClass40/SynSemClass40.html?veclass=vec00069#vec00069-ces-cm00217", "vec00069")</f>
        <v>vec00069</v>
      </c>
      <c r="F66474" s="0" t="s">
        <v>4300</v>
      </c>
    </row>
    <row r="66475" customFormat="false" ht="12.8" hidden="false" customHeight="false" outlineLevel="0" collapsed="false">
      <c r="B66475" s="0" t="s">
        <v>1</v>
      </c>
      <c r="C66475" s="0" t="s">
        <v>7530</v>
      </c>
      <c r="E66475" s="0" t="s">
        <v>3021</v>
      </c>
      <c r="F66475" s="0" t="s">
        <v>4302</v>
      </c>
    </row>
    <row r="66476" customFormat="false" ht="12.8" hidden="false" customHeight="false" outlineLevel="0" collapsed="false">
      <c r="B66476" s="0" t="s">
        <v>21937</v>
      </c>
      <c r="C66476" s="0" t="s">
        <v>7531</v>
      </c>
      <c r="E66476" s="0" t="s">
        <v>3023</v>
      </c>
      <c r="F66476" s="0" t="s">
        <v>4305</v>
      </c>
    </row>
    <row r="66478" customFormat="false" ht="12.8" hidden="false" customHeight="false" outlineLevel="0" collapsed="false">
      <c r="A66478" s="0" t="s">
        <v>21950</v>
      </c>
      <c r="B66478" s="0" t="str">
        <f aca="false">HYPERLINK("https://lindat.mff.cuni.cz/services/teitok/pdtc10/index.php?action=vallex&amp;frame=v-w10795f2", "zaschnout (v-w10795f2)")</f>
        <v>zaschnout (v-w10795f2)</v>
      </c>
    </row>
    <row r="66479" customFormat="false" ht="12.8" hidden="false" customHeight="false" outlineLevel="0" collapsed="false">
      <c r="B66479" s="0" t="s">
        <v>1</v>
      </c>
    </row>
    <row r="66481" customFormat="false" ht="12.8" hidden="false" customHeight="false" outlineLevel="0" collapsed="false">
      <c r="A66481" s="0" t="s">
        <v>21951</v>
      </c>
      <c r="B66481" s="0" t="str">
        <f aca="false">HYPERLINK("https://lindat.mff.cuni.cz/services/teitok/pdtc10/index.php?action=vallex&amp;frame=v-w12323_MMf1_MM", "zasebevraždit se (v-w12323_MMf1_MM)")</f>
        <v>zasebevraždit se (v-w12323_MMf1_MM)</v>
      </c>
    </row>
    <row r="66482" customFormat="false" ht="12.8" hidden="false" customHeight="false" outlineLevel="0" collapsed="false">
      <c r="B66482" s="0" t="s">
        <v>1</v>
      </c>
    </row>
    <row r="66484" customFormat="false" ht="12.8" hidden="false" customHeight="false" outlineLevel="0" collapsed="false">
      <c r="A66484" s="0" t="s">
        <v>21952</v>
      </c>
      <c r="B66484" s="0" t="str">
        <f aca="false">HYPERLINK("https://lindat.mff.cuni.cz/services/teitok/pdtc10/index.php?action=vallex&amp;frame=v-w9123f2", "zasedat (v-w9123f2)")</f>
        <v>zasedat (v-w9123f2)</v>
      </c>
      <c r="E66484" s="0" t="str">
        <f aca="false">HYPERLINK("https://lindat.mff.cuni.cz/services/SynSemClass40/SynSemClass40.html?veclass=vec00373#vec00373-ces-cm00105", "vec00373")</f>
        <v>vec00373</v>
      </c>
      <c r="F66484" s="0" t="s">
        <v>6637</v>
      </c>
    </row>
    <row r="66485" customFormat="false" ht="12.8" hidden="false" customHeight="false" outlineLevel="0" collapsed="false">
      <c r="B66485" s="0" t="s">
        <v>1</v>
      </c>
      <c r="C66485" s="0" t="s">
        <v>11591</v>
      </c>
      <c r="E66485" s="0" t="s">
        <v>11</v>
      </c>
      <c r="F66485" s="0" t="s">
        <v>6639</v>
      </c>
    </row>
    <row r="66486" customFormat="false" ht="12.8" hidden="false" customHeight="false" outlineLevel="0" collapsed="false">
      <c r="B66486" s="0" t="s">
        <v>5</v>
      </c>
      <c r="E66486" s="0" t="s">
        <v>15621</v>
      </c>
      <c r="F66486" s="0" t="s">
        <v>15622</v>
      </c>
    </row>
    <row r="66488" customFormat="false" ht="12.8" hidden="false" customHeight="false" outlineLevel="0" collapsed="false">
      <c r="A66488" s="0" t="s">
        <v>21953</v>
      </c>
      <c r="B66488" s="0" t="str">
        <f aca="false">HYPERLINK("https://lindat.mff.cuni.cz/services/teitok/pdtc10/index.php?action=vallex&amp;frame=v-w9123f1", "zasedat (v-w9123f1)")</f>
        <v>zasedat (v-w9123f1)</v>
      </c>
    </row>
    <row r="66489" customFormat="false" ht="12.8" hidden="false" customHeight="false" outlineLevel="0" collapsed="false">
      <c r="B66489" s="0" t="s">
        <v>1</v>
      </c>
    </row>
    <row r="66491" customFormat="false" ht="12.8" hidden="false" customHeight="false" outlineLevel="0" collapsed="false">
      <c r="A66491" s="0" t="s">
        <v>21954</v>
      </c>
      <c r="B66491" s="0" t="str">
        <f aca="false">HYPERLINK("https://lindat.mff.cuni.cz/services/teitok/pdtc10/index.php?action=vallex&amp;frame=v-w9124f2", "zasednout (v-w9124f2)")</f>
        <v>zasednout (v-w9124f2)</v>
      </c>
    </row>
    <row r="66492" customFormat="false" ht="12.8" hidden="false" customHeight="false" outlineLevel="0" collapsed="false">
      <c r="B66492" s="0" t="s">
        <v>1</v>
      </c>
    </row>
    <row r="66493" customFormat="false" ht="12.8" hidden="false" customHeight="false" outlineLevel="0" collapsed="false">
      <c r="B66493" s="0" t="s">
        <v>8</v>
      </c>
    </row>
    <row r="66495" customFormat="false" ht="12.8" hidden="false" customHeight="false" outlineLevel="0" collapsed="false">
      <c r="A66495" s="0" t="s">
        <v>21955</v>
      </c>
      <c r="B66495" s="0" t="str">
        <f aca="false">HYPERLINK("https://lindat.mff.cuni.cz/services/teitok/pdtc10/index.php?action=vallex&amp;frame=v-w9124f1", "zasednout (v-w9124f1)")</f>
        <v>zasednout (v-w9124f1)</v>
      </c>
      <c r="E66495" s="0" t="str">
        <f aca="false">HYPERLINK("https://lindat.mff.cuni.cz/services/SynSemClass40/SynSemClass40.html?veclass=vec00705#vec00705-ces-cm00037", "vec00705")</f>
        <v>vec00705</v>
      </c>
      <c r="F66495" s="0" t="s">
        <v>9251</v>
      </c>
    </row>
    <row r="66496" customFormat="false" ht="12.8" hidden="false" customHeight="false" outlineLevel="0" collapsed="false">
      <c r="B66496" s="0" t="s">
        <v>1</v>
      </c>
      <c r="C66496" s="0" t="s">
        <v>2789</v>
      </c>
      <c r="E66496" s="0" t="s">
        <v>11</v>
      </c>
      <c r="F66496" s="0" t="s">
        <v>9252</v>
      </c>
    </row>
    <row r="66497" customFormat="false" ht="12.8" hidden="false" customHeight="false" outlineLevel="0" collapsed="false">
      <c r="B66497" s="0" t="s">
        <v>164</v>
      </c>
      <c r="E66497" s="0" t="s">
        <v>370</v>
      </c>
      <c r="F66497" s="0" t="s">
        <v>3041</v>
      </c>
    </row>
    <row r="66499" customFormat="false" ht="12.8" hidden="false" customHeight="false" outlineLevel="0" collapsed="false">
      <c r="A66499" s="0" t="s">
        <v>21956</v>
      </c>
      <c r="B66499" s="0" t="str">
        <f aca="false">HYPERLINK("https://lindat.mff.cuni.cz/services/teitok/pdtc10/index.php?action=vallex&amp;frame=v-w9124f3_ZU", "zasednout (v-w9124f3_ZU)")</f>
        <v>zasednout (v-w9124f3_ZU)</v>
      </c>
    </row>
    <row r="66500" customFormat="false" ht="12.8" hidden="false" customHeight="false" outlineLevel="0" collapsed="false">
      <c r="B66500" s="0" t="s">
        <v>1</v>
      </c>
    </row>
    <row r="66501" customFormat="false" ht="12.8" hidden="false" customHeight="false" outlineLevel="0" collapsed="false">
      <c r="B66501" s="0" t="s">
        <v>1262</v>
      </c>
    </row>
    <row r="66503" customFormat="false" ht="12.8" hidden="false" customHeight="false" outlineLevel="0" collapsed="false">
      <c r="A66503" s="0" t="s">
        <v>21957</v>
      </c>
      <c r="B66503" s="0" t="str">
        <f aca="false">HYPERLINK("https://lindat.mff.cuni.cz/services/teitok/pdtc10/index.php?action=vallex&amp;frame=v-whsa_1966f1_ZU", "zaseknout (v-whsa_1966f1_ZU)")</f>
        <v>zaseknout (v-whsa_1966f1_ZU)</v>
      </c>
    </row>
    <row r="66504" customFormat="false" ht="12.8" hidden="false" customHeight="false" outlineLevel="0" collapsed="false">
      <c r="B66504" s="0" t="s">
        <v>1</v>
      </c>
    </row>
    <row r="66505" customFormat="false" ht="12.8" hidden="false" customHeight="false" outlineLevel="0" collapsed="false">
      <c r="B66505" s="0" t="s">
        <v>390</v>
      </c>
    </row>
    <row r="66507" customFormat="false" ht="12.8" hidden="false" customHeight="false" outlineLevel="0" collapsed="false">
      <c r="A66507" s="0" t="s">
        <v>21957</v>
      </c>
      <c r="B66507" s="0" t="str">
        <f aca="false">HYPERLINK("https://lindat.mff.cuni.cz/services/teitok/pdtc10/index.php?action=vallex&amp;frame=v-whsa_1966hsa_1967", "zaseknout (v-whsa_1966hsa_1967) - substituted with v-whsa_1966f1_ZU")</f>
        <v>zaseknout (v-whsa_1966hsa_1967) - substituted with v-whsa_1966f1_ZU</v>
      </c>
    </row>
    <row r="66508" customFormat="false" ht="12.8" hidden="false" customHeight="false" outlineLevel="0" collapsed="false">
      <c r="B66508" s="0" t="s">
        <v>1</v>
      </c>
    </row>
    <row r="66509" customFormat="false" ht="12.8" hidden="false" customHeight="false" outlineLevel="0" collapsed="false">
      <c r="B66509" s="0" t="s">
        <v>390</v>
      </c>
    </row>
    <row r="66511" customFormat="false" ht="12.8" hidden="false" customHeight="false" outlineLevel="0" collapsed="false">
      <c r="A66511" s="0" t="s">
        <v>21958</v>
      </c>
      <c r="B66511" s="0" t="str">
        <f aca="false">HYPERLINK("https://lindat.mff.cuni.cz/services/teitok/pdtc10/index.php?action=vallex&amp;frame=v-whsa_1966f2_ZU", "zaseknout (v-whsa_1966f2_ZU)")</f>
        <v>zaseknout (v-whsa_1966f2_ZU)</v>
      </c>
    </row>
    <row r="66512" customFormat="false" ht="12.8" hidden="false" customHeight="false" outlineLevel="0" collapsed="false">
      <c r="B66512" s="0" t="s">
        <v>1</v>
      </c>
    </row>
    <row r="66513" customFormat="false" ht="12.8" hidden="false" customHeight="false" outlineLevel="0" collapsed="false">
      <c r="B66513" s="0" t="s">
        <v>8</v>
      </c>
    </row>
    <row r="66514" customFormat="false" ht="12.8" hidden="false" customHeight="false" outlineLevel="0" collapsed="false">
      <c r="B66514" s="0" t="s">
        <v>164</v>
      </c>
    </row>
    <row r="66516" customFormat="false" ht="12.8" hidden="false" customHeight="false" outlineLevel="0" collapsed="false">
      <c r="A66516" s="0" t="s">
        <v>21958</v>
      </c>
      <c r="B66516" s="0" t="str">
        <f aca="false">HYPERLINK("https://lindat.mff.cuni.cz/services/teitok/pdtc10/index.php?action=vallex&amp;frame=v-whsa_1852hsa_1853", "zaseknout (v-whsa_1852hsa_1853) - substituted with v-whsa_1966f2_ZU")</f>
        <v>zaseknout (v-whsa_1852hsa_1853) - substituted with v-whsa_1966f2_ZU</v>
      </c>
    </row>
    <row r="66517" customFormat="false" ht="12.8" hidden="false" customHeight="false" outlineLevel="0" collapsed="false">
      <c r="B66517" s="0" t="s">
        <v>1</v>
      </c>
    </row>
    <row r="66518" customFormat="false" ht="12.8" hidden="false" customHeight="false" outlineLevel="0" collapsed="false">
      <c r="B66518" s="0" t="s">
        <v>8</v>
      </c>
    </row>
    <row r="66519" customFormat="false" ht="12.8" hidden="false" customHeight="false" outlineLevel="0" collapsed="false">
      <c r="B66519" s="0" t="s">
        <v>164</v>
      </c>
    </row>
    <row r="66521" customFormat="false" ht="12.8" hidden="false" customHeight="false" outlineLevel="0" collapsed="false">
      <c r="A66521" s="0" t="s">
        <v>21959</v>
      </c>
      <c r="B66521" s="0" t="str">
        <f aca="false">HYPERLINK("https://lindat.mff.cuni.cz/services/teitok/pdtc10/index.php?action=vallex&amp;frame=v-whsa_1966f4_ZU", "zaseknout (v-whsa_1966f4_ZU)")</f>
        <v>zaseknout (v-whsa_1966f4_ZU)</v>
      </c>
    </row>
    <row r="66522" customFormat="false" ht="12.8" hidden="false" customHeight="false" outlineLevel="0" collapsed="false">
      <c r="B66522" s="0" t="s">
        <v>1</v>
      </c>
    </row>
    <row r="66523" customFormat="false" ht="12.8" hidden="false" customHeight="false" outlineLevel="0" collapsed="false">
      <c r="B66523" s="0" t="s">
        <v>8</v>
      </c>
    </row>
    <row r="66525" customFormat="false" ht="12.8" hidden="false" customHeight="false" outlineLevel="0" collapsed="false">
      <c r="A66525" s="0" t="s">
        <v>21960</v>
      </c>
      <c r="B66525" s="0" t="str">
        <f aca="false">HYPERLINK("https://lindat.mff.cuni.cz/services/teitok/pdtc10/index.php?action=vallex&amp;frame=v-whsa_1966f5_ZU", "zaseknout (v-whsa_1966f5_ZU)")</f>
        <v>zaseknout (v-whsa_1966f5_ZU)</v>
      </c>
    </row>
    <row r="66526" customFormat="false" ht="12.8" hidden="false" customHeight="false" outlineLevel="0" collapsed="false">
      <c r="B66526" s="0" t="s">
        <v>1</v>
      </c>
    </row>
    <row r="66527" customFormat="false" ht="12.8" hidden="false" customHeight="false" outlineLevel="0" collapsed="false">
      <c r="B66527" s="0" t="s">
        <v>8</v>
      </c>
    </row>
    <row r="66529" customFormat="false" ht="12.8" hidden="false" customHeight="false" outlineLevel="0" collapsed="false">
      <c r="A66529" s="0" t="s">
        <v>21960</v>
      </c>
      <c r="B66529" s="0" t="str">
        <f aca="false">HYPERLINK("https://lindat.mff.cuni.cz/services/teitok/pdtc10/index.php?action=vallex&amp;frame=v-whsa_1966f3_ZU", "zaseknout (v-whsa_1966f3_ZU) - substituted with v-whsa_1966f5_ZU")</f>
        <v>zaseknout (v-whsa_1966f3_ZU) - substituted with v-whsa_1966f5_ZU</v>
      </c>
    </row>
    <row r="66530" customFormat="false" ht="12.8" hidden="false" customHeight="false" outlineLevel="0" collapsed="false">
      <c r="B66530" s="0" t="s">
        <v>1</v>
      </c>
    </row>
    <row r="66531" customFormat="false" ht="12.8" hidden="false" customHeight="false" outlineLevel="0" collapsed="false">
      <c r="B66531" s="0" t="s">
        <v>8</v>
      </c>
    </row>
    <row r="66533" customFormat="false" ht="12.8" hidden="false" customHeight="false" outlineLevel="0" collapsed="false">
      <c r="A66533" s="0" t="s">
        <v>21961</v>
      </c>
      <c r="B66533" s="0" t="str">
        <f aca="false">HYPERLINK("https://lindat.mff.cuni.cz/services/teitok/pdtc10/index.php?action=vallex&amp;frame=v-w11469f1", "zaseknout se (v-w11469f1)")</f>
        <v>zaseknout se (v-w11469f1)</v>
      </c>
      <c r="E66533" s="0" t="str">
        <f aca="false">HYPERLINK("https://lindat.mff.cuni.cz/services/SynSemClass40/SynSemClass40.html?veclass=vec01369#vec01369-ces-cm00037", "vec01369")</f>
        <v>vec01369</v>
      </c>
      <c r="F66533" s="0" t="s">
        <v>16483</v>
      </c>
      <c r="H66533" s="0" t="str">
        <f aca="false">HYPERLINK("https://lindat.mff.cuni.cz/services/SynSemClass40/SynSemClass40.html?veclass=vec01475#vec01475-ces-cm00006", "vec01475")</f>
        <v>vec01475</v>
      </c>
      <c r="I66533" s="0" t="s">
        <v>1082</v>
      </c>
    </row>
    <row r="66534" customFormat="false" ht="12.8" hidden="false" customHeight="false" outlineLevel="0" collapsed="false">
      <c r="B66534" s="0" t="s">
        <v>1</v>
      </c>
      <c r="C66534" s="0" t="s">
        <v>21309</v>
      </c>
      <c r="E66534" s="0" t="s">
        <v>1086</v>
      </c>
      <c r="F66534" s="0" t="s">
        <v>16485</v>
      </c>
      <c r="H66534" s="0" t="s">
        <v>1086</v>
      </c>
      <c r="I66534" s="0" t="s">
        <v>1087</v>
      </c>
    </row>
    <row r="66536" customFormat="false" ht="12.8" hidden="false" customHeight="false" outlineLevel="0" collapsed="false">
      <c r="A66536" s="0" t="s">
        <v>21962</v>
      </c>
      <c r="B66536" s="0" t="str">
        <f aca="false">HYPERLINK("https://lindat.mff.cuni.cz/services/teitok/pdtc10/index.php?action=vallex&amp;frame=v-whsa_815hsa_816", "zaskakovat (v-whsa_815hsa_816)")</f>
        <v>zaskakovat (v-whsa_815hsa_816)</v>
      </c>
    </row>
    <row r="66537" customFormat="false" ht="12.8" hidden="false" customHeight="false" outlineLevel="0" collapsed="false">
      <c r="B66537" s="0" t="s">
        <v>1</v>
      </c>
    </row>
    <row r="66538" customFormat="false" ht="12.8" hidden="false" customHeight="false" outlineLevel="0" collapsed="false">
      <c r="B66538" s="0" t="s">
        <v>665</v>
      </c>
    </row>
    <row r="66540" customFormat="false" ht="12.8" hidden="false" customHeight="false" outlineLevel="0" collapsed="false">
      <c r="A66540" s="0" t="s">
        <v>21963</v>
      </c>
      <c r="B66540" s="0" t="str">
        <f aca="false">HYPERLINK("https://lindat.mff.cuni.cz/services/teitok/pdtc10/index.php?action=vallex&amp;frame=v-whsa_1776hsa_1777", "zaskotačit si (v-whsa_1776hsa_1777)")</f>
        <v>zaskotačit si (v-whsa_1776hsa_1777)</v>
      </c>
    </row>
    <row r="66541" customFormat="false" ht="12.8" hidden="false" customHeight="false" outlineLevel="0" collapsed="false">
      <c r="B66541" s="0" t="s">
        <v>1</v>
      </c>
    </row>
    <row r="66543" customFormat="false" ht="12.8" hidden="false" customHeight="false" outlineLevel="0" collapsed="false">
      <c r="A66543" s="0" t="s">
        <v>21964</v>
      </c>
      <c r="B66543" s="0" t="str">
        <f aca="false">HYPERLINK("https://lindat.mff.cuni.cz/services/teitok/pdtc10/index.php?action=vallex&amp;frame=v-w9128f1", "zaskočit (v-w9128f1)")</f>
        <v>zaskočit (v-w9128f1)</v>
      </c>
      <c r="E66543" s="0" t="str">
        <f aca="false">HYPERLINK("https://lindat.mff.cuni.cz/services/SynSemClass40/SynSemClass40.html?veclass=vec01506#vec01506-ces-cm00023", "vec01506")</f>
        <v>vec01506</v>
      </c>
      <c r="F66543" s="0" t="s">
        <v>5550</v>
      </c>
    </row>
    <row r="66544" customFormat="false" ht="12.8" hidden="false" customHeight="false" outlineLevel="0" collapsed="false">
      <c r="B66544" s="0" t="s">
        <v>1</v>
      </c>
      <c r="C66544" s="0" t="s">
        <v>5551</v>
      </c>
      <c r="E66544" s="0" t="s">
        <v>266</v>
      </c>
      <c r="F66544" s="0" t="s">
        <v>5552</v>
      </c>
    </row>
    <row r="66545" customFormat="false" ht="12.8" hidden="false" customHeight="false" outlineLevel="0" collapsed="false">
      <c r="B66545" s="0" t="s">
        <v>8</v>
      </c>
      <c r="C66545" s="0" t="s">
        <v>5553</v>
      </c>
      <c r="E66545" s="0" t="s">
        <v>271</v>
      </c>
      <c r="F66545" s="0" t="s">
        <v>5554</v>
      </c>
    </row>
    <row r="66547" customFormat="false" ht="12.8" hidden="false" customHeight="false" outlineLevel="0" collapsed="false">
      <c r="A66547" s="0" t="s">
        <v>21965</v>
      </c>
      <c r="B66547" s="0" t="str">
        <f aca="false">HYPERLINK("https://lindat.mff.cuni.cz/services/teitok/pdtc10/index.php?action=vallex&amp;frame=v-w9128f2", "zaskočit (v-w9128f2)")</f>
        <v>zaskočit (v-w9128f2)</v>
      </c>
      <c r="E66547" s="0" t="str">
        <f aca="false">HYPERLINK("https://lindat.mff.cuni.cz/services/SynSemClass40/SynSemClass40.html?veclass=vec00218#vec00218-ces-cm00272", "vec00218")</f>
        <v>vec00218</v>
      </c>
      <c r="F66547" s="0" t="s">
        <v>2143</v>
      </c>
      <c r="H66547" s="0" t="str">
        <f aca="false">HYPERLINK("https://lindat.mff.cuni.cz/services/SynSemClass40/SynSemClass40.html?veclass=vec00227#vec00227-ces-cm00128", "vec00227")</f>
        <v>vec00227</v>
      </c>
      <c r="I66547" s="0" t="s">
        <v>1313</v>
      </c>
    </row>
    <row r="66548" customFormat="false" ht="12.8" hidden="false" customHeight="false" outlineLevel="0" collapsed="false">
      <c r="B66548" s="0" t="s">
        <v>1</v>
      </c>
      <c r="C66548" s="0" t="s">
        <v>18860</v>
      </c>
      <c r="E66548" s="0" t="s">
        <v>11</v>
      </c>
      <c r="F66548" s="0" t="s">
        <v>2145</v>
      </c>
      <c r="H66548" s="0" t="s">
        <v>334</v>
      </c>
      <c r="I66548" s="0" t="s">
        <v>1314</v>
      </c>
    </row>
    <row r="66549" customFormat="false" ht="12.8" hidden="false" customHeight="false" outlineLevel="0" collapsed="false">
      <c r="B66549" s="0" t="s">
        <v>164</v>
      </c>
      <c r="C66549" s="0" t="s">
        <v>2146</v>
      </c>
      <c r="E66549" s="0" t="s">
        <v>370</v>
      </c>
      <c r="F66549" s="0" t="s">
        <v>2147</v>
      </c>
      <c r="H66549" s="0" t="s">
        <v>1315</v>
      </c>
      <c r="I66549" s="0" t="s">
        <v>1316</v>
      </c>
    </row>
    <row r="66551" customFormat="false" ht="12.8" hidden="false" customHeight="false" outlineLevel="0" collapsed="false">
      <c r="A66551" s="0" t="s">
        <v>21966</v>
      </c>
      <c r="B66551" s="0" t="str">
        <f aca="false">HYPERLINK("https://lindat.mff.cuni.cz/services/teitok/pdtc10/index.php?action=vallex&amp;frame=v-w9128f3", "zaskočit (v-w9128f3)")</f>
        <v>zaskočit (v-w9128f3)</v>
      </c>
    </row>
    <row r="66552" customFormat="false" ht="12.8" hidden="false" customHeight="false" outlineLevel="0" collapsed="false">
      <c r="B66552" s="0" t="s">
        <v>1</v>
      </c>
    </row>
    <row r="66554" customFormat="false" ht="12.8" hidden="false" customHeight="false" outlineLevel="0" collapsed="false">
      <c r="A66554" s="0" t="s">
        <v>21967</v>
      </c>
      <c r="B66554" s="0" t="str">
        <f aca="false">HYPERLINK("https://lindat.mff.cuni.cz/services/teitok/pdtc10/index.php?action=vallex&amp;frame=v-w9128f4", "zaskočit (v-w9128f4)")</f>
        <v>zaskočit (v-w9128f4)</v>
      </c>
    </row>
    <row r="66555" customFormat="false" ht="12.8" hidden="false" customHeight="false" outlineLevel="0" collapsed="false">
      <c r="B66555" s="0" t="s">
        <v>804</v>
      </c>
    </row>
    <row r="66557" customFormat="false" ht="12.8" hidden="false" customHeight="false" outlineLevel="0" collapsed="false">
      <c r="A66557" s="0" t="s">
        <v>21968</v>
      </c>
      <c r="B66557" s="0" t="str">
        <f aca="false">HYPERLINK("https://lindat.mff.cuni.cz/services/teitok/pdtc10/index.php?action=vallex&amp;frame=v-w9131f1", "zaslat (v-w9131f1)")</f>
        <v>zaslat (v-w9131f1)</v>
      </c>
      <c r="E66557" s="0" t="str">
        <f aca="false">HYPERLINK("https://lindat.mff.cuni.cz/services/SynSemClass40/SynSemClass40.html?veclass=vec00209#vec00209-ces-cm00028", "vec00209")</f>
        <v>vec00209</v>
      </c>
      <c r="F66557" s="0" t="s">
        <v>2040</v>
      </c>
    </row>
    <row r="66558" customFormat="false" ht="12.8" hidden="false" customHeight="false" outlineLevel="0" collapsed="false">
      <c r="B66558" s="0" t="s">
        <v>1</v>
      </c>
      <c r="C66558" s="0" t="s">
        <v>2041</v>
      </c>
      <c r="E66558" s="0" t="s">
        <v>1784</v>
      </c>
      <c r="F66558" s="0" t="s">
        <v>2042</v>
      </c>
    </row>
    <row r="66559" customFormat="false" ht="12.8" hidden="false" customHeight="false" outlineLevel="0" collapsed="false">
      <c r="B66559" s="0" t="s">
        <v>8</v>
      </c>
      <c r="C66559" s="0" t="s">
        <v>2043</v>
      </c>
      <c r="E66559" s="0" t="s">
        <v>1787</v>
      </c>
      <c r="F66559" s="0" t="s">
        <v>2044</v>
      </c>
    </row>
    <row r="66560" customFormat="false" ht="12.8" hidden="false" customHeight="false" outlineLevel="0" collapsed="false">
      <c r="B66560" s="0" t="s">
        <v>52</v>
      </c>
      <c r="C66560" s="0" t="s">
        <v>2046</v>
      </c>
      <c r="E66560" s="0" t="s">
        <v>53</v>
      </c>
      <c r="F66560" s="0" t="s">
        <v>2047</v>
      </c>
    </row>
    <row r="66562" customFormat="false" ht="12.8" hidden="false" customHeight="false" outlineLevel="0" collapsed="false">
      <c r="A66562" s="0" t="s">
        <v>21969</v>
      </c>
      <c r="B66562" s="0" t="str">
        <f aca="false">HYPERLINK("https://lindat.mff.cuni.cz/services/teitok/pdtc10/index.php?action=vallex&amp;frame=v-w9131f2", "zaslat (v-w9131f2)")</f>
        <v>zaslat (v-w9131f2)</v>
      </c>
      <c r="E66562" s="0" t="str">
        <f aca="false">HYPERLINK("https://lindat.mff.cuni.cz/services/SynSemClass40/SynSemClass40.html?veclass=vec00209#vec00209-ces-cm00029", "vec00209")</f>
        <v>vec00209</v>
      </c>
      <c r="F66562" s="0" t="s">
        <v>2040</v>
      </c>
    </row>
    <row r="66563" customFormat="false" ht="12.8" hidden="false" customHeight="false" outlineLevel="0" collapsed="false">
      <c r="B66563" s="0" t="s">
        <v>1</v>
      </c>
      <c r="C66563" s="0" t="s">
        <v>2041</v>
      </c>
      <c r="E66563" s="0" t="s">
        <v>1784</v>
      </c>
      <c r="F66563" s="0" t="s">
        <v>2042</v>
      </c>
    </row>
    <row r="66564" customFormat="false" ht="12.8" hidden="false" customHeight="false" outlineLevel="0" collapsed="false">
      <c r="B66564" s="0" t="s">
        <v>8</v>
      </c>
      <c r="C66564" s="0" t="s">
        <v>2043</v>
      </c>
      <c r="E66564" s="0" t="s">
        <v>1787</v>
      </c>
      <c r="F66564" s="0" t="s">
        <v>2044</v>
      </c>
    </row>
    <row r="66565" customFormat="false" ht="12.8" hidden="false" customHeight="false" outlineLevel="0" collapsed="false">
      <c r="B66565" s="0" t="s">
        <v>164</v>
      </c>
      <c r="C66565" s="0" t="s">
        <v>2654</v>
      </c>
      <c r="E66565" s="0" t="s">
        <v>2212</v>
      </c>
      <c r="F66565" s="0" t="s">
        <v>2651</v>
      </c>
    </row>
    <row r="66567" customFormat="false" ht="12.8" hidden="false" customHeight="false" outlineLevel="0" collapsed="false">
      <c r="A66567" s="0" t="s">
        <v>21970</v>
      </c>
      <c r="B66567" s="0" t="str">
        <f aca="false">HYPERLINK("https://lindat.mff.cuni.cz/services/teitok/pdtc10/index.php?action=vallex&amp;frame=v-w9132f3", "zaslechnout (v-w9132f3)")</f>
        <v>zaslechnout (v-w9132f3)</v>
      </c>
      <c r="E66567" s="0" t="str">
        <f aca="false">HYPERLINK("https://lindat.mff.cuni.cz/services/SynSemClass40/SynSemClass40.html?veclass=vec01264#vec01264-ces-cm00014", "vec01264")</f>
        <v>vec01264</v>
      </c>
      <c r="F66567" s="0" t="s">
        <v>2757</v>
      </c>
    </row>
    <row r="66568" customFormat="false" ht="12.8" hidden="false" customHeight="false" outlineLevel="0" collapsed="false">
      <c r="B66568" s="0" t="s">
        <v>1</v>
      </c>
      <c r="C66568" s="0" t="s">
        <v>11530</v>
      </c>
      <c r="E66568" s="0" t="s">
        <v>621</v>
      </c>
      <c r="F66568" s="0" t="s">
        <v>2759</v>
      </c>
    </row>
    <row r="66569" customFormat="false" ht="12.8" hidden="false" customHeight="false" outlineLevel="0" collapsed="false">
      <c r="B66569" s="0" t="s">
        <v>16053</v>
      </c>
      <c r="C66569" s="0" t="s">
        <v>11532</v>
      </c>
      <c r="E66569" s="0" t="s">
        <v>218</v>
      </c>
      <c r="F66569" s="0" t="s">
        <v>2764</v>
      </c>
    </row>
    <row r="66570" customFormat="false" ht="12.8" hidden="false" customHeight="false" outlineLevel="0" collapsed="false">
      <c r="B66570" s="0" t="s">
        <v>602</v>
      </c>
      <c r="C66570" s="0" t="s">
        <v>11533</v>
      </c>
      <c r="E66570" s="0" t="s">
        <v>2176</v>
      </c>
      <c r="F66570" s="0" t="s">
        <v>2767</v>
      </c>
    </row>
    <row r="66572" customFormat="false" ht="12.8" hidden="false" customHeight="false" outlineLevel="0" collapsed="false">
      <c r="A66572" s="0" t="s">
        <v>21971</v>
      </c>
      <c r="B66572" s="0" t="str">
        <f aca="false">HYPERLINK("https://lindat.mff.cuni.cz/services/teitok/pdtc10/index.php?action=vallex&amp;frame=v-w9132f1", "zaslechnout (v-w9132f1)")</f>
        <v>zaslechnout (v-w9132f1)</v>
      </c>
    </row>
    <row r="66573" customFormat="false" ht="12.8" hidden="false" customHeight="false" outlineLevel="0" collapsed="false">
      <c r="B66573" s="0" t="s">
        <v>1</v>
      </c>
    </row>
    <row r="66574" customFormat="false" ht="12.8" hidden="false" customHeight="false" outlineLevel="0" collapsed="false">
      <c r="B66574" s="0" t="s">
        <v>8322</v>
      </c>
    </row>
    <row r="66575" customFormat="false" ht="12.8" hidden="false" customHeight="false" outlineLevel="0" collapsed="false">
      <c r="B66575" s="0" t="s">
        <v>21972</v>
      </c>
    </row>
    <row r="66577" customFormat="false" ht="12.8" hidden="false" customHeight="false" outlineLevel="0" collapsed="false">
      <c r="A66577" s="0" t="s">
        <v>21973</v>
      </c>
      <c r="B66577" s="0" t="str">
        <f aca="false">HYPERLINK("https://lindat.mff.cuni.cz/services/teitok/pdtc10/index.php?action=vallex&amp;frame=v-w9132f2", "zaslechnout (v-w9132f2)")</f>
        <v>zaslechnout (v-w9132f2)</v>
      </c>
      <c r="E66577" s="0" t="str">
        <f aca="false">HYPERLINK("https://lindat.mff.cuni.cz/services/SynSemClass40/SynSemClass40.html?veclass=vec00013#vec00013-ces-cm00112", "vec00013")</f>
        <v>vec00013</v>
      </c>
      <c r="F66577" s="0" t="s">
        <v>2742</v>
      </c>
      <c r="H66577" s="0" t="str">
        <f aca="false">HYPERLINK("https://lindat.mff.cuni.cz/services/SynSemClass40/SynSemClass40.html?veclass=vec01264#vec01264-ces-cm00013", "vec01264")</f>
        <v>vec01264</v>
      </c>
      <c r="I66577" s="0" t="s">
        <v>2757</v>
      </c>
    </row>
    <row r="66578" customFormat="false" ht="12.8" hidden="false" customHeight="false" outlineLevel="0" collapsed="false">
      <c r="B66578" s="0" t="s">
        <v>21974</v>
      </c>
      <c r="C66578" s="0" t="s">
        <v>2758</v>
      </c>
      <c r="E66578" s="0" t="s">
        <v>621</v>
      </c>
      <c r="F66578" s="0" t="s">
        <v>2744</v>
      </c>
      <c r="H66578" s="0" t="s">
        <v>621</v>
      </c>
      <c r="I66578" s="0" t="s">
        <v>2759</v>
      </c>
    </row>
    <row r="66579" customFormat="false" ht="12.8" hidden="false" customHeight="false" outlineLevel="0" collapsed="false">
      <c r="B66579" s="0" t="s">
        <v>6414</v>
      </c>
      <c r="C66579" s="0" t="s">
        <v>2761</v>
      </c>
      <c r="E66579" s="0" t="s">
        <v>2217</v>
      </c>
      <c r="F66579" s="0" t="s">
        <v>2747</v>
      </c>
      <c r="H66579" s="0" t="s">
        <v>2217</v>
      </c>
      <c r="I66579" s="0" t="s">
        <v>2762</v>
      </c>
    </row>
    <row r="66580" customFormat="false" ht="12.8" hidden="false" customHeight="false" outlineLevel="0" collapsed="false">
      <c r="B66580" s="0" t="s">
        <v>496</v>
      </c>
      <c r="C66580" s="0" t="s">
        <v>2748</v>
      </c>
      <c r="E66580" s="0" t="s">
        <v>218</v>
      </c>
      <c r="F66580" s="0" t="s">
        <v>2749</v>
      </c>
    </row>
    <row r="66581" customFormat="false" ht="12.8" hidden="false" customHeight="false" outlineLevel="0" collapsed="false">
      <c r="B66581" s="0" t="s">
        <v>602</v>
      </c>
      <c r="C66581" s="0" t="s">
        <v>2766</v>
      </c>
      <c r="E66581" s="0" t="s">
        <v>2176</v>
      </c>
      <c r="F66581" s="0" t="s">
        <v>2751</v>
      </c>
      <c r="H66581" s="0" t="s">
        <v>2176</v>
      </c>
      <c r="I66581" s="0" t="s">
        <v>2767</v>
      </c>
    </row>
    <row r="66583" customFormat="false" ht="12.8" hidden="false" customHeight="false" outlineLevel="0" collapsed="false">
      <c r="A66583" s="0" t="s">
        <v>21975</v>
      </c>
      <c r="B66583" s="0" t="str">
        <f aca="false">HYPERLINK("https://lindat.mff.cuni.cz/services/teitok/pdtc10/index.php?action=vallex&amp;frame=v-w9134f1", "zaslepit (v-w9134f1)")</f>
        <v>zaslepit (v-w9134f1)</v>
      </c>
    </row>
    <row r="66584" customFormat="false" ht="12.8" hidden="false" customHeight="false" outlineLevel="0" collapsed="false">
      <c r="B66584" s="0" t="s">
        <v>1</v>
      </c>
    </row>
    <row r="66585" customFormat="false" ht="12.8" hidden="false" customHeight="false" outlineLevel="0" collapsed="false">
      <c r="B66585" s="0" t="s">
        <v>8</v>
      </c>
    </row>
    <row r="66587" customFormat="false" ht="12.8" hidden="false" customHeight="false" outlineLevel="0" collapsed="false">
      <c r="A66587" s="0" t="s">
        <v>21976</v>
      </c>
      <c r="B66587" s="0" t="str">
        <f aca="false">HYPERLINK("https://lindat.mff.cuni.cz/services/teitok/pdtc10/index.php?action=vallex&amp;frame=v-w9134f2", "zaslepit (v-w9134f2)")</f>
        <v>zaslepit (v-w9134f2)</v>
      </c>
    </row>
    <row r="66588" customFormat="false" ht="12.8" hidden="false" customHeight="false" outlineLevel="0" collapsed="false">
      <c r="B66588" s="0" t="s">
        <v>1</v>
      </c>
    </row>
    <row r="66589" customFormat="false" ht="12.8" hidden="false" customHeight="false" outlineLevel="0" collapsed="false">
      <c r="B66589" s="0" t="s">
        <v>8</v>
      </c>
    </row>
    <row r="66591" customFormat="false" ht="12.8" hidden="false" customHeight="false" outlineLevel="0" collapsed="false">
      <c r="A66591" s="0" t="s">
        <v>21977</v>
      </c>
      <c r="B66591" s="0" t="str">
        <f aca="false">HYPERLINK("https://lindat.mff.cuni.cz/services/teitok/pdtc10/index.php?action=vallex&amp;frame=v-w9135f1", "zaslepovat (v-w9135f1)")</f>
        <v>zaslepovat (v-w9135f1)</v>
      </c>
      <c r="E66591" s="0" t="str">
        <f aca="false">HYPERLINK("https://lindat.mff.cuni.cz/services/SynSemClass40/SynSemClass40.html?veclass=vec01506#vec01506-ces-cm00027", "vec01506")</f>
        <v>vec01506</v>
      </c>
      <c r="F66591" s="0" t="s">
        <v>5550</v>
      </c>
    </row>
    <row r="66592" customFormat="false" ht="12.8" hidden="false" customHeight="false" outlineLevel="0" collapsed="false">
      <c r="B66592" s="0" t="s">
        <v>1</v>
      </c>
      <c r="C66592" s="0" t="s">
        <v>5551</v>
      </c>
      <c r="E66592" s="0" t="s">
        <v>266</v>
      </c>
      <c r="F66592" s="0" t="s">
        <v>5552</v>
      </c>
    </row>
    <row r="66593" customFormat="false" ht="12.8" hidden="false" customHeight="false" outlineLevel="0" collapsed="false">
      <c r="B66593" s="0" t="s">
        <v>8</v>
      </c>
      <c r="C66593" s="0" t="s">
        <v>5553</v>
      </c>
      <c r="E66593" s="0" t="s">
        <v>271</v>
      </c>
      <c r="F66593" s="0" t="s">
        <v>5554</v>
      </c>
    </row>
    <row r="66595" customFormat="false" ht="12.8" hidden="false" customHeight="false" outlineLevel="0" collapsed="false">
      <c r="A66595" s="0" t="s">
        <v>21978</v>
      </c>
      <c r="B66595" s="0" t="str">
        <f aca="false">HYPERLINK("https://lindat.mff.cuni.cz/services/teitok/pdtc10/index.php?action=vallex&amp;frame=v-w9136f1", "zasloužit (v-w9136f1)")</f>
        <v>zasloužit (v-w9136f1)</v>
      </c>
    </row>
    <row r="66596" customFormat="false" ht="12.8" hidden="false" customHeight="false" outlineLevel="0" collapsed="false">
      <c r="B66596" s="0" t="s">
        <v>1</v>
      </c>
    </row>
    <row r="66597" customFormat="false" ht="12.8" hidden="false" customHeight="false" outlineLevel="0" collapsed="false">
      <c r="B66597" s="0" t="s">
        <v>402</v>
      </c>
    </row>
    <row r="66599" customFormat="false" ht="12.8" hidden="false" customHeight="false" outlineLevel="0" collapsed="false">
      <c r="A66599" s="0" t="s">
        <v>21979</v>
      </c>
      <c r="B66599" s="0" t="str">
        <f aca="false">HYPERLINK("https://lindat.mff.cuni.cz/services/teitok/pdtc10/index.php?action=vallex&amp;frame=v-w9137f1", "zasloužit se (v-w9137f1)")</f>
        <v>zasloužit se (v-w9137f1)</v>
      </c>
      <c r="E66599" s="0" t="str">
        <f aca="false">HYPERLINK("https://lindat.mff.cuni.cz/services/SynSemClass40/SynSemClass40.html?veclass=vec01231#vec01231-ces-cm00004", "vec01231")</f>
        <v>vec01231</v>
      </c>
      <c r="F66599" s="0" t="s">
        <v>6316</v>
      </c>
    </row>
    <row r="66600" customFormat="false" ht="12.8" hidden="false" customHeight="false" outlineLevel="0" collapsed="false">
      <c r="B66600" s="0" t="s">
        <v>1</v>
      </c>
      <c r="C66600" s="0" t="s">
        <v>6317</v>
      </c>
      <c r="E66600" s="0" t="s">
        <v>31</v>
      </c>
      <c r="F66600" s="0" t="s">
        <v>6318</v>
      </c>
    </row>
    <row r="66601" customFormat="false" ht="12.8" hidden="false" customHeight="false" outlineLevel="0" collapsed="false">
      <c r="B66601" s="0" t="s">
        <v>4350</v>
      </c>
      <c r="C66601" s="0" t="s">
        <v>6319</v>
      </c>
      <c r="E66601" s="0" t="s">
        <v>79</v>
      </c>
      <c r="F66601" s="0" t="s">
        <v>6320</v>
      </c>
    </row>
    <row r="66603" customFormat="false" ht="12.8" hidden="false" customHeight="false" outlineLevel="0" collapsed="false">
      <c r="A66603" s="0" t="s">
        <v>21980</v>
      </c>
      <c r="B66603" s="0" t="str">
        <f aca="false">HYPERLINK("https://lindat.mff.cuni.cz/services/teitok/pdtc10/index.php?action=vallex&amp;frame=v-w9138f1", "zasloužit si (v-w9138f1)")</f>
        <v>zasloužit si (v-w9138f1)</v>
      </c>
      <c r="E66603" s="0" t="str">
        <f aca="false">HYPERLINK("https://lindat.mff.cuni.cz/services/SynSemClass40/SynSemClass40.html?veclass=vec00988#vec00988-ces-cm00001", "vec00988")</f>
        <v>vec00988</v>
      </c>
      <c r="F66603" s="0" t="s">
        <v>21981</v>
      </c>
    </row>
    <row r="66604" customFormat="false" ht="12.8" hidden="false" customHeight="false" outlineLevel="0" collapsed="false">
      <c r="B66604" s="0" t="s">
        <v>1</v>
      </c>
      <c r="C66604" s="0" t="s">
        <v>6310</v>
      </c>
      <c r="E66604" s="0" t="s">
        <v>21982</v>
      </c>
      <c r="F66604" s="0" t="s">
        <v>21983</v>
      </c>
    </row>
    <row r="66605" customFormat="false" ht="12.8" hidden="false" customHeight="false" outlineLevel="0" collapsed="false">
      <c r="B66605" s="0" t="s">
        <v>2811</v>
      </c>
      <c r="C66605" s="0" t="s">
        <v>7124</v>
      </c>
      <c r="E66605" s="0" t="s">
        <v>21984</v>
      </c>
      <c r="F66605" s="0" t="s">
        <v>21985</v>
      </c>
    </row>
    <row r="66606" customFormat="false" ht="12.8" hidden="false" customHeight="false" outlineLevel="0" collapsed="false">
      <c r="B66606" s="0" t="s">
        <v>602</v>
      </c>
      <c r="E66606" s="0" t="s">
        <v>2176</v>
      </c>
      <c r="F66606" s="0" t="s">
        <v>2807</v>
      </c>
    </row>
    <row r="66608" customFormat="false" ht="12.8" hidden="false" customHeight="false" outlineLevel="0" collapsed="false">
      <c r="A66608" s="0" t="s">
        <v>21986</v>
      </c>
      <c r="B66608" s="0" t="str">
        <f aca="false">HYPERLINK("https://lindat.mff.cuni.cz/services/teitok/pdtc10/index.php?action=vallex&amp;frame=v-w9140f1", "zasluhovat (v-w9140f1)")</f>
        <v>zasluhovat (v-w9140f1)</v>
      </c>
    </row>
    <row r="66609" customFormat="false" ht="12.8" hidden="false" customHeight="false" outlineLevel="0" collapsed="false">
      <c r="B66609" s="0" t="s">
        <v>1</v>
      </c>
    </row>
    <row r="66610" customFormat="false" ht="12.8" hidden="false" customHeight="false" outlineLevel="0" collapsed="false">
      <c r="B66610" s="0" t="s">
        <v>8</v>
      </c>
    </row>
    <row r="66612" customFormat="false" ht="12.8" hidden="false" customHeight="false" outlineLevel="0" collapsed="false">
      <c r="A66612" s="0" t="s">
        <v>21987</v>
      </c>
      <c r="B66612" s="0" t="str">
        <f aca="false">HYPERLINK("https://lindat.mff.cuni.cz/services/teitok/pdtc10/index.php?action=vallex&amp;frame=v-w9141f1", "zasluhovat se (v-w9141f1)")</f>
        <v>zasluhovat se (v-w9141f1)</v>
      </c>
    </row>
    <row r="66613" customFormat="false" ht="12.8" hidden="false" customHeight="false" outlineLevel="0" collapsed="false">
      <c r="B66613" s="0" t="s">
        <v>1</v>
      </c>
    </row>
    <row r="66614" customFormat="false" ht="12.8" hidden="false" customHeight="false" outlineLevel="0" collapsed="false">
      <c r="B66614" s="0" t="s">
        <v>814</v>
      </c>
    </row>
    <row r="66616" customFormat="false" ht="12.8" hidden="false" customHeight="false" outlineLevel="0" collapsed="false">
      <c r="A66616" s="0" t="s">
        <v>21988</v>
      </c>
      <c r="B66616" s="0" t="str">
        <f aca="false">HYPERLINK("https://lindat.mff.cuni.cz/services/teitok/pdtc10/index.php?action=vallex&amp;frame=v-w9142f1", "zasluhovat si (v-w9142f1)")</f>
        <v>zasluhovat si (v-w9142f1)</v>
      </c>
      <c r="E66616" s="0" t="str">
        <f aca="false">HYPERLINK("https://lindat.mff.cuni.cz/services/SynSemClass40/SynSemClass40.html?veclass=vec00988#vec00988-ces-cm00010", "vec00988")</f>
        <v>vec00988</v>
      </c>
      <c r="F66616" s="0" t="s">
        <v>21981</v>
      </c>
    </row>
    <row r="66617" customFormat="false" ht="12.8" hidden="false" customHeight="false" outlineLevel="0" collapsed="false">
      <c r="B66617" s="0" t="s">
        <v>1</v>
      </c>
      <c r="C66617" s="0" t="s">
        <v>6310</v>
      </c>
      <c r="E66617" s="0" t="s">
        <v>21982</v>
      </c>
      <c r="F66617" s="0" t="s">
        <v>21983</v>
      </c>
    </row>
    <row r="66618" customFormat="false" ht="12.8" hidden="false" customHeight="false" outlineLevel="0" collapsed="false">
      <c r="B66618" s="0" t="s">
        <v>2811</v>
      </c>
      <c r="C66618" s="0" t="s">
        <v>7124</v>
      </c>
      <c r="E66618" s="0" t="s">
        <v>21984</v>
      </c>
      <c r="F66618" s="0" t="s">
        <v>21985</v>
      </c>
    </row>
    <row r="66619" customFormat="false" ht="12.8" hidden="false" customHeight="false" outlineLevel="0" collapsed="false">
      <c r="B66619" s="0" t="s">
        <v>602</v>
      </c>
      <c r="E66619" s="0" t="s">
        <v>2176</v>
      </c>
      <c r="F66619" s="0" t="s">
        <v>2807</v>
      </c>
    </row>
    <row r="66621" customFormat="false" ht="12.8" hidden="false" customHeight="false" outlineLevel="0" collapsed="false">
      <c r="A66621" s="0" t="s">
        <v>21989</v>
      </c>
      <c r="B66621" s="0" t="str">
        <f aca="false">HYPERLINK("https://lindat.mff.cuni.cz/services/teitok/pdtc10/index.php?action=vallex&amp;frame=v-w9144f1", "zasmečovat si (v-w9144f1)")</f>
        <v>zasmečovat si (v-w9144f1)</v>
      </c>
    </row>
    <row r="66622" customFormat="false" ht="12.8" hidden="false" customHeight="false" outlineLevel="0" collapsed="false">
      <c r="B66622" s="0" t="s">
        <v>1</v>
      </c>
    </row>
    <row r="66624" customFormat="false" ht="12.8" hidden="false" customHeight="false" outlineLevel="0" collapsed="false">
      <c r="A66624" s="0" t="s">
        <v>21990</v>
      </c>
      <c r="B66624" s="0" t="str">
        <f aca="false">HYPERLINK("https://lindat.mff.cuni.cz/services/teitok/pdtc10/index.php?action=vallex&amp;frame=v-w12153_ZUf1_ZU", "zasmrdět (v-w12153_ZUf1_ZU)")</f>
        <v>zasmrdět (v-w12153_ZUf1_ZU)</v>
      </c>
    </row>
    <row r="66625" customFormat="false" ht="12.8" hidden="false" customHeight="false" outlineLevel="0" collapsed="false">
      <c r="B66625" s="0" t="s">
        <v>1</v>
      </c>
    </row>
    <row r="66626" customFormat="false" ht="12.8" hidden="false" customHeight="false" outlineLevel="0" collapsed="false">
      <c r="B66626" s="0" t="s">
        <v>8</v>
      </c>
    </row>
    <row r="66628" customFormat="false" ht="12.8" hidden="false" customHeight="false" outlineLevel="0" collapsed="false">
      <c r="A66628" s="0" t="s">
        <v>21991</v>
      </c>
      <c r="B66628" s="0" t="str">
        <f aca="false">HYPERLINK("https://lindat.mff.cuni.cz/services/teitok/pdtc10/index.php?action=vallex&amp;frame=v-w9143hsa_440", "zasmát se (v-w9143hsa_440)")</f>
        <v>zasmát se (v-w9143hsa_440)</v>
      </c>
    </row>
    <row r="66629" customFormat="false" ht="12.8" hidden="false" customHeight="false" outlineLevel="0" collapsed="false">
      <c r="B66629" s="0" t="s">
        <v>1</v>
      </c>
    </row>
    <row r="66630" customFormat="false" ht="12.8" hidden="false" customHeight="false" outlineLevel="0" collapsed="false">
      <c r="B66630" s="0" t="s">
        <v>7759</v>
      </c>
    </row>
    <row r="66632" customFormat="false" ht="12.8" hidden="false" customHeight="false" outlineLevel="0" collapsed="false">
      <c r="A66632" s="0" t="s">
        <v>21991</v>
      </c>
      <c r="B66632" s="0" t="str">
        <f aca="false">HYPERLINK("https://lindat.mff.cuni.cz/services/teitok/pdtc10/index.php?action=vallex&amp;frame=v-w9143f1", "zasmát se (v-w9143f1) - substituted with v-w9143hsa_440")</f>
        <v>zasmát se (v-w9143f1) - substituted with v-w9143hsa_440</v>
      </c>
    </row>
    <row r="66633" customFormat="false" ht="12.8" hidden="false" customHeight="false" outlineLevel="0" collapsed="false">
      <c r="B66633" s="0" t="s">
        <v>1</v>
      </c>
    </row>
    <row r="66634" customFormat="false" ht="12.8" hidden="false" customHeight="false" outlineLevel="0" collapsed="false">
      <c r="B66634" s="0" t="s">
        <v>7759</v>
      </c>
    </row>
    <row r="66636" customFormat="false" ht="12.8" hidden="false" customHeight="false" outlineLevel="0" collapsed="false">
      <c r="A66636" s="0" t="s">
        <v>21992</v>
      </c>
      <c r="B66636" s="0" t="str">
        <f aca="false">HYPERLINK("https://lindat.mff.cuni.cz/services/teitok/pdtc10/index.php?action=vallex&amp;frame=v-w11416f1", "zasnoubit se (v-w11416f1)")</f>
        <v>zasnoubit se (v-w11416f1)</v>
      </c>
    </row>
    <row r="66637" customFormat="false" ht="12.8" hidden="false" customHeight="false" outlineLevel="0" collapsed="false">
      <c r="B66637" s="0" t="s">
        <v>1</v>
      </c>
    </row>
    <row r="66638" customFormat="false" ht="12.8" hidden="false" customHeight="false" outlineLevel="0" collapsed="false">
      <c r="B66638" s="0" t="s">
        <v>721</v>
      </c>
    </row>
    <row r="66640" customFormat="false" ht="12.8" hidden="false" customHeight="false" outlineLevel="0" collapsed="false">
      <c r="A66640" s="0" t="s">
        <v>21993</v>
      </c>
      <c r="B66640" s="0" t="str">
        <f aca="false">HYPERLINK("https://lindat.mff.cuni.cz/services/teitok/pdtc10/index.php?action=vallex&amp;frame=v-w9149f1", "zaspat (v-w9149f1)")</f>
        <v>zaspat (v-w9149f1)</v>
      </c>
    </row>
    <row r="66641" customFormat="false" ht="12.8" hidden="false" customHeight="false" outlineLevel="0" collapsed="false">
      <c r="B66641" s="0" t="s">
        <v>1</v>
      </c>
    </row>
    <row r="66642" customFormat="false" ht="12.8" hidden="false" customHeight="false" outlineLevel="0" collapsed="false">
      <c r="B66642" s="0" t="s">
        <v>390</v>
      </c>
    </row>
    <row r="66644" customFormat="false" ht="12.8" hidden="false" customHeight="false" outlineLevel="0" collapsed="false">
      <c r="A66644" s="0" t="s">
        <v>21994</v>
      </c>
      <c r="B66644" s="0" t="str">
        <f aca="false">HYPERLINK("https://lindat.mff.cuni.cz/services/teitok/pdtc10/index.php?action=vallex&amp;frame=v-w9149f2", "zaspat (v-w9149f2)")</f>
        <v>zaspat (v-w9149f2)</v>
      </c>
    </row>
    <row r="66645" customFormat="false" ht="12.8" hidden="false" customHeight="false" outlineLevel="0" collapsed="false">
      <c r="B66645" s="0" t="s">
        <v>1</v>
      </c>
    </row>
    <row r="66646" customFormat="false" ht="12.8" hidden="false" customHeight="false" outlineLevel="0" collapsed="false">
      <c r="B66646" s="0" t="s">
        <v>390</v>
      </c>
    </row>
    <row r="66648" customFormat="false" ht="12.8" hidden="false" customHeight="false" outlineLevel="0" collapsed="false">
      <c r="A66648" s="0" t="s">
        <v>21995</v>
      </c>
      <c r="B66648" s="0" t="str">
        <f aca="false">HYPERLINK("https://lindat.mff.cuni.cz/services/teitok/pdtc10/index.php?action=vallex&amp;frame=v-w9149f3", "zaspat (v-w9149f3)")</f>
        <v>zaspat (v-w9149f3)</v>
      </c>
    </row>
    <row r="66649" customFormat="false" ht="12.8" hidden="false" customHeight="false" outlineLevel="0" collapsed="false">
      <c r="B66649" s="0" t="s">
        <v>1</v>
      </c>
    </row>
    <row r="66650" customFormat="false" ht="12.8" hidden="false" customHeight="false" outlineLevel="0" collapsed="false">
      <c r="B66650" s="0" t="s">
        <v>390</v>
      </c>
    </row>
    <row r="66652" customFormat="false" ht="12.8" hidden="false" customHeight="false" outlineLevel="0" collapsed="false">
      <c r="A66652" s="0" t="s">
        <v>21996</v>
      </c>
      <c r="B66652" s="0" t="str">
        <f aca="false">HYPERLINK("https://lindat.mff.cuni.cz/services/teitok/pdtc10/index.php?action=vallex&amp;frame=v-whsa_1606hsa_1607", "zasportovat si (v-whsa_1606hsa_1607)")</f>
        <v>zasportovat si (v-whsa_1606hsa_1607)</v>
      </c>
    </row>
    <row r="66653" customFormat="false" ht="12.8" hidden="false" customHeight="false" outlineLevel="0" collapsed="false">
      <c r="B66653" s="0" t="s">
        <v>1</v>
      </c>
    </row>
    <row r="66655" customFormat="false" ht="12.8" hidden="false" customHeight="false" outlineLevel="0" collapsed="false">
      <c r="A66655" s="0" t="s">
        <v>21997</v>
      </c>
      <c r="B66655" s="0" t="str">
        <f aca="false">HYPERLINK("https://lindat.mff.cuni.cz/services/teitok/pdtc10/index.php?action=vallex&amp;frame=v-whsa_1147hsa_1148", "zastarat (v-whsa_1147hsa_1148)")</f>
        <v>zastarat (v-whsa_1147hsa_1148)</v>
      </c>
      <c r="E66655" s="0" t="str">
        <f aca="false">HYPERLINK("https://lindat.mff.cuni.cz/services/SynSemClass40/SynSemClass40.html?veclass=vec01380#vec01380-ces-cm00006", "vec01380")</f>
        <v>vec01380</v>
      </c>
      <c r="F66655" s="0" t="s">
        <v>2774</v>
      </c>
    </row>
    <row r="66656" customFormat="false" ht="12.8" hidden="false" customHeight="false" outlineLevel="0" collapsed="false">
      <c r="B66656" s="0" t="s">
        <v>1</v>
      </c>
      <c r="C66656" s="0" t="s">
        <v>9248</v>
      </c>
      <c r="E66656" s="0" t="s">
        <v>84</v>
      </c>
      <c r="F66656" s="0" t="s">
        <v>2778</v>
      </c>
    </row>
    <row r="66658" customFormat="false" ht="12.8" hidden="false" customHeight="false" outlineLevel="0" collapsed="false">
      <c r="A66658" s="0" t="s">
        <v>21998</v>
      </c>
      <c r="B66658" s="0" t="str">
        <f aca="false">HYPERLINK("https://lindat.mff.cuni.cz/services/teitok/pdtc10/index.php?action=vallex&amp;frame=v-whsa_836hsa_837", "zastarávat (v-whsa_836hsa_837)")</f>
        <v>zastarávat (v-whsa_836hsa_837)</v>
      </c>
      <c r="E66658" s="0" t="str">
        <f aca="false">HYPERLINK("https://lindat.mff.cuni.cz/services/SynSemClass40/SynSemClass40.html?veclass=vec01380#vec01380-ces-cm00039", "vec01380")</f>
        <v>vec01380</v>
      </c>
      <c r="F66658" s="0" t="s">
        <v>2774</v>
      </c>
    </row>
    <row r="66659" customFormat="false" ht="12.8" hidden="false" customHeight="false" outlineLevel="0" collapsed="false">
      <c r="B66659" s="0" t="s">
        <v>1</v>
      </c>
      <c r="C66659" s="0" t="s">
        <v>9248</v>
      </c>
      <c r="E66659" s="0" t="s">
        <v>84</v>
      </c>
      <c r="F66659" s="0" t="s">
        <v>2778</v>
      </c>
    </row>
    <row r="66661" customFormat="false" ht="12.8" hidden="false" customHeight="false" outlineLevel="0" collapsed="false">
      <c r="A66661" s="0" t="s">
        <v>21999</v>
      </c>
      <c r="B66661" s="0" t="str">
        <f aca="false">HYPERLINK("https://lindat.mff.cuni.cz/services/teitok/pdtc10/index.php?action=vallex&amp;frame=v-w9151f1", "zastat (v-w9151f1)")</f>
        <v>zastat (v-w9151f1)</v>
      </c>
      <c r="E66661" s="0" t="str">
        <f aca="false">HYPERLINK("https://lindat.mff.cuni.cz/services/SynSemClass40/SynSemClass40.html?veclass=vec00373#vec00373-ces-cm00125", "vec00373")</f>
        <v>vec00373</v>
      </c>
      <c r="F66661" s="0" t="s">
        <v>6637</v>
      </c>
    </row>
    <row r="66662" customFormat="false" ht="12.8" hidden="false" customHeight="false" outlineLevel="0" collapsed="false">
      <c r="B66662" s="0" t="s">
        <v>1</v>
      </c>
      <c r="C66662" s="0" t="s">
        <v>11591</v>
      </c>
      <c r="E66662" s="0" t="s">
        <v>11</v>
      </c>
      <c r="F66662" s="0" t="s">
        <v>6639</v>
      </c>
    </row>
    <row r="66663" customFormat="false" ht="12.8" hidden="false" customHeight="false" outlineLevel="0" collapsed="false">
      <c r="B66663" s="0" t="s">
        <v>8</v>
      </c>
      <c r="E66663" s="0" t="s">
        <v>5221</v>
      </c>
      <c r="F66663" s="0" t="s">
        <v>6640</v>
      </c>
    </row>
    <row r="66665" customFormat="false" ht="12.8" hidden="false" customHeight="false" outlineLevel="0" collapsed="false">
      <c r="A66665" s="0" t="s">
        <v>22000</v>
      </c>
      <c r="B66665" s="0" t="str">
        <f aca="false">HYPERLINK("https://lindat.mff.cuni.cz/services/teitok/pdtc10/index.php?action=vallex&amp;frame=v-w9152f1", "zastat se (v-w9152f1)")</f>
        <v>zastat se (v-w9152f1)</v>
      </c>
      <c r="E66665" s="0" t="str">
        <f aca="false">HYPERLINK("https://lindat.mff.cuni.cz/services/SynSemClass40/SynSemClass40.html?veclass=vec00244#vec00244-ces-cm00021", "vec00244")</f>
        <v>vec00244</v>
      </c>
      <c r="F66665" s="0" t="s">
        <v>567</v>
      </c>
    </row>
    <row r="66666" customFormat="false" ht="12.8" hidden="false" customHeight="false" outlineLevel="0" collapsed="false">
      <c r="B66666" s="0" t="s">
        <v>1</v>
      </c>
      <c r="C66666" s="0" t="s">
        <v>568</v>
      </c>
      <c r="E66666" s="0" t="s">
        <v>569</v>
      </c>
      <c r="F66666" s="0" t="s">
        <v>570</v>
      </c>
    </row>
    <row r="66667" customFormat="false" ht="12.8" hidden="false" customHeight="false" outlineLevel="0" collapsed="false">
      <c r="B66667" s="0" t="s">
        <v>1289</v>
      </c>
      <c r="C66667" s="0" t="s">
        <v>571</v>
      </c>
      <c r="E66667" s="0" t="s">
        <v>572</v>
      </c>
      <c r="F66667" s="0" t="s">
        <v>573</v>
      </c>
    </row>
    <row r="66669" customFormat="false" ht="12.8" hidden="false" customHeight="false" outlineLevel="0" collapsed="false">
      <c r="A66669" s="0" t="s">
        <v>22001</v>
      </c>
      <c r="B66669" s="0" t="str">
        <f aca="false">HYPERLINK("https://lindat.mff.cuni.cz/services/teitok/pdtc10/index.php?action=vallex&amp;frame=v-w9160f1", "zastavit (v-w9160f1)")</f>
        <v>zastavit (v-w9160f1)</v>
      </c>
      <c r="E66669" s="0" t="str">
        <f aca="false">HYPERLINK("https://lindat.mff.cuni.cz/services/SynSemClass40/SynSemClass40.html?veclass=vec00213#vec00213-ces-cm00033", "vec00213")</f>
        <v>vec00213</v>
      </c>
      <c r="F66669" s="0" t="s">
        <v>2399</v>
      </c>
    </row>
    <row r="66670" customFormat="false" ht="12.8" hidden="false" customHeight="false" outlineLevel="0" collapsed="false">
      <c r="B66670" s="0" t="s">
        <v>1</v>
      </c>
      <c r="C66670" s="0" t="s">
        <v>2400</v>
      </c>
      <c r="E66670" s="0" t="s">
        <v>31</v>
      </c>
      <c r="F66670" s="0" t="s">
        <v>2401</v>
      </c>
    </row>
    <row r="66671" customFormat="false" ht="12.8" hidden="false" customHeight="false" outlineLevel="0" collapsed="false">
      <c r="B66671" s="0" t="s">
        <v>8</v>
      </c>
      <c r="C66671" s="0" t="s">
        <v>2402</v>
      </c>
      <c r="E66671" s="0" t="s">
        <v>2403</v>
      </c>
      <c r="F66671" s="0" t="s">
        <v>2404</v>
      </c>
    </row>
    <row r="66673" customFormat="false" ht="12.8" hidden="false" customHeight="false" outlineLevel="0" collapsed="false">
      <c r="A66673" s="0" t="s">
        <v>22002</v>
      </c>
      <c r="B66673" s="0" t="str">
        <f aca="false">HYPERLINK("https://lindat.mff.cuni.cz/services/teitok/pdtc10/index.php?action=vallex&amp;frame=v-w9160f2", "zastavit (v-w9160f2)")</f>
        <v>zastavit (v-w9160f2)</v>
      </c>
    </row>
    <row r="66674" customFormat="false" ht="12.8" hidden="false" customHeight="false" outlineLevel="0" collapsed="false">
      <c r="B66674" s="0" t="s">
        <v>1</v>
      </c>
    </row>
    <row r="66675" customFormat="false" ht="12.8" hidden="false" customHeight="false" outlineLevel="0" collapsed="false">
      <c r="B66675" s="0" t="s">
        <v>8</v>
      </c>
    </row>
    <row r="66677" customFormat="false" ht="12.8" hidden="false" customHeight="false" outlineLevel="0" collapsed="false">
      <c r="A66677" s="0" t="s">
        <v>22003</v>
      </c>
      <c r="B66677" s="0" t="str">
        <f aca="false">HYPERLINK("https://lindat.mff.cuni.cz/services/teitok/pdtc10/index.php?action=vallex&amp;frame=v-w9160f7_ZU", "zastavit (v-w9160f7_ZU)")</f>
        <v>zastavit (v-w9160f7_ZU)</v>
      </c>
    </row>
    <row r="66678" customFormat="false" ht="12.8" hidden="false" customHeight="false" outlineLevel="0" collapsed="false">
      <c r="B66678" s="0" t="s">
        <v>1</v>
      </c>
    </row>
    <row r="66679" customFormat="false" ht="12.8" hidden="false" customHeight="false" outlineLevel="0" collapsed="false">
      <c r="B66679" s="0" t="s">
        <v>8</v>
      </c>
    </row>
    <row r="66681" customFormat="false" ht="12.8" hidden="false" customHeight="false" outlineLevel="0" collapsed="false">
      <c r="A66681" s="0" t="s">
        <v>22003</v>
      </c>
      <c r="B66681" s="0" t="str">
        <f aca="false">HYPERLINK("https://lindat.mff.cuni.cz/services/teitok/pdtc10/index.php?action=vallex&amp;frame=v-w9160f3", "zastavit (v-w9160f3) - substituted with v-w9160f7_ZU")</f>
        <v>zastavit (v-w9160f3) - substituted with v-w9160f7_ZU</v>
      </c>
      <c r="E66681" s="0" t="str">
        <f aca="false">HYPERLINK("https://lindat.mff.cuni.cz/services/SynSemClass40/SynSemClass40.html?veclass=vec01375#vec01375-ces-cm00003", "vec01375")</f>
        <v>vec01375</v>
      </c>
      <c r="F66681" s="0" t="s">
        <v>11914</v>
      </c>
    </row>
    <row r="66682" customFormat="false" ht="12.8" hidden="false" customHeight="false" outlineLevel="0" collapsed="false">
      <c r="B66682" s="0" t="s">
        <v>1</v>
      </c>
      <c r="C66682" s="0" t="s">
        <v>13636</v>
      </c>
      <c r="E66682" s="0" t="s">
        <v>206</v>
      </c>
      <c r="F66682" s="0" t="s">
        <v>11916</v>
      </c>
    </row>
    <row r="66683" customFormat="false" ht="12.8" hidden="false" customHeight="false" outlineLevel="0" collapsed="false">
      <c r="B66683" s="0" t="s">
        <v>8</v>
      </c>
      <c r="C66683" s="0" t="s">
        <v>13637</v>
      </c>
      <c r="E66683" s="0" t="s">
        <v>7315</v>
      </c>
      <c r="F66683" s="0" t="s">
        <v>11918</v>
      </c>
    </row>
    <row r="66685" customFormat="false" ht="12.8" hidden="false" customHeight="false" outlineLevel="0" collapsed="false">
      <c r="A66685" s="0" t="s">
        <v>22004</v>
      </c>
      <c r="B66685" s="0" t="str">
        <f aca="false">HYPERLINK("https://lindat.mff.cuni.cz/services/teitok/pdtc10/index.php?action=vallex&amp;frame=v-w9160f6_ZU", "zastavit (v-w9160f6_ZU)")</f>
        <v>zastavit (v-w9160f6_ZU)</v>
      </c>
    </row>
    <row r="66686" customFormat="false" ht="12.8" hidden="false" customHeight="false" outlineLevel="0" collapsed="false">
      <c r="B66686" s="0" t="s">
        <v>1</v>
      </c>
    </row>
    <row r="66688" customFormat="false" ht="12.8" hidden="false" customHeight="false" outlineLevel="0" collapsed="false">
      <c r="A66688" s="0" t="s">
        <v>22004</v>
      </c>
      <c r="B66688" s="0" t="str">
        <f aca="false">HYPERLINK("https://lindat.mff.cuni.cz/services/teitok/pdtc10/index.php?action=vallex&amp;frame=v-w9160f4", "zastavit (v-w9160f4) - substituted with v-w9160f6_ZU")</f>
        <v>zastavit (v-w9160f4) - substituted with v-w9160f6_ZU</v>
      </c>
      <c r="E66688" s="0" t="str">
        <f aca="false">HYPERLINK("https://lindat.mff.cuni.cz/services/SynSemClass40/SynSemClass40.html?veclass=vec00579#vec00579-ces-cm00006", "vec00579")</f>
        <v>vec00579</v>
      </c>
      <c r="F66688" s="0" t="s">
        <v>22005</v>
      </c>
    </row>
    <row r="66689" customFormat="false" ht="12.8" hidden="false" customHeight="false" outlineLevel="0" collapsed="false">
      <c r="B66689" s="0" t="s">
        <v>1</v>
      </c>
      <c r="C66689" s="0" t="s">
        <v>22006</v>
      </c>
      <c r="E66689" s="0" t="s">
        <v>11</v>
      </c>
      <c r="F66689" s="0" t="s">
        <v>22007</v>
      </c>
    </row>
    <row r="66691" customFormat="false" ht="12.8" hidden="false" customHeight="false" outlineLevel="0" collapsed="false">
      <c r="A66691" s="0" t="s">
        <v>22008</v>
      </c>
      <c r="B66691" s="0" t="str">
        <f aca="false">HYPERLINK("https://lindat.mff.cuni.cz/services/teitok/pdtc10/index.php?action=vallex&amp;frame=v-w9160f5_ZU", "zastavit (v-w9160f5_ZU)")</f>
        <v>zastavit (v-w9160f5_ZU)</v>
      </c>
    </row>
    <row r="66692" customFormat="false" ht="12.8" hidden="false" customHeight="false" outlineLevel="0" collapsed="false">
      <c r="B66692" s="0" t="s">
        <v>1</v>
      </c>
    </row>
    <row r="66693" customFormat="false" ht="12.8" hidden="false" customHeight="false" outlineLevel="0" collapsed="false">
      <c r="B66693" s="0" t="s">
        <v>536</v>
      </c>
    </row>
    <row r="66694" customFormat="false" ht="12.8" hidden="false" customHeight="false" outlineLevel="0" collapsed="false">
      <c r="B66694" s="0" t="s">
        <v>98</v>
      </c>
    </row>
    <row r="66696" customFormat="false" ht="12.8" hidden="false" customHeight="false" outlineLevel="0" collapsed="false">
      <c r="A66696" s="0" t="s">
        <v>22009</v>
      </c>
      <c r="B66696" s="0" t="str">
        <f aca="false">HYPERLINK("https://lindat.mff.cuni.cz/services/teitok/pdtc10/index.php?action=vallex&amp;frame=v-w9160hsa_960", "zastavit (v-w9160hsa_960)")</f>
        <v>zastavit (v-w9160hsa_960)</v>
      </c>
    </row>
    <row r="66697" customFormat="false" ht="12.8" hidden="false" customHeight="false" outlineLevel="0" collapsed="false">
      <c r="B66697" s="0" t="s">
        <v>1</v>
      </c>
    </row>
    <row r="66698" customFormat="false" ht="12.8" hidden="false" customHeight="false" outlineLevel="0" collapsed="false">
      <c r="B66698" s="0" t="s">
        <v>8</v>
      </c>
    </row>
    <row r="66700" customFormat="false" ht="12.8" hidden="false" customHeight="false" outlineLevel="0" collapsed="false">
      <c r="A66700" s="0" t="s">
        <v>22010</v>
      </c>
      <c r="B66700" s="0" t="str">
        <f aca="false">HYPERLINK("https://lindat.mff.cuni.cz/services/teitok/pdtc10/index.php?action=vallex&amp;frame=v-w9161f1", "zastavit se (v-w9161f1)")</f>
        <v>zastavit se (v-w9161f1)</v>
      </c>
      <c r="E66700" s="0" t="str">
        <f aca="false">HYPERLINK("https://lindat.mff.cuni.cz/services/SynSemClass40/SynSemClass40.html?veclass=vec00042#vec00042-ces-cm00053", "vec00042")</f>
        <v>vec00042</v>
      </c>
      <c r="F66700" s="0" t="s">
        <v>1411</v>
      </c>
      <c r="H66700" s="0" t="str">
        <f aca="false">HYPERLINK("https://lindat.mff.cuni.cz/services/SynSemClass40/SynSemClass40.html?veclass=vec00579#vec00579-ces-cm00001", "vec00579")</f>
        <v>vec00579</v>
      </c>
      <c r="I66700" s="0" t="s">
        <v>22005</v>
      </c>
    </row>
    <row r="66701" customFormat="false" ht="12.8" hidden="false" customHeight="false" outlineLevel="0" collapsed="false">
      <c r="B66701" s="0" t="s">
        <v>1</v>
      </c>
      <c r="C66701" s="0" t="s">
        <v>22011</v>
      </c>
      <c r="E66701" s="0" t="s">
        <v>1413</v>
      </c>
      <c r="F66701" s="0" t="s">
        <v>1414</v>
      </c>
      <c r="H66701" s="0" t="s">
        <v>11</v>
      </c>
      <c r="I66701" s="0" t="s">
        <v>22007</v>
      </c>
    </row>
    <row r="66702" customFormat="false" ht="12.8" hidden="false" customHeight="false" outlineLevel="0" collapsed="false">
      <c r="B66702" s="0" t="s">
        <v>5</v>
      </c>
      <c r="C66702" s="0" t="s">
        <v>22012</v>
      </c>
      <c r="E66702" s="0" t="s">
        <v>22013</v>
      </c>
      <c r="F66702" s="0" t="s">
        <v>22014</v>
      </c>
      <c r="H66702" s="0" t="s">
        <v>3254</v>
      </c>
      <c r="I66702" s="0" t="s">
        <v>22015</v>
      </c>
    </row>
    <row r="66704" customFormat="false" ht="12.8" hidden="false" customHeight="false" outlineLevel="0" collapsed="false">
      <c r="A66704" s="0" t="s">
        <v>22016</v>
      </c>
      <c r="B66704" s="0" t="str">
        <f aca="false">HYPERLINK("https://lindat.mff.cuni.cz/services/teitok/pdtc10/index.php?action=vallex&amp;frame=v-w9161f2", "zastavit se (v-w9161f2)")</f>
        <v>zastavit se (v-w9161f2)</v>
      </c>
      <c r="E66704" s="0" t="str">
        <f aca="false">HYPERLINK("https://lindat.mff.cuni.cz/services/SynSemClass40/SynSemClass40.html?veclass=vec00113#vec00113-ces-cm00245", "vec00113")</f>
        <v>vec00113</v>
      </c>
      <c r="F66704" s="0" t="s">
        <v>2122</v>
      </c>
      <c r="H66704" s="0" t="str">
        <f aca="false">HYPERLINK("https://lindat.mff.cuni.cz/services/SynSemClass40/SynSemClass40.html?veclass=vec01475#vec01475-ces-cm00031", "vec01475")</f>
        <v>vec01475</v>
      </c>
      <c r="I66704" s="0" t="s">
        <v>1082</v>
      </c>
    </row>
    <row r="66705" customFormat="false" ht="12.8" hidden="false" customHeight="false" outlineLevel="0" collapsed="false">
      <c r="B66705" s="0" t="s">
        <v>1</v>
      </c>
      <c r="C66705" s="0" t="s">
        <v>22017</v>
      </c>
      <c r="E66705" s="0" t="s">
        <v>1084</v>
      </c>
      <c r="F66705" s="0" t="s">
        <v>2124</v>
      </c>
      <c r="H66705" s="0" t="s">
        <v>1086</v>
      </c>
      <c r="I66705" s="0" t="s">
        <v>1087</v>
      </c>
    </row>
    <row r="66707" customFormat="false" ht="12.8" hidden="false" customHeight="false" outlineLevel="0" collapsed="false">
      <c r="A66707" s="0" t="s">
        <v>22018</v>
      </c>
      <c r="B66707" s="0" t="str">
        <f aca="false">HYPERLINK("https://lindat.mff.cuni.cz/services/teitok/pdtc10/index.php?action=vallex&amp;frame=v-w9161f3", "zastavit se (v-w9161f3)")</f>
        <v>zastavit se (v-w9161f3)</v>
      </c>
      <c r="E66707" s="0" t="str">
        <f aca="false">HYPERLINK("https://lindat.mff.cuni.cz/services/SynSemClass40/SynSemClass40.html?veclass=vec00113#vec00113-ces-cm00300", "vec00113")</f>
        <v>vec00113</v>
      </c>
      <c r="F66707" s="0" t="s">
        <v>2122</v>
      </c>
      <c r="H66707" s="0" t="str">
        <f aca="false">HYPERLINK("https://lindat.mff.cuni.cz/services/SynSemClass40/SynSemClass40.html?veclass=vec01369#vec01369-ces-cm00039", "vec01369")</f>
        <v>vec01369</v>
      </c>
      <c r="I66707" s="0" t="s">
        <v>16483</v>
      </c>
    </row>
    <row r="66708" customFormat="false" ht="12.8" hidden="false" customHeight="false" outlineLevel="0" collapsed="false">
      <c r="B66708" s="0" t="s">
        <v>1</v>
      </c>
      <c r="C66708" s="0" t="s">
        <v>22019</v>
      </c>
      <c r="E66708" s="0" t="s">
        <v>1084</v>
      </c>
      <c r="F66708" s="0" t="s">
        <v>2124</v>
      </c>
      <c r="H66708" s="0" t="s">
        <v>1086</v>
      </c>
      <c r="I66708" s="0" t="s">
        <v>16485</v>
      </c>
    </row>
    <row r="66710" customFormat="false" ht="12.8" hidden="false" customHeight="false" outlineLevel="0" collapsed="false">
      <c r="A66710" s="0" t="s">
        <v>22020</v>
      </c>
      <c r="B66710" s="0" t="str">
        <f aca="false">HYPERLINK("https://lindat.mff.cuni.cz/services/teitok/pdtc10/index.php?action=vallex&amp;frame=v-w9161f4_ZU", "zastavit se (v-w9161f4_ZU)")</f>
        <v>zastavit se (v-w9161f4_ZU)</v>
      </c>
    </row>
    <row r="66711" customFormat="false" ht="12.8" hidden="false" customHeight="false" outlineLevel="0" collapsed="false">
      <c r="B66711" s="0" t="s">
        <v>1</v>
      </c>
    </row>
    <row r="66713" customFormat="false" ht="12.8" hidden="false" customHeight="false" outlineLevel="0" collapsed="false">
      <c r="A66713" s="0" t="s">
        <v>22021</v>
      </c>
      <c r="B66713" s="0" t="str">
        <f aca="false">HYPERLINK("https://lindat.mff.cuni.cz/services/teitok/pdtc10/index.php?action=vallex&amp;frame=v-w9162f1", "zastavovat (v-w9162f1)")</f>
        <v>zastavovat (v-w9162f1)</v>
      </c>
    </row>
    <row r="66714" customFormat="false" ht="12.8" hidden="false" customHeight="false" outlineLevel="0" collapsed="false">
      <c r="B66714" s="0" t="s">
        <v>1</v>
      </c>
    </row>
    <row r="66715" customFormat="false" ht="12.8" hidden="false" customHeight="false" outlineLevel="0" collapsed="false">
      <c r="B66715" s="0" t="s">
        <v>8</v>
      </c>
    </row>
    <row r="66717" customFormat="false" ht="12.8" hidden="false" customHeight="false" outlineLevel="0" collapsed="false">
      <c r="A66717" s="0" t="s">
        <v>22022</v>
      </c>
      <c r="B66717" s="0" t="str">
        <f aca="false">HYPERLINK("https://lindat.mff.cuni.cz/services/teitok/pdtc10/index.php?action=vallex&amp;frame=v-w9162f3", "zastavovat (v-w9162f3)")</f>
        <v>zastavovat (v-w9162f3)</v>
      </c>
      <c r="E66717" s="0" t="str">
        <f aca="false">HYPERLINK("https://lindat.mff.cuni.cz/services/SynSemClass40/SynSemClass40.html?veclass=vec00198#vec00198-ces-cm00205", "vec00198")</f>
        <v>vec00198</v>
      </c>
      <c r="F66717" s="0" t="s">
        <v>134</v>
      </c>
    </row>
    <row r="66718" customFormat="false" ht="12.8" hidden="false" customHeight="false" outlineLevel="0" collapsed="false">
      <c r="B66718" s="0" t="s">
        <v>1</v>
      </c>
      <c r="C66718" s="0" t="s">
        <v>8126</v>
      </c>
      <c r="E66718" s="0" t="s">
        <v>31</v>
      </c>
      <c r="F66718" s="0" t="s">
        <v>137</v>
      </c>
    </row>
    <row r="66719" customFormat="false" ht="12.8" hidden="false" customHeight="false" outlineLevel="0" collapsed="false">
      <c r="B66719" s="0" t="s">
        <v>8</v>
      </c>
      <c r="C66719" s="0" t="s">
        <v>8127</v>
      </c>
      <c r="E66719" s="0" t="s">
        <v>140</v>
      </c>
      <c r="F66719" s="0" t="s">
        <v>141</v>
      </c>
    </row>
    <row r="66721" customFormat="false" ht="12.8" hidden="false" customHeight="false" outlineLevel="0" collapsed="false">
      <c r="A66721" s="0" t="s">
        <v>22023</v>
      </c>
      <c r="B66721" s="0" t="str">
        <f aca="false">HYPERLINK("https://lindat.mff.cuni.cz/services/teitok/pdtc10/index.php?action=vallex&amp;frame=v-w9162f4", "zastavovat (v-w9162f4)")</f>
        <v>zastavovat (v-w9162f4)</v>
      </c>
      <c r="E66721" s="0" t="str">
        <f aca="false">HYPERLINK("https://lindat.mff.cuni.cz/services/SynSemClass40/SynSemClass40.html?veclass=vec01375#vec01375-ces-cm00004", "vec01375")</f>
        <v>vec01375</v>
      </c>
      <c r="F66721" s="0" t="s">
        <v>11914</v>
      </c>
    </row>
    <row r="66722" customFormat="false" ht="12.8" hidden="false" customHeight="false" outlineLevel="0" collapsed="false">
      <c r="B66722" s="0" t="s">
        <v>1</v>
      </c>
      <c r="C66722" s="0" t="s">
        <v>13636</v>
      </c>
      <c r="E66722" s="0" t="s">
        <v>206</v>
      </c>
      <c r="F66722" s="0" t="s">
        <v>11916</v>
      </c>
    </row>
    <row r="66723" customFormat="false" ht="12.8" hidden="false" customHeight="false" outlineLevel="0" collapsed="false">
      <c r="B66723" s="0" t="s">
        <v>8</v>
      </c>
      <c r="C66723" s="0" t="s">
        <v>13637</v>
      </c>
      <c r="E66723" s="0" t="s">
        <v>7315</v>
      </c>
      <c r="F66723" s="0" t="s">
        <v>11918</v>
      </c>
    </row>
    <row r="66725" customFormat="false" ht="12.8" hidden="false" customHeight="false" outlineLevel="0" collapsed="false">
      <c r="A66725" s="0" t="s">
        <v>22024</v>
      </c>
      <c r="B66725" s="0" t="str">
        <f aca="false">HYPERLINK("https://lindat.mff.cuni.cz/services/teitok/pdtc10/index.php?action=vallex&amp;frame=v-w9162f2", "zastavovat (v-w9162f2)")</f>
        <v>zastavovat (v-w9162f2)</v>
      </c>
      <c r="E66725" s="0" t="str">
        <f aca="false">HYPERLINK("https://lindat.mff.cuni.cz/services/SynSemClass40/SynSemClass40.html?veclass=vec00579#vec00579-ces-cm00008", "vec00579")</f>
        <v>vec00579</v>
      </c>
      <c r="F66725" s="0" t="s">
        <v>22005</v>
      </c>
    </row>
    <row r="66726" customFormat="false" ht="12.8" hidden="false" customHeight="false" outlineLevel="0" collapsed="false">
      <c r="B66726" s="0" t="s">
        <v>1</v>
      </c>
      <c r="C66726" s="0" t="s">
        <v>22006</v>
      </c>
      <c r="E66726" s="0" t="s">
        <v>11</v>
      </c>
      <c r="F66726" s="0" t="s">
        <v>22007</v>
      </c>
    </row>
    <row r="66728" customFormat="false" ht="12.8" hidden="false" customHeight="false" outlineLevel="0" collapsed="false">
      <c r="A66728" s="0" t="s">
        <v>22025</v>
      </c>
      <c r="B66728" s="0" t="str">
        <f aca="false">HYPERLINK("https://lindat.mff.cuni.cz/services/teitok/pdtc10/index.php?action=vallex&amp;frame=v-w9163f1", "zastavovat se (v-w9163f1)")</f>
        <v>zastavovat se (v-w9163f1)</v>
      </c>
    </row>
    <row r="66729" customFormat="false" ht="12.8" hidden="false" customHeight="false" outlineLevel="0" collapsed="false">
      <c r="B66729" s="0" t="s">
        <v>1</v>
      </c>
    </row>
    <row r="66731" customFormat="false" ht="12.8" hidden="false" customHeight="false" outlineLevel="0" collapsed="false">
      <c r="A66731" s="0" t="s">
        <v>22026</v>
      </c>
      <c r="B66731" s="0" t="str">
        <f aca="false">HYPERLINK("https://lindat.mff.cuni.cz/services/teitok/pdtc10/index.php?action=vallex&amp;frame=v-w11904_ZUf1_ZU", "zastavět (v-w11904_ZUf1_ZU)")</f>
        <v>zastavět (v-w11904_ZUf1_ZU)</v>
      </c>
    </row>
    <row r="66732" customFormat="false" ht="12.8" hidden="false" customHeight="false" outlineLevel="0" collapsed="false">
      <c r="B66732" s="0" t="s">
        <v>1</v>
      </c>
    </row>
    <row r="66733" customFormat="false" ht="12.8" hidden="false" customHeight="false" outlineLevel="0" collapsed="false">
      <c r="B66733" s="0" t="s">
        <v>8</v>
      </c>
    </row>
    <row r="66735" customFormat="false" ht="12.8" hidden="false" customHeight="false" outlineLevel="0" collapsed="false">
      <c r="A66735" s="0" t="s">
        <v>22027</v>
      </c>
      <c r="B66735" s="0" t="str">
        <f aca="false">HYPERLINK("https://lindat.mff.cuni.cz/services/teitok/pdtc10/index.php?action=vallex&amp;frame=v-w9164f1", "zastihnout (v-w9164f1)")</f>
        <v>zastihnout (v-w9164f1)</v>
      </c>
      <c r="E66735" s="0" t="str">
        <f aca="false">HYPERLINK("https://lindat.mff.cuni.cz/services/SynSemClass40/SynSemClass40.html?veclass=vec00374#vec00374-ces-cm00001", "vec00374")</f>
        <v>vec00374</v>
      </c>
      <c r="F66735" s="0" t="s">
        <v>8742</v>
      </c>
    </row>
    <row r="66736" customFormat="false" ht="12.8" hidden="false" customHeight="false" outlineLevel="0" collapsed="false">
      <c r="B66736" s="0" t="s">
        <v>1</v>
      </c>
      <c r="C66736" s="0" t="s">
        <v>3385</v>
      </c>
      <c r="E66736" s="0" t="s">
        <v>31</v>
      </c>
      <c r="F66736" s="0" t="s">
        <v>8743</v>
      </c>
    </row>
    <row r="66737" customFormat="false" ht="12.8" hidden="false" customHeight="false" outlineLevel="0" collapsed="false">
      <c r="B66737" s="0" t="s">
        <v>8</v>
      </c>
      <c r="C66737" s="0" t="s">
        <v>571</v>
      </c>
      <c r="E66737" s="0" t="s">
        <v>8744</v>
      </c>
      <c r="F66737" s="0" t="s">
        <v>8745</v>
      </c>
    </row>
    <row r="66739" customFormat="false" ht="12.8" hidden="false" customHeight="false" outlineLevel="0" collapsed="false">
      <c r="A66739" s="0" t="s">
        <v>22028</v>
      </c>
      <c r="B66739" s="0" t="str">
        <f aca="false">HYPERLINK("https://lindat.mff.cuni.cz/services/teitok/pdtc10/index.php?action=vallex&amp;frame=v-w9164f2_ZU", "zastihnout (v-w9164f2_ZU)")</f>
        <v>zastihnout (v-w9164f2_ZU)</v>
      </c>
    </row>
    <row r="66740" customFormat="false" ht="12.8" hidden="false" customHeight="false" outlineLevel="0" collapsed="false">
      <c r="B66740" s="0" t="s">
        <v>1</v>
      </c>
    </row>
    <row r="66741" customFormat="false" ht="12.8" hidden="false" customHeight="false" outlineLevel="0" collapsed="false">
      <c r="B66741" s="0" t="s">
        <v>8</v>
      </c>
    </row>
    <row r="66742" customFormat="false" ht="12.8" hidden="false" customHeight="false" outlineLevel="0" collapsed="false">
      <c r="B66742" s="0" t="s">
        <v>22029</v>
      </c>
    </row>
    <row r="66744" customFormat="false" ht="12.8" hidden="false" customHeight="false" outlineLevel="0" collapsed="false">
      <c r="A66744" s="0" t="s">
        <v>22028</v>
      </c>
      <c r="B66744" s="0" t="str">
        <f aca="false">HYPERLINK("https://lindat.mff.cuni.cz/services/teitok/pdtc10/index.php?action=vallex&amp;frame=v-w9164hsa_464", "zastihnout (v-w9164hsa_464) - substituted with v-w9164f2_ZU")</f>
        <v>zastihnout (v-w9164hsa_464) - substituted with v-w9164f2_ZU</v>
      </c>
    </row>
    <row r="66745" customFormat="false" ht="12.8" hidden="false" customHeight="false" outlineLevel="0" collapsed="false">
      <c r="B66745" s="0" t="s">
        <v>1</v>
      </c>
    </row>
    <row r="66746" customFormat="false" ht="12.8" hidden="false" customHeight="false" outlineLevel="0" collapsed="false">
      <c r="B66746" s="0" t="s">
        <v>8</v>
      </c>
    </row>
    <row r="66747" customFormat="false" ht="12.8" hidden="false" customHeight="false" outlineLevel="0" collapsed="false">
      <c r="B66747" s="0" t="s">
        <v>22029</v>
      </c>
    </row>
    <row r="66749" customFormat="false" ht="12.8" hidden="false" customHeight="false" outlineLevel="0" collapsed="false">
      <c r="A66749" s="0" t="s">
        <v>22030</v>
      </c>
      <c r="B66749" s="0" t="str">
        <f aca="false">HYPERLINK("https://lindat.mff.cuni.cz/services/teitok/pdtc10/index.php?action=vallex&amp;frame=v-w9166f3", "zastiňovat (v-w9166f3)")</f>
        <v>zastiňovat (v-w9166f3)</v>
      </c>
    </row>
    <row r="66750" customFormat="false" ht="12.8" hidden="false" customHeight="false" outlineLevel="0" collapsed="false">
      <c r="B66750" s="0" t="s">
        <v>1</v>
      </c>
    </row>
    <row r="66751" customFormat="false" ht="12.8" hidden="false" customHeight="false" outlineLevel="0" collapsed="false">
      <c r="B66751" s="0" t="s">
        <v>4245</v>
      </c>
    </row>
    <row r="66752" customFormat="false" ht="12.8" hidden="false" customHeight="false" outlineLevel="0" collapsed="false">
      <c r="B66752" s="0" t="s">
        <v>4248</v>
      </c>
    </row>
    <row r="66754" customFormat="false" ht="12.8" hidden="false" customHeight="false" outlineLevel="0" collapsed="false">
      <c r="A66754" s="0" t="s">
        <v>22031</v>
      </c>
      <c r="B66754" s="0" t="str">
        <f aca="false">HYPERLINK("https://lindat.mff.cuni.cz/services/teitok/pdtc10/index.php?action=vallex&amp;frame=v-w9166f1", "zastiňovat (v-w9166f1)")</f>
        <v>zastiňovat (v-w9166f1)</v>
      </c>
    </row>
    <row r="66755" customFormat="false" ht="12.8" hidden="false" customHeight="false" outlineLevel="0" collapsed="false">
      <c r="B66755" s="0" t="s">
        <v>1</v>
      </c>
    </row>
    <row r="66756" customFormat="false" ht="12.8" hidden="false" customHeight="false" outlineLevel="0" collapsed="false">
      <c r="B66756" s="0" t="s">
        <v>8</v>
      </c>
    </row>
    <row r="66758" customFormat="false" ht="12.8" hidden="false" customHeight="false" outlineLevel="0" collapsed="false">
      <c r="A66758" s="0" t="s">
        <v>22032</v>
      </c>
      <c r="B66758" s="0" t="str">
        <f aca="false">HYPERLINK("https://lindat.mff.cuni.cz/services/teitok/pdtc10/index.php?action=vallex&amp;frame=v-w9166f4", "zastiňovat (v-w9166f4)")</f>
        <v>zastiňovat (v-w9166f4)</v>
      </c>
      <c r="E66758" s="0" t="str">
        <f aca="false">HYPERLINK("https://lindat.mff.cuni.cz/services/SynSemClass40/SynSemClass40.html?veclass=vec00580#vec00580-ces-cm00003", "vec00580")</f>
        <v>vec00580</v>
      </c>
      <c r="F66758" s="0" t="s">
        <v>22033</v>
      </c>
    </row>
    <row r="66759" customFormat="false" ht="12.8" hidden="false" customHeight="false" outlineLevel="0" collapsed="false">
      <c r="B66759" s="0" t="s">
        <v>1</v>
      </c>
      <c r="C66759" s="0" t="s">
        <v>4264</v>
      </c>
      <c r="E66759" s="0" t="s">
        <v>22034</v>
      </c>
      <c r="F66759" s="0" t="s">
        <v>22035</v>
      </c>
    </row>
    <row r="66760" customFormat="false" ht="12.8" hidden="false" customHeight="false" outlineLevel="0" collapsed="false">
      <c r="B66760" s="0" t="s">
        <v>8</v>
      </c>
      <c r="C66760" s="0" t="s">
        <v>109</v>
      </c>
      <c r="E66760" s="0" t="s">
        <v>2225</v>
      </c>
      <c r="F66760" s="0" t="s">
        <v>22036</v>
      </c>
    </row>
    <row r="66762" customFormat="false" ht="12.8" hidden="false" customHeight="false" outlineLevel="0" collapsed="false">
      <c r="A66762" s="0" t="s">
        <v>22037</v>
      </c>
      <c r="B66762" s="0" t="str">
        <f aca="false">HYPERLINK("https://lindat.mff.cuni.cz/services/teitok/pdtc10/index.php?action=vallex&amp;frame=v-w9171f1", "zastoupit (v-w9171f1)")</f>
        <v>zastoupit (v-w9171f1)</v>
      </c>
      <c r="E66762" s="0" t="str">
        <f aca="false">HYPERLINK("https://lindat.mff.cuni.cz/services/SynSemClass40/SynSemClass40.html?veclass=vec00375#vec00375-ces-cm00008", "vec00375")</f>
        <v>vec00375</v>
      </c>
      <c r="F66762" s="0" t="s">
        <v>10733</v>
      </c>
    </row>
    <row r="66763" customFormat="false" ht="12.8" hidden="false" customHeight="false" outlineLevel="0" collapsed="false">
      <c r="B66763" s="0" t="s">
        <v>1</v>
      </c>
      <c r="C66763" s="0" t="s">
        <v>10734</v>
      </c>
      <c r="E66763" s="0" t="s">
        <v>10735</v>
      </c>
      <c r="F66763" s="0" t="s">
        <v>10736</v>
      </c>
    </row>
    <row r="66764" customFormat="false" ht="12.8" hidden="false" customHeight="false" outlineLevel="0" collapsed="false">
      <c r="B66764" s="0" t="s">
        <v>8</v>
      </c>
      <c r="C66764" s="0" t="s">
        <v>10737</v>
      </c>
      <c r="E66764" s="0" t="s">
        <v>10738</v>
      </c>
      <c r="F66764" s="0" t="s">
        <v>10739</v>
      </c>
    </row>
    <row r="66766" customFormat="false" ht="12.8" hidden="false" customHeight="false" outlineLevel="0" collapsed="false">
      <c r="A66766" s="0" t="s">
        <v>22038</v>
      </c>
      <c r="B66766" s="0" t="str">
        <f aca="false">HYPERLINK("https://lindat.mff.cuni.cz/services/teitok/pdtc10/index.php?action=vallex&amp;frame=v-w9171f2", "zastoupit (v-w9171f2)")</f>
        <v>zastoupit (v-w9171f2)</v>
      </c>
    </row>
    <row r="66767" customFormat="false" ht="12.8" hidden="false" customHeight="false" outlineLevel="0" collapsed="false">
      <c r="B66767" s="0" t="s">
        <v>1</v>
      </c>
    </row>
    <row r="66768" customFormat="false" ht="12.8" hidden="false" customHeight="false" outlineLevel="0" collapsed="false">
      <c r="B66768" s="0" t="s">
        <v>5</v>
      </c>
    </row>
    <row r="66769" customFormat="false" ht="12.8" hidden="false" customHeight="false" outlineLevel="0" collapsed="false">
      <c r="B66769" s="0" t="s">
        <v>2997</v>
      </c>
    </row>
    <row r="66771" customFormat="false" ht="12.8" hidden="false" customHeight="false" outlineLevel="0" collapsed="false">
      <c r="A66771" s="0" t="s">
        <v>22039</v>
      </c>
      <c r="B66771" s="0" t="str">
        <f aca="false">HYPERLINK("https://lindat.mff.cuni.cz/services/teitok/pdtc10/index.php?action=vallex&amp;frame=v-w9172f1", "zastrašit (v-w9172f1)")</f>
        <v>zastrašit (v-w9172f1)</v>
      </c>
      <c r="E66771" s="0" t="str">
        <f aca="false">HYPERLINK("https://lindat.mff.cuni.cz/services/SynSemClass40/SynSemClass40.html?veclass=vec00761#vec00761-ces-cm00015", "vec00761")</f>
        <v>vec00761</v>
      </c>
      <c r="F66771" s="0" t="s">
        <v>4014</v>
      </c>
    </row>
    <row r="66772" customFormat="false" ht="12.8" hidden="false" customHeight="false" outlineLevel="0" collapsed="false">
      <c r="B66772" s="0" t="s">
        <v>1</v>
      </c>
      <c r="C66772" s="0" t="s">
        <v>4015</v>
      </c>
      <c r="E66772" s="0" t="s">
        <v>1103</v>
      </c>
      <c r="F66772" s="0" t="s">
        <v>4016</v>
      </c>
    </row>
    <row r="66773" customFormat="false" ht="12.8" hidden="false" customHeight="false" outlineLevel="0" collapsed="false">
      <c r="B66773" s="0" t="s">
        <v>8</v>
      </c>
      <c r="C66773" s="0" t="s">
        <v>4017</v>
      </c>
      <c r="E66773" s="0" t="s">
        <v>199</v>
      </c>
      <c r="F66773" s="0" t="s">
        <v>4018</v>
      </c>
    </row>
    <row r="66775" customFormat="false" ht="12.8" hidden="false" customHeight="false" outlineLevel="0" collapsed="false">
      <c r="A66775" s="0" t="s">
        <v>22040</v>
      </c>
      <c r="B66775" s="0" t="str">
        <f aca="false">HYPERLINK("https://lindat.mff.cuni.cz/services/teitok/pdtc10/index.php?action=vallex&amp;frame=v-w9174f1", "zastrašovat (v-w9174f1)")</f>
        <v>zastrašovat (v-w9174f1)</v>
      </c>
      <c r="E66775" s="0" t="str">
        <f aca="false">HYPERLINK("https://lindat.mff.cuni.cz/services/SynSemClass40/SynSemClass40.html?veclass=vec00761#vec00761-ces-cm00016", "vec00761")</f>
        <v>vec00761</v>
      </c>
      <c r="F66775" s="0" t="s">
        <v>4014</v>
      </c>
    </row>
    <row r="66776" customFormat="false" ht="12.8" hidden="false" customHeight="false" outlineLevel="0" collapsed="false">
      <c r="B66776" s="0" t="s">
        <v>1</v>
      </c>
      <c r="C66776" s="0" t="s">
        <v>4015</v>
      </c>
      <c r="E66776" s="0" t="s">
        <v>1103</v>
      </c>
      <c r="F66776" s="0" t="s">
        <v>4016</v>
      </c>
    </row>
    <row r="66777" customFormat="false" ht="12.8" hidden="false" customHeight="false" outlineLevel="0" collapsed="false">
      <c r="B66777" s="0" t="s">
        <v>8</v>
      </c>
      <c r="C66777" s="0" t="s">
        <v>4017</v>
      </c>
      <c r="E66777" s="0" t="s">
        <v>199</v>
      </c>
      <c r="F66777" s="0" t="s">
        <v>4018</v>
      </c>
    </row>
    <row r="66779" customFormat="false" ht="12.8" hidden="false" customHeight="false" outlineLevel="0" collapsed="false">
      <c r="A66779" s="0" t="s">
        <v>22041</v>
      </c>
      <c r="B66779" s="0" t="str">
        <f aca="false">HYPERLINK("https://lindat.mff.cuni.cz/services/teitok/pdtc10/index.php?action=vallex&amp;frame=v-w10565f2", "zastrkovat (v-w10565f2)")</f>
        <v>zastrkovat (v-w10565f2)</v>
      </c>
    </row>
    <row r="66780" customFormat="false" ht="12.8" hidden="false" customHeight="false" outlineLevel="0" collapsed="false">
      <c r="B66780" s="0" t="s">
        <v>1</v>
      </c>
    </row>
    <row r="66781" customFormat="false" ht="12.8" hidden="false" customHeight="false" outlineLevel="0" collapsed="false">
      <c r="B66781" s="0" t="s">
        <v>22042</v>
      </c>
    </row>
    <row r="66783" customFormat="false" ht="12.8" hidden="false" customHeight="false" outlineLevel="0" collapsed="false">
      <c r="A66783" s="0" t="s">
        <v>22043</v>
      </c>
      <c r="B66783" s="0" t="str">
        <f aca="false">HYPERLINK("https://lindat.mff.cuni.cz/services/teitok/pdtc10/index.php?action=vallex&amp;frame=v-w9175f1", "zastrkávat (v-w9175f1)")</f>
        <v>zastrkávat (v-w9175f1)</v>
      </c>
    </row>
    <row r="66784" customFormat="false" ht="12.8" hidden="false" customHeight="false" outlineLevel="0" collapsed="false">
      <c r="B66784" s="0" t="s">
        <v>1</v>
      </c>
    </row>
    <row r="66785" customFormat="false" ht="12.8" hidden="false" customHeight="false" outlineLevel="0" collapsed="false">
      <c r="B66785" s="0" t="s">
        <v>8</v>
      </c>
    </row>
    <row r="66786" customFormat="false" ht="12.8" hidden="false" customHeight="false" outlineLevel="0" collapsed="false">
      <c r="B66786" s="0" t="s">
        <v>164</v>
      </c>
    </row>
    <row r="66788" customFormat="false" ht="12.8" hidden="false" customHeight="false" outlineLevel="0" collapsed="false">
      <c r="A66788" s="0" t="s">
        <v>22044</v>
      </c>
      <c r="B66788" s="0" t="str">
        <f aca="false">HYPERLINK("https://lindat.mff.cuni.cz/services/teitok/pdtc10/index.php?action=vallex&amp;frame=v-w10212f2", "zastrčit (v-w10212f2)")</f>
        <v>zastrčit (v-w10212f2)</v>
      </c>
    </row>
    <row r="66789" customFormat="false" ht="12.8" hidden="false" customHeight="false" outlineLevel="0" collapsed="false">
      <c r="B66789" s="0" t="s">
        <v>1</v>
      </c>
    </row>
    <row r="66790" customFormat="false" ht="12.8" hidden="false" customHeight="false" outlineLevel="0" collapsed="false">
      <c r="B66790" s="0" t="s">
        <v>8</v>
      </c>
    </row>
    <row r="66791" customFormat="false" ht="12.8" hidden="false" customHeight="false" outlineLevel="0" collapsed="false">
      <c r="B66791" s="0" t="s">
        <v>164</v>
      </c>
    </row>
    <row r="66793" customFormat="false" ht="12.8" hidden="false" customHeight="false" outlineLevel="0" collapsed="false">
      <c r="A66793" s="0" t="s">
        <v>22045</v>
      </c>
      <c r="B66793" s="0" t="str">
        <f aca="false">HYPERLINK("https://lindat.mff.cuni.cz/services/teitok/pdtc10/index.php?action=vallex&amp;frame=v-w9187f2_ZU", "zastupovat (v-w9187f2_ZU)")</f>
        <v>zastupovat (v-w9187f2_ZU)</v>
      </c>
    </row>
    <row r="66794" customFormat="false" ht="12.8" hidden="false" customHeight="false" outlineLevel="0" collapsed="false">
      <c r="B66794" s="0" t="s">
        <v>1</v>
      </c>
    </row>
    <row r="66795" customFormat="false" ht="12.8" hidden="false" customHeight="false" outlineLevel="0" collapsed="false">
      <c r="B66795" s="0" t="s">
        <v>8</v>
      </c>
    </row>
    <row r="66797" customFormat="false" ht="12.8" hidden="false" customHeight="false" outlineLevel="0" collapsed="false">
      <c r="A66797" s="0" t="s">
        <v>22045</v>
      </c>
      <c r="B66797" s="0" t="str">
        <f aca="false">HYPERLINK("https://lindat.mff.cuni.cz/services/teitok/pdtc10/index.php?action=vallex&amp;frame=v-w9187f1", "zastupovat (v-w9187f1) - substituted with v-w9187f2_ZU")</f>
        <v>zastupovat (v-w9187f1) - substituted with v-w9187f2_ZU</v>
      </c>
      <c r="E66797" s="0" t="str">
        <f aca="false">HYPERLINK("https://lindat.mff.cuni.cz/services/SynSemClass40/SynSemClass40.html?veclass=vec00375#vec00375-ces-cm00001", "vec00375")</f>
        <v>vec00375</v>
      </c>
      <c r="F66797" s="0" t="s">
        <v>10733</v>
      </c>
    </row>
    <row r="66798" customFormat="false" ht="12.8" hidden="false" customHeight="false" outlineLevel="0" collapsed="false">
      <c r="B66798" s="0" t="s">
        <v>1</v>
      </c>
      <c r="C66798" s="0" t="s">
        <v>10734</v>
      </c>
      <c r="E66798" s="0" t="s">
        <v>10735</v>
      </c>
      <c r="F66798" s="0" t="s">
        <v>10736</v>
      </c>
    </row>
    <row r="66799" customFormat="false" ht="12.8" hidden="false" customHeight="false" outlineLevel="0" collapsed="false">
      <c r="B66799" s="0" t="s">
        <v>8</v>
      </c>
      <c r="C66799" s="0" t="s">
        <v>10737</v>
      </c>
      <c r="E66799" s="0" t="s">
        <v>10738</v>
      </c>
      <c r="F66799" s="0" t="s">
        <v>10739</v>
      </c>
    </row>
    <row r="66801" customFormat="false" ht="12.8" hidden="false" customHeight="false" outlineLevel="0" collapsed="false">
      <c r="A66801" s="0" t="s">
        <v>22046</v>
      </c>
      <c r="B66801" s="0" t="str">
        <f aca="false">HYPERLINK("https://lindat.mff.cuni.cz/services/teitok/pdtc10/index.php?action=vallex&amp;frame=v-w9189f1", "zastydět se (v-w9189f1)")</f>
        <v>zastydět se (v-w9189f1)</v>
      </c>
    </row>
    <row r="66802" customFormat="false" ht="12.8" hidden="false" customHeight="false" outlineLevel="0" collapsed="false">
      <c r="B66802" s="0" t="s">
        <v>1</v>
      </c>
    </row>
    <row r="66803" customFormat="false" ht="12.8" hidden="false" customHeight="false" outlineLevel="0" collapsed="false">
      <c r="B66803" s="0" t="s">
        <v>22047</v>
      </c>
    </row>
    <row r="66805" customFormat="false" ht="12.8" hidden="false" customHeight="false" outlineLevel="0" collapsed="false">
      <c r="A66805" s="0" t="s">
        <v>22048</v>
      </c>
      <c r="B66805" s="0" t="str">
        <f aca="false">HYPERLINK("https://lindat.mff.cuni.cz/services/teitok/pdtc10/index.php?action=vallex&amp;frame=v-w9154f1", "zastávat (v-w9154f1)")</f>
        <v>zastávat (v-w9154f1)</v>
      </c>
      <c r="E66805" s="0" t="str">
        <f aca="false">HYPERLINK("https://lindat.mff.cuni.cz/services/SynSemClass40/SynSemClass40.html?veclass=vec00373#vec00373-ces-cm00001", "vec00373")</f>
        <v>vec00373</v>
      </c>
      <c r="F66805" s="0" t="s">
        <v>6637</v>
      </c>
    </row>
    <row r="66806" customFormat="false" ht="12.8" hidden="false" customHeight="false" outlineLevel="0" collapsed="false">
      <c r="B66806" s="0" t="s">
        <v>1</v>
      </c>
      <c r="C66806" s="0" t="s">
        <v>11591</v>
      </c>
      <c r="E66806" s="0" t="s">
        <v>11</v>
      </c>
      <c r="F66806" s="0" t="s">
        <v>6639</v>
      </c>
    </row>
    <row r="66807" customFormat="false" ht="12.8" hidden="false" customHeight="false" outlineLevel="0" collapsed="false">
      <c r="B66807" s="0" t="s">
        <v>8</v>
      </c>
      <c r="E66807" s="0" t="s">
        <v>5221</v>
      </c>
      <c r="F66807" s="0" t="s">
        <v>6640</v>
      </c>
    </row>
    <row r="66809" customFormat="false" ht="12.8" hidden="false" customHeight="false" outlineLevel="0" collapsed="false">
      <c r="A66809" s="0" t="s">
        <v>22049</v>
      </c>
      <c r="B66809" s="0" t="str">
        <f aca="false">HYPERLINK("https://lindat.mff.cuni.cz/services/teitok/pdtc10/index.php?action=vallex&amp;frame=v-w9154f4_ZU", "zastávat (v-w9154f4_ZU)")</f>
        <v>zastávat (v-w9154f4_ZU)</v>
      </c>
      <c r="E66809" s="0" t="str">
        <f aca="false">HYPERLINK("https://lindat.mff.cuni.cz/services/SynSemClass40/SynSemClass40.html?veclass=vec00989#vec00989-ces-cm00001", "vec00989")</f>
        <v>vec00989</v>
      </c>
      <c r="F66809" s="0" t="s">
        <v>22050</v>
      </c>
    </row>
    <row r="66810" customFormat="false" ht="12.8" hidden="false" customHeight="false" outlineLevel="0" collapsed="false">
      <c r="B66810" s="0" t="s">
        <v>1</v>
      </c>
      <c r="C66810" s="0" t="s">
        <v>459</v>
      </c>
      <c r="E66810" s="0" t="s">
        <v>10735</v>
      </c>
      <c r="F66810" s="0" t="s">
        <v>22051</v>
      </c>
    </row>
    <row r="66811" customFormat="false" ht="12.8" hidden="false" customHeight="false" outlineLevel="0" collapsed="false">
      <c r="B66811" s="0" t="s">
        <v>8</v>
      </c>
      <c r="C66811" s="0" t="s">
        <v>744</v>
      </c>
      <c r="E66811" s="0" t="s">
        <v>1544</v>
      </c>
      <c r="F66811" s="0" t="s">
        <v>9817</v>
      </c>
    </row>
    <row r="66813" customFormat="false" ht="12.8" hidden="false" customHeight="false" outlineLevel="0" collapsed="false">
      <c r="A66813" s="0" t="s">
        <v>22052</v>
      </c>
      <c r="B66813" s="0" t="str">
        <f aca="false">HYPERLINK("https://lindat.mff.cuni.cz/services/teitok/pdtc10/index.php?action=vallex&amp;frame=v-w9154f5_ZU", "zastávat (v-w9154f5_ZU)")</f>
        <v>zastávat (v-w9154f5_ZU)</v>
      </c>
      <c r="E66813" s="0" t="str">
        <f aca="false">HYPERLINK("https://lindat.mff.cuni.cz/services/SynSemClass40/SynSemClass40.html?veclass=vec00032#vec00032-ces-cm00194", "vec00032")</f>
        <v>vec00032</v>
      </c>
      <c r="F66813" s="0" t="s">
        <v>911</v>
      </c>
      <c r="H66813" s="0" t="str">
        <f aca="false">HYPERLINK("https://lindat.mff.cuni.cz/services/SynSemClass40/SynSemClass40.html?veclass=vec01313#vec01313-ces-cm00028", "vec01313")</f>
        <v>vec01313</v>
      </c>
      <c r="I66813" s="0" t="s">
        <v>15743</v>
      </c>
    </row>
    <row r="66814" customFormat="false" ht="12.8" hidden="false" customHeight="false" outlineLevel="0" collapsed="false">
      <c r="B66814" s="0" t="s">
        <v>1</v>
      </c>
      <c r="C66814" s="0" t="s">
        <v>22053</v>
      </c>
      <c r="E66814" s="0" t="s">
        <v>914</v>
      </c>
      <c r="F66814" s="0" t="s">
        <v>915</v>
      </c>
      <c r="H66814" s="0" t="s">
        <v>155</v>
      </c>
      <c r="I66814" s="0" t="s">
        <v>15745</v>
      </c>
    </row>
    <row r="66815" customFormat="false" ht="12.8" hidden="false" customHeight="false" outlineLevel="0" collapsed="false">
      <c r="B66815" s="0" t="s">
        <v>22054</v>
      </c>
      <c r="C66815" s="0" t="s">
        <v>22055</v>
      </c>
      <c r="E66815" s="0" t="s">
        <v>20095</v>
      </c>
      <c r="F66815" s="0" t="s">
        <v>20096</v>
      </c>
      <c r="H66815" s="0" t="s">
        <v>22056</v>
      </c>
      <c r="I66815" s="0" t="s">
        <v>22057</v>
      </c>
    </row>
    <row r="66817" customFormat="false" ht="12.8" hidden="false" customHeight="false" outlineLevel="0" collapsed="false">
      <c r="A66817" s="0" t="s">
        <v>22052</v>
      </c>
      <c r="B66817" s="0" t="str">
        <f aca="false">HYPERLINK("https://lindat.mff.cuni.cz/services/teitok/pdtc10/index.php?action=vallex&amp;frame=v-w9154f2", "zastávat (v-w9154f2) - substituted with v-w9154f5_ZU")</f>
        <v>zastávat (v-w9154f2) - substituted with v-w9154f5_ZU</v>
      </c>
    </row>
    <row r="66818" customFormat="false" ht="12.8" hidden="false" customHeight="false" outlineLevel="0" collapsed="false">
      <c r="B66818" s="0" t="s">
        <v>1</v>
      </c>
    </row>
    <row r="66819" customFormat="false" ht="12.8" hidden="false" customHeight="false" outlineLevel="0" collapsed="false">
      <c r="B66819" s="0" t="s">
        <v>22054</v>
      </c>
    </row>
    <row r="66821" customFormat="false" ht="12.8" hidden="false" customHeight="false" outlineLevel="0" collapsed="false">
      <c r="A66821" s="0" t="s">
        <v>22052</v>
      </c>
      <c r="B66821" s="0" t="str">
        <f aca="false">HYPERLINK("https://lindat.mff.cuni.cz/services/teitok/pdtc10/index.php?action=vallex&amp;frame=v-w9154f3_ZU", "zastávat (v-w9154f3_ZU) - substituted with v-w9154f5_ZU")</f>
        <v>zastávat (v-w9154f3_ZU) - substituted with v-w9154f5_ZU</v>
      </c>
    </row>
    <row r="66822" customFormat="false" ht="12.8" hidden="false" customHeight="false" outlineLevel="0" collapsed="false">
      <c r="B66822" s="0" t="s">
        <v>1</v>
      </c>
    </row>
    <row r="66823" customFormat="false" ht="12.8" hidden="false" customHeight="false" outlineLevel="0" collapsed="false">
      <c r="B66823" s="0" t="s">
        <v>22054</v>
      </c>
    </row>
    <row r="66825" customFormat="false" ht="12.8" hidden="false" customHeight="false" outlineLevel="0" collapsed="false">
      <c r="A66825" s="0" t="s">
        <v>22052</v>
      </c>
      <c r="B66825" s="0" t="str">
        <f aca="false">HYPERLINK("https://lindat.mff.cuni.cz/services/teitok/pdtc10/index.php?action=vallex&amp;frame=v-w9154hsa_472", "zastávat (v-w9154hsa_472) - substituted with v-w9154f5_ZU")</f>
        <v>zastávat (v-w9154hsa_472) - substituted with v-w9154f5_ZU</v>
      </c>
    </row>
    <row r="66826" customFormat="false" ht="12.8" hidden="false" customHeight="false" outlineLevel="0" collapsed="false">
      <c r="B66826" s="0" t="s">
        <v>1</v>
      </c>
    </row>
    <row r="66827" customFormat="false" ht="12.8" hidden="false" customHeight="false" outlineLevel="0" collapsed="false">
      <c r="B66827" s="0" t="s">
        <v>22054</v>
      </c>
    </row>
    <row r="66829" customFormat="false" ht="12.8" hidden="false" customHeight="false" outlineLevel="0" collapsed="false">
      <c r="A66829" s="0" t="s">
        <v>22058</v>
      </c>
      <c r="B66829" s="0" t="str">
        <f aca="false">HYPERLINK("https://lindat.mff.cuni.cz/services/teitok/pdtc10/index.php?action=vallex&amp;frame=v-w9155f1", "zastávat se (v-w9155f1)")</f>
        <v>zastávat se (v-w9155f1)</v>
      </c>
      <c r="E66829" s="0" t="str">
        <f aca="false">HYPERLINK("https://lindat.mff.cuni.cz/services/SynSemClass40/SynSemClass40.html?veclass=vec00244#vec00244-ces-cm00020", "vec00244")</f>
        <v>vec00244</v>
      </c>
      <c r="F66829" s="0" t="s">
        <v>567</v>
      </c>
    </row>
    <row r="66830" customFormat="false" ht="12.8" hidden="false" customHeight="false" outlineLevel="0" collapsed="false">
      <c r="B66830" s="0" t="s">
        <v>1</v>
      </c>
      <c r="C66830" s="0" t="s">
        <v>568</v>
      </c>
      <c r="E66830" s="0" t="s">
        <v>569</v>
      </c>
      <c r="F66830" s="0" t="s">
        <v>570</v>
      </c>
    </row>
    <row r="66831" customFormat="false" ht="12.8" hidden="false" customHeight="false" outlineLevel="0" collapsed="false">
      <c r="B66831" s="0" t="s">
        <v>1289</v>
      </c>
      <c r="C66831" s="0" t="s">
        <v>571</v>
      </c>
      <c r="E66831" s="0" t="s">
        <v>572</v>
      </c>
      <c r="F66831" s="0" t="s">
        <v>573</v>
      </c>
    </row>
    <row r="66833" customFormat="false" ht="12.8" hidden="false" customHeight="false" outlineLevel="0" collapsed="false">
      <c r="A66833" s="0" t="s">
        <v>22059</v>
      </c>
      <c r="B66833" s="0" t="str">
        <f aca="false">HYPERLINK("https://lindat.mff.cuni.cz/services/teitok/pdtc10/index.php?action=vallex&amp;frame=v-w9165f1", "zastínit (v-w9165f1)")</f>
        <v>zastínit (v-w9165f1)</v>
      </c>
      <c r="E66833" s="0" t="str">
        <f aca="false">HYPERLINK("https://lindat.mff.cuni.cz/services/SynSemClass40/SynSemClass40.html?veclass=vec00580#vec00580-ces-cm00001", "vec00580")</f>
        <v>vec00580</v>
      </c>
      <c r="F66833" s="0" t="s">
        <v>22033</v>
      </c>
    </row>
    <row r="66834" customFormat="false" ht="12.8" hidden="false" customHeight="false" outlineLevel="0" collapsed="false">
      <c r="B66834" s="0" t="s">
        <v>1</v>
      </c>
      <c r="C66834" s="0" t="s">
        <v>4264</v>
      </c>
      <c r="E66834" s="0" t="s">
        <v>22034</v>
      </c>
      <c r="F66834" s="0" t="s">
        <v>22035</v>
      </c>
    </row>
    <row r="66835" customFormat="false" ht="12.8" hidden="false" customHeight="false" outlineLevel="0" collapsed="false">
      <c r="B66835" s="0" t="s">
        <v>8</v>
      </c>
      <c r="C66835" s="0" t="s">
        <v>109</v>
      </c>
      <c r="E66835" s="0" t="s">
        <v>2225</v>
      </c>
      <c r="F66835" s="0" t="s">
        <v>22036</v>
      </c>
    </row>
    <row r="66837" customFormat="false" ht="12.8" hidden="false" customHeight="false" outlineLevel="0" collapsed="false">
      <c r="A66837" s="0" t="s">
        <v>22060</v>
      </c>
      <c r="B66837" s="0" t="str">
        <f aca="false">HYPERLINK("https://lindat.mff.cuni.cz/services/teitok/pdtc10/index.php?action=vallex&amp;frame=v-w9168f1", "zastírat (v-w9168f1)")</f>
        <v>zastírat (v-w9168f1)</v>
      </c>
      <c r="E66837" s="0" t="str">
        <f aca="false">HYPERLINK("https://lindat.mff.cuni.cz/services/SynSemClass40/SynSemClass40.html?veclass=vec00514#vec00514-ces-cm00015", "vec00514")</f>
        <v>vec00514</v>
      </c>
      <c r="F66837" s="0" t="s">
        <v>5808</v>
      </c>
    </row>
    <row r="66838" customFormat="false" ht="12.8" hidden="false" customHeight="false" outlineLevel="0" collapsed="false">
      <c r="B66838" s="0" t="s">
        <v>1</v>
      </c>
      <c r="C66838" s="0" t="s">
        <v>5809</v>
      </c>
      <c r="E66838" s="0" t="s">
        <v>4243</v>
      </c>
      <c r="F66838" s="0" t="s">
        <v>5810</v>
      </c>
    </row>
    <row r="66839" customFormat="false" ht="12.8" hidden="false" customHeight="false" outlineLevel="0" collapsed="false">
      <c r="B66839" s="0" t="s">
        <v>4245</v>
      </c>
      <c r="C66839" s="0" t="s">
        <v>5811</v>
      </c>
      <c r="E66839" s="0" t="s">
        <v>4246</v>
      </c>
      <c r="F66839" s="0" t="s">
        <v>5812</v>
      </c>
    </row>
    <row r="66840" customFormat="false" ht="12.8" hidden="false" customHeight="false" outlineLevel="0" collapsed="false">
      <c r="B66840" s="0" t="s">
        <v>381</v>
      </c>
      <c r="C66840" s="0" t="s">
        <v>5813</v>
      </c>
      <c r="E66840" s="0" t="s">
        <v>5814</v>
      </c>
      <c r="F66840" s="0" t="s">
        <v>5815</v>
      </c>
    </row>
    <row r="66842" customFormat="false" ht="12.8" hidden="false" customHeight="false" outlineLevel="0" collapsed="false">
      <c r="A66842" s="0" t="s">
        <v>22061</v>
      </c>
      <c r="B66842" s="0" t="str">
        <f aca="false">HYPERLINK("https://lindat.mff.cuni.cz/services/teitok/pdtc10/index.php?action=vallex&amp;frame=v-w9168f2", "zastírat (v-w9168f2)")</f>
        <v>zastírat (v-w9168f2)</v>
      </c>
    </row>
    <row r="66843" customFormat="false" ht="12.8" hidden="false" customHeight="false" outlineLevel="0" collapsed="false">
      <c r="B66843" s="0" t="s">
        <v>1</v>
      </c>
    </row>
    <row r="66844" customFormat="false" ht="12.8" hidden="false" customHeight="false" outlineLevel="0" collapsed="false">
      <c r="B66844" s="0" t="s">
        <v>15552</v>
      </c>
    </row>
    <row r="66845" customFormat="false" ht="12.8" hidden="false" customHeight="false" outlineLevel="0" collapsed="false">
      <c r="B66845" s="0" t="s">
        <v>496</v>
      </c>
    </row>
    <row r="66846" customFormat="false" ht="12.8" hidden="false" customHeight="false" outlineLevel="0" collapsed="false">
      <c r="B66846" s="0" t="s">
        <v>381</v>
      </c>
    </row>
    <row r="66848" customFormat="false" ht="12.8" hidden="false" customHeight="false" outlineLevel="0" collapsed="false">
      <c r="A66848" s="0" t="s">
        <v>22062</v>
      </c>
      <c r="B66848" s="0" t="str">
        <f aca="false">HYPERLINK("https://lindat.mff.cuni.cz/services/teitok/pdtc10/index.php?action=vallex&amp;frame=v-w9177f2_ZU", "zastřelit (v-w9177f2_ZU)")</f>
        <v>zastřelit (v-w9177f2_ZU)</v>
      </c>
    </row>
    <row r="66849" customFormat="false" ht="12.8" hidden="false" customHeight="false" outlineLevel="0" collapsed="false">
      <c r="B66849" s="0" t="s">
        <v>1</v>
      </c>
    </row>
    <row r="66850" customFormat="false" ht="12.8" hidden="false" customHeight="false" outlineLevel="0" collapsed="false">
      <c r="B66850" s="0" t="s">
        <v>305</v>
      </c>
    </row>
    <row r="66852" customFormat="false" ht="12.8" hidden="false" customHeight="false" outlineLevel="0" collapsed="false">
      <c r="A66852" s="0" t="s">
        <v>22062</v>
      </c>
      <c r="B66852" s="0" t="str">
        <f aca="false">HYPERLINK("https://lindat.mff.cuni.cz/services/teitok/pdtc10/index.php?action=vallex&amp;frame=v-w9177f1", "zastřelit (v-w9177f1) - substituted with v-w9177f2_ZU")</f>
        <v>zastřelit (v-w9177f1) - substituted with v-w9177f2_ZU</v>
      </c>
      <c r="E66852" s="0" t="str">
        <f aca="false">HYPERLINK("https://lindat.mff.cuni.cz/services/SynSemClass40/SynSemClass40.html?veclass=vec00365#vec00365-ces-cm00035", "vec00365")</f>
        <v>vec00365</v>
      </c>
      <c r="F66852" s="0" t="s">
        <v>8975</v>
      </c>
    </row>
    <row r="66853" customFormat="false" ht="12.8" hidden="false" customHeight="false" outlineLevel="0" collapsed="false">
      <c r="B66853" s="0" t="s">
        <v>1</v>
      </c>
      <c r="C66853" s="0" t="s">
        <v>5883</v>
      </c>
      <c r="E66853" s="0" t="s">
        <v>76</v>
      </c>
      <c r="F66853" s="0" t="s">
        <v>8977</v>
      </c>
    </row>
    <row r="66854" customFormat="false" ht="12.8" hidden="false" customHeight="false" outlineLevel="0" collapsed="false">
      <c r="B66854" s="0" t="s">
        <v>305</v>
      </c>
      <c r="C66854" s="0" t="s">
        <v>8979</v>
      </c>
      <c r="E66854" s="0" t="s">
        <v>199</v>
      </c>
      <c r="F66854" s="0" t="s">
        <v>8980</v>
      </c>
    </row>
    <row r="66856" customFormat="false" ht="12.8" hidden="false" customHeight="false" outlineLevel="0" collapsed="false">
      <c r="A66856" s="0" t="s">
        <v>22063</v>
      </c>
      <c r="B66856" s="0" t="str">
        <f aca="false">HYPERLINK("https://lindat.mff.cuni.cz/services/teitok/pdtc10/index.php?action=vallex&amp;frame=v-w11142f2", "zastřešit (v-w11142f2)")</f>
        <v>zastřešit (v-w11142f2)</v>
      </c>
    </row>
    <row r="66857" customFormat="false" ht="12.8" hidden="false" customHeight="false" outlineLevel="0" collapsed="false">
      <c r="B66857" s="0" t="s">
        <v>1</v>
      </c>
    </row>
    <row r="66858" customFormat="false" ht="12.8" hidden="false" customHeight="false" outlineLevel="0" collapsed="false">
      <c r="B66858" s="0" t="s">
        <v>8</v>
      </c>
    </row>
    <row r="66860" customFormat="false" ht="12.8" hidden="false" customHeight="false" outlineLevel="0" collapsed="false">
      <c r="A66860" s="0" t="s">
        <v>22064</v>
      </c>
      <c r="B66860" s="0" t="str">
        <f aca="false">HYPERLINK("https://lindat.mff.cuni.cz/services/teitok/pdtc10/index.php?action=vallex&amp;frame=v-w11142f4_ZU", "zastřešit (v-w11142f4_ZU)")</f>
        <v>zastřešit (v-w11142f4_ZU)</v>
      </c>
    </row>
    <row r="66861" customFormat="false" ht="12.8" hidden="false" customHeight="false" outlineLevel="0" collapsed="false">
      <c r="B66861" s="0" t="s">
        <v>1</v>
      </c>
    </row>
    <row r="66862" customFormat="false" ht="12.8" hidden="false" customHeight="false" outlineLevel="0" collapsed="false">
      <c r="B66862" s="0" t="s">
        <v>8</v>
      </c>
    </row>
    <row r="66863" customFormat="false" ht="12.8" hidden="false" customHeight="false" outlineLevel="0" collapsed="false">
      <c r="B66863" s="0" t="s">
        <v>2207</v>
      </c>
    </row>
    <row r="66865" customFormat="false" ht="12.8" hidden="false" customHeight="false" outlineLevel="0" collapsed="false">
      <c r="A66865" s="0" t="s">
        <v>22065</v>
      </c>
      <c r="B66865" s="0" t="str">
        <f aca="false">HYPERLINK("https://lindat.mff.cuni.cz/services/teitok/pdtc10/index.php?action=vallex&amp;frame=v-w11142f5_ZU", "zastřešit (v-w11142f5_ZU)")</f>
        <v>zastřešit (v-w11142f5_ZU)</v>
      </c>
    </row>
    <row r="66866" customFormat="false" ht="12.8" hidden="false" customHeight="false" outlineLevel="0" collapsed="false">
      <c r="B66866" s="0" t="s">
        <v>1</v>
      </c>
    </row>
    <row r="66867" customFormat="false" ht="12.8" hidden="false" customHeight="false" outlineLevel="0" collapsed="false">
      <c r="B66867" s="0" t="s">
        <v>8</v>
      </c>
    </row>
    <row r="66869" customFormat="false" ht="12.8" hidden="false" customHeight="false" outlineLevel="0" collapsed="false">
      <c r="A66869" s="0" t="s">
        <v>22065</v>
      </c>
      <c r="B66869" s="0" t="str">
        <f aca="false">HYPERLINK("https://lindat.mff.cuni.cz/services/teitok/pdtc10/index.php?action=vallex&amp;frame=v-w11142f3_ZU", "zastřešit (v-w11142f3_ZU) - substituted with v-w11142f5_ZU")</f>
        <v>zastřešit (v-w11142f3_ZU) - substituted with v-w11142f5_ZU</v>
      </c>
    </row>
    <row r="66870" customFormat="false" ht="12.8" hidden="false" customHeight="false" outlineLevel="0" collapsed="false">
      <c r="B66870" s="0" t="s">
        <v>1</v>
      </c>
    </row>
    <row r="66871" customFormat="false" ht="12.8" hidden="false" customHeight="false" outlineLevel="0" collapsed="false">
      <c r="B66871" s="0" t="s">
        <v>8</v>
      </c>
    </row>
    <row r="66873" customFormat="false" ht="12.8" hidden="false" customHeight="false" outlineLevel="0" collapsed="false">
      <c r="A66873" s="0" t="s">
        <v>22066</v>
      </c>
      <c r="B66873" s="0" t="str">
        <f aca="false">HYPERLINK("https://lindat.mff.cuni.cz/services/teitok/pdtc10/index.php?action=vallex&amp;frame=v-w9179f1", "zastřešovat (v-w9179f1)")</f>
        <v>zastřešovat (v-w9179f1)</v>
      </c>
    </row>
    <row r="66874" customFormat="false" ht="12.8" hidden="false" customHeight="false" outlineLevel="0" collapsed="false">
      <c r="B66874" s="0" t="s">
        <v>1</v>
      </c>
    </row>
    <row r="66875" customFormat="false" ht="12.8" hidden="false" customHeight="false" outlineLevel="0" collapsed="false">
      <c r="B66875" s="0" t="s">
        <v>8</v>
      </c>
    </row>
    <row r="66877" customFormat="false" ht="12.8" hidden="false" customHeight="false" outlineLevel="0" collapsed="false">
      <c r="A66877" s="0" t="s">
        <v>22067</v>
      </c>
      <c r="B66877" s="0" t="str">
        <f aca="false">HYPERLINK("https://lindat.mff.cuni.cz/services/teitok/pdtc10/index.php?action=vallex&amp;frame=v-w9179f2", "zastřešovat (v-w9179f2)")</f>
        <v>zastřešovat (v-w9179f2)</v>
      </c>
    </row>
    <row r="66878" customFormat="false" ht="12.8" hidden="false" customHeight="false" outlineLevel="0" collapsed="false">
      <c r="B66878" s="0" t="s">
        <v>1</v>
      </c>
    </row>
    <row r="66879" customFormat="false" ht="12.8" hidden="false" customHeight="false" outlineLevel="0" collapsed="false">
      <c r="B66879" s="0" t="s">
        <v>8</v>
      </c>
    </row>
    <row r="66881" customFormat="false" ht="12.8" hidden="false" customHeight="false" outlineLevel="0" collapsed="false">
      <c r="A66881" s="0" t="s">
        <v>22068</v>
      </c>
      <c r="B66881" s="0" t="str">
        <f aca="false">HYPERLINK("https://lindat.mff.cuni.cz/services/teitok/pdtc10/index.php?action=vallex&amp;frame=v-whsa_542hsa_543", "zastřihávat (v-whsa_542hsa_543)")</f>
        <v>zastřihávat (v-whsa_542hsa_543)</v>
      </c>
    </row>
    <row r="66882" customFormat="false" ht="12.8" hidden="false" customHeight="false" outlineLevel="0" collapsed="false">
      <c r="B66882" s="0" t="s">
        <v>1</v>
      </c>
    </row>
    <row r="66883" customFormat="false" ht="12.8" hidden="false" customHeight="false" outlineLevel="0" collapsed="false">
      <c r="B66883" s="0" t="s">
        <v>8</v>
      </c>
    </row>
    <row r="66884" customFormat="false" ht="12.8" hidden="false" customHeight="false" outlineLevel="0" collapsed="false">
      <c r="B66884" s="0" t="s">
        <v>36</v>
      </c>
    </row>
    <row r="66885" customFormat="false" ht="12.8" hidden="false" customHeight="false" outlineLevel="0" collapsed="false">
      <c r="B66885" s="0" t="s">
        <v>101</v>
      </c>
    </row>
    <row r="66887" customFormat="false" ht="12.8" hidden="false" customHeight="false" outlineLevel="0" collapsed="false">
      <c r="A66887" s="0" t="s">
        <v>22069</v>
      </c>
      <c r="B66887" s="0" t="str">
        <f aca="false">HYPERLINK("https://lindat.mff.cuni.cz/services/teitok/pdtc10/index.php?action=vallex&amp;frame=v-w11837_ZUf1_ZU", "zastříkat (v-w11837_ZUf1_ZU)")</f>
        <v>zastříkat (v-w11837_ZUf1_ZU)</v>
      </c>
    </row>
    <row r="66888" customFormat="false" ht="12.8" hidden="false" customHeight="false" outlineLevel="0" collapsed="false">
      <c r="B66888" s="0" t="s">
        <v>1</v>
      </c>
    </row>
    <row r="66889" customFormat="false" ht="12.8" hidden="false" customHeight="false" outlineLevel="0" collapsed="false">
      <c r="B66889" s="0" t="s">
        <v>8</v>
      </c>
    </row>
    <row r="66891" customFormat="false" ht="12.8" hidden="false" customHeight="false" outlineLevel="0" collapsed="false">
      <c r="A66891" s="0" t="s">
        <v>22070</v>
      </c>
      <c r="B66891" s="0" t="str">
        <f aca="false">HYPERLINK("https://lindat.mff.cuni.cz/services/teitok/pdtc10/index.php?action=vallex&amp;frame=v-w9180f2", "zastřít (v-w9180f2)")</f>
        <v>zastřít (v-w9180f2)</v>
      </c>
      <c r="E66891" s="0" t="str">
        <f aca="false">HYPERLINK("https://lindat.mff.cuni.cz/services/SynSemClass40/SynSemClass40.html?veclass=vec00514#vec00514-ces-cm00100", "vec00514")</f>
        <v>vec00514</v>
      </c>
      <c r="F66891" s="0" t="s">
        <v>5808</v>
      </c>
    </row>
    <row r="66892" customFormat="false" ht="12.8" hidden="false" customHeight="false" outlineLevel="0" collapsed="false">
      <c r="B66892" s="0" t="s">
        <v>1</v>
      </c>
      <c r="C66892" s="0" t="s">
        <v>5809</v>
      </c>
      <c r="E66892" s="0" t="s">
        <v>4243</v>
      </c>
      <c r="F66892" s="0" t="s">
        <v>5810</v>
      </c>
    </row>
    <row r="66893" customFormat="false" ht="12.8" hidden="false" customHeight="false" outlineLevel="0" collapsed="false">
      <c r="B66893" s="0" t="s">
        <v>4245</v>
      </c>
      <c r="C66893" s="0" t="s">
        <v>5811</v>
      </c>
      <c r="E66893" s="0" t="s">
        <v>4246</v>
      </c>
      <c r="F66893" s="0" t="s">
        <v>5812</v>
      </c>
    </row>
    <row r="66894" customFormat="false" ht="12.8" hidden="false" customHeight="false" outlineLevel="0" collapsed="false">
      <c r="B66894" s="0" t="s">
        <v>381</v>
      </c>
      <c r="C66894" s="0" t="s">
        <v>5813</v>
      </c>
      <c r="E66894" s="0" t="s">
        <v>5814</v>
      </c>
      <c r="F66894" s="0" t="s">
        <v>5815</v>
      </c>
    </row>
    <row r="66896" customFormat="false" ht="12.8" hidden="false" customHeight="false" outlineLevel="0" collapsed="false">
      <c r="A66896" s="0" t="s">
        <v>22071</v>
      </c>
      <c r="B66896" s="0" t="str">
        <f aca="false">HYPERLINK("https://lindat.mff.cuni.cz/services/teitok/pdtc10/index.php?action=vallex&amp;frame=v-w9180f1", "zastřít (v-w9180f1)")</f>
        <v>zastřít (v-w9180f1)</v>
      </c>
    </row>
    <row r="66897" customFormat="false" ht="12.8" hidden="false" customHeight="false" outlineLevel="0" collapsed="false">
      <c r="B66897" s="0" t="s">
        <v>1</v>
      </c>
    </row>
    <row r="66898" customFormat="false" ht="12.8" hidden="false" customHeight="false" outlineLevel="0" collapsed="false">
      <c r="B66898" s="0" t="s">
        <v>8</v>
      </c>
    </row>
    <row r="66900" customFormat="false" ht="12.8" hidden="false" customHeight="false" outlineLevel="0" collapsed="false">
      <c r="A66900" s="0" t="s">
        <v>22072</v>
      </c>
      <c r="B66900" s="0" t="str">
        <f aca="false">HYPERLINK("https://lindat.mff.cuni.cz/services/teitok/pdtc10/index.php?action=vallex&amp;frame=v-w9180f3", "zastřít (v-w9180f3)")</f>
        <v>zastřít (v-w9180f3)</v>
      </c>
    </row>
    <row r="66901" customFormat="false" ht="12.8" hidden="false" customHeight="false" outlineLevel="0" collapsed="false">
      <c r="B66901" s="0" t="s">
        <v>1</v>
      </c>
    </row>
    <row r="66902" customFormat="false" ht="12.8" hidden="false" customHeight="false" outlineLevel="0" collapsed="false">
      <c r="B66902" s="0" t="s">
        <v>15552</v>
      </c>
    </row>
    <row r="66903" customFormat="false" ht="12.8" hidden="false" customHeight="false" outlineLevel="0" collapsed="false">
      <c r="B66903" s="0" t="s">
        <v>496</v>
      </c>
    </row>
    <row r="66904" customFormat="false" ht="12.8" hidden="false" customHeight="false" outlineLevel="0" collapsed="false">
      <c r="B66904" s="0" t="s">
        <v>381</v>
      </c>
    </row>
    <row r="66906" customFormat="false" ht="12.8" hidden="false" customHeight="false" outlineLevel="0" collapsed="false">
      <c r="A66906" s="0" t="s">
        <v>22073</v>
      </c>
      <c r="B66906" s="0" t="str">
        <f aca="false">HYPERLINK("https://lindat.mff.cuni.cz/services/teitok/pdtc10/index.php?action=vallex&amp;frame=v-w9190f1", "zasunout (v-w9190f1)")</f>
        <v>zasunout (v-w9190f1)</v>
      </c>
    </row>
    <row r="66907" customFormat="false" ht="12.8" hidden="false" customHeight="false" outlineLevel="0" collapsed="false">
      <c r="B66907" s="0" t="s">
        <v>1</v>
      </c>
    </row>
    <row r="66908" customFormat="false" ht="12.8" hidden="false" customHeight="false" outlineLevel="0" collapsed="false">
      <c r="B66908" s="0" t="s">
        <v>8</v>
      </c>
    </row>
    <row r="66909" customFormat="false" ht="12.8" hidden="false" customHeight="false" outlineLevel="0" collapsed="false">
      <c r="B66909" s="0" t="s">
        <v>164</v>
      </c>
    </row>
    <row r="66911" customFormat="false" ht="12.8" hidden="false" customHeight="false" outlineLevel="0" collapsed="false">
      <c r="A66911" s="0" t="s">
        <v>22074</v>
      </c>
      <c r="B66911" s="0" t="str">
        <f aca="false">HYPERLINK("https://lindat.mff.cuni.cz/services/teitok/pdtc10/index.php?action=vallex&amp;frame=v-w9192f2", "zasvítit (v-w9192f2)")</f>
        <v>zasvítit (v-w9192f2)</v>
      </c>
    </row>
    <row r="66912" customFormat="false" ht="12.8" hidden="false" customHeight="false" outlineLevel="0" collapsed="false">
      <c r="B66912" s="0" t="s">
        <v>804</v>
      </c>
    </row>
    <row r="66913" customFormat="false" ht="12.8" hidden="false" customHeight="false" outlineLevel="0" collapsed="false">
      <c r="B66913" s="0" t="s">
        <v>5</v>
      </c>
    </row>
    <row r="66915" customFormat="false" ht="12.8" hidden="false" customHeight="false" outlineLevel="0" collapsed="false">
      <c r="A66915" s="0" t="s">
        <v>22075</v>
      </c>
      <c r="B66915" s="0" t="str">
        <f aca="false">HYPERLINK("https://lindat.mff.cuni.cz/services/teitok/pdtc10/index.php?action=vallex&amp;frame=v-w9192f1", "zasvítit (v-w9192f1)")</f>
        <v>zasvítit (v-w9192f1)</v>
      </c>
    </row>
    <row r="66916" customFormat="false" ht="12.8" hidden="false" customHeight="false" outlineLevel="0" collapsed="false">
      <c r="B66916" s="0" t="s">
        <v>1</v>
      </c>
    </row>
    <row r="66918" customFormat="false" ht="12.8" hidden="false" customHeight="false" outlineLevel="0" collapsed="false">
      <c r="A66918" s="0" t="s">
        <v>22076</v>
      </c>
      <c r="B66918" s="0" t="str">
        <f aca="false">HYPERLINK("https://lindat.mff.cuni.cz/services/teitok/pdtc10/index.php?action=vallex&amp;frame=v-whsa_1501f1_ZU", "zasvěcovat (v-whsa_1501f1_ZU)")</f>
        <v>zasvěcovat (v-whsa_1501f1_ZU)</v>
      </c>
    </row>
    <row r="66919" customFormat="false" ht="12.8" hidden="false" customHeight="false" outlineLevel="0" collapsed="false">
      <c r="B66919" s="0" t="s">
        <v>1</v>
      </c>
    </row>
    <row r="66920" customFormat="false" ht="12.8" hidden="false" customHeight="false" outlineLevel="0" collapsed="false">
      <c r="B66920" s="0" t="s">
        <v>8</v>
      </c>
    </row>
    <row r="66922" customFormat="false" ht="12.8" hidden="false" customHeight="false" outlineLevel="0" collapsed="false">
      <c r="A66922" s="0" t="s">
        <v>22077</v>
      </c>
      <c r="B66922" s="0" t="str">
        <f aca="false">HYPERLINK("https://lindat.mff.cuni.cz/services/teitok/pdtc10/index.php?action=vallex&amp;frame=v-whsa_1501hsa_1502", "zasvěcovat (v-whsa_1501hsa_1502)")</f>
        <v>zasvěcovat (v-whsa_1501hsa_1502)</v>
      </c>
    </row>
    <row r="66923" customFormat="false" ht="12.8" hidden="false" customHeight="false" outlineLevel="0" collapsed="false">
      <c r="B66923" s="0" t="s">
        <v>1</v>
      </c>
    </row>
    <row r="66924" customFormat="false" ht="12.8" hidden="false" customHeight="false" outlineLevel="0" collapsed="false">
      <c r="B66924" s="0" t="s">
        <v>8</v>
      </c>
    </row>
    <row r="66926" customFormat="false" ht="12.8" hidden="false" customHeight="false" outlineLevel="0" collapsed="false">
      <c r="A66926" s="0" t="s">
        <v>22078</v>
      </c>
      <c r="B66926" s="0" t="str">
        <f aca="false">HYPERLINK("https://lindat.mff.cuni.cz/services/teitok/pdtc10/index.php?action=vallex&amp;frame=v-w9191f2", "zasvětit (v-w9191f2)")</f>
        <v>zasvětit (v-w9191f2)</v>
      </c>
      <c r="E66926" s="0" t="str">
        <f aca="false">HYPERLINK("https://lindat.mff.cuni.cz/services/SynSemClass40/SynSemClass40.html?veclass=vec00531#vec00531-ces-cm00018", "vec00531")</f>
        <v>vec00531</v>
      </c>
      <c r="F66926" s="0" t="s">
        <v>7870</v>
      </c>
    </row>
    <row r="66927" customFormat="false" ht="12.8" hidden="false" customHeight="false" outlineLevel="0" collapsed="false">
      <c r="B66927" s="0" t="s">
        <v>629</v>
      </c>
      <c r="C66927" s="0" t="s">
        <v>4001</v>
      </c>
      <c r="E66927" s="0" t="s">
        <v>206</v>
      </c>
      <c r="F66927" s="0" t="s">
        <v>7871</v>
      </c>
    </row>
    <row r="66928" customFormat="false" ht="12.8" hidden="false" customHeight="false" outlineLevel="0" collapsed="false">
      <c r="B66928" s="0" t="s">
        <v>1187</v>
      </c>
      <c r="C66928" s="0" t="s">
        <v>7873</v>
      </c>
      <c r="E66928" s="0" t="s">
        <v>7874</v>
      </c>
      <c r="F66928" s="0" t="s">
        <v>7875</v>
      </c>
    </row>
    <row r="66929" customFormat="false" ht="12.8" hidden="false" customHeight="false" outlineLevel="0" collapsed="false">
      <c r="B66929" s="0" t="s">
        <v>98</v>
      </c>
      <c r="C66929" s="0" t="s">
        <v>7876</v>
      </c>
      <c r="E66929" s="0" t="s">
        <v>564</v>
      </c>
      <c r="F66929" s="0" t="s">
        <v>7877</v>
      </c>
    </row>
    <row r="66931" customFormat="false" ht="12.8" hidden="false" customHeight="false" outlineLevel="0" collapsed="false">
      <c r="A66931" s="0" t="s">
        <v>22079</v>
      </c>
      <c r="B66931" s="0" t="str">
        <f aca="false">HYPERLINK("https://lindat.mff.cuni.cz/services/teitok/pdtc10/index.php?action=vallex&amp;frame=v-w9191f1", "zasvětit (v-w9191f1)")</f>
        <v>zasvětit (v-w9191f1)</v>
      </c>
    </row>
    <row r="66932" customFormat="false" ht="12.8" hidden="false" customHeight="false" outlineLevel="0" collapsed="false">
      <c r="B66932" s="0" t="s">
        <v>1</v>
      </c>
    </row>
    <row r="66933" customFormat="false" ht="12.8" hidden="false" customHeight="false" outlineLevel="0" collapsed="false">
      <c r="B66933" s="0" t="s">
        <v>8</v>
      </c>
    </row>
    <row r="66934" customFormat="false" ht="12.8" hidden="false" customHeight="false" outlineLevel="0" collapsed="false">
      <c r="B66934" s="0" t="s">
        <v>52</v>
      </c>
    </row>
    <row r="66936" customFormat="false" ht="12.8" hidden="false" customHeight="false" outlineLevel="0" collapsed="false">
      <c r="A66936" s="0" t="s">
        <v>22080</v>
      </c>
      <c r="B66936" s="0" t="str">
        <f aca="false">HYPERLINK("https://lindat.mff.cuni.cz/services/teitok/pdtc10/index.php?action=vallex&amp;frame=v-w9191f3", "zasvětit (v-w9191f3)")</f>
        <v>zasvětit (v-w9191f3)</v>
      </c>
    </row>
    <row r="66937" customFormat="false" ht="12.8" hidden="false" customHeight="false" outlineLevel="0" collapsed="false">
      <c r="B66937" s="0" t="s">
        <v>1</v>
      </c>
    </row>
    <row r="66938" customFormat="false" ht="12.8" hidden="false" customHeight="false" outlineLevel="0" collapsed="false">
      <c r="B66938" s="0" t="s">
        <v>8</v>
      </c>
    </row>
    <row r="66939" customFormat="false" ht="12.8" hidden="false" customHeight="false" outlineLevel="0" collapsed="false">
      <c r="B66939" s="0" t="s">
        <v>52</v>
      </c>
    </row>
    <row r="66941" customFormat="false" ht="12.8" hidden="false" customHeight="false" outlineLevel="0" collapsed="false">
      <c r="A66941" s="0" t="s">
        <v>22081</v>
      </c>
      <c r="B66941" s="0" t="str">
        <f aca="false">HYPERLINK("https://lindat.mff.cuni.cz/services/teitok/pdtc10/index.php?action=vallex&amp;frame=v-w9194f1", "zasypat (v-w9194f1)")</f>
        <v>zasypat (v-w9194f1)</v>
      </c>
    </row>
    <row r="66942" customFormat="false" ht="12.8" hidden="false" customHeight="false" outlineLevel="0" collapsed="false">
      <c r="B66942" s="0" t="s">
        <v>1</v>
      </c>
    </row>
    <row r="66943" customFormat="false" ht="12.8" hidden="false" customHeight="false" outlineLevel="0" collapsed="false">
      <c r="B66943" s="0" t="s">
        <v>8</v>
      </c>
    </row>
    <row r="66945" customFormat="false" ht="12.8" hidden="false" customHeight="false" outlineLevel="0" collapsed="false">
      <c r="A66945" s="0" t="s">
        <v>22082</v>
      </c>
      <c r="B66945" s="0" t="str">
        <f aca="false">HYPERLINK("https://lindat.mff.cuni.cz/services/teitok/pdtc10/index.php?action=vallex&amp;frame=v-w9194f2", "zasypat (v-w9194f2)")</f>
        <v>zasypat (v-w9194f2)</v>
      </c>
    </row>
    <row r="66946" customFormat="false" ht="12.8" hidden="false" customHeight="false" outlineLevel="0" collapsed="false">
      <c r="B66946" s="0" t="s">
        <v>1</v>
      </c>
    </row>
    <row r="66947" customFormat="false" ht="12.8" hidden="false" customHeight="false" outlineLevel="0" collapsed="false">
      <c r="B66947" s="0" t="s">
        <v>8</v>
      </c>
    </row>
    <row r="66949" customFormat="false" ht="12.8" hidden="false" customHeight="false" outlineLevel="0" collapsed="false">
      <c r="A66949" s="0" t="s">
        <v>22083</v>
      </c>
      <c r="B66949" s="0" t="str">
        <f aca="false">HYPERLINK("https://lindat.mff.cuni.cz/services/teitok/pdtc10/index.php?action=vallex&amp;frame=v-w9194f3", "zasypat (v-w9194f3)")</f>
        <v>zasypat (v-w9194f3)</v>
      </c>
    </row>
    <row r="66950" customFormat="false" ht="12.8" hidden="false" customHeight="false" outlineLevel="0" collapsed="false">
      <c r="B66950" s="0" t="s">
        <v>1</v>
      </c>
    </row>
    <row r="66951" customFormat="false" ht="12.8" hidden="false" customHeight="false" outlineLevel="0" collapsed="false">
      <c r="B66951" s="0" t="s">
        <v>8</v>
      </c>
    </row>
    <row r="66953" customFormat="false" ht="12.8" hidden="false" customHeight="false" outlineLevel="0" collapsed="false">
      <c r="A66953" s="0" t="s">
        <v>22084</v>
      </c>
      <c r="B66953" s="0" t="str">
        <f aca="false">HYPERLINK("https://lindat.mff.cuni.cz/services/teitok/pdtc10/index.php?action=vallex&amp;frame=v-w10513f2", "zasypávat (v-w10513f2)")</f>
        <v>zasypávat (v-w10513f2)</v>
      </c>
      <c r="E66953" s="0" t="str">
        <f aca="false">HYPERLINK("https://lindat.mff.cuni.cz/services/SynSemClass40/SynSemClass40.html?veclass=vec01376#vec01376-ces-cm00002", "vec01376")</f>
        <v>vec01376</v>
      </c>
      <c r="F66953" s="0" t="s">
        <v>21353</v>
      </c>
    </row>
    <row r="66954" customFormat="false" ht="12.8" hidden="false" customHeight="false" outlineLevel="0" collapsed="false">
      <c r="B66954" s="0" t="s">
        <v>1</v>
      </c>
      <c r="C66954" s="0" t="s">
        <v>21749</v>
      </c>
      <c r="E66954" s="0" t="s">
        <v>9766</v>
      </c>
      <c r="F66954" s="0" t="s">
        <v>21355</v>
      </c>
    </row>
    <row r="66955" customFormat="false" ht="12.8" hidden="false" customHeight="false" outlineLevel="0" collapsed="false">
      <c r="B66955" s="0" t="s">
        <v>286</v>
      </c>
      <c r="C66955" s="0" t="s">
        <v>22085</v>
      </c>
      <c r="E66955" s="0" t="s">
        <v>22086</v>
      </c>
      <c r="F66955" s="0" t="s">
        <v>22087</v>
      </c>
    </row>
    <row r="66956" customFormat="false" ht="12.8" hidden="false" customHeight="false" outlineLevel="0" collapsed="false">
      <c r="B66956" s="0" t="s">
        <v>98</v>
      </c>
      <c r="C66956" s="0" t="s">
        <v>22088</v>
      </c>
      <c r="E66956" s="0" t="s">
        <v>53</v>
      </c>
      <c r="F66956" s="0" t="s">
        <v>22089</v>
      </c>
    </row>
    <row r="66958" customFormat="false" ht="12.8" hidden="false" customHeight="false" outlineLevel="0" collapsed="false">
      <c r="A66958" s="0" t="s">
        <v>22090</v>
      </c>
      <c r="B66958" s="0" t="str">
        <f aca="false">HYPERLINK("https://lindat.mff.cuni.cz/services/teitok/pdtc10/index.php?action=vallex&amp;frame=v-w10293f2", "zasyčet (v-w10293f2)")</f>
        <v>zasyčet (v-w10293f2)</v>
      </c>
    </row>
    <row r="66959" customFormat="false" ht="12.8" hidden="false" customHeight="false" outlineLevel="0" collapsed="false">
      <c r="B66959" s="0" t="s">
        <v>1</v>
      </c>
    </row>
    <row r="66960" customFormat="false" ht="12.8" hidden="false" customHeight="false" outlineLevel="0" collapsed="false">
      <c r="B66960" s="0" t="s">
        <v>8077</v>
      </c>
    </row>
    <row r="66961" customFormat="false" ht="12.8" hidden="false" customHeight="false" outlineLevel="0" collapsed="false">
      <c r="B66961" s="0" t="s">
        <v>496</v>
      </c>
    </row>
    <row r="66962" customFormat="false" ht="12.8" hidden="false" customHeight="false" outlineLevel="0" collapsed="false">
      <c r="B66962" s="0" t="s">
        <v>132</v>
      </c>
    </row>
    <row r="66964" customFormat="false" ht="12.8" hidden="false" customHeight="false" outlineLevel="0" collapsed="false">
      <c r="A66964" s="0" t="s">
        <v>22091</v>
      </c>
      <c r="B66964" s="0" t="str">
        <f aca="false">HYPERLINK("https://lindat.mff.cuni.cz/services/teitok/pdtc10/index.php?action=vallex&amp;frame=v-w10293f3_ZU", "zasyčet (v-w10293f3_ZU)")</f>
        <v>zasyčet (v-w10293f3_ZU)</v>
      </c>
    </row>
    <row r="66965" customFormat="false" ht="12.8" hidden="false" customHeight="false" outlineLevel="0" collapsed="false">
      <c r="B66965" s="0" t="s">
        <v>1</v>
      </c>
    </row>
    <row r="66967" customFormat="false" ht="12.8" hidden="false" customHeight="false" outlineLevel="0" collapsed="false">
      <c r="A66967" s="0" t="s">
        <v>22092</v>
      </c>
      <c r="B66967" s="0" t="str">
        <f aca="false">HYPERLINK("https://lindat.mff.cuni.cz/services/teitok/pdtc10/index.php?action=vallex&amp;frame=v-w9116f1", "zasáhnout (v-w9116f1)")</f>
        <v>zasáhnout (v-w9116f1)</v>
      </c>
      <c r="E66967" s="0" t="str">
        <f aca="false">HYPERLINK("https://lindat.mff.cuni.cz/services/SynSemClass40/SynSemClass40.html?veclass=vec00372#vec00372-ces-cm00001", "vec00372")</f>
        <v>vec00372</v>
      </c>
      <c r="F66967" s="0" t="s">
        <v>2524</v>
      </c>
    </row>
    <row r="66968" customFormat="false" ht="12.8" hidden="false" customHeight="false" outlineLevel="0" collapsed="false">
      <c r="B66968" s="0" t="s">
        <v>1</v>
      </c>
      <c r="C66968" s="0" t="s">
        <v>2525</v>
      </c>
      <c r="E66968" s="0" t="s">
        <v>2526</v>
      </c>
      <c r="F66968" s="0" t="s">
        <v>2527</v>
      </c>
    </row>
    <row r="66969" customFormat="false" ht="12.8" hidden="false" customHeight="false" outlineLevel="0" collapsed="false">
      <c r="B66969" s="0" t="s">
        <v>8</v>
      </c>
      <c r="C66969" s="0" t="s">
        <v>2528</v>
      </c>
      <c r="E66969" s="0" t="s">
        <v>142</v>
      </c>
      <c r="F66969" s="0" t="s">
        <v>2529</v>
      </c>
    </row>
    <row r="66971" customFormat="false" ht="12.8" hidden="false" customHeight="false" outlineLevel="0" collapsed="false">
      <c r="A66971" s="0" t="s">
        <v>22093</v>
      </c>
      <c r="B66971" s="0" t="str">
        <f aca="false">HYPERLINK("https://lindat.mff.cuni.cz/services/teitok/pdtc10/index.php?action=vallex&amp;frame=v-w9116f5", "zasáhnout (v-w9116f5)")</f>
        <v>zasáhnout (v-w9116f5)</v>
      </c>
    </row>
    <row r="66972" customFormat="false" ht="12.8" hidden="false" customHeight="false" outlineLevel="0" collapsed="false">
      <c r="B66972" s="0" t="s">
        <v>1</v>
      </c>
    </row>
    <row r="66973" customFormat="false" ht="12.8" hidden="false" customHeight="false" outlineLevel="0" collapsed="false">
      <c r="B66973" s="0" t="s">
        <v>8</v>
      </c>
    </row>
    <row r="66975" customFormat="false" ht="12.8" hidden="false" customHeight="false" outlineLevel="0" collapsed="false">
      <c r="A66975" s="0" t="s">
        <v>22094</v>
      </c>
      <c r="B66975" s="0" t="str">
        <f aca="false">HYPERLINK("https://lindat.mff.cuni.cz/services/teitok/pdtc10/index.php?action=vallex&amp;frame=v-w9116f4", "zasáhnout (v-w9116f4)")</f>
        <v>zasáhnout (v-w9116f4)</v>
      </c>
      <c r="E66975" s="0" t="str">
        <f aca="false">HYPERLINK("https://lindat.mff.cuni.cz/services/SynSemClass40/SynSemClass40.html?veclass=vec00775#vec00775-ces-cm00050", "vec00775")</f>
        <v>vec00775</v>
      </c>
      <c r="F66975" s="0" t="s">
        <v>6457</v>
      </c>
    </row>
    <row r="66976" customFormat="false" ht="12.8" hidden="false" customHeight="false" outlineLevel="0" collapsed="false">
      <c r="B66976" s="0" t="s">
        <v>1</v>
      </c>
      <c r="C66976" s="0" t="s">
        <v>6619</v>
      </c>
      <c r="E66976" s="0" t="s">
        <v>3010</v>
      </c>
      <c r="F66976" s="0" t="s">
        <v>6459</v>
      </c>
    </row>
    <row r="66977" customFormat="false" ht="12.8" hidden="false" customHeight="false" outlineLevel="0" collapsed="false">
      <c r="B66977" s="0" t="s">
        <v>1187</v>
      </c>
      <c r="C66977" s="0" t="s">
        <v>6621</v>
      </c>
      <c r="E66977" s="0" t="s">
        <v>4202</v>
      </c>
      <c r="F66977" s="0" t="s">
        <v>6461</v>
      </c>
    </row>
    <row r="66979" customFormat="false" ht="12.8" hidden="false" customHeight="false" outlineLevel="0" collapsed="false">
      <c r="A66979" s="0" t="s">
        <v>22095</v>
      </c>
      <c r="B66979" s="0" t="str">
        <f aca="false">HYPERLINK("https://lindat.mff.cuni.cz/services/teitok/pdtc10/index.php?action=vallex&amp;frame=v-w9116f2", "zasáhnout (v-w9116f2)")</f>
        <v>zasáhnout (v-w9116f2)</v>
      </c>
      <c r="E66979" s="0" t="str">
        <f aca="false">HYPERLINK("https://lindat.mff.cuni.cz/services/SynSemClass40/SynSemClass40.html?veclass=vec00774#vec00774-ces-cm00001", "vec00774")</f>
        <v>vec00774</v>
      </c>
      <c r="F66979" s="0" t="s">
        <v>4875</v>
      </c>
    </row>
    <row r="66980" customFormat="false" ht="12.8" hidden="false" customHeight="false" outlineLevel="0" collapsed="false">
      <c r="B66980" s="0" t="s">
        <v>1</v>
      </c>
      <c r="C66980" s="0" t="s">
        <v>21527</v>
      </c>
      <c r="E66980" s="0" t="s">
        <v>206</v>
      </c>
      <c r="F66980" s="0" t="s">
        <v>4877</v>
      </c>
    </row>
    <row r="66981" customFormat="false" ht="12.8" hidden="false" customHeight="false" outlineLevel="0" collapsed="false">
      <c r="B66981" s="0" t="s">
        <v>21528</v>
      </c>
      <c r="C66981" s="0" t="s">
        <v>4017</v>
      </c>
      <c r="E66981" s="0" t="s">
        <v>532</v>
      </c>
      <c r="F66981" s="0" t="s">
        <v>4880</v>
      </c>
    </row>
    <row r="66983" customFormat="false" ht="12.8" hidden="false" customHeight="false" outlineLevel="0" collapsed="false">
      <c r="A66983" s="0" t="s">
        <v>22096</v>
      </c>
      <c r="B66983" s="0" t="str">
        <f aca="false">HYPERLINK("https://lindat.mff.cuni.cz/services/teitok/pdtc10/index.php?action=vallex&amp;frame=v-w9116f3", "zasáhnout (v-w9116f3)")</f>
        <v>zasáhnout (v-w9116f3)</v>
      </c>
    </row>
    <row r="66984" customFormat="false" ht="12.8" hidden="false" customHeight="false" outlineLevel="0" collapsed="false">
      <c r="B66984" s="0" t="s">
        <v>1</v>
      </c>
    </row>
    <row r="66985" customFormat="false" ht="12.8" hidden="false" customHeight="false" outlineLevel="0" collapsed="false">
      <c r="B66985" s="0" t="s">
        <v>164</v>
      </c>
    </row>
    <row r="66987" customFormat="false" ht="12.8" hidden="false" customHeight="false" outlineLevel="0" collapsed="false">
      <c r="A66987" s="0" t="s">
        <v>22097</v>
      </c>
      <c r="B66987" s="0" t="str">
        <f aca="false">HYPERLINK("https://lindat.mff.cuni.cz/services/teitok/pdtc10/index.php?action=vallex&amp;frame=v-w9126f1", "zasílat (v-w9126f1)")</f>
        <v>zasílat (v-w9126f1)</v>
      </c>
      <c r="E66987" s="0" t="str">
        <f aca="false">HYPERLINK("https://lindat.mff.cuni.cz/services/SynSemClass40/SynSemClass40.html?veclass=vec00209#vec00209-ces-cm00050", "vec00209")</f>
        <v>vec00209</v>
      </c>
      <c r="F66987" s="0" t="s">
        <v>2040</v>
      </c>
    </row>
    <row r="66988" customFormat="false" ht="12.8" hidden="false" customHeight="false" outlineLevel="0" collapsed="false">
      <c r="B66988" s="0" t="s">
        <v>1</v>
      </c>
      <c r="C66988" s="0" t="s">
        <v>2041</v>
      </c>
      <c r="E66988" s="0" t="s">
        <v>1784</v>
      </c>
      <c r="F66988" s="0" t="s">
        <v>2042</v>
      </c>
    </row>
    <row r="66989" customFormat="false" ht="12.8" hidden="false" customHeight="false" outlineLevel="0" collapsed="false">
      <c r="B66989" s="0" t="s">
        <v>8</v>
      </c>
      <c r="C66989" s="0" t="s">
        <v>2043</v>
      </c>
      <c r="E66989" s="0" t="s">
        <v>1787</v>
      </c>
      <c r="F66989" s="0" t="s">
        <v>2044</v>
      </c>
    </row>
    <row r="66990" customFormat="false" ht="12.8" hidden="false" customHeight="false" outlineLevel="0" collapsed="false">
      <c r="B66990" s="0" t="s">
        <v>52</v>
      </c>
      <c r="C66990" s="0" t="s">
        <v>2046</v>
      </c>
      <c r="E66990" s="0" t="s">
        <v>53</v>
      </c>
      <c r="F66990" s="0" t="s">
        <v>2047</v>
      </c>
    </row>
    <row r="66992" customFormat="false" ht="12.8" hidden="false" customHeight="false" outlineLevel="0" collapsed="false">
      <c r="A66992" s="0" t="s">
        <v>22098</v>
      </c>
      <c r="B66992" s="0" t="str">
        <f aca="false">HYPERLINK("https://lindat.mff.cuni.cz/services/teitok/pdtc10/index.php?action=vallex&amp;frame=v-w9126f2", "zasílat (v-w9126f2)")</f>
        <v>zasílat (v-w9126f2)</v>
      </c>
      <c r="E66992" s="0" t="str">
        <f aca="false">HYPERLINK("https://lindat.mff.cuni.cz/services/SynSemClass40/SynSemClass40.html?veclass=vec00209#vec00209-ces-cm00027", "vec00209")</f>
        <v>vec00209</v>
      </c>
      <c r="F66992" s="0" t="s">
        <v>2040</v>
      </c>
    </row>
    <row r="66993" customFormat="false" ht="12.8" hidden="false" customHeight="false" outlineLevel="0" collapsed="false">
      <c r="B66993" s="0" t="s">
        <v>1</v>
      </c>
      <c r="C66993" s="0" t="s">
        <v>2041</v>
      </c>
      <c r="E66993" s="0" t="s">
        <v>1784</v>
      </c>
      <c r="F66993" s="0" t="s">
        <v>2042</v>
      </c>
    </row>
    <row r="66994" customFormat="false" ht="12.8" hidden="false" customHeight="false" outlineLevel="0" collapsed="false">
      <c r="B66994" s="0" t="s">
        <v>8</v>
      </c>
      <c r="C66994" s="0" t="s">
        <v>2043</v>
      </c>
      <c r="E66994" s="0" t="s">
        <v>1787</v>
      </c>
      <c r="F66994" s="0" t="s">
        <v>2044</v>
      </c>
    </row>
    <row r="66995" customFormat="false" ht="12.8" hidden="false" customHeight="false" outlineLevel="0" collapsed="false">
      <c r="B66995" s="0" t="s">
        <v>164</v>
      </c>
      <c r="C66995" s="0" t="s">
        <v>2654</v>
      </c>
      <c r="E66995" s="0" t="s">
        <v>2212</v>
      </c>
      <c r="F66995" s="0" t="s">
        <v>2651</v>
      </c>
    </row>
    <row r="66997" customFormat="false" ht="12.8" hidden="false" customHeight="false" outlineLevel="0" collapsed="false">
      <c r="A66997" s="0" t="s">
        <v>22099</v>
      </c>
      <c r="B66997" s="0" t="str">
        <f aca="false">HYPERLINK("https://lindat.mff.cuni.cz/services/teitok/pdtc10/index.php?action=vallex&amp;frame=v-w10058f2", "zasít (v-w10058f2)")</f>
        <v>zasít (v-w10058f2)</v>
      </c>
      <c r="E66997" s="0" t="str">
        <f aca="false">HYPERLINK("https://lindat.mff.cuni.cz/services/SynSemClass40/SynSemClass40.html?veclass=vec01111#vec01111-ces-cm00002", "vec01111")</f>
        <v>vec01111</v>
      </c>
      <c r="F66997" s="0" t="s">
        <v>17006</v>
      </c>
    </row>
    <row r="66998" customFormat="false" ht="12.8" hidden="false" customHeight="false" outlineLevel="0" collapsed="false">
      <c r="B66998" s="0" t="s">
        <v>1</v>
      </c>
      <c r="C66998" s="0" t="s">
        <v>447</v>
      </c>
      <c r="E66998" s="0" t="s">
        <v>17007</v>
      </c>
      <c r="F66998" s="0" t="s">
        <v>17008</v>
      </c>
    </row>
    <row r="66999" customFormat="false" ht="12.8" hidden="false" customHeight="false" outlineLevel="0" collapsed="false">
      <c r="B66999" s="0" t="s">
        <v>8</v>
      </c>
      <c r="C66999" s="0" t="s">
        <v>531</v>
      </c>
      <c r="E66999" s="0" t="s">
        <v>17009</v>
      </c>
      <c r="F66999" s="0" t="s">
        <v>17010</v>
      </c>
    </row>
    <row r="67000" customFormat="false" ht="12.8" hidden="false" customHeight="false" outlineLevel="0" collapsed="false">
      <c r="B67000" s="0" t="s">
        <v>164</v>
      </c>
      <c r="E67000" s="0" t="s">
        <v>370</v>
      </c>
      <c r="F67000" s="0" t="s">
        <v>3041</v>
      </c>
    </row>
    <row r="67002" customFormat="false" ht="12.8" hidden="false" customHeight="false" outlineLevel="0" collapsed="false">
      <c r="A67002" s="0" t="s">
        <v>22100</v>
      </c>
      <c r="B67002" s="0" t="str">
        <f aca="false">HYPERLINK("https://lindat.mff.cuni.cz/services/teitok/pdtc10/index.php?action=vallex&amp;frame=v-whsa_755f1_ZU", "zatahat (v-whsa_755f1_ZU)")</f>
        <v>zatahat (v-whsa_755f1_ZU)</v>
      </c>
    </row>
    <row r="67003" customFormat="false" ht="12.8" hidden="false" customHeight="false" outlineLevel="0" collapsed="false">
      <c r="B67003" s="0" t="s">
        <v>1</v>
      </c>
    </row>
    <row r="67004" customFormat="false" ht="12.8" hidden="false" customHeight="false" outlineLevel="0" collapsed="false">
      <c r="B67004" s="0" t="s">
        <v>22101</v>
      </c>
    </row>
    <row r="67006" customFormat="false" ht="12.8" hidden="false" customHeight="false" outlineLevel="0" collapsed="false">
      <c r="A67006" s="0" t="s">
        <v>22100</v>
      </c>
      <c r="B67006" s="0" t="str">
        <f aca="false">HYPERLINK("https://lindat.mff.cuni.cz/services/teitok/pdtc10/index.php?action=vallex&amp;frame=v-whsa_755hsa_756", "zatahat (v-whsa_755hsa_756) - substituted with v-whsa_755f1_ZU")</f>
        <v>zatahat (v-whsa_755hsa_756) - substituted with v-whsa_755f1_ZU</v>
      </c>
    </row>
    <row r="67007" customFormat="false" ht="12.8" hidden="false" customHeight="false" outlineLevel="0" collapsed="false">
      <c r="B67007" s="0" t="s">
        <v>1</v>
      </c>
    </row>
    <row r="67008" customFormat="false" ht="12.8" hidden="false" customHeight="false" outlineLevel="0" collapsed="false">
      <c r="B67008" s="0" t="s">
        <v>22101</v>
      </c>
    </row>
    <row r="67010" customFormat="false" ht="12.8" hidden="false" customHeight="false" outlineLevel="0" collapsed="false">
      <c r="A67010" s="0" t="s">
        <v>22102</v>
      </c>
      <c r="B67010" s="0" t="str">
        <f aca="false">HYPERLINK("https://lindat.mff.cuni.cz/services/teitok/pdtc10/index.php?action=vallex&amp;frame=v-w10601f2", "zatahovat (v-w10601f2)")</f>
        <v>zatahovat (v-w10601f2)</v>
      </c>
    </row>
    <row r="67011" customFormat="false" ht="12.8" hidden="false" customHeight="false" outlineLevel="0" collapsed="false">
      <c r="B67011" s="0" t="s">
        <v>1</v>
      </c>
    </row>
    <row r="67012" customFormat="false" ht="12.8" hidden="false" customHeight="false" outlineLevel="0" collapsed="false">
      <c r="B67012" s="0" t="s">
        <v>8</v>
      </c>
    </row>
    <row r="67014" customFormat="false" ht="12.8" hidden="false" customHeight="false" outlineLevel="0" collapsed="false">
      <c r="A67014" s="0" t="s">
        <v>22103</v>
      </c>
      <c r="B67014" s="0" t="str">
        <f aca="false">HYPERLINK("https://lindat.mff.cuni.cz/services/teitok/pdtc10/index.php?action=vallex&amp;frame=v-w10601hsa_650", "zatahovat (v-w10601hsa_650)")</f>
        <v>zatahovat (v-w10601hsa_650)</v>
      </c>
    </row>
    <row r="67015" customFormat="false" ht="12.8" hidden="false" customHeight="false" outlineLevel="0" collapsed="false">
      <c r="B67015" s="0" t="s">
        <v>1</v>
      </c>
    </row>
    <row r="67016" customFormat="false" ht="12.8" hidden="false" customHeight="false" outlineLevel="0" collapsed="false">
      <c r="B67016" s="0" t="s">
        <v>8</v>
      </c>
    </row>
    <row r="67017" customFormat="false" ht="12.8" hidden="false" customHeight="false" outlineLevel="0" collapsed="false">
      <c r="B67017" s="0" t="s">
        <v>164</v>
      </c>
    </row>
    <row r="67019" customFormat="false" ht="12.8" hidden="false" customHeight="false" outlineLevel="0" collapsed="false">
      <c r="A67019" s="0" t="s">
        <v>22104</v>
      </c>
      <c r="B67019" s="0" t="str">
        <f aca="false">HYPERLINK("https://lindat.mff.cuni.cz/services/teitok/pdtc10/index.php?action=vallex&amp;frame=v-w9208f3", "zatajit (v-w9208f3)")</f>
        <v>zatajit (v-w9208f3)</v>
      </c>
      <c r="E67019" s="0" t="str">
        <f aca="false">HYPERLINK("https://lindat.mff.cuni.cz/services/SynSemClass40/SynSemClass40.html?veclass=vec00514#vec00514-ces-cm00006", "vec00514")</f>
        <v>vec00514</v>
      </c>
      <c r="F67019" s="0" t="s">
        <v>5808</v>
      </c>
    </row>
    <row r="67020" customFormat="false" ht="12.8" hidden="false" customHeight="false" outlineLevel="0" collapsed="false">
      <c r="B67020" s="0" t="s">
        <v>1</v>
      </c>
      <c r="C67020" s="0" t="s">
        <v>5809</v>
      </c>
      <c r="E67020" s="0" t="s">
        <v>4243</v>
      </c>
      <c r="F67020" s="0" t="s">
        <v>5810</v>
      </c>
    </row>
    <row r="67021" customFormat="false" ht="12.8" hidden="false" customHeight="false" outlineLevel="0" collapsed="false">
      <c r="B67021" s="0" t="s">
        <v>4245</v>
      </c>
      <c r="C67021" s="0" t="s">
        <v>5811</v>
      </c>
      <c r="E67021" s="0" t="s">
        <v>4246</v>
      </c>
      <c r="F67021" s="0" t="s">
        <v>5812</v>
      </c>
    </row>
    <row r="67022" customFormat="false" ht="12.8" hidden="false" customHeight="false" outlineLevel="0" collapsed="false">
      <c r="B67022" s="0" t="s">
        <v>381</v>
      </c>
      <c r="C67022" s="0" t="s">
        <v>5813</v>
      </c>
      <c r="E67022" s="0" t="s">
        <v>5814</v>
      </c>
      <c r="F67022" s="0" t="s">
        <v>5815</v>
      </c>
    </row>
    <row r="67024" customFormat="false" ht="12.8" hidden="false" customHeight="false" outlineLevel="0" collapsed="false">
      <c r="A67024" s="0" t="s">
        <v>22105</v>
      </c>
      <c r="B67024" s="0" t="str">
        <f aca="false">HYPERLINK("https://lindat.mff.cuni.cz/services/teitok/pdtc10/index.php?action=vallex&amp;frame=v-w9208f2", "zatajit (v-w9208f2)")</f>
        <v>zatajit (v-w9208f2)</v>
      </c>
    </row>
    <row r="67025" customFormat="false" ht="12.8" hidden="false" customHeight="false" outlineLevel="0" collapsed="false">
      <c r="B67025" s="0" t="s">
        <v>1</v>
      </c>
    </row>
    <row r="67026" customFormat="false" ht="12.8" hidden="false" customHeight="false" outlineLevel="0" collapsed="false">
      <c r="B67026" s="0" t="s">
        <v>15552</v>
      </c>
    </row>
    <row r="67027" customFormat="false" ht="12.8" hidden="false" customHeight="false" outlineLevel="0" collapsed="false">
      <c r="B67027" s="0" t="s">
        <v>496</v>
      </c>
    </row>
    <row r="67028" customFormat="false" ht="12.8" hidden="false" customHeight="false" outlineLevel="0" collapsed="false">
      <c r="B67028" s="0" t="s">
        <v>381</v>
      </c>
    </row>
    <row r="67030" customFormat="false" ht="12.8" hidden="false" customHeight="false" outlineLevel="0" collapsed="false">
      <c r="A67030" s="0" t="s">
        <v>22106</v>
      </c>
      <c r="B67030" s="0" t="str">
        <f aca="false">HYPERLINK("https://lindat.mff.cuni.cz/services/teitok/pdtc10/index.php?action=vallex&amp;frame=v-w9208f1", "zatajit (v-w9208f1)")</f>
        <v>zatajit (v-w9208f1)</v>
      </c>
    </row>
    <row r="67031" customFormat="false" ht="12.8" hidden="false" customHeight="false" outlineLevel="0" collapsed="false">
      <c r="B67031" s="0" t="s">
        <v>1</v>
      </c>
    </row>
    <row r="67032" customFormat="false" ht="12.8" hidden="false" customHeight="false" outlineLevel="0" collapsed="false">
      <c r="B67032" s="0" t="s">
        <v>11322</v>
      </c>
    </row>
    <row r="67034" customFormat="false" ht="12.8" hidden="false" customHeight="false" outlineLevel="0" collapsed="false">
      <c r="A67034" s="0" t="s">
        <v>22107</v>
      </c>
      <c r="B67034" s="0" t="str">
        <f aca="false">HYPERLINK("https://lindat.mff.cuni.cz/services/teitok/pdtc10/index.php?action=vallex&amp;frame=v-w9209f1", "zatajit se (v-w9209f1)")</f>
        <v>zatajit se (v-w9209f1)</v>
      </c>
    </row>
    <row r="67035" customFormat="false" ht="12.8" hidden="false" customHeight="false" outlineLevel="0" collapsed="false">
      <c r="B67035" s="0" t="s">
        <v>22108</v>
      </c>
    </row>
    <row r="67037" customFormat="false" ht="12.8" hidden="false" customHeight="false" outlineLevel="0" collapsed="false">
      <c r="A67037" s="0" t="s">
        <v>22109</v>
      </c>
      <c r="B67037" s="0" t="str">
        <f aca="false">HYPERLINK("https://lindat.mff.cuni.cz/services/teitok/pdtc10/index.php?action=vallex&amp;frame=v-w9210f1", "zatajovat (v-w9210f1)")</f>
        <v>zatajovat (v-w9210f1)</v>
      </c>
      <c r="E67037" s="0" t="str">
        <f aca="false">HYPERLINK("https://lindat.mff.cuni.cz/services/SynSemClass40/SynSemClass40.html?veclass=vec00514#vec00514-ces-cm00007", "vec00514")</f>
        <v>vec00514</v>
      </c>
      <c r="F67037" s="0" t="s">
        <v>5808</v>
      </c>
    </row>
    <row r="67038" customFormat="false" ht="12.8" hidden="false" customHeight="false" outlineLevel="0" collapsed="false">
      <c r="B67038" s="0" t="s">
        <v>1</v>
      </c>
      <c r="C67038" s="0" t="s">
        <v>5809</v>
      </c>
      <c r="E67038" s="0" t="s">
        <v>4243</v>
      </c>
      <c r="F67038" s="0" t="s">
        <v>5810</v>
      </c>
    </row>
    <row r="67039" customFormat="false" ht="12.8" hidden="false" customHeight="false" outlineLevel="0" collapsed="false">
      <c r="B67039" s="0" t="s">
        <v>4245</v>
      </c>
      <c r="C67039" s="0" t="s">
        <v>5811</v>
      </c>
      <c r="E67039" s="0" t="s">
        <v>4246</v>
      </c>
      <c r="F67039" s="0" t="s">
        <v>5812</v>
      </c>
    </row>
    <row r="67040" customFormat="false" ht="12.8" hidden="false" customHeight="false" outlineLevel="0" collapsed="false">
      <c r="B67040" s="0" t="s">
        <v>381</v>
      </c>
      <c r="C67040" s="0" t="s">
        <v>5813</v>
      </c>
      <c r="E67040" s="0" t="s">
        <v>5814</v>
      </c>
      <c r="F67040" s="0" t="s">
        <v>5815</v>
      </c>
    </row>
    <row r="67042" customFormat="false" ht="12.8" hidden="false" customHeight="false" outlineLevel="0" collapsed="false">
      <c r="A67042" s="0" t="s">
        <v>22110</v>
      </c>
      <c r="B67042" s="0" t="str">
        <f aca="false">HYPERLINK("https://lindat.mff.cuni.cz/services/teitok/pdtc10/index.php?action=vallex&amp;frame=v-w9210f2", "zatajovat (v-w9210f2)")</f>
        <v>zatajovat (v-w9210f2)</v>
      </c>
    </row>
    <row r="67043" customFormat="false" ht="12.8" hidden="false" customHeight="false" outlineLevel="0" collapsed="false">
      <c r="B67043" s="0" t="s">
        <v>1</v>
      </c>
    </row>
    <row r="67044" customFormat="false" ht="12.8" hidden="false" customHeight="false" outlineLevel="0" collapsed="false">
      <c r="B67044" s="0" t="s">
        <v>15552</v>
      </c>
    </row>
    <row r="67045" customFormat="false" ht="12.8" hidden="false" customHeight="false" outlineLevel="0" collapsed="false">
      <c r="B67045" s="0" t="s">
        <v>496</v>
      </c>
    </row>
    <row r="67046" customFormat="false" ht="12.8" hidden="false" customHeight="false" outlineLevel="0" collapsed="false">
      <c r="B67046" s="0" t="s">
        <v>381</v>
      </c>
    </row>
    <row r="67048" customFormat="false" ht="12.8" hidden="false" customHeight="false" outlineLevel="0" collapsed="false">
      <c r="A67048" s="0" t="s">
        <v>22111</v>
      </c>
      <c r="B67048" s="0" t="str">
        <f aca="false">HYPERLINK("https://lindat.mff.cuni.cz/services/teitok/pdtc10/index.php?action=vallex&amp;frame=v-w10296f2", "zatancovat (v-w10296f2)")</f>
        <v>zatancovat (v-w10296f2)</v>
      </c>
    </row>
    <row r="67049" customFormat="false" ht="12.8" hidden="false" customHeight="false" outlineLevel="0" collapsed="false">
      <c r="B67049" s="0" t="s">
        <v>1</v>
      </c>
    </row>
    <row r="67050" customFormat="false" ht="12.8" hidden="false" customHeight="false" outlineLevel="0" collapsed="false">
      <c r="B67050" s="0" t="s">
        <v>8</v>
      </c>
    </row>
    <row r="67052" customFormat="false" ht="12.8" hidden="false" customHeight="false" outlineLevel="0" collapsed="false">
      <c r="A67052" s="0" t="s">
        <v>22112</v>
      </c>
      <c r="B67052" s="0" t="str">
        <f aca="false">HYPERLINK("https://lindat.mff.cuni.cz/services/teitok/pdtc10/index.php?action=vallex&amp;frame=v-w11279f1", "zatancovat si (v-w11279f1)")</f>
        <v>zatancovat si (v-w11279f1)</v>
      </c>
    </row>
    <row r="67053" customFormat="false" ht="12.8" hidden="false" customHeight="false" outlineLevel="0" collapsed="false">
      <c r="B67053" s="0" t="s">
        <v>1</v>
      </c>
    </row>
    <row r="67054" customFormat="false" ht="12.8" hidden="false" customHeight="false" outlineLevel="0" collapsed="false">
      <c r="B67054" s="0" t="s">
        <v>8</v>
      </c>
    </row>
    <row r="67056" customFormat="false" ht="12.8" hidden="false" customHeight="false" outlineLevel="0" collapsed="false">
      <c r="A67056" s="0" t="s">
        <v>22113</v>
      </c>
      <c r="B67056" s="0" t="str">
        <f aca="false">HYPERLINK("https://lindat.mff.cuni.cz/services/teitok/pdtc10/index.php?action=vallex&amp;frame=v-w11279hsa_1657", "zatancovat si (v-w11279hsa_1657)")</f>
        <v>zatancovat si (v-w11279hsa_1657)</v>
      </c>
    </row>
    <row r="67057" customFormat="false" ht="12.8" hidden="false" customHeight="false" outlineLevel="0" collapsed="false">
      <c r="B67057" s="0" t="s">
        <v>1</v>
      </c>
    </row>
    <row r="67058" customFormat="false" ht="12.8" hidden="false" customHeight="false" outlineLevel="0" collapsed="false">
      <c r="B67058" s="0" t="s">
        <v>8</v>
      </c>
    </row>
    <row r="67059" customFormat="false" ht="12.8" hidden="false" customHeight="false" outlineLevel="0" collapsed="false">
      <c r="B67059" s="0" t="s">
        <v>3205</v>
      </c>
    </row>
    <row r="67061" customFormat="false" ht="12.8" hidden="false" customHeight="false" outlineLevel="0" collapsed="false">
      <c r="A67061" s="0" t="s">
        <v>22114</v>
      </c>
      <c r="B67061" s="0" t="str">
        <f aca="false">HYPERLINK("https://lindat.mff.cuni.cz/services/teitok/pdtc10/index.php?action=vallex&amp;frame=v-w11706_ZUf1_ZU", "zatančit (v-w11706_ZUf1_ZU)")</f>
        <v>zatančit (v-w11706_ZUf1_ZU)</v>
      </c>
    </row>
    <row r="67062" customFormat="false" ht="12.8" hidden="false" customHeight="false" outlineLevel="0" collapsed="false">
      <c r="B67062" s="0" t="s">
        <v>1</v>
      </c>
    </row>
    <row r="67063" customFormat="false" ht="12.8" hidden="false" customHeight="false" outlineLevel="0" collapsed="false">
      <c r="B67063" s="0" t="s">
        <v>8</v>
      </c>
    </row>
    <row r="67065" customFormat="false" ht="12.8" hidden="false" customHeight="false" outlineLevel="0" collapsed="false">
      <c r="A67065" s="0" t="s">
        <v>22115</v>
      </c>
      <c r="B67065" s="0" t="str">
        <f aca="false">HYPERLINK("https://lindat.mff.cuni.cz/services/teitok/pdtc10/index.php?action=vallex&amp;frame=v-whsa_1485f1_ZU", "zatančit si (v-whsa_1485f1_ZU)")</f>
        <v>zatančit si (v-whsa_1485f1_ZU)</v>
      </c>
    </row>
    <row r="67066" customFormat="false" ht="12.8" hidden="false" customHeight="false" outlineLevel="0" collapsed="false">
      <c r="B67066" s="0" t="s">
        <v>1</v>
      </c>
    </row>
    <row r="67067" customFormat="false" ht="12.8" hidden="false" customHeight="false" outlineLevel="0" collapsed="false">
      <c r="B67067" s="0" t="s">
        <v>8</v>
      </c>
    </row>
    <row r="67068" customFormat="false" ht="12.8" hidden="false" customHeight="false" outlineLevel="0" collapsed="false">
      <c r="B67068" s="0" t="s">
        <v>3205</v>
      </c>
    </row>
    <row r="67070" customFormat="false" ht="12.8" hidden="false" customHeight="false" outlineLevel="0" collapsed="false">
      <c r="A67070" s="0" t="s">
        <v>22115</v>
      </c>
      <c r="B67070" s="0" t="str">
        <f aca="false">HYPERLINK("https://lindat.mff.cuni.cz/services/teitok/pdtc10/index.php?action=vallex&amp;frame=v-whsa_1485hsa_1486", "zatančit si (v-whsa_1485hsa_1486) - substituted with v-whsa_1485f1_ZU")</f>
        <v>zatančit si (v-whsa_1485hsa_1486) - substituted with v-whsa_1485f1_ZU</v>
      </c>
    </row>
    <row r="67071" customFormat="false" ht="12.8" hidden="false" customHeight="false" outlineLevel="0" collapsed="false">
      <c r="B67071" s="0" t="s">
        <v>1</v>
      </c>
    </row>
    <row r="67072" customFormat="false" ht="12.8" hidden="false" customHeight="false" outlineLevel="0" collapsed="false">
      <c r="B67072" s="0" t="s">
        <v>8</v>
      </c>
    </row>
    <row r="67073" customFormat="false" ht="12.8" hidden="false" customHeight="false" outlineLevel="0" collapsed="false">
      <c r="B67073" s="0" t="s">
        <v>3205</v>
      </c>
    </row>
    <row r="67075" customFormat="false" ht="12.8" hidden="false" customHeight="false" outlineLevel="0" collapsed="false">
      <c r="A67075" s="0" t="s">
        <v>22116</v>
      </c>
      <c r="B67075" s="0" t="str">
        <f aca="false">HYPERLINK("https://lindat.mff.cuni.cz/services/teitok/pdtc10/index.php?action=vallex&amp;frame=v-w9211f1", "zatarasit (v-w9211f1)")</f>
        <v>zatarasit (v-w9211f1)</v>
      </c>
      <c r="E67075" s="0" t="str">
        <f aca="false">HYPERLINK("https://lindat.mff.cuni.cz/services/SynSemClass40/SynSemClass40.html?veclass=vec00570#vec00570-ces-cm00011", "vec00570")</f>
        <v>vec00570</v>
      </c>
      <c r="F67075" s="0" t="s">
        <v>21151</v>
      </c>
    </row>
    <row r="67076" customFormat="false" ht="12.8" hidden="false" customHeight="false" outlineLevel="0" collapsed="false">
      <c r="B67076" s="0" t="s">
        <v>1</v>
      </c>
      <c r="C67076" s="0" t="s">
        <v>512</v>
      </c>
      <c r="E67076" s="0" t="s">
        <v>7276</v>
      </c>
      <c r="F67076" s="0" t="s">
        <v>21152</v>
      </c>
    </row>
    <row r="67077" customFormat="false" ht="12.8" hidden="false" customHeight="false" outlineLevel="0" collapsed="false">
      <c r="B67077" s="0" t="s">
        <v>8</v>
      </c>
      <c r="C67077" s="0" t="s">
        <v>798</v>
      </c>
      <c r="E67077" s="0" t="s">
        <v>6241</v>
      </c>
      <c r="F67077" s="0" t="s">
        <v>12306</v>
      </c>
    </row>
    <row r="67079" customFormat="false" ht="12.8" hidden="false" customHeight="false" outlineLevel="0" collapsed="false">
      <c r="A67079" s="0" t="s">
        <v>22117</v>
      </c>
      <c r="B67079" s="0" t="str">
        <f aca="false">HYPERLINK("https://lindat.mff.cuni.cz/services/teitok/pdtc10/index.php?action=vallex&amp;frame=v-w9212f1", "zatavit (v-w9212f1)")</f>
        <v>zatavit (v-w9212f1)</v>
      </c>
    </row>
    <row r="67080" customFormat="false" ht="12.8" hidden="false" customHeight="false" outlineLevel="0" collapsed="false">
      <c r="B67080" s="0" t="s">
        <v>1</v>
      </c>
    </row>
    <row r="67081" customFormat="false" ht="12.8" hidden="false" customHeight="false" outlineLevel="0" collapsed="false">
      <c r="B67081" s="0" t="s">
        <v>8</v>
      </c>
    </row>
    <row r="67082" customFormat="false" ht="12.8" hidden="false" customHeight="false" outlineLevel="0" collapsed="false">
      <c r="B67082" s="0" t="s">
        <v>164</v>
      </c>
    </row>
    <row r="67084" customFormat="false" ht="12.8" hidden="false" customHeight="false" outlineLevel="0" collapsed="false">
      <c r="A67084" s="0" t="s">
        <v>22118</v>
      </c>
      <c r="B67084" s="0" t="str">
        <f aca="false">HYPERLINK("https://lindat.mff.cuni.cz/services/teitok/pdtc10/index.php?action=vallex&amp;frame=v-w9215f4", "zatelefonovat (v-w9215f4)")</f>
        <v>zatelefonovat (v-w9215f4)</v>
      </c>
    </row>
    <row r="67085" customFormat="false" ht="12.8" hidden="false" customHeight="false" outlineLevel="0" collapsed="false">
      <c r="B67085" s="0" t="s">
        <v>1</v>
      </c>
    </row>
    <row r="67086" customFormat="false" ht="12.8" hidden="false" customHeight="false" outlineLevel="0" collapsed="false">
      <c r="B67086" s="0" t="s">
        <v>500</v>
      </c>
    </row>
    <row r="67087" customFormat="false" ht="12.8" hidden="false" customHeight="false" outlineLevel="0" collapsed="false">
      <c r="B67087" s="0" t="s">
        <v>52</v>
      </c>
    </row>
    <row r="67089" customFormat="false" ht="12.8" hidden="false" customHeight="false" outlineLevel="0" collapsed="false">
      <c r="A67089" s="0" t="s">
        <v>22119</v>
      </c>
      <c r="B67089" s="0" t="str">
        <f aca="false">HYPERLINK("https://lindat.mff.cuni.cz/services/teitok/pdtc10/index.php?action=vallex&amp;frame=v-w9215f3", "zatelefonovat (v-w9215f3)")</f>
        <v>zatelefonovat (v-w9215f3)</v>
      </c>
    </row>
    <row r="67090" customFormat="false" ht="12.8" hidden="false" customHeight="false" outlineLevel="0" collapsed="false">
      <c r="B67090" s="0" t="s">
        <v>1</v>
      </c>
    </row>
    <row r="67091" customFormat="false" ht="12.8" hidden="false" customHeight="false" outlineLevel="0" collapsed="false">
      <c r="B67091" s="0" t="s">
        <v>52</v>
      </c>
    </row>
    <row r="67092" customFormat="false" ht="12.8" hidden="false" customHeight="false" outlineLevel="0" collapsed="false">
      <c r="B67092" s="0" t="s">
        <v>496</v>
      </c>
    </row>
    <row r="67094" customFormat="false" ht="12.8" hidden="false" customHeight="false" outlineLevel="0" collapsed="false">
      <c r="A67094" s="0" t="s">
        <v>22120</v>
      </c>
      <c r="B67094" s="0" t="str">
        <f aca="false">HYPERLINK("https://lindat.mff.cuni.cz/services/teitok/pdtc10/index.php?action=vallex&amp;frame=v-w9215f1", "zatelefonovat (v-w9215f1)")</f>
        <v>zatelefonovat (v-w9215f1)</v>
      </c>
    </row>
    <row r="67095" customFormat="false" ht="12.8" hidden="false" customHeight="false" outlineLevel="0" collapsed="false">
      <c r="B67095" s="0" t="s">
        <v>1</v>
      </c>
    </row>
    <row r="67096" customFormat="false" ht="12.8" hidden="false" customHeight="false" outlineLevel="0" collapsed="false">
      <c r="B67096" s="0" t="s">
        <v>52</v>
      </c>
    </row>
    <row r="67097" customFormat="false" ht="12.8" hidden="false" customHeight="false" outlineLevel="0" collapsed="false">
      <c r="B67097" s="0" t="s">
        <v>6407</v>
      </c>
    </row>
    <row r="67098" customFormat="false" ht="12.8" hidden="false" customHeight="false" outlineLevel="0" collapsed="false">
      <c r="B67098" s="0" t="s">
        <v>496</v>
      </c>
    </row>
    <row r="67100" customFormat="false" ht="12.8" hidden="false" customHeight="false" outlineLevel="0" collapsed="false">
      <c r="A67100" s="0" t="s">
        <v>22121</v>
      </c>
      <c r="B67100" s="0" t="str">
        <f aca="false">HYPERLINK("https://lindat.mff.cuni.cz/services/teitok/pdtc10/index.php?action=vallex&amp;frame=v-w9215f2", "zatelefonovat (v-w9215f2)")</f>
        <v>zatelefonovat (v-w9215f2)</v>
      </c>
    </row>
    <row r="67101" customFormat="false" ht="12.8" hidden="false" customHeight="false" outlineLevel="0" collapsed="false">
      <c r="B67101" s="0" t="s">
        <v>1</v>
      </c>
    </row>
    <row r="67102" customFormat="false" ht="12.8" hidden="false" customHeight="false" outlineLevel="0" collapsed="false">
      <c r="B67102" s="0" t="s">
        <v>164</v>
      </c>
    </row>
    <row r="67103" customFormat="false" ht="12.8" hidden="false" customHeight="false" outlineLevel="0" collapsed="false">
      <c r="B67103" s="0" t="s">
        <v>496</v>
      </c>
    </row>
    <row r="67105" customFormat="false" ht="12.8" hidden="false" customHeight="false" outlineLevel="0" collapsed="false">
      <c r="A67105" s="0" t="s">
        <v>22122</v>
      </c>
      <c r="B67105" s="0" t="str">
        <f aca="false">HYPERLINK("https://lindat.mff.cuni.cz/services/teitok/pdtc10/index.php?action=vallex&amp;frame=v-w9216f1", "zatelefonovat si (v-w9216f1)")</f>
        <v>zatelefonovat si (v-w9216f1)</v>
      </c>
    </row>
    <row r="67106" customFormat="false" ht="12.8" hidden="false" customHeight="false" outlineLevel="0" collapsed="false">
      <c r="B67106" s="0" t="s">
        <v>1</v>
      </c>
    </row>
    <row r="67107" customFormat="false" ht="12.8" hidden="false" customHeight="false" outlineLevel="0" collapsed="false">
      <c r="B67107" s="0" t="s">
        <v>3152</v>
      </c>
    </row>
    <row r="67108" customFormat="false" ht="12.8" hidden="false" customHeight="false" outlineLevel="0" collapsed="false">
      <c r="B67108" s="0" t="s">
        <v>132</v>
      </c>
    </row>
    <row r="67110" customFormat="false" ht="12.8" hidden="false" customHeight="false" outlineLevel="0" collapsed="false">
      <c r="A67110" s="0" t="s">
        <v>22123</v>
      </c>
      <c r="B67110" s="0" t="str">
        <f aca="false">HYPERLINK("https://lindat.mff.cuni.cz/services/teitok/pdtc10/index.php?action=vallex&amp;frame=v-w9216f2", "zatelefonovat si (v-w9216f2)")</f>
        <v>zatelefonovat si (v-w9216f2)</v>
      </c>
    </row>
    <row r="67111" customFormat="false" ht="12.8" hidden="false" customHeight="false" outlineLevel="0" collapsed="false">
      <c r="B67111" s="0" t="s">
        <v>1</v>
      </c>
    </row>
    <row r="67112" customFormat="false" ht="12.8" hidden="false" customHeight="false" outlineLevel="0" collapsed="false">
      <c r="B67112" s="0" t="s">
        <v>164</v>
      </c>
    </row>
    <row r="67113" customFormat="false" ht="12.8" hidden="false" customHeight="false" outlineLevel="0" collapsed="false">
      <c r="B67113" s="0" t="s">
        <v>3152</v>
      </c>
    </row>
    <row r="67115" customFormat="false" ht="12.8" hidden="false" customHeight="false" outlineLevel="0" collapsed="false">
      <c r="A67115" s="0" t="s">
        <v>22124</v>
      </c>
      <c r="B67115" s="0" t="str">
        <f aca="false">HYPERLINK("https://lindat.mff.cuni.cz/services/teitok/pdtc10/index.php?action=vallex&amp;frame=v-w9216hsa_1545", "zatelefonovat si (v-w9216hsa_1545)")</f>
        <v>zatelefonovat si (v-w9216hsa_1545)</v>
      </c>
    </row>
    <row r="67116" customFormat="false" ht="12.8" hidden="false" customHeight="false" outlineLevel="0" collapsed="false">
      <c r="B67116" s="0" t="s">
        <v>1</v>
      </c>
    </row>
    <row r="67117" customFormat="false" ht="12.8" hidden="false" customHeight="false" outlineLevel="0" collapsed="false">
      <c r="B67117" s="0" t="s">
        <v>8</v>
      </c>
    </row>
    <row r="67118" customFormat="false" ht="12.8" hidden="false" customHeight="false" outlineLevel="0" collapsed="false">
      <c r="B67118" s="0" t="s">
        <v>276</v>
      </c>
    </row>
    <row r="67120" customFormat="false" ht="12.8" hidden="false" customHeight="false" outlineLevel="0" collapsed="false">
      <c r="A67120" s="0" t="s">
        <v>22125</v>
      </c>
      <c r="B67120" s="0" t="str">
        <f aca="false">HYPERLINK("https://lindat.mff.cuni.cz/services/teitok/pdtc10/index.php?action=vallex&amp;frame=v-w9217f1", "zatemnit (v-w9217f1)")</f>
        <v>zatemnit (v-w9217f1)</v>
      </c>
    </row>
    <row r="67121" customFormat="false" ht="12.8" hidden="false" customHeight="false" outlineLevel="0" collapsed="false">
      <c r="B67121" s="0" t="s">
        <v>1</v>
      </c>
    </row>
    <row r="67122" customFormat="false" ht="12.8" hidden="false" customHeight="false" outlineLevel="0" collapsed="false">
      <c r="B67122" s="0" t="s">
        <v>8</v>
      </c>
    </row>
    <row r="67124" customFormat="false" ht="12.8" hidden="false" customHeight="false" outlineLevel="0" collapsed="false">
      <c r="A67124" s="0" t="s">
        <v>22126</v>
      </c>
      <c r="B67124" s="0" t="str">
        <f aca="false">HYPERLINK("https://lindat.mff.cuni.cz/services/teitok/pdtc10/index.php?action=vallex&amp;frame=v-w9217f2", "zatemnit (v-w9217f2)")</f>
        <v>zatemnit (v-w9217f2)</v>
      </c>
      <c r="E67124" s="0" t="str">
        <f aca="false">HYPERLINK("https://lindat.mff.cuni.cz/services/SynSemClass40/SynSemClass40.html?veclass=vec01417#vec01417-ces-cm00009", "vec01417")</f>
        <v>vec01417</v>
      </c>
      <c r="F67124" s="0" t="s">
        <v>10027</v>
      </c>
    </row>
    <row r="67125" customFormat="false" ht="12.8" hidden="false" customHeight="false" outlineLevel="0" collapsed="false">
      <c r="B67125" s="0" t="s">
        <v>1</v>
      </c>
      <c r="E67125" s="0" t="s">
        <v>4581</v>
      </c>
      <c r="F67125" s="0" t="s">
        <v>10028</v>
      </c>
    </row>
    <row r="67126" customFormat="false" ht="12.8" hidden="false" customHeight="false" outlineLevel="0" collapsed="false">
      <c r="B67126" s="0" t="s">
        <v>8</v>
      </c>
      <c r="E67126" s="0" t="s">
        <v>142</v>
      </c>
      <c r="F67126" s="0" t="s">
        <v>6348</v>
      </c>
    </row>
    <row r="67128" customFormat="false" ht="12.8" hidden="false" customHeight="false" outlineLevel="0" collapsed="false">
      <c r="A67128" s="0" t="s">
        <v>22127</v>
      </c>
      <c r="B67128" s="0" t="str">
        <f aca="false">HYPERLINK("https://lindat.mff.cuni.cz/services/teitok/pdtc10/index.php?action=vallex&amp;frame=v-w9218f1", "zatemňovat (v-w9218f1)")</f>
        <v>zatemňovat (v-w9218f1)</v>
      </c>
      <c r="E67128" s="0" t="str">
        <f aca="false">HYPERLINK("https://lindat.mff.cuni.cz/services/SynSemClass40/SynSemClass40.html?veclass=vec00770#vec00770-ces-cm00006", "vec00770")</f>
        <v>vec00770</v>
      </c>
      <c r="F67128" s="0" t="s">
        <v>21607</v>
      </c>
    </row>
    <row r="67129" customFormat="false" ht="12.8" hidden="false" customHeight="false" outlineLevel="0" collapsed="false">
      <c r="B67129" s="0" t="s">
        <v>1</v>
      </c>
      <c r="C67129" s="0" t="s">
        <v>825</v>
      </c>
      <c r="E67129" s="0" t="s">
        <v>63</v>
      </c>
      <c r="F67129" s="0" t="s">
        <v>21608</v>
      </c>
    </row>
    <row r="67130" customFormat="false" ht="12.8" hidden="false" customHeight="false" outlineLevel="0" collapsed="false">
      <c r="B67130" s="0" t="s">
        <v>8</v>
      </c>
      <c r="C67130" s="0" t="s">
        <v>2627</v>
      </c>
      <c r="E67130" s="0" t="s">
        <v>4246</v>
      </c>
      <c r="F67130" s="0" t="s">
        <v>21609</v>
      </c>
    </row>
    <row r="67132" customFormat="false" ht="12.8" hidden="false" customHeight="false" outlineLevel="0" collapsed="false">
      <c r="A67132" s="0" t="s">
        <v>22128</v>
      </c>
      <c r="B67132" s="0" t="str">
        <f aca="false">HYPERLINK("https://lindat.mff.cuni.cz/services/teitok/pdtc10/index.php?action=vallex&amp;frame=v-w9221f1", "zateplovat (v-w9221f1)")</f>
        <v>zateplovat (v-w9221f1)</v>
      </c>
    </row>
    <row r="67133" customFormat="false" ht="12.8" hidden="false" customHeight="false" outlineLevel="0" collapsed="false">
      <c r="B67133" s="0" t="s">
        <v>1</v>
      </c>
    </row>
    <row r="67134" customFormat="false" ht="12.8" hidden="false" customHeight="false" outlineLevel="0" collapsed="false">
      <c r="B67134" s="0" t="s">
        <v>8</v>
      </c>
    </row>
    <row r="67136" customFormat="false" ht="12.8" hidden="false" customHeight="false" outlineLevel="0" collapsed="false">
      <c r="A67136" s="0" t="s">
        <v>22129</v>
      </c>
      <c r="B67136" s="0" t="str">
        <f aca="false">HYPERLINK("https://lindat.mff.cuni.cz/services/teitok/pdtc10/index.php?action=vallex&amp;frame=v-w9228f1", "zatknout (v-w9228f1)")</f>
        <v>zatknout (v-w9228f1)</v>
      </c>
      <c r="E67136" s="0" t="str">
        <f aca="false">HYPERLINK("https://lindat.mff.cuni.cz/services/SynSemClass40/SynSemClass40.html?veclass=vec00185#vec00185-ces-cm00001", "vec00185")</f>
        <v>vec00185</v>
      </c>
      <c r="F67136" s="0" t="s">
        <v>5931</v>
      </c>
    </row>
    <row r="67137" customFormat="false" ht="12.8" hidden="false" customHeight="false" outlineLevel="0" collapsed="false">
      <c r="B67137" s="0" t="s">
        <v>1</v>
      </c>
      <c r="C67137" s="0" t="s">
        <v>1436</v>
      </c>
      <c r="E67137" s="0" t="s">
        <v>206</v>
      </c>
      <c r="F67137" s="0" t="s">
        <v>5932</v>
      </c>
    </row>
    <row r="67138" customFormat="false" ht="12.8" hidden="false" customHeight="false" outlineLevel="0" collapsed="false">
      <c r="B67138" s="0" t="s">
        <v>8</v>
      </c>
      <c r="C67138" s="0" t="s">
        <v>1298</v>
      </c>
      <c r="E67138" s="0" t="s">
        <v>5934</v>
      </c>
      <c r="F67138" s="0" t="s">
        <v>5935</v>
      </c>
    </row>
    <row r="67140" customFormat="false" ht="12.8" hidden="false" customHeight="false" outlineLevel="0" collapsed="false">
      <c r="A67140" s="0" t="s">
        <v>22130</v>
      </c>
      <c r="B67140" s="0" t="str">
        <f aca="false">HYPERLINK("https://lindat.mff.cuni.cz/services/teitok/pdtc10/index.php?action=vallex&amp;frame=v-w9229f1", "zatlačit (v-w9229f1)")</f>
        <v>zatlačit (v-w9229f1)</v>
      </c>
    </row>
    <row r="67141" customFormat="false" ht="12.8" hidden="false" customHeight="false" outlineLevel="0" collapsed="false">
      <c r="B67141" s="0" t="s">
        <v>1</v>
      </c>
    </row>
    <row r="67142" customFormat="false" ht="12.8" hidden="false" customHeight="false" outlineLevel="0" collapsed="false">
      <c r="B67142" s="0" t="s">
        <v>8</v>
      </c>
    </row>
    <row r="67143" customFormat="false" ht="12.8" hidden="false" customHeight="false" outlineLevel="0" collapsed="false">
      <c r="B67143" s="0" t="s">
        <v>164</v>
      </c>
    </row>
    <row r="67145" customFormat="false" ht="12.8" hidden="false" customHeight="false" outlineLevel="0" collapsed="false">
      <c r="A67145" s="0" t="s">
        <v>22131</v>
      </c>
      <c r="B67145" s="0" t="str">
        <f aca="false">HYPERLINK("https://lindat.mff.cuni.cz/services/teitok/pdtc10/index.php?action=vallex&amp;frame=v-w9229f3_ZU", "zatlačit (v-w9229f3_ZU)")</f>
        <v>zatlačit (v-w9229f3_ZU)</v>
      </c>
    </row>
    <row r="67146" customFormat="false" ht="12.8" hidden="false" customHeight="false" outlineLevel="0" collapsed="false">
      <c r="B67146" s="0" t="s">
        <v>1</v>
      </c>
    </row>
    <row r="67147" customFormat="false" ht="12.8" hidden="false" customHeight="false" outlineLevel="0" collapsed="false">
      <c r="B67147" s="0" t="s">
        <v>45</v>
      </c>
    </row>
    <row r="67149" customFormat="false" ht="12.8" hidden="false" customHeight="false" outlineLevel="0" collapsed="false">
      <c r="A67149" s="0" t="s">
        <v>22131</v>
      </c>
      <c r="B67149" s="0" t="str">
        <f aca="false">HYPERLINK("https://lindat.mff.cuni.cz/services/teitok/pdtc10/index.php?action=vallex&amp;frame=v-w9229f2", "zatlačit (v-w9229f2) - substituted with v-w9229f3_ZU")</f>
        <v>zatlačit (v-w9229f2) - substituted with v-w9229f3_ZU</v>
      </c>
    </row>
    <row r="67150" customFormat="false" ht="12.8" hidden="false" customHeight="false" outlineLevel="0" collapsed="false">
      <c r="B67150" s="0" t="s">
        <v>1</v>
      </c>
    </row>
    <row r="67151" customFormat="false" ht="12.8" hidden="false" customHeight="false" outlineLevel="0" collapsed="false">
      <c r="B67151" s="0" t="s">
        <v>45</v>
      </c>
    </row>
    <row r="67153" customFormat="false" ht="12.8" hidden="false" customHeight="false" outlineLevel="0" collapsed="false">
      <c r="A67153" s="0" t="s">
        <v>22132</v>
      </c>
      <c r="B67153" s="0" t="str">
        <f aca="false">HYPERLINK("https://lindat.mff.cuni.cz/services/teitok/pdtc10/index.php?action=vallex&amp;frame=v-w9229f4_ZU", "zatlačit (v-w9229f4_ZU)")</f>
        <v>zatlačit (v-w9229f4_ZU)</v>
      </c>
    </row>
    <row r="67154" customFormat="false" ht="12.8" hidden="false" customHeight="false" outlineLevel="0" collapsed="false">
      <c r="B67154" s="0" t="s">
        <v>1</v>
      </c>
    </row>
    <row r="67155" customFormat="false" ht="12.8" hidden="false" customHeight="false" outlineLevel="0" collapsed="false">
      <c r="B67155" s="0" t="s">
        <v>16389</v>
      </c>
    </row>
    <row r="67156" customFormat="false" ht="12.8" hidden="false" customHeight="false" outlineLevel="0" collapsed="false">
      <c r="B67156" s="0" t="s">
        <v>186</v>
      </c>
    </row>
    <row r="67158" customFormat="false" ht="12.8" hidden="false" customHeight="false" outlineLevel="0" collapsed="false">
      <c r="A67158" s="0" t="s">
        <v>22132</v>
      </c>
      <c r="B67158" s="0" t="str">
        <f aca="false">HYPERLINK("https://lindat.mff.cuni.cz/services/teitok/pdtc10/index.php?action=vallex&amp;frame=v-w9229hsa_688", "zatlačit (v-w9229hsa_688) - substituted with v-w9229f4_ZU")</f>
        <v>zatlačit (v-w9229hsa_688) - substituted with v-w9229f4_ZU</v>
      </c>
    </row>
    <row r="67159" customFormat="false" ht="12.8" hidden="false" customHeight="false" outlineLevel="0" collapsed="false">
      <c r="B67159" s="0" t="s">
        <v>1</v>
      </c>
    </row>
    <row r="67160" customFormat="false" ht="12.8" hidden="false" customHeight="false" outlineLevel="0" collapsed="false">
      <c r="B67160" s="0" t="s">
        <v>16389</v>
      </c>
    </row>
    <row r="67161" customFormat="false" ht="12.8" hidden="false" customHeight="false" outlineLevel="0" collapsed="false">
      <c r="B67161" s="0" t="s">
        <v>186</v>
      </c>
    </row>
    <row r="67163" customFormat="false" ht="12.8" hidden="false" customHeight="false" outlineLevel="0" collapsed="false">
      <c r="A67163" s="0" t="s">
        <v>22133</v>
      </c>
      <c r="B67163" s="0" t="str">
        <f aca="false">HYPERLINK("https://lindat.mff.cuni.cz/services/teitok/pdtc10/index.php?action=vallex&amp;frame=v-w9229hsa_816", "zatlačit (v-w9229hsa_816)")</f>
        <v>zatlačit (v-w9229hsa_816)</v>
      </c>
    </row>
    <row r="67164" customFormat="false" ht="12.8" hidden="false" customHeight="false" outlineLevel="0" collapsed="false">
      <c r="B67164" s="0" t="s">
        <v>1</v>
      </c>
    </row>
    <row r="67165" customFormat="false" ht="12.8" hidden="false" customHeight="false" outlineLevel="0" collapsed="false">
      <c r="B67165" s="0" t="s">
        <v>45</v>
      </c>
    </row>
    <row r="67167" customFormat="false" ht="12.8" hidden="false" customHeight="false" outlineLevel="0" collapsed="false">
      <c r="A67167" s="0" t="s">
        <v>22134</v>
      </c>
      <c r="B67167" s="0" t="str">
        <f aca="false">HYPERLINK("https://lindat.mff.cuni.cz/services/teitok/pdtc10/index.php?action=vallex&amp;frame=v-whsa_375f1_ZU", "zatlačovat (v-whsa_375f1_ZU)")</f>
        <v>zatlačovat (v-whsa_375f1_ZU)</v>
      </c>
    </row>
    <row r="67168" customFormat="false" ht="12.8" hidden="false" customHeight="false" outlineLevel="0" collapsed="false">
      <c r="B67168" s="0" t="s">
        <v>1</v>
      </c>
    </row>
    <row r="67169" customFormat="false" ht="12.8" hidden="false" customHeight="false" outlineLevel="0" collapsed="false">
      <c r="B67169" s="0" t="s">
        <v>8</v>
      </c>
    </row>
    <row r="67170" customFormat="false" ht="12.8" hidden="false" customHeight="false" outlineLevel="0" collapsed="false">
      <c r="B67170" s="0" t="s">
        <v>454</v>
      </c>
    </row>
    <row r="67172" customFormat="false" ht="12.8" hidden="false" customHeight="false" outlineLevel="0" collapsed="false">
      <c r="A67172" s="0" t="s">
        <v>22134</v>
      </c>
      <c r="B67172" s="0" t="str">
        <f aca="false">HYPERLINK("https://lindat.mff.cuni.cz/services/teitok/pdtc10/index.php?action=vallex&amp;frame=v-whsa_375hsa_376", "zatlačovat (v-whsa_375hsa_376) - substituted with v-whsa_375f1_ZU")</f>
        <v>zatlačovat (v-whsa_375hsa_376) - substituted with v-whsa_375f1_ZU</v>
      </c>
    </row>
    <row r="67173" customFormat="false" ht="12.8" hidden="false" customHeight="false" outlineLevel="0" collapsed="false">
      <c r="B67173" s="0" t="s">
        <v>1</v>
      </c>
    </row>
    <row r="67174" customFormat="false" ht="12.8" hidden="false" customHeight="false" outlineLevel="0" collapsed="false">
      <c r="B67174" s="0" t="s">
        <v>8</v>
      </c>
    </row>
    <row r="67175" customFormat="false" ht="12.8" hidden="false" customHeight="false" outlineLevel="0" collapsed="false">
      <c r="B67175" s="0" t="s">
        <v>454</v>
      </c>
    </row>
    <row r="67177" customFormat="false" ht="12.8" hidden="false" customHeight="false" outlineLevel="0" collapsed="false">
      <c r="A67177" s="0" t="s">
        <v>22135</v>
      </c>
      <c r="B67177" s="0" t="str">
        <f aca="false">HYPERLINK("https://lindat.mff.cuni.cz/services/teitok/pdtc10/index.php?action=vallex&amp;frame=v-w11140f2", "zatleskat (v-w11140f2)")</f>
        <v>zatleskat (v-w11140f2)</v>
      </c>
      <c r="E67177" s="0" t="str">
        <f aca="false">HYPERLINK("https://lindat.mff.cuni.cz/services/SynSemClass40/SynSemClass40.html?veclass=vec00135#vec00135-ces-cm00007", "vec00135")</f>
        <v>vec00135</v>
      </c>
      <c r="F67177" s="0" t="s">
        <v>153</v>
      </c>
    </row>
    <row r="67178" customFormat="false" ht="12.8" hidden="false" customHeight="false" outlineLevel="0" collapsed="false">
      <c r="B67178" s="0" t="s">
        <v>1</v>
      </c>
      <c r="C67178" s="0" t="s">
        <v>154</v>
      </c>
      <c r="E67178" s="0" t="s">
        <v>155</v>
      </c>
      <c r="F67178" s="0" t="s">
        <v>156</v>
      </c>
    </row>
    <row r="67179" customFormat="false" ht="12.8" hidden="false" customHeight="false" outlineLevel="0" collapsed="false">
      <c r="B67179" s="0" t="s">
        <v>157</v>
      </c>
      <c r="C67179" s="0" t="s">
        <v>158</v>
      </c>
      <c r="E67179" s="0" t="s">
        <v>159</v>
      </c>
      <c r="F67179" s="0" t="s">
        <v>160</v>
      </c>
    </row>
    <row r="67181" customFormat="false" ht="12.8" hidden="false" customHeight="false" outlineLevel="0" collapsed="false">
      <c r="A67181" s="0" t="s">
        <v>22136</v>
      </c>
      <c r="B67181" s="0" t="str">
        <f aca="false">HYPERLINK("https://lindat.mff.cuni.cz/services/teitok/pdtc10/index.php?action=vallex&amp;frame=v-whsa_2013f1_ZU", "zatlouct (v-whsa_2013f1_ZU)")</f>
        <v>zatlouct (v-whsa_2013f1_ZU)</v>
      </c>
    </row>
    <row r="67182" customFormat="false" ht="12.8" hidden="false" customHeight="false" outlineLevel="0" collapsed="false">
      <c r="B67182" s="0" t="s">
        <v>1</v>
      </c>
    </row>
    <row r="67183" customFormat="false" ht="12.8" hidden="false" customHeight="false" outlineLevel="0" collapsed="false">
      <c r="B67183" s="0" t="s">
        <v>8</v>
      </c>
    </row>
    <row r="67184" customFormat="false" ht="12.8" hidden="false" customHeight="false" outlineLevel="0" collapsed="false">
      <c r="B67184" s="0" t="s">
        <v>164</v>
      </c>
    </row>
    <row r="67186" customFormat="false" ht="12.8" hidden="false" customHeight="false" outlineLevel="0" collapsed="false">
      <c r="A67186" s="0" t="s">
        <v>22136</v>
      </c>
      <c r="B67186" s="0" t="str">
        <f aca="false">HYPERLINK("https://lindat.mff.cuni.cz/services/teitok/pdtc10/index.php?action=vallex&amp;frame=v-whsa_2013hsa_2014", "zatlouct (v-whsa_2013hsa_2014) - substituted with v-whsa_2013f1_ZU")</f>
        <v>zatlouct (v-whsa_2013hsa_2014) - substituted with v-whsa_2013f1_ZU</v>
      </c>
    </row>
    <row r="67187" customFormat="false" ht="12.8" hidden="false" customHeight="false" outlineLevel="0" collapsed="false">
      <c r="B67187" s="0" t="s">
        <v>1</v>
      </c>
    </row>
    <row r="67188" customFormat="false" ht="12.8" hidden="false" customHeight="false" outlineLevel="0" collapsed="false">
      <c r="B67188" s="0" t="s">
        <v>8</v>
      </c>
    </row>
    <row r="67189" customFormat="false" ht="12.8" hidden="false" customHeight="false" outlineLevel="0" collapsed="false">
      <c r="B67189" s="0" t="s">
        <v>164</v>
      </c>
    </row>
    <row r="67191" customFormat="false" ht="12.8" hidden="false" customHeight="false" outlineLevel="0" collapsed="false">
      <c r="A67191" s="0" t="s">
        <v>22137</v>
      </c>
      <c r="B67191" s="0" t="str">
        <f aca="false">HYPERLINK("https://lindat.mff.cuni.cz/services/teitok/pdtc10/index.php?action=vallex&amp;frame=v-whsa_1549hsa_1550", "zatloukat (v-whsa_1549hsa_1550)")</f>
        <v>zatloukat (v-whsa_1549hsa_1550)</v>
      </c>
    </row>
    <row r="67192" customFormat="false" ht="12.8" hidden="false" customHeight="false" outlineLevel="0" collapsed="false">
      <c r="B67192" s="0" t="s">
        <v>1</v>
      </c>
    </row>
    <row r="67193" customFormat="false" ht="12.8" hidden="false" customHeight="false" outlineLevel="0" collapsed="false">
      <c r="B67193" s="0" t="s">
        <v>8</v>
      </c>
    </row>
    <row r="67195" customFormat="false" ht="12.8" hidden="false" customHeight="false" outlineLevel="0" collapsed="false">
      <c r="A67195" s="0" t="s">
        <v>22138</v>
      </c>
      <c r="B67195" s="0" t="str">
        <f aca="false">HYPERLINK("https://lindat.mff.cuni.cz/services/teitok/pdtc10/index.php?action=vallex&amp;frame=v-w10394f2", "zatmelit (v-w10394f2)")</f>
        <v>zatmelit (v-w10394f2)</v>
      </c>
    </row>
    <row r="67196" customFormat="false" ht="12.8" hidden="false" customHeight="false" outlineLevel="0" collapsed="false">
      <c r="B67196" s="0" t="s">
        <v>1</v>
      </c>
    </row>
    <row r="67197" customFormat="false" ht="12.8" hidden="false" customHeight="false" outlineLevel="0" collapsed="false">
      <c r="B67197" s="0" t="s">
        <v>8</v>
      </c>
    </row>
    <row r="67199" customFormat="false" ht="12.8" hidden="false" customHeight="false" outlineLevel="0" collapsed="false">
      <c r="A67199" s="0" t="s">
        <v>22139</v>
      </c>
      <c r="B67199" s="0" t="str">
        <f aca="false">HYPERLINK("https://lindat.mff.cuni.cz/services/teitok/pdtc10/index.php?action=vallex&amp;frame=v-w11853_ZUf1_ZU", "zatnout (v-w11853_ZUf1_ZU)")</f>
        <v>zatnout (v-w11853_ZUf1_ZU)</v>
      </c>
    </row>
    <row r="67200" customFormat="false" ht="12.8" hidden="false" customHeight="false" outlineLevel="0" collapsed="false">
      <c r="B67200" s="0" t="s">
        <v>1</v>
      </c>
    </row>
    <row r="67201" customFormat="false" ht="12.8" hidden="false" customHeight="false" outlineLevel="0" collapsed="false">
      <c r="B67201" s="0" t="s">
        <v>22140</v>
      </c>
    </row>
    <row r="67202" customFormat="false" ht="12.8" hidden="false" customHeight="false" outlineLevel="0" collapsed="false">
      <c r="B67202" s="0" t="s">
        <v>186</v>
      </c>
    </row>
    <row r="67204" customFormat="false" ht="12.8" hidden="false" customHeight="false" outlineLevel="0" collapsed="false">
      <c r="A67204" s="0" t="s">
        <v>22141</v>
      </c>
      <c r="B67204" s="0" t="str">
        <f aca="false">HYPERLINK("https://lindat.mff.cuni.cz/services/teitok/pdtc10/index.php?action=vallex&amp;frame=v-w11048f3", "zatopit (v-w11048f3)")</f>
        <v>zatopit (v-w11048f3)</v>
      </c>
    </row>
    <row r="67205" customFormat="false" ht="12.8" hidden="false" customHeight="false" outlineLevel="0" collapsed="false">
      <c r="B67205" s="0" t="s">
        <v>1</v>
      </c>
    </row>
    <row r="67206" customFormat="false" ht="12.8" hidden="false" customHeight="false" outlineLevel="0" collapsed="false">
      <c r="B67206" s="0" t="s">
        <v>186</v>
      </c>
    </row>
    <row r="67208" customFormat="false" ht="12.8" hidden="false" customHeight="false" outlineLevel="0" collapsed="false">
      <c r="A67208" s="0" t="s">
        <v>22142</v>
      </c>
      <c r="B67208" s="0" t="str">
        <f aca="false">HYPERLINK("https://lindat.mff.cuni.cz/services/teitok/pdtc10/index.php?action=vallex&amp;frame=v-w11048hsa_151", "zatopit (v-w11048hsa_151)")</f>
        <v>zatopit (v-w11048hsa_151)</v>
      </c>
    </row>
    <row r="67209" customFormat="false" ht="12.8" hidden="false" customHeight="false" outlineLevel="0" collapsed="false">
      <c r="B67209" s="0" t="s">
        <v>1</v>
      </c>
    </row>
    <row r="67210" customFormat="false" ht="12.8" hidden="false" customHeight="false" outlineLevel="0" collapsed="false">
      <c r="B67210" s="0" t="s">
        <v>8</v>
      </c>
    </row>
    <row r="67212" customFormat="false" ht="12.8" hidden="false" customHeight="false" outlineLevel="0" collapsed="false">
      <c r="A67212" s="0" t="s">
        <v>22143</v>
      </c>
      <c r="B67212" s="0" t="str">
        <f aca="false">HYPERLINK("https://lindat.mff.cuni.cz/services/teitok/pdtc10/index.php?action=vallex&amp;frame=v-w11048hsa_152", "zatopit (v-w11048hsa_152)")</f>
        <v>zatopit (v-w11048hsa_152)</v>
      </c>
    </row>
    <row r="67213" customFormat="false" ht="12.8" hidden="false" customHeight="false" outlineLevel="0" collapsed="false">
      <c r="B67213" s="0" t="s">
        <v>1</v>
      </c>
    </row>
    <row r="67215" customFormat="false" ht="12.8" hidden="false" customHeight="false" outlineLevel="0" collapsed="false">
      <c r="A67215" s="0" t="s">
        <v>22144</v>
      </c>
      <c r="B67215" s="0" t="str">
        <f aca="false">HYPERLINK("https://lindat.mff.cuni.cz/services/teitok/pdtc10/index.php?action=vallex&amp;frame=v-w9232f1", "zatoulat se (v-w9232f1)")</f>
        <v>zatoulat se (v-w9232f1)</v>
      </c>
    </row>
    <row r="67216" customFormat="false" ht="12.8" hidden="false" customHeight="false" outlineLevel="0" collapsed="false">
      <c r="B67216" s="0" t="s">
        <v>1</v>
      </c>
    </row>
    <row r="67218" customFormat="false" ht="12.8" hidden="false" customHeight="false" outlineLevel="0" collapsed="false">
      <c r="A67218" s="0" t="s">
        <v>22145</v>
      </c>
      <c r="B67218" s="0" t="str">
        <f aca="false">HYPERLINK("https://lindat.mff.cuni.cz/services/teitok/pdtc10/index.php?action=vallex&amp;frame=v-w9233f1", "zatoužit (v-w9233f1)")</f>
        <v>zatoužit (v-w9233f1)</v>
      </c>
    </row>
    <row r="67219" customFormat="false" ht="12.8" hidden="false" customHeight="false" outlineLevel="0" collapsed="false">
      <c r="B67219" s="0" t="s">
        <v>1</v>
      </c>
    </row>
    <row r="67220" customFormat="false" ht="12.8" hidden="false" customHeight="false" outlineLevel="0" collapsed="false">
      <c r="B67220" s="0" t="s">
        <v>3391</v>
      </c>
    </row>
    <row r="67222" customFormat="false" ht="12.8" hidden="false" customHeight="false" outlineLevel="0" collapsed="false">
      <c r="A67222" s="0" t="s">
        <v>22146</v>
      </c>
      <c r="B67222" s="0" t="str">
        <f aca="false">HYPERLINK("https://lindat.mff.cuni.cz/services/teitok/pdtc10/index.php?action=vallex&amp;frame=v-w10346f3", "zatočit (v-w10346f3)")</f>
        <v>zatočit (v-w10346f3)</v>
      </c>
      <c r="E67222" s="0" t="str">
        <f aca="false">HYPERLINK("https://lindat.mff.cuni.cz/services/SynSemClass40/SynSemClass40.html?veclass=vec00923#vec00923-ces-cm00021", "vec00923")</f>
        <v>vec00923</v>
      </c>
      <c r="F67222" s="0" t="s">
        <v>9307</v>
      </c>
    </row>
    <row r="67223" customFormat="false" ht="12.8" hidden="false" customHeight="false" outlineLevel="0" collapsed="false">
      <c r="B67223" s="0" t="s">
        <v>1</v>
      </c>
      <c r="C67223" s="0" t="s">
        <v>459</v>
      </c>
      <c r="E67223" s="0" t="s">
        <v>76</v>
      </c>
      <c r="F67223" s="0" t="s">
        <v>743</v>
      </c>
    </row>
    <row r="67224" customFormat="false" ht="12.8" hidden="false" customHeight="false" outlineLevel="0" collapsed="false">
      <c r="B67224" s="0" t="s">
        <v>721</v>
      </c>
      <c r="C67224" s="0" t="s">
        <v>3252</v>
      </c>
      <c r="E67224" s="0" t="s">
        <v>4094</v>
      </c>
      <c r="F67224" s="0" t="s">
        <v>9308</v>
      </c>
    </row>
    <row r="67226" customFormat="false" ht="12.8" hidden="false" customHeight="false" outlineLevel="0" collapsed="false">
      <c r="A67226" s="0" t="s">
        <v>22147</v>
      </c>
      <c r="B67226" s="0" t="str">
        <f aca="false">HYPERLINK("https://lindat.mff.cuni.cz/services/teitok/pdtc10/index.php?action=vallex&amp;frame=v-w10346f4_ZU", "zatočit (v-w10346f4_ZU)")</f>
        <v>zatočit (v-w10346f4_ZU)</v>
      </c>
    </row>
    <row r="67227" customFormat="false" ht="12.8" hidden="false" customHeight="false" outlineLevel="0" collapsed="false">
      <c r="B67227" s="0" t="s">
        <v>1</v>
      </c>
    </row>
    <row r="67228" customFormat="false" ht="12.8" hidden="false" customHeight="false" outlineLevel="0" collapsed="false">
      <c r="B67228" s="0" t="s">
        <v>286</v>
      </c>
    </row>
    <row r="67230" customFormat="false" ht="12.8" hidden="false" customHeight="false" outlineLevel="0" collapsed="false">
      <c r="A67230" s="0" t="s">
        <v>22148</v>
      </c>
      <c r="B67230" s="0" t="str">
        <f aca="false">HYPERLINK("https://lindat.mff.cuni.cz/services/teitok/pdtc10/index.php?action=vallex&amp;frame=v-whsa_2001hsa_2002", "zatočit se (v-whsa_2001hsa_2002)")</f>
        <v>zatočit se (v-whsa_2001hsa_2002)</v>
      </c>
    </row>
    <row r="67231" customFormat="false" ht="12.8" hidden="false" customHeight="false" outlineLevel="0" collapsed="false">
      <c r="B67231" s="0" t="s">
        <v>1</v>
      </c>
    </row>
    <row r="67233" customFormat="false" ht="12.8" hidden="false" customHeight="false" outlineLevel="0" collapsed="false">
      <c r="A67233" s="0" t="s">
        <v>22149</v>
      </c>
      <c r="B67233" s="0" t="str">
        <f aca="false">HYPERLINK("https://lindat.mff.cuni.cz/services/teitok/pdtc10/index.php?action=vallex&amp;frame=v-w10799f2", "zatraktivnit (v-w10799f2)")</f>
        <v>zatraktivnit (v-w10799f2)</v>
      </c>
      <c r="E67233" s="0" t="str">
        <f aca="false">HYPERLINK("https://lindat.mff.cuni.cz/services/SynSemClass40/SynSemClass40.html?veclass=vec00386#vec00386-ces-cm00049", "vec00386")</f>
        <v>vec00386</v>
      </c>
      <c r="F67233" s="0" t="s">
        <v>5835</v>
      </c>
    </row>
    <row r="67234" customFormat="false" ht="12.8" hidden="false" customHeight="false" outlineLevel="0" collapsed="false">
      <c r="B67234" s="0" t="s">
        <v>1</v>
      </c>
      <c r="C67234" s="0" t="s">
        <v>5836</v>
      </c>
      <c r="E67234" s="0" t="s">
        <v>76</v>
      </c>
      <c r="F67234" s="0" t="s">
        <v>5837</v>
      </c>
    </row>
    <row r="67235" customFormat="false" ht="12.8" hidden="false" customHeight="false" outlineLevel="0" collapsed="false">
      <c r="B67235" s="0" t="s">
        <v>8</v>
      </c>
      <c r="C67235" s="0" t="s">
        <v>5838</v>
      </c>
      <c r="E67235" s="0" t="s">
        <v>4782</v>
      </c>
      <c r="F67235" s="0" t="s">
        <v>5839</v>
      </c>
    </row>
    <row r="67237" customFormat="false" ht="12.8" hidden="false" customHeight="false" outlineLevel="0" collapsed="false">
      <c r="A67237" s="0" t="s">
        <v>22150</v>
      </c>
      <c r="B67237" s="0" t="str">
        <f aca="false">HYPERLINK("https://lindat.mff.cuni.cz/services/teitok/pdtc10/index.php?action=vallex&amp;frame=v-w9234f1", "zatratit (v-w9234f1)")</f>
        <v>zatratit (v-w9234f1)</v>
      </c>
    </row>
    <row r="67238" customFormat="false" ht="12.8" hidden="false" customHeight="false" outlineLevel="0" collapsed="false">
      <c r="B67238" s="0" t="s">
        <v>1</v>
      </c>
    </row>
    <row r="67239" customFormat="false" ht="12.8" hidden="false" customHeight="false" outlineLevel="0" collapsed="false">
      <c r="B67239" s="0" t="s">
        <v>6636</v>
      </c>
    </row>
    <row r="67241" customFormat="false" ht="12.8" hidden="false" customHeight="false" outlineLevel="0" collapsed="false">
      <c r="A67241" s="0" t="s">
        <v>22151</v>
      </c>
      <c r="B67241" s="0" t="str">
        <f aca="false">HYPERLINK("https://lindat.mff.cuni.cz/services/teitok/pdtc10/index.php?action=vallex&amp;frame=v-w9236f1", "zatrhnout (v-w9236f1)")</f>
        <v>zatrhnout (v-w9236f1)</v>
      </c>
    </row>
    <row r="67242" customFormat="false" ht="12.8" hidden="false" customHeight="false" outlineLevel="0" collapsed="false">
      <c r="B67242" s="0" t="s">
        <v>1</v>
      </c>
    </row>
    <row r="67243" customFormat="false" ht="12.8" hidden="false" customHeight="false" outlineLevel="0" collapsed="false">
      <c r="B67243" s="0" t="s">
        <v>22152</v>
      </c>
    </row>
    <row r="67244" customFormat="false" ht="12.8" hidden="false" customHeight="false" outlineLevel="0" collapsed="false">
      <c r="B67244" s="0" t="s">
        <v>52</v>
      </c>
    </row>
    <row r="67246" customFormat="false" ht="12.8" hidden="false" customHeight="false" outlineLevel="0" collapsed="false">
      <c r="A67246" s="0" t="s">
        <v>22153</v>
      </c>
      <c r="B67246" s="0" t="str">
        <f aca="false">HYPERLINK("https://lindat.mff.cuni.cz/services/teitok/pdtc10/index.php?action=vallex&amp;frame=v-whsa_673hsa_674", "zatrnout (v-whsa_673hsa_674)")</f>
        <v>zatrnout (v-whsa_673hsa_674)</v>
      </c>
    </row>
    <row r="67247" customFormat="false" ht="12.8" hidden="false" customHeight="false" outlineLevel="0" collapsed="false">
      <c r="B67247" s="0" t="s">
        <v>804</v>
      </c>
    </row>
    <row r="67249" customFormat="false" ht="12.8" hidden="false" customHeight="false" outlineLevel="0" collapsed="false">
      <c r="A67249" s="0" t="s">
        <v>22154</v>
      </c>
      <c r="B67249" s="0" t="str">
        <f aca="false">HYPERLINK("https://lindat.mff.cuni.cz/services/teitok/pdtc10/index.php?action=vallex&amp;frame=v-whsa_157hsa_158", "zatrpknout (v-whsa_157hsa_158)")</f>
        <v>zatrpknout (v-whsa_157hsa_158)</v>
      </c>
    </row>
    <row r="67250" customFormat="false" ht="12.8" hidden="false" customHeight="false" outlineLevel="0" collapsed="false">
      <c r="B67250" s="0" t="s">
        <v>1</v>
      </c>
    </row>
    <row r="67252" customFormat="false" ht="12.8" hidden="false" customHeight="false" outlineLevel="0" collapsed="false">
      <c r="A67252" s="0" t="s">
        <v>22155</v>
      </c>
      <c r="B67252" s="0" t="str">
        <f aca="false">HYPERLINK("https://lindat.mff.cuni.cz/services/teitok/pdtc10/index.php?action=vallex&amp;frame=v-w9235f1", "zatrénovat si (v-w9235f1)")</f>
        <v>zatrénovat si (v-w9235f1)</v>
      </c>
    </row>
    <row r="67253" customFormat="false" ht="12.8" hidden="false" customHeight="false" outlineLevel="0" collapsed="false">
      <c r="B67253" s="0" t="s">
        <v>1</v>
      </c>
    </row>
    <row r="67255" customFormat="false" ht="12.8" hidden="false" customHeight="false" outlineLevel="0" collapsed="false">
      <c r="A67255" s="0" t="s">
        <v>22156</v>
      </c>
      <c r="B67255" s="0" t="str">
        <f aca="false">HYPERLINK("https://lindat.mff.cuni.cz/services/teitok/pdtc10/index.php?action=vallex&amp;frame=v-w9239f1", "zatvářit se (v-w9239f1)")</f>
        <v>zatvářit se (v-w9239f1)</v>
      </c>
    </row>
    <row r="67256" customFormat="false" ht="12.8" hidden="false" customHeight="false" outlineLevel="0" collapsed="false">
      <c r="B67256" s="0" t="s">
        <v>1</v>
      </c>
    </row>
    <row r="67257" customFormat="false" ht="12.8" hidden="false" customHeight="false" outlineLevel="0" collapsed="false">
      <c r="B67257" s="0" t="s">
        <v>642</v>
      </c>
    </row>
    <row r="67258" customFormat="false" ht="12.8" hidden="false" customHeight="false" outlineLevel="0" collapsed="false">
      <c r="B67258" s="0" t="s">
        <v>648</v>
      </c>
    </row>
    <row r="67259" customFormat="false" ht="12.8" hidden="false" customHeight="false" outlineLevel="0" collapsed="false">
      <c r="B67259" s="0" t="s">
        <v>650</v>
      </c>
    </row>
    <row r="67260" customFormat="false" ht="12.8" hidden="false" customHeight="false" outlineLevel="0" collapsed="false">
      <c r="B67260" s="0" t="s">
        <v>652</v>
      </c>
    </row>
    <row r="67262" customFormat="false" ht="12.8" hidden="false" customHeight="false" outlineLevel="0" collapsed="false">
      <c r="A67262" s="0" t="s">
        <v>22157</v>
      </c>
      <c r="B67262" s="0" t="str">
        <f aca="false">HYPERLINK("https://lindat.mff.cuni.cz/services/teitok/pdtc10/index.php?action=vallex&amp;frame=v-w9206f1", "zatáhnout (v-w9206f1)")</f>
        <v>zatáhnout (v-w9206f1)</v>
      </c>
      <c r="E67262" s="0" t="str">
        <f aca="false">HYPERLINK("https://lindat.mff.cuni.cz/services/SynSemClass40/SynSemClass40.html?veclass=vec00812#vec00812-ces-cm00392", "vec00812")</f>
        <v>vec00812</v>
      </c>
      <c r="F67262" s="0" t="s">
        <v>2822</v>
      </c>
    </row>
    <row r="67263" customFormat="false" ht="12.8" hidden="false" customHeight="false" outlineLevel="0" collapsed="false">
      <c r="B67263" s="0" t="s">
        <v>1</v>
      </c>
      <c r="C67263" s="0" t="s">
        <v>2823</v>
      </c>
      <c r="E67263" s="0" t="s">
        <v>1103</v>
      </c>
      <c r="F67263" s="0" t="s">
        <v>2824</v>
      </c>
    </row>
    <row r="67264" customFormat="false" ht="12.8" hidden="false" customHeight="false" outlineLevel="0" collapsed="false">
      <c r="B67264" s="0" t="s">
        <v>8</v>
      </c>
      <c r="C67264" s="0" t="s">
        <v>2372</v>
      </c>
      <c r="E67264" s="0" t="s">
        <v>142</v>
      </c>
      <c r="F67264" s="0" t="s">
        <v>2825</v>
      </c>
    </row>
    <row r="67265" customFormat="false" ht="12.8" hidden="false" customHeight="false" outlineLevel="0" collapsed="false">
      <c r="B67265" s="0" t="s">
        <v>164</v>
      </c>
      <c r="C67265" s="0" t="s">
        <v>2826</v>
      </c>
      <c r="E67265" s="0" t="s">
        <v>3114</v>
      </c>
      <c r="F67265" s="0" t="s">
        <v>3115</v>
      </c>
    </row>
    <row r="67267" customFormat="false" ht="12.8" hidden="false" customHeight="false" outlineLevel="0" collapsed="false">
      <c r="A67267" s="0" t="s">
        <v>22158</v>
      </c>
      <c r="B67267" s="0" t="str">
        <f aca="false">HYPERLINK("https://lindat.mff.cuni.cz/services/teitok/pdtc10/index.php?action=vallex&amp;frame=v-w9206f2", "zatáhnout (v-w9206f2)")</f>
        <v>zatáhnout (v-w9206f2)</v>
      </c>
    </row>
    <row r="67268" customFormat="false" ht="12.8" hidden="false" customHeight="false" outlineLevel="0" collapsed="false">
      <c r="B67268" s="0" t="s">
        <v>1</v>
      </c>
    </row>
    <row r="67269" customFormat="false" ht="12.8" hidden="false" customHeight="false" outlineLevel="0" collapsed="false">
      <c r="B67269" s="0" t="s">
        <v>8</v>
      </c>
    </row>
    <row r="67271" customFormat="false" ht="12.8" hidden="false" customHeight="false" outlineLevel="0" collapsed="false">
      <c r="A67271" s="0" t="s">
        <v>22159</v>
      </c>
      <c r="B67271" s="0" t="str">
        <f aca="false">HYPERLINK("https://lindat.mff.cuni.cz/services/teitok/pdtc10/index.php?action=vallex&amp;frame=v-w9206f3_ZU", "zatáhnout (v-w9206f3_ZU)")</f>
        <v>zatáhnout (v-w9206f3_ZU)</v>
      </c>
    </row>
    <row r="67272" customFormat="false" ht="12.8" hidden="false" customHeight="false" outlineLevel="0" collapsed="false">
      <c r="B67272" s="0" t="s">
        <v>1</v>
      </c>
    </row>
    <row r="67273" customFormat="false" ht="12.8" hidden="false" customHeight="false" outlineLevel="0" collapsed="false">
      <c r="B67273" s="0" t="s">
        <v>22160</v>
      </c>
    </row>
    <row r="67274" customFormat="false" ht="12.8" hidden="false" customHeight="false" outlineLevel="0" collapsed="false">
      <c r="B67274" s="0" t="s">
        <v>1289</v>
      </c>
    </row>
    <row r="67276" customFormat="false" ht="12.8" hidden="false" customHeight="false" outlineLevel="0" collapsed="false">
      <c r="A67276" s="0" t="s">
        <v>22159</v>
      </c>
      <c r="B67276" s="0" t="str">
        <f aca="false">HYPERLINK("https://lindat.mff.cuni.cz/services/teitok/pdtc10/index.php?action=vallex&amp;frame=v-w9206hsa_778", "zatáhnout (v-w9206hsa_778) - substituted with v-w9206f3_ZU")</f>
        <v>zatáhnout (v-w9206hsa_778) - substituted with v-w9206f3_ZU</v>
      </c>
    </row>
    <row r="67277" customFormat="false" ht="12.8" hidden="false" customHeight="false" outlineLevel="0" collapsed="false">
      <c r="B67277" s="0" t="s">
        <v>1</v>
      </c>
    </row>
    <row r="67278" customFormat="false" ht="12.8" hidden="false" customHeight="false" outlineLevel="0" collapsed="false">
      <c r="B67278" s="0" t="s">
        <v>22160</v>
      </c>
    </row>
    <row r="67279" customFormat="false" ht="12.8" hidden="false" customHeight="false" outlineLevel="0" collapsed="false">
      <c r="B67279" s="0" t="s">
        <v>1289</v>
      </c>
    </row>
    <row r="67281" customFormat="false" ht="12.8" hidden="false" customHeight="false" outlineLevel="0" collapsed="false">
      <c r="A67281" s="0" t="s">
        <v>22161</v>
      </c>
      <c r="B67281" s="0" t="str">
        <f aca="false">HYPERLINK("https://lindat.mff.cuni.cz/services/teitok/pdtc10/index.php?action=vallex&amp;frame=v-w9206f4_ZU", "zatáhnout (v-w9206f4_ZU)")</f>
        <v>zatáhnout (v-w9206f4_ZU)</v>
      </c>
    </row>
    <row r="67282" customFormat="false" ht="12.8" hidden="false" customHeight="false" outlineLevel="0" collapsed="false">
      <c r="B67282" s="0" t="s">
        <v>1</v>
      </c>
    </row>
    <row r="67283" customFormat="false" ht="12.8" hidden="false" customHeight="false" outlineLevel="0" collapsed="false">
      <c r="B67283" s="0" t="s">
        <v>665</v>
      </c>
    </row>
    <row r="67285" customFormat="false" ht="12.8" hidden="false" customHeight="false" outlineLevel="0" collapsed="false">
      <c r="A67285" s="0" t="s">
        <v>22162</v>
      </c>
      <c r="B67285" s="0" t="str">
        <f aca="false">HYPERLINK("https://lindat.mff.cuni.cz/services/teitok/pdtc10/index.php?action=vallex&amp;frame=v-w9206f5_ZU", "zatáhnout (v-w9206f5_ZU)")</f>
        <v>zatáhnout (v-w9206f5_ZU)</v>
      </c>
    </row>
    <row r="67286" customFormat="false" ht="12.8" hidden="false" customHeight="false" outlineLevel="0" collapsed="false">
      <c r="B67286" s="0" t="s">
        <v>1</v>
      </c>
    </row>
    <row r="67287" customFormat="false" ht="12.8" hidden="false" customHeight="false" outlineLevel="0" collapsed="false">
      <c r="B67287" s="0" t="s">
        <v>8</v>
      </c>
    </row>
    <row r="67289" customFormat="false" ht="12.8" hidden="false" customHeight="false" outlineLevel="0" collapsed="false">
      <c r="A67289" s="0" t="s">
        <v>22163</v>
      </c>
      <c r="B67289" s="0" t="str">
        <f aca="false">HYPERLINK("https://lindat.mff.cuni.cz/services/teitok/pdtc10/index.php?action=vallex&amp;frame=v-w9206hsa_668", "zatáhnout (v-w9206hsa_668)")</f>
        <v>zatáhnout (v-w9206hsa_668)</v>
      </c>
    </row>
    <row r="67290" customFormat="false" ht="12.8" hidden="false" customHeight="false" outlineLevel="0" collapsed="false">
      <c r="B67290" s="0" t="s">
        <v>1</v>
      </c>
    </row>
    <row r="67291" customFormat="false" ht="12.8" hidden="false" customHeight="false" outlineLevel="0" collapsed="false">
      <c r="B67291" s="0" t="s">
        <v>8</v>
      </c>
    </row>
    <row r="67293" customFormat="false" ht="12.8" hidden="false" customHeight="false" outlineLevel="0" collapsed="false">
      <c r="A67293" s="0" t="s">
        <v>22164</v>
      </c>
      <c r="B67293" s="0" t="str">
        <f aca="false">HYPERLINK("https://lindat.mff.cuni.cz/services/teitok/pdtc10/index.php?action=vallex&amp;frame=v-w9207f2", "zatáhnout se (v-w9207f2)")</f>
        <v>zatáhnout se (v-w9207f2)</v>
      </c>
    </row>
    <row r="67294" customFormat="false" ht="12.8" hidden="false" customHeight="false" outlineLevel="0" collapsed="false">
      <c r="B67294" s="0" t="s">
        <v>1</v>
      </c>
    </row>
    <row r="67296" customFormat="false" ht="12.8" hidden="false" customHeight="false" outlineLevel="0" collapsed="false">
      <c r="A67296" s="0" t="s">
        <v>22165</v>
      </c>
      <c r="B67296" s="0" t="str">
        <f aca="false">HYPERLINK("https://lindat.mff.cuni.cz/services/teitok/pdtc10/index.php?action=vallex&amp;frame=v-w9207f1", "zatáhnout se (v-w9207f1)")</f>
        <v>zatáhnout se (v-w9207f1)</v>
      </c>
    </row>
    <row r="67298" customFormat="false" ht="12.8" hidden="false" customHeight="false" outlineLevel="0" collapsed="false">
      <c r="A67298" s="0" t="s">
        <v>22166</v>
      </c>
      <c r="B67298" s="0" t="str">
        <f aca="false">HYPERLINK("https://lindat.mff.cuni.cz/services/teitok/pdtc10/index.php?action=vallex&amp;frame=v-w12264_ZUf1_ZU", "zatápět (v-w12264_ZUf1_ZU)")</f>
        <v>zatápět (v-w12264_ZUf1_ZU)</v>
      </c>
    </row>
    <row r="67299" customFormat="false" ht="12.8" hidden="false" customHeight="false" outlineLevel="0" collapsed="false">
      <c r="B67299" s="0" t="s">
        <v>1</v>
      </c>
    </row>
    <row r="67301" customFormat="false" ht="12.8" hidden="false" customHeight="false" outlineLevel="0" collapsed="false">
      <c r="A67301" s="0" t="s">
        <v>22167</v>
      </c>
      <c r="B67301" s="0" t="str">
        <f aca="false">HYPERLINK("https://lindat.mff.cuni.cz/services/teitok/pdtc10/index.php?action=vallex&amp;frame=v-w9204f3", "zatáčet (v-w9204f3)")</f>
        <v>zatáčet (v-w9204f3)</v>
      </c>
    </row>
    <row r="67302" customFormat="false" ht="12.8" hidden="false" customHeight="false" outlineLevel="0" collapsed="false">
      <c r="B67302" s="0" t="s">
        <v>1</v>
      </c>
    </row>
    <row r="67303" customFormat="false" ht="12.8" hidden="false" customHeight="false" outlineLevel="0" collapsed="false">
      <c r="B67303" s="0" t="s">
        <v>2299</v>
      </c>
    </row>
    <row r="67305" customFormat="false" ht="12.8" hidden="false" customHeight="false" outlineLevel="0" collapsed="false">
      <c r="A67305" s="0" t="s">
        <v>22168</v>
      </c>
      <c r="B67305" s="0" t="str">
        <f aca="false">HYPERLINK("https://lindat.mff.cuni.cz/services/teitok/pdtc10/index.php?action=vallex&amp;frame=v-w9204f2", "zatáčet (v-w9204f2)")</f>
        <v>zatáčet (v-w9204f2)</v>
      </c>
    </row>
    <row r="67306" customFormat="false" ht="12.8" hidden="false" customHeight="false" outlineLevel="0" collapsed="false">
      <c r="B67306" s="0" t="s">
        <v>1</v>
      </c>
    </row>
    <row r="67307" customFormat="false" ht="12.8" hidden="false" customHeight="false" outlineLevel="0" collapsed="false">
      <c r="B67307" s="0" t="s">
        <v>8</v>
      </c>
    </row>
    <row r="67309" customFormat="false" ht="12.8" hidden="false" customHeight="false" outlineLevel="0" collapsed="false">
      <c r="A67309" s="0" t="s">
        <v>22169</v>
      </c>
      <c r="B67309" s="0" t="str">
        <f aca="false">HYPERLINK("https://lindat.mff.cuni.cz/services/teitok/pdtc10/index.php?action=vallex&amp;frame=v-w9204f1", "zatáčet (v-w9204f1)")</f>
        <v>zatáčet (v-w9204f1)</v>
      </c>
    </row>
    <row r="67310" customFormat="false" ht="12.8" hidden="false" customHeight="false" outlineLevel="0" collapsed="false">
      <c r="B67310" s="0" t="s">
        <v>1</v>
      </c>
    </row>
    <row r="67312" customFormat="false" ht="12.8" hidden="false" customHeight="false" outlineLevel="0" collapsed="false">
      <c r="A67312" s="0" t="s">
        <v>22170</v>
      </c>
      <c r="B67312" s="0" t="str">
        <f aca="false">HYPERLINK("https://lindat.mff.cuni.cz/services/teitok/pdtc10/index.php?action=vallex&amp;frame=v-w9214f1", "zatékat (v-w9214f1)")</f>
        <v>zatékat (v-w9214f1)</v>
      </c>
    </row>
    <row r="67313" customFormat="false" ht="12.8" hidden="false" customHeight="false" outlineLevel="0" collapsed="false">
      <c r="B67313" s="0" t="s">
        <v>1</v>
      </c>
    </row>
    <row r="67314" customFormat="false" ht="12.8" hidden="false" customHeight="false" outlineLevel="0" collapsed="false">
      <c r="B67314" s="0" t="s">
        <v>164</v>
      </c>
    </row>
    <row r="67316" customFormat="false" ht="12.8" hidden="false" customHeight="false" outlineLevel="0" collapsed="false">
      <c r="A67316" s="0" t="s">
        <v>22171</v>
      </c>
      <c r="B67316" s="0" t="str">
        <f aca="false">HYPERLINK("https://lindat.mff.cuni.cz/services/teitok/pdtc10/index.php?action=vallex&amp;frame=v-w9214f2", "zatékat (v-w9214f2)")</f>
        <v>zatékat (v-w9214f2)</v>
      </c>
    </row>
    <row r="67317" customFormat="false" ht="12.8" hidden="false" customHeight="false" outlineLevel="0" collapsed="false">
      <c r="B67317" s="0" t="s">
        <v>5</v>
      </c>
    </row>
    <row r="67319" customFormat="false" ht="12.8" hidden="false" customHeight="false" outlineLevel="0" collapsed="false">
      <c r="A67319" s="0" t="s">
        <v>22172</v>
      </c>
      <c r="B67319" s="0" t="str">
        <f aca="false">HYPERLINK("https://lindat.mff.cuni.cz/services/teitok/pdtc10/index.php?action=vallex&amp;frame=v-w9214f3", "zatékat (v-w9214f3)")</f>
        <v>zatékat (v-w9214f3)</v>
      </c>
    </row>
    <row r="67320" customFormat="false" ht="12.8" hidden="false" customHeight="false" outlineLevel="0" collapsed="false">
      <c r="B67320" s="0" t="s">
        <v>164</v>
      </c>
    </row>
    <row r="67322" customFormat="false" ht="12.8" hidden="false" customHeight="false" outlineLevel="0" collapsed="false">
      <c r="A67322" s="0" t="s">
        <v>22173</v>
      </c>
      <c r="B67322" s="0" t="str">
        <f aca="false">HYPERLINK("https://lindat.mff.cuni.cz/services/teitok/pdtc10/index.php?action=vallex&amp;frame=v-w9227f1", "zatížit (v-w9227f1)")</f>
        <v>zatížit (v-w9227f1)</v>
      </c>
      <c r="E67322" s="0" t="str">
        <f aca="false">HYPERLINK("https://lindat.mff.cuni.cz/services/SynSemClass40/SynSemClass40.html?veclass=vec00372#vec00372-ces-cm00060", "vec00372")</f>
        <v>vec00372</v>
      </c>
      <c r="F67322" s="0" t="s">
        <v>2524</v>
      </c>
    </row>
    <row r="67323" customFormat="false" ht="12.8" hidden="false" customHeight="false" outlineLevel="0" collapsed="false">
      <c r="B67323" s="0" t="s">
        <v>3921</v>
      </c>
      <c r="C67323" s="0" t="s">
        <v>2525</v>
      </c>
      <c r="E67323" s="0" t="s">
        <v>2526</v>
      </c>
      <c r="F67323" s="0" t="s">
        <v>2527</v>
      </c>
    </row>
    <row r="67324" customFormat="false" ht="12.8" hidden="false" customHeight="false" outlineLevel="0" collapsed="false">
      <c r="B67324" s="0" t="s">
        <v>8</v>
      </c>
      <c r="C67324" s="0" t="s">
        <v>2528</v>
      </c>
      <c r="E67324" s="0" t="s">
        <v>142</v>
      </c>
      <c r="F67324" s="0" t="s">
        <v>2529</v>
      </c>
    </row>
    <row r="67326" customFormat="false" ht="12.8" hidden="false" customHeight="false" outlineLevel="0" collapsed="false">
      <c r="A67326" s="0" t="s">
        <v>22174</v>
      </c>
      <c r="B67326" s="0" t="str">
        <f aca="false">HYPERLINK("https://lindat.mff.cuni.cz/services/teitok/pdtc10/index.php?action=vallex&amp;frame=v-w9243f1", "zatýkat (v-w9243f1)")</f>
        <v>zatýkat (v-w9243f1)</v>
      </c>
    </row>
    <row r="67327" customFormat="false" ht="12.8" hidden="false" customHeight="false" outlineLevel="0" collapsed="false">
      <c r="B67327" s="0" t="s">
        <v>1</v>
      </c>
    </row>
    <row r="67328" customFormat="false" ht="12.8" hidden="false" customHeight="false" outlineLevel="0" collapsed="false">
      <c r="B67328" s="0" t="s">
        <v>8</v>
      </c>
    </row>
    <row r="67330" customFormat="false" ht="12.8" hidden="false" customHeight="false" outlineLevel="0" collapsed="false">
      <c r="A67330" s="0" t="s">
        <v>22175</v>
      </c>
      <c r="B67330" s="0" t="str">
        <f aca="false">HYPERLINK("https://lindat.mff.cuni.cz/services/teitok/pdtc10/index.php?action=vallex&amp;frame=v-whsa_1282hsa_1283", "zatěsnit (v-whsa_1282hsa_1283)")</f>
        <v>zatěsnit (v-whsa_1282hsa_1283)</v>
      </c>
    </row>
    <row r="67331" customFormat="false" ht="12.8" hidden="false" customHeight="false" outlineLevel="0" collapsed="false">
      <c r="B67331" s="0" t="s">
        <v>1</v>
      </c>
    </row>
    <row r="67332" customFormat="false" ht="12.8" hidden="false" customHeight="false" outlineLevel="0" collapsed="false">
      <c r="B67332" s="0" t="s">
        <v>8</v>
      </c>
    </row>
    <row r="67334" customFormat="false" ht="12.8" hidden="false" customHeight="false" outlineLevel="0" collapsed="false">
      <c r="A67334" s="0" t="s">
        <v>22176</v>
      </c>
      <c r="B67334" s="0" t="str">
        <f aca="false">HYPERLINK("https://lindat.mff.cuni.cz/services/teitok/pdtc10/index.php?action=vallex&amp;frame=v-w9223f1", "zatěžovat (v-w9223f1)")</f>
        <v>zatěžovat (v-w9223f1)</v>
      </c>
    </row>
    <row r="67335" customFormat="false" ht="12.8" hidden="false" customHeight="false" outlineLevel="0" collapsed="false">
      <c r="B67335" s="0" t="s">
        <v>1</v>
      </c>
    </row>
    <row r="67336" customFormat="false" ht="12.8" hidden="false" customHeight="false" outlineLevel="0" collapsed="false">
      <c r="B67336" s="0" t="s">
        <v>8</v>
      </c>
    </row>
    <row r="67338" customFormat="false" ht="12.8" hidden="false" customHeight="false" outlineLevel="0" collapsed="false">
      <c r="A67338" s="0" t="s">
        <v>22177</v>
      </c>
      <c r="B67338" s="0" t="str">
        <f aca="false">HYPERLINK("https://lindat.mff.cuni.cz/services/teitok/pdtc10/index.php?action=vallex&amp;frame=v-w9223f2_ZU", "zatěžovat (v-w9223f2_ZU)")</f>
        <v>zatěžovat (v-w9223f2_ZU)</v>
      </c>
    </row>
    <row r="67339" customFormat="false" ht="12.8" hidden="false" customHeight="false" outlineLevel="0" collapsed="false">
      <c r="B67339" s="0" t="s">
        <v>1</v>
      </c>
    </row>
    <row r="67340" customFormat="false" ht="12.8" hidden="false" customHeight="false" outlineLevel="0" collapsed="false">
      <c r="B67340" s="0" t="s">
        <v>8</v>
      </c>
    </row>
    <row r="67342" customFormat="false" ht="12.8" hidden="false" customHeight="false" outlineLevel="0" collapsed="false">
      <c r="A67342" s="0" t="s">
        <v>22178</v>
      </c>
      <c r="B67342" s="0" t="str">
        <f aca="false">HYPERLINK("https://lindat.mff.cuni.cz/services/teitok/pdtc10/index.php?action=vallex&amp;frame=v-whsa_1269f1_ZU", "zatřepat (v-whsa_1269f1_ZU)")</f>
        <v>zatřepat (v-whsa_1269f1_ZU)</v>
      </c>
    </row>
    <row r="67343" customFormat="false" ht="12.8" hidden="false" customHeight="false" outlineLevel="0" collapsed="false">
      <c r="B67343" s="0" t="s">
        <v>1</v>
      </c>
    </row>
    <row r="67344" customFormat="false" ht="12.8" hidden="false" customHeight="false" outlineLevel="0" collapsed="false">
      <c r="B67344" s="0" t="s">
        <v>721</v>
      </c>
    </row>
    <row r="67346" customFormat="false" ht="12.8" hidden="false" customHeight="false" outlineLevel="0" collapsed="false">
      <c r="A67346" s="0" t="s">
        <v>22179</v>
      </c>
      <c r="B67346" s="0" t="str">
        <f aca="false">HYPERLINK("https://lindat.mff.cuni.cz/services/teitok/pdtc10/index.php?action=vallex&amp;frame=v-whsa_1269f2_MM", "zatřepat (v-whsa_1269f2_MM)")</f>
        <v>zatřepat (v-whsa_1269f2_MM)</v>
      </c>
    </row>
    <row r="67347" customFormat="false" ht="12.8" hidden="false" customHeight="false" outlineLevel="0" collapsed="false">
      <c r="B67347" s="0" t="s">
        <v>1</v>
      </c>
    </row>
    <row r="67348" customFormat="false" ht="12.8" hidden="false" customHeight="false" outlineLevel="0" collapsed="false">
      <c r="B67348" s="0" t="s">
        <v>721</v>
      </c>
    </row>
    <row r="67350" customFormat="false" ht="12.8" hidden="false" customHeight="false" outlineLevel="0" collapsed="false">
      <c r="A67350" s="0" t="s">
        <v>22180</v>
      </c>
      <c r="B67350" s="0" t="str">
        <f aca="false">HYPERLINK("https://lindat.mff.cuni.cz/services/teitok/pdtc10/index.php?action=vallex&amp;frame=v-whsb_1269hsa_1270", "zatřepat (v-whsb_1269hsa_1270)")</f>
        <v>zatřepat (v-whsb_1269hsa_1270)</v>
      </c>
    </row>
    <row r="67351" customFormat="false" ht="12.8" hidden="false" customHeight="false" outlineLevel="0" collapsed="false">
      <c r="B67351" s="0" t="s">
        <v>1</v>
      </c>
    </row>
    <row r="67352" customFormat="false" ht="12.8" hidden="false" customHeight="false" outlineLevel="0" collapsed="false">
      <c r="B67352" s="0" t="s">
        <v>721</v>
      </c>
    </row>
    <row r="67354" customFormat="false" ht="12.8" hidden="false" customHeight="false" outlineLevel="0" collapsed="false">
      <c r="A67354" s="0" t="s">
        <v>22181</v>
      </c>
      <c r="B67354" s="0" t="str">
        <f aca="false">HYPERLINK("https://lindat.mff.cuni.cz/services/teitok/pdtc10/index.php?action=vallex&amp;frame=v-w9238f1", "zatřepat se (v-w9238f1)")</f>
        <v>zatřepat se (v-w9238f1)</v>
      </c>
    </row>
    <row r="67355" customFormat="false" ht="12.8" hidden="false" customHeight="false" outlineLevel="0" collapsed="false">
      <c r="B67355" s="0" t="s">
        <v>1</v>
      </c>
    </row>
    <row r="67357" customFormat="false" ht="12.8" hidden="false" customHeight="false" outlineLevel="0" collapsed="false">
      <c r="A67357" s="0" t="s">
        <v>22182</v>
      </c>
      <c r="B67357" s="0" t="str">
        <f aca="false">HYPERLINK("https://lindat.mff.cuni.cz/services/teitok/pdtc10/index.php?action=vallex&amp;frame=v-w9238f2_ZU", "zatřepat se (v-w9238f2_ZU)")</f>
        <v>zatřepat se (v-w9238f2_ZU)</v>
      </c>
    </row>
    <row r="67358" customFormat="false" ht="12.8" hidden="false" customHeight="false" outlineLevel="0" collapsed="false">
      <c r="B67358" s="0" t="s">
        <v>1</v>
      </c>
    </row>
    <row r="67360" customFormat="false" ht="12.8" hidden="false" customHeight="false" outlineLevel="0" collapsed="false">
      <c r="A67360" s="0" t="s">
        <v>22183</v>
      </c>
      <c r="B67360" s="0" t="str">
        <f aca="false">HYPERLINK("https://lindat.mff.cuni.cz/services/teitok/pdtc10/index.php?action=vallex&amp;frame=v-w9237f2", "zatřást (v-w9237f2)")</f>
        <v>zatřást (v-w9237f2)</v>
      </c>
    </row>
    <row r="67361" customFormat="false" ht="12.8" hidden="false" customHeight="false" outlineLevel="0" collapsed="false">
      <c r="B67361" s="0" t="s">
        <v>1</v>
      </c>
    </row>
    <row r="67362" customFormat="false" ht="12.8" hidden="false" customHeight="false" outlineLevel="0" collapsed="false">
      <c r="B67362" s="0" t="s">
        <v>4277</v>
      </c>
    </row>
    <row r="67364" customFormat="false" ht="12.8" hidden="false" customHeight="false" outlineLevel="0" collapsed="false">
      <c r="A67364" s="0" t="s">
        <v>22184</v>
      </c>
      <c r="B67364" s="0" t="str">
        <f aca="false">HYPERLINK("https://lindat.mff.cuni.cz/services/teitok/pdtc10/index.php?action=vallex&amp;frame=v-w9237hsa_42", "zatřást (v-w9237hsa_42)")</f>
        <v>zatřást (v-w9237hsa_42)</v>
      </c>
    </row>
    <row r="67365" customFormat="false" ht="12.8" hidden="false" customHeight="false" outlineLevel="0" collapsed="false">
      <c r="B67365" s="0" t="s">
        <v>1</v>
      </c>
    </row>
    <row r="67366" customFormat="false" ht="12.8" hidden="false" customHeight="false" outlineLevel="0" collapsed="false">
      <c r="B67366" s="0" t="s">
        <v>4277</v>
      </c>
    </row>
    <row r="67368" customFormat="false" ht="12.8" hidden="false" customHeight="false" outlineLevel="0" collapsed="false">
      <c r="A67368" s="0" t="s">
        <v>22184</v>
      </c>
      <c r="B67368" s="0" t="str">
        <f aca="false">HYPERLINK("https://lindat.mff.cuni.cz/services/teitok/pdtc10/index.php?action=vallex&amp;frame=v-w9237f1", "zatřást (v-w9237f1) - substituted with v-w9237hsa_42")</f>
        <v>zatřást (v-w9237f1) - substituted with v-w9237hsa_42</v>
      </c>
    </row>
    <row r="67369" customFormat="false" ht="12.8" hidden="false" customHeight="false" outlineLevel="0" collapsed="false">
      <c r="B67369" s="0" t="s">
        <v>1</v>
      </c>
    </row>
    <row r="67370" customFormat="false" ht="12.8" hidden="false" customHeight="false" outlineLevel="0" collapsed="false">
      <c r="B67370" s="0" t="s">
        <v>4277</v>
      </c>
    </row>
    <row r="67372" customFormat="false" ht="12.8" hidden="false" customHeight="false" outlineLevel="0" collapsed="false">
      <c r="A67372" s="0" t="s">
        <v>22184</v>
      </c>
      <c r="B67372" s="0" t="str">
        <f aca="false">HYPERLINK("https://lindat.mff.cuni.cz/services/teitok/pdtc10/index.php?action=vallex&amp;frame=v-w9237f3", "zatřást (v-w9237f3) - substituted with v-w9237hsa_42")</f>
        <v>zatřást (v-w9237f3) - substituted with v-w9237hsa_42</v>
      </c>
    </row>
    <row r="67373" customFormat="false" ht="12.8" hidden="false" customHeight="false" outlineLevel="0" collapsed="false">
      <c r="B67373" s="0" t="s">
        <v>1</v>
      </c>
    </row>
    <row r="67374" customFormat="false" ht="12.8" hidden="false" customHeight="false" outlineLevel="0" collapsed="false">
      <c r="B67374" s="0" t="s">
        <v>4277</v>
      </c>
    </row>
    <row r="67376" customFormat="false" ht="12.8" hidden="false" customHeight="false" outlineLevel="0" collapsed="false">
      <c r="A67376" s="0" t="s">
        <v>22185</v>
      </c>
      <c r="B67376" s="0" t="str">
        <f aca="false">HYPERLINK("https://lindat.mff.cuni.cz/services/teitok/pdtc10/index.php?action=vallex&amp;frame=v-whsa_317f1_ZU", "zatřást se (v-whsa_317f1_ZU)")</f>
        <v>zatřást se (v-whsa_317f1_ZU)</v>
      </c>
    </row>
    <row r="67377" customFormat="false" ht="12.8" hidden="false" customHeight="false" outlineLevel="0" collapsed="false">
      <c r="B67377" s="0" t="s">
        <v>1</v>
      </c>
    </row>
    <row r="67379" customFormat="false" ht="12.8" hidden="false" customHeight="false" outlineLevel="0" collapsed="false">
      <c r="A67379" s="0" t="s">
        <v>22185</v>
      </c>
      <c r="B67379" s="0" t="str">
        <f aca="false">HYPERLINK("https://lindat.mff.cuni.cz/services/teitok/pdtc10/index.php?action=vallex&amp;frame=v-whsa_317hsa_318", "zatřást se (v-whsa_317hsa_318) - substituted with v-whsa_317f1_ZU")</f>
        <v>zatřást se (v-whsa_317hsa_318) - substituted with v-whsa_317f1_ZU</v>
      </c>
    </row>
    <row r="67380" customFormat="false" ht="12.8" hidden="false" customHeight="false" outlineLevel="0" collapsed="false">
      <c r="B67380" s="0" t="s">
        <v>1</v>
      </c>
    </row>
    <row r="67382" customFormat="false" ht="12.8" hidden="false" customHeight="false" outlineLevel="0" collapsed="false">
      <c r="A67382" s="0" t="s">
        <v>22186</v>
      </c>
      <c r="B67382" s="0" t="str">
        <f aca="false">HYPERLINK("https://lindat.mff.cuni.cz/services/teitok/pdtc10/index.php?action=vallex&amp;frame=v-whsa_317f2_ZU", "zatřást se (v-whsa_317f2_ZU)")</f>
        <v>zatřást se (v-whsa_317f2_ZU)</v>
      </c>
    </row>
    <row r="67383" customFormat="false" ht="12.8" hidden="false" customHeight="false" outlineLevel="0" collapsed="false">
      <c r="B67383" s="0" t="s">
        <v>1</v>
      </c>
    </row>
    <row r="67385" customFormat="false" ht="12.8" hidden="false" customHeight="false" outlineLevel="0" collapsed="false">
      <c r="A67385" s="0" t="s">
        <v>22187</v>
      </c>
      <c r="B67385" s="0" t="str">
        <f aca="false">HYPERLINK("https://lindat.mff.cuni.cz/services/teitok/pdtc10/index.php?action=vallex&amp;frame=v-w9247f8_ZU", "zaujmout (v-w9247f8_ZU)")</f>
        <v>zaujmout (v-w9247f8_ZU)</v>
      </c>
    </row>
    <row r="67386" customFormat="false" ht="12.8" hidden="false" customHeight="false" outlineLevel="0" collapsed="false">
      <c r="B67386" s="0" t="s">
        <v>22188</v>
      </c>
    </row>
    <row r="67387" customFormat="false" ht="12.8" hidden="false" customHeight="false" outlineLevel="0" collapsed="false">
      <c r="B67387" s="0" t="s">
        <v>8</v>
      </c>
    </row>
    <row r="67389" customFormat="false" ht="12.8" hidden="false" customHeight="false" outlineLevel="0" collapsed="false">
      <c r="A67389" s="0" t="s">
        <v>22187</v>
      </c>
      <c r="B67389" s="0" t="str">
        <f aca="false">HYPERLINK("https://lindat.mff.cuni.cz/services/teitok/pdtc10/index.php?action=vallex&amp;frame=v-w9247f1", "zaujmout (v-w9247f1) - substituted with v-w9247f8_ZU")</f>
        <v>zaujmout (v-w9247f1) - substituted with v-w9247f8_ZU</v>
      </c>
    </row>
    <row r="67390" customFormat="false" ht="12.8" hidden="false" customHeight="false" outlineLevel="0" collapsed="false">
      <c r="B67390" s="0" t="s">
        <v>22188</v>
      </c>
    </row>
    <row r="67391" customFormat="false" ht="12.8" hidden="false" customHeight="false" outlineLevel="0" collapsed="false">
      <c r="B67391" s="0" t="s">
        <v>8</v>
      </c>
    </row>
    <row r="67393" customFormat="false" ht="12.8" hidden="false" customHeight="false" outlineLevel="0" collapsed="false">
      <c r="A67393" s="0" t="s">
        <v>22187</v>
      </c>
      <c r="B67393" s="0" t="str">
        <f aca="false">HYPERLINK("https://lindat.mff.cuni.cz/services/teitok/pdtc10/index.php?action=vallex&amp;frame=v-w9247f7_ZU", "zaujmout (v-w9247f7_ZU) - substituted with v-w9247f8_ZU")</f>
        <v>zaujmout (v-w9247f7_ZU) - substituted with v-w9247f8_ZU</v>
      </c>
      <c r="E67393" s="0" t="str">
        <f aca="false">HYPERLINK("https://lindat.mff.cuni.cz/services/SynSemClass40/SynSemClass40.html?veclass=vec00188#vec00188-ces-cm00051", "vec00188")</f>
        <v>vec00188</v>
      </c>
      <c r="F67393" s="0" t="s">
        <v>7128</v>
      </c>
    </row>
    <row r="67394" customFormat="false" ht="12.8" hidden="false" customHeight="false" outlineLevel="0" collapsed="false">
      <c r="B67394" s="0" t="s">
        <v>22188</v>
      </c>
      <c r="C67394" s="0" t="s">
        <v>9998</v>
      </c>
      <c r="E67394" s="0" t="s">
        <v>1567</v>
      </c>
      <c r="F67394" s="0" t="s">
        <v>7130</v>
      </c>
    </row>
    <row r="67395" customFormat="false" ht="12.8" hidden="false" customHeight="false" outlineLevel="0" collapsed="false">
      <c r="B67395" s="0" t="s">
        <v>8</v>
      </c>
      <c r="C67395" s="0" t="s">
        <v>1575</v>
      </c>
      <c r="E67395" s="0" t="s">
        <v>3388</v>
      </c>
      <c r="F67395" s="0" t="s">
        <v>7132</v>
      </c>
    </row>
    <row r="67397" customFormat="false" ht="12.8" hidden="false" customHeight="false" outlineLevel="0" collapsed="false">
      <c r="A67397" s="0" t="s">
        <v>22189</v>
      </c>
      <c r="B67397" s="0" t="str">
        <f aca="false">HYPERLINK("https://lindat.mff.cuni.cz/services/teitok/pdtc10/index.php?action=vallex&amp;frame=v-w9247f3", "zaujmout (v-w9247f3)")</f>
        <v>zaujmout (v-w9247f3)</v>
      </c>
      <c r="E67397" s="0" t="str">
        <f aca="false">HYPERLINK("https://lindat.mff.cuni.cz/services/SynSemClass40/SynSemClass40.html?veclass=vec00613#vec00613-ces-cm00168", "vec00613")</f>
        <v>vec00613</v>
      </c>
      <c r="F67397" s="0" t="s">
        <v>604</v>
      </c>
    </row>
    <row r="67398" customFormat="false" ht="12.8" hidden="false" customHeight="false" outlineLevel="0" collapsed="false">
      <c r="B67398" s="0" t="s">
        <v>1</v>
      </c>
      <c r="C67398" s="0" t="s">
        <v>1436</v>
      </c>
      <c r="E67398" s="0" t="s">
        <v>31</v>
      </c>
      <c r="F67398" s="0" t="s">
        <v>608</v>
      </c>
    </row>
    <row r="67399" customFormat="false" ht="12.8" hidden="false" customHeight="false" outlineLevel="0" collapsed="false">
      <c r="B67399" s="0" t="s">
        <v>8</v>
      </c>
      <c r="C67399" s="0" t="s">
        <v>1437</v>
      </c>
      <c r="E67399" s="0" t="s">
        <v>384</v>
      </c>
      <c r="F67399" s="0" t="s">
        <v>612</v>
      </c>
    </row>
    <row r="67401" customFormat="false" ht="12.8" hidden="false" customHeight="false" outlineLevel="0" collapsed="false">
      <c r="A67401" s="0" t="s">
        <v>22190</v>
      </c>
      <c r="B67401" s="0" t="str">
        <f aca="false">HYPERLINK("https://lindat.mff.cuni.cz/services/teitok/pdtc10/index.php?action=vallex&amp;frame=v-w9247f5_ZU", "zaujmout (v-w9247f5_ZU)")</f>
        <v>zaujmout (v-w9247f5_ZU)</v>
      </c>
      <c r="E67401" s="0" t="str">
        <f aca="false">HYPERLINK("https://lindat.mff.cuni.cz/services/SynSemClass40/SynSemClass40.html?veclass=vec00613#vec00613-ces-cm00169", "vec00613")</f>
        <v>vec00613</v>
      </c>
      <c r="F67401" s="0" t="s">
        <v>604</v>
      </c>
    </row>
    <row r="67402" customFormat="false" ht="12.8" hidden="false" customHeight="false" outlineLevel="0" collapsed="false">
      <c r="B67402" s="0" t="s">
        <v>1</v>
      </c>
      <c r="C67402" s="0" t="s">
        <v>1436</v>
      </c>
      <c r="E67402" s="0" t="s">
        <v>31</v>
      </c>
      <c r="F67402" s="0" t="s">
        <v>608</v>
      </c>
    </row>
    <row r="67403" customFormat="false" ht="12.8" hidden="false" customHeight="false" outlineLevel="0" collapsed="false">
      <c r="B67403" s="0" t="s">
        <v>8</v>
      </c>
      <c r="C67403" s="0" t="s">
        <v>1437</v>
      </c>
      <c r="E67403" s="0" t="s">
        <v>384</v>
      </c>
      <c r="F67403" s="0" t="s">
        <v>612</v>
      </c>
    </row>
    <row r="67405" customFormat="false" ht="12.8" hidden="false" customHeight="false" outlineLevel="0" collapsed="false">
      <c r="A67405" s="0" t="s">
        <v>22191</v>
      </c>
      <c r="B67405" s="0" t="str">
        <f aca="false">HYPERLINK("https://lindat.mff.cuni.cz/services/teitok/pdtc10/index.php?action=vallex&amp;frame=v-w9247f6_ZU", "zaujmout (v-w9247f6_ZU)")</f>
        <v>zaujmout (v-w9247f6_ZU)</v>
      </c>
    </row>
    <row r="67406" customFormat="false" ht="12.8" hidden="false" customHeight="false" outlineLevel="0" collapsed="false">
      <c r="B67406" s="0" t="s">
        <v>1</v>
      </c>
    </row>
    <row r="67407" customFormat="false" ht="12.8" hidden="false" customHeight="false" outlineLevel="0" collapsed="false">
      <c r="B67407" s="0" t="s">
        <v>22192</v>
      </c>
    </row>
    <row r="67409" customFormat="false" ht="12.8" hidden="false" customHeight="false" outlineLevel="0" collapsed="false">
      <c r="A67409" s="0" t="s">
        <v>22191</v>
      </c>
      <c r="B67409" s="0" t="str">
        <f aca="false">HYPERLINK("https://lindat.mff.cuni.cz/services/teitok/pdtc10/index.php?action=vallex&amp;frame=v-w9247f2", "zaujmout (v-w9247f2) - substituted with v-w9247f6_ZU")</f>
        <v>zaujmout (v-w9247f2) - substituted with v-w9247f6_ZU</v>
      </c>
    </row>
    <row r="67410" customFormat="false" ht="12.8" hidden="false" customHeight="false" outlineLevel="0" collapsed="false">
      <c r="B67410" s="0" t="s">
        <v>1</v>
      </c>
    </row>
    <row r="67411" customFormat="false" ht="12.8" hidden="false" customHeight="false" outlineLevel="0" collapsed="false">
      <c r="B67411" s="0" t="s">
        <v>22192</v>
      </c>
    </row>
    <row r="67413" customFormat="false" ht="12.8" hidden="false" customHeight="false" outlineLevel="0" collapsed="false">
      <c r="A67413" s="0" t="s">
        <v>22191</v>
      </c>
      <c r="B67413" s="0" t="str">
        <f aca="false">HYPERLINK("https://lindat.mff.cuni.cz/services/teitok/pdtc10/index.php?action=vallex&amp;frame=v-w9247f4_ZU", "zaujmout (v-w9247f4_ZU) - substituted with v-w9247f6_ZU")</f>
        <v>zaujmout (v-w9247f4_ZU) - substituted with v-w9247f6_ZU</v>
      </c>
    </row>
    <row r="67414" customFormat="false" ht="12.8" hidden="false" customHeight="false" outlineLevel="0" collapsed="false">
      <c r="B67414" s="0" t="s">
        <v>1</v>
      </c>
    </row>
    <row r="67415" customFormat="false" ht="12.8" hidden="false" customHeight="false" outlineLevel="0" collapsed="false">
      <c r="B67415" s="0" t="s">
        <v>22192</v>
      </c>
    </row>
    <row r="67417" customFormat="false" ht="12.8" hidden="false" customHeight="false" outlineLevel="0" collapsed="false">
      <c r="A67417" s="0" t="s">
        <v>22191</v>
      </c>
      <c r="B67417" s="0" t="str">
        <f aca="false">HYPERLINK("https://lindat.mff.cuni.cz/services/teitok/pdtc10/index.php?action=vallex&amp;frame=v-w9247hsa_1003", "zaujmout (v-w9247hsa_1003) - substituted with v-w9247f6_ZU")</f>
        <v>zaujmout (v-w9247hsa_1003) - substituted with v-w9247f6_ZU</v>
      </c>
    </row>
    <row r="67418" customFormat="false" ht="12.8" hidden="false" customHeight="false" outlineLevel="0" collapsed="false">
      <c r="B67418" s="0" t="s">
        <v>1</v>
      </c>
    </row>
    <row r="67419" customFormat="false" ht="12.8" hidden="false" customHeight="false" outlineLevel="0" collapsed="false">
      <c r="B67419" s="0" t="s">
        <v>22192</v>
      </c>
    </row>
    <row r="67421" customFormat="false" ht="12.8" hidden="false" customHeight="false" outlineLevel="0" collapsed="false">
      <c r="A67421" s="0" t="s">
        <v>22193</v>
      </c>
      <c r="B67421" s="0" t="str">
        <f aca="false">HYPERLINK("https://lindat.mff.cuni.cz/services/teitok/pdtc10/index.php?action=vallex&amp;frame=v-w9246f4", "zaujímat (v-w9246f4)")</f>
        <v>zaujímat (v-w9246f4)</v>
      </c>
      <c r="E67421" s="0" t="str">
        <f aca="false">HYPERLINK("https://lindat.mff.cuni.cz/services/SynSemClass40/SynSemClass40.html?veclass=vec00188#vec00188-ces-cm00083", "vec00188")</f>
        <v>vec00188</v>
      </c>
      <c r="F67421" s="0" t="s">
        <v>7128</v>
      </c>
    </row>
    <row r="67422" customFormat="false" ht="12.8" hidden="false" customHeight="false" outlineLevel="0" collapsed="false">
      <c r="B67422" s="0" t="s">
        <v>944</v>
      </c>
      <c r="C67422" s="0" t="s">
        <v>9998</v>
      </c>
      <c r="E67422" s="0" t="s">
        <v>1567</v>
      </c>
      <c r="F67422" s="0" t="s">
        <v>7130</v>
      </c>
    </row>
    <row r="67423" customFormat="false" ht="12.8" hidden="false" customHeight="false" outlineLevel="0" collapsed="false">
      <c r="B67423" s="0" t="s">
        <v>8</v>
      </c>
      <c r="C67423" s="0" t="s">
        <v>1575</v>
      </c>
      <c r="E67423" s="0" t="s">
        <v>3388</v>
      </c>
      <c r="F67423" s="0" t="s">
        <v>7132</v>
      </c>
    </row>
    <row r="67425" customFormat="false" ht="12.8" hidden="false" customHeight="false" outlineLevel="0" collapsed="false">
      <c r="A67425" s="0" t="s">
        <v>22194</v>
      </c>
      <c r="B67425" s="0" t="str">
        <f aca="false">HYPERLINK("https://lindat.mff.cuni.cz/services/teitok/pdtc10/index.php?action=vallex&amp;frame=v-w9246f1", "zaujímat (v-w9246f1)")</f>
        <v>zaujímat (v-w9246f1)</v>
      </c>
      <c r="E67425" s="0" t="str">
        <f aca="false">HYPERLINK("https://lindat.mff.cuni.cz/services/SynSemClass40/SynSemClass40.html?veclass=vec00613#vec00613-ces-cm00181", "vec00613")</f>
        <v>vec00613</v>
      </c>
      <c r="F67425" s="0" t="s">
        <v>604</v>
      </c>
    </row>
    <row r="67426" customFormat="false" ht="12.8" hidden="false" customHeight="false" outlineLevel="0" collapsed="false">
      <c r="B67426" s="0" t="s">
        <v>1</v>
      </c>
      <c r="C67426" s="0" t="s">
        <v>1436</v>
      </c>
      <c r="E67426" s="0" t="s">
        <v>31</v>
      </c>
      <c r="F67426" s="0" t="s">
        <v>608</v>
      </c>
    </row>
    <row r="67427" customFormat="false" ht="12.8" hidden="false" customHeight="false" outlineLevel="0" collapsed="false">
      <c r="B67427" s="0" t="s">
        <v>8</v>
      </c>
      <c r="C67427" s="0" t="s">
        <v>1437</v>
      </c>
      <c r="E67427" s="0" t="s">
        <v>384</v>
      </c>
      <c r="F67427" s="0" t="s">
        <v>612</v>
      </c>
    </row>
    <row r="67429" customFormat="false" ht="12.8" hidden="false" customHeight="false" outlineLevel="0" collapsed="false">
      <c r="A67429" s="0" t="s">
        <v>22195</v>
      </c>
      <c r="B67429" s="0" t="str">
        <f aca="false">HYPERLINK("https://lindat.mff.cuni.cz/services/teitok/pdtc10/index.php?action=vallex&amp;frame=v-w9246f3", "zaujímat (v-w9246f3)")</f>
        <v>zaujímat (v-w9246f3)</v>
      </c>
    </row>
    <row r="67430" customFormat="false" ht="12.8" hidden="false" customHeight="false" outlineLevel="0" collapsed="false">
      <c r="B67430" s="0" t="s">
        <v>1</v>
      </c>
    </row>
    <row r="67431" customFormat="false" ht="12.8" hidden="false" customHeight="false" outlineLevel="0" collapsed="false">
      <c r="B67431" s="0" t="s">
        <v>8</v>
      </c>
    </row>
    <row r="67433" customFormat="false" ht="12.8" hidden="false" customHeight="false" outlineLevel="0" collapsed="false">
      <c r="A67433" s="0" t="s">
        <v>22196</v>
      </c>
      <c r="B67433" s="0" t="str">
        <f aca="false">HYPERLINK("https://lindat.mff.cuni.cz/services/teitok/pdtc10/index.php?action=vallex&amp;frame=v-w9246f2", "zaujímat (v-w9246f2)")</f>
        <v>zaujímat (v-w9246f2)</v>
      </c>
    </row>
    <row r="67434" customFormat="false" ht="12.8" hidden="false" customHeight="false" outlineLevel="0" collapsed="false">
      <c r="B67434" s="0" t="s">
        <v>1</v>
      </c>
    </row>
    <row r="67435" customFormat="false" ht="12.8" hidden="false" customHeight="false" outlineLevel="0" collapsed="false">
      <c r="B67435" s="0" t="s">
        <v>22197</v>
      </c>
    </row>
    <row r="67437" customFormat="false" ht="12.8" hidden="false" customHeight="false" outlineLevel="0" collapsed="false">
      <c r="A67437" s="0" t="s">
        <v>22198</v>
      </c>
      <c r="B67437" s="0" t="str">
        <f aca="false">HYPERLINK("https://lindat.mff.cuni.cz/services/teitok/pdtc10/index.php?action=vallex&amp;frame=v-w9249f1", "zauzlovat (v-w9249f1)")</f>
        <v>zauzlovat (v-w9249f1)</v>
      </c>
    </row>
    <row r="67438" customFormat="false" ht="12.8" hidden="false" customHeight="false" outlineLevel="0" collapsed="false">
      <c r="B67438" s="0" t="s">
        <v>1</v>
      </c>
    </row>
    <row r="67439" customFormat="false" ht="12.8" hidden="false" customHeight="false" outlineLevel="0" collapsed="false">
      <c r="B67439" s="0" t="s">
        <v>8</v>
      </c>
    </row>
    <row r="67441" customFormat="false" ht="12.8" hidden="false" customHeight="false" outlineLevel="0" collapsed="false">
      <c r="A67441" s="0" t="s">
        <v>22199</v>
      </c>
      <c r="B67441" s="0" t="str">
        <f aca="false">HYPERLINK("https://lindat.mff.cuni.cz/services/teitok/pdtc10/index.php?action=vallex&amp;frame=v-w9249f2", "zauzlovat (v-w9249f2)")</f>
        <v>zauzlovat (v-w9249f2)</v>
      </c>
    </row>
    <row r="67442" customFormat="false" ht="12.8" hidden="false" customHeight="false" outlineLevel="0" collapsed="false">
      <c r="B67442" s="0" t="s">
        <v>1</v>
      </c>
    </row>
    <row r="67443" customFormat="false" ht="12.8" hidden="false" customHeight="false" outlineLevel="0" collapsed="false">
      <c r="B67443" s="0" t="s">
        <v>8</v>
      </c>
    </row>
    <row r="67445" customFormat="false" ht="12.8" hidden="false" customHeight="false" outlineLevel="0" collapsed="false">
      <c r="A67445" s="0" t="s">
        <v>22200</v>
      </c>
      <c r="B67445" s="0" t="str">
        <f aca="false">HYPERLINK("https://lindat.mff.cuni.cz/services/teitok/pdtc10/index.php?action=vallex&amp;frame=v-whsa_1604f1_ZU", "zaučit (v-whsa_1604f1_ZU)")</f>
        <v>zaučit (v-whsa_1604f1_ZU)</v>
      </c>
    </row>
    <row r="67446" customFormat="false" ht="12.8" hidden="false" customHeight="false" outlineLevel="0" collapsed="false">
      <c r="B67446" s="0" t="s">
        <v>1</v>
      </c>
    </row>
    <row r="67447" customFormat="false" ht="12.8" hidden="false" customHeight="false" outlineLevel="0" collapsed="false">
      <c r="B67447" s="0" t="s">
        <v>98</v>
      </c>
    </row>
    <row r="67448" customFormat="false" ht="12.8" hidden="false" customHeight="false" outlineLevel="0" collapsed="false">
      <c r="B67448" s="0" t="s">
        <v>21840</v>
      </c>
    </row>
    <row r="67450" customFormat="false" ht="12.8" hidden="false" customHeight="false" outlineLevel="0" collapsed="false">
      <c r="A67450" s="0" t="s">
        <v>22200</v>
      </c>
      <c r="B67450" s="0" t="str">
        <f aca="false">HYPERLINK("https://lindat.mff.cuni.cz/services/teitok/pdtc10/index.php?action=vallex&amp;frame=v-whsa_1604hsa_1605", "zaučit (v-whsa_1604hsa_1605) - substituted with v-whsa_1604f1_ZU")</f>
        <v>zaučit (v-whsa_1604hsa_1605) - substituted with v-whsa_1604f1_ZU</v>
      </c>
    </row>
    <row r="67451" customFormat="false" ht="12.8" hidden="false" customHeight="false" outlineLevel="0" collapsed="false">
      <c r="B67451" s="0" t="s">
        <v>1</v>
      </c>
    </row>
    <row r="67452" customFormat="false" ht="12.8" hidden="false" customHeight="false" outlineLevel="0" collapsed="false">
      <c r="B67452" s="0" t="s">
        <v>98</v>
      </c>
    </row>
    <row r="67453" customFormat="false" ht="12.8" hidden="false" customHeight="false" outlineLevel="0" collapsed="false">
      <c r="B67453" s="0" t="s">
        <v>21840</v>
      </c>
    </row>
    <row r="67455" customFormat="false" ht="12.8" hidden="false" customHeight="false" outlineLevel="0" collapsed="false">
      <c r="A67455" s="0" t="s">
        <v>22201</v>
      </c>
      <c r="B67455" s="0" t="str">
        <f aca="false">HYPERLINK("https://lindat.mff.cuni.cz/services/teitok/pdtc10/index.php?action=vallex&amp;frame=v-whsa_1633hsa_1634", "zaučit se (v-whsa_1633hsa_1634)")</f>
        <v>zaučit se (v-whsa_1633hsa_1634)</v>
      </c>
    </row>
    <row r="67456" customFormat="false" ht="12.8" hidden="false" customHeight="false" outlineLevel="0" collapsed="false">
      <c r="B67456" s="0" t="s">
        <v>1</v>
      </c>
    </row>
    <row r="67457" customFormat="false" ht="12.8" hidden="false" customHeight="false" outlineLevel="0" collapsed="false">
      <c r="B67457" s="0" t="s">
        <v>22202</v>
      </c>
    </row>
    <row r="67459" customFormat="false" ht="12.8" hidden="false" customHeight="false" outlineLevel="0" collapsed="false">
      <c r="A67459" s="0" t="s">
        <v>22203</v>
      </c>
      <c r="B67459" s="0" t="str">
        <f aca="false">HYPERLINK("https://lindat.mff.cuni.cz/services/teitok/pdtc10/index.php?action=vallex&amp;frame=v-whsa_1765f2_ZU", "zaučovat (v-whsa_1765f2_ZU)")</f>
        <v>zaučovat (v-whsa_1765f2_ZU)</v>
      </c>
    </row>
    <row r="67460" customFormat="false" ht="12.8" hidden="false" customHeight="false" outlineLevel="0" collapsed="false">
      <c r="B67460" s="0" t="s">
        <v>1</v>
      </c>
    </row>
    <row r="67461" customFormat="false" ht="12.8" hidden="false" customHeight="false" outlineLevel="0" collapsed="false">
      <c r="B67461" s="0" t="s">
        <v>98</v>
      </c>
    </row>
    <row r="67462" customFormat="false" ht="12.8" hidden="false" customHeight="false" outlineLevel="0" collapsed="false">
      <c r="B67462" s="0" t="s">
        <v>22204</v>
      </c>
    </row>
    <row r="67464" customFormat="false" ht="12.8" hidden="false" customHeight="false" outlineLevel="0" collapsed="false">
      <c r="A67464" s="0" t="s">
        <v>22203</v>
      </c>
      <c r="B67464" s="0" t="str">
        <f aca="false">HYPERLINK("https://lindat.mff.cuni.cz/services/teitok/pdtc10/index.php?action=vallex&amp;frame=v-whsa_1765f1_ZU", "zaučovat (v-whsa_1765f1_ZU) - substituted with v-whsa_1765f2_ZU")</f>
        <v>zaučovat (v-whsa_1765f1_ZU) - substituted with v-whsa_1765f2_ZU</v>
      </c>
    </row>
    <row r="67465" customFormat="false" ht="12.8" hidden="false" customHeight="false" outlineLevel="0" collapsed="false">
      <c r="B67465" s="0" t="s">
        <v>1</v>
      </c>
    </row>
    <row r="67466" customFormat="false" ht="12.8" hidden="false" customHeight="false" outlineLevel="0" collapsed="false">
      <c r="B67466" s="0" t="s">
        <v>98</v>
      </c>
    </row>
    <row r="67467" customFormat="false" ht="12.8" hidden="false" customHeight="false" outlineLevel="0" collapsed="false">
      <c r="B67467" s="0" t="s">
        <v>22204</v>
      </c>
    </row>
    <row r="67469" customFormat="false" ht="12.8" hidden="false" customHeight="false" outlineLevel="0" collapsed="false">
      <c r="A67469" s="0" t="s">
        <v>22203</v>
      </c>
      <c r="B67469" s="0" t="str">
        <f aca="false">HYPERLINK("https://lindat.mff.cuni.cz/services/teitok/pdtc10/index.php?action=vallex&amp;frame=v-whsa_1765hsa_1766", "zaučovat (v-whsa_1765hsa_1766) - substituted with v-whsa_1765f2_ZU")</f>
        <v>zaučovat (v-whsa_1765hsa_1766) - substituted with v-whsa_1765f2_ZU</v>
      </c>
    </row>
    <row r="67470" customFormat="false" ht="12.8" hidden="false" customHeight="false" outlineLevel="0" collapsed="false">
      <c r="B67470" s="0" t="s">
        <v>1</v>
      </c>
    </row>
    <row r="67471" customFormat="false" ht="12.8" hidden="false" customHeight="false" outlineLevel="0" collapsed="false">
      <c r="B67471" s="0" t="s">
        <v>98</v>
      </c>
    </row>
    <row r="67472" customFormat="false" ht="12.8" hidden="false" customHeight="false" outlineLevel="0" collapsed="false">
      <c r="B67472" s="0" t="s">
        <v>22204</v>
      </c>
    </row>
    <row r="67474" customFormat="false" ht="12.8" hidden="false" customHeight="false" outlineLevel="0" collapsed="false">
      <c r="A67474" s="0" t="s">
        <v>22205</v>
      </c>
      <c r="B67474" s="0" t="str">
        <f aca="false">HYPERLINK("https://lindat.mff.cuni.cz/services/teitok/pdtc10/index.php?action=vallex&amp;frame=v-w12337_MMf1_MM", "zaučovat se (v-w12337_MMf1_MM)")</f>
        <v>zaučovat se (v-w12337_MMf1_MM)</v>
      </c>
    </row>
    <row r="67475" customFormat="false" ht="12.8" hidden="false" customHeight="false" outlineLevel="0" collapsed="false">
      <c r="B67475" s="0" t="s">
        <v>1</v>
      </c>
    </row>
    <row r="67476" customFormat="false" ht="12.8" hidden="false" customHeight="false" outlineLevel="0" collapsed="false">
      <c r="B67476" s="0" t="s">
        <v>22202</v>
      </c>
    </row>
    <row r="67478" customFormat="false" ht="12.8" hidden="false" customHeight="false" outlineLevel="0" collapsed="false">
      <c r="A67478" s="0" t="s">
        <v>22206</v>
      </c>
      <c r="B67478" s="0" t="str">
        <f aca="false">HYPERLINK("https://lindat.mff.cuni.cz/services/teitok/pdtc10/index.php?action=vallex&amp;frame=v-w9252f1", "zavadit (v-w9252f1)")</f>
        <v>zavadit (v-w9252f1)</v>
      </c>
    </row>
    <row r="67479" customFormat="false" ht="12.8" hidden="false" customHeight="false" outlineLevel="0" collapsed="false">
      <c r="B67479" s="0" t="s">
        <v>1</v>
      </c>
    </row>
    <row r="67480" customFormat="false" ht="12.8" hidden="false" customHeight="false" outlineLevel="0" collapsed="false">
      <c r="B67480" s="0" t="s">
        <v>814</v>
      </c>
    </row>
    <row r="67482" customFormat="false" ht="12.8" hidden="false" customHeight="false" outlineLevel="0" collapsed="false">
      <c r="A67482" s="0" t="s">
        <v>22207</v>
      </c>
      <c r="B67482" s="0" t="str">
        <f aca="false">HYPERLINK("https://lindat.mff.cuni.cz/services/teitok/pdtc10/index.php?action=vallex&amp;frame=v-w9256f1", "zavalit (v-w9256f1)")</f>
        <v>zavalit (v-w9256f1)</v>
      </c>
      <c r="E67482" s="0" t="str">
        <f aca="false">HYPERLINK("https://lindat.mff.cuni.cz/services/SynSemClass40/SynSemClass40.html?veclass=vec00576#vec00576-ces-cm00005", "vec00576")</f>
        <v>vec00576</v>
      </c>
      <c r="F67482" s="0" t="s">
        <v>8601</v>
      </c>
      <c r="H67482" s="0" t="str">
        <f aca="false">HYPERLINK("https://lindat.mff.cuni.cz/services/SynSemClass40/SynSemClass40.html?veclass=vec01376#vec01376-ces-cm00003", "vec01376")</f>
        <v>vec01376</v>
      </c>
      <c r="I67482" s="0" t="s">
        <v>21353</v>
      </c>
      <c r="K67482" s="0" t="str">
        <f aca="false">HYPERLINK("https://lindat.mff.cuni.cz/services/SynSemClass40/SynSemClass40.html?veclass=vec01499#vec01499-ces-cm00021", "vec01499")</f>
        <v>vec01499</v>
      </c>
      <c r="L67482" s="0" t="s">
        <v>4578</v>
      </c>
    </row>
    <row r="67483" customFormat="false" ht="12.8" hidden="false" customHeight="false" outlineLevel="0" collapsed="false">
      <c r="B67483" s="0" t="s">
        <v>1</v>
      </c>
      <c r="C67483" s="0" t="s">
        <v>22208</v>
      </c>
      <c r="E67483" s="0" t="s">
        <v>957</v>
      </c>
      <c r="F67483" s="0" t="s">
        <v>8603</v>
      </c>
      <c r="H67483" s="0" t="s">
        <v>9766</v>
      </c>
      <c r="I67483" s="0" t="s">
        <v>21355</v>
      </c>
      <c r="K67483" s="0" t="s">
        <v>4581</v>
      </c>
      <c r="L67483" s="0" t="s">
        <v>4582</v>
      </c>
    </row>
    <row r="67484" customFormat="false" ht="12.8" hidden="false" customHeight="false" outlineLevel="0" collapsed="false">
      <c r="B67484" s="0" t="s">
        <v>8</v>
      </c>
      <c r="C67484" s="0" t="s">
        <v>22209</v>
      </c>
      <c r="E67484" s="0" t="s">
        <v>142</v>
      </c>
      <c r="F67484" s="0" t="s">
        <v>8605</v>
      </c>
      <c r="H67484" s="0" t="s">
        <v>2588</v>
      </c>
      <c r="I67484" s="0" t="s">
        <v>21357</v>
      </c>
      <c r="K67484" s="0" t="s">
        <v>142</v>
      </c>
      <c r="L67484" s="0" t="s">
        <v>7883</v>
      </c>
    </row>
    <row r="67486" customFormat="false" ht="12.8" hidden="false" customHeight="false" outlineLevel="0" collapsed="false">
      <c r="A67486" s="0" t="s">
        <v>22210</v>
      </c>
      <c r="B67486" s="0" t="str">
        <f aca="false">HYPERLINK("https://lindat.mff.cuni.cz/services/teitok/pdtc10/index.php?action=vallex&amp;frame=v-w9256f2", "zavalit (v-w9256f2)")</f>
        <v>zavalit (v-w9256f2)</v>
      </c>
    </row>
    <row r="67487" customFormat="false" ht="12.8" hidden="false" customHeight="false" outlineLevel="0" collapsed="false">
      <c r="B67487" s="0" t="s">
        <v>1</v>
      </c>
    </row>
    <row r="67488" customFormat="false" ht="12.8" hidden="false" customHeight="false" outlineLevel="0" collapsed="false">
      <c r="B67488" s="0" t="s">
        <v>8</v>
      </c>
    </row>
    <row r="67490" customFormat="false" ht="12.8" hidden="false" customHeight="false" outlineLevel="0" collapsed="false">
      <c r="A67490" s="0" t="s">
        <v>22211</v>
      </c>
      <c r="B67490" s="0" t="str">
        <f aca="false">HYPERLINK("https://lindat.mff.cuni.cz/services/teitok/pdtc10/index.php?action=vallex&amp;frame=v-w9256hsa_1089", "zavalit (v-w9256hsa_1089)")</f>
        <v>zavalit (v-w9256hsa_1089)</v>
      </c>
    </row>
    <row r="67491" customFormat="false" ht="12.8" hidden="false" customHeight="false" outlineLevel="0" collapsed="false">
      <c r="B67491" s="0" t="s">
        <v>1</v>
      </c>
    </row>
    <row r="67492" customFormat="false" ht="12.8" hidden="false" customHeight="false" outlineLevel="0" collapsed="false">
      <c r="B67492" s="0" t="s">
        <v>8</v>
      </c>
    </row>
    <row r="67494" customFormat="false" ht="12.8" hidden="false" customHeight="false" outlineLevel="0" collapsed="false">
      <c r="A67494" s="0" t="s">
        <v>22212</v>
      </c>
      <c r="B67494" s="0" t="str">
        <f aca="false">HYPERLINK("https://lindat.mff.cuni.cz/services/teitok/pdtc10/index.php?action=vallex&amp;frame=v-w9261f1", "zavazovat (v-w9261f1)")</f>
        <v>zavazovat (v-w9261f1)</v>
      </c>
      <c r="E67494" s="0" t="str">
        <f aca="false">HYPERLINK("https://lindat.mff.cuni.cz/services/SynSemClass40/SynSemClass40.html?veclass=vec01013#vec01013-ces-cm00019", "vec01013")</f>
        <v>vec01013</v>
      </c>
      <c r="F67494" s="0" t="s">
        <v>1981</v>
      </c>
    </row>
    <row r="67495" customFormat="false" ht="12.8" hidden="false" customHeight="false" outlineLevel="0" collapsed="false">
      <c r="B67495" s="0" t="s">
        <v>1</v>
      </c>
      <c r="C67495" s="0" t="s">
        <v>415</v>
      </c>
      <c r="E67495" s="0" t="s">
        <v>206</v>
      </c>
      <c r="F67495" s="0" t="s">
        <v>1982</v>
      </c>
    </row>
    <row r="67496" customFormat="false" ht="12.8" hidden="false" customHeight="false" outlineLevel="0" collapsed="false">
      <c r="B67496" s="0" t="s">
        <v>98</v>
      </c>
      <c r="C67496" s="0" t="s">
        <v>1987</v>
      </c>
      <c r="E67496" s="0" t="s">
        <v>564</v>
      </c>
      <c r="F67496" s="0" t="s">
        <v>1988</v>
      </c>
    </row>
    <row r="67497" customFormat="false" ht="12.8" hidden="false" customHeight="false" outlineLevel="0" collapsed="false">
      <c r="B67497" s="0" t="s">
        <v>20983</v>
      </c>
      <c r="C67497" s="0" t="s">
        <v>1984</v>
      </c>
      <c r="E67497" s="0" t="s">
        <v>1985</v>
      </c>
      <c r="F67497" s="0" t="s">
        <v>1986</v>
      </c>
    </row>
    <row r="67499" customFormat="false" ht="12.8" hidden="false" customHeight="false" outlineLevel="0" collapsed="false">
      <c r="A67499" s="0" t="s">
        <v>22213</v>
      </c>
      <c r="B67499" s="0" t="str">
        <f aca="false">HYPERLINK("https://lindat.mff.cuni.cz/services/teitok/pdtc10/index.php?action=vallex&amp;frame=v-w9261f2_ZU", "zavazovat (v-w9261f2_ZU)")</f>
        <v>zavazovat (v-w9261f2_ZU)</v>
      </c>
    </row>
    <row r="67500" customFormat="false" ht="12.8" hidden="false" customHeight="false" outlineLevel="0" collapsed="false">
      <c r="B67500" s="0" t="s">
        <v>1</v>
      </c>
    </row>
    <row r="67501" customFormat="false" ht="12.8" hidden="false" customHeight="false" outlineLevel="0" collapsed="false">
      <c r="B67501" s="0" t="s">
        <v>8</v>
      </c>
    </row>
    <row r="67503" customFormat="false" ht="12.8" hidden="false" customHeight="false" outlineLevel="0" collapsed="false">
      <c r="A67503" s="0" t="s">
        <v>22214</v>
      </c>
      <c r="B67503" s="0" t="str">
        <f aca="false">HYPERLINK("https://lindat.mff.cuni.cz/services/teitok/pdtc10/index.php?action=vallex&amp;frame=v-w9262f1", "zavazovat se (v-w9262f1)")</f>
        <v>zavazovat se (v-w9262f1)</v>
      </c>
      <c r="E67503" s="0" t="str">
        <f aca="false">HYPERLINK("https://lindat.mff.cuni.cz/services/SynSemClass40/SynSemClass40.html?veclass=vec00311#vec00311-ces-cm00024", "vec00311")</f>
        <v>vec00311</v>
      </c>
      <c r="F67503" s="0" t="s">
        <v>14485</v>
      </c>
    </row>
    <row r="67504" customFormat="false" ht="12.8" hidden="false" customHeight="false" outlineLevel="0" collapsed="false">
      <c r="B67504" s="0" t="s">
        <v>1</v>
      </c>
      <c r="C67504" s="0" t="s">
        <v>14486</v>
      </c>
      <c r="E67504" s="0" t="s">
        <v>63</v>
      </c>
      <c r="F67504" s="0" t="s">
        <v>14487</v>
      </c>
    </row>
    <row r="67505" customFormat="false" ht="12.8" hidden="false" customHeight="false" outlineLevel="0" collapsed="false">
      <c r="B67505" s="0" t="s">
        <v>17869</v>
      </c>
      <c r="C67505" s="0" t="s">
        <v>14489</v>
      </c>
      <c r="E67505" s="0" t="s">
        <v>4209</v>
      </c>
      <c r="F67505" s="0" t="s">
        <v>14490</v>
      </c>
    </row>
    <row r="67506" customFormat="false" ht="12.8" hidden="false" customHeight="false" outlineLevel="0" collapsed="false">
      <c r="B67506" s="0" t="s">
        <v>132</v>
      </c>
      <c r="C67506" s="0" t="s">
        <v>14491</v>
      </c>
      <c r="E67506" s="0" t="s">
        <v>53</v>
      </c>
      <c r="F67506" s="0" t="s">
        <v>14492</v>
      </c>
    </row>
    <row r="67508" customFormat="false" ht="12.8" hidden="false" customHeight="false" outlineLevel="0" collapsed="false">
      <c r="A67508" s="0" t="s">
        <v>22215</v>
      </c>
      <c r="B67508" s="0" t="str">
        <f aca="false">HYPERLINK("https://lindat.mff.cuni.cz/services/teitok/pdtc10/index.php?action=vallex&amp;frame=v-whsa_1419f1_ZU", "zavařit (v-whsa_1419f1_ZU)")</f>
        <v>zavařit (v-whsa_1419f1_ZU)</v>
      </c>
    </row>
    <row r="67509" customFormat="false" ht="12.8" hidden="false" customHeight="false" outlineLevel="0" collapsed="false">
      <c r="B67509" s="0" t="s">
        <v>1</v>
      </c>
    </row>
    <row r="67510" customFormat="false" ht="12.8" hidden="false" customHeight="false" outlineLevel="0" collapsed="false">
      <c r="B67510" s="0" t="s">
        <v>8</v>
      </c>
    </row>
    <row r="67512" customFormat="false" ht="12.8" hidden="false" customHeight="false" outlineLevel="0" collapsed="false">
      <c r="A67512" s="0" t="s">
        <v>22215</v>
      </c>
      <c r="B67512" s="0" t="str">
        <f aca="false">HYPERLINK("https://lindat.mff.cuni.cz/services/teitok/pdtc10/index.php?action=vallex&amp;frame=v-whsa_1419hsa_1420", "zavařit (v-whsa_1419hsa_1420) - substituted with v-whsa_1419f1_ZU")</f>
        <v>zavařit (v-whsa_1419hsa_1420) - substituted with v-whsa_1419f1_ZU</v>
      </c>
    </row>
    <row r="67513" customFormat="false" ht="12.8" hidden="false" customHeight="false" outlineLevel="0" collapsed="false">
      <c r="B67513" s="0" t="s">
        <v>1</v>
      </c>
    </row>
    <row r="67514" customFormat="false" ht="12.8" hidden="false" customHeight="false" outlineLevel="0" collapsed="false">
      <c r="B67514" s="0" t="s">
        <v>8</v>
      </c>
    </row>
    <row r="67516" customFormat="false" ht="12.8" hidden="false" customHeight="false" outlineLevel="0" collapsed="false">
      <c r="A67516" s="0" t="s">
        <v>22216</v>
      </c>
      <c r="B67516" s="0" t="str">
        <f aca="false">HYPERLINK("https://lindat.mff.cuni.cz/services/teitok/pdtc10/index.php?action=vallex&amp;frame=v-whsa_1570hsa_1571", "zavařovat (v-whsa_1570hsa_1571)")</f>
        <v>zavařovat (v-whsa_1570hsa_1571)</v>
      </c>
    </row>
    <row r="67517" customFormat="false" ht="12.8" hidden="false" customHeight="false" outlineLevel="0" collapsed="false">
      <c r="B67517" s="0" t="s">
        <v>1</v>
      </c>
    </row>
    <row r="67518" customFormat="false" ht="12.8" hidden="false" customHeight="false" outlineLevel="0" collapsed="false">
      <c r="B67518" s="0" t="s">
        <v>8</v>
      </c>
    </row>
    <row r="67520" customFormat="false" ht="12.8" hidden="false" customHeight="false" outlineLevel="0" collapsed="false">
      <c r="A67520" s="0" t="s">
        <v>22217</v>
      </c>
      <c r="B67520" s="0" t="str">
        <f aca="false">HYPERLINK("https://lindat.mff.cuni.cz/services/teitok/pdtc10/index.php?action=vallex&amp;frame=v-w9265f1", "zavdat (v-w9265f1)")</f>
        <v>zavdat (v-w9265f1)</v>
      </c>
    </row>
    <row r="67521" customFormat="false" ht="12.8" hidden="false" customHeight="false" outlineLevel="0" collapsed="false">
      <c r="B67521" s="0" t="s">
        <v>1</v>
      </c>
    </row>
    <row r="67522" customFormat="false" ht="12.8" hidden="false" customHeight="false" outlineLevel="0" collapsed="false">
      <c r="B67522" s="0" t="s">
        <v>22218</v>
      </c>
    </row>
    <row r="67523" customFormat="false" ht="12.8" hidden="false" customHeight="false" outlineLevel="0" collapsed="false">
      <c r="B67523" s="0" t="s">
        <v>52</v>
      </c>
    </row>
    <row r="67525" customFormat="false" ht="12.8" hidden="false" customHeight="false" outlineLevel="0" collapsed="false">
      <c r="A67525" s="0" t="s">
        <v>22219</v>
      </c>
      <c r="B67525" s="0" t="str">
        <f aca="false">HYPERLINK("https://lindat.mff.cuni.cz/services/teitok/pdtc10/index.php?action=vallex&amp;frame=v-w9266f1", "zavdávat (v-w9266f1)")</f>
        <v>zavdávat (v-w9266f1)</v>
      </c>
    </row>
    <row r="67526" customFormat="false" ht="12.8" hidden="false" customHeight="false" outlineLevel="0" collapsed="false">
      <c r="B67526" s="0" t="s">
        <v>1</v>
      </c>
    </row>
    <row r="67527" customFormat="false" ht="12.8" hidden="false" customHeight="false" outlineLevel="0" collapsed="false">
      <c r="B67527" s="0" t="s">
        <v>22218</v>
      </c>
    </row>
    <row r="67528" customFormat="false" ht="12.8" hidden="false" customHeight="false" outlineLevel="0" collapsed="false">
      <c r="B67528" s="0" t="s">
        <v>52</v>
      </c>
    </row>
    <row r="67530" customFormat="false" ht="12.8" hidden="false" customHeight="false" outlineLevel="0" collapsed="false">
      <c r="A67530" s="0" t="s">
        <v>22220</v>
      </c>
      <c r="B67530" s="0" t="str">
        <f aca="false">HYPERLINK("https://lindat.mff.cuni.cz/services/teitok/pdtc10/index.php?action=vallex&amp;frame=v-w9267f1", "zavděčit se (v-w9267f1)")</f>
        <v>zavděčit se (v-w9267f1)</v>
      </c>
    </row>
    <row r="67531" customFormat="false" ht="12.8" hidden="false" customHeight="false" outlineLevel="0" collapsed="false">
      <c r="B67531" s="0" t="s">
        <v>1</v>
      </c>
    </row>
    <row r="67532" customFormat="false" ht="12.8" hidden="false" customHeight="false" outlineLevel="0" collapsed="false">
      <c r="B67532" s="0" t="s">
        <v>186</v>
      </c>
    </row>
    <row r="67534" customFormat="false" ht="12.8" hidden="false" customHeight="false" outlineLevel="0" collapsed="false">
      <c r="A67534" s="0" t="s">
        <v>22221</v>
      </c>
      <c r="B67534" s="0" t="str">
        <f aca="false">HYPERLINK("https://lindat.mff.cuni.cz/services/teitok/pdtc10/index.php?action=vallex&amp;frame=v-w9270f1", "zavelet (v-w9270f1)")</f>
        <v>zavelet (v-w9270f1)</v>
      </c>
    </row>
    <row r="67535" customFormat="false" ht="12.8" hidden="false" customHeight="false" outlineLevel="0" collapsed="false">
      <c r="B67535" s="0" t="s">
        <v>1</v>
      </c>
    </row>
    <row r="67536" customFormat="false" ht="12.8" hidden="false" customHeight="false" outlineLevel="0" collapsed="false">
      <c r="B67536" s="0" t="s">
        <v>22222</v>
      </c>
    </row>
    <row r="67537" customFormat="false" ht="12.8" hidden="false" customHeight="false" outlineLevel="0" collapsed="false">
      <c r="B67537" s="0" t="s">
        <v>52</v>
      </c>
    </row>
    <row r="67539" customFormat="false" ht="12.8" hidden="false" customHeight="false" outlineLevel="0" collapsed="false">
      <c r="A67539" s="0" t="s">
        <v>22223</v>
      </c>
      <c r="B67539" s="0" t="str">
        <f aca="false">HYPERLINK("https://lindat.mff.cuni.cz/services/teitok/pdtc10/index.php?action=vallex&amp;frame=v-w9279f1", "zavinit (v-w9279f1)")</f>
        <v>zavinit (v-w9279f1)</v>
      </c>
      <c r="E67539" s="0" t="str">
        <f aca="false">HYPERLINK("https://lindat.mff.cuni.cz/services/SynSemClass40/SynSemClass40.html?veclass=vec00196#vec00196-ces-cm00327", "vec00196")</f>
        <v>vec00196</v>
      </c>
      <c r="F67539" s="0" t="s">
        <v>749</v>
      </c>
      <c r="H67539" s="0" t="str">
        <f aca="false">HYPERLINK("https://lindat.mff.cuni.cz/services/SynSemClass40/SynSemClass40.html?veclass=vec01231#vec01231-ces-cm00022", "vec01231")</f>
        <v>vec01231</v>
      </c>
      <c r="I67539" s="0" t="s">
        <v>6316</v>
      </c>
    </row>
    <row r="67540" customFormat="false" ht="12.8" hidden="false" customHeight="false" outlineLevel="0" collapsed="false">
      <c r="B67540" s="0" t="s">
        <v>1</v>
      </c>
      <c r="C67540" s="0" t="s">
        <v>6642</v>
      </c>
      <c r="E67540" s="0" t="s">
        <v>76</v>
      </c>
      <c r="F67540" s="0" t="s">
        <v>751</v>
      </c>
      <c r="H67540" s="0" t="s">
        <v>31</v>
      </c>
      <c r="I67540" s="0" t="s">
        <v>6318</v>
      </c>
    </row>
    <row r="67541" customFormat="false" ht="12.8" hidden="false" customHeight="false" outlineLevel="0" collapsed="false">
      <c r="B67541" s="0" t="s">
        <v>7589</v>
      </c>
      <c r="C67541" s="0" t="s">
        <v>6644</v>
      </c>
      <c r="E67541" s="0" t="s">
        <v>6358</v>
      </c>
      <c r="F67541" s="0" t="s">
        <v>6645</v>
      </c>
      <c r="H67541" s="0" t="s">
        <v>79</v>
      </c>
      <c r="I67541" s="0" t="s">
        <v>6320</v>
      </c>
    </row>
    <row r="67543" customFormat="false" ht="12.8" hidden="false" customHeight="false" outlineLevel="0" collapsed="false">
      <c r="A67543" s="0" t="s">
        <v>22224</v>
      </c>
      <c r="B67543" s="0" t="str">
        <f aca="false">HYPERLINK("https://lindat.mff.cuni.cz/services/teitok/pdtc10/index.php?action=vallex&amp;frame=v-w9280f1", "zavinout (v-w9280f1)")</f>
        <v>zavinout (v-w9280f1)</v>
      </c>
    </row>
    <row r="67544" customFormat="false" ht="12.8" hidden="false" customHeight="false" outlineLevel="0" collapsed="false">
      <c r="B67544" s="0" t="s">
        <v>1</v>
      </c>
    </row>
    <row r="67545" customFormat="false" ht="12.8" hidden="false" customHeight="false" outlineLevel="0" collapsed="false">
      <c r="B67545" s="0" t="s">
        <v>8</v>
      </c>
    </row>
    <row r="67546" customFormat="false" ht="12.8" hidden="false" customHeight="false" outlineLevel="0" collapsed="false">
      <c r="B67546" s="0" t="s">
        <v>245</v>
      </c>
    </row>
    <row r="67548" customFormat="false" ht="12.8" hidden="false" customHeight="false" outlineLevel="0" collapsed="false">
      <c r="A67548" s="0" t="s">
        <v>22225</v>
      </c>
      <c r="B67548" s="0" t="str">
        <f aca="false">HYPERLINK("https://lindat.mff.cuni.cz/services/teitok/pdtc10/index.php?action=vallex&amp;frame=v-w9289f1", "zavládnout (v-w9289f1)")</f>
        <v>zavládnout (v-w9289f1)</v>
      </c>
      <c r="E67548" s="0" t="str">
        <f aca="false">HYPERLINK("https://lindat.mff.cuni.cz/services/SynSemClass40/SynSemClass40.html?veclass=vec01518#vec01518-ces-cm00084", "vec01518")</f>
        <v>vec01518</v>
      </c>
      <c r="F67548" s="0" t="s">
        <v>2921</v>
      </c>
    </row>
    <row r="67549" customFormat="false" ht="12.8" hidden="false" customHeight="false" outlineLevel="0" collapsed="false">
      <c r="B67549" s="0" t="s">
        <v>1</v>
      </c>
      <c r="C67549" s="0" t="s">
        <v>15082</v>
      </c>
      <c r="E67549" s="0" t="s">
        <v>2923</v>
      </c>
      <c r="F67549" s="0" t="s">
        <v>2924</v>
      </c>
    </row>
    <row r="67551" customFormat="false" ht="12.8" hidden="false" customHeight="false" outlineLevel="0" collapsed="false">
      <c r="A67551" s="0" t="s">
        <v>22226</v>
      </c>
      <c r="B67551" s="0" t="str">
        <f aca="false">HYPERLINK("https://lindat.mff.cuni.cz/services/teitok/pdtc10/index.php?action=vallex&amp;frame=v-w9290f1", "zavlát (v-w9290f1)")</f>
        <v>zavlát (v-w9290f1)</v>
      </c>
    </row>
    <row r="67552" customFormat="false" ht="12.8" hidden="false" customHeight="false" outlineLevel="0" collapsed="false">
      <c r="B67552" s="0" t="s">
        <v>1</v>
      </c>
    </row>
    <row r="67554" customFormat="false" ht="12.8" hidden="false" customHeight="false" outlineLevel="0" collapsed="false">
      <c r="A67554" s="0" t="s">
        <v>22227</v>
      </c>
      <c r="B67554" s="0" t="str">
        <f aca="false">HYPERLINK("https://lindat.mff.cuni.cz/services/teitok/pdtc10/index.php?action=vallex&amp;frame=v-w9291f1", "zavléci (v-w9291f1)")</f>
        <v>zavléci (v-w9291f1)</v>
      </c>
    </row>
    <row r="67555" customFormat="false" ht="12.8" hidden="false" customHeight="false" outlineLevel="0" collapsed="false">
      <c r="B67555" s="0" t="s">
        <v>1</v>
      </c>
    </row>
    <row r="67556" customFormat="false" ht="12.8" hidden="false" customHeight="false" outlineLevel="0" collapsed="false">
      <c r="B67556" s="0" t="s">
        <v>8</v>
      </c>
    </row>
    <row r="67557" customFormat="false" ht="12.8" hidden="false" customHeight="false" outlineLevel="0" collapsed="false">
      <c r="B67557" s="0" t="s">
        <v>164</v>
      </c>
    </row>
    <row r="67559" customFormat="false" ht="12.8" hidden="false" customHeight="false" outlineLevel="0" collapsed="false">
      <c r="A67559" s="0" t="s">
        <v>22228</v>
      </c>
      <c r="B67559" s="0" t="str">
        <f aca="false">HYPERLINK("https://lindat.mff.cuni.cz/services/teitok/pdtc10/index.php?action=vallex&amp;frame=v-w9297f9_ZU", "zavolat (v-w9297f9_ZU)")</f>
        <v>zavolat (v-w9297f9_ZU)</v>
      </c>
    </row>
    <row r="67560" customFormat="false" ht="12.8" hidden="false" customHeight="false" outlineLevel="0" collapsed="false">
      <c r="B67560" s="0" t="s">
        <v>1</v>
      </c>
    </row>
    <row r="67561" customFormat="false" ht="12.8" hidden="false" customHeight="false" outlineLevel="0" collapsed="false">
      <c r="B67561" s="0" t="s">
        <v>22229</v>
      </c>
    </row>
    <row r="67562" customFormat="false" ht="12.8" hidden="false" customHeight="false" outlineLevel="0" collapsed="false">
      <c r="B67562" s="0" t="s">
        <v>52</v>
      </c>
    </row>
    <row r="67564" customFormat="false" ht="12.8" hidden="false" customHeight="false" outlineLevel="0" collapsed="false">
      <c r="A67564" s="0" t="s">
        <v>22228</v>
      </c>
      <c r="B67564" s="0" t="str">
        <f aca="false">HYPERLINK("https://lindat.mff.cuni.cz/services/teitok/pdtc10/index.php?action=vallex&amp;frame=v-w9297f2", "zavolat (v-w9297f2) - substituted with v-w9297f9_ZU")</f>
        <v>zavolat (v-w9297f2) - substituted with v-w9297f9_ZU</v>
      </c>
      <c r="E67564" s="0" t="str">
        <f aca="false">HYPERLINK("https://lindat.mff.cuni.cz/services/SynSemClass40/SynSemClass40.html?veclass=vec00581#vec00581-ces-cm00009", "vec00581")</f>
        <v>vec00581</v>
      </c>
      <c r="F67564" s="0" t="s">
        <v>10256</v>
      </c>
    </row>
    <row r="67565" customFormat="false" ht="12.8" hidden="false" customHeight="false" outlineLevel="0" collapsed="false">
      <c r="B67565" s="0" t="s">
        <v>1</v>
      </c>
      <c r="C67565" s="0" t="s">
        <v>3241</v>
      </c>
      <c r="E67565" s="0" t="s">
        <v>147</v>
      </c>
      <c r="F67565" s="0" t="s">
        <v>10257</v>
      </c>
    </row>
    <row r="67566" customFormat="false" ht="12.8" hidden="false" customHeight="false" outlineLevel="0" collapsed="false">
      <c r="B67566" s="0" t="s">
        <v>22229</v>
      </c>
      <c r="C67566" s="0" t="s">
        <v>9512</v>
      </c>
      <c r="E67566" s="0" t="s">
        <v>218</v>
      </c>
      <c r="F67566" s="0" t="s">
        <v>17043</v>
      </c>
    </row>
    <row r="67567" customFormat="false" ht="12.8" hidden="false" customHeight="false" outlineLevel="0" collapsed="false">
      <c r="B67567" s="0" t="s">
        <v>52</v>
      </c>
      <c r="C67567" s="0" t="s">
        <v>551</v>
      </c>
      <c r="E67567" s="0" t="s">
        <v>221</v>
      </c>
      <c r="F67567" s="0" t="s">
        <v>17044</v>
      </c>
    </row>
    <row r="67569" customFormat="false" ht="12.8" hidden="false" customHeight="false" outlineLevel="0" collapsed="false">
      <c r="A67569" s="0" t="s">
        <v>22230</v>
      </c>
      <c r="B67569" s="0" t="str">
        <f aca="false">HYPERLINK("https://lindat.mff.cuni.cz/services/teitok/pdtc10/index.php?action=vallex&amp;frame=v-w9297f4", "zavolat (v-w9297f4)")</f>
        <v>zavolat (v-w9297f4)</v>
      </c>
      <c r="E67569" s="0" t="str">
        <f aca="false">HYPERLINK("https://lindat.mff.cuni.cz/services/SynSemClass40/SynSemClass40.html?veclass=vec00581#vec00581-ces-cm00020", "vec00581")</f>
        <v>vec00581</v>
      </c>
      <c r="F67569" s="0" t="s">
        <v>10256</v>
      </c>
    </row>
    <row r="67570" customFormat="false" ht="12.8" hidden="false" customHeight="false" outlineLevel="0" collapsed="false">
      <c r="B67570" s="0" t="s">
        <v>1</v>
      </c>
      <c r="C67570" s="0" t="s">
        <v>3241</v>
      </c>
      <c r="E67570" s="0" t="s">
        <v>147</v>
      </c>
      <c r="F67570" s="0" t="s">
        <v>10257</v>
      </c>
    </row>
    <row r="67571" customFormat="false" ht="12.8" hidden="false" customHeight="false" outlineLevel="0" collapsed="false">
      <c r="B67571" s="0" t="s">
        <v>4977</v>
      </c>
      <c r="C67571" s="0" t="s">
        <v>9512</v>
      </c>
      <c r="E67571" s="0" t="s">
        <v>218</v>
      </c>
      <c r="F67571" s="0" t="s">
        <v>17043</v>
      </c>
    </row>
    <row r="67572" customFormat="false" ht="12.8" hidden="false" customHeight="false" outlineLevel="0" collapsed="false">
      <c r="B67572" s="0" t="s">
        <v>4688</v>
      </c>
      <c r="C67572" s="0" t="s">
        <v>551</v>
      </c>
      <c r="E67572" s="0" t="s">
        <v>221</v>
      </c>
      <c r="F67572" s="0" t="s">
        <v>17044</v>
      </c>
    </row>
    <row r="67574" customFormat="false" ht="12.8" hidden="false" customHeight="false" outlineLevel="0" collapsed="false">
      <c r="A67574" s="0" t="s">
        <v>22231</v>
      </c>
      <c r="B67574" s="0" t="str">
        <f aca="false">HYPERLINK("https://lindat.mff.cuni.cz/services/teitok/pdtc10/index.php?action=vallex&amp;frame=v-w9297f1", "zavolat (v-w9297f1)")</f>
        <v>zavolat (v-w9297f1)</v>
      </c>
      <c r="E67574" s="0" t="str">
        <f aca="false">HYPERLINK("https://lindat.mff.cuni.cz/services/SynSemClass40/SynSemClass40.html?veclass=vec01539#vec01539-ces-cm00024", "vec01539")</f>
        <v>vec01539</v>
      </c>
      <c r="F67574" s="0" t="s">
        <v>18712</v>
      </c>
    </row>
    <row r="67575" customFormat="false" ht="12.8" hidden="false" customHeight="false" outlineLevel="0" collapsed="false">
      <c r="B67575" s="0" t="s">
        <v>1</v>
      </c>
      <c r="C67575" s="0" t="s">
        <v>18713</v>
      </c>
      <c r="E67575" s="0" t="s">
        <v>31</v>
      </c>
      <c r="F67575" s="0" t="s">
        <v>18714</v>
      </c>
    </row>
    <row r="67576" customFormat="false" ht="12.8" hidden="false" customHeight="false" outlineLevel="0" collapsed="false">
      <c r="B67576" s="0" t="s">
        <v>8</v>
      </c>
      <c r="C67576" s="0" t="s">
        <v>10894</v>
      </c>
      <c r="E67576" s="0" t="s">
        <v>4297</v>
      </c>
      <c r="F67576" s="0" t="s">
        <v>18715</v>
      </c>
    </row>
    <row r="67578" customFormat="false" ht="12.8" hidden="false" customHeight="false" outlineLevel="0" collapsed="false">
      <c r="A67578" s="0" t="s">
        <v>22232</v>
      </c>
      <c r="B67578" s="0" t="str">
        <f aca="false">HYPERLINK("https://lindat.mff.cuni.cz/services/teitok/pdtc10/index.php?action=vallex&amp;frame=v-w9297f8_ZU", "zavolat (v-w9297f8_ZU)")</f>
        <v>zavolat (v-w9297f8_ZU)</v>
      </c>
    </row>
    <row r="67579" customFormat="false" ht="12.8" hidden="false" customHeight="false" outlineLevel="0" collapsed="false">
      <c r="B67579" s="0" t="s">
        <v>1</v>
      </c>
    </row>
    <row r="67580" customFormat="false" ht="12.8" hidden="false" customHeight="false" outlineLevel="0" collapsed="false">
      <c r="B67580" s="0" t="s">
        <v>8112</v>
      </c>
    </row>
    <row r="67582" customFormat="false" ht="12.8" hidden="false" customHeight="false" outlineLevel="0" collapsed="false">
      <c r="A67582" s="0" t="s">
        <v>22232</v>
      </c>
      <c r="B67582" s="0" t="str">
        <f aca="false">HYPERLINK("https://lindat.mff.cuni.cz/services/teitok/pdtc10/index.php?action=vallex&amp;frame=v-w9297f5", "zavolat (v-w9297f5) - substituted with v-w9297f8_ZU")</f>
        <v>zavolat (v-w9297f5) - substituted with v-w9297f8_ZU</v>
      </c>
      <c r="E67582" s="0" t="str">
        <f aca="false">HYPERLINK("https://lindat.mff.cuni.cz/services/SynSemClass40/SynSemClass40.html?veclass=vec01539#vec01539-ces-cm00028", "vec01539")</f>
        <v>vec01539</v>
      </c>
      <c r="F67582" s="0" t="s">
        <v>18712</v>
      </c>
    </row>
    <row r="67583" customFormat="false" ht="12.8" hidden="false" customHeight="false" outlineLevel="0" collapsed="false">
      <c r="B67583" s="0" t="s">
        <v>1</v>
      </c>
      <c r="C67583" s="0" t="s">
        <v>18713</v>
      </c>
      <c r="E67583" s="0" t="s">
        <v>31</v>
      </c>
      <c r="F67583" s="0" t="s">
        <v>18714</v>
      </c>
    </row>
    <row r="67584" customFormat="false" ht="12.8" hidden="false" customHeight="false" outlineLevel="0" collapsed="false">
      <c r="B67584" s="0" t="s">
        <v>8112</v>
      </c>
      <c r="C67584" s="0" t="s">
        <v>10894</v>
      </c>
      <c r="E67584" s="0" t="s">
        <v>4297</v>
      </c>
      <c r="F67584" s="0" t="s">
        <v>18715</v>
      </c>
    </row>
    <row r="67586" customFormat="false" ht="12.8" hidden="false" customHeight="false" outlineLevel="0" collapsed="false">
      <c r="A67586" s="0" t="s">
        <v>22233</v>
      </c>
      <c r="B67586" s="0" t="str">
        <f aca="false">HYPERLINK("https://lindat.mff.cuni.cz/services/teitok/pdtc10/index.php?action=vallex&amp;frame=v-w9297f6", "zavolat (v-w9297f6)")</f>
        <v>zavolat (v-w9297f6)</v>
      </c>
      <c r="E67586" s="0" t="str">
        <f aca="false">HYPERLINK("https://lindat.mff.cuni.cz/services/SynSemClass40/SynSemClass40.html?veclass=vec00581#vec00581-ces-cm00001", "vec00581")</f>
        <v>vec00581</v>
      </c>
      <c r="F67586" s="0" t="s">
        <v>10256</v>
      </c>
    </row>
    <row r="67587" customFormat="false" ht="12.8" hidden="false" customHeight="false" outlineLevel="0" collapsed="false">
      <c r="B67587" s="0" t="s">
        <v>1</v>
      </c>
      <c r="C67587" s="0" t="s">
        <v>3241</v>
      </c>
      <c r="E67587" s="0" t="s">
        <v>147</v>
      </c>
      <c r="F67587" s="0" t="s">
        <v>10257</v>
      </c>
    </row>
    <row r="67588" customFormat="false" ht="12.8" hidden="false" customHeight="false" outlineLevel="0" collapsed="false">
      <c r="B67588" s="0" t="s">
        <v>52</v>
      </c>
      <c r="C67588" s="0" t="s">
        <v>551</v>
      </c>
      <c r="E67588" s="0" t="s">
        <v>221</v>
      </c>
      <c r="F67588" s="0" t="s">
        <v>17044</v>
      </c>
    </row>
    <row r="67589" customFormat="false" ht="12.8" hidden="false" customHeight="false" outlineLevel="0" collapsed="false">
      <c r="B67589" s="0" t="s">
        <v>496</v>
      </c>
      <c r="C67589" s="0" t="s">
        <v>9512</v>
      </c>
      <c r="E67589" s="0" t="s">
        <v>218</v>
      </c>
      <c r="F67589" s="0" t="s">
        <v>17043</v>
      </c>
    </row>
    <row r="67591" customFormat="false" ht="12.8" hidden="false" customHeight="false" outlineLevel="0" collapsed="false">
      <c r="A67591" s="0" t="s">
        <v>22234</v>
      </c>
      <c r="B67591" s="0" t="str">
        <f aca="false">HYPERLINK("https://lindat.mff.cuni.cz/services/teitok/pdtc10/index.php?action=vallex&amp;frame=v-w9297f7", "zavolat (v-w9297f7)")</f>
        <v>zavolat (v-w9297f7)</v>
      </c>
    </row>
    <row r="67592" customFormat="false" ht="12.8" hidden="false" customHeight="false" outlineLevel="0" collapsed="false">
      <c r="B67592" s="0" t="s">
        <v>1</v>
      </c>
    </row>
    <row r="67593" customFormat="false" ht="12.8" hidden="false" customHeight="false" outlineLevel="0" collapsed="false">
      <c r="B67593" s="0" t="s">
        <v>52</v>
      </c>
    </row>
    <row r="67594" customFormat="false" ht="12.8" hidden="false" customHeight="false" outlineLevel="0" collapsed="false">
      <c r="B67594" s="0" t="s">
        <v>6407</v>
      </c>
    </row>
    <row r="67595" customFormat="false" ht="12.8" hidden="false" customHeight="false" outlineLevel="0" collapsed="false">
      <c r="B67595" s="0" t="s">
        <v>496</v>
      </c>
    </row>
    <row r="67597" customFormat="false" ht="12.8" hidden="false" customHeight="false" outlineLevel="0" collapsed="false">
      <c r="A67597" s="0" t="s">
        <v>22235</v>
      </c>
      <c r="B67597" s="0" t="str">
        <f aca="false">HYPERLINK("https://lindat.mff.cuni.cz/services/teitok/pdtc10/index.php?action=vallex&amp;frame=v-w9297f3", "zavolat (v-w9297f3)")</f>
        <v>zavolat (v-w9297f3)</v>
      </c>
      <c r="E67597" s="0" t="str">
        <f aca="false">HYPERLINK("https://lindat.mff.cuni.cz/services/SynSemClass40/SynSemClass40.html?veclass=vec00581#vec00581-ces-cm00010", "vec00581")</f>
        <v>vec00581</v>
      </c>
      <c r="F67597" s="0" t="s">
        <v>10256</v>
      </c>
    </row>
    <row r="67598" customFormat="false" ht="12.8" hidden="false" customHeight="false" outlineLevel="0" collapsed="false">
      <c r="B67598" s="0" t="s">
        <v>1</v>
      </c>
      <c r="C67598" s="0" t="s">
        <v>3241</v>
      </c>
      <c r="E67598" s="0" t="s">
        <v>147</v>
      </c>
      <c r="F67598" s="0" t="s">
        <v>10257</v>
      </c>
    </row>
    <row r="67599" customFormat="false" ht="12.8" hidden="false" customHeight="false" outlineLevel="0" collapsed="false">
      <c r="B67599" s="0" t="s">
        <v>164</v>
      </c>
      <c r="C67599" s="0" t="s">
        <v>17049</v>
      </c>
      <c r="E67599" s="0" t="s">
        <v>13264</v>
      </c>
      <c r="F67599" s="0" t="s">
        <v>17050</v>
      </c>
    </row>
    <row r="67600" customFormat="false" ht="12.8" hidden="false" customHeight="false" outlineLevel="0" collapsed="false">
      <c r="B67600" s="0" t="s">
        <v>496</v>
      </c>
      <c r="C67600" s="0" t="s">
        <v>9512</v>
      </c>
      <c r="E67600" s="0" t="s">
        <v>218</v>
      </c>
      <c r="F67600" s="0" t="s">
        <v>17043</v>
      </c>
    </row>
    <row r="67602" customFormat="false" ht="12.8" hidden="false" customHeight="false" outlineLevel="0" collapsed="false">
      <c r="A67602" s="0" t="s">
        <v>22236</v>
      </c>
      <c r="B67602" s="0" t="str">
        <f aca="false">HYPERLINK("https://lindat.mff.cuni.cz/services/teitok/pdtc10/index.php?action=vallex&amp;frame=v-whsa_398hsa_399", "zavolat si (v-whsa_398hsa_399)")</f>
        <v>zavolat si (v-whsa_398hsa_399)</v>
      </c>
    </row>
    <row r="67603" customFormat="false" ht="12.8" hidden="false" customHeight="false" outlineLevel="0" collapsed="false">
      <c r="B67603" s="0" t="s">
        <v>1</v>
      </c>
    </row>
    <row r="67604" customFormat="false" ht="12.8" hidden="false" customHeight="false" outlineLevel="0" collapsed="false">
      <c r="B67604" s="0" t="s">
        <v>8</v>
      </c>
    </row>
    <row r="67605" customFormat="false" ht="12.8" hidden="false" customHeight="false" outlineLevel="0" collapsed="false">
      <c r="B67605" s="0" t="s">
        <v>276</v>
      </c>
    </row>
    <row r="67607" customFormat="false" ht="12.8" hidden="false" customHeight="false" outlineLevel="0" collapsed="false">
      <c r="A67607" s="0" t="s">
        <v>22237</v>
      </c>
      <c r="B67607" s="0" t="str">
        <f aca="false">HYPERLINK("https://lindat.mff.cuni.cz/services/teitok/pdtc10/index.php?action=vallex&amp;frame=v-w11965_ZUf1_ZU", "zavonět (v-w11965_ZUf1_ZU)")</f>
        <v>zavonět (v-w11965_ZUf1_ZU)</v>
      </c>
    </row>
    <row r="67608" customFormat="false" ht="12.8" hidden="false" customHeight="false" outlineLevel="0" collapsed="false">
      <c r="B67608" s="0" t="s">
        <v>1</v>
      </c>
    </row>
    <row r="67609" customFormat="false" ht="12.8" hidden="false" customHeight="false" outlineLevel="0" collapsed="false">
      <c r="B67609" s="0" t="s">
        <v>13036</v>
      </c>
    </row>
    <row r="67611" customFormat="false" ht="12.8" hidden="false" customHeight="false" outlineLevel="0" collapsed="false">
      <c r="A67611" s="0" t="s">
        <v>22238</v>
      </c>
      <c r="B67611" s="0" t="str">
        <f aca="false">HYPERLINK("https://lindat.mff.cuni.cz/services/teitok/pdtc10/index.php?action=vallex&amp;frame=v-w9299f1", "zavraždit (v-w9299f1)")</f>
        <v>zavraždit (v-w9299f1)</v>
      </c>
      <c r="E67611" s="0" t="str">
        <f aca="false">HYPERLINK("https://lindat.mff.cuni.cz/services/SynSemClass40/SynSemClass40.html?veclass=vec00365#vec00365-ces-cm00016", "vec00365")</f>
        <v>vec00365</v>
      </c>
      <c r="F67611" s="0" t="s">
        <v>8975</v>
      </c>
    </row>
    <row r="67612" customFormat="false" ht="12.8" hidden="false" customHeight="false" outlineLevel="0" collapsed="false">
      <c r="B67612" s="0" t="s">
        <v>1</v>
      </c>
      <c r="C67612" s="0" t="s">
        <v>5883</v>
      </c>
      <c r="E67612" s="0" t="s">
        <v>76</v>
      </c>
      <c r="F67612" s="0" t="s">
        <v>8977</v>
      </c>
    </row>
    <row r="67613" customFormat="false" ht="12.8" hidden="false" customHeight="false" outlineLevel="0" collapsed="false">
      <c r="B67613" s="0" t="s">
        <v>8</v>
      </c>
      <c r="C67613" s="0" t="s">
        <v>8979</v>
      </c>
      <c r="E67613" s="0" t="s">
        <v>199</v>
      </c>
      <c r="F67613" s="0" t="s">
        <v>8980</v>
      </c>
    </row>
    <row r="67615" customFormat="false" ht="12.8" hidden="false" customHeight="false" outlineLevel="0" collapsed="false">
      <c r="A67615" s="0" t="s">
        <v>22239</v>
      </c>
      <c r="B67615" s="0" t="str">
        <f aca="false">HYPERLINK("https://lindat.mff.cuni.cz/services/teitok/pdtc10/index.php?action=vallex&amp;frame=v-w9300f1", "zavrhnout (v-w9300f1)")</f>
        <v>zavrhnout (v-w9300f1)</v>
      </c>
      <c r="E67615" s="0" t="str">
        <f aca="false">HYPERLINK("https://lindat.mff.cuni.cz/services/SynSemClass40/SynSemClass40.html?veclass=vec00050#vec00050-ces-cm00081", "vec00050")</f>
        <v>vec00050</v>
      </c>
      <c r="F67615" s="0" t="s">
        <v>399</v>
      </c>
    </row>
    <row r="67616" customFormat="false" ht="12.8" hidden="false" customHeight="false" outlineLevel="0" collapsed="false">
      <c r="B67616" s="0" t="s">
        <v>1</v>
      </c>
      <c r="C67616" s="0" t="s">
        <v>400</v>
      </c>
      <c r="E67616" s="0" t="s">
        <v>206</v>
      </c>
      <c r="F67616" s="0" t="s">
        <v>401</v>
      </c>
    </row>
    <row r="67617" customFormat="false" ht="12.8" hidden="false" customHeight="false" outlineLevel="0" collapsed="false">
      <c r="B67617" s="0" t="s">
        <v>6636</v>
      </c>
      <c r="C67617" s="0" t="s">
        <v>403</v>
      </c>
      <c r="E67617" s="0" t="s">
        <v>66</v>
      </c>
      <c r="F67617" s="0" t="s">
        <v>404</v>
      </c>
    </row>
    <row r="67619" customFormat="false" ht="12.8" hidden="false" customHeight="false" outlineLevel="0" collapsed="false">
      <c r="A67619" s="0" t="s">
        <v>22240</v>
      </c>
      <c r="B67619" s="0" t="str">
        <f aca="false">HYPERLINK("https://lindat.mff.cuni.cz/services/teitok/pdtc10/index.php?action=vallex&amp;frame=v-w9302f1", "zavrhovat (v-w9302f1)")</f>
        <v>zavrhovat (v-w9302f1)</v>
      </c>
      <c r="E67619" s="0" t="str">
        <f aca="false">HYPERLINK("https://lindat.mff.cuni.cz/services/SynSemClass40/SynSemClass40.html?veclass=vec00050#vec00050-ces-cm00092", "vec00050")</f>
        <v>vec00050</v>
      </c>
      <c r="F67619" s="0" t="s">
        <v>399</v>
      </c>
    </row>
    <row r="67620" customFormat="false" ht="12.8" hidden="false" customHeight="false" outlineLevel="0" collapsed="false">
      <c r="B67620" s="0" t="s">
        <v>1</v>
      </c>
      <c r="C67620" s="0" t="s">
        <v>400</v>
      </c>
      <c r="E67620" s="0" t="s">
        <v>206</v>
      </c>
      <c r="F67620" s="0" t="s">
        <v>401</v>
      </c>
    </row>
    <row r="67621" customFormat="false" ht="12.8" hidden="false" customHeight="false" outlineLevel="0" collapsed="false">
      <c r="B67621" s="0" t="s">
        <v>8</v>
      </c>
      <c r="C67621" s="0" t="s">
        <v>403</v>
      </c>
      <c r="E67621" s="0" t="s">
        <v>66</v>
      </c>
      <c r="F67621" s="0" t="s">
        <v>404</v>
      </c>
    </row>
    <row r="67623" customFormat="false" ht="12.8" hidden="false" customHeight="false" outlineLevel="0" collapsed="false">
      <c r="A67623" s="0" t="s">
        <v>22241</v>
      </c>
      <c r="B67623" s="0" t="str">
        <f aca="false">HYPERLINK("https://lindat.mff.cuni.cz/services/teitok/pdtc10/index.php?action=vallex&amp;frame=v-w11674_ZUf1_ZU", "zavrtávat se (v-w11674_ZUf1_ZU)")</f>
        <v>zavrtávat se (v-w11674_ZUf1_ZU)</v>
      </c>
    </row>
    <row r="67624" customFormat="false" ht="12.8" hidden="false" customHeight="false" outlineLevel="0" collapsed="false">
      <c r="B67624" s="0" t="s">
        <v>1</v>
      </c>
    </row>
    <row r="67625" customFormat="false" ht="12.8" hidden="false" customHeight="false" outlineLevel="0" collapsed="false">
      <c r="B67625" s="0" t="s">
        <v>454</v>
      </c>
    </row>
    <row r="67627" customFormat="false" ht="12.8" hidden="false" customHeight="false" outlineLevel="0" collapsed="false">
      <c r="A67627" s="0" t="s">
        <v>22242</v>
      </c>
      <c r="B67627" s="0" t="str">
        <f aca="false">HYPERLINK("https://lindat.mff.cuni.cz/services/teitok/pdtc10/index.php?action=vallex&amp;frame=v-whsa_752hsa_753", "zavrtávat se (v-whsa_752hsa_753)")</f>
        <v>zavrtávat se (v-whsa_752hsa_753)</v>
      </c>
    </row>
    <row r="67628" customFormat="false" ht="12.8" hidden="false" customHeight="false" outlineLevel="0" collapsed="false">
      <c r="B67628" s="0" t="s">
        <v>1</v>
      </c>
    </row>
    <row r="67629" customFormat="false" ht="12.8" hidden="false" customHeight="false" outlineLevel="0" collapsed="false">
      <c r="B67629" s="0" t="s">
        <v>164</v>
      </c>
    </row>
    <row r="67631" customFormat="false" ht="12.8" hidden="false" customHeight="false" outlineLevel="0" collapsed="false">
      <c r="A67631" s="0" t="s">
        <v>22243</v>
      </c>
      <c r="B67631" s="0" t="str">
        <f aca="false">HYPERLINK("https://lindat.mff.cuni.cz/services/teitok/pdtc10/index.php?action=vallex&amp;frame=v-w9307f1", "zavrtět (v-w9307f1)")</f>
        <v>zavrtět (v-w9307f1)</v>
      </c>
      <c r="E67631" s="0" t="str">
        <f aca="false">HYPERLINK("https://lindat.mff.cuni.cz/services/SynSemClass40/SynSemClass40.html?veclass=vec00991#vec00991-ces-cm00001", "vec00991")</f>
        <v>vec00991</v>
      </c>
      <c r="F67631" s="0" t="s">
        <v>5767</v>
      </c>
    </row>
    <row r="67632" customFormat="false" ht="12.8" hidden="false" customHeight="false" outlineLevel="0" collapsed="false">
      <c r="B67632" s="0" t="s">
        <v>1</v>
      </c>
      <c r="C67632" s="0" t="s">
        <v>4695</v>
      </c>
      <c r="E67632" s="0" t="s">
        <v>334</v>
      </c>
      <c r="F67632" s="0" t="s">
        <v>5245</v>
      </c>
    </row>
    <row r="67633" customFormat="false" ht="12.8" hidden="false" customHeight="false" outlineLevel="0" collapsed="false">
      <c r="B67633" s="0" t="s">
        <v>286</v>
      </c>
      <c r="C67633" s="0" t="s">
        <v>462</v>
      </c>
      <c r="E67633" s="0" t="s">
        <v>2648</v>
      </c>
      <c r="F67633" s="0" t="s">
        <v>5246</v>
      </c>
    </row>
    <row r="67635" customFormat="false" ht="12.8" hidden="false" customHeight="false" outlineLevel="0" collapsed="false">
      <c r="A67635" s="0" t="s">
        <v>22244</v>
      </c>
      <c r="B67635" s="0" t="str">
        <f aca="false">HYPERLINK("https://lindat.mff.cuni.cz/services/teitok/pdtc10/index.php?action=vallex&amp;frame=v-whsa_1231hsa_1232", "zavrtět se (v-whsa_1231hsa_1232)")</f>
        <v>zavrtět se (v-whsa_1231hsa_1232)</v>
      </c>
    </row>
    <row r="67636" customFormat="false" ht="12.8" hidden="false" customHeight="false" outlineLevel="0" collapsed="false">
      <c r="B67636" s="0" t="s">
        <v>1</v>
      </c>
    </row>
    <row r="67638" customFormat="false" ht="12.8" hidden="false" customHeight="false" outlineLevel="0" collapsed="false">
      <c r="A67638" s="0" t="s">
        <v>22245</v>
      </c>
      <c r="B67638" s="0" t="str">
        <f aca="false">HYPERLINK("https://lindat.mff.cuni.cz/services/teitok/pdtc10/index.php?action=vallex&amp;frame=v-w10091f2", "zavrávorat (v-w10091f2)")</f>
        <v>zavrávorat (v-w10091f2)</v>
      </c>
    </row>
    <row r="67639" customFormat="false" ht="12.8" hidden="false" customHeight="false" outlineLevel="0" collapsed="false">
      <c r="B67639" s="0" t="s">
        <v>1</v>
      </c>
    </row>
    <row r="67641" customFormat="false" ht="12.8" hidden="false" customHeight="false" outlineLevel="0" collapsed="false">
      <c r="A67641" s="0" t="s">
        <v>22246</v>
      </c>
      <c r="B67641" s="0" t="str">
        <f aca="false">HYPERLINK("https://lindat.mff.cuni.cz/services/teitok/pdtc10/index.php?action=vallex&amp;frame=v-w9304f1", "završit (v-w9304f1)")</f>
        <v>završit (v-w9304f1)</v>
      </c>
      <c r="E67641" s="0" t="str">
        <f aca="false">HYPERLINK("https://lindat.mff.cuni.cz/services/SynSemClass40/SynSemClass40.html?veclass=vec00213#vec00213-ces-cm00026", "vec00213")</f>
        <v>vec00213</v>
      </c>
      <c r="F67641" s="0" t="s">
        <v>2399</v>
      </c>
    </row>
    <row r="67642" customFormat="false" ht="12.8" hidden="false" customHeight="false" outlineLevel="0" collapsed="false">
      <c r="B67642" s="0" t="s">
        <v>1</v>
      </c>
      <c r="C67642" s="0" t="s">
        <v>2400</v>
      </c>
      <c r="E67642" s="0" t="s">
        <v>31</v>
      </c>
      <c r="F67642" s="0" t="s">
        <v>2401</v>
      </c>
    </row>
    <row r="67643" customFormat="false" ht="12.8" hidden="false" customHeight="false" outlineLevel="0" collapsed="false">
      <c r="B67643" s="0" t="s">
        <v>8</v>
      </c>
      <c r="C67643" s="0" t="s">
        <v>2402</v>
      </c>
      <c r="E67643" s="0" t="s">
        <v>2403</v>
      </c>
      <c r="F67643" s="0" t="s">
        <v>2404</v>
      </c>
    </row>
    <row r="67645" customFormat="false" ht="12.8" hidden="false" customHeight="false" outlineLevel="0" collapsed="false">
      <c r="A67645" s="0" t="s">
        <v>22247</v>
      </c>
      <c r="B67645" s="0" t="str">
        <f aca="false">HYPERLINK("https://lindat.mff.cuni.cz/services/teitok/pdtc10/index.php?action=vallex&amp;frame=v-w9305f1", "završit se (v-w9305f1)")</f>
        <v>završit se (v-w9305f1)</v>
      </c>
    </row>
    <row r="67646" customFormat="false" ht="12.8" hidden="false" customHeight="false" outlineLevel="0" collapsed="false">
      <c r="B67646" s="0" t="s">
        <v>1</v>
      </c>
    </row>
    <row r="67648" customFormat="false" ht="12.8" hidden="false" customHeight="false" outlineLevel="0" collapsed="false">
      <c r="A67648" s="0" t="s">
        <v>22248</v>
      </c>
      <c r="B67648" s="0" t="str">
        <f aca="false">HYPERLINK("https://lindat.mff.cuni.cz/services/teitok/pdtc10/index.php?action=vallex&amp;frame=v-w9306f1", "završovat (v-w9306f1)")</f>
        <v>završovat (v-w9306f1)</v>
      </c>
      <c r="E67648" s="0" t="str">
        <f aca="false">HYPERLINK("https://lindat.mff.cuni.cz/services/SynSemClass40/SynSemClass40.html?veclass=vec00213#vec00213-ces-cm00055", "vec00213")</f>
        <v>vec00213</v>
      </c>
      <c r="F67648" s="0" t="s">
        <v>2399</v>
      </c>
    </row>
    <row r="67649" customFormat="false" ht="12.8" hidden="false" customHeight="false" outlineLevel="0" collapsed="false">
      <c r="B67649" s="0" t="s">
        <v>1</v>
      </c>
      <c r="C67649" s="0" t="s">
        <v>2400</v>
      </c>
      <c r="E67649" s="0" t="s">
        <v>31</v>
      </c>
      <c r="F67649" s="0" t="s">
        <v>2401</v>
      </c>
    </row>
    <row r="67650" customFormat="false" ht="12.8" hidden="false" customHeight="false" outlineLevel="0" collapsed="false">
      <c r="B67650" s="0" t="s">
        <v>8</v>
      </c>
      <c r="C67650" s="0" t="s">
        <v>2402</v>
      </c>
      <c r="E67650" s="0" t="s">
        <v>2403</v>
      </c>
      <c r="F67650" s="0" t="s">
        <v>2404</v>
      </c>
    </row>
    <row r="67652" customFormat="false" ht="12.8" hidden="false" customHeight="false" outlineLevel="0" collapsed="false">
      <c r="A67652" s="0" t="s">
        <v>22249</v>
      </c>
      <c r="B67652" s="0" t="str">
        <f aca="false">HYPERLINK("https://lindat.mff.cuni.cz/services/teitok/pdtc10/index.php?action=vallex&amp;frame=v-whsa_644hsa_645", "zavtipkovat (v-whsa_644hsa_645)")</f>
        <v>zavtipkovat (v-whsa_644hsa_645)</v>
      </c>
      <c r="E67652" s="0" t="str">
        <f aca="false">HYPERLINK("https://lindat.mff.cuni.cz/services/SynSemClass40/SynSemClass40.html?veclass=vec00750#vec00750-ces-cm00002", "vec00750")</f>
        <v>vec00750</v>
      </c>
      <c r="F67652" s="0" t="s">
        <v>18891</v>
      </c>
    </row>
    <row r="67653" customFormat="false" ht="12.8" hidden="false" customHeight="false" outlineLevel="0" collapsed="false">
      <c r="B67653" s="0" t="s">
        <v>1</v>
      </c>
      <c r="C67653" s="0" t="s">
        <v>154</v>
      </c>
      <c r="E67653" s="0" t="s">
        <v>63</v>
      </c>
      <c r="F67653" s="0" t="s">
        <v>18892</v>
      </c>
    </row>
    <row r="67654" customFormat="false" ht="12.8" hidden="false" customHeight="false" outlineLevel="0" collapsed="false">
      <c r="B67654" s="0" t="s">
        <v>18893</v>
      </c>
      <c r="C67654" s="0" t="s">
        <v>9401</v>
      </c>
      <c r="E67654" s="0" t="s">
        <v>218</v>
      </c>
      <c r="F67654" s="0" t="s">
        <v>18894</v>
      </c>
    </row>
    <row r="67655" customFormat="false" ht="12.8" hidden="false" customHeight="false" outlineLevel="0" collapsed="false">
      <c r="B67655" s="0" t="s">
        <v>3205</v>
      </c>
      <c r="E67655" s="0" t="s">
        <v>221</v>
      </c>
      <c r="F67655" s="0" t="s">
        <v>4699</v>
      </c>
    </row>
    <row r="67657" customFormat="false" ht="12.8" hidden="false" customHeight="false" outlineLevel="0" collapsed="false">
      <c r="A67657" s="0" t="s">
        <v>22250</v>
      </c>
      <c r="B67657" s="0" t="str">
        <f aca="false">HYPERLINK("https://lindat.mff.cuni.cz/services/teitok/pdtc10/index.php?action=vallex&amp;frame=v-w9311f1", "zavzpomínat (v-w9311f1)")</f>
        <v>zavzpomínat (v-w9311f1)</v>
      </c>
    </row>
    <row r="67658" customFormat="false" ht="12.8" hidden="false" customHeight="false" outlineLevel="0" collapsed="false">
      <c r="B67658" s="0" t="s">
        <v>1</v>
      </c>
    </row>
    <row r="67659" customFormat="false" ht="12.8" hidden="false" customHeight="false" outlineLevel="0" collapsed="false">
      <c r="B67659" s="0" t="s">
        <v>15251</v>
      </c>
    </row>
    <row r="67661" customFormat="false" ht="12.8" hidden="false" customHeight="false" outlineLevel="0" collapsed="false">
      <c r="A67661" s="0" t="s">
        <v>22251</v>
      </c>
      <c r="B67661" s="0" t="str">
        <f aca="false">HYPERLINK("https://lindat.mff.cuni.cz/services/teitok/pdtc10/index.php?action=vallex&amp;frame=v-w9312f1", "zavzpomínat si (v-w9312f1)")</f>
        <v>zavzpomínat si (v-w9312f1)</v>
      </c>
    </row>
    <row r="67662" customFormat="false" ht="12.8" hidden="false" customHeight="false" outlineLevel="0" collapsed="false">
      <c r="B67662" s="0" t="s">
        <v>1</v>
      </c>
    </row>
    <row r="67663" customFormat="false" ht="12.8" hidden="false" customHeight="false" outlineLevel="0" collapsed="false">
      <c r="B67663" s="0" t="s">
        <v>22252</v>
      </c>
    </row>
    <row r="67665" customFormat="false" ht="12.8" hidden="false" customHeight="false" outlineLevel="0" collapsed="false">
      <c r="A67665" s="0" t="s">
        <v>22253</v>
      </c>
      <c r="B67665" s="0" t="str">
        <f aca="false">HYPERLINK("https://lindat.mff.cuni.cz/services/teitok/pdtc10/index.php?action=vallex&amp;frame=v-w9251f2", "zavádět (v-w9251f2)")</f>
        <v>zavádět (v-w9251f2)</v>
      </c>
      <c r="E67665" s="0" t="str">
        <f aca="false">HYPERLINK("https://lindat.mff.cuni.cz/services/SynSemClass40/SynSemClass40.html?veclass=vec00812#vec00812-ces-cm00372", "vec00812")</f>
        <v>vec00812</v>
      </c>
      <c r="F67665" s="0" t="s">
        <v>2822</v>
      </c>
    </row>
    <row r="67666" customFormat="false" ht="12.8" hidden="false" customHeight="false" outlineLevel="0" collapsed="false">
      <c r="B67666" s="0" t="s">
        <v>1</v>
      </c>
      <c r="C67666" s="0" t="s">
        <v>2823</v>
      </c>
      <c r="E67666" s="0" t="s">
        <v>1103</v>
      </c>
      <c r="F67666" s="0" t="s">
        <v>2824</v>
      </c>
    </row>
    <row r="67667" customFormat="false" ht="12.8" hidden="false" customHeight="false" outlineLevel="0" collapsed="false">
      <c r="B67667" s="0" t="s">
        <v>8</v>
      </c>
      <c r="C67667" s="0" t="s">
        <v>2372</v>
      </c>
      <c r="E67667" s="0" t="s">
        <v>142</v>
      </c>
      <c r="F67667" s="0" t="s">
        <v>2825</v>
      </c>
    </row>
    <row r="67668" customFormat="false" ht="12.8" hidden="false" customHeight="false" outlineLevel="0" collapsed="false">
      <c r="B67668" s="0" t="s">
        <v>164</v>
      </c>
      <c r="C67668" s="0" t="s">
        <v>2826</v>
      </c>
      <c r="E67668" s="0" t="s">
        <v>3114</v>
      </c>
      <c r="F67668" s="0" t="s">
        <v>3115</v>
      </c>
    </row>
    <row r="67670" customFormat="false" ht="12.8" hidden="false" customHeight="false" outlineLevel="0" collapsed="false">
      <c r="A67670" s="0" t="s">
        <v>22254</v>
      </c>
      <c r="B67670" s="0" t="str">
        <f aca="false">HYPERLINK("https://lindat.mff.cuni.cz/services/teitok/pdtc10/index.php?action=vallex&amp;frame=v-w9251f5", "zavádět (v-w9251f5)")</f>
        <v>zavádět (v-w9251f5)</v>
      </c>
    </row>
    <row r="67671" customFormat="false" ht="12.8" hidden="false" customHeight="false" outlineLevel="0" collapsed="false">
      <c r="B67671" s="0" t="s">
        <v>1</v>
      </c>
    </row>
    <row r="67672" customFormat="false" ht="12.8" hidden="false" customHeight="false" outlineLevel="0" collapsed="false">
      <c r="B67672" s="0" t="s">
        <v>8</v>
      </c>
    </row>
    <row r="67673" customFormat="false" ht="12.8" hidden="false" customHeight="false" outlineLevel="0" collapsed="false">
      <c r="B67673" s="0" t="s">
        <v>164</v>
      </c>
    </row>
    <row r="67675" customFormat="false" ht="12.8" hidden="false" customHeight="false" outlineLevel="0" collapsed="false">
      <c r="A67675" s="0" t="s">
        <v>22255</v>
      </c>
      <c r="B67675" s="0" t="str">
        <f aca="false">HYPERLINK("https://lindat.mff.cuni.cz/services/teitok/pdtc10/index.php?action=vallex&amp;frame=v-w9251f1", "zavádět (v-w9251f1)")</f>
        <v>zavádět (v-w9251f1)</v>
      </c>
      <c r="E67675" s="0" t="str">
        <f aca="false">HYPERLINK("https://lindat.mff.cuni.cz/services/SynSemClass40/SynSemClass40.html?veclass=vec01188#vec01188-ces-cm00031", "vec01188")</f>
        <v>vec01188</v>
      </c>
      <c r="F67675" s="0" t="s">
        <v>5481</v>
      </c>
    </row>
    <row r="67676" customFormat="false" ht="12.8" hidden="false" customHeight="false" outlineLevel="0" collapsed="false">
      <c r="B67676" s="0" t="s">
        <v>1</v>
      </c>
      <c r="C67676" s="0" t="s">
        <v>10802</v>
      </c>
      <c r="E67676" s="0" t="s">
        <v>31</v>
      </c>
      <c r="F67676" s="0" t="s">
        <v>5483</v>
      </c>
    </row>
    <row r="67677" customFormat="false" ht="12.8" hidden="false" customHeight="false" outlineLevel="0" collapsed="false">
      <c r="B67677" s="0" t="s">
        <v>8</v>
      </c>
      <c r="C67677" s="0" t="s">
        <v>14769</v>
      </c>
      <c r="E67677" s="0" t="s">
        <v>523</v>
      </c>
      <c r="F67677" s="0" t="s">
        <v>10813</v>
      </c>
    </row>
    <row r="67679" customFormat="false" ht="12.8" hidden="false" customHeight="false" outlineLevel="0" collapsed="false">
      <c r="A67679" s="0" t="s">
        <v>22256</v>
      </c>
      <c r="B67679" s="0" t="str">
        <f aca="false">HYPERLINK("https://lindat.mff.cuni.cz/services/teitok/pdtc10/index.php?action=vallex&amp;frame=v-w9251f3", "zavádět (v-w9251f3)")</f>
        <v>zavádět (v-w9251f3)</v>
      </c>
      <c r="E67679" s="0" t="str">
        <f aca="false">HYPERLINK("https://lindat.mff.cuni.cz/services/SynSemClass40/SynSemClass40.html?veclass=vec01188#vec01188-ces-cm00231", "vec01188")</f>
        <v>vec01188</v>
      </c>
      <c r="F67679" s="0" t="s">
        <v>5481</v>
      </c>
    </row>
    <row r="67680" customFormat="false" ht="12.8" hidden="false" customHeight="false" outlineLevel="0" collapsed="false">
      <c r="B67680" s="0" t="s">
        <v>1</v>
      </c>
      <c r="C67680" s="0" t="s">
        <v>10802</v>
      </c>
      <c r="E67680" s="0" t="s">
        <v>31</v>
      </c>
      <c r="F67680" s="0" t="s">
        <v>5483</v>
      </c>
    </row>
    <row r="67681" customFormat="false" ht="12.8" hidden="false" customHeight="false" outlineLevel="0" collapsed="false">
      <c r="B67681" s="0" t="s">
        <v>8</v>
      </c>
      <c r="C67681" s="0" t="s">
        <v>14769</v>
      </c>
      <c r="E67681" s="0" t="s">
        <v>523</v>
      </c>
      <c r="F67681" s="0" t="s">
        <v>10813</v>
      </c>
    </row>
    <row r="67683" customFormat="false" ht="12.8" hidden="false" customHeight="false" outlineLevel="0" collapsed="false">
      <c r="A67683" s="0" t="s">
        <v>22257</v>
      </c>
      <c r="B67683" s="0" t="str">
        <f aca="false">HYPERLINK("https://lindat.mff.cuni.cz/services/teitok/pdtc10/index.php?action=vallex&amp;frame=v-w9251f4", "zavádět (v-w9251f4)")</f>
        <v>zavádět (v-w9251f4)</v>
      </c>
    </row>
    <row r="67684" customFormat="false" ht="12.8" hidden="false" customHeight="false" outlineLevel="0" collapsed="false">
      <c r="B67684" s="0" t="s">
        <v>1</v>
      </c>
    </row>
    <row r="67685" customFormat="false" ht="12.8" hidden="false" customHeight="false" outlineLevel="0" collapsed="false">
      <c r="B67685" s="0" t="s">
        <v>22258</v>
      </c>
    </row>
    <row r="67686" customFormat="false" ht="12.8" hidden="false" customHeight="false" outlineLevel="0" collapsed="false">
      <c r="B67686" s="0" t="s">
        <v>45</v>
      </c>
    </row>
    <row r="67688" customFormat="false" ht="12.8" hidden="false" customHeight="false" outlineLevel="0" collapsed="false">
      <c r="A67688" s="0" t="s">
        <v>22259</v>
      </c>
      <c r="B67688" s="0" t="str">
        <f aca="false">HYPERLINK("https://lindat.mff.cuni.cz/services/teitok/pdtc10/index.php?action=vallex&amp;frame=v-w9254f1", "zaváhat (v-w9254f1)")</f>
        <v>zaváhat (v-w9254f1)</v>
      </c>
    </row>
    <row r="67689" customFormat="false" ht="12.8" hidden="false" customHeight="false" outlineLevel="0" collapsed="false">
      <c r="B67689" s="0" t="s">
        <v>1</v>
      </c>
    </row>
    <row r="67690" customFormat="false" ht="12.8" hidden="false" customHeight="false" outlineLevel="0" collapsed="false">
      <c r="B67690" s="0" t="s">
        <v>21475</v>
      </c>
    </row>
    <row r="67692" customFormat="false" ht="12.8" hidden="false" customHeight="false" outlineLevel="0" collapsed="false">
      <c r="A67692" s="0" t="s">
        <v>22260</v>
      </c>
      <c r="B67692" s="0" t="str">
        <f aca="false">HYPERLINK("https://lindat.mff.cuni.cz/services/teitok/pdtc10/index.php?action=vallex&amp;frame=v-w9257f1", "zavánět (v-w9257f1)")</f>
        <v>zavánět (v-w9257f1)</v>
      </c>
      <c r="E67692" s="0" t="str">
        <f aca="false">HYPERLINK("https://lindat.mff.cuni.cz/services/SynSemClass40/SynSemClass40.html?veclass=vec00990#vec00990-ces-cm00001", "vec00990")</f>
        <v>vec00990</v>
      </c>
      <c r="F67692" s="0" t="s">
        <v>22261</v>
      </c>
    </row>
    <row r="67693" customFormat="false" ht="12.8" hidden="false" customHeight="false" outlineLevel="0" collapsed="false">
      <c r="B67693" s="0" t="s">
        <v>1</v>
      </c>
      <c r="C67693" s="0" t="s">
        <v>4695</v>
      </c>
      <c r="E67693" s="0" t="s">
        <v>957</v>
      </c>
      <c r="F67693" s="0" t="s">
        <v>5289</v>
      </c>
    </row>
    <row r="67694" customFormat="false" ht="12.8" hidden="false" customHeight="false" outlineLevel="0" collapsed="false">
      <c r="B67694" s="0" t="s">
        <v>286</v>
      </c>
      <c r="C67694" s="0" t="s">
        <v>798</v>
      </c>
      <c r="E67694" s="0" t="s">
        <v>1544</v>
      </c>
      <c r="F67694" s="0" t="s">
        <v>22262</v>
      </c>
    </row>
    <row r="67696" customFormat="false" ht="12.8" hidden="false" customHeight="false" outlineLevel="0" collapsed="false">
      <c r="A67696" s="0" t="s">
        <v>22263</v>
      </c>
      <c r="B67696" s="0" t="str">
        <f aca="false">HYPERLINK("https://lindat.mff.cuni.cz/services/teitok/pdtc10/index.php?action=vallex&amp;frame=v-w9257f2", "zavánět (v-w9257f2)")</f>
        <v>zavánět (v-w9257f2)</v>
      </c>
    </row>
    <row r="67697" customFormat="false" ht="12.8" hidden="false" customHeight="false" outlineLevel="0" collapsed="false">
      <c r="B67697" s="0" t="s">
        <v>1</v>
      </c>
    </row>
    <row r="67698" customFormat="false" ht="12.8" hidden="false" customHeight="false" outlineLevel="0" collapsed="false">
      <c r="B67698" s="0" t="s">
        <v>13036</v>
      </c>
    </row>
    <row r="67700" customFormat="false" ht="12.8" hidden="false" customHeight="false" outlineLevel="0" collapsed="false">
      <c r="A67700" s="0" t="s">
        <v>22264</v>
      </c>
      <c r="B67700" s="0" t="str">
        <f aca="false">HYPERLINK("https://lindat.mff.cuni.cz/services/teitok/pdtc10/index.php?action=vallex&amp;frame=v-whsa_1655hsa_1656", "zavát (v-whsa_1655hsa_1656)")</f>
        <v>zavát (v-whsa_1655hsa_1656)</v>
      </c>
    </row>
    <row r="67701" customFormat="false" ht="12.8" hidden="false" customHeight="false" outlineLevel="0" collapsed="false">
      <c r="B67701" s="0" t="s">
        <v>1</v>
      </c>
    </row>
    <row r="67703" customFormat="false" ht="12.8" hidden="false" customHeight="false" outlineLevel="0" collapsed="false">
      <c r="A67703" s="0" t="s">
        <v>22265</v>
      </c>
      <c r="B67703" s="0" t="str">
        <f aca="false">HYPERLINK("https://lindat.mff.cuni.cz/services/teitok/pdtc10/index.php?action=vallex&amp;frame=v-w12363_MMf1_MM", "zavávat (v-w12363_MMf1_MM)")</f>
        <v>zavávat (v-w12363_MMf1_MM)</v>
      </c>
    </row>
    <row r="67704" customFormat="false" ht="12.8" hidden="false" customHeight="false" outlineLevel="0" collapsed="false">
      <c r="B67704" s="0" t="s">
        <v>1</v>
      </c>
    </row>
    <row r="67705" customFormat="false" ht="12.8" hidden="false" customHeight="false" outlineLevel="0" collapsed="false">
      <c r="B67705" s="0" t="s">
        <v>8</v>
      </c>
    </row>
    <row r="67707" customFormat="false" ht="12.8" hidden="false" customHeight="false" outlineLevel="0" collapsed="false">
      <c r="A67707" s="0" t="s">
        <v>22266</v>
      </c>
      <c r="B67707" s="0" t="str">
        <f aca="false">HYPERLINK("https://lindat.mff.cuni.cz/services/teitok/pdtc10/index.php?action=vallex&amp;frame=v-w9258f1", "zavázat (v-w9258f1)")</f>
        <v>zavázat (v-w9258f1)</v>
      </c>
      <c r="E67707" s="0" t="str">
        <f aca="false">HYPERLINK("https://lindat.mff.cuni.cz/services/SynSemClass40/SynSemClass40.html?veclass=vec01013#vec01013-ces-cm00023", "vec01013")</f>
        <v>vec01013</v>
      </c>
      <c r="F67707" s="0" t="s">
        <v>1981</v>
      </c>
    </row>
    <row r="67708" customFormat="false" ht="12.8" hidden="false" customHeight="false" outlineLevel="0" collapsed="false">
      <c r="B67708" s="0" t="s">
        <v>1</v>
      </c>
      <c r="C67708" s="0" t="s">
        <v>415</v>
      </c>
      <c r="E67708" s="0" t="s">
        <v>206</v>
      </c>
      <c r="F67708" s="0" t="s">
        <v>1982</v>
      </c>
    </row>
    <row r="67709" customFormat="false" ht="12.8" hidden="false" customHeight="false" outlineLevel="0" collapsed="false">
      <c r="B67709" s="0" t="s">
        <v>98</v>
      </c>
      <c r="C67709" s="0" t="s">
        <v>1987</v>
      </c>
      <c r="E67709" s="0" t="s">
        <v>564</v>
      </c>
      <c r="F67709" s="0" t="s">
        <v>1988</v>
      </c>
    </row>
    <row r="67710" customFormat="false" ht="12.8" hidden="false" customHeight="false" outlineLevel="0" collapsed="false">
      <c r="B67710" s="0" t="s">
        <v>20983</v>
      </c>
      <c r="C67710" s="0" t="s">
        <v>1984</v>
      </c>
      <c r="E67710" s="0" t="s">
        <v>1985</v>
      </c>
      <c r="F67710" s="0" t="s">
        <v>1986</v>
      </c>
    </row>
    <row r="67712" customFormat="false" ht="12.8" hidden="false" customHeight="false" outlineLevel="0" collapsed="false">
      <c r="A67712" s="0" t="s">
        <v>22267</v>
      </c>
      <c r="B67712" s="0" t="str">
        <f aca="false">HYPERLINK("https://lindat.mff.cuni.cz/services/teitok/pdtc10/index.php?action=vallex&amp;frame=v-w9259f1", "zavázat se (v-w9259f1)")</f>
        <v>zavázat se (v-w9259f1)</v>
      </c>
      <c r="E67712" s="0" t="str">
        <f aca="false">HYPERLINK("https://lindat.mff.cuni.cz/services/SynSemClass40/SynSemClass40.html?veclass=vec00311#vec00311-ces-cm00006", "vec00311")</f>
        <v>vec00311</v>
      </c>
      <c r="F67712" s="0" t="s">
        <v>14485</v>
      </c>
    </row>
    <row r="67713" customFormat="false" ht="12.8" hidden="false" customHeight="false" outlineLevel="0" collapsed="false">
      <c r="B67713" s="0" t="s">
        <v>1</v>
      </c>
      <c r="C67713" s="0" t="s">
        <v>14486</v>
      </c>
      <c r="E67713" s="0" t="s">
        <v>63</v>
      </c>
      <c r="F67713" s="0" t="s">
        <v>14487</v>
      </c>
    </row>
    <row r="67714" customFormat="false" ht="12.8" hidden="false" customHeight="false" outlineLevel="0" collapsed="false">
      <c r="B67714" s="0" t="s">
        <v>17869</v>
      </c>
      <c r="C67714" s="0" t="s">
        <v>14489</v>
      </c>
      <c r="E67714" s="0" t="s">
        <v>4209</v>
      </c>
      <c r="F67714" s="0" t="s">
        <v>14490</v>
      </c>
    </row>
    <row r="67715" customFormat="false" ht="12.8" hidden="false" customHeight="false" outlineLevel="0" collapsed="false">
      <c r="B67715" s="0" t="s">
        <v>132</v>
      </c>
      <c r="C67715" s="0" t="s">
        <v>14491</v>
      </c>
      <c r="E67715" s="0" t="s">
        <v>53</v>
      </c>
      <c r="F67715" s="0" t="s">
        <v>14492</v>
      </c>
    </row>
    <row r="67717" customFormat="false" ht="12.8" hidden="false" customHeight="false" outlineLevel="0" collapsed="false">
      <c r="A67717" s="0" t="s">
        <v>22268</v>
      </c>
      <c r="B67717" s="0" t="str">
        <f aca="false">HYPERLINK("https://lindat.mff.cuni.cz/services/teitok/pdtc10/index.php?action=vallex&amp;frame=v-w12365_MMf1_MM", "zavářet (v-w12365_MMf1_MM)")</f>
        <v>zavářet (v-w12365_MMf1_MM)</v>
      </c>
    </row>
    <row r="67718" customFormat="false" ht="12.8" hidden="false" customHeight="false" outlineLevel="0" collapsed="false">
      <c r="B67718" s="0" t="s">
        <v>1</v>
      </c>
    </row>
    <row r="67719" customFormat="false" ht="12.8" hidden="false" customHeight="false" outlineLevel="0" collapsed="false">
      <c r="B67719" s="0" t="s">
        <v>8</v>
      </c>
    </row>
    <row r="67721" customFormat="false" ht="12.8" hidden="false" customHeight="false" outlineLevel="0" collapsed="false">
      <c r="A67721" s="0" t="s">
        <v>22269</v>
      </c>
      <c r="B67721" s="0" t="str">
        <f aca="false">HYPERLINK("https://lindat.mff.cuni.cz/services/teitok/pdtc10/index.php?action=vallex&amp;frame=v-w9264f1", "zavážet (v-w9264f1)")</f>
        <v>zavážet (v-w9264f1)</v>
      </c>
    </row>
    <row r="67722" customFormat="false" ht="12.8" hidden="false" customHeight="false" outlineLevel="0" collapsed="false">
      <c r="B67722" s="0" t="s">
        <v>1</v>
      </c>
    </row>
    <row r="67723" customFormat="false" ht="12.8" hidden="false" customHeight="false" outlineLevel="0" collapsed="false">
      <c r="B67723" s="0" t="s">
        <v>8</v>
      </c>
    </row>
    <row r="67724" customFormat="false" ht="12.8" hidden="false" customHeight="false" outlineLevel="0" collapsed="false">
      <c r="B67724" s="0" t="s">
        <v>164</v>
      </c>
    </row>
    <row r="67726" customFormat="false" ht="12.8" hidden="false" customHeight="false" outlineLevel="0" collapsed="false">
      <c r="A67726" s="0" t="s">
        <v>22270</v>
      </c>
      <c r="B67726" s="0" t="str">
        <f aca="false">HYPERLINK("https://lindat.mff.cuni.cz/services/teitok/pdtc10/index.php?action=vallex&amp;frame=v-w9264hsa_253", "zavážet (v-w9264hsa_253)")</f>
        <v>zavážet (v-w9264hsa_253)</v>
      </c>
    </row>
    <row r="67727" customFormat="false" ht="12.8" hidden="false" customHeight="false" outlineLevel="0" collapsed="false">
      <c r="B67727" s="0" t="s">
        <v>1</v>
      </c>
    </row>
    <row r="67728" customFormat="false" ht="12.8" hidden="false" customHeight="false" outlineLevel="0" collapsed="false">
      <c r="B67728" s="0" t="s">
        <v>8</v>
      </c>
    </row>
    <row r="67730" customFormat="false" ht="12.8" hidden="false" customHeight="false" outlineLevel="0" collapsed="false">
      <c r="A67730" s="0" t="s">
        <v>22271</v>
      </c>
      <c r="B67730" s="0" t="str">
        <f aca="false">HYPERLINK("https://lindat.mff.cuni.cz/services/teitok/pdtc10/index.php?action=vallex&amp;frame=v-w9273f3", "zavést (v-w9273f3)")</f>
        <v>zavést (v-w9273f3)</v>
      </c>
      <c r="E67730" s="0" t="str">
        <f aca="false">HYPERLINK("https://lindat.mff.cuni.cz/services/SynSemClass40/SynSemClass40.html?veclass=vec01377#vec01377-ces-cm00008", "vec01377")</f>
        <v>vec01377</v>
      </c>
      <c r="F67730" s="0" t="s">
        <v>2643</v>
      </c>
    </row>
    <row r="67731" customFormat="false" ht="12.8" hidden="false" customHeight="false" outlineLevel="0" collapsed="false">
      <c r="B67731" s="0" t="s">
        <v>1</v>
      </c>
      <c r="C67731" s="0" t="s">
        <v>18704</v>
      </c>
      <c r="E67731" s="0" t="s">
        <v>2645</v>
      </c>
      <c r="F67731" s="0" t="s">
        <v>2646</v>
      </c>
    </row>
    <row r="67732" customFormat="false" ht="12.8" hidden="false" customHeight="false" outlineLevel="0" collapsed="false">
      <c r="B67732" s="0" t="s">
        <v>8</v>
      </c>
      <c r="C67732" s="0" t="s">
        <v>18705</v>
      </c>
      <c r="E67732" s="0" t="s">
        <v>2648</v>
      </c>
      <c r="F67732" s="0" t="s">
        <v>2649</v>
      </c>
    </row>
    <row r="67733" customFormat="false" ht="12.8" hidden="false" customHeight="false" outlineLevel="0" collapsed="false">
      <c r="B67733" s="0" t="s">
        <v>164</v>
      </c>
      <c r="C67733" s="0" t="s">
        <v>2211</v>
      </c>
      <c r="E67733" s="0" t="s">
        <v>370</v>
      </c>
      <c r="F67733" s="0" t="s">
        <v>2652</v>
      </c>
    </row>
    <row r="67735" customFormat="false" ht="12.8" hidden="false" customHeight="false" outlineLevel="0" collapsed="false">
      <c r="A67735" s="0" t="s">
        <v>22272</v>
      </c>
      <c r="B67735" s="0" t="str">
        <f aca="false">HYPERLINK("https://lindat.mff.cuni.cz/services/teitok/pdtc10/index.php?action=vallex&amp;frame=v-w9273f4", "zavést (v-w9273f4)")</f>
        <v>zavést (v-w9273f4)</v>
      </c>
    </row>
    <row r="67736" customFormat="false" ht="12.8" hidden="false" customHeight="false" outlineLevel="0" collapsed="false">
      <c r="B67736" s="0" t="s">
        <v>1</v>
      </c>
    </row>
    <row r="67737" customFormat="false" ht="12.8" hidden="false" customHeight="false" outlineLevel="0" collapsed="false">
      <c r="B67737" s="0" t="s">
        <v>8</v>
      </c>
    </row>
    <row r="67738" customFormat="false" ht="12.8" hidden="false" customHeight="false" outlineLevel="0" collapsed="false">
      <c r="B67738" s="0" t="s">
        <v>164</v>
      </c>
    </row>
    <row r="67740" customFormat="false" ht="12.8" hidden="false" customHeight="false" outlineLevel="0" collapsed="false">
      <c r="A67740" s="0" t="s">
        <v>22273</v>
      </c>
      <c r="B67740" s="0" t="str">
        <f aca="false">HYPERLINK("https://lindat.mff.cuni.cz/services/teitok/pdtc10/index.php?action=vallex&amp;frame=v-w9273f1", "zavést (v-w9273f1)")</f>
        <v>zavést (v-w9273f1)</v>
      </c>
      <c r="E67740" s="0" t="str">
        <f aca="false">HYPERLINK("https://lindat.mff.cuni.cz/services/SynSemClass40/SynSemClass40.html?veclass=vec01188#vec01188-ces-cm00032", "vec01188")</f>
        <v>vec01188</v>
      </c>
      <c r="F67740" s="0" t="s">
        <v>5481</v>
      </c>
    </row>
    <row r="67741" customFormat="false" ht="12.8" hidden="false" customHeight="false" outlineLevel="0" collapsed="false">
      <c r="B67741" s="0" t="s">
        <v>1</v>
      </c>
      <c r="C67741" s="0" t="s">
        <v>10802</v>
      </c>
      <c r="E67741" s="0" t="s">
        <v>31</v>
      </c>
      <c r="F67741" s="0" t="s">
        <v>5483</v>
      </c>
    </row>
    <row r="67742" customFormat="false" ht="12.8" hidden="false" customHeight="false" outlineLevel="0" collapsed="false">
      <c r="B67742" s="0" t="s">
        <v>8</v>
      </c>
      <c r="C67742" s="0" t="s">
        <v>14769</v>
      </c>
      <c r="E67742" s="0" t="s">
        <v>523</v>
      </c>
      <c r="F67742" s="0" t="s">
        <v>10813</v>
      </c>
    </row>
    <row r="67744" customFormat="false" ht="12.8" hidden="false" customHeight="false" outlineLevel="0" collapsed="false">
      <c r="A67744" s="0" t="s">
        <v>22274</v>
      </c>
      <c r="B67744" s="0" t="str">
        <f aca="false">HYPERLINK("https://lindat.mff.cuni.cz/services/teitok/pdtc10/index.php?action=vallex&amp;frame=v-w9273f2", "zavést (v-w9273f2)")</f>
        <v>zavést (v-w9273f2)</v>
      </c>
      <c r="E67744" s="0" t="str">
        <f aca="false">HYPERLINK("https://lindat.mff.cuni.cz/services/SynSemClass40/SynSemClass40.html?veclass=vec01188#vec01188-ces-cm00033", "vec01188")</f>
        <v>vec01188</v>
      </c>
      <c r="F67744" s="0" t="s">
        <v>5481</v>
      </c>
    </row>
    <row r="67745" customFormat="false" ht="12.8" hidden="false" customHeight="false" outlineLevel="0" collapsed="false">
      <c r="B67745" s="0" t="s">
        <v>1</v>
      </c>
      <c r="C67745" s="0" t="s">
        <v>10802</v>
      </c>
      <c r="E67745" s="0" t="s">
        <v>31</v>
      </c>
      <c r="F67745" s="0" t="s">
        <v>5483</v>
      </c>
    </row>
    <row r="67746" customFormat="false" ht="12.8" hidden="false" customHeight="false" outlineLevel="0" collapsed="false">
      <c r="B67746" s="0" t="s">
        <v>8</v>
      </c>
      <c r="C67746" s="0" t="s">
        <v>14769</v>
      </c>
      <c r="E67746" s="0" t="s">
        <v>523</v>
      </c>
      <c r="F67746" s="0" t="s">
        <v>10813</v>
      </c>
    </row>
    <row r="67748" customFormat="false" ht="12.8" hidden="false" customHeight="false" outlineLevel="0" collapsed="false">
      <c r="A67748" s="0" t="s">
        <v>22275</v>
      </c>
      <c r="B67748" s="0" t="str">
        <f aca="false">HYPERLINK("https://lindat.mff.cuni.cz/services/teitok/pdtc10/index.php?action=vallex&amp;frame=v-w9273f5", "zavést (v-w9273f5)")</f>
        <v>zavést (v-w9273f5)</v>
      </c>
    </row>
    <row r="67749" customFormat="false" ht="12.8" hidden="false" customHeight="false" outlineLevel="0" collapsed="false">
      <c r="B67749" s="0" t="s">
        <v>1</v>
      </c>
    </row>
    <row r="67750" customFormat="false" ht="12.8" hidden="false" customHeight="false" outlineLevel="0" collapsed="false">
      <c r="B67750" s="0" t="s">
        <v>22258</v>
      </c>
    </row>
    <row r="67751" customFormat="false" ht="12.8" hidden="false" customHeight="false" outlineLevel="0" collapsed="false">
      <c r="B67751" s="0" t="s">
        <v>45</v>
      </c>
    </row>
    <row r="67753" customFormat="false" ht="12.8" hidden="false" customHeight="false" outlineLevel="0" collapsed="false">
      <c r="A67753" s="0" t="s">
        <v>22276</v>
      </c>
      <c r="B67753" s="0" t="str">
        <f aca="false">HYPERLINK("https://lindat.mff.cuni.cz/services/teitok/pdtc10/index.php?action=vallex&amp;frame=v-w9273f6_ZU", "zavést (v-w9273f6_ZU)")</f>
        <v>zavést (v-w9273f6_ZU)</v>
      </c>
      <c r="E67753" s="0" t="str">
        <f aca="false">HYPERLINK("https://lindat.mff.cuni.cz/services/SynSemClass40/SynSemClass40.html?veclass=vec00812#vec00812-ces-cm00375", "vec00812")</f>
        <v>vec00812</v>
      </c>
      <c r="F67753" s="0" t="s">
        <v>2822</v>
      </c>
    </row>
    <row r="67754" customFormat="false" ht="12.8" hidden="false" customHeight="false" outlineLevel="0" collapsed="false">
      <c r="B67754" s="0" t="s">
        <v>1</v>
      </c>
      <c r="C67754" s="0" t="s">
        <v>2823</v>
      </c>
      <c r="E67754" s="0" t="s">
        <v>1103</v>
      </c>
      <c r="F67754" s="0" t="s">
        <v>2824</v>
      </c>
    </row>
    <row r="67755" customFormat="false" ht="12.8" hidden="false" customHeight="false" outlineLevel="0" collapsed="false">
      <c r="B67755" s="0" t="s">
        <v>8</v>
      </c>
      <c r="C67755" s="0" t="s">
        <v>2372</v>
      </c>
      <c r="E67755" s="0" t="s">
        <v>142</v>
      </c>
      <c r="F67755" s="0" t="s">
        <v>2825</v>
      </c>
    </row>
    <row r="67756" customFormat="false" ht="12.8" hidden="false" customHeight="false" outlineLevel="0" collapsed="false">
      <c r="B67756" s="0" t="s">
        <v>361</v>
      </c>
      <c r="C67756" s="0" t="s">
        <v>2826</v>
      </c>
      <c r="E67756" s="0" t="s">
        <v>2827</v>
      </c>
      <c r="F67756" s="0" t="s">
        <v>2828</v>
      </c>
    </row>
    <row r="67758" customFormat="false" ht="12.8" hidden="false" customHeight="false" outlineLevel="0" collapsed="false">
      <c r="A67758" s="0" t="s">
        <v>22276</v>
      </c>
      <c r="B67758" s="0" t="str">
        <f aca="false">HYPERLINK("https://lindat.mff.cuni.cz/services/teitok/pdtc10/index.php?action=vallex&amp;frame=v-w9273hsa_745", "zavést (v-w9273hsa_745) - substituted with v-w9273f6_ZU")</f>
        <v>zavést (v-w9273hsa_745) - substituted with v-w9273f6_ZU</v>
      </c>
    </row>
    <row r="67759" customFormat="false" ht="12.8" hidden="false" customHeight="false" outlineLevel="0" collapsed="false">
      <c r="B67759" s="0" t="s">
        <v>1</v>
      </c>
    </row>
    <row r="67760" customFormat="false" ht="12.8" hidden="false" customHeight="false" outlineLevel="0" collapsed="false">
      <c r="B67760" s="0" t="s">
        <v>8</v>
      </c>
    </row>
    <row r="67761" customFormat="false" ht="12.8" hidden="false" customHeight="false" outlineLevel="0" collapsed="false">
      <c r="B67761" s="0" t="s">
        <v>361</v>
      </c>
    </row>
    <row r="67763" customFormat="false" ht="12.8" hidden="false" customHeight="false" outlineLevel="0" collapsed="false">
      <c r="A67763" s="0" t="s">
        <v>22277</v>
      </c>
      <c r="B67763" s="0" t="str">
        <f aca="false">HYPERLINK("https://lindat.mff.cuni.cz/services/teitok/pdtc10/index.php?action=vallex&amp;frame=v-w9273f7_ZU", "zavést (v-w9273f7_ZU)")</f>
        <v>zavést (v-w9273f7_ZU)</v>
      </c>
    </row>
    <row r="67764" customFormat="false" ht="12.8" hidden="false" customHeight="false" outlineLevel="0" collapsed="false">
      <c r="B67764" s="0" t="s">
        <v>1</v>
      </c>
    </row>
    <row r="67765" customFormat="false" ht="12.8" hidden="false" customHeight="false" outlineLevel="0" collapsed="false">
      <c r="B67765" s="0" t="s">
        <v>8</v>
      </c>
    </row>
    <row r="67766" customFormat="false" ht="12.8" hidden="false" customHeight="false" outlineLevel="0" collapsed="false">
      <c r="B67766" s="0" t="s">
        <v>454</v>
      </c>
    </row>
    <row r="67768" customFormat="false" ht="12.8" hidden="false" customHeight="false" outlineLevel="0" collapsed="false">
      <c r="A67768" s="0" t="s">
        <v>22278</v>
      </c>
      <c r="B67768" s="0" t="str">
        <f aca="false">HYPERLINK("https://lindat.mff.cuni.cz/services/teitok/pdtc10/index.php?action=vallex&amp;frame=v-whsa_880f1_ZU", "zavést se (v-whsa_880f1_ZU)")</f>
        <v>zavést se (v-whsa_880f1_ZU)</v>
      </c>
    </row>
    <row r="67769" customFormat="false" ht="12.8" hidden="false" customHeight="false" outlineLevel="0" collapsed="false">
      <c r="B67769" s="0" t="s">
        <v>1</v>
      </c>
    </row>
    <row r="67771" customFormat="false" ht="12.8" hidden="false" customHeight="false" outlineLevel="0" collapsed="false">
      <c r="A67771" s="0" t="s">
        <v>22278</v>
      </c>
      <c r="B67771" s="0" t="str">
        <f aca="false">HYPERLINK("https://lindat.mff.cuni.cz/services/teitok/pdtc10/index.php?action=vallex&amp;frame=v-whsa_880hsa_881", "zavést se (v-whsa_880hsa_881) - substituted with v-whsa_880f1_ZU")</f>
        <v>zavést se (v-whsa_880hsa_881) - substituted with v-whsa_880f1_ZU</v>
      </c>
    </row>
    <row r="67772" customFormat="false" ht="12.8" hidden="false" customHeight="false" outlineLevel="0" collapsed="false">
      <c r="B67772" s="0" t="s">
        <v>1</v>
      </c>
    </row>
    <row r="67774" customFormat="false" ht="12.8" hidden="false" customHeight="false" outlineLevel="0" collapsed="false">
      <c r="A67774" s="0" t="s">
        <v>22279</v>
      </c>
      <c r="B67774" s="0" t="str">
        <f aca="false">HYPERLINK("https://lindat.mff.cuni.cz/services/teitok/pdtc10/index.php?action=vallex&amp;frame=v-w9275f1", "zavézt (v-w9275f1)")</f>
        <v>zavézt (v-w9275f1)</v>
      </c>
      <c r="E67774" s="0" t="str">
        <f aca="false">HYPERLINK("https://lindat.mff.cuni.cz/services/SynSemClass40/SynSemClass40.html?veclass=vec01377#vec01377-ces-cm00009", "vec01377")</f>
        <v>vec01377</v>
      </c>
      <c r="F67774" s="0" t="s">
        <v>2643</v>
      </c>
    </row>
    <row r="67775" customFormat="false" ht="12.8" hidden="false" customHeight="false" outlineLevel="0" collapsed="false">
      <c r="B67775" s="0" t="s">
        <v>1</v>
      </c>
      <c r="C67775" s="0" t="s">
        <v>18704</v>
      </c>
      <c r="E67775" s="0" t="s">
        <v>2645</v>
      </c>
      <c r="F67775" s="0" t="s">
        <v>2646</v>
      </c>
    </row>
    <row r="67776" customFormat="false" ht="12.8" hidden="false" customHeight="false" outlineLevel="0" collapsed="false">
      <c r="B67776" s="0" t="s">
        <v>8</v>
      </c>
      <c r="C67776" s="0" t="s">
        <v>18705</v>
      </c>
      <c r="E67776" s="0" t="s">
        <v>2648</v>
      </c>
      <c r="F67776" s="0" t="s">
        <v>2649</v>
      </c>
    </row>
    <row r="67777" customFormat="false" ht="12.8" hidden="false" customHeight="false" outlineLevel="0" collapsed="false">
      <c r="B67777" s="0" t="s">
        <v>164</v>
      </c>
      <c r="C67777" s="0" t="s">
        <v>2211</v>
      </c>
      <c r="E67777" s="0" t="s">
        <v>370</v>
      </c>
      <c r="F67777" s="0" t="s">
        <v>2652</v>
      </c>
    </row>
    <row r="67779" customFormat="false" ht="12.8" hidden="false" customHeight="false" outlineLevel="0" collapsed="false">
      <c r="A67779" s="0" t="s">
        <v>22280</v>
      </c>
      <c r="B67779" s="0" t="str">
        <f aca="false">HYPERLINK("https://lindat.mff.cuni.cz/services/teitok/pdtc10/index.php?action=vallex&amp;frame=v-w9275hsa_998", "zavézt (v-w9275hsa_998)")</f>
        <v>zavézt (v-w9275hsa_998)</v>
      </c>
    </row>
    <row r="67780" customFormat="false" ht="12.8" hidden="false" customHeight="false" outlineLevel="0" collapsed="false">
      <c r="B67780" s="0" t="s">
        <v>1</v>
      </c>
    </row>
    <row r="67781" customFormat="false" ht="12.8" hidden="false" customHeight="false" outlineLevel="0" collapsed="false">
      <c r="B67781" s="0" t="s">
        <v>8</v>
      </c>
    </row>
    <row r="67783" customFormat="false" ht="12.8" hidden="false" customHeight="false" outlineLevel="0" collapsed="false">
      <c r="A67783" s="0" t="s">
        <v>22281</v>
      </c>
      <c r="B67783" s="0" t="str">
        <f aca="false">HYPERLINK("https://lindat.mff.cuni.cz/services/teitok/pdtc10/index.php?action=vallex&amp;frame=v-w9282f1", "zavírat (v-w9282f1)")</f>
        <v>zavírat (v-w9282f1)</v>
      </c>
      <c r="E67783" s="0" t="str">
        <f aca="false">HYPERLINK("https://lindat.mff.cuni.cz/services/SynSemClass40/SynSemClass40.html?veclass=vec01342#vec01342-ces-cm00008", "vec01342")</f>
        <v>vec01342</v>
      </c>
      <c r="F67783" s="0" t="s">
        <v>8829</v>
      </c>
    </row>
    <row r="67784" customFormat="false" ht="12.8" hidden="false" customHeight="false" outlineLevel="0" collapsed="false">
      <c r="B67784" s="0" t="s">
        <v>1</v>
      </c>
      <c r="C67784" s="0" t="s">
        <v>18362</v>
      </c>
      <c r="E67784" s="0" t="s">
        <v>31</v>
      </c>
      <c r="F67784" s="0" t="s">
        <v>8833</v>
      </c>
    </row>
    <row r="67785" customFormat="false" ht="12.8" hidden="false" customHeight="false" outlineLevel="0" collapsed="false">
      <c r="B67785" s="0" t="s">
        <v>8</v>
      </c>
      <c r="C67785" s="0" t="s">
        <v>16683</v>
      </c>
      <c r="E67785" s="0" t="s">
        <v>34</v>
      </c>
      <c r="F67785" s="0" t="s">
        <v>8837</v>
      </c>
    </row>
    <row r="67787" customFormat="false" ht="12.8" hidden="false" customHeight="false" outlineLevel="0" collapsed="false">
      <c r="A67787" s="0" t="s">
        <v>22282</v>
      </c>
      <c r="B67787" s="0" t="str">
        <f aca="false">HYPERLINK("https://lindat.mff.cuni.cz/services/teitok/pdtc10/index.php?action=vallex&amp;frame=v-w9282f3", "zavírat (v-w9282f3)")</f>
        <v>zavírat (v-w9282f3)</v>
      </c>
    </row>
    <row r="67788" customFormat="false" ht="12.8" hidden="false" customHeight="false" outlineLevel="0" collapsed="false">
      <c r="B67788" s="0" t="s">
        <v>1</v>
      </c>
    </row>
    <row r="67789" customFormat="false" ht="12.8" hidden="false" customHeight="false" outlineLevel="0" collapsed="false">
      <c r="B67789" s="0" t="s">
        <v>8</v>
      </c>
    </row>
    <row r="67791" customFormat="false" ht="12.8" hidden="false" customHeight="false" outlineLevel="0" collapsed="false">
      <c r="A67791" s="0" t="s">
        <v>22283</v>
      </c>
      <c r="B67791" s="0" t="str">
        <f aca="false">HYPERLINK("https://lindat.mff.cuni.cz/services/teitok/pdtc10/index.php?action=vallex&amp;frame=v-w9282f2", "zavírat (v-w9282f2)")</f>
        <v>zavírat (v-w9282f2)</v>
      </c>
    </row>
    <row r="67792" customFormat="false" ht="12.8" hidden="false" customHeight="false" outlineLevel="0" collapsed="false">
      <c r="B67792" s="0" t="s">
        <v>1</v>
      </c>
    </row>
    <row r="67793" customFormat="false" ht="12.8" hidden="false" customHeight="false" outlineLevel="0" collapsed="false">
      <c r="B67793" s="0" t="s">
        <v>8</v>
      </c>
    </row>
    <row r="67795" customFormat="false" ht="12.8" hidden="false" customHeight="false" outlineLevel="0" collapsed="false">
      <c r="A67795" s="0" t="s">
        <v>22284</v>
      </c>
      <c r="B67795" s="0" t="str">
        <f aca="false">HYPERLINK("https://lindat.mff.cuni.cz/services/teitok/pdtc10/index.php?action=vallex&amp;frame=v-w9282f5_ZU", "zavírat (v-w9282f5_ZU)")</f>
        <v>zavírat (v-w9282f5_ZU)</v>
      </c>
    </row>
    <row r="67796" customFormat="false" ht="12.8" hidden="false" customHeight="false" outlineLevel="0" collapsed="false">
      <c r="B67796" s="0" t="s">
        <v>1</v>
      </c>
    </row>
    <row r="67797" customFormat="false" ht="12.8" hidden="false" customHeight="false" outlineLevel="0" collapsed="false">
      <c r="B67797" s="0" t="s">
        <v>4656</v>
      </c>
    </row>
    <row r="67798" customFormat="false" ht="12.8" hidden="false" customHeight="false" outlineLevel="0" collapsed="false">
      <c r="B67798" s="0" t="s">
        <v>10090</v>
      </c>
    </row>
    <row r="67800" customFormat="false" ht="12.8" hidden="false" customHeight="false" outlineLevel="0" collapsed="false">
      <c r="A67800" s="0" t="s">
        <v>22284</v>
      </c>
      <c r="B67800" s="0" t="str">
        <f aca="false">HYPERLINK("https://lindat.mff.cuni.cz/services/teitok/pdtc10/index.php?action=vallex&amp;frame=v-w9282f4_ZU", "zavírat (v-w9282f4_ZU) - substituted with v-w9282f5_ZU")</f>
        <v>zavírat (v-w9282f4_ZU) - substituted with v-w9282f5_ZU</v>
      </c>
    </row>
    <row r="67801" customFormat="false" ht="12.8" hidden="false" customHeight="false" outlineLevel="0" collapsed="false">
      <c r="B67801" s="0" t="s">
        <v>1</v>
      </c>
    </row>
    <row r="67802" customFormat="false" ht="12.8" hidden="false" customHeight="false" outlineLevel="0" collapsed="false">
      <c r="B67802" s="0" t="s">
        <v>4656</v>
      </c>
    </row>
    <row r="67803" customFormat="false" ht="12.8" hidden="false" customHeight="false" outlineLevel="0" collapsed="false">
      <c r="B67803" s="0" t="s">
        <v>10090</v>
      </c>
    </row>
    <row r="67805" customFormat="false" ht="12.8" hidden="false" customHeight="false" outlineLevel="0" collapsed="false">
      <c r="A67805" s="0" t="s">
        <v>22285</v>
      </c>
      <c r="B67805" s="0" t="str">
        <f aca="false">HYPERLINK("https://lindat.mff.cuni.cz/services/teitok/pdtc10/index.php?action=vallex&amp;frame=v-w9282hsa_1211", "zavírat (v-w9282hsa_1211)")</f>
        <v>zavírat (v-w9282hsa_1211)</v>
      </c>
    </row>
    <row r="67806" customFormat="false" ht="12.8" hidden="false" customHeight="false" outlineLevel="0" collapsed="false">
      <c r="B67806" s="0" t="s">
        <v>1</v>
      </c>
    </row>
    <row r="67808" customFormat="false" ht="12.8" hidden="false" customHeight="false" outlineLevel="0" collapsed="false">
      <c r="A67808" s="0" t="s">
        <v>22286</v>
      </c>
      <c r="B67808" s="0" t="str">
        <f aca="false">HYPERLINK("https://lindat.mff.cuni.cz/services/teitok/pdtc10/index.php?action=vallex&amp;frame=v-w9282f6_ZU", "zavírat (v-w9282f6_ZU)")</f>
        <v>zavírat (v-w9282f6_ZU)</v>
      </c>
    </row>
    <row r="67809" customFormat="false" ht="12.8" hidden="false" customHeight="false" outlineLevel="0" collapsed="false">
      <c r="B67809" s="0" t="s">
        <v>1</v>
      </c>
    </row>
    <row r="67810" customFormat="false" ht="12.8" hidden="false" customHeight="false" outlineLevel="0" collapsed="false">
      <c r="B67810" s="0" t="s">
        <v>16389</v>
      </c>
    </row>
    <row r="67811" customFormat="false" ht="12.8" hidden="false" customHeight="false" outlineLevel="0" collapsed="false">
      <c r="B67811" s="0" t="s">
        <v>6877</v>
      </c>
    </row>
    <row r="67813" customFormat="false" ht="12.8" hidden="false" customHeight="false" outlineLevel="0" collapsed="false">
      <c r="A67813" s="0" t="s">
        <v>22286</v>
      </c>
      <c r="B67813" s="0" t="str">
        <f aca="false">HYPERLINK("https://lindat.mff.cuni.cz/services/teitok/pdtc10/index.php?action=vallex&amp;frame=v-w9282hsa_1212", "zavírat (v-w9282hsa_1212) - substituted with v-w9282f6_ZU")</f>
        <v>zavírat (v-w9282hsa_1212) - substituted with v-w9282f6_ZU</v>
      </c>
    </row>
    <row r="67814" customFormat="false" ht="12.8" hidden="false" customHeight="false" outlineLevel="0" collapsed="false">
      <c r="B67814" s="0" t="s">
        <v>1</v>
      </c>
    </row>
    <row r="67815" customFormat="false" ht="12.8" hidden="false" customHeight="false" outlineLevel="0" collapsed="false">
      <c r="B67815" s="0" t="s">
        <v>16389</v>
      </c>
    </row>
    <row r="67816" customFormat="false" ht="12.8" hidden="false" customHeight="false" outlineLevel="0" collapsed="false">
      <c r="B67816" s="0" t="s">
        <v>6877</v>
      </c>
    </row>
    <row r="67818" customFormat="false" ht="12.8" hidden="false" customHeight="false" outlineLevel="0" collapsed="false">
      <c r="A67818" s="0" t="s">
        <v>22287</v>
      </c>
      <c r="B67818" s="0" t="str">
        <f aca="false">HYPERLINK("https://lindat.mff.cuni.cz/services/teitok/pdtc10/index.php?action=vallex&amp;frame=v-w9282f7_ZU", "zavírat (v-w9282f7_ZU)")</f>
        <v>zavírat (v-w9282f7_ZU)</v>
      </c>
    </row>
    <row r="67819" customFormat="false" ht="12.8" hidden="false" customHeight="false" outlineLevel="0" collapsed="false">
      <c r="B67819" s="0" t="s">
        <v>1</v>
      </c>
    </row>
    <row r="67820" customFormat="false" ht="12.8" hidden="false" customHeight="false" outlineLevel="0" collapsed="false">
      <c r="B67820" s="0" t="s">
        <v>8</v>
      </c>
    </row>
    <row r="67822" customFormat="false" ht="12.8" hidden="false" customHeight="false" outlineLevel="0" collapsed="false">
      <c r="A67822" s="0" t="s">
        <v>22288</v>
      </c>
      <c r="B67822" s="0" t="str">
        <f aca="false">HYPERLINK("https://lindat.mff.cuni.cz/services/teitok/pdtc10/index.php?action=vallex&amp;frame=v-w9288f1", "zavítat (v-w9288f1)")</f>
        <v>zavítat (v-w9288f1)</v>
      </c>
    </row>
    <row r="67823" customFormat="false" ht="12.8" hidden="false" customHeight="false" outlineLevel="0" collapsed="false">
      <c r="B67823" s="0" t="s">
        <v>1</v>
      </c>
    </row>
    <row r="67824" customFormat="false" ht="12.8" hidden="false" customHeight="false" outlineLevel="0" collapsed="false">
      <c r="B67824" s="0" t="s">
        <v>164</v>
      </c>
    </row>
    <row r="67826" customFormat="false" ht="12.8" hidden="false" customHeight="false" outlineLevel="0" collapsed="false">
      <c r="A67826" s="0" t="s">
        <v>22289</v>
      </c>
      <c r="B67826" s="0" t="str">
        <f aca="false">HYPERLINK("https://lindat.mff.cuni.cz/services/teitok/pdtc10/index.php?action=vallex&amp;frame=v-w9272f1", "zavěsit (v-w9272f1)")</f>
        <v>zavěsit (v-w9272f1)</v>
      </c>
    </row>
    <row r="67827" customFormat="false" ht="12.8" hidden="false" customHeight="false" outlineLevel="0" collapsed="false">
      <c r="B67827" s="0" t="s">
        <v>1</v>
      </c>
    </row>
    <row r="67828" customFormat="false" ht="12.8" hidden="false" customHeight="false" outlineLevel="0" collapsed="false">
      <c r="B67828" s="0" t="s">
        <v>8</v>
      </c>
    </row>
    <row r="67830" customFormat="false" ht="12.8" hidden="false" customHeight="false" outlineLevel="0" collapsed="false">
      <c r="A67830" s="0" t="s">
        <v>22290</v>
      </c>
      <c r="B67830" s="0" t="str">
        <f aca="false">HYPERLINK("https://lindat.mff.cuni.cz/services/teitok/pdtc10/index.php?action=vallex&amp;frame=v-w11640_ZUf1_ZU", "zavětřit (v-w11640_ZUf1_ZU)")</f>
        <v>zavětřit (v-w11640_ZUf1_ZU)</v>
      </c>
      <c r="E67830" s="0" t="str">
        <f aca="false">HYPERLINK("https://lindat.mff.cuni.cz/services/SynSemClass40/SynSemClass40.html?veclass=vec01545#vec01545-ces-cm00031", "vec01545")</f>
        <v>vec01545</v>
      </c>
      <c r="F67830" s="0" t="s">
        <v>11902</v>
      </c>
    </row>
    <row r="67831" customFormat="false" ht="12.8" hidden="false" customHeight="false" outlineLevel="0" collapsed="false">
      <c r="B67831" s="0" t="s">
        <v>1</v>
      </c>
      <c r="C67831" s="0" t="s">
        <v>11624</v>
      </c>
      <c r="E67831" s="0" t="s">
        <v>621</v>
      </c>
      <c r="F67831" s="0" t="s">
        <v>11905</v>
      </c>
    </row>
    <row r="67832" customFormat="false" ht="12.8" hidden="false" customHeight="false" outlineLevel="0" collapsed="false">
      <c r="B67832" s="0" t="s">
        <v>8</v>
      </c>
      <c r="C67832" s="0" t="s">
        <v>7322</v>
      </c>
      <c r="E67832" s="0" t="s">
        <v>271</v>
      </c>
      <c r="F67832" s="0" t="s">
        <v>11909</v>
      </c>
    </row>
    <row r="67834" customFormat="false" ht="12.8" hidden="false" customHeight="false" outlineLevel="0" collapsed="false">
      <c r="A67834" s="0" t="s">
        <v>22291</v>
      </c>
      <c r="B67834" s="0" t="str">
        <f aca="false">HYPERLINK("https://lindat.mff.cuni.cz/services/teitok/pdtc10/index.php?action=vallex&amp;frame=v-w10970f2", "zavěšovat (v-w10970f2)")</f>
        <v>zavěšovat (v-w10970f2)</v>
      </c>
    </row>
    <row r="67835" customFormat="false" ht="12.8" hidden="false" customHeight="false" outlineLevel="0" collapsed="false">
      <c r="B67835" s="0" t="s">
        <v>1</v>
      </c>
    </row>
    <row r="67836" customFormat="false" ht="12.8" hidden="false" customHeight="false" outlineLevel="0" collapsed="false">
      <c r="B67836" s="0" t="s">
        <v>8</v>
      </c>
    </row>
    <row r="67838" customFormat="false" ht="12.8" hidden="false" customHeight="false" outlineLevel="0" collapsed="false">
      <c r="A67838" s="0" t="s">
        <v>22292</v>
      </c>
      <c r="B67838" s="0" t="str">
        <f aca="false">HYPERLINK("https://lindat.mff.cuni.cz/services/teitok/pdtc10/index.php?action=vallex&amp;frame=v-w9309f9_ZU", "zavřít (v-w9309f9_ZU)")</f>
        <v>zavřít (v-w9309f9_ZU)</v>
      </c>
    </row>
    <row r="67839" customFormat="false" ht="12.8" hidden="false" customHeight="false" outlineLevel="0" collapsed="false">
      <c r="B67839" s="0" t="s">
        <v>1</v>
      </c>
    </row>
    <row r="67840" customFormat="false" ht="12.8" hidden="false" customHeight="false" outlineLevel="0" collapsed="false">
      <c r="B67840" s="0" t="s">
        <v>8</v>
      </c>
    </row>
    <row r="67842" customFormat="false" ht="12.8" hidden="false" customHeight="false" outlineLevel="0" collapsed="false">
      <c r="A67842" s="0" t="s">
        <v>22292</v>
      </c>
      <c r="B67842" s="0" t="str">
        <f aca="false">HYPERLINK("https://lindat.mff.cuni.cz/services/teitok/pdtc10/index.php?action=vallex&amp;frame=v-w9309f1", "zavřít (v-w9309f1) - substituted with v-w9309f9_ZU")</f>
        <v>zavřít (v-w9309f1) - substituted with v-w9309f9_ZU</v>
      </c>
      <c r="E67842" s="0" t="str">
        <f aca="false">HYPERLINK("https://lindat.mff.cuni.cz/services/SynSemClass40/SynSemClass40.html?veclass=vec00376#vec00376-ces-cm00001", "vec00376")</f>
        <v>vec00376</v>
      </c>
      <c r="F67842" s="0" t="s">
        <v>18365</v>
      </c>
    </row>
    <row r="67843" customFormat="false" ht="12.8" hidden="false" customHeight="false" outlineLevel="0" collapsed="false">
      <c r="B67843" s="0" t="s">
        <v>1</v>
      </c>
      <c r="C67843" s="0" t="s">
        <v>18366</v>
      </c>
      <c r="E67843" s="0" t="s">
        <v>31</v>
      </c>
      <c r="F67843" s="0" t="s">
        <v>18367</v>
      </c>
    </row>
    <row r="67844" customFormat="false" ht="12.8" hidden="false" customHeight="false" outlineLevel="0" collapsed="false">
      <c r="B67844" s="0" t="s">
        <v>8</v>
      </c>
      <c r="C67844" s="0" t="s">
        <v>18368</v>
      </c>
      <c r="E67844" s="0" t="s">
        <v>2403</v>
      </c>
      <c r="F67844" s="0" t="s">
        <v>18369</v>
      </c>
    </row>
    <row r="67846" customFormat="false" ht="12.8" hidden="false" customHeight="false" outlineLevel="0" collapsed="false">
      <c r="A67846" s="0" t="s">
        <v>22293</v>
      </c>
      <c r="B67846" s="0" t="str">
        <f aca="false">HYPERLINK("https://lindat.mff.cuni.cz/services/teitok/pdtc10/index.php?action=vallex&amp;frame=v-w9309f2", "zavřít (v-w9309f2)")</f>
        <v>zavřít (v-w9309f2)</v>
      </c>
    </row>
    <row r="67847" customFormat="false" ht="12.8" hidden="false" customHeight="false" outlineLevel="0" collapsed="false">
      <c r="B67847" s="0" t="s">
        <v>1</v>
      </c>
    </row>
    <row r="67848" customFormat="false" ht="12.8" hidden="false" customHeight="false" outlineLevel="0" collapsed="false">
      <c r="B67848" s="0" t="s">
        <v>8</v>
      </c>
    </row>
    <row r="67850" customFormat="false" ht="12.8" hidden="false" customHeight="false" outlineLevel="0" collapsed="false">
      <c r="A67850" s="0" t="s">
        <v>22294</v>
      </c>
      <c r="B67850" s="0" t="str">
        <f aca="false">HYPERLINK("https://lindat.mff.cuni.cz/services/teitok/pdtc10/index.php?action=vallex&amp;frame=v-w9309f4", "zavřít (v-w9309f4)")</f>
        <v>zavřít (v-w9309f4)</v>
      </c>
      <c r="E67850" s="0" t="str">
        <f aca="false">HYPERLINK("https://lindat.mff.cuni.cz/services/SynSemClass40/SynSemClass40.html?veclass=vec00544#vec00544-ces-cm00014", "vec00544")</f>
        <v>vec00544</v>
      </c>
      <c r="F67850" s="0" t="s">
        <v>9271</v>
      </c>
    </row>
    <row r="67851" customFormat="false" ht="12.8" hidden="false" customHeight="false" outlineLevel="0" collapsed="false">
      <c r="B67851" s="0" t="s">
        <v>1</v>
      </c>
      <c r="C67851" s="0" t="s">
        <v>3288</v>
      </c>
      <c r="E67851" s="0" t="s">
        <v>206</v>
      </c>
      <c r="F67851" s="0" t="s">
        <v>9275</v>
      </c>
    </row>
    <row r="67852" customFormat="false" ht="12.8" hidden="false" customHeight="false" outlineLevel="0" collapsed="false">
      <c r="B67852" s="0" t="s">
        <v>8</v>
      </c>
      <c r="C67852" s="0" t="s">
        <v>1929</v>
      </c>
      <c r="E67852" s="0" t="s">
        <v>4259</v>
      </c>
      <c r="F67852" s="0" t="s">
        <v>9280</v>
      </c>
    </row>
    <row r="67854" customFormat="false" ht="12.8" hidden="false" customHeight="false" outlineLevel="0" collapsed="false">
      <c r="A67854" s="0" t="s">
        <v>22295</v>
      </c>
      <c r="B67854" s="0" t="str">
        <f aca="false">HYPERLINK("https://lindat.mff.cuni.cz/services/teitok/pdtc10/index.php?action=vallex&amp;frame=v-w9309f5", "zavřít (v-w9309f5)")</f>
        <v>zavřít (v-w9309f5)</v>
      </c>
    </row>
    <row r="67855" customFormat="false" ht="12.8" hidden="false" customHeight="false" outlineLevel="0" collapsed="false">
      <c r="B67855" s="0" t="s">
        <v>1</v>
      </c>
    </row>
    <row r="67856" customFormat="false" ht="12.8" hidden="false" customHeight="false" outlineLevel="0" collapsed="false">
      <c r="B67856" s="0" t="s">
        <v>8</v>
      </c>
    </row>
    <row r="67858" customFormat="false" ht="12.8" hidden="false" customHeight="false" outlineLevel="0" collapsed="false">
      <c r="A67858" s="0" t="s">
        <v>22296</v>
      </c>
      <c r="B67858" s="0" t="str">
        <f aca="false">HYPERLINK("https://lindat.mff.cuni.cz/services/teitok/pdtc10/index.php?action=vallex&amp;frame=v-w9309f7_ZU", "zavřít (v-w9309f7_ZU)")</f>
        <v>zavřít (v-w9309f7_ZU)</v>
      </c>
    </row>
    <row r="67859" customFormat="false" ht="12.8" hidden="false" customHeight="false" outlineLevel="0" collapsed="false">
      <c r="B67859" s="0" t="s">
        <v>1</v>
      </c>
    </row>
    <row r="67861" customFormat="false" ht="12.8" hidden="false" customHeight="false" outlineLevel="0" collapsed="false">
      <c r="A67861" s="0" t="s">
        <v>22296</v>
      </c>
      <c r="B67861" s="0" t="str">
        <f aca="false">HYPERLINK("https://lindat.mff.cuni.cz/services/teitok/pdtc10/index.php?action=vallex&amp;frame=v-w9309f6_ZU", "zavřít (v-w9309f6_ZU) - substituted with v-w9309f7_ZU")</f>
        <v>zavřít (v-w9309f6_ZU) - substituted with v-w9309f7_ZU</v>
      </c>
    </row>
    <row r="67862" customFormat="false" ht="12.8" hidden="false" customHeight="false" outlineLevel="0" collapsed="false">
      <c r="B67862" s="0" t="s">
        <v>1</v>
      </c>
    </row>
    <row r="67864" customFormat="false" ht="12.8" hidden="false" customHeight="false" outlineLevel="0" collapsed="false">
      <c r="A67864" s="0" t="s">
        <v>22297</v>
      </c>
      <c r="B67864" s="0" t="str">
        <f aca="false">HYPERLINK("https://lindat.mff.cuni.cz/services/teitok/pdtc10/index.php?action=vallex&amp;frame=v-w9309f3", "zavřít (v-w9309f3)")</f>
        <v>zavřít (v-w9309f3)</v>
      </c>
    </row>
    <row r="67865" customFormat="false" ht="12.8" hidden="false" customHeight="false" outlineLevel="0" collapsed="false">
      <c r="B67865" s="0" t="s">
        <v>1</v>
      </c>
    </row>
    <row r="67866" customFormat="false" ht="12.8" hidden="false" customHeight="false" outlineLevel="0" collapsed="false">
      <c r="B67866" s="0" t="s">
        <v>22298</v>
      </c>
    </row>
    <row r="67867" customFormat="false" ht="12.8" hidden="false" customHeight="false" outlineLevel="0" collapsed="false">
      <c r="B67867" s="0" t="s">
        <v>186</v>
      </c>
    </row>
    <row r="67869" customFormat="false" ht="12.8" hidden="false" customHeight="false" outlineLevel="0" collapsed="false">
      <c r="A67869" s="0" t="s">
        <v>22299</v>
      </c>
      <c r="B67869" s="0" t="str">
        <f aca="false">HYPERLINK("https://lindat.mff.cuni.cz/services/teitok/pdtc10/index.php?action=vallex&amp;frame=v-w9309hsa_312", "zavřít (v-w9309hsa_312)")</f>
        <v>zavřít (v-w9309hsa_312)</v>
      </c>
    </row>
    <row r="67870" customFormat="false" ht="12.8" hidden="false" customHeight="false" outlineLevel="0" collapsed="false">
      <c r="B67870" s="0" t="s">
        <v>1</v>
      </c>
    </row>
    <row r="67871" customFormat="false" ht="12.8" hidden="false" customHeight="false" outlineLevel="0" collapsed="false">
      <c r="B67871" s="0" t="s">
        <v>1773</v>
      </c>
    </row>
    <row r="67872" customFormat="false" ht="12.8" hidden="false" customHeight="false" outlineLevel="0" collapsed="false">
      <c r="B67872" s="0" t="s">
        <v>642</v>
      </c>
    </row>
    <row r="67873" customFormat="false" ht="12.8" hidden="false" customHeight="false" outlineLevel="0" collapsed="false">
      <c r="B67873" s="0" t="s">
        <v>648</v>
      </c>
    </row>
    <row r="67875" customFormat="false" ht="12.8" hidden="false" customHeight="false" outlineLevel="0" collapsed="false">
      <c r="A67875" s="0" t="s">
        <v>22300</v>
      </c>
      <c r="B67875" s="0" t="str">
        <f aca="false">HYPERLINK("https://lindat.mff.cuni.cz/services/teitok/pdtc10/index.php?action=vallex&amp;frame=v-w9309f8_ZU", "zavřít (v-w9309f8_ZU)")</f>
        <v>zavřít (v-w9309f8_ZU)</v>
      </c>
    </row>
    <row r="67876" customFormat="false" ht="12.8" hidden="false" customHeight="false" outlineLevel="0" collapsed="false">
      <c r="B67876" s="0" t="s">
        <v>1</v>
      </c>
    </row>
    <row r="67877" customFormat="false" ht="12.8" hidden="false" customHeight="false" outlineLevel="0" collapsed="false">
      <c r="B67877" s="0" t="s">
        <v>16389</v>
      </c>
    </row>
    <row r="67879" customFormat="false" ht="12.8" hidden="false" customHeight="false" outlineLevel="0" collapsed="false">
      <c r="A67879" s="0" t="s">
        <v>22300</v>
      </c>
      <c r="B67879" s="0" t="str">
        <f aca="false">HYPERLINK("https://lindat.mff.cuni.cz/services/teitok/pdtc10/index.php?action=vallex&amp;frame=v-w9309hsa_244", "zavřít (v-w9309hsa_244) - substituted with v-w9309f8_ZU")</f>
        <v>zavřít (v-w9309hsa_244) - substituted with v-w9309f8_ZU</v>
      </c>
    </row>
    <row r="67880" customFormat="false" ht="12.8" hidden="false" customHeight="false" outlineLevel="0" collapsed="false">
      <c r="B67880" s="0" t="s">
        <v>1</v>
      </c>
    </row>
    <row r="67881" customFormat="false" ht="12.8" hidden="false" customHeight="false" outlineLevel="0" collapsed="false">
      <c r="B67881" s="0" t="s">
        <v>16389</v>
      </c>
    </row>
    <row r="67883" customFormat="false" ht="12.8" hidden="false" customHeight="false" outlineLevel="0" collapsed="false">
      <c r="A67883" s="0" t="s">
        <v>22301</v>
      </c>
      <c r="B67883" s="0" t="str">
        <f aca="false">HYPERLINK("https://lindat.mff.cuni.cz/services/teitok/pdtc10/index.php?action=vallex&amp;frame=v-w9310f1", "zavřít se (v-w9310f1)")</f>
        <v>zavřít se (v-w9310f1)</v>
      </c>
      <c r="E67883" s="0" t="str">
        <f aca="false">HYPERLINK("https://lindat.mff.cuni.cz/services/SynSemClass40/SynSemClass40.html?veclass=vec01378#vec01378-ces-cm00003", "vec01378")</f>
        <v>vec01378</v>
      </c>
      <c r="F67883" s="0" t="s">
        <v>22302</v>
      </c>
    </row>
    <row r="67884" customFormat="false" ht="12.8" hidden="false" customHeight="false" outlineLevel="0" collapsed="false">
      <c r="B67884" s="0" t="s">
        <v>1</v>
      </c>
      <c r="C67884" s="0" t="s">
        <v>22303</v>
      </c>
      <c r="E67884" s="0" t="s">
        <v>957</v>
      </c>
      <c r="F67884" s="0" t="s">
        <v>22304</v>
      </c>
    </row>
    <row r="67886" customFormat="false" ht="12.8" hidden="false" customHeight="false" outlineLevel="0" collapsed="false">
      <c r="A67886" s="0" t="s">
        <v>22305</v>
      </c>
      <c r="B67886" s="0" t="str">
        <f aca="false">HYPERLINK("https://lindat.mff.cuni.cz/services/teitok/pdtc10/index.php?action=vallex&amp;frame=v-w12336_MMf1_MM", "zazelenit se (v-w12336_MMf1_MM)")</f>
        <v>zazelenit se (v-w12336_MMf1_MM)</v>
      </c>
    </row>
    <row r="67887" customFormat="false" ht="12.8" hidden="false" customHeight="false" outlineLevel="0" collapsed="false">
      <c r="B67887" s="0" t="s">
        <v>1</v>
      </c>
    </row>
    <row r="67889" customFormat="false" ht="12.8" hidden="false" customHeight="false" outlineLevel="0" collapsed="false">
      <c r="A67889" s="0" t="s">
        <v>22306</v>
      </c>
      <c r="B67889" s="0" t="str">
        <f aca="false">HYPERLINK("https://lindat.mff.cuni.cz/services/teitok/pdtc10/index.php?action=vallex&amp;frame=v-whsa_1227hsa_1228", "zazimovat (v-whsa_1227hsa_1228)")</f>
        <v>zazimovat (v-whsa_1227hsa_1228)</v>
      </c>
    </row>
    <row r="67890" customFormat="false" ht="12.8" hidden="false" customHeight="false" outlineLevel="0" collapsed="false">
      <c r="B67890" s="0" t="s">
        <v>1</v>
      </c>
    </row>
    <row r="67891" customFormat="false" ht="12.8" hidden="false" customHeight="false" outlineLevel="0" collapsed="false">
      <c r="B67891" s="0" t="s">
        <v>8</v>
      </c>
    </row>
    <row r="67893" customFormat="false" ht="12.8" hidden="false" customHeight="false" outlineLevel="0" collapsed="false">
      <c r="A67893" s="0" t="s">
        <v>22307</v>
      </c>
      <c r="B67893" s="0" t="str">
        <f aca="false">HYPERLINK("https://lindat.mff.cuni.cz/services/teitok/pdtc10/index.php?action=vallex&amp;frame=v-w11783_ZUf1_ZU", "zazimovávat (v-w11783_ZUf1_ZU)")</f>
        <v>zazimovávat (v-w11783_ZUf1_ZU)</v>
      </c>
    </row>
    <row r="67894" customFormat="false" ht="12.8" hidden="false" customHeight="false" outlineLevel="0" collapsed="false">
      <c r="B67894" s="0" t="s">
        <v>1</v>
      </c>
    </row>
    <row r="67895" customFormat="false" ht="12.8" hidden="false" customHeight="false" outlineLevel="0" collapsed="false">
      <c r="B67895" s="0" t="s">
        <v>8</v>
      </c>
    </row>
    <row r="67897" customFormat="false" ht="12.8" hidden="false" customHeight="false" outlineLevel="0" collapsed="false">
      <c r="A67897" s="0" t="s">
        <v>22308</v>
      </c>
      <c r="B67897" s="0" t="str">
        <f aca="false">HYPERLINK("https://lindat.mff.cuni.cz/services/teitok/pdtc10/index.php?action=vallex&amp;frame=v-w9314f1", "zazlívat (v-w9314f1)")</f>
        <v>zazlívat (v-w9314f1)</v>
      </c>
      <c r="E67897" s="0" t="str">
        <f aca="false">HYPERLINK("https://lindat.mff.cuni.cz/services/SynSemClass40/SynSemClass40.html?veclass=vec00620#vec00620-ces-cm00013", "vec00620")</f>
        <v>vec00620</v>
      </c>
      <c r="F67897" s="0" t="s">
        <v>4262</v>
      </c>
    </row>
    <row r="67898" customFormat="false" ht="12.8" hidden="false" customHeight="false" outlineLevel="0" collapsed="false">
      <c r="B67898" s="0" t="s">
        <v>1</v>
      </c>
      <c r="C67898" s="0" t="s">
        <v>154</v>
      </c>
      <c r="E67898" s="0" t="s">
        <v>31</v>
      </c>
      <c r="F67898" s="0" t="s">
        <v>4265</v>
      </c>
    </row>
    <row r="67899" customFormat="false" ht="12.8" hidden="false" customHeight="false" outlineLevel="0" collapsed="false">
      <c r="B67899" s="0" t="s">
        <v>59</v>
      </c>
      <c r="C67899" s="0" t="s">
        <v>16420</v>
      </c>
      <c r="E67899" s="0" t="s">
        <v>532</v>
      </c>
      <c r="F67899" s="0" t="s">
        <v>16421</v>
      </c>
    </row>
    <row r="67900" customFormat="false" ht="12.8" hidden="false" customHeight="false" outlineLevel="0" collapsed="false">
      <c r="B67900" s="0" t="s">
        <v>52</v>
      </c>
      <c r="C67900" s="0" t="s">
        <v>20288</v>
      </c>
      <c r="E67900" s="0" t="s">
        <v>2287</v>
      </c>
      <c r="F67900" s="0" t="s">
        <v>16415</v>
      </c>
    </row>
    <row r="67902" customFormat="false" ht="12.8" hidden="false" customHeight="false" outlineLevel="0" collapsed="false">
      <c r="A67902" s="0" t="s">
        <v>22309</v>
      </c>
      <c r="B67902" s="0" t="str">
        <f aca="false">HYPERLINK("https://lindat.mff.cuni.cz/services/teitok/pdtc10/index.php?action=vallex&amp;frame=v-w11641_ZUf1_ZU", "zazmatkovat (v-w11641_ZUf1_ZU)")</f>
        <v>zazmatkovat (v-w11641_ZUf1_ZU)</v>
      </c>
    </row>
    <row r="67903" customFormat="false" ht="12.8" hidden="false" customHeight="false" outlineLevel="0" collapsed="false">
      <c r="B67903" s="0" t="s">
        <v>1</v>
      </c>
    </row>
    <row r="67905" customFormat="false" ht="12.8" hidden="false" customHeight="false" outlineLevel="0" collapsed="false">
      <c r="A67905" s="0" t="s">
        <v>22310</v>
      </c>
      <c r="B67905" s="0" t="str">
        <f aca="false">HYPERLINK("https://lindat.mff.cuni.cz/services/teitok/pdtc10/index.php?action=vallex&amp;frame=v-w9317f1", "zaznamenat (v-w9317f1)")</f>
        <v>zaznamenat (v-w9317f1)</v>
      </c>
      <c r="E67905" s="0" t="str">
        <f aca="false">HYPERLINK("https://lindat.mff.cuni.cz/services/SynSemClass40/SynSemClass40.html?veclass=vec00082#vec00082-ces-cm00062", "vec00082")</f>
        <v>vec00082</v>
      </c>
      <c r="F67905" s="0" t="s">
        <v>8475</v>
      </c>
      <c r="H67905" s="0" t="str">
        <f aca="false">HYPERLINK("https://lindat.mff.cuni.cz/services/SynSemClass40/SynSemClass40.html?veclass=vec01545#vec01545-ces-cm00032", "vec01545")</f>
        <v>vec01545</v>
      </c>
      <c r="I67905" s="0" t="s">
        <v>11902</v>
      </c>
    </row>
    <row r="67906" customFormat="false" ht="12.8" hidden="false" customHeight="false" outlineLevel="0" collapsed="false">
      <c r="B67906" s="0" t="s">
        <v>1</v>
      </c>
      <c r="C67906" s="0" t="s">
        <v>21121</v>
      </c>
      <c r="E67906" s="0" t="s">
        <v>637</v>
      </c>
      <c r="F67906" s="0" t="s">
        <v>8477</v>
      </c>
      <c r="H67906" s="0" t="s">
        <v>621</v>
      </c>
      <c r="I67906" s="0" t="s">
        <v>11905</v>
      </c>
    </row>
    <row r="67907" customFormat="false" ht="12.8" hidden="false" customHeight="false" outlineLevel="0" collapsed="false">
      <c r="B67907" s="0" t="s">
        <v>15997</v>
      </c>
      <c r="C67907" s="0" t="s">
        <v>21122</v>
      </c>
      <c r="E67907" s="0" t="s">
        <v>640</v>
      </c>
      <c r="F67907" s="0" t="s">
        <v>11646</v>
      </c>
      <c r="H67907" s="0" t="s">
        <v>271</v>
      </c>
      <c r="I67907" s="0" t="s">
        <v>11909</v>
      </c>
    </row>
    <row r="67909" customFormat="false" ht="12.8" hidden="false" customHeight="false" outlineLevel="0" collapsed="false">
      <c r="A67909" s="0" t="s">
        <v>22311</v>
      </c>
      <c r="B67909" s="0" t="str">
        <f aca="false">HYPERLINK("https://lindat.mff.cuni.cz/services/teitok/pdtc10/index.php?action=vallex&amp;frame=v-w9317f5", "zaznamenat (v-w9317f5)")</f>
        <v>zaznamenat (v-w9317f5)</v>
      </c>
      <c r="E67909" s="0" t="str">
        <f aca="false">HYPERLINK("https://lindat.mff.cuni.cz/services/SynSemClass40/SynSemClass40.html?veclass=vec00507#vec00507-ces-cm00030", "vec00507")</f>
        <v>vec00507</v>
      </c>
      <c r="F67909" s="0" t="s">
        <v>14791</v>
      </c>
    </row>
    <row r="67910" customFormat="false" ht="12.8" hidden="false" customHeight="false" outlineLevel="0" collapsed="false">
      <c r="B67910" s="0" t="s">
        <v>1</v>
      </c>
      <c r="C67910" s="0" t="s">
        <v>11762</v>
      </c>
      <c r="E67910" s="0" t="s">
        <v>31</v>
      </c>
      <c r="F67910" s="0" t="s">
        <v>14792</v>
      </c>
    </row>
    <row r="67911" customFormat="false" ht="12.8" hidden="false" customHeight="false" outlineLevel="0" collapsed="false">
      <c r="B67911" s="0" t="s">
        <v>15997</v>
      </c>
      <c r="C67911" s="0" t="s">
        <v>14793</v>
      </c>
      <c r="E67911" s="0" t="s">
        <v>180</v>
      </c>
      <c r="F67911" s="0" t="s">
        <v>14794</v>
      </c>
    </row>
    <row r="67913" customFormat="false" ht="12.8" hidden="false" customHeight="false" outlineLevel="0" collapsed="false">
      <c r="A67913" s="0" t="s">
        <v>22312</v>
      </c>
      <c r="B67913" s="0" t="str">
        <f aca="false">HYPERLINK("https://lindat.mff.cuni.cz/services/teitok/pdtc10/index.php?action=vallex&amp;frame=v-w9317f3", "zaznamenat (v-w9317f3)")</f>
        <v>zaznamenat (v-w9317f3)</v>
      </c>
      <c r="E67913" s="0" t="str">
        <f aca="false">HYPERLINK("https://lindat.mff.cuni.cz/services/SynSemClass40/SynSemClass40.html?veclass=vec01169#vec01169-ces-cm00023", "vec01169")</f>
        <v>vec01169</v>
      </c>
      <c r="F67913" s="0" t="s">
        <v>1955</v>
      </c>
    </row>
    <row r="67914" customFormat="false" ht="12.8" hidden="false" customHeight="false" outlineLevel="0" collapsed="false">
      <c r="B67914" s="0" t="s">
        <v>1</v>
      </c>
      <c r="C67914" s="0" t="s">
        <v>2418</v>
      </c>
      <c r="E67914" s="0" t="s">
        <v>1958</v>
      </c>
      <c r="F67914" s="0" t="s">
        <v>1959</v>
      </c>
    </row>
    <row r="67915" customFormat="false" ht="12.8" hidden="false" customHeight="false" outlineLevel="0" collapsed="false">
      <c r="B67915" s="0" t="s">
        <v>8</v>
      </c>
      <c r="C67915" s="0" t="s">
        <v>2420</v>
      </c>
      <c r="E67915" s="0" t="s">
        <v>180</v>
      </c>
      <c r="F67915" s="0" t="s">
        <v>1962</v>
      </c>
    </row>
    <row r="67917" customFormat="false" ht="12.8" hidden="false" customHeight="false" outlineLevel="0" collapsed="false">
      <c r="A67917" s="0" t="s">
        <v>22313</v>
      </c>
      <c r="B67917" s="0" t="str">
        <f aca="false">HYPERLINK("https://lindat.mff.cuni.cz/services/teitok/pdtc10/index.php?action=vallex&amp;frame=v-w9317f4", "zaznamenat (v-w9317f4)")</f>
        <v>zaznamenat (v-w9317f4)</v>
      </c>
    </row>
    <row r="67918" customFormat="false" ht="12.8" hidden="false" customHeight="false" outlineLevel="0" collapsed="false">
      <c r="B67918" s="0" t="s">
        <v>1</v>
      </c>
    </row>
    <row r="67919" customFormat="false" ht="12.8" hidden="false" customHeight="false" outlineLevel="0" collapsed="false">
      <c r="B67919" s="0" t="s">
        <v>13326</v>
      </c>
    </row>
    <row r="67920" customFormat="false" ht="12.8" hidden="false" customHeight="false" outlineLevel="0" collapsed="false">
      <c r="B67920" s="0" t="s">
        <v>496</v>
      </c>
    </row>
    <row r="67922" customFormat="false" ht="12.8" hidden="false" customHeight="false" outlineLevel="0" collapsed="false">
      <c r="A67922" s="0" t="s">
        <v>22314</v>
      </c>
      <c r="B67922" s="0" t="str">
        <f aca="false">HYPERLINK("https://lindat.mff.cuni.cz/services/teitok/pdtc10/index.php?action=vallex&amp;frame=v-w9317f20_ZU", "zaznamenat (v-w9317f20_ZU)")</f>
        <v>zaznamenat (v-w9317f20_ZU)</v>
      </c>
      <c r="E67922" s="0" t="str">
        <f aca="false">HYPERLINK("https://lindat.mff.cuni.cz/services/SynSemClass40/SynSemClass40.html?veclass=vec00028#vec00028-ces-cm00141", "vec00028")</f>
        <v>vec00028</v>
      </c>
      <c r="F67922" s="0" t="s">
        <v>5301</v>
      </c>
      <c r="H67922" s="0" t="str">
        <f aca="false">HYPERLINK("https://lindat.mff.cuni.cz/services/SynSemClass40/SynSemClass40.html?veclass=vec00109#vec00109-ces-cm00056", "vec00109")</f>
        <v>vec00109</v>
      </c>
      <c r="I67922" s="0" t="s">
        <v>5143</v>
      </c>
      <c r="K67922" s="0" t="str">
        <f aca="false">HYPERLINK("https://lindat.mff.cuni.cz/services/SynSemClass40/SynSemClass40.html?veclass=vec00406#vec00406-ces-cm00008", "vec00406")</f>
        <v>vec00406</v>
      </c>
      <c r="L67922" s="0" t="s">
        <v>2058</v>
      </c>
      <c r="N67922" s="0" t="str">
        <f aca="false">HYPERLINK("https://lindat.mff.cuni.cz/services/SynSemClass40/SynSemClass40.html?veclass=vec00510#vec00510-ces-cm00035", "vec00510")</f>
        <v>vec00510</v>
      </c>
      <c r="O67922" s="0" t="s">
        <v>4074</v>
      </c>
    </row>
    <row r="67923" customFormat="false" ht="12.8" hidden="false" customHeight="false" outlineLevel="0" collapsed="false">
      <c r="B67923" s="0" t="s">
        <v>1</v>
      </c>
      <c r="C67923" s="0" t="s">
        <v>22315</v>
      </c>
      <c r="E67923" s="0" t="s">
        <v>235</v>
      </c>
      <c r="F67923" s="0" t="s">
        <v>5304</v>
      </c>
      <c r="H67923" s="0" t="s">
        <v>235</v>
      </c>
      <c r="I67923" s="0" t="s">
        <v>5146</v>
      </c>
      <c r="K67923" s="0" t="s">
        <v>1567</v>
      </c>
      <c r="L67923" s="0" t="s">
        <v>2059</v>
      </c>
      <c r="N67923" s="0" t="s">
        <v>84</v>
      </c>
      <c r="O67923" s="0" t="s">
        <v>4077</v>
      </c>
    </row>
    <row r="67924" customFormat="false" ht="12.8" hidden="false" customHeight="false" outlineLevel="0" collapsed="false">
      <c r="B67924" s="0" t="s">
        <v>22316</v>
      </c>
      <c r="C67924" s="0" t="s">
        <v>22317</v>
      </c>
      <c r="E67924" s="0" t="s">
        <v>22318</v>
      </c>
      <c r="F67924" s="0" t="s">
        <v>22319</v>
      </c>
      <c r="H67924" s="0" t="s">
        <v>22318</v>
      </c>
      <c r="I67924" s="0" t="s">
        <v>22320</v>
      </c>
      <c r="K67924" s="0" t="s">
        <v>22321</v>
      </c>
      <c r="L67924" s="0" t="s">
        <v>22322</v>
      </c>
    </row>
    <row r="67926" customFormat="false" ht="12.8" hidden="false" customHeight="false" outlineLevel="0" collapsed="false">
      <c r="A67926" s="0" t="s">
        <v>22314</v>
      </c>
      <c r="B67926" s="0" t="str">
        <f aca="false">HYPERLINK("https://lindat.mff.cuni.cz/services/teitok/pdtc10/index.php?action=vallex&amp;frame=v-w9317f10_ZU", "zaznamenat (v-w9317f10_ZU) - substituted with v-w9317f20_ZU")</f>
        <v>zaznamenat (v-w9317f10_ZU) - substituted with v-w9317f20_ZU</v>
      </c>
    </row>
    <row r="67927" customFormat="false" ht="12.8" hidden="false" customHeight="false" outlineLevel="0" collapsed="false">
      <c r="B67927" s="0" t="s">
        <v>1</v>
      </c>
    </row>
    <row r="67928" customFormat="false" ht="12.8" hidden="false" customHeight="false" outlineLevel="0" collapsed="false">
      <c r="B67928" s="0" t="s">
        <v>22316</v>
      </c>
    </row>
    <row r="67930" customFormat="false" ht="12.8" hidden="false" customHeight="false" outlineLevel="0" collapsed="false">
      <c r="A67930" s="0" t="s">
        <v>22314</v>
      </c>
      <c r="B67930" s="0" t="str">
        <f aca="false">HYPERLINK("https://lindat.mff.cuni.cz/services/teitok/pdtc10/index.php?action=vallex&amp;frame=v-w9317f11_ZU", "zaznamenat (v-w9317f11_ZU) - substituted with v-w9317f20_ZU")</f>
        <v>zaznamenat (v-w9317f11_ZU) - substituted with v-w9317f20_ZU</v>
      </c>
    </row>
    <row r="67931" customFormat="false" ht="12.8" hidden="false" customHeight="false" outlineLevel="0" collapsed="false">
      <c r="B67931" s="0" t="s">
        <v>1</v>
      </c>
    </row>
    <row r="67932" customFormat="false" ht="12.8" hidden="false" customHeight="false" outlineLevel="0" collapsed="false">
      <c r="B67932" s="0" t="s">
        <v>22316</v>
      </c>
    </row>
    <row r="67934" customFormat="false" ht="12.8" hidden="false" customHeight="false" outlineLevel="0" collapsed="false">
      <c r="A67934" s="0" t="s">
        <v>22314</v>
      </c>
      <c r="B67934" s="0" t="str">
        <f aca="false">HYPERLINK("https://lindat.mff.cuni.cz/services/teitok/pdtc10/index.php?action=vallex&amp;frame=v-w9317f12_ZU", "zaznamenat (v-w9317f12_ZU) - substituted with v-w9317f20_ZU")</f>
        <v>zaznamenat (v-w9317f12_ZU) - substituted with v-w9317f20_ZU</v>
      </c>
    </row>
    <row r="67935" customFormat="false" ht="12.8" hidden="false" customHeight="false" outlineLevel="0" collapsed="false">
      <c r="B67935" s="0" t="s">
        <v>1</v>
      </c>
    </row>
    <row r="67936" customFormat="false" ht="12.8" hidden="false" customHeight="false" outlineLevel="0" collapsed="false">
      <c r="B67936" s="0" t="s">
        <v>22316</v>
      </c>
    </row>
    <row r="67938" customFormat="false" ht="12.8" hidden="false" customHeight="false" outlineLevel="0" collapsed="false">
      <c r="A67938" s="0" t="s">
        <v>22314</v>
      </c>
      <c r="B67938" s="0" t="str">
        <f aca="false">HYPERLINK("https://lindat.mff.cuni.cz/services/teitok/pdtc10/index.php?action=vallex&amp;frame=v-w9317f13_ZU", "zaznamenat (v-w9317f13_ZU) - substituted with v-w9317f20_ZU")</f>
        <v>zaznamenat (v-w9317f13_ZU) - substituted with v-w9317f20_ZU</v>
      </c>
    </row>
    <row r="67939" customFormat="false" ht="12.8" hidden="false" customHeight="false" outlineLevel="0" collapsed="false">
      <c r="B67939" s="0" t="s">
        <v>1</v>
      </c>
    </row>
    <row r="67940" customFormat="false" ht="12.8" hidden="false" customHeight="false" outlineLevel="0" collapsed="false">
      <c r="B67940" s="0" t="s">
        <v>22316</v>
      </c>
    </row>
    <row r="67942" customFormat="false" ht="12.8" hidden="false" customHeight="false" outlineLevel="0" collapsed="false">
      <c r="A67942" s="0" t="s">
        <v>22314</v>
      </c>
      <c r="B67942" s="0" t="str">
        <f aca="false">HYPERLINK("https://lindat.mff.cuni.cz/services/teitok/pdtc10/index.php?action=vallex&amp;frame=v-w9317f14_ZU", "zaznamenat (v-w9317f14_ZU) - substituted with v-w9317f20_ZU")</f>
        <v>zaznamenat (v-w9317f14_ZU) - substituted with v-w9317f20_ZU</v>
      </c>
    </row>
    <row r="67943" customFormat="false" ht="12.8" hidden="false" customHeight="false" outlineLevel="0" collapsed="false">
      <c r="B67943" s="0" t="s">
        <v>1</v>
      </c>
    </row>
    <row r="67944" customFormat="false" ht="12.8" hidden="false" customHeight="false" outlineLevel="0" collapsed="false">
      <c r="B67944" s="0" t="s">
        <v>22316</v>
      </c>
    </row>
    <row r="67946" customFormat="false" ht="12.8" hidden="false" customHeight="false" outlineLevel="0" collapsed="false">
      <c r="A67946" s="0" t="s">
        <v>22314</v>
      </c>
      <c r="B67946" s="0" t="str">
        <f aca="false">HYPERLINK("https://lindat.mff.cuni.cz/services/teitok/pdtc10/index.php?action=vallex&amp;frame=v-w9317f15_ZU", "zaznamenat (v-w9317f15_ZU) - substituted with v-w9317f20_ZU")</f>
        <v>zaznamenat (v-w9317f15_ZU) - substituted with v-w9317f20_ZU</v>
      </c>
    </row>
    <row r="67947" customFormat="false" ht="12.8" hidden="false" customHeight="false" outlineLevel="0" collapsed="false">
      <c r="B67947" s="0" t="s">
        <v>1</v>
      </c>
    </row>
    <row r="67948" customFormat="false" ht="12.8" hidden="false" customHeight="false" outlineLevel="0" collapsed="false">
      <c r="B67948" s="0" t="s">
        <v>22316</v>
      </c>
    </row>
    <row r="67950" customFormat="false" ht="12.8" hidden="false" customHeight="false" outlineLevel="0" collapsed="false">
      <c r="A67950" s="0" t="s">
        <v>22314</v>
      </c>
      <c r="B67950" s="0" t="str">
        <f aca="false">HYPERLINK("https://lindat.mff.cuni.cz/services/teitok/pdtc10/index.php?action=vallex&amp;frame=v-w9317f16_ZU", "zaznamenat (v-w9317f16_ZU) - substituted with v-w9317f20_ZU")</f>
        <v>zaznamenat (v-w9317f16_ZU) - substituted with v-w9317f20_ZU</v>
      </c>
    </row>
    <row r="67951" customFormat="false" ht="12.8" hidden="false" customHeight="false" outlineLevel="0" collapsed="false">
      <c r="B67951" s="0" t="s">
        <v>1</v>
      </c>
    </row>
    <row r="67952" customFormat="false" ht="12.8" hidden="false" customHeight="false" outlineLevel="0" collapsed="false">
      <c r="B67952" s="0" t="s">
        <v>22316</v>
      </c>
    </row>
    <row r="67954" customFormat="false" ht="12.8" hidden="false" customHeight="false" outlineLevel="0" collapsed="false">
      <c r="A67954" s="0" t="s">
        <v>22314</v>
      </c>
      <c r="B67954" s="0" t="str">
        <f aca="false">HYPERLINK("https://lindat.mff.cuni.cz/services/teitok/pdtc10/index.php?action=vallex&amp;frame=v-w9317f17_ZU", "zaznamenat (v-w9317f17_ZU) - substituted with v-w9317f20_ZU")</f>
        <v>zaznamenat (v-w9317f17_ZU) - substituted with v-w9317f20_ZU</v>
      </c>
    </row>
    <row r="67955" customFormat="false" ht="12.8" hidden="false" customHeight="false" outlineLevel="0" collapsed="false">
      <c r="B67955" s="0" t="s">
        <v>1</v>
      </c>
    </row>
    <row r="67956" customFormat="false" ht="12.8" hidden="false" customHeight="false" outlineLevel="0" collapsed="false">
      <c r="B67956" s="0" t="s">
        <v>22316</v>
      </c>
    </row>
    <row r="67958" customFormat="false" ht="12.8" hidden="false" customHeight="false" outlineLevel="0" collapsed="false">
      <c r="A67958" s="0" t="s">
        <v>22314</v>
      </c>
      <c r="B67958" s="0" t="str">
        <f aca="false">HYPERLINK("https://lindat.mff.cuni.cz/services/teitok/pdtc10/index.php?action=vallex&amp;frame=v-w9317f18_ZU", "zaznamenat (v-w9317f18_ZU) - substituted with v-w9317f20_ZU")</f>
        <v>zaznamenat (v-w9317f18_ZU) - substituted with v-w9317f20_ZU</v>
      </c>
    </row>
    <row r="67959" customFormat="false" ht="12.8" hidden="false" customHeight="false" outlineLevel="0" collapsed="false">
      <c r="B67959" s="0" t="s">
        <v>1</v>
      </c>
    </row>
    <row r="67960" customFormat="false" ht="12.8" hidden="false" customHeight="false" outlineLevel="0" collapsed="false">
      <c r="B67960" s="0" t="s">
        <v>22316</v>
      </c>
    </row>
    <row r="67962" customFormat="false" ht="12.8" hidden="false" customHeight="false" outlineLevel="0" collapsed="false">
      <c r="A67962" s="0" t="s">
        <v>22314</v>
      </c>
      <c r="B67962" s="0" t="str">
        <f aca="false">HYPERLINK("https://lindat.mff.cuni.cz/services/teitok/pdtc10/index.php?action=vallex&amp;frame=v-w9317f19_ZU", "zaznamenat (v-w9317f19_ZU) - substituted with v-w9317f20_ZU")</f>
        <v>zaznamenat (v-w9317f19_ZU) - substituted with v-w9317f20_ZU</v>
      </c>
    </row>
    <row r="67963" customFormat="false" ht="12.8" hidden="false" customHeight="false" outlineLevel="0" collapsed="false">
      <c r="B67963" s="0" t="s">
        <v>1</v>
      </c>
    </row>
    <row r="67964" customFormat="false" ht="12.8" hidden="false" customHeight="false" outlineLevel="0" collapsed="false">
      <c r="B67964" s="0" t="s">
        <v>22316</v>
      </c>
    </row>
    <row r="67966" customFormat="false" ht="12.8" hidden="false" customHeight="false" outlineLevel="0" collapsed="false">
      <c r="A67966" s="0" t="s">
        <v>22323</v>
      </c>
      <c r="B67966" s="0" t="str">
        <f aca="false">HYPERLINK("https://lindat.mff.cuni.cz/services/teitok/pdtc10/index.php?action=vallex&amp;frame=v-w9317f9_ZU", "zaznamenat (v-w9317f9_ZU)")</f>
        <v>zaznamenat (v-w9317f9_ZU)</v>
      </c>
    </row>
    <row r="67967" customFormat="false" ht="12.8" hidden="false" customHeight="false" outlineLevel="0" collapsed="false">
      <c r="B67967" s="0" t="s">
        <v>1</v>
      </c>
    </row>
    <row r="67968" customFormat="false" ht="12.8" hidden="false" customHeight="false" outlineLevel="0" collapsed="false">
      <c r="B67968" s="0" t="s">
        <v>22324</v>
      </c>
    </row>
    <row r="67970" customFormat="false" ht="12.8" hidden="false" customHeight="false" outlineLevel="0" collapsed="false">
      <c r="A67970" s="0" t="s">
        <v>22323</v>
      </c>
      <c r="B67970" s="0" t="str">
        <f aca="false">HYPERLINK("https://lindat.mff.cuni.cz/services/teitok/pdtc10/index.php?action=vallex&amp;frame=v-w9317f2", "zaznamenat (v-w9317f2) - substituted with v-w9317f9_ZU")</f>
        <v>zaznamenat (v-w9317f2) - substituted with v-w9317f9_ZU</v>
      </c>
    </row>
    <row r="67971" customFormat="false" ht="12.8" hidden="false" customHeight="false" outlineLevel="0" collapsed="false">
      <c r="B67971" s="0" t="s">
        <v>1</v>
      </c>
    </row>
    <row r="67972" customFormat="false" ht="12.8" hidden="false" customHeight="false" outlineLevel="0" collapsed="false">
      <c r="B67972" s="0" t="s">
        <v>22324</v>
      </c>
    </row>
    <row r="67974" customFormat="false" ht="12.8" hidden="false" customHeight="false" outlineLevel="0" collapsed="false">
      <c r="A67974" s="0" t="s">
        <v>22323</v>
      </c>
      <c r="B67974" s="0" t="str">
        <f aca="false">HYPERLINK("https://lindat.mff.cuni.cz/services/teitok/pdtc10/index.php?action=vallex&amp;frame=v-w9317f6_ZU", "zaznamenat (v-w9317f6_ZU) - substituted with v-w9317f9_ZU")</f>
        <v>zaznamenat (v-w9317f6_ZU) - substituted with v-w9317f9_ZU</v>
      </c>
    </row>
    <row r="67975" customFormat="false" ht="12.8" hidden="false" customHeight="false" outlineLevel="0" collapsed="false">
      <c r="B67975" s="0" t="s">
        <v>1</v>
      </c>
    </row>
    <row r="67976" customFormat="false" ht="12.8" hidden="false" customHeight="false" outlineLevel="0" collapsed="false">
      <c r="B67976" s="0" t="s">
        <v>22324</v>
      </c>
    </row>
    <row r="67978" customFormat="false" ht="12.8" hidden="false" customHeight="false" outlineLevel="0" collapsed="false">
      <c r="A67978" s="0" t="s">
        <v>22323</v>
      </c>
      <c r="B67978" s="0" t="str">
        <f aca="false">HYPERLINK("https://lindat.mff.cuni.cz/services/teitok/pdtc10/index.php?action=vallex&amp;frame=v-w9317f7_ZU", "zaznamenat (v-w9317f7_ZU) - substituted with v-w9317f9_ZU")</f>
        <v>zaznamenat (v-w9317f7_ZU) - substituted with v-w9317f9_ZU</v>
      </c>
    </row>
    <row r="67979" customFormat="false" ht="12.8" hidden="false" customHeight="false" outlineLevel="0" collapsed="false">
      <c r="B67979" s="0" t="s">
        <v>1</v>
      </c>
    </row>
    <row r="67980" customFormat="false" ht="12.8" hidden="false" customHeight="false" outlineLevel="0" collapsed="false">
      <c r="B67980" s="0" t="s">
        <v>22324</v>
      </c>
    </row>
    <row r="67982" customFormat="false" ht="12.8" hidden="false" customHeight="false" outlineLevel="0" collapsed="false">
      <c r="A67982" s="0" t="s">
        <v>22323</v>
      </c>
      <c r="B67982" s="0" t="str">
        <f aca="false">HYPERLINK("https://lindat.mff.cuni.cz/services/teitok/pdtc10/index.php?action=vallex&amp;frame=v-w9317f8_ZU", "zaznamenat (v-w9317f8_ZU) - substituted with v-w9317f9_ZU")</f>
        <v>zaznamenat (v-w9317f8_ZU) - substituted with v-w9317f9_ZU</v>
      </c>
    </row>
    <row r="67983" customFormat="false" ht="12.8" hidden="false" customHeight="false" outlineLevel="0" collapsed="false">
      <c r="B67983" s="0" t="s">
        <v>1</v>
      </c>
    </row>
    <row r="67984" customFormat="false" ht="12.8" hidden="false" customHeight="false" outlineLevel="0" collapsed="false">
      <c r="B67984" s="0" t="s">
        <v>22324</v>
      </c>
    </row>
    <row r="67986" customFormat="false" ht="12.8" hidden="false" customHeight="false" outlineLevel="0" collapsed="false">
      <c r="A67986" s="0" t="s">
        <v>22325</v>
      </c>
      <c r="B67986" s="0" t="str">
        <f aca="false">HYPERLINK("https://lindat.mff.cuni.cz/services/teitok/pdtc10/index.php?action=vallex&amp;frame=v-w9319f3", "zaznamenávat (v-w9319f3)")</f>
        <v>zaznamenávat (v-w9319f3)</v>
      </c>
      <c r="E67986" s="0" t="str">
        <f aca="false">HYPERLINK("https://lindat.mff.cuni.cz/services/SynSemClass40/SynSemClass40.html?veclass=vec00507#vec00507-ces-cm00041", "vec00507")</f>
        <v>vec00507</v>
      </c>
      <c r="F67986" s="0" t="s">
        <v>14791</v>
      </c>
    </row>
    <row r="67987" customFormat="false" ht="12.8" hidden="false" customHeight="false" outlineLevel="0" collapsed="false">
      <c r="B67987" s="0" t="s">
        <v>1</v>
      </c>
      <c r="C67987" s="0" t="s">
        <v>11762</v>
      </c>
      <c r="E67987" s="0" t="s">
        <v>31</v>
      </c>
      <c r="F67987" s="0" t="s">
        <v>14792</v>
      </c>
    </row>
    <row r="67988" customFormat="false" ht="12.8" hidden="false" customHeight="false" outlineLevel="0" collapsed="false">
      <c r="B67988" s="0" t="s">
        <v>15997</v>
      </c>
      <c r="C67988" s="0" t="s">
        <v>14793</v>
      </c>
      <c r="E67988" s="0" t="s">
        <v>180</v>
      </c>
      <c r="F67988" s="0" t="s">
        <v>14794</v>
      </c>
    </row>
    <row r="67990" customFormat="false" ht="12.8" hidden="false" customHeight="false" outlineLevel="0" collapsed="false">
      <c r="A67990" s="0" t="s">
        <v>22326</v>
      </c>
      <c r="B67990" s="0" t="str">
        <f aca="false">HYPERLINK("https://lindat.mff.cuni.cz/services/teitok/pdtc10/index.php?action=vallex&amp;frame=v-w9319f1", "zaznamenávat (v-w9319f1)")</f>
        <v>zaznamenávat (v-w9319f1)</v>
      </c>
      <c r="E67990" s="0" t="str">
        <f aca="false">HYPERLINK("https://lindat.mff.cuni.cz/services/SynSemClass40/SynSemClass40.html?veclass=vec00082#vec00082-ces-cm00065", "vec00082")</f>
        <v>vec00082</v>
      </c>
      <c r="F67990" s="0" t="s">
        <v>8475</v>
      </c>
      <c r="H67990" s="0" t="str">
        <f aca="false">HYPERLINK("https://lindat.mff.cuni.cz/services/SynSemClass40/SynSemClass40.html?veclass=vec01545#vec01545-ces-cm00037", "vec01545")</f>
        <v>vec01545</v>
      </c>
      <c r="I67990" s="0" t="s">
        <v>11902</v>
      </c>
    </row>
    <row r="67991" customFormat="false" ht="12.8" hidden="false" customHeight="false" outlineLevel="0" collapsed="false">
      <c r="B67991" s="0" t="s">
        <v>1</v>
      </c>
      <c r="C67991" s="0" t="s">
        <v>21121</v>
      </c>
      <c r="E67991" s="0" t="s">
        <v>637</v>
      </c>
      <c r="F67991" s="0" t="s">
        <v>8477</v>
      </c>
      <c r="H67991" s="0" t="s">
        <v>621</v>
      </c>
      <c r="I67991" s="0" t="s">
        <v>11905</v>
      </c>
    </row>
    <row r="67992" customFormat="false" ht="12.8" hidden="false" customHeight="false" outlineLevel="0" collapsed="false">
      <c r="B67992" s="0" t="s">
        <v>22327</v>
      </c>
      <c r="C67992" s="0" t="s">
        <v>21122</v>
      </c>
      <c r="E67992" s="0" t="s">
        <v>640</v>
      </c>
      <c r="F67992" s="0" t="s">
        <v>11646</v>
      </c>
      <c r="H67992" s="0" t="s">
        <v>271</v>
      </c>
      <c r="I67992" s="0" t="s">
        <v>11909</v>
      </c>
    </row>
    <row r="67994" customFormat="false" ht="12.8" hidden="false" customHeight="false" outlineLevel="0" collapsed="false">
      <c r="A67994" s="0" t="s">
        <v>22328</v>
      </c>
      <c r="B67994" s="0" t="str">
        <f aca="false">HYPERLINK("https://lindat.mff.cuni.cz/services/teitok/pdtc10/index.php?action=vallex&amp;frame=v-w9319f4", "zaznamenávat (v-w9319f4)")</f>
        <v>zaznamenávat (v-w9319f4)</v>
      </c>
    </row>
    <row r="67995" customFormat="false" ht="12.8" hidden="false" customHeight="false" outlineLevel="0" collapsed="false">
      <c r="B67995" s="0" t="s">
        <v>1</v>
      </c>
    </row>
    <row r="67996" customFormat="false" ht="12.8" hidden="false" customHeight="false" outlineLevel="0" collapsed="false">
      <c r="B67996" s="0" t="s">
        <v>13326</v>
      </c>
    </row>
    <row r="67997" customFormat="false" ht="12.8" hidden="false" customHeight="false" outlineLevel="0" collapsed="false">
      <c r="B67997" s="0" t="s">
        <v>496</v>
      </c>
    </row>
    <row r="67999" customFormat="false" ht="12.8" hidden="false" customHeight="false" outlineLevel="0" collapsed="false">
      <c r="A67999" s="0" t="s">
        <v>22329</v>
      </c>
      <c r="B67999" s="0" t="str">
        <f aca="false">HYPERLINK("https://lindat.mff.cuni.cz/services/teitok/pdtc10/index.php?action=vallex&amp;frame=v-w9319f8_ZU", "zaznamenávat (v-w9319f8_ZU)")</f>
        <v>zaznamenávat (v-w9319f8_ZU)</v>
      </c>
      <c r="E67999" s="0" t="str">
        <f aca="false">HYPERLINK("https://lindat.mff.cuni.cz/services/SynSemClass40/SynSemClass40.html?veclass=vec00028#vec00028-ces-cm00142", "vec00028")</f>
        <v>vec00028</v>
      </c>
      <c r="F67999" s="0" t="s">
        <v>5301</v>
      </c>
      <c r="H67999" s="0" t="str">
        <f aca="false">HYPERLINK("https://lindat.mff.cuni.cz/services/SynSemClass40/SynSemClass40.html?veclass=vec00109#vec00109-ces-cm00172", "vec00109")</f>
        <v>vec00109</v>
      </c>
      <c r="I67999" s="0" t="s">
        <v>5143</v>
      </c>
      <c r="K67999" s="0" t="str">
        <f aca="false">HYPERLINK("https://lindat.mff.cuni.cz/services/SynSemClass40/SynSemClass40.html?veclass=vec00406#vec00406-ces-cm00009", "vec00406")</f>
        <v>vec00406</v>
      </c>
      <c r="L67999" s="0" t="s">
        <v>2058</v>
      </c>
      <c r="N67999" s="0" t="str">
        <f aca="false">HYPERLINK("https://lindat.mff.cuni.cz/services/SynSemClass40/SynSemClass40.html?veclass=vec00510#vec00510-ces-cm00061", "vec00510")</f>
        <v>vec00510</v>
      </c>
      <c r="O67999" s="0" t="s">
        <v>4074</v>
      </c>
    </row>
    <row r="68000" customFormat="false" ht="12.8" hidden="false" customHeight="false" outlineLevel="0" collapsed="false">
      <c r="B68000" s="0" t="s">
        <v>1</v>
      </c>
      <c r="C68000" s="0" t="s">
        <v>22315</v>
      </c>
      <c r="E68000" s="0" t="s">
        <v>235</v>
      </c>
      <c r="F68000" s="0" t="s">
        <v>5304</v>
      </c>
      <c r="H68000" s="0" t="s">
        <v>235</v>
      </c>
      <c r="I68000" s="0" t="s">
        <v>5146</v>
      </c>
      <c r="K68000" s="0" t="s">
        <v>1567</v>
      </c>
      <c r="L68000" s="0" t="s">
        <v>2059</v>
      </c>
      <c r="N68000" s="0" t="s">
        <v>84</v>
      </c>
      <c r="O68000" s="0" t="s">
        <v>4077</v>
      </c>
    </row>
    <row r="68001" customFormat="false" ht="12.8" hidden="false" customHeight="false" outlineLevel="0" collapsed="false">
      <c r="B68001" s="0" t="s">
        <v>22330</v>
      </c>
      <c r="C68001" s="0" t="s">
        <v>22317</v>
      </c>
      <c r="E68001" s="0" t="s">
        <v>22318</v>
      </c>
      <c r="F68001" s="0" t="s">
        <v>22319</v>
      </c>
      <c r="H68001" s="0" t="s">
        <v>22318</v>
      </c>
      <c r="I68001" s="0" t="s">
        <v>22320</v>
      </c>
      <c r="K68001" s="0" t="s">
        <v>22321</v>
      </c>
      <c r="L68001" s="0" t="s">
        <v>22322</v>
      </c>
    </row>
    <row r="68003" customFormat="false" ht="12.8" hidden="false" customHeight="false" outlineLevel="0" collapsed="false">
      <c r="A68003" s="0" t="s">
        <v>22329</v>
      </c>
      <c r="B68003" s="0" t="str">
        <f aca="false">HYPERLINK("https://lindat.mff.cuni.cz/services/teitok/pdtc10/index.php?action=vallex&amp;frame=v-w9319f2", "zaznamenávat (v-w9319f2) - substituted with v-w9319f8_ZU")</f>
        <v>zaznamenávat (v-w9319f2) - substituted with v-w9319f8_ZU</v>
      </c>
    </row>
    <row r="68004" customFormat="false" ht="12.8" hidden="false" customHeight="false" outlineLevel="0" collapsed="false">
      <c r="B68004" s="0" t="s">
        <v>1</v>
      </c>
    </row>
    <row r="68005" customFormat="false" ht="12.8" hidden="false" customHeight="false" outlineLevel="0" collapsed="false">
      <c r="B68005" s="0" t="s">
        <v>22330</v>
      </c>
    </row>
    <row r="68007" customFormat="false" ht="12.8" hidden="false" customHeight="false" outlineLevel="0" collapsed="false">
      <c r="A68007" s="0" t="s">
        <v>22331</v>
      </c>
      <c r="B68007" s="0" t="str">
        <f aca="false">HYPERLINK("https://lindat.mff.cuni.cz/services/teitok/pdtc10/index.php?action=vallex&amp;frame=v-w9319f7_ZU", "zaznamenávat (v-w9319f7_ZU)")</f>
        <v>zaznamenávat (v-w9319f7_ZU)</v>
      </c>
    </row>
    <row r="68008" customFormat="false" ht="12.8" hidden="false" customHeight="false" outlineLevel="0" collapsed="false">
      <c r="B68008" s="0" t="s">
        <v>1</v>
      </c>
    </row>
    <row r="68009" customFormat="false" ht="12.8" hidden="false" customHeight="false" outlineLevel="0" collapsed="false">
      <c r="B68009" s="0" t="s">
        <v>22332</v>
      </c>
    </row>
    <row r="68011" customFormat="false" ht="12.8" hidden="false" customHeight="false" outlineLevel="0" collapsed="false">
      <c r="A68011" s="0" t="s">
        <v>22331</v>
      </c>
      <c r="B68011" s="0" t="str">
        <f aca="false">HYPERLINK("https://lindat.mff.cuni.cz/services/teitok/pdtc10/index.php?action=vallex&amp;frame=v-w9319f5_ZU", "zaznamenávat (v-w9319f5_ZU) - substituted with v-w9319f7_ZU")</f>
        <v>zaznamenávat (v-w9319f5_ZU) - substituted with v-w9319f7_ZU</v>
      </c>
    </row>
    <row r="68012" customFormat="false" ht="12.8" hidden="false" customHeight="false" outlineLevel="0" collapsed="false">
      <c r="B68012" s="0" t="s">
        <v>1</v>
      </c>
    </row>
    <row r="68013" customFormat="false" ht="12.8" hidden="false" customHeight="false" outlineLevel="0" collapsed="false">
      <c r="B68013" s="0" t="s">
        <v>22332</v>
      </c>
    </row>
    <row r="68015" customFormat="false" ht="12.8" hidden="false" customHeight="false" outlineLevel="0" collapsed="false">
      <c r="A68015" s="0" t="s">
        <v>22331</v>
      </c>
      <c r="B68015" s="0" t="str">
        <f aca="false">HYPERLINK("https://lindat.mff.cuni.cz/services/teitok/pdtc10/index.php?action=vallex&amp;frame=v-w9319f6_ZU", "zaznamenávat (v-w9319f6_ZU) - substituted with v-w9319f7_ZU")</f>
        <v>zaznamenávat (v-w9319f6_ZU) - substituted with v-w9319f7_ZU</v>
      </c>
    </row>
    <row r="68016" customFormat="false" ht="12.8" hidden="false" customHeight="false" outlineLevel="0" collapsed="false">
      <c r="B68016" s="0" t="s">
        <v>1</v>
      </c>
    </row>
    <row r="68017" customFormat="false" ht="12.8" hidden="false" customHeight="false" outlineLevel="0" collapsed="false">
      <c r="B68017" s="0" t="s">
        <v>22332</v>
      </c>
    </row>
    <row r="68019" customFormat="false" ht="12.8" hidden="false" customHeight="false" outlineLevel="0" collapsed="false">
      <c r="A68019" s="0" t="s">
        <v>22331</v>
      </c>
      <c r="B68019" s="0" t="str">
        <f aca="false">HYPERLINK("https://lindat.mff.cuni.cz/services/teitok/pdtc10/index.php?action=vallex&amp;frame=v-w9319hsa_1146", "zaznamenávat (v-w9319hsa_1146) - substituted with v-w9319f7_ZU")</f>
        <v>zaznamenávat (v-w9319hsa_1146) - substituted with v-w9319f7_ZU</v>
      </c>
    </row>
    <row r="68020" customFormat="false" ht="12.8" hidden="false" customHeight="false" outlineLevel="0" collapsed="false">
      <c r="B68020" s="0" t="s">
        <v>1</v>
      </c>
    </row>
    <row r="68021" customFormat="false" ht="12.8" hidden="false" customHeight="false" outlineLevel="0" collapsed="false">
      <c r="B68021" s="0" t="s">
        <v>22332</v>
      </c>
    </row>
    <row r="68023" customFormat="false" ht="12.8" hidden="false" customHeight="false" outlineLevel="0" collapsed="false">
      <c r="A68023" s="0" t="s">
        <v>22333</v>
      </c>
      <c r="B68023" s="0" t="str">
        <f aca="false">HYPERLINK("https://lindat.mff.cuni.cz/services/teitok/pdtc10/index.php?action=vallex&amp;frame=v-w9320f1", "zaznít (v-w9320f1)")</f>
        <v>zaznít (v-w9320f1)</v>
      </c>
    </row>
    <row r="68024" customFormat="false" ht="12.8" hidden="false" customHeight="false" outlineLevel="0" collapsed="false">
      <c r="B68024" s="0" t="s">
        <v>843</v>
      </c>
    </row>
    <row r="68026" customFormat="false" ht="12.8" hidden="false" customHeight="false" outlineLevel="0" collapsed="false">
      <c r="A68026" s="0" t="s">
        <v>22334</v>
      </c>
      <c r="B68026" s="0" t="str">
        <f aca="false">HYPERLINK("https://lindat.mff.cuni.cz/services/teitok/pdtc10/index.php?action=vallex&amp;frame=v-w9320f2_ZU", "zaznít (v-w9320f2_ZU)")</f>
        <v>zaznít (v-w9320f2_ZU)</v>
      </c>
      <c r="E68026" s="0" t="str">
        <f aca="false">HYPERLINK("https://lindat.mff.cuni.cz/services/SynSemClass40/SynSemClass40.html?veclass=vec00592#vec00592-ces-cm00007", "vec00592")</f>
        <v>vec00592</v>
      </c>
      <c r="F68026" s="0" t="s">
        <v>4749</v>
      </c>
      <c r="H68026" s="0" t="str">
        <f aca="false">HYPERLINK("https://lindat.mff.cuni.cz/services/SynSemClass40/SynSemClass40.html?veclass=vec01254#vec01254-ces-cm00005", "vec01254")</f>
        <v>vec01254</v>
      </c>
      <c r="I68026" s="0" t="s">
        <v>10262</v>
      </c>
    </row>
    <row r="68027" customFormat="false" ht="12.8" hidden="false" customHeight="false" outlineLevel="0" collapsed="false">
      <c r="B68027" s="0" t="s">
        <v>1</v>
      </c>
      <c r="C68027" s="0" t="s">
        <v>2033</v>
      </c>
      <c r="E68027" s="0" t="s">
        <v>472</v>
      </c>
      <c r="F68027" s="0" t="s">
        <v>4751</v>
      </c>
      <c r="H68027" s="0" t="s">
        <v>957</v>
      </c>
      <c r="I68027" s="0" t="s">
        <v>10263</v>
      </c>
    </row>
    <row r="68029" customFormat="false" ht="12.8" hidden="false" customHeight="false" outlineLevel="0" collapsed="false">
      <c r="A68029" s="0" t="s">
        <v>22335</v>
      </c>
      <c r="B68029" s="0" t="str">
        <f aca="false">HYPERLINK("https://lindat.mff.cuni.cz/services/teitok/pdtc10/index.php?action=vallex&amp;frame=v-whsa_931hsa_932", "zaznít (v-whsa_931hsa_932)")</f>
        <v>zaznít (v-whsa_931hsa_932)</v>
      </c>
    </row>
    <row r="68030" customFormat="false" ht="12.8" hidden="false" customHeight="false" outlineLevel="0" collapsed="false">
      <c r="B68030" s="0" t="s">
        <v>1</v>
      </c>
    </row>
    <row r="68032" customFormat="false" ht="12.8" hidden="false" customHeight="false" outlineLevel="0" collapsed="false">
      <c r="A68032" s="0" t="s">
        <v>22336</v>
      </c>
      <c r="B68032" s="0" t="str">
        <f aca="false">HYPERLINK("https://lindat.mff.cuni.cz/services/teitok/pdtc10/index.php?action=vallex&amp;frame=v-w9321f1", "zaznívat (v-w9321f1)")</f>
        <v>zaznívat (v-w9321f1)</v>
      </c>
    </row>
    <row r="68033" customFormat="false" ht="12.8" hidden="false" customHeight="false" outlineLevel="0" collapsed="false">
      <c r="B68033" s="0" t="s">
        <v>843</v>
      </c>
    </row>
    <row r="68034" customFormat="false" ht="12.8" hidden="false" customHeight="false" outlineLevel="0" collapsed="false">
      <c r="B68034" s="0" t="s">
        <v>22337</v>
      </c>
    </row>
    <row r="68036" customFormat="false" ht="12.8" hidden="false" customHeight="false" outlineLevel="0" collapsed="false">
      <c r="A68036" s="0" t="s">
        <v>22338</v>
      </c>
      <c r="B68036" s="0" t="str">
        <f aca="false">HYPERLINK("https://lindat.mff.cuni.cz/services/teitok/pdtc10/index.php?action=vallex&amp;frame=v-w9322f1", "zazpívat (v-w9322f1)")</f>
        <v>zazpívat (v-w9322f1)</v>
      </c>
      <c r="E68036" s="0" t="str">
        <f aca="false">HYPERLINK("https://lindat.mff.cuni.cz/services/SynSemClass40/SynSemClass40.html?veclass=vec00794#vec00794-ces-cm00003", "vec00794")</f>
        <v>vec00794</v>
      </c>
      <c r="F68036" s="0" t="s">
        <v>506</v>
      </c>
    </row>
    <row r="68037" customFormat="false" ht="12.8" hidden="false" customHeight="false" outlineLevel="0" collapsed="false">
      <c r="B68037" s="0" t="s">
        <v>1</v>
      </c>
      <c r="C68037" s="0" t="s">
        <v>428</v>
      </c>
      <c r="E68037" s="0" t="s">
        <v>147</v>
      </c>
      <c r="F68037" s="0" t="s">
        <v>507</v>
      </c>
    </row>
    <row r="68038" customFormat="false" ht="12.8" hidden="false" customHeight="false" outlineLevel="0" collapsed="false">
      <c r="B68038" s="0" t="s">
        <v>8</v>
      </c>
      <c r="C68038" s="0" t="s">
        <v>158</v>
      </c>
      <c r="E68038" s="0" t="s">
        <v>218</v>
      </c>
      <c r="F68038" s="0" t="s">
        <v>509</v>
      </c>
    </row>
    <row r="68039" customFormat="false" ht="12.8" hidden="false" customHeight="false" outlineLevel="0" collapsed="false">
      <c r="B68039" s="0" t="s">
        <v>132</v>
      </c>
      <c r="E68039" s="0" t="s">
        <v>221</v>
      </c>
      <c r="F68039" s="0" t="s">
        <v>4699</v>
      </c>
    </row>
    <row r="68041" customFormat="false" ht="12.8" hidden="false" customHeight="false" outlineLevel="0" collapsed="false">
      <c r="A68041" s="0" t="s">
        <v>22339</v>
      </c>
      <c r="B68041" s="0" t="str">
        <f aca="false">HYPERLINK("https://lindat.mff.cuni.cz/services/teitok/pdtc10/index.php?action=vallex&amp;frame=v-w9322f3", "zazpívat (v-w9322f3)")</f>
        <v>zazpívat (v-w9322f3)</v>
      </c>
    </row>
    <row r="68042" customFormat="false" ht="12.8" hidden="false" customHeight="false" outlineLevel="0" collapsed="false">
      <c r="B68042" s="0" t="s">
        <v>1</v>
      </c>
    </row>
    <row r="68043" customFormat="false" ht="12.8" hidden="false" customHeight="false" outlineLevel="0" collapsed="false">
      <c r="B68043" s="0" t="s">
        <v>318</v>
      </c>
    </row>
    <row r="68044" customFormat="false" ht="12.8" hidden="false" customHeight="false" outlineLevel="0" collapsed="false">
      <c r="B68044" s="0" t="s">
        <v>132</v>
      </c>
    </row>
    <row r="68046" customFormat="false" ht="12.8" hidden="false" customHeight="false" outlineLevel="0" collapsed="false">
      <c r="A68046" s="0" t="s">
        <v>22340</v>
      </c>
      <c r="B68046" s="0" t="str">
        <f aca="false">HYPERLINK("https://lindat.mff.cuni.cz/services/teitok/pdtc10/index.php?action=vallex&amp;frame=v-w9322f2", "zazpívat (v-w9322f2)")</f>
        <v>zazpívat (v-w9322f2)</v>
      </c>
    </row>
    <row r="68047" customFormat="false" ht="12.8" hidden="false" customHeight="false" outlineLevel="0" collapsed="false">
      <c r="B68047" s="0" t="s">
        <v>1</v>
      </c>
    </row>
    <row r="68048" customFormat="false" ht="12.8" hidden="false" customHeight="false" outlineLevel="0" collapsed="false">
      <c r="B68048" s="0" t="s">
        <v>12917</v>
      </c>
    </row>
    <row r="68049" customFormat="false" ht="12.8" hidden="false" customHeight="false" outlineLevel="0" collapsed="false">
      <c r="B68049" s="0" t="s">
        <v>496</v>
      </c>
    </row>
    <row r="68050" customFormat="false" ht="12.8" hidden="false" customHeight="false" outlineLevel="0" collapsed="false">
      <c r="B68050" s="0" t="s">
        <v>132</v>
      </c>
    </row>
    <row r="68052" customFormat="false" ht="12.8" hidden="false" customHeight="false" outlineLevel="0" collapsed="false">
      <c r="A68052" s="0" t="s">
        <v>22341</v>
      </c>
      <c r="B68052" s="0" t="str">
        <f aca="false">HYPERLINK("https://lindat.mff.cuni.cz/services/teitok/pdtc10/index.php?action=vallex&amp;frame=v-whsa_862hsa_863", "zazpívat si (v-whsa_862hsa_863)")</f>
        <v>zazpívat si (v-whsa_862hsa_863)</v>
      </c>
    </row>
    <row r="68053" customFormat="false" ht="12.8" hidden="false" customHeight="false" outlineLevel="0" collapsed="false">
      <c r="B68053" s="0" t="s">
        <v>1</v>
      </c>
    </row>
    <row r="68055" customFormat="false" ht="12.8" hidden="false" customHeight="false" outlineLevel="0" collapsed="false">
      <c r="A68055" s="0" t="s">
        <v>22342</v>
      </c>
      <c r="B68055" s="0" t="str">
        <f aca="false">HYPERLINK("https://lindat.mff.cuni.cz/services/teitok/pdtc10/index.php?action=vallex&amp;frame=v-whsa_668f1_ZU", "zazvonit (v-whsa_668f1_ZU)")</f>
        <v>zazvonit (v-whsa_668f1_ZU)</v>
      </c>
    </row>
    <row r="68056" customFormat="false" ht="12.8" hidden="false" customHeight="false" outlineLevel="0" collapsed="false">
      <c r="B68056" s="0" t="s">
        <v>1</v>
      </c>
    </row>
    <row r="68058" customFormat="false" ht="12.8" hidden="false" customHeight="false" outlineLevel="0" collapsed="false">
      <c r="A68058" s="0" t="s">
        <v>22342</v>
      </c>
      <c r="B68058" s="0" t="str">
        <f aca="false">HYPERLINK("https://lindat.mff.cuni.cz/services/teitok/pdtc10/index.php?action=vallex&amp;frame=v-whsa_668hsa_669", "zazvonit (v-whsa_668hsa_669) - substituted with v-whsa_668f1_ZU")</f>
        <v>zazvonit (v-whsa_668hsa_669) - substituted with v-whsa_668f1_ZU</v>
      </c>
      <c r="E68058" s="0" t="str">
        <f aca="false">HYPERLINK("https://lindat.mff.cuni.cz/services/SynSemClass40/SynSemClass40.html?veclass=vec01196#vec01196-ces-cm00002", "vec01196")</f>
        <v>vec01196</v>
      </c>
      <c r="F68058" s="0" t="s">
        <v>1663</v>
      </c>
    </row>
    <row r="68059" customFormat="false" ht="12.8" hidden="false" customHeight="false" outlineLevel="0" collapsed="false">
      <c r="B68059" s="0" t="s">
        <v>1</v>
      </c>
      <c r="C68059" s="0" t="s">
        <v>1664</v>
      </c>
      <c r="E68059" s="0" t="s">
        <v>1665</v>
      </c>
      <c r="F68059" s="0" t="s">
        <v>1666</v>
      </c>
    </row>
    <row r="68061" customFormat="false" ht="12.8" hidden="false" customHeight="false" outlineLevel="0" collapsed="false">
      <c r="A68061" s="0" t="s">
        <v>22343</v>
      </c>
      <c r="B68061" s="0" t="str">
        <f aca="false">HYPERLINK("https://lindat.mff.cuni.cz/services/teitok/pdtc10/index.php?action=vallex&amp;frame=v-w9313f2", "zazářit (v-w9313f2)")</f>
        <v>zazářit (v-w9313f2)</v>
      </c>
    </row>
    <row r="68062" customFormat="false" ht="12.8" hidden="false" customHeight="false" outlineLevel="0" collapsed="false">
      <c r="B68062" s="0" t="s">
        <v>804</v>
      </c>
    </row>
    <row r="68063" customFormat="false" ht="12.8" hidden="false" customHeight="false" outlineLevel="0" collapsed="false">
      <c r="B68063" s="0" t="s">
        <v>5</v>
      </c>
    </row>
    <row r="68065" customFormat="false" ht="12.8" hidden="false" customHeight="false" outlineLevel="0" collapsed="false">
      <c r="A68065" s="0" t="s">
        <v>22344</v>
      </c>
      <c r="B68065" s="0" t="str">
        <f aca="false">HYPERLINK("https://lindat.mff.cuni.cz/services/teitok/pdtc10/index.php?action=vallex&amp;frame=v-w9313f1", "zazářit (v-w9313f1)")</f>
        <v>zazářit (v-w9313f1)</v>
      </c>
    </row>
    <row r="68066" customFormat="false" ht="12.8" hidden="false" customHeight="false" outlineLevel="0" collapsed="false">
      <c r="B68066" s="0" t="s">
        <v>1</v>
      </c>
    </row>
    <row r="68068" customFormat="false" ht="12.8" hidden="false" customHeight="false" outlineLevel="0" collapsed="false">
      <c r="A68068" s="0" t="s">
        <v>22345</v>
      </c>
      <c r="B68068" s="0" t="str">
        <f aca="false">HYPERLINK("https://lindat.mff.cuni.cz/services/teitok/pdtc10/index.php?action=vallex&amp;frame=v-w10652f2", "zaúpět (v-w10652f2)")</f>
        <v>zaúpět (v-w10652f2)</v>
      </c>
      <c r="E68068" s="0" t="str">
        <f aca="false">HYPERLINK("https://lindat.mff.cuni.cz/services/SynSemClass40/SynSemClass40.html?veclass=vec00426#vec00426-ces-cm00016", "vec00426")</f>
        <v>vec00426</v>
      </c>
      <c r="F68068" s="0" t="s">
        <v>4756</v>
      </c>
    </row>
    <row r="68069" customFormat="false" ht="12.8" hidden="false" customHeight="false" outlineLevel="0" collapsed="false">
      <c r="B68069" s="0" t="s">
        <v>1</v>
      </c>
      <c r="C68069" s="0" t="s">
        <v>4725</v>
      </c>
      <c r="E68069" s="0" t="s">
        <v>147</v>
      </c>
      <c r="F68069" s="0" t="s">
        <v>4757</v>
      </c>
    </row>
    <row r="68070" customFormat="false" ht="12.8" hidden="false" customHeight="false" outlineLevel="0" collapsed="false">
      <c r="B68070" s="0" t="s">
        <v>22346</v>
      </c>
      <c r="C68070" s="0" t="s">
        <v>4627</v>
      </c>
      <c r="E68070" s="0" t="s">
        <v>218</v>
      </c>
      <c r="F68070" s="0" t="s">
        <v>4978</v>
      </c>
    </row>
    <row r="68072" customFormat="false" ht="12.8" hidden="false" customHeight="false" outlineLevel="0" collapsed="false">
      <c r="A68072" s="0" t="s">
        <v>22347</v>
      </c>
      <c r="B68072" s="0" t="str">
        <f aca="false">HYPERLINK("https://lindat.mff.cuni.cz/services/teitok/pdtc10/index.php?action=vallex&amp;frame=v-w9248f1", "zaútočit (v-w9248f1)")</f>
        <v>zaútočit (v-w9248f1)</v>
      </c>
      <c r="E68072" s="0" t="str">
        <f aca="false">HYPERLINK("https://lindat.mff.cuni.cz/services/SynSemClass40/SynSemClass40.html?veclass=vec00441#vec00441-ces-cm00008", "vec00441")</f>
        <v>vec00441</v>
      </c>
      <c r="F68072" s="0" t="s">
        <v>194</v>
      </c>
    </row>
    <row r="68073" customFormat="false" ht="12.8" hidden="false" customHeight="false" outlineLevel="0" collapsed="false">
      <c r="B68073" s="0" t="s">
        <v>1</v>
      </c>
      <c r="C68073" s="0" t="s">
        <v>195</v>
      </c>
      <c r="E68073" s="0" t="s">
        <v>196</v>
      </c>
      <c r="F68073" s="0" t="s">
        <v>197</v>
      </c>
    </row>
    <row r="68074" customFormat="false" ht="12.8" hidden="false" customHeight="false" outlineLevel="0" collapsed="false">
      <c r="B68074" s="0" t="s">
        <v>9931</v>
      </c>
      <c r="C68074" s="0" t="s">
        <v>198</v>
      </c>
      <c r="E68074" s="0" t="s">
        <v>199</v>
      </c>
      <c r="F68074" s="0" t="s">
        <v>200</v>
      </c>
    </row>
    <row r="68076" customFormat="false" ht="12.8" hidden="false" customHeight="false" outlineLevel="0" collapsed="false">
      <c r="A68076" s="0" t="s">
        <v>22348</v>
      </c>
      <c r="B68076" s="0" t="str">
        <f aca="false">HYPERLINK("https://lindat.mff.cuni.cz/services/teitok/pdtc10/index.php?action=vallex&amp;frame=v-w10170f2", "zaúčtovat (v-w10170f2)")</f>
        <v>zaúčtovat (v-w10170f2)</v>
      </c>
      <c r="E68076" s="0" t="str">
        <f aca="false">HYPERLINK("https://lindat.mff.cuni.cz/services/SynSemClass40/SynSemClass40.html?veclass=vec00778#vec00778-ces-cm00001", "vec00778")</f>
        <v>vec00778</v>
      </c>
      <c r="F68076" s="0" t="s">
        <v>18636</v>
      </c>
    </row>
    <row r="68077" customFormat="false" ht="12.8" hidden="false" customHeight="false" outlineLevel="0" collapsed="false">
      <c r="B68077" s="0" t="s">
        <v>1</v>
      </c>
      <c r="C68077" s="0" t="s">
        <v>7922</v>
      </c>
      <c r="E68077" s="0" t="s">
        <v>31</v>
      </c>
      <c r="F68077" s="0" t="s">
        <v>18638</v>
      </c>
    </row>
    <row r="68078" customFormat="false" ht="12.8" hidden="false" customHeight="false" outlineLevel="0" collapsed="false">
      <c r="B68078" s="0" t="s">
        <v>305</v>
      </c>
      <c r="C68078" s="0" t="s">
        <v>5070</v>
      </c>
      <c r="E68078" s="0" t="s">
        <v>610</v>
      </c>
      <c r="F68078" s="0" t="s">
        <v>18640</v>
      </c>
    </row>
    <row r="68080" customFormat="false" ht="12.8" hidden="false" customHeight="false" outlineLevel="0" collapsed="false">
      <c r="A68080" s="0" t="s">
        <v>22349</v>
      </c>
      <c r="B68080" s="0" t="str">
        <f aca="false">HYPERLINK("https://lindat.mff.cuni.cz/services/teitok/pdtc10/index.php?action=vallex&amp;frame=v-w8759f1", "začlenit (v-w8759f1)")</f>
        <v>začlenit (v-w8759f1)</v>
      </c>
      <c r="E68080" s="0" t="str">
        <f aca="false">HYPERLINK("https://lindat.mff.cuni.cz/services/SynSemClass40/SynSemClass40.html?veclass=vec00175#vec00175-ces-cm00072", "vec00175")</f>
        <v>vec00175</v>
      </c>
      <c r="F68080" s="0" t="s">
        <v>4861</v>
      </c>
      <c r="H68080" s="0" t="str">
        <f aca="false">HYPERLINK("https://lindat.mff.cuni.cz/services/SynSemClass40/SynSemClass40.html?veclass=vec01536#vec01536-ces-cm00036", "vec01536")</f>
        <v>vec01536</v>
      </c>
      <c r="I68080" s="0" t="s">
        <v>14025</v>
      </c>
    </row>
    <row r="68081" customFormat="false" ht="12.8" hidden="false" customHeight="false" outlineLevel="0" collapsed="false">
      <c r="B68081" s="0" t="s">
        <v>1</v>
      </c>
      <c r="C68081" s="0" t="s">
        <v>14026</v>
      </c>
      <c r="E68081" s="0" t="s">
        <v>31</v>
      </c>
      <c r="F68081" s="0" t="s">
        <v>13929</v>
      </c>
      <c r="H68081" s="0" t="s">
        <v>31</v>
      </c>
      <c r="I68081" s="0" t="s">
        <v>14027</v>
      </c>
    </row>
    <row r="68082" customFormat="false" ht="12.8" hidden="false" customHeight="false" outlineLevel="0" collapsed="false">
      <c r="B68082" s="0" t="s">
        <v>8</v>
      </c>
      <c r="C68082" s="0" t="s">
        <v>14028</v>
      </c>
      <c r="E68082" s="0" t="s">
        <v>13931</v>
      </c>
      <c r="F68082" s="0" t="s">
        <v>13932</v>
      </c>
      <c r="H68082" s="0" t="s">
        <v>110</v>
      </c>
      <c r="I68082" s="0" t="s">
        <v>14029</v>
      </c>
    </row>
    <row r="68083" customFormat="false" ht="12.8" hidden="false" customHeight="false" outlineLevel="0" collapsed="false">
      <c r="B68083" s="0" t="s">
        <v>164</v>
      </c>
      <c r="C68083" s="0" t="s">
        <v>14030</v>
      </c>
      <c r="E68083" s="0" t="s">
        <v>4866</v>
      </c>
      <c r="F68083" s="0" t="s">
        <v>4867</v>
      </c>
      <c r="H68083" s="0" t="s">
        <v>14031</v>
      </c>
      <c r="I68083" s="0" t="s">
        <v>14032</v>
      </c>
    </row>
    <row r="68085" customFormat="false" ht="12.8" hidden="false" customHeight="false" outlineLevel="0" collapsed="false">
      <c r="A68085" s="0" t="s">
        <v>22350</v>
      </c>
      <c r="B68085" s="0" t="str">
        <f aca="false">HYPERLINK("https://lindat.mff.cuni.cz/services/teitok/pdtc10/index.php?action=vallex&amp;frame=v-whsa_825hsa_826", "začlenit se (v-whsa_825hsa_826)")</f>
        <v>začlenit se (v-whsa_825hsa_826)</v>
      </c>
      <c r="E68085" s="0" t="str">
        <f aca="false">HYPERLINK("https://lindat.mff.cuni.cz/services/SynSemClass40/SynSemClass40.html?veclass=vec00175#vec00175-ces-cm00086", "vec00175")</f>
        <v>vec00175</v>
      </c>
      <c r="F68085" s="0" t="s">
        <v>4861</v>
      </c>
    </row>
    <row r="68086" customFormat="false" ht="12.8" hidden="false" customHeight="false" outlineLevel="0" collapsed="false">
      <c r="B68086" s="0" t="s">
        <v>1</v>
      </c>
      <c r="C68086" s="0" t="s">
        <v>4862</v>
      </c>
      <c r="E68086" s="0" t="s">
        <v>4863</v>
      </c>
      <c r="F68086" s="0" t="s">
        <v>4864</v>
      </c>
    </row>
    <row r="68087" customFormat="false" ht="12.8" hidden="false" customHeight="false" outlineLevel="0" collapsed="false">
      <c r="B68087" s="0" t="s">
        <v>164</v>
      </c>
      <c r="C68087" s="0" t="s">
        <v>4865</v>
      </c>
      <c r="E68087" s="0" t="s">
        <v>4866</v>
      </c>
      <c r="F68087" s="0" t="s">
        <v>4867</v>
      </c>
    </row>
    <row r="68089" customFormat="false" ht="12.8" hidden="false" customHeight="false" outlineLevel="0" collapsed="false">
      <c r="A68089" s="0" t="s">
        <v>22351</v>
      </c>
      <c r="B68089" s="0" t="str">
        <f aca="false">HYPERLINK("https://lindat.mff.cuni.cz/services/teitok/pdtc10/index.php?action=vallex&amp;frame=v-w8761f1", "začleňovat (v-w8761f1)")</f>
        <v>začleňovat (v-w8761f1)</v>
      </c>
      <c r="E68089" s="0" t="str">
        <f aca="false">HYPERLINK("https://lindat.mff.cuni.cz/services/SynSemClass40/SynSemClass40.html?veclass=vec00175#vec00175-ces-cm00077", "vec00175")</f>
        <v>vec00175</v>
      </c>
      <c r="F68089" s="0" t="s">
        <v>4861</v>
      </c>
      <c r="H68089" s="0" t="str">
        <f aca="false">HYPERLINK("https://lindat.mff.cuni.cz/services/SynSemClass40/SynSemClass40.html?veclass=vec01536#vec01536-ces-cm00038", "vec01536")</f>
        <v>vec01536</v>
      </c>
      <c r="I68089" s="0" t="s">
        <v>14025</v>
      </c>
    </row>
    <row r="68090" customFormat="false" ht="12.8" hidden="false" customHeight="false" outlineLevel="0" collapsed="false">
      <c r="B68090" s="0" t="s">
        <v>1</v>
      </c>
      <c r="C68090" s="0" t="s">
        <v>14026</v>
      </c>
      <c r="E68090" s="0" t="s">
        <v>31</v>
      </c>
      <c r="F68090" s="0" t="s">
        <v>13929</v>
      </c>
      <c r="H68090" s="0" t="s">
        <v>31</v>
      </c>
      <c r="I68090" s="0" t="s">
        <v>14027</v>
      </c>
    </row>
    <row r="68091" customFormat="false" ht="12.8" hidden="false" customHeight="false" outlineLevel="0" collapsed="false">
      <c r="B68091" s="0" t="s">
        <v>8</v>
      </c>
      <c r="C68091" s="0" t="s">
        <v>14028</v>
      </c>
      <c r="E68091" s="0" t="s">
        <v>13931</v>
      </c>
      <c r="F68091" s="0" t="s">
        <v>13932</v>
      </c>
      <c r="H68091" s="0" t="s">
        <v>110</v>
      </c>
      <c r="I68091" s="0" t="s">
        <v>14029</v>
      </c>
    </row>
    <row r="68092" customFormat="false" ht="12.8" hidden="false" customHeight="false" outlineLevel="0" collapsed="false">
      <c r="B68092" s="0" t="s">
        <v>164</v>
      </c>
      <c r="C68092" s="0" t="s">
        <v>14030</v>
      </c>
      <c r="E68092" s="0" t="s">
        <v>4866</v>
      </c>
      <c r="F68092" s="0" t="s">
        <v>4867</v>
      </c>
      <c r="H68092" s="0" t="s">
        <v>14031</v>
      </c>
      <c r="I68092" s="0" t="s">
        <v>14032</v>
      </c>
    </row>
    <row r="68094" customFormat="false" ht="12.8" hidden="false" customHeight="false" outlineLevel="0" collapsed="false">
      <c r="A68094" s="0" t="s">
        <v>22352</v>
      </c>
      <c r="B68094" s="0" t="str">
        <f aca="false">HYPERLINK("https://lindat.mff.cuni.cz/services/teitok/pdtc10/index.php?action=vallex&amp;frame=v-w11634_ZUf1_ZU", "začmuchat (v-w11634_ZUf1_ZU)")</f>
        <v>začmuchat (v-w11634_ZUf1_ZU)</v>
      </c>
    </row>
    <row r="68095" customFormat="false" ht="12.8" hidden="false" customHeight="false" outlineLevel="0" collapsed="false">
      <c r="B68095" s="0" t="s">
        <v>1</v>
      </c>
    </row>
    <row r="68097" customFormat="false" ht="12.8" hidden="false" customHeight="false" outlineLevel="0" collapsed="false">
      <c r="A68097" s="0" t="s">
        <v>22353</v>
      </c>
      <c r="B68097" s="0" t="str">
        <f aca="false">HYPERLINK("https://lindat.mff.cuni.cz/services/teitok/pdtc10/index.php?action=vallex&amp;frame=v-whsa_1332hsa_1333", "začoudit se (v-whsa_1332hsa_1333)")</f>
        <v>začoudit se (v-whsa_1332hsa_1333)</v>
      </c>
    </row>
    <row r="68098" customFormat="false" ht="12.8" hidden="false" customHeight="false" outlineLevel="0" collapsed="false">
      <c r="B68098" s="0" t="s">
        <v>1</v>
      </c>
    </row>
    <row r="68100" customFormat="false" ht="12.8" hidden="false" customHeight="false" outlineLevel="0" collapsed="false">
      <c r="A68100" s="0" t="s">
        <v>22354</v>
      </c>
      <c r="B68100" s="0" t="str">
        <f aca="false">HYPERLINK("https://lindat.mff.cuni.cz/services/teitok/pdtc10/index.php?action=vallex&amp;frame=v-w8753f1", "začínat (v-w8753f1)")</f>
        <v>začínat (v-w8753f1)</v>
      </c>
      <c r="E68100" s="0" t="str">
        <f aca="false">HYPERLINK("https://lindat.mff.cuni.cz/services/SynSemClass40/SynSemClass40.html?veclass=vec00038#vec00038-ces-cm00048", "vec00038")</f>
        <v>vec00038</v>
      </c>
      <c r="F68100" s="0" t="s">
        <v>74</v>
      </c>
    </row>
    <row r="68101" customFormat="false" ht="12.8" hidden="false" customHeight="false" outlineLevel="0" collapsed="false">
      <c r="B68101" s="0" t="s">
        <v>1</v>
      </c>
      <c r="C68101" s="0" t="s">
        <v>75</v>
      </c>
      <c r="E68101" s="0" t="s">
        <v>76</v>
      </c>
      <c r="F68101" s="0" t="s">
        <v>77</v>
      </c>
    </row>
    <row r="68102" customFormat="false" ht="12.8" hidden="false" customHeight="false" outlineLevel="0" collapsed="false">
      <c r="B68102" s="0" t="s">
        <v>21827</v>
      </c>
      <c r="C68102" s="0" t="s">
        <v>78</v>
      </c>
      <c r="E68102" s="0" t="s">
        <v>79</v>
      </c>
      <c r="F68102" s="0" t="s">
        <v>80</v>
      </c>
    </row>
    <row r="68104" customFormat="false" ht="12.8" hidden="false" customHeight="false" outlineLevel="0" collapsed="false">
      <c r="A68104" s="0" t="s">
        <v>22355</v>
      </c>
      <c r="B68104" s="0" t="str">
        <f aca="false">HYPERLINK("https://lindat.mff.cuni.cz/services/teitok/pdtc10/index.php?action=vallex&amp;frame=v-w8753f6_ZU", "začínat (v-w8753f6_ZU)")</f>
        <v>začínat (v-w8753f6_ZU)</v>
      </c>
    </row>
    <row r="68105" customFormat="false" ht="12.8" hidden="false" customHeight="false" outlineLevel="0" collapsed="false">
      <c r="B68105" s="0" t="s">
        <v>1</v>
      </c>
    </row>
    <row r="68106" customFormat="false" ht="12.8" hidden="false" customHeight="false" outlineLevel="0" collapsed="false">
      <c r="B68106" s="0" t="s">
        <v>1262</v>
      </c>
    </row>
    <row r="68108" customFormat="false" ht="12.8" hidden="false" customHeight="false" outlineLevel="0" collapsed="false">
      <c r="A68108" s="0" t="s">
        <v>22355</v>
      </c>
      <c r="B68108" s="0" t="str">
        <f aca="false">HYPERLINK("https://lindat.mff.cuni.cz/services/teitok/pdtc10/index.php?action=vallex&amp;frame=v-w8753f4_ZU", "začínat (v-w8753f4_ZU) - substituted with v-w8753f6_ZU")</f>
        <v>začínat (v-w8753f4_ZU) - substituted with v-w8753f6_ZU</v>
      </c>
    </row>
    <row r="68109" customFormat="false" ht="12.8" hidden="false" customHeight="false" outlineLevel="0" collapsed="false">
      <c r="B68109" s="0" t="s">
        <v>1</v>
      </c>
    </row>
    <row r="68110" customFormat="false" ht="12.8" hidden="false" customHeight="false" outlineLevel="0" collapsed="false">
      <c r="B68110" s="0" t="s">
        <v>1262</v>
      </c>
    </row>
    <row r="68112" customFormat="false" ht="12.8" hidden="false" customHeight="false" outlineLevel="0" collapsed="false">
      <c r="A68112" s="0" t="s">
        <v>22356</v>
      </c>
      <c r="B68112" s="0" t="str">
        <f aca="false">HYPERLINK("https://lindat.mff.cuni.cz/services/teitok/pdtc10/index.php?action=vallex&amp;frame=v-w8753f2", "začínat (v-w8753f2)")</f>
        <v>začínat (v-w8753f2)</v>
      </c>
      <c r="E68112" s="0" t="str">
        <f aca="false">HYPERLINK("https://lindat.mff.cuni.cz/services/SynSemClass40/SynSemClass40.html?veclass=vec00097#vec00097-ces-cm00051", "vec00097")</f>
        <v>vec00097</v>
      </c>
      <c r="F68112" s="0" t="s">
        <v>373</v>
      </c>
    </row>
    <row r="68113" customFormat="false" ht="12.8" hidden="false" customHeight="false" outlineLevel="0" collapsed="false">
      <c r="B68113" s="0" t="s">
        <v>345</v>
      </c>
      <c r="C68113" s="0" t="s">
        <v>374</v>
      </c>
      <c r="E68113" s="0" t="s">
        <v>375</v>
      </c>
      <c r="F68113" s="0" t="s">
        <v>376</v>
      </c>
    </row>
    <row r="68115" customFormat="false" ht="12.8" hidden="false" customHeight="false" outlineLevel="0" collapsed="false">
      <c r="A68115" s="0" t="s">
        <v>22357</v>
      </c>
      <c r="B68115" s="0" t="str">
        <f aca="false">HYPERLINK("https://lindat.mff.cuni.cz/services/teitok/pdtc10/index.php?action=vallex&amp;frame=v-w8753f3", "začínat (v-w8753f3)")</f>
        <v>začínat (v-w8753f3)</v>
      </c>
    </row>
    <row r="68116" customFormat="false" ht="12.8" hidden="false" customHeight="false" outlineLevel="0" collapsed="false">
      <c r="B68116" s="0" t="s">
        <v>1</v>
      </c>
    </row>
    <row r="68117" customFormat="false" ht="12.8" hidden="false" customHeight="false" outlineLevel="0" collapsed="false">
      <c r="B68117" s="0" t="s">
        <v>725</v>
      </c>
    </row>
    <row r="68118" customFormat="false" ht="12.8" hidden="false" customHeight="false" outlineLevel="0" collapsed="false">
      <c r="B68118" s="0" t="s">
        <v>642</v>
      </c>
    </row>
    <row r="68119" customFormat="false" ht="12.8" hidden="false" customHeight="false" outlineLevel="0" collapsed="false">
      <c r="B68119" s="0" t="s">
        <v>646</v>
      </c>
    </row>
    <row r="68120" customFormat="false" ht="12.8" hidden="false" customHeight="false" outlineLevel="0" collapsed="false">
      <c r="B68120" s="0" t="s">
        <v>648</v>
      </c>
    </row>
    <row r="68121" customFormat="false" ht="12.8" hidden="false" customHeight="false" outlineLevel="0" collapsed="false">
      <c r="B68121" s="0" t="s">
        <v>650</v>
      </c>
    </row>
    <row r="68123" customFormat="false" ht="12.8" hidden="false" customHeight="false" outlineLevel="0" collapsed="false">
      <c r="A68123" s="0" t="s">
        <v>22358</v>
      </c>
      <c r="B68123" s="0" t="str">
        <f aca="false">HYPERLINK("https://lindat.mff.cuni.cz/services/teitok/pdtc10/index.php?action=vallex&amp;frame=v-w8753f5_ZU", "začínat (v-w8753f5_ZU)")</f>
        <v>začínat (v-w8753f5_ZU)</v>
      </c>
    </row>
    <row r="68124" customFormat="false" ht="12.8" hidden="false" customHeight="false" outlineLevel="0" collapsed="false">
      <c r="B68124" s="0" t="s">
        <v>1</v>
      </c>
    </row>
    <row r="68125" customFormat="false" ht="12.8" hidden="false" customHeight="false" outlineLevel="0" collapsed="false">
      <c r="B68125" s="0" t="s">
        <v>22359</v>
      </c>
    </row>
    <row r="68126" customFormat="false" ht="12.8" hidden="false" customHeight="false" outlineLevel="0" collapsed="false">
      <c r="B68126" s="0" t="s">
        <v>22360</v>
      </c>
    </row>
    <row r="68128" customFormat="false" ht="12.8" hidden="false" customHeight="false" outlineLevel="0" collapsed="false">
      <c r="A68128" s="0" t="s">
        <v>22358</v>
      </c>
      <c r="B68128" s="0" t="str">
        <f aca="false">HYPERLINK("https://lindat.mff.cuni.cz/services/teitok/pdtc10/index.php?action=vallex&amp;frame=v-w8753hsa_1020", "začínat (v-w8753hsa_1020) - substituted with v-w8753f5_ZU")</f>
        <v>začínat (v-w8753hsa_1020) - substituted with v-w8753f5_ZU</v>
      </c>
    </row>
    <row r="68129" customFormat="false" ht="12.8" hidden="false" customHeight="false" outlineLevel="0" collapsed="false">
      <c r="B68129" s="0" t="s">
        <v>1</v>
      </c>
    </row>
    <row r="68130" customFormat="false" ht="12.8" hidden="false" customHeight="false" outlineLevel="0" collapsed="false">
      <c r="B68130" s="0" t="s">
        <v>22359</v>
      </c>
    </row>
    <row r="68131" customFormat="false" ht="12.8" hidden="false" customHeight="false" outlineLevel="0" collapsed="false">
      <c r="B68131" s="0" t="s">
        <v>22360</v>
      </c>
    </row>
    <row r="68133" customFormat="false" ht="12.8" hidden="false" customHeight="false" outlineLevel="0" collapsed="false">
      <c r="A68133" s="0" t="s">
        <v>22361</v>
      </c>
      <c r="B68133" s="0" t="str">
        <f aca="false">HYPERLINK("https://lindat.mff.cuni.cz/services/teitok/pdtc10/index.php?action=vallex&amp;frame=v-w8754f1", "začínat si (v-w8754f1)")</f>
        <v>začínat si (v-w8754f1)</v>
      </c>
    </row>
    <row r="68134" customFormat="false" ht="12.8" hidden="false" customHeight="false" outlineLevel="0" collapsed="false">
      <c r="B68134" s="0" t="s">
        <v>1</v>
      </c>
    </row>
    <row r="68135" customFormat="false" ht="12.8" hidden="false" customHeight="false" outlineLevel="0" collapsed="false">
      <c r="B68135" s="0" t="s">
        <v>8</v>
      </c>
    </row>
    <row r="68136" customFormat="false" ht="12.8" hidden="false" customHeight="false" outlineLevel="0" collapsed="false">
      <c r="B68136" s="0" t="s">
        <v>276</v>
      </c>
    </row>
    <row r="68138" customFormat="false" ht="12.8" hidden="false" customHeight="false" outlineLevel="0" collapsed="false">
      <c r="A68138" s="0" t="s">
        <v>22362</v>
      </c>
      <c r="B68138" s="0" t="str">
        <f aca="false">HYPERLINK("https://lindat.mff.cuni.cz/services/teitok/pdtc10/index.php?action=vallex&amp;frame=v-w8755f1", "začíst se (v-w8755f1)")</f>
        <v>začíst se (v-w8755f1)</v>
      </c>
    </row>
    <row r="68139" customFormat="false" ht="12.8" hidden="false" customHeight="false" outlineLevel="0" collapsed="false">
      <c r="B68139" s="0" t="s">
        <v>1</v>
      </c>
    </row>
    <row r="68140" customFormat="false" ht="12.8" hidden="false" customHeight="false" outlineLevel="0" collapsed="false">
      <c r="B68140" s="0" t="s">
        <v>1187</v>
      </c>
    </row>
    <row r="68142" customFormat="false" ht="12.8" hidden="false" customHeight="false" outlineLevel="0" collapsed="false">
      <c r="A68142" s="0" t="s">
        <v>22363</v>
      </c>
      <c r="B68142" s="0" t="str">
        <f aca="false">HYPERLINK("https://lindat.mff.cuni.cz/services/teitok/pdtc10/index.php?action=vallex&amp;frame=v-w8756f4_ZU", "začít (v-w8756f4_ZU)")</f>
        <v>začít (v-w8756f4_ZU)</v>
      </c>
    </row>
    <row r="68143" customFormat="false" ht="12.8" hidden="false" customHeight="false" outlineLevel="0" collapsed="false">
      <c r="B68143" s="0" t="s">
        <v>16752</v>
      </c>
    </row>
    <row r="68144" customFormat="false" ht="12.8" hidden="false" customHeight="false" outlineLevel="0" collapsed="false">
      <c r="B68144" s="0" t="s">
        <v>21827</v>
      </c>
    </row>
    <row r="68146" customFormat="false" ht="12.8" hidden="false" customHeight="false" outlineLevel="0" collapsed="false">
      <c r="A68146" s="0" t="s">
        <v>22363</v>
      </c>
      <c r="B68146" s="0" t="str">
        <f aca="false">HYPERLINK("https://lindat.mff.cuni.cz/services/teitok/pdtc10/index.php?action=vallex&amp;frame=v-w8756f1", "začít (v-w8756f1) - substituted with v-w8756f4_ZU")</f>
        <v>začít (v-w8756f1) - substituted with v-w8756f4_ZU</v>
      </c>
      <c r="E68146" s="0" t="str">
        <f aca="false">HYPERLINK("https://lindat.mff.cuni.cz/services/SynSemClass40/SynSemClass40.html?veclass=vec00038#vec00038-ces-cm00050", "vec00038")</f>
        <v>vec00038</v>
      </c>
      <c r="F68146" s="0" t="s">
        <v>74</v>
      </c>
    </row>
    <row r="68147" customFormat="false" ht="12.8" hidden="false" customHeight="false" outlineLevel="0" collapsed="false">
      <c r="B68147" s="0" t="s">
        <v>16752</v>
      </c>
      <c r="C68147" s="0" t="s">
        <v>75</v>
      </c>
      <c r="E68147" s="0" t="s">
        <v>76</v>
      </c>
      <c r="F68147" s="0" t="s">
        <v>77</v>
      </c>
    </row>
    <row r="68148" customFormat="false" ht="12.8" hidden="false" customHeight="false" outlineLevel="0" collapsed="false">
      <c r="B68148" s="0" t="s">
        <v>21827</v>
      </c>
      <c r="C68148" s="0" t="s">
        <v>78</v>
      </c>
      <c r="E68148" s="0" t="s">
        <v>79</v>
      </c>
      <c r="F68148" s="0" t="s">
        <v>80</v>
      </c>
    </row>
    <row r="68150" customFormat="false" ht="12.8" hidden="false" customHeight="false" outlineLevel="0" collapsed="false">
      <c r="A68150" s="0" t="s">
        <v>22364</v>
      </c>
      <c r="B68150" s="0" t="str">
        <f aca="false">HYPERLINK("https://lindat.mff.cuni.cz/services/teitok/pdtc10/index.php?action=vallex&amp;frame=v-w8756f2", "začít (v-w8756f2)")</f>
        <v>začít (v-w8756f2)</v>
      </c>
      <c r="E68150" s="0" t="str">
        <f aca="false">HYPERLINK("https://lindat.mff.cuni.cz/services/SynSemClass40/SynSemClass40.html?veclass=vec00097#vec00097-ces-cm00054", "vec00097")</f>
        <v>vec00097</v>
      </c>
      <c r="F68150" s="0" t="s">
        <v>373</v>
      </c>
    </row>
    <row r="68151" customFormat="false" ht="12.8" hidden="false" customHeight="false" outlineLevel="0" collapsed="false">
      <c r="B68151" s="0" t="s">
        <v>345</v>
      </c>
      <c r="C68151" s="0" t="s">
        <v>374</v>
      </c>
      <c r="E68151" s="0" t="s">
        <v>375</v>
      </c>
      <c r="F68151" s="0" t="s">
        <v>376</v>
      </c>
    </row>
    <row r="68153" customFormat="false" ht="12.8" hidden="false" customHeight="false" outlineLevel="0" collapsed="false">
      <c r="A68153" s="0" t="s">
        <v>22365</v>
      </c>
      <c r="B68153" s="0" t="str">
        <f aca="false">HYPERLINK("https://lindat.mff.cuni.cz/services/teitok/pdtc10/index.php?action=vallex&amp;frame=v-w8756f3_ZU", "začít (v-w8756f3_ZU)")</f>
        <v>začít (v-w8756f3_ZU)</v>
      </c>
    </row>
    <row r="68154" customFormat="false" ht="12.8" hidden="false" customHeight="false" outlineLevel="0" collapsed="false">
      <c r="B68154" s="0" t="s">
        <v>1</v>
      </c>
    </row>
    <row r="68155" customFormat="false" ht="12.8" hidden="false" customHeight="false" outlineLevel="0" collapsed="false">
      <c r="B68155" s="0" t="s">
        <v>22366</v>
      </c>
    </row>
    <row r="68156" customFormat="false" ht="12.8" hidden="false" customHeight="false" outlineLevel="0" collapsed="false">
      <c r="B68156" s="0" t="s">
        <v>103</v>
      </c>
    </row>
    <row r="68158" customFormat="false" ht="12.8" hidden="false" customHeight="false" outlineLevel="0" collapsed="false">
      <c r="A68158" s="0" t="s">
        <v>22367</v>
      </c>
      <c r="B68158" s="0" t="str">
        <f aca="false">HYPERLINK("https://lindat.mff.cuni.cz/services/teitok/pdtc10/index.php?action=vallex&amp;frame=v-w8756hsa_337", "začít (v-w8756hsa_337)")</f>
        <v>začít (v-w8756hsa_337)</v>
      </c>
    </row>
    <row r="68159" customFormat="false" ht="12.8" hidden="false" customHeight="false" outlineLevel="0" collapsed="false">
      <c r="B68159" s="0" t="s">
        <v>1</v>
      </c>
    </row>
    <row r="68160" customFormat="false" ht="12.8" hidden="false" customHeight="false" outlineLevel="0" collapsed="false">
      <c r="B68160" s="0" t="s">
        <v>725</v>
      </c>
    </row>
    <row r="68161" customFormat="false" ht="12.8" hidden="false" customHeight="false" outlineLevel="0" collapsed="false">
      <c r="B68161" s="0" t="s">
        <v>642</v>
      </c>
    </row>
    <row r="68162" customFormat="false" ht="12.8" hidden="false" customHeight="false" outlineLevel="0" collapsed="false">
      <c r="B68162" s="0" t="s">
        <v>646</v>
      </c>
    </row>
    <row r="68163" customFormat="false" ht="12.8" hidden="false" customHeight="false" outlineLevel="0" collapsed="false">
      <c r="B68163" s="0" t="s">
        <v>648</v>
      </c>
    </row>
    <row r="68164" customFormat="false" ht="12.8" hidden="false" customHeight="false" outlineLevel="0" collapsed="false">
      <c r="B68164" s="0" t="s">
        <v>650</v>
      </c>
    </row>
    <row r="68166" customFormat="false" ht="12.8" hidden="false" customHeight="false" outlineLevel="0" collapsed="false">
      <c r="A68166" s="0" t="s">
        <v>22368</v>
      </c>
      <c r="B68166" s="0" t="str">
        <f aca="false">HYPERLINK("https://lindat.mff.cuni.cz/services/teitok/pdtc10/index.php?action=vallex&amp;frame=v-w8757f1", "začít si (v-w8757f1)")</f>
        <v>začít si (v-w8757f1)</v>
      </c>
    </row>
    <row r="68167" customFormat="false" ht="12.8" hidden="false" customHeight="false" outlineLevel="0" collapsed="false">
      <c r="B68167" s="0" t="s">
        <v>1</v>
      </c>
    </row>
    <row r="68168" customFormat="false" ht="12.8" hidden="false" customHeight="false" outlineLevel="0" collapsed="false">
      <c r="B68168" s="0" t="s">
        <v>8</v>
      </c>
    </row>
    <row r="68169" customFormat="false" ht="12.8" hidden="false" customHeight="false" outlineLevel="0" collapsed="false">
      <c r="B68169" s="0" t="s">
        <v>276</v>
      </c>
    </row>
    <row r="68171" customFormat="false" ht="12.8" hidden="false" customHeight="false" outlineLevel="0" collapsed="false">
      <c r="A68171" s="0" t="s">
        <v>22369</v>
      </c>
      <c r="B68171" s="0" t="str">
        <f aca="false">HYPERLINK("https://lindat.mff.cuni.cz/services/teitok/pdtc10/index.php?action=vallex&amp;frame=v-w9097f4_ZU", "zařadit (v-w9097f4_ZU)")</f>
        <v>zařadit (v-w9097f4_ZU)</v>
      </c>
    </row>
    <row r="68172" customFormat="false" ht="12.8" hidden="false" customHeight="false" outlineLevel="0" collapsed="false">
      <c r="B68172" s="0" t="s">
        <v>1</v>
      </c>
    </row>
    <row r="68173" customFormat="false" ht="12.8" hidden="false" customHeight="false" outlineLevel="0" collapsed="false">
      <c r="B68173" s="0" t="s">
        <v>8</v>
      </c>
    </row>
    <row r="68174" customFormat="false" ht="12.8" hidden="false" customHeight="false" outlineLevel="0" collapsed="false">
      <c r="B68174" s="0" t="s">
        <v>164</v>
      </c>
    </row>
    <row r="68176" customFormat="false" ht="12.8" hidden="false" customHeight="false" outlineLevel="0" collapsed="false">
      <c r="A68176" s="0" t="s">
        <v>22369</v>
      </c>
      <c r="B68176" s="0" t="str">
        <f aca="false">HYPERLINK("https://lindat.mff.cuni.cz/services/teitok/pdtc10/index.php?action=vallex&amp;frame=v-w9097f1", "zařadit (v-w9097f1) - substituted with v-w9097f4_ZU")</f>
        <v>zařadit (v-w9097f1) - substituted with v-w9097f4_ZU</v>
      </c>
    </row>
    <row r="68177" customFormat="false" ht="12.8" hidden="false" customHeight="false" outlineLevel="0" collapsed="false">
      <c r="B68177" s="0" t="s">
        <v>1</v>
      </c>
    </row>
    <row r="68178" customFormat="false" ht="12.8" hidden="false" customHeight="false" outlineLevel="0" collapsed="false">
      <c r="B68178" s="0" t="s">
        <v>8</v>
      </c>
    </row>
    <row r="68179" customFormat="false" ht="12.8" hidden="false" customHeight="false" outlineLevel="0" collapsed="false">
      <c r="B68179" s="0" t="s">
        <v>164</v>
      </c>
    </row>
    <row r="68181" customFormat="false" ht="12.8" hidden="false" customHeight="false" outlineLevel="0" collapsed="false">
      <c r="A68181" s="0" t="s">
        <v>22370</v>
      </c>
      <c r="B68181" s="0" t="str">
        <f aca="false">HYPERLINK("https://lindat.mff.cuni.cz/services/teitok/pdtc10/index.php?action=vallex&amp;frame=v-w9097f2", "zařadit (v-w9097f2)")</f>
        <v>zařadit (v-w9097f2)</v>
      </c>
      <c r="E68181" s="0" t="str">
        <f aca="false">HYPERLINK("https://lindat.mff.cuni.cz/services/SynSemClass40/SynSemClass40.html?veclass=vec00175#vec00175-ces-cm00073", "vec00175")</f>
        <v>vec00175</v>
      </c>
      <c r="F68181" s="0" t="s">
        <v>4861</v>
      </c>
    </row>
    <row r="68182" customFormat="false" ht="12.8" hidden="false" customHeight="false" outlineLevel="0" collapsed="false">
      <c r="B68182" s="0" t="s">
        <v>1</v>
      </c>
      <c r="C68182" s="0" t="s">
        <v>13928</v>
      </c>
      <c r="E68182" s="0" t="s">
        <v>31</v>
      </c>
      <c r="F68182" s="0" t="s">
        <v>13929</v>
      </c>
    </row>
    <row r="68183" customFormat="false" ht="12.8" hidden="false" customHeight="false" outlineLevel="0" collapsed="false">
      <c r="B68183" s="0" t="s">
        <v>8</v>
      </c>
      <c r="C68183" s="0" t="s">
        <v>13930</v>
      </c>
      <c r="E68183" s="0" t="s">
        <v>13931</v>
      </c>
      <c r="F68183" s="0" t="s">
        <v>13932</v>
      </c>
    </row>
    <row r="68184" customFormat="false" ht="12.8" hidden="false" customHeight="false" outlineLevel="0" collapsed="false">
      <c r="B68184" s="0" t="s">
        <v>164</v>
      </c>
      <c r="C68184" s="0" t="s">
        <v>4865</v>
      </c>
      <c r="E68184" s="0" t="s">
        <v>4866</v>
      </c>
      <c r="F68184" s="0" t="s">
        <v>4867</v>
      </c>
    </row>
    <row r="68186" customFormat="false" ht="12.8" hidden="false" customHeight="false" outlineLevel="0" collapsed="false">
      <c r="A68186" s="0" t="s">
        <v>22371</v>
      </c>
      <c r="B68186" s="0" t="str">
        <f aca="false">HYPERLINK("https://lindat.mff.cuni.cz/services/teitok/pdtc10/index.php?action=vallex&amp;frame=v-w9097f3", "zařadit (v-w9097f3)")</f>
        <v>zařadit (v-w9097f3)</v>
      </c>
    </row>
    <row r="68187" customFormat="false" ht="12.8" hidden="false" customHeight="false" outlineLevel="0" collapsed="false">
      <c r="B68187" s="0" t="s">
        <v>1</v>
      </c>
    </row>
    <row r="68188" customFormat="false" ht="12.8" hidden="false" customHeight="false" outlineLevel="0" collapsed="false">
      <c r="B68188" s="0" t="s">
        <v>8</v>
      </c>
    </row>
    <row r="68190" customFormat="false" ht="12.8" hidden="false" customHeight="false" outlineLevel="0" collapsed="false">
      <c r="A68190" s="0" t="s">
        <v>22372</v>
      </c>
      <c r="B68190" s="0" t="str">
        <f aca="false">HYPERLINK("https://lindat.mff.cuni.cz/services/teitok/pdtc10/index.php?action=vallex&amp;frame=v-w9097hsa_609", "zařadit (v-w9097hsa_609)")</f>
        <v>zařadit (v-w9097hsa_609)</v>
      </c>
    </row>
    <row r="68191" customFormat="false" ht="12.8" hidden="false" customHeight="false" outlineLevel="0" collapsed="false">
      <c r="B68191" s="0" t="s">
        <v>1</v>
      </c>
    </row>
    <row r="68192" customFormat="false" ht="12.8" hidden="false" customHeight="false" outlineLevel="0" collapsed="false">
      <c r="B68192" s="0" t="s">
        <v>8</v>
      </c>
    </row>
    <row r="68193" customFormat="false" ht="12.8" hidden="false" customHeight="false" outlineLevel="0" collapsed="false">
      <c r="B68193" s="0" t="s">
        <v>1799</v>
      </c>
    </row>
    <row r="68195" customFormat="false" ht="12.8" hidden="false" customHeight="false" outlineLevel="0" collapsed="false">
      <c r="A68195" s="0" t="s">
        <v>22373</v>
      </c>
      <c r="B68195" s="0" t="str">
        <f aca="false">HYPERLINK("https://lindat.mff.cuni.cz/services/teitok/pdtc10/index.php?action=vallex&amp;frame=v-w9098f1", "zařadit se (v-w9098f1)")</f>
        <v>zařadit se (v-w9098f1)</v>
      </c>
      <c r="E68195" s="0" t="str">
        <f aca="false">HYPERLINK("https://lindat.mff.cuni.cz/services/SynSemClass40/SynSemClass40.html?veclass=vec00865#vec00865-ces-cm00036", "vec00865")</f>
        <v>vec00865</v>
      </c>
      <c r="F68195" s="0" t="s">
        <v>8232</v>
      </c>
    </row>
    <row r="68196" customFormat="false" ht="12.8" hidden="false" customHeight="false" outlineLevel="0" collapsed="false">
      <c r="B68196" s="0" t="s">
        <v>1</v>
      </c>
      <c r="C68196" s="0" t="s">
        <v>8233</v>
      </c>
      <c r="E68196" s="0" t="s">
        <v>957</v>
      </c>
      <c r="F68196" s="0" t="s">
        <v>8234</v>
      </c>
    </row>
    <row r="68197" customFormat="false" ht="12.8" hidden="false" customHeight="false" outlineLevel="0" collapsed="false">
      <c r="B68197" s="0" t="s">
        <v>164</v>
      </c>
      <c r="C68197" s="0" t="s">
        <v>8235</v>
      </c>
      <c r="E68197" s="0" t="s">
        <v>8236</v>
      </c>
      <c r="F68197" s="0" t="s">
        <v>8237</v>
      </c>
    </row>
    <row r="68199" customFormat="false" ht="12.8" hidden="false" customHeight="false" outlineLevel="0" collapsed="false">
      <c r="A68199" s="0" t="s">
        <v>22374</v>
      </c>
      <c r="B68199" s="0" t="str">
        <f aca="false">HYPERLINK("https://lindat.mff.cuni.cz/services/teitok/pdtc10/index.php?action=vallex&amp;frame=v-w9098hsa_924", "zařadit se (v-w9098hsa_924)")</f>
        <v>zařadit se (v-w9098hsa_924)</v>
      </c>
    </row>
    <row r="68200" customFormat="false" ht="12.8" hidden="false" customHeight="false" outlineLevel="0" collapsed="false">
      <c r="B68200" s="0" t="s">
        <v>1</v>
      </c>
    </row>
    <row r="68201" customFormat="false" ht="12.8" hidden="false" customHeight="false" outlineLevel="0" collapsed="false">
      <c r="B68201" s="0" t="s">
        <v>164</v>
      </c>
    </row>
    <row r="68203" customFormat="false" ht="12.8" hidden="false" customHeight="false" outlineLevel="0" collapsed="false">
      <c r="A68203" s="0" t="s">
        <v>22375</v>
      </c>
      <c r="B68203" s="0" t="str">
        <f aca="false">HYPERLINK("https://lindat.mff.cuni.cz/services/teitok/pdtc10/index.php?action=vallex&amp;frame=v-w9102f1", "zařazovat (v-w9102f1)")</f>
        <v>zařazovat (v-w9102f1)</v>
      </c>
    </row>
    <row r="68204" customFormat="false" ht="12.8" hidden="false" customHeight="false" outlineLevel="0" collapsed="false">
      <c r="B68204" s="0" t="s">
        <v>1</v>
      </c>
    </row>
    <row r="68205" customFormat="false" ht="12.8" hidden="false" customHeight="false" outlineLevel="0" collapsed="false">
      <c r="B68205" s="0" t="s">
        <v>8</v>
      </c>
    </row>
    <row r="68206" customFormat="false" ht="12.8" hidden="false" customHeight="false" outlineLevel="0" collapsed="false">
      <c r="B68206" s="0" t="s">
        <v>164</v>
      </c>
    </row>
    <row r="68208" customFormat="false" ht="12.8" hidden="false" customHeight="false" outlineLevel="0" collapsed="false">
      <c r="A68208" s="0" t="s">
        <v>22376</v>
      </c>
      <c r="B68208" s="0" t="str">
        <f aca="false">HYPERLINK("https://lindat.mff.cuni.cz/services/teitok/pdtc10/index.php?action=vallex&amp;frame=v-w9102f2", "zařazovat (v-w9102f2)")</f>
        <v>zařazovat (v-w9102f2)</v>
      </c>
      <c r="E68208" s="0" t="str">
        <f aca="false">HYPERLINK("https://lindat.mff.cuni.cz/services/SynSemClass40/SynSemClass40.html?veclass=vec00175#vec00175-ces-cm00084", "vec00175")</f>
        <v>vec00175</v>
      </c>
      <c r="F68208" s="0" t="s">
        <v>4861</v>
      </c>
      <c r="H68208" s="0" t="str">
        <f aca="false">HYPERLINK("https://lindat.mff.cuni.cz/services/SynSemClass40/SynSemClass40.html?veclass=vec00916#vec00916-ces-cm00062", "vec00916")</f>
        <v>vec00916</v>
      </c>
      <c r="I68208" s="0" t="s">
        <v>5268</v>
      </c>
    </row>
    <row r="68209" customFormat="false" ht="12.8" hidden="false" customHeight="false" outlineLevel="0" collapsed="false">
      <c r="B68209" s="0" t="s">
        <v>1</v>
      </c>
      <c r="C68209" s="0" t="s">
        <v>22377</v>
      </c>
      <c r="E68209" s="0" t="s">
        <v>31</v>
      </c>
      <c r="F68209" s="0" t="s">
        <v>13929</v>
      </c>
      <c r="H68209" s="0" t="s">
        <v>206</v>
      </c>
      <c r="I68209" s="0" t="s">
        <v>5269</v>
      </c>
    </row>
    <row r="68210" customFormat="false" ht="12.8" hidden="false" customHeight="false" outlineLevel="0" collapsed="false">
      <c r="B68210" s="0" t="s">
        <v>8</v>
      </c>
      <c r="C68210" s="0" t="s">
        <v>22378</v>
      </c>
      <c r="E68210" s="0" t="s">
        <v>13931</v>
      </c>
      <c r="F68210" s="0" t="s">
        <v>13932</v>
      </c>
      <c r="H68210" s="0" t="s">
        <v>180</v>
      </c>
      <c r="I68210" s="0" t="s">
        <v>5270</v>
      </c>
    </row>
    <row r="68211" customFormat="false" ht="12.8" hidden="false" customHeight="false" outlineLevel="0" collapsed="false">
      <c r="B68211" s="0" t="s">
        <v>164</v>
      </c>
      <c r="C68211" s="0" t="s">
        <v>22379</v>
      </c>
      <c r="E68211" s="0" t="s">
        <v>4866</v>
      </c>
      <c r="F68211" s="0" t="s">
        <v>4867</v>
      </c>
      <c r="H68211" s="0" t="s">
        <v>17086</v>
      </c>
      <c r="I68211" s="0" t="s">
        <v>22380</v>
      </c>
    </row>
    <row r="68213" customFormat="false" ht="12.8" hidden="false" customHeight="false" outlineLevel="0" collapsed="false">
      <c r="A68213" s="0" t="s">
        <v>22381</v>
      </c>
      <c r="B68213" s="0" t="str">
        <f aca="false">HYPERLINK("https://lindat.mff.cuni.cz/services/teitok/pdtc10/index.php?action=vallex&amp;frame=v-whsa_1195f1_ZU", "zařazovat se (v-whsa_1195f1_ZU)")</f>
        <v>zařazovat se (v-whsa_1195f1_ZU)</v>
      </c>
    </row>
    <row r="68214" customFormat="false" ht="12.8" hidden="false" customHeight="false" outlineLevel="0" collapsed="false">
      <c r="B68214" s="0" t="s">
        <v>1</v>
      </c>
    </row>
    <row r="68215" customFormat="false" ht="12.8" hidden="false" customHeight="false" outlineLevel="0" collapsed="false">
      <c r="B68215" s="0" t="s">
        <v>22382</v>
      </c>
    </row>
    <row r="68217" customFormat="false" ht="12.8" hidden="false" customHeight="false" outlineLevel="0" collapsed="false">
      <c r="A68217" s="0" t="s">
        <v>22381</v>
      </c>
      <c r="B68217" s="0" t="str">
        <f aca="false">HYPERLINK("https://lindat.mff.cuni.cz/services/teitok/pdtc10/index.php?action=vallex&amp;frame=v-whsa_1195hsa_1196", "zařazovat se (v-whsa_1195hsa_1196) - substituted with v-whsa_1195f1_ZU")</f>
        <v>zařazovat se (v-whsa_1195hsa_1196) - substituted with v-whsa_1195f1_ZU</v>
      </c>
    </row>
    <row r="68218" customFormat="false" ht="12.8" hidden="false" customHeight="false" outlineLevel="0" collapsed="false">
      <c r="B68218" s="0" t="s">
        <v>1</v>
      </c>
    </row>
    <row r="68219" customFormat="false" ht="12.8" hidden="false" customHeight="false" outlineLevel="0" collapsed="false">
      <c r="B68219" s="0" t="s">
        <v>22382</v>
      </c>
    </row>
    <row r="68221" customFormat="false" ht="12.8" hidden="false" customHeight="false" outlineLevel="0" collapsed="false">
      <c r="A68221" s="0" t="s">
        <v>22383</v>
      </c>
      <c r="B68221" s="0" t="str">
        <f aca="false">HYPERLINK("https://lindat.mff.cuni.cz/services/teitok/pdtc10/index.php?action=vallex&amp;frame=v-w9103f1", "zařeknout se (v-w9103f1)")</f>
        <v>zařeknout se (v-w9103f1)</v>
      </c>
      <c r="E68221" s="0" t="str">
        <f aca="false">HYPERLINK("https://lindat.mff.cuni.cz/services/SynSemClass40/SynSemClass40.html?veclass=vec00311#vec00311-ces-cm00005", "vec00311")</f>
        <v>vec00311</v>
      </c>
      <c r="F68221" s="0" t="s">
        <v>14485</v>
      </c>
    </row>
    <row r="68222" customFormat="false" ht="12.8" hidden="false" customHeight="false" outlineLevel="0" collapsed="false">
      <c r="B68222" s="0" t="s">
        <v>1</v>
      </c>
      <c r="C68222" s="0" t="s">
        <v>14486</v>
      </c>
      <c r="E68222" s="0" t="s">
        <v>63</v>
      </c>
      <c r="F68222" s="0" t="s">
        <v>14487</v>
      </c>
    </row>
    <row r="68223" customFormat="false" ht="12.8" hidden="false" customHeight="false" outlineLevel="0" collapsed="false">
      <c r="B68223" s="0" t="s">
        <v>3382</v>
      </c>
      <c r="C68223" s="0" t="s">
        <v>14489</v>
      </c>
      <c r="E68223" s="0" t="s">
        <v>4209</v>
      </c>
      <c r="F68223" s="0" t="s">
        <v>14490</v>
      </c>
    </row>
    <row r="68225" customFormat="false" ht="12.8" hidden="false" customHeight="false" outlineLevel="0" collapsed="false">
      <c r="A68225" s="0" t="s">
        <v>22384</v>
      </c>
      <c r="B68225" s="0" t="str">
        <f aca="false">HYPERLINK("https://lindat.mff.cuni.cz/services/teitok/pdtc10/index.php?action=vallex&amp;frame=v-w11639_ZUf1_ZU", "zařezávat se (v-w11639_ZUf1_ZU)")</f>
        <v>zařezávat se (v-w11639_ZUf1_ZU)</v>
      </c>
    </row>
    <row r="68226" customFormat="false" ht="12.8" hidden="false" customHeight="false" outlineLevel="0" collapsed="false">
      <c r="B68226" s="0" t="s">
        <v>1</v>
      </c>
    </row>
    <row r="68227" customFormat="false" ht="12.8" hidden="false" customHeight="false" outlineLevel="0" collapsed="false">
      <c r="B68227" s="0" t="s">
        <v>1187</v>
      </c>
    </row>
    <row r="68229" customFormat="false" ht="12.8" hidden="false" customHeight="false" outlineLevel="0" collapsed="false">
      <c r="A68229" s="0" t="s">
        <v>22385</v>
      </c>
      <c r="B68229" s="0" t="str">
        <f aca="false">HYPERLINK("https://lindat.mff.cuni.cz/services/teitok/pdtc10/index.php?action=vallex&amp;frame=v-w9110f1", "zařizovat (v-w9110f1)")</f>
        <v>zařizovat (v-w9110f1)</v>
      </c>
      <c r="E68229" s="0" t="str">
        <f aca="false">HYPERLINK("https://lindat.mff.cuni.cz/services/SynSemClass40/SynSemClass40.html?veclass=vec00752#vec00752-ces-cm00078", "vec00752")</f>
        <v>vec00752</v>
      </c>
      <c r="F68229" s="0" t="s">
        <v>9764</v>
      </c>
    </row>
    <row r="68230" customFormat="false" ht="12.8" hidden="false" customHeight="false" outlineLevel="0" collapsed="false">
      <c r="B68230" s="0" t="s">
        <v>1</v>
      </c>
      <c r="C68230" s="0" t="s">
        <v>9765</v>
      </c>
      <c r="E68230" s="0" t="s">
        <v>9766</v>
      </c>
      <c r="F68230" s="0" t="s">
        <v>9767</v>
      </c>
    </row>
    <row r="68231" customFormat="false" ht="12.8" hidden="false" customHeight="false" outlineLevel="0" collapsed="false">
      <c r="B68231" s="0" t="s">
        <v>8</v>
      </c>
      <c r="C68231" s="0" t="s">
        <v>9768</v>
      </c>
      <c r="E68231" s="0" t="s">
        <v>2588</v>
      </c>
      <c r="F68231" s="0" t="s">
        <v>9769</v>
      </c>
    </row>
    <row r="68233" customFormat="false" ht="12.8" hidden="false" customHeight="false" outlineLevel="0" collapsed="false">
      <c r="A68233" s="0" t="s">
        <v>22386</v>
      </c>
      <c r="B68233" s="0" t="str">
        <f aca="false">HYPERLINK("https://lindat.mff.cuni.cz/services/teitok/pdtc10/index.php?action=vallex&amp;frame=v-w9110hsa_1617", "zařizovat (v-w9110hsa_1617)")</f>
        <v>zařizovat (v-w9110hsa_1617)</v>
      </c>
    </row>
    <row r="68234" customFormat="false" ht="12.8" hidden="false" customHeight="false" outlineLevel="0" collapsed="false">
      <c r="B68234" s="0" t="s">
        <v>1</v>
      </c>
    </row>
    <row r="68235" customFormat="false" ht="12.8" hidden="false" customHeight="false" outlineLevel="0" collapsed="false">
      <c r="B68235" s="0" t="s">
        <v>8</v>
      </c>
    </row>
    <row r="68237" customFormat="false" ht="12.8" hidden="false" customHeight="false" outlineLevel="0" collapsed="false">
      <c r="A68237" s="0" t="s">
        <v>22387</v>
      </c>
      <c r="B68237" s="0" t="str">
        <f aca="false">HYPERLINK("https://lindat.mff.cuni.cz/services/teitok/pdtc10/index.php?action=vallex&amp;frame=v-w9111f1", "zařvat (v-w9111f1)")</f>
        <v>zařvat (v-w9111f1)</v>
      </c>
      <c r="E68237" s="0" t="str">
        <f aca="false">HYPERLINK("https://lindat.mff.cuni.cz/services/SynSemClass40/SynSemClass40.html?veclass=vec00426#vec00426-ces-cm00009", "vec00426")</f>
        <v>vec00426</v>
      </c>
      <c r="F68237" s="0" t="s">
        <v>4756</v>
      </c>
    </row>
    <row r="68238" customFormat="false" ht="12.8" hidden="false" customHeight="false" outlineLevel="0" collapsed="false">
      <c r="B68238" s="0" t="s">
        <v>1</v>
      </c>
      <c r="C68238" s="0" t="s">
        <v>4725</v>
      </c>
      <c r="E68238" s="0" t="s">
        <v>147</v>
      </c>
      <c r="F68238" s="0" t="s">
        <v>4757</v>
      </c>
    </row>
    <row r="68239" customFormat="false" ht="12.8" hidden="false" customHeight="false" outlineLevel="0" collapsed="false">
      <c r="B68239" s="0" t="s">
        <v>22346</v>
      </c>
      <c r="C68239" s="0" t="s">
        <v>4627</v>
      </c>
      <c r="E68239" s="0" t="s">
        <v>218</v>
      </c>
      <c r="F68239" s="0" t="s">
        <v>4978</v>
      </c>
    </row>
    <row r="68240" customFormat="false" ht="12.8" hidden="false" customHeight="false" outlineLevel="0" collapsed="false">
      <c r="B68240" s="0" t="s">
        <v>4688</v>
      </c>
      <c r="C68240" s="0" t="s">
        <v>4761</v>
      </c>
      <c r="E68240" s="0" t="s">
        <v>564</v>
      </c>
      <c r="F68240" s="0" t="s">
        <v>4762</v>
      </c>
    </row>
    <row r="68242" customFormat="false" ht="12.8" hidden="false" customHeight="false" outlineLevel="0" collapsed="false">
      <c r="A68242" s="0" t="s">
        <v>22388</v>
      </c>
      <c r="B68242" s="0" t="str">
        <f aca="false">HYPERLINK("https://lindat.mff.cuni.cz/services/teitok/pdtc10/index.php?action=vallex&amp;frame=v-w9104hsa_354", "zařídit (v-w9104hsa_354)")</f>
        <v>zařídit (v-w9104hsa_354)</v>
      </c>
    </row>
    <row r="68243" customFormat="false" ht="12.8" hidden="false" customHeight="false" outlineLevel="0" collapsed="false">
      <c r="B68243" s="0" t="s">
        <v>1</v>
      </c>
    </row>
    <row r="68244" customFormat="false" ht="12.8" hidden="false" customHeight="false" outlineLevel="0" collapsed="false">
      <c r="B68244" s="0" t="s">
        <v>22389</v>
      </c>
    </row>
    <row r="68246" customFormat="false" ht="12.8" hidden="false" customHeight="false" outlineLevel="0" collapsed="false">
      <c r="A68246" s="0" t="s">
        <v>22388</v>
      </c>
      <c r="B68246" s="0" t="str">
        <f aca="false">HYPERLINK("https://lindat.mff.cuni.cz/services/teitok/pdtc10/index.php?action=vallex&amp;frame=v-w9104f1", "zařídit (v-w9104f1) - substituted with v-w9104hsa_354")</f>
        <v>zařídit (v-w9104f1) - substituted with v-w9104hsa_354</v>
      </c>
      <c r="E68246" s="0" t="str">
        <f aca="false">HYPERLINK("https://lindat.mff.cuni.cz/services/SynSemClass40/SynSemClass40.html?veclass=vec00178#vec00178-ces-cm00109", "vec00178")</f>
        <v>vec00178</v>
      </c>
      <c r="F68246" s="0" t="s">
        <v>8586</v>
      </c>
    </row>
    <row r="68247" customFormat="false" ht="12.8" hidden="false" customHeight="false" outlineLevel="0" collapsed="false">
      <c r="B68247" s="0" t="s">
        <v>1</v>
      </c>
      <c r="C68247" s="0" t="s">
        <v>5649</v>
      </c>
      <c r="E68247" s="0" t="s">
        <v>31</v>
      </c>
      <c r="F68247" s="0" t="s">
        <v>8587</v>
      </c>
    </row>
    <row r="68248" customFormat="false" ht="12.8" hidden="false" customHeight="false" outlineLevel="0" collapsed="false">
      <c r="B68248" s="0" t="s">
        <v>22389</v>
      </c>
      <c r="C68248" s="0" t="s">
        <v>8588</v>
      </c>
      <c r="E68248" s="0" t="s">
        <v>34</v>
      </c>
      <c r="F68248" s="0" t="s">
        <v>8589</v>
      </c>
    </row>
    <row r="68250" customFormat="false" ht="12.8" hidden="false" customHeight="false" outlineLevel="0" collapsed="false">
      <c r="A68250" s="0" t="s">
        <v>22390</v>
      </c>
      <c r="B68250" s="0" t="str">
        <f aca="false">HYPERLINK("https://lindat.mff.cuni.cz/services/teitok/pdtc10/index.php?action=vallex&amp;frame=v-w9104f2", "zařídit (v-w9104f2)")</f>
        <v>zařídit (v-w9104f2)</v>
      </c>
      <c r="E68250" s="0" t="str">
        <f aca="false">HYPERLINK("https://lindat.mff.cuni.cz/services/SynSemClass40/SynSemClass40.html?veclass=vec00752#vec00752-ces-cm00082", "vec00752")</f>
        <v>vec00752</v>
      </c>
      <c r="F68250" s="0" t="s">
        <v>9764</v>
      </c>
    </row>
    <row r="68251" customFormat="false" ht="12.8" hidden="false" customHeight="false" outlineLevel="0" collapsed="false">
      <c r="B68251" s="0" t="s">
        <v>1</v>
      </c>
      <c r="C68251" s="0" t="s">
        <v>9765</v>
      </c>
      <c r="E68251" s="0" t="s">
        <v>9766</v>
      </c>
      <c r="F68251" s="0" t="s">
        <v>9767</v>
      </c>
    </row>
    <row r="68252" customFormat="false" ht="12.8" hidden="false" customHeight="false" outlineLevel="0" collapsed="false">
      <c r="B68252" s="0" t="s">
        <v>8</v>
      </c>
      <c r="C68252" s="0" t="s">
        <v>9768</v>
      </c>
      <c r="E68252" s="0" t="s">
        <v>2588</v>
      </c>
      <c r="F68252" s="0" t="s">
        <v>9769</v>
      </c>
    </row>
    <row r="68254" customFormat="false" ht="12.8" hidden="false" customHeight="false" outlineLevel="0" collapsed="false">
      <c r="A68254" s="0" t="s">
        <v>22391</v>
      </c>
      <c r="B68254" s="0" t="str">
        <f aca="false">HYPERLINK("https://lindat.mff.cuni.cz/services/teitok/pdtc10/index.php?action=vallex&amp;frame=v-w9104f3_ZU", "zařídit (v-w9104f3_ZU)")</f>
        <v>zařídit (v-w9104f3_ZU)</v>
      </c>
    </row>
    <row r="68255" customFormat="false" ht="12.8" hidden="false" customHeight="false" outlineLevel="0" collapsed="false">
      <c r="B68255" s="0" t="s">
        <v>1</v>
      </c>
    </row>
    <row r="68256" customFormat="false" ht="12.8" hidden="false" customHeight="false" outlineLevel="0" collapsed="false">
      <c r="B68256" s="0" t="s">
        <v>8</v>
      </c>
    </row>
    <row r="68257" customFormat="false" ht="12.8" hidden="false" customHeight="false" outlineLevel="0" collapsed="false">
      <c r="B68257" s="0" t="s">
        <v>36</v>
      </c>
    </row>
    <row r="68259" customFormat="false" ht="12.8" hidden="false" customHeight="false" outlineLevel="0" collapsed="false">
      <c r="A68259" s="0" t="s">
        <v>22392</v>
      </c>
      <c r="B68259" s="0" t="str">
        <f aca="false">HYPERLINK("https://lindat.mff.cuni.cz/services/teitok/pdtc10/index.php?action=vallex&amp;frame=v-w9104hsa_353", "zařídit (v-w9104hsa_353)")</f>
        <v>zařídit (v-w9104hsa_353)</v>
      </c>
    </row>
    <row r="68260" customFormat="false" ht="12.8" hidden="false" customHeight="false" outlineLevel="0" collapsed="false">
      <c r="B68260" s="0" t="s">
        <v>1</v>
      </c>
    </row>
    <row r="68261" customFormat="false" ht="12.8" hidden="false" customHeight="false" outlineLevel="0" collapsed="false">
      <c r="B68261" s="0" t="s">
        <v>8</v>
      </c>
    </row>
    <row r="68263" customFormat="false" ht="12.8" hidden="false" customHeight="false" outlineLevel="0" collapsed="false">
      <c r="A68263" s="0" t="s">
        <v>22393</v>
      </c>
      <c r="B68263" s="0" t="str">
        <f aca="false">HYPERLINK("https://lindat.mff.cuni.cz/services/teitok/pdtc10/index.php?action=vallex&amp;frame=v-w9105f1", "zařídit se (v-w9105f1)")</f>
        <v>zařídit se (v-w9105f1)</v>
      </c>
      <c r="E68263" s="0" t="str">
        <f aca="false">HYPERLINK("https://lindat.mff.cuni.cz/services/SynSemClass40/SynSemClass40.html?veclass=vec00225#vec00225-ces-cm00029", "vec00225")</f>
        <v>vec00225</v>
      </c>
      <c r="F68263" s="0" t="s">
        <v>1453</v>
      </c>
      <c r="H68263" s="0" t="str">
        <f aca="false">HYPERLINK("https://lindat.mff.cuni.cz/services/SynSemClass40/SynSemClass40.html?veclass=vec00303#vec00303-ces-cm00061", "vec00303")</f>
        <v>vec00303</v>
      </c>
      <c r="I68263" s="0" t="s">
        <v>1818</v>
      </c>
    </row>
    <row r="68264" customFormat="false" ht="12.8" hidden="false" customHeight="false" outlineLevel="0" collapsed="false">
      <c r="B68264" s="0" t="s">
        <v>1</v>
      </c>
      <c r="C68264" s="0" t="s">
        <v>22394</v>
      </c>
      <c r="E68264" s="0" t="s">
        <v>11</v>
      </c>
      <c r="F68264" s="0" t="s">
        <v>1456</v>
      </c>
      <c r="H68264" s="0" t="s">
        <v>11</v>
      </c>
      <c r="I68264" s="0" t="s">
        <v>1820</v>
      </c>
    </row>
    <row r="68265" customFormat="false" ht="12.8" hidden="false" customHeight="false" outlineLevel="0" collapsed="false">
      <c r="B68265" s="0" t="s">
        <v>22395</v>
      </c>
      <c r="C68265" s="0" t="s">
        <v>1822</v>
      </c>
      <c r="E68265" s="0" t="s">
        <v>1512</v>
      </c>
      <c r="F68265" s="0" t="s">
        <v>22396</v>
      </c>
      <c r="H68265" s="0" t="s">
        <v>1823</v>
      </c>
      <c r="I68265" s="0" t="s">
        <v>1824</v>
      </c>
    </row>
    <row r="68267" customFormat="false" ht="12.8" hidden="false" customHeight="false" outlineLevel="0" collapsed="false">
      <c r="A68267" s="0" t="s">
        <v>22397</v>
      </c>
      <c r="B68267" s="0" t="str">
        <f aca="false">HYPERLINK("https://lindat.mff.cuni.cz/services/teitok/pdtc10/index.php?action=vallex&amp;frame=v-w9105f3_ZU", "zařídit se (v-w9105f3_ZU)")</f>
        <v>zařídit se (v-w9105f3_ZU)</v>
      </c>
    </row>
    <row r="68268" customFormat="false" ht="12.8" hidden="false" customHeight="false" outlineLevel="0" collapsed="false">
      <c r="B68268" s="0" t="s">
        <v>1</v>
      </c>
    </row>
    <row r="68269" customFormat="false" ht="12.8" hidden="false" customHeight="false" outlineLevel="0" collapsed="false">
      <c r="B68269" s="0" t="s">
        <v>5201</v>
      </c>
    </row>
    <row r="68271" customFormat="false" ht="12.8" hidden="false" customHeight="false" outlineLevel="0" collapsed="false">
      <c r="A68271" s="0" t="s">
        <v>22398</v>
      </c>
      <c r="B68271" s="0" t="str">
        <f aca="false">HYPERLINK("https://lindat.mff.cuni.cz/services/teitok/pdtc10/index.php?action=vallex&amp;frame=v-w9105f2", "zařídit se (v-w9105f2)")</f>
        <v>zařídit se (v-w9105f2)</v>
      </c>
    </row>
    <row r="68272" customFormat="false" ht="12.8" hidden="false" customHeight="false" outlineLevel="0" collapsed="false">
      <c r="B68272" s="0" t="s">
        <v>1</v>
      </c>
    </row>
    <row r="68274" customFormat="false" ht="12.8" hidden="false" customHeight="false" outlineLevel="0" collapsed="false">
      <c r="A68274" s="0" t="s">
        <v>22399</v>
      </c>
      <c r="B68274" s="0" t="str">
        <f aca="false">HYPERLINK("https://lindat.mff.cuni.cz/services/teitok/pdtc10/index.php?action=vallex&amp;frame=v-w9105hsa_1388", "zařídit se (v-w9105hsa_1388)")</f>
        <v>zařídit se (v-w9105hsa_1388)</v>
      </c>
    </row>
    <row r="68275" customFormat="false" ht="12.8" hidden="false" customHeight="false" outlineLevel="0" collapsed="false">
      <c r="B68275" s="0" t="s">
        <v>1</v>
      </c>
    </row>
    <row r="68276" customFormat="false" ht="12.8" hidden="false" customHeight="false" outlineLevel="0" collapsed="false">
      <c r="B68276" s="0" t="s">
        <v>721</v>
      </c>
    </row>
    <row r="68278" customFormat="false" ht="12.8" hidden="false" customHeight="false" outlineLevel="0" collapsed="false">
      <c r="A68278" s="0" t="s">
        <v>22400</v>
      </c>
      <c r="B68278" s="0" t="str">
        <f aca="false">HYPERLINK("https://lindat.mff.cuni.cz/services/teitok/pdtc10/index.php?action=vallex&amp;frame=v-w10442f2", "zaříkávat (v-w10442f2)")</f>
        <v>zaříkávat (v-w10442f2)</v>
      </c>
    </row>
    <row r="68279" customFormat="false" ht="12.8" hidden="false" customHeight="false" outlineLevel="0" collapsed="false">
      <c r="B68279" s="0" t="s">
        <v>1</v>
      </c>
    </row>
    <row r="68280" customFormat="false" ht="12.8" hidden="false" customHeight="false" outlineLevel="0" collapsed="false">
      <c r="B68280" s="0" t="s">
        <v>8</v>
      </c>
    </row>
    <row r="68282" customFormat="false" ht="12.8" hidden="false" customHeight="false" outlineLevel="0" collapsed="false">
      <c r="A68282" s="0" t="s">
        <v>22401</v>
      </c>
      <c r="B68282" s="0" t="str">
        <f aca="false">HYPERLINK("https://lindat.mff.cuni.cz/services/teitok/pdtc10/index.php?action=vallex&amp;frame=v-w9108f2", "zaříznout (v-w9108f2)")</f>
        <v>zaříznout (v-w9108f2)</v>
      </c>
      <c r="E68282" s="0" t="str">
        <f aca="false">HYPERLINK("https://lindat.mff.cuni.cz/services/SynSemClass40/SynSemClass40.html?veclass=vec00365#vec00365-ces-cm00049", "vec00365")</f>
        <v>vec00365</v>
      </c>
      <c r="F68282" s="0" t="s">
        <v>8975</v>
      </c>
    </row>
    <row r="68283" customFormat="false" ht="12.8" hidden="false" customHeight="false" outlineLevel="0" collapsed="false">
      <c r="B68283" s="0" t="s">
        <v>1</v>
      </c>
      <c r="C68283" s="0" t="s">
        <v>5883</v>
      </c>
      <c r="E68283" s="0" t="s">
        <v>76</v>
      </c>
      <c r="F68283" s="0" t="s">
        <v>8977</v>
      </c>
    </row>
    <row r="68284" customFormat="false" ht="12.8" hidden="false" customHeight="false" outlineLevel="0" collapsed="false">
      <c r="B68284" s="0" t="s">
        <v>8</v>
      </c>
      <c r="C68284" s="0" t="s">
        <v>8979</v>
      </c>
      <c r="E68284" s="0" t="s">
        <v>199</v>
      </c>
      <c r="F68284" s="0" t="s">
        <v>8980</v>
      </c>
    </row>
    <row r="68286" customFormat="false" ht="12.8" hidden="false" customHeight="false" outlineLevel="0" collapsed="false">
      <c r="A68286" s="0" t="s">
        <v>22402</v>
      </c>
      <c r="B68286" s="0" t="str">
        <f aca="false">HYPERLINK("https://lindat.mff.cuni.cz/services/teitok/pdtc10/index.php?action=vallex&amp;frame=v-w9108f1", "zaříznout (v-w9108f1)")</f>
        <v>zaříznout (v-w9108f1)</v>
      </c>
      <c r="E68286" s="0" t="str">
        <f aca="false">HYPERLINK("https://lindat.mff.cuni.cz/services/SynSemClass40/SynSemClass40.html?veclass=vec01543#vec01543-ces-cm00011", "vec01543")</f>
        <v>vec01543</v>
      </c>
      <c r="F68286" s="0" t="s">
        <v>383</v>
      </c>
    </row>
    <row r="68287" customFormat="false" ht="12.8" hidden="false" customHeight="false" outlineLevel="0" collapsed="false">
      <c r="B68287" s="0" t="s">
        <v>1</v>
      </c>
      <c r="E68287" s="0" t="s">
        <v>31</v>
      </c>
      <c r="F68287" s="0" t="s">
        <v>49</v>
      </c>
    </row>
    <row r="68288" customFormat="false" ht="12.8" hidden="false" customHeight="false" outlineLevel="0" collapsed="false">
      <c r="B68288" s="0" t="s">
        <v>164</v>
      </c>
      <c r="E68288" s="0" t="s">
        <v>388</v>
      </c>
      <c r="F68288" s="0" t="s">
        <v>389</v>
      </c>
    </row>
    <row r="68290" customFormat="false" ht="12.8" hidden="false" customHeight="false" outlineLevel="0" collapsed="false">
      <c r="A68290" s="0" t="s">
        <v>22403</v>
      </c>
      <c r="B68290" s="0" t="str">
        <f aca="false">HYPERLINK("https://lindat.mff.cuni.cz/services/teitok/pdtc10/index.php?action=vallex&amp;frame=v-w9108hsa_1277", "zaříznout (v-w9108hsa_1277)")</f>
        <v>zaříznout (v-w9108hsa_1277)</v>
      </c>
    </row>
    <row r="68291" customFormat="false" ht="12.8" hidden="false" customHeight="false" outlineLevel="0" collapsed="false">
      <c r="B68291" s="0" t="s">
        <v>1</v>
      </c>
    </row>
    <row r="68292" customFormat="false" ht="12.8" hidden="false" customHeight="false" outlineLevel="0" collapsed="false">
      <c r="B68292" s="0" t="s">
        <v>8</v>
      </c>
    </row>
    <row r="68294" customFormat="false" ht="12.8" hidden="false" customHeight="false" outlineLevel="0" collapsed="false">
      <c r="A68294" s="0" t="s">
        <v>22404</v>
      </c>
      <c r="B68294" s="0" t="str">
        <f aca="false">HYPERLINK("https://lindat.mff.cuni.cz/services/teitok/pdtc10/index.php?action=vallex&amp;frame=v-w11911_ZUf1_ZU", "zaříznout se (v-w11911_ZUf1_ZU)")</f>
        <v>zaříznout se (v-w11911_ZUf1_ZU)</v>
      </c>
    </row>
    <row r="68295" customFormat="false" ht="12.8" hidden="false" customHeight="false" outlineLevel="0" collapsed="false">
      <c r="B68295" s="0" t="s">
        <v>1</v>
      </c>
    </row>
    <row r="68296" customFormat="false" ht="12.8" hidden="false" customHeight="false" outlineLevel="0" collapsed="false">
      <c r="B68296" s="0" t="s">
        <v>454</v>
      </c>
    </row>
    <row r="68298" customFormat="false" ht="12.8" hidden="false" customHeight="false" outlineLevel="0" collapsed="false">
      <c r="A68298" s="0" t="s">
        <v>22405</v>
      </c>
      <c r="B68298" s="0" t="str">
        <f aca="false">HYPERLINK("https://lindat.mff.cuni.cz/services/teitok/pdtc10/index.php?action=vallex&amp;frame=v-w9197f2", "zašeptat (v-w9197f2)")</f>
        <v>zašeptat (v-w9197f2)</v>
      </c>
    </row>
    <row r="68299" customFormat="false" ht="12.8" hidden="false" customHeight="false" outlineLevel="0" collapsed="false">
      <c r="B68299" s="0" t="s">
        <v>1</v>
      </c>
    </row>
    <row r="68300" customFormat="false" ht="12.8" hidden="false" customHeight="false" outlineLevel="0" collapsed="false">
      <c r="B68300" s="0" t="s">
        <v>318</v>
      </c>
    </row>
    <row r="68301" customFormat="false" ht="12.8" hidden="false" customHeight="false" outlineLevel="0" collapsed="false">
      <c r="B68301" s="0" t="s">
        <v>52</v>
      </c>
    </row>
    <row r="68303" customFormat="false" ht="12.8" hidden="false" customHeight="false" outlineLevel="0" collapsed="false">
      <c r="A68303" s="0" t="s">
        <v>22406</v>
      </c>
      <c r="B68303" s="0" t="str">
        <f aca="false">HYPERLINK("https://lindat.mff.cuni.cz/services/teitok/pdtc10/index.php?action=vallex&amp;frame=v-w9197f3", "zašeptat (v-w9197f3)")</f>
        <v>zašeptat (v-w9197f3)</v>
      </c>
      <c r="E68303" s="0" t="str">
        <f aca="false">HYPERLINK("https://lindat.mff.cuni.cz/services/SynSemClass40/SynSemClass40.html?veclass=vec01528#vec01528-ces-cm00048", "vec01528")</f>
        <v>vec01528</v>
      </c>
      <c r="F68303" s="0" t="s">
        <v>20087</v>
      </c>
    </row>
    <row r="68304" customFormat="false" ht="12.8" hidden="false" customHeight="false" outlineLevel="0" collapsed="false">
      <c r="B68304" s="0" t="s">
        <v>1</v>
      </c>
      <c r="E68304" s="0" t="s">
        <v>147</v>
      </c>
      <c r="F68304" s="0" t="s">
        <v>5874</v>
      </c>
    </row>
    <row r="68305" customFormat="false" ht="12.8" hidden="false" customHeight="false" outlineLevel="0" collapsed="false">
      <c r="B68305" s="0" t="s">
        <v>8</v>
      </c>
      <c r="E68305" s="0" t="s">
        <v>180</v>
      </c>
      <c r="F68305" s="0" t="s">
        <v>20088</v>
      </c>
    </row>
    <row r="68306" customFormat="false" ht="12.8" hidden="false" customHeight="false" outlineLevel="0" collapsed="false">
      <c r="B68306" s="0" t="s">
        <v>132</v>
      </c>
    </row>
    <row r="68308" customFormat="false" ht="12.8" hidden="false" customHeight="false" outlineLevel="0" collapsed="false">
      <c r="A68308" s="0" t="s">
        <v>22407</v>
      </c>
      <c r="B68308" s="0" t="str">
        <f aca="false">HYPERLINK("https://lindat.mff.cuni.cz/services/teitok/pdtc10/index.php?action=vallex&amp;frame=v-w9197f1", "zašeptat (v-w9197f1)")</f>
        <v>zašeptat (v-w9197f1)</v>
      </c>
      <c r="E68308" s="0" t="str">
        <f aca="false">HYPERLINK("https://lindat.mff.cuni.cz/services/SynSemClass40/SynSemClass40.html?veclass=vec01529#vec01529-ces-cm00042", "vec01529")</f>
        <v>vec01529</v>
      </c>
      <c r="F68308" s="0" t="s">
        <v>10227</v>
      </c>
    </row>
    <row r="68309" customFormat="false" ht="12.8" hidden="false" customHeight="false" outlineLevel="0" collapsed="false">
      <c r="B68309" s="0" t="s">
        <v>1</v>
      </c>
      <c r="C68309" s="0" t="s">
        <v>22408</v>
      </c>
      <c r="E68309" s="0" t="s">
        <v>147</v>
      </c>
      <c r="F68309" s="0" t="s">
        <v>10229</v>
      </c>
    </row>
    <row r="68310" customFormat="false" ht="12.8" hidden="false" customHeight="false" outlineLevel="0" collapsed="false">
      <c r="B68310" s="0" t="s">
        <v>8077</v>
      </c>
      <c r="C68310" s="0" t="s">
        <v>22409</v>
      </c>
      <c r="E68310" s="0" t="s">
        <v>2217</v>
      </c>
      <c r="F68310" s="0" t="s">
        <v>10233</v>
      </c>
    </row>
    <row r="68311" customFormat="false" ht="12.8" hidden="false" customHeight="false" outlineLevel="0" collapsed="false">
      <c r="B68311" s="0" t="s">
        <v>496</v>
      </c>
    </row>
    <row r="68312" customFormat="false" ht="12.8" hidden="false" customHeight="false" outlineLevel="0" collapsed="false">
      <c r="B68312" s="0" t="s">
        <v>132</v>
      </c>
      <c r="C68312" s="0" t="s">
        <v>22410</v>
      </c>
      <c r="E68312" s="0" t="s">
        <v>221</v>
      </c>
      <c r="F68312" s="0" t="s">
        <v>10231</v>
      </c>
    </row>
    <row r="68314" customFormat="false" ht="12.8" hidden="false" customHeight="false" outlineLevel="0" collapsed="false">
      <c r="A68314" s="0" t="s">
        <v>22411</v>
      </c>
      <c r="B68314" s="0" t="str">
        <f aca="false">HYPERLINK("https://lindat.mff.cuni.cz/services/teitok/pdtc10/index.php?action=vallex&amp;frame=v-w9198f1", "zašermovat (v-w9198f1)")</f>
        <v>zašermovat (v-w9198f1)</v>
      </c>
    </row>
    <row r="68315" customFormat="false" ht="12.8" hidden="false" customHeight="false" outlineLevel="0" collapsed="false">
      <c r="B68315" s="0" t="s">
        <v>1</v>
      </c>
    </row>
    <row r="68316" customFormat="false" ht="12.8" hidden="false" customHeight="false" outlineLevel="0" collapsed="false">
      <c r="B68316" s="0" t="s">
        <v>286</v>
      </c>
    </row>
    <row r="68317" customFormat="false" ht="12.8" hidden="false" customHeight="false" outlineLevel="0" collapsed="false">
      <c r="B68317" s="0" t="s">
        <v>4688</v>
      </c>
    </row>
    <row r="68319" customFormat="false" ht="12.8" hidden="false" customHeight="false" outlineLevel="0" collapsed="false">
      <c r="A68319" s="0" t="s">
        <v>22412</v>
      </c>
      <c r="B68319" s="0" t="str">
        <f aca="false">HYPERLINK("https://lindat.mff.cuni.cz/services/teitok/pdtc10/index.php?action=vallex&amp;frame=v-w11248f1", "zašklebit se (v-w11248f1)")</f>
        <v>zašklebit se (v-w11248f1)</v>
      </c>
      <c r="E68319" s="0" t="str">
        <f aca="false">HYPERLINK("https://lindat.mff.cuni.cz/services/SynSemClass40/SynSemClass40.html?veclass=vec01043#vec01043-ces-cm00002", "vec01043")</f>
        <v>vec01043</v>
      </c>
      <c r="F68319" s="0" t="s">
        <v>6365</v>
      </c>
    </row>
    <row r="68320" customFormat="false" ht="12.8" hidden="false" customHeight="false" outlineLevel="0" collapsed="false">
      <c r="B68320" s="0" t="s">
        <v>1</v>
      </c>
      <c r="C68320" s="0" t="s">
        <v>459</v>
      </c>
      <c r="E68320" s="0" t="s">
        <v>155</v>
      </c>
      <c r="F68320" s="0" t="s">
        <v>4232</v>
      </c>
    </row>
    <row r="68321" customFormat="false" ht="12.8" hidden="false" customHeight="false" outlineLevel="0" collapsed="false">
      <c r="B68321" s="0" t="s">
        <v>642</v>
      </c>
    </row>
    <row r="68322" customFormat="false" ht="12.8" hidden="false" customHeight="false" outlineLevel="0" collapsed="false">
      <c r="B68322" s="0" t="s">
        <v>648</v>
      </c>
    </row>
    <row r="68323" customFormat="false" ht="12.8" hidden="false" customHeight="false" outlineLevel="0" collapsed="false">
      <c r="B68323" s="0" t="s">
        <v>650</v>
      </c>
    </row>
    <row r="68324" customFormat="false" ht="12.8" hidden="false" customHeight="false" outlineLevel="0" collapsed="false">
      <c r="B68324" s="0" t="s">
        <v>652</v>
      </c>
    </row>
    <row r="68326" customFormat="false" ht="12.8" hidden="false" customHeight="false" outlineLevel="0" collapsed="false">
      <c r="A68326" s="0" t="s">
        <v>22413</v>
      </c>
      <c r="B68326" s="0" t="str">
        <f aca="false">HYPERLINK("https://lindat.mff.cuni.cz/services/teitok/pdtc10/index.php?action=vallex&amp;frame=v-whsa_1165f1_ZU", "zaškrtnout (v-whsa_1165f1_ZU)")</f>
        <v>zaškrtnout (v-whsa_1165f1_ZU)</v>
      </c>
      <c r="E68326" s="0" t="str">
        <f aca="false">HYPERLINK("https://lindat.mff.cuni.cz/services/SynSemClass40/SynSemClass40.html?veclass=vec00966#vec00966-ces-cm00080", "vec00966")</f>
        <v>vec00966</v>
      </c>
      <c r="F68326" s="0" t="s">
        <v>19822</v>
      </c>
    </row>
    <row r="68327" customFormat="false" ht="12.8" hidden="false" customHeight="false" outlineLevel="0" collapsed="false">
      <c r="B68327" s="0" t="s">
        <v>1</v>
      </c>
      <c r="E68327" s="0" t="s">
        <v>768</v>
      </c>
      <c r="F68327" s="0" t="s">
        <v>16088</v>
      </c>
    </row>
    <row r="68328" customFormat="false" ht="12.8" hidden="false" customHeight="false" outlineLevel="0" collapsed="false">
      <c r="B68328" s="0" t="s">
        <v>8</v>
      </c>
      <c r="C68328" s="0" t="s">
        <v>744</v>
      </c>
      <c r="E68328" s="0" t="s">
        <v>218</v>
      </c>
      <c r="F68328" s="0" t="s">
        <v>19823</v>
      </c>
    </row>
    <row r="68330" customFormat="false" ht="12.8" hidden="false" customHeight="false" outlineLevel="0" collapsed="false">
      <c r="A68330" s="0" t="s">
        <v>22413</v>
      </c>
      <c r="B68330" s="0" t="str">
        <f aca="false">HYPERLINK("https://lindat.mff.cuni.cz/services/teitok/pdtc10/index.php?action=vallex&amp;frame=v-whsa_1165hsa_1166", "zaškrtnout (v-whsa_1165hsa_1166) - substituted with v-whsa_1165f1_ZU")</f>
        <v>zaškrtnout (v-whsa_1165hsa_1166) - substituted with v-whsa_1165f1_ZU</v>
      </c>
    </row>
    <row r="68331" customFormat="false" ht="12.8" hidden="false" customHeight="false" outlineLevel="0" collapsed="false">
      <c r="B68331" s="0" t="s">
        <v>1</v>
      </c>
    </row>
    <row r="68332" customFormat="false" ht="12.8" hidden="false" customHeight="false" outlineLevel="0" collapsed="false">
      <c r="B68332" s="0" t="s">
        <v>8</v>
      </c>
    </row>
    <row r="68334" customFormat="false" ht="12.8" hidden="false" customHeight="false" outlineLevel="0" collapsed="false">
      <c r="A68334" s="0" t="s">
        <v>22414</v>
      </c>
      <c r="B68334" s="0" t="str">
        <f aca="false">HYPERLINK("https://lindat.mff.cuni.cz/services/teitok/pdtc10/index.php?action=vallex&amp;frame=v-w11944_ZUf1_ZU", "zašmodrchat (v-w11944_ZUf1_ZU)")</f>
        <v>zašmodrchat (v-w11944_ZUf1_ZU)</v>
      </c>
    </row>
    <row r="68335" customFormat="false" ht="12.8" hidden="false" customHeight="false" outlineLevel="0" collapsed="false">
      <c r="B68335" s="0" t="s">
        <v>1</v>
      </c>
    </row>
    <row r="68336" customFormat="false" ht="12.8" hidden="false" customHeight="false" outlineLevel="0" collapsed="false">
      <c r="B68336" s="0" t="s">
        <v>8</v>
      </c>
    </row>
    <row r="68338" customFormat="false" ht="12.8" hidden="false" customHeight="false" outlineLevel="0" collapsed="false">
      <c r="A68338" s="0" t="s">
        <v>22415</v>
      </c>
      <c r="B68338" s="0" t="str">
        <f aca="false">HYPERLINK("https://lindat.mff.cuni.cz/services/teitok/pdtc10/index.php?action=vallex&amp;frame=v-whsa_449hsa_450", "zašněrovat (v-whsa_449hsa_450)")</f>
        <v>zašněrovat (v-whsa_449hsa_450)</v>
      </c>
    </row>
    <row r="68339" customFormat="false" ht="12.8" hidden="false" customHeight="false" outlineLevel="0" collapsed="false">
      <c r="B68339" s="0" t="s">
        <v>1</v>
      </c>
    </row>
    <row r="68340" customFormat="false" ht="12.8" hidden="false" customHeight="false" outlineLevel="0" collapsed="false">
      <c r="B68340" s="0" t="s">
        <v>8</v>
      </c>
    </row>
    <row r="68342" customFormat="false" ht="12.8" hidden="false" customHeight="false" outlineLevel="0" collapsed="false">
      <c r="A68342" s="0" t="s">
        <v>22416</v>
      </c>
      <c r="B68342" s="0" t="str">
        <f aca="false">HYPERLINK("https://lindat.mff.cuni.cz/services/teitok/pdtc10/index.php?action=vallex&amp;frame=v-w11820_ZUf1_ZU", "zašoupnout (v-w11820_ZUf1_ZU)")</f>
        <v>zašoupnout (v-w11820_ZUf1_ZU)</v>
      </c>
    </row>
    <row r="68343" customFormat="false" ht="12.8" hidden="false" customHeight="false" outlineLevel="0" collapsed="false">
      <c r="B68343" s="0" t="s">
        <v>1</v>
      </c>
    </row>
    <row r="68344" customFormat="false" ht="12.8" hidden="false" customHeight="false" outlineLevel="0" collapsed="false">
      <c r="B68344" s="0" t="s">
        <v>8</v>
      </c>
    </row>
    <row r="68345" customFormat="false" ht="12.8" hidden="false" customHeight="false" outlineLevel="0" collapsed="false">
      <c r="B68345" s="0" t="s">
        <v>164</v>
      </c>
    </row>
    <row r="68347" customFormat="false" ht="12.8" hidden="false" customHeight="false" outlineLevel="0" collapsed="false">
      <c r="A68347" s="0" t="s">
        <v>22417</v>
      </c>
      <c r="B68347" s="0" t="str">
        <f aca="false">HYPERLINK("https://lindat.mff.cuni.cz/services/teitok/pdtc10/index.php?action=vallex&amp;frame=v-w9203f1", "zaštiťovat (v-w9203f1)")</f>
        <v>zaštiťovat (v-w9203f1)</v>
      </c>
    </row>
    <row r="68348" customFormat="false" ht="12.8" hidden="false" customHeight="false" outlineLevel="0" collapsed="false">
      <c r="B68348" s="0" t="s">
        <v>1</v>
      </c>
    </row>
    <row r="68349" customFormat="false" ht="12.8" hidden="false" customHeight="false" outlineLevel="0" collapsed="false">
      <c r="B68349" s="0" t="s">
        <v>8</v>
      </c>
    </row>
    <row r="68350" customFormat="false" ht="12.8" hidden="false" customHeight="false" outlineLevel="0" collapsed="false">
      <c r="B68350" s="0" t="s">
        <v>574</v>
      </c>
    </row>
    <row r="68352" customFormat="false" ht="12.8" hidden="false" customHeight="false" outlineLevel="0" collapsed="false">
      <c r="A68352" s="0" t="s">
        <v>22418</v>
      </c>
      <c r="B68352" s="0" t="str">
        <f aca="false">HYPERLINK("https://lindat.mff.cuni.cz/services/teitok/pdtc10/index.php?action=vallex&amp;frame=v-w10415f2", "zaštukovat (v-w10415f2)")</f>
        <v>zaštukovat (v-w10415f2)</v>
      </c>
    </row>
    <row r="68353" customFormat="false" ht="12.8" hidden="false" customHeight="false" outlineLevel="0" collapsed="false">
      <c r="B68353" s="0" t="s">
        <v>1</v>
      </c>
    </row>
    <row r="68354" customFormat="false" ht="12.8" hidden="false" customHeight="false" outlineLevel="0" collapsed="false">
      <c r="B68354" s="0" t="s">
        <v>8</v>
      </c>
    </row>
    <row r="68356" customFormat="false" ht="12.8" hidden="false" customHeight="false" outlineLevel="0" collapsed="false">
      <c r="A68356" s="0" t="s">
        <v>22419</v>
      </c>
      <c r="B68356" s="0" t="str">
        <f aca="false">HYPERLINK("https://lindat.mff.cuni.cz/services/teitok/pdtc10/index.php?action=vallex&amp;frame=v-w11804_ZUf1_ZU", "zaštípnout se (v-w11804_ZUf1_ZU)")</f>
        <v>zaštípnout se (v-w11804_ZUf1_ZU)</v>
      </c>
    </row>
    <row r="68357" customFormat="false" ht="12.8" hidden="false" customHeight="false" outlineLevel="0" collapsed="false">
      <c r="B68357" s="0" t="s">
        <v>1</v>
      </c>
    </row>
    <row r="68358" customFormat="false" ht="12.8" hidden="false" customHeight="false" outlineLevel="0" collapsed="false">
      <c r="B68358" s="0" t="s">
        <v>454</v>
      </c>
    </row>
    <row r="68360" customFormat="false" ht="12.8" hidden="false" customHeight="false" outlineLevel="0" collapsed="false">
      <c r="A68360" s="0" t="s">
        <v>22420</v>
      </c>
      <c r="B68360" s="0" t="str">
        <f aca="false">HYPERLINK("https://lindat.mff.cuni.cz/services/teitok/pdtc10/index.php?action=vallex&amp;frame=v-w9202f1", "zaštítit (v-w9202f1)")</f>
        <v>zaštítit (v-w9202f1)</v>
      </c>
    </row>
    <row r="68361" customFormat="false" ht="12.8" hidden="false" customHeight="false" outlineLevel="0" collapsed="false">
      <c r="B68361" s="0" t="s">
        <v>1</v>
      </c>
    </row>
    <row r="68362" customFormat="false" ht="12.8" hidden="false" customHeight="false" outlineLevel="0" collapsed="false">
      <c r="B68362" s="0" t="s">
        <v>8</v>
      </c>
    </row>
    <row r="68363" customFormat="false" ht="12.8" hidden="false" customHeight="false" outlineLevel="0" collapsed="false">
      <c r="B68363" s="0" t="s">
        <v>574</v>
      </c>
    </row>
    <row r="68365" customFormat="false" ht="12.8" hidden="false" customHeight="false" outlineLevel="0" collapsed="false">
      <c r="A68365" s="0" t="s">
        <v>22421</v>
      </c>
      <c r="B68365" s="0" t="str">
        <f aca="false">HYPERLINK("https://lindat.mff.cuni.cz/services/teitok/pdtc10/index.php?action=vallex&amp;frame=v-w9196f2", "zašátrat (v-w9196f2)")</f>
        <v>zašátrat (v-w9196f2)</v>
      </c>
      <c r="E68365" s="0" t="str">
        <f aca="false">HYPERLINK("https://lindat.mff.cuni.cz/services/SynSemClass40/SynSemClass40.html?veclass=vec01527#vec01527-ces-cm00022", "vec01527")</f>
        <v>vec01527</v>
      </c>
      <c r="F68365" s="0" t="s">
        <v>4556</v>
      </c>
    </row>
    <row r="68366" customFormat="false" ht="12.8" hidden="false" customHeight="false" outlineLevel="0" collapsed="false">
      <c r="B68366" s="0" t="s">
        <v>1</v>
      </c>
      <c r="C68366" s="0" t="s">
        <v>512</v>
      </c>
      <c r="E68366" s="0" t="s">
        <v>2263</v>
      </c>
      <c r="F68366" s="0" t="s">
        <v>4557</v>
      </c>
    </row>
    <row r="68367" customFormat="false" ht="12.8" hidden="false" customHeight="false" outlineLevel="0" collapsed="false">
      <c r="B68367" s="0" t="s">
        <v>5</v>
      </c>
      <c r="C68367" s="0" t="s">
        <v>17808</v>
      </c>
      <c r="E68367" s="0" t="s">
        <v>3254</v>
      </c>
      <c r="F68367" s="0" t="s">
        <v>4561</v>
      </c>
    </row>
    <row r="68369" customFormat="false" ht="12.8" hidden="false" customHeight="false" outlineLevel="0" collapsed="false">
      <c r="A68369" s="0" t="s">
        <v>22422</v>
      </c>
      <c r="B68369" s="0" t="str">
        <f aca="false">HYPERLINK("https://lindat.mff.cuni.cz/services/teitok/pdtc10/index.php?action=vallex&amp;frame=v-w9196f1", "zašátrat (v-w9196f1)")</f>
        <v>zašátrat (v-w9196f1)</v>
      </c>
      <c r="E68369" s="0" t="str">
        <f aca="false">HYPERLINK("https://lindat.mff.cuni.cz/services/SynSemClass40/SynSemClass40.html?veclass=vec01527#vec01527-ces-cm00021", "vec01527")</f>
        <v>vec01527</v>
      </c>
      <c r="F68369" s="0" t="s">
        <v>4556</v>
      </c>
    </row>
    <row r="68370" customFormat="false" ht="12.8" hidden="false" customHeight="false" outlineLevel="0" collapsed="false">
      <c r="B68370" s="0" t="s">
        <v>1</v>
      </c>
      <c r="C68370" s="0" t="s">
        <v>512</v>
      </c>
      <c r="E68370" s="0" t="s">
        <v>2263</v>
      </c>
      <c r="F68370" s="0" t="s">
        <v>4557</v>
      </c>
    </row>
    <row r="68371" customFormat="false" ht="12.8" hidden="false" customHeight="false" outlineLevel="0" collapsed="false">
      <c r="B68371" s="0" t="s">
        <v>164</v>
      </c>
      <c r="C68371" s="0" t="s">
        <v>22423</v>
      </c>
      <c r="E68371" s="0" t="s">
        <v>370</v>
      </c>
      <c r="F68371" s="0" t="s">
        <v>4621</v>
      </c>
    </row>
    <row r="68373" customFormat="false" ht="12.8" hidden="false" customHeight="false" outlineLevel="0" collapsed="false">
      <c r="A68373" s="0" t="s">
        <v>22424</v>
      </c>
      <c r="B68373" s="0" t="str">
        <f aca="false">HYPERLINK("https://lindat.mff.cuni.cz/services/teitok/pdtc10/index.php?action=vallex&amp;frame=v-whsa_1176hsa_1177", "zašít (v-whsa_1176hsa_1177)")</f>
        <v>zašít (v-whsa_1176hsa_1177)</v>
      </c>
    </row>
    <row r="68374" customFormat="false" ht="12.8" hidden="false" customHeight="false" outlineLevel="0" collapsed="false">
      <c r="B68374" s="0" t="s">
        <v>1</v>
      </c>
    </row>
    <row r="68375" customFormat="false" ht="12.8" hidden="false" customHeight="false" outlineLevel="0" collapsed="false">
      <c r="B68375" s="0" t="s">
        <v>8</v>
      </c>
    </row>
    <row r="68377" customFormat="false" ht="12.8" hidden="false" customHeight="false" outlineLevel="0" collapsed="false">
      <c r="A68377" s="0" t="s">
        <v>22425</v>
      </c>
      <c r="B68377" s="0" t="str">
        <f aca="false">HYPERLINK("https://lindat.mff.cuni.cz/services/teitok/pdtc10/index.php?action=vallex&amp;frame=v-w9199f1", "zašívat (v-w9199f1)")</f>
        <v>zašívat (v-w9199f1)</v>
      </c>
    </row>
    <row r="68378" customFormat="false" ht="12.8" hidden="false" customHeight="false" outlineLevel="0" collapsed="false">
      <c r="B68378" s="0" t="s">
        <v>1</v>
      </c>
    </row>
    <row r="68379" customFormat="false" ht="12.8" hidden="false" customHeight="false" outlineLevel="0" collapsed="false">
      <c r="B68379" s="0" t="s">
        <v>8</v>
      </c>
    </row>
    <row r="68381" customFormat="false" ht="12.8" hidden="false" customHeight="false" outlineLevel="0" collapsed="false">
      <c r="A68381" s="0" t="s">
        <v>22426</v>
      </c>
      <c r="B68381" s="0" t="str">
        <f aca="false">HYPERLINK("https://lindat.mff.cuni.cz/services/teitok/pdtc10/index.php?action=vallex&amp;frame=v-w11052f2", "zaťukat (v-w11052f2)")</f>
        <v>zaťukat (v-w11052f2)</v>
      </c>
      <c r="E68381" s="0" t="str">
        <f aca="false">HYPERLINK("https://lindat.mff.cuni.cz/services/SynSemClass40/SynSemClass40.html?veclass=vec01035#vec01035-ces-cm00004", "vec01035")</f>
        <v>vec01035</v>
      </c>
      <c r="F68381" s="0" t="s">
        <v>5292</v>
      </c>
    </row>
    <row r="68382" customFormat="false" ht="12.8" hidden="false" customHeight="false" outlineLevel="0" collapsed="false">
      <c r="B68382" s="0" t="s">
        <v>1</v>
      </c>
      <c r="C68382" s="0" t="s">
        <v>1752</v>
      </c>
      <c r="E68382" s="0" t="s">
        <v>31</v>
      </c>
      <c r="F68382" s="0" t="s">
        <v>5293</v>
      </c>
    </row>
    <row r="68384" customFormat="false" ht="12.8" hidden="false" customHeight="false" outlineLevel="0" collapsed="false">
      <c r="A68384" s="0" t="s">
        <v>22427</v>
      </c>
      <c r="B68384" s="0" t="str">
        <f aca="false">HYPERLINK("https://lindat.mff.cuni.cz/services/teitok/pdtc10/index.php?action=vallex&amp;frame=v-w9324f1", "zažalovat (v-w9324f1)")</f>
        <v>zažalovat (v-w9324f1)</v>
      </c>
      <c r="E68384" s="0" t="str">
        <f aca="false">HYPERLINK("https://lindat.mff.cuni.cz/services/SynSemClass40/SynSemClass40.html?veclass=vec00347#vec00347-ces-cm00020", "vec00347")</f>
        <v>vec00347</v>
      </c>
      <c r="F68384" s="0" t="s">
        <v>3748</v>
      </c>
    </row>
    <row r="68385" customFormat="false" ht="12.8" hidden="false" customHeight="false" outlineLevel="0" collapsed="false">
      <c r="B68385" s="0" t="s">
        <v>1</v>
      </c>
      <c r="C68385" s="0" t="s">
        <v>3749</v>
      </c>
      <c r="E68385" s="0" t="s">
        <v>3750</v>
      </c>
      <c r="F68385" s="0" t="s">
        <v>3751</v>
      </c>
    </row>
    <row r="68386" customFormat="false" ht="12.8" hidden="false" customHeight="false" outlineLevel="0" collapsed="false">
      <c r="B68386" s="0" t="s">
        <v>8</v>
      </c>
      <c r="C68386" s="0" t="s">
        <v>8653</v>
      </c>
      <c r="E68386" s="0" t="s">
        <v>4259</v>
      </c>
      <c r="F68386" s="0" t="s">
        <v>8654</v>
      </c>
    </row>
    <row r="68388" customFormat="false" ht="12.8" hidden="false" customHeight="false" outlineLevel="0" collapsed="false">
      <c r="A68388" s="0" t="s">
        <v>22428</v>
      </c>
      <c r="B68388" s="0" t="str">
        <f aca="false">HYPERLINK("https://lindat.mff.cuni.cz/services/teitok/pdtc10/index.php?action=vallex&amp;frame=v-w9324f2", "zažalovat (v-w9324f2)")</f>
        <v>zažalovat (v-w9324f2)</v>
      </c>
    </row>
    <row r="68389" customFormat="false" ht="12.8" hidden="false" customHeight="false" outlineLevel="0" collapsed="false">
      <c r="B68389" s="0" t="s">
        <v>1</v>
      </c>
    </row>
    <row r="68390" customFormat="false" ht="12.8" hidden="false" customHeight="false" outlineLevel="0" collapsed="false">
      <c r="B68390" s="0" t="s">
        <v>52</v>
      </c>
    </row>
    <row r="68391" customFormat="false" ht="12.8" hidden="false" customHeight="false" outlineLevel="0" collapsed="false">
      <c r="B68391" s="0" t="s">
        <v>5548</v>
      </c>
    </row>
    <row r="68392" customFormat="false" ht="12.8" hidden="false" customHeight="false" outlineLevel="0" collapsed="false">
      <c r="B68392" s="0" t="s">
        <v>69</v>
      </c>
    </row>
    <row r="68394" customFormat="false" ht="12.8" hidden="false" customHeight="false" outlineLevel="0" collapsed="false">
      <c r="A68394" s="0" t="s">
        <v>22429</v>
      </c>
      <c r="B68394" s="0" t="str">
        <f aca="false">HYPERLINK("https://lindat.mff.cuni.cz/services/teitok/pdtc10/index.php?action=vallex&amp;frame=v-w9325f1", "zažehnat (v-w9325f1)")</f>
        <v>zažehnat (v-w9325f1)</v>
      </c>
      <c r="E68394" s="0" t="str">
        <f aca="false">HYPERLINK("https://lindat.mff.cuni.cz/services/SynSemClass40/SynSemClass40.html?veclass=vec00456#vec00456-ces-cm00015", "vec00456")</f>
        <v>vec00456</v>
      </c>
      <c r="F68394" s="0" t="s">
        <v>9207</v>
      </c>
    </row>
    <row r="68395" customFormat="false" ht="12.8" hidden="false" customHeight="false" outlineLevel="0" collapsed="false">
      <c r="B68395" s="0" t="s">
        <v>1</v>
      </c>
      <c r="C68395" s="0" t="s">
        <v>1752</v>
      </c>
      <c r="E68395" s="0" t="s">
        <v>31</v>
      </c>
      <c r="F68395" s="0" t="s">
        <v>5293</v>
      </c>
    </row>
    <row r="68396" customFormat="false" ht="12.8" hidden="false" customHeight="false" outlineLevel="0" collapsed="false">
      <c r="B68396" s="0" t="s">
        <v>8</v>
      </c>
      <c r="C68396" s="0" t="s">
        <v>8841</v>
      </c>
      <c r="E68396" s="0" t="s">
        <v>384</v>
      </c>
      <c r="F68396" s="0" t="s">
        <v>9208</v>
      </c>
    </row>
    <row r="68398" customFormat="false" ht="12.8" hidden="false" customHeight="false" outlineLevel="0" collapsed="false">
      <c r="A68398" s="0" t="s">
        <v>22430</v>
      </c>
      <c r="B68398" s="0" t="str">
        <f aca="false">HYPERLINK("https://lindat.mff.cuni.cz/services/teitok/pdtc10/index.php?action=vallex&amp;frame=v-w10520f3", "zažehnout (v-w10520f3)")</f>
        <v>zažehnout (v-w10520f3)</v>
      </c>
    </row>
    <row r="68399" customFormat="false" ht="12.8" hidden="false" customHeight="false" outlineLevel="0" collapsed="false">
      <c r="B68399" s="0" t="s">
        <v>1</v>
      </c>
    </row>
    <row r="68400" customFormat="false" ht="12.8" hidden="false" customHeight="false" outlineLevel="0" collapsed="false">
      <c r="B68400" s="0" t="s">
        <v>8</v>
      </c>
    </row>
    <row r="68402" customFormat="false" ht="12.8" hidden="false" customHeight="false" outlineLevel="0" collapsed="false">
      <c r="A68402" s="0" t="s">
        <v>22431</v>
      </c>
      <c r="B68402" s="0" t="str">
        <f aca="false">HYPERLINK("https://lindat.mff.cuni.cz/services/teitok/pdtc10/index.php?action=vallex&amp;frame=v-w10520f2", "zažehnout (v-w10520f2)")</f>
        <v>zažehnout (v-w10520f2)</v>
      </c>
      <c r="E68402" s="0" t="str">
        <f aca="false">HYPERLINK("https://lindat.mff.cuni.cz/services/SynSemClass40/SynSemClass40.html?veclass=vec00038#vec00038-ces-cm00059", "vec00038")</f>
        <v>vec00038</v>
      </c>
      <c r="F68402" s="0" t="s">
        <v>74</v>
      </c>
    </row>
    <row r="68403" customFormat="false" ht="12.8" hidden="false" customHeight="false" outlineLevel="0" collapsed="false">
      <c r="B68403" s="0" t="s">
        <v>1</v>
      </c>
      <c r="C68403" s="0" t="s">
        <v>75</v>
      </c>
      <c r="E68403" s="0" t="s">
        <v>76</v>
      </c>
      <c r="F68403" s="0" t="s">
        <v>77</v>
      </c>
    </row>
    <row r="68404" customFormat="false" ht="12.8" hidden="false" customHeight="false" outlineLevel="0" collapsed="false">
      <c r="B68404" s="0" t="s">
        <v>8</v>
      </c>
      <c r="C68404" s="0" t="s">
        <v>78</v>
      </c>
      <c r="E68404" s="0" t="s">
        <v>79</v>
      </c>
      <c r="F68404" s="0" t="s">
        <v>80</v>
      </c>
    </row>
    <row r="68406" customFormat="false" ht="12.8" hidden="false" customHeight="false" outlineLevel="0" collapsed="false">
      <c r="A68406" s="0" t="s">
        <v>22432</v>
      </c>
      <c r="B68406" s="0" t="str">
        <f aca="false">HYPERLINK("https://lindat.mff.cuni.cz/services/teitok/pdtc10/index.php?action=vallex&amp;frame=v-w9323f2_ZU", "zažádat (v-w9323f2_ZU)")</f>
        <v>zažádat (v-w9323f2_ZU)</v>
      </c>
      <c r="E68406" s="0" t="str">
        <f aca="false">HYPERLINK("https://lindat.mff.cuni.cz/services/SynSemClass40/SynSemClass40.html?veclass=vec00272#vec00272-ces-cm00119", "vec00272")</f>
        <v>vec00272</v>
      </c>
      <c r="F68406" s="0" t="s">
        <v>1490</v>
      </c>
    </row>
    <row r="68407" customFormat="false" ht="12.8" hidden="false" customHeight="false" outlineLevel="0" collapsed="false">
      <c r="B68407" s="0" t="s">
        <v>1</v>
      </c>
      <c r="C68407" s="0" t="s">
        <v>1491</v>
      </c>
      <c r="E68407" s="0" t="s">
        <v>1492</v>
      </c>
      <c r="F68407" s="0" t="s">
        <v>1493</v>
      </c>
    </row>
    <row r="68408" customFormat="false" ht="12.8" hidden="false" customHeight="false" outlineLevel="0" collapsed="false">
      <c r="B68408" s="0" t="s">
        <v>814</v>
      </c>
      <c r="C68408" s="0" t="s">
        <v>1494</v>
      </c>
      <c r="E68408" s="0" t="s">
        <v>1495</v>
      </c>
      <c r="F68408" s="0" t="s">
        <v>1496</v>
      </c>
    </row>
    <row r="68409" customFormat="false" ht="12.8" hidden="false" customHeight="false" outlineLevel="0" collapsed="false">
      <c r="B68409" s="0" t="s">
        <v>98</v>
      </c>
      <c r="C68409" s="0" t="s">
        <v>12080</v>
      </c>
      <c r="E68409" s="0" t="s">
        <v>564</v>
      </c>
      <c r="F68409" s="0" t="s">
        <v>10698</v>
      </c>
    </row>
    <row r="68411" customFormat="false" ht="12.8" hidden="false" customHeight="false" outlineLevel="0" collapsed="false">
      <c r="A68411" s="0" t="s">
        <v>22433</v>
      </c>
      <c r="B68411" s="0" t="str">
        <f aca="false">HYPERLINK("https://lindat.mff.cuni.cz/services/teitok/pdtc10/index.php?action=vallex&amp;frame=v-w9323f3_ZU", "zažádat (v-w9323f3_ZU)")</f>
        <v>zažádat (v-w9323f3_ZU)</v>
      </c>
    </row>
    <row r="68412" customFormat="false" ht="12.8" hidden="false" customHeight="false" outlineLevel="0" collapsed="false">
      <c r="B68412" s="0" t="s">
        <v>1</v>
      </c>
    </row>
    <row r="68413" customFormat="false" ht="12.8" hidden="false" customHeight="false" outlineLevel="0" collapsed="false">
      <c r="B68413" s="0" t="s">
        <v>22434</v>
      </c>
    </row>
    <row r="68415" customFormat="false" ht="12.8" hidden="false" customHeight="false" outlineLevel="0" collapsed="false">
      <c r="A68415" s="0" t="s">
        <v>22433</v>
      </c>
      <c r="B68415" s="0" t="str">
        <f aca="false">HYPERLINK("https://lindat.mff.cuni.cz/services/teitok/pdtc10/index.php?action=vallex&amp;frame=v-w9323f1", "zažádat (v-w9323f1) - substituted with v-w9323f3_ZU")</f>
        <v>zažádat (v-w9323f1) - substituted with v-w9323f3_ZU</v>
      </c>
      <c r="E68415" s="0" t="str">
        <f aca="false">HYPERLINK("https://lindat.mff.cuni.cz/services/SynSemClass40/SynSemClass40.html?veclass=vec00272#vec00272-ces-cm00095", "vec00272")</f>
        <v>vec00272</v>
      </c>
      <c r="F68415" s="0" t="s">
        <v>1490</v>
      </c>
      <c r="H68415" s="0" t="str">
        <f aca="false">HYPERLINK("https://lindat.mff.cuni.cz/services/SynSemClass40/SynSemClass40.html?veclass=vec01290#vec01290-ces-cm00006", "vec01290")</f>
        <v>vec01290</v>
      </c>
      <c r="I68415" s="0" t="s">
        <v>12066</v>
      </c>
    </row>
    <row r="68416" customFormat="false" ht="12.8" hidden="false" customHeight="false" outlineLevel="0" collapsed="false">
      <c r="B68416" s="0" t="s">
        <v>1</v>
      </c>
      <c r="C68416" s="0" t="s">
        <v>18718</v>
      </c>
      <c r="E68416" s="0" t="s">
        <v>1492</v>
      </c>
      <c r="F68416" s="0" t="s">
        <v>1493</v>
      </c>
      <c r="H68416" s="0" t="s">
        <v>1492</v>
      </c>
      <c r="I68416" s="0" t="s">
        <v>12068</v>
      </c>
    </row>
    <row r="68417" customFormat="false" ht="12.8" hidden="false" customHeight="false" outlineLevel="0" collapsed="false">
      <c r="B68417" s="0" t="s">
        <v>22434</v>
      </c>
      <c r="C68417" s="0" t="s">
        <v>18719</v>
      </c>
      <c r="E68417" s="0" t="s">
        <v>1495</v>
      </c>
      <c r="F68417" s="0" t="s">
        <v>1496</v>
      </c>
      <c r="H68417" s="0" t="s">
        <v>1495</v>
      </c>
      <c r="I68417" s="0" t="s">
        <v>12071</v>
      </c>
    </row>
    <row r="68419" customFormat="false" ht="12.8" hidden="false" customHeight="false" outlineLevel="0" collapsed="false">
      <c r="A68419" s="0" t="s">
        <v>22435</v>
      </c>
      <c r="B68419" s="0" t="str">
        <f aca="false">HYPERLINK("https://lindat.mff.cuni.cz/services/teitok/pdtc10/index.php?action=vallex&amp;frame=v-w9326f1", "zažíhat (v-w9326f1)")</f>
        <v>zažíhat (v-w9326f1)</v>
      </c>
    </row>
    <row r="68420" customFormat="false" ht="12.8" hidden="false" customHeight="false" outlineLevel="0" collapsed="false">
      <c r="B68420" s="0" t="s">
        <v>1</v>
      </c>
    </row>
    <row r="68421" customFormat="false" ht="12.8" hidden="false" customHeight="false" outlineLevel="0" collapsed="false">
      <c r="B68421" s="0" t="s">
        <v>8</v>
      </c>
    </row>
    <row r="68423" customFormat="false" ht="12.8" hidden="false" customHeight="false" outlineLevel="0" collapsed="false">
      <c r="A68423" s="0" t="s">
        <v>22436</v>
      </c>
      <c r="B68423" s="0" t="str">
        <f aca="false">HYPERLINK("https://lindat.mff.cuni.cz/services/teitok/pdtc10/index.php?action=vallex&amp;frame=v-w9327f5_ZU", "zažít (v-w9327f5_ZU)")</f>
        <v>zažít (v-w9327f5_ZU)</v>
      </c>
    </row>
    <row r="68424" customFormat="false" ht="12.8" hidden="false" customHeight="false" outlineLevel="0" collapsed="false">
      <c r="B68424" s="0" t="s">
        <v>1</v>
      </c>
    </row>
    <row r="68425" customFormat="false" ht="12.8" hidden="false" customHeight="false" outlineLevel="0" collapsed="false">
      <c r="B68425" s="0" t="s">
        <v>22437</v>
      </c>
    </row>
    <row r="68426" customFormat="false" ht="12.8" hidden="false" customHeight="false" outlineLevel="0" collapsed="false">
      <c r="B68426" s="0" t="s">
        <v>602</v>
      </c>
    </row>
    <row r="68428" customFormat="false" ht="12.8" hidden="false" customHeight="false" outlineLevel="0" collapsed="false">
      <c r="A68428" s="0" t="s">
        <v>22436</v>
      </c>
      <c r="B68428" s="0" t="str">
        <f aca="false">HYPERLINK("https://lindat.mff.cuni.cz/services/teitok/pdtc10/index.php?action=vallex&amp;frame=v-w9327f1", "zažít (v-w9327f1) - substituted with v-w9327f5_ZU")</f>
        <v>zažít (v-w9327f1) - substituted with v-w9327f5_ZU</v>
      </c>
      <c r="E68428" s="0" t="str">
        <f aca="false">HYPERLINK("https://lindat.mff.cuni.cz/services/SynSemClass40/SynSemClass40.html?veclass=vec00379#vec00379-ces-cm00001", "vec00379")</f>
        <v>vec00379</v>
      </c>
      <c r="F68428" s="0" t="s">
        <v>10883</v>
      </c>
    </row>
    <row r="68429" customFormat="false" ht="12.8" hidden="false" customHeight="false" outlineLevel="0" collapsed="false">
      <c r="B68429" s="0" t="s">
        <v>1</v>
      </c>
      <c r="C68429" s="0" t="s">
        <v>10884</v>
      </c>
      <c r="E68429" s="0" t="s">
        <v>266</v>
      </c>
      <c r="F68429" s="0" t="s">
        <v>10885</v>
      </c>
    </row>
    <row r="68430" customFormat="false" ht="12.8" hidden="false" customHeight="false" outlineLevel="0" collapsed="false">
      <c r="B68430" s="0" t="s">
        <v>22437</v>
      </c>
      <c r="C68430" s="0" t="s">
        <v>10886</v>
      </c>
      <c r="E68430" s="0" t="s">
        <v>10887</v>
      </c>
      <c r="F68430" s="0" t="s">
        <v>10888</v>
      </c>
    </row>
    <row r="68431" customFormat="false" ht="12.8" hidden="false" customHeight="false" outlineLevel="0" collapsed="false">
      <c r="B68431" s="0" t="s">
        <v>602</v>
      </c>
    </row>
    <row r="68433" customFormat="false" ht="12.8" hidden="false" customHeight="false" outlineLevel="0" collapsed="false">
      <c r="A68433" s="0" t="s">
        <v>22436</v>
      </c>
      <c r="B68433" s="0" t="str">
        <f aca="false">HYPERLINK("https://lindat.mff.cuni.cz/services/teitok/pdtc10/index.php?action=vallex&amp;frame=v-w9327f3_ZU", "zažít (v-w9327f3_ZU) - substituted with v-w9327f5_ZU")</f>
        <v>zažít (v-w9327f3_ZU) - substituted with v-w9327f5_ZU</v>
      </c>
    </row>
    <row r="68434" customFormat="false" ht="12.8" hidden="false" customHeight="false" outlineLevel="0" collapsed="false">
      <c r="B68434" s="0" t="s">
        <v>1</v>
      </c>
    </row>
    <row r="68435" customFormat="false" ht="12.8" hidden="false" customHeight="false" outlineLevel="0" collapsed="false">
      <c r="B68435" s="0" t="s">
        <v>22437</v>
      </c>
    </row>
    <row r="68436" customFormat="false" ht="12.8" hidden="false" customHeight="false" outlineLevel="0" collapsed="false">
      <c r="B68436" s="0" t="s">
        <v>602</v>
      </c>
    </row>
    <row r="68438" customFormat="false" ht="12.8" hidden="false" customHeight="false" outlineLevel="0" collapsed="false">
      <c r="A68438" s="0" t="s">
        <v>22436</v>
      </c>
      <c r="B68438" s="0" t="str">
        <f aca="false">HYPERLINK("https://lindat.mff.cuni.cz/services/teitok/pdtc10/index.php?action=vallex&amp;frame=v-w9327f4_ZU", "zažít (v-w9327f4_ZU) - substituted with v-w9327f5_ZU")</f>
        <v>zažít (v-w9327f4_ZU) - substituted with v-w9327f5_ZU</v>
      </c>
    </row>
    <row r="68439" customFormat="false" ht="12.8" hidden="false" customHeight="false" outlineLevel="0" collapsed="false">
      <c r="B68439" s="0" t="s">
        <v>1</v>
      </c>
    </row>
    <row r="68440" customFormat="false" ht="12.8" hidden="false" customHeight="false" outlineLevel="0" collapsed="false">
      <c r="B68440" s="0" t="s">
        <v>22437</v>
      </c>
    </row>
    <row r="68441" customFormat="false" ht="12.8" hidden="false" customHeight="false" outlineLevel="0" collapsed="false">
      <c r="B68441" s="0" t="s">
        <v>602</v>
      </c>
    </row>
    <row r="68443" customFormat="false" ht="12.8" hidden="false" customHeight="false" outlineLevel="0" collapsed="false">
      <c r="A68443" s="0" t="s">
        <v>22436</v>
      </c>
      <c r="B68443" s="0" t="str">
        <f aca="false">HYPERLINK("https://lindat.mff.cuni.cz/services/teitok/pdtc10/index.php?action=vallex&amp;frame=v-w9327hsa_769", "zažít (v-w9327hsa_769) - substituted with v-w9327f5_ZU")</f>
        <v>zažít (v-w9327hsa_769) - substituted with v-w9327f5_ZU</v>
      </c>
    </row>
    <row r="68444" customFormat="false" ht="12.8" hidden="false" customHeight="false" outlineLevel="0" collapsed="false">
      <c r="B68444" s="0" t="s">
        <v>1</v>
      </c>
    </row>
    <row r="68445" customFormat="false" ht="12.8" hidden="false" customHeight="false" outlineLevel="0" collapsed="false">
      <c r="B68445" s="0" t="s">
        <v>22437</v>
      </c>
    </row>
    <row r="68446" customFormat="false" ht="12.8" hidden="false" customHeight="false" outlineLevel="0" collapsed="false">
      <c r="B68446" s="0" t="s">
        <v>602</v>
      </c>
    </row>
    <row r="68448" customFormat="false" ht="12.8" hidden="false" customHeight="false" outlineLevel="0" collapsed="false">
      <c r="A68448" s="0" t="s">
        <v>22438</v>
      </c>
      <c r="B68448" s="0" t="str">
        <f aca="false">HYPERLINK("https://lindat.mff.cuni.cz/services/teitok/pdtc10/index.php?action=vallex&amp;frame=v-w9327f2", "zažít (v-w9327f2)")</f>
        <v>zažít (v-w9327f2)</v>
      </c>
    </row>
    <row r="68449" customFormat="false" ht="12.8" hidden="false" customHeight="false" outlineLevel="0" collapsed="false">
      <c r="B68449" s="0" t="s">
        <v>1</v>
      </c>
    </row>
    <row r="68450" customFormat="false" ht="12.8" hidden="false" customHeight="false" outlineLevel="0" collapsed="false">
      <c r="B68450" s="0" t="s">
        <v>12959</v>
      </c>
    </row>
    <row r="68451" customFormat="false" ht="12.8" hidden="false" customHeight="false" outlineLevel="0" collapsed="false">
      <c r="B68451" s="0" t="s">
        <v>228</v>
      </c>
    </row>
    <row r="68453" customFormat="false" ht="12.8" hidden="false" customHeight="false" outlineLevel="0" collapsed="false">
      <c r="A68453" s="0" t="s">
        <v>22439</v>
      </c>
      <c r="B68453" s="0" t="str">
        <f aca="false">HYPERLINK("https://lindat.mff.cuni.cz/services/teitok/pdtc10/index.php?action=vallex&amp;frame=v-w9329f1", "zažít se (v-w9329f1)")</f>
        <v>zažít se (v-w9329f1)</v>
      </c>
    </row>
    <row r="68454" customFormat="false" ht="12.8" hidden="false" customHeight="false" outlineLevel="0" collapsed="false">
      <c r="B68454" s="0" t="s">
        <v>1</v>
      </c>
    </row>
    <row r="68456" customFormat="false" ht="12.8" hidden="false" customHeight="false" outlineLevel="0" collapsed="false">
      <c r="A68456" s="0" t="s">
        <v>22440</v>
      </c>
      <c r="B68456" s="0" t="str">
        <f aca="false">HYPERLINK("https://lindat.mff.cuni.cz/services/teitok/pdtc10/index.php?action=vallex&amp;frame=v-w9331f1", "zažívat (v-w9331f1)")</f>
        <v>zažívat (v-w9331f1)</v>
      </c>
      <c r="E68456" s="0" t="str">
        <f aca="false">HYPERLINK("https://lindat.mff.cuni.cz/services/SynSemClass40/SynSemClass40.html?veclass=vec00379#vec00379-ces-cm00032", "vec00379")</f>
        <v>vec00379</v>
      </c>
      <c r="F68456" s="0" t="s">
        <v>10883</v>
      </c>
    </row>
    <row r="68457" customFormat="false" ht="12.8" hidden="false" customHeight="false" outlineLevel="0" collapsed="false">
      <c r="B68457" s="0" t="s">
        <v>1</v>
      </c>
      <c r="C68457" s="0" t="s">
        <v>10884</v>
      </c>
      <c r="E68457" s="0" t="s">
        <v>266</v>
      </c>
      <c r="F68457" s="0" t="s">
        <v>10885</v>
      </c>
    </row>
    <row r="68458" customFormat="false" ht="12.8" hidden="false" customHeight="false" outlineLevel="0" collapsed="false">
      <c r="B68458" s="0" t="s">
        <v>59</v>
      </c>
      <c r="C68458" s="0" t="s">
        <v>10886</v>
      </c>
      <c r="E68458" s="0" t="s">
        <v>10887</v>
      </c>
      <c r="F68458" s="0" t="s">
        <v>10888</v>
      </c>
    </row>
    <row r="68460" customFormat="false" ht="12.8" hidden="false" customHeight="false" outlineLevel="0" collapsed="false">
      <c r="A68460" s="0" t="s">
        <v>22441</v>
      </c>
      <c r="B68460" s="0" t="str">
        <f aca="false">HYPERLINK("https://lindat.mff.cuni.cz/services/teitok/pdtc10/index.php?action=vallex&amp;frame=v-w12282_ZUf2_MM", "zbandat (v-w12282_ZUf2_MM)")</f>
        <v>zbandat (v-w12282_ZUf2_MM)</v>
      </c>
    </row>
    <row r="68461" customFormat="false" ht="12.8" hidden="false" customHeight="false" outlineLevel="0" collapsed="false">
      <c r="B68461" s="0" t="s">
        <v>1</v>
      </c>
    </row>
    <row r="68462" customFormat="false" ht="12.8" hidden="false" customHeight="false" outlineLevel="0" collapsed="false">
      <c r="B68462" s="0" t="s">
        <v>98</v>
      </c>
    </row>
    <row r="68463" customFormat="false" ht="12.8" hidden="false" customHeight="false" outlineLevel="0" collapsed="false">
      <c r="B68463" s="0" t="s">
        <v>22442</v>
      </c>
    </row>
    <row r="68465" customFormat="false" ht="12.8" hidden="false" customHeight="false" outlineLevel="0" collapsed="false">
      <c r="A68465" s="0" t="s">
        <v>22441</v>
      </c>
      <c r="B68465" s="0" t="str">
        <f aca="false">HYPERLINK("https://lindat.mff.cuni.cz/services/teitok/pdtc10/index.php?action=vallex&amp;frame=v-w12282_ZUf1_ZU", "zbandat (v-w12282_ZUf1_ZU) - substituted with v-w12282_ZUf2_MM")</f>
        <v>zbandat (v-w12282_ZUf1_ZU) - substituted with v-w12282_ZUf2_MM</v>
      </c>
    </row>
    <row r="68466" customFormat="false" ht="12.8" hidden="false" customHeight="false" outlineLevel="0" collapsed="false">
      <c r="B68466" s="0" t="s">
        <v>1</v>
      </c>
    </row>
    <row r="68467" customFormat="false" ht="12.8" hidden="false" customHeight="false" outlineLevel="0" collapsed="false">
      <c r="B68467" s="0" t="s">
        <v>98</v>
      </c>
    </row>
    <row r="68468" customFormat="false" ht="12.8" hidden="false" customHeight="false" outlineLevel="0" collapsed="false">
      <c r="B68468" s="0" t="s">
        <v>22442</v>
      </c>
    </row>
    <row r="68470" customFormat="false" ht="12.8" hidden="false" customHeight="false" outlineLevel="0" collapsed="false">
      <c r="A68470" s="0" t="s">
        <v>22443</v>
      </c>
      <c r="B68470" s="0" t="str">
        <f aca="false">HYPERLINK("https://lindat.mff.cuni.cz/services/teitok/pdtc10/index.php?action=vallex&amp;frame=v-whsa_2029hsa_2030", "zbankat (v-whsa_2029hsa_2030)")</f>
        <v>zbankat (v-whsa_2029hsa_2030)</v>
      </c>
    </row>
    <row r="68471" customFormat="false" ht="12.8" hidden="false" customHeight="false" outlineLevel="0" collapsed="false">
      <c r="B68471" s="0" t="s">
        <v>1</v>
      </c>
    </row>
    <row r="68472" customFormat="false" ht="12.8" hidden="false" customHeight="false" outlineLevel="0" collapsed="false">
      <c r="B68472" s="0" t="s">
        <v>98</v>
      </c>
    </row>
    <row r="68473" customFormat="false" ht="12.8" hidden="false" customHeight="false" outlineLevel="0" collapsed="false">
      <c r="B68473" s="0" t="s">
        <v>22444</v>
      </c>
    </row>
    <row r="68475" customFormat="false" ht="12.8" hidden="false" customHeight="false" outlineLevel="0" collapsed="false">
      <c r="A68475" s="0" t="s">
        <v>22445</v>
      </c>
      <c r="B68475" s="0" t="str">
        <f aca="false">HYPERLINK("https://lindat.mff.cuni.cz/services/teitok/pdtc10/index.php?action=vallex&amp;frame=v-w9332f1", "zbankrotovat (v-w9332f1)")</f>
        <v>zbankrotovat (v-w9332f1)</v>
      </c>
      <c r="E68475" s="0" t="str">
        <f aca="false">HYPERLINK("https://lindat.mff.cuni.cz/services/SynSemClass40/SynSemClass40.html?veclass=vec00599#vec00599-ces-cm00045", "vec00599")</f>
        <v>vec00599</v>
      </c>
      <c r="F68475" s="0" t="s">
        <v>4593</v>
      </c>
    </row>
    <row r="68476" customFormat="false" ht="12.8" hidden="false" customHeight="false" outlineLevel="0" collapsed="false">
      <c r="B68476" s="0" t="s">
        <v>1</v>
      </c>
      <c r="C68476" s="0" t="s">
        <v>4594</v>
      </c>
      <c r="E68476" s="0" t="s">
        <v>4595</v>
      </c>
      <c r="F68476" s="0" t="s">
        <v>4596</v>
      </c>
    </row>
    <row r="68478" customFormat="false" ht="12.8" hidden="false" customHeight="false" outlineLevel="0" collapsed="false">
      <c r="A68478" s="0" t="s">
        <v>22446</v>
      </c>
      <c r="B68478" s="0" t="str">
        <f aca="false">HYPERLINK("https://lindat.mff.cuni.cz/services/teitok/pdtc10/index.php?action=vallex&amp;frame=v-w10209f2", "zbarvit (v-w10209f2)")</f>
        <v>zbarvit (v-w10209f2)</v>
      </c>
      <c r="E68478" s="0" t="str">
        <f aca="false">HYPERLINK("https://lindat.mff.cuni.cz/services/SynSemClass40/SynSemClass40.html?veclass=vec01481#vec01481-ces-cm00004", "vec01481")</f>
        <v>vec01481</v>
      </c>
      <c r="F68478" s="0" t="s">
        <v>254</v>
      </c>
    </row>
    <row r="68479" customFormat="false" ht="12.8" hidden="false" customHeight="false" outlineLevel="0" collapsed="false">
      <c r="B68479" s="0" t="s">
        <v>1</v>
      </c>
      <c r="C68479" s="0" t="s">
        <v>255</v>
      </c>
      <c r="E68479" s="0" t="s">
        <v>84</v>
      </c>
      <c r="F68479" s="0" t="s">
        <v>256</v>
      </c>
    </row>
    <row r="68480" customFormat="false" ht="12.8" hidden="false" customHeight="false" outlineLevel="0" collapsed="false">
      <c r="B68480" s="0" t="s">
        <v>8</v>
      </c>
      <c r="C68480" s="0" t="s">
        <v>257</v>
      </c>
      <c r="E68480" s="0" t="s">
        <v>87</v>
      </c>
      <c r="F68480" s="0" t="s">
        <v>258</v>
      </c>
    </row>
    <row r="68481" customFormat="false" ht="12.8" hidden="false" customHeight="false" outlineLevel="0" collapsed="false">
      <c r="B68481" s="0" t="s">
        <v>852</v>
      </c>
      <c r="C68481" s="0" t="s">
        <v>22447</v>
      </c>
      <c r="E68481" s="0" t="s">
        <v>22448</v>
      </c>
      <c r="F68481" s="0" t="s">
        <v>22449</v>
      </c>
    </row>
    <row r="68483" customFormat="false" ht="12.8" hidden="false" customHeight="false" outlineLevel="0" collapsed="false">
      <c r="A68483" s="0" t="s">
        <v>22450</v>
      </c>
      <c r="B68483" s="0" t="str">
        <f aca="false">HYPERLINK("https://lindat.mff.cuni.cz/services/teitok/pdtc10/index.php?action=vallex&amp;frame=v-whsa_490hsa_491", "zbarvit se (v-whsa_490hsa_491)")</f>
        <v>zbarvit se (v-whsa_490hsa_491)</v>
      </c>
    </row>
    <row r="68484" customFormat="false" ht="12.8" hidden="false" customHeight="false" outlineLevel="0" collapsed="false">
      <c r="B68484" s="0" t="s">
        <v>1</v>
      </c>
    </row>
    <row r="68486" customFormat="false" ht="12.8" hidden="false" customHeight="false" outlineLevel="0" collapsed="false">
      <c r="A68486" s="0" t="s">
        <v>22451</v>
      </c>
      <c r="B68486" s="0" t="str">
        <f aca="false">HYPERLINK("https://lindat.mff.cuni.cz/services/teitok/pdtc10/index.php?action=vallex&amp;frame=v-w9335f1", "zbavit (v-w9335f1)")</f>
        <v>zbavit (v-w9335f1)</v>
      </c>
      <c r="E68486" s="0" t="str">
        <f aca="false">HYPERLINK("https://lindat.mff.cuni.cz/services/SynSemClass40/SynSemClass40.html?veclass=vec00595#vec00595-ces-cm00008", "vec00595")</f>
        <v>vec00595</v>
      </c>
      <c r="F68486" s="0" t="s">
        <v>9863</v>
      </c>
    </row>
    <row r="68487" customFormat="false" ht="12.8" hidden="false" customHeight="false" outlineLevel="0" collapsed="false">
      <c r="B68487" s="0" t="s">
        <v>1</v>
      </c>
      <c r="C68487" s="0" t="s">
        <v>3288</v>
      </c>
      <c r="E68487" s="0" t="s">
        <v>206</v>
      </c>
      <c r="F68487" s="0" t="s">
        <v>9275</v>
      </c>
    </row>
    <row r="68488" customFormat="false" ht="12.8" hidden="false" customHeight="false" outlineLevel="0" collapsed="false">
      <c r="B68488" s="0" t="s">
        <v>1289</v>
      </c>
      <c r="C68488" s="0" t="s">
        <v>22452</v>
      </c>
      <c r="E68488" s="0" t="s">
        <v>532</v>
      </c>
      <c r="F68488" s="0" t="s">
        <v>22453</v>
      </c>
    </row>
    <row r="68489" customFormat="false" ht="12.8" hidden="false" customHeight="false" outlineLevel="0" collapsed="false">
      <c r="B68489" s="0" t="s">
        <v>98</v>
      </c>
      <c r="C68489" s="0" t="s">
        <v>22454</v>
      </c>
      <c r="E68489" s="0" t="s">
        <v>2305</v>
      </c>
      <c r="F68489" s="0" t="s">
        <v>22455</v>
      </c>
    </row>
    <row r="68491" customFormat="false" ht="12.8" hidden="false" customHeight="false" outlineLevel="0" collapsed="false">
      <c r="A68491" s="0" t="s">
        <v>22456</v>
      </c>
      <c r="B68491" s="0" t="str">
        <f aca="false">HYPERLINK("https://lindat.mff.cuni.cz/services/teitok/pdtc10/index.php?action=vallex&amp;frame=v-w9336f1", "zbavit se (v-w9336f1)")</f>
        <v>zbavit se (v-w9336f1)</v>
      </c>
      <c r="E68491" s="0" t="str">
        <f aca="false">HYPERLINK("https://lindat.mff.cuni.cz/services/SynSemClass40/SynSemClass40.html?veclass=vec00380#vec00380-ces-cm00001", "vec00380")</f>
        <v>vec00380</v>
      </c>
      <c r="F68491" s="0" t="s">
        <v>4414</v>
      </c>
    </row>
    <row r="68492" customFormat="false" ht="12.8" hidden="false" customHeight="false" outlineLevel="0" collapsed="false">
      <c r="B68492" s="0" t="s">
        <v>1</v>
      </c>
      <c r="C68492" s="0" t="s">
        <v>4415</v>
      </c>
      <c r="E68492" s="0" t="s">
        <v>4416</v>
      </c>
      <c r="F68492" s="0" t="s">
        <v>4417</v>
      </c>
    </row>
    <row r="68493" customFormat="false" ht="12.8" hidden="false" customHeight="false" outlineLevel="0" collapsed="false">
      <c r="B68493" s="0" t="s">
        <v>1289</v>
      </c>
      <c r="C68493" s="0" t="s">
        <v>4418</v>
      </c>
      <c r="E68493" s="0" t="s">
        <v>532</v>
      </c>
      <c r="F68493" s="0" t="s">
        <v>4419</v>
      </c>
    </row>
    <row r="68495" customFormat="false" ht="12.8" hidden="false" customHeight="false" outlineLevel="0" collapsed="false">
      <c r="A68495" s="0" t="s">
        <v>22457</v>
      </c>
      <c r="B68495" s="0" t="str">
        <f aca="false">HYPERLINK("https://lindat.mff.cuni.cz/services/teitok/pdtc10/index.php?action=vallex&amp;frame=v-w9337f1", "zbavovat (v-w9337f1)")</f>
        <v>zbavovat (v-w9337f1)</v>
      </c>
      <c r="E68495" s="0" t="str">
        <f aca="false">HYPERLINK("https://lindat.mff.cuni.cz/services/SynSemClass40/SynSemClass40.html?veclass=vec00595#vec00595-ces-cm00021", "vec00595")</f>
        <v>vec00595</v>
      </c>
      <c r="F68495" s="0" t="s">
        <v>9863</v>
      </c>
    </row>
    <row r="68496" customFormat="false" ht="12.8" hidden="false" customHeight="false" outlineLevel="0" collapsed="false">
      <c r="B68496" s="0" t="s">
        <v>1</v>
      </c>
      <c r="C68496" s="0" t="s">
        <v>3288</v>
      </c>
      <c r="E68496" s="0" t="s">
        <v>206</v>
      </c>
      <c r="F68496" s="0" t="s">
        <v>9275</v>
      </c>
    </row>
    <row r="68497" customFormat="false" ht="12.8" hidden="false" customHeight="false" outlineLevel="0" collapsed="false">
      <c r="B68497" s="0" t="s">
        <v>1289</v>
      </c>
      <c r="C68497" s="0" t="s">
        <v>22452</v>
      </c>
      <c r="E68497" s="0" t="s">
        <v>532</v>
      </c>
      <c r="F68497" s="0" t="s">
        <v>22453</v>
      </c>
    </row>
    <row r="68498" customFormat="false" ht="12.8" hidden="false" customHeight="false" outlineLevel="0" collapsed="false">
      <c r="B68498" s="0" t="s">
        <v>98</v>
      </c>
      <c r="C68498" s="0" t="s">
        <v>22454</v>
      </c>
      <c r="E68498" s="0" t="s">
        <v>2305</v>
      </c>
      <c r="F68498" s="0" t="s">
        <v>22455</v>
      </c>
    </row>
    <row r="68500" customFormat="false" ht="12.8" hidden="false" customHeight="false" outlineLevel="0" collapsed="false">
      <c r="A68500" s="0" t="s">
        <v>22458</v>
      </c>
      <c r="B68500" s="0" t="str">
        <f aca="false">HYPERLINK("https://lindat.mff.cuni.cz/services/teitok/pdtc10/index.php?action=vallex&amp;frame=v-w9338f1", "zbavovat se (v-w9338f1)")</f>
        <v>zbavovat se (v-w9338f1)</v>
      </c>
      <c r="E68500" s="0" t="str">
        <f aca="false">HYPERLINK("https://lindat.mff.cuni.cz/services/SynSemClass40/SynSemClass40.html?veclass=vec00380#vec00380-ces-cm00057", "vec00380")</f>
        <v>vec00380</v>
      </c>
      <c r="F68500" s="0" t="s">
        <v>4414</v>
      </c>
    </row>
    <row r="68501" customFormat="false" ht="12.8" hidden="false" customHeight="false" outlineLevel="0" collapsed="false">
      <c r="B68501" s="0" t="s">
        <v>1</v>
      </c>
      <c r="C68501" s="0" t="s">
        <v>4415</v>
      </c>
      <c r="E68501" s="0" t="s">
        <v>4416</v>
      </c>
      <c r="F68501" s="0" t="s">
        <v>4417</v>
      </c>
    </row>
    <row r="68502" customFormat="false" ht="12.8" hidden="false" customHeight="false" outlineLevel="0" collapsed="false">
      <c r="B68502" s="0" t="s">
        <v>1289</v>
      </c>
      <c r="C68502" s="0" t="s">
        <v>4418</v>
      </c>
      <c r="E68502" s="0" t="s">
        <v>532</v>
      </c>
      <c r="F68502" s="0" t="s">
        <v>4419</v>
      </c>
    </row>
    <row r="68504" customFormat="false" ht="12.8" hidden="false" customHeight="false" outlineLevel="0" collapsed="false">
      <c r="A68504" s="0" t="s">
        <v>22459</v>
      </c>
      <c r="B68504" s="0" t="str">
        <f aca="false">HYPERLINK("https://lindat.mff.cuni.cz/services/teitok/pdtc10/index.php?action=vallex&amp;frame=v-whsa_360hsa_361", "zbaštit (v-whsa_360hsa_361)")</f>
        <v>zbaštit (v-whsa_360hsa_361)</v>
      </c>
    </row>
    <row r="68505" customFormat="false" ht="12.8" hidden="false" customHeight="false" outlineLevel="0" collapsed="false">
      <c r="B68505" s="0" t="s">
        <v>1</v>
      </c>
    </row>
    <row r="68506" customFormat="false" ht="12.8" hidden="false" customHeight="false" outlineLevel="0" collapsed="false">
      <c r="B68506" s="0" t="s">
        <v>8</v>
      </c>
    </row>
    <row r="68508" customFormat="false" ht="12.8" hidden="false" customHeight="false" outlineLevel="0" collapsed="false">
      <c r="A68508" s="0" t="s">
        <v>22460</v>
      </c>
      <c r="B68508" s="0" t="str">
        <f aca="false">HYPERLINK("https://lindat.mff.cuni.cz/services/teitok/pdtc10/index.php?action=vallex&amp;frame=v-w9343f1", "zblbnout (v-w9343f1)")</f>
        <v>zblbnout (v-w9343f1)</v>
      </c>
    </row>
    <row r="68509" customFormat="false" ht="12.8" hidden="false" customHeight="false" outlineLevel="0" collapsed="false">
      <c r="B68509" s="0" t="s">
        <v>1</v>
      </c>
    </row>
    <row r="68511" customFormat="false" ht="12.8" hidden="false" customHeight="false" outlineLevel="0" collapsed="false">
      <c r="A68511" s="0" t="s">
        <v>22461</v>
      </c>
      <c r="B68511" s="0" t="str">
        <f aca="false">HYPERLINK("https://lindat.mff.cuni.cz/services/teitok/pdtc10/index.php?action=vallex&amp;frame=v-w9344f1", "zblokovat (v-w9344f1)")</f>
        <v>zblokovat (v-w9344f1)</v>
      </c>
    </row>
    <row r="68512" customFormat="false" ht="12.8" hidden="false" customHeight="false" outlineLevel="0" collapsed="false">
      <c r="B68512" s="0" t="s">
        <v>1</v>
      </c>
    </row>
    <row r="68513" customFormat="false" ht="12.8" hidden="false" customHeight="false" outlineLevel="0" collapsed="false">
      <c r="B68513" s="0" t="s">
        <v>8</v>
      </c>
    </row>
    <row r="68515" customFormat="false" ht="12.8" hidden="false" customHeight="false" outlineLevel="0" collapsed="false">
      <c r="A68515" s="0" t="s">
        <v>22462</v>
      </c>
      <c r="B68515" s="0" t="str">
        <f aca="false">HYPERLINK("https://lindat.mff.cuni.cz/services/teitok/pdtc10/index.php?action=vallex&amp;frame=v-w9342f1", "zbláznit se (v-w9342f1)")</f>
        <v>zbláznit se (v-w9342f1)</v>
      </c>
    </row>
    <row r="68516" customFormat="false" ht="12.8" hidden="false" customHeight="false" outlineLevel="0" collapsed="false">
      <c r="B68516" s="0" t="s">
        <v>1</v>
      </c>
    </row>
    <row r="68518" customFormat="false" ht="12.8" hidden="false" customHeight="false" outlineLevel="0" collapsed="false">
      <c r="A68518" s="0" t="s">
        <v>22463</v>
      </c>
      <c r="B68518" s="0" t="str">
        <f aca="false">HYPERLINK("https://lindat.mff.cuni.cz/services/teitok/pdtc10/index.php?action=vallex&amp;frame=v-w9342f2_ZU", "zbláznit se (v-w9342f2_ZU)")</f>
        <v>zbláznit se (v-w9342f2_ZU)</v>
      </c>
    </row>
    <row r="68519" customFormat="false" ht="12.8" hidden="false" customHeight="false" outlineLevel="0" collapsed="false">
      <c r="B68519" s="0" t="s">
        <v>1</v>
      </c>
    </row>
    <row r="68520" customFormat="false" ht="12.8" hidden="false" customHeight="false" outlineLevel="0" collapsed="false">
      <c r="B68520" s="0" t="s">
        <v>763</v>
      </c>
    </row>
    <row r="68522" customFormat="false" ht="12.8" hidden="false" customHeight="false" outlineLevel="0" collapsed="false">
      <c r="A68522" s="0" t="s">
        <v>22464</v>
      </c>
      <c r="B68522" s="0" t="str">
        <f aca="false">HYPERLINK("https://lindat.mff.cuni.cz/services/teitok/pdtc10/index.php?action=vallex&amp;frame=v-w9345f1", "zbohatnout (v-w9345f1)")</f>
        <v>zbohatnout (v-w9345f1)</v>
      </c>
    </row>
    <row r="68523" customFormat="false" ht="12.8" hidden="false" customHeight="false" outlineLevel="0" collapsed="false">
      <c r="B68523" s="0" t="s">
        <v>1</v>
      </c>
    </row>
    <row r="68524" customFormat="false" ht="12.8" hidden="false" customHeight="false" outlineLevel="0" collapsed="false">
      <c r="B68524" s="0" t="s">
        <v>396</v>
      </c>
    </row>
    <row r="68525" customFormat="false" ht="12.8" hidden="false" customHeight="false" outlineLevel="0" collapsed="false">
      <c r="B68525" s="0" t="s">
        <v>397</v>
      </c>
    </row>
    <row r="68527" customFormat="false" ht="12.8" hidden="false" customHeight="false" outlineLevel="0" collapsed="false">
      <c r="A68527" s="0" t="s">
        <v>22465</v>
      </c>
      <c r="B68527" s="0" t="str">
        <f aca="false">HYPERLINK("https://lindat.mff.cuni.cz/services/teitok/pdtc10/index.php?action=vallex&amp;frame=v-w9347f1", "zbortit se (v-w9347f1)")</f>
        <v>zbortit se (v-w9347f1)</v>
      </c>
    </row>
    <row r="68528" customFormat="false" ht="12.8" hidden="false" customHeight="false" outlineLevel="0" collapsed="false">
      <c r="B68528" s="0" t="s">
        <v>1</v>
      </c>
    </row>
    <row r="68530" customFormat="false" ht="12.8" hidden="false" customHeight="false" outlineLevel="0" collapsed="false">
      <c r="A68530" s="0" t="s">
        <v>22466</v>
      </c>
      <c r="B68530" s="0" t="str">
        <f aca="false">HYPERLINK("https://lindat.mff.cuni.cz/services/teitok/pdtc10/index.php?action=vallex&amp;frame=v-w9351f1", "zbourat (v-w9351f1)")</f>
        <v>zbourat (v-w9351f1)</v>
      </c>
      <c r="E68530" s="0" t="str">
        <f aca="false">HYPERLINK("https://lindat.mff.cuni.cz/services/SynSemClass40/SynSemClass40.html?veclass=vec00389#vec00389-ces-cm00011", "vec00389")</f>
        <v>vec00389</v>
      </c>
      <c r="F68530" s="0" t="s">
        <v>1888</v>
      </c>
    </row>
    <row r="68531" customFormat="false" ht="12.8" hidden="false" customHeight="false" outlineLevel="0" collapsed="false">
      <c r="B68531" s="0" t="s">
        <v>1</v>
      </c>
      <c r="C68531" s="0" t="s">
        <v>1889</v>
      </c>
      <c r="E68531" s="0" t="s">
        <v>1890</v>
      </c>
      <c r="F68531" s="0" t="s">
        <v>1891</v>
      </c>
    </row>
    <row r="68532" customFormat="false" ht="12.8" hidden="false" customHeight="false" outlineLevel="0" collapsed="false">
      <c r="B68532" s="0" t="s">
        <v>8</v>
      </c>
      <c r="C68532" s="0" t="s">
        <v>1892</v>
      </c>
      <c r="E68532" s="0" t="s">
        <v>1893</v>
      </c>
      <c r="F68532" s="0" t="s">
        <v>1894</v>
      </c>
    </row>
    <row r="68534" customFormat="false" ht="12.8" hidden="false" customHeight="false" outlineLevel="0" collapsed="false">
      <c r="A68534" s="0" t="s">
        <v>22467</v>
      </c>
      <c r="B68534" s="0" t="str">
        <f aca="false">HYPERLINK("https://lindat.mff.cuni.cz/services/teitok/pdtc10/index.php?action=vallex&amp;frame=v-w9351hsa_1371", "zbourat (v-w9351hsa_1371)")</f>
        <v>zbourat (v-w9351hsa_1371)</v>
      </c>
    </row>
    <row r="68535" customFormat="false" ht="12.8" hidden="false" customHeight="false" outlineLevel="0" collapsed="false">
      <c r="B68535" s="0" t="s">
        <v>1</v>
      </c>
    </row>
    <row r="68536" customFormat="false" ht="12.8" hidden="false" customHeight="false" outlineLevel="0" collapsed="false">
      <c r="B68536" s="0" t="s">
        <v>8</v>
      </c>
    </row>
    <row r="68538" customFormat="false" ht="12.8" hidden="false" customHeight="false" outlineLevel="0" collapsed="false">
      <c r="A68538" s="0" t="s">
        <v>22468</v>
      </c>
      <c r="B68538" s="0" t="str">
        <f aca="false">HYPERLINK("https://lindat.mff.cuni.cz/services/teitok/pdtc10/index.php?action=vallex&amp;frame=v-w9349f1", "zbořit (v-w9349f1)")</f>
        <v>zbořit (v-w9349f1)</v>
      </c>
    </row>
    <row r="68539" customFormat="false" ht="12.8" hidden="false" customHeight="false" outlineLevel="0" collapsed="false">
      <c r="B68539" s="0" t="s">
        <v>1</v>
      </c>
    </row>
    <row r="68540" customFormat="false" ht="12.8" hidden="false" customHeight="false" outlineLevel="0" collapsed="false">
      <c r="B68540" s="0" t="s">
        <v>8</v>
      </c>
    </row>
    <row r="68542" customFormat="false" ht="12.8" hidden="false" customHeight="false" outlineLevel="0" collapsed="false">
      <c r="A68542" s="0" t="s">
        <v>22469</v>
      </c>
      <c r="B68542" s="0" t="str">
        <f aca="false">HYPERLINK("https://lindat.mff.cuni.cz/services/teitok/pdtc10/index.php?action=vallex&amp;frame=v-w9350f1", "zbořit se (v-w9350f1)")</f>
        <v>zbořit se (v-w9350f1)</v>
      </c>
      <c r="E68542" s="0" t="str">
        <f aca="false">HYPERLINK("https://lindat.mff.cuni.cz/services/SynSemClass40/SynSemClass40.html?veclass=vec00389#vec00389-ces-cm00052", "vec00389")</f>
        <v>vec00389</v>
      </c>
      <c r="F68542" s="0" t="s">
        <v>1888</v>
      </c>
    </row>
    <row r="68543" customFormat="false" ht="12.8" hidden="false" customHeight="false" outlineLevel="0" collapsed="false">
      <c r="B68543" s="0" t="s">
        <v>1</v>
      </c>
      <c r="C68543" s="0" t="s">
        <v>22470</v>
      </c>
      <c r="E68543" s="0" t="s">
        <v>15356</v>
      </c>
      <c r="F68543" s="0" t="s">
        <v>15357</v>
      </c>
    </row>
    <row r="68545" customFormat="false" ht="12.8" hidden="false" customHeight="false" outlineLevel="0" collapsed="false">
      <c r="A68545" s="0" t="s">
        <v>22471</v>
      </c>
      <c r="B68545" s="0" t="str">
        <f aca="false">HYPERLINK("https://lindat.mff.cuni.cz/services/teitok/pdtc10/index.php?action=vallex&amp;frame=v-w9353f1", "zbožňovat (v-w9353f1)")</f>
        <v>zbožňovat (v-w9353f1)</v>
      </c>
    </row>
    <row r="68546" customFormat="false" ht="12.8" hidden="false" customHeight="false" outlineLevel="0" collapsed="false">
      <c r="B68546" s="0" t="s">
        <v>1</v>
      </c>
    </row>
    <row r="68547" customFormat="false" ht="12.8" hidden="false" customHeight="false" outlineLevel="0" collapsed="false">
      <c r="B68547" s="0" t="s">
        <v>8</v>
      </c>
    </row>
    <row r="68549" customFormat="false" ht="12.8" hidden="false" customHeight="false" outlineLevel="0" collapsed="false">
      <c r="A68549" s="0" t="s">
        <v>22472</v>
      </c>
      <c r="B68549" s="0" t="str">
        <f aca="false">HYPERLINK("https://lindat.mff.cuni.cz/services/teitok/pdtc10/index.php?action=vallex&amp;frame=v-w10465f2", "zbrojit (v-w10465f2)")</f>
        <v>zbrojit (v-w10465f2)</v>
      </c>
    </row>
    <row r="68550" customFormat="false" ht="12.8" hidden="false" customHeight="false" outlineLevel="0" collapsed="false">
      <c r="B68550" s="0" t="s">
        <v>1</v>
      </c>
    </row>
    <row r="68551" customFormat="false" ht="12.8" hidden="false" customHeight="false" outlineLevel="0" collapsed="false">
      <c r="B68551" s="0" t="s">
        <v>21941</v>
      </c>
    </row>
    <row r="68553" customFormat="false" ht="12.8" hidden="false" customHeight="false" outlineLevel="0" collapsed="false">
      <c r="A68553" s="0" t="s">
        <v>22473</v>
      </c>
      <c r="B68553" s="0" t="str">
        <f aca="false">HYPERLINK("https://lindat.mff.cuni.cz/services/teitok/pdtc10/index.php?action=vallex&amp;frame=v-w9356f1", "zbrousit (v-w9356f1)")</f>
        <v>zbrousit (v-w9356f1)</v>
      </c>
      <c r="E68553" s="0" t="str">
        <f aca="false">HYPERLINK("https://lindat.mff.cuni.cz/services/SynSemClass40/SynSemClass40.html?veclass=vec01250#vec01250-ces-cm00003", "vec01250")</f>
        <v>vec01250</v>
      </c>
      <c r="F68553" s="0" t="s">
        <v>511</v>
      </c>
      <c r="H68553" s="0" t="str">
        <f aca="false">HYPERLINK("https://lindat.mff.cuni.cz/services/SynSemClass40/SynSemClass40.html?veclass=vec01462#vec01462-ces-cm00004", "vec01462")</f>
        <v>vec01462</v>
      </c>
      <c r="I68553" s="0" t="s">
        <v>511</v>
      </c>
    </row>
    <row r="68554" customFormat="false" ht="12.8" hidden="false" customHeight="false" outlineLevel="0" collapsed="false">
      <c r="B68554" s="0" t="s">
        <v>1</v>
      </c>
      <c r="C68554" s="0" t="s">
        <v>3000</v>
      </c>
      <c r="E68554" s="0" t="s">
        <v>31</v>
      </c>
      <c r="F68554" s="0" t="s">
        <v>513</v>
      </c>
      <c r="H68554" s="0" t="s">
        <v>31</v>
      </c>
      <c r="I68554" s="0" t="s">
        <v>513</v>
      </c>
    </row>
    <row r="68555" customFormat="false" ht="12.8" hidden="false" customHeight="false" outlineLevel="0" collapsed="false">
      <c r="B68555" s="0" t="s">
        <v>8</v>
      </c>
      <c r="C68555" s="0" t="s">
        <v>798</v>
      </c>
      <c r="E68555" s="0" t="s">
        <v>514</v>
      </c>
      <c r="F68555" s="0" t="s">
        <v>515</v>
      </c>
      <c r="H68555" s="0" t="s">
        <v>514</v>
      </c>
      <c r="I68555" s="0" t="s">
        <v>515</v>
      </c>
    </row>
    <row r="68557" customFormat="false" ht="12.8" hidden="false" customHeight="false" outlineLevel="0" collapsed="false">
      <c r="A68557" s="0" t="s">
        <v>22474</v>
      </c>
      <c r="B68557" s="0" t="str">
        <f aca="false">HYPERLINK("https://lindat.mff.cuni.cz/services/teitok/pdtc10/index.php?action=vallex&amp;frame=v-w9358f1", "zbrzdit (v-w9358f1)")</f>
        <v>zbrzdit (v-w9358f1)</v>
      </c>
      <c r="E68557" s="0" t="str">
        <f aca="false">HYPERLINK("https://lindat.mff.cuni.cz/services/SynSemClass40/SynSemClass40.html?veclass=vec00486#vec00486-ces-cm00031", "vec00486")</f>
        <v>vec00486</v>
      </c>
      <c r="F68557" s="0" t="s">
        <v>542</v>
      </c>
    </row>
    <row r="68558" customFormat="false" ht="12.8" hidden="false" customHeight="false" outlineLevel="0" collapsed="false">
      <c r="B68558" s="0" t="s">
        <v>1</v>
      </c>
      <c r="C68558" s="0" t="s">
        <v>543</v>
      </c>
      <c r="E68558" s="0" t="s">
        <v>206</v>
      </c>
      <c r="F68558" s="0" t="s">
        <v>544</v>
      </c>
    </row>
    <row r="68559" customFormat="false" ht="12.8" hidden="false" customHeight="false" outlineLevel="0" collapsed="false">
      <c r="B68559" s="0" t="s">
        <v>8</v>
      </c>
      <c r="C68559" s="0" t="s">
        <v>545</v>
      </c>
      <c r="E68559" s="0" t="s">
        <v>79</v>
      </c>
      <c r="F68559" s="0" t="s">
        <v>546</v>
      </c>
    </row>
    <row r="68561" customFormat="false" ht="12.8" hidden="false" customHeight="false" outlineLevel="0" collapsed="false">
      <c r="A68561" s="0" t="s">
        <v>22475</v>
      </c>
      <c r="B68561" s="0" t="str">
        <f aca="false">HYPERLINK("https://lindat.mff.cuni.cz/services/teitok/pdtc10/index.php?action=vallex&amp;frame=v-w9359f1", "zbrzdit se (v-w9359f1)")</f>
        <v>zbrzdit se (v-w9359f1)</v>
      </c>
      <c r="E68561" s="0" t="str">
        <f aca="false">HYPERLINK("https://lindat.mff.cuni.cz/services/SynSemClass40/SynSemClass40.html?veclass=vec00793#vec00793-ces-cm00043", "vec00793")</f>
        <v>vec00793</v>
      </c>
      <c r="F68561" s="0" t="s">
        <v>8661</v>
      </c>
    </row>
    <row r="68562" customFormat="false" ht="12.8" hidden="false" customHeight="false" outlineLevel="0" collapsed="false">
      <c r="B68562" s="0" t="s">
        <v>1</v>
      </c>
      <c r="C68562" s="0" t="s">
        <v>8662</v>
      </c>
      <c r="E68562" s="0" t="s">
        <v>8663</v>
      </c>
      <c r="F68562" s="0" t="s">
        <v>8664</v>
      </c>
    </row>
    <row r="68564" customFormat="false" ht="12.8" hidden="false" customHeight="false" outlineLevel="0" collapsed="false">
      <c r="A68564" s="0" t="s">
        <v>22476</v>
      </c>
      <c r="B68564" s="0" t="str">
        <f aca="false">HYPERLINK("https://lindat.mff.cuni.cz/services/teitok/pdtc10/index.php?action=vallex&amp;frame=v-w9354f1", "zbrázdit (v-w9354f1)")</f>
        <v>zbrázdit (v-w9354f1)</v>
      </c>
    </row>
    <row r="68565" customFormat="false" ht="12.8" hidden="false" customHeight="false" outlineLevel="0" collapsed="false">
      <c r="B68565" s="0" t="s">
        <v>1</v>
      </c>
    </row>
    <row r="68566" customFormat="false" ht="12.8" hidden="false" customHeight="false" outlineLevel="0" collapsed="false">
      <c r="B68566" s="0" t="s">
        <v>8</v>
      </c>
    </row>
    <row r="68568" customFormat="false" ht="12.8" hidden="false" customHeight="false" outlineLevel="0" collapsed="false">
      <c r="A68568" s="0" t="s">
        <v>22477</v>
      </c>
      <c r="B68568" s="0" t="str">
        <f aca="false">HYPERLINK("https://lindat.mff.cuni.cz/services/teitok/pdtc10/index.php?action=vallex&amp;frame=v-w9354f2", "zbrázdit (v-w9354f2)")</f>
        <v>zbrázdit (v-w9354f2)</v>
      </c>
    </row>
    <row r="68569" customFormat="false" ht="12.8" hidden="false" customHeight="false" outlineLevel="0" collapsed="false">
      <c r="B68569" s="0" t="s">
        <v>1</v>
      </c>
    </row>
    <row r="68570" customFormat="false" ht="12.8" hidden="false" customHeight="false" outlineLevel="0" collapsed="false">
      <c r="B68570" s="0" t="s">
        <v>8</v>
      </c>
    </row>
    <row r="68572" customFormat="false" ht="12.8" hidden="false" customHeight="false" outlineLevel="0" collapsed="false">
      <c r="A68572" s="0" t="s">
        <v>22478</v>
      </c>
      <c r="B68572" s="0" t="str">
        <f aca="false">HYPERLINK("https://lindat.mff.cuni.cz/services/teitok/pdtc10/index.php?action=vallex&amp;frame=v-w9361f1", "zbudovat (v-w9361f1)")</f>
        <v>zbudovat (v-w9361f1)</v>
      </c>
      <c r="E68572" s="0" t="str">
        <f aca="false">HYPERLINK("https://lindat.mff.cuni.cz/services/SynSemClass40/SynSemClass40.html?veclass=vec00084#vec00084-ces-cm00149", "vec00084")</f>
        <v>vec00084</v>
      </c>
      <c r="F68572" s="0" t="s">
        <v>778</v>
      </c>
      <c r="H68572" s="0" t="str">
        <f aca="false">HYPERLINK("https://lindat.mff.cuni.cz/services/SynSemClass40/SynSemClass40.html?veclass=vec00179#vec00179-ces-cm00258", "vec00179")</f>
        <v>vec00179</v>
      </c>
      <c r="I68572" s="0" t="s">
        <v>779</v>
      </c>
    </row>
    <row r="68573" customFormat="false" ht="12.8" hidden="false" customHeight="false" outlineLevel="0" collapsed="false">
      <c r="B68573" s="0" t="s">
        <v>1</v>
      </c>
      <c r="C68573" s="0" t="s">
        <v>780</v>
      </c>
      <c r="E68573" s="0" t="s">
        <v>31</v>
      </c>
      <c r="F68573" s="0" t="s">
        <v>781</v>
      </c>
      <c r="H68573" s="0" t="s">
        <v>768</v>
      </c>
      <c r="I68573" s="0" t="s">
        <v>782</v>
      </c>
    </row>
    <row r="68574" customFormat="false" ht="12.8" hidden="false" customHeight="false" outlineLevel="0" collapsed="false">
      <c r="B68574" s="0" t="s">
        <v>8</v>
      </c>
      <c r="C68574" s="0" t="s">
        <v>783</v>
      </c>
      <c r="E68574" s="0" t="s">
        <v>771</v>
      </c>
      <c r="F68574" s="0" t="s">
        <v>784</v>
      </c>
      <c r="H68574" s="0" t="s">
        <v>771</v>
      </c>
      <c r="I68574" s="0" t="s">
        <v>785</v>
      </c>
    </row>
    <row r="68575" customFormat="false" ht="12.8" hidden="false" customHeight="false" outlineLevel="0" collapsed="false">
      <c r="B68575" s="0" t="s">
        <v>36</v>
      </c>
      <c r="C68575" s="0" t="s">
        <v>786</v>
      </c>
      <c r="E68575" s="0" t="s">
        <v>787</v>
      </c>
      <c r="F68575" s="0" t="s">
        <v>788</v>
      </c>
      <c r="H68575" s="0" t="s">
        <v>787</v>
      </c>
      <c r="I68575" s="0" t="s">
        <v>789</v>
      </c>
    </row>
    <row r="68577" customFormat="false" ht="12.8" hidden="false" customHeight="false" outlineLevel="0" collapsed="false">
      <c r="A68577" s="0" t="s">
        <v>22479</v>
      </c>
      <c r="B68577" s="0" t="str">
        <f aca="false">HYPERLINK("https://lindat.mff.cuni.cz/services/teitok/pdtc10/index.php?action=vallex&amp;frame=v-w9362f1", "zbuntovat (v-w9362f1)")</f>
        <v>zbuntovat (v-w9362f1)</v>
      </c>
    </row>
    <row r="68578" customFormat="false" ht="12.8" hidden="false" customHeight="false" outlineLevel="0" collapsed="false">
      <c r="B68578" s="0" t="s">
        <v>1</v>
      </c>
    </row>
    <row r="68579" customFormat="false" ht="12.8" hidden="false" customHeight="false" outlineLevel="0" collapsed="false">
      <c r="B68579" s="0" t="s">
        <v>8</v>
      </c>
    </row>
    <row r="68581" customFormat="false" ht="12.8" hidden="false" customHeight="false" outlineLevel="0" collapsed="false">
      <c r="A68581" s="0" t="s">
        <v>22480</v>
      </c>
      <c r="B68581" s="0" t="str">
        <f aca="false">HYPERLINK("https://lindat.mff.cuni.cz/services/teitok/pdtc10/index.php?action=vallex&amp;frame=v-w9363f2", "zbystřit (v-w9363f2)")</f>
        <v>zbystřit (v-w9363f2)</v>
      </c>
    </row>
    <row r="68582" customFormat="false" ht="12.8" hidden="false" customHeight="false" outlineLevel="0" collapsed="false">
      <c r="B68582" s="0" t="s">
        <v>1</v>
      </c>
    </row>
    <row r="68583" customFormat="false" ht="12.8" hidden="false" customHeight="false" outlineLevel="0" collapsed="false">
      <c r="B68583" s="0" t="s">
        <v>8</v>
      </c>
    </row>
    <row r="68585" customFormat="false" ht="12.8" hidden="false" customHeight="false" outlineLevel="0" collapsed="false">
      <c r="A68585" s="0" t="s">
        <v>22481</v>
      </c>
      <c r="B68585" s="0" t="str">
        <f aca="false">HYPERLINK("https://lindat.mff.cuni.cz/services/teitok/pdtc10/index.php?action=vallex&amp;frame=v-w9363f3", "zbystřit (v-w9363f3)")</f>
        <v>zbystřit (v-w9363f3)</v>
      </c>
    </row>
    <row r="68586" customFormat="false" ht="12.8" hidden="false" customHeight="false" outlineLevel="0" collapsed="false">
      <c r="B68586" s="0" t="s">
        <v>1</v>
      </c>
    </row>
    <row r="68587" customFormat="false" ht="12.8" hidden="false" customHeight="false" outlineLevel="0" collapsed="false">
      <c r="B68587" s="0" t="s">
        <v>8</v>
      </c>
    </row>
    <row r="68589" customFormat="false" ht="12.8" hidden="false" customHeight="false" outlineLevel="0" collapsed="false">
      <c r="A68589" s="0" t="s">
        <v>22482</v>
      </c>
      <c r="B68589" s="0" t="str">
        <f aca="false">HYPERLINK("https://lindat.mff.cuni.cz/services/teitok/pdtc10/index.php?action=vallex&amp;frame=v-w9363f1", "zbystřit (v-w9363f1)")</f>
        <v>zbystřit (v-w9363f1)</v>
      </c>
    </row>
    <row r="68590" customFormat="false" ht="12.8" hidden="false" customHeight="false" outlineLevel="0" collapsed="false">
      <c r="B68590" s="0" t="s">
        <v>1</v>
      </c>
    </row>
    <row r="68592" customFormat="false" ht="12.8" hidden="false" customHeight="false" outlineLevel="0" collapsed="false">
      <c r="A68592" s="0" t="s">
        <v>22483</v>
      </c>
      <c r="B68592" s="0" t="str">
        <f aca="false">HYPERLINK("https://lindat.mff.cuni.cz/services/teitok/pdtc10/index.php?action=vallex&amp;frame=v-w9340f1", "zbít (v-w9340f1)")</f>
        <v>zbít (v-w9340f1)</v>
      </c>
      <c r="E68592" s="0" t="str">
        <f aca="false">HYPERLINK("https://lindat.mff.cuni.cz/services/SynSemClass40/SynSemClass40.html?veclass=vec00992#vec00992-ces-cm00001", "vec00992")</f>
        <v>vec00992</v>
      </c>
      <c r="F68592" s="0" t="s">
        <v>824</v>
      </c>
    </row>
    <row r="68593" customFormat="false" ht="12.8" hidden="false" customHeight="false" outlineLevel="0" collapsed="false">
      <c r="B68593" s="0" t="s">
        <v>1</v>
      </c>
      <c r="C68593" s="0" t="s">
        <v>3000</v>
      </c>
      <c r="E68593" s="0" t="s">
        <v>196</v>
      </c>
      <c r="F68593" s="0" t="s">
        <v>826</v>
      </c>
    </row>
    <row r="68594" customFormat="false" ht="12.8" hidden="false" customHeight="false" outlineLevel="0" collapsed="false">
      <c r="B68594" s="0" t="s">
        <v>8</v>
      </c>
      <c r="C68594" s="0" t="s">
        <v>158</v>
      </c>
      <c r="E68594" s="0" t="s">
        <v>199</v>
      </c>
      <c r="F68594" s="0" t="s">
        <v>828</v>
      </c>
    </row>
    <row r="68596" customFormat="false" ht="12.8" hidden="false" customHeight="false" outlineLevel="0" collapsed="false">
      <c r="A68596" s="0" t="s">
        <v>22484</v>
      </c>
      <c r="B68596" s="0" t="str">
        <f aca="false">HYPERLINK("https://lindat.mff.cuni.cz/services/teitok/pdtc10/index.php?action=vallex&amp;frame=v-w9364f2", "zbýt (v-w9364f2)")</f>
        <v>zbýt (v-w9364f2)</v>
      </c>
      <c r="E68596" s="0" t="str">
        <f aca="false">HYPERLINK("https://lindat.mff.cuni.cz/services/SynSemClass40/SynSemClass40.html?veclass=vec01176#vec01176-ces-cm00019", "vec01176")</f>
        <v>vec01176</v>
      </c>
      <c r="F68596" s="0" t="s">
        <v>22485</v>
      </c>
    </row>
    <row r="68597" customFormat="false" ht="12.8" hidden="false" customHeight="false" outlineLevel="0" collapsed="false">
      <c r="B68597" s="0" t="s">
        <v>345</v>
      </c>
      <c r="C68597" s="0" t="s">
        <v>22486</v>
      </c>
      <c r="E68597" s="0" t="s">
        <v>22487</v>
      </c>
      <c r="F68597" s="0" t="s">
        <v>22488</v>
      </c>
    </row>
    <row r="68598" customFormat="false" ht="12.8" hidden="false" customHeight="false" outlineLevel="0" collapsed="false">
      <c r="B68598" s="0" t="s">
        <v>186</v>
      </c>
      <c r="C68598" s="0" t="s">
        <v>22489</v>
      </c>
      <c r="E68598" s="0" t="s">
        <v>1847</v>
      </c>
      <c r="F68598" s="0" t="s">
        <v>22490</v>
      </c>
    </row>
    <row r="68600" customFormat="false" ht="12.8" hidden="false" customHeight="false" outlineLevel="0" collapsed="false">
      <c r="A68600" s="0" t="s">
        <v>22491</v>
      </c>
      <c r="B68600" s="0" t="str">
        <f aca="false">HYPERLINK("https://lindat.mff.cuni.cz/services/teitok/pdtc10/index.php?action=vallex&amp;frame=v-w9364f4", "zbýt (v-w9364f4)")</f>
        <v>zbýt (v-w9364f4)</v>
      </c>
    </row>
    <row r="68601" customFormat="false" ht="12.8" hidden="false" customHeight="false" outlineLevel="0" collapsed="false">
      <c r="B68601" s="0" t="s">
        <v>1</v>
      </c>
    </row>
    <row r="68602" customFormat="false" ht="12.8" hidden="false" customHeight="false" outlineLevel="0" collapsed="false">
      <c r="B68602" s="0" t="s">
        <v>10401</v>
      </c>
    </row>
    <row r="68604" customFormat="false" ht="12.8" hidden="false" customHeight="false" outlineLevel="0" collapsed="false">
      <c r="A68604" s="0" t="s">
        <v>22492</v>
      </c>
      <c r="B68604" s="0" t="str">
        <f aca="false">HYPERLINK("https://lindat.mff.cuni.cz/services/teitok/pdtc10/index.php?action=vallex&amp;frame=v-w9364f5", "zbýt (v-w9364f5)")</f>
        <v>zbýt (v-w9364f5)</v>
      </c>
    </row>
    <row r="68605" customFormat="false" ht="12.8" hidden="false" customHeight="false" outlineLevel="0" collapsed="false">
      <c r="B68605" s="0" t="s">
        <v>1</v>
      </c>
    </row>
    <row r="68606" customFormat="false" ht="12.8" hidden="false" customHeight="false" outlineLevel="0" collapsed="false">
      <c r="B68606" s="0" t="s">
        <v>22493</v>
      </c>
    </row>
    <row r="68608" customFormat="false" ht="12.8" hidden="false" customHeight="false" outlineLevel="0" collapsed="false">
      <c r="A68608" s="0" t="s">
        <v>22494</v>
      </c>
      <c r="B68608" s="0" t="str">
        <f aca="false">HYPERLINK("https://lindat.mff.cuni.cz/services/teitok/pdtc10/index.php?action=vallex&amp;frame=v-w9364f6_ZU", "zbýt (v-w9364f6_ZU)")</f>
        <v>zbýt (v-w9364f6_ZU)</v>
      </c>
    </row>
    <row r="68609" customFormat="false" ht="12.8" hidden="false" customHeight="false" outlineLevel="0" collapsed="false">
      <c r="B68609" s="0" t="s">
        <v>1</v>
      </c>
    </row>
    <row r="68610" customFormat="false" ht="12.8" hidden="false" customHeight="false" outlineLevel="0" collapsed="false">
      <c r="B68610" s="0" t="s">
        <v>22337</v>
      </c>
    </row>
    <row r="68612" customFormat="false" ht="12.8" hidden="false" customHeight="false" outlineLevel="0" collapsed="false">
      <c r="A68612" s="0" t="s">
        <v>22494</v>
      </c>
      <c r="B68612" s="0" t="str">
        <f aca="false">HYPERLINK("https://lindat.mff.cuni.cz/services/teitok/pdtc10/index.php?action=vallex&amp;frame=v-w9364f1", "zbýt (v-w9364f1) - substituted with v-w9364f6_ZU")</f>
        <v>zbýt (v-w9364f1) - substituted with v-w9364f6_ZU</v>
      </c>
      <c r="E68612" s="0" t="str">
        <f aca="false">HYPERLINK("https://lindat.mff.cuni.cz/services/SynSemClass40/SynSemClass40.html?veclass=vec00583#vec00583-ces-cm00001", "vec00583")</f>
        <v>vec00583</v>
      </c>
      <c r="F68612" s="0" t="s">
        <v>22495</v>
      </c>
    </row>
    <row r="68613" customFormat="false" ht="12.8" hidden="false" customHeight="false" outlineLevel="0" collapsed="false">
      <c r="B68613" s="0" t="s">
        <v>1</v>
      </c>
      <c r="C68613" s="0" t="s">
        <v>10</v>
      </c>
      <c r="E68613" s="0" t="s">
        <v>22496</v>
      </c>
      <c r="F68613" s="0" t="s">
        <v>22497</v>
      </c>
    </row>
    <row r="68614" customFormat="false" ht="12.8" hidden="false" customHeight="false" outlineLevel="0" collapsed="false">
      <c r="B68614" s="0" t="s">
        <v>22337</v>
      </c>
      <c r="C68614" s="0" t="s">
        <v>22498</v>
      </c>
      <c r="E68614" s="0" t="s">
        <v>5279</v>
      </c>
      <c r="F68614" s="0" t="s">
        <v>22499</v>
      </c>
    </row>
    <row r="68616" customFormat="false" ht="12.8" hidden="false" customHeight="false" outlineLevel="0" collapsed="false">
      <c r="A68616" s="0" t="s">
        <v>22500</v>
      </c>
      <c r="B68616" s="0" t="str">
        <f aca="false">HYPERLINK("https://lindat.mff.cuni.cz/services/teitok/pdtc10/index.php?action=vallex&amp;frame=v-w9364f3", "zbýt (v-w9364f3)")</f>
        <v>zbýt (v-w9364f3)</v>
      </c>
    </row>
    <row r="68617" customFormat="false" ht="12.8" hidden="false" customHeight="false" outlineLevel="0" collapsed="false">
      <c r="B68617" s="0" t="s">
        <v>1</v>
      </c>
    </row>
    <row r="68618" customFormat="false" ht="12.8" hidden="false" customHeight="false" outlineLevel="0" collapsed="false">
      <c r="B68618" s="0" t="s">
        <v>5</v>
      </c>
    </row>
    <row r="68620" customFormat="false" ht="12.8" hidden="false" customHeight="false" outlineLevel="0" collapsed="false">
      <c r="A68620" s="0" t="s">
        <v>22501</v>
      </c>
      <c r="B68620" s="0" t="str">
        <f aca="false">HYPERLINK("https://lindat.mff.cuni.cz/services/teitok/pdtc10/index.php?action=vallex&amp;frame=v-w9367f1", "zbývat (v-w9367f1)")</f>
        <v>zbývat (v-w9367f1)</v>
      </c>
      <c r="E68620" s="0" t="str">
        <f aca="false">HYPERLINK("https://lindat.mff.cuni.cz/services/SynSemClass40/SynSemClass40.html?veclass=vec01176#vec01176-ces-cm00001", "vec01176")</f>
        <v>vec01176</v>
      </c>
      <c r="F68620" s="0" t="s">
        <v>22485</v>
      </c>
    </row>
    <row r="68621" customFormat="false" ht="12.8" hidden="false" customHeight="false" outlineLevel="0" collapsed="false">
      <c r="B68621" s="0" t="s">
        <v>1271</v>
      </c>
      <c r="C68621" s="0" t="s">
        <v>22486</v>
      </c>
      <c r="E68621" s="0" t="s">
        <v>22487</v>
      </c>
      <c r="F68621" s="0" t="s">
        <v>22488</v>
      </c>
    </row>
    <row r="68622" customFormat="false" ht="12.8" hidden="false" customHeight="false" outlineLevel="0" collapsed="false">
      <c r="B68622" s="0" t="s">
        <v>186</v>
      </c>
      <c r="C68622" s="0" t="s">
        <v>22489</v>
      </c>
      <c r="E68622" s="0" t="s">
        <v>1847</v>
      </c>
      <c r="F68622" s="0" t="s">
        <v>22490</v>
      </c>
    </row>
    <row r="68624" customFormat="false" ht="12.8" hidden="false" customHeight="false" outlineLevel="0" collapsed="false">
      <c r="A68624" s="0" t="s">
        <v>22502</v>
      </c>
      <c r="B68624" s="0" t="str">
        <f aca="false">HYPERLINK("https://lindat.mff.cuni.cz/services/teitok/pdtc10/index.php?action=vallex&amp;frame=v-w9367f3", "zbývat (v-w9367f3)")</f>
        <v>zbývat (v-w9367f3)</v>
      </c>
      <c r="E68624" s="0" t="str">
        <f aca="false">HYPERLINK("https://lindat.mff.cuni.cz/services/SynSemClass40/SynSemClass40.html?veclass=vec01176#vec01176-ces-cm00022", "vec01176")</f>
        <v>vec01176</v>
      </c>
      <c r="F68624" s="0" t="s">
        <v>22485</v>
      </c>
    </row>
    <row r="68625" customFormat="false" ht="12.8" hidden="false" customHeight="false" outlineLevel="0" collapsed="false">
      <c r="B68625" s="0" t="s">
        <v>1</v>
      </c>
      <c r="C68625" s="0" t="s">
        <v>22486</v>
      </c>
      <c r="E68625" s="0" t="s">
        <v>22487</v>
      </c>
      <c r="F68625" s="0" t="s">
        <v>22488</v>
      </c>
    </row>
    <row r="68626" customFormat="false" ht="12.8" hidden="false" customHeight="false" outlineLevel="0" collapsed="false">
      <c r="B68626" s="0" t="s">
        <v>10401</v>
      </c>
      <c r="C68626" s="0" t="s">
        <v>22489</v>
      </c>
      <c r="E68626" s="0" t="s">
        <v>1847</v>
      </c>
      <c r="F68626" s="0" t="s">
        <v>22490</v>
      </c>
    </row>
    <row r="68628" customFormat="false" ht="12.8" hidden="false" customHeight="false" outlineLevel="0" collapsed="false">
      <c r="A68628" s="0" t="s">
        <v>22503</v>
      </c>
      <c r="B68628" s="0" t="str">
        <f aca="false">HYPERLINK("https://lindat.mff.cuni.cz/services/teitok/pdtc10/index.php?action=vallex&amp;frame=v-w9367f4", "zbývat (v-w9367f4)")</f>
        <v>zbývat (v-w9367f4)</v>
      </c>
    </row>
    <row r="68629" customFormat="false" ht="12.8" hidden="false" customHeight="false" outlineLevel="0" collapsed="false">
      <c r="B68629" s="0" t="s">
        <v>1</v>
      </c>
    </row>
    <row r="68630" customFormat="false" ht="12.8" hidden="false" customHeight="false" outlineLevel="0" collapsed="false">
      <c r="B68630" s="0" t="s">
        <v>45</v>
      </c>
    </row>
    <row r="68632" customFormat="false" ht="12.8" hidden="false" customHeight="false" outlineLevel="0" collapsed="false">
      <c r="A68632" s="0" t="s">
        <v>22504</v>
      </c>
      <c r="B68632" s="0" t="str">
        <f aca="false">HYPERLINK("https://lindat.mff.cuni.cz/services/teitok/pdtc10/index.php?action=vallex&amp;frame=v-w9367f2", "zbývat (v-w9367f2)")</f>
        <v>zbývat (v-w9367f2)</v>
      </c>
      <c r="E68632" s="0" t="str">
        <f aca="false">HYPERLINK("https://lindat.mff.cuni.cz/services/SynSemClass40/SynSemClass40.html?veclass=vec00583#vec00583-ces-cm00007", "vec00583")</f>
        <v>vec00583</v>
      </c>
      <c r="F68632" s="0" t="s">
        <v>22495</v>
      </c>
    </row>
    <row r="68633" customFormat="false" ht="12.8" hidden="false" customHeight="false" outlineLevel="0" collapsed="false">
      <c r="B68633" s="0" t="s">
        <v>1</v>
      </c>
      <c r="C68633" s="0" t="s">
        <v>10</v>
      </c>
      <c r="E68633" s="0" t="s">
        <v>22496</v>
      </c>
      <c r="F68633" s="0" t="s">
        <v>22497</v>
      </c>
    </row>
    <row r="68634" customFormat="false" ht="12.8" hidden="false" customHeight="false" outlineLevel="0" collapsed="false">
      <c r="B68634" s="0" t="s">
        <v>763</v>
      </c>
      <c r="C68634" s="0" t="s">
        <v>22498</v>
      </c>
      <c r="E68634" s="0" t="s">
        <v>5279</v>
      </c>
      <c r="F68634" s="0" t="s">
        <v>22499</v>
      </c>
    </row>
    <row r="68636" customFormat="false" ht="12.8" hidden="false" customHeight="false" outlineLevel="0" collapsed="false">
      <c r="A68636" s="0" t="s">
        <v>22505</v>
      </c>
      <c r="B68636" s="0" t="str">
        <f aca="false">HYPERLINK("https://lindat.mff.cuni.cz/services/teitok/pdtc10/index.php?action=vallex&amp;frame=v-w9367f5", "zbývat (v-w9367f5)")</f>
        <v>zbývat (v-w9367f5)</v>
      </c>
    </row>
    <row r="68637" customFormat="false" ht="12.8" hidden="false" customHeight="false" outlineLevel="0" collapsed="false">
      <c r="B68637" s="0" t="s">
        <v>1</v>
      </c>
    </row>
    <row r="68638" customFormat="false" ht="12.8" hidden="false" customHeight="false" outlineLevel="0" collapsed="false">
      <c r="B68638" s="0" t="s">
        <v>5</v>
      </c>
    </row>
    <row r="68640" customFormat="false" ht="12.8" hidden="false" customHeight="false" outlineLevel="0" collapsed="false">
      <c r="A68640" s="0" t="s">
        <v>22506</v>
      </c>
      <c r="B68640" s="0" t="str">
        <f aca="false">HYPERLINK("https://lindat.mff.cuni.cz/services/teitok/pdtc10/index.php?action=vallex&amp;frame=v-whsa_1303hsa_1304", "zběhnout (v-whsa_1303hsa_1304)")</f>
        <v>zběhnout (v-whsa_1303hsa_1304)</v>
      </c>
    </row>
    <row r="68641" customFormat="false" ht="12.8" hidden="false" customHeight="false" outlineLevel="0" collapsed="false">
      <c r="B68641" s="0" t="s">
        <v>1</v>
      </c>
    </row>
    <row r="68642" customFormat="false" ht="12.8" hidden="false" customHeight="false" outlineLevel="0" collapsed="false">
      <c r="B68642" s="0" t="s">
        <v>631</v>
      </c>
    </row>
    <row r="68644" customFormat="false" ht="12.8" hidden="false" customHeight="false" outlineLevel="0" collapsed="false">
      <c r="A68644" s="0" t="s">
        <v>22507</v>
      </c>
      <c r="B68644" s="0" t="str">
        <f aca="false">HYPERLINK("https://lindat.mff.cuni.cz/services/teitok/pdtc10/index.php?action=vallex&amp;frame=v-w12356_MMf1_MM", "zcestovat (v-w12356_MMf1_MM)")</f>
        <v>zcestovat (v-w12356_MMf1_MM)</v>
      </c>
    </row>
    <row r="68645" customFormat="false" ht="12.8" hidden="false" customHeight="false" outlineLevel="0" collapsed="false">
      <c r="B68645" s="0" t="s">
        <v>1</v>
      </c>
    </row>
    <row r="68646" customFormat="false" ht="12.8" hidden="false" customHeight="false" outlineLevel="0" collapsed="false">
      <c r="B68646" s="0" t="s">
        <v>8</v>
      </c>
    </row>
    <row r="68648" customFormat="false" ht="12.8" hidden="false" customHeight="false" outlineLevel="0" collapsed="false">
      <c r="A68648" s="0" t="s">
        <v>22508</v>
      </c>
      <c r="B68648" s="0" t="str">
        <f aca="false">HYPERLINK("https://lindat.mff.cuni.cz/services/teitok/pdtc10/index.php?action=vallex&amp;frame=v-w9491f1", "zchladit (v-w9491f1)")</f>
        <v>zchladit (v-w9491f1)</v>
      </c>
    </row>
    <row r="68649" customFormat="false" ht="12.8" hidden="false" customHeight="false" outlineLevel="0" collapsed="false">
      <c r="B68649" s="0" t="s">
        <v>1</v>
      </c>
    </row>
    <row r="68650" customFormat="false" ht="12.8" hidden="false" customHeight="false" outlineLevel="0" collapsed="false">
      <c r="B68650" s="0" t="s">
        <v>8</v>
      </c>
    </row>
    <row r="68651" customFormat="false" ht="12.8" hidden="false" customHeight="false" outlineLevel="0" collapsed="false">
      <c r="B68651" s="0" t="s">
        <v>36</v>
      </c>
    </row>
    <row r="68652" customFormat="false" ht="12.8" hidden="false" customHeight="false" outlineLevel="0" collapsed="false">
      <c r="B68652" s="0" t="s">
        <v>101</v>
      </c>
    </row>
    <row r="68654" customFormat="false" ht="12.8" hidden="false" customHeight="false" outlineLevel="0" collapsed="false">
      <c r="A68654" s="0" t="s">
        <v>22509</v>
      </c>
      <c r="B68654" s="0" t="str">
        <f aca="false">HYPERLINK("https://lindat.mff.cuni.cz/services/teitok/pdtc10/index.php?action=vallex&amp;frame=v-w9491f2", "zchladit (v-w9491f2)")</f>
        <v>zchladit (v-w9491f2)</v>
      </c>
      <c r="E68654" s="0" t="str">
        <f aca="false">HYPERLINK("https://lindat.mff.cuni.cz/services/SynSemClass40/SynSemClass40.html?veclass=vec00055#vec00055-ces-cm00030", "vec00055")</f>
        <v>vec00055</v>
      </c>
      <c r="F68654" s="0" t="s">
        <v>9956</v>
      </c>
    </row>
    <row r="68655" customFormat="false" ht="12.8" hidden="false" customHeight="false" outlineLevel="0" collapsed="false">
      <c r="B68655" s="0" t="s">
        <v>1</v>
      </c>
      <c r="C68655" s="0" t="s">
        <v>7911</v>
      </c>
      <c r="E68655" s="0" t="s">
        <v>76</v>
      </c>
      <c r="F68655" s="0" t="s">
        <v>9958</v>
      </c>
    </row>
    <row r="68656" customFormat="false" ht="12.8" hidden="false" customHeight="false" outlineLevel="0" collapsed="false">
      <c r="B68656" s="0" t="s">
        <v>8</v>
      </c>
      <c r="C68656" s="0" t="s">
        <v>10149</v>
      </c>
      <c r="E68656" s="0" t="s">
        <v>706</v>
      </c>
      <c r="F68656" s="0" t="s">
        <v>9960</v>
      </c>
    </row>
    <row r="68658" customFormat="false" ht="12.8" hidden="false" customHeight="false" outlineLevel="0" collapsed="false">
      <c r="A68658" s="0" t="s">
        <v>22510</v>
      </c>
      <c r="B68658" s="0" t="str">
        <f aca="false">HYPERLINK("https://lindat.mff.cuni.cz/services/teitok/pdtc10/index.php?action=vallex&amp;frame=v-whsa_753hsa_754", "zchladit se (v-whsa_753hsa_754)")</f>
        <v>zchladit se (v-whsa_753hsa_754)</v>
      </c>
    </row>
    <row r="68659" customFormat="false" ht="12.8" hidden="false" customHeight="false" outlineLevel="0" collapsed="false">
      <c r="B68659" s="0" t="s">
        <v>1</v>
      </c>
    </row>
    <row r="68661" customFormat="false" ht="12.8" hidden="false" customHeight="false" outlineLevel="0" collapsed="false">
      <c r="A68661" s="0" t="s">
        <v>22511</v>
      </c>
      <c r="B68661" s="0" t="str">
        <f aca="false">HYPERLINK("https://lindat.mff.cuni.cz/services/teitok/pdtc10/index.php?action=vallex&amp;frame=v-w9492f1", "zchladnout (v-w9492f1)")</f>
        <v>zchladnout (v-w9492f1)</v>
      </c>
      <c r="E68661" s="0" t="str">
        <f aca="false">HYPERLINK("https://lindat.mff.cuni.cz/services/SynSemClass40/SynSemClass40.html?veclass=vec00793#vec00793-ces-cm00062", "vec00793")</f>
        <v>vec00793</v>
      </c>
      <c r="F68661" s="0" t="s">
        <v>8661</v>
      </c>
    </row>
    <row r="68662" customFormat="false" ht="12.8" hidden="false" customHeight="false" outlineLevel="0" collapsed="false">
      <c r="B68662" s="0" t="s">
        <v>1</v>
      </c>
      <c r="C68662" s="0" t="s">
        <v>8662</v>
      </c>
      <c r="E68662" s="0" t="s">
        <v>8663</v>
      </c>
      <c r="F68662" s="0" t="s">
        <v>8664</v>
      </c>
    </row>
    <row r="68663" customFormat="false" ht="12.8" hidden="false" customHeight="false" outlineLevel="0" collapsed="false">
      <c r="B68663" s="0" t="s">
        <v>69</v>
      </c>
    </row>
    <row r="68664" customFormat="false" ht="12.8" hidden="false" customHeight="false" outlineLevel="0" collapsed="false">
      <c r="B68664" s="0" t="s">
        <v>36</v>
      </c>
    </row>
    <row r="68666" customFormat="false" ht="12.8" hidden="false" customHeight="false" outlineLevel="0" collapsed="false">
      <c r="A68666" s="0" t="s">
        <v>22512</v>
      </c>
      <c r="B68666" s="0" t="str">
        <f aca="false">HYPERLINK("https://lindat.mff.cuni.cz/services/teitok/pdtc10/index.php?action=vallex&amp;frame=v-w9492f2", "zchladnout (v-w9492f2)")</f>
        <v>zchladnout (v-w9492f2)</v>
      </c>
    </row>
    <row r="68667" customFormat="false" ht="12.8" hidden="false" customHeight="false" outlineLevel="0" collapsed="false">
      <c r="B68667" s="0" t="s">
        <v>1</v>
      </c>
    </row>
    <row r="68668" customFormat="false" ht="12.8" hidden="false" customHeight="false" outlineLevel="0" collapsed="false">
      <c r="B68668" s="0" t="s">
        <v>45</v>
      </c>
    </row>
    <row r="68670" customFormat="false" ht="12.8" hidden="false" customHeight="false" outlineLevel="0" collapsed="false">
      <c r="A68670" s="0" t="s">
        <v>22513</v>
      </c>
      <c r="B68670" s="0" t="str">
        <f aca="false">HYPERLINK("https://lindat.mff.cuni.cz/services/teitok/pdtc10/index.php?action=vallex&amp;frame=v-whsa_1651hsa_1652", "zchodit (v-whsa_1651hsa_1652)")</f>
        <v>zchodit (v-whsa_1651hsa_1652)</v>
      </c>
    </row>
    <row r="68671" customFormat="false" ht="12.8" hidden="false" customHeight="false" outlineLevel="0" collapsed="false">
      <c r="B68671" s="0" t="s">
        <v>1</v>
      </c>
    </row>
    <row r="68672" customFormat="false" ht="12.8" hidden="false" customHeight="false" outlineLevel="0" collapsed="false">
      <c r="B68672" s="0" t="s">
        <v>8</v>
      </c>
    </row>
    <row r="68674" customFormat="false" ht="12.8" hidden="false" customHeight="false" outlineLevel="0" collapsed="false">
      <c r="A68674" s="0" t="s">
        <v>22514</v>
      </c>
      <c r="B68674" s="0" t="str">
        <f aca="false">HYPERLINK("https://lindat.mff.cuni.cz/services/teitok/pdtc10/index.php?action=vallex&amp;frame=v-w11642_ZUf1_ZU", "zchudnout (v-w11642_ZUf1_ZU)")</f>
        <v>zchudnout (v-w11642_ZUf1_ZU)</v>
      </c>
    </row>
    <row r="68675" customFormat="false" ht="12.8" hidden="false" customHeight="false" outlineLevel="0" collapsed="false">
      <c r="B68675" s="0" t="s">
        <v>1</v>
      </c>
    </row>
    <row r="68677" customFormat="false" ht="12.8" hidden="false" customHeight="false" outlineLevel="0" collapsed="false">
      <c r="A68677" s="0" t="s">
        <v>22515</v>
      </c>
      <c r="B68677" s="0" t="str">
        <f aca="false">HYPERLINK("https://lindat.mff.cuni.cz/services/teitok/pdtc10/index.php?action=vallex&amp;frame=v-w9369f1", "zcizit (v-w9369f1)")</f>
        <v>zcizit (v-w9369f1)</v>
      </c>
    </row>
    <row r="68678" customFormat="false" ht="12.8" hidden="false" customHeight="false" outlineLevel="0" collapsed="false">
      <c r="B68678" s="0" t="s">
        <v>1</v>
      </c>
    </row>
    <row r="68679" customFormat="false" ht="12.8" hidden="false" customHeight="false" outlineLevel="0" collapsed="false">
      <c r="B68679" s="0" t="s">
        <v>8</v>
      </c>
    </row>
    <row r="68680" customFormat="false" ht="12.8" hidden="false" customHeight="false" outlineLevel="0" collapsed="false">
      <c r="B68680" s="0" t="s">
        <v>52</v>
      </c>
    </row>
    <row r="68682" customFormat="false" ht="12.8" hidden="false" customHeight="false" outlineLevel="0" collapsed="false">
      <c r="A68682" s="0" t="s">
        <v>22516</v>
      </c>
      <c r="B68682" s="0" t="str">
        <f aca="false">HYPERLINK("https://lindat.mff.cuni.cz/services/teitok/pdtc10/index.php?action=vallex&amp;frame=v-w10257f2", "zdanit (v-w10257f2)")</f>
        <v>zdanit (v-w10257f2)</v>
      </c>
      <c r="E68682" s="0" t="str">
        <f aca="false">HYPERLINK("https://lindat.mff.cuni.cz/services/SynSemClass40/SynSemClass40.html?veclass=vec00780#vec00780-ces-cm00001", "vec00780")</f>
        <v>vec00780</v>
      </c>
      <c r="F68682" s="0" t="s">
        <v>22517</v>
      </c>
    </row>
    <row r="68683" customFormat="false" ht="12.8" hidden="false" customHeight="false" outlineLevel="0" collapsed="false">
      <c r="B68683" s="0" t="s">
        <v>1</v>
      </c>
      <c r="C68683" s="0" t="s">
        <v>4695</v>
      </c>
      <c r="E68683" s="0" t="s">
        <v>206</v>
      </c>
      <c r="F68683" s="0" t="s">
        <v>7923</v>
      </c>
    </row>
    <row r="68684" customFormat="false" ht="12.8" hidden="false" customHeight="false" outlineLevel="0" collapsed="false">
      <c r="B68684" s="0" t="s">
        <v>8</v>
      </c>
      <c r="C68684" s="0" t="s">
        <v>22518</v>
      </c>
      <c r="E68684" s="0" t="s">
        <v>594</v>
      </c>
      <c r="F68684" s="0" t="s">
        <v>22519</v>
      </c>
    </row>
    <row r="68686" customFormat="false" ht="12.8" hidden="false" customHeight="false" outlineLevel="0" collapsed="false">
      <c r="A68686" s="0" t="s">
        <v>22520</v>
      </c>
      <c r="B68686" s="0" t="str">
        <f aca="false">HYPERLINK("https://lindat.mff.cuni.cz/services/teitok/pdtc10/index.php?action=vallex&amp;frame=v-w9375f1", "zdaňovat (v-w9375f1)")</f>
        <v>zdaňovat (v-w9375f1)</v>
      </c>
      <c r="E68686" s="0" t="str">
        <f aca="false">HYPERLINK("https://lindat.mff.cuni.cz/services/SynSemClass40/SynSemClass40.html?veclass=vec00780#vec00780-ces-cm00002", "vec00780")</f>
        <v>vec00780</v>
      </c>
      <c r="F68686" s="0" t="s">
        <v>22517</v>
      </c>
    </row>
    <row r="68687" customFormat="false" ht="12.8" hidden="false" customHeight="false" outlineLevel="0" collapsed="false">
      <c r="B68687" s="0" t="s">
        <v>1</v>
      </c>
      <c r="C68687" s="0" t="s">
        <v>4695</v>
      </c>
      <c r="E68687" s="0" t="s">
        <v>206</v>
      </c>
      <c r="F68687" s="0" t="s">
        <v>7923</v>
      </c>
    </row>
    <row r="68688" customFormat="false" ht="12.8" hidden="false" customHeight="false" outlineLevel="0" collapsed="false">
      <c r="B68688" s="0" t="s">
        <v>8</v>
      </c>
      <c r="C68688" s="0" t="s">
        <v>22518</v>
      </c>
      <c r="E68688" s="0" t="s">
        <v>594</v>
      </c>
      <c r="F68688" s="0" t="s">
        <v>22519</v>
      </c>
    </row>
    <row r="68690" customFormat="false" ht="12.8" hidden="false" customHeight="false" outlineLevel="0" collapsed="false">
      <c r="A68690" s="0" t="s">
        <v>22521</v>
      </c>
      <c r="B68690" s="0" t="str">
        <f aca="false">HYPERLINK("https://lindat.mff.cuni.cz/services/teitok/pdtc10/index.php?action=vallex&amp;frame=v-w9376f1", "zdařit se (v-w9376f1)")</f>
        <v>zdařit se (v-w9376f1)</v>
      </c>
      <c r="E68690" s="0" t="str">
        <f aca="false">HYPERLINK("https://lindat.mff.cuni.cz/services/SynSemClass40/SynSemClass40.html?veclass=vec00257#vec00257-ces-cm00025", "vec00257")</f>
        <v>vec00257</v>
      </c>
      <c r="F68690" s="0" t="s">
        <v>1804</v>
      </c>
      <c r="H68690" s="0" t="str">
        <f aca="false">HYPERLINK("https://lindat.mff.cuni.cz/services/SynSemClass40/SynSemClass40.html?veclass=vec01455#vec01455-ces-cm00045", "vec01455")</f>
        <v>vec01455</v>
      </c>
      <c r="I68690" s="0" t="s">
        <v>888</v>
      </c>
    </row>
    <row r="68691" customFormat="false" ht="12.8" hidden="false" customHeight="false" outlineLevel="0" collapsed="false">
      <c r="B68691" s="0" t="s">
        <v>804</v>
      </c>
      <c r="C68691" s="0" t="s">
        <v>1805</v>
      </c>
      <c r="E68691" s="0" t="s">
        <v>11</v>
      </c>
      <c r="F68691" s="0" t="s">
        <v>1806</v>
      </c>
      <c r="H68691" s="0" t="s">
        <v>11</v>
      </c>
      <c r="I68691" s="0" t="s">
        <v>890</v>
      </c>
    </row>
    <row r="68692" customFormat="false" ht="12.8" hidden="false" customHeight="false" outlineLevel="0" collapsed="false">
      <c r="B68692" s="0" t="s">
        <v>10717</v>
      </c>
      <c r="C68692" s="0" t="s">
        <v>1808</v>
      </c>
      <c r="E68692" s="0" t="s">
        <v>1809</v>
      </c>
      <c r="F68692" s="0" t="s">
        <v>1810</v>
      </c>
      <c r="H68692" s="0" t="s">
        <v>893</v>
      </c>
      <c r="I68692" s="0" t="s">
        <v>894</v>
      </c>
    </row>
    <row r="68694" customFormat="false" ht="12.8" hidden="false" customHeight="false" outlineLevel="0" collapsed="false">
      <c r="A68694" s="0" t="s">
        <v>22522</v>
      </c>
      <c r="B68694" s="0" t="str">
        <f aca="false">HYPERLINK("https://lindat.mff.cuni.cz/services/teitok/pdtc10/index.php?action=vallex&amp;frame=v-whsa_679hsa_680", "zdechnout (v-whsa_679hsa_680)")</f>
        <v>zdechnout (v-whsa_679hsa_680)</v>
      </c>
    </row>
    <row r="68695" customFormat="false" ht="12.8" hidden="false" customHeight="false" outlineLevel="0" collapsed="false">
      <c r="B68695" s="0" t="s">
        <v>1</v>
      </c>
    </row>
    <row r="68697" customFormat="false" ht="12.8" hidden="false" customHeight="false" outlineLevel="0" collapsed="false">
      <c r="A68697" s="0" t="s">
        <v>22523</v>
      </c>
      <c r="B68697" s="0" t="str">
        <f aca="false">HYPERLINK("https://lindat.mff.cuni.cz/services/teitok/pdtc10/index.php?action=vallex&amp;frame=v-w11061f2", "zdecimovat (v-w11061f2)")</f>
        <v>zdecimovat (v-w11061f2)</v>
      </c>
      <c r="E68697" s="0" t="str">
        <f aca="false">HYPERLINK("https://lindat.mff.cuni.cz/services/SynSemClass40/SynSemClass40.html?veclass=vec01012#vec01012-ces-cm00003", "vec01012")</f>
        <v>vec01012</v>
      </c>
      <c r="F68697" s="0" t="s">
        <v>1939</v>
      </c>
    </row>
    <row r="68698" customFormat="false" ht="12.8" hidden="false" customHeight="false" outlineLevel="0" collapsed="false">
      <c r="B68698" s="0" t="s">
        <v>1</v>
      </c>
      <c r="C68698" s="0" t="s">
        <v>1752</v>
      </c>
      <c r="E68698" s="0" t="s">
        <v>206</v>
      </c>
      <c r="F68698" s="0" t="s">
        <v>1846</v>
      </c>
    </row>
    <row r="68699" customFormat="false" ht="12.8" hidden="false" customHeight="false" outlineLevel="0" collapsed="false">
      <c r="B68699" s="0" t="s">
        <v>8</v>
      </c>
      <c r="C68699" s="0" t="s">
        <v>1940</v>
      </c>
      <c r="E68699" s="0" t="s">
        <v>142</v>
      </c>
      <c r="F68699" s="0" t="s">
        <v>1941</v>
      </c>
    </row>
    <row r="68701" customFormat="false" ht="12.8" hidden="false" customHeight="false" outlineLevel="0" collapsed="false">
      <c r="A68701" s="0" t="s">
        <v>22524</v>
      </c>
      <c r="B68701" s="0" t="str">
        <f aca="false">HYPERLINK("https://lindat.mff.cuni.cz/services/teitok/pdtc10/index.php?action=vallex&amp;frame=v-w9381f1", "zdeformovat (v-w9381f1)")</f>
        <v>zdeformovat (v-w9381f1)</v>
      </c>
    </row>
    <row r="68702" customFormat="false" ht="12.8" hidden="false" customHeight="false" outlineLevel="0" collapsed="false">
      <c r="B68702" s="0" t="s">
        <v>1</v>
      </c>
    </row>
    <row r="68703" customFormat="false" ht="12.8" hidden="false" customHeight="false" outlineLevel="0" collapsed="false">
      <c r="B68703" s="0" t="s">
        <v>8</v>
      </c>
    </row>
    <row r="68705" customFormat="false" ht="12.8" hidden="false" customHeight="false" outlineLevel="0" collapsed="false">
      <c r="A68705" s="0" t="s">
        <v>22525</v>
      </c>
      <c r="B68705" s="0" t="str">
        <f aca="false">HYPERLINK("https://lindat.mff.cuni.cz/services/teitok/pdtc10/index.php?action=vallex&amp;frame=v-w9381f2_ZU", "zdeformovat (v-w9381f2_ZU)")</f>
        <v>zdeformovat (v-w9381f2_ZU)</v>
      </c>
    </row>
    <row r="68706" customFormat="false" ht="12.8" hidden="false" customHeight="false" outlineLevel="0" collapsed="false">
      <c r="B68706" s="0" t="s">
        <v>1</v>
      </c>
    </row>
    <row r="68707" customFormat="false" ht="12.8" hidden="false" customHeight="false" outlineLevel="0" collapsed="false">
      <c r="B68707" s="0" t="s">
        <v>8</v>
      </c>
    </row>
    <row r="68709" customFormat="false" ht="12.8" hidden="false" customHeight="false" outlineLevel="0" collapsed="false">
      <c r="A68709" s="0" t="s">
        <v>22526</v>
      </c>
      <c r="B68709" s="0" t="str">
        <f aca="false">HYPERLINK("https://lindat.mff.cuni.cz/services/teitok/pdtc10/index.php?action=vallex&amp;frame=v-w11643_ZUf1_ZU", "zdeformovat se (v-w11643_ZUf1_ZU)")</f>
        <v>zdeformovat se (v-w11643_ZUf1_ZU)</v>
      </c>
      <c r="E68709" s="0" t="str">
        <f aca="false">HYPERLINK("https://lindat.mff.cuni.cz/services/SynSemClass40/SynSemClass40.html?veclass=vec01132#vec01132-ces-cm00179", "vec01132")</f>
        <v>vec01132</v>
      </c>
      <c r="F68709" s="0" t="s">
        <v>6967</v>
      </c>
    </row>
    <row r="68710" customFormat="false" ht="12.8" hidden="false" customHeight="false" outlineLevel="0" collapsed="false">
      <c r="B68710" s="0" t="s">
        <v>1</v>
      </c>
      <c r="C68710" s="0" t="s">
        <v>6968</v>
      </c>
      <c r="E68710" s="0" t="s">
        <v>84</v>
      </c>
      <c r="F68710" s="0" t="s">
        <v>6969</v>
      </c>
    </row>
    <row r="68712" customFormat="false" ht="12.8" hidden="false" customHeight="false" outlineLevel="0" collapsed="false">
      <c r="A68712" s="0" t="s">
        <v>22527</v>
      </c>
      <c r="B68712" s="0" t="str">
        <f aca="false">HYPERLINK("https://lindat.mff.cuni.cz/services/teitok/pdtc10/index.php?action=vallex&amp;frame=v-w9382f1", "zdemolovat (v-w9382f1)")</f>
        <v>zdemolovat (v-w9382f1)</v>
      </c>
      <c r="E68712" s="0" t="str">
        <f aca="false">HYPERLINK("https://lindat.mff.cuni.cz/services/SynSemClass40/SynSemClass40.html?veclass=vec00389#vec00389-ces-cm00053", "vec00389")</f>
        <v>vec00389</v>
      </c>
      <c r="F68712" s="0" t="s">
        <v>1888</v>
      </c>
    </row>
    <row r="68713" customFormat="false" ht="12.8" hidden="false" customHeight="false" outlineLevel="0" collapsed="false">
      <c r="B68713" s="0" t="s">
        <v>1</v>
      </c>
      <c r="C68713" s="0" t="s">
        <v>1889</v>
      </c>
      <c r="E68713" s="0" t="s">
        <v>1890</v>
      </c>
      <c r="F68713" s="0" t="s">
        <v>1891</v>
      </c>
    </row>
    <row r="68714" customFormat="false" ht="12.8" hidden="false" customHeight="false" outlineLevel="0" collapsed="false">
      <c r="B68714" s="0" t="s">
        <v>8</v>
      </c>
      <c r="C68714" s="0" t="s">
        <v>1892</v>
      </c>
      <c r="E68714" s="0" t="s">
        <v>1893</v>
      </c>
      <c r="F68714" s="0" t="s">
        <v>1894</v>
      </c>
    </row>
    <row r="68716" customFormat="false" ht="12.8" hidden="false" customHeight="false" outlineLevel="0" collapsed="false">
      <c r="A68716" s="0" t="s">
        <v>22528</v>
      </c>
      <c r="B68716" s="0" t="str">
        <f aca="false">HYPERLINK("https://lindat.mff.cuni.cz/services/teitok/pdtc10/index.php?action=vallex&amp;frame=v-whsa_1226hsa_1227", "zdeptat (v-whsa_1226hsa_1227)")</f>
        <v>zdeptat (v-whsa_1226hsa_1227)</v>
      </c>
      <c r="E68716" s="0" t="str">
        <f aca="false">HYPERLINK("https://lindat.mff.cuni.cz/services/SynSemClass40/SynSemClass40.html?veclass=vec00389#vec00389-ces-cm00054", "vec00389")</f>
        <v>vec00389</v>
      </c>
      <c r="F68716" s="0" t="s">
        <v>1888</v>
      </c>
    </row>
    <row r="68717" customFormat="false" ht="12.8" hidden="false" customHeight="false" outlineLevel="0" collapsed="false">
      <c r="B68717" s="0" t="s">
        <v>1</v>
      </c>
      <c r="C68717" s="0" t="s">
        <v>1889</v>
      </c>
      <c r="E68717" s="0" t="s">
        <v>1890</v>
      </c>
      <c r="F68717" s="0" t="s">
        <v>1891</v>
      </c>
    </row>
    <row r="68718" customFormat="false" ht="12.8" hidden="false" customHeight="false" outlineLevel="0" collapsed="false">
      <c r="B68718" s="0" t="s">
        <v>8</v>
      </c>
      <c r="C68718" s="0" t="s">
        <v>1892</v>
      </c>
      <c r="E68718" s="0" t="s">
        <v>1893</v>
      </c>
      <c r="F68718" s="0" t="s">
        <v>1894</v>
      </c>
    </row>
    <row r="68720" customFormat="false" ht="12.8" hidden="false" customHeight="false" outlineLevel="0" collapsed="false">
      <c r="A68720" s="0" t="s">
        <v>22529</v>
      </c>
      <c r="B68720" s="0" t="str">
        <f aca="false">HYPERLINK("https://lindat.mff.cuni.cz/services/teitok/pdtc10/index.php?action=vallex&amp;frame=v-w10205f3", "zdesetinásobit (v-w10205f3)")</f>
        <v>zdesetinásobit (v-w10205f3)</v>
      </c>
    </row>
    <row r="68721" customFormat="false" ht="12.8" hidden="false" customHeight="false" outlineLevel="0" collapsed="false">
      <c r="B68721" s="0" t="s">
        <v>1</v>
      </c>
    </row>
    <row r="68722" customFormat="false" ht="12.8" hidden="false" customHeight="false" outlineLevel="0" collapsed="false">
      <c r="B68722" s="0" t="s">
        <v>8</v>
      </c>
    </row>
    <row r="68724" customFormat="false" ht="12.8" hidden="false" customHeight="false" outlineLevel="0" collapsed="false">
      <c r="A68724" s="0" t="s">
        <v>22530</v>
      </c>
      <c r="B68724" s="0" t="str">
        <f aca="false">HYPERLINK("https://lindat.mff.cuni.cz/services/teitok/pdtc10/index.php?action=vallex&amp;frame=v-w11261f1", "zdesetinásobit se (v-w11261f1)")</f>
        <v>zdesetinásobit se (v-w11261f1)</v>
      </c>
    </row>
    <row r="68725" customFormat="false" ht="12.8" hidden="false" customHeight="false" outlineLevel="0" collapsed="false">
      <c r="B68725" s="0" t="s">
        <v>1</v>
      </c>
    </row>
    <row r="68726" customFormat="false" ht="12.8" hidden="false" customHeight="false" outlineLevel="0" collapsed="false">
      <c r="B68726" s="0" t="s">
        <v>69</v>
      </c>
    </row>
    <row r="68727" customFormat="false" ht="12.8" hidden="false" customHeight="false" outlineLevel="0" collapsed="false">
      <c r="B68727" s="0" t="s">
        <v>36</v>
      </c>
    </row>
    <row r="68729" customFormat="false" ht="12.8" hidden="false" customHeight="false" outlineLevel="0" collapsed="false">
      <c r="A68729" s="0" t="s">
        <v>22531</v>
      </c>
      <c r="B68729" s="0" t="str">
        <f aca="false">HYPERLINK("https://lindat.mff.cuni.cz/services/teitok/pdtc10/index.php?action=vallex&amp;frame=v-w10943f2", "zdevastovat (v-w10943f2)")</f>
        <v>zdevastovat (v-w10943f2)</v>
      </c>
    </row>
    <row r="68730" customFormat="false" ht="12.8" hidden="false" customHeight="false" outlineLevel="0" collapsed="false">
      <c r="B68730" s="0" t="s">
        <v>1</v>
      </c>
    </row>
    <row r="68731" customFormat="false" ht="12.8" hidden="false" customHeight="false" outlineLevel="0" collapsed="false">
      <c r="B68731" s="0" t="s">
        <v>8</v>
      </c>
    </row>
    <row r="68733" customFormat="false" ht="12.8" hidden="false" customHeight="false" outlineLevel="0" collapsed="false">
      <c r="A68733" s="0" t="s">
        <v>22532</v>
      </c>
      <c r="B68733" s="0" t="str">
        <f aca="false">HYPERLINK("https://lindat.mff.cuni.cz/services/teitok/pdtc10/index.php?action=vallex&amp;frame=v-w9385f1", "zdiskreditovat (v-w9385f1)")</f>
        <v>zdiskreditovat (v-w9385f1)</v>
      </c>
      <c r="E68733" s="0" t="str">
        <f aca="false">HYPERLINK("https://lindat.mff.cuni.cz/services/SynSemClass40/SynSemClass40.html?veclass=vec01192#vec01192-ces-cm00003", "vec01192")</f>
        <v>vec01192</v>
      </c>
      <c r="F68733" s="0" t="s">
        <v>2000</v>
      </c>
    </row>
    <row r="68734" customFormat="false" ht="12.8" hidden="false" customHeight="false" outlineLevel="0" collapsed="false">
      <c r="B68734" s="0" t="s">
        <v>1</v>
      </c>
      <c r="C68734" s="0" t="s">
        <v>512</v>
      </c>
      <c r="E68734" s="0" t="s">
        <v>11</v>
      </c>
      <c r="F68734" s="0" t="s">
        <v>1613</v>
      </c>
    </row>
    <row r="68735" customFormat="false" ht="12.8" hidden="false" customHeight="false" outlineLevel="0" collapsed="false">
      <c r="B68735" s="0" t="s">
        <v>8</v>
      </c>
      <c r="C68735" s="0" t="s">
        <v>2001</v>
      </c>
      <c r="E68735" s="0" t="s">
        <v>142</v>
      </c>
      <c r="F68735" s="0" t="s">
        <v>2002</v>
      </c>
    </row>
    <row r="68737" customFormat="false" ht="12.8" hidden="false" customHeight="false" outlineLevel="0" collapsed="false">
      <c r="A68737" s="0" t="s">
        <v>22533</v>
      </c>
      <c r="B68737" s="0" t="str">
        <f aca="false">HYPERLINK("https://lindat.mff.cuni.cz/services/teitok/pdtc10/index.php?action=vallex&amp;frame=v-w10134f2", "zdivočet (v-w10134f2)")</f>
        <v>zdivočet (v-w10134f2)</v>
      </c>
    </row>
    <row r="68738" customFormat="false" ht="12.8" hidden="false" customHeight="false" outlineLevel="0" collapsed="false">
      <c r="B68738" s="0" t="s">
        <v>1</v>
      </c>
    </row>
    <row r="68740" customFormat="false" ht="12.8" hidden="false" customHeight="false" outlineLevel="0" collapsed="false">
      <c r="A68740" s="0" t="s">
        <v>22534</v>
      </c>
      <c r="B68740" s="0" t="str">
        <f aca="false">HYPERLINK("https://lindat.mff.cuni.cz/services/teitok/pdtc10/index.php?action=vallex&amp;frame=v-w9387f1", "zdobit (v-w9387f1)")</f>
        <v>zdobit (v-w9387f1)</v>
      </c>
      <c r="E68740" s="0" t="str">
        <f aca="false">HYPERLINK("https://lindat.mff.cuni.cz/services/SynSemClass40/SynSemClass40.html?veclass=vec00782#vec00782-ces-cm00001", "vec00782")</f>
        <v>vec00782</v>
      </c>
      <c r="F68740" s="0" t="s">
        <v>22535</v>
      </c>
      <c r="H68740" s="0" t="str">
        <f aca="false">HYPERLINK("https://lindat.mff.cuni.cz/services/SynSemClass40/SynSemClass40.html?veclass=vec01363#vec01363-ces-cm00007", "vec01363")</f>
        <v>vec01363</v>
      </c>
      <c r="I68740" s="0" t="s">
        <v>7011</v>
      </c>
    </row>
    <row r="68741" customFormat="false" ht="12.8" hidden="false" customHeight="false" outlineLevel="0" collapsed="false">
      <c r="B68741" s="0" t="s">
        <v>1</v>
      </c>
      <c r="C68741" s="0" t="s">
        <v>22536</v>
      </c>
      <c r="E68741" s="0" t="s">
        <v>22537</v>
      </c>
      <c r="F68741" s="0" t="s">
        <v>22538</v>
      </c>
      <c r="H68741" s="0" t="s">
        <v>31</v>
      </c>
      <c r="I68741" s="0" t="s">
        <v>3001</v>
      </c>
    </row>
    <row r="68742" customFormat="false" ht="12.8" hidden="false" customHeight="false" outlineLevel="0" collapsed="false">
      <c r="B68742" s="0" t="s">
        <v>8</v>
      </c>
      <c r="C68742" s="0" t="s">
        <v>5391</v>
      </c>
      <c r="E68742" s="0" t="s">
        <v>13801</v>
      </c>
      <c r="F68742" s="0" t="s">
        <v>22539</v>
      </c>
      <c r="H68742" s="0" t="s">
        <v>4782</v>
      </c>
      <c r="I68742" s="0" t="s">
        <v>7012</v>
      </c>
    </row>
    <row r="68744" customFormat="false" ht="12.8" hidden="false" customHeight="false" outlineLevel="0" collapsed="false">
      <c r="A68744" s="0" t="s">
        <v>22540</v>
      </c>
      <c r="B68744" s="0" t="str">
        <f aca="false">HYPERLINK("https://lindat.mff.cuni.cz/services/teitok/pdtc10/index.php?action=vallex&amp;frame=v-w9387hsa_1400", "zdobit (v-w9387hsa_1400)")</f>
        <v>zdobit (v-w9387hsa_1400)</v>
      </c>
    </row>
    <row r="68745" customFormat="false" ht="12.8" hidden="false" customHeight="false" outlineLevel="0" collapsed="false">
      <c r="B68745" s="0" t="s">
        <v>1</v>
      </c>
    </row>
    <row r="68746" customFormat="false" ht="12.8" hidden="false" customHeight="false" outlineLevel="0" collapsed="false">
      <c r="B68746" s="0" t="s">
        <v>8</v>
      </c>
    </row>
    <row r="68748" customFormat="false" ht="12.8" hidden="false" customHeight="false" outlineLevel="0" collapsed="false">
      <c r="A68748" s="0" t="s">
        <v>22541</v>
      </c>
      <c r="B68748" s="0" t="str">
        <f aca="false">HYPERLINK("https://lindat.mff.cuni.cz/services/teitok/pdtc10/index.php?action=vallex&amp;frame=v-w9389f1", "zdokonalit (v-w9389f1)")</f>
        <v>zdokonalit (v-w9389f1)</v>
      </c>
      <c r="E68748" s="0" t="str">
        <f aca="false">HYPERLINK("https://lindat.mff.cuni.cz/services/SynSemClass40/SynSemClass40.html?veclass=vec00386#vec00386-ces-cm00031", "vec00386")</f>
        <v>vec00386</v>
      </c>
      <c r="F68748" s="0" t="s">
        <v>5835</v>
      </c>
    </row>
    <row r="68749" customFormat="false" ht="12.8" hidden="false" customHeight="false" outlineLevel="0" collapsed="false">
      <c r="B68749" s="0" t="s">
        <v>1</v>
      </c>
      <c r="C68749" s="0" t="s">
        <v>5836</v>
      </c>
      <c r="E68749" s="0" t="s">
        <v>76</v>
      </c>
      <c r="F68749" s="0" t="s">
        <v>5837</v>
      </c>
    </row>
    <row r="68750" customFormat="false" ht="12.8" hidden="false" customHeight="false" outlineLevel="0" collapsed="false">
      <c r="B68750" s="0" t="s">
        <v>8</v>
      </c>
      <c r="C68750" s="0" t="s">
        <v>5838</v>
      </c>
      <c r="E68750" s="0" t="s">
        <v>4782</v>
      </c>
      <c r="F68750" s="0" t="s">
        <v>5839</v>
      </c>
    </row>
    <row r="68752" customFormat="false" ht="12.8" hidden="false" customHeight="false" outlineLevel="0" collapsed="false">
      <c r="A68752" s="0" t="s">
        <v>22542</v>
      </c>
      <c r="B68752" s="0" t="str">
        <f aca="false">HYPERLINK("https://lindat.mff.cuni.cz/services/teitok/pdtc10/index.php?action=vallex&amp;frame=v-whsa_750hsa_751", "zdokonalit se (v-whsa_750hsa_751)")</f>
        <v>zdokonalit se (v-whsa_750hsa_751)</v>
      </c>
    </row>
    <row r="68753" customFormat="false" ht="12.8" hidden="false" customHeight="false" outlineLevel="0" collapsed="false">
      <c r="B68753" s="0" t="s">
        <v>1</v>
      </c>
    </row>
    <row r="68754" customFormat="false" ht="12.8" hidden="false" customHeight="false" outlineLevel="0" collapsed="false">
      <c r="B68754" s="0" t="s">
        <v>883</v>
      </c>
    </row>
    <row r="68756" customFormat="false" ht="12.8" hidden="false" customHeight="false" outlineLevel="0" collapsed="false">
      <c r="A68756" s="0" t="s">
        <v>22543</v>
      </c>
      <c r="B68756" s="0" t="str">
        <f aca="false">HYPERLINK("https://lindat.mff.cuni.cz/services/teitok/pdtc10/index.php?action=vallex&amp;frame=v-w9391f1", "zdokonalovat (v-w9391f1)")</f>
        <v>zdokonalovat (v-w9391f1)</v>
      </c>
      <c r="E68756" s="0" t="str">
        <f aca="false">HYPERLINK("https://lindat.mff.cuni.cz/services/SynSemClass40/SynSemClass40.html?veclass=vec00386#vec00386-ces-cm00032", "vec00386")</f>
        <v>vec00386</v>
      </c>
      <c r="F68756" s="0" t="s">
        <v>5835</v>
      </c>
    </row>
    <row r="68757" customFormat="false" ht="12.8" hidden="false" customHeight="false" outlineLevel="0" collapsed="false">
      <c r="B68757" s="0" t="s">
        <v>1</v>
      </c>
      <c r="C68757" s="0" t="s">
        <v>5836</v>
      </c>
      <c r="E68757" s="0" t="s">
        <v>76</v>
      </c>
      <c r="F68757" s="0" t="s">
        <v>5837</v>
      </c>
    </row>
    <row r="68758" customFormat="false" ht="12.8" hidden="false" customHeight="false" outlineLevel="0" collapsed="false">
      <c r="B68758" s="0" t="s">
        <v>8</v>
      </c>
      <c r="C68758" s="0" t="s">
        <v>5838</v>
      </c>
      <c r="E68758" s="0" t="s">
        <v>4782</v>
      </c>
      <c r="F68758" s="0" t="s">
        <v>5839</v>
      </c>
    </row>
    <row r="68760" customFormat="false" ht="12.8" hidden="false" customHeight="false" outlineLevel="0" collapsed="false">
      <c r="A68760" s="0" t="s">
        <v>22544</v>
      </c>
      <c r="B68760" s="0" t="str">
        <f aca="false">HYPERLINK("https://lindat.mff.cuni.cz/services/teitok/pdtc10/index.php?action=vallex&amp;frame=v-w9392f1", "zdokonalovat se (v-w9392f1)")</f>
        <v>zdokonalovat se (v-w9392f1)</v>
      </c>
    </row>
    <row r="68761" customFormat="false" ht="12.8" hidden="false" customHeight="false" outlineLevel="0" collapsed="false">
      <c r="B68761" s="0" t="s">
        <v>1</v>
      </c>
    </row>
    <row r="68762" customFormat="false" ht="12.8" hidden="false" customHeight="false" outlineLevel="0" collapsed="false">
      <c r="B68762" s="0" t="s">
        <v>883</v>
      </c>
    </row>
    <row r="68764" customFormat="false" ht="12.8" hidden="false" customHeight="false" outlineLevel="0" collapsed="false">
      <c r="A68764" s="0" t="s">
        <v>22545</v>
      </c>
      <c r="B68764" s="0" t="str">
        <f aca="false">HYPERLINK("https://lindat.mff.cuni.cz/services/teitok/pdtc10/index.php?action=vallex&amp;frame=v-w9394f1", "zdolat (v-w9394f1)")</f>
        <v>zdolat (v-w9394f1)</v>
      </c>
      <c r="E68764" s="0" t="str">
        <f aca="false">HYPERLINK("https://lindat.mff.cuni.cz/services/SynSemClass40/SynSemClass40.html?veclass=vec00091#vec00091-ces-cm00010", "vec00091")</f>
        <v>vec00091</v>
      </c>
      <c r="F68764" s="0" t="s">
        <v>13102</v>
      </c>
    </row>
    <row r="68765" customFormat="false" ht="12.8" hidden="false" customHeight="false" outlineLevel="0" collapsed="false">
      <c r="B68765" s="0" t="s">
        <v>1</v>
      </c>
      <c r="C68765" s="0" t="s">
        <v>447</v>
      </c>
      <c r="E68765" s="0" t="s">
        <v>7246</v>
      </c>
      <c r="F68765" s="0" t="s">
        <v>13103</v>
      </c>
    </row>
    <row r="68766" customFormat="false" ht="12.8" hidden="false" customHeight="false" outlineLevel="0" collapsed="false">
      <c r="B68766" s="0" t="s">
        <v>8</v>
      </c>
      <c r="C68766" s="0" t="s">
        <v>2627</v>
      </c>
      <c r="E68766" s="0" t="s">
        <v>6961</v>
      </c>
      <c r="F68766" s="0" t="s">
        <v>13104</v>
      </c>
    </row>
    <row r="68768" customFormat="false" ht="12.8" hidden="false" customHeight="false" outlineLevel="0" collapsed="false">
      <c r="A68768" s="0" t="s">
        <v>22546</v>
      </c>
      <c r="B68768" s="0" t="str">
        <f aca="false">HYPERLINK("https://lindat.mff.cuni.cz/services/teitok/pdtc10/index.php?action=vallex&amp;frame=v-w9395f1", "zdolávat (v-w9395f1)")</f>
        <v>zdolávat (v-w9395f1)</v>
      </c>
    </row>
    <row r="68769" customFormat="false" ht="12.8" hidden="false" customHeight="false" outlineLevel="0" collapsed="false">
      <c r="B68769" s="0" t="s">
        <v>1</v>
      </c>
    </row>
    <row r="68770" customFormat="false" ht="12.8" hidden="false" customHeight="false" outlineLevel="0" collapsed="false">
      <c r="B68770" s="0" t="s">
        <v>8</v>
      </c>
    </row>
    <row r="68772" customFormat="false" ht="12.8" hidden="false" customHeight="false" outlineLevel="0" collapsed="false">
      <c r="A68772" s="0" t="s">
        <v>22547</v>
      </c>
      <c r="B68772" s="0" t="str">
        <f aca="false">HYPERLINK("https://lindat.mff.cuni.cz/services/teitok/pdtc10/index.php?action=vallex&amp;frame=v-w9395f2", "zdolávat (v-w9395f2)")</f>
        <v>zdolávat (v-w9395f2)</v>
      </c>
      <c r="E68772" s="0" t="str">
        <f aca="false">HYPERLINK("https://lindat.mff.cuni.cz/services/SynSemClass40/SynSemClass40.html?veclass=vec00091#vec00091-ces-cm00027", "vec00091")</f>
        <v>vec00091</v>
      </c>
      <c r="F68772" s="0" t="s">
        <v>13102</v>
      </c>
    </row>
    <row r="68773" customFormat="false" ht="12.8" hidden="false" customHeight="false" outlineLevel="0" collapsed="false">
      <c r="B68773" s="0" t="s">
        <v>1</v>
      </c>
      <c r="C68773" s="0" t="s">
        <v>447</v>
      </c>
      <c r="E68773" s="0" t="s">
        <v>7246</v>
      </c>
      <c r="F68773" s="0" t="s">
        <v>13103</v>
      </c>
    </row>
    <row r="68774" customFormat="false" ht="12.8" hidden="false" customHeight="false" outlineLevel="0" collapsed="false">
      <c r="B68774" s="0" t="s">
        <v>8</v>
      </c>
      <c r="C68774" s="0" t="s">
        <v>2627</v>
      </c>
      <c r="E68774" s="0" t="s">
        <v>6961</v>
      </c>
      <c r="F68774" s="0" t="s">
        <v>13104</v>
      </c>
    </row>
    <row r="68776" customFormat="false" ht="12.8" hidden="false" customHeight="false" outlineLevel="0" collapsed="false">
      <c r="A68776" s="0" t="s">
        <v>22548</v>
      </c>
      <c r="B68776" s="0" t="str">
        <f aca="false">HYPERLINK("https://lindat.mff.cuni.cz/services/teitok/pdtc10/index.php?action=vallex&amp;frame=v-w9396f1", "zdomácnět (v-w9396f1)")</f>
        <v>zdomácnět (v-w9396f1)</v>
      </c>
    </row>
    <row r="68777" customFormat="false" ht="12.8" hidden="false" customHeight="false" outlineLevel="0" collapsed="false">
      <c r="B68777" s="0" t="s">
        <v>1</v>
      </c>
    </row>
    <row r="68779" customFormat="false" ht="12.8" hidden="false" customHeight="false" outlineLevel="0" collapsed="false">
      <c r="A68779" s="0" t="s">
        <v>22549</v>
      </c>
      <c r="B68779" s="0" t="str">
        <f aca="false">HYPERLINK("https://lindat.mff.cuni.cz/services/teitok/pdtc10/index.php?action=vallex&amp;frame=v-w11644_ZUf1_ZU", "zdostupnit (v-w11644_ZUf1_ZU)")</f>
        <v>zdostupnit (v-w11644_ZUf1_ZU)</v>
      </c>
    </row>
    <row r="68780" customFormat="false" ht="12.8" hidden="false" customHeight="false" outlineLevel="0" collapsed="false">
      <c r="B68780" s="0" t="s">
        <v>1</v>
      </c>
    </row>
    <row r="68781" customFormat="false" ht="12.8" hidden="false" customHeight="false" outlineLevel="0" collapsed="false">
      <c r="B68781" s="0" t="s">
        <v>8</v>
      </c>
    </row>
    <row r="68782" customFormat="false" ht="12.8" hidden="false" customHeight="false" outlineLevel="0" collapsed="false">
      <c r="B68782" s="0" t="s">
        <v>52</v>
      </c>
    </row>
    <row r="68784" customFormat="false" ht="12.8" hidden="false" customHeight="false" outlineLevel="0" collapsed="false">
      <c r="A68784" s="0" t="s">
        <v>22550</v>
      </c>
      <c r="B68784" s="0" t="str">
        <f aca="false">HYPERLINK("https://lindat.mff.cuni.cz/services/teitok/pdtc10/index.php?action=vallex&amp;frame=v-w9398f1", "zdramatizovat (v-w9398f1)")</f>
        <v>zdramatizovat (v-w9398f1)</v>
      </c>
    </row>
    <row r="68785" customFormat="false" ht="12.8" hidden="false" customHeight="false" outlineLevel="0" collapsed="false">
      <c r="B68785" s="0" t="s">
        <v>1</v>
      </c>
    </row>
    <row r="68786" customFormat="false" ht="12.8" hidden="false" customHeight="false" outlineLevel="0" collapsed="false">
      <c r="B68786" s="0" t="s">
        <v>8</v>
      </c>
    </row>
    <row r="68788" customFormat="false" ht="12.8" hidden="false" customHeight="false" outlineLevel="0" collapsed="false">
      <c r="A68788" s="0" t="s">
        <v>22551</v>
      </c>
      <c r="B68788" s="0" t="str">
        <f aca="false">HYPERLINK("https://lindat.mff.cuni.cz/services/teitok/pdtc10/index.php?action=vallex&amp;frame=v-w9399f1", "zdravit (v-w9399f1)")</f>
        <v>zdravit (v-w9399f1)</v>
      </c>
    </row>
    <row r="68789" customFormat="false" ht="12.8" hidden="false" customHeight="false" outlineLevel="0" collapsed="false">
      <c r="B68789" s="0" t="s">
        <v>1</v>
      </c>
    </row>
    <row r="68790" customFormat="false" ht="12.8" hidden="false" customHeight="false" outlineLevel="0" collapsed="false">
      <c r="B68790" s="0" t="s">
        <v>8</v>
      </c>
    </row>
    <row r="68792" customFormat="false" ht="12.8" hidden="false" customHeight="false" outlineLevel="0" collapsed="false">
      <c r="A68792" s="0" t="s">
        <v>22552</v>
      </c>
      <c r="B68792" s="0" t="str">
        <f aca="false">HYPERLINK("https://lindat.mff.cuni.cz/services/teitok/pdtc10/index.php?action=vallex&amp;frame=v-whsa_343hsa_344", "zdravit se (v-whsa_343hsa_344)")</f>
        <v>zdravit se (v-whsa_343hsa_344)</v>
      </c>
    </row>
    <row r="68793" customFormat="false" ht="12.8" hidden="false" customHeight="false" outlineLevel="0" collapsed="false">
      <c r="B68793" s="0" t="s">
        <v>1</v>
      </c>
    </row>
    <row r="68794" customFormat="false" ht="12.8" hidden="false" customHeight="false" outlineLevel="0" collapsed="false">
      <c r="B68794" s="0" t="s">
        <v>721</v>
      </c>
    </row>
    <row r="68796" customFormat="false" ht="12.8" hidden="false" customHeight="false" outlineLevel="0" collapsed="false">
      <c r="A68796" s="0" t="s">
        <v>22553</v>
      </c>
      <c r="B68796" s="0" t="str">
        <f aca="false">HYPERLINK("https://lindat.mff.cuni.cz/services/teitok/pdtc10/index.php?action=vallex&amp;frame=v-w9401f1", "zdražit (v-w9401f1)")</f>
        <v>zdražit (v-w9401f1)</v>
      </c>
      <c r="E68796" s="0" t="str">
        <f aca="false">HYPERLINK("https://lindat.mff.cuni.cz/services/SynSemClass40/SynSemClass40.html?veclass=vec00298#vec00298-ces-cm00149", "vec00298")</f>
        <v>vec00298</v>
      </c>
      <c r="F68796" s="0" t="s">
        <v>7194</v>
      </c>
    </row>
    <row r="68797" customFormat="false" ht="12.8" hidden="false" customHeight="false" outlineLevel="0" collapsed="false">
      <c r="B68797" s="0" t="s">
        <v>1</v>
      </c>
      <c r="C68797" s="0" t="s">
        <v>7195</v>
      </c>
      <c r="E68797" s="0" t="s">
        <v>31</v>
      </c>
      <c r="F68797" s="0" t="s">
        <v>7196</v>
      </c>
    </row>
    <row r="68798" customFormat="false" ht="12.8" hidden="false" customHeight="false" outlineLevel="0" collapsed="false">
      <c r="B68798" s="0" t="s">
        <v>8</v>
      </c>
      <c r="C68798" s="0" t="s">
        <v>7197</v>
      </c>
      <c r="E68798" s="0" t="s">
        <v>1569</v>
      </c>
      <c r="F68798" s="0" t="s">
        <v>7198</v>
      </c>
    </row>
    <row r="68799" customFormat="false" ht="12.8" hidden="false" customHeight="false" outlineLevel="0" collapsed="false">
      <c r="B68799" s="0" t="s">
        <v>36</v>
      </c>
      <c r="C68799" s="0" t="s">
        <v>7199</v>
      </c>
      <c r="E68799" s="0" t="s">
        <v>5152</v>
      </c>
      <c r="F68799" s="0" t="s">
        <v>7200</v>
      </c>
    </row>
    <row r="68800" customFormat="false" ht="12.8" hidden="false" customHeight="false" outlineLevel="0" collapsed="false">
      <c r="B68800" s="0" t="s">
        <v>101</v>
      </c>
      <c r="C68800" s="0" t="s">
        <v>7201</v>
      </c>
      <c r="E68800" s="0" t="s">
        <v>5796</v>
      </c>
      <c r="F68800" s="0" t="s">
        <v>7202</v>
      </c>
    </row>
    <row r="68802" customFormat="false" ht="12.8" hidden="false" customHeight="false" outlineLevel="0" collapsed="false">
      <c r="A68802" s="0" t="s">
        <v>22554</v>
      </c>
      <c r="B68802" s="0" t="str">
        <f aca="false">HYPERLINK("https://lindat.mff.cuni.cz/services/teitok/pdtc10/index.php?action=vallex&amp;frame=v-w9401f2_ZU", "zdražit (v-w9401f2_ZU)")</f>
        <v>zdražit (v-w9401f2_ZU)</v>
      </c>
    </row>
    <row r="68803" customFormat="false" ht="12.8" hidden="false" customHeight="false" outlineLevel="0" collapsed="false">
      <c r="B68803" s="0" t="s">
        <v>1</v>
      </c>
    </row>
    <row r="68804" customFormat="false" ht="12.8" hidden="false" customHeight="false" outlineLevel="0" collapsed="false">
      <c r="B68804" s="0" t="s">
        <v>69</v>
      </c>
    </row>
    <row r="68805" customFormat="false" ht="12.8" hidden="false" customHeight="false" outlineLevel="0" collapsed="false">
      <c r="B68805" s="0" t="s">
        <v>36</v>
      </c>
    </row>
    <row r="68807" customFormat="false" ht="12.8" hidden="false" customHeight="false" outlineLevel="0" collapsed="false">
      <c r="A68807" s="0" t="s">
        <v>22555</v>
      </c>
      <c r="B68807" s="0" t="str">
        <f aca="false">HYPERLINK("https://lindat.mff.cuni.cz/services/teitok/pdtc10/index.php?action=vallex&amp;frame=v-w9403f1", "zdražovat (v-w9403f1)")</f>
        <v>zdražovat (v-w9403f1)</v>
      </c>
      <c r="E68807" s="0" t="str">
        <f aca="false">HYPERLINK("https://lindat.mff.cuni.cz/services/SynSemClass40/SynSemClass40.html?veclass=vec00298#vec00298-ces-cm00150", "vec00298")</f>
        <v>vec00298</v>
      </c>
      <c r="F68807" s="0" t="s">
        <v>7194</v>
      </c>
    </row>
    <row r="68808" customFormat="false" ht="12.8" hidden="false" customHeight="false" outlineLevel="0" collapsed="false">
      <c r="B68808" s="0" t="s">
        <v>1</v>
      </c>
      <c r="C68808" s="0" t="s">
        <v>7195</v>
      </c>
      <c r="E68808" s="0" t="s">
        <v>31</v>
      </c>
      <c r="F68808" s="0" t="s">
        <v>7196</v>
      </c>
    </row>
    <row r="68809" customFormat="false" ht="12.8" hidden="false" customHeight="false" outlineLevel="0" collapsed="false">
      <c r="B68809" s="0" t="s">
        <v>8</v>
      </c>
      <c r="C68809" s="0" t="s">
        <v>7197</v>
      </c>
      <c r="E68809" s="0" t="s">
        <v>1569</v>
      </c>
      <c r="F68809" s="0" t="s">
        <v>7198</v>
      </c>
    </row>
    <row r="68810" customFormat="false" ht="12.8" hidden="false" customHeight="false" outlineLevel="0" collapsed="false">
      <c r="B68810" s="0" t="s">
        <v>36</v>
      </c>
      <c r="C68810" s="0" t="s">
        <v>7199</v>
      </c>
      <c r="E68810" s="0" t="s">
        <v>5152</v>
      </c>
      <c r="F68810" s="0" t="s">
        <v>7200</v>
      </c>
    </row>
    <row r="68811" customFormat="false" ht="12.8" hidden="false" customHeight="false" outlineLevel="0" collapsed="false">
      <c r="B68811" s="0" t="s">
        <v>101</v>
      </c>
      <c r="C68811" s="0" t="s">
        <v>7201</v>
      </c>
      <c r="E68811" s="0" t="s">
        <v>5796</v>
      </c>
      <c r="F68811" s="0" t="s">
        <v>7202</v>
      </c>
    </row>
    <row r="68813" customFormat="false" ht="12.8" hidden="false" customHeight="false" outlineLevel="0" collapsed="false">
      <c r="A68813" s="0" t="s">
        <v>22556</v>
      </c>
      <c r="B68813" s="0" t="str">
        <f aca="false">HYPERLINK("https://lindat.mff.cuni.cz/services/teitok/pdtc10/index.php?action=vallex&amp;frame=v-w11111f2", "zdrhnout (v-w11111f2)")</f>
        <v>zdrhnout (v-w11111f2)</v>
      </c>
    </row>
    <row r="68814" customFormat="false" ht="12.8" hidden="false" customHeight="false" outlineLevel="0" collapsed="false">
      <c r="B68814" s="0" t="s">
        <v>1</v>
      </c>
    </row>
    <row r="68815" customFormat="false" ht="12.8" hidden="false" customHeight="false" outlineLevel="0" collapsed="false">
      <c r="B68815" s="0" t="s">
        <v>12119</v>
      </c>
    </row>
    <row r="68817" customFormat="false" ht="12.8" hidden="false" customHeight="false" outlineLevel="0" collapsed="false">
      <c r="A68817" s="0" t="s">
        <v>22557</v>
      </c>
      <c r="B68817" s="0" t="str">
        <f aca="false">HYPERLINK("https://lindat.mff.cuni.cz/services/teitok/pdtc10/index.php?action=vallex&amp;frame=v-w9405f1", "zdrsnit (v-w9405f1)")</f>
        <v>zdrsnit (v-w9405f1)</v>
      </c>
    </row>
    <row r="68818" customFormat="false" ht="12.8" hidden="false" customHeight="false" outlineLevel="0" collapsed="false">
      <c r="B68818" s="0" t="s">
        <v>1</v>
      </c>
    </row>
    <row r="68819" customFormat="false" ht="12.8" hidden="false" customHeight="false" outlineLevel="0" collapsed="false">
      <c r="B68819" s="0" t="s">
        <v>8</v>
      </c>
    </row>
    <row r="68821" customFormat="false" ht="12.8" hidden="false" customHeight="false" outlineLevel="0" collapsed="false">
      <c r="A68821" s="0" t="s">
        <v>22558</v>
      </c>
      <c r="B68821" s="0" t="str">
        <f aca="false">HYPERLINK("https://lindat.mff.cuni.cz/services/teitok/pdtc10/index.php?action=vallex&amp;frame=v-w11645_ZUf1_ZU", "zdrsnět (v-w11645_ZUf1_ZU)")</f>
        <v>zdrsnět (v-w11645_ZUf1_ZU)</v>
      </c>
    </row>
    <row r="68822" customFormat="false" ht="12.8" hidden="false" customHeight="false" outlineLevel="0" collapsed="false">
      <c r="B68822" s="0" t="s">
        <v>1</v>
      </c>
    </row>
    <row r="68824" customFormat="false" ht="12.8" hidden="false" customHeight="false" outlineLevel="0" collapsed="false">
      <c r="A68824" s="0" t="s">
        <v>22559</v>
      </c>
      <c r="B68824" s="0" t="str">
        <f aca="false">HYPERLINK("https://lindat.mff.cuni.cz/services/teitok/pdtc10/index.php?action=vallex&amp;frame=v-w10275f2", "zdrtit (v-w10275f2)")</f>
        <v>zdrtit (v-w10275f2)</v>
      </c>
      <c r="E68824" s="0" t="str">
        <f aca="false">HYPERLINK("https://lindat.mff.cuni.cz/services/SynSemClass40/SynSemClass40.html?veclass=vec00389#vec00389-ces-cm00055", "vec00389")</f>
        <v>vec00389</v>
      </c>
      <c r="F68824" s="0" t="s">
        <v>1888</v>
      </c>
      <c r="H68824" s="0" t="str">
        <f aca="false">HYPERLINK("https://lindat.mff.cuni.cz/services/SynSemClass40/SynSemClass40.html?veclass=vec00740#vec00740-ces-cm00057", "vec00740")</f>
        <v>vec00740</v>
      </c>
      <c r="I68824" s="0" t="s">
        <v>2563</v>
      </c>
    </row>
    <row r="68825" customFormat="false" ht="12.8" hidden="false" customHeight="false" outlineLevel="0" collapsed="false">
      <c r="B68825" s="0" t="s">
        <v>1</v>
      </c>
      <c r="C68825" s="0" t="s">
        <v>22560</v>
      </c>
      <c r="E68825" s="0" t="s">
        <v>1890</v>
      </c>
      <c r="F68825" s="0" t="s">
        <v>1891</v>
      </c>
      <c r="H68825" s="0" t="s">
        <v>76</v>
      </c>
      <c r="I68825" s="0" t="s">
        <v>16856</v>
      </c>
    </row>
    <row r="68826" customFormat="false" ht="12.8" hidden="false" customHeight="false" outlineLevel="0" collapsed="false">
      <c r="B68826" s="0" t="s">
        <v>8</v>
      </c>
      <c r="C68826" s="0" t="s">
        <v>22561</v>
      </c>
      <c r="E68826" s="0" t="s">
        <v>1893</v>
      </c>
      <c r="F68826" s="0" t="s">
        <v>1894</v>
      </c>
      <c r="H68826" s="0" t="s">
        <v>199</v>
      </c>
      <c r="I68826" s="0" t="s">
        <v>16858</v>
      </c>
    </row>
    <row r="68828" customFormat="false" ht="12.8" hidden="false" customHeight="false" outlineLevel="0" collapsed="false">
      <c r="A68828" s="0" t="s">
        <v>22562</v>
      </c>
      <c r="B68828" s="0" t="str">
        <f aca="false">HYPERLINK("https://lindat.mff.cuni.cz/services/teitok/pdtc10/index.php?action=vallex&amp;frame=v-w9397f1", "zdráhat se (v-w9397f1)")</f>
        <v>zdráhat se (v-w9397f1)</v>
      </c>
    </row>
    <row r="68829" customFormat="false" ht="12.8" hidden="false" customHeight="false" outlineLevel="0" collapsed="false">
      <c r="B68829" s="0" t="s">
        <v>1</v>
      </c>
    </row>
    <row r="68830" customFormat="false" ht="12.8" hidden="false" customHeight="false" outlineLevel="0" collapsed="false">
      <c r="B68830" s="0" t="s">
        <v>22563</v>
      </c>
    </row>
    <row r="68832" customFormat="false" ht="12.8" hidden="false" customHeight="false" outlineLevel="0" collapsed="false">
      <c r="A68832" s="0" t="s">
        <v>22564</v>
      </c>
      <c r="B68832" s="0" t="str">
        <f aca="false">HYPERLINK("https://lindat.mff.cuni.cz/services/teitok/pdtc10/index.php?action=vallex&amp;frame=v-w11646_ZUf1_ZU", "zdržet (v-w11646_ZUf1_ZU)")</f>
        <v>zdržet (v-w11646_ZUf1_ZU)</v>
      </c>
      <c r="E68832" s="0" t="str">
        <f aca="false">HYPERLINK("https://lindat.mff.cuni.cz/services/SynSemClass40/SynSemClass40.html?veclass=vec00486#vec00486-ces-cm00011", "vec00486")</f>
        <v>vec00486</v>
      </c>
      <c r="F68832" s="0" t="s">
        <v>542</v>
      </c>
    </row>
    <row r="68833" customFormat="false" ht="12.8" hidden="false" customHeight="false" outlineLevel="0" collapsed="false">
      <c r="B68833" s="0" t="s">
        <v>1</v>
      </c>
      <c r="C68833" s="0" t="s">
        <v>543</v>
      </c>
      <c r="E68833" s="0" t="s">
        <v>206</v>
      </c>
      <c r="F68833" s="0" t="s">
        <v>544</v>
      </c>
    </row>
    <row r="68834" customFormat="false" ht="12.8" hidden="false" customHeight="false" outlineLevel="0" collapsed="false">
      <c r="B68834" s="0" t="s">
        <v>8</v>
      </c>
      <c r="C68834" s="0" t="s">
        <v>545</v>
      </c>
      <c r="E68834" s="0" t="s">
        <v>79</v>
      </c>
      <c r="F68834" s="0" t="s">
        <v>546</v>
      </c>
    </row>
    <row r="68836" customFormat="false" ht="12.8" hidden="false" customHeight="false" outlineLevel="0" collapsed="false">
      <c r="A68836" s="0" t="s">
        <v>22565</v>
      </c>
      <c r="B68836" s="0" t="str">
        <f aca="false">HYPERLINK("https://lindat.mff.cuni.cz/services/teitok/pdtc10/index.php?action=vallex&amp;frame=v-w9409f1", "zdržet se (v-w9409f1)")</f>
        <v>zdržet se (v-w9409f1)</v>
      </c>
      <c r="E68836" s="0" t="str">
        <f aca="false">HYPERLINK("https://lindat.mff.cuni.cz/services/SynSemClass40/SynSemClass40.html?veclass=vec00783#vec00783-ces-cm00001", "vec00783")</f>
        <v>vec00783</v>
      </c>
      <c r="F68836" s="0" t="s">
        <v>5762</v>
      </c>
    </row>
    <row r="68837" customFormat="false" ht="12.8" hidden="false" customHeight="false" outlineLevel="0" collapsed="false">
      <c r="B68837" s="0" t="s">
        <v>1</v>
      </c>
      <c r="C68837" s="0" t="s">
        <v>459</v>
      </c>
      <c r="E68837" s="0" t="s">
        <v>31</v>
      </c>
      <c r="F68837" s="0" t="s">
        <v>2437</v>
      </c>
    </row>
    <row r="68838" customFormat="false" ht="12.8" hidden="false" customHeight="false" outlineLevel="0" collapsed="false">
      <c r="B68838" s="0" t="s">
        <v>1289</v>
      </c>
      <c r="C68838" s="0" t="s">
        <v>800</v>
      </c>
      <c r="E68838" s="0" t="s">
        <v>79</v>
      </c>
      <c r="F68838" s="0" t="s">
        <v>5763</v>
      </c>
    </row>
    <row r="68840" customFormat="false" ht="12.8" hidden="false" customHeight="false" outlineLevel="0" collapsed="false">
      <c r="A68840" s="0" t="s">
        <v>22566</v>
      </c>
      <c r="B68840" s="0" t="str">
        <f aca="false">HYPERLINK("https://lindat.mff.cuni.cz/services/teitok/pdtc10/index.php?action=vallex&amp;frame=v-w9409f2", "zdržet se (v-w9409f2)")</f>
        <v>zdržet se (v-w9409f2)</v>
      </c>
      <c r="E68840" s="0" t="str">
        <f aca="false">HYPERLINK("https://lindat.mff.cuni.cz/services/SynSemClass40/SynSemClass40.html?veclass=vec00394#vec00394-ces-cm00064", "vec00394")</f>
        <v>vec00394</v>
      </c>
      <c r="F68840" s="0" t="s">
        <v>3338</v>
      </c>
    </row>
    <row r="68841" customFormat="false" ht="12.8" hidden="false" customHeight="false" outlineLevel="0" collapsed="false">
      <c r="B68841" s="0" t="s">
        <v>1</v>
      </c>
      <c r="C68841" s="0" t="s">
        <v>3345</v>
      </c>
      <c r="E68841" s="0" t="s">
        <v>11</v>
      </c>
      <c r="F68841" s="0" t="s">
        <v>3340</v>
      </c>
    </row>
    <row r="68842" customFormat="false" ht="12.8" hidden="false" customHeight="false" outlineLevel="0" collapsed="false">
      <c r="B68842" s="0" t="s">
        <v>5</v>
      </c>
      <c r="C68842" s="0" t="s">
        <v>3346</v>
      </c>
      <c r="E68842" s="0" t="s">
        <v>3254</v>
      </c>
      <c r="F68842" s="0" t="s">
        <v>3343</v>
      </c>
    </row>
    <row r="68844" customFormat="false" ht="12.8" hidden="false" customHeight="false" outlineLevel="0" collapsed="false">
      <c r="A68844" s="0" t="s">
        <v>22567</v>
      </c>
      <c r="B68844" s="0" t="str">
        <f aca="false">HYPERLINK("https://lindat.mff.cuni.cz/services/teitok/pdtc10/index.php?action=vallex&amp;frame=v-w9409f3", "zdržet se (v-w9409f3)")</f>
        <v>zdržet se (v-w9409f3)</v>
      </c>
    </row>
    <row r="68845" customFormat="false" ht="12.8" hidden="false" customHeight="false" outlineLevel="0" collapsed="false">
      <c r="B68845" s="0" t="s">
        <v>1</v>
      </c>
    </row>
    <row r="68847" customFormat="false" ht="12.8" hidden="false" customHeight="false" outlineLevel="0" collapsed="false">
      <c r="A68847" s="0" t="s">
        <v>22568</v>
      </c>
      <c r="B68847" s="0" t="str">
        <f aca="false">HYPERLINK("https://lindat.mff.cuni.cz/services/teitok/pdtc10/index.php?action=vallex&amp;frame=v-w9410f2", "zdržovat (v-w9410f2)")</f>
        <v>zdržovat (v-w9410f2)</v>
      </c>
    </row>
    <row r="68848" customFormat="false" ht="12.8" hidden="false" customHeight="false" outlineLevel="0" collapsed="false">
      <c r="B68848" s="0" t="s">
        <v>1</v>
      </c>
    </row>
    <row r="68849" customFormat="false" ht="12.8" hidden="false" customHeight="false" outlineLevel="0" collapsed="false">
      <c r="B68849" s="0" t="s">
        <v>22569</v>
      </c>
    </row>
    <row r="68850" customFormat="false" ht="12.8" hidden="false" customHeight="false" outlineLevel="0" collapsed="false">
      <c r="B68850" s="0" t="s">
        <v>98</v>
      </c>
    </row>
    <row r="68852" customFormat="false" ht="12.8" hidden="false" customHeight="false" outlineLevel="0" collapsed="false">
      <c r="A68852" s="0" t="s">
        <v>22570</v>
      </c>
      <c r="B68852" s="0" t="str">
        <f aca="false">HYPERLINK("https://lindat.mff.cuni.cz/services/teitok/pdtc10/index.php?action=vallex&amp;frame=v-w9410f1", "zdržovat (v-w9410f1)")</f>
        <v>zdržovat (v-w9410f1)</v>
      </c>
      <c r="E68852" s="0" t="str">
        <f aca="false">HYPERLINK("https://lindat.mff.cuni.cz/services/SynSemClass40/SynSemClass40.html?veclass=vec00486#vec00486-ces-cm00013", "vec00486")</f>
        <v>vec00486</v>
      </c>
      <c r="F68852" s="0" t="s">
        <v>542</v>
      </c>
    </row>
    <row r="68853" customFormat="false" ht="12.8" hidden="false" customHeight="false" outlineLevel="0" collapsed="false">
      <c r="B68853" s="0" t="s">
        <v>1</v>
      </c>
      <c r="C68853" s="0" t="s">
        <v>543</v>
      </c>
      <c r="E68853" s="0" t="s">
        <v>206</v>
      </c>
      <c r="F68853" s="0" t="s">
        <v>544</v>
      </c>
    </row>
    <row r="68854" customFormat="false" ht="12.8" hidden="false" customHeight="false" outlineLevel="0" collapsed="false">
      <c r="B68854" s="0" t="s">
        <v>8</v>
      </c>
      <c r="C68854" s="0" t="s">
        <v>545</v>
      </c>
      <c r="E68854" s="0" t="s">
        <v>79</v>
      </c>
      <c r="F68854" s="0" t="s">
        <v>546</v>
      </c>
    </row>
    <row r="68856" customFormat="false" ht="12.8" hidden="false" customHeight="false" outlineLevel="0" collapsed="false">
      <c r="A68856" s="0" t="s">
        <v>22571</v>
      </c>
      <c r="B68856" s="0" t="str">
        <f aca="false">HYPERLINK("https://lindat.mff.cuni.cz/services/teitok/pdtc10/index.php?action=vallex&amp;frame=v-w9411f1", "zdržovat se (v-w9411f1)")</f>
        <v>zdržovat se (v-w9411f1)</v>
      </c>
      <c r="E68856" s="0" t="str">
        <f aca="false">HYPERLINK("https://lindat.mff.cuni.cz/services/SynSemClass40/SynSemClass40.html?veclass=vec00394#vec00394-ces-cm00034", "vec00394")</f>
        <v>vec00394</v>
      </c>
      <c r="F68856" s="0" t="s">
        <v>3338</v>
      </c>
    </row>
    <row r="68857" customFormat="false" ht="12.8" hidden="false" customHeight="false" outlineLevel="0" collapsed="false">
      <c r="B68857" s="0" t="s">
        <v>1</v>
      </c>
      <c r="C68857" s="0" t="s">
        <v>3345</v>
      </c>
      <c r="E68857" s="0" t="s">
        <v>11</v>
      </c>
      <c r="F68857" s="0" t="s">
        <v>3340</v>
      </c>
    </row>
    <row r="68858" customFormat="false" ht="12.8" hidden="false" customHeight="false" outlineLevel="0" collapsed="false">
      <c r="B68858" s="0" t="s">
        <v>5</v>
      </c>
      <c r="C68858" s="0" t="s">
        <v>3346</v>
      </c>
      <c r="E68858" s="0" t="s">
        <v>3254</v>
      </c>
      <c r="F68858" s="0" t="s">
        <v>3343</v>
      </c>
    </row>
    <row r="68860" customFormat="false" ht="12.8" hidden="false" customHeight="false" outlineLevel="0" collapsed="false">
      <c r="A68860" s="0" t="s">
        <v>22572</v>
      </c>
      <c r="B68860" s="0" t="str">
        <f aca="false">HYPERLINK("https://lindat.mff.cuni.cz/services/teitok/pdtc10/index.php?action=vallex&amp;frame=v-w11714_ZUf1_ZU", "zdvihat (v-w11714_ZUf1_ZU)")</f>
        <v>zdvihat (v-w11714_ZUf1_ZU)</v>
      </c>
    </row>
    <row r="68861" customFormat="false" ht="12.8" hidden="false" customHeight="false" outlineLevel="0" collapsed="false">
      <c r="B68861" s="0" t="s">
        <v>1</v>
      </c>
    </row>
    <row r="68862" customFormat="false" ht="12.8" hidden="false" customHeight="false" outlineLevel="0" collapsed="false">
      <c r="B68862" s="0" t="s">
        <v>8</v>
      </c>
    </row>
    <row r="68864" customFormat="false" ht="12.8" hidden="false" customHeight="false" outlineLevel="0" collapsed="false">
      <c r="A68864" s="0" t="s">
        <v>22573</v>
      </c>
      <c r="B68864" s="0" t="str">
        <f aca="false">HYPERLINK("https://lindat.mff.cuni.cz/services/teitok/pdtc10/index.php?action=vallex&amp;frame=v-w11055f2", "zdvihnout (v-w11055f2)")</f>
        <v>zdvihnout (v-w11055f2)</v>
      </c>
    </row>
    <row r="68865" customFormat="false" ht="12.8" hidden="false" customHeight="false" outlineLevel="0" collapsed="false">
      <c r="B68865" s="0" t="s">
        <v>1</v>
      </c>
    </row>
    <row r="68866" customFormat="false" ht="12.8" hidden="false" customHeight="false" outlineLevel="0" collapsed="false">
      <c r="B68866" s="0" t="s">
        <v>8</v>
      </c>
    </row>
    <row r="68867" customFormat="false" ht="12.8" hidden="false" customHeight="false" outlineLevel="0" collapsed="false">
      <c r="B68867" s="0" t="s">
        <v>36</v>
      </c>
    </row>
    <row r="68868" customFormat="false" ht="12.8" hidden="false" customHeight="false" outlineLevel="0" collapsed="false">
      <c r="B68868" s="0" t="s">
        <v>101</v>
      </c>
    </row>
    <row r="68870" customFormat="false" ht="12.8" hidden="false" customHeight="false" outlineLevel="0" collapsed="false">
      <c r="A68870" s="0" t="s">
        <v>22574</v>
      </c>
      <c r="B68870" s="0" t="str">
        <f aca="false">HYPERLINK("https://lindat.mff.cuni.cz/services/teitok/pdtc10/index.php?action=vallex&amp;frame=v-w11055hsa_565", "zdvihnout (v-w11055hsa_565)")</f>
        <v>zdvihnout (v-w11055hsa_565)</v>
      </c>
      <c r="E68870" s="0" t="str">
        <f aca="false">HYPERLINK("https://lindat.mff.cuni.cz/services/SynSemClass40/SynSemClass40.html?veclass=vec01194#vec01194-ces-cm00012", "vec01194")</f>
        <v>vec01194</v>
      </c>
      <c r="F68870" s="0" t="s">
        <v>7163</v>
      </c>
    </row>
    <row r="68871" customFormat="false" ht="12.8" hidden="false" customHeight="false" outlineLevel="0" collapsed="false">
      <c r="B68871" s="0" t="s">
        <v>1</v>
      </c>
      <c r="C68871" s="0" t="s">
        <v>767</v>
      </c>
      <c r="E68871" s="0" t="s">
        <v>334</v>
      </c>
      <c r="F68871" s="0" t="s">
        <v>7164</v>
      </c>
    </row>
    <row r="68872" customFormat="false" ht="12.8" hidden="false" customHeight="false" outlineLevel="0" collapsed="false">
      <c r="B68872" s="0" t="s">
        <v>8</v>
      </c>
      <c r="C68872" s="0" t="s">
        <v>827</v>
      </c>
      <c r="E68872" s="0" t="s">
        <v>2648</v>
      </c>
      <c r="F68872" s="0" t="s">
        <v>7165</v>
      </c>
    </row>
    <row r="68874" customFormat="false" ht="12.8" hidden="false" customHeight="false" outlineLevel="0" collapsed="false">
      <c r="A68874" s="0" t="s">
        <v>22575</v>
      </c>
      <c r="B68874" s="0" t="str">
        <f aca="false">HYPERLINK("https://lindat.mff.cuni.cz/services/teitok/pdtc10/index.php?action=vallex&amp;frame=v-w11055f3_ZU", "zdvihnout (v-w11055f3_ZU)")</f>
        <v>zdvihnout (v-w11055f3_ZU)</v>
      </c>
      <c r="E68874" s="0" t="str">
        <f aca="false">HYPERLINK("https://lindat.mff.cuni.cz/services/SynSemClass40/SynSemClass40.html?veclass=vec01194#vec01194-ces-cm00021", "vec01194")</f>
        <v>vec01194</v>
      </c>
      <c r="F68874" s="0" t="s">
        <v>7163</v>
      </c>
    </row>
    <row r="68875" customFormat="false" ht="12.8" hidden="false" customHeight="false" outlineLevel="0" collapsed="false">
      <c r="B68875" s="0" t="s">
        <v>1</v>
      </c>
      <c r="C68875" s="0" t="s">
        <v>767</v>
      </c>
      <c r="E68875" s="0" t="s">
        <v>334</v>
      </c>
      <c r="F68875" s="0" t="s">
        <v>7164</v>
      </c>
    </row>
    <row r="68876" customFormat="false" ht="12.8" hidden="false" customHeight="false" outlineLevel="0" collapsed="false">
      <c r="B68876" s="0" t="s">
        <v>8</v>
      </c>
      <c r="C68876" s="0" t="s">
        <v>827</v>
      </c>
      <c r="E68876" s="0" t="s">
        <v>2648</v>
      </c>
      <c r="F68876" s="0" t="s">
        <v>7165</v>
      </c>
    </row>
    <row r="68878" customFormat="false" ht="12.8" hidden="false" customHeight="false" outlineLevel="0" collapsed="false">
      <c r="A68878" s="0" t="s">
        <v>22575</v>
      </c>
      <c r="B68878" s="0" t="str">
        <f aca="false">HYPERLINK("https://lindat.mff.cuni.cz/services/teitok/pdtc10/index.php?action=vallex&amp;frame=v-w11055hsa_566", "zdvihnout (v-w11055hsa_566) - substituted with v-w11055f3_ZU")</f>
        <v>zdvihnout (v-w11055hsa_566) - substituted with v-w11055f3_ZU</v>
      </c>
    </row>
    <row r="68879" customFormat="false" ht="12.8" hidden="false" customHeight="false" outlineLevel="0" collapsed="false">
      <c r="B68879" s="0" t="s">
        <v>1</v>
      </c>
    </row>
    <row r="68880" customFormat="false" ht="12.8" hidden="false" customHeight="false" outlineLevel="0" collapsed="false">
      <c r="B68880" s="0" t="s">
        <v>8</v>
      </c>
    </row>
    <row r="68882" customFormat="false" ht="12.8" hidden="false" customHeight="false" outlineLevel="0" collapsed="false">
      <c r="A68882" s="0" t="s">
        <v>22576</v>
      </c>
      <c r="B68882" s="0" t="str">
        <f aca="false">HYPERLINK("https://lindat.mff.cuni.cz/services/teitok/pdtc10/index.php?action=vallex&amp;frame=v-w9422f1", "zdvojnásobit (v-w9422f1)")</f>
        <v>zdvojnásobit (v-w9422f1)</v>
      </c>
      <c r="E68882" s="0" t="str">
        <f aca="false">HYPERLINK("https://lindat.mff.cuni.cz/services/SynSemClass40/SynSemClass40.html?veclass=vec00187#vec00187-ces-cm00001", "vec00187")</f>
        <v>vec00187</v>
      </c>
      <c r="F68882" s="0" t="s">
        <v>8246</v>
      </c>
    </row>
    <row r="68883" customFormat="false" ht="12.8" hidden="false" customHeight="false" outlineLevel="0" collapsed="false">
      <c r="B68883" s="0" t="s">
        <v>1</v>
      </c>
      <c r="C68883" s="0" t="s">
        <v>8247</v>
      </c>
      <c r="E68883" s="0" t="s">
        <v>31</v>
      </c>
      <c r="F68883" s="0" t="s">
        <v>8248</v>
      </c>
    </row>
    <row r="68884" customFormat="false" ht="12.8" hidden="false" customHeight="false" outlineLevel="0" collapsed="false">
      <c r="B68884" s="0" t="s">
        <v>8</v>
      </c>
      <c r="C68884" s="0" t="s">
        <v>8249</v>
      </c>
      <c r="E68884" s="0" t="s">
        <v>1569</v>
      </c>
      <c r="F68884" s="0" t="s">
        <v>8250</v>
      </c>
    </row>
    <row r="68885" customFormat="false" ht="12.8" hidden="false" customHeight="false" outlineLevel="0" collapsed="false">
      <c r="B68885" s="0" t="s">
        <v>36</v>
      </c>
      <c r="C68885" s="0" t="s">
        <v>22577</v>
      </c>
      <c r="E68885" s="0" t="s">
        <v>5152</v>
      </c>
      <c r="F68885" s="0" t="s">
        <v>22578</v>
      </c>
    </row>
    <row r="68886" customFormat="false" ht="12.8" hidden="false" customHeight="false" outlineLevel="0" collapsed="false">
      <c r="B68886" s="0" t="s">
        <v>101</v>
      </c>
      <c r="C68886" s="0" t="s">
        <v>22579</v>
      </c>
      <c r="E68886" s="0" t="s">
        <v>5796</v>
      </c>
      <c r="F68886" s="0" t="s">
        <v>22580</v>
      </c>
    </row>
    <row r="68888" customFormat="false" ht="12.8" hidden="false" customHeight="false" outlineLevel="0" collapsed="false">
      <c r="A68888" s="0" t="s">
        <v>22581</v>
      </c>
      <c r="B68888" s="0" t="str">
        <f aca="false">HYPERLINK("https://lindat.mff.cuni.cz/services/teitok/pdtc10/index.php?action=vallex&amp;frame=v-w9423f1", "zdvojnásobit se (v-w9423f1)")</f>
        <v>zdvojnásobit se (v-w9423f1)</v>
      </c>
      <c r="E68888" s="0" t="str">
        <f aca="false">HYPERLINK("https://lindat.mff.cuni.cz/services/SynSemClass40/SynSemClass40.html?veclass=vec00187#vec00187-ces-cm00003", "vec00187")</f>
        <v>vec00187</v>
      </c>
      <c r="F68888" s="0" t="s">
        <v>8246</v>
      </c>
    </row>
    <row r="68889" customFormat="false" ht="12.8" hidden="false" customHeight="false" outlineLevel="0" collapsed="false">
      <c r="B68889" s="0" t="s">
        <v>1</v>
      </c>
      <c r="C68889" s="0" t="s">
        <v>22582</v>
      </c>
      <c r="E68889" s="0" t="s">
        <v>22583</v>
      </c>
      <c r="F68889" s="0" t="s">
        <v>22584</v>
      </c>
    </row>
    <row r="68890" customFormat="false" ht="12.8" hidden="false" customHeight="false" outlineLevel="0" collapsed="false">
      <c r="B68890" s="0" t="s">
        <v>69</v>
      </c>
      <c r="C68890" s="0" t="s">
        <v>22585</v>
      </c>
      <c r="E68890" s="0" t="s">
        <v>5149</v>
      </c>
      <c r="F68890" s="0" t="s">
        <v>22586</v>
      </c>
    </row>
    <row r="68891" customFormat="false" ht="12.8" hidden="false" customHeight="false" outlineLevel="0" collapsed="false">
      <c r="B68891" s="0" t="s">
        <v>36</v>
      </c>
      <c r="C68891" s="0" t="s">
        <v>22577</v>
      </c>
      <c r="E68891" s="0" t="s">
        <v>5152</v>
      </c>
      <c r="F68891" s="0" t="s">
        <v>22578</v>
      </c>
    </row>
    <row r="68893" customFormat="false" ht="12.8" hidden="false" customHeight="false" outlineLevel="0" collapsed="false">
      <c r="A68893" s="0" t="s">
        <v>22587</v>
      </c>
      <c r="B68893" s="0" t="str">
        <f aca="false">HYPERLINK("https://lindat.mff.cuni.cz/services/teitok/pdtc10/index.php?action=vallex&amp;frame=v-w9424f1", "zdvojnásobovat (v-w9424f1)")</f>
        <v>zdvojnásobovat (v-w9424f1)</v>
      </c>
      <c r="E68893" s="0" t="str">
        <f aca="false">HYPERLINK("https://lindat.mff.cuni.cz/services/SynSemClass40/SynSemClass40.html?veclass=vec00187#vec00187-ces-cm00004", "vec00187")</f>
        <v>vec00187</v>
      </c>
      <c r="F68893" s="0" t="s">
        <v>8246</v>
      </c>
    </row>
    <row r="68894" customFormat="false" ht="12.8" hidden="false" customHeight="false" outlineLevel="0" collapsed="false">
      <c r="B68894" s="0" t="s">
        <v>1</v>
      </c>
      <c r="C68894" s="0" t="s">
        <v>8247</v>
      </c>
      <c r="E68894" s="0" t="s">
        <v>31</v>
      </c>
      <c r="F68894" s="0" t="s">
        <v>8248</v>
      </c>
    </row>
    <row r="68895" customFormat="false" ht="12.8" hidden="false" customHeight="false" outlineLevel="0" collapsed="false">
      <c r="B68895" s="0" t="s">
        <v>8</v>
      </c>
      <c r="C68895" s="0" t="s">
        <v>8249</v>
      </c>
      <c r="E68895" s="0" t="s">
        <v>1569</v>
      </c>
      <c r="F68895" s="0" t="s">
        <v>8250</v>
      </c>
    </row>
    <row r="68896" customFormat="false" ht="12.8" hidden="false" customHeight="false" outlineLevel="0" collapsed="false">
      <c r="B68896" s="0" t="s">
        <v>36</v>
      </c>
      <c r="C68896" s="0" t="s">
        <v>22577</v>
      </c>
      <c r="E68896" s="0" t="s">
        <v>5152</v>
      </c>
      <c r="F68896" s="0" t="s">
        <v>22578</v>
      </c>
    </row>
    <row r="68897" customFormat="false" ht="12.8" hidden="false" customHeight="false" outlineLevel="0" collapsed="false">
      <c r="B68897" s="0" t="s">
        <v>101</v>
      </c>
      <c r="C68897" s="0" t="s">
        <v>22579</v>
      </c>
      <c r="E68897" s="0" t="s">
        <v>5796</v>
      </c>
      <c r="F68897" s="0" t="s">
        <v>22580</v>
      </c>
    </row>
    <row r="68899" customFormat="false" ht="12.8" hidden="false" customHeight="false" outlineLevel="0" collapsed="false">
      <c r="A68899" s="0" t="s">
        <v>22588</v>
      </c>
      <c r="B68899" s="0" t="str">
        <f aca="false">HYPERLINK("https://lindat.mff.cuni.cz/services/teitok/pdtc10/index.php?action=vallex&amp;frame=v-w9425f1", "zdvojnásobovat se (v-w9425f1)")</f>
        <v>zdvojnásobovat se (v-w9425f1)</v>
      </c>
      <c r="E68899" s="0" t="str">
        <f aca="false">HYPERLINK("https://lindat.mff.cuni.cz/services/SynSemClass40/SynSemClass40.html?veclass=vec00187#vec00187-ces-cm00009", "vec00187")</f>
        <v>vec00187</v>
      </c>
      <c r="F68899" s="0" t="s">
        <v>8246</v>
      </c>
    </row>
    <row r="68900" customFormat="false" ht="12.8" hidden="false" customHeight="false" outlineLevel="0" collapsed="false">
      <c r="B68900" s="0" t="s">
        <v>1</v>
      </c>
      <c r="C68900" s="0" t="s">
        <v>22582</v>
      </c>
      <c r="E68900" s="0" t="s">
        <v>22583</v>
      </c>
      <c r="F68900" s="0" t="s">
        <v>22584</v>
      </c>
    </row>
    <row r="68901" customFormat="false" ht="12.8" hidden="false" customHeight="false" outlineLevel="0" collapsed="false">
      <c r="B68901" s="0" t="s">
        <v>69</v>
      </c>
      <c r="C68901" s="0" t="s">
        <v>22585</v>
      </c>
      <c r="E68901" s="0" t="s">
        <v>5149</v>
      </c>
      <c r="F68901" s="0" t="s">
        <v>22586</v>
      </c>
    </row>
    <row r="68902" customFormat="false" ht="12.8" hidden="false" customHeight="false" outlineLevel="0" collapsed="false">
      <c r="B68902" s="0" t="s">
        <v>36</v>
      </c>
      <c r="C68902" s="0" t="s">
        <v>22577</v>
      </c>
      <c r="E68902" s="0" t="s">
        <v>5152</v>
      </c>
      <c r="F68902" s="0" t="s">
        <v>22578</v>
      </c>
    </row>
    <row r="68904" customFormat="false" ht="12.8" hidden="false" customHeight="false" outlineLevel="0" collapsed="false">
      <c r="A68904" s="0" t="s">
        <v>22589</v>
      </c>
      <c r="B68904" s="0" t="str">
        <f aca="false">HYPERLINK("https://lindat.mff.cuni.cz/services/teitok/pdtc10/index.php?action=vallex&amp;frame=v-w9378f6_ZU", "zdát se (v-w9378f6_ZU)")</f>
        <v>zdát se (v-w9378f6_ZU)</v>
      </c>
      <c r="E68904" s="0" t="str">
        <f aca="false">HYPERLINK("https://lindat.mff.cuni.cz/services/SynSemClass40/SynSemClass40.html?veclass=vec00402#vec00402-ces-cm00092", "vec00402")</f>
        <v>vec00402</v>
      </c>
      <c r="F68904" s="0" t="s">
        <v>619</v>
      </c>
    </row>
    <row r="68905" customFormat="false" ht="12.8" hidden="false" customHeight="false" outlineLevel="0" collapsed="false">
      <c r="B68905" s="0" t="s">
        <v>22590</v>
      </c>
      <c r="C68905" s="0" t="s">
        <v>620</v>
      </c>
      <c r="E68905" s="0" t="s">
        <v>621</v>
      </c>
      <c r="F68905" s="0" t="s">
        <v>622</v>
      </c>
    </row>
    <row r="68906" customFormat="false" ht="12.8" hidden="false" customHeight="false" outlineLevel="0" collapsed="false">
      <c r="B68906" s="0" t="s">
        <v>22591</v>
      </c>
      <c r="C68906" s="0" t="s">
        <v>623</v>
      </c>
      <c r="E68906" s="0" t="s">
        <v>180</v>
      </c>
      <c r="F68906" s="0" t="s">
        <v>624</v>
      </c>
    </row>
    <row r="68907" customFormat="false" ht="12.8" hidden="false" customHeight="false" outlineLevel="0" collapsed="false">
      <c r="B68907" s="0" t="s">
        <v>22592</v>
      </c>
      <c r="C68907" s="0" t="s">
        <v>625</v>
      </c>
      <c r="E68907" s="0" t="s">
        <v>626</v>
      </c>
      <c r="F68907" s="0" t="s">
        <v>627</v>
      </c>
    </row>
    <row r="68909" customFormat="false" ht="12.8" hidden="false" customHeight="false" outlineLevel="0" collapsed="false">
      <c r="A68909" s="0" t="s">
        <v>22589</v>
      </c>
      <c r="B68909" s="0" t="str">
        <f aca="false">HYPERLINK("https://lindat.mff.cuni.cz/services/teitok/pdtc10/index.php?action=vallex&amp;frame=v-w9378f2", "zdát se (v-w9378f2) - substituted with v-w9378f6_ZU")</f>
        <v>zdát se (v-w9378f2) - substituted with v-w9378f6_ZU</v>
      </c>
    </row>
    <row r="68910" customFormat="false" ht="12.8" hidden="false" customHeight="false" outlineLevel="0" collapsed="false">
      <c r="B68910" s="0" t="s">
        <v>22590</v>
      </c>
    </row>
    <row r="68911" customFormat="false" ht="12.8" hidden="false" customHeight="false" outlineLevel="0" collapsed="false">
      <c r="B68911" s="0" t="s">
        <v>22591</v>
      </c>
    </row>
    <row r="68912" customFormat="false" ht="12.8" hidden="false" customHeight="false" outlineLevel="0" collapsed="false">
      <c r="B68912" s="0" t="s">
        <v>22592</v>
      </c>
    </row>
    <row r="68914" customFormat="false" ht="12.8" hidden="false" customHeight="false" outlineLevel="0" collapsed="false">
      <c r="A68914" s="0" t="s">
        <v>22593</v>
      </c>
      <c r="B68914" s="0" t="str">
        <f aca="false">HYPERLINK("https://lindat.mff.cuni.cz/services/teitok/pdtc10/index.php?action=vallex&amp;frame=v-w9378f3", "zdát se (v-w9378f3)")</f>
        <v>zdát se (v-w9378f3)</v>
      </c>
    </row>
    <row r="68915" customFormat="false" ht="12.8" hidden="false" customHeight="false" outlineLevel="0" collapsed="false">
      <c r="B68915" s="0" t="s">
        <v>804</v>
      </c>
    </row>
    <row r="68916" customFormat="false" ht="12.8" hidden="false" customHeight="false" outlineLevel="0" collapsed="false">
      <c r="B68916" s="0" t="s">
        <v>14346</v>
      </c>
    </row>
    <row r="68917" customFormat="false" ht="12.8" hidden="false" customHeight="false" outlineLevel="0" collapsed="false">
      <c r="B68917" s="0" t="s">
        <v>16175</v>
      </c>
    </row>
    <row r="68919" customFormat="false" ht="12.8" hidden="false" customHeight="false" outlineLevel="0" collapsed="false">
      <c r="A68919" s="0" t="s">
        <v>22594</v>
      </c>
      <c r="B68919" s="0" t="str">
        <f aca="false">HYPERLINK("https://lindat.mff.cuni.cz/services/teitok/pdtc10/index.php?action=vallex&amp;frame=v-w9378f4", "zdát se (v-w9378f4)")</f>
        <v>zdát se (v-w9378f4)</v>
      </c>
    </row>
    <row r="68920" customFormat="false" ht="12.8" hidden="false" customHeight="false" outlineLevel="0" collapsed="false">
      <c r="B68920" s="0" t="s">
        <v>804</v>
      </c>
    </row>
    <row r="68921" customFormat="false" ht="12.8" hidden="false" customHeight="false" outlineLevel="0" collapsed="false">
      <c r="B68921" s="0" t="s">
        <v>5918</v>
      </c>
    </row>
    <row r="68923" customFormat="false" ht="12.8" hidden="false" customHeight="false" outlineLevel="0" collapsed="false">
      <c r="A68923" s="0" t="s">
        <v>22595</v>
      </c>
      <c r="B68923" s="0" t="str">
        <f aca="false">HYPERLINK("https://lindat.mff.cuni.cz/services/teitok/pdtc10/index.php?action=vallex&amp;frame=v-w9378f1", "zdát se (v-w9378f1)")</f>
        <v>zdát se (v-w9378f1)</v>
      </c>
      <c r="E68923" s="0" t="str">
        <f aca="false">HYPERLINK("https://lindat.mff.cuni.cz/services/SynSemClass40/SynSemClass40.html?veclass=vec00381#vec00381-ces-cm00001", "vec00381")</f>
        <v>vec00381</v>
      </c>
      <c r="F68923" s="0" t="s">
        <v>6692</v>
      </c>
    </row>
    <row r="68924" customFormat="false" ht="12.8" hidden="false" customHeight="false" outlineLevel="0" collapsed="false">
      <c r="B68924" s="0" t="s">
        <v>804</v>
      </c>
      <c r="C68924" s="0" t="s">
        <v>14334</v>
      </c>
      <c r="E68924" s="0" t="s">
        <v>621</v>
      </c>
      <c r="F68924" s="0" t="s">
        <v>6694</v>
      </c>
    </row>
    <row r="68925" customFormat="false" ht="12.8" hidden="false" customHeight="false" outlineLevel="0" collapsed="false">
      <c r="B68925" s="0" t="s">
        <v>4961</v>
      </c>
      <c r="C68925" s="0" t="s">
        <v>14335</v>
      </c>
      <c r="E68925" s="0" t="s">
        <v>180</v>
      </c>
      <c r="F68925" s="0" t="s">
        <v>6697</v>
      </c>
    </row>
    <row r="68927" customFormat="false" ht="12.8" hidden="false" customHeight="false" outlineLevel="0" collapsed="false">
      <c r="A68927" s="0" t="s">
        <v>22596</v>
      </c>
      <c r="B68927" s="0" t="str">
        <f aca="false">HYPERLINK("https://lindat.mff.cuni.cz/services/teitok/pdtc10/index.php?action=vallex&amp;frame=v-w9378f5", "zdát se (v-w9378f5)")</f>
        <v>zdát se (v-w9378f5)</v>
      </c>
    </row>
    <row r="68928" customFormat="false" ht="12.8" hidden="false" customHeight="false" outlineLevel="0" collapsed="false">
      <c r="B68928" s="0" t="s">
        <v>804</v>
      </c>
    </row>
    <row r="68929" customFormat="false" ht="12.8" hidden="false" customHeight="false" outlineLevel="0" collapsed="false">
      <c r="B68929" s="0" t="s">
        <v>22597</v>
      </c>
    </row>
    <row r="68931" customFormat="false" ht="12.8" hidden="false" customHeight="false" outlineLevel="0" collapsed="false">
      <c r="A68931" s="0" t="s">
        <v>22598</v>
      </c>
      <c r="B68931" s="0" t="str">
        <f aca="false">HYPERLINK("https://lindat.mff.cuni.cz/services/teitok/pdtc10/index.php?action=vallex&amp;frame=v-w12126_ZUf2_ZU", "zdít (v-w12126_ZUf2_ZU)")</f>
        <v>zdít (v-w12126_ZUf2_ZU)</v>
      </c>
    </row>
    <row r="68932" customFormat="false" ht="12.8" hidden="false" customHeight="false" outlineLevel="0" collapsed="false">
      <c r="B68932" s="0" t="s">
        <v>1</v>
      </c>
    </row>
    <row r="68933" customFormat="false" ht="12.8" hidden="false" customHeight="false" outlineLevel="0" collapsed="false">
      <c r="B68933" s="0" t="s">
        <v>8</v>
      </c>
    </row>
    <row r="68934" customFormat="false" ht="12.8" hidden="false" customHeight="false" outlineLevel="0" collapsed="false">
      <c r="B68934" s="0" t="s">
        <v>36</v>
      </c>
    </row>
    <row r="68936" customFormat="false" ht="12.8" hidden="false" customHeight="false" outlineLevel="0" collapsed="false">
      <c r="A68936" s="0" t="s">
        <v>22598</v>
      </c>
      <c r="B68936" s="0" t="str">
        <f aca="false">HYPERLINK("https://lindat.mff.cuni.cz/services/teitok/pdtc10/index.php?action=vallex&amp;frame=v-w12126_ZUf1_ZU", "zdít (v-w12126_ZUf1_ZU) - substituted with v-w12126_ZUf2_ZU")</f>
        <v>zdít (v-w12126_ZUf1_ZU) - substituted with v-w12126_ZUf2_ZU</v>
      </c>
    </row>
    <row r="68937" customFormat="false" ht="12.8" hidden="false" customHeight="false" outlineLevel="0" collapsed="false">
      <c r="B68937" s="0" t="s">
        <v>1</v>
      </c>
    </row>
    <row r="68938" customFormat="false" ht="12.8" hidden="false" customHeight="false" outlineLevel="0" collapsed="false">
      <c r="B68938" s="0" t="s">
        <v>8</v>
      </c>
    </row>
    <row r="68939" customFormat="false" ht="12.8" hidden="false" customHeight="false" outlineLevel="0" collapsed="false">
      <c r="B68939" s="0" t="s">
        <v>36</v>
      </c>
    </row>
    <row r="68941" customFormat="false" ht="12.8" hidden="false" customHeight="false" outlineLevel="0" collapsed="false">
      <c r="A68941" s="0" t="s">
        <v>22599</v>
      </c>
      <c r="B68941" s="0" t="str">
        <f aca="false">HYPERLINK("https://lindat.mff.cuni.cz/services/teitok/pdtc10/index.php?action=vallex&amp;frame=v-w9380hsa_403", "zdědit (v-w9380hsa_403)")</f>
        <v>zdědit (v-w9380hsa_403)</v>
      </c>
      <c r="E68941" s="0" t="str">
        <f aca="false">HYPERLINK("https://lindat.mff.cuni.cz/services/SynSemClass40/SynSemClass40.html?veclass=vec00584#vec00584-ces-cm00001", "vec00584")</f>
        <v>vec00584</v>
      </c>
      <c r="F68941" s="0" t="s">
        <v>3873</v>
      </c>
    </row>
    <row r="68942" customFormat="false" ht="12.8" hidden="false" customHeight="false" outlineLevel="0" collapsed="false">
      <c r="B68942" s="0" t="s">
        <v>1</v>
      </c>
      <c r="C68942" s="0" t="s">
        <v>825</v>
      </c>
      <c r="E68942" s="0" t="s">
        <v>1567</v>
      </c>
      <c r="F68942" s="0" t="s">
        <v>3874</v>
      </c>
    </row>
    <row r="68943" customFormat="false" ht="12.8" hidden="false" customHeight="false" outlineLevel="0" collapsed="false">
      <c r="B68943" s="0" t="s">
        <v>8</v>
      </c>
      <c r="C68943" s="0" t="s">
        <v>449</v>
      </c>
      <c r="E68943" s="0" t="s">
        <v>3875</v>
      </c>
      <c r="F68943" s="0" t="s">
        <v>3876</v>
      </c>
    </row>
    <row r="68944" customFormat="false" ht="12.8" hidden="false" customHeight="false" outlineLevel="0" collapsed="false">
      <c r="B68944" s="0" t="s">
        <v>602</v>
      </c>
      <c r="E68944" s="0" t="s">
        <v>22600</v>
      </c>
      <c r="F68944" s="0" t="s">
        <v>22601</v>
      </c>
    </row>
    <row r="68946" customFormat="false" ht="12.8" hidden="false" customHeight="false" outlineLevel="0" collapsed="false">
      <c r="A68946" s="0" t="s">
        <v>22599</v>
      </c>
      <c r="B68946" s="0" t="str">
        <f aca="false">HYPERLINK("https://lindat.mff.cuni.cz/services/teitok/pdtc10/index.php?action=vallex&amp;frame=v-w9380f1", "zdědit (v-w9380f1) - substituted with v-w9380hsa_403")</f>
        <v>zdědit (v-w9380f1) - substituted with v-w9380hsa_403</v>
      </c>
    </row>
    <row r="68947" customFormat="false" ht="12.8" hidden="false" customHeight="false" outlineLevel="0" collapsed="false">
      <c r="B68947" s="0" t="s">
        <v>1</v>
      </c>
    </row>
    <row r="68948" customFormat="false" ht="12.8" hidden="false" customHeight="false" outlineLevel="0" collapsed="false">
      <c r="B68948" s="0" t="s">
        <v>8</v>
      </c>
    </row>
    <row r="68949" customFormat="false" ht="12.8" hidden="false" customHeight="false" outlineLevel="0" collapsed="false">
      <c r="B68949" s="0" t="s">
        <v>602</v>
      </c>
    </row>
    <row r="68951" customFormat="false" ht="12.8" hidden="false" customHeight="false" outlineLevel="0" collapsed="false">
      <c r="A68951" s="0" t="s">
        <v>22602</v>
      </c>
      <c r="B68951" s="0" t="str">
        <f aca="false">HYPERLINK("https://lindat.mff.cuni.cz/services/teitok/pdtc10/index.php?action=vallex&amp;frame=v-w11093f3", "zděsit (v-w11093f3)")</f>
        <v>zděsit (v-w11093f3)</v>
      </c>
      <c r="E68951" s="0" t="str">
        <f aca="false">HYPERLINK("https://lindat.mff.cuni.cz/services/SynSemClass40/SynSemClass40.html?veclass=vec00761#vec00761-ces-cm00009", "vec00761")</f>
        <v>vec00761</v>
      </c>
      <c r="F68951" s="0" t="s">
        <v>4014</v>
      </c>
    </row>
    <row r="68952" customFormat="false" ht="12.8" hidden="false" customHeight="false" outlineLevel="0" collapsed="false">
      <c r="B68952" s="0" t="s">
        <v>1</v>
      </c>
      <c r="C68952" s="0" t="s">
        <v>4015</v>
      </c>
      <c r="E68952" s="0" t="s">
        <v>1103</v>
      </c>
      <c r="F68952" s="0" t="s">
        <v>4016</v>
      </c>
    </row>
    <row r="68953" customFormat="false" ht="12.8" hidden="false" customHeight="false" outlineLevel="0" collapsed="false">
      <c r="B68953" s="0" t="s">
        <v>8</v>
      </c>
      <c r="C68953" s="0" t="s">
        <v>4017</v>
      </c>
      <c r="E68953" s="0" t="s">
        <v>199</v>
      </c>
      <c r="F68953" s="0" t="s">
        <v>4018</v>
      </c>
    </row>
    <row r="68955" customFormat="false" ht="12.8" hidden="false" customHeight="false" outlineLevel="0" collapsed="false">
      <c r="A68955" s="0" t="s">
        <v>22603</v>
      </c>
      <c r="B68955" s="0" t="str">
        <f aca="false">HYPERLINK("https://lindat.mff.cuni.cz/services/teitok/pdtc10/index.php?action=vallex&amp;frame=v-w11459f1", "zděsit se (v-w11459f1)")</f>
        <v>zděsit se (v-w11459f1)</v>
      </c>
      <c r="E68955" s="0" t="str">
        <f aca="false">HYPERLINK("https://lindat.mff.cuni.cz/services/SynSemClass40/SynSemClass40.html?veclass=vec00243#vec00243-ces-cm00017", "vec00243")</f>
        <v>vec00243</v>
      </c>
      <c r="F68955" s="0" t="s">
        <v>816</v>
      </c>
      <c r="H68955" s="0" t="str">
        <f aca="false">HYPERLINK("https://lindat.mff.cuni.cz/services/SynSemClass40/SynSemClass40.html?veclass=vec00864#vec00864-ces-cm00006", "vec00864")</f>
        <v>vec00864</v>
      </c>
      <c r="I68955" s="0" t="s">
        <v>10434</v>
      </c>
    </row>
    <row r="68956" customFormat="false" ht="12.8" hidden="false" customHeight="false" outlineLevel="0" collapsed="false">
      <c r="B68956" s="0" t="s">
        <v>1</v>
      </c>
      <c r="C68956" s="0" t="s">
        <v>22604</v>
      </c>
      <c r="E68956" s="0" t="s">
        <v>155</v>
      </c>
      <c r="F68956" s="0" t="s">
        <v>818</v>
      </c>
      <c r="H68956" s="0" t="s">
        <v>621</v>
      </c>
      <c r="I68956" s="0" t="s">
        <v>10436</v>
      </c>
    </row>
    <row r="68958" customFormat="false" ht="12.8" hidden="false" customHeight="false" outlineLevel="0" collapsed="false">
      <c r="A68958" s="0" t="s">
        <v>22605</v>
      </c>
      <c r="B68958" s="0" t="str">
        <f aca="false">HYPERLINK("https://lindat.mff.cuni.cz/services/teitok/pdtc10/index.php?action=vallex&amp;frame=v-whsa_922hsa_923", "zdřímnout si (v-whsa_922hsa_923)")</f>
        <v>zdřímnout si (v-whsa_922hsa_923)</v>
      </c>
    </row>
    <row r="68959" customFormat="false" ht="12.8" hidden="false" customHeight="false" outlineLevel="0" collapsed="false">
      <c r="B68959" s="0" t="s">
        <v>1</v>
      </c>
    </row>
    <row r="68961" customFormat="false" ht="12.8" hidden="false" customHeight="false" outlineLevel="0" collapsed="false">
      <c r="A68961" s="0" t="s">
        <v>22606</v>
      </c>
      <c r="B68961" s="0" t="str">
        <f aca="false">HYPERLINK("https://lindat.mff.cuni.cz/services/teitok/pdtc10/index.php?action=vallex&amp;frame=v-w9413f1", "zdůraznit (v-w9413f1)")</f>
        <v>zdůraznit (v-w9413f1)</v>
      </c>
      <c r="E68961" s="0" t="str">
        <f aca="false">HYPERLINK("https://lindat.mff.cuni.cz/services/SynSemClass40/SynSemClass40.html?veclass=vec00382#vec00382-ces-cm00001", "vec00382")</f>
        <v>vec00382</v>
      </c>
      <c r="F68961" s="0" t="s">
        <v>5369</v>
      </c>
    </row>
    <row r="68962" customFormat="false" ht="12.8" hidden="false" customHeight="false" outlineLevel="0" collapsed="false">
      <c r="B68962" s="0" t="s">
        <v>1</v>
      </c>
      <c r="C68962" s="0" t="s">
        <v>5370</v>
      </c>
      <c r="E68962" s="0" t="s">
        <v>63</v>
      </c>
      <c r="F68962" s="0" t="s">
        <v>5371</v>
      </c>
    </row>
    <row r="68963" customFormat="false" ht="12.8" hidden="false" customHeight="false" outlineLevel="0" collapsed="false">
      <c r="B68963" s="0" t="s">
        <v>22607</v>
      </c>
      <c r="C68963" s="0" t="s">
        <v>10894</v>
      </c>
      <c r="E68963" s="0" t="s">
        <v>218</v>
      </c>
      <c r="F68963" s="0" t="s">
        <v>10895</v>
      </c>
    </row>
    <row r="68964" customFormat="false" ht="12.8" hidden="false" customHeight="false" outlineLevel="0" collapsed="false">
      <c r="B68964" s="0" t="s">
        <v>132</v>
      </c>
      <c r="E68964" s="0" t="s">
        <v>221</v>
      </c>
      <c r="F68964" s="0" t="s">
        <v>4699</v>
      </c>
    </row>
    <row r="68966" customFormat="false" ht="12.8" hidden="false" customHeight="false" outlineLevel="0" collapsed="false">
      <c r="A68966" s="0" t="s">
        <v>22608</v>
      </c>
      <c r="B68966" s="0" t="str">
        <f aca="false">HYPERLINK("https://lindat.mff.cuni.cz/services/teitok/pdtc10/index.php?action=vallex&amp;frame=v-w9413f2", "zdůraznit (v-w9413f2)")</f>
        <v>zdůraznit (v-w9413f2)</v>
      </c>
    </row>
    <row r="68967" customFormat="false" ht="12.8" hidden="false" customHeight="false" outlineLevel="0" collapsed="false">
      <c r="B68967" s="0" t="s">
        <v>1</v>
      </c>
    </row>
    <row r="68968" customFormat="false" ht="12.8" hidden="false" customHeight="false" outlineLevel="0" collapsed="false">
      <c r="B68968" s="0" t="s">
        <v>8</v>
      </c>
    </row>
    <row r="68970" customFormat="false" ht="12.8" hidden="false" customHeight="false" outlineLevel="0" collapsed="false">
      <c r="A68970" s="0" t="s">
        <v>22609</v>
      </c>
      <c r="B68970" s="0" t="str">
        <f aca="false">HYPERLINK("https://lindat.mff.cuni.cz/services/teitok/pdtc10/index.php?action=vallex&amp;frame=v-w9415f1", "zdůrazňovat (v-w9415f1)")</f>
        <v>zdůrazňovat (v-w9415f1)</v>
      </c>
      <c r="E68970" s="0" t="str">
        <f aca="false">HYPERLINK("https://lindat.mff.cuni.cz/services/SynSemClass40/SynSemClass40.html?veclass=vec00382#vec00382-ces-cm00016", "vec00382")</f>
        <v>vec00382</v>
      </c>
      <c r="F68970" s="0" t="s">
        <v>5369</v>
      </c>
    </row>
    <row r="68971" customFormat="false" ht="12.8" hidden="false" customHeight="false" outlineLevel="0" collapsed="false">
      <c r="B68971" s="0" t="s">
        <v>1</v>
      </c>
      <c r="C68971" s="0" t="s">
        <v>5370</v>
      </c>
      <c r="E68971" s="0" t="s">
        <v>63</v>
      </c>
      <c r="F68971" s="0" t="s">
        <v>5371</v>
      </c>
    </row>
    <row r="68972" customFormat="false" ht="12.8" hidden="false" customHeight="false" outlineLevel="0" collapsed="false">
      <c r="B68972" s="0" t="s">
        <v>22610</v>
      </c>
      <c r="C68972" s="0" t="s">
        <v>10894</v>
      </c>
      <c r="E68972" s="0" t="s">
        <v>218</v>
      </c>
      <c r="F68972" s="0" t="s">
        <v>10895</v>
      </c>
    </row>
    <row r="68973" customFormat="false" ht="12.8" hidden="false" customHeight="false" outlineLevel="0" collapsed="false">
      <c r="B68973" s="0" t="s">
        <v>132</v>
      </c>
      <c r="E68973" s="0" t="s">
        <v>221</v>
      </c>
      <c r="F68973" s="0" t="s">
        <v>4699</v>
      </c>
    </row>
    <row r="68975" customFormat="false" ht="12.8" hidden="false" customHeight="false" outlineLevel="0" collapsed="false">
      <c r="A68975" s="0" t="s">
        <v>22611</v>
      </c>
      <c r="B68975" s="0" t="str">
        <f aca="false">HYPERLINK("https://lindat.mff.cuni.cz/services/teitok/pdtc10/index.php?action=vallex&amp;frame=v-w9415f2", "zdůrazňovat (v-w9415f2)")</f>
        <v>zdůrazňovat (v-w9415f2)</v>
      </c>
    </row>
    <row r="68976" customFormat="false" ht="12.8" hidden="false" customHeight="false" outlineLevel="0" collapsed="false">
      <c r="B68976" s="0" t="s">
        <v>1</v>
      </c>
    </row>
    <row r="68977" customFormat="false" ht="12.8" hidden="false" customHeight="false" outlineLevel="0" collapsed="false">
      <c r="B68977" s="0" t="s">
        <v>8</v>
      </c>
    </row>
    <row r="68979" customFormat="false" ht="12.8" hidden="false" customHeight="false" outlineLevel="0" collapsed="false">
      <c r="A68979" s="0" t="s">
        <v>22612</v>
      </c>
      <c r="B68979" s="0" t="str">
        <f aca="false">HYPERLINK("https://lindat.mff.cuni.cz/services/teitok/pdtc10/index.php?action=vallex&amp;frame=v-w9418f1", "zdůvodnit (v-w9418f1)")</f>
        <v>zdůvodnit (v-w9418f1)</v>
      </c>
      <c r="E68979" s="0" t="str">
        <f aca="false">HYPERLINK("https://lindat.mff.cuni.cz/services/SynSemClass40/SynSemClass40.html?veclass=vec00201#vec00201-ces-cm00014", "vec00201")</f>
        <v>vec00201</v>
      </c>
      <c r="F68979" s="0" t="s">
        <v>174</v>
      </c>
    </row>
    <row r="68980" customFormat="false" ht="12.8" hidden="false" customHeight="false" outlineLevel="0" collapsed="false">
      <c r="B68980" s="0" t="s">
        <v>1</v>
      </c>
      <c r="C68980" s="0" t="s">
        <v>175</v>
      </c>
      <c r="E68980" s="0" t="s">
        <v>176</v>
      </c>
      <c r="F68980" s="0" t="s">
        <v>177</v>
      </c>
    </row>
    <row r="68981" customFormat="false" ht="12.8" hidden="false" customHeight="false" outlineLevel="0" collapsed="false">
      <c r="B68981" s="0" t="s">
        <v>17511</v>
      </c>
      <c r="C68981" s="0" t="s">
        <v>179</v>
      </c>
      <c r="E68981" s="0" t="s">
        <v>180</v>
      </c>
      <c r="F68981" s="0" t="s">
        <v>181</v>
      </c>
    </row>
    <row r="68983" customFormat="false" ht="12.8" hidden="false" customHeight="false" outlineLevel="0" collapsed="false">
      <c r="A68983" s="0" t="s">
        <v>22613</v>
      </c>
      <c r="B68983" s="0" t="str">
        <f aca="false">HYPERLINK("https://lindat.mff.cuni.cz/services/teitok/pdtc10/index.php?action=vallex&amp;frame=v-w9420f1", "zdůvodňovat (v-w9420f1)")</f>
        <v>zdůvodňovat (v-w9420f1)</v>
      </c>
      <c r="E68983" s="0" t="str">
        <f aca="false">HYPERLINK("https://lindat.mff.cuni.cz/services/SynSemClass40/SynSemClass40.html?veclass=vec00201#vec00201-ces-cm00013", "vec00201")</f>
        <v>vec00201</v>
      </c>
      <c r="F68983" s="0" t="s">
        <v>174</v>
      </c>
    </row>
    <row r="68984" customFormat="false" ht="12.8" hidden="false" customHeight="false" outlineLevel="0" collapsed="false">
      <c r="B68984" s="0" t="s">
        <v>1</v>
      </c>
      <c r="C68984" s="0" t="s">
        <v>175</v>
      </c>
      <c r="E68984" s="0" t="s">
        <v>176</v>
      </c>
      <c r="F68984" s="0" t="s">
        <v>177</v>
      </c>
    </row>
    <row r="68985" customFormat="false" ht="12.8" hidden="false" customHeight="false" outlineLevel="0" collapsed="false">
      <c r="B68985" s="0" t="s">
        <v>228</v>
      </c>
      <c r="C68985" s="0" t="s">
        <v>179</v>
      </c>
      <c r="E68985" s="0" t="s">
        <v>180</v>
      </c>
      <c r="F68985" s="0" t="s">
        <v>181</v>
      </c>
    </row>
    <row r="68987" customFormat="false" ht="12.8" hidden="false" customHeight="false" outlineLevel="0" collapsed="false">
      <c r="A68987" s="0" t="s">
        <v>22614</v>
      </c>
      <c r="B68987" s="0" t="str">
        <f aca="false">HYPERLINK("https://lindat.mff.cuni.cz/services/teitok/pdtc10/index.php?action=vallex&amp;frame=v-whsa_787hsa_788", "zedničit (v-whsa_787hsa_788)")</f>
        <v>zedničit (v-whsa_787hsa_788)</v>
      </c>
    </row>
    <row r="68988" customFormat="false" ht="12.8" hidden="false" customHeight="false" outlineLevel="0" collapsed="false">
      <c r="B68988" s="0" t="s">
        <v>1</v>
      </c>
    </row>
    <row r="68989" customFormat="false" ht="12.8" hidden="false" customHeight="false" outlineLevel="0" collapsed="false">
      <c r="B68989" s="0" t="s">
        <v>8</v>
      </c>
    </row>
    <row r="68991" customFormat="false" ht="12.8" hidden="false" customHeight="false" outlineLevel="0" collapsed="false">
      <c r="A68991" s="0" t="s">
        <v>22615</v>
      </c>
      <c r="B68991" s="0" t="str">
        <f aca="false">HYPERLINK("https://lindat.mff.cuni.cz/services/teitok/pdtc10/index.php?action=vallex&amp;frame=v-w11083f2", "zefektivnit (v-w11083f2)")</f>
        <v>zefektivnit (v-w11083f2)</v>
      </c>
      <c r="E68991" s="0" t="str">
        <f aca="false">HYPERLINK("https://lindat.mff.cuni.cz/services/SynSemClass40/SynSemClass40.html?veclass=vec01483#vec01483-ces-cm00001", "vec01483")</f>
        <v>vec01483</v>
      </c>
      <c r="F68991" s="0" t="s">
        <v>22616</v>
      </c>
    </row>
    <row r="68992" customFormat="false" ht="12.8" hidden="false" customHeight="false" outlineLevel="0" collapsed="false">
      <c r="B68992" s="0" t="s">
        <v>1</v>
      </c>
      <c r="E68992" s="0" t="s">
        <v>31</v>
      </c>
      <c r="F68992" s="0" t="s">
        <v>49</v>
      </c>
    </row>
    <row r="68993" customFormat="false" ht="12.8" hidden="false" customHeight="false" outlineLevel="0" collapsed="false">
      <c r="B68993" s="0" t="s">
        <v>8</v>
      </c>
      <c r="E68993" s="0" t="s">
        <v>4782</v>
      </c>
      <c r="F68993" s="0" t="s">
        <v>20398</v>
      </c>
    </row>
    <row r="68995" customFormat="false" ht="12.8" hidden="false" customHeight="false" outlineLevel="0" collapsed="false">
      <c r="A68995" s="0" t="s">
        <v>22617</v>
      </c>
      <c r="B68995" s="0" t="str">
        <f aca="false">HYPERLINK("https://lindat.mff.cuni.cz/services/teitok/pdtc10/index.php?action=vallex&amp;frame=v-w9428f1", "zefektivňovat (v-w9428f1)")</f>
        <v>zefektivňovat (v-w9428f1)</v>
      </c>
      <c r="E68995" s="0" t="str">
        <f aca="false">HYPERLINK("https://lindat.mff.cuni.cz/services/SynSemClass40/SynSemClass40.html?veclass=vec01483#vec01483-ces-cm00002", "vec01483")</f>
        <v>vec01483</v>
      </c>
      <c r="F68995" s="0" t="s">
        <v>22616</v>
      </c>
    </row>
    <row r="68996" customFormat="false" ht="12.8" hidden="false" customHeight="false" outlineLevel="0" collapsed="false">
      <c r="B68996" s="0" t="s">
        <v>1</v>
      </c>
      <c r="E68996" s="0" t="s">
        <v>31</v>
      </c>
      <c r="F68996" s="0" t="s">
        <v>49</v>
      </c>
    </row>
    <row r="68997" customFormat="false" ht="12.8" hidden="false" customHeight="false" outlineLevel="0" collapsed="false">
      <c r="B68997" s="0" t="s">
        <v>8</v>
      </c>
      <c r="E68997" s="0" t="s">
        <v>4782</v>
      </c>
      <c r="F68997" s="0" t="s">
        <v>20398</v>
      </c>
    </row>
    <row r="68999" customFormat="false" ht="12.8" hidden="false" customHeight="false" outlineLevel="0" collapsed="false">
      <c r="A68999" s="0" t="s">
        <v>22618</v>
      </c>
      <c r="B68999" s="0" t="str">
        <f aca="false">HYPERLINK("https://lindat.mff.cuni.cz/services/teitok/pdtc10/index.php?action=vallex&amp;frame=v-w9429f1", "zelenat se (v-w9429f1)")</f>
        <v>zelenat se (v-w9429f1)</v>
      </c>
    </row>
    <row r="69000" customFormat="false" ht="12.8" hidden="false" customHeight="false" outlineLevel="0" collapsed="false">
      <c r="B69000" s="0" t="s">
        <v>1</v>
      </c>
    </row>
    <row r="69002" customFormat="false" ht="12.8" hidden="false" customHeight="false" outlineLevel="0" collapsed="false">
      <c r="A69002" s="0" t="s">
        <v>22619</v>
      </c>
      <c r="B69002" s="0" t="str">
        <f aca="false">HYPERLINK("https://lindat.mff.cuni.cz/services/teitok/pdtc10/index.php?action=vallex&amp;frame=v-w9429f2", "zelenat se (v-w9429f2)")</f>
        <v>zelenat se (v-w9429f2)</v>
      </c>
    </row>
    <row r="69003" customFormat="false" ht="12.8" hidden="false" customHeight="false" outlineLevel="0" collapsed="false">
      <c r="B69003" s="0" t="s">
        <v>1</v>
      </c>
    </row>
    <row r="69005" customFormat="false" ht="12.8" hidden="false" customHeight="false" outlineLevel="0" collapsed="false">
      <c r="A69005" s="0" t="s">
        <v>22620</v>
      </c>
      <c r="B69005" s="0" t="str">
        <f aca="false">HYPERLINK("https://lindat.mff.cuni.cz/services/teitok/pdtc10/index.php?action=vallex&amp;frame=v-w12223_ZUf1_ZU", "zemdlévat (v-w12223_ZUf1_ZU)")</f>
        <v>zemdlévat (v-w12223_ZUf1_ZU)</v>
      </c>
    </row>
    <row r="69006" customFormat="false" ht="12.8" hidden="false" customHeight="false" outlineLevel="0" collapsed="false">
      <c r="B69006" s="0" t="s">
        <v>1</v>
      </c>
    </row>
    <row r="69008" customFormat="false" ht="12.8" hidden="false" customHeight="false" outlineLevel="0" collapsed="false">
      <c r="A69008" s="0" t="s">
        <v>22621</v>
      </c>
      <c r="B69008" s="0" t="str">
        <f aca="false">HYPERLINK("https://lindat.mff.cuni.cz/services/teitok/pdtc10/index.php?action=vallex&amp;frame=v-w9430f1", "zemřít (v-w9430f1)")</f>
        <v>zemřít (v-w9430f1)</v>
      </c>
      <c r="E69008" s="0" t="str">
        <f aca="false">HYPERLINK("https://lindat.mff.cuni.cz/services/SynSemClass40/SynSemClass40.html?veclass=vec00383#vec00383-ces-cm00001", "vec00383")</f>
        <v>vec00383</v>
      </c>
      <c r="F69008" s="0" t="s">
        <v>10390</v>
      </c>
    </row>
    <row r="69009" customFormat="false" ht="12.8" hidden="false" customHeight="false" outlineLevel="0" collapsed="false">
      <c r="B69009" s="0" t="s">
        <v>1</v>
      </c>
      <c r="C69009" s="0" t="s">
        <v>10391</v>
      </c>
      <c r="E69009" s="0" t="s">
        <v>11</v>
      </c>
      <c r="F69009" s="0" t="s">
        <v>10392</v>
      </c>
    </row>
    <row r="69011" customFormat="false" ht="12.8" hidden="false" customHeight="false" outlineLevel="0" collapsed="false">
      <c r="A69011" s="0" t="s">
        <v>22622</v>
      </c>
      <c r="B69011" s="0" t="str">
        <f aca="false">HYPERLINK("https://lindat.mff.cuni.cz/services/teitok/pdtc10/index.php?action=vallex&amp;frame=v-w9431f1", "zepsout (v-w9431f1)")</f>
        <v>zepsout (v-w9431f1)</v>
      </c>
    </row>
    <row r="69012" customFormat="false" ht="12.8" hidden="false" customHeight="false" outlineLevel="0" collapsed="false">
      <c r="B69012" s="0" t="s">
        <v>1</v>
      </c>
    </row>
    <row r="69013" customFormat="false" ht="12.8" hidden="false" customHeight="false" outlineLevel="0" collapsed="false">
      <c r="B69013" s="0" t="s">
        <v>8</v>
      </c>
    </row>
    <row r="69015" customFormat="false" ht="12.8" hidden="false" customHeight="false" outlineLevel="0" collapsed="false">
      <c r="A69015" s="0" t="s">
        <v>22623</v>
      </c>
      <c r="B69015" s="0" t="str">
        <f aca="false">HYPERLINK("https://lindat.mff.cuni.cz/services/teitok/pdtc10/index.php?action=vallex&amp;frame=v-w9432f1", "zeptat se (v-w9432f1)")</f>
        <v>zeptat se (v-w9432f1)</v>
      </c>
      <c r="E69015" s="0" t="str">
        <f aca="false">HYPERLINK("https://lindat.mff.cuni.cz/services/SynSemClass40/SynSemClass40.html?veclass=vec00384#vec00384-ces-cm00001", "vec00384")</f>
        <v>vec00384</v>
      </c>
      <c r="F69015" s="0" t="s">
        <v>2985</v>
      </c>
    </row>
    <row r="69016" customFormat="false" ht="12.8" hidden="false" customHeight="false" outlineLevel="0" collapsed="false">
      <c r="B69016" s="0" t="s">
        <v>1</v>
      </c>
      <c r="C69016" s="0" t="s">
        <v>2986</v>
      </c>
      <c r="E69016" s="0" t="s">
        <v>147</v>
      </c>
      <c r="F69016" s="0" t="s">
        <v>2987</v>
      </c>
    </row>
    <row r="69017" customFormat="false" ht="12.8" hidden="false" customHeight="false" outlineLevel="0" collapsed="false">
      <c r="B69017" s="0" t="s">
        <v>9877</v>
      </c>
      <c r="C69017" s="0" t="s">
        <v>2989</v>
      </c>
      <c r="E69017" s="0" t="s">
        <v>218</v>
      </c>
      <c r="F69017" s="0" t="s">
        <v>2990</v>
      </c>
    </row>
    <row r="69018" customFormat="false" ht="12.8" hidden="false" customHeight="false" outlineLevel="0" collapsed="false">
      <c r="B69018" s="0" t="s">
        <v>2991</v>
      </c>
      <c r="C69018" s="0" t="s">
        <v>2992</v>
      </c>
      <c r="E69018" s="0" t="s">
        <v>221</v>
      </c>
      <c r="F69018" s="0" t="s">
        <v>2993</v>
      </c>
    </row>
    <row r="69020" customFormat="false" ht="12.8" hidden="false" customHeight="false" outlineLevel="0" collapsed="false">
      <c r="A69020" s="0" t="s">
        <v>22624</v>
      </c>
      <c r="B69020" s="0" t="str">
        <f aca="false">HYPERLINK("https://lindat.mff.cuni.cz/services/teitok/pdtc10/index.php?action=vallex&amp;frame=v-w11264f1", "zesilovat (v-w11264f1)")</f>
        <v>zesilovat (v-w11264f1)</v>
      </c>
    </row>
    <row r="69021" customFormat="false" ht="12.8" hidden="false" customHeight="false" outlineLevel="0" collapsed="false">
      <c r="B69021" s="0" t="s">
        <v>1</v>
      </c>
    </row>
    <row r="69022" customFormat="false" ht="12.8" hidden="false" customHeight="false" outlineLevel="0" collapsed="false">
      <c r="B69022" s="0" t="s">
        <v>69</v>
      </c>
    </row>
    <row r="69023" customFormat="false" ht="12.8" hidden="false" customHeight="false" outlineLevel="0" collapsed="false">
      <c r="B69023" s="0" t="s">
        <v>36</v>
      </c>
    </row>
    <row r="69025" customFormat="false" ht="12.8" hidden="false" customHeight="false" outlineLevel="0" collapsed="false">
      <c r="A69025" s="0" t="s">
        <v>22625</v>
      </c>
      <c r="B69025" s="0" t="str">
        <f aca="false">HYPERLINK("https://lindat.mff.cuni.cz/services/teitok/pdtc10/index.php?action=vallex&amp;frame=v-w11264f2", "zesilovat (v-w11264f2)")</f>
        <v>zesilovat (v-w11264f2)</v>
      </c>
    </row>
    <row r="69026" customFormat="false" ht="12.8" hidden="false" customHeight="false" outlineLevel="0" collapsed="false">
      <c r="B69026" s="0" t="s">
        <v>1</v>
      </c>
    </row>
    <row r="69028" customFormat="false" ht="12.8" hidden="false" customHeight="false" outlineLevel="0" collapsed="false">
      <c r="A69028" s="0" t="s">
        <v>22626</v>
      </c>
      <c r="B69028" s="0" t="str">
        <f aca="false">HYPERLINK("https://lindat.mff.cuni.cz/services/teitok/pdtc10/index.php?action=vallex&amp;frame=v-w11264f4_ZU", "zesilovat (v-w11264f4_ZU)")</f>
        <v>zesilovat (v-w11264f4_ZU)</v>
      </c>
    </row>
    <row r="69029" customFormat="false" ht="12.8" hidden="false" customHeight="false" outlineLevel="0" collapsed="false">
      <c r="B69029" s="0" t="s">
        <v>1</v>
      </c>
    </row>
    <row r="69030" customFormat="false" ht="12.8" hidden="false" customHeight="false" outlineLevel="0" collapsed="false">
      <c r="B69030" s="0" t="s">
        <v>8</v>
      </c>
    </row>
    <row r="69031" customFormat="false" ht="12.8" hidden="false" customHeight="false" outlineLevel="0" collapsed="false">
      <c r="B69031" s="0" t="s">
        <v>36</v>
      </c>
    </row>
    <row r="69032" customFormat="false" ht="12.8" hidden="false" customHeight="false" outlineLevel="0" collapsed="false">
      <c r="B69032" s="0" t="s">
        <v>101</v>
      </c>
    </row>
    <row r="69034" customFormat="false" ht="12.8" hidden="false" customHeight="false" outlineLevel="0" collapsed="false">
      <c r="A69034" s="0" t="s">
        <v>22626</v>
      </c>
      <c r="B69034" s="0" t="str">
        <f aca="false">HYPERLINK("https://lindat.mff.cuni.cz/services/teitok/pdtc10/index.php?action=vallex&amp;frame=v-w11264f3_ZU", "zesilovat (v-w11264f3_ZU) - substituted with v-w11264f4_ZU")</f>
        <v>zesilovat (v-w11264f3_ZU) - substituted with v-w11264f4_ZU</v>
      </c>
    </row>
    <row r="69035" customFormat="false" ht="12.8" hidden="false" customHeight="false" outlineLevel="0" collapsed="false">
      <c r="B69035" s="0" t="s">
        <v>1</v>
      </c>
    </row>
    <row r="69036" customFormat="false" ht="12.8" hidden="false" customHeight="false" outlineLevel="0" collapsed="false">
      <c r="B69036" s="0" t="s">
        <v>8</v>
      </c>
    </row>
    <row r="69037" customFormat="false" ht="12.8" hidden="false" customHeight="false" outlineLevel="0" collapsed="false">
      <c r="B69037" s="0" t="s">
        <v>36</v>
      </c>
    </row>
    <row r="69038" customFormat="false" ht="12.8" hidden="false" customHeight="false" outlineLevel="0" collapsed="false">
      <c r="B69038" s="0" t="s">
        <v>101</v>
      </c>
    </row>
    <row r="69040" customFormat="false" ht="12.8" hidden="false" customHeight="false" outlineLevel="0" collapsed="false">
      <c r="A69040" s="0" t="s">
        <v>22626</v>
      </c>
      <c r="B69040" s="0" t="str">
        <f aca="false">HYPERLINK("https://lindat.mff.cuni.cz/services/teitok/pdtc10/index.php?action=vallex&amp;frame=v-w11264hsa_1323", "zesilovat (v-w11264hsa_1323) - substituted with v-w11264f4_ZU")</f>
        <v>zesilovat (v-w11264hsa_1323) - substituted with v-w11264f4_ZU</v>
      </c>
    </row>
    <row r="69041" customFormat="false" ht="12.8" hidden="false" customHeight="false" outlineLevel="0" collapsed="false">
      <c r="B69041" s="0" t="s">
        <v>1</v>
      </c>
    </row>
    <row r="69042" customFormat="false" ht="12.8" hidden="false" customHeight="false" outlineLevel="0" collapsed="false">
      <c r="B69042" s="0" t="s">
        <v>8</v>
      </c>
    </row>
    <row r="69043" customFormat="false" ht="12.8" hidden="false" customHeight="false" outlineLevel="0" collapsed="false">
      <c r="B69043" s="0" t="s">
        <v>36</v>
      </c>
    </row>
    <row r="69044" customFormat="false" ht="12.8" hidden="false" customHeight="false" outlineLevel="0" collapsed="false">
      <c r="B69044" s="0" t="s">
        <v>101</v>
      </c>
    </row>
    <row r="69046" customFormat="false" ht="12.8" hidden="false" customHeight="false" outlineLevel="0" collapsed="false">
      <c r="A69046" s="0" t="s">
        <v>22627</v>
      </c>
      <c r="B69046" s="0" t="str">
        <f aca="false">HYPERLINK("https://lindat.mff.cuni.cz/services/teitok/pdtc10/index.php?action=vallex&amp;frame=v-w9436f1", "zesilovat se (v-w9436f1)")</f>
        <v>zesilovat se (v-w9436f1)</v>
      </c>
    </row>
    <row r="69047" customFormat="false" ht="12.8" hidden="false" customHeight="false" outlineLevel="0" collapsed="false">
      <c r="B69047" s="0" t="s">
        <v>1</v>
      </c>
    </row>
    <row r="69048" customFormat="false" ht="12.8" hidden="false" customHeight="false" outlineLevel="0" collapsed="false">
      <c r="B69048" s="0" t="s">
        <v>69</v>
      </c>
    </row>
    <row r="69049" customFormat="false" ht="12.8" hidden="false" customHeight="false" outlineLevel="0" collapsed="false">
      <c r="B69049" s="0" t="s">
        <v>36</v>
      </c>
    </row>
    <row r="69051" customFormat="false" ht="12.8" hidden="false" customHeight="false" outlineLevel="0" collapsed="false">
      <c r="A69051" s="0" t="s">
        <v>22628</v>
      </c>
      <c r="B69051" s="0" t="str">
        <f aca="false">HYPERLINK("https://lindat.mff.cuni.cz/services/teitok/pdtc10/index.php?action=vallex&amp;frame=v-whsa_1206f1_ZU", "zeslabit (v-whsa_1206f1_ZU)")</f>
        <v>zeslabit (v-whsa_1206f1_ZU)</v>
      </c>
      <c r="E69051" s="0" t="str">
        <f aca="false">HYPERLINK("https://lindat.mff.cuni.cz/services/SynSemClass40/SynSemClass40.html?veclass=vec00118#vec00118-ces-cm00340", "vec00118")</f>
        <v>vec00118</v>
      </c>
      <c r="F69051" s="0" t="s">
        <v>5784</v>
      </c>
      <c r="H69051" s="0" t="str">
        <f aca="false">HYPERLINK("https://lindat.mff.cuni.cz/services/SynSemClass40/SynSemClass40.html?veclass=vec00298#vec00298-ces-cm00171", "vec00298")</f>
        <v>vec00298</v>
      </c>
      <c r="I69051" s="0" t="s">
        <v>7194</v>
      </c>
    </row>
    <row r="69052" customFormat="false" ht="12.8" hidden="false" customHeight="false" outlineLevel="0" collapsed="false">
      <c r="B69052" s="0" t="s">
        <v>1</v>
      </c>
      <c r="C69052" s="0" t="s">
        <v>22629</v>
      </c>
      <c r="E69052" s="0" t="s">
        <v>31</v>
      </c>
      <c r="F69052" s="0" t="s">
        <v>5787</v>
      </c>
      <c r="H69052" s="0" t="s">
        <v>31</v>
      </c>
      <c r="I69052" s="0" t="s">
        <v>7196</v>
      </c>
    </row>
    <row r="69053" customFormat="false" ht="12.8" hidden="false" customHeight="false" outlineLevel="0" collapsed="false">
      <c r="B69053" s="0" t="s">
        <v>8</v>
      </c>
      <c r="C69053" s="0" t="s">
        <v>22630</v>
      </c>
      <c r="E69053" s="0" t="s">
        <v>1569</v>
      </c>
      <c r="F69053" s="0" t="s">
        <v>5790</v>
      </c>
      <c r="H69053" s="0" t="s">
        <v>1569</v>
      </c>
      <c r="I69053" s="0" t="s">
        <v>7198</v>
      </c>
    </row>
    <row r="69054" customFormat="false" ht="12.8" hidden="false" customHeight="false" outlineLevel="0" collapsed="false">
      <c r="B69054" s="0" t="s">
        <v>36</v>
      </c>
      <c r="C69054" s="0" t="s">
        <v>22631</v>
      </c>
      <c r="E69054" s="0" t="s">
        <v>5152</v>
      </c>
      <c r="F69054" s="0" t="s">
        <v>5793</v>
      </c>
      <c r="H69054" s="0" t="s">
        <v>5152</v>
      </c>
      <c r="I69054" s="0" t="s">
        <v>7200</v>
      </c>
    </row>
    <row r="69055" customFormat="false" ht="12.8" hidden="false" customHeight="false" outlineLevel="0" collapsed="false">
      <c r="B69055" s="0" t="s">
        <v>101</v>
      </c>
      <c r="C69055" s="0" t="s">
        <v>22632</v>
      </c>
      <c r="E69055" s="0" t="s">
        <v>5796</v>
      </c>
      <c r="F69055" s="0" t="s">
        <v>5797</v>
      </c>
      <c r="H69055" s="0" t="s">
        <v>5796</v>
      </c>
      <c r="I69055" s="0" t="s">
        <v>7202</v>
      </c>
    </row>
    <row r="69057" customFormat="false" ht="12.8" hidden="false" customHeight="false" outlineLevel="0" collapsed="false">
      <c r="A69057" s="0" t="s">
        <v>22628</v>
      </c>
      <c r="B69057" s="0" t="str">
        <f aca="false">HYPERLINK("https://lindat.mff.cuni.cz/services/teitok/pdtc10/index.php?action=vallex&amp;frame=v-whsa_1206hsa_1207", "zeslabit (v-whsa_1206hsa_1207) - substituted with v-whsa_1206f1_ZU")</f>
        <v>zeslabit (v-whsa_1206hsa_1207) - substituted with v-whsa_1206f1_ZU</v>
      </c>
    </row>
    <row r="69058" customFormat="false" ht="12.8" hidden="false" customHeight="false" outlineLevel="0" collapsed="false">
      <c r="B69058" s="0" t="s">
        <v>1</v>
      </c>
    </row>
    <row r="69059" customFormat="false" ht="12.8" hidden="false" customHeight="false" outlineLevel="0" collapsed="false">
      <c r="B69059" s="0" t="s">
        <v>8</v>
      </c>
    </row>
    <row r="69060" customFormat="false" ht="12.8" hidden="false" customHeight="false" outlineLevel="0" collapsed="false">
      <c r="B69060" s="0" t="s">
        <v>36</v>
      </c>
    </row>
    <row r="69061" customFormat="false" ht="12.8" hidden="false" customHeight="false" outlineLevel="0" collapsed="false">
      <c r="B69061" s="0" t="s">
        <v>101</v>
      </c>
    </row>
    <row r="69063" customFormat="false" ht="12.8" hidden="false" customHeight="false" outlineLevel="0" collapsed="false">
      <c r="A69063" s="0" t="s">
        <v>22633</v>
      </c>
      <c r="B69063" s="0" t="str">
        <f aca="false">HYPERLINK("https://lindat.mff.cuni.cz/services/teitok/pdtc10/index.php?action=vallex&amp;frame=v-w9439f1", "zeslabovat (v-w9439f1)")</f>
        <v>zeslabovat (v-w9439f1)</v>
      </c>
    </row>
    <row r="69064" customFormat="false" ht="12.8" hidden="false" customHeight="false" outlineLevel="0" collapsed="false">
      <c r="B69064" s="0" t="s">
        <v>1</v>
      </c>
    </row>
    <row r="69065" customFormat="false" ht="12.8" hidden="false" customHeight="false" outlineLevel="0" collapsed="false">
      <c r="B69065" s="0" t="s">
        <v>8</v>
      </c>
    </row>
    <row r="69066" customFormat="false" ht="12.8" hidden="false" customHeight="false" outlineLevel="0" collapsed="false">
      <c r="B69066" s="0" t="s">
        <v>36</v>
      </c>
    </row>
    <row r="69067" customFormat="false" ht="12.8" hidden="false" customHeight="false" outlineLevel="0" collapsed="false">
      <c r="B69067" s="0" t="s">
        <v>101</v>
      </c>
    </row>
    <row r="69069" customFormat="false" ht="12.8" hidden="false" customHeight="false" outlineLevel="0" collapsed="false">
      <c r="A69069" s="0" t="s">
        <v>22634</v>
      </c>
      <c r="B69069" s="0" t="str">
        <f aca="false">HYPERLINK("https://lindat.mff.cuni.cz/services/teitok/pdtc10/index.php?action=vallex&amp;frame=v-w10781f2", "zeslábnout (v-w10781f2)")</f>
        <v>zeslábnout (v-w10781f2)</v>
      </c>
      <c r="E69069" s="0" t="str">
        <f aca="false">HYPERLINK("https://lindat.mff.cuni.cz/services/SynSemClass40/SynSemClass40.html?veclass=vec00463#vec00463-ces-cm00012", "vec00463")</f>
        <v>vec00463</v>
      </c>
      <c r="F69069" s="0" t="s">
        <v>8671</v>
      </c>
    </row>
    <row r="69070" customFormat="false" ht="12.8" hidden="false" customHeight="false" outlineLevel="0" collapsed="false">
      <c r="B69070" s="0" t="s">
        <v>1</v>
      </c>
      <c r="C69070" s="0" t="s">
        <v>9962</v>
      </c>
      <c r="E69070" s="0" t="s">
        <v>8663</v>
      </c>
      <c r="F69070" s="0" t="s">
        <v>8673</v>
      </c>
    </row>
    <row r="69071" customFormat="false" ht="12.8" hidden="false" customHeight="false" outlineLevel="0" collapsed="false">
      <c r="B69071" s="0" t="s">
        <v>69</v>
      </c>
      <c r="C69071" s="0" t="s">
        <v>22635</v>
      </c>
      <c r="E69071" s="0" t="s">
        <v>1592</v>
      </c>
      <c r="F69071" s="0" t="s">
        <v>22636</v>
      </c>
    </row>
    <row r="69072" customFormat="false" ht="12.8" hidden="false" customHeight="false" outlineLevel="0" collapsed="false">
      <c r="B69072" s="0" t="s">
        <v>36</v>
      </c>
      <c r="E69072" s="0" t="s">
        <v>38</v>
      </c>
      <c r="F69072" s="0" t="s">
        <v>8255</v>
      </c>
    </row>
    <row r="69074" customFormat="false" ht="12.8" hidden="false" customHeight="false" outlineLevel="0" collapsed="false">
      <c r="A69074" s="0" t="s">
        <v>22637</v>
      </c>
      <c r="B69074" s="0" t="str">
        <f aca="false">HYPERLINK("https://lindat.mff.cuni.cz/services/teitok/pdtc10/index.php?action=vallex&amp;frame=v-w11073f2", "zesměšnit (v-w11073f2)")</f>
        <v>zesměšnit (v-w11073f2)</v>
      </c>
      <c r="E69074" s="0" t="str">
        <f aca="false">HYPERLINK("https://lindat.mff.cuni.cz/services/SynSemClass40/SynSemClass40.html?veclass=vec00760#vec00760-ces-cm00005", "vec00760")</f>
        <v>vec00760</v>
      </c>
      <c r="F69074" s="0" t="s">
        <v>11538</v>
      </c>
      <c r="H69074" s="0" t="str">
        <f aca="false">HYPERLINK("https://lindat.mff.cuni.cz/services/SynSemClass40/SynSemClass40.html?veclass=vec01192#vec01192-ces-cm00014", "vec01192")</f>
        <v>vec01192</v>
      </c>
      <c r="I69074" s="0" t="s">
        <v>2000</v>
      </c>
    </row>
    <row r="69075" customFormat="false" ht="12.8" hidden="false" customHeight="false" outlineLevel="0" collapsed="false">
      <c r="B69075" s="0" t="s">
        <v>1</v>
      </c>
      <c r="C69075" s="0" t="s">
        <v>767</v>
      </c>
      <c r="E69075" s="0" t="s">
        <v>155</v>
      </c>
      <c r="F69075" s="0" t="s">
        <v>11539</v>
      </c>
      <c r="H69075" s="0" t="s">
        <v>11</v>
      </c>
      <c r="I69075" s="0" t="s">
        <v>1613</v>
      </c>
    </row>
    <row r="69076" customFormat="false" ht="12.8" hidden="false" customHeight="false" outlineLevel="0" collapsed="false">
      <c r="B69076" s="0" t="s">
        <v>8</v>
      </c>
      <c r="C69076" s="0" t="s">
        <v>22638</v>
      </c>
      <c r="E69076" s="0" t="s">
        <v>159</v>
      </c>
      <c r="F69076" s="0" t="s">
        <v>11540</v>
      </c>
      <c r="H69076" s="0" t="s">
        <v>142</v>
      </c>
      <c r="I69076" s="0" t="s">
        <v>2002</v>
      </c>
    </row>
    <row r="69078" customFormat="false" ht="12.8" hidden="false" customHeight="false" outlineLevel="0" collapsed="false">
      <c r="A69078" s="0" t="s">
        <v>22639</v>
      </c>
      <c r="B69078" s="0" t="str">
        <f aca="false">HYPERLINK("https://lindat.mff.cuni.cz/services/teitok/pdtc10/index.php?action=vallex&amp;frame=v-w9441f1", "zesměšňovat (v-w9441f1)")</f>
        <v>zesměšňovat (v-w9441f1)</v>
      </c>
      <c r="E69078" s="0" t="str">
        <f aca="false">HYPERLINK("https://lindat.mff.cuni.cz/services/SynSemClass40/SynSemClass40.html?veclass=vec01192#vec01192-ces-cm00015", "vec01192")</f>
        <v>vec01192</v>
      </c>
      <c r="F69078" s="0" t="s">
        <v>2000</v>
      </c>
    </row>
    <row r="69079" customFormat="false" ht="12.8" hidden="false" customHeight="false" outlineLevel="0" collapsed="false">
      <c r="B69079" s="0" t="s">
        <v>1</v>
      </c>
      <c r="C69079" s="0" t="s">
        <v>512</v>
      </c>
      <c r="E69079" s="0" t="s">
        <v>11</v>
      </c>
      <c r="F69079" s="0" t="s">
        <v>1613</v>
      </c>
    </row>
    <row r="69080" customFormat="false" ht="12.8" hidden="false" customHeight="false" outlineLevel="0" collapsed="false">
      <c r="B69080" s="0" t="s">
        <v>8</v>
      </c>
      <c r="C69080" s="0" t="s">
        <v>2001</v>
      </c>
      <c r="E69080" s="0" t="s">
        <v>142</v>
      </c>
      <c r="F69080" s="0" t="s">
        <v>2002</v>
      </c>
    </row>
    <row r="69082" customFormat="false" ht="12.8" hidden="false" customHeight="false" outlineLevel="0" collapsed="false">
      <c r="A69082" s="0" t="s">
        <v>22640</v>
      </c>
      <c r="B69082" s="0" t="str">
        <f aca="false">HYPERLINK("https://lindat.mff.cuni.cz/services/teitok/pdtc10/index.php?action=vallex&amp;frame=v-w9445f1", "zestručnit (v-w9445f1)")</f>
        <v>zestručnit (v-w9445f1)</v>
      </c>
    </row>
    <row r="69083" customFormat="false" ht="12.8" hidden="false" customHeight="false" outlineLevel="0" collapsed="false">
      <c r="B69083" s="0" t="s">
        <v>1</v>
      </c>
    </row>
    <row r="69084" customFormat="false" ht="12.8" hidden="false" customHeight="false" outlineLevel="0" collapsed="false">
      <c r="B69084" s="0" t="s">
        <v>8</v>
      </c>
    </row>
    <row r="69085" customFormat="false" ht="12.8" hidden="false" customHeight="false" outlineLevel="0" collapsed="false">
      <c r="B69085" s="0" t="s">
        <v>36</v>
      </c>
    </row>
    <row r="69086" customFormat="false" ht="12.8" hidden="false" customHeight="false" outlineLevel="0" collapsed="false">
      <c r="B69086" s="0" t="s">
        <v>101</v>
      </c>
    </row>
    <row r="69088" customFormat="false" ht="12.8" hidden="false" customHeight="false" outlineLevel="0" collapsed="false">
      <c r="A69088" s="0" t="s">
        <v>22641</v>
      </c>
      <c r="B69088" s="0" t="str">
        <f aca="false">HYPERLINK("https://lindat.mff.cuni.cz/services/teitok/pdtc10/index.php?action=vallex&amp;frame=v-w9442f1", "zestárnout (v-w9442f1)")</f>
        <v>zestárnout (v-w9442f1)</v>
      </c>
      <c r="E69088" s="0" t="str">
        <f aca="false">HYPERLINK("https://lindat.mff.cuni.cz/services/SynSemClass40/SynSemClass40.html?veclass=vec01380#vec01380-ces-cm00005", "vec01380")</f>
        <v>vec01380</v>
      </c>
      <c r="F69088" s="0" t="s">
        <v>2774</v>
      </c>
    </row>
    <row r="69089" customFormat="false" ht="12.8" hidden="false" customHeight="false" outlineLevel="0" collapsed="false">
      <c r="B69089" s="0" t="s">
        <v>1</v>
      </c>
      <c r="C69089" s="0" t="s">
        <v>9248</v>
      </c>
      <c r="E69089" s="0" t="s">
        <v>84</v>
      </c>
      <c r="F69089" s="0" t="s">
        <v>2778</v>
      </c>
    </row>
    <row r="69091" customFormat="false" ht="12.8" hidden="false" customHeight="false" outlineLevel="0" collapsed="false">
      <c r="A69091" s="0" t="s">
        <v>22642</v>
      </c>
      <c r="B69091" s="0" t="str">
        <f aca="false">HYPERLINK("https://lindat.mff.cuni.cz/services/teitok/pdtc10/index.php?action=vallex&amp;frame=v-w9443f1", "zestátnit (v-w9443f1)")</f>
        <v>zestátnit (v-w9443f1)</v>
      </c>
      <c r="E69091" s="0" t="str">
        <f aca="false">HYPERLINK("https://lindat.mff.cuni.cz/services/SynSemClass40/SynSemClass40.html?veclass=vec00683#vec00683-ces-cm00005", "vec00683")</f>
        <v>vec00683</v>
      </c>
      <c r="F69091" s="0" t="s">
        <v>12136</v>
      </c>
      <c r="H69091" s="0" t="str">
        <f aca="false">HYPERLINK("https://lindat.mff.cuni.cz/services/SynSemClass40/SynSemClass40.html?veclass=vec01178#vec01178-ces-cm00003", "vec01178")</f>
        <v>vec01178</v>
      </c>
      <c r="I69091" s="0" t="s">
        <v>22643</v>
      </c>
    </row>
    <row r="69092" customFormat="false" ht="12.8" hidden="false" customHeight="false" outlineLevel="0" collapsed="false">
      <c r="B69092" s="0" t="s">
        <v>1</v>
      </c>
      <c r="C69092" s="0" t="s">
        <v>3000</v>
      </c>
      <c r="E69092" s="0" t="s">
        <v>206</v>
      </c>
      <c r="F69092" s="0" t="s">
        <v>3251</v>
      </c>
      <c r="H69092" s="0" t="s">
        <v>31</v>
      </c>
      <c r="I69092" s="0" t="s">
        <v>513</v>
      </c>
    </row>
    <row r="69093" customFormat="false" ht="12.8" hidden="false" customHeight="false" outlineLevel="0" collapsed="false">
      <c r="B69093" s="0" t="s">
        <v>8</v>
      </c>
      <c r="C69093" s="0" t="s">
        <v>639</v>
      </c>
      <c r="E69093" s="0" t="s">
        <v>5521</v>
      </c>
      <c r="F69093" s="0" t="s">
        <v>12137</v>
      </c>
      <c r="H69093" s="0" t="s">
        <v>5521</v>
      </c>
      <c r="I69093" s="0" t="s">
        <v>22644</v>
      </c>
    </row>
    <row r="69095" customFormat="false" ht="12.8" hidden="false" customHeight="false" outlineLevel="0" collapsed="false">
      <c r="A69095" s="0" t="s">
        <v>22645</v>
      </c>
      <c r="B69095" s="0" t="str">
        <f aca="false">HYPERLINK("https://lindat.mff.cuni.cz/services/teitok/pdtc10/index.php?action=vallex&amp;frame=v-w9444f1", "zestátňovat (v-w9444f1)")</f>
        <v>zestátňovat (v-w9444f1)</v>
      </c>
    </row>
    <row r="69096" customFormat="false" ht="12.8" hidden="false" customHeight="false" outlineLevel="0" collapsed="false">
      <c r="B69096" s="0" t="s">
        <v>1</v>
      </c>
    </row>
    <row r="69097" customFormat="false" ht="12.8" hidden="false" customHeight="false" outlineLevel="0" collapsed="false">
      <c r="B69097" s="0" t="s">
        <v>8</v>
      </c>
    </row>
    <row r="69099" customFormat="false" ht="12.8" hidden="false" customHeight="false" outlineLevel="0" collapsed="false">
      <c r="A69099" s="0" t="s">
        <v>22646</v>
      </c>
      <c r="B69099" s="0" t="str">
        <f aca="false">HYPERLINK("https://lindat.mff.cuni.cz/services/teitok/pdtc10/index.php?action=vallex&amp;frame=v-w9434f2", "zesílit (v-w9434f2)")</f>
        <v>zesílit (v-w9434f2)</v>
      </c>
      <c r="E69099" s="0" t="str">
        <f aca="false">HYPERLINK("https://lindat.mff.cuni.cz/services/SynSemClass40/SynSemClass40.html?veclass=vec00298#vec00298-ces-cm00151", "vec00298")</f>
        <v>vec00298</v>
      </c>
      <c r="F69099" s="0" t="s">
        <v>7194</v>
      </c>
    </row>
    <row r="69100" customFormat="false" ht="12.8" hidden="false" customHeight="false" outlineLevel="0" collapsed="false">
      <c r="B69100" s="0" t="s">
        <v>1</v>
      </c>
      <c r="C69100" s="0" t="s">
        <v>7195</v>
      </c>
      <c r="E69100" s="0" t="s">
        <v>31</v>
      </c>
      <c r="F69100" s="0" t="s">
        <v>7196</v>
      </c>
    </row>
    <row r="69101" customFormat="false" ht="12.8" hidden="false" customHeight="false" outlineLevel="0" collapsed="false">
      <c r="B69101" s="0" t="s">
        <v>8</v>
      </c>
      <c r="C69101" s="0" t="s">
        <v>7197</v>
      </c>
      <c r="E69101" s="0" t="s">
        <v>1569</v>
      </c>
      <c r="F69101" s="0" t="s">
        <v>7198</v>
      </c>
    </row>
    <row r="69102" customFormat="false" ht="12.8" hidden="false" customHeight="false" outlineLevel="0" collapsed="false">
      <c r="B69102" s="0" t="s">
        <v>36</v>
      </c>
      <c r="C69102" s="0" t="s">
        <v>7199</v>
      </c>
      <c r="E69102" s="0" t="s">
        <v>5152</v>
      </c>
      <c r="F69102" s="0" t="s">
        <v>7200</v>
      </c>
    </row>
    <row r="69103" customFormat="false" ht="12.8" hidden="false" customHeight="false" outlineLevel="0" collapsed="false">
      <c r="B69103" s="0" t="s">
        <v>101</v>
      </c>
      <c r="C69103" s="0" t="s">
        <v>7201</v>
      </c>
      <c r="E69103" s="0" t="s">
        <v>5796</v>
      </c>
      <c r="F69103" s="0" t="s">
        <v>7202</v>
      </c>
    </row>
    <row r="69105" customFormat="false" ht="12.8" hidden="false" customHeight="false" outlineLevel="0" collapsed="false">
      <c r="A69105" s="0" t="s">
        <v>22647</v>
      </c>
      <c r="B69105" s="0" t="str">
        <f aca="false">HYPERLINK("https://lindat.mff.cuni.cz/services/teitok/pdtc10/index.php?action=vallex&amp;frame=v-w9434f1", "zesílit (v-w9434f1)")</f>
        <v>zesílit (v-w9434f1)</v>
      </c>
      <c r="E69105" s="0" t="str">
        <f aca="false">HYPERLINK("https://lindat.mff.cuni.cz/services/SynSemClass40/SynSemClass40.html?veclass=vec00730#vec00730-ces-cm00004", "vec00730")</f>
        <v>vec00730</v>
      </c>
      <c r="F69105" s="0" t="s">
        <v>5144</v>
      </c>
    </row>
    <row r="69106" customFormat="false" ht="12.8" hidden="false" customHeight="false" outlineLevel="0" collapsed="false">
      <c r="B69106" s="0" t="s">
        <v>1</v>
      </c>
      <c r="C69106" s="0" t="s">
        <v>14324</v>
      </c>
      <c r="E69106" s="0" t="s">
        <v>4943</v>
      </c>
      <c r="F69106" s="0" t="s">
        <v>5147</v>
      </c>
    </row>
    <row r="69107" customFormat="false" ht="12.8" hidden="false" customHeight="false" outlineLevel="0" collapsed="false">
      <c r="B69107" s="0" t="s">
        <v>69</v>
      </c>
    </row>
    <row r="69108" customFormat="false" ht="12.8" hidden="false" customHeight="false" outlineLevel="0" collapsed="false">
      <c r="B69108" s="0" t="s">
        <v>36</v>
      </c>
    </row>
    <row r="69110" customFormat="false" ht="12.8" hidden="false" customHeight="false" outlineLevel="0" collapsed="false">
      <c r="A69110" s="0" t="s">
        <v>22648</v>
      </c>
      <c r="B69110" s="0" t="str">
        <f aca="false">HYPERLINK("https://lindat.mff.cuni.cz/services/teitok/pdtc10/index.php?action=vallex&amp;frame=v-w9450f2", "zet (v-w9450f2)")</f>
        <v>zet (v-w9450f2)</v>
      </c>
    </row>
    <row r="69111" customFormat="false" ht="12.8" hidden="false" customHeight="false" outlineLevel="0" collapsed="false">
      <c r="B69111" s="0" t="s">
        <v>1</v>
      </c>
    </row>
    <row r="69112" customFormat="false" ht="12.8" hidden="false" customHeight="false" outlineLevel="0" collapsed="false">
      <c r="B69112" s="0" t="s">
        <v>5</v>
      </c>
    </row>
    <row r="69114" customFormat="false" ht="12.8" hidden="false" customHeight="false" outlineLevel="0" collapsed="false">
      <c r="A69114" s="0" t="s">
        <v>22649</v>
      </c>
      <c r="B69114" s="0" t="str">
        <f aca="false">HYPERLINK("https://lindat.mff.cuni.cz/services/teitok/pdtc10/index.php?action=vallex&amp;frame=v-w9450f1", "zet (v-w9450f1)")</f>
        <v>zet (v-w9450f1)</v>
      </c>
    </row>
    <row r="69115" customFormat="false" ht="12.8" hidden="false" customHeight="false" outlineLevel="0" collapsed="false">
      <c r="B69115" s="0" t="s">
        <v>1</v>
      </c>
    </row>
    <row r="69116" customFormat="false" ht="12.8" hidden="false" customHeight="false" outlineLevel="0" collapsed="false">
      <c r="B69116" s="0" t="s">
        <v>22650</v>
      </c>
    </row>
    <row r="69118" customFormat="false" ht="12.8" hidden="false" customHeight="false" outlineLevel="0" collapsed="false">
      <c r="A69118" s="0" t="s">
        <v>22651</v>
      </c>
      <c r="B69118" s="0" t="str">
        <f aca="false">HYPERLINK("https://lindat.mff.cuni.cz/services/teitok/pdtc10/index.php?action=vallex&amp;frame=v-w9453f1", "zevšeobecňovat (v-w9453f1)")</f>
        <v>zevšeobecňovat (v-w9453f1)</v>
      </c>
      <c r="E69118" s="0" t="str">
        <f aca="false">HYPERLINK("https://lindat.mff.cuni.cz/services/SynSemClass40/SynSemClass40.html?veclass=vec01492#vec01492-ces-cm00004", "vec01492")</f>
        <v>vec01492</v>
      </c>
      <c r="F69118" s="0" t="s">
        <v>4212</v>
      </c>
    </row>
    <row r="69119" customFormat="false" ht="12.8" hidden="false" customHeight="false" outlineLevel="0" collapsed="false">
      <c r="B69119" s="0" t="s">
        <v>1</v>
      </c>
      <c r="E69119" s="0" t="s">
        <v>621</v>
      </c>
      <c r="F69119" s="0" t="s">
        <v>4213</v>
      </c>
    </row>
    <row r="69120" customFormat="false" ht="12.8" hidden="false" customHeight="false" outlineLevel="0" collapsed="false">
      <c r="B69120" s="0" t="s">
        <v>8</v>
      </c>
      <c r="C69120" s="0" t="s">
        <v>462</v>
      </c>
      <c r="E69120" s="0" t="s">
        <v>4214</v>
      </c>
      <c r="F69120" s="0" t="s">
        <v>4215</v>
      </c>
    </row>
    <row r="69122" customFormat="false" ht="12.8" hidden="false" customHeight="false" outlineLevel="0" collapsed="false">
      <c r="A69122" s="0" t="s">
        <v>22652</v>
      </c>
      <c r="B69122" s="0" t="str">
        <f aca="false">HYPERLINK("https://lindat.mff.cuni.cz/services/teitok/pdtc10/index.php?action=vallex&amp;frame=v-w10499f4_ZU", "zezelenat (v-w10499f4_ZU)")</f>
        <v>zezelenat (v-w10499f4_ZU)</v>
      </c>
    </row>
    <row r="69123" customFormat="false" ht="12.8" hidden="false" customHeight="false" outlineLevel="0" collapsed="false">
      <c r="B69123" s="0" t="s">
        <v>1</v>
      </c>
    </row>
    <row r="69125" customFormat="false" ht="12.8" hidden="false" customHeight="false" outlineLevel="0" collapsed="false">
      <c r="A69125" s="0" t="s">
        <v>22652</v>
      </c>
      <c r="B69125" s="0" t="str">
        <f aca="false">HYPERLINK("https://lindat.mff.cuni.cz/services/teitok/pdtc10/index.php?action=vallex&amp;frame=v-w10499f3", "zezelenat (v-w10499f3) - substituted with v-w10499f4_ZU")</f>
        <v>zezelenat (v-w10499f3) - substituted with v-w10499f4_ZU</v>
      </c>
    </row>
    <row r="69126" customFormat="false" ht="12.8" hidden="false" customHeight="false" outlineLevel="0" collapsed="false">
      <c r="B69126" s="0" t="s">
        <v>1</v>
      </c>
    </row>
    <row r="69128" customFormat="false" ht="12.8" hidden="false" customHeight="false" outlineLevel="0" collapsed="false">
      <c r="A69128" s="0" t="s">
        <v>22653</v>
      </c>
      <c r="B69128" s="0" t="str">
        <f aca="false">HYPERLINK("https://lindat.mff.cuni.cz/services/teitok/pdtc10/index.php?action=vallex&amp;frame=v-w10974f2", "zečtyřnásobit (v-w10974f2)")</f>
        <v>zečtyřnásobit (v-w10974f2)</v>
      </c>
      <c r="E69128" s="0" t="str">
        <f aca="false">HYPERLINK("https://lindat.mff.cuni.cz/services/SynSemClass40/SynSemClass40.html?veclass=vec00187#vec00187-ces-cm00011", "vec00187")</f>
        <v>vec00187</v>
      </c>
      <c r="F69128" s="0" t="s">
        <v>8246</v>
      </c>
    </row>
    <row r="69129" customFormat="false" ht="12.8" hidden="false" customHeight="false" outlineLevel="0" collapsed="false">
      <c r="B69129" s="0" t="s">
        <v>1</v>
      </c>
      <c r="C69129" s="0" t="s">
        <v>8247</v>
      </c>
      <c r="E69129" s="0" t="s">
        <v>31</v>
      </c>
      <c r="F69129" s="0" t="s">
        <v>8248</v>
      </c>
    </row>
    <row r="69130" customFormat="false" ht="12.8" hidden="false" customHeight="false" outlineLevel="0" collapsed="false">
      <c r="B69130" s="0" t="s">
        <v>8</v>
      </c>
      <c r="C69130" s="0" t="s">
        <v>8249</v>
      </c>
      <c r="E69130" s="0" t="s">
        <v>1569</v>
      </c>
      <c r="F69130" s="0" t="s">
        <v>8250</v>
      </c>
    </row>
    <row r="69131" customFormat="false" ht="12.8" hidden="false" customHeight="false" outlineLevel="0" collapsed="false">
      <c r="B69131" s="0" t="s">
        <v>36</v>
      </c>
      <c r="C69131" s="0" t="s">
        <v>22577</v>
      </c>
      <c r="E69131" s="0" t="s">
        <v>5152</v>
      </c>
      <c r="F69131" s="0" t="s">
        <v>22578</v>
      </c>
    </row>
    <row r="69132" customFormat="false" ht="12.8" hidden="false" customHeight="false" outlineLevel="0" collapsed="false">
      <c r="B69132" s="0" t="s">
        <v>101</v>
      </c>
      <c r="C69132" s="0" t="s">
        <v>22579</v>
      </c>
      <c r="E69132" s="0" t="s">
        <v>5796</v>
      </c>
      <c r="F69132" s="0" t="s">
        <v>22580</v>
      </c>
    </row>
    <row r="69134" customFormat="false" ht="12.8" hidden="false" customHeight="false" outlineLevel="0" collapsed="false">
      <c r="A69134" s="0" t="s">
        <v>22654</v>
      </c>
      <c r="B69134" s="0" t="str">
        <f aca="false">HYPERLINK("https://lindat.mff.cuni.cz/services/teitok/pdtc10/index.php?action=vallex&amp;frame=v-w11431f1", "zečtyřnásobit se (v-w11431f1)")</f>
        <v>zečtyřnásobit se (v-w11431f1)</v>
      </c>
      <c r="E69134" s="0" t="str">
        <f aca="false">HYPERLINK("https://lindat.mff.cuni.cz/services/SynSemClass40/SynSemClass40.html?veclass=vec00187#vec00187-ces-cm00008", "vec00187")</f>
        <v>vec00187</v>
      </c>
      <c r="F69134" s="0" t="s">
        <v>8246</v>
      </c>
    </row>
    <row r="69135" customFormat="false" ht="12.8" hidden="false" customHeight="false" outlineLevel="0" collapsed="false">
      <c r="B69135" s="0" t="s">
        <v>1</v>
      </c>
      <c r="C69135" s="0" t="s">
        <v>22582</v>
      </c>
      <c r="E69135" s="0" t="s">
        <v>22583</v>
      </c>
      <c r="F69135" s="0" t="s">
        <v>22584</v>
      </c>
    </row>
    <row r="69137" customFormat="false" ht="12.8" hidden="false" customHeight="false" outlineLevel="0" collapsed="false">
      <c r="A69137" s="0" t="s">
        <v>22655</v>
      </c>
      <c r="B69137" s="0" t="str">
        <f aca="false">HYPERLINK("https://lindat.mff.cuni.cz/services/teitok/pdtc10/index.php?action=vallex&amp;frame=v-w10793f3_ZU", "zešedivět (v-w10793f3_ZU)")</f>
        <v>zešedivět (v-w10793f3_ZU)</v>
      </c>
      <c r="E69137" s="0" t="str">
        <f aca="false">HYPERLINK("https://lindat.mff.cuni.cz/services/SynSemClass40/SynSemClass40.html?veclass=vec01380#vec01380-ces-cm00007", "vec01380")</f>
        <v>vec01380</v>
      </c>
      <c r="F69137" s="0" t="s">
        <v>2774</v>
      </c>
    </row>
    <row r="69138" customFormat="false" ht="12.8" hidden="false" customHeight="false" outlineLevel="0" collapsed="false">
      <c r="B69138" s="0" t="s">
        <v>1</v>
      </c>
      <c r="C69138" s="0" t="s">
        <v>9248</v>
      </c>
      <c r="E69138" s="0" t="s">
        <v>84</v>
      </c>
      <c r="F69138" s="0" t="s">
        <v>2778</v>
      </c>
    </row>
    <row r="69140" customFormat="false" ht="12.8" hidden="false" customHeight="false" outlineLevel="0" collapsed="false">
      <c r="A69140" s="0" t="s">
        <v>22655</v>
      </c>
      <c r="B69140" s="0" t="str">
        <f aca="false">HYPERLINK("https://lindat.mff.cuni.cz/services/teitok/pdtc10/index.php?action=vallex&amp;frame=v-w10793f2", "zešedivět (v-w10793f2) - substituted with v-w10793f3_ZU")</f>
        <v>zešedivět (v-w10793f2) - substituted with v-w10793f3_ZU</v>
      </c>
    </row>
    <row r="69141" customFormat="false" ht="12.8" hidden="false" customHeight="false" outlineLevel="0" collapsed="false">
      <c r="B69141" s="0" t="s">
        <v>1</v>
      </c>
    </row>
    <row r="69143" customFormat="false" ht="12.8" hidden="false" customHeight="false" outlineLevel="0" collapsed="false">
      <c r="A69143" s="0" t="s">
        <v>22656</v>
      </c>
      <c r="B69143" s="0" t="str">
        <f aca="false">HYPERLINK("https://lindat.mff.cuni.cz/services/teitok/pdtc10/index.php?action=vallex&amp;frame=v-w9447f1", "zeštíhlet (v-w9447f1)")</f>
        <v>zeštíhlet (v-w9447f1)</v>
      </c>
    </row>
    <row r="69144" customFormat="false" ht="12.8" hidden="false" customHeight="false" outlineLevel="0" collapsed="false">
      <c r="B69144" s="0" t="s">
        <v>1</v>
      </c>
    </row>
    <row r="69145" customFormat="false" ht="12.8" hidden="false" customHeight="false" outlineLevel="0" collapsed="false">
      <c r="B69145" s="0" t="s">
        <v>8</v>
      </c>
    </row>
    <row r="69147" customFormat="false" ht="12.8" hidden="false" customHeight="false" outlineLevel="0" collapsed="false">
      <c r="A69147" s="0" t="s">
        <v>22657</v>
      </c>
      <c r="B69147" s="0" t="str">
        <f aca="false">HYPERLINK("https://lindat.mff.cuni.cz/services/teitok/pdtc10/index.php?action=vallex&amp;frame=v-w9447f2", "zeštíhlet (v-w9447f2)")</f>
        <v>zeštíhlet (v-w9447f2)</v>
      </c>
    </row>
    <row r="69148" customFormat="false" ht="12.8" hidden="false" customHeight="false" outlineLevel="0" collapsed="false">
      <c r="B69148" s="0" t="s">
        <v>1</v>
      </c>
    </row>
    <row r="69150" customFormat="false" ht="12.8" hidden="false" customHeight="false" outlineLevel="0" collapsed="false">
      <c r="A69150" s="0" t="s">
        <v>22658</v>
      </c>
      <c r="B69150" s="0" t="str">
        <f aca="false">HYPERLINK("https://lindat.mff.cuni.cz/services/teitok/pdtc10/index.php?action=vallex&amp;frame=v-w9448f1", "zeštíhlit (v-w9448f1)")</f>
        <v>zeštíhlit (v-w9448f1)</v>
      </c>
      <c r="E69150" s="0" t="str">
        <f aca="false">HYPERLINK("https://lindat.mff.cuni.cz/services/SynSemClass40/SynSemClass40.html?veclass=vec00788#vec00788-ces-cm00002", "vec00788")</f>
        <v>vec00788</v>
      </c>
      <c r="F69150" s="0" t="s">
        <v>22659</v>
      </c>
    </row>
    <row r="69151" customFormat="false" ht="12.8" hidden="false" customHeight="false" outlineLevel="0" collapsed="false">
      <c r="B69151" s="0" t="s">
        <v>1</v>
      </c>
      <c r="C69151" s="0" t="s">
        <v>1752</v>
      </c>
      <c r="E69151" s="0" t="s">
        <v>31</v>
      </c>
      <c r="F69151" s="0" t="s">
        <v>5293</v>
      </c>
    </row>
    <row r="69152" customFormat="false" ht="12.8" hidden="false" customHeight="false" outlineLevel="0" collapsed="false">
      <c r="B69152" s="0" t="s">
        <v>8</v>
      </c>
      <c r="C69152" s="0" t="s">
        <v>5583</v>
      </c>
      <c r="E69152" s="0" t="s">
        <v>34</v>
      </c>
      <c r="F69152" s="0" t="s">
        <v>22660</v>
      </c>
    </row>
    <row r="69154" customFormat="false" ht="12.8" hidden="false" customHeight="false" outlineLevel="0" collapsed="false">
      <c r="A69154" s="0" t="s">
        <v>22661</v>
      </c>
      <c r="B69154" s="0" t="str">
        <f aca="false">HYPERLINK("https://lindat.mff.cuni.cz/services/teitok/pdtc10/index.php?action=vallex&amp;frame=v-w11018f2", "zeštíhlovat (v-w11018f2)")</f>
        <v>zeštíhlovat (v-w11018f2)</v>
      </c>
    </row>
    <row r="69155" customFormat="false" ht="12.8" hidden="false" customHeight="false" outlineLevel="0" collapsed="false">
      <c r="B69155" s="0" t="s">
        <v>1</v>
      </c>
    </row>
    <row r="69156" customFormat="false" ht="12.8" hidden="false" customHeight="false" outlineLevel="0" collapsed="false">
      <c r="B69156" s="0" t="s">
        <v>8</v>
      </c>
    </row>
    <row r="69158" customFormat="false" ht="12.8" hidden="false" customHeight="false" outlineLevel="0" collapsed="false">
      <c r="A69158" s="0" t="s">
        <v>22662</v>
      </c>
      <c r="B69158" s="0" t="str">
        <f aca="false">HYPERLINK("https://lindat.mff.cuni.cz/services/teitok/pdtc10/index.php?action=vallex&amp;frame=v-w12058_ZUf1_ZU", "zežloutnout (v-w12058_ZUf1_ZU)")</f>
        <v>zežloutnout (v-w12058_ZUf1_ZU)</v>
      </c>
    </row>
    <row r="69159" customFormat="false" ht="12.8" hidden="false" customHeight="false" outlineLevel="0" collapsed="false">
      <c r="B69159" s="0" t="s">
        <v>1</v>
      </c>
    </row>
    <row r="69161" customFormat="false" ht="12.8" hidden="false" customHeight="false" outlineLevel="0" collapsed="false">
      <c r="A69161" s="0" t="s">
        <v>22663</v>
      </c>
      <c r="B69161" s="0" t="str">
        <f aca="false">HYPERLINK("https://lindat.mff.cuni.cz/services/teitok/pdtc10/index.php?action=vallex&amp;frame=v-w9454f1", "zfalšovat (v-w9454f1)")</f>
        <v>zfalšovat (v-w9454f1)</v>
      </c>
      <c r="E69161" s="0" t="str">
        <f aca="false">HYPERLINK("https://lindat.mff.cuni.cz/services/SynSemClass40/SynSemClass40.html?veclass=vec01381#vec01381-ces-cm00003", "vec01381")</f>
        <v>vec01381</v>
      </c>
      <c r="F69161" s="0" t="s">
        <v>4104</v>
      </c>
    </row>
    <row r="69162" customFormat="false" ht="12.8" hidden="false" customHeight="false" outlineLevel="0" collapsed="false">
      <c r="B69162" s="0" t="s">
        <v>1</v>
      </c>
      <c r="C69162" s="0" t="s">
        <v>239</v>
      </c>
      <c r="E69162" s="0" t="s">
        <v>1573</v>
      </c>
      <c r="F69162" s="0" t="s">
        <v>2626</v>
      </c>
    </row>
    <row r="69163" customFormat="false" ht="12.8" hidden="false" customHeight="false" outlineLevel="0" collapsed="false">
      <c r="B69163" s="0" t="s">
        <v>8</v>
      </c>
      <c r="C69163" s="0" t="s">
        <v>4105</v>
      </c>
      <c r="E69163" s="0" t="s">
        <v>142</v>
      </c>
      <c r="F69163" s="0" t="s">
        <v>4106</v>
      </c>
    </row>
    <row r="69165" customFormat="false" ht="12.8" hidden="false" customHeight="false" outlineLevel="0" collapsed="false">
      <c r="A69165" s="0" t="s">
        <v>22664</v>
      </c>
      <c r="B69165" s="0" t="str">
        <f aca="false">HYPERLINK("https://lindat.mff.cuni.cz/services/teitok/pdtc10/index.php?action=vallex&amp;frame=v-w12375_MMf1_MM", "zfanatizovat (v-w12375_MMf1_MM)")</f>
        <v>zfanatizovat (v-w12375_MMf1_MM)</v>
      </c>
    </row>
    <row r="69166" customFormat="false" ht="12.8" hidden="false" customHeight="false" outlineLevel="0" collapsed="false">
      <c r="B69166" s="0" t="s">
        <v>1</v>
      </c>
    </row>
    <row r="69167" customFormat="false" ht="12.8" hidden="false" customHeight="false" outlineLevel="0" collapsed="false">
      <c r="B69167" s="0" t="s">
        <v>8</v>
      </c>
    </row>
    <row r="69169" customFormat="false" ht="12.8" hidden="false" customHeight="false" outlineLevel="0" collapsed="false">
      <c r="A69169" s="0" t="s">
        <v>22665</v>
      </c>
      <c r="B69169" s="0" t="str">
        <f aca="false">HYPERLINK("https://lindat.mff.cuni.cz/services/teitok/pdtc10/index.php?action=vallex&amp;frame=v-w9455f1", "zfilmovat (v-w9455f1)")</f>
        <v>zfilmovat (v-w9455f1)</v>
      </c>
    </row>
    <row r="69170" customFormat="false" ht="12.8" hidden="false" customHeight="false" outlineLevel="0" collapsed="false">
      <c r="B69170" s="0" t="s">
        <v>1</v>
      </c>
    </row>
    <row r="69171" customFormat="false" ht="12.8" hidden="false" customHeight="false" outlineLevel="0" collapsed="false">
      <c r="B69171" s="0" t="s">
        <v>8</v>
      </c>
    </row>
    <row r="69173" customFormat="false" ht="12.8" hidden="false" customHeight="false" outlineLevel="0" collapsed="false">
      <c r="A69173" s="0" t="s">
        <v>22666</v>
      </c>
      <c r="B69173" s="0" t="str">
        <f aca="false">HYPERLINK("https://lindat.mff.cuni.cz/services/teitok/pdtc10/index.php?action=vallex&amp;frame=v-w9457f2_ZU", "zformovat (v-w9457f2_ZU)")</f>
        <v>zformovat (v-w9457f2_ZU)</v>
      </c>
    </row>
    <row r="69174" customFormat="false" ht="12.8" hidden="false" customHeight="false" outlineLevel="0" collapsed="false">
      <c r="B69174" s="0" t="s">
        <v>1</v>
      </c>
    </row>
    <row r="69175" customFormat="false" ht="12.8" hidden="false" customHeight="false" outlineLevel="0" collapsed="false">
      <c r="B69175" s="0" t="s">
        <v>8</v>
      </c>
    </row>
    <row r="69176" customFormat="false" ht="12.8" hidden="false" customHeight="false" outlineLevel="0" collapsed="false">
      <c r="B69176" s="0" t="s">
        <v>3026</v>
      </c>
    </row>
    <row r="69178" customFormat="false" ht="12.8" hidden="false" customHeight="false" outlineLevel="0" collapsed="false">
      <c r="A69178" s="0" t="s">
        <v>22666</v>
      </c>
      <c r="B69178" s="0" t="str">
        <f aca="false">HYPERLINK("https://lindat.mff.cuni.cz/services/teitok/pdtc10/index.php?action=vallex&amp;frame=v-w9457f1", "zformovat (v-w9457f1) - substituted with v-w9457f2_ZU")</f>
        <v>zformovat (v-w9457f1) - substituted with v-w9457f2_ZU</v>
      </c>
    </row>
    <row r="69179" customFormat="false" ht="12.8" hidden="false" customHeight="false" outlineLevel="0" collapsed="false">
      <c r="B69179" s="0" t="s">
        <v>1</v>
      </c>
    </row>
    <row r="69180" customFormat="false" ht="12.8" hidden="false" customHeight="false" outlineLevel="0" collapsed="false">
      <c r="B69180" s="0" t="s">
        <v>8</v>
      </c>
    </row>
    <row r="69181" customFormat="false" ht="12.8" hidden="false" customHeight="false" outlineLevel="0" collapsed="false">
      <c r="B69181" s="0" t="s">
        <v>3026</v>
      </c>
    </row>
    <row r="69183" customFormat="false" ht="12.8" hidden="false" customHeight="false" outlineLevel="0" collapsed="false">
      <c r="A69183" s="0" t="s">
        <v>22667</v>
      </c>
      <c r="B69183" s="0" t="str">
        <f aca="false">HYPERLINK("https://lindat.mff.cuni.cz/services/teitok/pdtc10/index.php?action=vallex&amp;frame=v-w9458f1", "zformovat se (v-w9458f1)")</f>
        <v>zformovat se (v-w9458f1)</v>
      </c>
    </row>
    <row r="69184" customFormat="false" ht="12.8" hidden="false" customHeight="false" outlineLevel="0" collapsed="false">
      <c r="B69184" s="0" t="s">
        <v>1</v>
      </c>
    </row>
    <row r="69185" customFormat="false" ht="12.8" hidden="false" customHeight="false" outlineLevel="0" collapsed="false">
      <c r="B69185" s="0" t="s">
        <v>763</v>
      </c>
    </row>
    <row r="69187" customFormat="false" ht="12.8" hidden="false" customHeight="false" outlineLevel="0" collapsed="false">
      <c r="A69187" s="0" t="s">
        <v>22668</v>
      </c>
      <c r="B69187" s="0" t="str">
        <f aca="false">HYPERLINK("https://lindat.mff.cuni.cz/services/teitok/pdtc10/index.php?action=vallex&amp;frame=v-w9459f1", "zformulovat (v-w9459f1)")</f>
        <v>zformulovat (v-w9459f1)</v>
      </c>
      <c r="E69187" s="0" t="str">
        <f aca="false">HYPERLINK("https://lindat.mff.cuni.cz/services/SynSemClass40/SynSemClass40.html?veclass=vec00784#vec00784-ces-cm00001", "vec00784")</f>
        <v>vec00784</v>
      </c>
      <c r="F69187" s="0" t="s">
        <v>4173</v>
      </c>
    </row>
    <row r="69188" customFormat="false" ht="12.8" hidden="false" customHeight="false" outlineLevel="0" collapsed="false">
      <c r="B69188" s="0" t="s">
        <v>1</v>
      </c>
      <c r="C69188" s="0" t="s">
        <v>3375</v>
      </c>
      <c r="E69188" s="0" t="s">
        <v>63</v>
      </c>
      <c r="F69188" s="0" t="s">
        <v>4174</v>
      </c>
    </row>
    <row r="69189" customFormat="false" ht="12.8" hidden="false" customHeight="false" outlineLevel="0" collapsed="false">
      <c r="B69189" s="0" t="s">
        <v>8</v>
      </c>
      <c r="C69189" s="0" t="s">
        <v>1388</v>
      </c>
      <c r="E69189" s="0" t="s">
        <v>50</v>
      </c>
      <c r="F69189" s="0" t="s">
        <v>4175</v>
      </c>
    </row>
    <row r="69191" customFormat="false" ht="12.8" hidden="false" customHeight="false" outlineLevel="0" collapsed="false">
      <c r="A69191" s="0" t="s">
        <v>22669</v>
      </c>
      <c r="B69191" s="0" t="str">
        <f aca="false">HYPERLINK("https://lindat.mff.cuni.cz/services/teitok/pdtc10/index.php?action=vallex&amp;frame=v-w9460f1", "zhanobit (v-w9460f1)")</f>
        <v>zhanobit (v-w9460f1)</v>
      </c>
    </row>
    <row r="69192" customFormat="false" ht="12.8" hidden="false" customHeight="false" outlineLevel="0" collapsed="false">
      <c r="B69192" s="0" t="s">
        <v>1</v>
      </c>
    </row>
    <row r="69193" customFormat="false" ht="12.8" hidden="false" customHeight="false" outlineLevel="0" collapsed="false">
      <c r="B69193" s="0" t="s">
        <v>8</v>
      </c>
    </row>
    <row r="69195" customFormat="false" ht="12.8" hidden="false" customHeight="false" outlineLevel="0" collapsed="false">
      <c r="A69195" s="0" t="s">
        <v>22670</v>
      </c>
      <c r="B69195" s="0" t="str">
        <f aca="false">HYPERLINK("https://lindat.mff.cuni.cz/services/teitok/pdtc10/index.php?action=vallex&amp;frame=v-w9461f2", "zhasnout (v-w9461f2)")</f>
        <v>zhasnout (v-w9461f2)</v>
      </c>
    </row>
    <row r="69196" customFormat="false" ht="12.8" hidden="false" customHeight="false" outlineLevel="0" collapsed="false">
      <c r="B69196" s="0" t="s">
        <v>1</v>
      </c>
    </row>
    <row r="69197" customFormat="false" ht="12.8" hidden="false" customHeight="false" outlineLevel="0" collapsed="false">
      <c r="B69197" s="0" t="s">
        <v>8</v>
      </c>
    </row>
    <row r="69199" customFormat="false" ht="12.8" hidden="false" customHeight="false" outlineLevel="0" collapsed="false">
      <c r="A69199" s="0" t="s">
        <v>22671</v>
      </c>
      <c r="B69199" s="0" t="str">
        <f aca="false">HYPERLINK("https://lindat.mff.cuni.cz/services/teitok/pdtc10/index.php?action=vallex&amp;frame=v-w9461f1", "zhasnout (v-w9461f1)")</f>
        <v>zhasnout (v-w9461f1)</v>
      </c>
      <c r="E69199" s="0" t="str">
        <f aca="false">HYPERLINK("https://lindat.mff.cuni.cz/services/SynSemClass40/SynSemClass40.html?veclass=vec00113#vec00113-ces-cm00348", "vec00113")</f>
        <v>vec00113</v>
      </c>
      <c r="F69199" s="0" t="s">
        <v>2122</v>
      </c>
    </row>
    <row r="69200" customFormat="false" ht="12.8" hidden="false" customHeight="false" outlineLevel="0" collapsed="false">
      <c r="B69200" s="0" t="s">
        <v>1</v>
      </c>
      <c r="C69200" s="0" t="s">
        <v>4146</v>
      </c>
      <c r="E69200" s="0" t="s">
        <v>1084</v>
      </c>
      <c r="F69200" s="0" t="s">
        <v>2124</v>
      </c>
    </row>
    <row r="69202" customFormat="false" ht="12.8" hidden="false" customHeight="false" outlineLevel="0" collapsed="false">
      <c r="A69202" s="0" t="s">
        <v>22672</v>
      </c>
      <c r="B69202" s="0" t="str">
        <f aca="false">HYPERLINK("https://lindat.mff.cuni.cz/services/teitok/pdtc10/index.php?action=vallex&amp;frame=v-w9461hsa_1803", "zhasnout (v-w9461hsa_1803)")</f>
        <v>zhasnout (v-w9461hsa_1803)</v>
      </c>
    </row>
    <row r="69203" customFormat="false" ht="12.8" hidden="false" customHeight="false" outlineLevel="0" collapsed="false">
      <c r="B69203" s="0" t="s">
        <v>1</v>
      </c>
    </row>
    <row r="69205" customFormat="false" ht="12.8" hidden="false" customHeight="false" outlineLevel="0" collapsed="false">
      <c r="A69205" s="0" t="s">
        <v>22673</v>
      </c>
      <c r="B69205" s="0" t="str">
        <f aca="false">HYPERLINK("https://lindat.mff.cuni.cz/services/teitok/pdtc10/index.php?action=vallex&amp;frame=v-w12387_MMf1_MM", "zhasnout se (v-w12387_MMf1_MM)")</f>
        <v>zhasnout se (v-w12387_MMf1_MM)</v>
      </c>
    </row>
    <row r="69206" customFormat="false" ht="12.8" hidden="false" customHeight="false" outlineLevel="0" collapsed="false">
      <c r="B69206" s="0" t="s">
        <v>1</v>
      </c>
    </row>
    <row r="69208" customFormat="false" ht="12.8" hidden="false" customHeight="false" outlineLevel="0" collapsed="false">
      <c r="A69208" s="0" t="s">
        <v>22674</v>
      </c>
      <c r="B69208" s="0" t="str">
        <f aca="false">HYPERLINK("https://lindat.mff.cuni.cz/services/teitok/pdtc10/index.php?action=vallex&amp;frame=v-w10174f2", "zhasínat (v-w10174f2)")</f>
        <v>zhasínat (v-w10174f2)</v>
      </c>
    </row>
    <row r="69209" customFormat="false" ht="12.8" hidden="false" customHeight="false" outlineLevel="0" collapsed="false">
      <c r="B69209" s="0" t="s">
        <v>1</v>
      </c>
    </row>
    <row r="69210" customFormat="false" ht="12.8" hidden="false" customHeight="false" outlineLevel="0" collapsed="false">
      <c r="B69210" s="0" t="s">
        <v>8</v>
      </c>
    </row>
    <row r="69212" customFormat="false" ht="12.8" hidden="false" customHeight="false" outlineLevel="0" collapsed="false">
      <c r="A69212" s="0" t="s">
        <v>22675</v>
      </c>
      <c r="B69212" s="0" t="str">
        <f aca="false">HYPERLINK("https://lindat.mff.cuni.cz/services/teitok/pdtc10/index.php?action=vallex&amp;frame=v-w10888f3_MM", "zhatit (v-w10888f3_MM)")</f>
        <v>zhatit (v-w10888f3_MM)</v>
      </c>
    </row>
    <row r="69213" customFormat="false" ht="12.8" hidden="false" customHeight="false" outlineLevel="0" collapsed="false">
      <c r="B69213" s="0" t="s">
        <v>1</v>
      </c>
    </row>
    <row r="69214" customFormat="false" ht="12.8" hidden="false" customHeight="false" outlineLevel="0" collapsed="false">
      <c r="B69214" s="0" t="s">
        <v>4687</v>
      </c>
    </row>
    <row r="69215" customFormat="false" ht="12.8" hidden="false" customHeight="false" outlineLevel="0" collapsed="false">
      <c r="B69215" s="0" t="s">
        <v>132</v>
      </c>
    </row>
    <row r="69217" customFormat="false" ht="12.8" hidden="false" customHeight="false" outlineLevel="0" collapsed="false">
      <c r="A69217" s="0" t="s">
        <v>22675</v>
      </c>
      <c r="B69217" s="0" t="str">
        <f aca="false">HYPERLINK("https://lindat.mff.cuni.cz/services/teitok/pdtc10/index.php?action=vallex&amp;frame=v-w10888f2", "zhatit (v-w10888f2) - substituted with v-w10888f3_MM")</f>
        <v>zhatit (v-w10888f2) - substituted with v-w10888f3_MM</v>
      </c>
      <c r="E69217" s="0" t="str">
        <f aca="false">HYPERLINK("https://lindat.mff.cuni.cz/services/SynSemClass40/SynSemClass40.html?veclass=vec00174#vec00174-ces-cm00068", "vec00174")</f>
        <v>vec00174</v>
      </c>
      <c r="F69217" s="0" t="s">
        <v>325</v>
      </c>
    </row>
    <row r="69218" customFormat="false" ht="12.8" hidden="false" customHeight="false" outlineLevel="0" collapsed="false">
      <c r="B69218" s="0" t="s">
        <v>1</v>
      </c>
      <c r="C69218" s="0" t="s">
        <v>326</v>
      </c>
      <c r="E69218" s="0" t="s">
        <v>76</v>
      </c>
      <c r="F69218" s="0" t="s">
        <v>327</v>
      </c>
    </row>
    <row r="69219" customFormat="false" ht="12.8" hidden="false" customHeight="false" outlineLevel="0" collapsed="false">
      <c r="B69219" s="0" t="s">
        <v>4687</v>
      </c>
      <c r="C69219" s="0" t="s">
        <v>328</v>
      </c>
      <c r="E69219" s="0" t="s">
        <v>188</v>
      </c>
      <c r="F69219" s="0" t="s">
        <v>329</v>
      </c>
    </row>
    <row r="69220" customFormat="false" ht="12.8" hidden="false" customHeight="false" outlineLevel="0" collapsed="false">
      <c r="B69220" s="0" t="s">
        <v>132</v>
      </c>
    </row>
    <row r="69222" customFormat="false" ht="12.8" hidden="false" customHeight="false" outlineLevel="0" collapsed="false">
      <c r="A69222" s="0" t="s">
        <v>22676</v>
      </c>
      <c r="B69222" s="0" t="str">
        <f aca="false">HYPERLINK("https://lindat.mff.cuni.cz/services/teitok/pdtc10/index.php?action=vallex&amp;frame=v-w9462f1", "zhlavovat (v-w9462f1)")</f>
        <v>zhlavovat (v-w9462f1)</v>
      </c>
    </row>
    <row r="69223" customFormat="false" ht="12.8" hidden="false" customHeight="false" outlineLevel="0" collapsed="false">
      <c r="B69223" s="0" t="s">
        <v>1</v>
      </c>
    </row>
    <row r="69224" customFormat="false" ht="12.8" hidden="false" customHeight="false" outlineLevel="0" collapsed="false">
      <c r="B69224" s="0" t="s">
        <v>8</v>
      </c>
    </row>
    <row r="69226" customFormat="false" ht="12.8" hidden="false" customHeight="false" outlineLevel="0" collapsed="false">
      <c r="A69226" s="0" t="s">
        <v>22677</v>
      </c>
      <c r="B69226" s="0" t="str">
        <f aca="false">HYPERLINK("https://lindat.mff.cuni.cz/services/teitok/pdtc10/index.php?action=vallex&amp;frame=v-w9463f3_ZU", "zhlédnout (v-w9463f3_ZU)")</f>
        <v>zhlédnout (v-w9463f3_ZU)</v>
      </c>
      <c r="E69226" s="0" t="str">
        <f aca="false">HYPERLINK("https://lindat.mff.cuni.cz/services/SynSemClass40/SynSemClass40.html?veclass=vec00154#vec00154-ces-cm00096", "vec00154")</f>
        <v>vec00154</v>
      </c>
      <c r="F69226" s="0" t="s">
        <v>11901</v>
      </c>
    </row>
    <row r="69227" customFormat="false" ht="12.8" hidden="false" customHeight="false" outlineLevel="0" collapsed="false">
      <c r="B69227" s="0" t="s">
        <v>1</v>
      </c>
      <c r="C69227" s="0" t="s">
        <v>16248</v>
      </c>
      <c r="E69227" s="0" t="s">
        <v>637</v>
      </c>
      <c r="F69227" s="0" t="s">
        <v>11904</v>
      </c>
    </row>
    <row r="69228" customFormat="false" ht="12.8" hidden="false" customHeight="false" outlineLevel="0" collapsed="false">
      <c r="B69228" s="0" t="s">
        <v>8</v>
      </c>
      <c r="C69228" s="0" t="s">
        <v>16249</v>
      </c>
      <c r="E69228" s="0" t="s">
        <v>640</v>
      </c>
      <c r="F69228" s="0" t="s">
        <v>11908</v>
      </c>
    </row>
    <row r="69230" customFormat="false" ht="12.8" hidden="false" customHeight="false" outlineLevel="0" collapsed="false">
      <c r="A69230" s="0" t="s">
        <v>22677</v>
      </c>
      <c r="B69230" s="0" t="str">
        <f aca="false">HYPERLINK("https://lindat.mff.cuni.cz/services/teitok/pdtc10/index.php?action=vallex&amp;frame=v-w9463f1", "zhlédnout (v-w9463f1) - substituted with v-w9463f3_ZU")</f>
        <v>zhlédnout (v-w9463f1) - substituted with v-w9463f3_ZU</v>
      </c>
    </row>
    <row r="69231" customFormat="false" ht="12.8" hidden="false" customHeight="false" outlineLevel="0" collapsed="false">
      <c r="B69231" s="0" t="s">
        <v>1</v>
      </c>
    </row>
    <row r="69232" customFormat="false" ht="12.8" hidden="false" customHeight="false" outlineLevel="0" collapsed="false">
      <c r="B69232" s="0" t="s">
        <v>8</v>
      </c>
    </row>
    <row r="69234" customFormat="false" ht="12.8" hidden="false" customHeight="false" outlineLevel="0" collapsed="false">
      <c r="A69234" s="0" t="s">
        <v>22678</v>
      </c>
      <c r="B69234" s="0" t="str">
        <f aca="false">HYPERLINK("https://lindat.mff.cuni.cz/services/teitok/pdtc10/index.php?action=vallex&amp;frame=v-w9463f2", "zhlédnout (v-w9463f2)")</f>
        <v>zhlédnout (v-w9463f2)</v>
      </c>
    </row>
    <row r="69235" customFormat="false" ht="12.8" hidden="false" customHeight="false" outlineLevel="0" collapsed="false">
      <c r="B69235" s="0" t="s">
        <v>1</v>
      </c>
    </row>
    <row r="69236" customFormat="false" ht="12.8" hidden="false" customHeight="false" outlineLevel="0" collapsed="false">
      <c r="B69236" s="0" t="s">
        <v>8</v>
      </c>
    </row>
    <row r="69238" customFormat="false" ht="12.8" hidden="false" customHeight="false" outlineLevel="0" collapsed="false">
      <c r="A69238" s="0" t="s">
        <v>22679</v>
      </c>
      <c r="B69238" s="0" t="str">
        <f aca="false">HYPERLINK("https://lindat.mff.cuni.cz/services/teitok/pdtc10/index.php?action=vallex&amp;frame=v-w9465f1", "zhlížet se (v-w9465f1)")</f>
        <v>zhlížet se (v-w9465f1)</v>
      </c>
    </row>
    <row r="69239" customFormat="false" ht="12.8" hidden="false" customHeight="false" outlineLevel="0" collapsed="false">
      <c r="B69239" s="0" t="s">
        <v>1</v>
      </c>
    </row>
    <row r="69240" customFormat="false" ht="12.8" hidden="false" customHeight="false" outlineLevel="0" collapsed="false">
      <c r="B69240" s="0" t="s">
        <v>536</v>
      </c>
    </row>
    <row r="69242" customFormat="false" ht="12.8" hidden="false" customHeight="false" outlineLevel="0" collapsed="false">
      <c r="A69242" s="0" t="s">
        <v>22680</v>
      </c>
      <c r="B69242" s="0" t="str">
        <f aca="false">HYPERLINK("https://lindat.mff.cuni.cz/services/teitok/pdtc10/index.php?action=vallex&amp;frame=v-w10777f2", "zhmotnit (v-w10777f2)")</f>
        <v>zhmotnit (v-w10777f2)</v>
      </c>
    </row>
    <row r="69243" customFormat="false" ht="12.8" hidden="false" customHeight="false" outlineLevel="0" collapsed="false">
      <c r="B69243" s="0" t="s">
        <v>1</v>
      </c>
    </row>
    <row r="69244" customFormat="false" ht="12.8" hidden="false" customHeight="false" outlineLevel="0" collapsed="false">
      <c r="B69244" s="0" t="s">
        <v>8</v>
      </c>
    </row>
    <row r="69246" customFormat="false" ht="12.8" hidden="false" customHeight="false" outlineLevel="0" collapsed="false">
      <c r="A69246" s="0" t="s">
        <v>22681</v>
      </c>
      <c r="B69246" s="0" t="str">
        <f aca="false">HYPERLINK("https://lindat.mff.cuni.cz/services/teitok/pdtc10/index.php?action=vallex&amp;frame=v-w9466f1", "zhmotňovat se (v-w9466f1)")</f>
        <v>zhmotňovat se (v-w9466f1)</v>
      </c>
    </row>
    <row r="69247" customFormat="false" ht="12.8" hidden="false" customHeight="false" outlineLevel="0" collapsed="false">
      <c r="B69247" s="0" t="s">
        <v>1</v>
      </c>
    </row>
    <row r="69249" customFormat="false" ht="12.8" hidden="false" customHeight="false" outlineLevel="0" collapsed="false">
      <c r="A69249" s="0" t="s">
        <v>22682</v>
      </c>
      <c r="B69249" s="0" t="str">
        <f aca="false">HYPERLINK("https://lindat.mff.cuni.cz/services/teitok/pdtc10/index.php?action=vallex&amp;frame=v-w9468f1", "zhodnocovat (v-w9468f1)")</f>
        <v>zhodnocovat (v-w9468f1)</v>
      </c>
      <c r="E69249" s="0" t="str">
        <f aca="false">HYPERLINK("https://lindat.mff.cuni.cz/services/SynSemClass40/SynSemClass40.html?veclass=vec00159#vec00159-ces-cm00093", "vec00159")</f>
        <v>vec00159</v>
      </c>
      <c r="F69249" s="0" t="s">
        <v>4454</v>
      </c>
    </row>
    <row r="69250" customFormat="false" ht="12.8" hidden="false" customHeight="false" outlineLevel="0" collapsed="false">
      <c r="B69250" s="0" t="s">
        <v>1</v>
      </c>
      <c r="C69250" s="0" t="s">
        <v>4134</v>
      </c>
      <c r="E69250" s="0" t="s">
        <v>4455</v>
      </c>
      <c r="F69250" s="0" t="s">
        <v>4456</v>
      </c>
    </row>
    <row r="69251" customFormat="false" ht="12.8" hidden="false" customHeight="false" outlineLevel="0" collapsed="false">
      <c r="B69251" s="0" t="s">
        <v>1838</v>
      </c>
      <c r="C69251" s="0" t="s">
        <v>2380</v>
      </c>
      <c r="E69251" s="0" t="s">
        <v>180</v>
      </c>
      <c r="F69251" s="0" t="s">
        <v>4457</v>
      </c>
    </row>
    <row r="69253" customFormat="false" ht="12.8" hidden="false" customHeight="false" outlineLevel="0" collapsed="false">
      <c r="A69253" s="0" t="s">
        <v>22683</v>
      </c>
      <c r="B69253" s="0" t="str">
        <f aca="false">HYPERLINK("https://lindat.mff.cuni.cz/services/teitok/pdtc10/index.php?action=vallex&amp;frame=v-whsa_172f1_ZU", "zhodnocovat se (v-whsa_172f1_ZU)")</f>
        <v>zhodnocovat se (v-whsa_172f1_ZU)</v>
      </c>
    </row>
    <row r="69254" customFormat="false" ht="12.8" hidden="false" customHeight="false" outlineLevel="0" collapsed="false">
      <c r="B69254" s="0" t="s">
        <v>1</v>
      </c>
    </row>
    <row r="69255" customFormat="false" ht="12.8" hidden="false" customHeight="false" outlineLevel="0" collapsed="false">
      <c r="B69255" s="0" t="s">
        <v>69</v>
      </c>
    </row>
    <row r="69257" customFormat="false" ht="12.8" hidden="false" customHeight="false" outlineLevel="0" collapsed="false">
      <c r="A69257" s="0" t="s">
        <v>22683</v>
      </c>
      <c r="B69257" s="0" t="str">
        <f aca="false">HYPERLINK("https://lindat.mff.cuni.cz/services/teitok/pdtc10/index.php?action=vallex&amp;frame=v-whsa_172hsa_173", "zhodnocovat se (v-whsa_172hsa_173) - substituted with v-whsa_172f1_ZU")</f>
        <v>zhodnocovat se (v-whsa_172hsa_173) - substituted with v-whsa_172f1_ZU</v>
      </c>
    </row>
    <row r="69258" customFormat="false" ht="12.8" hidden="false" customHeight="false" outlineLevel="0" collapsed="false">
      <c r="B69258" s="0" t="s">
        <v>1</v>
      </c>
    </row>
    <row r="69259" customFormat="false" ht="12.8" hidden="false" customHeight="false" outlineLevel="0" collapsed="false">
      <c r="B69259" s="0" t="s">
        <v>69</v>
      </c>
    </row>
    <row r="69261" customFormat="false" ht="12.8" hidden="false" customHeight="false" outlineLevel="0" collapsed="false">
      <c r="A69261" s="0" t="s">
        <v>22684</v>
      </c>
      <c r="B69261" s="0" t="str">
        <f aca="false">HYPERLINK("https://lindat.mff.cuni.cz/services/teitok/pdtc10/index.php?action=vallex&amp;frame=v-w9469f2", "zhodnotit (v-w9469f2)")</f>
        <v>zhodnotit (v-w9469f2)</v>
      </c>
    </row>
    <row r="69262" customFormat="false" ht="12.8" hidden="false" customHeight="false" outlineLevel="0" collapsed="false">
      <c r="B69262" s="0" t="s">
        <v>1</v>
      </c>
    </row>
    <row r="69263" customFormat="false" ht="12.8" hidden="false" customHeight="false" outlineLevel="0" collapsed="false">
      <c r="B69263" s="0" t="s">
        <v>8</v>
      </c>
    </row>
    <row r="69264" customFormat="false" ht="12.8" hidden="false" customHeight="false" outlineLevel="0" collapsed="false">
      <c r="B69264" s="0" t="s">
        <v>22685</v>
      </c>
    </row>
    <row r="69266" customFormat="false" ht="12.8" hidden="false" customHeight="false" outlineLevel="0" collapsed="false">
      <c r="A69266" s="0" t="s">
        <v>22686</v>
      </c>
      <c r="B69266" s="0" t="str">
        <f aca="false">HYPERLINK("https://lindat.mff.cuni.cz/services/teitok/pdtc10/index.php?action=vallex&amp;frame=v-w9469f1", "zhodnotit (v-w9469f1)")</f>
        <v>zhodnotit (v-w9469f1)</v>
      </c>
      <c r="E69266" s="0" t="str">
        <f aca="false">HYPERLINK("https://lindat.mff.cuni.cz/services/SynSemClass40/SynSemClass40.html?veclass=vec00090#vec00090-ces-cm00039", "vec00090")</f>
        <v>vec00090</v>
      </c>
      <c r="F69266" s="0" t="s">
        <v>113</v>
      </c>
    </row>
    <row r="69267" customFormat="false" ht="12.8" hidden="false" customHeight="false" outlineLevel="0" collapsed="false">
      <c r="B69267" s="0" t="s">
        <v>1</v>
      </c>
      <c r="C69267" s="0" t="s">
        <v>114</v>
      </c>
      <c r="E69267" s="0" t="s">
        <v>115</v>
      </c>
      <c r="F69267" s="0" t="s">
        <v>116</v>
      </c>
    </row>
    <row r="69268" customFormat="false" ht="12.8" hidden="false" customHeight="false" outlineLevel="0" collapsed="false">
      <c r="B69268" s="0" t="s">
        <v>1838</v>
      </c>
      <c r="C69268" s="0" t="s">
        <v>118</v>
      </c>
      <c r="E69268" s="0" t="s">
        <v>119</v>
      </c>
      <c r="F69268" s="0" t="s">
        <v>120</v>
      </c>
    </row>
    <row r="69270" customFormat="false" ht="12.8" hidden="false" customHeight="false" outlineLevel="0" collapsed="false">
      <c r="A69270" s="0" t="s">
        <v>22687</v>
      </c>
      <c r="B69270" s="0" t="str">
        <f aca="false">HYPERLINK("https://lindat.mff.cuni.cz/services/teitok/pdtc10/index.php?action=vallex&amp;frame=v-w9469f3_ZU", "zhodnotit (v-w9469f3_ZU)")</f>
        <v>zhodnotit (v-w9469f3_ZU)</v>
      </c>
    </row>
    <row r="69271" customFormat="false" ht="12.8" hidden="false" customHeight="false" outlineLevel="0" collapsed="false">
      <c r="B69271" s="0" t="s">
        <v>1</v>
      </c>
    </row>
    <row r="69272" customFormat="false" ht="12.8" hidden="false" customHeight="false" outlineLevel="0" collapsed="false">
      <c r="B69272" s="0" t="s">
        <v>69</v>
      </c>
    </row>
    <row r="69274" customFormat="false" ht="12.8" hidden="false" customHeight="false" outlineLevel="0" collapsed="false">
      <c r="A69274" s="0" t="s">
        <v>22688</v>
      </c>
      <c r="B69274" s="0" t="str">
        <f aca="false">HYPERLINK("https://lindat.mff.cuni.cz/services/teitok/pdtc10/index.php?action=vallex&amp;frame=v-whsa_352hsa_353", "zhodnotit se (v-whsa_352hsa_353)")</f>
        <v>zhodnotit se (v-whsa_352hsa_353)</v>
      </c>
    </row>
    <row r="69275" customFormat="false" ht="12.8" hidden="false" customHeight="false" outlineLevel="0" collapsed="false">
      <c r="B69275" s="0" t="s">
        <v>1</v>
      </c>
    </row>
    <row r="69276" customFormat="false" ht="12.8" hidden="false" customHeight="false" outlineLevel="0" collapsed="false">
      <c r="B69276" s="0" t="s">
        <v>69</v>
      </c>
    </row>
    <row r="69278" customFormat="false" ht="12.8" hidden="false" customHeight="false" outlineLevel="0" collapsed="false">
      <c r="A69278" s="0" t="s">
        <v>22689</v>
      </c>
      <c r="B69278" s="0" t="str">
        <f aca="false">HYPERLINK("https://lindat.mff.cuni.cz/services/teitok/pdtc10/index.php?action=vallex&amp;frame=v-whsa_999hsa_1000", "zhojit (v-whsa_999hsa_1000)")</f>
        <v>zhojit (v-whsa_999hsa_1000)</v>
      </c>
      <c r="E69278" s="0" t="str">
        <f aca="false">HYPERLINK("https://lindat.mff.cuni.cz/services/SynSemClass40/SynSemClass40.html?veclass=vec00356#vec00356-ces-cm00035", "vec00356")</f>
        <v>vec00356</v>
      </c>
      <c r="F69278" s="0" t="s">
        <v>5457</v>
      </c>
    </row>
    <row r="69279" customFormat="false" ht="12.8" hidden="false" customHeight="false" outlineLevel="0" collapsed="false">
      <c r="B69279" s="0" t="s">
        <v>1</v>
      </c>
      <c r="C69279" s="0" t="s">
        <v>5458</v>
      </c>
      <c r="E69279" s="0" t="s">
        <v>84</v>
      </c>
      <c r="F69279" s="0" t="s">
        <v>5459</v>
      </c>
    </row>
    <row r="69280" customFormat="false" ht="12.8" hidden="false" customHeight="false" outlineLevel="0" collapsed="false">
      <c r="B69280" s="0" t="s">
        <v>8</v>
      </c>
      <c r="C69280" s="0" t="s">
        <v>5460</v>
      </c>
      <c r="E69280" s="0" t="s">
        <v>4852</v>
      </c>
      <c r="F69280" s="0" t="s">
        <v>5461</v>
      </c>
    </row>
    <row r="69282" customFormat="false" ht="12.8" hidden="false" customHeight="false" outlineLevel="0" collapsed="false">
      <c r="A69282" s="0" t="s">
        <v>22690</v>
      </c>
      <c r="B69282" s="0" t="str">
        <f aca="false">HYPERLINK("https://lindat.mff.cuni.cz/services/teitok/pdtc10/index.php?action=vallex&amp;frame=v-w9471f1", "zhoršit (v-w9471f1)")</f>
        <v>zhoršit (v-w9471f1)</v>
      </c>
      <c r="E69282" s="0" t="str">
        <f aca="false">HYPERLINK("https://lindat.mff.cuni.cz/services/SynSemClass40/SynSemClass40.html?veclass=vec00785#vec00785-ces-cm00001", "vec00785")</f>
        <v>vec00785</v>
      </c>
      <c r="F69282" s="0" t="s">
        <v>5463</v>
      </c>
    </row>
    <row r="69283" customFormat="false" ht="12.8" hidden="false" customHeight="false" outlineLevel="0" collapsed="false">
      <c r="B69283" s="0" t="s">
        <v>1</v>
      </c>
      <c r="C69283" s="0" t="s">
        <v>12308</v>
      </c>
      <c r="E69283" s="0" t="s">
        <v>76</v>
      </c>
      <c r="F69283" s="0" t="s">
        <v>5466</v>
      </c>
    </row>
    <row r="69284" customFormat="false" ht="12.8" hidden="false" customHeight="false" outlineLevel="0" collapsed="false">
      <c r="B69284" s="0" t="s">
        <v>8</v>
      </c>
      <c r="C69284" s="0" t="s">
        <v>12309</v>
      </c>
      <c r="E69284" s="0" t="s">
        <v>142</v>
      </c>
      <c r="F69284" s="0" t="s">
        <v>5469</v>
      </c>
    </row>
    <row r="69286" customFormat="false" ht="12.8" hidden="false" customHeight="false" outlineLevel="0" collapsed="false">
      <c r="A69286" s="0" t="s">
        <v>22691</v>
      </c>
      <c r="B69286" s="0" t="str">
        <f aca="false">HYPERLINK("https://lindat.mff.cuni.cz/services/teitok/pdtc10/index.php?action=vallex&amp;frame=v-w9472f1", "zhoršit se (v-w9472f1)")</f>
        <v>zhoršit se (v-w9472f1)</v>
      </c>
      <c r="E69286" s="0" t="str">
        <f aca="false">HYPERLINK("https://lindat.mff.cuni.cz/services/SynSemClass40/SynSemClass40.html?veclass=vec00786#vec00786-ces-cm00001", "vec00786")</f>
        <v>vec00786</v>
      </c>
      <c r="F69286" s="0" t="s">
        <v>4519</v>
      </c>
    </row>
    <row r="69287" customFormat="false" ht="12.8" hidden="false" customHeight="false" outlineLevel="0" collapsed="false">
      <c r="B69287" s="0" t="s">
        <v>1</v>
      </c>
      <c r="C69287" s="0" t="s">
        <v>22692</v>
      </c>
      <c r="E69287" s="0" t="s">
        <v>957</v>
      </c>
      <c r="F69287" s="0" t="s">
        <v>4521</v>
      </c>
    </row>
    <row r="69289" customFormat="false" ht="12.8" hidden="false" customHeight="false" outlineLevel="0" collapsed="false">
      <c r="A69289" s="0" t="s">
        <v>22693</v>
      </c>
      <c r="B69289" s="0" t="str">
        <f aca="false">HYPERLINK("https://lindat.mff.cuni.cz/services/teitok/pdtc10/index.php?action=vallex&amp;frame=v-w9474f1", "zhoršovat (v-w9474f1)")</f>
        <v>zhoršovat (v-w9474f1)</v>
      </c>
      <c r="E69289" s="0" t="str">
        <f aca="false">HYPERLINK("https://lindat.mff.cuni.cz/services/SynSemClass40/SynSemClass40.html?veclass=vec00785#vec00785-ces-cm00045", "vec00785")</f>
        <v>vec00785</v>
      </c>
      <c r="F69289" s="0" t="s">
        <v>5463</v>
      </c>
    </row>
    <row r="69290" customFormat="false" ht="12.8" hidden="false" customHeight="false" outlineLevel="0" collapsed="false">
      <c r="B69290" s="0" t="s">
        <v>1</v>
      </c>
      <c r="C69290" s="0" t="s">
        <v>12308</v>
      </c>
      <c r="E69290" s="0" t="s">
        <v>76</v>
      </c>
      <c r="F69290" s="0" t="s">
        <v>5466</v>
      </c>
    </row>
    <row r="69291" customFormat="false" ht="12.8" hidden="false" customHeight="false" outlineLevel="0" collapsed="false">
      <c r="B69291" s="0" t="s">
        <v>8</v>
      </c>
      <c r="C69291" s="0" t="s">
        <v>12309</v>
      </c>
      <c r="E69291" s="0" t="s">
        <v>142</v>
      </c>
      <c r="F69291" s="0" t="s">
        <v>5469</v>
      </c>
    </row>
    <row r="69293" customFormat="false" ht="12.8" hidden="false" customHeight="false" outlineLevel="0" collapsed="false">
      <c r="A69293" s="0" t="s">
        <v>22694</v>
      </c>
      <c r="B69293" s="0" t="str">
        <f aca="false">HYPERLINK("https://lindat.mff.cuni.cz/services/teitok/pdtc10/index.php?action=vallex&amp;frame=v-w9475f1", "zhoršovat se (v-w9475f1)")</f>
        <v>zhoršovat se (v-w9475f1)</v>
      </c>
      <c r="E69293" s="0" t="str">
        <f aca="false">HYPERLINK("https://lindat.mff.cuni.cz/services/SynSemClass40/SynSemClass40.html?veclass=vec00786#vec00786-ces-cm00028", "vec00786")</f>
        <v>vec00786</v>
      </c>
      <c r="F69293" s="0" t="s">
        <v>4519</v>
      </c>
    </row>
    <row r="69294" customFormat="false" ht="12.8" hidden="false" customHeight="false" outlineLevel="0" collapsed="false">
      <c r="B69294" s="0" t="s">
        <v>1</v>
      </c>
      <c r="C69294" s="0" t="s">
        <v>22692</v>
      </c>
      <c r="E69294" s="0" t="s">
        <v>957</v>
      </c>
      <c r="F69294" s="0" t="s">
        <v>4521</v>
      </c>
    </row>
    <row r="69296" customFormat="false" ht="12.8" hidden="false" customHeight="false" outlineLevel="0" collapsed="false">
      <c r="A69296" s="0" t="s">
        <v>22695</v>
      </c>
      <c r="B69296" s="0" t="str">
        <f aca="false">HYPERLINK("https://lindat.mff.cuni.cz/services/teitok/pdtc10/index.php?action=vallex&amp;frame=v-whsa_1081hsa_1082", "zhospodárnit (v-whsa_1081hsa_1082)")</f>
        <v>zhospodárnit (v-whsa_1081hsa_1082)</v>
      </c>
      <c r="E69296" s="0" t="str">
        <f aca="false">HYPERLINK("https://lindat.mff.cuni.cz/services/SynSemClass40/SynSemClass40.html?veclass=vec00788#vec00788-ces-cm00008", "vec00788")</f>
        <v>vec00788</v>
      </c>
      <c r="F69296" s="0" t="s">
        <v>22659</v>
      </c>
    </row>
    <row r="69297" customFormat="false" ht="12.8" hidden="false" customHeight="false" outlineLevel="0" collapsed="false">
      <c r="B69297" s="0" t="s">
        <v>1</v>
      </c>
      <c r="C69297" s="0" t="s">
        <v>1752</v>
      </c>
      <c r="E69297" s="0" t="s">
        <v>31</v>
      </c>
      <c r="F69297" s="0" t="s">
        <v>5293</v>
      </c>
    </row>
    <row r="69298" customFormat="false" ht="12.8" hidden="false" customHeight="false" outlineLevel="0" collapsed="false">
      <c r="B69298" s="0" t="s">
        <v>8</v>
      </c>
      <c r="C69298" s="0" t="s">
        <v>5583</v>
      </c>
      <c r="E69298" s="0" t="s">
        <v>34</v>
      </c>
      <c r="F69298" s="0" t="s">
        <v>22660</v>
      </c>
    </row>
    <row r="69300" customFormat="false" ht="12.8" hidden="false" customHeight="false" outlineLevel="0" collapsed="false">
      <c r="A69300" s="0" t="s">
        <v>22696</v>
      </c>
      <c r="B69300" s="0" t="str">
        <f aca="false">HYPERLINK("https://lindat.mff.cuni.cz/services/teitok/pdtc10/index.php?action=vallex&amp;frame=v-w9476f1", "zhostit se (v-w9476f1)")</f>
        <v>zhostit se (v-w9476f1)</v>
      </c>
    </row>
    <row r="69301" customFormat="false" ht="12.8" hidden="false" customHeight="false" outlineLevel="0" collapsed="false">
      <c r="B69301" s="0" t="s">
        <v>1</v>
      </c>
    </row>
    <row r="69302" customFormat="false" ht="12.8" hidden="false" customHeight="false" outlineLevel="0" collapsed="false">
      <c r="B69302" s="0" t="s">
        <v>1289</v>
      </c>
    </row>
    <row r="69304" customFormat="false" ht="12.8" hidden="false" customHeight="false" outlineLevel="0" collapsed="false">
      <c r="A69304" s="0" t="s">
        <v>22697</v>
      </c>
      <c r="B69304" s="0" t="str">
        <f aca="false">HYPERLINK("https://lindat.mff.cuni.cz/services/teitok/pdtc10/index.php?action=vallex&amp;frame=v-w9478f1", "zhotovit (v-w9478f1)")</f>
        <v>zhotovit (v-w9478f1)</v>
      </c>
      <c r="E69304" s="0" t="str">
        <f aca="false">HYPERLINK("https://lindat.mff.cuni.cz/services/SynSemClass40/SynSemClass40.html?veclass=vec00084#vec00084-ces-cm00150", "vec00084")</f>
        <v>vec00084</v>
      </c>
      <c r="F69304" s="0" t="s">
        <v>778</v>
      </c>
      <c r="H69304" s="0" t="str">
        <f aca="false">HYPERLINK("https://lindat.mff.cuni.cz/services/SynSemClass40/SynSemClass40.html?veclass=vec00900#vec00900-ces-cm00067", "vec00900")</f>
        <v>vec00900</v>
      </c>
      <c r="I69304" s="0" t="s">
        <v>14431</v>
      </c>
    </row>
    <row r="69305" customFormat="false" ht="12.8" hidden="false" customHeight="false" outlineLevel="0" collapsed="false">
      <c r="B69305" s="0" t="s">
        <v>1</v>
      </c>
      <c r="C69305" s="0" t="s">
        <v>22698</v>
      </c>
      <c r="E69305" s="0" t="s">
        <v>31</v>
      </c>
      <c r="F69305" s="0" t="s">
        <v>781</v>
      </c>
      <c r="H69305" s="0" t="s">
        <v>768</v>
      </c>
      <c r="I69305" s="0" t="s">
        <v>7658</v>
      </c>
    </row>
    <row r="69306" customFormat="false" ht="12.8" hidden="false" customHeight="false" outlineLevel="0" collapsed="false">
      <c r="B69306" s="0" t="s">
        <v>8</v>
      </c>
      <c r="C69306" s="0" t="s">
        <v>22699</v>
      </c>
      <c r="E69306" s="0" t="s">
        <v>771</v>
      </c>
      <c r="F69306" s="0" t="s">
        <v>784</v>
      </c>
      <c r="H69306" s="0" t="s">
        <v>771</v>
      </c>
      <c r="I69306" s="0" t="s">
        <v>1467</v>
      </c>
    </row>
    <row r="69307" customFormat="false" ht="12.8" hidden="false" customHeight="false" outlineLevel="0" collapsed="false">
      <c r="B69307" s="0" t="s">
        <v>36</v>
      </c>
      <c r="C69307" s="0" t="s">
        <v>6350</v>
      </c>
      <c r="E69307" s="0" t="s">
        <v>787</v>
      </c>
      <c r="F69307" s="0" t="s">
        <v>788</v>
      </c>
      <c r="H69307" s="0" t="s">
        <v>787</v>
      </c>
      <c r="I69307" s="0" t="s">
        <v>14435</v>
      </c>
    </row>
    <row r="69309" customFormat="false" ht="12.8" hidden="false" customHeight="false" outlineLevel="0" collapsed="false">
      <c r="A69309" s="0" t="s">
        <v>22700</v>
      </c>
      <c r="B69309" s="0" t="str">
        <f aca="false">HYPERLINK("https://lindat.mff.cuni.cz/services/teitok/pdtc10/index.php?action=vallex&amp;frame=v-w12249_ZUf1_ZU", "zhotovovat (v-w12249_ZUf1_ZU)")</f>
        <v>zhotovovat (v-w12249_ZUf1_ZU)</v>
      </c>
    </row>
    <row r="69310" customFormat="false" ht="12.8" hidden="false" customHeight="false" outlineLevel="0" collapsed="false">
      <c r="B69310" s="0" t="s">
        <v>1</v>
      </c>
    </row>
    <row r="69311" customFormat="false" ht="12.8" hidden="false" customHeight="false" outlineLevel="0" collapsed="false">
      <c r="B69311" s="0" t="s">
        <v>8</v>
      </c>
    </row>
    <row r="69312" customFormat="false" ht="12.8" hidden="false" customHeight="false" outlineLevel="0" collapsed="false">
      <c r="B69312" s="0" t="s">
        <v>36</v>
      </c>
    </row>
    <row r="69314" customFormat="false" ht="12.8" hidden="false" customHeight="false" outlineLevel="0" collapsed="false">
      <c r="A69314" s="0" t="s">
        <v>22701</v>
      </c>
      <c r="B69314" s="0" t="str">
        <f aca="false">HYPERLINK("https://lindat.mff.cuni.cz/services/teitok/pdtc10/index.php?action=vallex&amp;frame=v-w11240f1", "zhoupnout se (v-w11240f1)")</f>
        <v>zhoupnout se (v-w11240f1)</v>
      </c>
    </row>
    <row r="69315" customFormat="false" ht="12.8" hidden="false" customHeight="false" outlineLevel="0" collapsed="false">
      <c r="B69315" s="0" t="s">
        <v>1</v>
      </c>
    </row>
    <row r="69317" customFormat="false" ht="12.8" hidden="false" customHeight="false" outlineLevel="0" collapsed="false">
      <c r="A69317" s="0" t="s">
        <v>22702</v>
      </c>
      <c r="B69317" s="0" t="str">
        <f aca="false">HYPERLINK("https://lindat.mff.cuni.cz/services/teitok/pdtc10/index.php?action=vallex&amp;frame=v-w9481f1", "zhoustnout (v-w9481f1)")</f>
        <v>zhoustnout (v-w9481f1)</v>
      </c>
    </row>
    <row r="69318" customFormat="false" ht="12.8" hidden="false" customHeight="false" outlineLevel="0" collapsed="false">
      <c r="B69318" s="0" t="s">
        <v>1</v>
      </c>
    </row>
    <row r="69320" customFormat="false" ht="12.8" hidden="false" customHeight="false" outlineLevel="0" collapsed="false">
      <c r="A69320" s="0" t="s">
        <v>22703</v>
      </c>
      <c r="B69320" s="0" t="str">
        <f aca="false">HYPERLINK("https://lindat.mff.cuni.cz/services/teitok/pdtc10/index.php?action=vallex&amp;frame=v-w11043f2", "zhořknout (v-w11043f2)")</f>
        <v>zhořknout (v-w11043f2)</v>
      </c>
    </row>
    <row r="69321" customFormat="false" ht="12.8" hidden="false" customHeight="false" outlineLevel="0" collapsed="false">
      <c r="B69321" s="0" t="s">
        <v>1</v>
      </c>
    </row>
    <row r="69323" customFormat="false" ht="12.8" hidden="false" customHeight="false" outlineLevel="0" collapsed="false">
      <c r="A69323" s="0" t="s">
        <v>22704</v>
      </c>
      <c r="B69323" s="0" t="str">
        <f aca="false">HYPERLINK("https://lindat.mff.cuni.cz/services/teitok/pdtc10/index.php?action=vallex&amp;frame=v-w9483f3_ZU", "zhroutit se (v-w9483f3_ZU)")</f>
        <v>zhroutit se (v-w9483f3_ZU)</v>
      </c>
      <c r="E69323" s="0" t="str">
        <f aca="false">HYPERLINK("https://lindat.mff.cuni.cz/services/SynSemClass40/SynSemClass40.html?veclass=vec00028#vec00028-ces-cm00090", "vec00028")</f>
        <v>vec00028</v>
      </c>
      <c r="F69323" s="0" t="s">
        <v>5301</v>
      </c>
    </row>
    <row r="69324" customFormat="false" ht="12.8" hidden="false" customHeight="false" outlineLevel="0" collapsed="false">
      <c r="B69324" s="0" t="s">
        <v>1</v>
      </c>
      <c r="C69324" s="0" t="s">
        <v>9964</v>
      </c>
      <c r="E69324" s="0" t="s">
        <v>235</v>
      </c>
      <c r="F69324" s="0" t="s">
        <v>5304</v>
      </c>
    </row>
    <row r="69325" customFormat="false" ht="12.8" hidden="false" customHeight="false" outlineLevel="0" collapsed="false">
      <c r="B69325" s="0" t="s">
        <v>5315</v>
      </c>
      <c r="C69325" s="0" t="s">
        <v>9965</v>
      </c>
      <c r="E69325" s="0" t="s">
        <v>5149</v>
      </c>
      <c r="F69325" s="0" t="s">
        <v>5307</v>
      </c>
    </row>
    <row r="69326" customFormat="false" ht="12.8" hidden="false" customHeight="false" outlineLevel="0" collapsed="false">
      <c r="B69326" s="0" t="s">
        <v>36</v>
      </c>
      <c r="C69326" s="0" t="s">
        <v>9966</v>
      </c>
      <c r="E69326" s="0" t="s">
        <v>5152</v>
      </c>
      <c r="F69326" s="0" t="s">
        <v>5311</v>
      </c>
    </row>
    <row r="69328" customFormat="false" ht="12.8" hidden="false" customHeight="false" outlineLevel="0" collapsed="false">
      <c r="A69328" s="0" t="s">
        <v>22705</v>
      </c>
      <c r="B69328" s="0" t="str">
        <f aca="false">HYPERLINK("https://lindat.mff.cuni.cz/services/teitok/pdtc10/index.php?action=vallex&amp;frame=v-w9483f1", "zhroutit se (v-w9483f1)")</f>
        <v>zhroutit se (v-w9483f1)</v>
      </c>
    </row>
    <row r="69329" customFormat="false" ht="12.8" hidden="false" customHeight="false" outlineLevel="0" collapsed="false">
      <c r="B69329" s="0" t="s">
        <v>1</v>
      </c>
    </row>
    <row r="69331" customFormat="false" ht="12.8" hidden="false" customHeight="false" outlineLevel="0" collapsed="false">
      <c r="A69331" s="0" t="s">
        <v>22706</v>
      </c>
      <c r="B69331" s="0" t="str">
        <f aca="false">HYPERLINK("https://lindat.mff.cuni.cz/services/teitok/pdtc10/index.php?action=vallex&amp;frame=v-w9483f2", "zhroutit se (v-w9483f2)")</f>
        <v>zhroutit se (v-w9483f2)</v>
      </c>
      <c r="E69331" s="0" t="str">
        <f aca="false">HYPERLINK("https://lindat.mff.cuni.cz/services/SynSemClass40/SynSemClass40.html?veclass=vec00599#vec00599-ces-cm00019", "vec00599")</f>
        <v>vec00599</v>
      </c>
      <c r="F69331" s="0" t="s">
        <v>4593</v>
      </c>
    </row>
    <row r="69332" customFormat="false" ht="12.8" hidden="false" customHeight="false" outlineLevel="0" collapsed="false">
      <c r="B69332" s="0" t="s">
        <v>1</v>
      </c>
      <c r="C69332" s="0" t="s">
        <v>4594</v>
      </c>
      <c r="E69332" s="0" t="s">
        <v>4595</v>
      </c>
      <c r="F69332" s="0" t="s">
        <v>4596</v>
      </c>
    </row>
    <row r="69334" customFormat="false" ht="12.8" hidden="false" customHeight="false" outlineLevel="0" collapsed="false">
      <c r="A69334" s="0" t="s">
        <v>22707</v>
      </c>
      <c r="B69334" s="0" t="str">
        <f aca="false">HYPERLINK("https://lindat.mff.cuni.cz/services/teitok/pdtc10/index.php?action=vallex&amp;frame=v-w9483hsa_442", "zhroutit se (v-w9483hsa_442)")</f>
        <v>zhroutit se (v-w9483hsa_442)</v>
      </c>
    </row>
    <row r="69335" customFormat="false" ht="12.8" hidden="false" customHeight="false" outlineLevel="0" collapsed="false">
      <c r="B69335" s="0" t="s">
        <v>1</v>
      </c>
    </row>
    <row r="69337" customFormat="false" ht="12.8" hidden="false" customHeight="false" outlineLevel="0" collapsed="false">
      <c r="A69337" s="0" t="s">
        <v>22708</v>
      </c>
      <c r="B69337" s="0" t="str">
        <f aca="false">HYPERLINK("https://lindat.mff.cuni.cz/services/teitok/pdtc10/index.php?action=vallex&amp;frame=v-whsa_2041hsa_2042", "zhrozit se (v-whsa_2041hsa_2042)")</f>
        <v>zhrozit se (v-whsa_2041hsa_2042)</v>
      </c>
    </row>
    <row r="69338" customFormat="false" ht="12.8" hidden="false" customHeight="false" outlineLevel="0" collapsed="false">
      <c r="B69338" s="0" t="s">
        <v>1</v>
      </c>
    </row>
    <row r="69339" customFormat="false" ht="12.8" hidden="false" customHeight="false" outlineLevel="0" collapsed="false">
      <c r="B69339" s="0" t="s">
        <v>4070</v>
      </c>
    </row>
    <row r="69341" customFormat="false" ht="12.8" hidden="false" customHeight="false" outlineLevel="0" collapsed="false">
      <c r="A69341" s="0" t="s">
        <v>22709</v>
      </c>
      <c r="B69341" s="0" t="str">
        <f aca="false">HYPERLINK("https://lindat.mff.cuni.cz/services/teitok/pdtc10/index.php?action=vallex&amp;frame=v-w9484f1", "zhrudkovatět (v-w9484f1)")</f>
        <v>zhrudkovatět (v-w9484f1)</v>
      </c>
    </row>
    <row r="69342" customFormat="false" ht="12.8" hidden="false" customHeight="false" outlineLevel="0" collapsed="false">
      <c r="B69342" s="0" t="s">
        <v>1</v>
      </c>
    </row>
    <row r="69344" customFormat="false" ht="12.8" hidden="false" customHeight="false" outlineLevel="0" collapsed="false">
      <c r="A69344" s="0" t="s">
        <v>22710</v>
      </c>
      <c r="B69344" s="0" t="str">
        <f aca="false">HYPERLINK("https://lindat.mff.cuni.cz/services/teitok/pdtc10/index.php?action=vallex&amp;frame=v-w9486f1", "zhubnout (v-w9486f1)")</f>
        <v>zhubnout (v-w9486f1)</v>
      </c>
    </row>
    <row r="69345" customFormat="false" ht="12.8" hidden="false" customHeight="false" outlineLevel="0" collapsed="false">
      <c r="B69345" s="0" t="s">
        <v>1</v>
      </c>
    </row>
    <row r="69346" customFormat="false" ht="12.8" hidden="false" customHeight="false" outlineLevel="0" collapsed="false">
      <c r="B69346" s="0" t="s">
        <v>69</v>
      </c>
    </row>
    <row r="69347" customFormat="false" ht="12.8" hidden="false" customHeight="false" outlineLevel="0" collapsed="false">
      <c r="B69347" s="0" t="s">
        <v>36</v>
      </c>
    </row>
    <row r="69349" customFormat="false" ht="12.8" hidden="false" customHeight="false" outlineLevel="0" collapsed="false">
      <c r="A69349" s="0" t="s">
        <v>22711</v>
      </c>
      <c r="B69349" s="0" t="str">
        <f aca="false">HYPERLINK("https://lindat.mff.cuni.cz/services/teitok/pdtc10/index.php?action=vallex&amp;frame=v-w9487f1", "zhumanizovat (v-w9487f1)")</f>
        <v>zhumanizovat (v-w9487f1)</v>
      </c>
    </row>
    <row r="69350" customFormat="false" ht="12.8" hidden="false" customHeight="false" outlineLevel="0" collapsed="false">
      <c r="B69350" s="0" t="s">
        <v>1</v>
      </c>
    </row>
    <row r="69351" customFormat="false" ht="12.8" hidden="false" customHeight="false" outlineLevel="0" collapsed="false">
      <c r="B69351" s="0" t="s">
        <v>8</v>
      </c>
    </row>
    <row r="69353" customFormat="false" ht="12.8" hidden="false" customHeight="false" outlineLevel="0" collapsed="false">
      <c r="A69353" s="0" t="s">
        <v>22712</v>
      </c>
      <c r="B69353" s="0" t="str">
        <f aca="false">HYPERLINK("https://lindat.mff.cuni.cz/services/teitok/pdtc10/index.php?action=vallex&amp;frame=v-w11999_ZUf1_ZU", "zhuntovat (v-w11999_ZUf1_ZU)")</f>
        <v>zhuntovat (v-w11999_ZUf1_ZU)</v>
      </c>
    </row>
    <row r="69354" customFormat="false" ht="12.8" hidden="false" customHeight="false" outlineLevel="0" collapsed="false">
      <c r="B69354" s="0" t="s">
        <v>1</v>
      </c>
    </row>
    <row r="69355" customFormat="false" ht="12.8" hidden="false" customHeight="false" outlineLevel="0" collapsed="false">
      <c r="B69355" s="0" t="s">
        <v>8</v>
      </c>
    </row>
    <row r="69357" customFormat="false" ht="12.8" hidden="false" customHeight="false" outlineLevel="0" collapsed="false">
      <c r="A69357" s="0" t="s">
        <v>22713</v>
      </c>
      <c r="B69357" s="0" t="str">
        <f aca="false">HYPERLINK("https://lindat.mff.cuni.cz/services/teitok/pdtc10/index.php?action=vallex&amp;frame=v-w9488f1", "zhušťovat (v-w9488f1)")</f>
        <v>zhušťovat (v-w9488f1)</v>
      </c>
    </row>
    <row r="69358" customFormat="false" ht="12.8" hidden="false" customHeight="false" outlineLevel="0" collapsed="false">
      <c r="B69358" s="0" t="s">
        <v>1</v>
      </c>
    </row>
    <row r="69359" customFormat="false" ht="12.8" hidden="false" customHeight="false" outlineLevel="0" collapsed="false">
      <c r="B69359" s="0" t="s">
        <v>8</v>
      </c>
    </row>
    <row r="69361" customFormat="false" ht="12.8" hidden="false" customHeight="false" outlineLevel="0" collapsed="false">
      <c r="A69361" s="0" t="s">
        <v>22714</v>
      </c>
      <c r="B69361" s="0" t="str">
        <f aca="false">HYPERLINK("https://lindat.mff.cuni.cz/services/teitok/pdtc10/index.php?action=vallex&amp;frame=v-w9488f2", "zhušťovat (v-w9488f2)")</f>
        <v>zhušťovat (v-w9488f2)</v>
      </c>
    </row>
    <row r="69362" customFormat="false" ht="12.8" hidden="false" customHeight="false" outlineLevel="0" collapsed="false">
      <c r="B69362" s="0" t="s">
        <v>1</v>
      </c>
    </row>
    <row r="69363" customFormat="false" ht="12.8" hidden="false" customHeight="false" outlineLevel="0" collapsed="false">
      <c r="B69363" s="0" t="s">
        <v>8</v>
      </c>
    </row>
    <row r="69365" customFormat="false" ht="12.8" hidden="false" customHeight="false" outlineLevel="0" collapsed="false">
      <c r="A69365" s="0" t="s">
        <v>22715</v>
      </c>
      <c r="B69365" s="0" t="str">
        <f aca="false">HYPERLINK("https://lindat.mff.cuni.cz/services/teitok/pdtc10/index.php?action=vallex&amp;frame=v-w10753f2", "zhypnotizovat (v-w10753f2)")</f>
        <v>zhypnotizovat (v-w10753f2)</v>
      </c>
      <c r="E69365" s="0" t="str">
        <f aca="false">HYPERLINK("https://lindat.mff.cuni.cz/services/SynSemClass40/SynSemClass40.html?veclass=vec00609#vec00609-ces-cm00002", "vec00609")</f>
        <v>vec00609</v>
      </c>
      <c r="F69365" s="0" t="s">
        <v>263</v>
      </c>
    </row>
    <row r="69366" customFormat="false" ht="12.8" hidden="false" customHeight="false" outlineLevel="0" collapsed="false">
      <c r="B69366" s="0" t="s">
        <v>1</v>
      </c>
      <c r="C69366" s="0" t="s">
        <v>4114</v>
      </c>
      <c r="E69366" s="0" t="s">
        <v>1103</v>
      </c>
      <c r="F69366" s="0" t="s">
        <v>4115</v>
      </c>
    </row>
    <row r="69367" customFormat="false" ht="12.8" hidden="false" customHeight="false" outlineLevel="0" collapsed="false">
      <c r="B69367" s="0" t="s">
        <v>8</v>
      </c>
      <c r="C69367" s="0" t="s">
        <v>1575</v>
      </c>
      <c r="E69367" s="0" t="s">
        <v>1930</v>
      </c>
      <c r="F69367" s="0" t="s">
        <v>4116</v>
      </c>
    </row>
    <row r="69369" customFormat="false" ht="12.8" hidden="false" customHeight="false" outlineLevel="0" collapsed="false">
      <c r="A69369" s="0" t="s">
        <v>22716</v>
      </c>
      <c r="B69369" s="0" t="str">
        <f aca="false">HYPERLINK("https://lindat.mff.cuni.cz/services/teitok/pdtc10/index.php?action=vallex&amp;frame=v-w9490f1", "zhysterizovat (v-w9490f1)")</f>
        <v>zhysterizovat (v-w9490f1)</v>
      </c>
    </row>
    <row r="69370" customFormat="false" ht="12.8" hidden="false" customHeight="false" outlineLevel="0" collapsed="false">
      <c r="B69370" s="0" t="s">
        <v>1</v>
      </c>
    </row>
    <row r="69371" customFormat="false" ht="12.8" hidden="false" customHeight="false" outlineLevel="0" collapsed="false">
      <c r="B69371" s="0" t="s">
        <v>8</v>
      </c>
    </row>
    <row r="69373" customFormat="false" ht="12.8" hidden="false" customHeight="false" outlineLevel="0" collapsed="false">
      <c r="A69373" s="0" t="s">
        <v>22717</v>
      </c>
      <c r="B69373" s="0" t="str">
        <f aca="false">HYPERLINK("https://lindat.mff.cuni.cz/services/teitok/pdtc10/index.php?action=vallex&amp;frame=v-w9489f1", "zhýčkat (v-w9489f1)")</f>
        <v>zhýčkat (v-w9489f1)</v>
      </c>
    </row>
    <row r="69374" customFormat="false" ht="12.8" hidden="false" customHeight="false" outlineLevel="0" collapsed="false">
      <c r="B69374" s="0" t="s">
        <v>1</v>
      </c>
    </row>
    <row r="69375" customFormat="false" ht="12.8" hidden="false" customHeight="false" outlineLevel="0" collapsed="false">
      <c r="B69375" s="0" t="s">
        <v>8</v>
      </c>
    </row>
    <row r="69377" customFormat="false" ht="12.8" hidden="false" customHeight="false" outlineLevel="0" collapsed="false">
      <c r="A69377" s="0" t="s">
        <v>22718</v>
      </c>
      <c r="B69377" s="0" t="str">
        <f aca="false">HYPERLINK("https://lindat.mff.cuni.cz/services/teitok/pdtc10/index.php?action=vallex&amp;frame=v-w9485f1", "zhřešit (v-w9485f1)")</f>
        <v>zhřešit (v-w9485f1)</v>
      </c>
    </row>
    <row r="69378" customFormat="false" ht="12.8" hidden="false" customHeight="false" outlineLevel="0" collapsed="false">
      <c r="B69378" s="0" t="s">
        <v>1</v>
      </c>
    </row>
    <row r="69380" customFormat="false" ht="12.8" hidden="false" customHeight="false" outlineLevel="0" collapsed="false">
      <c r="A69380" s="0" t="s">
        <v>22719</v>
      </c>
      <c r="B69380" s="0" t="str">
        <f aca="false">HYPERLINK("https://lindat.mff.cuni.cz/services/teitok/pdtc10/index.php?action=vallex&amp;frame=v-w9493f1", "zideologizovat (v-w9493f1)")</f>
        <v>zideologizovat (v-w9493f1)</v>
      </c>
    </row>
    <row r="69381" customFormat="false" ht="12.8" hidden="false" customHeight="false" outlineLevel="0" collapsed="false">
      <c r="B69381" s="0" t="s">
        <v>1</v>
      </c>
    </row>
    <row r="69382" customFormat="false" ht="12.8" hidden="false" customHeight="false" outlineLevel="0" collapsed="false">
      <c r="B69382" s="0" t="s">
        <v>8</v>
      </c>
    </row>
    <row r="69384" customFormat="false" ht="12.8" hidden="false" customHeight="false" outlineLevel="0" collapsed="false">
      <c r="A69384" s="0" t="s">
        <v>22720</v>
      </c>
      <c r="B69384" s="0" t="str">
        <f aca="false">HYPERLINK("https://lindat.mff.cuni.cz/services/teitok/pdtc10/index.php?action=vallex&amp;frame=v-w9494f1", "zinscenovat (v-w9494f1)")</f>
        <v>zinscenovat (v-w9494f1)</v>
      </c>
      <c r="E69384" s="0" t="str">
        <f aca="false">HYPERLINK("https://lindat.mff.cuni.cz/services/SynSemClass40/SynSemClass40.html?veclass=vec00502#vec00502-ces-cm00038", "vec00502")</f>
        <v>vec00502</v>
      </c>
      <c r="F69384" s="0" t="s">
        <v>1552</v>
      </c>
      <c r="H69384" s="0" t="str">
        <f aca="false">HYPERLINK("https://lindat.mff.cuni.cz/services/SynSemClass40/SynSemClass40.html?veclass=vec00611#vec00611-ces-cm00133", "vec00611")</f>
        <v>vec00611</v>
      </c>
      <c r="I69384" s="0" t="s">
        <v>1828</v>
      </c>
    </row>
    <row r="69385" customFormat="false" ht="12.8" hidden="false" customHeight="false" outlineLevel="0" collapsed="false">
      <c r="B69385" s="0" t="s">
        <v>1</v>
      </c>
      <c r="C69385" s="0" t="s">
        <v>22721</v>
      </c>
      <c r="E69385" s="0" t="s">
        <v>31</v>
      </c>
      <c r="F69385" s="0" t="s">
        <v>1554</v>
      </c>
      <c r="H69385" s="0" t="s">
        <v>1830</v>
      </c>
      <c r="I69385" s="0" t="s">
        <v>1831</v>
      </c>
    </row>
    <row r="69386" customFormat="false" ht="12.8" hidden="false" customHeight="false" outlineLevel="0" collapsed="false">
      <c r="B69386" s="0" t="s">
        <v>8</v>
      </c>
      <c r="C69386" s="0" t="s">
        <v>22722</v>
      </c>
      <c r="E69386" s="0" t="s">
        <v>1556</v>
      </c>
      <c r="F69386" s="0" t="s">
        <v>1557</v>
      </c>
      <c r="H69386" s="0" t="s">
        <v>4634</v>
      </c>
      <c r="I69386" s="0" t="s">
        <v>4635</v>
      </c>
    </row>
    <row r="69388" customFormat="false" ht="12.8" hidden="false" customHeight="false" outlineLevel="0" collapsed="false">
      <c r="A69388" s="0" t="s">
        <v>22723</v>
      </c>
      <c r="B69388" s="0" t="str">
        <f aca="false">HYPERLINK("https://lindat.mff.cuni.cz/services/teitok/pdtc10/index.php?action=vallex&amp;frame=v-whsa_964hsa_965", "zintenzivňovat (v-whsa_964hsa_965)")</f>
        <v>zintenzivňovat (v-whsa_964hsa_965)</v>
      </c>
    </row>
    <row r="69389" customFormat="false" ht="12.8" hidden="false" customHeight="false" outlineLevel="0" collapsed="false">
      <c r="B69389" s="0" t="s">
        <v>1</v>
      </c>
    </row>
    <row r="69390" customFormat="false" ht="12.8" hidden="false" customHeight="false" outlineLevel="0" collapsed="false">
      <c r="B69390" s="0" t="s">
        <v>8</v>
      </c>
    </row>
    <row r="69392" customFormat="false" ht="12.8" hidden="false" customHeight="false" outlineLevel="0" collapsed="false">
      <c r="A69392" s="0" t="s">
        <v>22724</v>
      </c>
      <c r="B69392" s="0" t="str">
        <f aca="false">HYPERLINK("https://lindat.mff.cuni.cz/services/teitok/pdtc10/index.php?action=vallex&amp;frame=v-w9496f2_ZU", "zintenzívnit (v-w9496f2_ZU)")</f>
        <v>zintenzívnit (v-w9496f2_ZU)</v>
      </c>
      <c r="E69392" s="0" t="str">
        <f aca="false">HYPERLINK("https://lindat.mff.cuni.cz/services/SynSemClass40/SynSemClass40.html?veclass=vec00337#vec00337-ces-cm00038", "vec00337")</f>
        <v>vec00337</v>
      </c>
      <c r="F69392" s="0" t="s">
        <v>11339</v>
      </c>
    </row>
    <row r="69393" customFormat="false" ht="12.8" hidden="false" customHeight="false" outlineLevel="0" collapsed="false">
      <c r="B69393" s="0" t="s">
        <v>1</v>
      </c>
      <c r="C69393" s="0" t="s">
        <v>11340</v>
      </c>
      <c r="E69393" s="0" t="s">
        <v>31</v>
      </c>
      <c r="F69393" s="0" t="s">
        <v>11341</v>
      </c>
    </row>
    <row r="69394" customFormat="false" ht="12.8" hidden="false" customHeight="false" outlineLevel="0" collapsed="false">
      <c r="B69394" s="0" t="s">
        <v>8</v>
      </c>
      <c r="C69394" s="0" t="s">
        <v>5933</v>
      </c>
      <c r="E69394" s="0" t="s">
        <v>1569</v>
      </c>
      <c r="F69394" s="0" t="s">
        <v>11342</v>
      </c>
    </row>
    <row r="69396" customFormat="false" ht="12.8" hidden="false" customHeight="false" outlineLevel="0" collapsed="false">
      <c r="A69396" s="0" t="s">
        <v>22724</v>
      </c>
      <c r="B69396" s="0" t="str">
        <f aca="false">HYPERLINK("https://lindat.mff.cuni.cz/services/teitok/pdtc10/index.php?action=vallex&amp;frame=v-w9496f1", "zintenzívnit (v-w9496f1) - substituted with v-w9496f2_ZU")</f>
        <v>zintenzívnit (v-w9496f1) - substituted with v-w9496f2_ZU</v>
      </c>
    </row>
    <row r="69397" customFormat="false" ht="12.8" hidden="false" customHeight="false" outlineLevel="0" collapsed="false">
      <c r="B69397" s="0" t="s">
        <v>1</v>
      </c>
    </row>
    <row r="69398" customFormat="false" ht="12.8" hidden="false" customHeight="false" outlineLevel="0" collapsed="false">
      <c r="B69398" s="0" t="s">
        <v>8</v>
      </c>
    </row>
    <row r="69400" customFormat="false" ht="12.8" hidden="false" customHeight="false" outlineLevel="0" collapsed="false">
      <c r="A69400" s="0" t="s">
        <v>22725</v>
      </c>
      <c r="B69400" s="0" t="str">
        <f aca="false">HYPERLINK("https://lindat.mff.cuni.cz/services/teitok/pdtc10/index.php?action=vallex&amp;frame=v-whsa_867hsa_868", "zintenzívnit se (v-whsa_867hsa_868)")</f>
        <v>zintenzívnit se (v-whsa_867hsa_868)</v>
      </c>
    </row>
    <row r="69401" customFormat="false" ht="12.8" hidden="false" customHeight="false" outlineLevel="0" collapsed="false">
      <c r="B69401" s="0" t="s">
        <v>1</v>
      </c>
    </row>
    <row r="69403" customFormat="false" ht="12.8" hidden="false" customHeight="false" outlineLevel="0" collapsed="false">
      <c r="A69403" s="0" t="s">
        <v>22726</v>
      </c>
      <c r="B69403" s="0" t="str">
        <f aca="false">HYPERLINK("https://lindat.mff.cuni.cz/services/teitok/pdtc10/index.php?action=vallex&amp;frame=v-w11303f1", "zintenzívňovat (v-w11303f1)")</f>
        <v>zintenzívňovat (v-w11303f1)</v>
      </c>
    </row>
    <row r="69404" customFormat="false" ht="12.8" hidden="false" customHeight="false" outlineLevel="0" collapsed="false">
      <c r="B69404" s="0" t="s">
        <v>1</v>
      </c>
    </row>
    <row r="69405" customFormat="false" ht="12.8" hidden="false" customHeight="false" outlineLevel="0" collapsed="false">
      <c r="B69405" s="0" t="s">
        <v>8</v>
      </c>
    </row>
    <row r="69407" customFormat="false" ht="12.8" hidden="false" customHeight="false" outlineLevel="0" collapsed="false">
      <c r="A69407" s="0" t="s">
        <v>22727</v>
      </c>
      <c r="B69407" s="0" t="str">
        <f aca="false">HYPERLINK("https://lindat.mff.cuni.cz/services/teitok/pdtc10/index.php?action=vallex&amp;frame=v-w10755f2", "zintrikovat (v-w10755f2)")</f>
        <v>zintrikovat (v-w10755f2)</v>
      </c>
    </row>
    <row r="69408" customFormat="false" ht="12.8" hidden="false" customHeight="false" outlineLevel="0" collapsed="false">
      <c r="B69408" s="0" t="s">
        <v>1</v>
      </c>
    </row>
    <row r="69409" customFormat="false" ht="12.8" hidden="false" customHeight="false" outlineLevel="0" collapsed="false">
      <c r="B69409" s="0" t="s">
        <v>8</v>
      </c>
    </row>
    <row r="69411" customFormat="false" ht="12.8" hidden="false" customHeight="false" outlineLevel="0" collapsed="false">
      <c r="A69411" s="0" t="s">
        <v>22728</v>
      </c>
      <c r="B69411" s="0" t="str">
        <f aca="false">HYPERLINK("https://lindat.mff.cuni.cz/services/teitok/pdtc10/index.php?action=vallex&amp;frame=v-w9505f1", "zjasňovat se (v-w9505f1)")</f>
        <v>zjasňovat se (v-w9505f1)</v>
      </c>
    </row>
    <row r="69412" customFormat="false" ht="12.8" hidden="false" customHeight="false" outlineLevel="0" collapsed="false">
      <c r="B69412" s="0" t="s">
        <v>1</v>
      </c>
    </row>
    <row r="69414" customFormat="false" ht="12.8" hidden="false" customHeight="false" outlineLevel="0" collapsed="false">
      <c r="A69414" s="0" t="s">
        <v>22729</v>
      </c>
      <c r="B69414" s="0" t="str">
        <f aca="false">HYPERLINK("https://lindat.mff.cuni.cz/services/teitok/pdtc10/index.php?action=vallex&amp;frame=v-w9507f2", "zjednat (v-w9507f2)")</f>
        <v>zjednat (v-w9507f2)</v>
      </c>
    </row>
    <row r="69415" customFormat="false" ht="12.8" hidden="false" customHeight="false" outlineLevel="0" collapsed="false">
      <c r="B69415" s="0" t="s">
        <v>1</v>
      </c>
    </row>
    <row r="69416" customFormat="false" ht="12.8" hidden="false" customHeight="false" outlineLevel="0" collapsed="false">
      <c r="B69416" s="0" t="s">
        <v>8</v>
      </c>
    </row>
    <row r="69418" customFormat="false" ht="12.8" hidden="false" customHeight="false" outlineLevel="0" collapsed="false">
      <c r="A69418" s="0" t="s">
        <v>22730</v>
      </c>
      <c r="B69418" s="0" t="str">
        <f aca="false">HYPERLINK("https://lindat.mff.cuni.cz/services/teitok/pdtc10/index.php?action=vallex&amp;frame=v-w9507f3_ZU", "zjednat (v-w9507f3_ZU)")</f>
        <v>zjednat (v-w9507f3_ZU)</v>
      </c>
    </row>
    <row r="69419" customFormat="false" ht="12.8" hidden="false" customHeight="false" outlineLevel="0" collapsed="false">
      <c r="B69419" s="0" t="s">
        <v>1</v>
      </c>
    </row>
    <row r="69420" customFormat="false" ht="12.8" hidden="false" customHeight="false" outlineLevel="0" collapsed="false">
      <c r="B69420" s="0" t="s">
        <v>22731</v>
      </c>
    </row>
    <row r="69422" customFormat="false" ht="12.8" hidden="false" customHeight="false" outlineLevel="0" collapsed="false">
      <c r="A69422" s="0" t="s">
        <v>22730</v>
      </c>
      <c r="B69422" s="0" t="str">
        <f aca="false">HYPERLINK("https://lindat.mff.cuni.cz/services/teitok/pdtc10/index.php?action=vallex&amp;frame=v-w9507f1", "zjednat (v-w9507f1) - substituted with v-w9507f3_ZU")</f>
        <v>zjednat (v-w9507f1) - substituted with v-w9507f3_ZU</v>
      </c>
    </row>
    <row r="69423" customFormat="false" ht="12.8" hidden="false" customHeight="false" outlineLevel="0" collapsed="false">
      <c r="B69423" s="0" t="s">
        <v>1</v>
      </c>
    </row>
    <row r="69424" customFormat="false" ht="12.8" hidden="false" customHeight="false" outlineLevel="0" collapsed="false">
      <c r="B69424" s="0" t="s">
        <v>22731</v>
      </c>
    </row>
    <row r="69426" customFormat="false" ht="12.8" hidden="false" customHeight="false" outlineLevel="0" collapsed="false">
      <c r="A69426" s="0" t="s">
        <v>22732</v>
      </c>
      <c r="B69426" s="0" t="str">
        <f aca="false">HYPERLINK("https://lindat.mff.cuni.cz/services/teitok/pdtc10/index.php?action=vallex&amp;frame=v-w9507hsa_1973", "zjednat (v-w9507hsa_1973)")</f>
        <v>zjednat (v-w9507hsa_1973)</v>
      </c>
    </row>
    <row r="69427" customFormat="false" ht="12.8" hidden="false" customHeight="false" outlineLevel="0" collapsed="false">
      <c r="B69427" s="0" t="s">
        <v>1</v>
      </c>
    </row>
    <row r="69428" customFormat="false" ht="12.8" hidden="false" customHeight="false" outlineLevel="0" collapsed="false">
      <c r="B69428" s="0" t="s">
        <v>8</v>
      </c>
    </row>
    <row r="69430" customFormat="false" ht="12.8" hidden="false" customHeight="false" outlineLevel="0" collapsed="false">
      <c r="A69430" s="0" t="s">
        <v>22733</v>
      </c>
      <c r="B69430" s="0" t="str">
        <f aca="false">HYPERLINK("https://lindat.mff.cuni.cz/services/teitok/pdtc10/index.php?action=vallex&amp;frame=v-w9510f2", "zjednodušit (v-w9510f2)")</f>
        <v>zjednodušit (v-w9510f2)</v>
      </c>
    </row>
    <row r="69431" customFormat="false" ht="12.8" hidden="false" customHeight="false" outlineLevel="0" collapsed="false">
      <c r="B69431" s="0" t="s">
        <v>1</v>
      </c>
    </row>
    <row r="69432" customFormat="false" ht="12.8" hidden="false" customHeight="false" outlineLevel="0" collapsed="false">
      <c r="B69432" s="0" t="s">
        <v>8</v>
      </c>
    </row>
    <row r="69433" customFormat="false" ht="12.8" hidden="false" customHeight="false" outlineLevel="0" collapsed="false">
      <c r="B69433" s="0" t="s">
        <v>132</v>
      </c>
    </row>
    <row r="69435" customFormat="false" ht="12.8" hidden="false" customHeight="false" outlineLevel="0" collapsed="false">
      <c r="A69435" s="0" t="s">
        <v>22734</v>
      </c>
      <c r="B69435" s="0" t="str">
        <f aca="false">HYPERLINK("https://lindat.mff.cuni.cz/services/teitok/pdtc10/index.php?action=vallex&amp;frame=v-w9510f1", "zjednodušit (v-w9510f1)")</f>
        <v>zjednodušit (v-w9510f1)</v>
      </c>
      <c r="E69435" s="0" t="str">
        <f aca="false">HYPERLINK("https://lindat.mff.cuni.cz/services/SynSemClass40/SynSemClass40.html?veclass=vec00788#vec00788-ces-cm00001", "vec00788")</f>
        <v>vec00788</v>
      </c>
      <c r="F69435" s="0" t="s">
        <v>22659</v>
      </c>
    </row>
    <row r="69436" customFormat="false" ht="12.8" hidden="false" customHeight="false" outlineLevel="0" collapsed="false">
      <c r="B69436" s="0" t="s">
        <v>1</v>
      </c>
      <c r="C69436" s="0" t="s">
        <v>1752</v>
      </c>
      <c r="E69436" s="0" t="s">
        <v>31</v>
      </c>
      <c r="F69436" s="0" t="s">
        <v>5293</v>
      </c>
    </row>
    <row r="69437" customFormat="false" ht="12.8" hidden="false" customHeight="false" outlineLevel="0" collapsed="false">
      <c r="B69437" s="0" t="s">
        <v>8</v>
      </c>
      <c r="C69437" s="0" t="s">
        <v>5583</v>
      </c>
      <c r="E69437" s="0" t="s">
        <v>34</v>
      </c>
      <c r="F69437" s="0" t="s">
        <v>22660</v>
      </c>
    </row>
    <row r="69438" customFormat="false" ht="12.8" hidden="false" customHeight="false" outlineLevel="0" collapsed="false">
      <c r="B69438" s="0" t="s">
        <v>36</v>
      </c>
      <c r="E69438" s="0" t="s">
        <v>38</v>
      </c>
      <c r="F69438" s="0" t="s">
        <v>8255</v>
      </c>
    </row>
    <row r="69439" customFormat="false" ht="12.8" hidden="false" customHeight="false" outlineLevel="0" collapsed="false">
      <c r="B69439" s="0" t="s">
        <v>40</v>
      </c>
      <c r="E69439" s="0" t="s">
        <v>42</v>
      </c>
      <c r="F69439" s="0" t="s">
        <v>13432</v>
      </c>
    </row>
    <row r="69441" customFormat="false" ht="12.8" hidden="false" customHeight="false" outlineLevel="0" collapsed="false">
      <c r="A69441" s="0" t="s">
        <v>22735</v>
      </c>
      <c r="B69441" s="0" t="str">
        <f aca="false">HYPERLINK("https://lindat.mff.cuni.cz/services/teitok/pdtc10/index.php?action=vallex&amp;frame=v-w9511f1", "zjednodušit se (v-w9511f1)")</f>
        <v>zjednodušit se (v-w9511f1)</v>
      </c>
    </row>
    <row r="69442" customFormat="false" ht="12.8" hidden="false" customHeight="false" outlineLevel="0" collapsed="false">
      <c r="B69442" s="0" t="s">
        <v>1</v>
      </c>
    </row>
    <row r="69443" customFormat="false" ht="12.8" hidden="false" customHeight="false" outlineLevel="0" collapsed="false">
      <c r="B69443" s="0" t="s">
        <v>69</v>
      </c>
    </row>
    <row r="69444" customFormat="false" ht="12.8" hidden="false" customHeight="false" outlineLevel="0" collapsed="false">
      <c r="B69444" s="0" t="s">
        <v>36</v>
      </c>
    </row>
    <row r="69446" customFormat="false" ht="12.8" hidden="false" customHeight="false" outlineLevel="0" collapsed="false">
      <c r="A69446" s="0" t="s">
        <v>22736</v>
      </c>
      <c r="B69446" s="0" t="str">
        <f aca="false">HYPERLINK("https://lindat.mff.cuni.cz/services/teitok/pdtc10/index.php?action=vallex&amp;frame=v-w9512f2", "zjednodušovat (v-w9512f2)")</f>
        <v>zjednodušovat (v-w9512f2)</v>
      </c>
    </row>
    <row r="69447" customFormat="false" ht="12.8" hidden="false" customHeight="false" outlineLevel="0" collapsed="false">
      <c r="B69447" s="0" t="s">
        <v>1</v>
      </c>
    </row>
    <row r="69448" customFormat="false" ht="12.8" hidden="false" customHeight="false" outlineLevel="0" collapsed="false">
      <c r="B69448" s="0" t="s">
        <v>8</v>
      </c>
    </row>
    <row r="69449" customFormat="false" ht="12.8" hidden="false" customHeight="false" outlineLevel="0" collapsed="false">
      <c r="B69449" s="0" t="s">
        <v>132</v>
      </c>
    </row>
    <row r="69451" customFormat="false" ht="12.8" hidden="false" customHeight="false" outlineLevel="0" collapsed="false">
      <c r="A69451" s="0" t="s">
        <v>22737</v>
      </c>
      <c r="B69451" s="0" t="str">
        <f aca="false">HYPERLINK("https://lindat.mff.cuni.cz/services/teitok/pdtc10/index.php?action=vallex&amp;frame=v-w9512f1", "zjednodušovat (v-w9512f1)")</f>
        <v>zjednodušovat (v-w9512f1)</v>
      </c>
      <c r="E69451" s="0" t="str">
        <f aca="false">HYPERLINK("https://lindat.mff.cuni.cz/services/SynSemClass40/SynSemClass40.html?veclass=vec00788#vec00788-ces-cm00006", "vec00788")</f>
        <v>vec00788</v>
      </c>
      <c r="F69451" s="0" t="s">
        <v>22659</v>
      </c>
    </row>
    <row r="69452" customFormat="false" ht="12.8" hidden="false" customHeight="false" outlineLevel="0" collapsed="false">
      <c r="B69452" s="0" t="s">
        <v>1</v>
      </c>
      <c r="C69452" s="0" t="s">
        <v>1752</v>
      </c>
      <c r="E69452" s="0" t="s">
        <v>31</v>
      </c>
      <c r="F69452" s="0" t="s">
        <v>5293</v>
      </c>
    </row>
    <row r="69453" customFormat="false" ht="12.8" hidden="false" customHeight="false" outlineLevel="0" collapsed="false">
      <c r="B69453" s="0" t="s">
        <v>8</v>
      </c>
      <c r="C69453" s="0" t="s">
        <v>5583</v>
      </c>
      <c r="E69453" s="0" t="s">
        <v>34</v>
      </c>
      <c r="F69453" s="0" t="s">
        <v>22660</v>
      </c>
    </row>
    <row r="69454" customFormat="false" ht="12.8" hidden="false" customHeight="false" outlineLevel="0" collapsed="false">
      <c r="B69454" s="0" t="s">
        <v>36</v>
      </c>
      <c r="E69454" s="0" t="s">
        <v>38</v>
      </c>
      <c r="F69454" s="0" t="s">
        <v>8255</v>
      </c>
    </row>
    <row r="69455" customFormat="false" ht="12.8" hidden="false" customHeight="false" outlineLevel="0" collapsed="false">
      <c r="B69455" s="0" t="s">
        <v>40</v>
      </c>
      <c r="E69455" s="0" t="s">
        <v>42</v>
      </c>
      <c r="F69455" s="0" t="s">
        <v>13432</v>
      </c>
    </row>
    <row r="69457" customFormat="false" ht="12.8" hidden="false" customHeight="false" outlineLevel="0" collapsed="false">
      <c r="A69457" s="0" t="s">
        <v>22738</v>
      </c>
      <c r="B69457" s="0" t="str">
        <f aca="false">HYPERLINK("https://lindat.mff.cuni.cz/services/teitok/pdtc10/index.php?action=vallex&amp;frame=v-w9508f1", "zjednávat (v-w9508f1)")</f>
        <v>zjednávat (v-w9508f1)</v>
      </c>
    </row>
    <row r="69458" customFormat="false" ht="12.8" hidden="false" customHeight="false" outlineLevel="0" collapsed="false">
      <c r="B69458" s="0" t="s">
        <v>1</v>
      </c>
    </row>
    <row r="69459" customFormat="false" ht="12.8" hidden="false" customHeight="false" outlineLevel="0" collapsed="false">
      <c r="B69459" s="0" t="s">
        <v>8</v>
      </c>
    </row>
    <row r="69461" customFormat="false" ht="12.8" hidden="false" customHeight="false" outlineLevel="0" collapsed="false">
      <c r="A69461" s="0" t="s">
        <v>22739</v>
      </c>
      <c r="B69461" s="0" t="str">
        <f aca="false">HYPERLINK("https://lindat.mff.cuni.cz/services/teitok/pdtc10/index.php?action=vallex&amp;frame=v-w9508f2", "zjednávat (v-w9508f2)")</f>
        <v>zjednávat (v-w9508f2)</v>
      </c>
    </row>
    <row r="69462" customFormat="false" ht="12.8" hidden="false" customHeight="false" outlineLevel="0" collapsed="false">
      <c r="B69462" s="0" t="s">
        <v>1</v>
      </c>
    </row>
    <row r="69463" customFormat="false" ht="12.8" hidden="false" customHeight="false" outlineLevel="0" collapsed="false">
      <c r="B69463" s="0" t="s">
        <v>22740</v>
      </c>
    </row>
    <row r="69465" customFormat="false" ht="12.8" hidden="false" customHeight="false" outlineLevel="0" collapsed="false">
      <c r="A69465" s="0" t="s">
        <v>22741</v>
      </c>
      <c r="B69465" s="0" t="str">
        <f aca="false">HYPERLINK("https://lindat.mff.cuni.cz/services/teitok/pdtc10/index.php?action=vallex&amp;frame=v-w10877f2", "zjemnit (v-w10877f2)")</f>
        <v>zjemnit (v-w10877f2)</v>
      </c>
    </row>
    <row r="69466" customFormat="false" ht="12.8" hidden="false" customHeight="false" outlineLevel="0" collapsed="false">
      <c r="B69466" s="0" t="s">
        <v>1</v>
      </c>
    </row>
    <row r="69467" customFormat="false" ht="12.8" hidden="false" customHeight="false" outlineLevel="0" collapsed="false">
      <c r="B69467" s="0" t="s">
        <v>8</v>
      </c>
    </row>
    <row r="69469" customFormat="false" ht="12.8" hidden="false" customHeight="false" outlineLevel="0" collapsed="false">
      <c r="A69469" s="0" t="s">
        <v>22742</v>
      </c>
      <c r="B69469" s="0" t="str">
        <f aca="false">HYPERLINK("https://lindat.mff.cuni.cz/services/teitok/pdtc10/index.php?action=vallex&amp;frame=v-w9513f2", "zjevit se (v-w9513f2)")</f>
        <v>zjevit se (v-w9513f2)</v>
      </c>
    </row>
    <row r="69470" customFormat="false" ht="12.8" hidden="false" customHeight="false" outlineLevel="0" collapsed="false">
      <c r="B69470" s="0" t="s">
        <v>1</v>
      </c>
    </row>
    <row r="69471" customFormat="false" ht="12.8" hidden="false" customHeight="false" outlineLevel="0" collapsed="false">
      <c r="B69471" s="0" t="s">
        <v>157</v>
      </c>
    </row>
    <row r="69473" customFormat="false" ht="12.8" hidden="false" customHeight="false" outlineLevel="0" collapsed="false">
      <c r="A69473" s="0" t="s">
        <v>22743</v>
      </c>
      <c r="B69473" s="0" t="str">
        <f aca="false">HYPERLINK("https://lindat.mff.cuni.cz/services/teitok/pdtc10/index.php?action=vallex&amp;frame=v-w9513f1", "zjevit se (v-w9513f1)")</f>
        <v>zjevit se (v-w9513f1)</v>
      </c>
    </row>
    <row r="69474" customFormat="false" ht="12.8" hidden="false" customHeight="false" outlineLevel="0" collapsed="false">
      <c r="B69474" s="0" t="s">
        <v>1</v>
      </c>
    </row>
    <row r="69475" customFormat="false" ht="12.8" hidden="false" customHeight="false" outlineLevel="0" collapsed="false">
      <c r="B69475" s="0" t="s">
        <v>5</v>
      </c>
    </row>
    <row r="69477" customFormat="false" ht="12.8" hidden="false" customHeight="false" outlineLevel="0" collapsed="false">
      <c r="A69477" s="0" t="s">
        <v>22744</v>
      </c>
      <c r="B69477" s="0" t="str">
        <f aca="false">HYPERLINK("https://lindat.mff.cuni.cz/services/teitok/pdtc10/index.php?action=vallex&amp;frame=v-w9514f1", "zjevovat se (v-w9514f1)")</f>
        <v>zjevovat se (v-w9514f1)</v>
      </c>
      <c r="E69477" s="0" t="str">
        <f aca="false">HYPERLINK("https://lindat.mff.cuni.cz/services/SynSemClass40/SynSemClass40.html?veclass=vec00086#vec00086-ces-cm00115", "vec00086")</f>
        <v>vec00086</v>
      </c>
      <c r="F69477" s="0" t="s">
        <v>12400</v>
      </c>
    </row>
    <row r="69478" customFormat="false" ht="12.8" hidden="false" customHeight="false" outlineLevel="0" collapsed="false">
      <c r="B69478" s="0" t="s">
        <v>1</v>
      </c>
      <c r="C69478" s="0" t="s">
        <v>2157</v>
      </c>
      <c r="E69478" s="0" t="s">
        <v>4943</v>
      </c>
      <c r="F69478" s="0" t="s">
        <v>5999</v>
      </c>
    </row>
    <row r="69479" customFormat="false" ht="12.8" hidden="false" customHeight="false" outlineLevel="0" collapsed="false">
      <c r="B69479" s="0" t="s">
        <v>157</v>
      </c>
    </row>
    <row r="69481" customFormat="false" ht="12.8" hidden="false" customHeight="false" outlineLevel="0" collapsed="false">
      <c r="A69481" s="0" t="s">
        <v>22745</v>
      </c>
      <c r="B69481" s="0" t="str">
        <f aca="false">HYPERLINK("https://lindat.mff.cuni.cz/services/teitok/pdtc10/index.php?action=vallex&amp;frame=v-w9515f2", "zjistit (v-w9515f2)")</f>
        <v>zjistit (v-w9515f2)</v>
      </c>
      <c r="E69481" s="0" t="str">
        <f aca="false">HYPERLINK("https://lindat.mff.cuni.cz/services/SynSemClass40/SynSemClass40.html?veclass=vec00013#vec00013-ces-cm00123", "vec00013")</f>
        <v>vec00013</v>
      </c>
      <c r="F69481" s="0" t="s">
        <v>2742</v>
      </c>
    </row>
    <row r="69482" customFormat="false" ht="12.8" hidden="false" customHeight="false" outlineLevel="0" collapsed="false">
      <c r="B69482" s="0" t="s">
        <v>1</v>
      </c>
      <c r="C69482" s="0" t="s">
        <v>2743</v>
      </c>
      <c r="E69482" s="0" t="s">
        <v>621</v>
      </c>
      <c r="F69482" s="0" t="s">
        <v>2744</v>
      </c>
    </row>
    <row r="69483" customFormat="false" ht="12.8" hidden="false" customHeight="false" outlineLevel="0" collapsed="false">
      <c r="B69483" s="0" t="s">
        <v>22746</v>
      </c>
      <c r="C69483" s="0" t="s">
        <v>2748</v>
      </c>
      <c r="E69483" s="0" t="s">
        <v>218</v>
      </c>
      <c r="F69483" s="0" t="s">
        <v>2749</v>
      </c>
    </row>
    <row r="69484" customFormat="false" ht="12.8" hidden="false" customHeight="false" outlineLevel="0" collapsed="false">
      <c r="B69484" s="0" t="s">
        <v>10235</v>
      </c>
      <c r="C69484" s="0" t="s">
        <v>2746</v>
      </c>
      <c r="E69484" s="0" t="s">
        <v>2217</v>
      </c>
      <c r="F69484" s="0" t="s">
        <v>2747</v>
      </c>
    </row>
    <row r="69485" customFormat="false" ht="12.8" hidden="false" customHeight="false" outlineLevel="0" collapsed="false">
      <c r="B69485" s="0" t="s">
        <v>22747</v>
      </c>
      <c r="C69485" s="0" t="s">
        <v>2750</v>
      </c>
      <c r="E69485" s="0" t="s">
        <v>2176</v>
      </c>
      <c r="F69485" s="0" t="s">
        <v>2751</v>
      </c>
    </row>
    <row r="69487" customFormat="false" ht="12.8" hidden="false" customHeight="false" outlineLevel="0" collapsed="false">
      <c r="A69487" s="0" t="s">
        <v>22748</v>
      </c>
      <c r="B69487" s="0" t="str">
        <f aca="false">HYPERLINK("https://lindat.mff.cuni.cz/services/teitok/pdtc10/index.php?action=vallex&amp;frame=v-w9515f1", "zjistit (v-w9515f1)")</f>
        <v>zjistit (v-w9515f1)</v>
      </c>
      <c r="E69487" s="0" t="str">
        <f aca="false">HYPERLINK("https://lindat.mff.cuni.cz/services/SynSemClass40/SynSemClass40.html?veclass=vec00127#vec00127-ces-cm00097", "vec00127")</f>
        <v>vec00127</v>
      </c>
      <c r="F69487" s="0" t="s">
        <v>1835</v>
      </c>
    </row>
    <row r="69488" customFormat="false" ht="12.8" hidden="false" customHeight="false" outlineLevel="0" collapsed="false">
      <c r="B69488" s="0" t="s">
        <v>1</v>
      </c>
      <c r="C69488" s="0" t="s">
        <v>3461</v>
      </c>
      <c r="E69488" s="0" t="s">
        <v>11</v>
      </c>
      <c r="F69488" s="0" t="s">
        <v>1837</v>
      </c>
    </row>
    <row r="69489" customFormat="false" ht="12.8" hidden="false" customHeight="false" outlineLevel="0" collapsed="false">
      <c r="B69489" s="0" t="s">
        <v>1838</v>
      </c>
      <c r="C69489" s="0" t="s">
        <v>3463</v>
      </c>
      <c r="E69489" s="0" t="s">
        <v>1840</v>
      </c>
      <c r="F69489" s="0" t="s">
        <v>1841</v>
      </c>
    </row>
    <row r="69491" customFormat="false" ht="12.8" hidden="false" customHeight="false" outlineLevel="0" collapsed="false">
      <c r="A69491" s="0" t="s">
        <v>22749</v>
      </c>
      <c r="B69491" s="0" t="str">
        <f aca="false">HYPERLINK("https://lindat.mff.cuni.cz/services/teitok/pdtc10/index.php?action=vallex&amp;frame=v-w11149f2", "zjitřit (v-w11149f2)")</f>
        <v>zjitřit (v-w11149f2)</v>
      </c>
    </row>
    <row r="69492" customFormat="false" ht="12.8" hidden="false" customHeight="false" outlineLevel="0" collapsed="false">
      <c r="B69492" s="0" t="s">
        <v>1</v>
      </c>
    </row>
    <row r="69493" customFormat="false" ht="12.8" hidden="false" customHeight="false" outlineLevel="0" collapsed="false">
      <c r="B69493" s="0" t="s">
        <v>8</v>
      </c>
    </row>
    <row r="69495" customFormat="false" ht="12.8" hidden="false" customHeight="false" outlineLevel="0" collapsed="false">
      <c r="A69495" s="0" t="s">
        <v>22750</v>
      </c>
      <c r="B69495" s="0" t="str">
        <f aca="false">HYPERLINK("https://lindat.mff.cuni.cz/services/teitok/pdtc10/index.php?action=vallex&amp;frame=v-w11151f2", "zjitřovat (v-w11151f2)")</f>
        <v>zjitřovat (v-w11151f2)</v>
      </c>
    </row>
    <row r="69496" customFormat="false" ht="12.8" hidden="false" customHeight="false" outlineLevel="0" collapsed="false">
      <c r="B69496" s="0" t="s">
        <v>1</v>
      </c>
    </row>
    <row r="69497" customFormat="false" ht="12.8" hidden="false" customHeight="false" outlineLevel="0" collapsed="false">
      <c r="B69497" s="0" t="s">
        <v>8</v>
      </c>
    </row>
    <row r="69499" customFormat="false" ht="12.8" hidden="false" customHeight="false" outlineLevel="0" collapsed="false">
      <c r="A69499" s="0" t="s">
        <v>22751</v>
      </c>
      <c r="B69499" s="0" t="str">
        <f aca="false">HYPERLINK("https://lindat.mff.cuni.cz/services/teitok/pdtc10/index.php?action=vallex&amp;frame=v-w9521f1", "zjizvit (v-w9521f1)")</f>
        <v>zjizvit (v-w9521f1)</v>
      </c>
    </row>
    <row r="69500" customFormat="false" ht="12.8" hidden="false" customHeight="false" outlineLevel="0" collapsed="false">
      <c r="B69500" s="0" t="s">
        <v>1</v>
      </c>
    </row>
    <row r="69501" customFormat="false" ht="12.8" hidden="false" customHeight="false" outlineLevel="0" collapsed="false">
      <c r="B69501" s="0" t="s">
        <v>8</v>
      </c>
    </row>
    <row r="69503" customFormat="false" ht="12.8" hidden="false" customHeight="false" outlineLevel="0" collapsed="false">
      <c r="A69503" s="0" t="s">
        <v>22752</v>
      </c>
      <c r="B69503" s="0" t="str">
        <f aca="false">HYPERLINK("https://lindat.mff.cuni.cz/services/teitok/pdtc10/index.php?action=vallex&amp;frame=v-w9520f2", "zjišťovat (v-w9520f2)")</f>
        <v>zjišťovat (v-w9520f2)</v>
      </c>
      <c r="E69503" s="0" t="str">
        <f aca="false">HYPERLINK("https://lindat.mff.cuni.cz/services/SynSemClass40/SynSemClass40.html?veclass=vec00013#vec00013-ces-cm00257", "vec00013")</f>
        <v>vec00013</v>
      </c>
      <c r="F69503" s="0" t="s">
        <v>2742</v>
      </c>
    </row>
    <row r="69504" customFormat="false" ht="12.8" hidden="false" customHeight="false" outlineLevel="0" collapsed="false">
      <c r="B69504" s="0" t="s">
        <v>1</v>
      </c>
      <c r="C69504" s="0" t="s">
        <v>2743</v>
      </c>
      <c r="E69504" s="0" t="s">
        <v>621</v>
      </c>
      <c r="F69504" s="0" t="s">
        <v>2744</v>
      </c>
    </row>
    <row r="69505" customFormat="false" ht="12.8" hidden="false" customHeight="false" outlineLevel="0" collapsed="false">
      <c r="B69505" s="0" t="s">
        <v>22746</v>
      </c>
      <c r="C69505" s="0" t="s">
        <v>2748</v>
      </c>
      <c r="E69505" s="0" t="s">
        <v>218</v>
      </c>
      <c r="F69505" s="0" t="s">
        <v>2749</v>
      </c>
    </row>
    <row r="69506" customFormat="false" ht="12.8" hidden="false" customHeight="false" outlineLevel="0" collapsed="false">
      <c r="B69506" s="0" t="s">
        <v>22753</v>
      </c>
      <c r="C69506" s="0" t="s">
        <v>2746</v>
      </c>
      <c r="E69506" s="0" t="s">
        <v>2217</v>
      </c>
      <c r="F69506" s="0" t="s">
        <v>2747</v>
      </c>
    </row>
    <row r="69507" customFormat="false" ht="12.8" hidden="false" customHeight="false" outlineLevel="0" collapsed="false">
      <c r="B69507" s="0" t="s">
        <v>22747</v>
      </c>
      <c r="C69507" s="0" t="s">
        <v>2750</v>
      </c>
      <c r="E69507" s="0" t="s">
        <v>2176</v>
      </c>
      <c r="F69507" s="0" t="s">
        <v>2751</v>
      </c>
    </row>
    <row r="69509" customFormat="false" ht="12.8" hidden="false" customHeight="false" outlineLevel="0" collapsed="false">
      <c r="A69509" s="0" t="s">
        <v>22754</v>
      </c>
      <c r="B69509" s="0" t="str">
        <f aca="false">HYPERLINK("https://lindat.mff.cuni.cz/services/teitok/pdtc10/index.php?action=vallex&amp;frame=v-w9520f1", "zjišťovat (v-w9520f1)")</f>
        <v>zjišťovat (v-w9520f1)</v>
      </c>
      <c r="E69509" s="0" t="str">
        <f aca="false">HYPERLINK("https://lindat.mff.cuni.cz/services/SynSemClass40/SynSemClass40.html?veclass=vec00090#vec00090-ces-cm00040", "vec00090")</f>
        <v>vec00090</v>
      </c>
      <c r="F69509" s="0" t="s">
        <v>113</v>
      </c>
    </row>
    <row r="69510" customFormat="false" ht="12.8" hidden="false" customHeight="false" outlineLevel="0" collapsed="false">
      <c r="B69510" s="0" t="s">
        <v>1</v>
      </c>
      <c r="C69510" s="0" t="s">
        <v>114</v>
      </c>
      <c r="E69510" s="0" t="s">
        <v>115</v>
      </c>
      <c r="F69510" s="0" t="s">
        <v>116</v>
      </c>
    </row>
    <row r="69511" customFormat="false" ht="12.8" hidden="false" customHeight="false" outlineLevel="0" collapsed="false">
      <c r="B69511" s="0" t="s">
        <v>22755</v>
      </c>
      <c r="C69511" s="0" t="s">
        <v>118</v>
      </c>
      <c r="E69511" s="0" t="s">
        <v>119</v>
      </c>
      <c r="F69511" s="0" t="s">
        <v>120</v>
      </c>
    </row>
    <row r="69513" customFormat="false" ht="12.8" hidden="false" customHeight="false" outlineLevel="0" collapsed="false">
      <c r="A69513" s="0" t="s">
        <v>22756</v>
      </c>
      <c r="B69513" s="0" t="str">
        <f aca="false">HYPERLINK("https://lindat.mff.cuni.cz/services/teitok/pdtc10/index.php?action=vallex&amp;frame=v-w11089f2", "zkalit (v-w11089f2)")</f>
        <v>zkalit (v-w11089f2)</v>
      </c>
    </row>
    <row r="69514" customFormat="false" ht="12.8" hidden="false" customHeight="false" outlineLevel="0" collapsed="false">
      <c r="B69514" s="0" t="s">
        <v>1</v>
      </c>
    </row>
    <row r="69515" customFormat="false" ht="12.8" hidden="false" customHeight="false" outlineLevel="0" collapsed="false">
      <c r="B69515" s="0" t="s">
        <v>8</v>
      </c>
    </row>
    <row r="69517" customFormat="false" ht="12.8" hidden="false" customHeight="false" outlineLevel="0" collapsed="false">
      <c r="A69517" s="0" t="s">
        <v>22757</v>
      </c>
      <c r="B69517" s="0" t="str">
        <f aca="false">HYPERLINK("https://lindat.mff.cuni.cz/services/teitok/pdtc10/index.php?action=vallex&amp;frame=v-whsa_286f1_ZU", "zkapalnit (v-whsa_286f1_ZU)")</f>
        <v>zkapalnit (v-whsa_286f1_ZU)</v>
      </c>
    </row>
    <row r="69518" customFormat="false" ht="12.8" hidden="false" customHeight="false" outlineLevel="0" collapsed="false">
      <c r="B69518" s="0" t="s">
        <v>1</v>
      </c>
    </row>
    <row r="69519" customFormat="false" ht="12.8" hidden="false" customHeight="false" outlineLevel="0" collapsed="false">
      <c r="B69519" s="0" t="s">
        <v>8</v>
      </c>
    </row>
    <row r="69521" customFormat="false" ht="12.8" hidden="false" customHeight="false" outlineLevel="0" collapsed="false">
      <c r="A69521" s="0" t="s">
        <v>22757</v>
      </c>
      <c r="B69521" s="0" t="str">
        <f aca="false">HYPERLINK("https://lindat.mff.cuni.cz/services/teitok/pdtc10/index.php?action=vallex&amp;frame=v-whsa_286hsa_287", "zkapalnit (v-whsa_286hsa_287) - substituted with v-whsa_286f1_ZU")</f>
        <v>zkapalnit (v-whsa_286hsa_287) - substituted with v-whsa_286f1_ZU</v>
      </c>
    </row>
    <row r="69522" customFormat="false" ht="12.8" hidden="false" customHeight="false" outlineLevel="0" collapsed="false">
      <c r="B69522" s="0" t="s">
        <v>1</v>
      </c>
    </row>
    <row r="69523" customFormat="false" ht="12.8" hidden="false" customHeight="false" outlineLevel="0" collapsed="false">
      <c r="B69523" s="0" t="s">
        <v>8</v>
      </c>
    </row>
    <row r="69525" customFormat="false" ht="12.8" hidden="false" customHeight="false" outlineLevel="0" collapsed="false">
      <c r="A69525" s="0" t="s">
        <v>22758</v>
      </c>
      <c r="B69525" s="0" t="str">
        <f aca="false">HYPERLINK("https://lindat.mff.cuni.cz/services/teitok/pdtc10/index.php?action=vallex&amp;frame=v-w9523f1", "zkazit (v-w9523f1)")</f>
        <v>zkazit (v-w9523f1)</v>
      </c>
      <c r="E69525" s="0" t="str">
        <f aca="false">HYPERLINK("https://lindat.mff.cuni.cz/services/SynSemClass40/SynSemClass40.html?veclass=vec00789#vec00789-ces-cm00001", "vec00789")</f>
        <v>vec00789</v>
      </c>
      <c r="F69525" s="0" t="s">
        <v>5464</v>
      </c>
    </row>
    <row r="69526" customFormat="false" ht="12.8" hidden="false" customHeight="false" outlineLevel="0" collapsed="false">
      <c r="B69526" s="0" t="s">
        <v>1</v>
      </c>
      <c r="C69526" s="0" t="s">
        <v>5809</v>
      </c>
      <c r="E69526" s="0" t="s">
        <v>1890</v>
      </c>
      <c r="F69526" s="0" t="s">
        <v>5467</v>
      </c>
    </row>
    <row r="69527" customFormat="false" ht="12.8" hidden="false" customHeight="false" outlineLevel="0" collapsed="false">
      <c r="B69527" s="0" t="s">
        <v>8</v>
      </c>
      <c r="C69527" s="0" t="s">
        <v>4105</v>
      </c>
      <c r="E69527" s="0" t="s">
        <v>1893</v>
      </c>
      <c r="F69527" s="0" t="s">
        <v>5470</v>
      </c>
    </row>
    <row r="69528" customFormat="false" ht="12.8" hidden="false" customHeight="false" outlineLevel="0" collapsed="false">
      <c r="B69528" s="0" t="s">
        <v>132</v>
      </c>
    </row>
    <row r="69530" customFormat="false" ht="12.8" hidden="false" customHeight="false" outlineLevel="0" collapsed="false">
      <c r="A69530" s="0" t="s">
        <v>22759</v>
      </c>
      <c r="B69530" s="0" t="str">
        <f aca="false">HYPERLINK("https://lindat.mff.cuni.cz/services/teitok/pdtc10/index.php?action=vallex&amp;frame=v-w11647_ZUf1_ZU", "zkazit se (v-w11647_ZUf1_ZU)")</f>
        <v>zkazit se (v-w11647_ZUf1_ZU)</v>
      </c>
      <c r="E69530" s="0" t="str">
        <f aca="false">HYPERLINK("https://lindat.mff.cuni.cz/services/SynSemClass40/SynSemClass40.html?veclass=vec00790#vec00790-ces-cm00001", "vec00790")</f>
        <v>vec00790</v>
      </c>
      <c r="F69530" s="0" t="s">
        <v>22760</v>
      </c>
    </row>
    <row r="69531" customFormat="false" ht="12.8" hidden="false" customHeight="false" outlineLevel="0" collapsed="false">
      <c r="B69531" s="0" t="s">
        <v>1</v>
      </c>
      <c r="C69531" s="0" t="s">
        <v>549</v>
      </c>
      <c r="E69531" s="0" t="s">
        <v>22761</v>
      </c>
      <c r="F69531" s="0" t="s">
        <v>22762</v>
      </c>
    </row>
    <row r="69533" customFormat="false" ht="12.8" hidden="false" customHeight="false" outlineLevel="0" collapsed="false">
      <c r="A69533" s="0" t="s">
        <v>22763</v>
      </c>
      <c r="B69533" s="0" t="str">
        <f aca="false">HYPERLINK("https://lindat.mff.cuni.cz/services/teitok/pdtc10/index.php?action=vallex&amp;frame=v-w9526f1", "zklamat (v-w9526f1)")</f>
        <v>zklamat (v-w9526f1)</v>
      </c>
      <c r="E69533" s="0" t="str">
        <f aca="false">HYPERLINK("https://lindat.mff.cuni.cz/services/SynSemClass40/SynSemClass40.html?veclass=vec00587#vec00587-ces-cm00001", "vec00587")</f>
        <v>vec00587</v>
      </c>
      <c r="F69533" s="0" t="s">
        <v>15434</v>
      </c>
    </row>
    <row r="69534" customFormat="false" ht="12.8" hidden="false" customHeight="false" outlineLevel="0" collapsed="false">
      <c r="B69534" s="0" t="s">
        <v>15435</v>
      </c>
      <c r="C69534" s="0" t="s">
        <v>106</v>
      </c>
      <c r="E69534" s="0" t="s">
        <v>1103</v>
      </c>
      <c r="F69534" s="0" t="s">
        <v>15436</v>
      </c>
    </row>
    <row r="69535" customFormat="false" ht="12.8" hidden="false" customHeight="false" outlineLevel="0" collapsed="false">
      <c r="B69535" s="0" t="s">
        <v>8</v>
      </c>
      <c r="C69535" s="0" t="s">
        <v>15437</v>
      </c>
      <c r="E69535" s="0" t="s">
        <v>1399</v>
      </c>
      <c r="F69535" s="0" t="s">
        <v>15438</v>
      </c>
    </row>
    <row r="69537" customFormat="false" ht="12.8" hidden="false" customHeight="false" outlineLevel="0" collapsed="false">
      <c r="A69537" s="0" t="s">
        <v>22764</v>
      </c>
      <c r="B69537" s="0" t="str">
        <f aca="false">HYPERLINK("https://lindat.mff.cuni.cz/services/teitok/pdtc10/index.php?action=vallex&amp;frame=v-w9526f2", "zklamat (v-w9526f2)")</f>
        <v>zklamat (v-w9526f2)</v>
      </c>
    </row>
    <row r="69538" customFormat="false" ht="12.8" hidden="false" customHeight="false" outlineLevel="0" collapsed="false">
      <c r="B69538" s="0" t="s">
        <v>1</v>
      </c>
    </row>
    <row r="69540" customFormat="false" ht="12.8" hidden="false" customHeight="false" outlineLevel="0" collapsed="false">
      <c r="A69540" s="0" t="s">
        <v>22765</v>
      </c>
      <c r="B69540" s="0" t="str">
        <f aca="false">HYPERLINK("https://lindat.mff.cuni.cz/services/teitok/pdtc10/index.php?action=vallex&amp;frame=v-w9528f1", "zklidnit (v-w9528f1)")</f>
        <v>zklidnit (v-w9528f1)</v>
      </c>
      <c r="E69540" s="0" t="str">
        <f aca="false">HYPERLINK("https://lindat.mff.cuni.cz/services/SynSemClass40/SynSemClass40.html?veclass=vec00536#vec00536-ces-cm00017", "vec00536")</f>
        <v>vec00536</v>
      </c>
      <c r="F69540" s="0" t="s">
        <v>1395</v>
      </c>
    </row>
    <row r="69541" customFormat="false" ht="12.8" hidden="false" customHeight="false" outlineLevel="0" collapsed="false">
      <c r="B69541" s="0" t="s">
        <v>1</v>
      </c>
      <c r="C69541" s="0" t="s">
        <v>1396</v>
      </c>
      <c r="E69541" s="0" t="s">
        <v>1103</v>
      </c>
      <c r="F69541" s="0" t="s">
        <v>1397</v>
      </c>
    </row>
    <row r="69542" customFormat="false" ht="12.8" hidden="false" customHeight="false" outlineLevel="0" collapsed="false">
      <c r="B69542" s="0" t="s">
        <v>8</v>
      </c>
      <c r="C69542" s="0" t="s">
        <v>1398</v>
      </c>
      <c r="E69542" s="0" t="s">
        <v>1399</v>
      </c>
      <c r="F69542" s="0" t="s">
        <v>1400</v>
      </c>
    </row>
    <row r="69544" customFormat="false" ht="12.8" hidden="false" customHeight="false" outlineLevel="0" collapsed="false">
      <c r="A69544" s="0" t="s">
        <v>22766</v>
      </c>
      <c r="B69544" s="0" t="str">
        <f aca="false">HYPERLINK("https://lindat.mff.cuni.cz/services/teitok/pdtc10/index.php?action=vallex&amp;frame=v-w11326f2", "zklidnit se (v-w11326f2)")</f>
        <v>zklidnit se (v-w11326f2)</v>
      </c>
      <c r="E69544" s="0" t="str">
        <f aca="false">HYPERLINK("https://lindat.mff.cuni.cz/services/SynSemClass40/SynSemClass40.html?veclass=vec00522#vec00522-ces-cm00004", "vec00522")</f>
        <v>vec00522</v>
      </c>
      <c r="F69544" s="0" t="s">
        <v>16479</v>
      </c>
      <c r="H69544" s="0" t="str">
        <f aca="false">HYPERLINK("https://lindat.mff.cuni.cz/services/SynSemClass40/SynSemClass40.html?veclass=vec01232#vec01232-ces-cm00006", "vec01232")</f>
        <v>vec01232</v>
      </c>
      <c r="I69544" s="0" t="s">
        <v>7664</v>
      </c>
    </row>
    <row r="69545" customFormat="false" ht="12.8" hidden="false" customHeight="false" outlineLevel="0" collapsed="false">
      <c r="B69545" s="0" t="s">
        <v>1</v>
      </c>
      <c r="C69545" s="0" t="s">
        <v>16480</v>
      </c>
      <c r="E69545" s="0" t="s">
        <v>8199</v>
      </c>
      <c r="F69545" s="0" t="s">
        <v>16481</v>
      </c>
      <c r="H69545" s="0" t="s">
        <v>1597</v>
      </c>
      <c r="I69545" s="0" t="s">
        <v>7666</v>
      </c>
    </row>
    <row r="69547" customFormat="false" ht="12.8" hidden="false" customHeight="false" outlineLevel="0" collapsed="false">
      <c r="A69547" s="0" t="s">
        <v>22767</v>
      </c>
      <c r="B69547" s="0" t="str">
        <f aca="false">HYPERLINK("https://lindat.mff.cuni.cz/services/teitok/pdtc10/index.php?action=vallex&amp;frame=v-w10466f2", "zkolabovat (v-w10466f2)")</f>
        <v>zkolabovat (v-w10466f2)</v>
      </c>
    </row>
    <row r="69548" customFormat="false" ht="12.8" hidden="false" customHeight="false" outlineLevel="0" collapsed="false">
      <c r="B69548" s="0" t="s">
        <v>1</v>
      </c>
    </row>
    <row r="69550" customFormat="false" ht="12.8" hidden="false" customHeight="false" outlineLevel="0" collapsed="false">
      <c r="A69550" s="0" t="s">
        <v>22768</v>
      </c>
      <c r="B69550" s="0" t="str">
        <f aca="false">HYPERLINK("https://lindat.mff.cuni.cz/services/teitok/pdtc10/index.php?action=vallex&amp;frame=v-w9529f1", "zkolaudovat (v-w9529f1)")</f>
        <v>zkolaudovat (v-w9529f1)</v>
      </c>
    </row>
    <row r="69551" customFormat="false" ht="12.8" hidden="false" customHeight="false" outlineLevel="0" collapsed="false">
      <c r="B69551" s="0" t="s">
        <v>1</v>
      </c>
    </row>
    <row r="69552" customFormat="false" ht="12.8" hidden="false" customHeight="false" outlineLevel="0" collapsed="false">
      <c r="B69552" s="0" t="s">
        <v>216</v>
      </c>
    </row>
    <row r="69554" customFormat="false" ht="12.8" hidden="false" customHeight="false" outlineLevel="0" collapsed="false">
      <c r="A69554" s="0" t="s">
        <v>22769</v>
      </c>
      <c r="B69554" s="0" t="str">
        <f aca="false">HYPERLINK("https://lindat.mff.cuni.cz/services/teitok/pdtc10/index.php?action=vallex&amp;frame=v-w9530f1", "zkombinovat (v-w9530f1)")</f>
        <v>zkombinovat (v-w9530f1)</v>
      </c>
    </row>
    <row r="69555" customFormat="false" ht="12.8" hidden="false" customHeight="false" outlineLevel="0" collapsed="false">
      <c r="B69555" s="0" t="s">
        <v>1</v>
      </c>
    </row>
    <row r="69556" customFormat="false" ht="12.8" hidden="false" customHeight="false" outlineLevel="0" collapsed="false">
      <c r="B69556" s="0" t="s">
        <v>8</v>
      </c>
    </row>
    <row r="69557" customFormat="false" ht="12.8" hidden="false" customHeight="false" outlineLevel="0" collapsed="false">
      <c r="B69557" s="0" t="s">
        <v>3537</v>
      </c>
    </row>
    <row r="69559" customFormat="false" ht="12.8" hidden="false" customHeight="false" outlineLevel="0" collapsed="false">
      <c r="A69559" s="0" t="s">
        <v>22770</v>
      </c>
      <c r="B69559" s="0" t="str">
        <f aca="false">HYPERLINK("https://lindat.mff.cuni.cz/services/teitok/pdtc10/index.php?action=vallex&amp;frame=v-w11678_ZUf1_ZU", "zkomolit (v-w11678_ZUf1_ZU)")</f>
        <v>zkomolit (v-w11678_ZUf1_ZU)</v>
      </c>
    </row>
    <row r="69560" customFormat="false" ht="12.8" hidden="false" customHeight="false" outlineLevel="0" collapsed="false">
      <c r="B69560" s="0" t="s">
        <v>1</v>
      </c>
    </row>
    <row r="69561" customFormat="false" ht="12.8" hidden="false" customHeight="false" outlineLevel="0" collapsed="false">
      <c r="B69561" s="0" t="s">
        <v>8</v>
      </c>
    </row>
    <row r="69562" customFormat="false" ht="12.8" hidden="false" customHeight="false" outlineLevel="0" collapsed="false">
      <c r="B69562" s="0" t="s">
        <v>101</v>
      </c>
    </row>
    <row r="69563" customFormat="false" ht="12.8" hidden="false" customHeight="false" outlineLevel="0" collapsed="false">
      <c r="B69563" s="0" t="s">
        <v>36</v>
      </c>
    </row>
    <row r="69565" customFormat="false" ht="12.8" hidden="false" customHeight="false" outlineLevel="0" collapsed="false">
      <c r="A69565" s="0" t="s">
        <v>22771</v>
      </c>
      <c r="B69565" s="0" t="str">
        <f aca="false">HYPERLINK("https://lindat.mff.cuni.cz/services/teitok/pdtc10/index.php?action=vallex&amp;frame=v-w10302f2", "zkompletovat (v-w10302f2)")</f>
        <v>zkompletovat (v-w10302f2)</v>
      </c>
    </row>
    <row r="69566" customFormat="false" ht="12.8" hidden="false" customHeight="false" outlineLevel="0" collapsed="false">
      <c r="B69566" s="0" t="s">
        <v>1</v>
      </c>
    </row>
    <row r="69567" customFormat="false" ht="12.8" hidden="false" customHeight="false" outlineLevel="0" collapsed="false">
      <c r="B69567" s="0" t="s">
        <v>8</v>
      </c>
    </row>
    <row r="69569" customFormat="false" ht="12.8" hidden="false" customHeight="false" outlineLevel="0" collapsed="false">
      <c r="A69569" s="0" t="s">
        <v>22772</v>
      </c>
      <c r="B69569" s="0" t="str">
        <f aca="false">HYPERLINK("https://lindat.mff.cuni.cz/services/teitok/pdtc10/index.php?action=vallex&amp;frame=v-w9531f3_ZU", "zkomplikovat (v-w9531f3_ZU)")</f>
        <v>zkomplikovat (v-w9531f3_ZU)</v>
      </c>
    </row>
    <row r="69570" customFormat="false" ht="12.8" hidden="false" customHeight="false" outlineLevel="0" collapsed="false">
      <c r="B69570" s="0" t="s">
        <v>1</v>
      </c>
    </row>
    <row r="69571" customFormat="false" ht="12.8" hidden="false" customHeight="false" outlineLevel="0" collapsed="false">
      <c r="B69571" s="0" t="s">
        <v>8</v>
      </c>
    </row>
    <row r="69572" customFormat="false" ht="12.8" hidden="false" customHeight="false" outlineLevel="0" collapsed="false">
      <c r="B69572" s="0" t="s">
        <v>132</v>
      </c>
    </row>
    <row r="69574" customFormat="false" ht="12.8" hidden="false" customHeight="false" outlineLevel="0" collapsed="false">
      <c r="A69574" s="0" t="s">
        <v>22772</v>
      </c>
      <c r="B69574" s="0" t="str">
        <f aca="false">HYPERLINK("https://lindat.mff.cuni.cz/services/teitok/pdtc10/index.php?action=vallex&amp;frame=v-w9531f1", "zkomplikovat (v-w9531f1) - substituted with v-w9531f3_ZU")</f>
        <v>zkomplikovat (v-w9531f1) - substituted with v-w9531f3_ZU</v>
      </c>
    </row>
    <row r="69575" customFormat="false" ht="12.8" hidden="false" customHeight="false" outlineLevel="0" collapsed="false">
      <c r="B69575" s="0" t="s">
        <v>1</v>
      </c>
    </row>
    <row r="69576" customFormat="false" ht="12.8" hidden="false" customHeight="false" outlineLevel="0" collapsed="false">
      <c r="B69576" s="0" t="s">
        <v>8</v>
      </c>
    </row>
    <row r="69577" customFormat="false" ht="12.8" hidden="false" customHeight="false" outlineLevel="0" collapsed="false">
      <c r="B69577" s="0" t="s">
        <v>132</v>
      </c>
    </row>
    <row r="69579" customFormat="false" ht="12.8" hidden="false" customHeight="false" outlineLevel="0" collapsed="false">
      <c r="A69579" s="0" t="s">
        <v>22772</v>
      </c>
      <c r="B69579" s="0" t="str">
        <f aca="false">HYPERLINK("https://lindat.mff.cuni.cz/services/teitok/pdtc10/index.php?action=vallex&amp;frame=v-w9531f2_ZU", "zkomplikovat (v-w9531f2_ZU) - substituted with v-w9531f3_ZU")</f>
        <v>zkomplikovat (v-w9531f2_ZU) - substituted with v-w9531f3_ZU</v>
      </c>
    </row>
    <row r="69580" customFormat="false" ht="12.8" hidden="false" customHeight="false" outlineLevel="0" collapsed="false">
      <c r="B69580" s="0" t="s">
        <v>1</v>
      </c>
    </row>
    <row r="69581" customFormat="false" ht="12.8" hidden="false" customHeight="false" outlineLevel="0" collapsed="false">
      <c r="B69581" s="0" t="s">
        <v>8</v>
      </c>
    </row>
    <row r="69582" customFormat="false" ht="12.8" hidden="false" customHeight="false" outlineLevel="0" collapsed="false">
      <c r="B69582" s="0" t="s">
        <v>132</v>
      </c>
    </row>
    <row r="69584" customFormat="false" ht="12.8" hidden="false" customHeight="false" outlineLevel="0" collapsed="false">
      <c r="A69584" s="0" t="s">
        <v>22773</v>
      </c>
      <c r="B69584" s="0" t="str">
        <f aca="false">HYPERLINK("https://lindat.mff.cuni.cz/services/teitok/pdtc10/index.php?action=vallex&amp;frame=v-whsa_1153hsa_1154", "zkomplikovat se (v-whsa_1153hsa_1154)")</f>
        <v>zkomplikovat se (v-whsa_1153hsa_1154)</v>
      </c>
      <c r="E69584" s="0" t="str">
        <f aca="false">HYPERLINK("https://lindat.mff.cuni.cz/services/SynSemClass40/SynSemClass40.html?veclass=vec00786#vec00786-ces-cm00059", "vec00786")</f>
        <v>vec00786</v>
      </c>
      <c r="F69584" s="0" t="s">
        <v>4519</v>
      </c>
    </row>
    <row r="69585" customFormat="false" ht="12.8" hidden="false" customHeight="false" outlineLevel="0" collapsed="false">
      <c r="B69585" s="0" t="s">
        <v>1</v>
      </c>
      <c r="C69585" s="0" t="s">
        <v>22692</v>
      </c>
      <c r="E69585" s="0" t="s">
        <v>957</v>
      </c>
      <c r="F69585" s="0" t="s">
        <v>4521</v>
      </c>
    </row>
    <row r="69587" customFormat="false" ht="12.8" hidden="false" customHeight="false" outlineLevel="0" collapsed="false">
      <c r="A69587" s="0" t="s">
        <v>22774</v>
      </c>
      <c r="B69587" s="0" t="str">
        <f aca="false">HYPERLINK("https://lindat.mff.cuni.cz/services/teitok/pdtc10/index.php?action=vallex&amp;frame=v-w9532f1", "zkomponovat (v-w9532f1)")</f>
        <v>zkomponovat (v-w9532f1)</v>
      </c>
    </row>
    <row r="69588" customFormat="false" ht="12.8" hidden="false" customHeight="false" outlineLevel="0" collapsed="false">
      <c r="B69588" s="0" t="s">
        <v>1</v>
      </c>
    </row>
    <row r="69589" customFormat="false" ht="12.8" hidden="false" customHeight="false" outlineLevel="0" collapsed="false">
      <c r="B69589" s="0" t="s">
        <v>8</v>
      </c>
    </row>
    <row r="69591" customFormat="false" ht="12.8" hidden="false" customHeight="false" outlineLevel="0" collapsed="false">
      <c r="A69591" s="0" t="s">
        <v>22775</v>
      </c>
      <c r="B69591" s="0" t="str">
        <f aca="false">HYPERLINK("https://lindat.mff.cuni.cz/services/teitok/pdtc10/index.php?action=vallex&amp;frame=v-w9533f1", "zkoncentrovat se (v-w9533f1)")</f>
        <v>zkoncentrovat se (v-w9533f1)</v>
      </c>
    </row>
    <row r="69592" customFormat="false" ht="12.8" hidden="false" customHeight="false" outlineLevel="0" collapsed="false">
      <c r="B69592" s="0" t="s">
        <v>1</v>
      </c>
    </row>
    <row r="69593" customFormat="false" ht="12.8" hidden="false" customHeight="false" outlineLevel="0" collapsed="false">
      <c r="B69593" s="0" t="s">
        <v>69</v>
      </c>
    </row>
    <row r="69595" customFormat="false" ht="12.8" hidden="false" customHeight="false" outlineLevel="0" collapsed="false">
      <c r="A69595" s="0" t="s">
        <v>22776</v>
      </c>
      <c r="B69595" s="0" t="str">
        <f aca="false">HYPERLINK("https://lindat.mff.cuni.cz/services/teitok/pdtc10/index.php?action=vallex&amp;frame=v-w10644f2", "zkoncipovat (v-w10644f2)")</f>
        <v>zkoncipovat (v-w10644f2)</v>
      </c>
      <c r="E69595" s="0" t="str">
        <f aca="false">HYPERLINK("https://lindat.mff.cuni.cz/services/SynSemClass40/SynSemClass40.html?veclass=vec01496#vec01496-ces-cm00027", "vec01496")</f>
        <v>vec01496</v>
      </c>
      <c r="F69595" s="0" t="s">
        <v>5507</v>
      </c>
    </row>
    <row r="69596" customFormat="false" ht="12.8" hidden="false" customHeight="false" outlineLevel="0" collapsed="false">
      <c r="B69596" s="0" t="s">
        <v>1</v>
      </c>
      <c r="C69596" s="0" t="s">
        <v>7782</v>
      </c>
      <c r="E69596" s="0" t="s">
        <v>768</v>
      </c>
      <c r="F69596" s="0" t="s">
        <v>5510</v>
      </c>
    </row>
    <row r="69597" customFormat="false" ht="12.8" hidden="false" customHeight="false" outlineLevel="0" collapsed="false">
      <c r="B69597" s="0" t="s">
        <v>8</v>
      </c>
      <c r="C69597" s="0" t="s">
        <v>4208</v>
      </c>
      <c r="E69597" s="0" t="s">
        <v>771</v>
      </c>
      <c r="F69597" s="0" t="s">
        <v>5513</v>
      </c>
    </row>
    <row r="69598" customFormat="false" ht="12.8" hidden="false" customHeight="false" outlineLevel="0" collapsed="false">
      <c r="B69598" s="0" t="s">
        <v>36</v>
      </c>
    </row>
    <row r="69600" customFormat="false" ht="12.8" hidden="false" customHeight="false" outlineLevel="0" collapsed="false">
      <c r="A69600" s="0" t="s">
        <v>22777</v>
      </c>
      <c r="B69600" s="0" t="str">
        <f aca="false">HYPERLINK("https://lindat.mff.cuni.cz/services/teitok/pdtc10/index.php?action=vallex&amp;frame=v-w9534f1", "zkonfiskovat (v-w9534f1)")</f>
        <v>zkonfiskovat (v-w9534f1)</v>
      </c>
      <c r="E69600" s="0" t="str">
        <f aca="false">HYPERLINK("https://lindat.mff.cuni.cz/services/SynSemClass40/SynSemClass40.html?veclass=vec00569#vec00569-ces-cm00018", "vec00569")</f>
        <v>vec00569</v>
      </c>
      <c r="F69600" s="0" t="s">
        <v>5518</v>
      </c>
    </row>
    <row r="69601" customFormat="false" ht="12.8" hidden="false" customHeight="false" outlineLevel="0" collapsed="false">
      <c r="B69601" s="0" t="s">
        <v>1</v>
      </c>
      <c r="C69601" s="0" t="s">
        <v>4725</v>
      </c>
      <c r="E69601" s="0" t="s">
        <v>206</v>
      </c>
      <c r="F69601" s="0" t="s">
        <v>5519</v>
      </c>
    </row>
    <row r="69602" customFormat="false" ht="12.8" hidden="false" customHeight="false" outlineLevel="0" collapsed="false">
      <c r="B69602" s="0" t="s">
        <v>8</v>
      </c>
      <c r="C69602" s="0" t="s">
        <v>5520</v>
      </c>
      <c r="E69602" s="0" t="s">
        <v>5521</v>
      </c>
      <c r="F69602" s="0" t="s">
        <v>5522</v>
      </c>
    </row>
    <row r="69604" customFormat="false" ht="12.8" hidden="false" customHeight="false" outlineLevel="0" collapsed="false">
      <c r="A69604" s="0" t="s">
        <v>22778</v>
      </c>
      <c r="B69604" s="0" t="str">
        <f aca="false">HYPERLINK("https://lindat.mff.cuni.cz/services/teitok/pdtc10/index.php?action=vallex&amp;frame=v-w11349f1", "zkonsolidovat (v-w11349f1)")</f>
        <v>zkonsolidovat (v-w11349f1)</v>
      </c>
    </row>
    <row r="69605" customFormat="false" ht="12.8" hidden="false" customHeight="false" outlineLevel="0" collapsed="false">
      <c r="B69605" s="0" t="s">
        <v>1</v>
      </c>
    </row>
    <row r="69606" customFormat="false" ht="12.8" hidden="false" customHeight="false" outlineLevel="0" collapsed="false">
      <c r="B69606" s="0" t="s">
        <v>8</v>
      </c>
    </row>
    <row r="69608" customFormat="false" ht="12.8" hidden="false" customHeight="false" outlineLevel="0" collapsed="false">
      <c r="A69608" s="0" t="s">
        <v>22779</v>
      </c>
      <c r="B69608" s="0" t="str">
        <f aca="false">HYPERLINK("https://lindat.mff.cuni.cz/services/teitok/pdtc10/index.php?action=vallex&amp;frame=v-w9535f2_ZU", "zkonsolidovat se (v-w9535f2_ZU)")</f>
        <v>zkonsolidovat se (v-w9535f2_ZU)</v>
      </c>
    </row>
    <row r="69609" customFormat="false" ht="12.8" hidden="false" customHeight="false" outlineLevel="0" collapsed="false">
      <c r="B69609" s="0" t="s">
        <v>1</v>
      </c>
    </row>
    <row r="69611" customFormat="false" ht="12.8" hidden="false" customHeight="false" outlineLevel="0" collapsed="false">
      <c r="A69611" s="0" t="s">
        <v>22779</v>
      </c>
      <c r="B69611" s="0" t="str">
        <f aca="false">HYPERLINK("https://lindat.mff.cuni.cz/services/teitok/pdtc10/index.php?action=vallex&amp;frame=v-w9535f1", "zkonsolidovat se (v-w9535f1) - substituted with v-w9535f2_ZU")</f>
        <v>zkonsolidovat se (v-w9535f1) - substituted with v-w9535f2_ZU</v>
      </c>
    </row>
    <row r="69612" customFormat="false" ht="12.8" hidden="false" customHeight="false" outlineLevel="0" collapsed="false">
      <c r="B69612" s="0" t="s">
        <v>1</v>
      </c>
    </row>
    <row r="69614" customFormat="false" ht="12.8" hidden="false" customHeight="false" outlineLevel="0" collapsed="false">
      <c r="A69614" s="0" t="s">
        <v>22780</v>
      </c>
      <c r="B69614" s="0" t="str">
        <f aca="false">HYPERLINK("https://lindat.mff.cuni.cz/services/teitok/pdtc10/index.php?action=vallex&amp;frame=v-w9536f1", "zkonstruovat (v-w9536f1)")</f>
        <v>zkonstruovat (v-w9536f1)</v>
      </c>
      <c r="E69614" s="0" t="str">
        <f aca="false">HYPERLINK("https://lindat.mff.cuni.cz/services/SynSemClass40/SynSemClass40.html?veclass=vec00084#vec00084-ces-cm00085", "vec00084")</f>
        <v>vec00084</v>
      </c>
      <c r="F69614" s="0" t="s">
        <v>778</v>
      </c>
    </row>
    <row r="69615" customFormat="false" ht="12.8" hidden="false" customHeight="false" outlineLevel="0" collapsed="false">
      <c r="B69615" s="0" t="s">
        <v>1</v>
      </c>
      <c r="C69615" s="0" t="s">
        <v>5557</v>
      </c>
      <c r="E69615" s="0" t="s">
        <v>31</v>
      </c>
      <c r="F69615" s="0" t="s">
        <v>781</v>
      </c>
    </row>
    <row r="69616" customFormat="false" ht="12.8" hidden="false" customHeight="false" outlineLevel="0" collapsed="false">
      <c r="B69616" s="0" t="s">
        <v>8</v>
      </c>
      <c r="C69616" s="0" t="s">
        <v>5558</v>
      </c>
      <c r="E69616" s="0" t="s">
        <v>771</v>
      </c>
      <c r="F69616" s="0" t="s">
        <v>784</v>
      </c>
    </row>
    <row r="69617" customFormat="false" ht="12.8" hidden="false" customHeight="false" outlineLevel="0" collapsed="false">
      <c r="B69617" s="0" t="s">
        <v>36</v>
      </c>
      <c r="C69617" s="0" t="s">
        <v>6350</v>
      </c>
      <c r="E69617" s="0" t="s">
        <v>787</v>
      </c>
      <c r="F69617" s="0" t="s">
        <v>788</v>
      </c>
    </row>
    <row r="69619" customFormat="false" ht="12.8" hidden="false" customHeight="false" outlineLevel="0" collapsed="false">
      <c r="A69619" s="0" t="s">
        <v>22781</v>
      </c>
      <c r="B69619" s="0" t="str">
        <f aca="false">HYPERLINK("https://lindat.mff.cuni.cz/services/teitok/pdtc10/index.php?action=vallex&amp;frame=v-w11194f3", "zkontaktovat (v-w11194f3)")</f>
        <v>zkontaktovat (v-w11194f3)</v>
      </c>
    </row>
    <row r="69620" customFormat="false" ht="12.8" hidden="false" customHeight="false" outlineLevel="0" collapsed="false">
      <c r="B69620" s="0" t="s">
        <v>1</v>
      </c>
    </row>
    <row r="69621" customFormat="false" ht="12.8" hidden="false" customHeight="false" outlineLevel="0" collapsed="false">
      <c r="B69621" s="0" t="s">
        <v>8</v>
      </c>
    </row>
    <row r="69623" customFormat="false" ht="12.8" hidden="false" customHeight="false" outlineLevel="0" collapsed="false">
      <c r="A69623" s="0" t="s">
        <v>22782</v>
      </c>
      <c r="B69623" s="0" t="str">
        <f aca="false">HYPERLINK("https://lindat.mff.cuni.cz/services/teitok/pdtc10/index.php?action=vallex&amp;frame=v-w9537f1", "zkontrolovat (v-w9537f1)")</f>
        <v>zkontrolovat (v-w9537f1)</v>
      </c>
      <c r="E69623" s="0" t="str">
        <f aca="false">HYPERLINK("https://lindat.mff.cuni.cz/services/SynSemClass40/SynSemClass40.html?veclass=vec00090#vec00090-ces-cm00041", "vec00090")</f>
        <v>vec00090</v>
      </c>
      <c r="F69623" s="0" t="s">
        <v>113</v>
      </c>
      <c r="H69623" s="0" t="str">
        <f aca="false">HYPERLINK("https://lindat.mff.cuni.cz/services/SynSemClass40/SynSemClass40.html?veclass=vec01304#vec01304-ces-cm00030", "vec01304")</f>
        <v>vec01304</v>
      </c>
      <c r="I69623" s="0" t="s">
        <v>302</v>
      </c>
    </row>
    <row r="69624" customFormat="false" ht="12.8" hidden="false" customHeight="false" outlineLevel="0" collapsed="false">
      <c r="B69624" s="0" t="s">
        <v>1</v>
      </c>
      <c r="C69624" s="0" t="s">
        <v>12908</v>
      </c>
      <c r="E69624" s="0" t="s">
        <v>115</v>
      </c>
      <c r="F69624" s="0" t="s">
        <v>116</v>
      </c>
      <c r="H69624" s="0" t="s">
        <v>115</v>
      </c>
      <c r="I69624" s="0" t="s">
        <v>304</v>
      </c>
    </row>
    <row r="69625" customFormat="false" ht="12.8" hidden="false" customHeight="false" outlineLevel="0" collapsed="false">
      <c r="B69625" s="0" t="s">
        <v>13443</v>
      </c>
      <c r="C69625" s="0" t="s">
        <v>12909</v>
      </c>
      <c r="E69625" s="0" t="s">
        <v>119</v>
      </c>
      <c r="F69625" s="0" t="s">
        <v>120</v>
      </c>
      <c r="H69625" s="0" t="s">
        <v>119</v>
      </c>
      <c r="I69625" s="0" t="s">
        <v>307</v>
      </c>
    </row>
    <row r="69627" customFormat="false" ht="12.8" hidden="false" customHeight="false" outlineLevel="0" collapsed="false">
      <c r="A69627" s="0" t="s">
        <v>22783</v>
      </c>
      <c r="B69627" s="0" t="str">
        <f aca="false">HYPERLINK("https://lindat.mff.cuni.cz/services/teitok/pdtc10/index.php?action=vallex&amp;frame=v-w10077f2", "zkonvertovat (v-w10077f2)")</f>
        <v>zkonvertovat (v-w10077f2)</v>
      </c>
    </row>
    <row r="69628" customFormat="false" ht="12.8" hidden="false" customHeight="false" outlineLevel="0" collapsed="false">
      <c r="B69628" s="0" t="s">
        <v>1</v>
      </c>
    </row>
    <row r="69629" customFormat="false" ht="12.8" hidden="false" customHeight="false" outlineLevel="0" collapsed="false">
      <c r="B69629" s="0" t="s">
        <v>8</v>
      </c>
    </row>
    <row r="69630" customFormat="false" ht="12.8" hidden="false" customHeight="false" outlineLevel="0" collapsed="false">
      <c r="B69630" s="0" t="s">
        <v>36</v>
      </c>
    </row>
    <row r="69631" customFormat="false" ht="12.8" hidden="false" customHeight="false" outlineLevel="0" collapsed="false">
      <c r="B69631" s="0" t="s">
        <v>10314</v>
      </c>
    </row>
    <row r="69633" customFormat="false" ht="12.8" hidden="false" customHeight="false" outlineLevel="0" collapsed="false">
      <c r="A69633" s="0" t="s">
        <v>22784</v>
      </c>
      <c r="B69633" s="0" t="str">
        <f aca="false">HYPERLINK("https://lindat.mff.cuni.cz/services/teitok/pdtc10/index.php?action=vallex&amp;frame=v-w11648_ZUf3_ZU", "zkonzistentnit (v-w11648_ZUf3_ZU)")</f>
        <v>zkonzistentnit (v-w11648_ZUf3_ZU)</v>
      </c>
    </row>
    <row r="69634" customFormat="false" ht="12.8" hidden="false" customHeight="false" outlineLevel="0" collapsed="false">
      <c r="B69634" s="0" t="s">
        <v>1</v>
      </c>
    </row>
    <row r="69635" customFormat="false" ht="12.8" hidden="false" customHeight="false" outlineLevel="0" collapsed="false">
      <c r="B69635" s="0" t="s">
        <v>8</v>
      </c>
    </row>
    <row r="69636" customFormat="false" ht="12.8" hidden="false" customHeight="false" outlineLevel="0" collapsed="false">
      <c r="B69636" s="0" t="s">
        <v>276</v>
      </c>
    </row>
    <row r="69637" customFormat="false" ht="12.8" hidden="false" customHeight="false" outlineLevel="0" collapsed="false">
      <c r="B69637" s="0" t="s">
        <v>15862</v>
      </c>
    </row>
    <row r="69639" customFormat="false" ht="12.8" hidden="false" customHeight="false" outlineLevel="0" collapsed="false">
      <c r="A69639" s="0" t="s">
        <v>22784</v>
      </c>
      <c r="B69639" s="0" t="str">
        <f aca="false">HYPERLINK("https://lindat.mff.cuni.cz/services/teitok/pdtc10/index.php?action=vallex&amp;frame=v-w11648_ZUf1_ZU", "zkonzistentnit (v-w11648_ZUf1_ZU) - substituted with v-w11648_ZUf3_ZU")</f>
        <v>zkonzistentnit (v-w11648_ZUf1_ZU) - substituted with v-w11648_ZUf3_ZU</v>
      </c>
    </row>
    <row r="69640" customFormat="false" ht="12.8" hidden="false" customHeight="false" outlineLevel="0" collapsed="false">
      <c r="B69640" s="0" t="s">
        <v>1</v>
      </c>
    </row>
    <row r="69641" customFormat="false" ht="12.8" hidden="false" customHeight="false" outlineLevel="0" collapsed="false">
      <c r="B69641" s="0" t="s">
        <v>8</v>
      </c>
    </row>
    <row r="69642" customFormat="false" ht="12.8" hidden="false" customHeight="false" outlineLevel="0" collapsed="false">
      <c r="B69642" s="0" t="s">
        <v>276</v>
      </c>
    </row>
    <row r="69643" customFormat="false" ht="12.8" hidden="false" customHeight="false" outlineLevel="0" collapsed="false">
      <c r="B69643" s="0" t="s">
        <v>15862</v>
      </c>
    </row>
    <row r="69645" customFormat="false" ht="12.8" hidden="false" customHeight="false" outlineLevel="0" collapsed="false">
      <c r="A69645" s="0" t="s">
        <v>22784</v>
      </c>
      <c r="B69645" s="0" t="str">
        <f aca="false">HYPERLINK("https://lindat.mff.cuni.cz/services/teitok/pdtc10/index.php?action=vallex&amp;frame=v-w11648_ZUf2_ZU", "zkonzistentnit (v-w11648_ZUf2_ZU) - substituted with v-w11648_ZUf3_ZU")</f>
        <v>zkonzistentnit (v-w11648_ZUf2_ZU) - substituted with v-w11648_ZUf3_ZU</v>
      </c>
    </row>
    <row r="69646" customFormat="false" ht="12.8" hidden="false" customHeight="false" outlineLevel="0" collapsed="false">
      <c r="B69646" s="0" t="s">
        <v>1</v>
      </c>
    </row>
    <row r="69647" customFormat="false" ht="12.8" hidden="false" customHeight="false" outlineLevel="0" collapsed="false">
      <c r="B69647" s="0" t="s">
        <v>8</v>
      </c>
    </row>
    <row r="69648" customFormat="false" ht="12.8" hidden="false" customHeight="false" outlineLevel="0" collapsed="false">
      <c r="B69648" s="0" t="s">
        <v>276</v>
      </c>
    </row>
    <row r="69649" customFormat="false" ht="12.8" hidden="false" customHeight="false" outlineLevel="0" collapsed="false">
      <c r="B69649" s="0" t="s">
        <v>15862</v>
      </c>
    </row>
    <row r="69651" customFormat="false" ht="12.8" hidden="false" customHeight="false" outlineLevel="0" collapsed="false">
      <c r="A69651" s="0" t="s">
        <v>22785</v>
      </c>
      <c r="B69651" s="0" t="str">
        <f aca="false">HYPERLINK("https://lindat.mff.cuni.cz/services/teitok/pdtc10/index.php?action=vallex&amp;frame=v-w12335_MMf1_MM", "zkonzolidovat (v-w12335_MMf1_MM)")</f>
        <v>zkonzolidovat (v-w12335_MMf1_MM)</v>
      </c>
    </row>
    <row r="69652" customFormat="false" ht="12.8" hidden="false" customHeight="false" outlineLevel="0" collapsed="false">
      <c r="B69652" s="0" t="s">
        <v>1</v>
      </c>
    </row>
    <row r="69653" customFormat="false" ht="12.8" hidden="false" customHeight="false" outlineLevel="0" collapsed="false">
      <c r="B69653" s="0" t="s">
        <v>8</v>
      </c>
    </row>
    <row r="69655" customFormat="false" ht="12.8" hidden="false" customHeight="false" outlineLevel="0" collapsed="false">
      <c r="A69655" s="0" t="s">
        <v>22786</v>
      </c>
      <c r="B69655" s="0" t="str">
        <f aca="false">HYPERLINK("https://lindat.mff.cuni.cz/services/teitok/pdtc10/index.php?action=vallex&amp;frame=v-w9538f1", "zkonzumovat (v-w9538f1)")</f>
        <v>zkonzumovat (v-w9538f1)</v>
      </c>
    </row>
    <row r="69656" customFormat="false" ht="12.8" hidden="false" customHeight="false" outlineLevel="0" collapsed="false">
      <c r="B69656" s="0" t="s">
        <v>1</v>
      </c>
    </row>
    <row r="69657" customFormat="false" ht="12.8" hidden="false" customHeight="false" outlineLevel="0" collapsed="false">
      <c r="B69657" s="0" t="s">
        <v>8</v>
      </c>
    </row>
    <row r="69659" customFormat="false" ht="12.8" hidden="false" customHeight="false" outlineLevel="0" collapsed="false">
      <c r="A69659" s="0" t="s">
        <v>22787</v>
      </c>
      <c r="B69659" s="0" t="str">
        <f aca="false">HYPERLINK("https://lindat.mff.cuni.cz/services/teitok/pdtc10/index.php?action=vallex&amp;frame=v-w9539f1", "zkoordinovat (v-w9539f1)")</f>
        <v>zkoordinovat (v-w9539f1)</v>
      </c>
      <c r="E69659" s="0" t="str">
        <f aca="false">HYPERLINK("https://lindat.mff.cuni.cz/services/SynSemClass40/SynSemClass40.html?veclass=vec00425#vec00425-ces-cm00003", "vec00425")</f>
        <v>vec00425</v>
      </c>
      <c r="F69659" s="0" t="s">
        <v>5616</v>
      </c>
    </row>
    <row r="69660" customFormat="false" ht="12.8" hidden="false" customHeight="false" outlineLevel="0" collapsed="false">
      <c r="B69660" s="0" t="s">
        <v>1</v>
      </c>
      <c r="C69660" s="0" t="s">
        <v>767</v>
      </c>
      <c r="E69660" s="0" t="s">
        <v>31</v>
      </c>
      <c r="F69660" s="0" t="s">
        <v>5617</v>
      </c>
    </row>
    <row r="69661" customFormat="false" ht="12.8" hidden="false" customHeight="false" outlineLevel="0" collapsed="false">
      <c r="B69661" s="0" t="s">
        <v>8</v>
      </c>
      <c r="C69661" s="0" t="s">
        <v>5618</v>
      </c>
      <c r="E69661" s="0" t="s">
        <v>4852</v>
      </c>
      <c r="F69661" s="0" t="s">
        <v>5619</v>
      </c>
    </row>
    <row r="69662" customFormat="false" ht="12.8" hidden="false" customHeight="false" outlineLevel="0" collapsed="false">
      <c r="B69662" s="0" t="s">
        <v>3537</v>
      </c>
      <c r="C69662" s="0" t="s">
        <v>1851</v>
      </c>
      <c r="E69662" s="0" t="s">
        <v>5445</v>
      </c>
      <c r="F69662" s="0" t="s">
        <v>5620</v>
      </c>
    </row>
    <row r="69664" customFormat="false" ht="12.8" hidden="false" customHeight="false" outlineLevel="0" collapsed="false">
      <c r="A69664" s="0" t="s">
        <v>22788</v>
      </c>
      <c r="B69664" s="0" t="str">
        <f aca="false">HYPERLINK("https://lindat.mff.cuni.cz/services/teitok/pdtc10/index.php?action=vallex&amp;frame=v-w11022f2", "zkopat (v-w11022f2)")</f>
        <v>zkopat (v-w11022f2)</v>
      </c>
    </row>
    <row r="69665" customFormat="false" ht="12.8" hidden="false" customHeight="false" outlineLevel="0" collapsed="false">
      <c r="B69665" s="0" t="s">
        <v>1</v>
      </c>
    </row>
    <row r="69666" customFormat="false" ht="12.8" hidden="false" customHeight="false" outlineLevel="0" collapsed="false">
      <c r="B69666" s="0" t="s">
        <v>8</v>
      </c>
    </row>
    <row r="69668" customFormat="false" ht="12.8" hidden="false" customHeight="false" outlineLevel="0" collapsed="false">
      <c r="A69668" s="0" t="s">
        <v>22789</v>
      </c>
      <c r="B69668" s="0" t="str">
        <f aca="false">HYPERLINK("https://lindat.mff.cuni.cz/services/teitok/pdtc10/index.php?action=vallex&amp;frame=v-w10689f4_ZU", "zkopírovat (v-w10689f4_ZU)")</f>
        <v>zkopírovat (v-w10689f4_ZU)</v>
      </c>
    </row>
    <row r="69669" customFormat="false" ht="12.8" hidden="false" customHeight="false" outlineLevel="0" collapsed="false">
      <c r="B69669" s="0" t="s">
        <v>1</v>
      </c>
    </row>
    <row r="69670" customFormat="false" ht="12.8" hidden="false" customHeight="false" outlineLevel="0" collapsed="false">
      <c r="B69670" s="0" t="s">
        <v>8</v>
      </c>
    </row>
    <row r="69672" customFormat="false" ht="12.8" hidden="false" customHeight="false" outlineLevel="0" collapsed="false">
      <c r="A69672" s="0" t="s">
        <v>22789</v>
      </c>
      <c r="B69672" s="0" t="str">
        <f aca="false">HYPERLINK("https://lindat.mff.cuni.cz/services/teitok/pdtc10/index.php?action=vallex&amp;frame=v-w10689f2", "zkopírovat (v-w10689f2) - substituted with v-w10689f4_ZU")</f>
        <v>zkopírovat (v-w10689f2) - substituted with v-w10689f4_ZU</v>
      </c>
      <c r="E69672" s="0" t="str">
        <f aca="false">HYPERLINK("https://lindat.mff.cuni.cz/services/SynSemClass40/SynSemClass40.html?veclass=vec01246#vec01246-ces-cm00009", "vec01246")</f>
        <v>vec01246</v>
      </c>
      <c r="F69672" s="0" t="s">
        <v>5636</v>
      </c>
    </row>
    <row r="69673" customFormat="false" ht="12.8" hidden="false" customHeight="false" outlineLevel="0" collapsed="false">
      <c r="B69673" s="0" t="s">
        <v>1</v>
      </c>
      <c r="C69673" s="0" t="s">
        <v>447</v>
      </c>
      <c r="E69673" s="0" t="s">
        <v>768</v>
      </c>
      <c r="F69673" s="0" t="s">
        <v>5637</v>
      </c>
    </row>
    <row r="69674" customFormat="false" ht="12.8" hidden="false" customHeight="false" outlineLevel="0" collapsed="false">
      <c r="B69674" s="0" t="s">
        <v>8</v>
      </c>
      <c r="C69674" s="0" t="s">
        <v>827</v>
      </c>
      <c r="E69674" s="0" t="s">
        <v>1569</v>
      </c>
      <c r="F69674" s="0" t="s">
        <v>5638</v>
      </c>
    </row>
    <row r="69676" customFormat="false" ht="12.8" hidden="false" customHeight="false" outlineLevel="0" collapsed="false">
      <c r="A69676" s="0" t="s">
        <v>22790</v>
      </c>
      <c r="B69676" s="0" t="str">
        <f aca="false">HYPERLINK("https://lindat.mff.cuni.cz/services/teitok/pdtc10/index.php?action=vallex&amp;frame=v-w10689f3_ZU", "zkopírovat (v-w10689f3_ZU)")</f>
        <v>zkopírovat (v-w10689f3_ZU)</v>
      </c>
    </row>
    <row r="69677" customFormat="false" ht="12.8" hidden="false" customHeight="false" outlineLevel="0" collapsed="false">
      <c r="B69677" s="0" t="s">
        <v>1</v>
      </c>
    </row>
    <row r="69678" customFormat="false" ht="12.8" hidden="false" customHeight="false" outlineLevel="0" collapsed="false">
      <c r="B69678" s="0" t="s">
        <v>8</v>
      </c>
    </row>
    <row r="69680" customFormat="false" ht="12.8" hidden="false" customHeight="false" outlineLevel="0" collapsed="false">
      <c r="A69680" s="0" t="s">
        <v>22791</v>
      </c>
      <c r="B69680" s="0" t="str">
        <f aca="false">HYPERLINK("https://lindat.mff.cuni.cz/services/teitok/pdtc10/index.php?action=vallex&amp;frame=v-w10776f2", "zkorigovat (v-w10776f2)")</f>
        <v>zkorigovat (v-w10776f2)</v>
      </c>
      <c r="E69680" s="0" t="str">
        <f aca="false">HYPERLINK("https://lindat.mff.cuni.cz/services/SynSemClass40/SynSemClass40.html?veclass=vec01416#vec01416-ces-cm00009", "vec01416")</f>
        <v>vec01416</v>
      </c>
      <c r="F69680" s="0" t="s">
        <v>5648</v>
      </c>
    </row>
    <row r="69681" customFormat="false" ht="12.8" hidden="false" customHeight="false" outlineLevel="0" collapsed="false">
      <c r="B69681" s="0" t="s">
        <v>1</v>
      </c>
      <c r="C69681" s="0" t="s">
        <v>5649</v>
      </c>
      <c r="E69681" s="0" t="s">
        <v>4581</v>
      </c>
      <c r="F69681" s="0" t="s">
        <v>5650</v>
      </c>
    </row>
    <row r="69682" customFormat="false" ht="12.8" hidden="false" customHeight="false" outlineLevel="0" collapsed="false">
      <c r="B69682" s="0" t="s">
        <v>8</v>
      </c>
      <c r="C69682" s="0" t="s">
        <v>5651</v>
      </c>
      <c r="E69682" s="0" t="s">
        <v>142</v>
      </c>
      <c r="F69682" s="0" t="s">
        <v>5652</v>
      </c>
    </row>
    <row r="69683" customFormat="false" ht="12.8" hidden="false" customHeight="false" outlineLevel="0" collapsed="false">
      <c r="B69683" s="0" t="s">
        <v>101</v>
      </c>
      <c r="E69683" s="0" t="s">
        <v>5654</v>
      </c>
      <c r="F69683" s="0" t="s">
        <v>5655</v>
      </c>
    </row>
    <row r="69685" customFormat="false" ht="12.8" hidden="false" customHeight="false" outlineLevel="0" collapsed="false">
      <c r="A69685" s="0" t="s">
        <v>22792</v>
      </c>
      <c r="B69685" s="0" t="str">
        <f aca="false">HYPERLINK("https://lindat.mff.cuni.cz/services/teitok/pdtc10/index.php?action=vallex&amp;frame=v-w9541f1", "zkorumpovat (v-w9541f1)")</f>
        <v>zkorumpovat (v-w9541f1)</v>
      </c>
    </row>
    <row r="69686" customFormat="false" ht="12.8" hidden="false" customHeight="false" outlineLevel="0" collapsed="false">
      <c r="B69686" s="0" t="s">
        <v>1</v>
      </c>
    </row>
    <row r="69687" customFormat="false" ht="12.8" hidden="false" customHeight="false" outlineLevel="0" collapsed="false">
      <c r="B69687" s="0" t="s">
        <v>8</v>
      </c>
    </row>
    <row r="69689" customFormat="false" ht="12.8" hidden="false" customHeight="false" outlineLevel="0" collapsed="false">
      <c r="A69689" s="0" t="s">
        <v>22793</v>
      </c>
      <c r="B69689" s="0" t="str">
        <f aca="false">HYPERLINK("https://lindat.mff.cuni.cz/services/teitok/pdtc10/index.php?action=vallex&amp;frame=v-w9543f1", "zkoumat (v-w9543f1)")</f>
        <v>zkoumat (v-w9543f1)</v>
      </c>
      <c r="E69689" s="0" t="str">
        <f aca="false">HYPERLINK("https://lindat.mff.cuni.cz/services/SynSemClass40/SynSemClass40.html?veclass=vec00090#vec00090-ces-cm00042", "vec00090")</f>
        <v>vec00090</v>
      </c>
      <c r="F69689" s="0" t="s">
        <v>113</v>
      </c>
      <c r="H69689" s="0" t="str">
        <f aca="false">HYPERLINK("https://lindat.mff.cuni.cz/services/SynSemClass40/SynSemClass40.html?veclass=vec01304#vec01304-ces-cm00031", "vec01304")</f>
        <v>vec01304</v>
      </c>
      <c r="I69689" s="0" t="s">
        <v>302</v>
      </c>
    </row>
    <row r="69690" customFormat="false" ht="12.8" hidden="false" customHeight="false" outlineLevel="0" collapsed="false">
      <c r="B69690" s="0" t="s">
        <v>1</v>
      </c>
      <c r="C69690" s="0" t="s">
        <v>12908</v>
      </c>
      <c r="E69690" s="0" t="s">
        <v>115</v>
      </c>
      <c r="F69690" s="0" t="s">
        <v>116</v>
      </c>
      <c r="H69690" s="0" t="s">
        <v>115</v>
      </c>
      <c r="I69690" s="0" t="s">
        <v>304</v>
      </c>
    </row>
    <row r="69691" customFormat="false" ht="12.8" hidden="false" customHeight="false" outlineLevel="0" collapsed="false">
      <c r="B69691" s="0" t="s">
        <v>2493</v>
      </c>
      <c r="C69691" s="0" t="s">
        <v>12909</v>
      </c>
      <c r="E69691" s="0" t="s">
        <v>119</v>
      </c>
      <c r="F69691" s="0" t="s">
        <v>120</v>
      </c>
      <c r="H69691" s="0" t="s">
        <v>119</v>
      </c>
      <c r="I69691" s="0" t="s">
        <v>307</v>
      </c>
    </row>
    <row r="69693" customFormat="false" ht="12.8" hidden="false" customHeight="false" outlineLevel="0" collapsed="false">
      <c r="A69693" s="0" t="s">
        <v>22794</v>
      </c>
      <c r="B69693" s="0" t="str">
        <f aca="false">HYPERLINK("https://lindat.mff.cuni.cz/services/teitok/pdtc10/index.php?action=vallex&amp;frame=v-w9544f6", "zkoušet (v-w9544f6)")</f>
        <v>zkoušet (v-w9544f6)</v>
      </c>
    </row>
    <row r="69694" customFormat="false" ht="12.8" hidden="false" customHeight="false" outlineLevel="0" collapsed="false">
      <c r="B69694" s="0" t="s">
        <v>1</v>
      </c>
    </row>
    <row r="69695" customFormat="false" ht="12.8" hidden="false" customHeight="false" outlineLevel="0" collapsed="false">
      <c r="B69695" s="0" t="s">
        <v>8</v>
      </c>
    </row>
    <row r="69696" customFormat="false" ht="12.8" hidden="false" customHeight="false" outlineLevel="0" collapsed="false">
      <c r="B69696" s="0" t="s">
        <v>162</v>
      </c>
    </row>
    <row r="69698" customFormat="false" ht="12.8" hidden="false" customHeight="false" outlineLevel="0" collapsed="false">
      <c r="A69698" s="0" t="s">
        <v>22795</v>
      </c>
      <c r="B69698" s="0" t="str">
        <f aca="false">HYPERLINK("https://lindat.mff.cuni.cz/services/teitok/pdtc10/index.php?action=vallex&amp;frame=v-w9544f8_ZU", "zkoušet (v-w9544f8_ZU)")</f>
        <v>zkoušet (v-w9544f8_ZU)</v>
      </c>
    </row>
    <row r="69699" customFormat="false" ht="12.8" hidden="false" customHeight="false" outlineLevel="0" collapsed="false">
      <c r="B69699" s="0" t="s">
        <v>1</v>
      </c>
    </row>
    <row r="69700" customFormat="false" ht="12.8" hidden="false" customHeight="false" outlineLevel="0" collapsed="false">
      <c r="B69700" s="0" t="s">
        <v>8</v>
      </c>
    </row>
    <row r="69701" customFormat="false" ht="12.8" hidden="false" customHeight="false" outlineLevel="0" collapsed="false">
      <c r="B69701" s="0" t="s">
        <v>22796</v>
      </c>
    </row>
    <row r="69703" customFormat="false" ht="12.8" hidden="false" customHeight="false" outlineLevel="0" collapsed="false">
      <c r="A69703" s="0" t="s">
        <v>22795</v>
      </c>
      <c r="B69703" s="0" t="str">
        <f aca="false">HYPERLINK("https://lindat.mff.cuni.cz/services/teitok/pdtc10/index.php?action=vallex&amp;frame=v-w9544f4", "zkoušet (v-w9544f4) - substituted with v-w9544f8_ZU")</f>
        <v>zkoušet (v-w9544f4) - substituted with v-w9544f8_ZU</v>
      </c>
    </row>
    <row r="69704" customFormat="false" ht="12.8" hidden="false" customHeight="false" outlineLevel="0" collapsed="false">
      <c r="B69704" s="0" t="s">
        <v>1</v>
      </c>
    </row>
    <row r="69705" customFormat="false" ht="12.8" hidden="false" customHeight="false" outlineLevel="0" collapsed="false">
      <c r="B69705" s="0" t="s">
        <v>8</v>
      </c>
    </row>
    <row r="69706" customFormat="false" ht="12.8" hidden="false" customHeight="false" outlineLevel="0" collapsed="false">
      <c r="B69706" s="0" t="s">
        <v>22796</v>
      </c>
    </row>
    <row r="69708" customFormat="false" ht="12.8" hidden="false" customHeight="false" outlineLevel="0" collapsed="false">
      <c r="A69708" s="0" t="s">
        <v>22795</v>
      </c>
      <c r="B69708" s="0" t="str">
        <f aca="false">HYPERLINK("https://lindat.mff.cuni.cz/services/teitok/pdtc10/index.php?action=vallex&amp;frame=v-w9544hsa_1673", "zkoušet (v-w9544hsa_1673) - substituted with v-w9544f8_ZU")</f>
        <v>zkoušet (v-w9544hsa_1673) - substituted with v-w9544f8_ZU</v>
      </c>
    </row>
    <row r="69709" customFormat="false" ht="12.8" hidden="false" customHeight="false" outlineLevel="0" collapsed="false">
      <c r="B69709" s="0" t="s">
        <v>1</v>
      </c>
    </row>
    <row r="69710" customFormat="false" ht="12.8" hidden="false" customHeight="false" outlineLevel="0" collapsed="false">
      <c r="B69710" s="0" t="s">
        <v>8</v>
      </c>
    </row>
    <row r="69711" customFormat="false" ht="12.8" hidden="false" customHeight="false" outlineLevel="0" collapsed="false">
      <c r="B69711" s="0" t="s">
        <v>22796</v>
      </c>
    </row>
    <row r="69713" customFormat="false" ht="12.8" hidden="false" customHeight="false" outlineLevel="0" collapsed="false">
      <c r="A69713" s="0" t="s">
        <v>22797</v>
      </c>
      <c r="B69713" s="0" t="str">
        <f aca="false">HYPERLINK("https://lindat.mff.cuni.cz/services/teitok/pdtc10/index.php?action=vallex&amp;frame=v-w9544f2", "zkoušet (v-w9544f2)")</f>
        <v>zkoušet (v-w9544f2)</v>
      </c>
    </row>
    <row r="69714" customFormat="false" ht="12.8" hidden="false" customHeight="false" outlineLevel="0" collapsed="false">
      <c r="B69714" s="0" t="s">
        <v>1</v>
      </c>
    </row>
    <row r="69715" customFormat="false" ht="12.8" hidden="false" customHeight="false" outlineLevel="0" collapsed="false">
      <c r="B69715" s="0" t="s">
        <v>402</v>
      </c>
    </row>
    <row r="69717" customFormat="false" ht="12.8" hidden="false" customHeight="false" outlineLevel="0" collapsed="false">
      <c r="A69717" s="0" t="s">
        <v>22798</v>
      </c>
      <c r="B69717" s="0" t="str">
        <f aca="false">HYPERLINK("https://lindat.mff.cuni.cz/services/teitok/pdtc10/index.php?action=vallex&amp;frame=v-w9544f5", "zkoušet (v-w9544f5)")</f>
        <v>zkoušet (v-w9544f5)</v>
      </c>
    </row>
    <row r="69718" customFormat="false" ht="12.8" hidden="false" customHeight="false" outlineLevel="0" collapsed="false">
      <c r="B69718" s="0" t="s">
        <v>1</v>
      </c>
    </row>
    <row r="69719" customFormat="false" ht="12.8" hidden="false" customHeight="false" outlineLevel="0" collapsed="false">
      <c r="B69719" s="0" t="s">
        <v>8</v>
      </c>
    </row>
    <row r="69721" customFormat="false" ht="12.8" hidden="false" customHeight="false" outlineLevel="0" collapsed="false">
      <c r="A69721" s="0" t="s">
        <v>22799</v>
      </c>
      <c r="B69721" s="0" t="str">
        <f aca="false">HYPERLINK("https://lindat.mff.cuni.cz/services/teitok/pdtc10/index.php?action=vallex&amp;frame=v-w9544f3", "zkoušet (v-w9544f3)")</f>
        <v>zkoušet (v-w9544f3)</v>
      </c>
    </row>
    <row r="69722" customFormat="false" ht="12.8" hidden="false" customHeight="false" outlineLevel="0" collapsed="false">
      <c r="B69722" s="0" t="s">
        <v>1</v>
      </c>
    </row>
    <row r="69723" customFormat="false" ht="12.8" hidden="false" customHeight="false" outlineLevel="0" collapsed="false">
      <c r="B69723" s="0" t="s">
        <v>8</v>
      </c>
    </row>
    <row r="69725" customFormat="false" ht="12.8" hidden="false" customHeight="false" outlineLevel="0" collapsed="false">
      <c r="A69725" s="0" t="s">
        <v>22800</v>
      </c>
      <c r="B69725" s="0" t="str">
        <f aca="false">HYPERLINK("https://lindat.mff.cuni.cz/services/teitok/pdtc10/index.php?action=vallex&amp;frame=v-w9544f7_ZU", "zkoušet (v-w9544f7_ZU)")</f>
        <v>zkoušet (v-w9544f7_ZU)</v>
      </c>
      <c r="E69725" s="0" t="str">
        <f aca="false">HYPERLINK("https://lindat.mff.cuni.cz/services/SynSemClass40/SynSemClass40.html?veclass=vec00058#vec00058-ces-cm00023", "vec00058")</f>
        <v>vec00058</v>
      </c>
      <c r="F69725" s="0" t="s">
        <v>8689</v>
      </c>
      <c r="H69725" s="0" t="str">
        <f aca="false">HYPERLINK("https://lindat.mff.cuni.cz/services/SynSemClass40/SynSemClass40.html?veclass=vec00117#vec00117-ces-cm00072", "vec00117")</f>
        <v>vec00117</v>
      </c>
      <c r="I69725" s="0" t="s">
        <v>517</v>
      </c>
    </row>
    <row r="69726" customFormat="false" ht="12.8" hidden="false" customHeight="false" outlineLevel="0" collapsed="false">
      <c r="B69726" s="0" t="s">
        <v>1</v>
      </c>
      <c r="C69726" s="0" t="s">
        <v>22801</v>
      </c>
      <c r="E69726" s="0" t="s">
        <v>4455</v>
      </c>
      <c r="F69726" s="0" t="s">
        <v>8690</v>
      </c>
      <c r="H69726" s="0" t="s">
        <v>519</v>
      </c>
      <c r="I69726" s="0" t="s">
        <v>520</v>
      </c>
    </row>
    <row r="69727" customFormat="false" ht="12.8" hidden="false" customHeight="false" outlineLevel="0" collapsed="false">
      <c r="B69727" s="0" t="s">
        <v>22802</v>
      </c>
      <c r="C69727" s="0" t="s">
        <v>22803</v>
      </c>
      <c r="E69727" s="0" t="s">
        <v>180</v>
      </c>
      <c r="F69727" s="0" t="s">
        <v>8692</v>
      </c>
      <c r="H69727" s="0" t="s">
        <v>523</v>
      </c>
      <c r="I69727" s="0" t="s">
        <v>524</v>
      </c>
    </row>
    <row r="69729" customFormat="false" ht="12.8" hidden="false" customHeight="false" outlineLevel="0" collapsed="false">
      <c r="A69729" s="0" t="s">
        <v>22800</v>
      </c>
      <c r="B69729" s="0" t="str">
        <f aca="false">HYPERLINK("https://lindat.mff.cuni.cz/services/teitok/pdtc10/index.php?action=vallex&amp;frame=v-w9544f1", "zkoušet (v-w9544f1) - substituted with v-w9544f7_ZU")</f>
        <v>zkoušet (v-w9544f1) - substituted with v-w9544f7_ZU</v>
      </c>
    </row>
    <row r="69730" customFormat="false" ht="12.8" hidden="false" customHeight="false" outlineLevel="0" collapsed="false">
      <c r="B69730" s="0" t="s">
        <v>1</v>
      </c>
    </row>
    <row r="69731" customFormat="false" ht="12.8" hidden="false" customHeight="false" outlineLevel="0" collapsed="false">
      <c r="B69731" s="0" t="s">
        <v>22802</v>
      </c>
    </row>
    <row r="69733" customFormat="false" ht="12.8" hidden="false" customHeight="false" outlineLevel="0" collapsed="false">
      <c r="A69733" s="0" t="s">
        <v>22804</v>
      </c>
      <c r="B69733" s="0" t="str">
        <f aca="false">HYPERLINK("https://lindat.mff.cuni.cz/services/teitok/pdtc10/index.php?action=vallex&amp;frame=v-w9545f1", "zkoušet si (v-w9545f1)")</f>
        <v>zkoušet si (v-w9545f1)</v>
      </c>
    </row>
    <row r="69734" customFormat="false" ht="12.8" hidden="false" customHeight="false" outlineLevel="0" collapsed="false">
      <c r="B69734" s="0" t="s">
        <v>1</v>
      </c>
    </row>
    <row r="69735" customFormat="false" ht="12.8" hidden="false" customHeight="false" outlineLevel="0" collapsed="false">
      <c r="B69735" s="0" t="s">
        <v>8</v>
      </c>
    </row>
    <row r="69737" customFormat="false" ht="12.8" hidden="false" customHeight="false" outlineLevel="0" collapsed="false">
      <c r="A69737" s="0" t="s">
        <v>22805</v>
      </c>
      <c r="B69737" s="0" t="str">
        <f aca="false">HYPERLINK("https://lindat.mff.cuni.cz/services/teitok/pdtc10/index.php?action=vallex&amp;frame=v-w9550f1", "zkrachovat (v-w9550f1)")</f>
        <v>zkrachovat (v-w9550f1)</v>
      </c>
      <c r="E69737" s="0" t="str">
        <f aca="false">HYPERLINK("https://lindat.mff.cuni.cz/services/SynSemClass40/SynSemClass40.html?veclass=vec00599#vec00599-ces-cm00021", "vec00599")</f>
        <v>vec00599</v>
      </c>
      <c r="F69737" s="0" t="s">
        <v>4593</v>
      </c>
    </row>
    <row r="69738" customFormat="false" ht="12.8" hidden="false" customHeight="false" outlineLevel="0" collapsed="false">
      <c r="B69738" s="0" t="s">
        <v>1</v>
      </c>
      <c r="C69738" s="0" t="s">
        <v>4594</v>
      </c>
      <c r="E69738" s="0" t="s">
        <v>4595</v>
      </c>
      <c r="F69738" s="0" t="s">
        <v>4596</v>
      </c>
    </row>
    <row r="69740" customFormat="false" ht="12.8" hidden="false" customHeight="false" outlineLevel="0" collapsed="false">
      <c r="A69740" s="0" t="s">
        <v>22806</v>
      </c>
      <c r="B69740" s="0" t="str">
        <f aca="false">HYPERLINK("https://lindat.mff.cuni.cz/services/teitok/pdtc10/index.php?action=vallex&amp;frame=v-w9549f1", "zkracovat (v-w9549f1)")</f>
        <v>zkracovat (v-w9549f1)</v>
      </c>
      <c r="E69740" s="0" t="str">
        <f aca="false">HYPERLINK("https://lindat.mff.cuni.cz/services/SynSemClass40/SynSemClass40.html?veclass=vec00588#vec00588-ces-cm00033", "vec00588")</f>
        <v>vec00588</v>
      </c>
      <c r="F69740" s="0" t="s">
        <v>5785</v>
      </c>
    </row>
    <row r="69741" customFormat="false" ht="12.8" hidden="false" customHeight="false" outlineLevel="0" collapsed="false">
      <c r="B69741" s="0" t="s">
        <v>1</v>
      </c>
      <c r="C69741" s="0" t="s">
        <v>2240</v>
      </c>
      <c r="E69741" s="0" t="s">
        <v>31</v>
      </c>
      <c r="F69741" s="0" t="s">
        <v>5788</v>
      </c>
    </row>
    <row r="69742" customFormat="false" ht="12.8" hidden="false" customHeight="false" outlineLevel="0" collapsed="false">
      <c r="B69742" s="0" t="s">
        <v>8</v>
      </c>
      <c r="C69742" s="0" t="s">
        <v>22807</v>
      </c>
      <c r="E69742" s="0" t="s">
        <v>1569</v>
      </c>
      <c r="F69742" s="0" t="s">
        <v>5791</v>
      </c>
    </row>
    <row r="69743" customFormat="false" ht="12.8" hidden="false" customHeight="false" outlineLevel="0" collapsed="false">
      <c r="B69743" s="0" t="s">
        <v>36</v>
      </c>
      <c r="C69743" s="0" t="s">
        <v>22808</v>
      </c>
      <c r="E69743" s="0" t="s">
        <v>5152</v>
      </c>
      <c r="F69743" s="0" t="s">
        <v>5794</v>
      </c>
    </row>
    <row r="69744" customFormat="false" ht="12.8" hidden="false" customHeight="false" outlineLevel="0" collapsed="false">
      <c r="B69744" s="0" t="s">
        <v>101</v>
      </c>
      <c r="C69744" s="0" t="s">
        <v>22809</v>
      </c>
      <c r="E69744" s="0" t="s">
        <v>5796</v>
      </c>
      <c r="F69744" s="0" t="s">
        <v>5798</v>
      </c>
    </row>
    <row r="69746" customFormat="false" ht="12.8" hidden="false" customHeight="false" outlineLevel="0" collapsed="false">
      <c r="A69746" s="0" t="s">
        <v>22810</v>
      </c>
      <c r="B69746" s="0" t="str">
        <f aca="false">HYPERLINK("https://lindat.mff.cuni.cz/services/teitok/pdtc10/index.php?action=vallex&amp;frame=v-w9555f1", "zkreslit (v-w9555f1)")</f>
        <v>zkreslit (v-w9555f1)</v>
      </c>
      <c r="E69746" s="0" t="str">
        <f aca="false">HYPERLINK("https://lindat.mff.cuni.cz/services/SynSemClass40/SynSemClass40.html?veclass=vec00791#vec00791-ces-cm00005", "vec00791")</f>
        <v>vec00791</v>
      </c>
      <c r="F69746" s="0" t="s">
        <v>4768</v>
      </c>
    </row>
    <row r="69747" customFormat="false" ht="12.8" hidden="false" customHeight="false" outlineLevel="0" collapsed="false">
      <c r="B69747" s="0" t="s">
        <v>1</v>
      </c>
      <c r="C69747" s="0" t="s">
        <v>4264</v>
      </c>
      <c r="E69747" s="0" t="s">
        <v>4726</v>
      </c>
      <c r="F69747" s="0" t="s">
        <v>4769</v>
      </c>
    </row>
    <row r="69748" customFormat="false" ht="12.8" hidden="false" customHeight="false" outlineLevel="0" collapsed="false">
      <c r="B69748" s="0" t="s">
        <v>8</v>
      </c>
      <c r="C69748" s="0" t="s">
        <v>4770</v>
      </c>
      <c r="E69748" s="0" t="s">
        <v>142</v>
      </c>
      <c r="F69748" s="0" t="s">
        <v>4771</v>
      </c>
    </row>
    <row r="69750" customFormat="false" ht="12.8" hidden="false" customHeight="false" outlineLevel="0" collapsed="false">
      <c r="A69750" s="0" t="s">
        <v>22811</v>
      </c>
      <c r="B69750" s="0" t="str">
        <f aca="false">HYPERLINK("https://lindat.mff.cuni.cz/services/teitok/pdtc10/index.php?action=vallex&amp;frame=v-w9556f1", "zkreslovat (v-w9556f1)")</f>
        <v>zkreslovat (v-w9556f1)</v>
      </c>
      <c r="E69750" s="0" t="str">
        <f aca="false">HYPERLINK("https://lindat.mff.cuni.cz/services/SynSemClass40/SynSemClass40.html?veclass=vec00791#vec00791-ces-cm00001", "vec00791")</f>
        <v>vec00791</v>
      </c>
      <c r="F69750" s="0" t="s">
        <v>4768</v>
      </c>
      <c r="H69750" s="0" t="str">
        <f aca="false">HYPERLINK("https://lindat.mff.cuni.cz/services/SynSemClass40/SynSemClass40.html?veclass=vec01381#vec01381-ces-cm00005", "vec01381")</f>
        <v>vec01381</v>
      </c>
      <c r="I69750" s="0" t="s">
        <v>4104</v>
      </c>
    </row>
    <row r="69751" customFormat="false" ht="12.8" hidden="false" customHeight="false" outlineLevel="0" collapsed="false">
      <c r="B69751" s="0" t="s">
        <v>1</v>
      </c>
      <c r="C69751" s="0" t="s">
        <v>657</v>
      </c>
      <c r="E69751" s="0" t="s">
        <v>4726</v>
      </c>
      <c r="F69751" s="0" t="s">
        <v>4769</v>
      </c>
      <c r="H69751" s="0" t="s">
        <v>1573</v>
      </c>
      <c r="I69751" s="0" t="s">
        <v>2626</v>
      </c>
    </row>
    <row r="69752" customFormat="false" ht="12.8" hidden="false" customHeight="false" outlineLevel="0" collapsed="false">
      <c r="B69752" s="0" t="s">
        <v>59</v>
      </c>
      <c r="C69752" s="0" t="s">
        <v>22812</v>
      </c>
      <c r="E69752" s="0" t="s">
        <v>142</v>
      </c>
      <c r="F69752" s="0" t="s">
        <v>4771</v>
      </c>
      <c r="H69752" s="0" t="s">
        <v>142</v>
      </c>
      <c r="I69752" s="0" t="s">
        <v>4106</v>
      </c>
    </row>
    <row r="69754" customFormat="false" ht="12.8" hidden="false" customHeight="false" outlineLevel="0" collapsed="false">
      <c r="A69754" s="0" t="s">
        <v>22813</v>
      </c>
      <c r="B69754" s="0" t="str">
        <f aca="false">HYPERLINK("https://lindat.mff.cuni.cz/services/teitok/pdtc10/index.php?action=vallex&amp;frame=v-w10934f2", "zkritizovat (v-w10934f2)")</f>
        <v>zkritizovat (v-w10934f2)</v>
      </c>
      <c r="E69754" s="0" t="str">
        <f aca="false">HYPERLINK("https://lindat.mff.cuni.cz/services/SynSemClass40/SynSemClass40.html?veclass=vec00230#vec00230-ces-cm00034", "vec00230")</f>
        <v>vec00230</v>
      </c>
      <c r="F69754" s="0" t="s">
        <v>4255</v>
      </c>
      <c r="H69754" s="0" t="str">
        <f aca="false">HYPERLINK("https://lindat.mff.cuni.cz/services/SynSemClass40/SynSemClass40.html?veclass=vec00675#vec00675-ces-cm00029", "vec00675")</f>
        <v>vec00675</v>
      </c>
      <c r="I69754" s="0" t="s">
        <v>1516</v>
      </c>
    </row>
    <row r="69755" customFormat="false" ht="12.8" hidden="false" customHeight="false" outlineLevel="0" collapsed="false">
      <c r="B69755" s="0" t="s">
        <v>1</v>
      </c>
      <c r="C69755" s="0" t="s">
        <v>16337</v>
      </c>
      <c r="E69755" s="0" t="s">
        <v>3750</v>
      </c>
      <c r="F69755" s="0" t="s">
        <v>4257</v>
      </c>
      <c r="H69755" s="0" t="s">
        <v>206</v>
      </c>
      <c r="I69755" s="0" t="s">
        <v>1518</v>
      </c>
    </row>
    <row r="69756" customFormat="false" ht="12.8" hidden="false" customHeight="false" outlineLevel="0" collapsed="false">
      <c r="B69756" s="0" t="s">
        <v>228</v>
      </c>
      <c r="C69756" s="0" t="s">
        <v>22814</v>
      </c>
      <c r="E69756" s="0" t="s">
        <v>4259</v>
      </c>
      <c r="F69756" s="0" t="s">
        <v>4260</v>
      </c>
      <c r="H69756" s="0" t="s">
        <v>159</v>
      </c>
      <c r="I69756" s="0" t="s">
        <v>1520</v>
      </c>
    </row>
    <row r="69758" customFormat="false" ht="12.8" hidden="false" customHeight="false" outlineLevel="0" collapsed="false">
      <c r="A69758" s="0" t="s">
        <v>22815</v>
      </c>
      <c r="B69758" s="0" t="str">
        <f aca="false">HYPERLINK("https://lindat.mff.cuni.cz/services/teitok/pdtc10/index.php?action=vallex&amp;frame=v-w9557f1", "zkrotit (v-w9557f1)")</f>
        <v>zkrotit (v-w9557f1)</v>
      </c>
    </row>
    <row r="69759" customFormat="false" ht="12.8" hidden="false" customHeight="false" outlineLevel="0" collapsed="false">
      <c r="B69759" s="0" t="s">
        <v>1</v>
      </c>
    </row>
    <row r="69760" customFormat="false" ht="12.8" hidden="false" customHeight="false" outlineLevel="0" collapsed="false">
      <c r="B69760" s="0" t="s">
        <v>8</v>
      </c>
    </row>
    <row r="69762" customFormat="false" ht="12.8" hidden="false" customHeight="false" outlineLevel="0" collapsed="false">
      <c r="A69762" s="0" t="s">
        <v>22816</v>
      </c>
      <c r="B69762" s="0" t="str">
        <f aca="false">HYPERLINK("https://lindat.mff.cuni.cz/services/teitok/pdtc10/index.php?action=vallex&amp;frame=v-w9557f2", "zkrotit (v-w9557f2)")</f>
        <v>zkrotit (v-w9557f2)</v>
      </c>
      <c r="E69762" s="0" t="str">
        <f aca="false">HYPERLINK("https://lindat.mff.cuni.cz/services/SynSemClass40/SynSemClass40.html?veclass=vec00521#vec00521-ces-cm00005", "vec00521")</f>
        <v>vec00521</v>
      </c>
      <c r="F69762" s="0" t="s">
        <v>8198</v>
      </c>
    </row>
    <row r="69763" customFormat="false" ht="12.8" hidden="false" customHeight="false" outlineLevel="0" collapsed="false">
      <c r="B69763" s="0" t="s">
        <v>1</v>
      </c>
      <c r="C69763" s="0" t="s">
        <v>447</v>
      </c>
      <c r="E69763" s="0" t="s">
        <v>8199</v>
      </c>
      <c r="F69763" s="0" t="s">
        <v>8200</v>
      </c>
    </row>
    <row r="69764" customFormat="false" ht="12.8" hidden="false" customHeight="false" outlineLevel="0" collapsed="false">
      <c r="B69764" s="0" t="s">
        <v>8</v>
      </c>
      <c r="C69764" s="0" t="s">
        <v>4770</v>
      </c>
      <c r="E69764" s="0" t="s">
        <v>142</v>
      </c>
      <c r="F69764" s="0" t="s">
        <v>4771</v>
      </c>
    </row>
    <row r="69766" customFormat="false" ht="12.8" hidden="false" customHeight="false" outlineLevel="0" collapsed="false">
      <c r="A69766" s="0" t="s">
        <v>22817</v>
      </c>
      <c r="B69766" s="0" t="str">
        <f aca="false">HYPERLINK("https://lindat.mff.cuni.cz/services/teitok/pdtc10/index.php?action=vallex&amp;frame=v-w11914_ZUf1_ZU", "zkrouhnout (v-w11914_ZUf1_ZU)")</f>
        <v>zkrouhnout (v-w11914_ZUf1_ZU)</v>
      </c>
    </row>
    <row r="69767" customFormat="false" ht="12.8" hidden="false" customHeight="false" outlineLevel="0" collapsed="false">
      <c r="B69767" s="0" t="s">
        <v>1</v>
      </c>
    </row>
    <row r="69768" customFormat="false" ht="12.8" hidden="false" customHeight="false" outlineLevel="0" collapsed="false">
      <c r="B69768" s="0" t="s">
        <v>8</v>
      </c>
    </row>
    <row r="69770" customFormat="false" ht="12.8" hidden="false" customHeight="false" outlineLevel="0" collapsed="false">
      <c r="A69770" s="0" t="s">
        <v>22818</v>
      </c>
      <c r="B69770" s="0" t="str">
        <f aca="false">HYPERLINK("https://lindat.mff.cuni.cz/services/teitok/pdtc10/index.php?action=vallex&amp;frame=v-w11344f2", "zkroutit se (v-w11344f2)")</f>
        <v>zkroutit se (v-w11344f2)</v>
      </c>
      <c r="E69770" s="0" t="str">
        <f aca="false">HYPERLINK("https://lindat.mff.cuni.cz/services/SynSemClass40/SynSemClass40.html?veclass=vec00993#vec00993-ces-cm00001", "vec00993")</f>
        <v>vec00993</v>
      </c>
      <c r="F69770" s="0" t="s">
        <v>9590</v>
      </c>
    </row>
    <row r="69771" customFormat="false" ht="12.8" hidden="false" customHeight="false" outlineLevel="0" collapsed="false">
      <c r="B69771" s="0" t="s">
        <v>1</v>
      </c>
      <c r="C69771" s="0" t="s">
        <v>2087</v>
      </c>
      <c r="E69771" s="0" t="s">
        <v>235</v>
      </c>
      <c r="F69771" s="0" t="s">
        <v>9592</v>
      </c>
    </row>
    <row r="69773" customFormat="false" ht="12.8" hidden="false" customHeight="false" outlineLevel="0" collapsed="false">
      <c r="A69773" s="0" t="s">
        <v>22819</v>
      </c>
      <c r="B69773" s="0" t="str">
        <f aca="false">HYPERLINK("https://lindat.mff.cuni.cz/services/teitok/pdtc10/index.php?action=vallex&amp;frame=v-w10790f2", "zkrvavit (v-w10790f2)")</f>
        <v>zkrvavit (v-w10790f2)</v>
      </c>
    </row>
    <row r="69774" customFormat="false" ht="12.8" hidden="false" customHeight="false" outlineLevel="0" collapsed="false">
      <c r="B69774" s="0" t="s">
        <v>1</v>
      </c>
    </row>
    <row r="69775" customFormat="false" ht="12.8" hidden="false" customHeight="false" outlineLevel="0" collapsed="false">
      <c r="B69775" s="0" t="s">
        <v>8</v>
      </c>
    </row>
    <row r="69777" customFormat="false" ht="12.8" hidden="false" customHeight="false" outlineLevel="0" collapsed="false">
      <c r="A69777" s="0" t="s">
        <v>22820</v>
      </c>
      <c r="B69777" s="0" t="str">
        <f aca="false">HYPERLINK("https://lindat.mff.cuni.cz/services/teitok/pdtc10/index.php?action=vallex&amp;frame=v-w9553f1", "zkrátit (v-w9553f1)")</f>
        <v>zkrátit (v-w9553f1)</v>
      </c>
      <c r="E69777" s="0" t="str">
        <f aca="false">HYPERLINK("https://lindat.mff.cuni.cz/services/SynSemClass40/SynSemClass40.html?veclass=vec00588#vec00588-ces-cm00001", "vec00588")</f>
        <v>vec00588</v>
      </c>
      <c r="F69777" s="0" t="s">
        <v>5785</v>
      </c>
    </row>
    <row r="69778" customFormat="false" ht="12.8" hidden="false" customHeight="false" outlineLevel="0" collapsed="false">
      <c r="B69778" s="0" t="s">
        <v>1</v>
      </c>
      <c r="C69778" s="0" t="s">
        <v>2240</v>
      </c>
      <c r="E69778" s="0" t="s">
        <v>31</v>
      </c>
      <c r="F69778" s="0" t="s">
        <v>5788</v>
      </c>
    </row>
    <row r="69779" customFormat="false" ht="12.8" hidden="false" customHeight="false" outlineLevel="0" collapsed="false">
      <c r="B69779" s="0" t="s">
        <v>8</v>
      </c>
      <c r="C69779" s="0" t="s">
        <v>22807</v>
      </c>
      <c r="E69779" s="0" t="s">
        <v>1569</v>
      </c>
      <c r="F69779" s="0" t="s">
        <v>5791</v>
      </c>
    </row>
    <row r="69780" customFormat="false" ht="12.8" hidden="false" customHeight="false" outlineLevel="0" collapsed="false">
      <c r="B69780" s="0" t="s">
        <v>36</v>
      </c>
      <c r="C69780" s="0" t="s">
        <v>22808</v>
      </c>
      <c r="E69780" s="0" t="s">
        <v>5152</v>
      </c>
      <c r="F69780" s="0" t="s">
        <v>5794</v>
      </c>
    </row>
    <row r="69781" customFormat="false" ht="12.8" hidden="false" customHeight="false" outlineLevel="0" collapsed="false">
      <c r="B69781" s="0" t="s">
        <v>101</v>
      </c>
      <c r="C69781" s="0" t="s">
        <v>22809</v>
      </c>
      <c r="E69781" s="0" t="s">
        <v>5796</v>
      </c>
      <c r="F69781" s="0" t="s">
        <v>5798</v>
      </c>
    </row>
    <row r="69783" customFormat="false" ht="12.8" hidden="false" customHeight="false" outlineLevel="0" collapsed="false">
      <c r="A69783" s="0" t="s">
        <v>22821</v>
      </c>
      <c r="B69783" s="0" t="str">
        <f aca="false">HYPERLINK("https://lindat.mff.cuni.cz/services/teitok/pdtc10/index.php?action=vallex&amp;frame=v-w9553f2", "zkrátit (v-w9553f2)")</f>
        <v>zkrátit (v-w9553f2)</v>
      </c>
    </row>
    <row r="69784" customFormat="false" ht="12.8" hidden="false" customHeight="false" outlineLevel="0" collapsed="false">
      <c r="B69784" s="0" t="s">
        <v>1</v>
      </c>
    </row>
    <row r="69785" customFormat="false" ht="12.8" hidden="false" customHeight="false" outlineLevel="0" collapsed="false">
      <c r="B69785" s="0" t="s">
        <v>98</v>
      </c>
    </row>
    <row r="69786" customFormat="false" ht="12.8" hidden="false" customHeight="false" outlineLevel="0" collapsed="false">
      <c r="B69786" s="0" t="s">
        <v>3152</v>
      </c>
    </row>
    <row r="69788" customFormat="false" ht="12.8" hidden="false" customHeight="false" outlineLevel="0" collapsed="false">
      <c r="A69788" s="0" t="s">
        <v>22822</v>
      </c>
      <c r="B69788" s="0" t="str">
        <f aca="false">HYPERLINK("https://lindat.mff.cuni.cz/services/teitok/pdtc10/index.php?action=vallex&amp;frame=v-w9554f1", "zkrátit se (v-w9554f1)")</f>
        <v>zkrátit se (v-w9554f1)</v>
      </c>
      <c r="E69788" s="0" t="str">
        <f aca="false">HYPERLINK("https://lindat.mff.cuni.cz/services/SynSemClass40/SynSemClass40.html?veclass=vec01271#vec01271-ces-cm00006", "vec01271")</f>
        <v>vec01271</v>
      </c>
      <c r="F69788" s="0" t="s">
        <v>12246</v>
      </c>
    </row>
    <row r="69789" customFormat="false" ht="12.8" hidden="false" customHeight="false" outlineLevel="0" collapsed="false">
      <c r="B69789" s="0" t="s">
        <v>1</v>
      </c>
      <c r="C69789" s="0" t="s">
        <v>549</v>
      </c>
      <c r="E69789" s="0" t="s">
        <v>84</v>
      </c>
      <c r="F69789" s="0" t="s">
        <v>10051</v>
      </c>
    </row>
    <row r="69790" customFormat="false" ht="12.8" hidden="false" customHeight="false" outlineLevel="0" collapsed="false">
      <c r="B69790" s="0" t="s">
        <v>69</v>
      </c>
      <c r="E69790" s="0" t="s">
        <v>5149</v>
      </c>
      <c r="F69790" s="0" t="s">
        <v>22823</v>
      </c>
    </row>
    <row r="69791" customFormat="false" ht="12.8" hidden="false" customHeight="false" outlineLevel="0" collapsed="false">
      <c r="B69791" s="0" t="s">
        <v>36</v>
      </c>
      <c r="E69791" s="0" t="s">
        <v>5152</v>
      </c>
      <c r="F69791" s="0" t="s">
        <v>17957</v>
      </c>
    </row>
    <row r="69793" customFormat="false" ht="12.8" hidden="false" customHeight="false" outlineLevel="0" collapsed="false">
      <c r="A69793" s="0" t="s">
        <v>22824</v>
      </c>
      <c r="B69793" s="0" t="str">
        <f aca="false">HYPERLINK("https://lindat.mff.cuni.cz/services/teitok/pdtc10/index.php?action=vallex&amp;frame=v-w9552f1", "zkrášlit (v-w9552f1)")</f>
        <v>zkrášlit (v-w9552f1)</v>
      </c>
    </row>
    <row r="69794" customFormat="false" ht="12.8" hidden="false" customHeight="false" outlineLevel="0" collapsed="false">
      <c r="B69794" s="0" t="s">
        <v>1</v>
      </c>
    </row>
    <row r="69795" customFormat="false" ht="12.8" hidden="false" customHeight="false" outlineLevel="0" collapsed="false">
      <c r="B69795" s="0" t="s">
        <v>8</v>
      </c>
    </row>
    <row r="69797" customFormat="false" ht="12.8" hidden="false" customHeight="false" outlineLevel="0" collapsed="false">
      <c r="A69797" s="0" t="s">
        <v>22825</v>
      </c>
      <c r="B69797" s="0" t="str">
        <f aca="false">HYPERLINK("https://lindat.mff.cuni.cz/services/teitok/pdtc10/index.php?action=vallex&amp;frame=v-w9559f1", "zkultivovat (v-w9559f1)")</f>
        <v>zkultivovat (v-w9559f1)</v>
      </c>
    </row>
    <row r="69798" customFormat="false" ht="12.8" hidden="false" customHeight="false" outlineLevel="0" collapsed="false">
      <c r="B69798" s="0" t="s">
        <v>1</v>
      </c>
    </row>
    <row r="69799" customFormat="false" ht="12.8" hidden="false" customHeight="false" outlineLevel="0" collapsed="false">
      <c r="B69799" s="0" t="s">
        <v>8</v>
      </c>
    </row>
    <row r="69801" customFormat="false" ht="12.8" hidden="false" customHeight="false" outlineLevel="0" collapsed="false">
      <c r="A69801" s="0" t="s">
        <v>22826</v>
      </c>
      <c r="B69801" s="0" t="str">
        <f aca="false">HYPERLINK("https://lindat.mff.cuni.cz/services/teitok/pdtc10/index.php?action=vallex&amp;frame=v-w9560f2", "zkusit (v-w9560f2)")</f>
        <v>zkusit (v-w9560f2)</v>
      </c>
    </row>
    <row r="69802" customFormat="false" ht="12.8" hidden="false" customHeight="false" outlineLevel="0" collapsed="false">
      <c r="B69802" s="0" t="s">
        <v>1</v>
      </c>
    </row>
    <row r="69803" customFormat="false" ht="12.8" hidden="false" customHeight="false" outlineLevel="0" collapsed="false">
      <c r="B69803" s="0" t="s">
        <v>8</v>
      </c>
    </row>
    <row r="69804" customFormat="false" ht="12.8" hidden="false" customHeight="false" outlineLevel="0" collapsed="false">
      <c r="B69804" s="0" t="s">
        <v>162</v>
      </c>
    </row>
    <row r="69806" customFormat="false" ht="12.8" hidden="false" customHeight="false" outlineLevel="0" collapsed="false">
      <c r="A69806" s="0" t="s">
        <v>22827</v>
      </c>
      <c r="B69806" s="0" t="str">
        <f aca="false">HYPERLINK("https://lindat.mff.cuni.cz/services/teitok/pdtc10/index.php?action=vallex&amp;frame=v-w9560f1", "zkusit (v-w9560f1)")</f>
        <v>zkusit (v-w9560f1)</v>
      </c>
      <c r="E69806" s="0" t="str">
        <f aca="false">HYPERLINK("https://lindat.mff.cuni.cz/services/SynSemClass40/SynSemClass40.html?veclass=vec00058#vec00058-ces-cm00024", "vec00058")</f>
        <v>vec00058</v>
      </c>
      <c r="F69806" s="0" t="s">
        <v>8689</v>
      </c>
    </row>
    <row r="69807" customFormat="false" ht="12.8" hidden="false" customHeight="false" outlineLevel="0" collapsed="false">
      <c r="B69807" s="0" t="s">
        <v>1</v>
      </c>
      <c r="C69807" s="0" t="s">
        <v>1322</v>
      </c>
      <c r="E69807" s="0" t="s">
        <v>4455</v>
      </c>
      <c r="F69807" s="0" t="s">
        <v>8690</v>
      </c>
    </row>
    <row r="69808" customFormat="false" ht="12.8" hidden="false" customHeight="false" outlineLevel="0" collapsed="false">
      <c r="B69808" s="0" t="s">
        <v>22802</v>
      </c>
      <c r="C69808" s="0" t="s">
        <v>8691</v>
      </c>
      <c r="E69808" s="0" t="s">
        <v>180</v>
      </c>
      <c r="F69808" s="0" t="s">
        <v>8692</v>
      </c>
    </row>
    <row r="69810" customFormat="false" ht="12.8" hidden="false" customHeight="false" outlineLevel="0" collapsed="false">
      <c r="A69810" s="0" t="s">
        <v>22828</v>
      </c>
      <c r="B69810" s="0" t="str">
        <f aca="false">HYPERLINK("https://lindat.mff.cuni.cz/services/teitok/pdtc10/index.php?action=vallex&amp;frame=v-w9560f3", "zkusit (v-w9560f3)")</f>
        <v>zkusit (v-w9560f3)</v>
      </c>
    </row>
    <row r="69811" customFormat="false" ht="12.8" hidden="false" customHeight="false" outlineLevel="0" collapsed="false">
      <c r="B69811" s="0" t="s">
        <v>1</v>
      </c>
    </row>
    <row r="69812" customFormat="false" ht="12.8" hidden="false" customHeight="false" outlineLevel="0" collapsed="false">
      <c r="B69812" s="0" t="s">
        <v>402</v>
      </c>
    </row>
    <row r="69814" customFormat="false" ht="12.8" hidden="false" customHeight="false" outlineLevel="0" collapsed="false">
      <c r="A69814" s="0" t="s">
        <v>22829</v>
      </c>
      <c r="B69814" s="0" t="str">
        <f aca="false">HYPERLINK("https://lindat.mff.cuni.cz/services/teitok/pdtc10/index.php?action=vallex&amp;frame=v-w9560f4", "zkusit (v-w9560f4)")</f>
        <v>zkusit (v-w9560f4)</v>
      </c>
      <c r="E69814" s="0" t="str">
        <f aca="false">HYPERLINK("https://lindat.mff.cuni.cz/services/SynSemClass40/SynSemClass40.html?veclass=vec00058#vec00058-ces-cm00029", "vec00058")</f>
        <v>vec00058</v>
      </c>
      <c r="F69814" s="0" t="s">
        <v>8689</v>
      </c>
    </row>
    <row r="69815" customFormat="false" ht="12.8" hidden="false" customHeight="false" outlineLevel="0" collapsed="false">
      <c r="B69815" s="0" t="s">
        <v>1</v>
      </c>
      <c r="C69815" s="0" t="s">
        <v>1322</v>
      </c>
      <c r="E69815" s="0" t="s">
        <v>4455</v>
      </c>
      <c r="F69815" s="0" t="s">
        <v>8690</v>
      </c>
    </row>
    <row r="69816" customFormat="false" ht="12.8" hidden="false" customHeight="false" outlineLevel="0" collapsed="false">
      <c r="B69816" s="0" t="s">
        <v>8</v>
      </c>
      <c r="C69816" s="0" t="s">
        <v>8691</v>
      </c>
      <c r="E69816" s="0" t="s">
        <v>180</v>
      </c>
      <c r="F69816" s="0" t="s">
        <v>8692</v>
      </c>
    </row>
    <row r="69818" customFormat="false" ht="12.8" hidden="false" customHeight="false" outlineLevel="0" collapsed="false">
      <c r="A69818" s="0" t="s">
        <v>22830</v>
      </c>
      <c r="B69818" s="0" t="str">
        <f aca="false">HYPERLINK("https://lindat.mff.cuni.cz/services/teitok/pdtc10/index.php?action=vallex&amp;frame=v-w9560f5", "zkusit (v-w9560f5)")</f>
        <v>zkusit (v-w9560f5)</v>
      </c>
    </row>
    <row r="69819" customFormat="false" ht="12.8" hidden="false" customHeight="false" outlineLevel="0" collapsed="false">
      <c r="B69819" s="0" t="s">
        <v>1</v>
      </c>
    </row>
    <row r="69820" customFormat="false" ht="12.8" hidden="false" customHeight="false" outlineLevel="0" collapsed="false">
      <c r="B69820" s="0" t="s">
        <v>22831</v>
      </c>
    </row>
    <row r="69821" customFormat="false" ht="12.8" hidden="false" customHeight="false" outlineLevel="0" collapsed="false">
      <c r="B69821" s="0" t="s">
        <v>8</v>
      </c>
    </row>
    <row r="69823" customFormat="false" ht="12.8" hidden="false" customHeight="false" outlineLevel="0" collapsed="false">
      <c r="A69823" s="0" t="s">
        <v>22832</v>
      </c>
      <c r="B69823" s="0" t="str">
        <f aca="false">HYPERLINK("https://lindat.mff.cuni.cz/services/teitok/pdtc10/index.php?action=vallex&amp;frame=v-w9560hsa_1238", "zkusit (v-w9560hsa_1238)")</f>
        <v>zkusit (v-w9560hsa_1238)</v>
      </c>
      <c r="E69823" s="0" t="str">
        <f aca="false">HYPERLINK("https://lindat.mff.cuni.cz/services/SynSemClass40/SynSemClass40.html?veclass=vec00117#vec00117-ces-cm00075", "vec00117")</f>
        <v>vec00117</v>
      </c>
      <c r="F69823" s="0" t="s">
        <v>517</v>
      </c>
    </row>
    <row r="69824" customFormat="false" ht="12.8" hidden="false" customHeight="false" outlineLevel="0" collapsed="false">
      <c r="B69824" s="0" t="s">
        <v>1</v>
      </c>
      <c r="C69824" s="0" t="s">
        <v>518</v>
      </c>
      <c r="E69824" s="0" t="s">
        <v>519</v>
      </c>
      <c r="F69824" s="0" t="s">
        <v>520</v>
      </c>
    </row>
    <row r="69825" customFormat="false" ht="12.8" hidden="false" customHeight="false" outlineLevel="0" collapsed="false">
      <c r="B69825" s="0" t="s">
        <v>402</v>
      </c>
      <c r="C69825" s="0" t="s">
        <v>522</v>
      </c>
      <c r="E69825" s="0" t="s">
        <v>523</v>
      </c>
      <c r="F69825" s="0" t="s">
        <v>524</v>
      </c>
    </row>
    <row r="69827" customFormat="false" ht="12.8" hidden="false" customHeight="false" outlineLevel="0" collapsed="false">
      <c r="A69827" s="0" t="s">
        <v>22833</v>
      </c>
      <c r="B69827" s="0" t="str">
        <f aca="false">HYPERLINK("https://lindat.mff.cuni.cz/services/teitok/pdtc10/index.php?action=vallex&amp;frame=v-w9560f6_ZU", "zkusit (v-w9560f6_ZU)")</f>
        <v>zkusit (v-w9560f6_ZU)</v>
      </c>
    </row>
    <row r="69828" customFormat="false" ht="12.8" hidden="false" customHeight="false" outlineLevel="0" collapsed="false">
      <c r="B69828" s="0" t="s">
        <v>1</v>
      </c>
    </row>
    <row r="69829" customFormat="false" ht="12.8" hidden="false" customHeight="false" outlineLevel="0" collapsed="false">
      <c r="B69829" s="0" t="s">
        <v>909</v>
      </c>
    </row>
    <row r="69831" customFormat="false" ht="12.8" hidden="false" customHeight="false" outlineLevel="0" collapsed="false">
      <c r="A69831" s="0" t="s">
        <v>22833</v>
      </c>
      <c r="B69831" s="0" t="str">
        <f aca="false">HYPERLINK("https://lindat.mff.cuni.cz/services/teitok/pdtc10/index.php?action=vallex&amp;frame=v-w9560hsa_2015", "zkusit (v-w9560hsa_2015) - substituted with v-w9560f6_ZU")</f>
        <v>zkusit (v-w9560hsa_2015) - substituted with v-w9560f6_ZU</v>
      </c>
    </row>
    <row r="69832" customFormat="false" ht="12.8" hidden="false" customHeight="false" outlineLevel="0" collapsed="false">
      <c r="B69832" s="0" t="s">
        <v>1</v>
      </c>
    </row>
    <row r="69833" customFormat="false" ht="12.8" hidden="false" customHeight="false" outlineLevel="0" collapsed="false">
      <c r="B69833" s="0" t="s">
        <v>909</v>
      </c>
    </row>
    <row r="69835" customFormat="false" ht="12.8" hidden="false" customHeight="false" outlineLevel="0" collapsed="false">
      <c r="A69835" s="0" t="s">
        <v>22834</v>
      </c>
      <c r="B69835" s="0" t="str">
        <f aca="false">HYPERLINK("https://lindat.mff.cuni.cz/services/teitok/pdtc10/index.php?action=vallex&amp;frame=v-w9561f1", "zkusit si (v-w9561f1)")</f>
        <v>zkusit si (v-w9561f1)</v>
      </c>
    </row>
    <row r="69836" customFormat="false" ht="12.8" hidden="false" customHeight="false" outlineLevel="0" collapsed="false">
      <c r="B69836" s="0" t="s">
        <v>1</v>
      </c>
    </row>
    <row r="69837" customFormat="false" ht="12.8" hidden="false" customHeight="false" outlineLevel="0" collapsed="false">
      <c r="B69837" s="0" t="s">
        <v>402</v>
      </c>
    </row>
    <row r="69839" customFormat="false" ht="12.8" hidden="false" customHeight="false" outlineLevel="0" collapsed="false">
      <c r="A69839" s="0" t="s">
        <v>22835</v>
      </c>
      <c r="B69839" s="0" t="str">
        <f aca="false">HYPERLINK("https://lindat.mff.cuni.cz/services/teitok/pdtc10/index.php?action=vallex&amp;frame=v-w9561f2", "zkusit si (v-w9561f2)")</f>
        <v>zkusit si (v-w9561f2)</v>
      </c>
    </row>
    <row r="69840" customFormat="false" ht="12.8" hidden="false" customHeight="false" outlineLevel="0" collapsed="false">
      <c r="B69840" s="0" t="s">
        <v>1</v>
      </c>
    </row>
    <row r="69841" customFormat="false" ht="12.8" hidden="false" customHeight="false" outlineLevel="0" collapsed="false">
      <c r="B69841" s="0" t="s">
        <v>22831</v>
      </c>
    </row>
    <row r="69842" customFormat="false" ht="12.8" hidden="false" customHeight="false" outlineLevel="0" collapsed="false">
      <c r="B69842" s="0" t="s">
        <v>8</v>
      </c>
    </row>
    <row r="69844" customFormat="false" ht="12.8" hidden="false" customHeight="false" outlineLevel="0" collapsed="false">
      <c r="A69844" s="0" t="s">
        <v>22836</v>
      </c>
      <c r="B69844" s="0" t="str">
        <f aca="false">HYPERLINK("https://lindat.mff.cuni.cz/services/teitok/pdtc10/index.php?action=vallex&amp;frame=v-w9565f1", "zkvalitnit (v-w9565f1)")</f>
        <v>zkvalitnit (v-w9565f1)</v>
      </c>
      <c r="E69844" s="0" t="str">
        <f aca="false">HYPERLINK("https://lindat.mff.cuni.cz/services/SynSemClass40/SynSemClass40.html?veclass=vec00386#vec00386-ces-cm00033", "vec00386")</f>
        <v>vec00386</v>
      </c>
      <c r="F69844" s="0" t="s">
        <v>5835</v>
      </c>
    </row>
    <row r="69845" customFormat="false" ht="12.8" hidden="false" customHeight="false" outlineLevel="0" collapsed="false">
      <c r="B69845" s="0" t="s">
        <v>1</v>
      </c>
      <c r="C69845" s="0" t="s">
        <v>5836</v>
      </c>
      <c r="E69845" s="0" t="s">
        <v>76</v>
      </c>
      <c r="F69845" s="0" t="s">
        <v>5837</v>
      </c>
    </row>
    <row r="69846" customFormat="false" ht="12.8" hidden="false" customHeight="false" outlineLevel="0" collapsed="false">
      <c r="B69846" s="0" t="s">
        <v>8</v>
      </c>
      <c r="C69846" s="0" t="s">
        <v>5838</v>
      </c>
      <c r="E69846" s="0" t="s">
        <v>4782</v>
      </c>
      <c r="F69846" s="0" t="s">
        <v>5839</v>
      </c>
    </row>
    <row r="69847" customFormat="false" ht="12.8" hidden="false" customHeight="false" outlineLevel="0" collapsed="false">
      <c r="B69847" s="0" t="s">
        <v>36</v>
      </c>
      <c r="C69847" s="0" t="s">
        <v>17859</v>
      </c>
      <c r="E69847" s="0" t="s">
        <v>38</v>
      </c>
      <c r="F69847" s="0" t="s">
        <v>17860</v>
      </c>
    </row>
    <row r="69848" customFormat="false" ht="12.8" hidden="false" customHeight="false" outlineLevel="0" collapsed="false">
      <c r="B69848" s="0" t="s">
        <v>101</v>
      </c>
      <c r="C69848" s="0" t="s">
        <v>17861</v>
      </c>
      <c r="E69848" s="0" t="s">
        <v>42</v>
      </c>
      <c r="F69848" s="0" t="s">
        <v>17862</v>
      </c>
    </row>
    <row r="69850" customFormat="false" ht="12.8" hidden="false" customHeight="false" outlineLevel="0" collapsed="false">
      <c r="A69850" s="0" t="s">
        <v>22837</v>
      </c>
      <c r="B69850" s="0" t="str">
        <f aca="false">HYPERLINK("https://lindat.mff.cuni.cz/services/teitok/pdtc10/index.php?action=vallex&amp;frame=v-w9567f1", "zkvalitňovat (v-w9567f1)")</f>
        <v>zkvalitňovat (v-w9567f1)</v>
      </c>
      <c r="E69850" s="0" t="str">
        <f aca="false">HYPERLINK("https://lindat.mff.cuni.cz/services/SynSemClass40/SynSemClass40.html?veclass=vec00386#vec00386-ces-cm00034", "vec00386")</f>
        <v>vec00386</v>
      </c>
      <c r="F69850" s="0" t="s">
        <v>5835</v>
      </c>
    </row>
    <row r="69851" customFormat="false" ht="12.8" hidden="false" customHeight="false" outlineLevel="0" collapsed="false">
      <c r="B69851" s="0" t="s">
        <v>1</v>
      </c>
      <c r="C69851" s="0" t="s">
        <v>5836</v>
      </c>
      <c r="E69851" s="0" t="s">
        <v>76</v>
      </c>
      <c r="F69851" s="0" t="s">
        <v>5837</v>
      </c>
    </row>
    <row r="69852" customFormat="false" ht="12.8" hidden="false" customHeight="false" outlineLevel="0" collapsed="false">
      <c r="B69852" s="0" t="s">
        <v>8</v>
      </c>
      <c r="C69852" s="0" t="s">
        <v>5838</v>
      </c>
      <c r="E69852" s="0" t="s">
        <v>4782</v>
      </c>
      <c r="F69852" s="0" t="s">
        <v>5839</v>
      </c>
    </row>
    <row r="69853" customFormat="false" ht="12.8" hidden="false" customHeight="false" outlineLevel="0" collapsed="false">
      <c r="B69853" s="0" t="s">
        <v>36</v>
      </c>
      <c r="C69853" s="0" t="s">
        <v>17859</v>
      </c>
      <c r="E69853" s="0" t="s">
        <v>38</v>
      </c>
      <c r="F69853" s="0" t="s">
        <v>17860</v>
      </c>
    </row>
    <row r="69854" customFormat="false" ht="12.8" hidden="false" customHeight="false" outlineLevel="0" collapsed="false">
      <c r="B69854" s="0" t="s">
        <v>101</v>
      </c>
      <c r="C69854" s="0" t="s">
        <v>17861</v>
      </c>
      <c r="E69854" s="0" t="s">
        <v>42</v>
      </c>
      <c r="F69854" s="0" t="s">
        <v>17862</v>
      </c>
    </row>
    <row r="69856" customFormat="false" ht="12.8" hidden="false" customHeight="false" outlineLevel="0" collapsed="false">
      <c r="A69856" s="0" t="s">
        <v>22838</v>
      </c>
      <c r="B69856" s="0" t="str">
        <f aca="false">HYPERLINK("https://lindat.mff.cuni.cz/services/teitok/pdtc10/index.php?action=vallex&amp;frame=v-w12133_ZUf1_ZU", "zkysnout (v-w12133_ZUf1_ZU)")</f>
        <v>zkysnout (v-w12133_ZUf1_ZU)</v>
      </c>
    </row>
    <row r="69857" customFormat="false" ht="12.8" hidden="false" customHeight="false" outlineLevel="0" collapsed="false">
      <c r="B69857" s="0" t="s">
        <v>1</v>
      </c>
    </row>
    <row r="69858" customFormat="false" ht="12.8" hidden="false" customHeight="false" outlineLevel="0" collapsed="false">
      <c r="B69858" s="0" t="s">
        <v>1262</v>
      </c>
    </row>
    <row r="69860" customFormat="false" ht="12.8" hidden="false" customHeight="false" outlineLevel="0" collapsed="false">
      <c r="A69860" s="0" t="s">
        <v>22839</v>
      </c>
      <c r="B69860" s="0" t="str">
        <f aca="false">HYPERLINK("https://lindat.mff.cuni.cz/services/teitok/pdtc10/index.php?action=vallex&amp;frame=v-w9558f1", "zkřivit (v-w9558f1)")</f>
        <v>zkřivit (v-w9558f1)</v>
      </c>
    </row>
    <row r="69861" customFormat="false" ht="12.8" hidden="false" customHeight="false" outlineLevel="0" collapsed="false">
      <c r="B69861" s="0" t="s">
        <v>1</v>
      </c>
    </row>
    <row r="69862" customFormat="false" ht="12.8" hidden="false" customHeight="false" outlineLevel="0" collapsed="false">
      <c r="B69862" s="0" t="s">
        <v>8</v>
      </c>
    </row>
    <row r="69864" customFormat="false" ht="12.8" hidden="false" customHeight="false" outlineLevel="0" collapsed="false">
      <c r="A69864" s="0" t="s">
        <v>22840</v>
      </c>
      <c r="B69864" s="0" t="str">
        <f aca="false">HYPERLINK("https://lindat.mff.cuni.cz/services/teitok/pdtc10/index.php?action=vallex&amp;frame=v-w10995f2", "zkřížit (v-w10995f2)")</f>
        <v>zkřížit (v-w10995f2)</v>
      </c>
    </row>
    <row r="69865" customFormat="false" ht="12.8" hidden="false" customHeight="false" outlineLevel="0" collapsed="false">
      <c r="B69865" s="0" t="s">
        <v>1</v>
      </c>
    </row>
    <row r="69866" customFormat="false" ht="12.8" hidden="false" customHeight="false" outlineLevel="0" collapsed="false">
      <c r="B69866" s="0" t="s">
        <v>8</v>
      </c>
    </row>
    <row r="69868" customFormat="false" ht="12.8" hidden="false" customHeight="false" outlineLevel="0" collapsed="false">
      <c r="A69868" s="0" t="s">
        <v>22841</v>
      </c>
      <c r="B69868" s="0" t="str">
        <f aca="false">HYPERLINK("https://lindat.mff.cuni.cz/services/teitok/pdtc10/index.php?action=vallex&amp;frame=v-w10995f3_ZU", "zkřížit (v-w10995f3_ZU)")</f>
        <v>zkřížit (v-w10995f3_ZU)</v>
      </c>
    </row>
    <row r="69869" customFormat="false" ht="12.8" hidden="false" customHeight="false" outlineLevel="0" collapsed="false">
      <c r="B69869" s="0" t="s">
        <v>1</v>
      </c>
    </row>
    <row r="69870" customFormat="false" ht="12.8" hidden="false" customHeight="false" outlineLevel="0" collapsed="false">
      <c r="B69870" s="0" t="s">
        <v>8</v>
      </c>
    </row>
    <row r="69871" customFormat="false" ht="12.8" hidden="false" customHeight="false" outlineLevel="0" collapsed="false">
      <c r="B69871" s="0" t="s">
        <v>11336</v>
      </c>
    </row>
    <row r="69873" customFormat="false" ht="12.8" hidden="false" customHeight="false" outlineLevel="0" collapsed="false">
      <c r="A69873" s="0" t="s">
        <v>22841</v>
      </c>
      <c r="B69873" s="0" t="str">
        <f aca="false">HYPERLINK("https://lindat.mff.cuni.cz/services/teitok/pdtc10/index.php?action=vallex&amp;frame=v-w10995hsa_1034", "zkřížit (v-w10995hsa_1034) - substituted with v-w10995f3_ZU")</f>
        <v>zkřížit (v-w10995hsa_1034) - substituted with v-w10995f3_ZU</v>
      </c>
    </row>
    <row r="69874" customFormat="false" ht="12.8" hidden="false" customHeight="false" outlineLevel="0" collapsed="false">
      <c r="B69874" s="0" t="s">
        <v>1</v>
      </c>
    </row>
    <row r="69875" customFormat="false" ht="12.8" hidden="false" customHeight="false" outlineLevel="0" collapsed="false">
      <c r="B69875" s="0" t="s">
        <v>8</v>
      </c>
    </row>
    <row r="69876" customFormat="false" ht="12.8" hidden="false" customHeight="false" outlineLevel="0" collapsed="false">
      <c r="B69876" s="0" t="s">
        <v>11336</v>
      </c>
    </row>
    <row r="69878" customFormat="false" ht="12.8" hidden="false" customHeight="false" outlineLevel="0" collapsed="false">
      <c r="A69878" s="0" t="s">
        <v>22842</v>
      </c>
      <c r="B69878" s="0" t="str">
        <f aca="false">HYPERLINK("https://lindat.mff.cuni.cz/services/teitok/pdtc10/index.php?action=vallex&amp;frame=v-whsa_1018hsa_1019", "zlegalizovat (v-whsa_1018hsa_1019)")</f>
        <v>zlegalizovat (v-whsa_1018hsa_1019)</v>
      </c>
    </row>
    <row r="69879" customFormat="false" ht="12.8" hidden="false" customHeight="false" outlineLevel="0" collapsed="false">
      <c r="B69879" s="0" t="s">
        <v>1</v>
      </c>
    </row>
    <row r="69880" customFormat="false" ht="12.8" hidden="false" customHeight="false" outlineLevel="0" collapsed="false">
      <c r="B69880" s="0" t="s">
        <v>8</v>
      </c>
    </row>
    <row r="69882" customFormat="false" ht="12.8" hidden="false" customHeight="false" outlineLevel="0" collapsed="false">
      <c r="A69882" s="0" t="s">
        <v>22843</v>
      </c>
      <c r="B69882" s="0" t="str">
        <f aca="false">HYPERLINK("https://lindat.mff.cuni.cz/services/teitok/pdtc10/index.php?action=vallex&amp;frame=v-w10204f2", "zlehčit (v-w10204f2)")</f>
        <v>zlehčit (v-w10204f2)</v>
      </c>
      <c r="E69882" s="0" t="str">
        <f aca="false">HYPERLINK("https://lindat.mff.cuni.cz/services/SynSemClass40/SynSemClass40.html?veclass=vec00801#vec00801-ces-cm00005", "vec00801")</f>
        <v>vec00801</v>
      </c>
      <c r="F69882" s="0" t="s">
        <v>225</v>
      </c>
    </row>
    <row r="69883" customFormat="false" ht="12.8" hidden="false" customHeight="false" outlineLevel="0" collapsed="false">
      <c r="B69883" s="0" t="s">
        <v>1</v>
      </c>
      <c r="C69883" s="0" t="s">
        <v>226</v>
      </c>
      <c r="E69883" s="0" t="s">
        <v>31</v>
      </c>
      <c r="F69883" s="0" t="s">
        <v>227</v>
      </c>
    </row>
    <row r="69884" customFormat="false" ht="12.8" hidden="false" customHeight="false" outlineLevel="0" collapsed="false">
      <c r="B69884" s="0" t="s">
        <v>228</v>
      </c>
      <c r="C69884" s="0" t="s">
        <v>229</v>
      </c>
      <c r="E69884" s="0" t="s">
        <v>230</v>
      </c>
      <c r="F69884" s="0" t="s">
        <v>231</v>
      </c>
    </row>
    <row r="69886" customFormat="false" ht="12.8" hidden="false" customHeight="false" outlineLevel="0" collapsed="false">
      <c r="A69886" s="0" t="s">
        <v>22844</v>
      </c>
      <c r="B69886" s="0" t="str">
        <f aca="false">HYPERLINK("https://lindat.mff.cuni.cz/services/teitok/pdtc10/index.php?action=vallex&amp;frame=v-w9572f1", "zlehčovat (v-w9572f1)")</f>
        <v>zlehčovat (v-w9572f1)</v>
      </c>
      <c r="E69886" s="0" t="str">
        <f aca="false">HYPERLINK("https://lindat.mff.cuni.cz/services/SynSemClass40/SynSemClass40.html?veclass=vec00801#vec00801-ces-cm00008", "vec00801")</f>
        <v>vec00801</v>
      </c>
      <c r="F69886" s="0" t="s">
        <v>225</v>
      </c>
    </row>
    <row r="69887" customFormat="false" ht="12.8" hidden="false" customHeight="false" outlineLevel="0" collapsed="false">
      <c r="B69887" s="0" t="s">
        <v>1</v>
      </c>
      <c r="C69887" s="0" t="s">
        <v>226</v>
      </c>
      <c r="E69887" s="0" t="s">
        <v>31</v>
      </c>
      <c r="F69887" s="0" t="s">
        <v>227</v>
      </c>
    </row>
    <row r="69888" customFormat="false" ht="12.8" hidden="false" customHeight="false" outlineLevel="0" collapsed="false">
      <c r="B69888" s="0" t="s">
        <v>228</v>
      </c>
      <c r="C69888" s="0" t="s">
        <v>229</v>
      </c>
      <c r="E69888" s="0" t="s">
        <v>230</v>
      </c>
      <c r="F69888" s="0" t="s">
        <v>231</v>
      </c>
    </row>
    <row r="69890" customFormat="false" ht="12.8" hidden="false" customHeight="false" outlineLevel="0" collapsed="false">
      <c r="A69890" s="0" t="s">
        <v>22845</v>
      </c>
      <c r="B69890" s="0" t="str">
        <f aca="false">HYPERLINK("https://lindat.mff.cuni.cz/services/teitok/pdtc10/index.php?action=vallex&amp;frame=v-w10215f2", "zlenivět (v-w10215f2)")</f>
        <v>zlenivět (v-w10215f2)</v>
      </c>
    </row>
    <row r="69891" customFormat="false" ht="12.8" hidden="false" customHeight="false" outlineLevel="0" collapsed="false">
      <c r="B69891" s="0" t="s">
        <v>1</v>
      </c>
    </row>
    <row r="69893" customFormat="false" ht="12.8" hidden="false" customHeight="false" outlineLevel="0" collapsed="false">
      <c r="A69893" s="0" t="s">
        <v>22846</v>
      </c>
      <c r="B69893" s="0" t="str">
        <f aca="false">HYPERLINK("https://lindat.mff.cuni.cz/services/teitok/pdtc10/index.php?action=vallex&amp;frame=v-w9574f1", "zlepšit (v-w9574f1)")</f>
        <v>zlepšit (v-w9574f1)</v>
      </c>
      <c r="E69893" s="0" t="str">
        <f aca="false">HYPERLINK("https://lindat.mff.cuni.cz/services/SynSemClass40/SynSemClass40.html?veclass=vec00386#vec00386-ces-cm00001", "vec00386")</f>
        <v>vec00386</v>
      </c>
      <c r="F69893" s="0" t="s">
        <v>5835</v>
      </c>
    </row>
    <row r="69894" customFormat="false" ht="12.8" hidden="false" customHeight="false" outlineLevel="0" collapsed="false">
      <c r="B69894" s="0" t="s">
        <v>1</v>
      </c>
      <c r="C69894" s="0" t="s">
        <v>5836</v>
      </c>
      <c r="E69894" s="0" t="s">
        <v>76</v>
      </c>
      <c r="F69894" s="0" t="s">
        <v>5837</v>
      </c>
    </row>
    <row r="69895" customFormat="false" ht="12.8" hidden="false" customHeight="false" outlineLevel="0" collapsed="false">
      <c r="B69895" s="0" t="s">
        <v>8</v>
      </c>
      <c r="C69895" s="0" t="s">
        <v>5838</v>
      </c>
      <c r="E69895" s="0" t="s">
        <v>4782</v>
      </c>
      <c r="F69895" s="0" t="s">
        <v>5839</v>
      </c>
    </row>
    <row r="69896" customFormat="false" ht="12.8" hidden="false" customHeight="false" outlineLevel="0" collapsed="false">
      <c r="B69896" s="0" t="s">
        <v>36</v>
      </c>
      <c r="C69896" s="0" t="s">
        <v>17859</v>
      </c>
      <c r="E69896" s="0" t="s">
        <v>38</v>
      </c>
      <c r="F69896" s="0" t="s">
        <v>17860</v>
      </c>
    </row>
    <row r="69897" customFormat="false" ht="12.8" hidden="false" customHeight="false" outlineLevel="0" collapsed="false">
      <c r="B69897" s="0" t="s">
        <v>101</v>
      </c>
      <c r="C69897" s="0" t="s">
        <v>17861</v>
      </c>
      <c r="E69897" s="0" t="s">
        <v>42</v>
      </c>
      <c r="F69897" s="0" t="s">
        <v>17862</v>
      </c>
    </row>
    <row r="69899" customFormat="false" ht="12.8" hidden="false" customHeight="false" outlineLevel="0" collapsed="false">
      <c r="A69899" s="0" t="s">
        <v>22847</v>
      </c>
      <c r="B69899" s="0" t="str">
        <f aca="false">HYPERLINK("https://lindat.mff.cuni.cz/services/teitok/pdtc10/index.php?action=vallex&amp;frame=v-w9575f1", "zlepšit se (v-w9575f1)")</f>
        <v>zlepšit se (v-w9575f1)</v>
      </c>
      <c r="E69899" s="0" t="str">
        <f aca="false">HYPERLINK("https://lindat.mff.cuni.cz/services/SynSemClass40/SynSemClass40.html?veclass=vec00386#vec00386-ces-cm00035", "vec00386")</f>
        <v>vec00386</v>
      </c>
      <c r="F69899" s="0" t="s">
        <v>5835</v>
      </c>
      <c r="H69899" s="0" t="str">
        <f aca="false">HYPERLINK("https://lindat.mff.cuni.cz/services/SynSemClass40/SynSemClass40.html?veclass=vec00786#vec00786-ces-cm00060", "vec00786")</f>
        <v>vec00786</v>
      </c>
      <c r="I69899" s="0" t="s">
        <v>4519</v>
      </c>
      <c r="K69899" s="0" t="str">
        <f aca="false">HYPERLINK("https://lindat.mff.cuni.cz/services/SynSemClass40/SynSemClass40.html?veclass=vec01261#vec01261-ces-cm00013", "vec01261")</f>
        <v>vec01261</v>
      </c>
      <c r="L69899" s="0" t="s">
        <v>11176</v>
      </c>
    </row>
    <row r="69900" customFormat="false" ht="12.8" hidden="false" customHeight="false" outlineLevel="0" collapsed="false">
      <c r="B69900" s="0" t="s">
        <v>1</v>
      </c>
      <c r="C69900" s="0" t="s">
        <v>22848</v>
      </c>
      <c r="E69900" s="0" t="s">
        <v>22849</v>
      </c>
      <c r="F69900" s="0" t="s">
        <v>22850</v>
      </c>
      <c r="H69900" s="0" t="s">
        <v>957</v>
      </c>
      <c r="I69900" s="0" t="s">
        <v>4521</v>
      </c>
      <c r="K69900" s="0" t="s">
        <v>1604</v>
      </c>
      <c r="L69900" s="0" t="s">
        <v>11178</v>
      </c>
    </row>
    <row r="69901" customFormat="false" ht="12.8" hidden="false" customHeight="false" outlineLevel="0" collapsed="false">
      <c r="B69901" s="0" t="s">
        <v>69</v>
      </c>
      <c r="C69901" s="0" t="s">
        <v>22851</v>
      </c>
      <c r="E69901" s="0" t="s">
        <v>22852</v>
      </c>
      <c r="F69901" s="0" t="s">
        <v>22853</v>
      </c>
      <c r="H69901" s="0" t="s">
        <v>1592</v>
      </c>
      <c r="I69901" s="0" t="s">
        <v>22854</v>
      </c>
    </row>
    <row r="69902" customFormat="false" ht="12.8" hidden="false" customHeight="false" outlineLevel="0" collapsed="false">
      <c r="B69902" s="0" t="s">
        <v>36</v>
      </c>
      <c r="C69902" s="0" t="s">
        <v>22855</v>
      </c>
      <c r="E69902" s="0" t="s">
        <v>38</v>
      </c>
      <c r="F69902" s="0" t="s">
        <v>17860</v>
      </c>
      <c r="H69902" s="0" t="s">
        <v>38</v>
      </c>
      <c r="I69902" s="0" t="s">
        <v>22856</v>
      </c>
    </row>
    <row r="69904" customFormat="false" ht="12.8" hidden="false" customHeight="false" outlineLevel="0" collapsed="false">
      <c r="A69904" s="0" t="s">
        <v>22857</v>
      </c>
      <c r="B69904" s="0" t="str">
        <f aca="false">HYPERLINK("https://lindat.mff.cuni.cz/services/teitok/pdtc10/index.php?action=vallex&amp;frame=v-w9577f1", "zlepšovat (v-w9577f1)")</f>
        <v>zlepšovat (v-w9577f1)</v>
      </c>
      <c r="E69904" s="0" t="str">
        <f aca="false">HYPERLINK("https://lindat.mff.cuni.cz/services/SynSemClass40/SynSemClass40.html?veclass=vec00386#vec00386-ces-cm00036", "vec00386")</f>
        <v>vec00386</v>
      </c>
      <c r="F69904" s="0" t="s">
        <v>5835</v>
      </c>
    </row>
    <row r="69905" customFormat="false" ht="12.8" hidden="false" customHeight="false" outlineLevel="0" collapsed="false">
      <c r="B69905" s="0" t="s">
        <v>1</v>
      </c>
      <c r="C69905" s="0" t="s">
        <v>5836</v>
      </c>
      <c r="E69905" s="0" t="s">
        <v>76</v>
      </c>
      <c r="F69905" s="0" t="s">
        <v>5837</v>
      </c>
    </row>
    <row r="69906" customFormat="false" ht="12.8" hidden="false" customHeight="false" outlineLevel="0" collapsed="false">
      <c r="B69906" s="0" t="s">
        <v>8</v>
      </c>
      <c r="C69906" s="0" t="s">
        <v>5838</v>
      </c>
      <c r="E69906" s="0" t="s">
        <v>4782</v>
      </c>
      <c r="F69906" s="0" t="s">
        <v>5839</v>
      </c>
    </row>
    <row r="69907" customFormat="false" ht="12.8" hidden="false" customHeight="false" outlineLevel="0" collapsed="false">
      <c r="B69907" s="0" t="s">
        <v>36</v>
      </c>
      <c r="C69907" s="0" t="s">
        <v>17859</v>
      </c>
      <c r="E69907" s="0" t="s">
        <v>38</v>
      </c>
      <c r="F69907" s="0" t="s">
        <v>17860</v>
      </c>
    </row>
    <row r="69908" customFormat="false" ht="12.8" hidden="false" customHeight="false" outlineLevel="0" collapsed="false">
      <c r="B69908" s="0" t="s">
        <v>101</v>
      </c>
      <c r="C69908" s="0" t="s">
        <v>17861</v>
      </c>
      <c r="E69908" s="0" t="s">
        <v>42</v>
      </c>
      <c r="F69908" s="0" t="s">
        <v>17862</v>
      </c>
    </row>
    <row r="69910" customFormat="false" ht="12.8" hidden="false" customHeight="false" outlineLevel="0" collapsed="false">
      <c r="A69910" s="0" t="s">
        <v>22858</v>
      </c>
      <c r="B69910" s="0" t="str">
        <f aca="false">HYPERLINK("https://lindat.mff.cuni.cz/services/teitok/pdtc10/index.php?action=vallex&amp;frame=v-w9578f2", "zlepšovat se (v-w9578f2)")</f>
        <v>zlepšovat se (v-w9578f2)</v>
      </c>
    </row>
    <row r="69911" customFormat="false" ht="12.8" hidden="false" customHeight="false" outlineLevel="0" collapsed="false">
      <c r="B69911" s="0" t="s">
        <v>1</v>
      </c>
    </row>
    <row r="69912" customFormat="false" ht="12.8" hidden="false" customHeight="false" outlineLevel="0" collapsed="false">
      <c r="B69912" s="0" t="s">
        <v>883</v>
      </c>
    </row>
    <row r="69913" customFormat="false" ht="12.8" hidden="false" customHeight="false" outlineLevel="0" collapsed="false">
      <c r="B69913" s="0" t="s">
        <v>36</v>
      </c>
    </row>
    <row r="69914" customFormat="false" ht="12.8" hidden="false" customHeight="false" outlineLevel="0" collapsed="false">
      <c r="B69914" s="0" t="s">
        <v>101</v>
      </c>
    </row>
    <row r="69916" customFormat="false" ht="12.8" hidden="false" customHeight="false" outlineLevel="0" collapsed="false">
      <c r="A69916" s="0" t="s">
        <v>22859</v>
      </c>
      <c r="B69916" s="0" t="str">
        <f aca="false">HYPERLINK("https://lindat.mff.cuni.cz/services/teitok/pdtc10/index.php?action=vallex&amp;frame=v-w9578f1", "zlepšovat se (v-w9578f1)")</f>
        <v>zlepšovat se (v-w9578f1)</v>
      </c>
      <c r="E69916" s="0" t="str">
        <f aca="false">HYPERLINK("https://lindat.mff.cuni.cz/services/SynSemClass40/SynSemClass40.html?veclass=vec00109#vec00109-ces-cm00167", "vec00109")</f>
        <v>vec00109</v>
      </c>
      <c r="F69916" s="0" t="s">
        <v>5143</v>
      </c>
      <c r="H69916" s="0" t="str">
        <f aca="false">HYPERLINK("https://lindat.mff.cuni.cz/services/SynSemClass40/SynSemClass40.html?veclass=vec00510#vec00510-ces-cm00064", "vec00510")</f>
        <v>vec00510</v>
      </c>
      <c r="I69916" s="0" t="s">
        <v>4074</v>
      </c>
      <c r="K69916" s="0" t="str">
        <f aca="false">HYPERLINK("https://lindat.mff.cuni.cz/services/SynSemClass40/SynSemClass40.html?veclass=vec01261#vec01261-ces-cm00014", "vec01261")</f>
        <v>vec01261</v>
      </c>
      <c r="L69916" s="0" t="s">
        <v>11176</v>
      </c>
    </row>
    <row r="69917" customFormat="false" ht="12.8" hidden="false" customHeight="false" outlineLevel="0" collapsed="false">
      <c r="B69917" s="0" t="s">
        <v>1</v>
      </c>
      <c r="C69917" s="0" t="s">
        <v>22860</v>
      </c>
      <c r="E69917" s="0" t="s">
        <v>235</v>
      </c>
      <c r="F69917" s="0" t="s">
        <v>5146</v>
      </c>
      <c r="H69917" s="0" t="s">
        <v>84</v>
      </c>
      <c r="I69917" s="0" t="s">
        <v>4077</v>
      </c>
      <c r="K69917" s="0" t="s">
        <v>1604</v>
      </c>
      <c r="L69917" s="0" t="s">
        <v>11178</v>
      </c>
    </row>
    <row r="69918" customFormat="false" ht="12.8" hidden="false" customHeight="false" outlineLevel="0" collapsed="false">
      <c r="B69918" s="0" t="s">
        <v>69</v>
      </c>
      <c r="C69918" s="0" t="s">
        <v>5148</v>
      </c>
      <c r="E69918" s="0" t="s">
        <v>5149</v>
      </c>
      <c r="F69918" s="0" t="s">
        <v>5150</v>
      </c>
    </row>
    <row r="69919" customFormat="false" ht="12.8" hidden="false" customHeight="false" outlineLevel="0" collapsed="false">
      <c r="B69919" s="0" t="s">
        <v>36</v>
      </c>
      <c r="C69919" s="0" t="s">
        <v>5151</v>
      </c>
      <c r="E69919" s="0" t="s">
        <v>5152</v>
      </c>
      <c r="F69919" s="0" t="s">
        <v>5153</v>
      </c>
    </row>
    <row r="69921" customFormat="false" ht="12.8" hidden="false" customHeight="false" outlineLevel="0" collapsed="false">
      <c r="A69921" s="0" t="s">
        <v>22861</v>
      </c>
      <c r="B69921" s="0" t="str">
        <f aca="false">HYPERLINK("https://lindat.mff.cuni.cz/services/teitok/pdtc10/index.php?action=vallex&amp;frame=v-w9580f1", "zlevnit (v-w9580f1)")</f>
        <v>zlevnit (v-w9580f1)</v>
      </c>
      <c r="E69921" s="0" t="str">
        <f aca="false">HYPERLINK("https://lindat.mff.cuni.cz/services/SynSemClass40/SynSemClass40.html?veclass=vec00118#vec00118-ces-cm00291", "vec00118")</f>
        <v>vec00118</v>
      </c>
      <c r="F69921" s="0" t="s">
        <v>5784</v>
      </c>
    </row>
    <row r="69922" customFormat="false" ht="12.8" hidden="false" customHeight="false" outlineLevel="0" collapsed="false">
      <c r="B69922" s="0" t="s">
        <v>1</v>
      </c>
      <c r="C69922" s="0" t="s">
        <v>9951</v>
      </c>
      <c r="E69922" s="0" t="s">
        <v>31</v>
      </c>
      <c r="F69922" s="0" t="s">
        <v>5787</v>
      </c>
    </row>
    <row r="69923" customFormat="false" ht="12.8" hidden="false" customHeight="false" outlineLevel="0" collapsed="false">
      <c r="B69923" s="0" t="s">
        <v>8</v>
      </c>
      <c r="C69923" s="0" t="s">
        <v>9952</v>
      </c>
      <c r="E69923" s="0" t="s">
        <v>1569</v>
      </c>
      <c r="F69923" s="0" t="s">
        <v>5790</v>
      </c>
    </row>
    <row r="69924" customFormat="false" ht="12.8" hidden="false" customHeight="false" outlineLevel="0" collapsed="false">
      <c r="B69924" s="0" t="s">
        <v>36</v>
      </c>
      <c r="C69924" s="0" t="s">
        <v>9953</v>
      </c>
      <c r="E69924" s="0" t="s">
        <v>5152</v>
      </c>
      <c r="F69924" s="0" t="s">
        <v>5793</v>
      </c>
    </row>
    <row r="69925" customFormat="false" ht="12.8" hidden="false" customHeight="false" outlineLevel="0" collapsed="false">
      <c r="B69925" s="0" t="s">
        <v>101</v>
      </c>
      <c r="C69925" s="0" t="s">
        <v>9954</v>
      </c>
      <c r="E69925" s="0" t="s">
        <v>5796</v>
      </c>
      <c r="F69925" s="0" t="s">
        <v>5797</v>
      </c>
    </row>
    <row r="69927" customFormat="false" ht="12.8" hidden="false" customHeight="false" outlineLevel="0" collapsed="false">
      <c r="A69927" s="0" t="s">
        <v>22862</v>
      </c>
      <c r="B69927" s="0" t="str">
        <f aca="false">HYPERLINK("https://lindat.mff.cuni.cz/services/teitok/pdtc10/index.php?action=vallex&amp;frame=v-w9580f2_ZU", "zlevnit (v-w9580f2_ZU)")</f>
        <v>zlevnit (v-w9580f2_ZU)</v>
      </c>
    </row>
    <row r="69928" customFormat="false" ht="12.8" hidden="false" customHeight="false" outlineLevel="0" collapsed="false">
      <c r="B69928" s="0" t="s">
        <v>1</v>
      </c>
    </row>
    <row r="69929" customFormat="false" ht="12.8" hidden="false" customHeight="false" outlineLevel="0" collapsed="false">
      <c r="B69929" s="0" t="s">
        <v>69</v>
      </c>
    </row>
    <row r="69930" customFormat="false" ht="12.8" hidden="false" customHeight="false" outlineLevel="0" collapsed="false">
      <c r="B69930" s="0" t="s">
        <v>36</v>
      </c>
    </row>
    <row r="69932" customFormat="false" ht="12.8" hidden="false" customHeight="false" outlineLevel="0" collapsed="false">
      <c r="A69932" s="0" t="s">
        <v>22863</v>
      </c>
      <c r="B69932" s="0" t="str">
        <f aca="false">HYPERLINK("https://lindat.mff.cuni.cz/services/teitok/pdtc10/index.php?action=vallex&amp;frame=v-w9582f1", "zlevňovat (v-w9582f1)")</f>
        <v>zlevňovat (v-w9582f1)</v>
      </c>
      <c r="E69932" s="0" t="str">
        <f aca="false">HYPERLINK("https://lindat.mff.cuni.cz/services/SynSemClass40/SynSemClass40.html?veclass=vec00118#vec00118-ces-cm00338", "vec00118")</f>
        <v>vec00118</v>
      </c>
      <c r="F69932" s="0" t="s">
        <v>5784</v>
      </c>
    </row>
    <row r="69933" customFormat="false" ht="12.8" hidden="false" customHeight="false" outlineLevel="0" collapsed="false">
      <c r="B69933" s="0" t="s">
        <v>1</v>
      </c>
      <c r="C69933" s="0" t="s">
        <v>9951</v>
      </c>
      <c r="E69933" s="0" t="s">
        <v>31</v>
      </c>
      <c r="F69933" s="0" t="s">
        <v>5787</v>
      </c>
    </row>
    <row r="69934" customFormat="false" ht="12.8" hidden="false" customHeight="false" outlineLevel="0" collapsed="false">
      <c r="B69934" s="0" t="s">
        <v>8</v>
      </c>
      <c r="C69934" s="0" t="s">
        <v>9952</v>
      </c>
      <c r="E69934" s="0" t="s">
        <v>1569</v>
      </c>
      <c r="F69934" s="0" t="s">
        <v>5790</v>
      </c>
    </row>
    <row r="69935" customFormat="false" ht="12.8" hidden="false" customHeight="false" outlineLevel="0" collapsed="false">
      <c r="B69935" s="0" t="s">
        <v>36</v>
      </c>
      <c r="C69935" s="0" t="s">
        <v>9953</v>
      </c>
      <c r="E69935" s="0" t="s">
        <v>5152</v>
      </c>
      <c r="F69935" s="0" t="s">
        <v>5793</v>
      </c>
    </row>
    <row r="69936" customFormat="false" ht="12.8" hidden="false" customHeight="false" outlineLevel="0" collapsed="false">
      <c r="B69936" s="0" t="s">
        <v>101</v>
      </c>
      <c r="C69936" s="0" t="s">
        <v>9954</v>
      </c>
      <c r="E69936" s="0" t="s">
        <v>5796</v>
      </c>
      <c r="F69936" s="0" t="s">
        <v>5797</v>
      </c>
    </row>
    <row r="69938" customFormat="false" ht="12.8" hidden="false" customHeight="false" outlineLevel="0" collapsed="false">
      <c r="A69938" s="0" t="s">
        <v>22864</v>
      </c>
      <c r="B69938" s="0" t="str">
        <f aca="false">HYPERLINK("https://lindat.mff.cuni.cz/services/teitok/pdtc10/index.php?action=vallex&amp;frame=v-w10683f2", "zliberalizovat (v-w10683f2)")</f>
        <v>zliberalizovat (v-w10683f2)</v>
      </c>
      <c r="E69938" s="0" t="str">
        <f aca="false">HYPERLINK("https://lindat.mff.cuni.cz/services/SynSemClass40/SynSemClass40.html?veclass=vec00545#vec00545-ces-cm00025", "vec00545")</f>
        <v>vec00545</v>
      </c>
      <c r="F69938" s="0" t="s">
        <v>6030</v>
      </c>
    </row>
    <row r="69939" customFormat="false" ht="12.8" hidden="false" customHeight="false" outlineLevel="0" collapsed="false">
      <c r="B69939" s="0" t="s">
        <v>1</v>
      </c>
      <c r="C69939" s="0" t="s">
        <v>3000</v>
      </c>
      <c r="E69939" s="0" t="s">
        <v>206</v>
      </c>
      <c r="F69939" s="0" t="s">
        <v>5400</v>
      </c>
    </row>
    <row r="69940" customFormat="false" ht="12.8" hidden="false" customHeight="false" outlineLevel="0" collapsed="false">
      <c r="B69940" s="0" t="s">
        <v>8</v>
      </c>
      <c r="C69940" s="0" t="s">
        <v>109</v>
      </c>
      <c r="E69940" s="0" t="s">
        <v>180</v>
      </c>
      <c r="F69940" s="0" t="s">
        <v>6031</v>
      </c>
    </row>
    <row r="69942" customFormat="false" ht="12.8" hidden="false" customHeight="false" outlineLevel="0" collapsed="false">
      <c r="A69942" s="0" t="s">
        <v>22865</v>
      </c>
      <c r="B69942" s="0" t="str">
        <f aca="false">HYPERLINK("https://lindat.mff.cuni.cz/services/teitok/pdtc10/index.php?action=vallex&amp;frame=v-whsa_1013hsa_1014", "zlidovět (v-whsa_1013hsa_1014)")</f>
        <v>zlidovět (v-whsa_1013hsa_1014)</v>
      </c>
      <c r="E69942" s="0" t="str">
        <f aca="false">HYPERLINK("https://lindat.mff.cuni.cz/services/SynSemClass40/SynSemClass40.html?veclass=vec01382#vec01382-ces-cm00003", "vec01382")</f>
        <v>vec01382</v>
      </c>
      <c r="F69942" s="0" t="s">
        <v>13779</v>
      </c>
    </row>
    <row r="69943" customFormat="false" ht="12.8" hidden="false" customHeight="false" outlineLevel="0" collapsed="false">
      <c r="B69943" s="0" t="s">
        <v>1</v>
      </c>
      <c r="E69943" s="0" t="s">
        <v>957</v>
      </c>
      <c r="F69943" s="0" t="s">
        <v>13780</v>
      </c>
    </row>
    <row r="69945" customFormat="false" ht="12.8" hidden="false" customHeight="false" outlineLevel="0" collapsed="false">
      <c r="A69945" s="0" t="s">
        <v>22866</v>
      </c>
      <c r="B69945" s="0" t="str">
        <f aca="false">HYPERLINK("https://lindat.mff.cuni.cz/services/teitok/pdtc10/index.php?action=vallex&amp;frame=v-w9584f1", "zlikvidovat (v-w9584f1)")</f>
        <v>zlikvidovat (v-w9584f1)</v>
      </c>
      <c r="E69945" s="0" t="str">
        <f aca="false">HYPERLINK("https://lindat.mff.cuni.cz/services/SynSemClass40/SynSemClass40.html?veclass=vec00389#vec00389-ces-cm00025", "vec00389")</f>
        <v>vec00389</v>
      </c>
      <c r="F69945" s="0" t="s">
        <v>1888</v>
      </c>
    </row>
    <row r="69946" customFormat="false" ht="12.8" hidden="false" customHeight="false" outlineLevel="0" collapsed="false">
      <c r="B69946" s="0" t="s">
        <v>1</v>
      </c>
      <c r="C69946" s="0" t="s">
        <v>1889</v>
      </c>
      <c r="E69946" s="0" t="s">
        <v>1890</v>
      </c>
      <c r="F69946" s="0" t="s">
        <v>1891</v>
      </c>
    </row>
    <row r="69947" customFormat="false" ht="12.8" hidden="false" customHeight="false" outlineLevel="0" collapsed="false">
      <c r="B69947" s="0" t="s">
        <v>8</v>
      </c>
      <c r="C69947" s="0" t="s">
        <v>1892</v>
      </c>
      <c r="E69947" s="0" t="s">
        <v>1893</v>
      </c>
      <c r="F69947" s="0" t="s">
        <v>1894</v>
      </c>
    </row>
    <row r="69949" customFormat="false" ht="12.8" hidden="false" customHeight="false" outlineLevel="0" collapsed="false">
      <c r="A69949" s="0" t="s">
        <v>22867</v>
      </c>
      <c r="B69949" s="0" t="str">
        <f aca="false">HYPERLINK("https://lindat.mff.cuni.cz/services/teitok/pdtc10/index.php?action=vallex&amp;frame=v-w9587f4_MM", "zlobit (v-w9587f4_MM)")</f>
        <v>zlobit (v-w9587f4_MM)</v>
      </c>
    </row>
    <row r="69950" customFormat="false" ht="12.8" hidden="false" customHeight="false" outlineLevel="0" collapsed="false">
      <c r="B69950" s="0" t="s">
        <v>843</v>
      </c>
    </row>
    <row r="69951" customFormat="false" ht="12.8" hidden="false" customHeight="false" outlineLevel="0" collapsed="false">
      <c r="B69951" s="0" t="s">
        <v>8</v>
      </c>
    </row>
    <row r="69953" customFormat="false" ht="12.8" hidden="false" customHeight="false" outlineLevel="0" collapsed="false">
      <c r="A69953" s="0" t="s">
        <v>22867</v>
      </c>
      <c r="B69953" s="0" t="str">
        <f aca="false">HYPERLINK("https://lindat.mff.cuni.cz/services/teitok/pdtc10/index.php?action=vallex&amp;frame=v-w9587f2", "zlobit (v-w9587f2) - substituted with v-w9587f4_MM")</f>
        <v>zlobit (v-w9587f2) - substituted with v-w9587f4_MM</v>
      </c>
      <c r="E69953" s="0" t="str">
        <f aca="false">HYPERLINK("https://lindat.mff.cuni.cz/services/SynSemClass40/SynSemClass40.html?veclass=vec01183#vec01183-ces-cm00005", "vec01183")</f>
        <v>vec01183</v>
      </c>
      <c r="F69953" s="0" t="s">
        <v>4189</v>
      </c>
    </row>
    <row r="69954" customFormat="false" ht="12.8" hidden="false" customHeight="false" outlineLevel="0" collapsed="false">
      <c r="B69954" s="0" t="s">
        <v>843</v>
      </c>
      <c r="C69954" s="0" t="s">
        <v>4190</v>
      </c>
      <c r="E69954" s="0" t="s">
        <v>76</v>
      </c>
      <c r="F69954" s="0" t="s">
        <v>4191</v>
      </c>
    </row>
    <row r="69955" customFormat="false" ht="12.8" hidden="false" customHeight="false" outlineLevel="0" collapsed="false">
      <c r="B69955" s="0" t="s">
        <v>8</v>
      </c>
      <c r="C69955" s="0" t="s">
        <v>4192</v>
      </c>
      <c r="E69955" s="0" t="s">
        <v>1930</v>
      </c>
      <c r="F69955" s="0" t="s">
        <v>4193</v>
      </c>
    </row>
    <row r="69957" customFormat="false" ht="12.8" hidden="false" customHeight="false" outlineLevel="0" collapsed="false">
      <c r="A69957" s="0" t="s">
        <v>22867</v>
      </c>
      <c r="B69957" s="0" t="str">
        <f aca="false">HYPERLINK("https://lindat.mff.cuni.cz/services/teitok/pdtc10/index.php?action=vallex&amp;frame=v-w9587f3_ZU", "zlobit (v-w9587f3_ZU) - substituted with v-w9587f4_MM")</f>
        <v>zlobit (v-w9587f3_ZU) - substituted with v-w9587f4_MM</v>
      </c>
    </row>
    <row r="69958" customFormat="false" ht="12.8" hidden="false" customHeight="false" outlineLevel="0" collapsed="false">
      <c r="B69958" s="0" t="s">
        <v>843</v>
      </c>
    </row>
    <row r="69959" customFormat="false" ht="12.8" hidden="false" customHeight="false" outlineLevel="0" collapsed="false">
      <c r="B69959" s="0" t="s">
        <v>8</v>
      </c>
    </row>
    <row r="69961" customFormat="false" ht="12.8" hidden="false" customHeight="false" outlineLevel="0" collapsed="false">
      <c r="A69961" s="0" t="s">
        <v>22868</v>
      </c>
      <c r="B69961" s="0" t="str">
        <f aca="false">HYPERLINK("https://lindat.mff.cuni.cz/services/teitok/pdtc10/index.php?action=vallex&amp;frame=v-w9587f1", "zlobit (v-w9587f1)")</f>
        <v>zlobit (v-w9587f1)</v>
      </c>
    </row>
    <row r="69962" customFormat="false" ht="12.8" hidden="false" customHeight="false" outlineLevel="0" collapsed="false">
      <c r="B69962" s="0" t="s">
        <v>1</v>
      </c>
    </row>
    <row r="69963" customFormat="false" ht="12.8" hidden="false" customHeight="false" outlineLevel="0" collapsed="false">
      <c r="B69963" s="0" t="s">
        <v>390</v>
      </c>
    </row>
    <row r="69965" customFormat="false" ht="12.8" hidden="false" customHeight="false" outlineLevel="0" collapsed="false">
      <c r="A69965" s="0" t="s">
        <v>22869</v>
      </c>
      <c r="B69965" s="0" t="str">
        <f aca="false">HYPERLINK("https://lindat.mff.cuni.cz/services/teitok/pdtc10/index.php?action=vallex&amp;frame=v-w9588f1", "zlobit se (v-w9588f1)")</f>
        <v>zlobit se (v-w9588f1)</v>
      </c>
    </row>
    <row r="69966" customFormat="false" ht="12.8" hidden="false" customHeight="false" outlineLevel="0" collapsed="false">
      <c r="B69966" s="0" t="s">
        <v>1</v>
      </c>
    </row>
    <row r="69967" customFormat="false" ht="12.8" hidden="false" customHeight="false" outlineLevel="0" collapsed="false">
      <c r="B69967" s="0" t="s">
        <v>797</v>
      </c>
    </row>
    <row r="69969" customFormat="false" ht="12.8" hidden="false" customHeight="false" outlineLevel="0" collapsed="false">
      <c r="A69969" s="0" t="s">
        <v>22870</v>
      </c>
      <c r="B69969" s="0" t="str">
        <f aca="false">HYPERLINK("https://lindat.mff.cuni.cz/services/teitok/pdtc10/index.php?action=vallex&amp;frame=v-w9593f1", "zlomit (v-w9593f1)")</f>
        <v>zlomit (v-w9593f1)</v>
      </c>
      <c r="E69969" s="0" t="str">
        <f aca="false">HYPERLINK("https://lindat.mff.cuni.cz/services/SynSemClass40/SynSemClass40.html?veclass=vec00903#vec00903-ces-cm00018", "vec00903")</f>
        <v>vec00903</v>
      </c>
      <c r="F69969" s="0" t="s">
        <v>8059</v>
      </c>
    </row>
    <row r="69970" customFormat="false" ht="12.8" hidden="false" customHeight="false" outlineLevel="0" collapsed="false">
      <c r="B69970" s="0" t="s">
        <v>1</v>
      </c>
      <c r="C69970" s="0" t="s">
        <v>3241</v>
      </c>
      <c r="E69970" s="0" t="s">
        <v>1890</v>
      </c>
      <c r="F69970" s="0" t="s">
        <v>8061</v>
      </c>
    </row>
    <row r="69971" customFormat="false" ht="12.8" hidden="false" customHeight="false" outlineLevel="0" collapsed="false">
      <c r="B69971" s="0" t="s">
        <v>8</v>
      </c>
      <c r="C69971" s="0" t="s">
        <v>4776</v>
      </c>
      <c r="E69971" s="0" t="s">
        <v>1893</v>
      </c>
      <c r="F69971" s="0" t="s">
        <v>8063</v>
      </c>
    </row>
    <row r="69972" customFormat="false" ht="12.8" hidden="false" customHeight="false" outlineLevel="0" collapsed="false">
      <c r="B69972" s="0" t="s">
        <v>3211</v>
      </c>
      <c r="C69972" s="0" t="s">
        <v>13627</v>
      </c>
      <c r="E69972" s="0" t="s">
        <v>2584</v>
      </c>
      <c r="F69972" s="0" t="s">
        <v>8065</v>
      </c>
    </row>
    <row r="69974" customFormat="false" ht="12.8" hidden="false" customHeight="false" outlineLevel="0" collapsed="false">
      <c r="A69974" s="0" t="s">
        <v>22871</v>
      </c>
      <c r="B69974" s="0" t="str">
        <f aca="false">HYPERLINK("https://lindat.mff.cuni.cz/services/teitok/pdtc10/index.php?action=vallex&amp;frame=v-w9593f2", "zlomit (v-w9593f2)")</f>
        <v>zlomit (v-w9593f2)</v>
      </c>
      <c r="E69974" s="0" t="str">
        <f aca="false">HYPERLINK("https://lindat.mff.cuni.cz/services/SynSemClass40/SynSemClass40.html?veclass=vec00389#vec00389-ces-cm00056", "vec00389")</f>
        <v>vec00389</v>
      </c>
      <c r="F69974" s="0" t="s">
        <v>1888</v>
      </c>
    </row>
    <row r="69975" customFormat="false" ht="12.8" hidden="false" customHeight="false" outlineLevel="0" collapsed="false">
      <c r="B69975" s="0" t="s">
        <v>1</v>
      </c>
      <c r="C69975" s="0" t="s">
        <v>1889</v>
      </c>
      <c r="E69975" s="0" t="s">
        <v>1890</v>
      </c>
      <c r="F69975" s="0" t="s">
        <v>1891</v>
      </c>
    </row>
    <row r="69976" customFormat="false" ht="12.8" hidden="false" customHeight="false" outlineLevel="0" collapsed="false">
      <c r="B69976" s="0" t="s">
        <v>8</v>
      </c>
      <c r="C69976" s="0" t="s">
        <v>1892</v>
      </c>
      <c r="E69976" s="0" t="s">
        <v>1893</v>
      </c>
      <c r="F69976" s="0" t="s">
        <v>1894</v>
      </c>
    </row>
    <row r="69978" customFormat="false" ht="12.8" hidden="false" customHeight="false" outlineLevel="0" collapsed="false">
      <c r="A69978" s="0" t="s">
        <v>22872</v>
      </c>
      <c r="B69978" s="0" t="str">
        <f aca="false">HYPERLINK("https://lindat.mff.cuni.cz/services/teitok/pdtc10/index.php?action=vallex&amp;frame=v-w9593f3", "zlomit (v-w9593f3)")</f>
        <v>zlomit (v-w9593f3)</v>
      </c>
    </row>
    <row r="69979" customFormat="false" ht="12.8" hidden="false" customHeight="false" outlineLevel="0" collapsed="false">
      <c r="B69979" s="0" t="s">
        <v>1</v>
      </c>
    </row>
    <row r="69980" customFormat="false" ht="12.8" hidden="false" customHeight="false" outlineLevel="0" collapsed="false">
      <c r="B69980" s="0" t="s">
        <v>6117</v>
      </c>
    </row>
    <row r="69981" customFormat="false" ht="12.8" hidden="false" customHeight="false" outlineLevel="0" collapsed="false">
      <c r="B69981" s="0" t="s">
        <v>294</v>
      </c>
    </row>
    <row r="69983" customFormat="false" ht="12.8" hidden="false" customHeight="false" outlineLevel="0" collapsed="false">
      <c r="A69983" s="0" t="s">
        <v>22873</v>
      </c>
      <c r="B69983" s="0" t="str">
        <f aca="false">HYPERLINK("https://lindat.mff.cuni.cz/services/teitok/pdtc10/index.php?action=vallex&amp;frame=v-w9593f4_ZU", "zlomit (v-w9593f4_ZU)")</f>
        <v>zlomit (v-w9593f4_ZU)</v>
      </c>
    </row>
    <row r="69984" customFormat="false" ht="12.8" hidden="false" customHeight="false" outlineLevel="0" collapsed="false">
      <c r="B69984" s="0" t="s">
        <v>1</v>
      </c>
    </row>
    <row r="69985" customFormat="false" ht="12.8" hidden="false" customHeight="false" outlineLevel="0" collapsed="false">
      <c r="B69985" s="0" t="s">
        <v>3585</v>
      </c>
    </row>
    <row r="69986" customFormat="false" ht="12.8" hidden="false" customHeight="false" outlineLevel="0" collapsed="false">
      <c r="B69986" s="0" t="s">
        <v>186</v>
      </c>
    </row>
    <row r="69988" customFormat="false" ht="12.8" hidden="false" customHeight="false" outlineLevel="0" collapsed="false">
      <c r="A69988" s="0" t="s">
        <v>22873</v>
      </c>
      <c r="B69988" s="0" t="str">
        <f aca="false">HYPERLINK("https://lindat.mff.cuni.cz/services/teitok/pdtc10/index.php?action=vallex&amp;frame=v-w9593hsa_1056", "zlomit (v-w9593hsa_1056) - substituted with v-w9593f4_ZU")</f>
        <v>zlomit (v-w9593hsa_1056) - substituted with v-w9593f4_ZU</v>
      </c>
    </row>
    <row r="69989" customFormat="false" ht="12.8" hidden="false" customHeight="false" outlineLevel="0" collapsed="false">
      <c r="B69989" s="0" t="s">
        <v>1</v>
      </c>
    </row>
    <row r="69990" customFormat="false" ht="12.8" hidden="false" customHeight="false" outlineLevel="0" collapsed="false">
      <c r="B69990" s="0" t="s">
        <v>3585</v>
      </c>
    </row>
    <row r="69991" customFormat="false" ht="12.8" hidden="false" customHeight="false" outlineLevel="0" collapsed="false">
      <c r="B69991" s="0" t="s">
        <v>186</v>
      </c>
    </row>
    <row r="69993" customFormat="false" ht="12.8" hidden="false" customHeight="false" outlineLevel="0" collapsed="false">
      <c r="A69993" s="0" t="s">
        <v>22874</v>
      </c>
      <c r="B69993" s="0" t="str">
        <f aca="false">HYPERLINK("https://lindat.mff.cuni.cz/services/teitok/pdtc10/index.php?action=vallex&amp;frame=v-w9594f1", "zlomit se (v-w9594f1)")</f>
        <v>zlomit se (v-w9594f1)</v>
      </c>
      <c r="E69993" s="0" t="str">
        <f aca="false">HYPERLINK("https://lindat.mff.cuni.cz/services/SynSemClass40/SynSemClass40.html?veclass=vec00681#vec00681-ces-cm00008", "vec00681")</f>
        <v>vec00681</v>
      </c>
      <c r="F69993" s="0" t="s">
        <v>11358</v>
      </c>
    </row>
    <row r="69994" customFormat="false" ht="12.8" hidden="false" customHeight="false" outlineLevel="0" collapsed="false">
      <c r="B69994" s="0" t="s">
        <v>1</v>
      </c>
      <c r="C69994" s="0" t="s">
        <v>11359</v>
      </c>
      <c r="E69994" s="0" t="s">
        <v>84</v>
      </c>
      <c r="F69994" s="0" t="s">
        <v>11360</v>
      </c>
    </row>
    <row r="69996" customFormat="false" ht="12.8" hidden="false" customHeight="false" outlineLevel="0" collapsed="false">
      <c r="A69996" s="0" t="s">
        <v>22875</v>
      </c>
      <c r="B69996" s="0" t="str">
        <f aca="false">HYPERLINK("https://lindat.mff.cuni.cz/services/teitok/pdtc10/index.php?action=vallex&amp;frame=v-w9595f1", "zlořečit (v-w9595f1)")</f>
        <v>zlořečit (v-w9595f1)</v>
      </c>
      <c r="E69996" s="0" t="str">
        <f aca="false">HYPERLINK("https://lindat.mff.cuni.cz/services/SynSemClass40/SynSemClass40.html?veclass=vec00132#vec00132-ces-cm00024", "vec00132")</f>
        <v>vec00132</v>
      </c>
      <c r="F69996" s="0" t="s">
        <v>484</v>
      </c>
      <c r="H69996" s="0" t="str">
        <f aca="false">HYPERLINK("https://lindat.mff.cuni.cz/services/SynSemClass40/SynSemClass40.html?veclass=vec00620#vec00620-ces-cm00019", "vec00620")</f>
        <v>vec00620</v>
      </c>
      <c r="I69996" s="0" t="s">
        <v>4262</v>
      </c>
      <c r="K69996" s="0" t="str">
        <f aca="false">HYPERLINK("https://lindat.mff.cuni.cz/services/SynSemClass40/SynSemClass40.html?veclass=vec00958#vec00958-ces-cm00004", "vec00958")</f>
        <v>vec00958</v>
      </c>
      <c r="L69996" s="0" t="s">
        <v>8464</v>
      </c>
    </row>
    <row r="69997" customFormat="false" ht="12.8" hidden="false" customHeight="false" outlineLevel="0" collapsed="false">
      <c r="B69997" s="0" t="s">
        <v>1</v>
      </c>
      <c r="C69997" s="0" t="s">
        <v>14071</v>
      </c>
      <c r="E69997" s="0" t="s">
        <v>63</v>
      </c>
      <c r="F69997" s="0" t="s">
        <v>487</v>
      </c>
      <c r="H69997" s="0" t="s">
        <v>31</v>
      </c>
      <c r="I69997" s="0" t="s">
        <v>4265</v>
      </c>
      <c r="K69997" s="0" t="s">
        <v>206</v>
      </c>
      <c r="L69997" s="0" t="s">
        <v>1365</v>
      </c>
    </row>
    <row r="69998" customFormat="false" ht="12.8" hidden="false" customHeight="false" outlineLevel="0" collapsed="false">
      <c r="B69998" s="0" t="s">
        <v>52</v>
      </c>
      <c r="C69998" s="0" t="s">
        <v>22876</v>
      </c>
      <c r="E69998" s="0" t="s">
        <v>2287</v>
      </c>
      <c r="F69998" s="0" t="s">
        <v>11643</v>
      </c>
      <c r="H69998" s="0" t="s">
        <v>2287</v>
      </c>
      <c r="I69998" s="0" t="s">
        <v>16415</v>
      </c>
      <c r="K69998" s="0" t="s">
        <v>3701</v>
      </c>
      <c r="L69998" s="0" t="s">
        <v>16418</v>
      </c>
    </row>
    <row r="69999" customFormat="false" ht="12.8" hidden="false" customHeight="false" outlineLevel="0" collapsed="false">
      <c r="B69999" s="0" t="s">
        <v>16419</v>
      </c>
      <c r="C69999" s="0" t="s">
        <v>22877</v>
      </c>
      <c r="E69999" s="0" t="s">
        <v>230</v>
      </c>
      <c r="F69999" s="0" t="s">
        <v>491</v>
      </c>
      <c r="H69999" s="0" t="s">
        <v>532</v>
      </c>
      <c r="I69999" s="0" t="s">
        <v>16421</v>
      </c>
    </row>
    <row r="70001" customFormat="false" ht="12.8" hidden="false" customHeight="false" outlineLevel="0" collapsed="false">
      <c r="A70001" s="0" t="s">
        <v>22878</v>
      </c>
      <c r="B70001" s="0" t="str">
        <f aca="false">HYPERLINK("https://lindat.mff.cuni.cz/services/teitok/pdtc10/index.php?action=vallex&amp;frame=v-w9569hsa_191", "zlákat (v-w9569hsa_191)")</f>
        <v>zlákat (v-w9569hsa_191)</v>
      </c>
    </row>
    <row r="70002" customFormat="false" ht="12.8" hidden="false" customHeight="false" outlineLevel="0" collapsed="false">
      <c r="B70002" s="0" t="s">
        <v>1</v>
      </c>
    </row>
    <row r="70003" customFormat="false" ht="12.8" hidden="false" customHeight="false" outlineLevel="0" collapsed="false">
      <c r="B70003" s="0" t="s">
        <v>98</v>
      </c>
    </row>
    <row r="70004" customFormat="false" ht="12.8" hidden="false" customHeight="false" outlineLevel="0" collapsed="false">
      <c r="B70004" s="0" t="s">
        <v>22879</v>
      </c>
    </row>
    <row r="70006" customFormat="false" ht="12.8" hidden="false" customHeight="false" outlineLevel="0" collapsed="false">
      <c r="A70006" s="0" t="s">
        <v>22878</v>
      </c>
      <c r="B70006" s="0" t="str">
        <f aca="false">HYPERLINK("https://lindat.mff.cuni.cz/services/teitok/pdtc10/index.php?action=vallex&amp;frame=v-w9569f1", "zlákat (v-w9569f1) - substituted with v-w9569hsa_191")</f>
        <v>zlákat (v-w9569f1) - substituted with v-w9569hsa_191</v>
      </c>
      <c r="E70006" s="0" t="str">
        <f aca="false">HYPERLINK("https://lindat.mff.cuni.cz/services/SynSemClass40/SynSemClass40.html?veclass=vec00286#vec00286-ces-cm00025", "vec00286")</f>
        <v>vec00286</v>
      </c>
      <c r="F70006" s="0" t="s">
        <v>6106</v>
      </c>
    </row>
    <row r="70007" customFormat="false" ht="12.8" hidden="false" customHeight="false" outlineLevel="0" collapsed="false">
      <c r="B70007" s="0" t="s">
        <v>1</v>
      </c>
      <c r="C70007" s="0" t="s">
        <v>6107</v>
      </c>
      <c r="E70007" s="0" t="s">
        <v>6108</v>
      </c>
      <c r="F70007" s="0" t="s">
        <v>6109</v>
      </c>
    </row>
    <row r="70008" customFormat="false" ht="12.8" hidden="false" customHeight="false" outlineLevel="0" collapsed="false">
      <c r="B70008" s="0" t="s">
        <v>98</v>
      </c>
      <c r="C70008" s="0" t="s">
        <v>6110</v>
      </c>
      <c r="E70008" s="0" t="s">
        <v>6111</v>
      </c>
      <c r="F70008" s="0" t="s">
        <v>6112</v>
      </c>
    </row>
    <row r="70009" customFormat="false" ht="12.8" hidden="false" customHeight="false" outlineLevel="0" collapsed="false">
      <c r="B70009" s="0" t="s">
        <v>22879</v>
      </c>
      <c r="C70009" s="0" t="s">
        <v>6113</v>
      </c>
      <c r="E70009" s="0" t="s">
        <v>523</v>
      </c>
      <c r="F70009" s="0" t="s">
        <v>6114</v>
      </c>
    </row>
    <row r="70011" customFormat="false" ht="12.8" hidden="false" customHeight="false" outlineLevel="0" collapsed="false">
      <c r="A70011" s="0" t="s">
        <v>22880</v>
      </c>
      <c r="B70011" s="0" t="str">
        <f aca="false">HYPERLINK("https://lindat.mff.cuni.cz/services/teitok/pdtc10/index.php?action=vallex&amp;frame=v-w10634f2", "zlámat (v-w10634f2)")</f>
        <v>zlámat (v-w10634f2)</v>
      </c>
    </row>
    <row r="70012" customFormat="false" ht="12.8" hidden="false" customHeight="false" outlineLevel="0" collapsed="false">
      <c r="B70012" s="0" t="s">
        <v>1</v>
      </c>
    </row>
    <row r="70013" customFormat="false" ht="12.8" hidden="false" customHeight="false" outlineLevel="0" collapsed="false">
      <c r="B70013" s="0" t="s">
        <v>8</v>
      </c>
    </row>
    <row r="70014" customFormat="false" ht="12.8" hidden="false" customHeight="false" outlineLevel="0" collapsed="false">
      <c r="B70014" s="0" t="s">
        <v>3211</v>
      </c>
    </row>
    <row r="70016" customFormat="false" ht="12.8" hidden="false" customHeight="false" outlineLevel="0" collapsed="false">
      <c r="A70016" s="0" t="s">
        <v>22881</v>
      </c>
      <c r="B70016" s="0" t="str">
        <f aca="false">HYPERLINK("https://lindat.mff.cuni.cz/services/teitok/pdtc10/index.php?action=vallex&amp;frame=v-w9583f1", "zlíbit se (v-w9583f1)")</f>
        <v>zlíbit se (v-w9583f1)</v>
      </c>
    </row>
    <row r="70017" customFormat="false" ht="12.8" hidden="false" customHeight="false" outlineLevel="0" collapsed="false">
      <c r="B70017" s="0" t="s">
        <v>804</v>
      </c>
    </row>
    <row r="70018" customFormat="false" ht="12.8" hidden="false" customHeight="false" outlineLevel="0" collapsed="false">
      <c r="B70018" s="0" t="s">
        <v>5918</v>
      </c>
    </row>
    <row r="70020" customFormat="false" ht="12.8" hidden="false" customHeight="false" outlineLevel="0" collapsed="false">
      <c r="A70020" s="0" t="s">
        <v>22882</v>
      </c>
      <c r="B70020" s="0" t="str">
        <f aca="false">HYPERLINK("https://lindat.mff.cuni.cz/services/teitok/pdtc10/index.php?action=vallex&amp;frame=v-w9599f1", "zmalomyslnět (v-w9599f1)")</f>
        <v>zmalomyslnět (v-w9599f1)</v>
      </c>
    </row>
    <row r="70021" customFormat="false" ht="12.8" hidden="false" customHeight="false" outlineLevel="0" collapsed="false">
      <c r="B70021" s="0" t="s">
        <v>1</v>
      </c>
    </row>
    <row r="70023" customFormat="false" ht="12.8" hidden="false" customHeight="false" outlineLevel="0" collapsed="false">
      <c r="A70023" s="0" t="s">
        <v>22883</v>
      </c>
      <c r="B70023" s="0" t="str">
        <f aca="false">HYPERLINK("https://lindat.mff.cuni.cz/services/teitok/pdtc10/index.php?action=vallex&amp;frame=v-w9597f1", "zmalátnit (v-w9597f1)")</f>
        <v>zmalátnit (v-w9597f1)</v>
      </c>
    </row>
    <row r="70024" customFormat="false" ht="12.8" hidden="false" customHeight="false" outlineLevel="0" collapsed="false">
      <c r="B70024" s="0" t="s">
        <v>1</v>
      </c>
    </row>
    <row r="70025" customFormat="false" ht="12.8" hidden="false" customHeight="false" outlineLevel="0" collapsed="false">
      <c r="B70025" s="0" t="s">
        <v>8</v>
      </c>
    </row>
    <row r="70027" customFormat="false" ht="12.8" hidden="false" customHeight="false" outlineLevel="0" collapsed="false">
      <c r="A70027" s="0" t="s">
        <v>22884</v>
      </c>
      <c r="B70027" s="0" t="str">
        <f aca="false">HYPERLINK("https://lindat.mff.cuni.cz/services/teitok/pdtc10/index.php?action=vallex&amp;frame=v-w9598f1", "zmalířštět (v-w9598f1)")</f>
        <v>zmalířštět (v-w9598f1)</v>
      </c>
    </row>
    <row r="70028" customFormat="false" ht="12.8" hidden="false" customHeight="false" outlineLevel="0" collapsed="false">
      <c r="B70028" s="0" t="s">
        <v>1</v>
      </c>
    </row>
    <row r="70030" customFormat="false" ht="12.8" hidden="false" customHeight="false" outlineLevel="0" collapsed="false">
      <c r="A70030" s="0" t="s">
        <v>22885</v>
      </c>
      <c r="B70030" s="0" t="str">
        <f aca="false">HYPERLINK("https://lindat.mff.cuni.cz/services/teitok/pdtc10/index.php?action=vallex&amp;frame=v-w9601f1", "zmanipulovat (v-w9601f1)")</f>
        <v>zmanipulovat (v-w9601f1)</v>
      </c>
      <c r="E70030" s="0" t="str">
        <f aca="false">HYPERLINK("https://lindat.mff.cuni.cz/services/SynSemClass40/SynSemClass40.html?veclass=vec00254#vec00254-ces-cm00036", "vec00254")</f>
        <v>vec00254</v>
      </c>
      <c r="F70030" s="0" t="s">
        <v>3007</v>
      </c>
    </row>
    <row r="70031" customFormat="false" ht="12.8" hidden="false" customHeight="false" outlineLevel="0" collapsed="false">
      <c r="B70031" s="0" t="s">
        <v>1</v>
      </c>
      <c r="C70031" s="0" t="s">
        <v>6199</v>
      </c>
      <c r="E70031" s="0" t="s">
        <v>3010</v>
      </c>
      <c r="F70031" s="0" t="s">
        <v>3011</v>
      </c>
    </row>
    <row r="70032" customFormat="false" ht="12.8" hidden="false" customHeight="false" outlineLevel="0" collapsed="false">
      <c r="B70032" s="0" t="s">
        <v>8</v>
      </c>
      <c r="C70032" s="0" t="s">
        <v>6200</v>
      </c>
      <c r="E70032" s="0" t="s">
        <v>142</v>
      </c>
      <c r="F70032" s="0" t="s">
        <v>3014</v>
      </c>
    </row>
    <row r="70034" customFormat="false" ht="12.8" hidden="false" customHeight="false" outlineLevel="0" collapsed="false">
      <c r="A70034" s="0" t="s">
        <v>22886</v>
      </c>
      <c r="B70034" s="0" t="str">
        <f aca="false">HYPERLINK("https://lindat.mff.cuni.cz/services/teitok/pdtc10/index.php?action=vallex&amp;frame=v-w9603f1", "zmapovat (v-w9603f1)")</f>
        <v>zmapovat (v-w9603f1)</v>
      </c>
    </row>
    <row r="70035" customFormat="false" ht="12.8" hidden="false" customHeight="false" outlineLevel="0" collapsed="false">
      <c r="B70035" s="0" t="s">
        <v>1</v>
      </c>
    </row>
    <row r="70036" customFormat="false" ht="12.8" hidden="false" customHeight="false" outlineLevel="0" collapsed="false">
      <c r="B70036" s="0" t="s">
        <v>8</v>
      </c>
    </row>
    <row r="70038" customFormat="false" ht="12.8" hidden="false" customHeight="false" outlineLevel="0" collapsed="false">
      <c r="A70038" s="0" t="s">
        <v>22887</v>
      </c>
      <c r="B70038" s="0" t="str">
        <f aca="false">HYPERLINK("https://lindat.mff.cuni.cz/services/teitok/pdtc10/index.php?action=vallex&amp;frame=v-w9604f1", "zmarnit (v-w9604f1)")</f>
        <v>zmarnit (v-w9604f1)</v>
      </c>
    </row>
    <row r="70039" customFormat="false" ht="12.8" hidden="false" customHeight="false" outlineLevel="0" collapsed="false">
      <c r="B70039" s="0" t="s">
        <v>1</v>
      </c>
    </row>
    <row r="70040" customFormat="false" ht="12.8" hidden="false" customHeight="false" outlineLevel="0" collapsed="false">
      <c r="B70040" s="0" t="s">
        <v>8</v>
      </c>
    </row>
    <row r="70042" customFormat="false" ht="12.8" hidden="false" customHeight="false" outlineLevel="0" collapsed="false">
      <c r="A70042" s="0" t="s">
        <v>22888</v>
      </c>
      <c r="B70042" s="0" t="str">
        <f aca="false">HYPERLINK("https://lindat.mff.cuni.cz/services/teitok/pdtc10/index.php?action=vallex&amp;frame=v-whsa_590f1_ZU", "zmasakrovat (v-whsa_590f1_ZU)")</f>
        <v>zmasakrovat (v-whsa_590f1_ZU)</v>
      </c>
      <c r="E70042" s="0" t="str">
        <f aca="false">HYPERLINK("https://lindat.mff.cuni.cz/services/SynSemClass40/SynSemClass40.html?veclass=vec00389#vec00389-ces-cm00057", "vec00389")</f>
        <v>vec00389</v>
      </c>
      <c r="F70042" s="0" t="s">
        <v>1888</v>
      </c>
    </row>
    <row r="70043" customFormat="false" ht="12.8" hidden="false" customHeight="false" outlineLevel="0" collapsed="false">
      <c r="B70043" s="0" t="s">
        <v>1</v>
      </c>
      <c r="C70043" s="0" t="s">
        <v>1889</v>
      </c>
      <c r="E70043" s="0" t="s">
        <v>1890</v>
      </c>
      <c r="F70043" s="0" t="s">
        <v>1891</v>
      </c>
    </row>
    <row r="70044" customFormat="false" ht="12.8" hidden="false" customHeight="false" outlineLevel="0" collapsed="false">
      <c r="B70044" s="0" t="s">
        <v>8</v>
      </c>
      <c r="C70044" s="0" t="s">
        <v>1892</v>
      </c>
      <c r="E70044" s="0" t="s">
        <v>1893</v>
      </c>
      <c r="F70044" s="0" t="s">
        <v>1894</v>
      </c>
    </row>
    <row r="70046" customFormat="false" ht="12.8" hidden="false" customHeight="false" outlineLevel="0" collapsed="false">
      <c r="A70046" s="0" t="s">
        <v>22888</v>
      </c>
      <c r="B70046" s="0" t="str">
        <f aca="false">HYPERLINK("https://lindat.mff.cuni.cz/services/teitok/pdtc10/index.php?action=vallex&amp;frame=v-whsa_590hsa_591", "zmasakrovat (v-whsa_590hsa_591) - substituted with v-whsa_590f1_ZU")</f>
        <v>zmasakrovat (v-whsa_590hsa_591) - substituted with v-whsa_590f1_ZU</v>
      </c>
    </row>
    <row r="70047" customFormat="false" ht="12.8" hidden="false" customHeight="false" outlineLevel="0" collapsed="false">
      <c r="B70047" s="0" t="s">
        <v>1</v>
      </c>
    </row>
    <row r="70048" customFormat="false" ht="12.8" hidden="false" customHeight="false" outlineLevel="0" collapsed="false">
      <c r="B70048" s="0" t="s">
        <v>8</v>
      </c>
    </row>
    <row r="70050" customFormat="false" ht="12.8" hidden="false" customHeight="false" outlineLevel="0" collapsed="false">
      <c r="A70050" s="0" t="s">
        <v>22889</v>
      </c>
      <c r="B70050" s="0" t="str">
        <f aca="false">HYPERLINK("https://lindat.mff.cuni.cz/services/teitok/pdtc10/index.php?action=vallex&amp;frame=v-w12032_ZUf1_ZU", "zmačknout (v-w12032_ZUf1_ZU)")</f>
        <v>zmačknout (v-w12032_ZUf1_ZU)</v>
      </c>
    </row>
    <row r="70051" customFormat="false" ht="12.8" hidden="false" customHeight="false" outlineLevel="0" collapsed="false">
      <c r="B70051" s="0" t="s">
        <v>1</v>
      </c>
    </row>
    <row r="70052" customFormat="false" ht="12.8" hidden="false" customHeight="false" outlineLevel="0" collapsed="false">
      <c r="B70052" s="0" t="s">
        <v>8</v>
      </c>
    </row>
    <row r="70054" customFormat="false" ht="12.8" hidden="false" customHeight="false" outlineLevel="0" collapsed="false">
      <c r="A70054" s="0" t="s">
        <v>22890</v>
      </c>
      <c r="B70054" s="0" t="str">
        <f aca="false">HYPERLINK("https://lindat.mff.cuni.cz/services/teitok/pdtc10/index.php?action=vallex&amp;frame=v-w9606f1", "zmařit (v-w9606f1)")</f>
        <v>zmařit (v-w9606f1)</v>
      </c>
      <c r="E70054" s="0" t="str">
        <f aca="false">HYPERLINK("https://lindat.mff.cuni.cz/services/SynSemClass40/SynSemClass40.html?veclass=vec00174#vec00174-ces-cm00071", "vec00174")</f>
        <v>vec00174</v>
      </c>
      <c r="F70054" s="0" t="s">
        <v>325</v>
      </c>
    </row>
    <row r="70055" customFormat="false" ht="12.8" hidden="false" customHeight="false" outlineLevel="0" collapsed="false">
      <c r="B70055" s="0" t="s">
        <v>1</v>
      </c>
      <c r="C70055" s="0" t="s">
        <v>326</v>
      </c>
      <c r="E70055" s="0" t="s">
        <v>76</v>
      </c>
      <c r="F70055" s="0" t="s">
        <v>327</v>
      </c>
    </row>
    <row r="70056" customFormat="false" ht="12.8" hidden="false" customHeight="false" outlineLevel="0" collapsed="false">
      <c r="B70056" s="0" t="s">
        <v>8853</v>
      </c>
      <c r="C70056" s="0" t="s">
        <v>328</v>
      </c>
      <c r="E70056" s="0" t="s">
        <v>188</v>
      </c>
      <c r="F70056" s="0" t="s">
        <v>329</v>
      </c>
    </row>
    <row r="70057" customFormat="false" ht="12.8" hidden="false" customHeight="false" outlineLevel="0" collapsed="false">
      <c r="B70057" s="0" t="s">
        <v>132</v>
      </c>
    </row>
    <row r="70059" customFormat="false" ht="12.8" hidden="false" customHeight="false" outlineLevel="0" collapsed="false">
      <c r="A70059" s="0" t="s">
        <v>22891</v>
      </c>
      <c r="B70059" s="0" t="str">
        <f aca="false">HYPERLINK("https://lindat.mff.cuni.cz/services/teitok/pdtc10/index.php?action=vallex&amp;frame=v-w9606f2", "zmařit (v-w9606f2)")</f>
        <v>zmařit (v-w9606f2)</v>
      </c>
      <c r="E70059" s="0" t="str">
        <f aca="false">HYPERLINK("https://lindat.mff.cuni.cz/services/SynSemClass40/SynSemClass40.html?veclass=vec00174#vec00174-ces-cm00072", "vec00174")</f>
        <v>vec00174</v>
      </c>
      <c r="F70059" s="0" t="s">
        <v>325</v>
      </c>
    </row>
    <row r="70060" customFormat="false" ht="12.8" hidden="false" customHeight="false" outlineLevel="0" collapsed="false">
      <c r="B70060" s="0" t="s">
        <v>1</v>
      </c>
      <c r="C70060" s="0" t="s">
        <v>326</v>
      </c>
      <c r="E70060" s="0" t="s">
        <v>76</v>
      </c>
      <c r="F70060" s="0" t="s">
        <v>327</v>
      </c>
    </row>
    <row r="70061" customFormat="false" ht="12.8" hidden="false" customHeight="false" outlineLevel="0" collapsed="false">
      <c r="B70061" s="0" t="s">
        <v>8</v>
      </c>
      <c r="C70061" s="0" t="s">
        <v>328</v>
      </c>
      <c r="E70061" s="0" t="s">
        <v>188</v>
      </c>
      <c r="F70061" s="0" t="s">
        <v>329</v>
      </c>
    </row>
    <row r="70063" customFormat="false" ht="12.8" hidden="false" customHeight="false" outlineLevel="0" collapsed="false">
      <c r="A70063" s="0" t="s">
        <v>22892</v>
      </c>
      <c r="B70063" s="0" t="str">
        <f aca="false">HYPERLINK("https://lindat.mff.cuni.cz/services/teitok/pdtc10/index.php?action=vallex&amp;frame=v-w9610f1", "zmehnout (v-w9610f1)")</f>
        <v>zmehnout (v-w9610f1)</v>
      </c>
    </row>
    <row r="70064" customFormat="false" ht="12.8" hidden="false" customHeight="false" outlineLevel="0" collapsed="false">
      <c r="B70064" s="0" t="s">
        <v>804</v>
      </c>
    </row>
    <row r="70066" customFormat="false" ht="12.8" hidden="false" customHeight="false" outlineLevel="0" collapsed="false">
      <c r="A70066" s="0" t="s">
        <v>22893</v>
      </c>
      <c r="B70066" s="0" t="str">
        <f aca="false">HYPERLINK("https://lindat.mff.cuni.cz/services/teitok/pdtc10/index.php?action=vallex&amp;frame=v-w9618f1", "zmenšit (v-w9618f1)")</f>
        <v>zmenšit (v-w9618f1)</v>
      </c>
      <c r="E70066" s="0" t="str">
        <f aca="false">HYPERLINK("https://lindat.mff.cuni.cz/services/SynSemClass40/SynSemClass40.html?veclass=vec00118#vec00118-ces-cm00292", "vec00118")</f>
        <v>vec00118</v>
      </c>
      <c r="F70066" s="0" t="s">
        <v>5784</v>
      </c>
    </row>
    <row r="70067" customFormat="false" ht="12.8" hidden="false" customHeight="false" outlineLevel="0" collapsed="false">
      <c r="B70067" s="0" t="s">
        <v>1</v>
      </c>
      <c r="C70067" s="0" t="s">
        <v>9951</v>
      </c>
      <c r="E70067" s="0" t="s">
        <v>31</v>
      </c>
      <c r="F70067" s="0" t="s">
        <v>5787</v>
      </c>
    </row>
    <row r="70068" customFormat="false" ht="12.8" hidden="false" customHeight="false" outlineLevel="0" collapsed="false">
      <c r="B70068" s="0" t="s">
        <v>8</v>
      </c>
      <c r="C70068" s="0" t="s">
        <v>9952</v>
      </c>
      <c r="E70068" s="0" t="s">
        <v>1569</v>
      </c>
      <c r="F70068" s="0" t="s">
        <v>5790</v>
      </c>
    </row>
    <row r="70069" customFormat="false" ht="12.8" hidden="false" customHeight="false" outlineLevel="0" collapsed="false">
      <c r="B70069" s="0" t="s">
        <v>36</v>
      </c>
      <c r="C70069" s="0" t="s">
        <v>9953</v>
      </c>
      <c r="E70069" s="0" t="s">
        <v>5152</v>
      </c>
      <c r="F70069" s="0" t="s">
        <v>5793</v>
      </c>
    </row>
    <row r="70070" customFormat="false" ht="12.8" hidden="false" customHeight="false" outlineLevel="0" collapsed="false">
      <c r="B70070" s="0" t="s">
        <v>101</v>
      </c>
      <c r="C70070" s="0" t="s">
        <v>9954</v>
      </c>
      <c r="E70070" s="0" t="s">
        <v>5796</v>
      </c>
      <c r="F70070" s="0" t="s">
        <v>5797</v>
      </c>
    </row>
    <row r="70072" customFormat="false" ht="12.8" hidden="false" customHeight="false" outlineLevel="0" collapsed="false">
      <c r="A70072" s="0" t="s">
        <v>22894</v>
      </c>
      <c r="B70072" s="0" t="str">
        <f aca="false">HYPERLINK("https://lindat.mff.cuni.cz/services/teitok/pdtc10/index.php?action=vallex&amp;frame=v-w9619f1", "zmenšit se (v-w9619f1)")</f>
        <v>zmenšit se (v-w9619f1)</v>
      </c>
      <c r="E70072" s="0" t="str">
        <f aca="false">HYPERLINK("https://lindat.mff.cuni.cz/services/SynSemClass40/SynSemClass40.html?veclass=vec00028#vec00028-ces-cm00092", "vec00028")</f>
        <v>vec00028</v>
      </c>
      <c r="F70072" s="0" t="s">
        <v>5301</v>
      </c>
    </row>
    <row r="70073" customFormat="false" ht="12.8" hidden="false" customHeight="false" outlineLevel="0" collapsed="false">
      <c r="B70073" s="0" t="s">
        <v>1</v>
      </c>
      <c r="C70073" s="0" t="s">
        <v>9964</v>
      </c>
      <c r="E70073" s="0" t="s">
        <v>235</v>
      </c>
      <c r="F70073" s="0" t="s">
        <v>5304</v>
      </c>
    </row>
    <row r="70074" customFormat="false" ht="12.8" hidden="false" customHeight="false" outlineLevel="0" collapsed="false">
      <c r="B70074" s="0" t="s">
        <v>69</v>
      </c>
      <c r="C70074" s="0" t="s">
        <v>9965</v>
      </c>
      <c r="E70074" s="0" t="s">
        <v>5149</v>
      </c>
      <c r="F70074" s="0" t="s">
        <v>5307</v>
      </c>
    </row>
    <row r="70075" customFormat="false" ht="12.8" hidden="false" customHeight="false" outlineLevel="0" collapsed="false">
      <c r="B70075" s="0" t="s">
        <v>36</v>
      </c>
      <c r="C70075" s="0" t="s">
        <v>9966</v>
      </c>
      <c r="E70075" s="0" t="s">
        <v>5152</v>
      </c>
      <c r="F70075" s="0" t="s">
        <v>5311</v>
      </c>
    </row>
    <row r="70077" customFormat="false" ht="12.8" hidden="false" customHeight="false" outlineLevel="0" collapsed="false">
      <c r="A70077" s="0" t="s">
        <v>22895</v>
      </c>
      <c r="B70077" s="0" t="str">
        <f aca="false">HYPERLINK("https://lindat.mff.cuni.cz/services/teitok/pdtc10/index.php?action=vallex&amp;frame=v-w9621f1", "zmenšovat (v-w9621f1)")</f>
        <v>zmenšovat (v-w9621f1)</v>
      </c>
      <c r="E70077" s="0" t="str">
        <f aca="false">HYPERLINK("https://lindat.mff.cuni.cz/services/SynSemClass40/SynSemClass40.html?veclass=vec00118#vec00118-ces-cm00294", "vec00118")</f>
        <v>vec00118</v>
      </c>
      <c r="F70077" s="0" t="s">
        <v>5784</v>
      </c>
    </row>
    <row r="70078" customFormat="false" ht="12.8" hidden="false" customHeight="false" outlineLevel="0" collapsed="false">
      <c r="B70078" s="0" t="s">
        <v>1</v>
      </c>
      <c r="C70078" s="0" t="s">
        <v>9951</v>
      </c>
      <c r="E70078" s="0" t="s">
        <v>31</v>
      </c>
      <c r="F70078" s="0" t="s">
        <v>5787</v>
      </c>
    </row>
    <row r="70079" customFormat="false" ht="12.8" hidden="false" customHeight="false" outlineLevel="0" collapsed="false">
      <c r="B70079" s="0" t="s">
        <v>8</v>
      </c>
      <c r="C70079" s="0" t="s">
        <v>9952</v>
      </c>
      <c r="E70079" s="0" t="s">
        <v>1569</v>
      </c>
      <c r="F70079" s="0" t="s">
        <v>5790</v>
      </c>
    </row>
    <row r="70080" customFormat="false" ht="12.8" hidden="false" customHeight="false" outlineLevel="0" collapsed="false">
      <c r="B70080" s="0" t="s">
        <v>36</v>
      </c>
      <c r="C70080" s="0" t="s">
        <v>9953</v>
      </c>
      <c r="E70080" s="0" t="s">
        <v>5152</v>
      </c>
      <c r="F70080" s="0" t="s">
        <v>5793</v>
      </c>
    </row>
    <row r="70081" customFormat="false" ht="12.8" hidden="false" customHeight="false" outlineLevel="0" collapsed="false">
      <c r="B70081" s="0" t="s">
        <v>101</v>
      </c>
      <c r="C70081" s="0" t="s">
        <v>9954</v>
      </c>
      <c r="E70081" s="0" t="s">
        <v>5796</v>
      </c>
      <c r="F70081" s="0" t="s">
        <v>5797</v>
      </c>
    </row>
    <row r="70083" customFormat="false" ht="12.8" hidden="false" customHeight="false" outlineLevel="0" collapsed="false">
      <c r="A70083" s="0" t="s">
        <v>22896</v>
      </c>
      <c r="B70083" s="0" t="str">
        <f aca="false">HYPERLINK("https://lindat.mff.cuni.cz/services/teitok/pdtc10/index.php?action=vallex&amp;frame=v-w11451f1", "zmenšovat se (v-w11451f1)")</f>
        <v>zmenšovat se (v-w11451f1)</v>
      </c>
      <c r="E70083" s="0" t="str">
        <f aca="false">HYPERLINK("https://lindat.mff.cuni.cz/services/SynSemClass40/SynSemClass40.html?veclass=vec00028#vec00028-ces-cm00093", "vec00028")</f>
        <v>vec00028</v>
      </c>
      <c r="F70083" s="0" t="s">
        <v>5301</v>
      </c>
    </row>
    <row r="70084" customFormat="false" ht="12.8" hidden="false" customHeight="false" outlineLevel="0" collapsed="false">
      <c r="B70084" s="0" t="s">
        <v>1</v>
      </c>
      <c r="C70084" s="0" t="s">
        <v>9964</v>
      </c>
      <c r="E70084" s="0" t="s">
        <v>235</v>
      </c>
      <c r="F70084" s="0" t="s">
        <v>5304</v>
      </c>
    </row>
    <row r="70085" customFormat="false" ht="12.8" hidden="false" customHeight="false" outlineLevel="0" collapsed="false">
      <c r="B70085" s="0" t="s">
        <v>69</v>
      </c>
      <c r="C70085" s="0" t="s">
        <v>9965</v>
      </c>
      <c r="E70085" s="0" t="s">
        <v>5149</v>
      </c>
      <c r="F70085" s="0" t="s">
        <v>5307</v>
      </c>
    </row>
    <row r="70086" customFormat="false" ht="12.8" hidden="false" customHeight="false" outlineLevel="0" collapsed="false">
      <c r="B70086" s="0" t="s">
        <v>36</v>
      </c>
      <c r="C70086" s="0" t="s">
        <v>9966</v>
      </c>
      <c r="E70086" s="0" t="s">
        <v>5152</v>
      </c>
      <c r="F70086" s="0" t="s">
        <v>5311</v>
      </c>
    </row>
    <row r="70088" customFormat="false" ht="12.8" hidden="false" customHeight="false" outlineLevel="0" collapsed="false">
      <c r="A70088" s="0" t="s">
        <v>22897</v>
      </c>
      <c r="B70088" s="0" t="str">
        <f aca="false">HYPERLINK("https://lindat.mff.cuni.cz/services/teitok/pdtc10/index.php?action=vallex&amp;frame=v-whsa_728f1_ZU", "zmeškat (v-whsa_728f1_ZU)")</f>
        <v>zmeškat (v-whsa_728f1_ZU)</v>
      </c>
    </row>
    <row r="70089" customFormat="false" ht="12.8" hidden="false" customHeight="false" outlineLevel="0" collapsed="false">
      <c r="B70089" s="0" t="s">
        <v>1</v>
      </c>
    </row>
    <row r="70090" customFormat="false" ht="12.8" hidden="false" customHeight="false" outlineLevel="0" collapsed="false">
      <c r="B70090" s="0" t="s">
        <v>59</v>
      </c>
    </row>
    <row r="70092" customFormat="false" ht="12.8" hidden="false" customHeight="false" outlineLevel="0" collapsed="false">
      <c r="A70092" s="0" t="s">
        <v>22897</v>
      </c>
      <c r="B70092" s="0" t="str">
        <f aca="false">HYPERLINK("https://lindat.mff.cuni.cz/services/teitok/pdtc10/index.php?action=vallex&amp;frame=v-whsa_728hsa_729", "zmeškat (v-whsa_728hsa_729) - substituted with v-whsa_728f1_ZU")</f>
        <v>zmeškat (v-whsa_728hsa_729) - substituted with v-whsa_728f1_ZU</v>
      </c>
      <c r="E70092" s="0" t="str">
        <f aca="false">HYPERLINK("https://lindat.mff.cuni.cz/services/SynSemClass40/SynSemClass40.html?veclass=vec01328#vec01328-ces-cm00005", "vec01328")</f>
        <v>vec01328</v>
      </c>
      <c r="F70092" s="0" t="s">
        <v>16566</v>
      </c>
      <c r="H70092" s="0" t="str">
        <f aca="false">HYPERLINK("https://lindat.mff.cuni.cz/services/SynSemClass40/SynSemClass40.html?veclass=vec01430#vec01430-ces-cm00007", "vec01430")</f>
        <v>vec01430</v>
      </c>
      <c r="I70092" s="0" t="s">
        <v>12506</v>
      </c>
    </row>
    <row r="70093" customFormat="false" ht="12.8" hidden="false" customHeight="false" outlineLevel="0" collapsed="false">
      <c r="B70093" s="0" t="s">
        <v>1</v>
      </c>
      <c r="C70093" s="0" t="s">
        <v>16580</v>
      </c>
      <c r="E70093" s="0" t="s">
        <v>11</v>
      </c>
      <c r="F70093" s="0" t="s">
        <v>16567</v>
      </c>
      <c r="H70093" s="0" t="s">
        <v>11</v>
      </c>
      <c r="I70093" s="0" t="s">
        <v>12508</v>
      </c>
    </row>
    <row r="70094" customFormat="false" ht="12.8" hidden="false" customHeight="false" outlineLevel="0" collapsed="false">
      <c r="B70094" s="0" t="s">
        <v>59</v>
      </c>
      <c r="C70094" s="0" t="s">
        <v>16581</v>
      </c>
      <c r="E70094" s="0" t="s">
        <v>6091</v>
      </c>
      <c r="F70094" s="0" t="s">
        <v>16568</v>
      </c>
      <c r="H70094" s="0" t="s">
        <v>6091</v>
      </c>
      <c r="I70094" s="0" t="s">
        <v>12510</v>
      </c>
    </row>
    <row r="70096" customFormat="false" ht="12.8" hidden="false" customHeight="false" outlineLevel="0" collapsed="false">
      <c r="A70096" s="0" t="s">
        <v>22898</v>
      </c>
      <c r="B70096" s="0" t="str">
        <f aca="false">HYPERLINK("https://lindat.mff.cuni.cz/services/teitok/pdtc10/index.php?action=vallex&amp;frame=v-w10462f2", "zminimalizovat (v-w10462f2)")</f>
        <v>zminimalizovat (v-w10462f2)</v>
      </c>
    </row>
    <row r="70097" customFormat="false" ht="12.8" hidden="false" customHeight="false" outlineLevel="0" collapsed="false">
      <c r="B70097" s="0" t="s">
        <v>1</v>
      </c>
    </row>
    <row r="70098" customFormat="false" ht="12.8" hidden="false" customHeight="false" outlineLevel="0" collapsed="false">
      <c r="B70098" s="0" t="s">
        <v>8</v>
      </c>
    </row>
    <row r="70099" customFormat="false" ht="12.8" hidden="false" customHeight="false" outlineLevel="0" collapsed="false">
      <c r="B70099" s="0" t="s">
        <v>36</v>
      </c>
    </row>
    <row r="70100" customFormat="false" ht="12.8" hidden="false" customHeight="false" outlineLevel="0" collapsed="false">
      <c r="B70100" s="0" t="s">
        <v>101</v>
      </c>
    </row>
    <row r="70102" customFormat="false" ht="12.8" hidden="false" customHeight="false" outlineLevel="0" collapsed="false">
      <c r="A70102" s="0" t="s">
        <v>22899</v>
      </c>
      <c r="B70102" s="0" t="str">
        <f aca="false">HYPERLINK("https://lindat.mff.cuni.cz/services/teitok/pdtc10/index.php?action=vallex&amp;frame=v-w9638f1", "zmizet (v-w9638f1)")</f>
        <v>zmizet (v-w9638f1)</v>
      </c>
      <c r="E70102" s="0" t="str">
        <f aca="false">HYPERLINK("https://lindat.mff.cuni.cz/services/SynSemClass40/SynSemClass40.html?veclass=vec00755#vec00755-ces-cm00008", "vec00755")</f>
        <v>vec00755</v>
      </c>
      <c r="F70102" s="0" t="s">
        <v>6268</v>
      </c>
    </row>
    <row r="70103" customFormat="false" ht="12.8" hidden="false" customHeight="false" outlineLevel="0" collapsed="false">
      <c r="B70103" s="0" t="s">
        <v>1</v>
      </c>
      <c r="C70103" s="0" t="s">
        <v>6269</v>
      </c>
      <c r="E70103" s="0" t="s">
        <v>6270</v>
      </c>
      <c r="F70103" s="0" t="s">
        <v>6271</v>
      </c>
    </row>
    <row r="70105" customFormat="false" ht="12.8" hidden="false" customHeight="false" outlineLevel="0" collapsed="false">
      <c r="A70105" s="0" t="s">
        <v>22900</v>
      </c>
      <c r="B70105" s="0" t="str">
        <f aca="false">HYPERLINK("https://lindat.mff.cuni.cz/services/teitok/pdtc10/index.php?action=vallex&amp;frame=v-w9627f2_ZU", "zmiňovat (v-w9627f2_ZU)")</f>
        <v>zmiňovat (v-w9627f2_ZU)</v>
      </c>
      <c r="E70105" s="0" t="str">
        <f aca="false">HYPERLINK("https://lindat.mff.cuni.cz/services/SynSemClass40/SynSemClass40.html?veclass=vec00994#vec00994-ces-cm00031", "vec00994")</f>
        <v>vec00994</v>
      </c>
      <c r="F70105" s="0" t="s">
        <v>8007</v>
      </c>
    </row>
    <row r="70106" customFormat="false" ht="12.8" hidden="false" customHeight="false" outlineLevel="0" collapsed="false">
      <c r="B70106" s="0" t="s">
        <v>1</v>
      </c>
      <c r="C70106" s="0" t="s">
        <v>10828</v>
      </c>
      <c r="E70106" s="0" t="s">
        <v>147</v>
      </c>
      <c r="F70106" s="0" t="s">
        <v>8009</v>
      </c>
    </row>
    <row r="70107" customFormat="false" ht="12.8" hidden="false" customHeight="false" outlineLevel="0" collapsed="false">
      <c r="B70107" s="0" t="s">
        <v>8893</v>
      </c>
      <c r="C70107" s="0" t="s">
        <v>10832</v>
      </c>
      <c r="E70107" s="0" t="s">
        <v>218</v>
      </c>
      <c r="F70107" s="0" t="s">
        <v>8011</v>
      </c>
    </row>
    <row r="70108" customFormat="false" ht="12.8" hidden="false" customHeight="false" outlineLevel="0" collapsed="false">
      <c r="B70108" s="0" t="s">
        <v>132</v>
      </c>
      <c r="C70108" s="0" t="s">
        <v>1391</v>
      </c>
      <c r="E70108" s="0" t="s">
        <v>221</v>
      </c>
      <c r="F70108" s="0" t="s">
        <v>5579</v>
      </c>
    </row>
    <row r="70110" customFormat="false" ht="12.8" hidden="false" customHeight="false" outlineLevel="0" collapsed="false">
      <c r="A70110" s="0" t="s">
        <v>22900</v>
      </c>
      <c r="B70110" s="0" t="str">
        <f aca="false">HYPERLINK("https://lindat.mff.cuni.cz/services/teitok/pdtc10/index.php?action=vallex&amp;frame=v-w9627f1", "zmiňovat (v-w9627f1) - substituted with v-w9627f2_ZU")</f>
        <v>zmiňovat (v-w9627f1) - substituted with v-w9627f2_ZU</v>
      </c>
    </row>
    <row r="70111" customFormat="false" ht="12.8" hidden="false" customHeight="false" outlineLevel="0" collapsed="false">
      <c r="B70111" s="0" t="s">
        <v>1</v>
      </c>
    </row>
    <row r="70112" customFormat="false" ht="12.8" hidden="false" customHeight="false" outlineLevel="0" collapsed="false">
      <c r="B70112" s="0" t="s">
        <v>8893</v>
      </c>
    </row>
    <row r="70113" customFormat="false" ht="12.8" hidden="false" customHeight="false" outlineLevel="0" collapsed="false">
      <c r="B70113" s="0" t="s">
        <v>132</v>
      </c>
    </row>
    <row r="70115" customFormat="false" ht="12.8" hidden="false" customHeight="false" outlineLevel="0" collapsed="false">
      <c r="A70115" s="0" t="s">
        <v>22901</v>
      </c>
      <c r="B70115" s="0" t="str">
        <f aca="false">HYPERLINK("https://lindat.mff.cuni.cz/services/teitok/pdtc10/index.php?action=vallex&amp;frame=v-w9627hsa_372", "zmiňovat (v-w9627hsa_372)")</f>
        <v>zmiňovat (v-w9627hsa_372)</v>
      </c>
    </row>
    <row r="70116" customFormat="false" ht="12.8" hidden="false" customHeight="false" outlineLevel="0" collapsed="false">
      <c r="B70116" s="0" t="s">
        <v>1</v>
      </c>
    </row>
    <row r="70117" customFormat="false" ht="12.8" hidden="false" customHeight="false" outlineLevel="0" collapsed="false">
      <c r="B70117" s="0" t="s">
        <v>8</v>
      </c>
    </row>
    <row r="70118" customFormat="false" ht="12.8" hidden="false" customHeight="false" outlineLevel="0" collapsed="false">
      <c r="B70118" s="0" t="s">
        <v>21825</v>
      </c>
    </row>
    <row r="70120" customFormat="false" ht="12.8" hidden="false" customHeight="false" outlineLevel="0" collapsed="false">
      <c r="A70120" s="0" t="s">
        <v>22902</v>
      </c>
      <c r="B70120" s="0" t="str">
        <f aca="false">HYPERLINK("https://lindat.mff.cuni.cz/services/teitok/pdtc10/index.php?action=vallex&amp;frame=v-w9628f1", "zmiňovat se (v-w9628f1)")</f>
        <v>zmiňovat se (v-w9628f1)</v>
      </c>
      <c r="E70120" s="0" t="str">
        <f aca="false">HYPERLINK("https://lindat.mff.cuni.cz/services/SynSemClass40/SynSemClass40.html?veclass=vec00994#vec00994-ces-cm00032", "vec00994")</f>
        <v>vec00994</v>
      </c>
      <c r="F70120" s="0" t="s">
        <v>8007</v>
      </c>
    </row>
    <row r="70121" customFormat="false" ht="12.8" hidden="false" customHeight="false" outlineLevel="0" collapsed="false">
      <c r="B70121" s="0" t="s">
        <v>1</v>
      </c>
      <c r="C70121" s="0" t="s">
        <v>10828</v>
      </c>
      <c r="E70121" s="0" t="s">
        <v>147</v>
      </c>
      <c r="F70121" s="0" t="s">
        <v>8009</v>
      </c>
    </row>
    <row r="70122" customFormat="false" ht="12.8" hidden="false" customHeight="false" outlineLevel="0" collapsed="false">
      <c r="B70122" s="0" t="s">
        <v>1339</v>
      </c>
      <c r="C70122" s="0" t="s">
        <v>10832</v>
      </c>
      <c r="E70122" s="0" t="s">
        <v>218</v>
      </c>
      <c r="F70122" s="0" t="s">
        <v>8011</v>
      </c>
    </row>
    <row r="70123" customFormat="false" ht="12.8" hidden="false" customHeight="false" outlineLevel="0" collapsed="false">
      <c r="B70123" s="0" t="s">
        <v>132</v>
      </c>
      <c r="C70123" s="0" t="s">
        <v>1391</v>
      </c>
      <c r="E70123" s="0" t="s">
        <v>221</v>
      </c>
      <c r="F70123" s="0" t="s">
        <v>5579</v>
      </c>
    </row>
    <row r="70125" customFormat="false" ht="12.8" hidden="false" customHeight="false" outlineLevel="0" collapsed="false">
      <c r="A70125" s="0" t="s">
        <v>22903</v>
      </c>
      <c r="B70125" s="0" t="str">
        <f aca="false">HYPERLINK("https://lindat.mff.cuni.cz/services/teitok/pdtc10/index.php?action=vallex&amp;frame=v-w9628f2", "zmiňovat se (v-w9628f2)")</f>
        <v>zmiňovat se (v-w9628f2)</v>
      </c>
      <c r="E70125" s="0" t="str">
        <f aca="false">HYPERLINK("https://lindat.mff.cuni.cz/services/SynSemClass40/SynSemClass40.html?veclass=vec00994#vec00994-ces-cm00161", "vec00994")</f>
        <v>vec00994</v>
      </c>
      <c r="F70125" s="0" t="s">
        <v>8007</v>
      </c>
      <c r="H70125" s="0" t="str">
        <f aca="false">HYPERLINK("https://lindat.mff.cuni.cz/services/SynSemClass40/SynSemClass40.html?veclass=vec01529#vec01529-ces-cm00050", "vec01529")</f>
        <v>vec01529</v>
      </c>
      <c r="I70125" s="0" t="s">
        <v>10227</v>
      </c>
    </row>
    <row r="70126" customFormat="false" ht="12.8" hidden="false" customHeight="false" outlineLevel="0" collapsed="false">
      <c r="B70126" s="0" t="s">
        <v>1</v>
      </c>
      <c r="C70126" s="0" t="s">
        <v>22904</v>
      </c>
      <c r="E70126" s="0" t="s">
        <v>147</v>
      </c>
      <c r="F70126" s="0" t="s">
        <v>8009</v>
      </c>
      <c r="H70126" s="0" t="s">
        <v>147</v>
      </c>
      <c r="I70126" s="0" t="s">
        <v>10229</v>
      </c>
    </row>
    <row r="70127" customFormat="false" ht="12.8" hidden="false" customHeight="false" outlineLevel="0" collapsed="false">
      <c r="B70127" s="0" t="s">
        <v>19440</v>
      </c>
      <c r="C70127" s="0" t="s">
        <v>22905</v>
      </c>
      <c r="E70127" s="0" t="s">
        <v>2217</v>
      </c>
      <c r="F70127" s="0" t="s">
        <v>8016</v>
      </c>
      <c r="H70127" s="0" t="s">
        <v>2217</v>
      </c>
      <c r="I70127" s="0" t="s">
        <v>10233</v>
      </c>
    </row>
    <row r="70128" customFormat="false" ht="12.8" hidden="false" customHeight="false" outlineLevel="0" collapsed="false">
      <c r="B70128" s="0" t="s">
        <v>496</v>
      </c>
      <c r="C70128" s="0" t="s">
        <v>22906</v>
      </c>
      <c r="E70128" s="0" t="s">
        <v>218</v>
      </c>
      <c r="F70128" s="0" t="s">
        <v>8011</v>
      </c>
      <c r="H70128" s="0" t="s">
        <v>218</v>
      </c>
      <c r="I70128" s="0" t="s">
        <v>22907</v>
      </c>
    </row>
    <row r="70129" customFormat="false" ht="12.8" hidden="false" customHeight="false" outlineLevel="0" collapsed="false">
      <c r="B70129" s="0" t="s">
        <v>132</v>
      </c>
      <c r="C70129" s="0" t="s">
        <v>22908</v>
      </c>
      <c r="E70129" s="0" t="s">
        <v>221</v>
      </c>
      <c r="F70129" s="0" t="s">
        <v>5579</v>
      </c>
      <c r="H70129" s="0" t="s">
        <v>221</v>
      </c>
      <c r="I70129" s="0" t="s">
        <v>10231</v>
      </c>
    </row>
    <row r="70131" customFormat="false" ht="12.8" hidden="false" customHeight="false" outlineLevel="0" collapsed="false">
      <c r="A70131" s="0" t="s">
        <v>22909</v>
      </c>
      <c r="B70131" s="0" t="str">
        <f aca="false">HYPERLINK("https://lindat.mff.cuni.cz/services/teitok/pdtc10/index.php?action=vallex&amp;frame=v-whsa_88hsa_89", "zmlknout (v-whsa_88hsa_89)")</f>
        <v>zmlknout (v-whsa_88hsa_89)</v>
      </c>
    </row>
    <row r="70132" customFormat="false" ht="12.8" hidden="false" customHeight="false" outlineLevel="0" collapsed="false">
      <c r="B70132" s="0" t="s">
        <v>1</v>
      </c>
    </row>
    <row r="70134" customFormat="false" ht="12.8" hidden="false" customHeight="false" outlineLevel="0" collapsed="false">
      <c r="A70134" s="0" t="s">
        <v>22910</v>
      </c>
      <c r="B70134" s="0" t="str">
        <f aca="false">HYPERLINK("https://lindat.mff.cuni.cz/services/teitok/pdtc10/index.php?action=vallex&amp;frame=v-w9639f1", "zmlátit (v-w9639f1)")</f>
        <v>zmlátit (v-w9639f1)</v>
      </c>
    </row>
    <row r="70135" customFormat="false" ht="12.8" hidden="false" customHeight="false" outlineLevel="0" collapsed="false">
      <c r="B70135" s="0" t="s">
        <v>1</v>
      </c>
    </row>
    <row r="70136" customFormat="false" ht="12.8" hidden="false" customHeight="false" outlineLevel="0" collapsed="false">
      <c r="B70136" s="0" t="s">
        <v>8</v>
      </c>
    </row>
    <row r="70138" customFormat="false" ht="12.8" hidden="false" customHeight="false" outlineLevel="0" collapsed="false">
      <c r="A70138" s="0" t="s">
        <v>22911</v>
      </c>
      <c r="B70138" s="0" t="str">
        <f aca="false">HYPERLINK("https://lindat.mff.cuni.cz/services/teitok/pdtc10/index.php?action=vallex&amp;frame=v-w9640f1", "zmnohonásobit (v-w9640f1)")</f>
        <v>zmnohonásobit (v-w9640f1)</v>
      </c>
    </row>
    <row r="70139" customFormat="false" ht="12.8" hidden="false" customHeight="false" outlineLevel="0" collapsed="false">
      <c r="B70139" s="0" t="s">
        <v>1</v>
      </c>
    </row>
    <row r="70140" customFormat="false" ht="12.8" hidden="false" customHeight="false" outlineLevel="0" collapsed="false">
      <c r="B70140" s="0" t="s">
        <v>8</v>
      </c>
    </row>
    <row r="70142" customFormat="false" ht="12.8" hidden="false" customHeight="false" outlineLevel="0" collapsed="false">
      <c r="A70142" s="0" t="s">
        <v>22912</v>
      </c>
      <c r="B70142" s="0" t="str">
        <f aca="false">HYPERLINK("https://lindat.mff.cuni.cz/services/teitok/pdtc10/index.php?action=vallex&amp;frame=v-w9641f1", "zmobilizovat (v-w9641f1)")</f>
        <v>zmobilizovat (v-w9641f1)</v>
      </c>
      <c r="E70142" s="0" t="str">
        <f aca="false">HYPERLINK("https://lindat.mff.cuni.cz/services/SynSemClass40/SynSemClass40.html?veclass=vec00485#vec00485-ces-cm00009", "vec00485")</f>
        <v>vec00485</v>
      </c>
      <c r="F70142" s="0" t="s">
        <v>6309</v>
      </c>
    </row>
    <row r="70143" customFormat="false" ht="12.8" hidden="false" customHeight="false" outlineLevel="0" collapsed="false">
      <c r="B70143" s="0" t="s">
        <v>1</v>
      </c>
      <c r="C70143" s="0" t="s">
        <v>6310</v>
      </c>
      <c r="E70143" s="0" t="s">
        <v>206</v>
      </c>
      <c r="F70143" s="0" t="s">
        <v>6311</v>
      </c>
    </row>
    <row r="70144" customFormat="false" ht="12.8" hidden="false" customHeight="false" outlineLevel="0" collapsed="false">
      <c r="B70144" s="0" t="s">
        <v>8</v>
      </c>
      <c r="C70144" s="0" t="s">
        <v>6312</v>
      </c>
      <c r="E70144" s="0" t="s">
        <v>3832</v>
      </c>
      <c r="F70144" s="0" t="s">
        <v>6313</v>
      </c>
    </row>
    <row r="70146" customFormat="false" ht="12.8" hidden="false" customHeight="false" outlineLevel="0" collapsed="false">
      <c r="A70146" s="0" t="s">
        <v>22913</v>
      </c>
      <c r="B70146" s="0" t="str">
        <f aca="false">HYPERLINK("https://lindat.mff.cuni.cz/services/teitok/pdtc10/index.php?action=vallex&amp;frame=v-w9642f1", "zmoci (v-w9642f1)")</f>
        <v>zmoci (v-w9642f1)</v>
      </c>
    </row>
    <row r="70147" customFormat="false" ht="12.8" hidden="false" customHeight="false" outlineLevel="0" collapsed="false">
      <c r="B70147" s="0" t="s">
        <v>1</v>
      </c>
    </row>
    <row r="70148" customFormat="false" ht="12.8" hidden="false" customHeight="false" outlineLevel="0" collapsed="false">
      <c r="B70148" s="0" t="s">
        <v>8</v>
      </c>
    </row>
    <row r="70150" customFormat="false" ht="12.8" hidden="false" customHeight="false" outlineLevel="0" collapsed="false">
      <c r="A70150" s="0" t="s">
        <v>22914</v>
      </c>
      <c r="B70150" s="0" t="str">
        <f aca="false">HYPERLINK("https://lindat.mff.cuni.cz/services/teitok/pdtc10/index.php?action=vallex&amp;frame=v-w9642hsa_798", "zmoci (v-w9642hsa_798)")</f>
        <v>zmoci (v-w9642hsa_798)</v>
      </c>
    </row>
    <row r="70151" customFormat="false" ht="12.8" hidden="false" customHeight="false" outlineLevel="0" collapsed="false">
      <c r="B70151" s="0" t="s">
        <v>1</v>
      </c>
    </row>
    <row r="70152" customFormat="false" ht="12.8" hidden="false" customHeight="false" outlineLevel="0" collapsed="false">
      <c r="B70152" s="0" t="s">
        <v>8</v>
      </c>
    </row>
    <row r="70154" customFormat="false" ht="12.8" hidden="false" customHeight="false" outlineLevel="0" collapsed="false">
      <c r="A70154" s="0" t="s">
        <v>22915</v>
      </c>
      <c r="B70154" s="0" t="str">
        <f aca="false">HYPERLINK("https://lindat.mff.cuni.cz/services/teitok/pdtc10/index.php?action=vallex&amp;frame=v-w9643f1", "zmoci se (v-w9643f1)")</f>
        <v>zmoci se (v-w9643f1)</v>
      </c>
    </row>
    <row r="70155" customFormat="false" ht="12.8" hidden="false" customHeight="false" outlineLevel="0" collapsed="false">
      <c r="B70155" s="0" t="s">
        <v>1</v>
      </c>
    </row>
    <row r="70156" customFormat="false" ht="12.8" hidden="false" customHeight="false" outlineLevel="0" collapsed="false">
      <c r="B70156" s="0" t="s">
        <v>45</v>
      </c>
    </row>
    <row r="70158" customFormat="false" ht="12.8" hidden="false" customHeight="false" outlineLevel="0" collapsed="false">
      <c r="A70158" s="0" t="s">
        <v>22916</v>
      </c>
      <c r="B70158" s="0" t="str">
        <f aca="false">HYPERLINK("https://lindat.mff.cuni.cz/services/teitok/pdtc10/index.php?action=vallex&amp;frame=v-w9647f1", "zmocnit (v-w9647f1)")</f>
        <v>zmocnit (v-w9647f1)</v>
      </c>
    </row>
    <row r="70159" customFormat="false" ht="12.8" hidden="false" customHeight="false" outlineLevel="0" collapsed="false">
      <c r="B70159" s="0" t="s">
        <v>1</v>
      </c>
    </row>
    <row r="70160" customFormat="false" ht="12.8" hidden="false" customHeight="false" outlineLevel="0" collapsed="false">
      <c r="B70160" s="0" t="s">
        <v>9857</v>
      </c>
    </row>
    <row r="70161" customFormat="false" ht="12.8" hidden="false" customHeight="false" outlineLevel="0" collapsed="false">
      <c r="B70161" s="0" t="s">
        <v>98</v>
      </c>
    </row>
    <row r="70163" customFormat="false" ht="12.8" hidden="false" customHeight="false" outlineLevel="0" collapsed="false">
      <c r="A70163" s="0" t="s">
        <v>22917</v>
      </c>
      <c r="B70163" s="0" t="str">
        <f aca="false">HYPERLINK("https://lindat.mff.cuni.cz/services/teitok/pdtc10/index.php?action=vallex&amp;frame=v-w9648f1", "zmocnit se (v-w9648f1)")</f>
        <v>zmocnit se (v-w9648f1)</v>
      </c>
      <c r="E70163" s="0" t="str">
        <f aca="false">HYPERLINK("https://lindat.mff.cuni.cz/services/SynSemClass40/SynSemClass40.html?veclass=vec00677#vec00677-ces-cm00017", "vec00677")</f>
        <v>vec00677</v>
      </c>
      <c r="F70163" s="0" t="s">
        <v>11314</v>
      </c>
    </row>
    <row r="70164" customFormat="false" ht="12.8" hidden="false" customHeight="false" outlineLevel="0" collapsed="false">
      <c r="B70164" s="0" t="s">
        <v>1</v>
      </c>
      <c r="C70164" s="0" t="s">
        <v>3091</v>
      </c>
      <c r="E70164" s="0" t="s">
        <v>92</v>
      </c>
      <c r="F70164" s="0" t="s">
        <v>11315</v>
      </c>
    </row>
    <row r="70165" customFormat="false" ht="12.8" hidden="false" customHeight="false" outlineLevel="0" collapsed="false">
      <c r="B70165" s="0" t="s">
        <v>1289</v>
      </c>
      <c r="C70165" s="0" t="s">
        <v>4130</v>
      </c>
      <c r="E70165" s="0" t="s">
        <v>95</v>
      </c>
      <c r="F70165" s="0" t="s">
        <v>11316</v>
      </c>
    </row>
    <row r="70167" customFormat="false" ht="12.8" hidden="false" customHeight="false" outlineLevel="0" collapsed="false">
      <c r="A70167" s="0" t="s">
        <v>22918</v>
      </c>
      <c r="B70167" s="0" t="str">
        <f aca="false">HYPERLINK("https://lindat.mff.cuni.cz/services/teitok/pdtc10/index.php?action=vallex&amp;frame=v-w9648f2", "zmocnit se (v-w9648f2)")</f>
        <v>zmocnit se (v-w9648f2)</v>
      </c>
    </row>
    <row r="70168" customFormat="false" ht="12.8" hidden="false" customHeight="false" outlineLevel="0" collapsed="false">
      <c r="B70168" s="0" t="s">
        <v>1</v>
      </c>
    </row>
    <row r="70169" customFormat="false" ht="12.8" hidden="false" customHeight="false" outlineLevel="0" collapsed="false">
      <c r="B70169" s="0" t="s">
        <v>1289</v>
      </c>
    </row>
    <row r="70171" customFormat="false" ht="12.8" hidden="false" customHeight="false" outlineLevel="0" collapsed="false">
      <c r="A70171" s="0" t="s">
        <v>22919</v>
      </c>
      <c r="B70171" s="0" t="str">
        <f aca="false">HYPERLINK("https://lindat.mff.cuni.cz/services/teitok/pdtc10/index.php?action=vallex&amp;frame=v-w9648f3", "zmocnit se (v-w9648f3)")</f>
        <v>zmocnit se (v-w9648f3)</v>
      </c>
    </row>
    <row r="70172" customFormat="false" ht="12.8" hidden="false" customHeight="false" outlineLevel="0" collapsed="false">
      <c r="B70172" s="0" t="s">
        <v>22920</v>
      </c>
    </row>
    <row r="70173" customFormat="false" ht="12.8" hidden="false" customHeight="false" outlineLevel="0" collapsed="false">
      <c r="B70173" s="0" t="s">
        <v>1289</v>
      </c>
    </row>
    <row r="70175" customFormat="false" ht="12.8" hidden="false" customHeight="false" outlineLevel="0" collapsed="false">
      <c r="A70175" s="0" t="s">
        <v>22921</v>
      </c>
      <c r="B70175" s="0" t="str">
        <f aca="false">HYPERLINK("https://lindat.mff.cuni.cz/services/teitok/pdtc10/index.php?action=vallex&amp;frame=v-w10768f2", "zmocňovat (v-w10768f2)")</f>
        <v>zmocňovat (v-w10768f2)</v>
      </c>
    </row>
    <row r="70176" customFormat="false" ht="12.8" hidden="false" customHeight="false" outlineLevel="0" collapsed="false">
      <c r="B70176" s="0" t="s">
        <v>1</v>
      </c>
    </row>
    <row r="70177" customFormat="false" ht="12.8" hidden="false" customHeight="false" outlineLevel="0" collapsed="false">
      <c r="B70177" s="0" t="s">
        <v>9857</v>
      </c>
    </row>
    <row r="70178" customFormat="false" ht="12.8" hidden="false" customHeight="false" outlineLevel="0" collapsed="false">
      <c r="B70178" s="0" t="s">
        <v>98</v>
      </c>
    </row>
    <row r="70180" customFormat="false" ht="12.8" hidden="false" customHeight="false" outlineLevel="0" collapsed="false">
      <c r="A70180" s="0" t="s">
        <v>22922</v>
      </c>
      <c r="B70180" s="0" t="str">
        <f aca="false">HYPERLINK("https://lindat.mff.cuni.cz/services/teitok/pdtc10/index.php?action=vallex&amp;frame=v-w11381f1", "zmocňovat se (v-w11381f1)")</f>
        <v>zmocňovat se (v-w11381f1)</v>
      </c>
    </row>
    <row r="70181" customFormat="false" ht="12.8" hidden="false" customHeight="false" outlineLevel="0" collapsed="false">
      <c r="B70181" s="0" t="s">
        <v>1</v>
      </c>
    </row>
    <row r="70182" customFormat="false" ht="12.8" hidden="false" customHeight="false" outlineLevel="0" collapsed="false">
      <c r="B70182" s="0" t="s">
        <v>1289</v>
      </c>
    </row>
    <row r="70184" customFormat="false" ht="12.8" hidden="false" customHeight="false" outlineLevel="0" collapsed="false">
      <c r="A70184" s="0" t="s">
        <v>22923</v>
      </c>
      <c r="B70184" s="0" t="str">
        <f aca="false">HYPERLINK("https://lindat.mff.cuni.cz/services/teitok/pdtc10/index.php?action=vallex&amp;frame=v-w9649f1", "zmodernizovat (v-w9649f1)")</f>
        <v>zmodernizovat (v-w9649f1)</v>
      </c>
      <c r="E70184" s="0" t="str">
        <f aca="false">HYPERLINK("https://lindat.mff.cuni.cz/services/SynSemClass40/SynSemClass40.html?veclass=vec00436#vec00436-ces-cm00003", "vec00436")</f>
        <v>vec00436</v>
      </c>
      <c r="F70184" s="0" t="s">
        <v>82</v>
      </c>
    </row>
    <row r="70185" customFormat="false" ht="12.8" hidden="false" customHeight="false" outlineLevel="0" collapsed="false">
      <c r="B70185" s="0" t="s">
        <v>1</v>
      </c>
      <c r="C70185" s="0" t="s">
        <v>83</v>
      </c>
      <c r="E70185" s="0" t="s">
        <v>84</v>
      </c>
      <c r="F70185" s="0" t="s">
        <v>85</v>
      </c>
    </row>
    <row r="70186" customFormat="false" ht="12.8" hidden="false" customHeight="false" outlineLevel="0" collapsed="false">
      <c r="B70186" s="0" t="s">
        <v>8</v>
      </c>
      <c r="C70186" s="0" t="s">
        <v>86</v>
      </c>
      <c r="E70186" s="0" t="s">
        <v>87</v>
      </c>
      <c r="F70186" s="0" t="s">
        <v>88</v>
      </c>
    </row>
    <row r="70188" customFormat="false" ht="12.8" hidden="false" customHeight="false" outlineLevel="0" collapsed="false">
      <c r="A70188" s="0" t="s">
        <v>22924</v>
      </c>
      <c r="B70188" s="0" t="str">
        <f aca="false">HYPERLINK("https://lindat.mff.cuni.cz/services/teitok/pdtc10/index.php?action=vallex&amp;frame=v-whsa_1904hsa_1905", "zmoknout (v-whsa_1904hsa_1905)")</f>
        <v>zmoknout (v-whsa_1904hsa_1905)</v>
      </c>
    </row>
    <row r="70189" customFormat="false" ht="12.8" hidden="false" customHeight="false" outlineLevel="0" collapsed="false">
      <c r="B70189" s="0" t="s">
        <v>1</v>
      </c>
    </row>
    <row r="70191" customFormat="false" ht="12.8" hidden="false" customHeight="false" outlineLevel="0" collapsed="false">
      <c r="A70191" s="0" t="s">
        <v>22925</v>
      </c>
      <c r="B70191" s="0" t="str">
        <f aca="false">HYPERLINK("https://lindat.mff.cuni.cz/services/teitok/pdtc10/index.php?action=vallex&amp;frame=v-w11189f2", "zmonopolizovat (v-w11189f2)")</f>
        <v>zmonopolizovat (v-w11189f2)</v>
      </c>
      <c r="E70191" s="0" t="str">
        <f aca="false">HYPERLINK("https://lindat.mff.cuni.cz/services/SynSemClass40/SynSemClass40.html?veclass=vec01042#vec01042-ces-cm00002", "vec01042")</f>
        <v>vec01042</v>
      </c>
      <c r="F70191" s="0" t="s">
        <v>6347</v>
      </c>
    </row>
    <row r="70192" customFormat="false" ht="12.8" hidden="false" customHeight="false" outlineLevel="0" collapsed="false">
      <c r="B70192" s="0" t="s">
        <v>1</v>
      </c>
      <c r="E70192" s="0" t="s">
        <v>206</v>
      </c>
      <c r="F70192" s="0" t="s">
        <v>1359</v>
      </c>
    </row>
    <row r="70193" customFormat="false" ht="12.8" hidden="false" customHeight="false" outlineLevel="0" collapsed="false">
      <c r="B70193" s="0" t="s">
        <v>8</v>
      </c>
      <c r="E70193" s="0" t="s">
        <v>142</v>
      </c>
      <c r="F70193" s="0" t="s">
        <v>6348</v>
      </c>
    </row>
    <row r="70195" customFormat="false" ht="12.8" hidden="false" customHeight="false" outlineLevel="0" collapsed="false">
      <c r="A70195" s="0" t="s">
        <v>22926</v>
      </c>
      <c r="B70195" s="0" t="str">
        <f aca="false">HYPERLINK("https://lindat.mff.cuni.cz/services/teitok/pdtc10/index.php?action=vallex&amp;frame=v-w12062_ZUf1_ZU", "zmotat (v-w12062_ZUf1_ZU)")</f>
        <v>zmotat (v-w12062_ZUf1_ZU)</v>
      </c>
    </row>
    <row r="70196" customFormat="false" ht="12.8" hidden="false" customHeight="false" outlineLevel="0" collapsed="false">
      <c r="B70196" s="0" t="s">
        <v>1</v>
      </c>
    </row>
    <row r="70197" customFormat="false" ht="12.8" hidden="false" customHeight="false" outlineLevel="0" collapsed="false">
      <c r="B70197" s="0" t="s">
        <v>8</v>
      </c>
    </row>
    <row r="70199" customFormat="false" ht="12.8" hidden="false" customHeight="false" outlineLevel="0" collapsed="false">
      <c r="A70199" s="0" t="s">
        <v>22927</v>
      </c>
      <c r="B70199" s="0" t="str">
        <f aca="false">HYPERLINK("https://lindat.mff.cuni.cz/services/teitok/pdtc10/index.php?action=vallex&amp;frame=v-w9651hsa_114", "zmrazit (v-w9651hsa_114)")</f>
        <v>zmrazit (v-w9651hsa_114)</v>
      </c>
    </row>
    <row r="70200" customFormat="false" ht="12.8" hidden="false" customHeight="false" outlineLevel="0" collapsed="false">
      <c r="B70200" s="0" t="s">
        <v>1</v>
      </c>
    </row>
    <row r="70201" customFormat="false" ht="12.8" hidden="false" customHeight="false" outlineLevel="0" collapsed="false">
      <c r="B70201" s="0" t="s">
        <v>8</v>
      </c>
    </row>
    <row r="70202" customFormat="false" ht="12.8" hidden="false" customHeight="false" outlineLevel="0" collapsed="false">
      <c r="B70202" s="0" t="s">
        <v>101</v>
      </c>
    </row>
    <row r="70204" customFormat="false" ht="12.8" hidden="false" customHeight="false" outlineLevel="0" collapsed="false">
      <c r="A70204" s="0" t="s">
        <v>22927</v>
      </c>
      <c r="B70204" s="0" t="str">
        <f aca="false">HYPERLINK("https://lindat.mff.cuni.cz/services/teitok/pdtc10/index.php?action=vallex&amp;frame=v-w9651f1", "zmrazit (v-w9651f1) - substituted with v-w9651hsa_114")</f>
        <v>zmrazit (v-w9651f1) - substituted with v-w9651hsa_114</v>
      </c>
    </row>
    <row r="70205" customFormat="false" ht="12.8" hidden="false" customHeight="false" outlineLevel="0" collapsed="false">
      <c r="B70205" s="0" t="s">
        <v>1</v>
      </c>
    </row>
    <row r="70206" customFormat="false" ht="12.8" hidden="false" customHeight="false" outlineLevel="0" collapsed="false">
      <c r="B70206" s="0" t="s">
        <v>8</v>
      </c>
    </row>
    <row r="70207" customFormat="false" ht="12.8" hidden="false" customHeight="false" outlineLevel="0" collapsed="false">
      <c r="B70207" s="0" t="s">
        <v>101</v>
      </c>
    </row>
    <row r="70209" customFormat="false" ht="12.8" hidden="false" customHeight="false" outlineLevel="0" collapsed="false">
      <c r="A70209" s="0" t="s">
        <v>22928</v>
      </c>
      <c r="B70209" s="0" t="str">
        <f aca="false">HYPERLINK("https://lindat.mff.cuni.cz/services/teitok/pdtc10/index.php?action=vallex&amp;frame=v-w10256f3", "zmrazovat (v-w10256f3)")</f>
        <v>zmrazovat (v-w10256f3)</v>
      </c>
      <c r="E70209" s="0" t="str">
        <f aca="false">HYPERLINK("https://lindat.mff.cuni.cz/services/SynSemClass40/SynSemClass40.html?veclass=vec00486#vec00486-ces-cm00089", "vec00486")</f>
        <v>vec00486</v>
      </c>
      <c r="F70209" s="0" t="s">
        <v>542</v>
      </c>
    </row>
    <row r="70210" customFormat="false" ht="12.8" hidden="false" customHeight="false" outlineLevel="0" collapsed="false">
      <c r="B70210" s="0" t="s">
        <v>1</v>
      </c>
      <c r="C70210" s="0" t="s">
        <v>543</v>
      </c>
      <c r="E70210" s="0" t="s">
        <v>206</v>
      </c>
      <c r="F70210" s="0" t="s">
        <v>544</v>
      </c>
    </row>
    <row r="70211" customFormat="false" ht="12.8" hidden="false" customHeight="false" outlineLevel="0" collapsed="false">
      <c r="B70211" s="0" t="s">
        <v>8</v>
      </c>
      <c r="C70211" s="0" t="s">
        <v>545</v>
      </c>
      <c r="E70211" s="0" t="s">
        <v>79</v>
      </c>
      <c r="F70211" s="0" t="s">
        <v>546</v>
      </c>
    </row>
    <row r="70213" customFormat="false" ht="12.8" hidden="false" customHeight="false" outlineLevel="0" collapsed="false">
      <c r="A70213" s="0" t="s">
        <v>22929</v>
      </c>
      <c r="B70213" s="0" t="str">
        <f aca="false">HYPERLINK("https://lindat.mff.cuni.cz/services/teitok/pdtc10/index.php?action=vallex&amp;frame=v-w9653f1", "zmrzačit (v-w9653f1)")</f>
        <v>zmrzačit (v-w9653f1)</v>
      </c>
    </row>
    <row r="70214" customFormat="false" ht="12.8" hidden="false" customHeight="false" outlineLevel="0" collapsed="false">
      <c r="B70214" s="0" t="s">
        <v>1</v>
      </c>
    </row>
    <row r="70215" customFormat="false" ht="12.8" hidden="false" customHeight="false" outlineLevel="0" collapsed="false">
      <c r="B70215" s="0" t="s">
        <v>8</v>
      </c>
    </row>
    <row r="70217" customFormat="false" ht="12.8" hidden="false" customHeight="false" outlineLevel="0" collapsed="false">
      <c r="A70217" s="0" t="s">
        <v>22930</v>
      </c>
      <c r="B70217" s="0" t="str">
        <f aca="false">HYPERLINK("https://lindat.mff.cuni.cz/services/teitok/pdtc10/index.php?action=vallex&amp;frame=v-whsa_2061hsa_2062", "zmrznout (v-whsa_2061hsa_2062)")</f>
        <v>zmrznout (v-whsa_2061hsa_2062)</v>
      </c>
    </row>
    <row r="70218" customFormat="false" ht="12.8" hidden="false" customHeight="false" outlineLevel="0" collapsed="false">
      <c r="B70218" s="0" t="s">
        <v>1</v>
      </c>
    </row>
    <row r="70220" customFormat="false" ht="12.8" hidden="false" customHeight="false" outlineLevel="0" collapsed="false">
      <c r="A70220" s="0" t="s">
        <v>22931</v>
      </c>
      <c r="B70220" s="0" t="str">
        <f aca="false">HYPERLINK("https://lindat.mff.cuni.cz/services/teitok/pdtc10/index.php?action=vallex&amp;frame=v-w10119f2", "zmutovat (v-w10119f2)")</f>
        <v>zmutovat (v-w10119f2)</v>
      </c>
      <c r="E70220" s="0" t="str">
        <f aca="false">HYPERLINK("https://lindat.mff.cuni.cz/services/SynSemClass40/SynSemClass40.html?veclass=vec01132#vec01132-ces-cm00180", "vec01132")</f>
        <v>vec01132</v>
      </c>
      <c r="F70220" s="0" t="s">
        <v>6967</v>
      </c>
    </row>
    <row r="70221" customFormat="false" ht="12.8" hidden="false" customHeight="false" outlineLevel="0" collapsed="false">
      <c r="B70221" s="0" t="s">
        <v>1</v>
      </c>
      <c r="C70221" s="0" t="s">
        <v>6968</v>
      </c>
      <c r="E70221" s="0" t="s">
        <v>84</v>
      </c>
      <c r="F70221" s="0" t="s">
        <v>6969</v>
      </c>
    </row>
    <row r="70222" customFormat="false" ht="12.8" hidden="false" customHeight="false" outlineLevel="0" collapsed="false">
      <c r="B70222" s="0" t="s">
        <v>13544</v>
      </c>
      <c r="C70222" s="0" t="s">
        <v>6971</v>
      </c>
      <c r="E70222" s="0" t="s">
        <v>1592</v>
      </c>
      <c r="F70222" s="0" t="s">
        <v>6972</v>
      </c>
    </row>
    <row r="70223" customFormat="false" ht="12.8" hidden="false" customHeight="false" outlineLevel="0" collapsed="false">
      <c r="B70223" s="0" t="s">
        <v>36</v>
      </c>
      <c r="C70223" s="0" t="s">
        <v>6973</v>
      </c>
      <c r="E70223" s="0" t="s">
        <v>38</v>
      </c>
      <c r="F70223" s="0" t="s">
        <v>6974</v>
      </c>
    </row>
    <row r="70225" customFormat="false" ht="12.8" hidden="false" customHeight="false" outlineLevel="0" collapsed="false">
      <c r="A70225" s="0" t="s">
        <v>22932</v>
      </c>
      <c r="B70225" s="0" t="str">
        <f aca="false">HYPERLINK("https://lindat.mff.cuni.cz/services/teitok/pdtc10/index.php?action=vallex&amp;frame=v-whsa_1842hsa_1843", "zmužnět (v-whsa_1842hsa_1843)")</f>
        <v>zmužnět (v-whsa_1842hsa_1843)</v>
      </c>
    </row>
    <row r="70226" customFormat="false" ht="12.8" hidden="false" customHeight="false" outlineLevel="0" collapsed="false">
      <c r="B70226" s="0" t="s">
        <v>1</v>
      </c>
    </row>
    <row r="70228" customFormat="false" ht="12.8" hidden="false" customHeight="false" outlineLevel="0" collapsed="false">
      <c r="A70228" s="0" t="s">
        <v>22933</v>
      </c>
      <c r="B70228" s="0" t="str">
        <f aca="false">HYPERLINK("https://lindat.mff.cuni.cz/services/teitok/pdtc10/index.php?action=vallex&amp;frame=v-w11886_ZUf1_ZU", "zmydlit (v-w11886_ZUf1_ZU)")</f>
        <v>zmydlit (v-w11886_ZUf1_ZU)</v>
      </c>
    </row>
    <row r="70229" customFormat="false" ht="12.8" hidden="false" customHeight="false" outlineLevel="0" collapsed="false">
      <c r="B70229" s="0" t="s">
        <v>1</v>
      </c>
    </row>
    <row r="70230" customFormat="false" ht="12.8" hidden="false" customHeight="false" outlineLevel="0" collapsed="false">
      <c r="B70230" s="0" t="s">
        <v>8</v>
      </c>
    </row>
    <row r="70232" customFormat="false" ht="12.8" hidden="false" customHeight="false" outlineLevel="0" collapsed="false">
      <c r="A70232" s="0" t="s">
        <v>22934</v>
      </c>
      <c r="B70232" s="0" t="str">
        <f aca="false">HYPERLINK("https://lindat.mff.cuni.cz/services/teitok/pdtc10/index.php?action=vallex&amp;frame=v-whsa_1334hsa_1335", "zmáchat (v-whsa_1334hsa_1335)")</f>
        <v>zmáchat (v-whsa_1334hsa_1335)</v>
      </c>
    </row>
    <row r="70233" customFormat="false" ht="12.8" hidden="false" customHeight="false" outlineLevel="0" collapsed="false">
      <c r="B70233" s="0" t="s">
        <v>1</v>
      </c>
    </row>
    <row r="70234" customFormat="false" ht="12.8" hidden="false" customHeight="false" outlineLevel="0" collapsed="false">
      <c r="B70234" s="0" t="s">
        <v>8</v>
      </c>
    </row>
    <row r="70236" customFormat="false" ht="12.8" hidden="false" customHeight="false" outlineLevel="0" collapsed="false">
      <c r="A70236" s="0" t="s">
        <v>22935</v>
      </c>
      <c r="B70236" s="0" t="str">
        <f aca="false">HYPERLINK("https://lindat.mff.cuni.cz/services/teitok/pdtc10/index.php?action=vallex&amp;frame=v-w9607f1", "zmást (v-w9607f1)")</f>
        <v>zmást (v-w9607f1)</v>
      </c>
      <c r="E70236" s="0" t="str">
        <f aca="false">HYPERLINK("https://lindat.mff.cuni.cz/services/SynSemClass40/SynSemClass40.html?veclass=vec00589#vec00589-ces-cm00001", "vec00589")</f>
        <v>vec00589</v>
      </c>
      <c r="F70236" s="0" t="s">
        <v>5257</v>
      </c>
    </row>
    <row r="70237" customFormat="false" ht="12.8" hidden="false" customHeight="false" outlineLevel="0" collapsed="false">
      <c r="B70237" s="0" t="s">
        <v>1</v>
      </c>
      <c r="C70237" s="0" t="s">
        <v>5258</v>
      </c>
      <c r="E70237" s="0" t="s">
        <v>1103</v>
      </c>
      <c r="F70237" s="0" t="s">
        <v>5259</v>
      </c>
    </row>
    <row r="70238" customFormat="false" ht="12.8" hidden="false" customHeight="false" outlineLevel="0" collapsed="false">
      <c r="B70238" s="0" t="s">
        <v>8</v>
      </c>
      <c r="C70238" s="0" t="s">
        <v>5260</v>
      </c>
      <c r="E70238" s="0" t="s">
        <v>1399</v>
      </c>
      <c r="F70238" s="0" t="s">
        <v>5261</v>
      </c>
    </row>
    <row r="70240" customFormat="false" ht="12.8" hidden="false" customHeight="false" outlineLevel="0" collapsed="false">
      <c r="A70240" s="0" t="s">
        <v>22936</v>
      </c>
      <c r="B70240" s="0" t="str">
        <f aca="false">HYPERLINK("https://lindat.mff.cuni.cz/services/teitok/pdtc10/index.php?action=vallex&amp;frame=v-w12163_ZUf1_ZU", "zmátořit se (v-w12163_ZUf1_ZU)")</f>
        <v>zmátořit se (v-w12163_ZUf1_ZU)</v>
      </c>
    </row>
    <row r="70241" customFormat="false" ht="12.8" hidden="false" customHeight="false" outlineLevel="0" collapsed="false">
      <c r="B70241" s="0" t="s">
        <v>1</v>
      </c>
    </row>
    <row r="70242" customFormat="false" ht="12.8" hidden="false" customHeight="false" outlineLevel="0" collapsed="false">
      <c r="B70242" s="0" t="s">
        <v>763</v>
      </c>
    </row>
    <row r="70244" customFormat="false" ht="12.8" hidden="false" customHeight="false" outlineLevel="0" collapsed="false">
      <c r="A70244" s="0" t="s">
        <v>22937</v>
      </c>
      <c r="B70244" s="0" t="str">
        <f aca="false">HYPERLINK("https://lindat.mff.cuni.cz/services/teitok/pdtc10/index.php?action=vallex&amp;frame=v-w9596f1", "zmáčknout (v-w9596f1)")</f>
        <v>zmáčknout (v-w9596f1)</v>
      </c>
      <c r="E70244" s="0" t="str">
        <f aca="false">HYPERLINK("https://lindat.mff.cuni.cz/services/SynSemClass40/SynSemClass40.html?veclass=vec00728#vec00728-ces-cm00015", "vec00728")</f>
        <v>vec00728</v>
      </c>
      <c r="F70244" s="0" t="s">
        <v>11084</v>
      </c>
    </row>
    <row r="70245" customFormat="false" ht="12.8" hidden="false" customHeight="false" outlineLevel="0" collapsed="false">
      <c r="B70245" s="0" t="s">
        <v>1</v>
      </c>
      <c r="C70245" s="0" t="s">
        <v>333</v>
      </c>
      <c r="E70245" s="0" t="s">
        <v>4581</v>
      </c>
      <c r="F70245" s="0" t="s">
        <v>11085</v>
      </c>
    </row>
    <row r="70246" customFormat="false" ht="12.8" hidden="false" customHeight="false" outlineLevel="0" collapsed="false">
      <c r="B70246" s="0" t="s">
        <v>8</v>
      </c>
      <c r="C70246" s="0" t="s">
        <v>8799</v>
      </c>
      <c r="E70246" s="0" t="s">
        <v>34</v>
      </c>
      <c r="F70246" s="0" t="s">
        <v>15757</v>
      </c>
    </row>
    <row r="70248" customFormat="false" ht="12.8" hidden="false" customHeight="false" outlineLevel="0" collapsed="false">
      <c r="A70248" s="0" t="s">
        <v>22938</v>
      </c>
      <c r="B70248" s="0" t="str">
        <f aca="false">HYPERLINK("https://lindat.mff.cuni.cz/services/teitok/pdtc10/index.php?action=vallex&amp;frame=v-w9624f1", "zmínit (v-w9624f1)")</f>
        <v>zmínit (v-w9624f1)</v>
      </c>
      <c r="E70248" s="0" t="str">
        <f aca="false">HYPERLINK("https://lindat.mff.cuni.cz/services/SynSemClass40/SynSemClass40.html?veclass=vec00994#vec00994-ces-cm00029", "vec00994")</f>
        <v>vec00994</v>
      </c>
      <c r="F70248" s="0" t="s">
        <v>8007</v>
      </c>
    </row>
    <row r="70249" customFormat="false" ht="12.8" hidden="false" customHeight="false" outlineLevel="0" collapsed="false">
      <c r="B70249" s="0" t="s">
        <v>1</v>
      </c>
      <c r="C70249" s="0" t="s">
        <v>10828</v>
      </c>
      <c r="E70249" s="0" t="s">
        <v>147</v>
      </c>
      <c r="F70249" s="0" t="s">
        <v>8009</v>
      </c>
    </row>
    <row r="70250" customFormat="false" ht="12.8" hidden="false" customHeight="false" outlineLevel="0" collapsed="false">
      <c r="B70250" s="0" t="s">
        <v>8893</v>
      </c>
      <c r="C70250" s="0" t="s">
        <v>10832</v>
      </c>
      <c r="E70250" s="0" t="s">
        <v>218</v>
      </c>
      <c r="F70250" s="0" t="s">
        <v>8011</v>
      </c>
    </row>
    <row r="70251" customFormat="false" ht="12.8" hidden="false" customHeight="false" outlineLevel="0" collapsed="false">
      <c r="B70251" s="0" t="s">
        <v>132</v>
      </c>
      <c r="C70251" s="0" t="s">
        <v>1391</v>
      </c>
      <c r="E70251" s="0" t="s">
        <v>221</v>
      </c>
      <c r="F70251" s="0" t="s">
        <v>5579</v>
      </c>
    </row>
    <row r="70253" customFormat="false" ht="12.8" hidden="false" customHeight="false" outlineLevel="0" collapsed="false">
      <c r="A70253" s="0" t="s">
        <v>22939</v>
      </c>
      <c r="B70253" s="0" t="str">
        <f aca="false">HYPERLINK("https://lindat.mff.cuni.cz/services/teitok/pdtc10/index.php?action=vallex&amp;frame=v-w9625f1", "zmínit se (v-w9625f1)")</f>
        <v>zmínit se (v-w9625f1)</v>
      </c>
      <c r="E70253" s="0" t="str">
        <f aca="false">HYPERLINK("https://lindat.mff.cuni.cz/services/SynSemClass40/SynSemClass40.html?veclass=vec00994#vec00994-ces-cm00001", "vec00994")</f>
        <v>vec00994</v>
      </c>
      <c r="F70253" s="0" t="s">
        <v>8007</v>
      </c>
    </row>
    <row r="70254" customFormat="false" ht="12.8" hidden="false" customHeight="false" outlineLevel="0" collapsed="false">
      <c r="B70254" s="0" t="s">
        <v>1</v>
      </c>
      <c r="C70254" s="0" t="s">
        <v>10828</v>
      </c>
      <c r="E70254" s="0" t="s">
        <v>147</v>
      </c>
      <c r="F70254" s="0" t="s">
        <v>8009</v>
      </c>
    </row>
    <row r="70255" customFormat="false" ht="12.8" hidden="false" customHeight="false" outlineLevel="0" collapsed="false">
      <c r="B70255" s="0" t="s">
        <v>11774</v>
      </c>
      <c r="C70255" s="0" t="s">
        <v>10832</v>
      </c>
      <c r="E70255" s="0" t="s">
        <v>218</v>
      </c>
      <c r="F70255" s="0" t="s">
        <v>8011</v>
      </c>
    </row>
    <row r="70256" customFormat="false" ht="12.8" hidden="false" customHeight="false" outlineLevel="0" collapsed="false">
      <c r="B70256" s="0" t="s">
        <v>132</v>
      </c>
      <c r="C70256" s="0" t="s">
        <v>1391</v>
      </c>
      <c r="E70256" s="0" t="s">
        <v>221</v>
      </c>
      <c r="F70256" s="0" t="s">
        <v>5579</v>
      </c>
    </row>
    <row r="70258" customFormat="false" ht="12.8" hidden="false" customHeight="false" outlineLevel="0" collapsed="false">
      <c r="A70258" s="0" t="s">
        <v>22940</v>
      </c>
      <c r="B70258" s="0" t="str">
        <f aca="false">HYPERLINK("https://lindat.mff.cuni.cz/services/teitok/pdtc10/index.php?action=vallex&amp;frame=v-w9625f2", "zmínit se (v-w9625f2)")</f>
        <v>zmínit se (v-w9625f2)</v>
      </c>
      <c r="E70258" s="0" t="str">
        <f aca="false">HYPERLINK("https://lindat.mff.cuni.cz/services/SynSemClass40/SynSemClass40.html?veclass=vec00994#vec00994-ces-cm00030", "vec00994")</f>
        <v>vec00994</v>
      </c>
      <c r="F70258" s="0" t="s">
        <v>8007</v>
      </c>
      <c r="H70258" s="0" t="str">
        <f aca="false">HYPERLINK("https://lindat.mff.cuni.cz/services/SynSemClass40/SynSemClass40.html?veclass=vec01529#vec01529-ces-cm00047", "vec01529")</f>
        <v>vec01529</v>
      </c>
      <c r="I70258" s="0" t="s">
        <v>10227</v>
      </c>
    </row>
    <row r="70259" customFormat="false" ht="12.8" hidden="false" customHeight="false" outlineLevel="0" collapsed="false">
      <c r="B70259" s="0" t="s">
        <v>1</v>
      </c>
      <c r="C70259" s="0" t="s">
        <v>22904</v>
      </c>
      <c r="E70259" s="0" t="s">
        <v>147</v>
      </c>
      <c r="F70259" s="0" t="s">
        <v>8009</v>
      </c>
      <c r="H70259" s="0" t="s">
        <v>147</v>
      </c>
      <c r="I70259" s="0" t="s">
        <v>10229</v>
      </c>
    </row>
    <row r="70260" customFormat="false" ht="12.8" hidden="false" customHeight="false" outlineLevel="0" collapsed="false">
      <c r="B70260" s="0" t="s">
        <v>19440</v>
      </c>
      <c r="C70260" s="0" t="s">
        <v>22905</v>
      </c>
      <c r="E70260" s="0" t="s">
        <v>2217</v>
      </c>
      <c r="F70260" s="0" t="s">
        <v>8016</v>
      </c>
      <c r="H70260" s="0" t="s">
        <v>2217</v>
      </c>
      <c r="I70260" s="0" t="s">
        <v>10233</v>
      </c>
    </row>
    <row r="70261" customFormat="false" ht="12.8" hidden="false" customHeight="false" outlineLevel="0" collapsed="false">
      <c r="B70261" s="0" t="s">
        <v>496</v>
      </c>
      <c r="C70261" s="0" t="s">
        <v>10832</v>
      </c>
      <c r="E70261" s="0" t="s">
        <v>218</v>
      </c>
      <c r="F70261" s="0" t="s">
        <v>8011</v>
      </c>
    </row>
    <row r="70262" customFormat="false" ht="12.8" hidden="false" customHeight="false" outlineLevel="0" collapsed="false">
      <c r="B70262" s="0" t="s">
        <v>132</v>
      </c>
      <c r="C70262" s="0" t="s">
        <v>22908</v>
      </c>
      <c r="E70262" s="0" t="s">
        <v>221</v>
      </c>
      <c r="F70262" s="0" t="s">
        <v>5579</v>
      </c>
      <c r="H70262" s="0" t="s">
        <v>221</v>
      </c>
      <c r="I70262" s="0" t="s">
        <v>10231</v>
      </c>
    </row>
    <row r="70264" customFormat="false" ht="12.8" hidden="false" customHeight="false" outlineLevel="0" collapsed="false">
      <c r="A70264" s="0" t="s">
        <v>22941</v>
      </c>
      <c r="B70264" s="0" t="str">
        <f aca="false">HYPERLINK("https://lindat.mff.cuni.cz/services/teitok/pdtc10/index.php?action=vallex&amp;frame=v-w9629f1", "zmírat (v-w9629f1)")</f>
        <v>zmírat (v-w9629f1)</v>
      </c>
    </row>
    <row r="70265" customFormat="false" ht="12.8" hidden="false" customHeight="false" outlineLevel="0" collapsed="false">
      <c r="B70265" s="0" t="s">
        <v>1</v>
      </c>
    </row>
    <row r="70267" customFormat="false" ht="12.8" hidden="false" customHeight="false" outlineLevel="0" collapsed="false">
      <c r="A70267" s="0" t="s">
        <v>22942</v>
      </c>
      <c r="B70267" s="0" t="str">
        <f aca="false">HYPERLINK("https://lindat.mff.cuni.cz/services/teitok/pdtc10/index.php?action=vallex&amp;frame=v-w9632f1", "zmírnit (v-w9632f1)")</f>
        <v>zmírnit (v-w9632f1)</v>
      </c>
      <c r="E70267" s="0" t="str">
        <f aca="false">HYPERLINK("https://lindat.mff.cuni.cz/services/SynSemClass40/SynSemClass40.html?veclass=vec00055#vec00055-ces-cm00013", "vec00055")</f>
        <v>vec00055</v>
      </c>
      <c r="F70267" s="0" t="s">
        <v>9956</v>
      </c>
      <c r="H70267" s="0" t="str">
        <f aca="false">HYPERLINK("https://lindat.mff.cuni.cz/services/SynSemClass40/SynSemClass40.html?veclass=vec01301#vec01301-ces-cm00008", "vec01301")</f>
        <v>vec01301</v>
      </c>
      <c r="I70267" s="0" t="s">
        <v>6491</v>
      </c>
    </row>
    <row r="70268" customFormat="false" ht="12.8" hidden="false" customHeight="false" outlineLevel="0" collapsed="false">
      <c r="B70268" s="0" t="s">
        <v>1</v>
      </c>
      <c r="C70268" s="0" t="s">
        <v>22943</v>
      </c>
      <c r="E70268" s="0" t="s">
        <v>76</v>
      </c>
      <c r="F70268" s="0" t="s">
        <v>9958</v>
      </c>
      <c r="H70268" s="0" t="s">
        <v>31</v>
      </c>
      <c r="I70268" s="0" t="s">
        <v>6492</v>
      </c>
    </row>
    <row r="70269" customFormat="false" ht="12.8" hidden="false" customHeight="false" outlineLevel="0" collapsed="false">
      <c r="B70269" s="0" t="s">
        <v>8</v>
      </c>
      <c r="C70269" s="0" t="s">
        <v>22944</v>
      </c>
      <c r="E70269" s="0" t="s">
        <v>706</v>
      </c>
      <c r="F70269" s="0" t="s">
        <v>9960</v>
      </c>
      <c r="H70269" s="0" t="s">
        <v>6494</v>
      </c>
      <c r="I70269" s="0" t="s">
        <v>6495</v>
      </c>
    </row>
    <row r="70270" customFormat="false" ht="12.8" hidden="false" customHeight="false" outlineLevel="0" collapsed="false">
      <c r="B70270" s="0" t="s">
        <v>36</v>
      </c>
    </row>
    <row r="70271" customFormat="false" ht="12.8" hidden="false" customHeight="false" outlineLevel="0" collapsed="false">
      <c r="B70271" s="0" t="s">
        <v>101</v>
      </c>
    </row>
    <row r="70273" customFormat="false" ht="12.8" hidden="false" customHeight="false" outlineLevel="0" collapsed="false">
      <c r="A70273" s="0" t="s">
        <v>22945</v>
      </c>
      <c r="B70273" s="0" t="str">
        <f aca="false">HYPERLINK("https://lindat.mff.cuni.cz/services/teitok/pdtc10/index.php?action=vallex&amp;frame=v-w9633f1", "zmírnit se (v-w9633f1)")</f>
        <v>zmírnit se (v-w9633f1)</v>
      </c>
      <c r="E70273" s="0" t="str">
        <f aca="false">HYPERLINK("https://lindat.mff.cuni.cz/services/SynSemClass40/SynSemClass40.html?veclass=vec00793#vec00793-ces-cm00001", "vec00793")</f>
        <v>vec00793</v>
      </c>
      <c r="F70273" s="0" t="s">
        <v>8661</v>
      </c>
    </row>
    <row r="70274" customFormat="false" ht="12.8" hidden="false" customHeight="false" outlineLevel="0" collapsed="false">
      <c r="B70274" s="0" t="s">
        <v>1</v>
      </c>
      <c r="C70274" s="0" t="s">
        <v>8662</v>
      </c>
      <c r="E70274" s="0" t="s">
        <v>8663</v>
      </c>
      <c r="F70274" s="0" t="s">
        <v>8664</v>
      </c>
    </row>
    <row r="70276" customFormat="false" ht="12.8" hidden="false" customHeight="false" outlineLevel="0" collapsed="false">
      <c r="A70276" s="0" t="s">
        <v>22946</v>
      </c>
      <c r="B70276" s="0" t="str">
        <f aca="false">HYPERLINK("https://lindat.mff.cuni.cz/services/teitok/pdtc10/index.php?action=vallex&amp;frame=v-w9631f1", "zmírnět (v-w9631f1)")</f>
        <v>zmírnět (v-w9631f1)</v>
      </c>
      <c r="E70276" s="0" t="str">
        <f aca="false">HYPERLINK("https://lindat.mff.cuni.cz/services/SynSemClass40/SynSemClass40.html?veclass=vec01301#vec01301-ces-cm00007", "vec01301")</f>
        <v>vec01301</v>
      </c>
      <c r="F70276" s="0" t="s">
        <v>6491</v>
      </c>
    </row>
    <row r="70277" customFormat="false" ht="12.8" hidden="false" customHeight="false" outlineLevel="0" collapsed="false">
      <c r="B70277" s="0" t="s">
        <v>1</v>
      </c>
      <c r="C70277" s="0" t="s">
        <v>14559</v>
      </c>
      <c r="E70277" s="0" t="s">
        <v>31</v>
      </c>
      <c r="F70277" s="0" t="s">
        <v>6492</v>
      </c>
    </row>
    <row r="70278" customFormat="false" ht="12.8" hidden="false" customHeight="false" outlineLevel="0" collapsed="false">
      <c r="B70278" s="0" t="s">
        <v>8</v>
      </c>
      <c r="C70278" s="0" t="s">
        <v>623</v>
      </c>
      <c r="E70278" s="0" t="s">
        <v>6494</v>
      </c>
      <c r="F70278" s="0" t="s">
        <v>6495</v>
      </c>
    </row>
    <row r="70279" customFormat="false" ht="12.8" hidden="false" customHeight="false" outlineLevel="0" collapsed="false">
      <c r="B70279" s="0" t="s">
        <v>36</v>
      </c>
    </row>
    <row r="70280" customFormat="false" ht="12.8" hidden="false" customHeight="false" outlineLevel="0" collapsed="false">
      <c r="B70280" s="0" t="s">
        <v>101</v>
      </c>
    </row>
    <row r="70282" customFormat="false" ht="12.8" hidden="false" customHeight="false" outlineLevel="0" collapsed="false">
      <c r="A70282" s="0" t="s">
        <v>22947</v>
      </c>
      <c r="B70282" s="0" t="str">
        <f aca="false">HYPERLINK("https://lindat.mff.cuni.cz/services/teitok/pdtc10/index.php?action=vallex&amp;frame=v-w9634f1", "zmírňovat (v-w9634f1)")</f>
        <v>zmírňovat (v-w9634f1)</v>
      </c>
      <c r="E70282" s="0" t="str">
        <f aca="false">HYPERLINK("https://lindat.mff.cuni.cz/services/SynSemClass40/SynSemClass40.html?veclass=vec01301#vec01301-ces-cm00010", "vec01301")</f>
        <v>vec01301</v>
      </c>
      <c r="F70282" s="0" t="s">
        <v>6491</v>
      </c>
    </row>
    <row r="70283" customFormat="false" ht="12.8" hidden="false" customHeight="false" outlineLevel="0" collapsed="false">
      <c r="B70283" s="0" t="s">
        <v>1</v>
      </c>
      <c r="C70283" s="0" t="s">
        <v>14559</v>
      </c>
      <c r="E70283" s="0" t="s">
        <v>31</v>
      </c>
      <c r="F70283" s="0" t="s">
        <v>6492</v>
      </c>
    </row>
    <row r="70284" customFormat="false" ht="12.8" hidden="false" customHeight="false" outlineLevel="0" collapsed="false">
      <c r="B70284" s="0" t="s">
        <v>8</v>
      </c>
      <c r="C70284" s="0" t="s">
        <v>623</v>
      </c>
      <c r="E70284" s="0" t="s">
        <v>6494</v>
      </c>
      <c r="F70284" s="0" t="s">
        <v>6495</v>
      </c>
    </row>
    <row r="70285" customFormat="false" ht="12.8" hidden="false" customHeight="false" outlineLevel="0" collapsed="false">
      <c r="B70285" s="0" t="s">
        <v>36</v>
      </c>
    </row>
    <row r="70286" customFormat="false" ht="12.8" hidden="false" customHeight="false" outlineLevel="0" collapsed="false">
      <c r="B70286" s="0" t="s">
        <v>101</v>
      </c>
    </row>
    <row r="70288" customFormat="false" ht="12.8" hidden="false" customHeight="false" outlineLevel="0" collapsed="false">
      <c r="A70288" s="0" t="s">
        <v>22948</v>
      </c>
      <c r="B70288" s="0" t="str">
        <f aca="false">HYPERLINK("https://lindat.mff.cuni.cz/services/teitok/pdtc10/index.php?action=vallex&amp;frame=v-w11649_ZUf1_ZU", "zmírňovat se (v-w11649_ZUf1_ZU)")</f>
        <v>zmírňovat se (v-w11649_ZUf1_ZU)</v>
      </c>
      <c r="E70288" s="0" t="str">
        <f aca="false">HYPERLINK("https://lindat.mff.cuni.cz/services/SynSemClass40/SynSemClass40.html?veclass=vec00793#vec00793-ces-cm00003", "vec00793")</f>
        <v>vec00793</v>
      </c>
      <c r="F70288" s="0" t="s">
        <v>8661</v>
      </c>
    </row>
    <row r="70289" customFormat="false" ht="12.8" hidden="false" customHeight="false" outlineLevel="0" collapsed="false">
      <c r="B70289" s="0" t="s">
        <v>1</v>
      </c>
      <c r="C70289" s="0" t="s">
        <v>8662</v>
      </c>
      <c r="E70289" s="0" t="s">
        <v>8663</v>
      </c>
      <c r="F70289" s="0" t="s">
        <v>8664</v>
      </c>
    </row>
    <row r="70291" customFormat="false" ht="12.8" hidden="false" customHeight="false" outlineLevel="0" collapsed="false">
      <c r="A70291" s="0" t="s">
        <v>22949</v>
      </c>
      <c r="B70291" s="0" t="str">
        <f aca="false">HYPERLINK("https://lindat.mff.cuni.cz/services/teitok/pdtc10/index.php?action=vallex&amp;frame=v-whsa_788f1_ZU", "zmítat (v-whsa_788f1_ZU)")</f>
        <v>zmítat (v-whsa_788f1_ZU)</v>
      </c>
      <c r="E70291" s="0" t="str">
        <f aca="false">HYPERLINK("https://lindat.mff.cuni.cz/services/SynSemClass40/SynSemClass40.html?veclass=vec00995#vec00995-ces-cm00001", "vec00995")</f>
        <v>vec00995</v>
      </c>
      <c r="F70291" s="0" t="s">
        <v>22950</v>
      </c>
    </row>
    <row r="70292" customFormat="false" ht="12.8" hidden="false" customHeight="false" outlineLevel="0" collapsed="false">
      <c r="B70292" s="0" t="s">
        <v>1</v>
      </c>
      <c r="C70292" s="0" t="s">
        <v>22951</v>
      </c>
      <c r="E70292" s="0" t="s">
        <v>76</v>
      </c>
      <c r="F70292" s="0" t="s">
        <v>22952</v>
      </c>
    </row>
    <row r="70293" customFormat="false" ht="12.8" hidden="false" customHeight="false" outlineLevel="0" collapsed="false">
      <c r="B70293" s="0" t="s">
        <v>286</v>
      </c>
      <c r="C70293" s="0" t="s">
        <v>798</v>
      </c>
      <c r="E70293" s="0" t="s">
        <v>199</v>
      </c>
      <c r="F70293" s="0" t="s">
        <v>3372</v>
      </c>
    </row>
    <row r="70295" customFormat="false" ht="12.8" hidden="false" customHeight="false" outlineLevel="0" collapsed="false">
      <c r="A70295" s="0" t="s">
        <v>22949</v>
      </c>
      <c r="B70295" s="0" t="str">
        <f aca="false">HYPERLINK("https://lindat.mff.cuni.cz/services/teitok/pdtc10/index.php?action=vallex&amp;frame=v-whsa_788hsa_789", "zmítat (v-whsa_788hsa_789) - substituted with v-whsa_788f1_ZU")</f>
        <v>zmítat (v-whsa_788hsa_789) - substituted with v-whsa_788f1_ZU</v>
      </c>
    </row>
    <row r="70296" customFormat="false" ht="12.8" hidden="false" customHeight="false" outlineLevel="0" collapsed="false">
      <c r="B70296" s="0" t="s">
        <v>1</v>
      </c>
    </row>
    <row r="70297" customFormat="false" ht="12.8" hidden="false" customHeight="false" outlineLevel="0" collapsed="false">
      <c r="B70297" s="0" t="s">
        <v>286</v>
      </c>
    </row>
    <row r="70299" customFormat="false" ht="12.8" hidden="false" customHeight="false" outlineLevel="0" collapsed="false">
      <c r="A70299" s="0" t="s">
        <v>22953</v>
      </c>
      <c r="B70299" s="0" t="str">
        <f aca="false">HYPERLINK("https://lindat.mff.cuni.cz/services/teitok/pdtc10/index.php?action=vallex&amp;frame=v-w9636f1", "zmítat se (v-w9636f1)")</f>
        <v>zmítat se (v-w9636f1)</v>
      </c>
    </row>
    <row r="70300" customFormat="false" ht="12.8" hidden="false" customHeight="false" outlineLevel="0" collapsed="false">
      <c r="B70300" s="0" t="s">
        <v>1</v>
      </c>
    </row>
    <row r="70301" customFormat="false" ht="12.8" hidden="false" customHeight="false" outlineLevel="0" collapsed="false">
      <c r="B70301" s="0" t="s">
        <v>3245</v>
      </c>
    </row>
    <row r="70303" customFormat="false" ht="12.8" hidden="false" customHeight="false" outlineLevel="0" collapsed="false">
      <c r="A70303" s="0" t="s">
        <v>22954</v>
      </c>
      <c r="B70303" s="0" t="str">
        <f aca="false">HYPERLINK("https://lindat.mff.cuni.cz/services/teitok/pdtc10/index.php?action=vallex&amp;frame=v-w9654f1", "zmýlit se (v-w9654f1)")</f>
        <v>zmýlit se (v-w9654f1)</v>
      </c>
      <c r="E70303" s="0" t="str">
        <f aca="false">HYPERLINK("https://lindat.mff.cuni.cz/services/SynSemClass40/SynSemClass40.html?veclass=vec00839#vec00839-ces-cm00004", "vec00839")</f>
        <v>vec00839</v>
      </c>
      <c r="F70303" s="0" t="s">
        <v>1526</v>
      </c>
    </row>
    <row r="70304" customFormat="false" ht="12.8" hidden="false" customHeight="false" outlineLevel="0" collapsed="false">
      <c r="B70304" s="0" t="s">
        <v>1</v>
      </c>
      <c r="C70304" s="0" t="s">
        <v>447</v>
      </c>
      <c r="E70304" s="0" t="s">
        <v>1527</v>
      </c>
      <c r="F70304" s="0" t="s">
        <v>1528</v>
      </c>
    </row>
    <row r="70306" customFormat="false" ht="12.8" hidden="false" customHeight="false" outlineLevel="0" collapsed="false">
      <c r="A70306" s="0" t="s">
        <v>22955</v>
      </c>
      <c r="B70306" s="0" t="str">
        <f aca="false">HYPERLINK("https://lindat.mff.cuni.cz/services/teitok/pdtc10/index.php?action=vallex&amp;frame=v-w12324_MMf1_MM", "změknout (v-w12324_MMf1_MM)")</f>
        <v>změknout (v-w12324_MMf1_MM)</v>
      </c>
    </row>
    <row r="70307" customFormat="false" ht="12.8" hidden="false" customHeight="false" outlineLevel="0" collapsed="false">
      <c r="B70307" s="0" t="s">
        <v>1</v>
      </c>
    </row>
    <row r="70309" customFormat="false" ht="12.8" hidden="false" customHeight="false" outlineLevel="0" collapsed="false">
      <c r="A70309" s="0" t="s">
        <v>22956</v>
      </c>
      <c r="B70309" s="0" t="str">
        <f aca="false">HYPERLINK("https://lindat.mff.cuni.cz/services/teitok/pdtc10/index.php?action=vallex&amp;frame=v-w9611f1", "změkčit (v-w9611f1)")</f>
        <v>změkčit (v-w9611f1)</v>
      </c>
    </row>
    <row r="70310" customFormat="false" ht="12.8" hidden="false" customHeight="false" outlineLevel="0" collapsed="false">
      <c r="B70310" s="0" t="s">
        <v>1</v>
      </c>
    </row>
    <row r="70311" customFormat="false" ht="12.8" hidden="false" customHeight="false" outlineLevel="0" collapsed="false">
      <c r="B70311" s="0" t="s">
        <v>8</v>
      </c>
    </row>
    <row r="70312" customFormat="false" ht="12.8" hidden="false" customHeight="false" outlineLevel="0" collapsed="false">
      <c r="B70312" s="0" t="s">
        <v>36</v>
      </c>
    </row>
    <row r="70313" customFormat="false" ht="12.8" hidden="false" customHeight="false" outlineLevel="0" collapsed="false">
      <c r="B70313" s="0" t="s">
        <v>5587</v>
      </c>
    </row>
    <row r="70315" customFormat="false" ht="12.8" hidden="false" customHeight="false" outlineLevel="0" collapsed="false">
      <c r="A70315" s="0" t="s">
        <v>22957</v>
      </c>
      <c r="B70315" s="0" t="str">
        <f aca="false">HYPERLINK("https://lindat.mff.cuni.cz/services/teitok/pdtc10/index.php?action=vallex&amp;frame=v-w9612f1", "změkčovat (v-w9612f1)")</f>
        <v>změkčovat (v-w9612f1)</v>
      </c>
    </row>
    <row r="70316" customFormat="false" ht="12.8" hidden="false" customHeight="false" outlineLevel="0" collapsed="false">
      <c r="B70316" s="0" t="s">
        <v>1</v>
      </c>
    </row>
    <row r="70317" customFormat="false" ht="12.8" hidden="false" customHeight="false" outlineLevel="0" collapsed="false">
      <c r="B70317" s="0" t="s">
        <v>8</v>
      </c>
    </row>
    <row r="70319" customFormat="false" ht="12.8" hidden="false" customHeight="false" outlineLevel="0" collapsed="false">
      <c r="A70319" s="0" t="s">
        <v>22958</v>
      </c>
      <c r="B70319" s="0" t="str">
        <f aca="false">HYPERLINK("https://lindat.mff.cuni.cz/services/teitok/pdtc10/index.php?action=vallex&amp;frame=v-w9615f1", "změnit (v-w9615f1)")</f>
        <v>změnit (v-w9615f1)</v>
      </c>
      <c r="E70319" s="0" t="str">
        <f aca="false">HYPERLINK("https://lindat.mff.cuni.cz/services/SynSemClass40/SynSemClass40.html?veclass=vec00095#vec00095-ces-cm00041", "vec00095")</f>
        <v>vec00095</v>
      </c>
      <c r="F70319" s="0" t="s">
        <v>29</v>
      </c>
    </row>
    <row r="70320" customFormat="false" ht="12.8" hidden="false" customHeight="false" outlineLevel="0" collapsed="false">
      <c r="B70320" s="0" t="s">
        <v>1</v>
      </c>
      <c r="C70320" s="0" t="s">
        <v>30</v>
      </c>
      <c r="E70320" s="0" t="s">
        <v>31</v>
      </c>
      <c r="F70320" s="0" t="s">
        <v>32</v>
      </c>
    </row>
    <row r="70321" customFormat="false" ht="12.8" hidden="false" customHeight="false" outlineLevel="0" collapsed="false">
      <c r="B70321" s="0" t="s">
        <v>8</v>
      </c>
      <c r="C70321" s="0" t="s">
        <v>33</v>
      </c>
      <c r="E70321" s="0" t="s">
        <v>34</v>
      </c>
      <c r="F70321" s="0" t="s">
        <v>35</v>
      </c>
    </row>
    <row r="70322" customFormat="false" ht="12.8" hidden="false" customHeight="false" outlineLevel="0" collapsed="false">
      <c r="B70322" s="0" t="s">
        <v>36</v>
      </c>
      <c r="C70322" s="0" t="s">
        <v>37</v>
      </c>
      <c r="E70322" s="0" t="s">
        <v>38</v>
      </c>
      <c r="F70322" s="0" t="s">
        <v>39</v>
      </c>
    </row>
    <row r="70323" customFormat="false" ht="12.8" hidden="false" customHeight="false" outlineLevel="0" collapsed="false">
      <c r="B70323" s="0" t="s">
        <v>5587</v>
      </c>
      <c r="C70323" s="0" t="s">
        <v>41</v>
      </c>
      <c r="E70323" s="0" t="s">
        <v>42</v>
      </c>
      <c r="F70323" s="0" t="s">
        <v>43</v>
      </c>
    </row>
    <row r="70325" customFormat="false" ht="12.8" hidden="false" customHeight="false" outlineLevel="0" collapsed="false">
      <c r="A70325" s="0" t="s">
        <v>22959</v>
      </c>
      <c r="B70325" s="0" t="str">
        <f aca="false">HYPERLINK("https://lindat.mff.cuni.cz/services/teitok/pdtc10/index.php?action=vallex&amp;frame=v-w9615f3", "změnit (v-w9615f3)")</f>
        <v>změnit (v-w9615f3)</v>
      </c>
    </row>
    <row r="70326" customFormat="false" ht="12.8" hidden="false" customHeight="false" outlineLevel="0" collapsed="false">
      <c r="B70326" s="0" t="s">
        <v>1</v>
      </c>
    </row>
    <row r="70327" customFormat="false" ht="12.8" hidden="false" customHeight="false" outlineLevel="0" collapsed="false">
      <c r="B70327" s="0" t="s">
        <v>8</v>
      </c>
    </row>
    <row r="70328" customFormat="false" ht="12.8" hidden="false" customHeight="false" outlineLevel="0" collapsed="false">
      <c r="B70328" s="0" t="s">
        <v>773</v>
      </c>
    </row>
    <row r="70330" customFormat="false" ht="12.8" hidden="false" customHeight="false" outlineLevel="0" collapsed="false">
      <c r="A70330" s="0" t="s">
        <v>22960</v>
      </c>
      <c r="B70330" s="0" t="str">
        <f aca="false">HYPERLINK("https://lindat.mff.cuni.cz/services/teitok/pdtc10/index.php?action=vallex&amp;frame=v-w9615f4_ZU", "změnit (v-w9615f4_ZU)")</f>
        <v>změnit (v-w9615f4_ZU)</v>
      </c>
      <c r="E70330" s="0" t="str">
        <f aca="false">HYPERLINK("https://lindat.mff.cuni.cz/services/SynSemClass40/SynSemClass40.html?veclass=vec00590#vec00590-ces-cm00001", "vec00590")</f>
        <v>vec00590</v>
      </c>
      <c r="F70330" s="0" t="s">
        <v>22961</v>
      </c>
    </row>
    <row r="70331" customFormat="false" ht="12.8" hidden="false" customHeight="false" outlineLevel="0" collapsed="false">
      <c r="B70331" s="0" t="s">
        <v>1</v>
      </c>
      <c r="E70331" s="0" t="s">
        <v>22962</v>
      </c>
      <c r="F70331" s="0" t="s">
        <v>22963</v>
      </c>
    </row>
    <row r="70332" customFormat="false" ht="12.8" hidden="false" customHeight="false" outlineLevel="0" collapsed="false">
      <c r="B70332" s="0" t="s">
        <v>8</v>
      </c>
      <c r="E70332" s="0" t="s">
        <v>19557</v>
      </c>
      <c r="F70332" s="0" t="s">
        <v>22964</v>
      </c>
    </row>
    <row r="70333" customFormat="false" ht="12.8" hidden="false" customHeight="false" outlineLevel="0" collapsed="false">
      <c r="B70333" s="0" t="s">
        <v>723</v>
      </c>
      <c r="E70333" s="0" t="s">
        <v>6964</v>
      </c>
      <c r="F70333" s="0" t="s">
        <v>14778</v>
      </c>
    </row>
    <row r="70335" customFormat="false" ht="12.8" hidden="false" customHeight="false" outlineLevel="0" collapsed="false">
      <c r="A70335" s="0" t="s">
        <v>22965</v>
      </c>
      <c r="B70335" s="0" t="str">
        <f aca="false">HYPERLINK("https://lindat.mff.cuni.cz/services/teitok/pdtc10/index.php?action=vallex&amp;frame=v-w9615f2", "změnit (v-w9615f2)")</f>
        <v>změnit (v-w9615f2)</v>
      </c>
    </row>
    <row r="70336" customFormat="false" ht="12.8" hidden="false" customHeight="false" outlineLevel="0" collapsed="false">
      <c r="B70336" s="0" t="s">
        <v>1</v>
      </c>
    </row>
    <row r="70337" customFormat="false" ht="12.8" hidden="false" customHeight="false" outlineLevel="0" collapsed="false">
      <c r="B70337" s="0" t="s">
        <v>22966</v>
      </c>
    </row>
    <row r="70338" customFormat="false" ht="12.8" hidden="false" customHeight="false" outlineLevel="0" collapsed="false">
      <c r="B70338" s="0" t="s">
        <v>8</v>
      </c>
    </row>
    <row r="70340" customFormat="false" ht="12.8" hidden="false" customHeight="false" outlineLevel="0" collapsed="false">
      <c r="A70340" s="0" t="s">
        <v>22967</v>
      </c>
      <c r="B70340" s="0" t="str">
        <f aca="false">HYPERLINK("https://lindat.mff.cuni.cz/services/teitok/pdtc10/index.php?action=vallex&amp;frame=v-w9615f5_ZU", "změnit (v-w9615f5_ZU)")</f>
        <v>změnit (v-w9615f5_ZU)</v>
      </c>
    </row>
    <row r="70341" customFormat="false" ht="12.8" hidden="false" customHeight="false" outlineLevel="0" collapsed="false">
      <c r="B70341" s="0" t="s">
        <v>1</v>
      </c>
    </row>
    <row r="70342" customFormat="false" ht="12.8" hidden="false" customHeight="false" outlineLevel="0" collapsed="false">
      <c r="B70342" s="0" t="s">
        <v>22968</v>
      </c>
    </row>
    <row r="70343" customFormat="false" ht="12.8" hidden="false" customHeight="false" outlineLevel="0" collapsed="false">
      <c r="B70343" s="0" t="s">
        <v>8</v>
      </c>
    </row>
    <row r="70345" customFormat="false" ht="12.8" hidden="false" customHeight="false" outlineLevel="0" collapsed="false">
      <c r="A70345" s="0" t="s">
        <v>22967</v>
      </c>
      <c r="B70345" s="0" t="str">
        <f aca="false">HYPERLINK("https://lindat.mff.cuni.cz/services/teitok/pdtc10/index.php?action=vallex&amp;frame=v-w9615hsa_1646", "změnit (v-w9615hsa_1646) - substituted with v-w9615f5_ZU")</f>
        <v>změnit (v-w9615hsa_1646) - substituted with v-w9615f5_ZU</v>
      </c>
    </row>
    <row r="70346" customFormat="false" ht="12.8" hidden="false" customHeight="false" outlineLevel="0" collapsed="false">
      <c r="B70346" s="0" t="s">
        <v>1</v>
      </c>
    </row>
    <row r="70347" customFormat="false" ht="12.8" hidden="false" customHeight="false" outlineLevel="0" collapsed="false">
      <c r="B70347" s="0" t="s">
        <v>22968</v>
      </c>
    </row>
    <row r="70348" customFormat="false" ht="12.8" hidden="false" customHeight="false" outlineLevel="0" collapsed="false">
      <c r="B70348" s="0" t="s">
        <v>8</v>
      </c>
    </row>
    <row r="70350" customFormat="false" ht="12.8" hidden="false" customHeight="false" outlineLevel="0" collapsed="false">
      <c r="A70350" s="0" t="s">
        <v>22969</v>
      </c>
      <c r="B70350" s="0" t="str">
        <f aca="false">HYPERLINK("https://lindat.mff.cuni.cz/services/teitok/pdtc10/index.php?action=vallex&amp;frame=v-w9616f1", "změnit se (v-w9616f1)")</f>
        <v>změnit se (v-w9616f1)</v>
      </c>
      <c r="E70350" s="0" t="str">
        <f aca="false">HYPERLINK("https://lindat.mff.cuni.cz/services/SynSemClass40/SynSemClass40.html?veclass=vec01132#vec01132-ces-cm00011", "vec01132")</f>
        <v>vec01132</v>
      </c>
      <c r="F70350" s="0" t="s">
        <v>6967</v>
      </c>
    </row>
    <row r="70351" customFormat="false" ht="12.8" hidden="false" customHeight="false" outlineLevel="0" collapsed="false">
      <c r="B70351" s="0" t="s">
        <v>1</v>
      </c>
      <c r="C70351" s="0" t="s">
        <v>6968</v>
      </c>
      <c r="E70351" s="0" t="s">
        <v>84</v>
      </c>
      <c r="F70351" s="0" t="s">
        <v>6969</v>
      </c>
    </row>
    <row r="70352" customFormat="false" ht="12.8" hidden="false" customHeight="false" outlineLevel="0" collapsed="false">
      <c r="B70352" s="0" t="s">
        <v>13544</v>
      </c>
      <c r="C70352" s="0" t="s">
        <v>6971</v>
      </c>
      <c r="E70352" s="0" t="s">
        <v>1592</v>
      </c>
      <c r="F70352" s="0" t="s">
        <v>6972</v>
      </c>
    </row>
    <row r="70353" customFormat="false" ht="12.8" hidden="false" customHeight="false" outlineLevel="0" collapsed="false">
      <c r="B70353" s="0" t="s">
        <v>36</v>
      </c>
      <c r="C70353" s="0" t="s">
        <v>6973</v>
      </c>
      <c r="E70353" s="0" t="s">
        <v>38</v>
      </c>
      <c r="F70353" s="0" t="s">
        <v>6974</v>
      </c>
    </row>
    <row r="70355" customFormat="false" ht="12.8" hidden="false" customHeight="false" outlineLevel="0" collapsed="false">
      <c r="A70355" s="0" t="s">
        <v>22970</v>
      </c>
      <c r="B70355" s="0" t="str">
        <f aca="false">HYPERLINK("https://lindat.mff.cuni.cz/services/teitok/pdtc10/index.php?action=vallex&amp;frame=v-w9623f2", "změřit (v-w9623f2)")</f>
        <v>změřit (v-w9623f2)</v>
      </c>
    </row>
    <row r="70356" customFormat="false" ht="12.8" hidden="false" customHeight="false" outlineLevel="0" collapsed="false">
      <c r="B70356" s="0" t="s">
        <v>1</v>
      </c>
    </row>
    <row r="70357" customFormat="false" ht="12.8" hidden="false" customHeight="false" outlineLevel="0" collapsed="false">
      <c r="B70357" s="0" t="s">
        <v>8</v>
      </c>
    </row>
    <row r="70358" customFormat="false" ht="12.8" hidden="false" customHeight="false" outlineLevel="0" collapsed="false">
      <c r="B70358" s="0" t="s">
        <v>3537</v>
      </c>
    </row>
    <row r="70360" customFormat="false" ht="12.8" hidden="false" customHeight="false" outlineLevel="0" collapsed="false">
      <c r="A70360" s="0" t="s">
        <v>22971</v>
      </c>
      <c r="B70360" s="0" t="str">
        <f aca="false">HYPERLINK("https://lindat.mff.cuni.cz/services/teitok/pdtc10/index.php?action=vallex&amp;frame=v-w9623f1", "změřit (v-w9623f1)")</f>
        <v>změřit (v-w9623f1)</v>
      </c>
      <c r="E70360" s="0" t="str">
        <f aca="false">HYPERLINK("https://lindat.mff.cuni.cz/services/SynSemClass40/SynSemClass40.html?veclass=vec00431#vec00431-ces-cm00011", "vec00431")</f>
        <v>vec00431</v>
      </c>
      <c r="F70360" s="0" t="s">
        <v>6982</v>
      </c>
    </row>
    <row r="70361" customFormat="false" ht="12.8" hidden="false" customHeight="false" outlineLevel="0" collapsed="false">
      <c r="B70361" s="0" t="s">
        <v>1</v>
      </c>
      <c r="C70361" s="0" t="s">
        <v>6983</v>
      </c>
      <c r="E70361" s="0" t="s">
        <v>621</v>
      </c>
      <c r="F70361" s="0" t="s">
        <v>6984</v>
      </c>
    </row>
    <row r="70362" customFormat="false" ht="12.8" hidden="false" customHeight="false" outlineLevel="0" collapsed="false">
      <c r="B70362" s="0" t="s">
        <v>8</v>
      </c>
      <c r="C70362" s="0" t="s">
        <v>6985</v>
      </c>
      <c r="E70362" s="0" t="s">
        <v>34</v>
      </c>
      <c r="F70362" s="0" t="s">
        <v>6986</v>
      </c>
    </row>
    <row r="70364" customFormat="false" ht="12.8" hidden="false" customHeight="false" outlineLevel="0" collapsed="false">
      <c r="A70364" s="0" t="s">
        <v>22972</v>
      </c>
      <c r="B70364" s="0" t="str">
        <f aca="false">HYPERLINK("https://lindat.mff.cuni.cz/services/teitok/pdtc10/index.php?action=vallex&amp;frame=v-w9661f1", "znamenat (v-w9661f1)")</f>
        <v>znamenat (v-w9661f1)</v>
      </c>
      <c r="E70364" s="0" t="str">
        <f aca="false">HYPERLINK("https://lindat.mff.cuni.cz/services/SynSemClass40/SynSemClass40.html?veclass=vec00194#vec00194-ces-cm00001", "vec00194")</f>
        <v>vec00194</v>
      </c>
      <c r="F70364" s="0" t="s">
        <v>8446</v>
      </c>
    </row>
    <row r="70365" customFormat="false" ht="12.8" hidden="false" customHeight="false" outlineLevel="0" collapsed="false">
      <c r="B70365" s="0" t="s">
        <v>835</v>
      </c>
      <c r="C70365" s="0" t="s">
        <v>8447</v>
      </c>
      <c r="E70365" s="0" t="s">
        <v>8448</v>
      </c>
      <c r="F70365" s="0" t="s">
        <v>8449</v>
      </c>
    </row>
    <row r="70366" customFormat="false" ht="12.8" hidden="false" customHeight="false" outlineLevel="0" collapsed="false">
      <c r="B70366" s="0" t="s">
        <v>22973</v>
      </c>
      <c r="C70366" s="0" t="s">
        <v>8450</v>
      </c>
      <c r="E70366" s="0" t="s">
        <v>8451</v>
      </c>
      <c r="F70366" s="0" t="s">
        <v>8452</v>
      </c>
    </row>
    <row r="70368" customFormat="false" ht="12.8" hidden="false" customHeight="false" outlineLevel="0" collapsed="false">
      <c r="A70368" s="0" t="s">
        <v>22974</v>
      </c>
      <c r="B70368" s="0" t="str">
        <f aca="false">HYPERLINK("https://lindat.mff.cuni.cz/services/teitok/pdtc10/index.php?action=vallex&amp;frame=v-w9661f2", "znamenat (v-w9661f2)")</f>
        <v>znamenat (v-w9661f2)</v>
      </c>
    </row>
    <row r="70369" customFormat="false" ht="12.8" hidden="false" customHeight="false" outlineLevel="0" collapsed="false">
      <c r="B70369" s="0" t="s">
        <v>1</v>
      </c>
    </row>
    <row r="70370" customFormat="false" ht="12.8" hidden="false" customHeight="false" outlineLevel="0" collapsed="false">
      <c r="B70370" s="0" t="s">
        <v>7189</v>
      </c>
    </row>
    <row r="70371" customFormat="false" ht="12.8" hidden="false" customHeight="false" outlineLevel="0" collapsed="false">
      <c r="B70371" s="0" t="s">
        <v>496</v>
      </c>
    </row>
    <row r="70372" customFormat="false" ht="12.8" hidden="false" customHeight="false" outlineLevel="0" collapsed="false">
      <c r="B70372" s="0" t="s">
        <v>132</v>
      </c>
    </row>
    <row r="70374" customFormat="false" ht="12.8" hidden="false" customHeight="false" outlineLevel="0" collapsed="false">
      <c r="A70374" s="0" t="s">
        <v>22975</v>
      </c>
      <c r="B70374" s="0" t="str">
        <f aca="false">HYPERLINK("https://lindat.mff.cuni.cz/services/teitok/pdtc10/index.php?action=vallex&amp;frame=v-w10951f3", "značit (v-w10951f3)")</f>
        <v>značit (v-w10951f3)</v>
      </c>
      <c r="E70374" s="0" t="str">
        <f aca="false">HYPERLINK("https://lindat.mff.cuni.cz/services/SynSemClass40/SynSemClass40.html?veclass=vec00141#vec00141-ces-cm00060", "vec00141")</f>
        <v>vec00141</v>
      </c>
      <c r="F70374" s="0" t="s">
        <v>4796</v>
      </c>
    </row>
    <row r="70375" customFormat="false" ht="12.8" hidden="false" customHeight="false" outlineLevel="0" collapsed="false">
      <c r="B70375" s="0" t="s">
        <v>835</v>
      </c>
      <c r="C70375" s="0" t="s">
        <v>4797</v>
      </c>
      <c r="E70375" s="0" t="s">
        <v>4798</v>
      </c>
      <c r="F70375" s="0" t="s">
        <v>4799</v>
      </c>
    </row>
    <row r="70376" customFormat="false" ht="12.8" hidden="false" customHeight="false" outlineLevel="0" collapsed="false">
      <c r="B70376" s="0" t="s">
        <v>22973</v>
      </c>
      <c r="C70376" s="0" t="s">
        <v>4800</v>
      </c>
      <c r="E70376" s="0" t="s">
        <v>4801</v>
      </c>
      <c r="F70376" s="0" t="s">
        <v>4802</v>
      </c>
    </row>
    <row r="70378" customFormat="false" ht="12.8" hidden="false" customHeight="false" outlineLevel="0" collapsed="false">
      <c r="A70378" s="0" t="s">
        <v>22976</v>
      </c>
      <c r="B70378" s="0" t="str">
        <f aca="false">HYPERLINK("https://lindat.mff.cuni.cz/services/teitok/pdtc10/index.php?action=vallex&amp;frame=v-w10951f4", "značit (v-w10951f4)")</f>
        <v>značit (v-w10951f4)</v>
      </c>
      <c r="E70378" s="0" t="str">
        <f aca="false">HYPERLINK("https://lindat.mff.cuni.cz/services/SynSemClass40/SynSemClass40.html?veclass=vec01420#vec01420-ces-cm00009", "vec01420")</f>
        <v>vec01420</v>
      </c>
      <c r="F70378" s="0" t="s">
        <v>10245</v>
      </c>
    </row>
    <row r="70379" customFormat="false" ht="12.8" hidden="false" customHeight="false" outlineLevel="0" collapsed="false">
      <c r="B70379" s="0" t="s">
        <v>1</v>
      </c>
      <c r="C70379" s="0" t="s">
        <v>459</v>
      </c>
      <c r="E70379" s="0" t="s">
        <v>4581</v>
      </c>
      <c r="F70379" s="0" t="s">
        <v>7850</v>
      </c>
    </row>
    <row r="70380" customFormat="false" ht="12.8" hidden="false" customHeight="false" outlineLevel="0" collapsed="false">
      <c r="B70380" s="0" t="s">
        <v>8</v>
      </c>
      <c r="C70380" s="0" t="s">
        <v>7654</v>
      </c>
      <c r="E70380" s="0" t="s">
        <v>142</v>
      </c>
      <c r="F70380" s="0" t="s">
        <v>10246</v>
      </c>
    </row>
    <row r="70382" customFormat="false" ht="12.8" hidden="false" customHeight="false" outlineLevel="0" collapsed="false">
      <c r="A70382" s="0" t="s">
        <v>22977</v>
      </c>
      <c r="B70382" s="0" t="str">
        <f aca="false">HYPERLINK("https://lindat.mff.cuni.cz/services/teitok/pdtc10/index.php?action=vallex&amp;frame=v-w9690f1", "znechucovat (v-w9690f1)")</f>
        <v>znechucovat (v-w9690f1)</v>
      </c>
      <c r="E70382" s="0" t="str">
        <f aca="false">HYPERLINK("https://lindat.mff.cuni.cz/services/SynSemClass40/SynSemClass40.html?veclass=vec01183#vec01183-ces-cm00008", "vec01183")</f>
        <v>vec01183</v>
      </c>
      <c r="F70382" s="0" t="s">
        <v>4189</v>
      </c>
    </row>
    <row r="70383" customFormat="false" ht="12.8" hidden="false" customHeight="false" outlineLevel="0" collapsed="false">
      <c r="B70383" s="0" t="s">
        <v>1</v>
      </c>
      <c r="C70383" s="0" t="s">
        <v>4190</v>
      </c>
      <c r="E70383" s="0" t="s">
        <v>76</v>
      </c>
      <c r="F70383" s="0" t="s">
        <v>4191</v>
      </c>
    </row>
    <row r="70384" customFormat="false" ht="12.8" hidden="false" customHeight="false" outlineLevel="0" collapsed="false">
      <c r="B70384" s="0" t="s">
        <v>8</v>
      </c>
      <c r="C70384" s="0" t="s">
        <v>4192</v>
      </c>
      <c r="E70384" s="0" t="s">
        <v>1930</v>
      </c>
      <c r="F70384" s="0" t="s">
        <v>4193</v>
      </c>
    </row>
    <row r="70386" customFormat="false" ht="12.8" hidden="false" customHeight="false" outlineLevel="0" collapsed="false">
      <c r="A70386" s="0" t="s">
        <v>22978</v>
      </c>
      <c r="B70386" s="0" t="str">
        <f aca="false">HYPERLINK("https://lindat.mff.cuni.cz/services/teitok/pdtc10/index.php?action=vallex&amp;frame=v-w9691f1", "znechutit (v-w9691f1)")</f>
        <v>znechutit (v-w9691f1)</v>
      </c>
      <c r="E70386" s="0" t="str">
        <f aca="false">HYPERLINK("https://lindat.mff.cuni.cz/services/SynSemClass40/SynSemClass40.html?veclass=vec01183#vec01183-ces-cm00001", "vec01183")</f>
        <v>vec01183</v>
      </c>
      <c r="F70386" s="0" t="s">
        <v>4189</v>
      </c>
    </row>
    <row r="70387" customFormat="false" ht="12.8" hidden="false" customHeight="false" outlineLevel="0" collapsed="false">
      <c r="B70387" s="0" t="s">
        <v>1</v>
      </c>
      <c r="C70387" s="0" t="s">
        <v>4190</v>
      </c>
      <c r="E70387" s="0" t="s">
        <v>76</v>
      </c>
      <c r="F70387" s="0" t="s">
        <v>4191</v>
      </c>
    </row>
    <row r="70388" customFormat="false" ht="12.8" hidden="false" customHeight="false" outlineLevel="0" collapsed="false">
      <c r="B70388" s="0" t="s">
        <v>8</v>
      </c>
      <c r="C70388" s="0" t="s">
        <v>4192</v>
      </c>
      <c r="E70388" s="0" t="s">
        <v>1930</v>
      </c>
      <c r="F70388" s="0" t="s">
        <v>4193</v>
      </c>
    </row>
    <row r="70390" customFormat="false" ht="12.8" hidden="false" customHeight="false" outlineLevel="0" collapsed="false">
      <c r="A70390" s="0" t="s">
        <v>22979</v>
      </c>
      <c r="B70390" s="0" t="str">
        <f aca="false">HYPERLINK("https://lindat.mff.cuni.cz/services/teitok/pdtc10/index.php?action=vallex&amp;frame=v-whsa_383hsa_384", "znegovat (v-whsa_383hsa_384)")</f>
        <v>znegovat (v-whsa_383hsa_384)</v>
      </c>
      <c r="E70390" s="0" t="str">
        <f aca="false">HYPERLINK("https://lindat.mff.cuni.cz/services/SynSemClass40/SynSemClass40.html?veclass=vec01482#vec01482-ces-cm00010", "vec01482")</f>
        <v>vec01482</v>
      </c>
      <c r="F70390" s="0" t="s">
        <v>135</v>
      </c>
    </row>
    <row r="70391" customFormat="false" ht="12.8" hidden="false" customHeight="false" outlineLevel="0" collapsed="false">
      <c r="B70391" s="0" t="s">
        <v>1</v>
      </c>
      <c r="C70391" s="0" t="s">
        <v>4471</v>
      </c>
      <c r="E70391" s="0" t="s">
        <v>76</v>
      </c>
      <c r="F70391" s="0" t="s">
        <v>138</v>
      </c>
    </row>
    <row r="70392" customFormat="false" ht="12.8" hidden="false" customHeight="false" outlineLevel="0" collapsed="false">
      <c r="B70392" s="0" t="s">
        <v>8</v>
      </c>
      <c r="C70392" s="0" t="s">
        <v>7124</v>
      </c>
      <c r="E70392" s="0" t="s">
        <v>142</v>
      </c>
      <c r="F70392" s="0" t="s">
        <v>143</v>
      </c>
    </row>
    <row r="70394" customFormat="false" ht="12.8" hidden="false" customHeight="false" outlineLevel="0" collapsed="false">
      <c r="A70394" s="0" t="s">
        <v>22980</v>
      </c>
      <c r="B70394" s="0" t="str">
        <f aca="false">HYPERLINK("https://lindat.mff.cuni.cz/services/teitok/pdtc10/index.php?action=vallex&amp;frame=v-w9687f1", "znehodnocovat (v-w9687f1)")</f>
        <v>znehodnocovat (v-w9687f1)</v>
      </c>
      <c r="E70394" s="0" t="str">
        <f aca="false">HYPERLINK("https://lindat.mff.cuni.cz/services/SynSemClass40/SynSemClass40.html?veclass=vec00389#vec00389-ces-cm00058", "vec00389")</f>
        <v>vec00389</v>
      </c>
      <c r="F70394" s="0" t="s">
        <v>1888</v>
      </c>
      <c r="H70394" s="0" t="str">
        <f aca="false">HYPERLINK("https://lindat.mff.cuni.cz/services/SynSemClass40/SynSemClass40.html?veclass=vec00789#vec00789-ces-cm00081", "vec00789")</f>
        <v>vec00789</v>
      </c>
      <c r="I70394" s="0" t="s">
        <v>5464</v>
      </c>
      <c r="K70394" s="0" t="str">
        <f aca="false">HYPERLINK("https://lindat.mff.cuni.cz/services/SynSemClass40/SynSemClass40.html?veclass=vec01012#vec01012-ces-cm00004", "vec01012")</f>
        <v>vec01012</v>
      </c>
      <c r="L70394" s="0" t="s">
        <v>1939</v>
      </c>
    </row>
    <row r="70395" customFormat="false" ht="12.8" hidden="false" customHeight="false" outlineLevel="0" collapsed="false">
      <c r="B70395" s="0" t="s">
        <v>1</v>
      </c>
      <c r="C70395" s="0" t="s">
        <v>22981</v>
      </c>
      <c r="E70395" s="0" t="s">
        <v>1890</v>
      </c>
      <c r="F70395" s="0" t="s">
        <v>1891</v>
      </c>
      <c r="H70395" s="0" t="s">
        <v>1890</v>
      </c>
      <c r="I70395" s="0" t="s">
        <v>5467</v>
      </c>
      <c r="K70395" s="0" t="s">
        <v>206</v>
      </c>
      <c r="L70395" s="0" t="s">
        <v>1846</v>
      </c>
    </row>
    <row r="70396" customFormat="false" ht="12.8" hidden="false" customHeight="false" outlineLevel="0" collapsed="false">
      <c r="B70396" s="0" t="s">
        <v>8</v>
      </c>
      <c r="C70396" s="0" t="s">
        <v>22982</v>
      </c>
      <c r="E70396" s="0" t="s">
        <v>1893</v>
      </c>
      <c r="F70396" s="0" t="s">
        <v>1894</v>
      </c>
      <c r="H70396" s="0" t="s">
        <v>1893</v>
      </c>
      <c r="I70396" s="0" t="s">
        <v>5470</v>
      </c>
      <c r="K70396" s="0" t="s">
        <v>142</v>
      </c>
      <c r="L70396" s="0" t="s">
        <v>1941</v>
      </c>
    </row>
    <row r="70398" customFormat="false" ht="12.8" hidden="false" customHeight="false" outlineLevel="0" collapsed="false">
      <c r="A70398" s="0" t="s">
        <v>22983</v>
      </c>
      <c r="B70398" s="0" t="str">
        <f aca="false">HYPERLINK("https://lindat.mff.cuni.cz/services/teitok/pdtc10/index.php?action=vallex&amp;frame=v-w9688f1", "znehodnotit (v-w9688f1)")</f>
        <v>znehodnotit (v-w9688f1)</v>
      </c>
      <c r="E70398" s="0" t="str">
        <f aca="false">HYPERLINK("https://lindat.mff.cuni.cz/services/SynSemClass40/SynSemClass40.html?veclass=vec01012#vec01012-ces-cm00005", "vec01012")</f>
        <v>vec01012</v>
      </c>
      <c r="F70398" s="0" t="s">
        <v>1939</v>
      </c>
    </row>
    <row r="70399" customFormat="false" ht="12.8" hidden="false" customHeight="false" outlineLevel="0" collapsed="false">
      <c r="B70399" s="0" t="s">
        <v>1</v>
      </c>
      <c r="C70399" s="0" t="s">
        <v>1752</v>
      </c>
      <c r="E70399" s="0" t="s">
        <v>206</v>
      </c>
      <c r="F70399" s="0" t="s">
        <v>1846</v>
      </c>
    </row>
    <row r="70400" customFormat="false" ht="12.8" hidden="false" customHeight="false" outlineLevel="0" collapsed="false">
      <c r="B70400" s="0" t="s">
        <v>8</v>
      </c>
      <c r="C70400" s="0" t="s">
        <v>1940</v>
      </c>
      <c r="E70400" s="0" t="s">
        <v>142</v>
      </c>
      <c r="F70400" s="0" t="s">
        <v>1941</v>
      </c>
    </row>
    <row r="70402" customFormat="false" ht="12.8" hidden="false" customHeight="false" outlineLevel="0" collapsed="false">
      <c r="A70402" s="0" t="s">
        <v>22984</v>
      </c>
      <c r="B70402" s="0" t="str">
        <f aca="false">HYPERLINK("https://lindat.mff.cuni.cz/services/teitok/pdtc10/index.php?action=vallex&amp;frame=v-w9688f2", "znehodnotit (v-w9688f2)")</f>
        <v>znehodnotit (v-w9688f2)</v>
      </c>
    </row>
    <row r="70403" customFormat="false" ht="12.8" hidden="false" customHeight="false" outlineLevel="0" collapsed="false">
      <c r="B70403" s="0" t="s">
        <v>1</v>
      </c>
    </row>
    <row r="70404" customFormat="false" ht="12.8" hidden="false" customHeight="false" outlineLevel="0" collapsed="false">
      <c r="B70404" s="0" t="s">
        <v>8</v>
      </c>
    </row>
    <row r="70406" customFormat="false" ht="12.8" hidden="false" customHeight="false" outlineLevel="0" collapsed="false">
      <c r="A70406" s="0" t="s">
        <v>22985</v>
      </c>
      <c r="B70406" s="0" t="str">
        <f aca="false">HYPERLINK("https://lindat.mff.cuni.cz/services/teitok/pdtc10/index.php?action=vallex&amp;frame=v-w9689f1", "znehodnotit se (v-w9689f1)")</f>
        <v>znehodnotit se (v-w9689f1)</v>
      </c>
    </row>
    <row r="70407" customFormat="false" ht="12.8" hidden="false" customHeight="false" outlineLevel="0" collapsed="false">
      <c r="B70407" s="0" t="s">
        <v>1</v>
      </c>
    </row>
    <row r="70409" customFormat="false" ht="12.8" hidden="false" customHeight="false" outlineLevel="0" collapsed="false">
      <c r="A70409" s="0" t="s">
        <v>22986</v>
      </c>
      <c r="B70409" s="0" t="str">
        <f aca="false">HYPERLINK("https://lindat.mff.cuni.cz/services/teitok/pdtc10/index.php?action=vallex&amp;frame=v-w9693f1", "znejistit (v-w9693f1)")</f>
        <v>znejistit (v-w9693f1)</v>
      </c>
      <c r="E70409" s="0" t="str">
        <f aca="false">HYPERLINK("https://lindat.mff.cuni.cz/services/SynSemClass40/SynSemClass40.html?veclass=vec00536#vec00536-ces-cm00018", "vec00536")</f>
        <v>vec00536</v>
      </c>
      <c r="F70409" s="0" t="s">
        <v>1395</v>
      </c>
      <c r="H70409" s="0" t="str">
        <f aca="false">HYPERLINK("https://lindat.mff.cuni.cz/services/SynSemClass40/SynSemClass40.html?veclass=vec01385#vec01385-ces-cm00006", "vec01385")</f>
        <v>vec01385</v>
      </c>
      <c r="I70409" s="0" t="s">
        <v>15033</v>
      </c>
    </row>
    <row r="70410" customFormat="false" ht="12.8" hidden="false" customHeight="false" outlineLevel="0" collapsed="false">
      <c r="B70410" s="0" t="s">
        <v>1</v>
      </c>
      <c r="C70410" s="0" t="s">
        <v>22987</v>
      </c>
      <c r="E70410" s="0" t="s">
        <v>1103</v>
      </c>
      <c r="F70410" s="0" t="s">
        <v>1397</v>
      </c>
      <c r="H70410" s="0" t="s">
        <v>1103</v>
      </c>
      <c r="I70410" s="0" t="s">
        <v>15035</v>
      </c>
    </row>
    <row r="70411" customFormat="false" ht="12.8" hidden="false" customHeight="false" outlineLevel="0" collapsed="false">
      <c r="B70411" s="0" t="s">
        <v>8</v>
      </c>
      <c r="C70411" s="0" t="s">
        <v>22988</v>
      </c>
      <c r="E70411" s="0" t="s">
        <v>1399</v>
      </c>
      <c r="F70411" s="0" t="s">
        <v>1400</v>
      </c>
      <c r="H70411" s="0" t="s">
        <v>142</v>
      </c>
      <c r="I70411" s="0" t="s">
        <v>15037</v>
      </c>
    </row>
    <row r="70413" customFormat="false" ht="12.8" hidden="false" customHeight="false" outlineLevel="0" collapsed="false">
      <c r="A70413" s="0" t="s">
        <v>22989</v>
      </c>
      <c r="B70413" s="0" t="str">
        <f aca="false">HYPERLINK("https://lindat.mff.cuni.cz/services/teitok/pdtc10/index.php?action=vallex&amp;frame=v-w9692f2", "znejistět (v-w9692f2)")</f>
        <v>znejistět (v-w9692f2)</v>
      </c>
      <c r="E70413" s="0" t="str">
        <f aca="false">HYPERLINK("https://lindat.mff.cuni.cz/services/SynSemClass40/SynSemClass40.html?veclass=vec00536#vec00536-ces-cm00019", "vec00536")</f>
        <v>vec00536</v>
      </c>
      <c r="F70413" s="0" t="s">
        <v>1395</v>
      </c>
      <c r="H70413" s="0" t="str">
        <f aca="false">HYPERLINK("https://lindat.mff.cuni.cz/services/SynSemClass40/SynSemClass40.html?veclass=vec01385#vec01385-ces-cm00005", "vec01385")</f>
        <v>vec01385</v>
      </c>
      <c r="I70413" s="0" t="s">
        <v>15033</v>
      </c>
    </row>
    <row r="70414" customFormat="false" ht="12.8" hidden="false" customHeight="false" outlineLevel="0" collapsed="false">
      <c r="B70414" s="0" t="s">
        <v>1</v>
      </c>
      <c r="C70414" s="0" t="s">
        <v>22987</v>
      </c>
      <c r="E70414" s="0" t="s">
        <v>1103</v>
      </c>
      <c r="F70414" s="0" t="s">
        <v>1397</v>
      </c>
      <c r="H70414" s="0" t="s">
        <v>1103</v>
      </c>
      <c r="I70414" s="0" t="s">
        <v>15035</v>
      </c>
    </row>
    <row r="70415" customFormat="false" ht="12.8" hidden="false" customHeight="false" outlineLevel="0" collapsed="false">
      <c r="B70415" s="0" t="s">
        <v>8</v>
      </c>
      <c r="C70415" s="0" t="s">
        <v>22988</v>
      </c>
      <c r="E70415" s="0" t="s">
        <v>1399</v>
      </c>
      <c r="F70415" s="0" t="s">
        <v>1400</v>
      </c>
      <c r="H70415" s="0" t="s">
        <v>142</v>
      </c>
      <c r="I70415" s="0" t="s">
        <v>15037</v>
      </c>
    </row>
    <row r="70417" customFormat="false" ht="12.8" hidden="false" customHeight="false" outlineLevel="0" collapsed="false">
      <c r="A70417" s="0" t="s">
        <v>22990</v>
      </c>
      <c r="B70417" s="0" t="str">
        <f aca="false">HYPERLINK("https://lindat.mff.cuni.cz/services/teitok/pdtc10/index.php?action=vallex&amp;frame=v-w9692f1", "znejistět (v-w9692f1)")</f>
        <v>znejistět (v-w9692f1)</v>
      </c>
    </row>
    <row r="70418" customFormat="false" ht="12.8" hidden="false" customHeight="false" outlineLevel="0" collapsed="false">
      <c r="B70418" s="0" t="s">
        <v>1</v>
      </c>
    </row>
    <row r="70420" customFormat="false" ht="12.8" hidden="false" customHeight="false" outlineLevel="0" collapsed="false">
      <c r="A70420" s="0" t="s">
        <v>22991</v>
      </c>
      <c r="B70420" s="0" t="str">
        <f aca="false">HYPERLINK("https://lindat.mff.cuni.cz/services/teitok/pdtc10/index.php?action=vallex&amp;frame=v-w9694f1", "zneklidnit (v-w9694f1)")</f>
        <v>zneklidnit (v-w9694f1)</v>
      </c>
      <c r="E70420" s="0" t="str">
        <f aca="false">HYPERLINK("https://lindat.mff.cuni.cz/services/SynSemClass40/SynSemClass40.html?veclass=vec00536#vec00536-ces-cm00020", "vec00536")</f>
        <v>vec00536</v>
      </c>
      <c r="F70420" s="0" t="s">
        <v>1395</v>
      </c>
      <c r="H70420" s="0" t="str">
        <f aca="false">HYPERLINK("https://lindat.mff.cuni.cz/services/SynSemClass40/SynSemClass40.html?veclass=vec01385#vec01385-ces-cm00007", "vec01385")</f>
        <v>vec01385</v>
      </c>
      <c r="I70420" s="0" t="s">
        <v>15033</v>
      </c>
    </row>
    <row r="70421" customFormat="false" ht="12.8" hidden="false" customHeight="false" outlineLevel="0" collapsed="false">
      <c r="B70421" s="0" t="s">
        <v>1</v>
      </c>
      <c r="C70421" s="0" t="s">
        <v>22987</v>
      </c>
      <c r="E70421" s="0" t="s">
        <v>1103</v>
      </c>
      <c r="F70421" s="0" t="s">
        <v>1397</v>
      </c>
      <c r="H70421" s="0" t="s">
        <v>1103</v>
      </c>
      <c r="I70421" s="0" t="s">
        <v>15035</v>
      </c>
    </row>
    <row r="70422" customFormat="false" ht="12.8" hidden="false" customHeight="false" outlineLevel="0" collapsed="false">
      <c r="B70422" s="0" t="s">
        <v>8</v>
      </c>
      <c r="C70422" s="0" t="s">
        <v>22988</v>
      </c>
      <c r="E70422" s="0" t="s">
        <v>1399</v>
      </c>
      <c r="F70422" s="0" t="s">
        <v>1400</v>
      </c>
      <c r="H70422" s="0" t="s">
        <v>142</v>
      </c>
      <c r="I70422" s="0" t="s">
        <v>15037</v>
      </c>
    </row>
    <row r="70424" customFormat="false" ht="12.8" hidden="false" customHeight="false" outlineLevel="0" collapsed="false">
      <c r="A70424" s="0" t="s">
        <v>22992</v>
      </c>
      <c r="B70424" s="0" t="str">
        <f aca="false">HYPERLINK("https://lindat.mff.cuni.cz/services/teitok/pdtc10/index.php?action=vallex&amp;frame=v-w10874f2", "zneklidnět (v-w10874f2)")</f>
        <v>zneklidnět (v-w10874f2)</v>
      </c>
    </row>
    <row r="70425" customFormat="false" ht="12.8" hidden="false" customHeight="false" outlineLevel="0" collapsed="false">
      <c r="B70425" s="0" t="s">
        <v>1</v>
      </c>
    </row>
    <row r="70427" customFormat="false" ht="12.8" hidden="false" customHeight="false" outlineLevel="0" collapsed="false">
      <c r="A70427" s="0" t="s">
        <v>22993</v>
      </c>
      <c r="B70427" s="0" t="str">
        <f aca="false">HYPERLINK("https://lindat.mff.cuni.cz/services/teitok/pdtc10/index.php?action=vallex&amp;frame=v-w9695f1", "zneklidňovat (v-w9695f1)")</f>
        <v>zneklidňovat (v-w9695f1)</v>
      </c>
      <c r="E70427" s="0" t="str">
        <f aca="false">HYPERLINK("https://lindat.mff.cuni.cz/services/SynSemClass40/SynSemClass40.html?veclass=vec00536#vec00536-ces-cm00021", "vec00536")</f>
        <v>vec00536</v>
      </c>
      <c r="F70427" s="0" t="s">
        <v>1395</v>
      </c>
      <c r="H70427" s="0" t="str">
        <f aca="false">HYPERLINK("https://lindat.mff.cuni.cz/services/SynSemClass40/SynSemClass40.html?veclass=vec01385#vec01385-ces-cm00008", "vec01385")</f>
        <v>vec01385</v>
      </c>
      <c r="I70427" s="0" t="s">
        <v>15033</v>
      </c>
    </row>
    <row r="70428" customFormat="false" ht="12.8" hidden="false" customHeight="false" outlineLevel="0" collapsed="false">
      <c r="B70428" s="0" t="s">
        <v>1</v>
      </c>
      <c r="C70428" s="0" t="s">
        <v>22987</v>
      </c>
      <c r="E70428" s="0" t="s">
        <v>1103</v>
      </c>
      <c r="F70428" s="0" t="s">
        <v>1397</v>
      </c>
      <c r="H70428" s="0" t="s">
        <v>1103</v>
      </c>
      <c r="I70428" s="0" t="s">
        <v>15035</v>
      </c>
    </row>
    <row r="70429" customFormat="false" ht="12.8" hidden="false" customHeight="false" outlineLevel="0" collapsed="false">
      <c r="B70429" s="0" t="s">
        <v>8</v>
      </c>
      <c r="C70429" s="0" t="s">
        <v>22988</v>
      </c>
      <c r="E70429" s="0" t="s">
        <v>1399</v>
      </c>
      <c r="F70429" s="0" t="s">
        <v>1400</v>
      </c>
      <c r="H70429" s="0" t="s">
        <v>142</v>
      </c>
      <c r="I70429" s="0" t="s">
        <v>15037</v>
      </c>
    </row>
    <row r="70431" customFormat="false" ht="12.8" hidden="false" customHeight="false" outlineLevel="0" collapsed="false">
      <c r="A70431" s="0" t="s">
        <v>22994</v>
      </c>
      <c r="B70431" s="0" t="str">
        <f aca="false">HYPERLINK("https://lindat.mff.cuni.cz/services/teitok/pdtc10/index.php?action=vallex&amp;frame=v-w9697f1", "znemožnit (v-w9697f1)")</f>
        <v>znemožnit (v-w9697f1)</v>
      </c>
      <c r="E70431" s="0" t="str">
        <f aca="false">HYPERLINK("https://lindat.mff.cuni.cz/services/SynSemClass40/SynSemClass40.html?veclass=vec00174#vec00174-ces-cm00022", "vec00174")</f>
        <v>vec00174</v>
      </c>
      <c r="F70431" s="0" t="s">
        <v>325</v>
      </c>
    </row>
    <row r="70432" customFormat="false" ht="12.8" hidden="false" customHeight="false" outlineLevel="0" collapsed="false">
      <c r="B70432" s="0" t="s">
        <v>1</v>
      </c>
      <c r="C70432" s="0" t="s">
        <v>326</v>
      </c>
      <c r="E70432" s="0" t="s">
        <v>76</v>
      </c>
      <c r="F70432" s="0" t="s">
        <v>327</v>
      </c>
    </row>
    <row r="70433" customFormat="false" ht="12.8" hidden="false" customHeight="false" outlineLevel="0" collapsed="false">
      <c r="B70433" s="0" t="s">
        <v>1682</v>
      </c>
      <c r="C70433" s="0" t="s">
        <v>328</v>
      </c>
      <c r="E70433" s="0" t="s">
        <v>188</v>
      </c>
      <c r="F70433" s="0" t="s">
        <v>329</v>
      </c>
    </row>
    <row r="70434" customFormat="false" ht="12.8" hidden="false" customHeight="false" outlineLevel="0" collapsed="false">
      <c r="B70434" s="0" t="s">
        <v>132</v>
      </c>
    </row>
    <row r="70436" customFormat="false" ht="12.8" hidden="false" customHeight="false" outlineLevel="0" collapsed="false">
      <c r="A70436" s="0" t="s">
        <v>22995</v>
      </c>
      <c r="B70436" s="0" t="str">
        <f aca="false">HYPERLINK("https://lindat.mff.cuni.cz/services/teitok/pdtc10/index.php?action=vallex&amp;frame=v-w9698f1", "znemožňovat (v-w9698f1)")</f>
        <v>znemožňovat (v-w9698f1)</v>
      </c>
      <c r="E70436" s="0" t="str">
        <f aca="false">HYPERLINK("https://lindat.mff.cuni.cz/services/SynSemClass40/SynSemClass40.html?veclass=vec00367#vec00367-ces-cm00034", "vec00367")</f>
        <v>vec00367</v>
      </c>
      <c r="F70436" s="0" t="s">
        <v>556</v>
      </c>
    </row>
    <row r="70437" customFormat="false" ht="12.8" hidden="false" customHeight="false" outlineLevel="0" collapsed="false">
      <c r="B70437" s="0" t="s">
        <v>1</v>
      </c>
      <c r="C70437" s="0" t="s">
        <v>557</v>
      </c>
      <c r="E70437" s="0" t="s">
        <v>206</v>
      </c>
      <c r="F70437" s="0" t="s">
        <v>558</v>
      </c>
    </row>
    <row r="70438" customFormat="false" ht="12.8" hidden="false" customHeight="false" outlineLevel="0" collapsed="false">
      <c r="B70438" s="0" t="s">
        <v>1682</v>
      </c>
      <c r="C70438" s="0" t="s">
        <v>560</v>
      </c>
      <c r="E70438" s="0" t="s">
        <v>561</v>
      </c>
      <c r="F70438" s="0" t="s">
        <v>562</v>
      </c>
    </row>
    <row r="70439" customFormat="false" ht="12.8" hidden="false" customHeight="false" outlineLevel="0" collapsed="false">
      <c r="B70439" s="0" t="s">
        <v>132</v>
      </c>
      <c r="C70439" s="0" t="s">
        <v>563</v>
      </c>
      <c r="E70439" s="0" t="s">
        <v>564</v>
      </c>
      <c r="F70439" s="0" t="s">
        <v>565</v>
      </c>
    </row>
    <row r="70441" customFormat="false" ht="12.8" hidden="false" customHeight="false" outlineLevel="0" collapsed="false">
      <c r="A70441" s="0" t="s">
        <v>22996</v>
      </c>
      <c r="B70441" s="0" t="str">
        <f aca="false">HYPERLINK("https://lindat.mff.cuni.cz/services/teitok/pdtc10/index.php?action=vallex&amp;frame=v-w9701hsa_1274", "znepokojit (v-w9701hsa_1274)")</f>
        <v>znepokojit (v-w9701hsa_1274)</v>
      </c>
      <c r="E70441" s="0" t="str">
        <f aca="false">HYPERLINK("https://lindat.mff.cuni.cz/services/SynSemClass40/SynSemClass40.html?veclass=vec00536#vec00536-ces-cm00022", "vec00536")</f>
        <v>vec00536</v>
      </c>
      <c r="F70441" s="0" t="s">
        <v>1395</v>
      </c>
      <c r="H70441" s="0" t="str">
        <f aca="false">HYPERLINK("https://lindat.mff.cuni.cz/services/SynSemClass40/SynSemClass40.html?veclass=vec01385#vec01385-ces-cm00016", "vec01385")</f>
        <v>vec01385</v>
      </c>
      <c r="I70441" s="0" t="s">
        <v>15033</v>
      </c>
    </row>
    <row r="70442" customFormat="false" ht="12.8" hidden="false" customHeight="false" outlineLevel="0" collapsed="false">
      <c r="B70442" s="0" t="s">
        <v>843</v>
      </c>
      <c r="C70442" s="0" t="s">
        <v>22987</v>
      </c>
      <c r="E70442" s="0" t="s">
        <v>1103</v>
      </c>
      <c r="F70442" s="0" t="s">
        <v>1397</v>
      </c>
      <c r="H70442" s="0" t="s">
        <v>1103</v>
      </c>
      <c r="I70442" s="0" t="s">
        <v>15035</v>
      </c>
    </row>
    <row r="70443" customFormat="false" ht="12.8" hidden="false" customHeight="false" outlineLevel="0" collapsed="false">
      <c r="B70443" s="0" t="s">
        <v>8</v>
      </c>
      <c r="C70443" s="0" t="s">
        <v>22988</v>
      </c>
      <c r="E70443" s="0" t="s">
        <v>1399</v>
      </c>
      <c r="F70443" s="0" t="s">
        <v>1400</v>
      </c>
      <c r="H70443" s="0" t="s">
        <v>142</v>
      </c>
      <c r="I70443" s="0" t="s">
        <v>15037</v>
      </c>
    </row>
    <row r="70445" customFormat="false" ht="12.8" hidden="false" customHeight="false" outlineLevel="0" collapsed="false">
      <c r="A70445" s="0" t="s">
        <v>22996</v>
      </c>
      <c r="B70445" s="0" t="str">
        <f aca="false">HYPERLINK("https://lindat.mff.cuni.cz/services/teitok/pdtc10/index.php?action=vallex&amp;frame=v-w9701f1", "znepokojit (v-w9701f1) - substituted with v-w9701hsa_1274")</f>
        <v>znepokojit (v-w9701f1) - substituted with v-w9701hsa_1274</v>
      </c>
    </row>
    <row r="70446" customFormat="false" ht="12.8" hidden="false" customHeight="false" outlineLevel="0" collapsed="false">
      <c r="B70446" s="0" t="s">
        <v>843</v>
      </c>
    </row>
    <row r="70447" customFormat="false" ht="12.8" hidden="false" customHeight="false" outlineLevel="0" collapsed="false">
      <c r="B70447" s="0" t="s">
        <v>8</v>
      </c>
    </row>
    <row r="70449" customFormat="false" ht="12.8" hidden="false" customHeight="false" outlineLevel="0" collapsed="false">
      <c r="A70449" s="0" t="s">
        <v>22997</v>
      </c>
      <c r="B70449" s="0" t="str">
        <f aca="false">HYPERLINK("https://lindat.mff.cuni.cz/services/teitok/pdtc10/index.php?action=vallex&amp;frame=v-w9702f1", "znepokojovat (v-w9702f1)")</f>
        <v>znepokojovat (v-w9702f1)</v>
      </c>
      <c r="E70449" s="0" t="str">
        <f aca="false">HYPERLINK("https://lindat.mff.cuni.cz/services/SynSemClass40/SynSemClass40.html?veclass=vec00536#vec00536-ces-cm00023", "vec00536")</f>
        <v>vec00536</v>
      </c>
      <c r="F70449" s="0" t="s">
        <v>1395</v>
      </c>
      <c r="H70449" s="0" t="str">
        <f aca="false">HYPERLINK("https://lindat.mff.cuni.cz/services/SynSemClass40/SynSemClass40.html?veclass=vec01385#vec01385-ces-cm00017", "vec01385")</f>
        <v>vec01385</v>
      </c>
      <c r="I70449" s="0" t="s">
        <v>15033</v>
      </c>
    </row>
    <row r="70450" customFormat="false" ht="12.8" hidden="false" customHeight="false" outlineLevel="0" collapsed="false">
      <c r="B70450" s="0" t="s">
        <v>843</v>
      </c>
      <c r="C70450" s="0" t="s">
        <v>22987</v>
      </c>
      <c r="E70450" s="0" t="s">
        <v>1103</v>
      </c>
      <c r="F70450" s="0" t="s">
        <v>1397</v>
      </c>
      <c r="H70450" s="0" t="s">
        <v>1103</v>
      </c>
      <c r="I70450" s="0" t="s">
        <v>15035</v>
      </c>
    </row>
    <row r="70451" customFormat="false" ht="12.8" hidden="false" customHeight="false" outlineLevel="0" collapsed="false">
      <c r="B70451" s="0" t="s">
        <v>8</v>
      </c>
      <c r="C70451" s="0" t="s">
        <v>22988</v>
      </c>
      <c r="E70451" s="0" t="s">
        <v>1399</v>
      </c>
      <c r="F70451" s="0" t="s">
        <v>1400</v>
      </c>
      <c r="H70451" s="0" t="s">
        <v>142</v>
      </c>
      <c r="I70451" s="0" t="s">
        <v>15037</v>
      </c>
    </row>
    <row r="70453" customFormat="false" ht="12.8" hidden="false" customHeight="false" outlineLevel="0" collapsed="false">
      <c r="A70453" s="0" t="s">
        <v>22998</v>
      </c>
      <c r="B70453" s="0" t="str">
        <f aca="false">HYPERLINK("https://lindat.mff.cuni.cz/services/teitok/pdtc10/index.php?action=vallex&amp;frame=v-whsa_444f1_ZU", "znepokojovat se (v-whsa_444f1_ZU)")</f>
        <v>znepokojovat se (v-whsa_444f1_ZU)</v>
      </c>
      <c r="E70453" s="0" t="str">
        <f aca="false">HYPERLINK("https://lindat.mff.cuni.cz/services/SynSemClass40/SynSemClass40.html?veclass=vec00243#vec00243-ces-cm00011", "vec00243")</f>
        <v>vec00243</v>
      </c>
      <c r="F70453" s="0" t="s">
        <v>816</v>
      </c>
    </row>
    <row r="70454" customFormat="false" ht="12.8" hidden="false" customHeight="false" outlineLevel="0" collapsed="false">
      <c r="B70454" s="0" t="s">
        <v>1</v>
      </c>
      <c r="C70454" s="0" t="s">
        <v>817</v>
      </c>
      <c r="E70454" s="0" t="s">
        <v>155</v>
      </c>
      <c r="F70454" s="0" t="s">
        <v>818</v>
      </c>
    </row>
    <row r="70456" customFormat="false" ht="12.8" hidden="false" customHeight="false" outlineLevel="0" collapsed="false">
      <c r="A70456" s="0" t="s">
        <v>22998</v>
      </c>
      <c r="B70456" s="0" t="str">
        <f aca="false">HYPERLINK("https://lindat.mff.cuni.cz/services/teitok/pdtc10/index.php?action=vallex&amp;frame=v-whsa_444hsa_445", "znepokojovat se (v-whsa_444hsa_445) - substituted with v-whsa_444f1_ZU")</f>
        <v>znepokojovat se (v-whsa_444hsa_445) - substituted with v-whsa_444f1_ZU</v>
      </c>
    </row>
    <row r="70457" customFormat="false" ht="12.8" hidden="false" customHeight="false" outlineLevel="0" collapsed="false">
      <c r="B70457" s="0" t="s">
        <v>1</v>
      </c>
    </row>
    <row r="70459" customFormat="false" ht="12.8" hidden="false" customHeight="false" outlineLevel="0" collapsed="false">
      <c r="A70459" s="0" t="s">
        <v>22999</v>
      </c>
      <c r="B70459" s="0" t="str">
        <f aca="false">HYPERLINK("https://lindat.mff.cuni.cz/services/teitok/pdtc10/index.php?action=vallex&amp;frame=v-w11233f1", "znepřátelit (v-w11233f1)")</f>
        <v>znepřátelit (v-w11233f1)</v>
      </c>
    </row>
    <row r="70460" customFormat="false" ht="12.8" hidden="false" customHeight="false" outlineLevel="0" collapsed="false">
      <c r="B70460" s="0" t="s">
        <v>1</v>
      </c>
    </row>
    <row r="70461" customFormat="false" ht="12.8" hidden="false" customHeight="false" outlineLevel="0" collapsed="false">
      <c r="B70461" s="0" t="s">
        <v>8</v>
      </c>
    </row>
    <row r="70463" customFormat="false" ht="12.8" hidden="false" customHeight="false" outlineLevel="0" collapsed="false">
      <c r="A70463" s="0" t="s">
        <v>23000</v>
      </c>
      <c r="B70463" s="0" t="str">
        <f aca="false">HYPERLINK("https://lindat.mff.cuni.cz/services/teitok/pdtc10/index.php?action=vallex&amp;frame=v-w9703f1", "znepřátelit si (v-w9703f1)")</f>
        <v>znepřátelit si (v-w9703f1)</v>
      </c>
      <c r="E70463" s="0" t="str">
        <f aca="false">HYPERLINK("https://lindat.mff.cuni.cz/services/SynSemClass40/SynSemClass40.html?veclass=vec00996#vec00996-ces-cm00001", "vec00996")</f>
        <v>vec00996</v>
      </c>
      <c r="F70463" s="0" t="s">
        <v>7439</v>
      </c>
    </row>
    <row r="70464" customFormat="false" ht="12.8" hidden="false" customHeight="false" outlineLevel="0" collapsed="false">
      <c r="B70464" s="0" t="s">
        <v>1</v>
      </c>
      <c r="C70464" s="0" t="s">
        <v>1752</v>
      </c>
      <c r="E70464" s="0" t="s">
        <v>1103</v>
      </c>
      <c r="F70464" s="0" t="s">
        <v>7440</v>
      </c>
    </row>
    <row r="70465" customFormat="false" ht="12.8" hidden="false" customHeight="false" outlineLevel="0" collapsed="false">
      <c r="B70465" s="0" t="s">
        <v>8</v>
      </c>
      <c r="C70465" s="0" t="s">
        <v>639</v>
      </c>
      <c r="E70465" s="0" t="s">
        <v>1399</v>
      </c>
      <c r="F70465" s="0" t="s">
        <v>7441</v>
      </c>
    </row>
    <row r="70467" customFormat="false" ht="12.8" hidden="false" customHeight="false" outlineLevel="0" collapsed="false">
      <c r="A70467" s="0" t="s">
        <v>23001</v>
      </c>
      <c r="B70467" s="0" t="str">
        <f aca="false">HYPERLINK("https://lindat.mff.cuni.cz/services/teitok/pdtc10/index.php?action=vallex&amp;frame=v-w9704f1", "znepříjemnit (v-w9704f1)")</f>
        <v>znepříjemnit (v-w9704f1)</v>
      </c>
    </row>
    <row r="70468" customFormat="false" ht="12.8" hidden="false" customHeight="false" outlineLevel="0" collapsed="false">
      <c r="B70468" s="0" t="s">
        <v>1</v>
      </c>
    </row>
    <row r="70469" customFormat="false" ht="12.8" hidden="false" customHeight="false" outlineLevel="0" collapsed="false">
      <c r="B70469" s="0" t="s">
        <v>8</v>
      </c>
    </row>
    <row r="70471" customFormat="false" ht="12.8" hidden="false" customHeight="false" outlineLevel="0" collapsed="false">
      <c r="A70471" s="0" t="s">
        <v>23002</v>
      </c>
      <c r="B70471" s="0" t="str">
        <f aca="false">HYPERLINK("https://lindat.mff.cuni.cz/services/teitok/pdtc10/index.php?action=vallex&amp;frame=v-w9705f1", "znepříjemňovat (v-w9705f1)")</f>
        <v>znepříjemňovat (v-w9705f1)</v>
      </c>
    </row>
    <row r="70472" customFormat="false" ht="12.8" hidden="false" customHeight="false" outlineLevel="0" collapsed="false">
      <c r="B70472" s="0" t="s">
        <v>1</v>
      </c>
    </row>
    <row r="70473" customFormat="false" ht="12.8" hidden="false" customHeight="false" outlineLevel="0" collapsed="false">
      <c r="B70473" s="0" t="s">
        <v>8</v>
      </c>
    </row>
    <row r="70475" customFormat="false" ht="12.8" hidden="false" customHeight="false" outlineLevel="0" collapsed="false">
      <c r="A70475" s="0" t="s">
        <v>23003</v>
      </c>
      <c r="B70475" s="0" t="str">
        <f aca="false">HYPERLINK("https://lindat.mff.cuni.cz/services/teitok/pdtc10/index.php?action=vallex&amp;frame=v-w9707f1", "znervóznit (v-w9707f1)")</f>
        <v>znervóznit (v-w9707f1)</v>
      </c>
      <c r="E70475" s="0" t="str">
        <f aca="false">HYPERLINK("https://lindat.mff.cuni.cz/services/SynSemClass40/SynSemClass40.html?veclass=vec00761#vec00761-ces-cm00021", "vec00761")</f>
        <v>vec00761</v>
      </c>
      <c r="F70475" s="0" t="s">
        <v>4014</v>
      </c>
      <c r="H70475" s="0" t="str">
        <f aca="false">HYPERLINK("https://lindat.mff.cuni.cz/services/SynSemClass40/SynSemClass40.html?veclass=vec01385#vec01385-ces-cm00018", "vec01385")</f>
        <v>vec01385</v>
      </c>
      <c r="I70475" s="0" t="s">
        <v>15033</v>
      </c>
    </row>
    <row r="70476" customFormat="false" ht="12.8" hidden="false" customHeight="false" outlineLevel="0" collapsed="false">
      <c r="B70476" s="0" t="s">
        <v>1</v>
      </c>
      <c r="C70476" s="0" t="s">
        <v>23004</v>
      </c>
      <c r="E70476" s="0" t="s">
        <v>1103</v>
      </c>
      <c r="F70476" s="0" t="s">
        <v>4016</v>
      </c>
      <c r="H70476" s="0" t="s">
        <v>1103</v>
      </c>
      <c r="I70476" s="0" t="s">
        <v>15035</v>
      </c>
    </row>
    <row r="70477" customFormat="false" ht="12.8" hidden="false" customHeight="false" outlineLevel="0" collapsed="false">
      <c r="B70477" s="0" t="s">
        <v>8</v>
      </c>
      <c r="C70477" s="0" t="s">
        <v>23005</v>
      </c>
      <c r="E70477" s="0" t="s">
        <v>199</v>
      </c>
      <c r="F70477" s="0" t="s">
        <v>4018</v>
      </c>
      <c r="H70477" s="0" t="s">
        <v>142</v>
      </c>
      <c r="I70477" s="0" t="s">
        <v>15037</v>
      </c>
    </row>
    <row r="70479" customFormat="false" ht="12.8" hidden="false" customHeight="false" outlineLevel="0" collapsed="false">
      <c r="A70479" s="0" t="s">
        <v>23006</v>
      </c>
      <c r="B70479" s="0" t="str">
        <f aca="false">HYPERLINK("https://lindat.mff.cuni.cz/services/teitok/pdtc10/index.php?action=vallex&amp;frame=v-w9707f3_ZU", "znervóznit (v-w9707f3_ZU)")</f>
        <v>znervóznit (v-w9707f3_ZU)</v>
      </c>
      <c r="E70479" s="0" t="str">
        <f aca="false">HYPERLINK("https://lindat.mff.cuni.cz/services/SynSemClass40/SynSemClass40.html?veclass=vec01385#vec01385-ces-cm00009", "vec01385")</f>
        <v>vec01385</v>
      </c>
      <c r="F70479" s="0" t="s">
        <v>15033</v>
      </c>
    </row>
    <row r="70480" customFormat="false" ht="12.8" hidden="false" customHeight="false" outlineLevel="0" collapsed="false">
      <c r="B70480" s="0" t="s">
        <v>1</v>
      </c>
      <c r="C70480" s="0" t="s">
        <v>23007</v>
      </c>
      <c r="E70480" s="0" t="s">
        <v>437</v>
      </c>
      <c r="F70480" s="0" t="s">
        <v>23008</v>
      </c>
    </row>
    <row r="70481" customFormat="false" ht="12.8" hidden="false" customHeight="false" outlineLevel="0" collapsed="false">
      <c r="B70481" s="0" t="s">
        <v>763</v>
      </c>
      <c r="C70481" s="0" t="s">
        <v>23009</v>
      </c>
      <c r="E70481" s="0" t="s">
        <v>271</v>
      </c>
      <c r="F70481" s="0" t="s">
        <v>23010</v>
      </c>
    </row>
    <row r="70483" customFormat="false" ht="12.8" hidden="false" customHeight="false" outlineLevel="0" collapsed="false">
      <c r="A70483" s="0" t="s">
        <v>23006</v>
      </c>
      <c r="B70483" s="0" t="str">
        <f aca="false">HYPERLINK("https://lindat.mff.cuni.cz/services/teitok/pdtc10/index.php?action=vallex&amp;frame=v-w9707f2_ZU", "znervóznit (v-w9707f2_ZU) - substituted with v-w9707f3_ZU")</f>
        <v>znervóznit (v-w9707f2_ZU) - substituted with v-w9707f3_ZU</v>
      </c>
    </row>
    <row r="70484" customFormat="false" ht="12.8" hidden="false" customHeight="false" outlineLevel="0" collapsed="false">
      <c r="B70484" s="0" t="s">
        <v>1</v>
      </c>
    </row>
    <row r="70485" customFormat="false" ht="12.8" hidden="false" customHeight="false" outlineLevel="0" collapsed="false">
      <c r="B70485" s="0" t="s">
        <v>763</v>
      </c>
    </row>
    <row r="70487" customFormat="false" ht="12.8" hidden="false" customHeight="false" outlineLevel="0" collapsed="false">
      <c r="A70487" s="0" t="s">
        <v>23011</v>
      </c>
      <c r="B70487" s="0" t="str">
        <f aca="false">HYPERLINK("https://lindat.mff.cuni.cz/services/teitok/pdtc10/index.php?action=vallex&amp;frame=v-w11438f1", "znervóznět (v-w11438f1)")</f>
        <v>znervóznět (v-w11438f1)</v>
      </c>
    </row>
    <row r="70488" customFormat="false" ht="12.8" hidden="false" customHeight="false" outlineLevel="0" collapsed="false">
      <c r="B70488" s="0" t="s">
        <v>1</v>
      </c>
    </row>
    <row r="70490" customFormat="false" ht="12.8" hidden="false" customHeight="false" outlineLevel="0" collapsed="false">
      <c r="A70490" s="0" t="s">
        <v>23012</v>
      </c>
      <c r="B70490" s="0" t="str">
        <f aca="false">HYPERLINK("https://lindat.mff.cuni.cz/services/teitok/pdtc10/index.php?action=vallex&amp;frame=v-w9708f1", "znervózňovat (v-w9708f1)")</f>
        <v>znervózňovat (v-w9708f1)</v>
      </c>
      <c r="E70490" s="0" t="str">
        <f aca="false">HYPERLINK("https://lindat.mff.cuni.cz/services/SynSemClass40/SynSemClass40.html?veclass=vec00608#vec00608-ces-cm00015", "vec00608")</f>
        <v>vec00608</v>
      </c>
      <c r="F70490" s="0" t="s">
        <v>1927</v>
      </c>
      <c r="H70490" s="0" t="str">
        <f aca="false">HYPERLINK("https://lindat.mff.cuni.cz/services/SynSemClass40/SynSemClass40.html?veclass=vec00761#vec00761-ces-cm00022", "vec00761")</f>
        <v>vec00761</v>
      </c>
      <c r="I70490" s="0" t="s">
        <v>4014</v>
      </c>
      <c r="K70490" s="0" t="str">
        <f aca="false">HYPERLINK("https://lindat.mff.cuni.cz/services/SynSemClass40/SynSemClass40.html?veclass=vec01385#vec01385-ces-cm00019", "vec01385")</f>
        <v>vec01385</v>
      </c>
      <c r="L70490" s="0" t="s">
        <v>15033</v>
      </c>
    </row>
    <row r="70491" customFormat="false" ht="12.8" hidden="false" customHeight="false" outlineLevel="0" collapsed="false">
      <c r="B70491" s="0" t="s">
        <v>1</v>
      </c>
      <c r="C70491" s="0" t="s">
        <v>23013</v>
      </c>
      <c r="E70491" s="0" t="s">
        <v>1103</v>
      </c>
      <c r="F70491" s="0" t="s">
        <v>1928</v>
      </c>
      <c r="H70491" s="0" t="s">
        <v>1103</v>
      </c>
      <c r="I70491" s="0" t="s">
        <v>4016</v>
      </c>
      <c r="K70491" s="0" t="s">
        <v>1103</v>
      </c>
      <c r="L70491" s="0" t="s">
        <v>15035</v>
      </c>
    </row>
    <row r="70492" customFormat="false" ht="12.8" hidden="false" customHeight="false" outlineLevel="0" collapsed="false">
      <c r="B70492" s="0" t="s">
        <v>8</v>
      </c>
      <c r="C70492" s="0" t="s">
        <v>23014</v>
      </c>
      <c r="E70492" s="0" t="s">
        <v>1930</v>
      </c>
      <c r="F70492" s="0" t="s">
        <v>1931</v>
      </c>
      <c r="H70492" s="0" t="s">
        <v>199</v>
      </c>
      <c r="I70492" s="0" t="s">
        <v>4018</v>
      </c>
      <c r="K70492" s="0" t="s">
        <v>142</v>
      </c>
      <c r="L70492" s="0" t="s">
        <v>15037</v>
      </c>
    </row>
    <row r="70494" customFormat="false" ht="12.8" hidden="false" customHeight="false" outlineLevel="0" collapsed="false">
      <c r="A70494" s="0" t="s">
        <v>23015</v>
      </c>
      <c r="B70494" s="0" t="str">
        <f aca="false">HYPERLINK("https://lindat.mff.cuni.cz/services/teitok/pdtc10/index.php?action=vallex&amp;frame=v-w10401f2", "znesnadnit (v-w10401f2)")</f>
        <v>znesnadnit (v-w10401f2)</v>
      </c>
      <c r="E70494" s="0" t="str">
        <f aca="false">HYPERLINK("https://lindat.mff.cuni.cz/services/SynSemClass40/SynSemClass40.html?veclass=vec00785#vec00785-ces-cm00114", "vec00785")</f>
        <v>vec00785</v>
      </c>
      <c r="F70494" s="0" t="s">
        <v>5463</v>
      </c>
    </row>
    <row r="70495" customFormat="false" ht="12.8" hidden="false" customHeight="false" outlineLevel="0" collapsed="false">
      <c r="B70495" s="0" t="s">
        <v>1</v>
      </c>
      <c r="C70495" s="0" t="s">
        <v>12308</v>
      </c>
      <c r="E70495" s="0" t="s">
        <v>76</v>
      </c>
      <c r="F70495" s="0" t="s">
        <v>5466</v>
      </c>
    </row>
    <row r="70496" customFormat="false" ht="12.8" hidden="false" customHeight="false" outlineLevel="0" collapsed="false">
      <c r="B70496" s="0" t="s">
        <v>402</v>
      </c>
      <c r="C70496" s="0" t="s">
        <v>12309</v>
      </c>
      <c r="E70496" s="0" t="s">
        <v>142</v>
      </c>
      <c r="F70496" s="0" t="s">
        <v>5469</v>
      </c>
    </row>
    <row r="70497" customFormat="false" ht="12.8" hidden="false" customHeight="false" outlineLevel="0" collapsed="false">
      <c r="B70497" s="0" t="s">
        <v>132</v>
      </c>
    </row>
    <row r="70499" customFormat="false" ht="12.8" hidden="false" customHeight="false" outlineLevel="0" collapsed="false">
      <c r="A70499" s="0" t="s">
        <v>23016</v>
      </c>
      <c r="B70499" s="0" t="str">
        <f aca="false">HYPERLINK("https://lindat.mff.cuni.cz/services/teitok/pdtc10/index.php?action=vallex&amp;frame=v-w9709f1", "znesnadňovat (v-w9709f1)")</f>
        <v>znesnadňovat (v-w9709f1)</v>
      </c>
    </row>
    <row r="70500" customFormat="false" ht="12.8" hidden="false" customHeight="false" outlineLevel="0" collapsed="false">
      <c r="B70500" s="0" t="s">
        <v>1</v>
      </c>
    </row>
    <row r="70501" customFormat="false" ht="12.8" hidden="false" customHeight="false" outlineLevel="0" collapsed="false">
      <c r="B70501" s="0" t="s">
        <v>8</v>
      </c>
    </row>
    <row r="70502" customFormat="false" ht="12.8" hidden="false" customHeight="false" outlineLevel="0" collapsed="false">
      <c r="B70502" s="0" t="s">
        <v>132</v>
      </c>
    </row>
    <row r="70504" customFormat="false" ht="12.8" hidden="false" customHeight="false" outlineLevel="0" collapsed="false">
      <c r="A70504" s="0" t="s">
        <v>23017</v>
      </c>
      <c r="B70504" s="0" t="str">
        <f aca="false">HYPERLINK("https://lindat.mff.cuni.cz/services/teitok/pdtc10/index.php?action=vallex&amp;frame=v-w9710f1", "znesvěcovat (v-w9710f1)")</f>
        <v>znesvěcovat (v-w9710f1)</v>
      </c>
    </row>
    <row r="70505" customFormat="false" ht="12.8" hidden="false" customHeight="false" outlineLevel="0" collapsed="false">
      <c r="B70505" s="0" t="s">
        <v>1</v>
      </c>
    </row>
    <row r="70506" customFormat="false" ht="12.8" hidden="false" customHeight="false" outlineLevel="0" collapsed="false">
      <c r="B70506" s="0" t="s">
        <v>8</v>
      </c>
    </row>
    <row r="70508" customFormat="false" ht="12.8" hidden="false" customHeight="false" outlineLevel="0" collapsed="false">
      <c r="A70508" s="0" t="s">
        <v>23018</v>
      </c>
      <c r="B70508" s="0" t="str">
        <f aca="false">HYPERLINK("https://lindat.mff.cuni.cz/services/teitok/pdtc10/index.php?action=vallex&amp;frame=v-w9713f1", "znetvořit (v-w9713f1)")</f>
        <v>znetvořit (v-w9713f1)</v>
      </c>
    </row>
    <row r="70509" customFormat="false" ht="12.8" hidden="false" customHeight="false" outlineLevel="0" collapsed="false">
      <c r="B70509" s="0" t="s">
        <v>1</v>
      </c>
    </row>
    <row r="70510" customFormat="false" ht="12.8" hidden="false" customHeight="false" outlineLevel="0" collapsed="false">
      <c r="B70510" s="0" t="s">
        <v>8</v>
      </c>
    </row>
    <row r="70512" customFormat="false" ht="12.8" hidden="false" customHeight="false" outlineLevel="0" collapsed="false">
      <c r="A70512" s="0" t="s">
        <v>23019</v>
      </c>
      <c r="B70512" s="0" t="str">
        <f aca="false">HYPERLINK("https://lindat.mff.cuni.cz/services/teitok/pdtc10/index.php?action=vallex&amp;frame=v-w9714f1", "zneuctít (v-w9714f1)")</f>
        <v>zneuctít (v-w9714f1)</v>
      </c>
      <c r="E70512" s="0" t="str">
        <f aca="false">HYPERLINK("https://lindat.mff.cuni.cz/services/SynSemClass40/SynSemClass40.html?veclass=vec01192#vec01192-ces-cm00016", "vec01192")</f>
        <v>vec01192</v>
      </c>
      <c r="F70512" s="0" t="s">
        <v>2000</v>
      </c>
    </row>
    <row r="70513" customFormat="false" ht="12.8" hidden="false" customHeight="false" outlineLevel="0" collapsed="false">
      <c r="B70513" s="0" t="s">
        <v>1</v>
      </c>
      <c r="C70513" s="0" t="s">
        <v>512</v>
      </c>
      <c r="E70513" s="0" t="s">
        <v>11</v>
      </c>
      <c r="F70513" s="0" t="s">
        <v>1613</v>
      </c>
    </row>
    <row r="70514" customFormat="false" ht="12.8" hidden="false" customHeight="false" outlineLevel="0" collapsed="false">
      <c r="B70514" s="0" t="s">
        <v>8</v>
      </c>
      <c r="C70514" s="0" t="s">
        <v>2001</v>
      </c>
      <c r="E70514" s="0" t="s">
        <v>142</v>
      </c>
      <c r="F70514" s="0" t="s">
        <v>2002</v>
      </c>
    </row>
    <row r="70516" customFormat="false" ht="12.8" hidden="false" customHeight="false" outlineLevel="0" collapsed="false">
      <c r="A70516" s="0" t="s">
        <v>23020</v>
      </c>
      <c r="B70516" s="0" t="str">
        <f aca="false">HYPERLINK("https://lindat.mff.cuni.cz/services/teitok/pdtc10/index.php?action=vallex&amp;frame=v-w9716f1", "zneužít (v-w9716f1)")</f>
        <v>zneužít (v-w9716f1)</v>
      </c>
      <c r="E70516" s="0" t="str">
        <f aca="false">HYPERLINK("https://lindat.mff.cuni.cz/services/SynSemClass40/SynSemClass40.html?veclass=vec00591#vec00591-ces-cm00028", "vec00591")</f>
        <v>vec00591</v>
      </c>
      <c r="F70516" s="0" t="s">
        <v>7158</v>
      </c>
    </row>
    <row r="70517" customFormat="false" ht="12.8" hidden="false" customHeight="false" outlineLevel="0" collapsed="false">
      <c r="B70517" s="0" t="s">
        <v>1</v>
      </c>
      <c r="E70517" s="0" t="s">
        <v>2005</v>
      </c>
      <c r="F70517" s="0" t="s">
        <v>7159</v>
      </c>
    </row>
    <row r="70518" customFormat="false" ht="12.8" hidden="false" customHeight="false" outlineLevel="0" collapsed="false">
      <c r="B70518" s="0" t="s">
        <v>5032</v>
      </c>
      <c r="E70518" s="0" t="s">
        <v>2007</v>
      </c>
      <c r="F70518" s="0" t="s">
        <v>7160</v>
      </c>
    </row>
    <row r="70520" customFormat="false" ht="12.8" hidden="false" customHeight="false" outlineLevel="0" collapsed="false">
      <c r="A70520" s="0" t="s">
        <v>23021</v>
      </c>
      <c r="B70520" s="0" t="str">
        <f aca="false">HYPERLINK("https://lindat.mff.cuni.cz/services/teitok/pdtc10/index.php?action=vallex&amp;frame=v-w9720f1", "zneužívat (v-w9720f1)")</f>
        <v>zneužívat (v-w9720f1)</v>
      </c>
      <c r="E70520" s="0" t="str">
        <f aca="false">HYPERLINK("https://lindat.mff.cuni.cz/services/SynSemClass40/SynSemClass40.html?veclass=vec00591#vec00591-ces-cm00001", "vec00591")</f>
        <v>vec00591</v>
      </c>
      <c r="F70520" s="0" t="s">
        <v>7158</v>
      </c>
    </row>
    <row r="70521" customFormat="false" ht="12.8" hidden="false" customHeight="false" outlineLevel="0" collapsed="false">
      <c r="B70521" s="0" t="s">
        <v>1</v>
      </c>
      <c r="E70521" s="0" t="s">
        <v>2005</v>
      </c>
      <c r="F70521" s="0" t="s">
        <v>7159</v>
      </c>
    </row>
    <row r="70522" customFormat="false" ht="12.8" hidden="false" customHeight="false" outlineLevel="0" collapsed="false">
      <c r="B70522" s="0" t="s">
        <v>5032</v>
      </c>
      <c r="E70522" s="0" t="s">
        <v>2007</v>
      </c>
      <c r="F70522" s="0" t="s">
        <v>7160</v>
      </c>
    </row>
    <row r="70524" customFormat="false" ht="12.8" hidden="false" customHeight="false" outlineLevel="0" collapsed="false">
      <c r="A70524" s="0" t="s">
        <v>23022</v>
      </c>
      <c r="B70524" s="0" t="str">
        <f aca="false">HYPERLINK("https://lindat.mff.cuni.cz/services/teitok/pdtc10/index.php?action=vallex&amp;frame=v-w9723f1", "znevažovat (v-w9723f1)")</f>
        <v>znevažovat (v-w9723f1)</v>
      </c>
      <c r="E70524" s="0" t="str">
        <f aca="false">HYPERLINK("https://lindat.mff.cuni.cz/services/SynSemClass40/SynSemClass40.html?veclass=vec00801#vec00801-ces-cm00009", "vec00801")</f>
        <v>vec00801</v>
      </c>
      <c r="F70524" s="0" t="s">
        <v>225</v>
      </c>
    </row>
    <row r="70525" customFormat="false" ht="12.8" hidden="false" customHeight="false" outlineLevel="0" collapsed="false">
      <c r="B70525" s="0" t="s">
        <v>1</v>
      </c>
      <c r="C70525" s="0" t="s">
        <v>226</v>
      </c>
      <c r="E70525" s="0" t="s">
        <v>31</v>
      </c>
      <c r="F70525" s="0" t="s">
        <v>227</v>
      </c>
    </row>
    <row r="70526" customFormat="false" ht="12.8" hidden="false" customHeight="false" outlineLevel="0" collapsed="false">
      <c r="B70526" s="0" t="s">
        <v>228</v>
      </c>
      <c r="C70526" s="0" t="s">
        <v>229</v>
      </c>
      <c r="E70526" s="0" t="s">
        <v>230</v>
      </c>
      <c r="F70526" s="0" t="s">
        <v>231</v>
      </c>
    </row>
    <row r="70528" customFormat="false" ht="12.8" hidden="false" customHeight="false" outlineLevel="0" collapsed="false">
      <c r="A70528" s="0" t="s">
        <v>23023</v>
      </c>
      <c r="B70528" s="0" t="str">
        <f aca="false">HYPERLINK("https://lindat.mff.cuni.cz/services/teitok/pdtc10/index.php?action=vallex&amp;frame=v-w9721f1", "znevážit (v-w9721f1)")</f>
        <v>znevážit (v-w9721f1)</v>
      </c>
      <c r="E70528" s="0" t="str">
        <f aca="false">HYPERLINK("https://lindat.mff.cuni.cz/services/SynSemClass40/SynSemClass40.html?veclass=vec00801#vec00801-ces-cm00012", "vec00801")</f>
        <v>vec00801</v>
      </c>
      <c r="F70528" s="0" t="s">
        <v>225</v>
      </c>
      <c r="H70528" s="0" t="str">
        <f aca="false">HYPERLINK("https://lindat.mff.cuni.cz/services/SynSemClass40/SynSemClass40.html?veclass=vec01192#vec01192-ces-cm00017", "vec01192")</f>
        <v>vec01192</v>
      </c>
      <c r="I70528" s="0" t="s">
        <v>2000</v>
      </c>
    </row>
    <row r="70529" customFormat="false" ht="12.8" hidden="false" customHeight="false" outlineLevel="0" collapsed="false">
      <c r="B70529" s="0" t="s">
        <v>1</v>
      </c>
      <c r="C70529" s="0" t="s">
        <v>8714</v>
      </c>
      <c r="E70529" s="0" t="s">
        <v>31</v>
      </c>
      <c r="F70529" s="0" t="s">
        <v>227</v>
      </c>
      <c r="H70529" s="0" t="s">
        <v>11</v>
      </c>
      <c r="I70529" s="0" t="s">
        <v>1613</v>
      </c>
    </row>
    <row r="70530" customFormat="false" ht="12.8" hidden="false" customHeight="false" outlineLevel="0" collapsed="false">
      <c r="B70530" s="0" t="s">
        <v>228</v>
      </c>
      <c r="C70530" s="0" t="s">
        <v>23024</v>
      </c>
      <c r="E70530" s="0" t="s">
        <v>230</v>
      </c>
      <c r="F70530" s="0" t="s">
        <v>231</v>
      </c>
      <c r="H70530" s="0" t="s">
        <v>142</v>
      </c>
      <c r="I70530" s="0" t="s">
        <v>2002</v>
      </c>
    </row>
    <row r="70532" customFormat="false" ht="12.8" hidden="false" customHeight="false" outlineLevel="0" collapsed="false">
      <c r="A70532" s="0" t="s">
        <v>23025</v>
      </c>
      <c r="B70532" s="0" t="str">
        <f aca="false">HYPERLINK("https://lindat.mff.cuni.cz/services/teitok/pdtc10/index.php?action=vallex&amp;frame=v-w9725f1", "znevýhodnit (v-w9725f1)")</f>
        <v>znevýhodnit (v-w9725f1)</v>
      </c>
    </row>
    <row r="70533" customFormat="false" ht="12.8" hidden="false" customHeight="false" outlineLevel="0" collapsed="false">
      <c r="B70533" s="0" t="s">
        <v>1</v>
      </c>
    </row>
    <row r="70534" customFormat="false" ht="12.8" hidden="false" customHeight="false" outlineLevel="0" collapsed="false">
      <c r="B70534" s="0" t="s">
        <v>8</v>
      </c>
    </row>
    <row r="70536" customFormat="false" ht="12.8" hidden="false" customHeight="false" outlineLevel="0" collapsed="false">
      <c r="A70536" s="0" t="s">
        <v>23026</v>
      </c>
      <c r="B70536" s="0" t="str">
        <f aca="false">HYPERLINK("https://lindat.mff.cuni.cz/services/teitok/pdtc10/index.php?action=vallex&amp;frame=v-w9726f1", "znevýhodňovat (v-w9726f1)")</f>
        <v>znevýhodňovat (v-w9726f1)</v>
      </c>
    </row>
    <row r="70537" customFormat="false" ht="12.8" hidden="false" customHeight="false" outlineLevel="0" collapsed="false">
      <c r="B70537" s="0" t="s">
        <v>1</v>
      </c>
    </row>
    <row r="70538" customFormat="false" ht="12.8" hidden="false" customHeight="false" outlineLevel="0" collapsed="false">
      <c r="B70538" s="0" t="s">
        <v>8</v>
      </c>
    </row>
    <row r="70540" customFormat="false" ht="12.8" hidden="false" customHeight="false" outlineLevel="0" collapsed="false">
      <c r="A70540" s="0" t="s">
        <v>23027</v>
      </c>
      <c r="B70540" s="0" t="str">
        <f aca="false">HYPERLINK("https://lindat.mff.cuni.cz/services/teitok/pdtc10/index.php?action=vallex&amp;frame=v-w9678f2_ZU", "znečistit (v-w9678f2_ZU)")</f>
        <v>znečistit (v-w9678f2_ZU)</v>
      </c>
    </row>
    <row r="70541" customFormat="false" ht="12.8" hidden="false" customHeight="false" outlineLevel="0" collapsed="false">
      <c r="B70541" s="0" t="s">
        <v>1</v>
      </c>
    </row>
    <row r="70542" customFormat="false" ht="12.8" hidden="false" customHeight="false" outlineLevel="0" collapsed="false">
      <c r="B70542" s="0" t="s">
        <v>8</v>
      </c>
    </row>
    <row r="70544" customFormat="false" ht="12.8" hidden="false" customHeight="false" outlineLevel="0" collapsed="false">
      <c r="A70544" s="0" t="s">
        <v>23027</v>
      </c>
      <c r="B70544" s="0" t="str">
        <f aca="false">HYPERLINK("https://lindat.mff.cuni.cz/services/teitok/pdtc10/index.php?action=vallex&amp;frame=v-w9678f1", "znečistit (v-w9678f1) - substituted with v-w9678f2_ZU")</f>
        <v>znečistit (v-w9678f1) - substituted with v-w9678f2_ZU</v>
      </c>
      <c r="E70544" s="0" t="str">
        <f aca="false">HYPERLINK("https://lindat.mff.cuni.cz/services/SynSemClass40/SynSemClass40.html?veclass=vec00552#vec00552-ces-cm00022", "vec00552")</f>
        <v>vec00552</v>
      </c>
      <c r="F70544" s="0" t="s">
        <v>5992</v>
      </c>
    </row>
    <row r="70545" customFormat="false" ht="12.8" hidden="false" customHeight="false" outlineLevel="0" collapsed="false">
      <c r="B70545" s="0" t="s">
        <v>1</v>
      </c>
      <c r="C70545" s="0" t="s">
        <v>239</v>
      </c>
      <c r="E70545" s="0" t="s">
        <v>31</v>
      </c>
      <c r="F70545" s="0" t="s">
        <v>5993</v>
      </c>
    </row>
    <row r="70546" customFormat="false" ht="12.8" hidden="false" customHeight="false" outlineLevel="0" collapsed="false">
      <c r="B70546" s="0" t="s">
        <v>8</v>
      </c>
      <c r="C70546" s="0" t="s">
        <v>5994</v>
      </c>
      <c r="E70546" s="0" t="s">
        <v>34</v>
      </c>
      <c r="F70546" s="0" t="s">
        <v>5995</v>
      </c>
    </row>
    <row r="70548" customFormat="false" ht="12.8" hidden="false" customHeight="false" outlineLevel="0" collapsed="false">
      <c r="A70548" s="0" t="s">
        <v>23028</v>
      </c>
      <c r="B70548" s="0" t="str">
        <f aca="false">HYPERLINK("https://lindat.mff.cuni.cz/services/teitok/pdtc10/index.php?action=vallex&amp;frame=v-w9683f1", "znečišťovat (v-w9683f1)")</f>
        <v>znečišťovat (v-w9683f1)</v>
      </c>
      <c r="E70548" s="0" t="str">
        <f aca="false">HYPERLINK("https://lindat.mff.cuni.cz/services/SynSemClass40/SynSemClass40.html?veclass=vec01182#vec01182-ces-cm00001", "vec01182")</f>
        <v>vec01182</v>
      </c>
      <c r="F70548" s="0" t="s">
        <v>1857</v>
      </c>
    </row>
    <row r="70549" customFormat="false" ht="12.8" hidden="false" customHeight="false" outlineLevel="0" collapsed="false">
      <c r="B70549" s="0" t="s">
        <v>1</v>
      </c>
      <c r="C70549" s="0" t="s">
        <v>447</v>
      </c>
      <c r="E70549" s="0" t="s">
        <v>76</v>
      </c>
      <c r="F70549" s="0" t="s">
        <v>1858</v>
      </c>
    </row>
    <row r="70550" customFormat="false" ht="12.8" hidden="false" customHeight="false" outlineLevel="0" collapsed="false">
      <c r="B70550" s="0" t="s">
        <v>8</v>
      </c>
      <c r="C70550" s="0" t="s">
        <v>531</v>
      </c>
      <c r="E70550" s="0" t="s">
        <v>142</v>
      </c>
      <c r="F70550" s="0" t="s">
        <v>1859</v>
      </c>
    </row>
    <row r="70552" customFormat="false" ht="12.8" hidden="false" customHeight="false" outlineLevel="0" collapsed="false">
      <c r="A70552" s="0" t="s">
        <v>23029</v>
      </c>
      <c r="B70552" s="0" t="str">
        <f aca="false">HYPERLINK("https://lindat.mff.cuni.cz/services/teitok/pdtc10/index.php?action=vallex&amp;frame=v-w9712f1", "zneškodnit (v-w9712f1)")</f>
        <v>zneškodnit (v-w9712f1)</v>
      </c>
      <c r="E70552" s="0" t="str">
        <f aca="false">HYPERLINK("https://lindat.mff.cuni.cz/services/SynSemClass40/SynSemClass40.html?veclass=vec00389#vec00389-ces-cm00059", "vec00389")</f>
        <v>vec00389</v>
      </c>
      <c r="F70552" s="0" t="s">
        <v>1888</v>
      </c>
    </row>
    <row r="70553" customFormat="false" ht="12.8" hidden="false" customHeight="false" outlineLevel="0" collapsed="false">
      <c r="B70553" s="0" t="s">
        <v>1</v>
      </c>
      <c r="C70553" s="0" t="s">
        <v>1889</v>
      </c>
      <c r="E70553" s="0" t="s">
        <v>1890</v>
      </c>
      <c r="F70553" s="0" t="s">
        <v>1891</v>
      </c>
    </row>
    <row r="70554" customFormat="false" ht="12.8" hidden="false" customHeight="false" outlineLevel="0" collapsed="false">
      <c r="B70554" s="0" t="s">
        <v>8</v>
      </c>
      <c r="C70554" s="0" t="s">
        <v>1892</v>
      </c>
      <c r="E70554" s="0" t="s">
        <v>1893</v>
      </c>
      <c r="F70554" s="0" t="s">
        <v>1894</v>
      </c>
    </row>
    <row r="70556" customFormat="false" ht="12.8" hidden="false" customHeight="false" outlineLevel="0" collapsed="false">
      <c r="A70556" s="0" t="s">
        <v>23030</v>
      </c>
      <c r="B70556" s="0" t="str">
        <f aca="false">HYPERLINK("https://lindat.mff.cuni.cz/services/teitok/pdtc10/index.php?action=vallex&amp;frame=v-w9730f1", "znivelizovat (v-w9730f1)")</f>
        <v>znivelizovat (v-w9730f1)</v>
      </c>
    </row>
    <row r="70557" customFormat="false" ht="12.8" hidden="false" customHeight="false" outlineLevel="0" collapsed="false">
      <c r="B70557" s="0" t="s">
        <v>1</v>
      </c>
    </row>
    <row r="70558" customFormat="false" ht="12.8" hidden="false" customHeight="false" outlineLevel="0" collapsed="false">
      <c r="B70558" s="0" t="s">
        <v>8</v>
      </c>
    </row>
    <row r="70560" customFormat="false" ht="12.8" hidden="false" customHeight="false" outlineLevel="0" collapsed="false">
      <c r="A70560" s="0" t="s">
        <v>23031</v>
      </c>
      <c r="B70560" s="0" t="str">
        <f aca="false">HYPERLINK("https://lindat.mff.cuni.cz/services/teitok/pdtc10/index.php?action=vallex&amp;frame=v-w9728f1", "zničit (v-w9728f1)")</f>
        <v>zničit (v-w9728f1)</v>
      </c>
      <c r="E70560" s="0" t="str">
        <f aca="false">HYPERLINK("https://lindat.mff.cuni.cz/services/SynSemClass40/SynSemClass40.html?veclass=vec00389#vec00389-ces-cm00001", "vec00389")</f>
        <v>vec00389</v>
      </c>
      <c r="F70560" s="0" t="s">
        <v>1888</v>
      </c>
    </row>
    <row r="70561" customFormat="false" ht="12.8" hidden="false" customHeight="false" outlineLevel="0" collapsed="false">
      <c r="B70561" s="0" t="s">
        <v>1</v>
      </c>
      <c r="C70561" s="0" t="s">
        <v>1889</v>
      </c>
      <c r="E70561" s="0" t="s">
        <v>1890</v>
      </c>
      <c r="F70561" s="0" t="s">
        <v>1891</v>
      </c>
    </row>
    <row r="70562" customFormat="false" ht="12.8" hidden="false" customHeight="false" outlineLevel="0" collapsed="false">
      <c r="B70562" s="0" t="s">
        <v>305</v>
      </c>
      <c r="C70562" s="0" t="s">
        <v>1892</v>
      </c>
      <c r="E70562" s="0" t="s">
        <v>1893</v>
      </c>
      <c r="F70562" s="0" t="s">
        <v>1894</v>
      </c>
    </row>
    <row r="70564" customFormat="false" ht="12.8" hidden="false" customHeight="false" outlineLevel="0" collapsed="false">
      <c r="A70564" s="0" t="s">
        <v>23032</v>
      </c>
      <c r="B70564" s="0" t="str">
        <f aca="false">HYPERLINK("https://lindat.mff.cuni.cz/services/teitok/pdtc10/index.php?action=vallex&amp;frame=v-w11650_ZUf1_ZU", "zničit se (v-w11650_ZUf1_ZU)")</f>
        <v>zničit se (v-w11650_ZUf1_ZU)</v>
      </c>
    </row>
    <row r="70565" customFormat="false" ht="12.8" hidden="false" customHeight="false" outlineLevel="0" collapsed="false">
      <c r="B70565" s="0" t="s">
        <v>1</v>
      </c>
    </row>
    <row r="70567" customFormat="false" ht="12.8" hidden="false" customHeight="false" outlineLevel="0" collapsed="false">
      <c r="A70567" s="0" t="s">
        <v>23033</v>
      </c>
      <c r="B70567" s="0" t="str">
        <f aca="false">HYPERLINK("https://lindat.mff.cuni.cz/services/teitok/pdtc10/index.php?action=vallex&amp;frame=v-w9731f1", "znormalizovat (v-w9731f1)")</f>
        <v>znormalizovat (v-w9731f1)</v>
      </c>
    </row>
    <row r="70568" customFormat="false" ht="12.8" hidden="false" customHeight="false" outlineLevel="0" collapsed="false">
      <c r="B70568" s="0" t="s">
        <v>1</v>
      </c>
    </row>
    <row r="70569" customFormat="false" ht="12.8" hidden="false" customHeight="false" outlineLevel="0" collapsed="false">
      <c r="B70569" s="0" t="s">
        <v>8</v>
      </c>
    </row>
    <row r="70571" customFormat="false" ht="12.8" hidden="false" customHeight="false" outlineLevel="0" collapsed="false">
      <c r="A70571" s="0" t="s">
        <v>23034</v>
      </c>
      <c r="B70571" s="0" t="str">
        <f aca="false">HYPERLINK("https://lindat.mff.cuni.cz/services/teitok/pdtc10/index.php?action=vallex&amp;frame=v-w9734f1", "znovuobjevit (v-w9734f1)")</f>
        <v>znovuobjevit (v-w9734f1)</v>
      </c>
    </row>
    <row r="70572" customFormat="false" ht="12.8" hidden="false" customHeight="false" outlineLevel="0" collapsed="false">
      <c r="B70572" s="0" t="s">
        <v>1</v>
      </c>
    </row>
    <row r="70573" customFormat="false" ht="12.8" hidden="false" customHeight="false" outlineLevel="0" collapsed="false">
      <c r="B70573" s="0" t="s">
        <v>228</v>
      </c>
    </row>
    <row r="70575" customFormat="false" ht="12.8" hidden="false" customHeight="false" outlineLevel="0" collapsed="false">
      <c r="A70575" s="0" t="s">
        <v>23035</v>
      </c>
      <c r="B70575" s="0" t="str">
        <f aca="false">HYPERLINK("https://lindat.mff.cuni.cz/services/teitok/pdtc10/index.php?action=vallex&amp;frame=v-w9735f1", "znovuobjevovat (v-w9735f1)")</f>
        <v>znovuobjevovat (v-w9735f1)</v>
      </c>
      <c r="E70575" s="0" t="str">
        <f aca="false">HYPERLINK("https://lindat.mff.cuni.cz/services/SynSemClass40/SynSemClass40.html?veclass=vec00233#vec00233-ces-cm00089", "vec00233")</f>
        <v>vec00233</v>
      </c>
      <c r="F70575" s="0" t="s">
        <v>1065</v>
      </c>
    </row>
    <row r="70576" customFormat="false" ht="12.8" hidden="false" customHeight="false" outlineLevel="0" collapsed="false">
      <c r="B70576" s="0" t="s">
        <v>1</v>
      </c>
      <c r="C70576" s="0" t="s">
        <v>7077</v>
      </c>
      <c r="E70576" s="0" t="s">
        <v>2263</v>
      </c>
      <c r="F70576" s="0" t="s">
        <v>7078</v>
      </c>
    </row>
    <row r="70577" customFormat="false" ht="12.8" hidden="false" customHeight="false" outlineLevel="0" collapsed="false">
      <c r="B70577" s="0" t="s">
        <v>228</v>
      </c>
      <c r="C70577" s="0" t="s">
        <v>7079</v>
      </c>
      <c r="E70577" s="0" t="s">
        <v>7080</v>
      </c>
      <c r="F70577" s="0" t="s">
        <v>7081</v>
      </c>
    </row>
    <row r="70579" customFormat="false" ht="12.8" hidden="false" customHeight="false" outlineLevel="0" collapsed="false">
      <c r="A70579" s="0" t="s">
        <v>23036</v>
      </c>
      <c r="B70579" s="0" t="str">
        <f aca="false">HYPERLINK("https://lindat.mff.cuni.cz/services/teitok/pdtc10/index.php?action=vallex&amp;frame=v-w11210f2", "znovuobnovit (v-w11210f2)")</f>
        <v>znovuobnovit (v-w11210f2)</v>
      </c>
    </row>
    <row r="70580" customFormat="false" ht="12.8" hidden="false" customHeight="false" outlineLevel="0" collapsed="false">
      <c r="B70580" s="0" t="s">
        <v>1</v>
      </c>
    </row>
    <row r="70581" customFormat="false" ht="12.8" hidden="false" customHeight="false" outlineLevel="0" collapsed="false">
      <c r="B70581" s="0" t="s">
        <v>8</v>
      </c>
    </row>
    <row r="70583" customFormat="false" ht="12.8" hidden="false" customHeight="false" outlineLevel="0" collapsed="false">
      <c r="A70583" s="0" t="s">
        <v>23037</v>
      </c>
      <c r="B70583" s="0" t="str">
        <f aca="false">HYPERLINK("https://lindat.mff.cuni.cz/services/teitok/pdtc10/index.php?action=vallex&amp;frame=v-w10537f2", "znovuotevřít (v-w10537f2)")</f>
        <v>znovuotevřít (v-w10537f2)</v>
      </c>
      <c r="E70583" s="0" t="str">
        <f aca="false">HYPERLINK("https://lindat.mff.cuni.cz/services/SynSemClass40/SynSemClass40.html?veclass=vec00246#vec00246-ces-cm00030", "vec00246")</f>
        <v>vec00246</v>
      </c>
      <c r="F70583" s="0" t="s">
        <v>8433</v>
      </c>
      <c r="H70583" s="0" t="str">
        <f aca="false">HYPERLINK("https://lindat.mff.cuni.cz/services/SynSemClass40/SynSemClass40.html?veclass=vec00465#vec00465-ces-cm00014", "vec00465")</f>
        <v>vec00465</v>
      </c>
      <c r="I70583" s="0" t="s">
        <v>8828</v>
      </c>
    </row>
    <row r="70584" customFormat="false" ht="12.8" hidden="false" customHeight="false" outlineLevel="0" collapsed="false">
      <c r="B70584" s="0" t="s">
        <v>1</v>
      </c>
      <c r="C70584" s="0" t="s">
        <v>23038</v>
      </c>
      <c r="E70584" s="0" t="s">
        <v>31</v>
      </c>
      <c r="F70584" s="0" t="s">
        <v>8435</v>
      </c>
      <c r="H70584" s="0" t="s">
        <v>31</v>
      </c>
      <c r="I70584" s="0" t="s">
        <v>8832</v>
      </c>
    </row>
    <row r="70585" customFormat="false" ht="12.8" hidden="false" customHeight="false" outlineLevel="0" collapsed="false">
      <c r="B70585" s="0" t="s">
        <v>8</v>
      </c>
      <c r="C70585" s="0" t="s">
        <v>13506</v>
      </c>
      <c r="E70585" s="0" t="s">
        <v>79</v>
      </c>
      <c r="F70585" s="0" t="s">
        <v>8437</v>
      </c>
      <c r="H70585" s="0" t="s">
        <v>8835</v>
      </c>
      <c r="I70585" s="0" t="s">
        <v>8836</v>
      </c>
    </row>
    <row r="70587" customFormat="false" ht="12.8" hidden="false" customHeight="false" outlineLevel="0" collapsed="false">
      <c r="A70587" s="0" t="s">
        <v>23039</v>
      </c>
      <c r="B70587" s="0" t="str">
        <f aca="false">HYPERLINK("https://lindat.mff.cuni.cz/services/teitok/pdtc10/index.php?action=vallex&amp;frame=v-w10982f3", "znovuzvolit (v-w10982f3)")</f>
        <v>znovuzvolit (v-w10982f3)</v>
      </c>
    </row>
    <row r="70588" customFormat="false" ht="12.8" hidden="false" customHeight="false" outlineLevel="0" collapsed="false">
      <c r="B70588" s="0" t="s">
        <v>1</v>
      </c>
    </row>
    <row r="70589" customFormat="false" ht="12.8" hidden="false" customHeight="false" outlineLevel="0" collapsed="false">
      <c r="B70589" s="0" t="s">
        <v>305</v>
      </c>
    </row>
    <row r="70590" customFormat="false" ht="12.8" hidden="false" customHeight="false" outlineLevel="0" collapsed="false">
      <c r="B70590" s="0" t="s">
        <v>15060</v>
      </c>
    </row>
    <row r="70592" customFormat="false" ht="12.8" hidden="false" customHeight="false" outlineLevel="0" collapsed="false">
      <c r="A70592" s="0" t="s">
        <v>23040</v>
      </c>
      <c r="B70592" s="0" t="str">
        <f aca="false">HYPERLINK("https://lindat.mff.cuni.cz/services/teitok/pdtc10/index.php?action=vallex&amp;frame=v-w9664f1", "známkovat (v-w9664f1)")</f>
        <v>známkovat (v-w9664f1)</v>
      </c>
    </row>
    <row r="70593" customFormat="false" ht="12.8" hidden="false" customHeight="false" outlineLevel="0" collapsed="false">
      <c r="B70593" s="0" t="s">
        <v>1</v>
      </c>
    </row>
    <row r="70594" customFormat="false" ht="12.8" hidden="false" customHeight="false" outlineLevel="0" collapsed="false">
      <c r="B70594" s="0" t="s">
        <v>8</v>
      </c>
    </row>
    <row r="70596" customFormat="false" ht="12.8" hidden="false" customHeight="false" outlineLevel="0" collapsed="false">
      <c r="A70596" s="0" t="s">
        <v>23041</v>
      </c>
      <c r="B70596" s="0" t="str">
        <f aca="false">HYPERLINK("https://lindat.mff.cuni.cz/services/teitok/pdtc10/index.php?action=vallex&amp;frame=v-w9668f1", "znárodnit (v-w9668f1)")</f>
        <v>znárodnit (v-w9668f1)</v>
      </c>
      <c r="E70596" s="0" t="str">
        <f aca="false">HYPERLINK("https://lindat.mff.cuni.cz/services/SynSemClass40/SynSemClass40.html?veclass=vec01178#vec01178-ces-cm00001", "vec01178")</f>
        <v>vec01178</v>
      </c>
      <c r="F70596" s="0" t="s">
        <v>22643</v>
      </c>
    </row>
    <row r="70597" customFormat="false" ht="12.8" hidden="false" customHeight="false" outlineLevel="0" collapsed="false">
      <c r="B70597" s="0" t="s">
        <v>1</v>
      </c>
      <c r="C70597" s="0" t="s">
        <v>512</v>
      </c>
      <c r="E70597" s="0" t="s">
        <v>31</v>
      </c>
      <c r="F70597" s="0" t="s">
        <v>513</v>
      </c>
    </row>
    <row r="70598" customFormat="false" ht="12.8" hidden="false" customHeight="false" outlineLevel="0" collapsed="false">
      <c r="B70598" s="0" t="s">
        <v>8</v>
      </c>
      <c r="C70598" s="0" t="s">
        <v>800</v>
      </c>
      <c r="E70598" s="0" t="s">
        <v>5521</v>
      </c>
      <c r="F70598" s="0" t="s">
        <v>22644</v>
      </c>
    </row>
    <row r="70600" customFormat="false" ht="12.8" hidden="false" customHeight="false" outlineLevel="0" collapsed="false">
      <c r="A70600" s="0" t="s">
        <v>23042</v>
      </c>
      <c r="B70600" s="0" t="str">
        <f aca="false">HYPERLINK("https://lindat.mff.cuni.cz/services/teitok/pdtc10/index.php?action=vallex&amp;frame=v-w9670f1", "znárodňovat (v-w9670f1)")</f>
        <v>znárodňovat (v-w9670f1)</v>
      </c>
      <c r="E70600" s="0" t="str">
        <f aca="false">HYPERLINK("https://lindat.mff.cuni.cz/services/SynSemClass40/SynSemClass40.html?veclass=vec01178#vec01178-ces-cm00002", "vec01178")</f>
        <v>vec01178</v>
      </c>
      <c r="F70600" s="0" t="s">
        <v>22643</v>
      </c>
    </row>
    <row r="70601" customFormat="false" ht="12.8" hidden="false" customHeight="false" outlineLevel="0" collapsed="false">
      <c r="B70601" s="0" t="s">
        <v>1</v>
      </c>
      <c r="C70601" s="0" t="s">
        <v>512</v>
      </c>
      <c r="E70601" s="0" t="s">
        <v>31</v>
      </c>
      <c r="F70601" s="0" t="s">
        <v>513</v>
      </c>
    </row>
    <row r="70602" customFormat="false" ht="12.8" hidden="false" customHeight="false" outlineLevel="0" collapsed="false">
      <c r="B70602" s="0" t="s">
        <v>8</v>
      </c>
      <c r="C70602" s="0" t="s">
        <v>800</v>
      </c>
      <c r="E70602" s="0" t="s">
        <v>5521</v>
      </c>
      <c r="F70602" s="0" t="s">
        <v>22644</v>
      </c>
    </row>
    <row r="70604" customFormat="false" ht="12.8" hidden="false" customHeight="false" outlineLevel="0" collapsed="false">
      <c r="A70604" s="0" t="s">
        <v>23043</v>
      </c>
      <c r="B70604" s="0" t="str">
        <f aca="false">HYPERLINK("https://lindat.mff.cuni.cz/services/teitok/pdtc10/index.php?action=vallex&amp;frame=v-w9672f1", "znásilnit (v-w9672f1)")</f>
        <v>znásilnit (v-w9672f1)</v>
      </c>
      <c r="E70604" s="0" t="str">
        <f aca="false">HYPERLINK("https://lindat.mff.cuni.cz/services/SynSemClass40/SynSemClass40.html?veclass=vec00372#vec00372-ces-cm00106", "vec00372")</f>
        <v>vec00372</v>
      </c>
      <c r="F70604" s="0" t="s">
        <v>2524</v>
      </c>
    </row>
    <row r="70605" customFormat="false" ht="12.8" hidden="false" customHeight="false" outlineLevel="0" collapsed="false">
      <c r="B70605" s="0" t="s">
        <v>1</v>
      </c>
      <c r="C70605" s="0" t="s">
        <v>2525</v>
      </c>
      <c r="E70605" s="0" t="s">
        <v>2526</v>
      </c>
      <c r="F70605" s="0" t="s">
        <v>2527</v>
      </c>
    </row>
    <row r="70606" customFormat="false" ht="12.8" hidden="false" customHeight="false" outlineLevel="0" collapsed="false">
      <c r="B70606" s="0" t="s">
        <v>8</v>
      </c>
      <c r="C70606" s="0" t="s">
        <v>2528</v>
      </c>
      <c r="E70606" s="0" t="s">
        <v>142</v>
      </c>
      <c r="F70606" s="0" t="s">
        <v>2529</v>
      </c>
    </row>
    <row r="70608" customFormat="false" ht="12.8" hidden="false" customHeight="false" outlineLevel="0" collapsed="false">
      <c r="A70608" s="0" t="s">
        <v>23044</v>
      </c>
      <c r="B70608" s="0" t="str">
        <f aca="false">HYPERLINK("https://lindat.mff.cuni.cz/services/teitok/pdtc10/index.php?action=vallex&amp;frame=v-w9672f2", "znásilnit (v-w9672f2)")</f>
        <v>znásilnit (v-w9672f2)</v>
      </c>
      <c r="E70608" s="0" t="str">
        <f aca="false">HYPERLINK("https://lindat.mff.cuni.cz/services/SynSemClass40/SynSemClass40.html?veclass=vec01180#vec01180-ces-cm00001", "vec01180")</f>
        <v>vec01180</v>
      </c>
      <c r="F70608" s="0" t="s">
        <v>23045</v>
      </c>
    </row>
    <row r="70609" customFormat="false" ht="12.8" hidden="false" customHeight="false" outlineLevel="0" collapsed="false">
      <c r="B70609" s="0" t="s">
        <v>1</v>
      </c>
      <c r="C70609" s="0" t="s">
        <v>447</v>
      </c>
      <c r="E70609" s="0" t="s">
        <v>1573</v>
      </c>
      <c r="F70609" s="0" t="s">
        <v>23046</v>
      </c>
    </row>
    <row r="70610" customFormat="false" ht="12.8" hidden="false" customHeight="false" outlineLevel="0" collapsed="false">
      <c r="B70610" s="0" t="s">
        <v>8</v>
      </c>
      <c r="C70610" s="0" t="s">
        <v>1940</v>
      </c>
      <c r="E70610" s="0" t="s">
        <v>199</v>
      </c>
      <c r="F70610" s="0" t="s">
        <v>23047</v>
      </c>
    </row>
    <row r="70612" customFormat="false" ht="12.8" hidden="false" customHeight="false" outlineLevel="0" collapsed="false">
      <c r="A70612" s="0" t="s">
        <v>23048</v>
      </c>
      <c r="B70612" s="0" t="str">
        <f aca="false">HYPERLINK("https://lindat.mff.cuni.cz/services/teitok/pdtc10/index.php?action=vallex&amp;frame=v-w9673f1", "znásilňovat (v-w9673f1)")</f>
        <v>znásilňovat (v-w9673f1)</v>
      </c>
      <c r="E70612" s="0" t="str">
        <f aca="false">HYPERLINK("https://lindat.mff.cuni.cz/services/SynSemClass40/SynSemClass40.html?veclass=vec01180#vec01180-ces-cm00004", "vec01180")</f>
        <v>vec01180</v>
      </c>
      <c r="F70612" s="0" t="s">
        <v>23045</v>
      </c>
    </row>
    <row r="70613" customFormat="false" ht="12.8" hidden="false" customHeight="false" outlineLevel="0" collapsed="false">
      <c r="B70613" s="0" t="s">
        <v>1</v>
      </c>
      <c r="C70613" s="0" t="s">
        <v>447</v>
      </c>
      <c r="E70613" s="0" t="s">
        <v>1573</v>
      </c>
      <c r="F70613" s="0" t="s">
        <v>23046</v>
      </c>
    </row>
    <row r="70614" customFormat="false" ht="12.8" hidden="false" customHeight="false" outlineLevel="0" collapsed="false">
      <c r="B70614" s="0" t="s">
        <v>8</v>
      </c>
      <c r="C70614" s="0" t="s">
        <v>1940</v>
      </c>
      <c r="E70614" s="0" t="s">
        <v>199</v>
      </c>
      <c r="F70614" s="0" t="s">
        <v>23047</v>
      </c>
    </row>
    <row r="70616" customFormat="false" ht="12.8" hidden="false" customHeight="false" outlineLevel="0" collapsed="false">
      <c r="A70616" s="0" t="s">
        <v>23049</v>
      </c>
      <c r="B70616" s="0" t="str">
        <f aca="false">HYPERLINK("https://lindat.mff.cuni.cz/services/teitok/pdtc10/index.php?action=vallex&amp;frame=v-w9673f3", "znásilňovat (v-w9673f3)")</f>
        <v>znásilňovat (v-w9673f3)</v>
      </c>
      <c r="E70616" s="0" t="str">
        <f aca="false">HYPERLINK("https://lindat.mff.cuni.cz/services/SynSemClass40/SynSemClass40.html?veclass=vec00372#vec00372-ces-cm00122", "vec00372")</f>
        <v>vec00372</v>
      </c>
      <c r="F70616" s="0" t="s">
        <v>2524</v>
      </c>
    </row>
    <row r="70617" customFormat="false" ht="12.8" hidden="false" customHeight="false" outlineLevel="0" collapsed="false">
      <c r="B70617" s="0" t="s">
        <v>1</v>
      </c>
      <c r="C70617" s="0" t="s">
        <v>2525</v>
      </c>
      <c r="E70617" s="0" t="s">
        <v>2526</v>
      </c>
      <c r="F70617" s="0" t="s">
        <v>2527</v>
      </c>
    </row>
    <row r="70618" customFormat="false" ht="12.8" hidden="false" customHeight="false" outlineLevel="0" collapsed="false">
      <c r="B70618" s="0" t="s">
        <v>8</v>
      </c>
      <c r="C70618" s="0" t="s">
        <v>2528</v>
      </c>
      <c r="E70618" s="0" t="s">
        <v>142</v>
      </c>
      <c r="F70618" s="0" t="s">
        <v>2529</v>
      </c>
    </row>
    <row r="70620" customFormat="false" ht="12.8" hidden="false" customHeight="false" outlineLevel="0" collapsed="false">
      <c r="A70620" s="0" t="s">
        <v>23050</v>
      </c>
      <c r="B70620" s="0" t="str">
        <f aca="false">HYPERLINK("https://lindat.mff.cuni.cz/services/teitok/pdtc10/index.php?action=vallex&amp;frame=v-w9674f2_ZU", "znásobit (v-w9674f2_ZU)")</f>
        <v>znásobit (v-w9674f2_ZU)</v>
      </c>
      <c r="E70620" s="0" t="str">
        <f aca="false">HYPERLINK("https://lindat.mff.cuni.cz/services/SynSemClass40/SynSemClass40.html?veclass=vec00298#vec00298-ces-cm00042", "vec00298")</f>
        <v>vec00298</v>
      </c>
      <c r="F70620" s="0" t="s">
        <v>7194</v>
      </c>
    </row>
    <row r="70621" customFormat="false" ht="12.8" hidden="false" customHeight="false" outlineLevel="0" collapsed="false">
      <c r="B70621" s="0" t="s">
        <v>1</v>
      </c>
      <c r="C70621" s="0" t="s">
        <v>7195</v>
      </c>
      <c r="E70621" s="0" t="s">
        <v>31</v>
      </c>
      <c r="F70621" s="0" t="s">
        <v>7196</v>
      </c>
    </row>
    <row r="70622" customFormat="false" ht="12.8" hidden="false" customHeight="false" outlineLevel="0" collapsed="false">
      <c r="B70622" s="0" t="s">
        <v>8</v>
      </c>
      <c r="C70622" s="0" t="s">
        <v>7197</v>
      </c>
      <c r="E70622" s="0" t="s">
        <v>1569</v>
      </c>
      <c r="F70622" s="0" t="s">
        <v>7198</v>
      </c>
    </row>
    <row r="70623" customFormat="false" ht="12.8" hidden="false" customHeight="false" outlineLevel="0" collapsed="false">
      <c r="B70623" s="0" t="s">
        <v>36</v>
      </c>
      <c r="C70623" s="0" t="s">
        <v>7199</v>
      </c>
      <c r="E70623" s="0" t="s">
        <v>5152</v>
      </c>
      <c r="F70623" s="0" t="s">
        <v>7200</v>
      </c>
    </row>
    <row r="70624" customFormat="false" ht="12.8" hidden="false" customHeight="false" outlineLevel="0" collapsed="false">
      <c r="B70624" s="0" t="s">
        <v>101</v>
      </c>
      <c r="C70624" s="0" t="s">
        <v>7201</v>
      </c>
      <c r="E70624" s="0" t="s">
        <v>5796</v>
      </c>
      <c r="F70624" s="0" t="s">
        <v>7202</v>
      </c>
    </row>
    <row r="70626" customFormat="false" ht="12.8" hidden="false" customHeight="false" outlineLevel="0" collapsed="false">
      <c r="A70626" s="0" t="s">
        <v>23051</v>
      </c>
      <c r="B70626" s="0" t="str">
        <f aca="false">HYPERLINK("https://lindat.mff.cuni.cz/services/teitok/pdtc10/index.php?action=vallex&amp;frame=v-w9674f1", "znásobit (v-w9674f1)")</f>
        <v>znásobit (v-w9674f1)</v>
      </c>
      <c r="E70626" s="0" t="str">
        <f aca="false">HYPERLINK("https://lindat.mff.cuni.cz/services/SynSemClass40/SynSemClass40.html?veclass=vec01181#vec01181-ces-cm00004", "vec01181")</f>
        <v>vec01181</v>
      </c>
      <c r="F70626" s="0" t="s">
        <v>8253</v>
      </c>
    </row>
    <row r="70627" customFormat="false" ht="12.8" hidden="false" customHeight="false" outlineLevel="0" collapsed="false">
      <c r="B70627" s="0" t="s">
        <v>1</v>
      </c>
      <c r="C70627" s="0" t="s">
        <v>5344</v>
      </c>
      <c r="E70627" s="0" t="s">
        <v>235</v>
      </c>
      <c r="F70627" s="0" t="s">
        <v>8254</v>
      </c>
    </row>
    <row r="70628" customFormat="false" ht="12.8" hidden="false" customHeight="false" outlineLevel="0" collapsed="false">
      <c r="B70628" s="0" t="s">
        <v>8</v>
      </c>
      <c r="C70628" s="0" t="s">
        <v>462</v>
      </c>
      <c r="E70628" s="0" t="s">
        <v>1569</v>
      </c>
      <c r="F70628" s="0" t="s">
        <v>7851</v>
      </c>
    </row>
    <row r="70630" customFormat="false" ht="12.8" hidden="false" customHeight="false" outlineLevel="0" collapsed="false">
      <c r="A70630" s="0" t="s">
        <v>23052</v>
      </c>
      <c r="B70630" s="0" t="str">
        <f aca="false">HYPERLINK("https://lindat.mff.cuni.cz/services/teitok/pdtc10/index.php?action=vallex&amp;frame=v-w11675_ZUf1_ZU", "znásobit se (v-w11675_ZUf1_ZU)")</f>
        <v>znásobit se (v-w11675_ZUf1_ZU)</v>
      </c>
      <c r="E70630" s="0" t="str">
        <f aca="false">HYPERLINK("https://lindat.mff.cuni.cz/services/SynSemClass40/SynSemClass40.html?veclass=vec01181#vec01181-ces-cm00001", "vec01181")</f>
        <v>vec01181</v>
      </c>
      <c r="F70630" s="0" t="s">
        <v>8253</v>
      </c>
    </row>
    <row r="70631" customFormat="false" ht="12.8" hidden="false" customHeight="false" outlineLevel="0" collapsed="false">
      <c r="B70631" s="0" t="s">
        <v>1</v>
      </c>
      <c r="C70631" s="0" t="s">
        <v>5344</v>
      </c>
      <c r="E70631" s="0" t="s">
        <v>235</v>
      </c>
      <c r="F70631" s="0" t="s">
        <v>8254</v>
      </c>
    </row>
    <row r="70632" customFormat="false" ht="12.8" hidden="false" customHeight="false" outlineLevel="0" collapsed="false">
      <c r="B70632" s="0" t="s">
        <v>69</v>
      </c>
      <c r="E70632" s="0" t="s">
        <v>1592</v>
      </c>
      <c r="F70632" s="0" t="s">
        <v>1593</v>
      </c>
    </row>
    <row r="70633" customFormat="false" ht="12.8" hidden="false" customHeight="false" outlineLevel="0" collapsed="false">
      <c r="B70633" s="0" t="s">
        <v>36</v>
      </c>
      <c r="E70633" s="0" t="s">
        <v>38</v>
      </c>
      <c r="F70633" s="0" t="s">
        <v>8255</v>
      </c>
    </row>
    <row r="70635" customFormat="false" ht="12.8" hidden="false" customHeight="false" outlineLevel="0" collapsed="false">
      <c r="A70635" s="0" t="s">
        <v>23053</v>
      </c>
      <c r="B70635" s="0" t="str">
        <f aca="false">HYPERLINK("https://lindat.mff.cuni.cz/services/teitok/pdtc10/index.php?action=vallex&amp;frame=v-w10409f2", "znásobovat (v-w10409f2)")</f>
        <v>znásobovat (v-w10409f2)</v>
      </c>
      <c r="E70635" s="0" t="str">
        <f aca="false">HYPERLINK("https://lindat.mff.cuni.cz/services/SynSemClass40/SynSemClass40.html?veclass=vec00187#vec00187-ces-cm00012", "vec00187")</f>
        <v>vec00187</v>
      </c>
      <c r="F70635" s="0" t="s">
        <v>8246</v>
      </c>
    </row>
    <row r="70636" customFormat="false" ht="12.8" hidden="false" customHeight="false" outlineLevel="0" collapsed="false">
      <c r="B70636" s="0" t="s">
        <v>1</v>
      </c>
      <c r="C70636" s="0" t="s">
        <v>8247</v>
      </c>
      <c r="E70636" s="0" t="s">
        <v>31</v>
      </c>
      <c r="F70636" s="0" t="s">
        <v>8248</v>
      </c>
    </row>
    <row r="70637" customFormat="false" ht="12.8" hidden="false" customHeight="false" outlineLevel="0" collapsed="false">
      <c r="B70637" s="0" t="s">
        <v>8</v>
      </c>
      <c r="C70637" s="0" t="s">
        <v>8249</v>
      </c>
      <c r="E70637" s="0" t="s">
        <v>1569</v>
      </c>
      <c r="F70637" s="0" t="s">
        <v>8250</v>
      </c>
    </row>
    <row r="70639" customFormat="false" ht="12.8" hidden="false" customHeight="false" outlineLevel="0" collapsed="false">
      <c r="A70639" s="0" t="s">
        <v>23054</v>
      </c>
      <c r="B70639" s="0" t="str">
        <f aca="false">HYPERLINK("https://lindat.mff.cuni.cz/services/teitok/pdtc10/index.php?action=vallex&amp;frame=v-whsa_921hsa_922", "znásobovat se (v-whsa_921hsa_922)")</f>
        <v>znásobovat se (v-whsa_921hsa_922)</v>
      </c>
      <c r="E70639" s="0" t="str">
        <f aca="false">HYPERLINK("https://lindat.mff.cuni.cz/services/SynSemClass40/SynSemClass40.html?veclass=vec01181#vec01181-ces-cm00003", "vec01181")</f>
        <v>vec01181</v>
      </c>
      <c r="F70639" s="0" t="s">
        <v>8253</v>
      </c>
    </row>
    <row r="70640" customFormat="false" ht="12.8" hidden="false" customHeight="false" outlineLevel="0" collapsed="false">
      <c r="B70640" s="0" t="s">
        <v>1</v>
      </c>
      <c r="C70640" s="0" t="s">
        <v>5344</v>
      </c>
      <c r="E70640" s="0" t="s">
        <v>235</v>
      </c>
      <c r="F70640" s="0" t="s">
        <v>8254</v>
      </c>
    </row>
    <row r="70641" customFormat="false" ht="12.8" hidden="false" customHeight="false" outlineLevel="0" collapsed="false">
      <c r="B70641" s="0" t="s">
        <v>69</v>
      </c>
      <c r="E70641" s="0" t="s">
        <v>1592</v>
      </c>
      <c r="F70641" s="0" t="s">
        <v>1593</v>
      </c>
    </row>
    <row r="70642" customFormat="false" ht="12.8" hidden="false" customHeight="false" outlineLevel="0" collapsed="false">
      <c r="B70642" s="0" t="s">
        <v>36</v>
      </c>
      <c r="E70642" s="0" t="s">
        <v>38</v>
      </c>
      <c r="F70642" s="0" t="s">
        <v>8255</v>
      </c>
    </row>
    <row r="70644" customFormat="false" ht="12.8" hidden="false" customHeight="false" outlineLevel="0" collapsed="false">
      <c r="A70644" s="0" t="s">
        <v>23055</v>
      </c>
      <c r="B70644" s="0" t="str">
        <f aca="false">HYPERLINK("https://lindat.mff.cuni.cz/services/teitok/pdtc10/index.php?action=vallex&amp;frame=v-w9675f1", "znát (v-w9675f1)")</f>
        <v>znát (v-w9675f1)</v>
      </c>
      <c r="E70644" s="0" t="str">
        <f aca="false">HYPERLINK("https://lindat.mff.cuni.cz/services/SynSemClass40/SynSemClass40.html?veclass=vec00013#vec00013-ces-cm00126", "vec00013")</f>
        <v>vec00013</v>
      </c>
      <c r="F70644" s="0" t="s">
        <v>2742</v>
      </c>
    </row>
    <row r="70645" customFormat="false" ht="12.8" hidden="false" customHeight="false" outlineLevel="0" collapsed="false">
      <c r="B70645" s="0" t="s">
        <v>1</v>
      </c>
      <c r="C70645" s="0" t="s">
        <v>2743</v>
      </c>
      <c r="E70645" s="0" t="s">
        <v>621</v>
      </c>
      <c r="F70645" s="0" t="s">
        <v>2744</v>
      </c>
    </row>
    <row r="70646" customFormat="false" ht="12.8" hidden="false" customHeight="false" outlineLevel="0" collapsed="false">
      <c r="B70646" s="0" t="s">
        <v>8</v>
      </c>
      <c r="C70646" s="0" t="s">
        <v>2748</v>
      </c>
      <c r="E70646" s="0" t="s">
        <v>218</v>
      </c>
      <c r="F70646" s="0" t="s">
        <v>2749</v>
      </c>
    </row>
    <row r="70647" customFormat="false" ht="12.8" hidden="false" customHeight="false" outlineLevel="0" collapsed="false">
      <c r="B70647" s="0" t="s">
        <v>1633</v>
      </c>
      <c r="C70647" s="0" t="s">
        <v>2750</v>
      </c>
      <c r="E70647" s="0" t="s">
        <v>2176</v>
      </c>
      <c r="F70647" s="0" t="s">
        <v>2751</v>
      </c>
    </row>
    <row r="70649" customFormat="false" ht="12.8" hidden="false" customHeight="false" outlineLevel="0" collapsed="false">
      <c r="A70649" s="0" t="s">
        <v>23056</v>
      </c>
      <c r="B70649" s="0" t="str">
        <f aca="false">HYPERLINK("https://lindat.mff.cuni.cz/services/teitok/pdtc10/index.php?action=vallex&amp;frame=v-w9675f6", "znát (v-w9675f6)")</f>
        <v>znát (v-w9675f6)</v>
      </c>
      <c r="E70649" s="0" t="str">
        <f aca="false">HYPERLINK("https://lindat.mff.cuni.cz/services/SynSemClass40/SynSemClass40.html?veclass=vec00013#vec00013-ces-cm00129", "vec00013")</f>
        <v>vec00013</v>
      </c>
      <c r="F70649" s="0" t="s">
        <v>2742</v>
      </c>
    </row>
    <row r="70650" customFormat="false" ht="12.8" hidden="false" customHeight="false" outlineLevel="0" collapsed="false">
      <c r="B70650" s="0" t="s">
        <v>1</v>
      </c>
      <c r="C70650" s="0" t="s">
        <v>2743</v>
      </c>
      <c r="E70650" s="0" t="s">
        <v>621</v>
      </c>
      <c r="F70650" s="0" t="s">
        <v>2744</v>
      </c>
    </row>
    <row r="70651" customFormat="false" ht="12.8" hidden="false" customHeight="false" outlineLevel="0" collapsed="false">
      <c r="B70651" s="0" t="s">
        <v>45</v>
      </c>
      <c r="C70651" s="0" t="s">
        <v>2748</v>
      </c>
      <c r="E70651" s="0" t="s">
        <v>218</v>
      </c>
      <c r="F70651" s="0" t="s">
        <v>2749</v>
      </c>
    </row>
    <row r="70652" customFormat="false" ht="12.8" hidden="false" customHeight="false" outlineLevel="0" collapsed="false">
      <c r="B70652" s="0" t="s">
        <v>2382</v>
      </c>
      <c r="C70652" s="0" t="s">
        <v>2746</v>
      </c>
      <c r="E70652" s="0" t="s">
        <v>2217</v>
      </c>
      <c r="F70652" s="0" t="s">
        <v>2747</v>
      </c>
    </row>
    <row r="70653" customFormat="false" ht="12.8" hidden="false" customHeight="false" outlineLevel="0" collapsed="false">
      <c r="B70653" s="0" t="s">
        <v>1633</v>
      </c>
      <c r="C70653" s="0" t="s">
        <v>2750</v>
      </c>
      <c r="E70653" s="0" t="s">
        <v>2176</v>
      </c>
      <c r="F70653" s="0" t="s">
        <v>2751</v>
      </c>
    </row>
    <row r="70655" customFormat="false" ht="12.8" hidden="false" customHeight="false" outlineLevel="0" collapsed="false">
      <c r="A70655" s="0" t="s">
        <v>23057</v>
      </c>
      <c r="B70655" s="0" t="str">
        <f aca="false">HYPERLINK("https://lindat.mff.cuni.cz/services/teitok/pdtc10/index.php?action=vallex&amp;frame=v-w9675f4", "znát (v-w9675f4)")</f>
        <v>znát (v-w9675f4)</v>
      </c>
    </row>
    <row r="70656" customFormat="false" ht="12.8" hidden="false" customHeight="false" outlineLevel="0" collapsed="false">
      <c r="B70656" s="0" t="s">
        <v>1</v>
      </c>
    </row>
    <row r="70657" customFormat="false" ht="12.8" hidden="false" customHeight="false" outlineLevel="0" collapsed="false">
      <c r="B70657" s="0" t="s">
        <v>8</v>
      </c>
    </row>
    <row r="70658" customFormat="false" ht="12.8" hidden="false" customHeight="false" outlineLevel="0" collapsed="false">
      <c r="B70658" s="0" t="s">
        <v>1640</v>
      </c>
    </row>
    <row r="70660" customFormat="false" ht="12.8" hidden="false" customHeight="false" outlineLevel="0" collapsed="false">
      <c r="A70660" s="0" t="s">
        <v>23058</v>
      </c>
      <c r="B70660" s="0" t="str">
        <f aca="false">HYPERLINK("https://lindat.mff.cuni.cz/services/teitok/pdtc10/index.php?action=vallex&amp;frame=v-w9675f3", "znát (v-w9675f3)")</f>
        <v>znát (v-w9675f3)</v>
      </c>
    </row>
    <row r="70661" customFormat="false" ht="12.8" hidden="false" customHeight="false" outlineLevel="0" collapsed="false">
      <c r="B70661" s="0" t="s">
        <v>1</v>
      </c>
    </row>
    <row r="70662" customFormat="false" ht="12.8" hidden="false" customHeight="false" outlineLevel="0" collapsed="false">
      <c r="B70662" s="0" t="s">
        <v>721</v>
      </c>
    </row>
    <row r="70663" customFormat="false" ht="12.8" hidden="false" customHeight="false" outlineLevel="0" collapsed="false">
      <c r="B70663" s="0" t="s">
        <v>1502</v>
      </c>
    </row>
    <row r="70665" customFormat="false" ht="12.8" hidden="false" customHeight="false" outlineLevel="0" collapsed="false">
      <c r="A70665" s="0" t="s">
        <v>23059</v>
      </c>
      <c r="B70665" s="0" t="str">
        <f aca="false">HYPERLINK("https://lindat.mff.cuni.cz/services/teitok/pdtc10/index.php?action=vallex&amp;frame=v-w9675f2", "znát (v-w9675f2)")</f>
        <v>znát (v-w9675f2)</v>
      </c>
      <c r="E70665" s="0" t="str">
        <f aca="false">HYPERLINK("https://lindat.mff.cuni.cz/services/SynSemClass40/SynSemClass40.html?veclass=vec00195#vec00195-ces-cm00001", "vec00195")</f>
        <v>vec00195</v>
      </c>
      <c r="F70665" s="0" t="s">
        <v>23060</v>
      </c>
    </row>
    <row r="70666" customFormat="false" ht="12.8" hidden="false" customHeight="false" outlineLevel="0" collapsed="false">
      <c r="B70666" s="0" t="s">
        <v>16752</v>
      </c>
      <c r="E70666" s="0" t="s">
        <v>621</v>
      </c>
      <c r="F70666" s="0" t="s">
        <v>4213</v>
      </c>
    </row>
    <row r="70667" customFormat="false" ht="12.8" hidden="false" customHeight="false" outlineLevel="0" collapsed="false">
      <c r="B70667" s="0" t="s">
        <v>8</v>
      </c>
      <c r="E70667" s="0" t="s">
        <v>34</v>
      </c>
      <c r="F70667" s="0" t="s">
        <v>2022</v>
      </c>
    </row>
    <row r="70669" customFormat="false" ht="12.8" hidden="false" customHeight="false" outlineLevel="0" collapsed="false">
      <c r="A70669" s="0" t="s">
        <v>23061</v>
      </c>
      <c r="B70669" s="0" t="str">
        <f aca="false">HYPERLINK("https://lindat.mff.cuni.cz/services/teitok/pdtc10/index.php?action=vallex&amp;frame=v-w9675f5", "znát (v-w9675f5)")</f>
        <v>znát (v-w9675f5)</v>
      </c>
      <c r="E70669" s="0" t="str">
        <f aca="false">HYPERLINK("https://lindat.mff.cuni.cz/services/SynSemClass40/SynSemClass40.html?veclass=vec00013#vec00013-ces-cm00128", "vec00013")</f>
        <v>vec00013</v>
      </c>
      <c r="F70669" s="0" t="s">
        <v>2742</v>
      </c>
    </row>
    <row r="70670" customFormat="false" ht="12.8" hidden="false" customHeight="false" outlineLevel="0" collapsed="false">
      <c r="B70670" s="0" t="s">
        <v>1</v>
      </c>
      <c r="C70670" s="0" t="s">
        <v>2743</v>
      </c>
      <c r="E70670" s="0" t="s">
        <v>621</v>
      </c>
      <c r="F70670" s="0" t="s">
        <v>2744</v>
      </c>
    </row>
    <row r="70671" customFormat="false" ht="12.8" hidden="false" customHeight="false" outlineLevel="0" collapsed="false">
      <c r="B70671" s="0" t="s">
        <v>21074</v>
      </c>
      <c r="C70671" s="0" t="s">
        <v>2746</v>
      </c>
      <c r="E70671" s="0" t="s">
        <v>2217</v>
      </c>
      <c r="F70671" s="0" t="s">
        <v>2747</v>
      </c>
    </row>
    <row r="70672" customFormat="false" ht="12.8" hidden="false" customHeight="false" outlineLevel="0" collapsed="false">
      <c r="B70672" s="0" t="s">
        <v>496</v>
      </c>
      <c r="C70672" s="0" t="s">
        <v>2748</v>
      </c>
      <c r="E70672" s="0" t="s">
        <v>218</v>
      </c>
      <c r="F70672" s="0" t="s">
        <v>2749</v>
      </c>
    </row>
    <row r="70673" customFormat="false" ht="12.8" hidden="false" customHeight="false" outlineLevel="0" collapsed="false">
      <c r="B70673" s="0" t="s">
        <v>1633</v>
      </c>
      <c r="C70673" s="0" t="s">
        <v>2750</v>
      </c>
      <c r="E70673" s="0" t="s">
        <v>2176</v>
      </c>
      <c r="F70673" s="0" t="s">
        <v>2751</v>
      </c>
    </row>
    <row r="70675" customFormat="false" ht="12.8" hidden="false" customHeight="false" outlineLevel="0" collapsed="false">
      <c r="A70675" s="0" t="s">
        <v>23062</v>
      </c>
      <c r="B70675" s="0" t="str">
        <f aca="false">HYPERLINK("https://lindat.mff.cuni.cz/services/teitok/pdtc10/index.php?action=vallex&amp;frame=v-w9676f1", "znát se (v-w9676f1)")</f>
        <v>znát se (v-w9676f1)</v>
      </c>
    </row>
    <row r="70676" customFormat="false" ht="12.8" hidden="false" customHeight="false" outlineLevel="0" collapsed="false">
      <c r="B70676" s="0" t="s">
        <v>1</v>
      </c>
    </row>
    <row r="70677" customFormat="false" ht="12.8" hidden="false" customHeight="false" outlineLevel="0" collapsed="false">
      <c r="B70677" s="0" t="s">
        <v>311</v>
      </c>
    </row>
    <row r="70679" customFormat="false" ht="12.8" hidden="false" customHeight="false" outlineLevel="0" collapsed="false">
      <c r="A70679" s="0" t="s">
        <v>23063</v>
      </c>
      <c r="B70679" s="0" t="str">
        <f aca="false">HYPERLINK("https://lindat.mff.cuni.cz/services/teitok/pdtc10/index.php?action=vallex&amp;frame=v-w9676hsa_167", "znát se (v-w9676hsa_167)")</f>
        <v>znát se (v-w9676hsa_167)</v>
      </c>
    </row>
    <row r="70680" customFormat="false" ht="12.8" hidden="false" customHeight="false" outlineLevel="0" collapsed="false">
      <c r="B70680" s="0" t="s">
        <v>1</v>
      </c>
    </row>
    <row r="70681" customFormat="false" ht="12.8" hidden="false" customHeight="false" outlineLevel="0" collapsed="false">
      <c r="B70681" s="0" t="s">
        <v>721</v>
      </c>
    </row>
    <row r="70683" customFormat="false" ht="12.8" hidden="false" customHeight="false" outlineLevel="0" collapsed="false">
      <c r="A70683" s="0" t="s">
        <v>23064</v>
      </c>
      <c r="B70683" s="0" t="str">
        <f aca="false">HYPERLINK("https://lindat.mff.cuni.cz/services/teitok/pdtc10/index.php?action=vallex&amp;frame=v-w9677f1", "znázorňovat (v-w9677f1)")</f>
        <v>znázorňovat (v-w9677f1)</v>
      </c>
      <c r="E70683" s="0" t="str">
        <f aca="false">HYPERLINK("https://lindat.mff.cuni.cz/services/SynSemClass40/SynSemClass40.html?veclass=vec00611#vec00611-ces-cm00139", "vec00611")</f>
        <v>vec00611</v>
      </c>
      <c r="F70683" s="0" t="s">
        <v>1828</v>
      </c>
    </row>
    <row r="70684" customFormat="false" ht="12.8" hidden="false" customHeight="false" outlineLevel="0" collapsed="false">
      <c r="B70684" s="0" t="s">
        <v>1</v>
      </c>
      <c r="C70684" s="0" t="s">
        <v>1829</v>
      </c>
      <c r="E70684" s="0" t="s">
        <v>1830</v>
      </c>
      <c r="F70684" s="0" t="s">
        <v>1831</v>
      </c>
    </row>
    <row r="70685" customFormat="false" ht="12.8" hidden="false" customHeight="false" outlineLevel="0" collapsed="false">
      <c r="B70685" s="0" t="s">
        <v>8</v>
      </c>
      <c r="C70685" s="0" t="s">
        <v>4002</v>
      </c>
      <c r="E70685" s="0" t="s">
        <v>4634</v>
      </c>
      <c r="F70685" s="0" t="s">
        <v>4635</v>
      </c>
    </row>
    <row r="70687" customFormat="false" ht="12.8" hidden="false" customHeight="false" outlineLevel="0" collapsed="false">
      <c r="A70687" s="0" t="s">
        <v>23065</v>
      </c>
      <c r="B70687" s="0" t="str">
        <f aca="false">HYPERLINK("https://lindat.mff.cuni.cz/services/teitok/pdtc10/index.php?action=vallex&amp;frame=v-w9729f4", "znít (v-w9729f4)")</f>
        <v>znít (v-w9729f4)</v>
      </c>
    </row>
    <row r="70688" customFormat="false" ht="12.8" hidden="false" customHeight="false" outlineLevel="0" collapsed="false">
      <c r="B70688" s="0" t="s">
        <v>1</v>
      </c>
    </row>
    <row r="70689" customFormat="false" ht="12.8" hidden="false" customHeight="false" outlineLevel="0" collapsed="false">
      <c r="B70689" s="0" t="s">
        <v>45</v>
      </c>
    </row>
    <row r="70691" customFormat="false" ht="12.8" hidden="false" customHeight="false" outlineLevel="0" collapsed="false">
      <c r="A70691" s="0" t="s">
        <v>23066</v>
      </c>
      <c r="B70691" s="0" t="str">
        <f aca="false">HYPERLINK("https://lindat.mff.cuni.cz/services/teitok/pdtc10/index.php?action=vallex&amp;frame=v-w9729f5", "znít (v-w9729f5)")</f>
        <v>znít (v-w9729f5)</v>
      </c>
    </row>
    <row r="70692" customFormat="false" ht="12.8" hidden="false" customHeight="false" outlineLevel="0" collapsed="false">
      <c r="B70692" s="0" t="s">
        <v>804</v>
      </c>
    </row>
    <row r="70693" customFormat="false" ht="12.8" hidden="false" customHeight="false" outlineLevel="0" collapsed="false">
      <c r="B70693" s="0" t="s">
        <v>5</v>
      </c>
    </row>
    <row r="70695" customFormat="false" ht="12.8" hidden="false" customHeight="false" outlineLevel="0" collapsed="false">
      <c r="A70695" s="0" t="s">
        <v>23067</v>
      </c>
      <c r="B70695" s="0" t="str">
        <f aca="false">HYPERLINK("https://lindat.mff.cuni.cz/services/teitok/pdtc10/index.php?action=vallex&amp;frame=v-w9729f6_ZU", "znít (v-w9729f6_ZU)")</f>
        <v>znít (v-w9729f6_ZU)</v>
      </c>
    </row>
    <row r="70696" customFormat="false" ht="12.8" hidden="false" customHeight="false" outlineLevel="0" collapsed="false">
      <c r="B70696" s="0" t="s">
        <v>1</v>
      </c>
    </row>
    <row r="70697" customFormat="false" ht="12.8" hidden="false" customHeight="false" outlineLevel="0" collapsed="false">
      <c r="B70697" s="0" t="s">
        <v>852</v>
      </c>
    </row>
    <row r="70699" customFormat="false" ht="12.8" hidden="false" customHeight="false" outlineLevel="0" collapsed="false">
      <c r="A70699" s="0" t="s">
        <v>23067</v>
      </c>
      <c r="B70699" s="0" t="str">
        <f aca="false">HYPERLINK("https://lindat.mff.cuni.cz/services/teitok/pdtc10/index.php?action=vallex&amp;frame=v-w9729f2", "znít (v-w9729f2) - substituted with v-w9729f6_ZU")</f>
        <v>znít (v-w9729f2) - substituted with v-w9729f6_ZU</v>
      </c>
      <c r="E70699" s="0" t="str">
        <f aca="false">HYPERLINK("https://lindat.mff.cuni.cz/services/SynSemClass40/SynSemClass40.html?veclass=vec00164#vec00164-ces-cm00239", "vec00164")</f>
        <v>vec00164</v>
      </c>
      <c r="F70699" s="0" t="s">
        <v>4941</v>
      </c>
    </row>
    <row r="70700" customFormat="false" ht="12.8" hidden="false" customHeight="false" outlineLevel="0" collapsed="false">
      <c r="B70700" s="0" t="s">
        <v>1</v>
      </c>
      <c r="C70700" s="0" t="s">
        <v>4942</v>
      </c>
      <c r="E70700" s="0" t="s">
        <v>4943</v>
      </c>
      <c r="F70700" s="0" t="s">
        <v>4944</v>
      </c>
    </row>
    <row r="70701" customFormat="false" ht="12.8" hidden="false" customHeight="false" outlineLevel="0" collapsed="false">
      <c r="B70701" s="0" t="s">
        <v>852</v>
      </c>
      <c r="C70701" s="0" t="s">
        <v>4957</v>
      </c>
      <c r="E70701" s="0" t="s">
        <v>4958</v>
      </c>
      <c r="F70701" s="0" t="s">
        <v>4959</v>
      </c>
    </row>
    <row r="70703" customFormat="false" ht="12.8" hidden="false" customHeight="false" outlineLevel="0" collapsed="false">
      <c r="A70703" s="0" t="s">
        <v>23068</v>
      </c>
      <c r="B70703" s="0" t="str">
        <f aca="false">HYPERLINK("https://lindat.mff.cuni.cz/services/teitok/pdtc10/index.php?action=vallex&amp;frame=v-w9729f3", "znít (v-w9729f3)")</f>
        <v>znít (v-w9729f3)</v>
      </c>
    </row>
    <row r="70704" customFormat="false" ht="12.8" hidden="false" customHeight="false" outlineLevel="0" collapsed="false">
      <c r="B70704" s="0" t="s">
        <v>843</v>
      </c>
    </row>
    <row r="70706" customFormat="false" ht="12.8" hidden="false" customHeight="false" outlineLevel="0" collapsed="false">
      <c r="A70706" s="0" t="s">
        <v>23069</v>
      </c>
      <c r="B70706" s="0" t="str">
        <f aca="false">HYPERLINK("https://lindat.mff.cuni.cz/services/teitok/pdtc10/index.php?action=vallex&amp;frame=v-w9729f1", "znít (v-w9729f1)")</f>
        <v>znít (v-w9729f1)</v>
      </c>
      <c r="E70706" s="0" t="str">
        <f aca="false">HYPERLINK("https://lindat.mff.cuni.cz/services/SynSemClass40/SynSemClass40.html?veclass=vec00592#vec00592-ces-cm00001", "vec00592")</f>
        <v>vec00592</v>
      </c>
      <c r="F70706" s="0" t="s">
        <v>4749</v>
      </c>
      <c r="H70706" s="0" t="str">
        <f aca="false">HYPERLINK("https://lindat.mff.cuni.cz/services/SynSemClass40/SynSemClass40.html?veclass=vec01254#vec01254-ces-cm00008", "vec01254")</f>
        <v>vec01254</v>
      </c>
      <c r="I70706" s="0" t="s">
        <v>10262</v>
      </c>
    </row>
    <row r="70707" customFormat="false" ht="12.8" hidden="false" customHeight="false" outlineLevel="0" collapsed="false">
      <c r="B70707" s="0" t="s">
        <v>1</v>
      </c>
      <c r="C70707" s="0" t="s">
        <v>2033</v>
      </c>
      <c r="E70707" s="0" t="s">
        <v>472</v>
      </c>
      <c r="F70707" s="0" t="s">
        <v>4751</v>
      </c>
      <c r="H70707" s="0" t="s">
        <v>957</v>
      </c>
      <c r="I70707" s="0" t="s">
        <v>10263</v>
      </c>
    </row>
    <row r="70709" customFormat="false" ht="12.8" hidden="false" customHeight="false" outlineLevel="0" collapsed="false">
      <c r="A70709" s="0" t="s">
        <v>23070</v>
      </c>
      <c r="B70709" s="0" t="str">
        <f aca="false">HYPERLINK("https://lindat.mff.cuni.cz/services/teitok/pdtc10/index.php?action=vallex&amp;frame=v-w9696f1", "zněkolikanásobit (v-w9696f1)")</f>
        <v>zněkolikanásobit (v-w9696f1)</v>
      </c>
    </row>
    <row r="70710" customFormat="false" ht="12.8" hidden="false" customHeight="false" outlineLevel="0" collapsed="false">
      <c r="B70710" s="0" t="s">
        <v>1</v>
      </c>
    </row>
    <row r="70711" customFormat="false" ht="12.8" hidden="false" customHeight="false" outlineLevel="0" collapsed="false">
      <c r="B70711" s="0" t="s">
        <v>8</v>
      </c>
    </row>
    <row r="70713" customFormat="false" ht="12.8" hidden="false" customHeight="false" outlineLevel="0" collapsed="false">
      <c r="A70713" s="0" t="s">
        <v>23071</v>
      </c>
      <c r="B70713" s="0" t="str">
        <f aca="false">HYPERLINK("https://lindat.mff.cuni.cz/services/teitok/pdtc10/index.php?action=vallex&amp;frame=v-w9744f1", "zobchodovat (v-w9744f1)")</f>
        <v>zobchodovat (v-w9744f1)</v>
      </c>
    </row>
    <row r="70714" customFormat="false" ht="12.8" hidden="false" customHeight="false" outlineLevel="0" collapsed="false">
      <c r="B70714" s="0" t="s">
        <v>1</v>
      </c>
    </row>
    <row r="70715" customFormat="false" ht="12.8" hidden="false" customHeight="false" outlineLevel="0" collapsed="false">
      <c r="B70715" s="0" t="s">
        <v>8</v>
      </c>
    </row>
    <row r="70716" customFormat="false" ht="12.8" hidden="false" customHeight="false" outlineLevel="0" collapsed="false">
      <c r="B70716" s="0" t="s">
        <v>132</v>
      </c>
    </row>
    <row r="70718" customFormat="false" ht="12.8" hidden="false" customHeight="false" outlineLevel="0" collapsed="false">
      <c r="A70718" s="0" t="s">
        <v>23072</v>
      </c>
      <c r="B70718" s="0" t="str">
        <f aca="false">HYPERLINK("https://lindat.mff.cuni.cz/services/teitok/pdtc10/index.php?action=vallex&amp;frame=v-w10990f2", "zobecňovat (v-w10990f2)")</f>
        <v>zobecňovat (v-w10990f2)</v>
      </c>
      <c r="E70718" s="0" t="str">
        <f aca="false">HYPERLINK("https://lindat.mff.cuni.cz/services/SynSemClass40/SynSemClass40.html?veclass=vec01184#vec01184-ces-cm00001", "vec01184")</f>
        <v>vec01184</v>
      </c>
      <c r="F70718" s="0" t="s">
        <v>23073</v>
      </c>
      <c r="H70718" s="0" t="str">
        <f aca="false">HYPERLINK("https://lindat.mff.cuni.cz/services/SynSemClass40/SynSemClass40.html?veclass=vec01492#vec01492-ces-cm00010", "vec01492")</f>
        <v>vec01492</v>
      </c>
      <c r="I70718" s="0" t="s">
        <v>4212</v>
      </c>
    </row>
    <row r="70719" customFormat="false" ht="12.8" hidden="false" customHeight="false" outlineLevel="0" collapsed="false">
      <c r="B70719" s="0" t="s">
        <v>1</v>
      </c>
      <c r="E70719" s="0" t="s">
        <v>23074</v>
      </c>
      <c r="F70719" s="0" t="s">
        <v>23075</v>
      </c>
      <c r="H70719" s="0" t="s">
        <v>621</v>
      </c>
      <c r="I70719" s="0" t="s">
        <v>4213</v>
      </c>
    </row>
    <row r="70720" customFormat="false" ht="12.8" hidden="false" customHeight="false" outlineLevel="0" collapsed="false">
      <c r="B70720" s="0" t="s">
        <v>305</v>
      </c>
      <c r="C70720" s="0" t="s">
        <v>798</v>
      </c>
      <c r="E70720" s="0" t="s">
        <v>23076</v>
      </c>
      <c r="F70720" s="0" t="s">
        <v>23077</v>
      </c>
      <c r="H70720" s="0" t="s">
        <v>4214</v>
      </c>
      <c r="I70720" s="0" t="s">
        <v>4215</v>
      </c>
    </row>
    <row r="70722" customFormat="false" ht="12.8" hidden="false" customHeight="false" outlineLevel="0" collapsed="false">
      <c r="A70722" s="0" t="s">
        <v>23078</v>
      </c>
      <c r="B70722" s="0" t="str">
        <f aca="false">HYPERLINK("https://lindat.mff.cuni.cz/services/teitok/pdtc10/index.php?action=vallex&amp;frame=v-w9745f1", "zobrazit (v-w9745f1)")</f>
        <v>zobrazit (v-w9745f1)</v>
      </c>
      <c r="E70722" s="0" t="str">
        <f aca="false">HYPERLINK("https://lindat.mff.cuni.cz/services/SynSemClass40/SynSemClass40.html?veclass=vec00141#vec00141-ces-cm00047", "vec00141")</f>
        <v>vec00141</v>
      </c>
      <c r="F70722" s="0" t="s">
        <v>4796</v>
      </c>
    </row>
    <row r="70723" customFormat="false" ht="12.8" hidden="false" customHeight="false" outlineLevel="0" collapsed="false">
      <c r="B70723" s="0" t="s">
        <v>1</v>
      </c>
      <c r="C70723" s="0" t="s">
        <v>4797</v>
      </c>
      <c r="E70723" s="0" t="s">
        <v>4798</v>
      </c>
      <c r="F70723" s="0" t="s">
        <v>4799</v>
      </c>
    </row>
    <row r="70724" customFormat="false" ht="12.8" hidden="false" customHeight="false" outlineLevel="0" collapsed="false">
      <c r="B70724" s="0" t="s">
        <v>8</v>
      </c>
      <c r="C70724" s="0" t="s">
        <v>4800</v>
      </c>
      <c r="E70724" s="0" t="s">
        <v>4801</v>
      </c>
      <c r="F70724" s="0" t="s">
        <v>4802</v>
      </c>
    </row>
    <row r="70726" customFormat="false" ht="12.8" hidden="false" customHeight="false" outlineLevel="0" collapsed="false">
      <c r="A70726" s="0" t="s">
        <v>23079</v>
      </c>
      <c r="B70726" s="0" t="str">
        <f aca="false">HYPERLINK("https://lindat.mff.cuni.cz/services/teitok/pdtc10/index.php?action=vallex&amp;frame=v-w9745hsa_1959", "zobrazit (v-w9745hsa_1959)")</f>
        <v>zobrazit (v-w9745hsa_1959)</v>
      </c>
    </row>
    <row r="70727" customFormat="false" ht="12.8" hidden="false" customHeight="false" outlineLevel="0" collapsed="false">
      <c r="B70727" s="0" t="s">
        <v>1</v>
      </c>
    </row>
    <row r="70728" customFormat="false" ht="12.8" hidden="false" customHeight="false" outlineLevel="0" collapsed="false">
      <c r="B70728" s="0" t="s">
        <v>8</v>
      </c>
    </row>
    <row r="70730" customFormat="false" ht="12.8" hidden="false" customHeight="false" outlineLevel="0" collapsed="false">
      <c r="A70730" s="0" t="s">
        <v>23080</v>
      </c>
      <c r="B70730" s="0" t="str">
        <f aca="false">HYPERLINK("https://lindat.mff.cuni.cz/services/teitok/pdtc10/index.php?action=vallex&amp;frame=v-w11651_ZUf2_ZU", "zobrazit se (v-w11651_ZUf2_ZU)")</f>
        <v>zobrazit se (v-w11651_ZUf2_ZU)</v>
      </c>
    </row>
    <row r="70731" customFormat="false" ht="12.8" hidden="false" customHeight="false" outlineLevel="0" collapsed="false">
      <c r="B70731" s="0" t="s">
        <v>1</v>
      </c>
    </row>
    <row r="70732" customFormat="false" ht="12.8" hidden="false" customHeight="false" outlineLevel="0" collapsed="false">
      <c r="B70732" s="0" t="s">
        <v>1262</v>
      </c>
    </row>
    <row r="70734" customFormat="false" ht="12.8" hidden="false" customHeight="false" outlineLevel="0" collapsed="false">
      <c r="A70734" s="0" t="s">
        <v>23080</v>
      </c>
      <c r="B70734" s="0" t="str">
        <f aca="false">HYPERLINK("https://lindat.mff.cuni.cz/services/teitok/pdtc10/index.php?action=vallex&amp;frame=v-w11651_ZUf1_ZU", "zobrazit se (v-w11651_ZUf1_ZU) - substituted with v-w11651_ZUf2_ZU")</f>
        <v>zobrazit se (v-w11651_ZUf1_ZU) - substituted with v-w11651_ZUf2_ZU</v>
      </c>
    </row>
    <row r="70735" customFormat="false" ht="12.8" hidden="false" customHeight="false" outlineLevel="0" collapsed="false">
      <c r="B70735" s="0" t="s">
        <v>1</v>
      </c>
    </row>
    <row r="70736" customFormat="false" ht="12.8" hidden="false" customHeight="false" outlineLevel="0" collapsed="false">
      <c r="B70736" s="0" t="s">
        <v>1262</v>
      </c>
    </row>
    <row r="70738" customFormat="false" ht="12.8" hidden="false" customHeight="false" outlineLevel="0" collapsed="false">
      <c r="A70738" s="0" t="s">
        <v>23081</v>
      </c>
      <c r="B70738" s="0" t="str">
        <f aca="false">HYPERLINK("https://lindat.mff.cuni.cz/services/teitok/pdtc10/index.php?action=vallex&amp;frame=v-w9747f1", "zobrazovat (v-w9747f1)")</f>
        <v>zobrazovat (v-w9747f1)</v>
      </c>
      <c r="E70738" s="0" t="str">
        <f aca="false">HYPERLINK("https://lindat.mff.cuni.cz/services/SynSemClass40/SynSemClass40.html?veclass=vec00141#vec00141-ces-cm00048", "vec00141")</f>
        <v>vec00141</v>
      </c>
      <c r="F70738" s="0" t="s">
        <v>4796</v>
      </c>
    </row>
    <row r="70739" customFormat="false" ht="12.8" hidden="false" customHeight="false" outlineLevel="0" collapsed="false">
      <c r="B70739" s="0" t="s">
        <v>1</v>
      </c>
      <c r="C70739" s="0" t="s">
        <v>4797</v>
      </c>
      <c r="E70739" s="0" t="s">
        <v>4798</v>
      </c>
      <c r="F70739" s="0" t="s">
        <v>4799</v>
      </c>
    </row>
    <row r="70740" customFormat="false" ht="12.8" hidden="false" customHeight="false" outlineLevel="0" collapsed="false">
      <c r="B70740" s="0" t="s">
        <v>8</v>
      </c>
      <c r="C70740" s="0" t="s">
        <v>4800</v>
      </c>
      <c r="E70740" s="0" t="s">
        <v>4801</v>
      </c>
      <c r="F70740" s="0" t="s">
        <v>4802</v>
      </c>
    </row>
    <row r="70742" customFormat="false" ht="12.8" hidden="false" customHeight="false" outlineLevel="0" collapsed="false">
      <c r="A70742" s="0" t="s">
        <v>23082</v>
      </c>
      <c r="B70742" s="0" t="str">
        <f aca="false">HYPERLINK("https://lindat.mff.cuni.cz/services/teitok/pdtc10/index.php?action=vallex&amp;frame=v-whsa_1937hsa_1938", "zobrazovat se (v-whsa_1937hsa_1938)")</f>
        <v>zobrazovat se (v-whsa_1937hsa_1938)</v>
      </c>
    </row>
    <row r="70743" customFormat="false" ht="12.8" hidden="false" customHeight="false" outlineLevel="0" collapsed="false">
      <c r="B70743" s="0" t="s">
        <v>1</v>
      </c>
    </row>
    <row r="70745" customFormat="false" ht="12.8" hidden="false" customHeight="false" outlineLevel="0" collapsed="false">
      <c r="A70745" s="0" t="s">
        <v>23083</v>
      </c>
      <c r="B70745" s="0" t="str">
        <f aca="false">HYPERLINK("https://lindat.mff.cuni.cz/services/teitok/pdtc10/index.php?action=vallex&amp;frame=v-w11439f1", "zocelit (v-w11439f1)")</f>
        <v>zocelit (v-w11439f1)</v>
      </c>
    </row>
    <row r="70746" customFormat="false" ht="12.8" hidden="false" customHeight="false" outlineLevel="0" collapsed="false">
      <c r="B70746" s="0" t="s">
        <v>1</v>
      </c>
    </row>
    <row r="70747" customFormat="false" ht="12.8" hidden="false" customHeight="false" outlineLevel="0" collapsed="false">
      <c r="B70747" s="0" t="s">
        <v>8</v>
      </c>
    </row>
    <row r="70749" customFormat="false" ht="12.8" hidden="false" customHeight="false" outlineLevel="0" collapsed="false">
      <c r="A70749" s="0" t="s">
        <v>23084</v>
      </c>
      <c r="B70749" s="0" t="str">
        <f aca="false">HYPERLINK("https://lindat.mff.cuni.cz/services/teitok/pdtc10/index.php?action=vallex&amp;frame=v-whsa_548hsa_549", "zocelit se (v-whsa_548hsa_549)")</f>
        <v>zocelit se (v-whsa_548hsa_549)</v>
      </c>
    </row>
    <row r="70750" customFormat="false" ht="12.8" hidden="false" customHeight="false" outlineLevel="0" collapsed="false">
      <c r="B70750" s="0" t="s">
        <v>1</v>
      </c>
    </row>
    <row r="70752" customFormat="false" ht="12.8" hidden="false" customHeight="false" outlineLevel="0" collapsed="false">
      <c r="A70752" s="0" t="s">
        <v>23085</v>
      </c>
      <c r="B70752" s="0" t="str">
        <f aca="false">HYPERLINK("https://lindat.mff.cuni.cz/services/teitok/pdtc10/index.php?action=vallex&amp;frame=v-w9755f1", "zodpovídat (v-w9755f1)")</f>
        <v>zodpovídat (v-w9755f1)</v>
      </c>
    </row>
    <row r="70753" customFormat="false" ht="12.8" hidden="false" customHeight="false" outlineLevel="0" collapsed="false">
      <c r="B70753" s="0" t="s">
        <v>1</v>
      </c>
    </row>
    <row r="70754" customFormat="false" ht="12.8" hidden="false" customHeight="false" outlineLevel="0" collapsed="false">
      <c r="B70754" s="0" t="s">
        <v>665</v>
      </c>
    </row>
    <row r="70755" customFormat="false" ht="12.8" hidden="false" customHeight="false" outlineLevel="0" collapsed="false">
      <c r="B70755" s="0" t="s">
        <v>132</v>
      </c>
    </row>
    <row r="70757" customFormat="false" ht="12.8" hidden="false" customHeight="false" outlineLevel="0" collapsed="false">
      <c r="A70757" s="0" t="s">
        <v>23086</v>
      </c>
      <c r="B70757" s="0" t="str">
        <f aca="false">HYPERLINK("https://lindat.mff.cuni.cz/services/teitok/pdtc10/index.php?action=vallex&amp;frame=v-w9755f2_ZU", "zodpovídat (v-w9755f2_ZU)")</f>
        <v>zodpovídat (v-w9755f2_ZU)</v>
      </c>
    </row>
    <row r="70758" customFormat="false" ht="12.8" hidden="false" customHeight="false" outlineLevel="0" collapsed="false">
      <c r="B70758" s="0" t="s">
        <v>1</v>
      </c>
    </row>
    <row r="70759" customFormat="false" ht="12.8" hidden="false" customHeight="false" outlineLevel="0" collapsed="false">
      <c r="B70759" s="0" t="s">
        <v>132</v>
      </c>
    </row>
    <row r="70760" customFormat="false" ht="12.8" hidden="false" customHeight="false" outlineLevel="0" collapsed="false">
      <c r="B70760" s="0" t="s">
        <v>8</v>
      </c>
    </row>
    <row r="70762" customFormat="false" ht="12.8" hidden="false" customHeight="false" outlineLevel="0" collapsed="false">
      <c r="A70762" s="0" t="s">
        <v>23087</v>
      </c>
      <c r="B70762" s="0" t="str">
        <f aca="false">HYPERLINK("https://lindat.mff.cuni.cz/services/teitok/pdtc10/index.php?action=vallex&amp;frame=v-w9756hsa_67", "zodpovídat se (v-w9756hsa_67)")</f>
        <v>zodpovídat se (v-w9756hsa_67)</v>
      </c>
      <c r="E70762" s="0" t="str">
        <f aca="false">HYPERLINK("https://lindat.mff.cuni.cz/services/SynSemClass40/SynSemClass40.html?veclass=vec01185#vec01185-ces-cm00001", "vec01185")</f>
        <v>vec01185</v>
      </c>
      <c r="F70762" s="0" t="s">
        <v>23088</v>
      </c>
    </row>
    <row r="70763" customFormat="false" ht="12.8" hidden="false" customHeight="false" outlineLevel="0" collapsed="false">
      <c r="B70763" s="0" t="s">
        <v>1</v>
      </c>
      <c r="E70763" s="0" t="s">
        <v>11</v>
      </c>
      <c r="F70763" s="0" t="s">
        <v>959</v>
      </c>
    </row>
    <row r="70764" customFormat="false" ht="12.8" hidden="false" customHeight="false" outlineLevel="0" collapsed="false">
      <c r="B70764" s="0" t="s">
        <v>23089</v>
      </c>
      <c r="E70764" s="0" t="s">
        <v>79</v>
      </c>
      <c r="F70764" s="0" t="s">
        <v>23090</v>
      </c>
    </row>
    <row r="70765" customFormat="false" ht="12.8" hidden="false" customHeight="false" outlineLevel="0" collapsed="false">
      <c r="B70765" s="0" t="s">
        <v>52</v>
      </c>
      <c r="E70765" s="0" t="s">
        <v>8489</v>
      </c>
      <c r="F70765" s="0" t="s">
        <v>23091</v>
      </c>
    </row>
    <row r="70767" customFormat="false" ht="12.8" hidden="false" customHeight="false" outlineLevel="0" collapsed="false">
      <c r="A70767" s="0" t="s">
        <v>23087</v>
      </c>
      <c r="B70767" s="0" t="str">
        <f aca="false">HYPERLINK("https://lindat.mff.cuni.cz/services/teitok/pdtc10/index.php?action=vallex&amp;frame=v-w9756f1", "zodpovídat se (v-w9756f1) - substituted with v-w9756hsa_67")</f>
        <v>zodpovídat se (v-w9756f1) - substituted with v-w9756hsa_67</v>
      </c>
    </row>
    <row r="70768" customFormat="false" ht="12.8" hidden="false" customHeight="false" outlineLevel="0" collapsed="false">
      <c r="B70768" s="0" t="s">
        <v>1</v>
      </c>
    </row>
    <row r="70769" customFormat="false" ht="12.8" hidden="false" customHeight="false" outlineLevel="0" collapsed="false">
      <c r="B70769" s="0" t="s">
        <v>23089</v>
      </c>
    </row>
    <row r="70770" customFormat="false" ht="12.8" hidden="false" customHeight="false" outlineLevel="0" collapsed="false">
      <c r="B70770" s="0" t="s">
        <v>52</v>
      </c>
    </row>
    <row r="70772" customFormat="false" ht="12.8" hidden="false" customHeight="false" outlineLevel="0" collapsed="false">
      <c r="A70772" s="0" t="s">
        <v>23092</v>
      </c>
      <c r="B70772" s="0" t="str">
        <f aca="false">HYPERLINK("https://lindat.mff.cuni.cz/services/teitok/pdtc10/index.php?action=vallex&amp;frame=v-w9750f1", "zodpovědět (v-w9750f1)")</f>
        <v>zodpovědět (v-w9750f1)</v>
      </c>
    </row>
    <row r="70773" customFormat="false" ht="12.8" hidden="false" customHeight="false" outlineLevel="0" collapsed="false">
      <c r="B70773" s="0" t="s">
        <v>1</v>
      </c>
    </row>
    <row r="70774" customFormat="false" ht="12.8" hidden="false" customHeight="false" outlineLevel="0" collapsed="false">
      <c r="B70774" s="0" t="s">
        <v>23093</v>
      </c>
    </row>
    <row r="70775" customFormat="false" ht="12.8" hidden="false" customHeight="false" outlineLevel="0" collapsed="false">
      <c r="B70775" s="0" t="s">
        <v>52</v>
      </c>
    </row>
    <row r="70777" customFormat="false" ht="12.8" hidden="false" customHeight="false" outlineLevel="0" collapsed="false">
      <c r="A70777" s="0" t="s">
        <v>23094</v>
      </c>
      <c r="B70777" s="0" t="str">
        <f aca="false">HYPERLINK("https://lindat.mff.cuni.cz/services/teitok/pdtc10/index.php?action=vallex&amp;frame=v-w9757f1", "zohavit (v-w9757f1)")</f>
        <v>zohavit (v-w9757f1)</v>
      </c>
    </row>
    <row r="70778" customFormat="false" ht="12.8" hidden="false" customHeight="false" outlineLevel="0" collapsed="false">
      <c r="B70778" s="0" t="s">
        <v>1</v>
      </c>
    </row>
    <row r="70779" customFormat="false" ht="12.8" hidden="false" customHeight="false" outlineLevel="0" collapsed="false">
      <c r="B70779" s="0" t="s">
        <v>8</v>
      </c>
    </row>
    <row r="70781" customFormat="false" ht="12.8" hidden="false" customHeight="false" outlineLevel="0" collapsed="false">
      <c r="A70781" s="0" t="s">
        <v>23095</v>
      </c>
      <c r="B70781" s="0" t="str">
        <f aca="false">HYPERLINK("https://lindat.mff.cuni.cz/services/teitok/pdtc10/index.php?action=vallex&amp;frame=v-w9758f1", "zohlednit (v-w9758f1)")</f>
        <v>zohlednit (v-w9758f1)</v>
      </c>
    </row>
    <row r="70782" customFormat="false" ht="12.8" hidden="false" customHeight="false" outlineLevel="0" collapsed="false">
      <c r="B70782" s="0" t="s">
        <v>1</v>
      </c>
    </row>
    <row r="70783" customFormat="false" ht="12.8" hidden="false" customHeight="false" outlineLevel="0" collapsed="false">
      <c r="B70783" s="0" t="s">
        <v>1754</v>
      </c>
    </row>
    <row r="70785" customFormat="false" ht="12.8" hidden="false" customHeight="false" outlineLevel="0" collapsed="false">
      <c r="A70785" s="0" t="s">
        <v>23096</v>
      </c>
      <c r="B70785" s="0" t="str">
        <f aca="false">HYPERLINK("https://lindat.mff.cuni.cz/services/teitok/pdtc10/index.php?action=vallex&amp;frame=v-w9759f1", "zohledňovat (v-w9759f1)")</f>
        <v>zohledňovat (v-w9759f1)</v>
      </c>
    </row>
    <row r="70786" customFormat="false" ht="12.8" hidden="false" customHeight="false" outlineLevel="0" collapsed="false">
      <c r="B70786" s="0" t="s">
        <v>1</v>
      </c>
    </row>
    <row r="70787" customFormat="false" ht="12.8" hidden="false" customHeight="false" outlineLevel="0" collapsed="false">
      <c r="B70787" s="0" t="s">
        <v>23097</v>
      </c>
    </row>
    <row r="70789" customFormat="false" ht="12.8" hidden="false" customHeight="false" outlineLevel="0" collapsed="false">
      <c r="A70789" s="0" t="s">
        <v>23098</v>
      </c>
      <c r="B70789" s="0" t="str">
        <f aca="false">HYPERLINK("https://lindat.mff.cuni.cz/services/teitok/pdtc10/index.php?action=vallex&amp;frame=v-w9760f1", "zopakovat (v-w9760f1)")</f>
        <v>zopakovat (v-w9760f1)</v>
      </c>
      <c r="E70789" s="0" t="str">
        <f aca="false">HYPERLINK("https://lindat.mff.cuni.cz/services/SynSemClass40/SynSemClass40.html?veclass=vec00458#vec00458-ces-cm00012", "vec00458")</f>
        <v>vec00458</v>
      </c>
      <c r="F70789" s="0" t="s">
        <v>9729</v>
      </c>
    </row>
    <row r="70790" customFormat="false" ht="12.8" hidden="false" customHeight="false" outlineLevel="0" collapsed="false">
      <c r="B70790" s="0" t="s">
        <v>1</v>
      </c>
      <c r="C70790" s="0" t="s">
        <v>9730</v>
      </c>
      <c r="E70790" s="0" t="s">
        <v>147</v>
      </c>
      <c r="F70790" s="0" t="s">
        <v>9731</v>
      </c>
    </row>
    <row r="70791" customFormat="false" ht="12.8" hidden="false" customHeight="false" outlineLevel="0" collapsed="false">
      <c r="B70791" s="0" t="s">
        <v>23099</v>
      </c>
      <c r="C70791" s="0" t="s">
        <v>8691</v>
      </c>
      <c r="E70791" s="0" t="s">
        <v>9733</v>
      </c>
      <c r="F70791" s="0" t="s">
        <v>9734</v>
      </c>
    </row>
    <row r="70792" customFormat="false" ht="12.8" hidden="false" customHeight="false" outlineLevel="0" collapsed="false">
      <c r="B70792" s="0" t="s">
        <v>132</v>
      </c>
      <c r="E70792" s="0" t="s">
        <v>221</v>
      </c>
      <c r="F70792" s="0" t="s">
        <v>4699</v>
      </c>
    </row>
    <row r="70793" customFormat="false" ht="12.8" hidden="false" customHeight="false" outlineLevel="0" collapsed="false">
      <c r="B70793" s="0" t="s">
        <v>9735</v>
      </c>
      <c r="E70793" s="0" t="s">
        <v>2176</v>
      </c>
      <c r="F70793" s="0" t="s">
        <v>2807</v>
      </c>
    </row>
    <row r="70795" customFormat="false" ht="12.8" hidden="false" customHeight="false" outlineLevel="0" collapsed="false">
      <c r="A70795" s="0" t="s">
        <v>23100</v>
      </c>
      <c r="B70795" s="0" t="str">
        <f aca="false">HYPERLINK("https://lindat.mff.cuni.cz/services/teitok/pdtc10/index.php?action=vallex&amp;frame=v-w9760f2", "zopakovat (v-w9760f2)")</f>
        <v>zopakovat (v-w9760f2)</v>
      </c>
    </row>
    <row r="70796" customFormat="false" ht="12.8" hidden="false" customHeight="false" outlineLevel="0" collapsed="false">
      <c r="B70796" s="0" t="s">
        <v>1</v>
      </c>
    </row>
    <row r="70797" customFormat="false" ht="12.8" hidden="false" customHeight="false" outlineLevel="0" collapsed="false">
      <c r="B70797" s="0" t="s">
        <v>9752</v>
      </c>
    </row>
    <row r="70798" customFormat="false" ht="12.8" hidden="false" customHeight="false" outlineLevel="0" collapsed="false">
      <c r="B70798" s="0" t="s">
        <v>3205</v>
      </c>
    </row>
    <row r="70800" customFormat="false" ht="12.8" hidden="false" customHeight="false" outlineLevel="0" collapsed="false">
      <c r="A70800" s="0" t="s">
        <v>23101</v>
      </c>
      <c r="B70800" s="0" t="str">
        <f aca="false">HYPERLINK("https://lindat.mff.cuni.cz/services/teitok/pdtc10/index.php?action=vallex&amp;frame=v-w9760f3", "zopakovat (v-w9760f3)")</f>
        <v>zopakovat (v-w9760f3)</v>
      </c>
    </row>
    <row r="70801" customFormat="false" ht="12.8" hidden="false" customHeight="false" outlineLevel="0" collapsed="false">
      <c r="B70801" s="0" t="s">
        <v>1</v>
      </c>
    </row>
    <row r="70802" customFormat="false" ht="12.8" hidden="false" customHeight="false" outlineLevel="0" collapsed="false">
      <c r="B70802" s="0" t="s">
        <v>6412</v>
      </c>
    </row>
    <row r="70803" customFormat="false" ht="12.8" hidden="false" customHeight="false" outlineLevel="0" collapsed="false">
      <c r="B70803" s="0" t="s">
        <v>496</v>
      </c>
    </row>
    <row r="70804" customFormat="false" ht="12.8" hidden="false" customHeight="false" outlineLevel="0" collapsed="false">
      <c r="B70804" s="0" t="s">
        <v>132</v>
      </c>
    </row>
    <row r="70806" customFormat="false" ht="12.8" hidden="false" customHeight="false" outlineLevel="0" collapsed="false">
      <c r="A70806" s="0" t="s">
        <v>23102</v>
      </c>
      <c r="B70806" s="0" t="str">
        <f aca="false">HYPERLINK("https://lindat.mff.cuni.cz/services/teitok/pdtc10/index.php?action=vallex&amp;frame=v-w11652_ZUf1_ZU", "zopakovat se (v-w11652_ZUf1_ZU)")</f>
        <v>zopakovat se (v-w11652_ZUf1_ZU)</v>
      </c>
    </row>
    <row r="70807" customFormat="false" ht="12.8" hidden="false" customHeight="false" outlineLevel="0" collapsed="false">
      <c r="B70807" s="0" t="s">
        <v>1</v>
      </c>
    </row>
    <row r="70809" customFormat="false" ht="12.8" hidden="false" customHeight="false" outlineLevel="0" collapsed="false">
      <c r="A70809" s="0" t="s">
        <v>23103</v>
      </c>
      <c r="B70809" s="0" t="str">
        <f aca="false">HYPERLINK("https://lindat.mff.cuni.cz/services/teitok/pdtc10/index.php?action=vallex&amp;frame=v-w11187f2", "zoptimalizovat (v-w11187f2)")</f>
        <v>zoptimalizovat (v-w11187f2)</v>
      </c>
      <c r="E70809" s="0" t="str">
        <f aca="false">HYPERLINK("https://lindat.mff.cuni.cz/services/SynSemClass40/SynSemClass40.html?veclass=vec01483#vec01483-ces-cm00004", "vec01483")</f>
        <v>vec01483</v>
      </c>
      <c r="F70809" s="0" t="s">
        <v>22616</v>
      </c>
    </row>
    <row r="70810" customFormat="false" ht="12.8" hidden="false" customHeight="false" outlineLevel="0" collapsed="false">
      <c r="B70810" s="0" t="s">
        <v>1</v>
      </c>
      <c r="E70810" s="0" t="s">
        <v>31</v>
      </c>
      <c r="F70810" s="0" t="s">
        <v>49</v>
      </c>
    </row>
    <row r="70811" customFormat="false" ht="12.8" hidden="false" customHeight="false" outlineLevel="0" collapsed="false">
      <c r="B70811" s="0" t="s">
        <v>8</v>
      </c>
      <c r="E70811" s="0" t="s">
        <v>4782</v>
      </c>
      <c r="F70811" s="0" t="s">
        <v>20398</v>
      </c>
    </row>
    <row r="70813" customFormat="false" ht="12.8" hidden="false" customHeight="false" outlineLevel="0" collapsed="false">
      <c r="A70813" s="0" t="s">
        <v>23104</v>
      </c>
      <c r="B70813" s="0" t="str">
        <f aca="false">HYPERLINK("https://lindat.mff.cuni.cz/services/teitok/pdtc10/index.php?action=vallex&amp;frame=v-w9761f3_ZU", "zorganizovat (v-w9761f3_ZU)")</f>
        <v>zorganizovat (v-w9761f3_ZU)</v>
      </c>
    </row>
    <row r="70814" customFormat="false" ht="12.8" hidden="false" customHeight="false" outlineLevel="0" collapsed="false">
      <c r="B70814" s="0" t="s">
        <v>1</v>
      </c>
    </row>
    <row r="70815" customFormat="false" ht="12.8" hidden="false" customHeight="false" outlineLevel="0" collapsed="false">
      <c r="B70815" s="0" t="s">
        <v>9033</v>
      </c>
    </row>
    <row r="70817" customFormat="false" ht="12.8" hidden="false" customHeight="false" outlineLevel="0" collapsed="false">
      <c r="A70817" s="0" t="s">
        <v>23104</v>
      </c>
      <c r="B70817" s="0" t="str">
        <f aca="false">HYPERLINK("https://lindat.mff.cuni.cz/services/teitok/pdtc10/index.php?action=vallex&amp;frame=v-w9761f1", "zorganizovat (v-w9761f1) - substituted with v-w9761f3_ZU")</f>
        <v>zorganizovat (v-w9761f1) - substituted with v-w9761f3_ZU</v>
      </c>
      <c r="E70817" s="0" t="str">
        <f aca="false">HYPERLINK("https://lindat.mff.cuni.cz/services/SynSemClass40/SynSemClass40.html?veclass=vec00502#vec00502-ces-cm00021", "vec00502")</f>
        <v>vec00502</v>
      </c>
      <c r="F70817" s="0" t="s">
        <v>1552</v>
      </c>
    </row>
    <row r="70818" customFormat="false" ht="12.8" hidden="false" customHeight="false" outlineLevel="0" collapsed="false">
      <c r="B70818" s="0" t="s">
        <v>1</v>
      </c>
      <c r="C70818" s="0" t="s">
        <v>1553</v>
      </c>
      <c r="E70818" s="0" t="s">
        <v>31</v>
      </c>
      <c r="F70818" s="0" t="s">
        <v>1554</v>
      </c>
    </row>
    <row r="70819" customFormat="false" ht="12.8" hidden="false" customHeight="false" outlineLevel="0" collapsed="false">
      <c r="B70819" s="0" t="s">
        <v>9033</v>
      </c>
      <c r="C70819" s="0" t="s">
        <v>1555</v>
      </c>
      <c r="E70819" s="0" t="s">
        <v>1556</v>
      </c>
      <c r="F70819" s="0" t="s">
        <v>1557</v>
      </c>
    </row>
    <row r="70821" customFormat="false" ht="12.8" hidden="false" customHeight="false" outlineLevel="0" collapsed="false">
      <c r="A70821" s="0" t="s">
        <v>23104</v>
      </c>
      <c r="B70821" s="0" t="str">
        <f aca="false">HYPERLINK("https://lindat.mff.cuni.cz/services/teitok/pdtc10/index.php?action=vallex&amp;frame=v-w9761f2_ZU", "zorganizovat (v-w9761f2_ZU) - substituted with v-w9761f3_ZU")</f>
        <v>zorganizovat (v-w9761f2_ZU) - substituted with v-w9761f3_ZU</v>
      </c>
    </row>
    <row r="70822" customFormat="false" ht="12.8" hidden="false" customHeight="false" outlineLevel="0" collapsed="false">
      <c r="B70822" s="0" t="s">
        <v>1</v>
      </c>
    </row>
    <row r="70823" customFormat="false" ht="12.8" hidden="false" customHeight="false" outlineLevel="0" collapsed="false">
      <c r="B70823" s="0" t="s">
        <v>9033</v>
      </c>
    </row>
    <row r="70825" customFormat="false" ht="12.8" hidden="false" customHeight="false" outlineLevel="0" collapsed="false">
      <c r="A70825" s="0" t="s">
        <v>23104</v>
      </c>
      <c r="B70825" s="0" t="str">
        <f aca="false">HYPERLINK("https://lindat.mff.cuni.cz/services/teitok/pdtc10/index.php?action=vallex&amp;frame=v-w9761hsa_895", "zorganizovat (v-w9761hsa_895) - substituted with v-w9761f3_ZU")</f>
        <v>zorganizovat (v-w9761hsa_895) - substituted with v-w9761f3_ZU</v>
      </c>
    </row>
    <row r="70826" customFormat="false" ht="12.8" hidden="false" customHeight="false" outlineLevel="0" collapsed="false">
      <c r="B70826" s="0" t="s">
        <v>1</v>
      </c>
    </row>
    <row r="70827" customFormat="false" ht="12.8" hidden="false" customHeight="false" outlineLevel="0" collapsed="false">
      <c r="B70827" s="0" t="s">
        <v>9033</v>
      </c>
    </row>
    <row r="70829" customFormat="false" ht="12.8" hidden="false" customHeight="false" outlineLevel="0" collapsed="false">
      <c r="A70829" s="0" t="s">
        <v>23105</v>
      </c>
      <c r="B70829" s="0" t="str">
        <f aca="false">HYPERLINK("https://lindat.mff.cuni.cz/services/teitok/pdtc10/index.php?action=vallex&amp;frame=v-w9762f1", "zorientovat se (v-w9762f1)")</f>
        <v>zorientovat se (v-w9762f1)</v>
      </c>
    </row>
    <row r="70830" customFormat="false" ht="12.8" hidden="false" customHeight="false" outlineLevel="0" collapsed="false">
      <c r="B70830" s="0" t="s">
        <v>1</v>
      </c>
    </row>
    <row r="70831" customFormat="false" ht="12.8" hidden="false" customHeight="false" outlineLevel="0" collapsed="false">
      <c r="B70831" s="0" t="s">
        <v>5</v>
      </c>
    </row>
    <row r="70833" customFormat="false" ht="12.8" hidden="false" customHeight="false" outlineLevel="0" collapsed="false">
      <c r="A70833" s="0" t="s">
        <v>23106</v>
      </c>
      <c r="B70833" s="0" t="str">
        <f aca="false">HYPERLINK("https://lindat.mff.cuni.cz/services/teitok/pdtc10/index.php?action=vallex&amp;frame=v-w10060f2", "zosnovat (v-w10060f2)")</f>
        <v>zosnovat (v-w10060f2)</v>
      </c>
      <c r="E70833" s="0" t="str">
        <f aca="false">HYPERLINK("https://lindat.mff.cuni.cz/services/SynSemClass40/SynSemClass40.html?veclass=vec00502#vec00502-ces-cm00022", "vec00502")</f>
        <v>vec00502</v>
      </c>
      <c r="F70833" s="0" t="s">
        <v>1552</v>
      </c>
    </row>
    <row r="70834" customFormat="false" ht="12.8" hidden="false" customHeight="false" outlineLevel="0" collapsed="false">
      <c r="B70834" s="0" t="s">
        <v>1</v>
      </c>
      <c r="C70834" s="0" t="s">
        <v>1553</v>
      </c>
      <c r="E70834" s="0" t="s">
        <v>31</v>
      </c>
      <c r="F70834" s="0" t="s">
        <v>1554</v>
      </c>
    </row>
    <row r="70835" customFormat="false" ht="12.8" hidden="false" customHeight="false" outlineLevel="0" collapsed="false">
      <c r="B70835" s="0" t="s">
        <v>8</v>
      </c>
      <c r="C70835" s="0" t="s">
        <v>1555</v>
      </c>
      <c r="E70835" s="0" t="s">
        <v>1556</v>
      </c>
      <c r="F70835" s="0" t="s">
        <v>1557</v>
      </c>
    </row>
    <row r="70837" customFormat="false" ht="12.8" hidden="false" customHeight="false" outlineLevel="0" collapsed="false">
      <c r="A70837" s="0" t="s">
        <v>23107</v>
      </c>
      <c r="B70837" s="0" t="str">
        <f aca="false">HYPERLINK("https://lindat.mff.cuni.cz/services/teitok/pdtc10/index.php?action=vallex&amp;frame=v-w9765f1", "zosobňovat (v-w9765f1)")</f>
        <v>zosobňovat (v-w9765f1)</v>
      </c>
    </row>
    <row r="70838" customFormat="false" ht="12.8" hidden="false" customHeight="false" outlineLevel="0" collapsed="false">
      <c r="B70838" s="0" t="s">
        <v>1</v>
      </c>
    </row>
    <row r="70839" customFormat="false" ht="12.8" hidden="false" customHeight="false" outlineLevel="0" collapsed="false">
      <c r="B70839" s="0" t="s">
        <v>8</v>
      </c>
    </row>
    <row r="70841" customFormat="false" ht="12.8" hidden="false" customHeight="false" outlineLevel="0" collapsed="false">
      <c r="A70841" s="0" t="s">
        <v>23108</v>
      </c>
      <c r="B70841" s="0" t="str">
        <f aca="false">HYPERLINK("https://lindat.mff.cuni.cz/services/teitok/pdtc10/index.php?action=vallex&amp;frame=v-w9768f1", "zostřit (v-w9768f1)")</f>
        <v>zostřit (v-w9768f1)</v>
      </c>
      <c r="E70841" s="0" t="str">
        <f aca="false">HYPERLINK("https://lindat.mff.cuni.cz/services/SynSemClass40/SynSemClass40.html?veclass=vec01301#vec01301-ces-cm00014", "vec01301")</f>
        <v>vec01301</v>
      </c>
      <c r="F70841" s="0" t="s">
        <v>6491</v>
      </c>
    </row>
    <row r="70842" customFormat="false" ht="12.8" hidden="false" customHeight="false" outlineLevel="0" collapsed="false">
      <c r="B70842" s="0" t="s">
        <v>1</v>
      </c>
      <c r="C70842" s="0" t="s">
        <v>14559</v>
      </c>
      <c r="E70842" s="0" t="s">
        <v>31</v>
      </c>
      <c r="F70842" s="0" t="s">
        <v>6492</v>
      </c>
    </row>
    <row r="70843" customFormat="false" ht="12.8" hidden="false" customHeight="false" outlineLevel="0" collapsed="false">
      <c r="B70843" s="0" t="s">
        <v>8</v>
      </c>
      <c r="C70843" s="0" t="s">
        <v>623</v>
      </c>
      <c r="E70843" s="0" t="s">
        <v>6494</v>
      </c>
      <c r="F70843" s="0" t="s">
        <v>6495</v>
      </c>
    </row>
    <row r="70845" customFormat="false" ht="12.8" hidden="false" customHeight="false" outlineLevel="0" collapsed="false">
      <c r="A70845" s="0" t="s">
        <v>23109</v>
      </c>
      <c r="B70845" s="0" t="str">
        <f aca="false">HYPERLINK("https://lindat.mff.cuni.cz/services/teitok/pdtc10/index.php?action=vallex&amp;frame=v-whsa_361hsa_362", "zostřit se (v-whsa_361hsa_362)")</f>
        <v>zostřit se (v-whsa_361hsa_362)</v>
      </c>
      <c r="E70845" s="0" t="str">
        <f aca="false">HYPERLINK("https://lindat.mff.cuni.cz/services/SynSemClass40/SynSemClass40.html?veclass=vec00730#vec00730-ces-cm00009", "vec00730")</f>
        <v>vec00730</v>
      </c>
      <c r="F70845" s="0" t="s">
        <v>5144</v>
      </c>
      <c r="H70845" s="0" t="str">
        <f aca="false">HYPERLINK("https://lindat.mff.cuni.cz/services/SynSemClass40/SynSemClass40.html?veclass=vec01498#vec01498-ces-cm00011", "vec01498")</f>
        <v>vec01498</v>
      </c>
      <c r="I70845" s="0" t="s">
        <v>7511</v>
      </c>
    </row>
    <row r="70846" customFormat="false" ht="12.8" hidden="false" customHeight="false" outlineLevel="0" collapsed="false">
      <c r="B70846" s="0" t="s">
        <v>1</v>
      </c>
      <c r="C70846" s="0" t="s">
        <v>16689</v>
      </c>
      <c r="E70846" s="0" t="s">
        <v>4943</v>
      </c>
      <c r="F70846" s="0" t="s">
        <v>5147</v>
      </c>
      <c r="H70846" s="0" t="s">
        <v>84</v>
      </c>
      <c r="I70846" s="0" t="s">
        <v>7513</v>
      </c>
    </row>
    <row r="70848" customFormat="false" ht="12.8" hidden="false" customHeight="false" outlineLevel="0" collapsed="false">
      <c r="A70848" s="0" t="s">
        <v>23110</v>
      </c>
      <c r="B70848" s="0" t="str">
        <f aca="false">HYPERLINK("https://lindat.mff.cuni.cz/services/teitok/pdtc10/index.php?action=vallex&amp;frame=v-w9769f1", "zostřovat (v-w9769f1)")</f>
        <v>zostřovat (v-w9769f1)</v>
      </c>
      <c r="E70848" s="0" t="str">
        <f aca="false">HYPERLINK("https://lindat.mff.cuni.cz/services/SynSemClass40/SynSemClass40.html?veclass=vec01301#vec01301-ces-cm00015", "vec01301")</f>
        <v>vec01301</v>
      </c>
      <c r="F70848" s="0" t="s">
        <v>6491</v>
      </c>
    </row>
    <row r="70849" customFormat="false" ht="12.8" hidden="false" customHeight="false" outlineLevel="0" collapsed="false">
      <c r="B70849" s="0" t="s">
        <v>1</v>
      </c>
      <c r="C70849" s="0" t="s">
        <v>14559</v>
      </c>
      <c r="E70849" s="0" t="s">
        <v>31</v>
      </c>
      <c r="F70849" s="0" t="s">
        <v>6492</v>
      </c>
    </row>
    <row r="70850" customFormat="false" ht="12.8" hidden="false" customHeight="false" outlineLevel="0" collapsed="false">
      <c r="B70850" s="0" t="s">
        <v>8</v>
      </c>
      <c r="C70850" s="0" t="s">
        <v>623</v>
      </c>
      <c r="E70850" s="0" t="s">
        <v>6494</v>
      </c>
      <c r="F70850" s="0" t="s">
        <v>6495</v>
      </c>
    </row>
    <row r="70852" customFormat="false" ht="12.8" hidden="false" customHeight="false" outlineLevel="0" collapsed="false">
      <c r="A70852" s="0" t="s">
        <v>23111</v>
      </c>
      <c r="B70852" s="0" t="str">
        <f aca="false">HYPERLINK("https://lindat.mff.cuni.cz/services/teitok/pdtc10/index.php?action=vallex&amp;frame=v-w10542f2", "zotavit (v-w10542f2)")</f>
        <v>zotavit (v-w10542f2)</v>
      </c>
    </row>
    <row r="70853" customFormat="false" ht="12.8" hidden="false" customHeight="false" outlineLevel="0" collapsed="false">
      <c r="B70853" s="0" t="s">
        <v>1</v>
      </c>
    </row>
    <row r="70854" customFormat="false" ht="12.8" hidden="false" customHeight="false" outlineLevel="0" collapsed="false">
      <c r="B70854" s="0" t="s">
        <v>8</v>
      </c>
    </row>
    <row r="70856" customFormat="false" ht="12.8" hidden="false" customHeight="false" outlineLevel="0" collapsed="false">
      <c r="A70856" s="0" t="s">
        <v>23112</v>
      </c>
      <c r="B70856" s="0" t="str">
        <f aca="false">HYPERLINK("https://lindat.mff.cuni.cz/services/teitok/pdtc10/index.php?action=vallex&amp;frame=v-w11338f2", "zotavit se (v-w11338f2)")</f>
        <v>zotavit se (v-w11338f2)</v>
      </c>
      <c r="E70856" s="0" t="str">
        <f aca="false">HYPERLINK("https://lindat.mff.cuni.cz/services/SynSemClass40/SynSemClass40.html?veclass=vec00390#vec00390-ces-cm00001", "vec00390")</f>
        <v>vec00390</v>
      </c>
      <c r="F70856" s="0" t="s">
        <v>1595</v>
      </c>
    </row>
    <row r="70857" customFormat="false" ht="12.8" hidden="false" customHeight="false" outlineLevel="0" collapsed="false">
      <c r="B70857" s="0" t="s">
        <v>1</v>
      </c>
      <c r="C70857" s="0" t="s">
        <v>1596</v>
      </c>
      <c r="E70857" s="0" t="s">
        <v>1597</v>
      </c>
      <c r="F70857" s="0" t="s">
        <v>1598</v>
      </c>
    </row>
    <row r="70858" customFormat="false" ht="12.8" hidden="false" customHeight="false" outlineLevel="0" collapsed="false">
      <c r="B70858" s="0" t="s">
        <v>763</v>
      </c>
      <c r="E70858" s="0" t="s">
        <v>2885</v>
      </c>
      <c r="F70858" s="0" t="s">
        <v>2886</v>
      </c>
    </row>
    <row r="70860" customFormat="false" ht="12.8" hidden="false" customHeight="false" outlineLevel="0" collapsed="false">
      <c r="A70860" s="0" t="s">
        <v>23113</v>
      </c>
      <c r="B70860" s="0" t="str">
        <f aca="false">HYPERLINK("https://lindat.mff.cuni.cz/services/teitok/pdtc10/index.php?action=vallex&amp;frame=v-w11361f1", "zotavovat se (v-w11361f1)")</f>
        <v>zotavovat se (v-w11361f1)</v>
      </c>
      <c r="E70860" s="0" t="str">
        <f aca="false">HYPERLINK("https://lindat.mff.cuni.cz/services/SynSemClass40/SynSemClass40.html?veclass=vec00390#vec00390-ces-cm00008", "vec00390")</f>
        <v>vec00390</v>
      </c>
      <c r="F70860" s="0" t="s">
        <v>1595</v>
      </c>
    </row>
    <row r="70861" customFormat="false" ht="12.8" hidden="false" customHeight="false" outlineLevel="0" collapsed="false">
      <c r="B70861" s="0" t="s">
        <v>1</v>
      </c>
      <c r="C70861" s="0" t="s">
        <v>1596</v>
      </c>
      <c r="E70861" s="0" t="s">
        <v>1597</v>
      </c>
      <c r="F70861" s="0" t="s">
        <v>1598</v>
      </c>
    </row>
    <row r="70862" customFormat="false" ht="12.8" hidden="false" customHeight="false" outlineLevel="0" collapsed="false">
      <c r="B70862" s="0" t="s">
        <v>763</v>
      </c>
      <c r="E70862" s="0" t="s">
        <v>2885</v>
      </c>
      <c r="F70862" s="0" t="s">
        <v>2886</v>
      </c>
    </row>
    <row r="70864" customFormat="false" ht="12.8" hidden="false" customHeight="false" outlineLevel="0" collapsed="false">
      <c r="A70864" s="0" t="s">
        <v>23114</v>
      </c>
      <c r="B70864" s="0" t="str">
        <f aca="false">HYPERLINK("https://lindat.mff.cuni.cz/services/teitok/pdtc10/index.php?action=vallex&amp;frame=v-w11345f1", "zoufat si (v-w11345f1)")</f>
        <v>zoufat si (v-w11345f1)</v>
      </c>
    </row>
    <row r="70865" customFormat="false" ht="12.8" hidden="false" customHeight="false" outlineLevel="0" collapsed="false">
      <c r="B70865" s="0" t="s">
        <v>1</v>
      </c>
    </row>
    <row r="70866" customFormat="false" ht="12.8" hidden="false" customHeight="false" outlineLevel="0" collapsed="false">
      <c r="B70866" s="0" t="s">
        <v>4070</v>
      </c>
    </row>
    <row r="70868" customFormat="false" ht="12.8" hidden="false" customHeight="false" outlineLevel="0" collapsed="false">
      <c r="A70868" s="0" t="s">
        <v>23115</v>
      </c>
      <c r="B70868" s="0" t="str">
        <f aca="false">HYPERLINK("https://lindat.mff.cuni.cz/services/teitok/pdtc10/index.php?action=vallex&amp;frame=v-whsa_1699f1_ZU", "zout (v-whsa_1699f1_ZU)")</f>
        <v>zout (v-whsa_1699f1_ZU)</v>
      </c>
    </row>
    <row r="70869" customFormat="false" ht="12.8" hidden="false" customHeight="false" outlineLevel="0" collapsed="false">
      <c r="B70869" s="0" t="s">
        <v>1</v>
      </c>
    </row>
    <row r="70870" customFormat="false" ht="12.8" hidden="false" customHeight="false" outlineLevel="0" collapsed="false">
      <c r="B70870" s="0" t="s">
        <v>8</v>
      </c>
    </row>
    <row r="70872" customFormat="false" ht="12.8" hidden="false" customHeight="false" outlineLevel="0" collapsed="false">
      <c r="A70872" s="0" t="s">
        <v>23115</v>
      </c>
      <c r="B70872" s="0" t="str">
        <f aca="false">HYPERLINK("https://lindat.mff.cuni.cz/services/teitok/pdtc10/index.php?action=vallex&amp;frame=v-whsa_1699hsa_1701", "zout (v-whsa_1699hsa_1701) - substituted with v-whsa_1699f1_ZU")</f>
        <v>zout (v-whsa_1699hsa_1701) - substituted with v-whsa_1699f1_ZU</v>
      </c>
    </row>
    <row r="70873" customFormat="false" ht="12.8" hidden="false" customHeight="false" outlineLevel="0" collapsed="false">
      <c r="B70873" s="0" t="s">
        <v>1</v>
      </c>
    </row>
    <row r="70874" customFormat="false" ht="12.8" hidden="false" customHeight="false" outlineLevel="0" collapsed="false">
      <c r="B70874" s="0" t="s">
        <v>8</v>
      </c>
    </row>
    <row r="70876" customFormat="false" ht="12.8" hidden="false" customHeight="false" outlineLevel="0" collapsed="false">
      <c r="A70876" s="0" t="s">
        <v>23116</v>
      </c>
      <c r="B70876" s="0" t="str">
        <f aca="false">HYPERLINK("https://lindat.mff.cuni.cz/services/teitok/pdtc10/index.php?action=vallex&amp;frame=v-whsa_1699hsa_1700", "zout (v-whsa_1699hsa_1700)")</f>
        <v>zout (v-whsa_1699hsa_1700)</v>
      </c>
    </row>
    <row r="70877" customFormat="false" ht="12.8" hidden="false" customHeight="false" outlineLevel="0" collapsed="false">
      <c r="B70877" s="0" t="s">
        <v>1</v>
      </c>
    </row>
    <row r="70878" customFormat="false" ht="12.8" hidden="false" customHeight="false" outlineLevel="0" collapsed="false">
      <c r="B70878" s="0" t="s">
        <v>8</v>
      </c>
    </row>
    <row r="70879" customFormat="false" ht="12.8" hidden="false" customHeight="false" outlineLevel="0" collapsed="false">
      <c r="B70879" s="0" t="s">
        <v>36</v>
      </c>
    </row>
    <row r="70881" customFormat="false" ht="12.8" hidden="false" customHeight="false" outlineLevel="0" collapsed="false">
      <c r="A70881" s="0" t="s">
        <v>23117</v>
      </c>
      <c r="B70881" s="0" t="str">
        <f aca="false">HYPERLINK("https://lindat.mff.cuni.cz/services/teitok/pdtc10/index.php?action=vallex&amp;frame=v-w12325_MMf1_MM", "zošklivit si (v-w12325_MMf1_MM)")</f>
        <v>zošklivit si (v-w12325_MMf1_MM)</v>
      </c>
    </row>
    <row r="70882" customFormat="false" ht="12.8" hidden="false" customHeight="false" outlineLevel="0" collapsed="false">
      <c r="B70882" s="0" t="s">
        <v>1</v>
      </c>
    </row>
    <row r="70883" customFormat="false" ht="12.8" hidden="false" customHeight="false" outlineLevel="0" collapsed="false">
      <c r="B70883" s="0" t="s">
        <v>8</v>
      </c>
    </row>
    <row r="70885" customFormat="false" ht="12.8" hidden="false" customHeight="false" outlineLevel="0" collapsed="false">
      <c r="A70885" s="0" t="s">
        <v>23118</v>
      </c>
      <c r="B70885" s="0" t="str">
        <f aca="false">HYPERLINK("https://lindat.mff.cuni.cz/services/teitok/pdtc10/index.php?action=vallex&amp;frame=v-w10766f2", "zpanikařit (v-w10766f2)")</f>
        <v>zpanikařit (v-w10766f2)</v>
      </c>
      <c r="E70885" s="0" t="str">
        <f aca="false">HYPERLINK("https://lindat.mff.cuni.cz/services/SynSemClass40/SynSemClass40.html?veclass=vec00864#vec00864-ces-cm00004", "vec00864")</f>
        <v>vec00864</v>
      </c>
      <c r="F70885" s="0" t="s">
        <v>10434</v>
      </c>
    </row>
    <row r="70886" customFormat="false" ht="12.8" hidden="false" customHeight="false" outlineLevel="0" collapsed="false">
      <c r="B70886" s="0" t="s">
        <v>1</v>
      </c>
      <c r="C70886" s="0" t="s">
        <v>10435</v>
      </c>
      <c r="E70886" s="0" t="s">
        <v>621</v>
      </c>
      <c r="F70886" s="0" t="s">
        <v>10436</v>
      </c>
    </row>
    <row r="70888" customFormat="false" ht="12.8" hidden="false" customHeight="false" outlineLevel="0" collapsed="false">
      <c r="A70888" s="0" t="s">
        <v>23119</v>
      </c>
      <c r="B70888" s="0" t="str">
        <f aca="false">HYPERLINK("https://lindat.mff.cuni.cz/services/teitok/pdtc10/index.php?action=vallex&amp;frame=v-w9773f1", "zpeněžit (v-w9773f1)")</f>
        <v>zpeněžit (v-w9773f1)</v>
      </c>
    </row>
    <row r="70889" customFormat="false" ht="12.8" hidden="false" customHeight="false" outlineLevel="0" collapsed="false">
      <c r="B70889" s="0" t="s">
        <v>1</v>
      </c>
    </row>
    <row r="70890" customFormat="false" ht="12.8" hidden="false" customHeight="false" outlineLevel="0" collapsed="false">
      <c r="B70890" s="0" t="s">
        <v>8</v>
      </c>
    </row>
    <row r="70892" customFormat="false" ht="12.8" hidden="false" customHeight="false" outlineLevel="0" collapsed="false">
      <c r="A70892" s="0" t="s">
        <v>23120</v>
      </c>
      <c r="B70892" s="0" t="str">
        <f aca="false">HYPERLINK("https://lindat.mff.cuni.cz/services/teitok/pdtc10/index.php?action=vallex&amp;frame=v-w12031_ZUf1_ZU", "zpeněžovat (v-w12031_ZUf1_ZU)")</f>
        <v>zpeněžovat (v-w12031_ZUf1_ZU)</v>
      </c>
    </row>
    <row r="70893" customFormat="false" ht="12.8" hidden="false" customHeight="false" outlineLevel="0" collapsed="false">
      <c r="B70893" s="0" t="s">
        <v>1</v>
      </c>
    </row>
    <row r="70894" customFormat="false" ht="12.8" hidden="false" customHeight="false" outlineLevel="0" collapsed="false">
      <c r="B70894" s="0" t="s">
        <v>8</v>
      </c>
    </row>
    <row r="70896" customFormat="false" ht="12.8" hidden="false" customHeight="false" outlineLevel="0" collapsed="false">
      <c r="A70896" s="0" t="s">
        <v>23121</v>
      </c>
      <c r="B70896" s="0" t="str">
        <f aca="false">HYPERLINK("https://lindat.mff.cuni.cz/services/teitok/pdtc10/index.php?action=vallex&amp;frame=v-w9775f1", "zpestřit (v-w9775f1)")</f>
        <v>zpestřit (v-w9775f1)</v>
      </c>
      <c r="E70896" s="0" t="str">
        <f aca="false">HYPERLINK("https://lindat.mff.cuni.cz/services/SynSemClass40/SynSemClass40.html?veclass=vec01052#vec01052-ces-cm00003", "vec01052")</f>
        <v>vec01052</v>
      </c>
      <c r="F70896" s="0" t="s">
        <v>8456</v>
      </c>
    </row>
    <row r="70897" customFormat="false" ht="12.8" hidden="false" customHeight="false" outlineLevel="0" collapsed="false">
      <c r="B70897" s="0" t="s">
        <v>1</v>
      </c>
      <c r="C70897" s="0" t="s">
        <v>4695</v>
      </c>
      <c r="E70897" s="0" t="s">
        <v>11</v>
      </c>
      <c r="F70897" s="0" t="s">
        <v>5950</v>
      </c>
    </row>
    <row r="70898" customFormat="false" ht="12.8" hidden="false" customHeight="false" outlineLevel="0" collapsed="false">
      <c r="B70898" s="0" t="s">
        <v>8</v>
      </c>
      <c r="C70898" s="0" t="s">
        <v>8457</v>
      </c>
      <c r="E70898" s="0" t="s">
        <v>2588</v>
      </c>
      <c r="F70898" s="0" t="s">
        <v>8458</v>
      </c>
    </row>
    <row r="70900" customFormat="false" ht="12.8" hidden="false" customHeight="false" outlineLevel="0" collapsed="false">
      <c r="A70900" s="0" t="s">
        <v>23122</v>
      </c>
      <c r="B70900" s="0" t="str">
        <f aca="false">HYPERLINK("https://lindat.mff.cuni.cz/services/teitok/pdtc10/index.php?action=vallex&amp;frame=v-w9776f1", "zpestřovat (v-w9776f1)")</f>
        <v>zpestřovat (v-w9776f1)</v>
      </c>
    </row>
    <row r="70901" customFormat="false" ht="12.8" hidden="false" customHeight="false" outlineLevel="0" collapsed="false">
      <c r="B70901" s="0" t="s">
        <v>1</v>
      </c>
    </row>
    <row r="70902" customFormat="false" ht="12.8" hidden="false" customHeight="false" outlineLevel="0" collapsed="false">
      <c r="B70902" s="0" t="s">
        <v>8</v>
      </c>
    </row>
    <row r="70904" customFormat="false" ht="12.8" hidden="false" customHeight="false" outlineLevel="0" collapsed="false">
      <c r="A70904" s="0" t="s">
        <v>23123</v>
      </c>
      <c r="B70904" s="0" t="str">
        <f aca="false">HYPERLINK("https://lindat.mff.cuni.cz/services/teitok/pdtc10/index.php?action=vallex&amp;frame=v-w9779f1", "zpevnit (v-w9779f1)")</f>
        <v>zpevnit (v-w9779f1)</v>
      </c>
      <c r="E70904" s="0" t="str">
        <f aca="false">HYPERLINK("https://lindat.mff.cuni.cz/services/SynSemClass40/SynSemClass40.html?veclass=vec00997#vec00997-ces-cm00001", "vec00997")</f>
        <v>vec00997</v>
      </c>
      <c r="F70904" s="0" t="s">
        <v>23124</v>
      </c>
    </row>
    <row r="70905" customFormat="false" ht="12.8" hidden="false" customHeight="false" outlineLevel="0" collapsed="false">
      <c r="B70905" s="0" t="s">
        <v>1</v>
      </c>
      <c r="C70905" s="0" t="s">
        <v>23125</v>
      </c>
      <c r="E70905" s="0" t="s">
        <v>8199</v>
      </c>
      <c r="F70905" s="0" t="s">
        <v>23126</v>
      </c>
    </row>
    <row r="70906" customFormat="false" ht="12.8" hidden="false" customHeight="false" outlineLevel="0" collapsed="false">
      <c r="B70906" s="0" t="s">
        <v>390</v>
      </c>
      <c r="C70906" s="0" t="s">
        <v>798</v>
      </c>
      <c r="E70906" s="0" t="s">
        <v>2732</v>
      </c>
      <c r="F70906" s="0" t="s">
        <v>23127</v>
      </c>
    </row>
    <row r="70907" customFormat="false" ht="12.8" hidden="false" customHeight="false" outlineLevel="0" collapsed="false">
      <c r="B70907" s="0" t="s">
        <v>36</v>
      </c>
      <c r="C70907" s="0" t="s">
        <v>1849</v>
      </c>
      <c r="E70907" s="0" t="s">
        <v>5152</v>
      </c>
      <c r="F70907" s="0" t="s">
        <v>12242</v>
      </c>
    </row>
    <row r="70908" customFormat="false" ht="12.8" hidden="false" customHeight="false" outlineLevel="0" collapsed="false">
      <c r="B70908" s="0" t="s">
        <v>101</v>
      </c>
      <c r="C70908" s="0" t="s">
        <v>23128</v>
      </c>
      <c r="E70908" s="0" t="s">
        <v>5796</v>
      </c>
      <c r="F70908" s="0" t="s">
        <v>23129</v>
      </c>
    </row>
    <row r="70910" customFormat="false" ht="12.8" hidden="false" customHeight="false" outlineLevel="0" collapsed="false">
      <c r="A70910" s="0" t="s">
        <v>23130</v>
      </c>
      <c r="B70910" s="0" t="str">
        <f aca="false">HYPERLINK("https://lindat.mff.cuni.cz/services/teitok/pdtc10/index.php?action=vallex&amp;frame=v-w9779hsa_25", "zpevnit (v-w9779hsa_25)")</f>
        <v>zpevnit (v-w9779hsa_25)</v>
      </c>
    </row>
    <row r="70911" customFormat="false" ht="12.8" hidden="false" customHeight="false" outlineLevel="0" collapsed="false">
      <c r="B70911" s="0" t="s">
        <v>1</v>
      </c>
    </row>
    <row r="70912" customFormat="false" ht="12.8" hidden="false" customHeight="false" outlineLevel="0" collapsed="false">
      <c r="B70912" s="0" t="s">
        <v>8</v>
      </c>
    </row>
    <row r="70914" customFormat="false" ht="12.8" hidden="false" customHeight="false" outlineLevel="0" collapsed="false">
      <c r="A70914" s="0" t="s">
        <v>23131</v>
      </c>
      <c r="B70914" s="0" t="str">
        <f aca="false">HYPERLINK("https://lindat.mff.cuni.cz/services/teitok/pdtc10/index.php?action=vallex&amp;frame=v-w9781f1", "zpevňovat (v-w9781f1)")</f>
        <v>zpevňovat (v-w9781f1)</v>
      </c>
      <c r="E70914" s="0" t="str">
        <f aca="false">HYPERLINK("https://lindat.mff.cuni.cz/services/SynSemClass40/SynSemClass40.html?veclass=vec00997#vec00997-ces-cm00017", "vec00997")</f>
        <v>vec00997</v>
      </c>
      <c r="F70914" s="0" t="s">
        <v>23124</v>
      </c>
    </row>
    <row r="70915" customFormat="false" ht="12.8" hidden="false" customHeight="false" outlineLevel="0" collapsed="false">
      <c r="B70915" s="0" t="s">
        <v>1</v>
      </c>
      <c r="C70915" s="0" t="s">
        <v>23125</v>
      </c>
      <c r="E70915" s="0" t="s">
        <v>8199</v>
      </c>
      <c r="F70915" s="0" t="s">
        <v>23126</v>
      </c>
    </row>
    <row r="70916" customFormat="false" ht="12.8" hidden="false" customHeight="false" outlineLevel="0" collapsed="false">
      <c r="B70916" s="0" t="s">
        <v>390</v>
      </c>
      <c r="C70916" s="0" t="s">
        <v>798</v>
      </c>
      <c r="E70916" s="0" t="s">
        <v>2732</v>
      </c>
      <c r="F70916" s="0" t="s">
        <v>23127</v>
      </c>
    </row>
    <row r="70917" customFormat="false" ht="12.8" hidden="false" customHeight="false" outlineLevel="0" collapsed="false">
      <c r="B70917" s="0" t="s">
        <v>36</v>
      </c>
      <c r="C70917" s="0" t="s">
        <v>1849</v>
      </c>
      <c r="E70917" s="0" t="s">
        <v>5152</v>
      </c>
      <c r="F70917" s="0" t="s">
        <v>12242</v>
      </c>
    </row>
    <row r="70918" customFormat="false" ht="12.8" hidden="false" customHeight="false" outlineLevel="0" collapsed="false">
      <c r="B70918" s="0" t="s">
        <v>101</v>
      </c>
      <c r="C70918" s="0" t="s">
        <v>23128</v>
      </c>
      <c r="E70918" s="0" t="s">
        <v>5796</v>
      </c>
      <c r="F70918" s="0" t="s">
        <v>23129</v>
      </c>
    </row>
    <row r="70920" customFormat="false" ht="12.8" hidden="false" customHeight="false" outlineLevel="0" collapsed="false">
      <c r="A70920" s="0" t="s">
        <v>23132</v>
      </c>
      <c r="B70920" s="0" t="str">
        <f aca="false">HYPERLINK("https://lindat.mff.cuni.cz/services/teitok/pdtc10/index.php?action=vallex&amp;frame=v-w9772f1", "zpečetit (v-w9772f1)")</f>
        <v>zpečetit (v-w9772f1)</v>
      </c>
    </row>
    <row r="70921" customFormat="false" ht="12.8" hidden="false" customHeight="false" outlineLevel="0" collapsed="false">
      <c r="B70921" s="0" t="s">
        <v>1</v>
      </c>
    </row>
    <row r="70922" customFormat="false" ht="12.8" hidden="false" customHeight="false" outlineLevel="0" collapsed="false">
      <c r="B70922" s="0" t="s">
        <v>8</v>
      </c>
    </row>
    <row r="70924" customFormat="false" ht="12.8" hidden="false" customHeight="false" outlineLevel="0" collapsed="false">
      <c r="A70924" s="0" t="s">
        <v>23133</v>
      </c>
      <c r="B70924" s="0" t="str">
        <f aca="false">HYPERLINK("https://lindat.mff.cuni.cz/services/teitok/pdtc10/index.php?action=vallex&amp;frame=v-w12395_MMf1_MM", "zplanýrovat (v-w12395_MMf1_MM)")</f>
        <v>zplanýrovat (v-w12395_MMf1_MM)</v>
      </c>
    </row>
    <row r="70925" customFormat="false" ht="12.8" hidden="false" customHeight="false" outlineLevel="0" collapsed="false">
      <c r="B70925" s="0" t="s">
        <v>1</v>
      </c>
    </row>
    <row r="70926" customFormat="false" ht="12.8" hidden="false" customHeight="false" outlineLevel="0" collapsed="false">
      <c r="B70926" s="0" t="s">
        <v>8</v>
      </c>
    </row>
    <row r="70928" customFormat="false" ht="12.8" hidden="false" customHeight="false" outlineLevel="0" collapsed="false">
      <c r="A70928" s="0" t="s">
        <v>23134</v>
      </c>
      <c r="B70928" s="0" t="str">
        <f aca="false">HYPERLINK("https://lindat.mff.cuni.cz/services/teitok/pdtc10/index.php?action=vallex&amp;frame=v-w12372_MMf1_MM", "zplizovat (v-w12372_MMf1_MM)")</f>
        <v>zplizovat (v-w12372_MMf1_MM)</v>
      </c>
    </row>
    <row r="70929" customFormat="false" ht="12.8" hidden="false" customHeight="false" outlineLevel="0" collapsed="false">
      <c r="B70929" s="0" t="s">
        <v>1</v>
      </c>
    </row>
    <row r="70930" customFormat="false" ht="12.8" hidden="false" customHeight="false" outlineLevel="0" collapsed="false">
      <c r="B70930" s="0" t="s">
        <v>8</v>
      </c>
    </row>
    <row r="70932" customFormat="false" ht="12.8" hidden="false" customHeight="false" outlineLevel="0" collapsed="false">
      <c r="A70932" s="0" t="s">
        <v>23135</v>
      </c>
      <c r="B70932" s="0" t="str">
        <f aca="false">HYPERLINK("https://lindat.mff.cuni.cz/services/teitok/pdtc10/index.php?action=vallex&amp;frame=v-whsa_460hsa_461", "zplnoletnit (v-whsa_460hsa_461)")</f>
        <v>zplnoletnit (v-whsa_460hsa_461)</v>
      </c>
    </row>
    <row r="70933" customFormat="false" ht="12.8" hidden="false" customHeight="false" outlineLevel="0" collapsed="false">
      <c r="B70933" s="0" t="s">
        <v>1</v>
      </c>
    </row>
    <row r="70934" customFormat="false" ht="12.8" hidden="false" customHeight="false" outlineLevel="0" collapsed="false">
      <c r="B70934" s="0" t="s">
        <v>8</v>
      </c>
    </row>
    <row r="70936" customFormat="false" ht="12.8" hidden="false" customHeight="false" outlineLevel="0" collapsed="false">
      <c r="A70936" s="0" t="s">
        <v>23136</v>
      </c>
      <c r="B70936" s="0" t="str">
        <f aca="false">HYPERLINK("https://lindat.mff.cuni.cz/services/teitok/pdtc10/index.php?action=vallex&amp;frame=v-w9785f1", "zplnomocnit (v-w9785f1)")</f>
        <v>zplnomocnit (v-w9785f1)</v>
      </c>
    </row>
    <row r="70937" customFormat="false" ht="12.8" hidden="false" customHeight="false" outlineLevel="0" collapsed="false">
      <c r="B70937" s="0" t="s">
        <v>1</v>
      </c>
    </row>
    <row r="70938" customFormat="false" ht="12.8" hidden="false" customHeight="false" outlineLevel="0" collapsed="false">
      <c r="B70938" s="0" t="s">
        <v>9857</v>
      </c>
    </row>
    <row r="70939" customFormat="false" ht="12.8" hidden="false" customHeight="false" outlineLevel="0" collapsed="false">
      <c r="B70939" s="0" t="s">
        <v>98</v>
      </c>
    </row>
    <row r="70941" customFormat="false" ht="12.8" hidden="false" customHeight="false" outlineLevel="0" collapsed="false">
      <c r="A70941" s="0" t="s">
        <v>23137</v>
      </c>
      <c r="B70941" s="0" t="str">
        <f aca="false">HYPERLINK("https://lindat.mff.cuni.cz/services/teitok/pdtc10/index.php?action=vallex&amp;frame=v-w9786f1", "zplnomocňovat (v-w9786f1)")</f>
        <v>zplnomocňovat (v-w9786f1)</v>
      </c>
    </row>
    <row r="70942" customFormat="false" ht="12.8" hidden="false" customHeight="false" outlineLevel="0" collapsed="false">
      <c r="B70942" s="0" t="s">
        <v>1</v>
      </c>
    </row>
    <row r="70943" customFormat="false" ht="12.8" hidden="false" customHeight="false" outlineLevel="0" collapsed="false">
      <c r="B70943" s="0" t="s">
        <v>9857</v>
      </c>
    </row>
    <row r="70944" customFormat="false" ht="12.8" hidden="false" customHeight="false" outlineLevel="0" collapsed="false">
      <c r="B70944" s="0" t="s">
        <v>98</v>
      </c>
    </row>
    <row r="70946" customFormat="false" ht="12.8" hidden="false" customHeight="false" outlineLevel="0" collapsed="false">
      <c r="A70946" s="0" t="s">
        <v>23138</v>
      </c>
      <c r="B70946" s="0" t="str">
        <f aca="false">HYPERLINK("https://lindat.mff.cuni.cz/services/teitok/pdtc10/index.php?action=vallex&amp;frame=v-w9787f1", "zplodit (v-w9787f1)")</f>
        <v>zplodit (v-w9787f1)</v>
      </c>
    </row>
    <row r="70947" customFormat="false" ht="12.8" hidden="false" customHeight="false" outlineLevel="0" collapsed="false">
      <c r="B70947" s="0" t="s">
        <v>1</v>
      </c>
    </row>
    <row r="70948" customFormat="false" ht="12.8" hidden="false" customHeight="false" outlineLevel="0" collapsed="false">
      <c r="B70948" s="0" t="s">
        <v>8</v>
      </c>
    </row>
    <row r="70950" customFormat="false" ht="12.8" hidden="false" customHeight="false" outlineLevel="0" collapsed="false">
      <c r="A70950" s="0" t="s">
        <v>23139</v>
      </c>
      <c r="B70950" s="0" t="str">
        <f aca="false">HYPERLINK("https://lindat.mff.cuni.cz/services/teitok/pdtc10/index.php?action=vallex&amp;frame=v-w9787f2", "zplodit (v-w9787f2)")</f>
        <v>zplodit (v-w9787f2)</v>
      </c>
    </row>
    <row r="70951" customFormat="false" ht="12.8" hidden="false" customHeight="false" outlineLevel="0" collapsed="false">
      <c r="B70951" s="0" t="s">
        <v>1</v>
      </c>
    </row>
    <row r="70952" customFormat="false" ht="12.8" hidden="false" customHeight="false" outlineLevel="0" collapsed="false">
      <c r="B70952" s="0" t="s">
        <v>8</v>
      </c>
    </row>
    <row r="70954" customFormat="false" ht="12.8" hidden="false" customHeight="false" outlineLevel="0" collapsed="false">
      <c r="A70954" s="0" t="s">
        <v>23140</v>
      </c>
      <c r="B70954" s="0" t="str">
        <f aca="false">HYPERLINK("https://lindat.mff.cuni.cz/services/teitok/pdtc10/index.php?action=vallex&amp;frame=v-w9788f1", "zploštit (v-w9788f1)")</f>
        <v>zploštit (v-w9788f1)</v>
      </c>
    </row>
    <row r="70955" customFormat="false" ht="12.8" hidden="false" customHeight="false" outlineLevel="0" collapsed="false">
      <c r="B70955" s="0" t="s">
        <v>1</v>
      </c>
    </row>
    <row r="70956" customFormat="false" ht="12.8" hidden="false" customHeight="false" outlineLevel="0" collapsed="false">
      <c r="B70956" s="0" t="s">
        <v>8</v>
      </c>
    </row>
    <row r="70958" customFormat="false" ht="12.8" hidden="false" customHeight="false" outlineLevel="0" collapsed="false">
      <c r="A70958" s="0" t="s">
        <v>23141</v>
      </c>
      <c r="B70958" s="0" t="str">
        <f aca="false">HYPERLINK("https://lindat.mff.cuni.cz/services/teitok/pdtc10/index.php?action=vallex&amp;frame=v-w9792f1", "zpochybnit (v-w9792f1)")</f>
        <v>zpochybnit (v-w9792f1)</v>
      </c>
      <c r="E70958" s="0" t="str">
        <f aca="false">HYPERLINK("https://lindat.mff.cuni.cz/services/SynSemClass40/SynSemClass40.html?veclass=vec00391#vec00391-ces-cm00025", "vec00391")</f>
        <v>vec00391</v>
      </c>
      <c r="F70958" s="0" t="s">
        <v>7472</v>
      </c>
    </row>
    <row r="70959" customFormat="false" ht="12.8" hidden="false" customHeight="false" outlineLevel="0" collapsed="false">
      <c r="B70959" s="0" t="s">
        <v>1</v>
      </c>
      <c r="C70959" s="0" t="s">
        <v>7473</v>
      </c>
      <c r="E70959" s="0" t="s">
        <v>621</v>
      </c>
      <c r="F70959" s="0" t="s">
        <v>7474</v>
      </c>
    </row>
    <row r="70960" customFormat="false" ht="12.8" hidden="false" customHeight="false" outlineLevel="0" collapsed="false">
      <c r="B70960" s="0" t="s">
        <v>1838</v>
      </c>
      <c r="C70960" s="0" t="s">
        <v>7475</v>
      </c>
      <c r="E70960" s="0" t="s">
        <v>180</v>
      </c>
      <c r="F70960" s="0" t="s">
        <v>7476</v>
      </c>
    </row>
    <row r="70962" customFormat="false" ht="12.8" hidden="false" customHeight="false" outlineLevel="0" collapsed="false">
      <c r="A70962" s="0" t="s">
        <v>23142</v>
      </c>
      <c r="B70962" s="0" t="str">
        <f aca="false">HYPERLINK("https://lindat.mff.cuni.cz/services/teitok/pdtc10/index.php?action=vallex&amp;frame=v-w9794f1", "zpochybňovat (v-w9794f1)")</f>
        <v>zpochybňovat (v-w9794f1)</v>
      </c>
      <c r="E70962" s="0" t="str">
        <f aca="false">HYPERLINK("https://lindat.mff.cuni.cz/services/SynSemClass40/SynSemClass40.html?veclass=vec00391#vec00391-ces-cm00001", "vec00391")</f>
        <v>vec00391</v>
      </c>
      <c r="F70962" s="0" t="s">
        <v>7472</v>
      </c>
    </row>
    <row r="70963" customFormat="false" ht="12.8" hidden="false" customHeight="false" outlineLevel="0" collapsed="false">
      <c r="B70963" s="0" t="s">
        <v>1</v>
      </c>
      <c r="C70963" s="0" t="s">
        <v>7473</v>
      </c>
      <c r="E70963" s="0" t="s">
        <v>621</v>
      </c>
      <c r="F70963" s="0" t="s">
        <v>7474</v>
      </c>
    </row>
    <row r="70964" customFormat="false" ht="12.8" hidden="false" customHeight="false" outlineLevel="0" collapsed="false">
      <c r="B70964" s="0" t="s">
        <v>1838</v>
      </c>
      <c r="C70964" s="0" t="s">
        <v>7475</v>
      </c>
      <c r="E70964" s="0" t="s">
        <v>180</v>
      </c>
      <c r="F70964" s="0" t="s">
        <v>7476</v>
      </c>
    </row>
    <row r="70966" customFormat="false" ht="12.8" hidden="false" customHeight="false" outlineLevel="0" collapsed="false">
      <c r="A70966" s="0" t="s">
        <v>23143</v>
      </c>
      <c r="B70966" s="0" t="str">
        <f aca="false">HYPERLINK("https://lindat.mff.cuni.cz/services/teitok/pdtc10/index.php?action=vallex&amp;frame=v-whsa_111hsa_112", "zpodobňovat (v-whsa_111hsa_112)")</f>
        <v>zpodobňovat (v-whsa_111hsa_112)</v>
      </c>
    </row>
    <row r="70967" customFormat="false" ht="12.8" hidden="false" customHeight="false" outlineLevel="0" collapsed="false">
      <c r="B70967" s="0" t="s">
        <v>1</v>
      </c>
    </row>
    <row r="70968" customFormat="false" ht="12.8" hidden="false" customHeight="false" outlineLevel="0" collapsed="false">
      <c r="B70968" s="0" t="s">
        <v>8</v>
      </c>
    </row>
    <row r="70970" customFormat="false" ht="12.8" hidden="false" customHeight="false" outlineLevel="0" collapsed="false">
      <c r="A70970" s="0" t="s">
        <v>23144</v>
      </c>
      <c r="B70970" s="0" t="str">
        <f aca="false">HYPERLINK("https://lindat.mff.cuni.cz/services/teitok/pdtc10/index.php?action=vallex&amp;frame=v-w9790f1", "zpohodlnět (v-w9790f1)")</f>
        <v>zpohodlnět (v-w9790f1)</v>
      </c>
    </row>
    <row r="70971" customFormat="false" ht="12.8" hidden="false" customHeight="false" outlineLevel="0" collapsed="false">
      <c r="B70971" s="0" t="s">
        <v>1</v>
      </c>
    </row>
    <row r="70973" customFormat="false" ht="12.8" hidden="false" customHeight="false" outlineLevel="0" collapsed="false">
      <c r="A70973" s="0" t="s">
        <v>23145</v>
      </c>
      <c r="B70973" s="0" t="str">
        <f aca="false">HYPERLINK("https://lindat.mff.cuni.cz/services/teitok/pdtc10/index.php?action=vallex&amp;frame=v-w9796f1", "zpolitizovat (v-w9796f1)")</f>
        <v>zpolitizovat (v-w9796f1)</v>
      </c>
      <c r="E70973" s="0" t="str">
        <f aca="false">HYPERLINK("https://lindat.mff.cuni.cz/services/SynSemClass40/SynSemClass40.html?veclass=vec01511#vec01511-ces-cm00002", "vec01511")</f>
        <v>vec01511</v>
      </c>
      <c r="F70973" s="0" t="s">
        <v>11188</v>
      </c>
    </row>
    <row r="70974" customFormat="false" ht="12.8" hidden="false" customHeight="false" outlineLevel="0" collapsed="false">
      <c r="B70974" s="0" t="s">
        <v>1</v>
      </c>
      <c r="E70974" s="0" t="s">
        <v>147</v>
      </c>
      <c r="F70974" s="0" t="s">
        <v>5874</v>
      </c>
    </row>
    <row r="70975" customFormat="false" ht="12.8" hidden="false" customHeight="false" outlineLevel="0" collapsed="false">
      <c r="B70975" s="0" t="s">
        <v>8</v>
      </c>
      <c r="E70975" s="0" t="s">
        <v>230</v>
      </c>
      <c r="F70975" s="0" t="s">
        <v>8105</v>
      </c>
    </row>
    <row r="70977" customFormat="false" ht="12.8" hidden="false" customHeight="false" outlineLevel="0" collapsed="false">
      <c r="A70977" s="0" t="s">
        <v>23146</v>
      </c>
      <c r="B70977" s="0" t="str">
        <f aca="false">HYPERLINK("https://lindat.mff.cuni.cz/services/teitok/pdtc10/index.php?action=vallex&amp;frame=v-w9798f1", "zpomalit (v-w9798f1)")</f>
        <v>zpomalit (v-w9798f1)</v>
      </c>
      <c r="E70977" s="0" t="str">
        <f aca="false">HYPERLINK("https://lindat.mff.cuni.cz/services/SynSemClass40/SynSemClass40.html?veclass=vec00392#vec00392-ces-cm00001", "vec00392")</f>
        <v>vec00392</v>
      </c>
      <c r="F70977" s="0" t="s">
        <v>548</v>
      </c>
    </row>
    <row r="70978" customFormat="false" ht="12.8" hidden="false" customHeight="false" outlineLevel="0" collapsed="false">
      <c r="B70978" s="0" t="s">
        <v>1</v>
      </c>
      <c r="C70978" s="0" t="s">
        <v>549</v>
      </c>
      <c r="E70978" s="0" t="s">
        <v>31</v>
      </c>
      <c r="F70978" s="0" t="s">
        <v>550</v>
      </c>
    </row>
    <row r="70979" customFormat="false" ht="12.8" hidden="false" customHeight="false" outlineLevel="0" collapsed="false">
      <c r="B70979" s="0" t="s">
        <v>8</v>
      </c>
      <c r="C70979" s="0" t="s">
        <v>8691</v>
      </c>
      <c r="E70979" s="0" t="s">
        <v>4202</v>
      </c>
      <c r="F70979" s="0" t="s">
        <v>13938</v>
      </c>
    </row>
    <row r="70981" customFormat="false" ht="12.8" hidden="false" customHeight="false" outlineLevel="0" collapsed="false">
      <c r="A70981" s="0" t="s">
        <v>23147</v>
      </c>
      <c r="B70981" s="0" t="str">
        <f aca="false">HYPERLINK("https://lindat.mff.cuni.cz/services/teitok/pdtc10/index.php?action=vallex&amp;frame=v-w9798f2_ZU", "zpomalit (v-w9798f2_ZU)")</f>
        <v>zpomalit (v-w9798f2_ZU)</v>
      </c>
      <c r="E70981" s="0" t="str">
        <f aca="false">HYPERLINK("https://lindat.mff.cuni.cz/services/SynSemClass40/SynSemClass40.html?veclass=vec00463#vec00463-ces-cm00027", "vec00463")</f>
        <v>vec00463</v>
      </c>
      <c r="F70981" s="0" t="s">
        <v>8671</v>
      </c>
    </row>
    <row r="70982" customFormat="false" ht="12.8" hidden="false" customHeight="false" outlineLevel="0" collapsed="false">
      <c r="B70982" s="0" t="s">
        <v>1</v>
      </c>
      <c r="C70982" s="0" t="s">
        <v>9962</v>
      </c>
      <c r="E70982" s="0" t="s">
        <v>8663</v>
      </c>
      <c r="F70982" s="0" t="s">
        <v>8673</v>
      </c>
    </row>
    <row r="70983" customFormat="false" ht="12.8" hidden="false" customHeight="false" outlineLevel="0" collapsed="false">
      <c r="B70983" s="0" t="s">
        <v>69</v>
      </c>
      <c r="C70983" s="0" t="s">
        <v>22635</v>
      </c>
      <c r="E70983" s="0" t="s">
        <v>1592</v>
      </c>
      <c r="F70983" s="0" t="s">
        <v>22636</v>
      </c>
    </row>
    <row r="70984" customFormat="false" ht="12.8" hidden="false" customHeight="false" outlineLevel="0" collapsed="false">
      <c r="B70984" s="0" t="s">
        <v>36</v>
      </c>
      <c r="E70984" s="0" t="s">
        <v>38</v>
      </c>
      <c r="F70984" s="0" t="s">
        <v>8255</v>
      </c>
    </row>
    <row r="70986" customFormat="false" ht="12.8" hidden="false" customHeight="false" outlineLevel="0" collapsed="false">
      <c r="A70986" s="0" t="s">
        <v>23147</v>
      </c>
      <c r="B70986" s="0" t="str">
        <f aca="false">HYPERLINK("https://lindat.mff.cuni.cz/services/teitok/pdtc10/index.php?action=vallex&amp;frame=v-w9798hsa_620", "zpomalit (v-w9798hsa_620) - substituted with v-w9798f2_ZU")</f>
        <v>zpomalit (v-w9798hsa_620) - substituted with v-w9798f2_ZU</v>
      </c>
    </row>
    <row r="70987" customFormat="false" ht="12.8" hidden="false" customHeight="false" outlineLevel="0" collapsed="false">
      <c r="B70987" s="0" t="s">
        <v>1</v>
      </c>
    </row>
    <row r="70988" customFormat="false" ht="12.8" hidden="false" customHeight="false" outlineLevel="0" collapsed="false">
      <c r="B70988" s="0" t="s">
        <v>69</v>
      </c>
    </row>
    <row r="70989" customFormat="false" ht="12.8" hidden="false" customHeight="false" outlineLevel="0" collapsed="false">
      <c r="B70989" s="0" t="s">
        <v>36</v>
      </c>
    </row>
    <row r="70991" customFormat="false" ht="12.8" hidden="false" customHeight="false" outlineLevel="0" collapsed="false">
      <c r="A70991" s="0" t="s">
        <v>23148</v>
      </c>
      <c r="B70991" s="0" t="str">
        <f aca="false">HYPERLINK("https://lindat.mff.cuni.cz/services/teitok/pdtc10/index.php?action=vallex&amp;frame=v-w9799f1", "zpomalit se (v-w9799f1)")</f>
        <v>zpomalit se (v-w9799f1)</v>
      </c>
      <c r="E70991" s="0" t="str">
        <f aca="false">HYPERLINK("https://lindat.mff.cuni.cz/services/SynSemClass40/SynSemClass40.html?veclass=vec00793#vec00793-ces-cm00049", "vec00793")</f>
        <v>vec00793</v>
      </c>
      <c r="F70991" s="0" t="s">
        <v>8661</v>
      </c>
    </row>
    <row r="70992" customFormat="false" ht="12.8" hidden="false" customHeight="false" outlineLevel="0" collapsed="false">
      <c r="B70992" s="0" t="s">
        <v>1</v>
      </c>
      <c r="C70992" s="0" t="s">
        <v>8662</v>
      </c>
      <c r="E70992" s="0" t="s">
        <v>8663</v>
      </c>
      <c r="F70992" s="0" t="s">
        <v>8664</v>
      </c>
    </row>
    <row r="70994" customFormat="false" ht="12.8" hidden="false" customHeight="false" outlineLevel="0" collapsed="false">
      <c r="A70994" s="0" t="s">
        <v>23149</v>
      </c>
      <c r="B70994" s="0" t="str">
        <f aca="false">HYPERLINK("https://lindat.mff.cuni.cz/services/teitok/pdtc10/index.php?action=vallex&amp;frame=v-w9799f2_ZU", "zpomalit se (v-w9799f2_ZU)")</f>
        <v>zpomalit se (v-w9799f2_ZU)</v>
      </c>
      <c r="E70994" s="0" t="str">
        <f aca="false">HYPERLINK("https://lindat.mff.cuni.cz/services/SynSemClass40/SynSemClass40.html?veclass=vec00463#vec00463-ces-cm00029", "vec00463")</f>
        <v>vec00463</v>
      </c>
      <c r="F70994" s="0" t="s">
        <v>8671</v>
      </c>
    </row>
    <row r="70995" customFormat="false" ht="12.8" hidden="false" customHeight="false" outlineLevel="0" collapsed="false">
      <c r="B70995" s="0" t="s">
        <v>1</v>
      </c>
      <c r="C70995" s="0" t="s">
        <v>9962</v>
      </c>
      <c r="E70995" s="0" t="s">
        <v>8663</v>
      </c>
      <c r="F70995" s="0" t="s">
        <v>8673</v>
      </c>
    </row>
    <row r="70996" customFormat="false" ht="12.8" hidden="false" customHeight="false" outlineLevel="0" collapsed="false">
      <c r="B70996" s="0" t="s">
        <v>69</v>
      </c>
      <c r="C70996" s="0" t="s">
        <v>22635</v>
      </c>
      <c r="E70996" s="0" t="s">
        <v>1592</v>
      </c>
      <c r="F70996" s="0" t="s">
        <v>22636</v>
      </c>
    </row>
    <row r="70997" customFormat="false" ht="12.8" hidden="false" customHeight="false" outlineLevel="0" collapsed="false">
      <c r="B70997" s="0" t="s">
        <v>36</v>
      </c>
      <c r="E70997" s="0" t="s">
        <v>38</v>
      </c>
      <c r="F70997" s="0" t="s">
        <v>8255</v>
      </c>
    </row>
    <row r="70999" customFormat="false" ht="12.8" hidden="false" customHeight="false" outlineLevel="0" collapsed="false">
      <c r="A70999" s="0" t="s">
        <v>23149</v>
      </c>
      <c r="B70999" s="0" t="str">
        <f aca="false">HYPERLINK("https://lindat.mff.cuni.cz/services/teitok/pdtc10/index.php?action=vallex&amp;frame=v-w9799hsa_1301", "zpomalit se (v-w9799hsa_1301) - substituted with v-w9799f2_ZU")</f>
        <v>zpomalit se (v-w9799hsa_1301) - substituted with v-w9799f2_ZU</v>
      </c>
    </row>
    <row r="71000" customFormat="false" ht="12.8" hidden="false" customHeight="false" outlineLevel="0" collapsed="false">
      <c r="B71000" s="0" t="s">
        <v>1</v>
      </c>
    </row>
    <row r="71001" customFormat="false" ht="12.8" hidden="false" customHeight="false" outlineLevel="0" collapsed="false">
      <c r="B71001" s="0" t="s">
        <v>69</v>
      </c>
    </row>
    <row r="71002" customFormat="false" ht="12.8" hidden="false" customHeight="false" outlineLevel="0" collapsed="false">
      <c r="B71002" s="0" t="s">
        <v>36</v>
      </c>
    </row>
    <row r="71004" customFormat="false" ht="12.8" hidden="false" customHeight="false" outlineLevel="0" collapsed="false">
      <c r="A71004" s="0" t="s">
        <v>23150</v>
      </c>
      <c r="B71004" s="0" t="str">
        <f aca="false">HYPERLINK("https://lindat.mff.cuni.cz/services/teitok/pdtc10/index.php?action=vallex&amp;frame=v-w9800f1", "zpomalovat (v-w9800f1)")</f>
        <v>zpomalovat (v-w9800f1)</v>
      </c>
      <c r="E71004" s="0" t="str">
        <f aca="false">HYPERLINK("https://lindat.mff.cuni.cz/services/SynSemClass40/SynSemClass40.html?veclass=vec00392#vec00392-ces-cm00004", "vec00392")</f>
        <v>vec00392</v>
      </c>
      <c r="F71004" s="0" t="s">
        <v>548</v>
      </c>
    </row>
    <row r="71005" customFormat="false" ht="12.8" hidden="false" customHeight="false" outlineLevel="0" collapsed="false">
      <c r="B71005" s="0" t="s">
        <v>1</v>
      </c>
      <c r="C71005" s="0" t="s">
        <v>549</v>
      </c>
      <c r="E71005" s="0" t="s">
        <v>31</v>
      </c>
      <c r="F71005" s="0" t="s">
        <v>550</v>
      </c>
    </row>
    <row r="71006" customFormat="false" ht="12.8" hidden="false" customHeight="false" outlineLevel="0" collapsed="false">
      <c r="B71006" s="0" t="s">
        <v>8</v>
      </c>
      <c r="C71006" s="0" t="s">
        <v>8691</v>
      </c>
      <c r="E71006" s="0" t="s">
        <v>4202</v>
      </c>
      <c r="F71006" s="0" t="s">
        <v>13938</v>
      </c>
    </row>
    <row r="71008" customFormat="false" ht="12.8" hidden="false" customHeight="false" outlineLevel="0" collapsed="false">
      <c r="A71008" s="0" t="s">
        <v>23151</v>
      </c>
      <c r="B71008" s="0" t="str">
        <f aca="false">HYPERLINK("https://lindat.mff.cuni.cz/services/teitok/pdtc10/index.php?action=vallex&amp;frame=v-w9800f3_ZU", "zpomalovat (v-w9800f3_ZU)")</f>
        <v>zpomalovat (v-w9800f3_ZU)</v>
      </c>
      <c r="E71008" s="0" t="str">
        <f aca="false">HYPERLINK("https://lindat.mff.cuni.cz/services/SynSemClass40/SynSemClass40.html?veclass=vec00463#vec00463-ces-cm00031", "vec00463")</f>
        <v>vec00463</v>
      </c>
      <c r="F71008" s="0" t="s">
        <v>8671</v>
      </c>
    </row>
    <row r="71009" customFormat="false" ht="12.8" hidden="false" customHeight="false" outlineLevel="0" collapsed="false">
      <c r="B71009" s="0" t="s">
        <v>1</v>
      </c>
      <c r="C71009" s="0" t="s">
        <v>9962</v>
      </c>
      <c r="E71009" s="0" t="s">
        <v>8663</v>
      </c>
      <c r="F71009" s="0" t="s">
        <v>8673</v>
      </c>
    </row>
    <row r="71010" customFormat="false" ht="12.8" hidden="false" customHeight="false" outlineLevel="0" collapsed="false">
      <c r="B71010" s="0" t="s">
        <v>69</v>
      </c>
      <c r="C71010" s="0" t="s">
        <v>22635</v>
      </c>
      <c r="E71010" s="0" t="s">
        <v>1592</v>
      </c>
      <c r="F71010" s="0" t="s">
        <v>22636</v>
      </c>
    </row>
    <row r="71011" customFormat="false" ht="12.8" hidden="false" customHeight="false" outlineLevel="0" collapsed="false">
      <c r="B71011" s="0" t="s">
        <v>36</v>
      </c>
      <c r="E71011" s="0" t="s">
        <v>38</v>
      </c>
      <c r="F71011" s="0" t="s">
        <v>8255</v>
      </c>
    </row>
    <row r="71013" customFormat="false" ht="12.8" hidden="false" customHeight="false" outlineLevel="0" collapsed="false">
      <c r="A71013" s="0" t="s">
        <v>23151</v>
      </c>
      <c r="B71013" s="0" t="str">
        <f aca="false">HYPERLINK("https://lindat.mff.cuni.cz/services/teitok/pdtc10/index.php?action=vallex&amp;frame=v-w9800f2_ZU", "zpomalovat (v-w9800f2_ZU) - substituted with v-w9800f3_ZU")</f>
        <v>zpomalovat (v-w9800f2_ZU) - substituted with v-w9800f3_ZU</v>
      </c>
    </row>
    <row r="71014" customFormat="false" ht="12.8" hidden="false" customHeight="false" outlineLevel="0" collapsed="false">
      <c r="B71014" s="0" t="s">
        <v>1</v>
      </c>
    </row>
    <row r="71015" customFormat="false" ht="12.8" hidden="false" customHeight="false" outlineLevel="0" collapsed="false">
      <c r="B71015" s="0" t="s">
        <v>69</v>
      </c>
    </row>
    <row r="71016" customFormat="false" ht="12.8" hidden="false" customHeight="false" outlineLevel="0" collapsed="false">
      <c r="B71016" s="0" t="s">
        <v>36</v>
      </c>
    </row>
    <row r="71018" customFormat="false" ht="12.8" hidden="false" customHeight="false" outlineLevel="0" collapsed="false">
      <c r="A71018" s="0" t="s">
        <v>23151</v>
      </c>
      <c r="B71018" s="0" t="str">
        <f aca="false">HYPERLINK("https://lindat.mff.cuni.cz/services/teitok/pdtc10/index.php?action=vallex&amp;frame=v-w9800hsa_311", "zpomalovat (v-w9800hsa_311) - substituted with v-w9800f3_ZU")</f>
        <v>zpomalovat (v-w9800hsa_311) - substituted with v-w9800f3_ZU</v>
      </c>
    </row>
    <row r="71019" customFormat="false" ht="12.8" hidden="false" customHeight="false" outlineLevel="0" collapsed="false">
      <c r="B71019" s="0" t="s">
        <v>1</v>
      </c>
    </row>
    <row r="71020" customFormat="false" ht="12.8" hidden="false" customHeight="false" outlineLevel="0" collapsed="false">
      <c r="B71020" s="0" t="s">
        <v>69</v>
      </c>
    </row>
    <row r="71021" customFormat="false" ht="12.8" hidden="false" customHeight="false" outlineLevel="0" collapsed="false">
      <c r="B71021" s="0" t="s">
        <v>36</v>
      </c>
    </row>
    <row r="71023" customFormat="false" ht="12.8" hidden="false" customHeight="false" outlineLevel="0" collapsed="false">
      <c r="A71023" s="0" t="s">
        <v>23152</v>
      </c>
      <c r="B71023" s="0" t="str">
        <f aca="false">HYPERLINK("https://lindat.mff.cuni.cz/services/teitok/pdtc10/index.php?action=vallex&amp;frame=v-w11653_ZUf2_ZU", "zpomalovat se (v-w11653_ZUf2_ZU)")</f>
        <v>zpomalovat se (v-w11653_ZUf2_ZU)</v>
      </c>
      <c r="E71023" s="0" t="str">
        <f aca="false">HYPERLINK("https://lindat.mff.cuni.cz/services/SynSemClass40/SynSemClass40.html?veclass=vec00463#vec00463-ces-cm00032", "vec00463")</f>
        <v>vec00463</v>
      </c>
      <c r="F71023" s="0" t="s">
        <v>8671</v>
      </c>
    </row>
    <row r="71024" customFormat="false" ht="12.8" hidden="false" customHeight="false" outlineLevel="0" collapsed="false">
      <c r="B71024" s="0" t="s">
        <v>1</v>
      </c>
      <c r="C71024" s="0" t="s">
        <v>9962</v>
      </c>
      <c r="E71024" s="0" t="s">
        <v>8663</v>
      </c>
      <c r="F71024" s="0" t="s">
        <v>8673</v>
      </c>
    </row>
    <row r="71025" customFormat="false" ht="12.8" hidden="false" customHeight="false" outlineLevel="0" collapsed="false">
      <c r="B71025" s="0" t="s">
        <v>69</v>
      </c>
      <c r="C71025" s="0" t="s">
        <v>22635</v>
      </c>
      <c r="E71025" s="0" t="s">
        <v>1592</v>
      </c>
      <c r="F71025" s="0" t="s">
        <v>22636</v>
      </c>
    </row>
    <row r="71026" customFormat="false" ht="12.8" hidden="false" customHeight="false" outlineLevel="0" collapsed="false">
      <c r="B71026" s="0" t="s">
        <v>36</v>
      </c>
      <c r="E71026" s="0" t="s">
        <v>38</v>
      </c>
      <c r="F71026" s="0" t="s">
        <v>8255</v>
      </c>
    </row>
    <row r="71028" customFormat="false" ht="12.8" hidden="false" customHeight="false" outlineLevel="0" collapsed="false">
      <c r="A71028" s="0" t="s">
        <v>23152</v>
      </c>
      <c r="B71028" s="0" t="str">
        <f aca="false">HYPERLINK("https://lindat.mff.cuni.cz/services/teitok/pdtc10/index.php?action=vallex&amp;frame=v-w11653_ZUf1_ZU", "zpomalovat se (v-w11653_ZUf1_ZU) - substituted with v-w11653_ZUf2_ZU")</f>
        <v>zpomalovat se (v-w11653_ZUf1_ZU) - substituted with v-w11653_ZUf2_ZU</v>
      </c>
    </row>
    <row r="71029" customFormat="false" ht="12.8" hidden="false" customHeight="false" outlineLevel="0" collapsed="false">
      <c r="B71029" s="0" t="s">
        <v>1</v>
      </c>
    </row>
    <row r="71030" customFormat="false" ht="12.8" hidden="false" customHeight="false" outlineLevel="0" collapsed="false">
      <c r="B71030" s="0" t="s">
        <v>69</v>
      </c>
    </row>
    <row r="71031" customFormat="false" ht="12.8" hidden="false" customHeight="false" outlineLevel="0" collapsed="false">
      <c r="B71031" s="0" t="s">
        <v>36</v>
      </c>
    </row>
    <row r="71033" customFormat="false" ht="12.8" hidden="false" customHeight="false" outlineLevel="0" collapsed="false">
      <c r="A71033" s="0" t="s">
        <v>23152</v>
      </c>
      <c r="B71033" s="0" t="str">
        <f aca="false">HYPERLINK("https://lindat.mff.cuni.cz/services/teitok/pdtc10/index.php?action=vallex&amp;frame=v-w11653_ZUhsa_831", "zpomalovat se (v-w11653_ZUhsa_831) - substituted with v-w11653_ZUf2_ZU")</f>
        <v>zpomalovat se (v-w11653_ZUhsa_831) - substituted with v-w11653_ZUf2_ZU</v>
      </c>
    </row>
    <row r="71034" customFormat="false" ht="12.8" hidden="false" customHeight="false" outlineLevel="0" collapsed="false">
      <c r="B71034" s="0" t="s">
        <v>1</v>
      </c>
    </row>
    <row r="71035" customFormat="false" ht="12.8" hidden="false" customHeight="false" outlineLevel="0" collapsed="false">
      <c r="B71035" s="0" t="s">
        <v>69</v>
      </c>
    </row>
    <row r="71036" customFormat="false" ht="12.8" hidden="false" customHeight="false" outlineLevel="0" collapsed="false">
      <c r="B71036" s="0" t="s">
        <v>36</v>
      </c>
    </row>
    <row r="71038" customFormat="false" ht="12.8" hidden="false" customHeight="false" outlineLevel="0" collapsed="false">
      <c r="A71038" s="0" t="s">
        <v>23153</v>
      </c>
      <c r="B71038" s="0" t="str">
        <f aca="false">HYPERLINK("https://lindat.mff.cuni.cz/services/teitok/pdtc10/index.php?action=vallex&amp;frame=v-w12146_ZUf1_ZU", "zpopelnit (v-w12146_ZUf1_ZU)")</f>
        <v>zpopelnit (v-w12146_ZUf1_ZU)</v>
      </c>
    </row>
    <row r="71039" customFormat="false" ht="12.8" hidden="false" customHeight="false" outlineLevel="0" collapsed="false">
      <c r="B71039" s="0" t="s">
        <v>1</v>
      </c>
    </row>
    <row r="71040" customFormat="false" ht="12.8" hidden="false" customHeight="false" outlineLevel="0" collapsed="false">
      <c r="B71040" s="0" t="s">
        <v>8</v>
      </c>
    </row>
    <row r="71042" customFormat="false" ht="12.8" hidden="false" customHeight="false" outlineLevel="0" collapsed="false">
      <c r="A71042" s="0" t="s">
        <v>23154</v>
      </c>
      <c r="B71042" s="0" t="str">
        <f aca="false">HYPERLINK("https://lindat.mff.cuni.cz/services/teitok/pdtc10/index.php?action=vallex&amp;frame=v-w10955f2", "zpopularizovat (v-w10955f2)")</f>
        <v>zpopularizovat (v-w10955f2)</v>
      </c>
      <c r="E71042" s="0" t="str">
        <f aca="false">HYPERLINK("https://lindat.mff.cuni.cz/services/SynSemClass40/SynSemClass40.html?veclass=vec00276#vec00276-ces-cm00020", "vec00276")</f>
        <v>vec00276</v>
      </c>
      <c r="F71042" s="0" t="s">
        <v>11383</v>
      </c>
    </row>
    <row r="71043" customFormat="false" ht="12.8" hidden="false" customHeight="false" outlineLevel="0" collapsed="false">
      <c r="B71043" s="0" t="s">
        <v>1</v>
      </c>
      <c r="C71043" s="0" t="s">
        <v>428</v>
      </c>
      <c r="E71043" s="0" t="s">
        <v>31</v>
      </c>
      <c r="F71043" s="0" t="s">
        <v>11384</v>
      </c>
    </row>
    <row r="71044" customFormat="false" ht="12.8" hidden="false" customHeight="false" outlineLevel="0" collapsed="false">
      <c r="B71044" s="0" t="s">
        <v>8</v>
      </c>
      <c r="C71044" s="0" t="s">
        <v>11385</v>
      </c>
      <c r="E71044" s="0" t="s">
        <v>4890</v>
      </c>
      <c r="F71044" s="0" t="s">
        <v>11386</v>
      </c>
    </row>
    <row r="71046" customFormat="false" ht="12.8" hidden="false" customHeight="false" outlineLevel="0" collapsed="false">
      <c r="A71046" s="0" t="s">
        <v>23155</v>
      </c>
      <c r="B71046" s="0" t="str">
        <f aca="false">HYPERLINK("https://lindat.mff.cuni.cz/services/teitok/pdtc10/index.php?action=vallex&amp;frame=v-whsa_726hsa_727", "zpotit se (v-whsa_726hsa_727)")</f>
        <v>zpotit se (v-whsa_726hsa_727)</v>
      </c>
      <c r="E71046" s="0" t="str">
        <f aca="false">HYPERLINK("https://lindat.mff.cuni.cz/services/SynSemClass40/SynSemClass40.html?veclass=vec00679#vec00679-ces-cm00003", "vec00679")</f>
        <v>vec00679</v>
      </c>
      <c r="F71046" s="0" t="s">
        <v>11681</v>
      </c>
      <c r="H71046" s="0" t="str">
        <f aca="false">HYPERLINK("https://lindat.mff.cuni.cz/services/SynSemClass40/SynSemClass40.html?veclass=vec01507#vec01507-ces-cm00003", "vec01507")</f>
        <v>vec01507</v>
      </c>
      <c r="I71046" s="0" t="s">
        <v>5428</v>
      </c>
    </row>
    <row r="71047" customFormat="false" ht="12.8" hidden="false" customHeight="false" outlineLevel="0" collapsed="false">
      <c r="B71047" s="0" t="s">
        <v>1</v>
      </c>
      <c r="C71047" s="0" t="s">
        <v>512</v>
      </c>
      <c r="E71047" s="0" t="s">
        <v>266</v>
      </c>
      <c r="F71047" s="0" t="s">
        <v>11682</v>
      </c>
      <c r="H71047" s="0" t="s">
        <v>84</v>
      </c>
      <c r="I71047" s="0" t="s">
        <v>5431</v>
      </c>
    </row>
    <row r="71049" customFormat="false" ht="12.8" hidden="false" customHeight="false" outlineLevel="0" collapsed="false">
      <c r="A71049" s="0" t="s">
        <v>23156</v>
      </c>
      <c r="B71049" s="0" t="str">
        <f aca="false">HYPERLINK("https://lindat.mff.cuni.cz/services/teitok/pdtc10/index.php?action=vallex&amp;frame=v-w9802f1", "zpovídat (v-w9802f1)")</f>
        <v>zpovídat (v-w9802f1)</v>
      </c>
      <c r="E71049" s="0" t="str">
        <f aca="false">HYPERLINK("https://lindat.mff.cuni.cz/services/SynSemClass40/SynSemClass40.html?veclass=vec00384#vec00384-ces-cm00022", "vec00384")</f>
        <v>vec00384</v>
      </c>
      <c r="F71049" s="0" t="s">
        <v>2985</v>
      </c>
    </row>
    <row r="71050" customFormat="false" ht="12.8" hidden="false" customHeight="false" outlineLevel="0" collapsed="false">
      <c r="B71050" s="0" t="s">
        <v>1</v>
      </c>
      <c r="C71050" s="0" t="s">
        <v>2986</v>
      </c>
      <c r="E71050" s="0" t="s">
        <v>147</v>
      </c>
      <c r="F71050" s="0" t="s">
        <v>2987</v>
      </c>
    </row>
    <row r="71051" customFormat="false" ht="12.8" hidden="false" customHeight="false" outlineLevel="0" collapsed="false">
      <c r="B71051" s="0" t="s">
        <v>98</v>
      </c>
      <c r="C71051" s="0" t="s">
        <v>2992</v>
      </c>
      <c r="E71051" s="0" t="s">
        <v>221</v>
      </c>
      <c r="F71051" s="0" t="s">
        <v>2993</v>
      </c>
    </row>
    <row r="71052" customFormat="false" ht="12.8" hidden="false" customHeight="false" outlineLevel="0" collapsed="false">
      <c r="B71052" s="0" t="s">
        <v>763</v>
      </c>
      <c r="C71052" s="0" t="s">
        <v>2989</v>
      </c>
      <c r="E71052" s="0" t="s">
        <v>218</v>
      </c>
      <c r="F71052" s="0" t="s">
        <v>2990</v>
      </c>
    </row>
    <row r="71054" customFormat="false" ht="12.8" hidden="false" customHeight="false" outlineLevel="0" collapsed="false">
      <c r="A71054" s="0" t="s">
        <v>23157</v>
      </c>
      <c r="B71054" s="0" t="str">
        <f aca="false">HYPERLINK("https://lindat.mff.cuni.cz/services/teitok/pdtc10/index.php?action=vallex&amp;frame=v-w9803f1", "zpozdit (v-w9803f1)")</f>
        <v>zpozdit (v-w9803f1)</v>
      </c>
      <c r="E71054" s="0" t="str">
        <f aca="false">HYPERLINK("https://lindat.mff.cuni.cz/services/SynSemClass40/SynSemClass40.html?veclass=vec00486#vec00486-ces-cm00015", "vec00486")</f>
        <v>vec00486</v>
      </c>
      <c r="F71054" s="0" t="s">
        <v>542</v>
      </c>
    </row>
    <row r="71055" customFormat="false" ht="12.8" hidden="false" customHeight="false" outlineLevel="0" collapsed="false">
      <c r="B71055" s="0" t="s">
        <v>1</v>
      </c>
      <c r="C71055" s="0" t="s">
        <v>543</v>
      </c>
      <c r="E71055" s="0" t="s">
        <v>206</v>
      </c>
      <c r="F71055" s="0" t="s">
        <v>544</v>
      </c>
    </row>
    <row r="71056" customFormat="false" ht="12.8" hidden="false" customHeight="false" outlineLevel="0" collapsed="false">
      <c r="B71056" s="0" t="s">
        <v>8</v>
      </c>
      <c r="C71056" s="0" t="s">
        <v>545</v>
      </c>
      <c r="E71056" s="0" t="s">
        <v>79</v>
      </c>
      <c r="F71056" s="0" t="s">
        <v>546</v>
      </c>
    </row>
    <row r="71058" customFormat="false" ht="12.8" hidden="false" customHeight="false" outlineLevel="0" collapsed="false">
      <c r="A71058" s="0" t="s">
        <v>23158</v>
      </c>
      <c r="B71058" s="0" t="str">
        <f aca="false">HYPERLINK("https://lindat.mff.cuni.cz/services/teitok/pdtc10/index.php?action=vallex&amp;frame=v-w9804f1", "zpozdit se (v-w9804f1)")</f>
        <v>zpozdit se (v-w9804f1)</v>
      </c>
    </row>
    <row r="71059" customFormat="false" ht="12.8" hidden="false" customHeight="false" outlineLevel="0" collapsed="false">
      <c r="B71059" s="0" t="s">
        <v>1</v>
      </c>
    </row>
    <row r="71061" customFormat="false" ht="12.8" hidden="false" customHeight="false" outlineLevel="0" collapsed="false">
      <c r="A71061" s="0" t="s">
        <v>23159</v>
      </c>
      <c r="B71061" s="0" t="str">
        <f aca="false">HYPERLINK("https://lindat.mff.cuni.cz/services/teitok/pdtc10/index.php?action=vallex&amp;frame=v-w9804hsa_785", "zpozdit se (v-w9804hsa_785)")</f>
        <v>zpozdit se (v-w9804hsa_785)</v>
      </c>
    </row>
    <row r="71062" customFormat="false" ht="12.8" hidden="false" customHeight="false" outlineLevel="0" collapsed="false">
      <c r="B71062" s="0" t="s">
        <v>1</v>
      </c>
    </row>
    <row r="71063" customFormat="false" ht="12.8" hidden="false" customHeight="false" outlineLevel="0" collapsed="false">
      <c r="B71063" s="0" t="s">
        <v>721</v>
      </c>
    </row>
    <row r="71065" customFormat="false" ht="12.8" hidden="false" customHeight="false" outlineLevel="0" collapsed="false">
      <c r="A71065" s="0" t="s">
        <v>23160</v>
      </c>
      <c r="B71065" s="0" t="str">
        <f aca="false">HYPERLINK("https://lindat.mff.cuni.cz/services/teitok/pdtc10/index.php?action=vallex&amp;frame=v-w10386f2", "zpozornět (v-w10386f2)")</f>
        <v>zpozornět (v-w10386f2)</v>
      </c>
    </row>
    <row r="71066" customFormat="false" ht="12.8" hidden="false" customHeight="false" outlineLevel="0" collapsed="false">
      <c r="B71066" s="0" t="s">
        <v>1</v>
      </c>
    </row>
    <row r="71068" customFormat="false" ht="12.8" hidden="false" customHeight="false" outlineLevel="0" collapsed="false">
      <c r="A71068" s="0" t="s">
        <v>23161</v>
      </c>
      <c r="B71068" s="0" t="str">
        <f aca="false">HYPERLINK("https://lindat.mff.cuni.cz/services/teitok/pdtc10/index.php?action=vallex&amp;frame=v-w9805f2_ZU", "zpozorovat (v-w9805f2_ZU)")</f>
        <v>zpozorovat (v-w9805f2_ZU)</v>
      </c>
    </row>
    <row r="71069" customFormat="false" ht="12.8" hidden="false" customHeight="false" outlineLevel="0" collapsed="false">
      <c r="B71069" s="0" t="s">
        <v>1</v>
      </c>
    </row>
    <row r="71070" customFormat="false" ht="12.8" hidden="false" customHeight="false" outlineLevel="0" collapsed="false">
      <c r="B71070" s="0" t="s">
        <v>11527</v>
      </c>
    </row>
    <row r="71072" customFormat="false" ht="12.8" hidden="false" customHeight="false" outlineLevel="0" collapsed="false">
      <c r="A71072" s="0" t="s">
        <v>23161</v>
      </c>
      <c r="B71072" s="0" t="str">
        <f aca="false">HYPERLINK("https://lindat.mff.cuni.cz/services/teitok/pdtc10/index.php?action=vallex&amp;frame=v-w9805f1", "zpozorovat (v-w9805f1) - substituted with v-w9805f2_ZU")</f>
        <v>zpozorovat (v-w9805f1) - substituted with v-w9805f2_ZU</v>
      </c>
      <c r="E71072" s="0" t="str">
        <f aca="false">HYPERLINK("https://lindat.mff.cuni.cz/services/SynSemClass40/SynSemClass40.html?veclass=vec00082#vec00082-ces-cm00092", "vec00082")</f>
        <v>vec00082</v>
      </c>
      <c r="F71072" s="0" t="s">
        <v>8475</v>
      </c>
    </row>
    <row r="71073" customFormat="false" ht="12.8" hidden="false" customHeight="false" outlineLevel="0" collapsed="false">
      <c r="B71073" s="0" t="s">
        <v>1</v>
      </c>
      <c r="C71073" s="0" t="s">
        <v>8476</v>
      </c>
      <c r="E71073" s="0" t="s">
        <v>637</v>
      </c>
      <c r="F71073" s="0" t="s">
        <v>8477</v>
      </c>
    </row>
    <row r="71074" customFormat="false" ht="12.8" hidden="false" customHeight="false" outlineLevel="0" collapsed="false">
      <c r="B71074" s="0" t="s">
        <v>11527</v>
      </c>
      <c r="C71074" s="0" t="s">
        <v>11645</v>
      </c>
      <c r="E71074" s="0" t="s">
        <v>640</v>
      </c>
      <c r="F71074" s="0" t="s">
        <v>11646</v>
      </c>
    </row>
    <row r="71076" customFormat="false" ht="12.8" hidden="false" customHeight="false" outlineLevel="0" collapsed="false">
      <c r="A71076" s="0" t="s">
        <v>23162</v>
      </c>
      <c r="B71076" s="0" t="str">
        <f aca="false">HYPERLINK("https://lindat.mff.cuni.cz/services/teitok/pdtc10/index.php?action=vallex&amp;frame=v-w9807f1", "zpožďovat (v-w9807f1)")</f>
        <v>zpožďovat (v-w9807f1)</v>
      </c>
      <c r="E71076" s="0" t="str">
        <f aca="false">HYPERLINK("https://lindat.mff.cuni.cz/services/SynSemClass40/SynSemClass40.html?veclass=vec00486#vec00486-ces-cm00017", "vec00486")</f>
        <v>vec00486</v>
      </c>
      <c r="F71076" s="0" t="s">
        <v>542</v>
      </c>
    </row>
    <row r="71077" customFormat="false" ht="12.8" hidden="false" customHeight="false" outlineLevel="0" collapsed="false">
      <c r="B71077" s="0" t="s">
        <v>1</v>
      </c>
      <c r="C71077" s="0" t="s">
        <v>543</v>
      </c>
      <c r="E71077" s="0" t="s">
        <v>206</v>
      </c>
      <c r="F71077" s="0" t="s">
        <v>544</v>
      </c>
    </row>
    <row r="71078" customFormat="false" ht="12.8" hidden="false" customHeight="false" outlineLevel="0" collapsed="false">
      <c r="B71078" s="0" t="s">
        <v>8</v>
      </c>
      <c r="C71078" s="0" t="s">
        <v>545</v>
      </c>
      <c r="E71078" s="0" t="s">
        <v>79</v>
      </c>
      <c r="F71078" s="0" t="s">
        <v>546</v>
      </c>
    </row>
    <row r="71080" customFormat="false" ht="12.8" hidden="false" customHeight="false" outlineLevel="0" collapsed="false">
      <c r="A71080" s="0" t="s">
        <v>23163</v>
      </c>
      <c r="B71080" s="0" t="str">
        <f aca="false">HYPERLINK("https://lindat.mff.cuni.cz/services/teitok/pdtc10/index.php?action=vallex&amp;frame=v-w9808f1", "zpožďovat se (v-w9808f1)")</f>
        <v>zpožďovat se (v-w9808f1)</v>
      </c>
    </row>
    <row r="71081" customFormat="false" ht="12.8" hidden="false" customHeight="false" outlineLevel="0" collapsed="false">
      <c r="B71081" s="0" t="s">
        <v>1</v>
      </c>
    </row>
    <row r="71083" customFormat="false" ht="12.8" hidden="false" customHeight="false" outlineLevel="0" collapsed="false">
      <c r="A71083" s="0" t="s">
        <v>23164</v>
      </c>
      <c r="B71083" s="0" t="str">
        <f aca="false">HYPERLINK("https://lindat.mff.cuni.cz/services/teitok/pdtc10/index.php?action=vallex&amp;frame=v-w9810f1", "zpracovat (v-w9810f1)")</f>
        <v>zpracovat (v-w9810f1)</v>
      </c>
      <c r="E71083" s="0" t="str">
        <f aca="false">HYPERLINK("https://lindat.mff.cuni.cz/services/SynSemClass40/SynSemClass40.html?veclass=vec00900#vec00900-ces-cm00061", "vec00900")</f>
        <v>vec00900</v>
      </c>
      <c r="F71083" s="0" t="s">
        <v>14431</v>
      </c>
    </row>
    <row r="71084" customFormat="false" ht="12.8" hidden="false" customHeight="false" outlineLevel="0" collapsed="false">
      <c r="B71084" s="0" t="s">
        <v>1</v>
      </c>
      <c r="C71084" s="0" t="s">
        <v>459</v>
      </c>
      <c r="E71084" s="0" t="s">
        <v>768</v>
      </c>
      <c r="F71084" s="0" t="s">
        <v>7658</v>
      </c>
    </row>
    <row r="71085" customFormat="false" ht="12.8" hidden="false" customHeight="false" outlineLevel="0" collapsed="false">
      <c r="B71085" s="0" t="s">
        <v>8</v>
      </c>
      <c r="C71085" s="0" t="s">
        <v>531</v>
      </c>
      <c r="E71085" s="0" t="s">
        <v>771</v>
      </c>
      <c r="F71085" s="0" t="s">
        <v>1467</v>
      </c>
    </row>
    <row r="71086" customFormat="false" ht="12.8" hidden="false" customHeight="false" outlineLevel="0" collapsed="false">
      <c r="B71086" s="0" t="s">
        <v>36</v>
      </c>
      <c r="E71086" s="0" t="s">
        <v>787</v>
      </c>
      <c r="F71086" s="0" t="s">
        <v>14435</v>
      </c>
    </row>
    <row r="71088" customFormat="false" ht="12.8" hidden="false" customHeight="false" outlineLevel="0" collapsed="false">
      <c r="A71088" s="0" t="s">
        <v>23165</v>
      </c>
      <c r="B71088" s="0" t="str">
        <f aca="false">HYPERLINK("https://lindat.mff.cuni.cz/services/teitok/pdtc10/index.php?action=vallex&amp;frame=v-w9810f2", "zpracovat (v-w9810f2)")</f>
        <v>zpracovat (v-w9810f2)</v>
      </c>
    </row>
    <row r="71089" customFormat="false" ht="12.8" hidden="false" customHeight="false" outlineLevel="0" collapsed="false">
      <c r="B71089" s="0" t="s">
        <v>1</v>
      </c>
    </row>
    <row r="71090" customFormat="false" ht="12.8" hidden="false" customHeight="false" outlineLevel="0" collapsed="false">
      <c r="B71090" s="0" t="s">
        <v>8</v>
      </c>
    </row>
    <row r="71091" customFormat="false" ht="12.8" hidden="false" customHeight="false" outlineLevel="0" collapsed="false">
      <c r="B71091" s="0" t="s">
        <v>4553</v>
      </c>
    </row>
    <row r="71093" customFormat="false" ht="12.8" hidden="false" customHeight="false" outlineLevel="0" collapsed="false">
      <c r="A71093" s="0" t="s">
        <v>23166</v>
      </c>
      <c r="B71093" s="0" t="str">
        <f aca="false">HYPERLINK("https://lindat.mff.cuni.cz/services/teitok/pdtc10/index.php?action=vallex&amp;frame=v-w9810f3", "zpracovat (v-w9810f3)")</f>
        <v>zpracovat (v-w9810f3)</v>
      </c>
    </row>
    <row r="71094" customFormat="false" ht="12.8" hidden="false" customHeight="false" outlineLevel="0" collapsed="false">
      <c r="B71094" s="0" t="s">
        <v>1</v>
      </c>
    </row>
    <row r="71095" customFormat="false" ht="12.8" hidden="false" customHeight="false" outlineLevel="0" collapsed="false">
      <c r="B71095" s="0" t="s">
        <v>8</v>
      </c>
    </row>
    <row r="71097" customFormat="false" ht="12.8" hidden="false" customHeight="false" outlineLevel="0" collapsed="false">
      <c r="A71097" s="0" t="s">
        <v>23167</v>
      </c>
      <c r="B71097" s="0" t="str">
        <f aca="false">HYPERLINK("https://lindat.mff.cuni.cz/services/teitok/pdtc10/index.php?action=vallex&amp;frame=v-w9810f4_ZU", "zpracovat (v-w9810f4_ZU)")</f>
        <v>zpracovat (v-w9810f4_ZU)</v>
      </c>
    </row>
    <row r="71098" customFormat="false" ht="12.8" hidden="false" customHeight="false" outlineLevel="0" collapsed="false">
      <c r="B71098" s="0" t="s">
        <v>1</v>
      </c>
    </row>
    <row r="71099" customFormat="false" ht="12.8" hidden="false" customHeight="false" outlineLevel="0" collapsed="false">
      <c r="B71099" s="0" t="s">
        <v>8</v>
      </c>
    </row>
    <row r="71101" customFormat="false" ht="12.8" hidden="false" customHeight="false" outlineLevel="0" collapsed="false">
      <c r="A71101" s="0" t="s">
        <v>23167</v>
      </c>
      <c r="B71101" s="0" t="str">
        <f aca="false">HYPERLINK("https://lindat.mff.cuni.cz/services/teitok/pdtc10/index.php?action=vallex&amp;frame=v-w9810hsa_1632", "zpracovat (v-w9810hsa_1632) - substituted with v-w9810f4_ZU")</f>
        <v>zpracovat (v-w9810hsa_1632) - substituted with v-w9810f4_ZU</v>
      </c>
    </row>
    <row r="71102" customFormat="false" ht="12.8" hidden="false" customHeight="false" outlineLevel="0" collapsed="false">
      <c r="B71102" s="0" t="s">
        <v>1</v>
      </c>
    </row>
    <row r="71103" customFormat="false" ht="12.8" hidden="false" customHeight="false" outlineLevel="0" collapsed="false">
      <c r="B71103" s="0" t="s">
        <v>8</v>
      </c>
    </row>
    <row r="71105" customFormat="false" ht="12.8" hidden="false" customHeight="false" outlineLevel="0" collapsed="false">
      <c r="A71105" s="0" t="s">
        <v>23168</v>
      </c>
      <c r="B71105" s="0" t="str">
        <f aca="false">HYPERLINK("https://lindat.mff.cuni.cz/services/teitok/pdtc10/index.php?action=vallex&amp;frame=v-w9813f1", "zpracovávat (v-w9813f1)")</f>
        <v>zpracovávat (v-w9813f1)</v>
      </c>
      <c r="E71105" s="0" t="str">
        <f aca="false">HYPERLINK("https://lindat.mff.cuni.cz/services/SynSemClass40/SynSemClass40.html?veclass=vec00900#vec00900-ces-cm00066", "vec00900")</f>
        <v>vec00900</v>
      </c>
      <c r="F71105" s="0" t="s">
        <v>14431</v>
      </c>
    </row>
    <row r="71106" customFormat="false" ht="12.8" hidden="false" customHeight="false" outlineLevel="0" collapsed="false">
      <c r="B71106" s="0" t="s">
        <v>1</v>
      </c>
      <c r="C71106" s="0" t="s">
        <v>459</v>
      </c>
      <c r="E71106" s="0" t="s">
        <v>768</v>
      </c>
      <c r="F71106" s="0" t="s">
        <v>7658</v>
      </c>
    </row>
    <row r="71107" customFormat="false" ht="12.8" hidden="false" customHeight="false" outlineLevel="0" collapsed="false">
      <c r="B71107" s="0" t="s">
        <v>8</v>
      </c>
      <c r="C71107" s="0" t="s">
        <v>531</v>
      </c>
      <c r="E71107" s="0" t="s">
        <v>771</v>
      </c>
      <c r="F71107" s="0" t="s">
        <v>1467</v>
      </c>
    </row>
    <row r="71108" customFormat="false" ht="12.8" hidden="false" customHeight="false" outlineLevel="0" collapsed="false">
      <c r="B71108" s="0" t="s">
        <v>36</v>
      </c>
      <c r="E71108" s="0" t="s">
        <v>787</v>
      </c>
      <c r="F71108" s="0" t="s">
        <v>14435</v>
      </c>
    </row>
    <row r="71110" customFormat="false" ht="12.8" hidden="false" customHeight="false" outlineLevel="0" collapsed="false">
      <c r="A71110" s="0" t="s">
        <v>23169</v>
      </c>
      <c r="B71110" s="0" t="str">
        <f aca="false">HYPERLINK("https://lindat.mff.cuni.cz/services/teitok/pdtc10/index.php?action=vallex&amp;frame=v-w9813hsa_821", "zpracovávat (v-w9813hsa_821)")</f>
        <v>zpracovávat (v-w9813hsa_821)</v>
      </c>
    </row>
    <row r="71111" customFormat="false" ht="12.8" hidden="false" customHeight="false" outlineLevel="0" collapsed="false">
      <c r="B71111" s="0" t="s">
        <v>1</v>
      </c>
    </row>
    <row r="71112" customFormat="false" ht="12.8" hidden="false" customHeight="false" outlineLevel="0" collapsed="false">
      <c r="B71112" s="0" t="s">
        <v>8</v>
      </c>
    </row>
    <row r="71113" customFormat="false" ht="12.8" hidden="false" customHeight="false" outlineLevel="0" collapsed="false">
      <c r="B71113" s="0" t="s">
        <v>5779</v>
      </c>
    </row>
    <row r="71115" customFormat="false" ht="12.8" hidden="false" customHeight="false" outlineLevel="0" collapsed="false">
      <c r="A71115" s="0" t="s">
        <v>23169</v>
      </c>
      <c r="B71115" s="0" t="str">
        <f aca="false">HYPERLINK("https://lindat.mff.cuni.cz/services/teitok/pdtc10/index.php?action=vallex&amp;frame=v-w9813f3", "zpracovávat (v-w9813f3) - substituted with v-w9813hsa_821")</f>
        <v>zpracovávat (v-w9813f3) - substituted with v-w9813hsa_821</v>
      </c>
    </row>
    <row r="71116" customFormat="false" ht="12.8" hidden="false" customHeight="false" outlineLevel="0" collapsed="false">
      <c r="B71116" s="0" t="s">
        <v>1</v>
      </c>
    </row>
    <row r="71117" customFormat="false" ht="12.8" hidden="false" customHeight="false" outlineLevel="0" collapsed="false">
      <c r="B71117" s="0" t="s">
        <v>8</v>
      </c>
    </row>
    <row r="71118" customFormat="false" ht="12.8" hidden="false" customHeight="false" outlineLevel="0" collapsed="false">
      <c r="B71118" s="0" t="s">
        <v>5779</v>
      </c>
    </row>
    <row r="71120" customFormat="false" ht="12.8" hidden="false" customHeight="false" outlineLevel="0" collapsed="false">
      <c r="A71120" s="0" t="s">
        <v>23170</v>
      </c>
      <c r="B71120" s="0" t="str">
        <f aca="false">HYPERLINK("https://lindat.mff.cuni.cz/services/teitok/pdtc10/index.php?action=vallex&amp;frame=v-w9813f2", "zpracovávat (v-w9813f2)")</f>
        <v>zpracovávat (v-w9813f2)</v>
      </c>
    </row>
    <row r="71121" customFormat="false" ht="12.8" hidden="false" customHeight="false" outlineLevel="0" collapsed="false">
      <c r="B71121" s="0" t="s">
        <v>1</v>
      </c>
    </row>
    <row r="71122" customFormat="false" ht="12.8" hidden="false" customHeight="false" outlineLevel="0" collapsed="false">
      <c r="B71122" s="0" t="s">
        <v>8</v>
      </c>
    </row>
    <row r="71124" customFormat="false" ht="12.8" hidden="false" customHeight="false" outlineLevel="0" collapsed="false">
      <c r="A71124" s="0" t="s">
        <v>23171</v>
      </c>
      <c r="B71124" s="0" t="str">
        <f aca="false">HYPERLINK("https://lindat.mff.cuni.cz/services/teitok/pdtc10/index.php?action=vallex&amp;frame=v-w9813f4_ZU", "zpracovávat (v-w9813f4_ZU)")</f>
        <v>zpracovávat (v-w9813f4_ZU)</v>
      </c>
    </row>
    <row r="71125" customFormat="false" ht="12.8" hidden="false" customHeight="false" outlineLevel="0" collapsed="false">
      <c r="B71125" s="0" t="s">
        <v>1</v>
      </c>
    </row>
    <row r="71126" customFormat="false" ht="12.8" hidden="false" customHeight="false" outlineLevel="0" collapsed="false">
      <c r="B71126" s="0" t="s">
        <v>8</v>
      </c>
    </row>
    <row r="71128" customFormat="false" ht="12.8" hidden="false" customHeight="false" outlineLevel="0" collapsed="false">
      <c r="A71128" s="0" t="s">
        <v>23172</v>
      </c>
      <c r="B71128" s="0" t="str">
        <f aca="false">HYPERLINK("https://lindat.mff.cuni.cz/services/teitok/pdtc10/index.php?action=vallex&amp;frame=v-w9815f1", "zpravit (v-w9815f1)")</f>
        <v>zpravit (v-w9815f1)</v>
      </c>
    </row>
    <row r="71129" customFormat="false" ht="12.8" hidden="false" customHeight="false" outlineLevel="0" collapsed="false">
      <c r="B71129" s="0" t="s">
        <v>1</v>
      </c>
    </row>
    <row r="71130" customFormat="false" ht="12.8" hidden="false" customHeight="false" outlineLevel="0" collapsed="false">
      <c r="B71130" s="0" t="s">
        <v>4812</v>
      </c>
    </row>
    <row r="71131" customFormat="false" ht="12.8" hidden="false" customHeight="false" outlineLevel="0" collapsed="false">
      <c r="B71131" s="0" t="s">
        <v>98</v>
      </c>
    </row>
    <row r="71133" customFormat="false" ht="12.8" hidden="false" customHeight="false" outlineLevel="0" collapsed="false">
      <c r="A71133" s="0" t="s">
        <v>23173</v>
      </c>
      <c r="B71133" s="0" t="str">
        <f aca="false">HYPERLINK("https://lindat.mff.cuni.cz/services/teitok/pdtc10/index.php?action=vallex&amp;frame=v-w9817f1", "zprivatizovat (v-w9817f1)")</f>
        <v>zprivatizovat (v-w9817f1)</v>
      </c>
      <c r="E71133" s="0" t="str">
        <f aca="false">HYPERLINK("https://lindat.mff.cuni.cz/services/SynSemClass40/SynSemClass40.html?veclass=vec00683#vec00683-ces-cm00002", "vec00683")</f>
        <v>vec00683</v>
      </c>
      <c r="F71133" s="0" t="s">
        <v>12136</v>
      </c>
    </row>
    <row r="71134" customFormat="false" ht="12.8" hidden="false" customHeight="false" outlineLevel="0" collapsed="false">
      <c r="B71134" s="0" t="s">
        <v>1</v>
      </c>
      <c r="C71134" s="0" t="s">
        <v>512</v>
      </c>
      <c r="E71134" s="0" t="s">
        <v>206</v>
      </c>
      <c r="F71134" s="0" t="s">
        <v>3251</v>
      </c>
    </row>
    <row r="71135" customFormat="false" ht="12.8" hidden="false" customHeight="false" outlineLevel="0" collapsed="false">
      <c r="B71135" s="0" t="s">
        <v>8</v>
      </c>
      <c r="C71135" s="0" t="s">
        <v>1940</v>
      </c>
      <c r="E71135" s="0" t="s">
        <v>5521</v>
      </c>
      <c r="F71135" s="0" t="s">
        <v>12137</v>
      </c>
    </row>
    <row r="71137" customFormat="false" ht="12.8" hidden="false" customHeight="false" outlineLevel="0" collapsed="false">
      <c r="A71137" s="0" t="s">
        <v>23174</v>
      </c>
      <c r="B71137" s="0" t="str">
        <f aca="false">HYPERLINK("https://lindat.mff.cuni.cz/services/teitok/pdtc10/index.php?action=vallex&amp;frame=v-w9818f1", "zprofanovat (v-w9818f1)")</f>
        <v>zprofanovat (v-w9818f1)</v>
      </c>
    </row>
    <row r="71138" customFormat="false" ht="12.8" hidden="false" customHeight="false" outlineLevel="0" collapsed="false">
      <c r="B71138" s="0" t="s">
        <v>1</v>
      </c>
    </row>
    <row r="71139" customFormat="false" ht="12.8" hidden="false" customHeight="false" outlineLevel="0" collapsed="false">
      <c r="B71139" s="0" t="s">
        <v>8</v>
      </c>
    </row>
    <row r="71141" customFormat="false" ht="12.8" hidden="false" customHeight="false" outlineLevel="0" collapsed="false">
      <c r="A71141" s="0" t="s">
        <v>23175</v>
      </c>
      <c r="B71141" s="0" t="str">
        <f aca="false">HYPERLINK("https://lindat.mff.cuni.cz/services/teitok/pdtc10/index.php?action=vallex&amp;frame=v-w11654_ZUf1_ZU", "zpronevěřit (v-w11654_ZUf1_ZU)")</f>
        <v>zpronevěřit (v-w11654_ZUf1_ZU)</v>
      </c>
      <c r="E71141" s="0" t="str">
        <f aca="false">HYPERLINK("https://lindat.mff.cuni.cz/services/SynSemClass40/SynSemClass40.html?veclass=vec01187#vec01187-ces-cm00001", "vec01187")</f>
        <v>vec01187</v>
      </c>
      <c r="F71141" s="0" t="s">
        <v>8682</v>
      </c>
    </row>
    <row r="71142" customFormat="false" ht="12.8" hidden="false" customHeight="false" outlineLevel="0" collapsed="false">
      <c r="B71142" s="0" t="s">
        <v>1</v>
      </c>
      <c r="C71142" s="0" t="s">
        <v>459</v>
      </c>
      <c r="E71142" s="0" t="s">
        <v>1573</v>
      </c>
      <c r="F71142" s="0" t="s">
        <v>1574</v>
      </c>
    </row>
    <row r="71143" customFormat="false" ht="12.8" hidden="false" customHeight="false" outlineLevel="0" collapsed="false">
      <c r="B71143" s="0" t="s">
        <v>8</v>
      </c>
      <c r="C71143" s="0" t="s">
        <v>8683</v>
      </c>
      <c r="E71143" s="0" t="s">
        <v>594</v>
      </c>
      <c r="F71143" s="0" t="s">
        <v>8684</v>
      </c>
    </row>
    <row r="71145" customFormat="false" ht="12.8" hidden="false" customHeight="false" outlineLevel="0" collapsed="false">
      <c r="A71145" s="0" t="s">
        <v>23176</v>
      </c>
      <c r="B71145" s="0" t="str">
        <f aca="false">HYPERLINK("https://lindat.mff.cuni.cz/services/teitok/pdtc10/index.php?action=vallex&amp;frame=v-w9820f1", "zpronevěřit se (v-w9820f1)")</f>
        <v>zpronevěřit se (v-w9820f1)</v>
      </c>
    </row>
    <row r="71146" customFormat="false" ht="12.8" hidden="false" customHeight="false" outlineLevel="0" collapsed="false">
      <c r="B71146" s="0" t="s">
        <v>1</v>
      </c>
    </row>
    <row r="71147" customFormat="false" ht="12.8" hidden="false" customHeight="false" outlineLevel="0" collapsed="false">
      <c r="B71147" s="0" t="s">
        <v>186</v>
      </c>
    </row>
    <row r="71149" customFormat="false" ht="12.8" hidden="false" customHeight="false" outlineLevel="0" collapsed="false">
      <c r="A71149" s="0" t="s">
        <v>23177</v>
      </c>
      <c r="B71149" s="0" t="str">
        <f aca="false">HYPERLINK("https://lindat.mff.cuni.cz/services/teitok/pdtc10/index.php?action=vallex&amp;frame=v-w9821f1", "zprostit (v-w9821f1)")</f>
        <v>zprostit (v-w9821f1)</v>
      </c>
      <c r="E71149" s="0" t="str">
        <f aca="false">HYPERLINK("https://lindat.mff.cuni.cz/services/SynSemClass40/SynSemClass40.html?veclass=vec00595#vec00595-ces-cm00001", "vec00595")</f>
        <v>vec00595</v>
      </c>
      <c r="F71149" s="0" t="s">
        <v>9863</v>
      </c>
    </row>
    <row r="71150" customFormat="false" ht="12.8" hidden="false" customHeight="false" outlineLevel="0" collapsed="false">
      <c r="B71150" s="0" t="s">
        <v>1</v>
      </c>
      <c r="C71150" s="0" t="s">
        <v>3288</v>
      </c>
      <c r="E71150" s="0" t="s">
        <v>206</v>
      </c>
      <c r="F71150" s="0" t="s">
        <v>9275</v>
      </c>
    </row>
    <row r="71151" customFormat="false" ht="12.8" hidden="false" customHeight="false" outlineLevel="0" collapsed="false">
      <c r="B71151" s="0" t="s">
        <v>1289</v>
      </c>
      <c r="C71151" s="0" t="s">
        <v>22452</v>
      </c>
      <c r="E71151" s="0" t="s">
        <v>532</v>
      </c>
      <c r="F71151" s="0" t="s">
        <v>22453</v>
      </c>
    </row>
    <row r="71152" customFormat="false" ht="12.8" hidden="false" customHeight="false" outlineLevel="0" collapsed="false">
      <c r="B71152" s="0" t="s">
        <v>98</v>
      </c>
      <c r="C71152" s="0" t="s">
        <v>22454</v>
      </c>
      <c r="E71152" s="0" t="s">
        <v>2305</v>
      </c>
      <c r="F71152" s="0" t="s">
        <v>22455</v>
      </c>
    </row>
    <row r="71154" customFormat="false" ht="12.8" hidden="false" customHeight="false" outlineLevel="0" collapsed="false">
      <c r="A71154" s="0" t="s">
        <v>23178</v>
      </c>
      <c r="B71154" s="0" t="str">
        <f aca="false">HYPERLINK("https://lindat.mff.cuni.cz/services/teitok/pdtc10/index.php?action=vallex&amp;frame=v-w9824f3_ZU", "zprostředkovat (v-w9824f3_ZU)")</f>
        <v>zprostředkovat (v-w9824f3_ZU)</v>
      </c>
    </row>
    <row r="71155" customFormat="false" ht="12.8" hidden="false" customHeight="false" outlineLevel="0" collapsed="false">
      <c r="B71155" s="0" t="s">
        <v>1</v>
      </c>
    </row>
    <row r="71156" customFormat="false" ht="12.8" hidden="false" customHeight="false" outlineLevel="0" collapsed="false">
      <c r="B71156" s="0" t="s">
        <v>4687</v>
      </c>
    </row>
    <row r="71158" customFormat="false" ht="12.8" hidden="false" customHeight="false" outlineLevel="0" collapsed="false">
      <c r="A71158" s="0" t="s">
        <v>23178</v>
      </c>
      <c r="B71158" s="0" t="str">
        <f aca="false">HYPERLINK("https://lindat.mff.cuni.cz/services/teitok/pdtc10/index.php?action=vallex&amp;frame=v-w9824f1", "zprostředkovat (v-w9824f1) - substituted with v-w9824f3_ZU")</f>
        <v>zprostředkovat (v-w9824f1) - substituted with v-w9824f3_ZU</v>
      </c>
    </row>
    <row r="71159" customFormat="false" ht="12.8" hidden="false" customHeight="false" outlineLevel="0" collapsed="false">
      <c r="B71159" s="0" t="s">
        <v>1</v>
      </c>
    </row>
    <row r="71160" customFormat="false" ht="12.8" hidden="false" customHeight="false" outlineLevel="0" collapsed="false">
      <c r="B71160" s="0" t="s">
        <v>4687</v>
      </c>
    </row>
    <row r="71162" customFormat="false" ht="12.8" hidden="false" customHeight="false" outlineLevel="0" collapsed="false">
      <c r="A71162" s="0" t="s">
        <v>23179</v>
      </c>
      <c r="B71162" s="0" t="str">
        <f aca="false">HYPERLINK("https://lindat.mff.cuni.cz/services/teitok/pdtc10/index.php?action=vallex&amp;frame=v-w9824f2_ZU", "zprostředkovat (v-w9824f2_ZU)")</f>
        <v>zprostředkovat (v-w9824f2_ZU)</v>
      </c>
    </row>
    <row r="71163" customFormat="false" ht="12.8" hidden="false" customHeight="false" outlineLevel="0" collapsed="false">
      <c r="B71163" s="0" t="s">
        <v>1</v>
      </c>
    </row>
    <row r="71164" customFormat="false" ht="12.8" hidden="false" customHeight="false" outlineLevel="0" collapsed="false">
      <c r="B71164" s="0" t="s">
        <v>8</v>
      </c>
    </row>
    <row r="71165" customFormat="false" ht="12.8" hidden="false" customHeight="false" outlineLevel="0" collapsed="false">
      <c r="B71165" s="0" t="s">
        <v>132</v>
      </c>
    </row>
    <row r="71167" customFormat="false" ht="12.8" hidden="false" customHeight="false" outlineLevel="0" collapsed="false">
      <c r="A71167" s="0" t="s">
        <v>23180</v>
      </c>
      <c r="B71167" s="0" t="str">
        <f aca="false">HYPERLINK("https://lindat.mff.cuni.cz/services/teitok/pdtc10/index.php?action=vallex&amp;frame=v-w9827f1", "zprostředkovávat (v-w9827f1)")</f>
        <v>zprostředkovávat (v-w9827f1)</v>
      </c>
    </row>
    <row r="71168" customFormat="false" ht="12.8" hidden="false" customHeight="false" outlineLevel="0" collapsed="false">
      <c r="B71168" s="0" t="s">
        <v>1</v>
      </c>
    </row>
    <row r="71169" customFormat="false" ht="12.8" hidden="false" customHeight="false" outlineLevel="0" collapsed="false">
      <c r="B71169" s="0" t="s">
        <v>8</v>
      </c>
    </row>
    <row r="71171" customFormat="false" ht="12.8" hidden="false" customHeight="false" outlineLevel="0" collapsed="false">
      <c r="A71171" s="0" t="s">
        <v>23181</v>
      </c>
      <c r="B71171" s="0" t="str">
        <f aca="false">HYPERLINK("https://lindat.mff.cuni.cz/services/teitok/pdtc10/index.php?action=vallex&amp;frame=v-w11721_ZUf1_ZU", "zprotivit se (v-w11721_ZUf1_ZU)")</f>
        <v>zprotivit se (v-w11721_ZUf1_ZU)</v>
      </c>
    </row>
    <row r="71172" customFormat="false" ht="12.8" hidden="false" customHeight="false" outlineLevel="0" collapsed="false">
      <c r="B71172" s="0" t="s">
        <v>804</v>
      </c>
    </row>
    <row r="71173" customFormat="false" ht="12.8" hidden="false" customHeight="false" outlineLevel="0" collapsed="false">
      <c r="B71173" s="0" t="s">
        <v>439</v>
      </c>
    </row>
    <row r="71175" customFormat="false" ht="12.8" hidden="false" customHeight="false" outlineLevel="0" collapsed="false">
      <c r="A71175" s="0" t="s">
        <v>23182</v>
      </c>
      <c r="B71175" s="0" t="str">
        <f aca="false">HYPERLINK("https://lindat.mff.cuni.cz/services/teitok/pdtc10/index.php?action=vallex&amp;frame=v-w9829f1", "zprovoznit (v-w9829f1)")</f>
        <v>zprovoznit (v-w9829f1)</v>
      </c>
    </row>
    <row r="71176" customFormat="false" ht="12.8" hidden="false" customHeight="false" outlineLevel="0" collapsed="false">
      <c r="B71176" s="0" t="s">
        <v>1</v>
      </c>
    </row>
    <row r="71177" customFormat="false" ht="12.8" hidden="false" customHeight="false" outlineLevel="0" collapsed="false">
      <c r="B71177" s="0" t="s">
        <v>8</v>
      </c>
    </row>
    <row r="71179" customFormat="false" ht="12.8" hidden="false" customHeight="false" outlineLevel="0" collapsed="false">
      <c r="A71179" s="0" t="s">
        <v>23183</v>
      </c>
      <c r="B71179" s="0" t="str">
        <f aca="false">HYPERLINK("https://lindat.mff.cuni.cz/services/teitok/pdtc10/index.php?action=vallex&amp;frame=v-w10998f2", "zprošťovat (v-w10998f2)")</f>
        <v>zprošťovat (v-w10998f2)</v>
      </c>
      <c r="E71179" s="0" t="str">
        <f aca="false">HYPERLINK("https://lindat.mff.cuni.cz/services/SynSemClass40/SynSemClass40.html?veclass=vec00595#vec00595-ces-cm00026", "vec00595")</f>
        <v>vec00595</v>
      </c>
      <c r="F71179" s="0" t="s">
        <v>9863</v>
      </c>
    </row>
    <row r="71180" customFormat="false" ht="12.8" hidden="false" customHeight="false" outlineLevel="0" collapsed="false">
      <c r="B71180" s="0" t="s">
        <v>1</v>
      </c>
      <c r="C71180" s="0" t="s">
        <v>3288</v>
      </c>
      <c r="E71180" s="0" t="s">
        <v>206</v>
      </c>
      <c r="F71180" s="0" t="s">
        <v>9275</v>
      </c>
    </row>
    <row r="71181" customFormat="false" ht="12.8" hidden="false" customHeight="false" outlineLevel="0" collapsed="false">
      <c r="B71181" s="0" t="s">
        <v>1289</v>
      </c>
      <c r="C71181" s="0" t="s">
        <v>22452</v>
      </c>
      <c r="E71181" s="0" t="s">
        <v>532</v>
      </c>
      <c r="F71181" s="0" t="s">
        <v>22453</v>
      </c>
    </row>
    <row r="71182" customFormat="false" ht="12.8" hidden="false" customHeight="false" outlineLevel="0" collapsed="false">
      <c r="B71182" s="0" t="s">
        <v>98</v>
      </c>
      <c r="C71182" s="0" t="s">
        <v>22454</v>
      </c>
      <c r="E71182" s="0" t="s">
        <v>2305</v>
      </c>
      <c r="F71182" s="0" t="s">
        <v>22455</v>
      </c>
    </row>
    <row r="71184" customFormat="false" ht="12.8" hidden="false" customHeight="false" outlineLevel="0" collapsed="false">
      <c r="A71184" s="0" t="s">
        <v>23184</v>
      </c>
      <c r="B71184" s="0" t="str">
        <f aca="false">HYPERLINK("https://lindat.mff.cuni.cz/services/teitok/pdtc10/index.php?action=vallex&amp;frame=v-w10240f2", "zprůhledňovat (v-w10240f2)")</f>
        <v>zprůhledňovat (v-w10240f2)</v>
      </c>
    </row>
    <row r="71185" customFormat="false" ht="12.8" hidden="false" customHeight="false" outlineLevel="0" collapsed="false">
      <c r="B71185" s="0" t="s">
        <v>1</v>
      </c>
    </row>
    <row r="71186" customFormat="false" ht="12.8" hidden="false" customHeight="false" outlineLevel="0" collapsed="false">
      <c r="B71186" s="0" t="s">
        <v>8</v>
      </c>
    </row>
    <row r="71188" customFormat="false" ht="12.8" hidden="false" customHeight="false" outlineLevel="0" collapsed="false">
      <c r="A71188" s="0" t="s">
        <v>23185</v>
      </c>
      <c r="B71188" s="0" t="str">
        <f aca="false">HYPERLINK("https://lindat.mff.cuni.cz/services/teitok/pdtc10/index.php?action=vallex&amp;frame=v-w9831f1", "zprůměrovat (v-w9831f1)")</f>
        <v>zprůměrovat (v-w9831f1)</v>
      </c>
    </row>
    <row r="71189" customFormat="false" ht="12.8" hidden="false" customHeight="false" outlineLevel="0" collapsed="false">
      <c r="B71189" s="0" t="s">
        <v>1</v>
      </c>
    </row>
    <row r="71190" customFormat="false" ht="12.8" hidden="false" customHeight="false" outlineLevel="0" collapsed="false">
      <c r="B71190" s="0" t="s">
        <v>8</v>
      </c>
    </row>
    <row r="71192" customFormat="false" ht="12.8" hidden="false" customHeight="false" outlineLevel="0" collapsed="false">
      <c r="A71192" s="0" t="s">
        <v>23186</v>
      </c>
      <c r="B71192" s="0" t="str">
        <f aca="false">HYPERLINK("https://lindat.mff.cuni.cz/services/teitok/pdtc10/index.php?action=vallex&amp;frame=v-w9845f1", "zpuchřet (v-w9845f1)")</f>
        <v>zpuchřet (v-w9845f1)</v>
      </c>
    </row>
    <row r="71193" customFormat="false" ht="12.8" hidden="false" customHeight="false" outlineLevel="0" collapsed="false">
      <c r="B71193" s="0" t="s">
        <v>1</v>
      </c>
    </row>
    <row r="71195" customFormat="false" ht="12.8" hidden="false" customHeight="false" outlineLevel="0" collapsed="false">
      <c r="A71195" s="0" t="s">
        <v>23187</v>
      </c>
      <c r="B71195" s="0" t="str">
        <f aca="false">HYPERLINK("https://lindat.mff.cuni.cz/services/teitok/pdtc10/index.php?action=vallex&amp;frame=v-w10807f2", "zpustošit (v-w10807f2)")</f>
        <v>zpustošit (v-w10807f2)</v>
      </c>
    </row>
    <row r="71196" customFormat="false" ht="12.8" hidden="false" customHeight="false" outlineLevel="0" collapsed="false">
      <c r="B71196" s="0" t="s">
        <v>1</v>
      </c>
    </row>
    <row r="71197" customFormat="false" ht="12.8" hidden="false" customHeight="false" outlineLevel="0" collapsed="false">
      <c r="B71197" s="0" t="s">
        <v>305</v>
      </c>
    </row>
    <row r="71199" customFormat="false" ht="12.8" hidden="false" customHeight="false" outlineLevel="0" collapsed="false">
      <c r="A71199" s="0" t="s">
        <v>23188</v>
      </c>
      <c r="B71199" s="0" t="str">
        <f aca="false">HYPERLINK("https://lindat.mff.cuni.cz/services/teitok/pdtc10/index.php?action=vallex&amp;frame=v-whsb_210hsa_211", "zpytovat (v-whsb_210hsa_211)")</f>
        <v>zpytovat (v-whsb_210hsa_211)</v>
      </c>
    </row>
    <row r="71200" customFormat="false" ht="12.8" hidden="false" customHeight="false" outlineLevel="0" collapsed="false">
      <c r="B71200" s="0" t="s">
        <v>1</v>
      </c>
    </row>
    <row r="71201" customFormat="false" ht="12.8" hidden="false" customHeight="false" outlineLevel="0" collapsed="false">
      <c r="B71201" s="0" t="s">
        <v>2493</v>
      </c>
    </row>
    <row r="71203" customFormat="false" ht="12.8" hidden="false" customHeight="false" outlineLevel="0" collapsed="false">
      <c r="A71203" s="0" t="s">
        <v>23189</v>
      </c>
      <c r="B71203" s="0" t="str">
        <f aca="false">HYPERLINK("https://lindat.mff.cuni.cz/services/teitok/pdtc10/index.php?action=vallex&amp;frame=v-w9784f1", "zpívat (v-w9784f1)")</f>
        <v>zpívat (v-w9784f1)</v>
      </c>
      <c r="E71203" s="0" t="str">
        <f aca="false">HYPERLINK("https://lindat.mff.cuni.cz/services/SynSemClass40/SynSemClass40.html?veclass=vec00794#vec00794-ces-cm00001", "vec00794")</f>
        <v>vec00794</v>
      </c>
      <c r="F71203" s="0" t="s">
        <v>506</v>
      </c>
    </row>
    <row r="71204" customFormat="false" ht="12.8" hidden="false" customHeight="false" outlineLevel="0" collapsed="false">
      <c r="B71204" s="0" t="s">
        <v>1</v>
      </c>
      <c r="C71204" s="0" t="s">
        <v>428</v>
      </c>
      <c r="E71204" s="0" t="s">
        <v>147</v>
      </c>
      <c r="F71204" s="0" t="s">
        <v>507</v>
      </c>
    </row>
    <row r="71205" customFormat="false" ht="12.8" hidden="false" customHeight="false" outlineLevel="0" collapsed="false">
      <c r="B71205" s="0" t="s">
        <v>8</v>
      </c>
      <c r="C71205" s="0" t="s">
        <v>158</v>
      </c>
      <c r="E71205" s="0" t="s">
        <v>218</v>
      </c>
      <c r="F71205" s="0" t="s">
        <v>509</v>
      </c>
    </row>
    <row r="71206" customFormat="false" ht="12.8" hidden="false" customHeight="false" outlineLevel="0" collapsed="false">
      <c r="B71206" s="0" t="s">
        <v>132</v>
      </c>
      <c r="E71206" s="0" t="s">
        <v>221</v>
      </c>
      <c r="F71206" s="0" t="s">
        <v>4699</v>
      </c>
    </row>
    <row r="71208" customFormat="false" ht="12.8" hidden="false" customHeight="false" outlineLevel="0" collapsed="false">
      <c r="A71208" s="0" t="s">
        <v>23190</v>
      </c>
      <c r="B71208" s="0" t="str">
        <f aca="false">HYPERLINK("https://lindat.mff.cuni.cz/services/teitok/pdtc10/index.php?action=vallex&amp;frame=v-w9784f2", "zpívat (v-w9784f2)")</f>
        <v>zpívat (v-w9784f2)</v>
      </c>
    </row>
    <row r="71209" customFormat="false" ht="12.8" hidden="false" customHeight="false" outlineLevel="0" collapsed="false">
      <c r="B71209" s="0" t="s">
        <v>1</v>
      </c>
    </row>
    <row r="71210" customFormat="false" ht="12.8" hidden="false" customHeight="false" outlineLevel="0" collapsed="false">
      <c r="B71210" s="0" t="s">
        <v>318</v>
      </c>
    </row>
    <row r="71211" customFormat="false" ht="12.8" hidden="false" customHeight="false" outlineLevel="0" collapsed="false">
      <c r="B71211" s="0" t="s">
        <v>132</v>
      </c>
    </row>
    <row r="71213" customFormat="false" ht="12.8" hidden="false" customHeight="false" outlineLevel="0" collapsed="false">
      <c r="A71213" s="0" t="s">
        <v>23191</v>
      </c>
      <c r="B71213" s="0" t="str">
        <f aca="false">HYPERLINK("https://lindat.mff.cuni.cz/services/teitok/pdtc10/index.php?action=vallex&amp;frame=v-w9784f4", "zpívat (v-w9784f4)")</f>
        <v>zpívat (v-w9784f4)</v>
      </c>
    </row>
    <row r="71214" customFormat="false" ht="12.8" hidden="false" customHeight="false" outlineLevel="0" collapsed="false">
      <c r="B71214" s="0" t="s">
        <v>1</v>
      </c>
    </row>
    <row r="71215" customFormat="false" ht="12.8" hidden="false" customHeight="false" outlineLevel="0" collapsed="false">
      <c r="B71215" s="0" t="s">
        <v>12917</v>
      </c>
    </row>
    <row r="71216" customFormat="false" ht="12.8" hidden="false" customHeight="false" outlineLevel="0" collapsed="false">
      <c r="B71216" s="0" t="s">
        <v>496</v>
      </c>
    </row>
    <row r="71217" customFormat="false" ht="12.8" hidden="false" customHeight="false" outlineLevel="0" collapsed="false">
      <c r="B71217" s="0" t="s">
        <v>132</v>
      </c>
    </row>
    <row r="71219" customFormat="false" ht="12.8" hidden="false" customHeight="false" outlineLevel="0" collapsed="false">
      <c r="A71219" s="0" t="s">
        <v>23192</v>
      </c>
      <c r="B71219" s="0" t="str">
        <f aca="false">HYPERLINK("https://lindat.mff.cuni.cz/services/teitok/pdtc10/index.php?action=vallex&amp;frame=v-w9784f3", "zpívat (v-w9784f3)")</f>
        <v>zpívat (v-w9784f3)</v>
      </c>
      <c r="E71219" s="0" t="str">
        <f aca="false">HYPERLINK("https://lindat.mff.cuni.cz/services/SynSemClass40/SynSemClass40.html?veclass=vec00794#vec00794-ces-cm00005", "vec00794")</f>
        <v>vec00794</v>
      </c>
      <c r="F71219" s="0" t="s">
        <v>506</v>
      </c>
    </row>
    <row r="71220" customFormat="false" ht="12.8" hidden="false" customHeight="false" outlineLevel="0" collapsed="false">
      <c r="B71220" s="0" t="s">
        <v>1</v>
      </c>
      <c r="C71220" s="0" t="s">
        <v>428</v>
      </c>
      <c r="E71220" s="0" t="s">
        <v>147</v>
      </c>
      <c r="F71220" s="0" t="s">
        <v>507</v>
      </c>
    </row>
    <row r="71222" customFormat="false" ht="12.8" hidden="false" customHeight="false" outlineLevel="0" collapsed="false">
      <c r="A71222" s="0" t="s">
        <v>23193</v>
      </c>
      <c r="B71222" s="0" t="str">
        <f aca="false">HYPERLINK("https://lindat.mff.cuni.cz/services/teitok/pdtc10/index.php?action=vallex&amp;frame=v-w9784f5_ZU", "zpívat (v-w9784f5_ZU)")</f>
        <v>zpívat (v-w9784f5_ZU)</v>
      </c>
    </row>
    <row r="71223" customFormat="false" ht="12.8" hidden="false" customHeight="false" outlineLevel="0" collapsed="false">
      <c r="B71223" s="0" t="s">
        <v>1</v>
      </c>
    </row>
    <row r="71225" customFormat="false" ht="12.8" hidden="false" customHeight="false" outlineLevel="0" collapsed="false">
      <c r="A71225" s="0" t="s">
        <v>23194</v>
      </c>
      <c r="B71225" s="0" t="str">
        <f aca="false">HYPERLINK("https://lindat.mff.cuni.cz/services/teitok/pdtc10/index.php?action=vallex&amp;frame=v-w11953_ZUf1_ZU", "zpívávat (v-w11953_ZUf1_ZU)")</f>
        <v>zpívávat (v-w11953_ZUf1_ZU)</v>
      </c>
    </row>
    <row r="71226" customFormat="false" ht="12.8" hidden="false" customHeight="false" outlineLevel="0" collapsed="false">
      <c r="B71226" s="0" t="s">
        <v>1</v>
      </c>
    </row>
    <row r="71227" customFormat="false" ht="12.8" hidden="false" customHeight="false" outlineLevel="0" collapsed="false">
      <c r="B71227" s="0" t="s">
        <v>8</v>
      </c>
    </row>
    <row r="71228" customFormat="false" ht="12.8" hidden="false" customHeight="false" outlineLevel="0" collapsed="false">
      <c r="B71228" s="0" t="s">
        <v>132</v>
      </c>
    </row>
    <row r="71230" customFormat="false" ht="12.8" hidden="false" customHeight="false" outlineLevel="0" collapsed="false">
      <c r="A71230" s="0" t="s">
        <v>23195</v>
      </c>
      <c r="B71230" s="0" t="str">
        <f aca="false">HYPERLINK("https://lindat.mff.cuni.cz/services/teitok/pdtc10/index.php?action=vallex&amp;frame=v-w11428f1", "zpětinásobit se (v-w11428f1)")</f>
        <v>zpětinásobit se (v-w11428f1)</v>
      </c>
    </row>
    <row r="71231" customFormat="false" ht="12.8" hidden="false" customHeight="false" outlineLevel="0" collapsed="false">
      <c r="B71231" s="0" t="s">
        <v>1</v>
      </c>
    </row>
    <row r="71233" customFormat="false" ht="12.8" hidden="false" customHeight="false" outlineLevel="0" collapsed="false">
      <c r="A71233" s="0" t="s">
        <v>23196</v>
      </c>
      <c r="B71233" s="0" t="str">
        <f aca="false">HYPERLINK("https://lindat.mff.cuni.cz/services/teitok/pdtc10/index.php?action=vallex&amp;frame=v-w9833f1", "zpřehlednit (v-w9833f1)")</f>
        <v>zpřehlednit (v-w9833f1)</v>
      </c>
    </row>
    <row r="71234" customFormat="false" ht="12.8" hidden="false" customHeight="false" outlineLevel="0" collapsed="false">
      <c r="B71234" s="0" t="s">
        <v>1</v>
      </c>
    </row>
    <row r="71235" customFormat="false" ht="12.8" hidden="false" customHeight="false" outlineLevel="0" collapsed="false">
      <c r="B71235" s="0" t="s">
        <v>8</v>
      </c>
    </row>
    <row r="71237" customFormat="false" ht="12.8" hidden="false" customHeight="false" outlineLevel="0" collapsed="false">
      <c r="A71237" s="0" t="s">
        <v>23197</v>
      </c>
      <c r="B71237" s="0" t="str">
        <f aca="false">HYPERLINK("https://lindat.mff.cuni.cz/services/teitok/pdtc10/index.php?action=vallex&amp;frame=v-w12141_ZUf1_ZU", "zpřeházet (v-w12141_ZUf1_ZU)")</f>
        <v>zpřeházet (v-w12141_ZUf1_ZU)</v>
      </c>
    </row>
    <row r="71238" customFormat="false" ht="12.8" hidden="false" customHeight="false" outlineLevel="0" collapsed="false">
      <c r="B71238" s="0" t="s">
        <v>1</v>
      </c>
    </row>
    <row r="71239" customFormat="false" ht="12.8" hidden="false" customHeight="false" outlineLevel="0" collapsed="false">
      <c r="B71239" s="0" t="s">
        <v>8</v>
      </c>
    </row>
    <row r="71241" customFormat="false" ht="12.8" hidden="false" customHeight="false" outlineLevel="0" collapsed="false">
      <c r="A71241" s="0" t="s">
        <v>23198</v>
      </c>
      <c r="B71241" s="0" t="str">
        <f aca="false">HYPERLINK("https://lindat.mff.cuni.cz/services/teitok/pdtc10/index.php?action=vallex&amp;frame=v-w9835f1", "zpřesnit (v-w9835f1)")</f>
        <v>zpřesnit (v-w9835f1)</v>
      </c>
    </row>
    <row r="71242" customFormat="false" ht="12.8" hidden="false" customHeight="false" outlineLevel="0" collapsed="false">
      <c r="B71242" s="0" t="s">
        <v>1</v>
      </c>
    </row>
    <row r="71243" customFormat="false" ht="12.8" hidden="false" customHeight="false" outlineLevel="0" collapsed="false">
      <c r="B71243" s="0" t="s">
        <v>3028</v>
      </c>
    </row>
    <row r="71245" customFormat="false" ht="12.8" hidden="false" customHeight="false" outlineLevel="0" collapsed="false">
      <c r="A71245" s="0" t="s">
        <v>23199</v>
      </c>
      <c r="B71245" s="0" t="str">
        <f aca="false">HYPERLINK("https://lindat.mff.cuni.cz/services/teitok/pdtc10/index.php?action=vallex&amp;frame=v-w9836f1", "zpřesňovat (v-w9836f1)")</f>
        <v>zpřesňovat (v-w9836f1)</v>
      </c>
    </row>
    <row r="71246" customFormat="false" ht="12.8" hidden="false" customHeight="false" outlineLevel="0" collapsed="false">
      <c r="B71246" s="0" t="s">
        <v>1</v>
      </c>
    </row>
    <row r="71247" customFormat="false" ht="12.8" hidden="false" customHeight="false" outlineLevel="0" collapsed="false">
      <c r="B71247" s="0" t="s">
        <v>3028</v>
      </c>
    </row>
    <row r="71249" customFormat="false" ht="12.8" hidden="false" customHeight="false" outlineLevel="0" collapsed="false">
      <c r="A71249" s="0" t="s">
        <v>23200</v>
      </c>
      <c r="B71249" s="0" t="str">
        <f aca="false">HYPERLINK("https://lindat.mff.cuni.cz/services/teitok/pdtc10/index.php?action=vallex&amp;frame=v-w9837f1", "zpřetrhat (v-w9837f1)")</f>
        <v>zpřetrhat (v-w9837f1)</v>
      </c>
      <c r="E71249" s="0" t="str">
        <f aca="false">HYPERLINK("https://lindat.mff.cuni.cz/services/SynSemClass40/SynSemClass40.html?veclass=vec00885#vec00885-ces-cm00040", "vec00885")</f>
        <v>vec00885</v>
      </c>
      <c r="F71249" s="0" t="s">
        <v>12480</v>
      </c>
      <c r="H71249" s="0" t="str">
        <f aca="false">HYPERLINK("https://lindat.mff.cuni.cz/services/SynSemClass40/SynSemClass40.html?veclass=vec00903#vec00903-ces-cm00019", "vec00903")</f>
        <v>vec00903</v>
      </c>
      <c r="I71249" s="0" t="s">
        <v>8059</v>
      </c>
    </row>
    <row r="71250" customFormat="false" ht="12.8" hidden="false" customHeight="false" outlineLevel="0" collapsed="false">
      <c r="B71250" s="0" t="s">
        <v>1</v>
      </c>
      <c r="C71250" s="0" t="s">
        <v>12239</v>
      </c>
      <c r="E71250" s="0" t="s">
        <v>1890</v>
      </c>
      <c r="F71250" s="0" t="s">
        <v>12481</v>
      </c>
      <c r="H71250" s="0" t="s">
        <v>1890</v>
      </c>
      <c r="I71250" s="0" t="s">
        <v>8061</v>
      </c>
    </row>
    <row r="71251" customFormat="false" ht="12.8" hidden="false" customHeight="false" outlineLevel="0" collapsed="false">
      <c r="B71251" s="0" t="s">
        <v>8</v>
      </c>
      <c r="C71251" s="0" t="s">
        <v>571</v>
      </c>
      <c r="E71251" s="0" t="s">
        <v>1893</v>
      </c>
      <c r="F71251" s="0" t="s">
        <v>12482</v>
      </c>
      <c r="H71251" s="0" t="s">
        <v>1893</v>
      </c>
      <c r="I71251" s="0" t="s">
        <v>8063</v>
      </c>
    </row>
    <row r="71253" customFormat="false" ht="12.8" hidden="false" customHeight="false" outlineLevel="0" collapsed="false">
      <c r="A71253" s="0" t="s">
        <v>23201</v>
      </c>
      <c r="B71253" s="0" t="str">
        <f aca="false">HYPERLINK("https://lindat.mff.cuni.cz/services/teitok/pdtc10/index.php?action=vallex&amp;frame=v-whsa_53hsa_54", "zpříjemnit (v-whsa_53hsa_54)")</f>
        <v>zpříjemnit (v-whsa_53hsa_54)</v>
      </c>
      <c r="E71253" s="0" t="str">
        <f aca="false">HYPERLINK("https://lindat.mff.cuni.cz/services/SynSemClass40/SynSemClass40.html?veclass=vec01509#vec01509-ces-cm00013", "vec01509")</f>
        <v>vec01509</v>
      </c>
      <c r="F71253" s="0" t="s">
        <v>9973</v>
      </c>
    </row>
    <row r="71254" customFormat="false" ht="12.8" hidden="false" customHeight="false" outlineLevel="0" collapsed="false">
      <c r="B71254" s="0" t="s">
        <v>1</v>
      </c>
      <c r="C71254" s="0" t="s">
        <v>767</v>
      </c>
      <c r="E71254" s="0" t="s">
        <v>5401</v>
      </c>
      <c r="F71254" s="0" t="s">
        <v>9974</v>
      </c>
    </row>
    <row r="71255" customFormat="false" ht="12.8" hidden="false" customHeight="false" outlineLevel="0" collapsed="false">
      <c r="B71255" s="0" t="s">
        <v>8</v>
      </c>
      <c r="C71255" s="0" t="s">
        <v>5391</v>
      </c>
      <c r="E71255" s="0" t="s">
        <v>5405</v>
      </c>
      <c r="F71255" s="0" t="s">
        <v>9975</v>
      </c>
    </row>
    <row r="71257" customFormat="false" ht="12.8" hidden="false" customHeight="false" outlineLevel="0" collapsed="false">
      <c r="A71257" s="0" t="s">
        <v>23202</v>
      </c>
      <c r="B71257" s="0" t="str">
        <f aca="false">HYPERLINK("https://lindat.mff.cuni.cz/services/teitok/pdtc10/index.php?action=vallex&amp;frame=v-w10406f2", "zpříjemňovat (v-w10406f2)")</f>
        <v>zpříjemňovat (v-w10406f2)</v>
      </c>
      <c r="E71257" s="0" t="str">
        <f aca="false">HYPERLINK("https://lindat.mff.cuni.cz/services/SynSemClass40/SynSemClass40.html?veclass=vec01509#vec01509-ces-cm00014", "vec01509")</f>
        <v>vec01509</v>
      </c>
      <c r="F71257" s="0" t="s">
        <v>9973</v>
      </c>
    </row>
    <row r="71258" customFormat="false" ht="12.8" hidden="false" customHeight="false" outlineLevel="0" collapsed="false">
      <c r="B71258" s="0" t="s">
        <v>1</v>
      </c>
      <c r="C71258" s="0" t="s">
        <v>767</v>
      </c>
      <c r="E71258" s="0" t="s">
        <v>5401</v>
      </c>
      <c r="F71258" s="0" t="s">
        <v>9974</v>
      </c>
    </row>
    <row r="71259" customFormat="false" ht="12.8" hidden="false" customHeight="false" outlineLevel="0" collapsed="false">
      <c r="B71259" s="0" t="s">
        <v>8</v>
      </c>
      <c r="C71259" s="0" t="s">
        <v>5391</v>
      </c>
      <c r="E71259" s="0" t="s">
        <v>5405</v>
      </c>
      <c r="F71259" s="0" t="s">
        <v>9975</v>
      </c>
    </row>
    <row r="71261" customFormat="false" ht="12.8" hidden="false" customHeight="false" outlineLevel="0" collapsed="false">
      <c r="A71261" s="0" t="s">
        <v>23203</v>
      </c>
      <c r="B71261" s="0" t="str">
        <f aca="false">HYPERLINK("https://lindat.mff.cuni.cz/services/teitok/pdtc10/index.php?action=vallex&amp;frame=v-w9840f1", "zpřísnit (v-w9840f1)")</f>
        <v>zpřísnit (v-w9840f1)</v>
      </c>
      <c r="E71261" s="0" t="str">
        <f aca="false">HYPERLINK("https://lindat.mff.cuni.cz/services/SynSemClass40/SynSemClass40.html?veclass=vec01301#vec01301-ces-cm00013", "vec01301")</f>
        <v>vec01301</v>
      </c>
      <c r="F71261" s="0" t="s">
        <v>6491</v>
      </c>
    </row>
    <row r="71262" customFormat="false" ht="12.8" hidden="false" customHeight="false" outlineLevel="0" collapsed="false">
      <c r="B71262" s="0" t="s">
        <v>1</v>
      </c>
      <c r="C71262" s="0" t="s">
        <v>14559</v>
      </c>
      <c r="E71262" s="0" t="s">
        <v>31</v>
      </c>
      <c r="F71262" s="0" t="s">
        <v>6492</v>
      </c>
    </row>
    <row r="71263" customFormat="false" ht="12.8" hidden="false" customHeight="false" outlineLevel="0" collapsed="false">
      <c r="B71263" s="0" t="s">
        <v>8</v>
      </c>
      <c r="C71263" s="0" t="s">
        <v>623</v>
      </c>
      <c r="E71263" s="0" t="s">
        <v>6494</v>
      </c>
      <c r="F71263" s="0" t="s">
        <v>6495</v>
      </c>
    </row>
    <row r="71265" customFormat="false" ht="12.8" hidden="false" customHeight="false" outlineLevel="0" collapsed="false">
      <c r="A71265" s="0" t="s">
        <v>23204</v>
      </c>
      <c r="B71265" s="0" t="str">
        <f aca="false">HYPERLINK("https://lindat.mff.cuni.cz/services/teitok/pdtc10/index.php?action=vallex&amp;frame=v-w9839f1", "zpřísnět (v-w9839f1)")</f>
        <v>zpřísnět (v-w9839f1)</v>
      </c>
    </row>
    <row r="71266" customFormat="false" ht="12.8" hidden="false" customHeight="false" outlineLevel="0" collapsed="false">
      <c r="B71266" s="0" t="s">
        <v>1</v>
      </c>
    </row>
    <row r="71268" customFormat="false" ht="12.8" hidden="false" customHeight="false" outlineLevel="0" collapsed="false">
      <c r="A71268" s="0" t="s">
        <v>23205</v>
      </c>
      <c r="B71268" s="0" t="str">
        <f aca="false">HYPERLINK("https://lindat.mff.cuni.cz/services/teitok/pdtc10/index.php?action=vallex&amp;frame=v-w9843f1", "zpřístupnit (v-w9843f1)")</f>
        <v>zpřístupnit (v-w9843f1)</v>
      </c>
      <c r="E71268" s="0" t="str">
        <f aca="false">HYPERLINK("https://lindat.mff.cuni.cz/services/SynSemClass40/SynSemClass40.html?veclass=vec01386#vec01386-ces-cm00003", "vec01386")</f>
        <v>vec01386</v>
      </c>
      <c r="F71268" s="0" t="s">
        <v>8897</v>
      </c>
    </row>
    <row r="71269" customFormat="false" ht="12.8" hidden="false" customHeight="false" outlineLevel="0" collapsed="false">
      <c r="B71269" s="0" t="s">
        <v>1</v>
      </c>
      <c r="C71269" s="0" t="s">
        <v>23206</v>
      </c>
      <c r="E71269" s="0" t="s">
        <v>206</v>
      </c>
      <c r="F71269" s="0" t="s">
        <v>8899</v>
      </c>
    </row>
    <row r="71270" customFormat="false" ht="12.8" hidden="false" customHeight="false" outlineLevel="0" collapsed="false">
      <c r="B71270" s="0" t="s">
        <v>8</v>
      </c>
      <c r="C71270" s="0" t="s">
        <v>23207</v>
      </c>
      <c r="E71270" s="0" t="s">
        <v>8901</v>
      </c>
      <c r="F71270" s="0" t="s">
        <v>8902</v>
      </c>
    </row>
    <row r="71271" customFormat="false" ht="12.8" hidden="false" customHeight="false" outlineLevel="0" collapsed="false">
      <c r="B71271" s="0" t="s">
        <v>52</v>
      </c>
      <c r="C71271" s="0" t="s">
        <v>23208</v>
      </c>
      <c r="E71271" s="0" t="s">
        <v>221</v>
      </c>
      <c r="F71271" s="0" t="s">
        <v>10099</v>
      </c>
    </row>
    <row r="71273" customFormat="false" ht="12.8" hidden="false" customHeight="false" outlineLevel="0" collapsed="false">
      <c r="A71273" s="0" t="s">
        <v>23209</v>
      </c>
      <c r="B71273" s="0" t="str">
        <f aca="false">HYPERLINK("https://lindat.mff.cuni.cz/services/teitok/pdtc10/index.php?action=vallex&amp;frame=v-w9843hsa_678", "zpřístupnit (v-w9843hsa_678)")</f>
        <v>zpřístupnit (v-w9843hsa_678)</v>
      </c>
      <c r="E71273" s="0" t="str">
        <f aca="false">HYPERLINK("https://lindat.mff.cuni.cz/services/SynSemClass40/SynSemClass40.html?veclass=vec01386#vec01386-ces-cm00004", "vec01386")</f>
        <v>vec01386</v>
      </c>
      <c r="F71273" s="0" t="s">
        <v>8897</v>
      </c>
      <c r="H71273" s="0" t="str">
        <f aca="false">HYPERLINK("https://lindat.mff.cuni.cz/services/SynSemClass40/SynSemClass40.html?veclass=vec01419#vec01419-ces-cm00099", "vec01419")</f>
        <v>vec01419</v>
      </c>
      <c r="I71273" s="0" t="s">
        <v>3428</v>
      </c>
    </row>
    <row r="71274" customFormat="false" ht="12.8" hidden="false" customHeight="false" outlineLevel="0" collapsed="false">
      <c r="B71274" s="0" t="s">
        <v>1</v>
      </c>
      <c r="C71274" s="0" t="s">
        <v>10093</v>
      </c>
      <c r="E71274" s="0" t="s">
        <v>206</v>
      </c>
      <c r="F71274" s="0" t="s">
        <v>8899</v>
      </c>
      <c r="H71274" s="0" t="s">
        <v>206</v>
      </c>
      <c r="I71274" s="0" t="s">
        <v>3430</v>
      </c>
    </row>
    <row r="71275" customFormat="false" ht="12.8" hidden="false" customHeight="false" outlineLevel="0" collapsed="false">
      <c r="B71275" s="0" t="s">
        <v>8</v>
      </c>
      <c r="C71275" s="0" t="s">
        <v>10102</v>
      </c>
      <c r="E71275" s="0" t="s">
        <v>8901</v>
      </c>
      <c r="F71275" s="0" t="s">
        <v>8902</v>
      </c>
      <c r="H71275" s="0" t="s">
        <v>523</v>
      </c>
      <c r="I71275" s="0" t="s">
        <v>3434</v>
      </c>
    </row>
    <row r="71276" customFormat="false" ht="12.8" hidden="false" customHeight="false" outlineLevel="0" collapsed="false">
      <c r="B71276" s="0" t="s">
        <v>52</v>
      </c>
      <c r="C71276" s="0" t="s">
        <v>10098</v>
      </c>
      <c r="E71276" s="0" t="s">
        <v>221</v>
      </c>
      <c r="F71276" s="0" t="s">
        <v>10099</v>
      </c>
      <c r="H71276" s="0" t="s">
        <v>2287</v>
      </c>
      <c r="I71276" s="0" t="s">
        <v>3436</v>
      </c>
    </row>
    <row r="71278" customFormat="false" ht="12.8" hidden="false" customHeight="false" outlineLevel="0" collapsed="false">
      <c r="A71278" s="0" t="s">
        <v>23210</v>
      </c>
      <c r="B71278" s="0" t="str">
        <f aca="false">HYPERLINK("https://lindat.mff.cuni.cz/services/teitok/pdtc10/index.php?action=vallex&amp;frame=v-w10910f2", "zpřístupňovat (v-w10910f2)")</f>
        <v>zpřístupňovat (v-w10910f2)</v>
      </c>
      <c r="E71278" s="0" t="str">
        <f aca="false">HYPERLINK("https://lindat.mff.cuni.cz/services/SynSemClass40/SynSemClass40.html?veclass=vec01386#vec01386-ces-cm00005", "vec01386")</f>
        <v>vec01386</v>
      </c>
      <c r="F71278" s="0" t="s">
        <v>8897</v>
      </c>
    </row>
    <row r="71279" customFormat="false" ht="12.8" hidden="false" customHeight="false" outlineLevel="0" collapsed="false">
      <c r="B71279" s="0" t="s">
        <v>1</v>
      </c>
      <c r="C71279" s="0" t="s">
        <v>23206</v>
      </c>
      <c r="E71279" s="0" t="s">
        <v>206</v>
      </c>
      <c r="F71279" s="0" t="s">
        <v>8899</v>
      </c>
    </row>
    <row r="71280" customFormat="false" ht="12.8" hidden="false" customHeight="false" outlineLevel="0" collapsed="false">
      <c r="B71280" s="0" t="s">
        <v>8</v>
      </c>
      <c r="C71280" s="0" t="s">
        <v>23207</v>
      </c>
      <c r="E71280" s="0" t="s">
        <v>8901</v>
      </c>
      <c r="F71280" s="0" t="s">
        <v>8902</v>
      </c>
    </row>
    <row r="71281" customFormat="false" ht="12.8" hidden="false" customHeight="false" outlineLevel="0" collapsed="false">
      <c r="B71281" s="0" t="s">
        <v>52</v>
      </c>
      <c r="C71281" s="0" t="s">
        <v>23208</v>
      </c>
      <c r="E71281" s="0" t="s">
        <v>221</v>
      </c>
      <c r="F71281" s="0" t="s">
        <v>10099</v>
      </c>
    </row>
    <row r="71283" customFormat="false" ht="12.8" hidden="false" customHeight="false" outlineLevel="0" collapsed="false">
      <c r="A71283" s="0" t="s">
        <v>23211</v>
      </c>
      <c r="B71283" s="0" t="str">
        <f aca="false">HYPERLINK("https://lindat.mff.cuni.cz/services/teitok/pdtc10/index.php?action=vallex&amp;frame=v-w10927f2", "zpřísňovat (v-w10927f2)")</f>
        <v>zpřísňovat (v-w10927f2)</v>
      </c>
      <c r="E71283" s="0" t="str">
        <f aca="false">HYPERLINK("https://lindat.mff.cuni.cz/services/SynSemClass40/SynSemClass40.html?veclass=vec01301#vec01301-ces-cm00016", "vec01301")</f>
        <v>vec01301</v>
      </c>
      <c r="F71283" s="0" t="s">
        <v>6491</v>
      </c>
    </row>
    <row r="71284" customFormat="false" ht="12.8" hidden="false" customHeight="false" outlineLevel="0" collapsed="false">
      <c r="B71284" s="0" t="s">
        <v>1</v>
      </c>
      <c r="C71284" s="0" t="s">
        <v>14559</v>
      </c>
      <c r="E71284" s="0" t="s">
        <v>31</v>
      </c>
      <c r="F71284" s="0" t="s">
        <v>6492</v>
      </c>
    </row>
    <row r="71285" customFormat="false" ht="12.8" hidden="false" customHeight="false" outlineLevel="0" collapsed="false">
      <c r="B71285" s="0" t="s">
        <v>8</v>
      </c>
      <c r="C71285" s="0" t="s">
        <v>623</v>
      </c>
      <c r="E71285" s="0" t="s">
        <v>6494</v>
      </c>
      <c r="F71285" s="0" t="s">
        <v>6495</v>
      </c>
    </row>
    <row r="71287" customFormat="false" ht="12.8" hidden="false" customHeight="false" outlineLevel="0" collapsed="false">
      <c r="A71287" s="0" t="s">
        <v>23212</v>
      </c>
      <c r="B71287" s="0" t="str">
        <f aca="false">HYPERLINK("https://lindat.mff.cuni.cz/services/teitok/pdtc10/index.php?action=vallex&amp;frame=v-w9850f2", "způsobit (v-w9850f2)")</f>
        <v>způsobit (v-w9850f2)</v>
      </c>
      <c r="E71287" s="0" t="str">
        <f aca="false">HYPERLINK("https://lindat.mff.cuni.cz/services/SynSemClass40/SynSemClass40.html?veclass=vec00196#vec00196-ces-cm00257", "vec00196")</f>
        <v>vec00196</v>
      </c>
      <c r="F71287" s="0" t="s">
        <v>749</v>
      </c>
    </row>
    <row r="71288" customFormat="false" ht="12.8" hidden="false" customHeight="false" outlineLevel="0" collapsed="false">
      <c r="B71288" s="0" t="s">
        <v>1</v>
      </c>
      <c r="C71288" s="0" t="s">
        <v>750</v>
      </c>
      <c r="E71288" s="0" t="s">
        <v>76</v>
      </c>
      <c r="F71288" s="0" t="s">
        <v>751</v>
      </c>
    </row>
    <row r="71289" customFormat="false" ht="12.8" hidden="false" customHeight="false" outlineLevel="0" collapsed="false">
      <c r="B71289" s="0" t="s">
        <v>59</v>
      </c>
      <c r="C71289" s="0" t="s">
        <v>6686</v>
      </c>
      <c r="E71289" s="0" t="s">
        <v>6358</v>
      </c>
      <c r="F71289" s="0" t="s">
        <v>6645</v>
      </c>
    </row>
    <row r="71290" customFormat="false" ht="12.8" hidden="false" customHeight="false" outlineLevel="0" collapsed="false">
      <c r="B71290" s="0" t="s">
        <v>52</v>
      </c>
      <c r="C71290" s="0" t="s">
        <v>7175</v>
      </c>
      <c r="E71290" s="0" t="s">
        <v>2287</v>
      </c>
      <c r="F71290" s="0" t="s">
        <v>7176</v>
      </c>
    </row>
    <row r="71292" customFormat="false" ht="12.8" hidden="false" customHeight="false" outlineLevel="0" collapsed="false">
      <c r="A71292" s="0" t="s">
        <v>23213</v>
      </c>
      <c r="B71292" s="0" t="str">
        <f aca="false">HYPERLINK("https://lindat.mff.cuni.cz/services/teitok/pdtc10/index.php?action=vallex&amp;frame=v-w9850f1", "způsobit (v-w9850f1)")</f>
        <v>způsobit (v-w9850f1)</v>
      </c>
      <c r="E71292" s="0" t="str">
        <f aca="false">HYPERLINK("https://lindat.mff.cuni.cz/services/SynSemClass40/SynSemClass40.html?veclass=vec00196#vec00196-ces-cm00001", "vec00196")</f>
        <v>vec00196</v>
      </c>
      <c r="F71292" s="0" t="s">
        <v>749</v>
      </c>
    </row>
    <row r="71293" customFormat="false" ht="12.8" hidden="false" customHeight="false" outlineLevel="0" collapsed="false">
      <c r="B71293" s="0" t="s">
        <v>1</v>
      </c>
      <c r="C71293" s="0" t="s">
        <v>750</v>
      </c>
      <c r="E71293" s="0" t="s">
        <v>76</v>
      </c>
      <c r="F71293" s="0" t="s">
        <v>751</v>
      </c>
    </row>
    <row r="71294" customFormat="false" ht="12.8" hidden="false" customHeight="false" outlineLevel="0" collapsed="false">
      <c r="B71294" s="0" t="s">
        <v>7589</v>
      </c>
      <c r="C71294" s="0" t="s">
        <v>6686</v>
      </c>
      <c r="E71294" s="0" t="s">
        <v>6358</v>
      </c>
      <c r="F71294" s="0" t="s">
        <v>6645</v>
      </c>
    </row>
    <row r="71296" customFormat="false" ht="12.8" hidden="false" customHeight="false" outlineLevel="0" collapsed="false">
      <c r="A71296" s="0" t="s">
        <v>23214</v>
      </c>
      <c r="B71296" s="0" t="str">
        <f aca="false">HYPERLINK("https://lindat.mff.cuni.cz/services/teitok/pdtc10/index.php?action=vallex&amp;frame=v-w9851f2", "způsobovat (v-w9851f2)")</f>
        <v>způsobovat (v-w9851f2)</v>
      </c>
      <c r="E71296" s="0" t="str">
        <f aca="false">HYPERLINK("https://lindat.mff.cuni.cz/services/SynSemClass40/SynSemClass40.html?veclass=vec00196#vec00196-ces-cm00259", "vec00196")</f>
        <v>vec00196</v>
      </c>
      <c r="F71296" s="0" t="s">
        <v>749</v>
      </c>
    </row>
    <row r="71297" customFormat="false" ht="12.8" hidden="false" customHeight="false" outlineLevel="0" collapsed="false">
      <c r="B71297" s="0" t="s">
        <v>1</v>
      </c>
      <c r="C71297" s="0" t="s">
        <v>750</v>
      </c>
      <c r="E71297" s="0" t="s">
        <v>76</v>
      </c>
      <c r="F71297" s="0" t="s">
        <v>751</v>
      </c>
    </row>
    <row r="71298" customFormat="false" ht="12.8" hidden="false" customHeight="false" outlineLevel="0" collapsed="false">
      <c r="B71298" s="0" t="s">
        <v>59</v>
      </c>
      <c r="C71298" s="0" t="s">
        <v>6686</v>
      </c>
      <c r="E71298" s="0" t="s">
        <v>6358</v>
      </c>
      <c r="F71298" s="0" t="s">
        <v>6645</v>
      </c>
    </row>
    <row r="71299" customFormat="false" ht="12.8" hidden="false" customHeight="false" outlineLevel="0" collapsed="false">
      <c r="B71299" s="0" t="s">
        <v>52</v>
      </c>
      <c r="C71299" s="0" t="s">
        <v>7175</v>
      </c>
      <c r="E71299" s="0" t="s">
        <v>2287</v>
      </c>
      <c r="F71299" s="0" t="s">
        <v>7176</v>
      </c>
    </row>
    <row r="71301" customFormat="false" ht="12.8" hidden="false" customHeight="false" outlineLevel="0" collapsed="false">
      <c r="A71301" s="0" t="s">
        <v>23215</v>
      </c>
      <c r="B71301" s="0" t="str">
        <f aca="false">HYPERLINK("https://lindat.mff.cuni.cz/services/teitok/pdtc10/index.php?action=vallex&amp;frame=v-w9851f1", "způsobovat (v-w9851f1)")</f>
        <v>způsobovat (v-w9851f1)</v>
      </c>
      <c r="E71301" s="0" t="str">
        <f aca="false">HYPERLINK("https://lindat.mff.cuni.cz/services/SynSemClass40/SynSemClass40.html?veclass=vec00196#vec00196-ces-cm00258", "vec00196")</f>
        <v>vec00196</v>
      </c>
      <c r="F71301" s="0" t="s">
        <v>749</v>
      </c>
      <c r="H71301" s="0" t="str">
        <f aca="false">HYPERLINK("https://lindat.mff.cuni.cz/services/SynSemClass40/SynSemClass40.html?veclass=vec01231#vec01231-ces-cm00023", "vec01231")</f>
        <v>vec01231</v>
      </c>
      <c r="I71301" s="0" t="s">
        <v>6316</v>
      </c>
    </row>
    <row r="71302" customFormat="false" ht="12.8" hidden="false" customHeight="false" outlineLevel="0" collapsed="false">
      <c r="B71302" s="0" t="s">
        <v>1</v>
      </c>
      <c r="C71302" s="0" t="s">
        <v>6642</v>
      </c>
      <c r="E71302" s="0" t="s">
        <v>76</v>
      </c>
      <c r="F71302" s="0" t="s">
        <v>751</v>
      </c>
      <c r="H71302" s="0" t="s">
        <v>31</v>
      </c>
      <c r="I71302" s="0" t="s">
        <v>6318</v>
      </c>
    </row>
    <row r="71303" customFormat="false" ht="12.8" hidden="false" customHeight="false" outlineLevel="0" collapsed="false">
      <c r="B71303" s="0" t="s">
        <v>7589</v>
      </c>
      <c r="C71303" s="0" t="s">
        <v>6644</v>
      </c>
      <c r="E71303" s="0" t="s">
        <v>6358</v>
      </c>
      <c r="F71303" s="0" t="s">
        <v>6645</v>
      </c>
      <c r="H71303" s="0" t="s">
        <v>79</v>
      </c>
      <c r="I71303" s="0" t="s">
        <v>6320</v>
      </c>
    </row>
    <row r="71305" customFormat="false" ht="12.8" hidden="false" customHeight="false" outlineLevel="0" collapsed="false">
      <c r="A71305" s="0" t="s">
        <v>23216</v>
      </c>
      <c r="B71305" s="0" t="str">
        <f aca="false">HYPERLINK("https://lindat.mff.cuni.cz/services/teitok/pdtc10/index.php?action=vallex&amp;frame=v-w9853f1", "zracionalizovat (v-w9853f1)")</f>
        <v>zracionalizovat (v-w9853f1)</v>
      </c>
    </row>
    <row r="71306" customFormat="false" ht="12.8" hidden="false" customHeight="false" outlineLevel="0" collapsed="false">
      <c r="B71306" s="0" t="s">
        <v>1</v>
      </c>
    </row>
    <row r="71307" customFormat="false" ht="12.8" hidden="false" customHeight="false" outlineLevel="0" collapsed="false">
      <c r="B71307" s="0" t="s">
        <v>8</v>
      </c>
    </row>
    <row r="71309" customFormat="false" ht="12.8" hidden="false" customHeight="false" outlineLevel="0" collapsed="false">
      <c r="A71309" s="0" t="s">
        <v>23217</v>
      </c>
      <c r="B71309" s="0" t="str">
        <f aca="false">HYPERLINK("https://lindat.mff.cuni.cz/services/teitok/pdtc10/index.php?action=vallex&amp;frame=v-w9857f1", "zradit (v-w9857f1)")</f>
        <v>zradit (v-w9857f1)</v>
      </c>
    </row>
    <row r="71310" customFormat="false" ht="12.8" hidden="false" customHeight="false" outlineLevel="0" collapsed="false">
      <c r="B71310" s="0" t="s">
        <v>1</v>
      </c>
    </row>
    <row r="71311" customFormat="false" ht="12.8" hidden="false" customHeight="false" outlineLevel="0" collapsed="false">
      <c r="B71311" s="0" t="s">
        <v>8</v>
      </c>
    </row>
    <row r="71313" customFormat="false" ht="12.8" hidden="false" customHeight="false" outlineLevel="0" collapsed="false">
      <c r="A71313" s="0" t="s">
        <v>23218</v>
      </c>
      <c r="B71313" s="0" t="str">
        <f aca="false">HYPERLINK("https://lindat.mff.cuni.cz/services/teitok/pdtc10/index.php?action=vallex&amp;frame=v-w9860f1", "zranit (v-w9860f1)")</f>
        <v>zranit (v-w9860f1)</v>
      </c>
    </row>
    <row r="71314" customFormat="false" ht="12.8" hidden="false" customHeight="false" outlineLevel="0" collapsed="false">
      <c r="B71314" s="0" t="s">
        <v>1</v>
      </c>
    </row>
    <row r="71315" customFormat="false" ht="12.8" hidden="false" customHeight="false" outlineLevel="0" collapsed="false">
      <c r="B71315" s="0" t="s">
        <v>8</v>
      </c>
    </row>
    <row r="71317" customFormat="false" ht="12.8" hidden="false" customHeight="false" outlineLevel="0" collapsed="false">
      <c r="A71317" s="0" t="s">
        <v>23219</v>
      </c>
      <c r="B71317" s="0" t="str">
        <f aca="false">HYPERLINK("https://lindat.mff.cuni.cz/services/teitok/pdtc10/index.php?action=vallex&amp;frame=v-w9860hsa_188", "zranit (v-w9860hsa_188)")</f>
        <v>zranit (v-w9860hsa_188)</v>
      </c>
      <c r="E71317" s="0" t="str">
        <f aca="false">HYPERLINK("https://lindat.mff.cuni.cz/services/SynSemClass40/SynSemClass40.html?veclass=vec00372#vec00372-ces-cm00064", "vec00372")</f>
        <v>vec00372</v>
      </c>
      <c r="F71317" s="0" t="s">
        <v>2524</v>
      </c>
    </row>
    <row r="71318" customFormat="false" ht="12.8" hidden="false" customHeight="false" outlineLevel="0" collapsed="false">
      <c r="B71318" s="0" t="s">
        <v>1</v>
      </c>
      <c r="C71318" s="0" t="s">
        <v>2525</v>
      </c>
      <c r="E71318" s="0" t="s">
        <v>2526</v>
      </c>
      <c r="F71318" s="0" t="s">
        <v>2527</v>
      </c>
    </row>
    <row r="71319" customFormat="false" ht="12.8" hidden="false" customHeight="false" outlineLevel="0" collapsed="false">
      <c r="B71319" s="0" t="s">
        <v>8</v>
      </c>
      <c r="C71319" s="0" t="s">
        <v>2528</v>
      </c>
      <c r="E71319" s="0" t="s">
        <v>142</v>
      </c>
      <c r="F71319" s="0" t="s">
        <v>2529</v>
      </c>
    </row>
    <row r="71321" customFormat="false" ht="12.8" hidden="false" customHeight="false" outlineLevel="0" collapsed="false">
      <c r="A71321" s="0" t="s">
        <v>23220</v>
      </c>
      <c r="B71321" s="0" t="str">
        <f aca="false">HYPERLINK("https://lindat.mff.cuni.cz/services/teitok/pdtc10/index.php?action=vallex&amp;frame=v-w9861f1", "zranit se (v-w9861f1)")</f>
        <v>zranit se (v-w9861f1)</v>
      </c>
    </row>
    <row r="71322" customFormat="false" ht="12.8" hidden="false" customHeight="false" outlineLevel="0" collapsed="false">
      <c r="B71322" s="0" t="s">
        <v>1</v>
      </c>
    </row>
    <row r="71324" customFormat="false" ht="12.8" hidden="false" customHeight="false" outlineLevel="0" collapsed="false">
      <c r="A71324" s="0" t="s">
        <v>23221</v>
      </c>
      <c r="B71324" s="0" t="str">
        <f aca="false">HYPERLINK("https://lindat.mff.cuni.cz/services/teitok/pdtc10/index.php?action=vallex&amp;frame=v-w9863f1", "zrazovat (v-w9863f1)")</f>
        <v>zrazovat (v-w9863f1)</v>
      </c>
    </row>
    <row r="71325" customFormat="false" ht="12.8" hidden="false" customHeight="false" outlineLevel="0" collapsed="false">
      <c r="B71325" s="0" t="s">
        <v>1</v>
      </c>
    </row>
    <row r="71326" customFormat="false" ht="12.8" hidden="false" customHeight="false" outlineLevel="0" collapsed="false">
      <c r="B71326" s="0" t="s">
        <v>8</v>
      </c>
    </row>
    <row r="71328" customFormat="false" ht="12.8" hidden="false" customHeight="false" outlineLevel="0" collapsed="false">
      <c r="A71328" s="0" t="s">
        <v>23222</v>
      </c>
      <c r="B71328" s="0" t="str">
        <f aca="false">HYPERLINK("https://lindat.mff.cuni.cz/services/teitok/pdtc10/index.php?action=vallex&amp;frame=v-w9863f2", "zrazovat (v-w9863f2)")</f>
        <v>zrazovat (v-w9863f2)</v>
      </c>
    </row>
    <row r="71329" customFormat="false" ht="12.8" hidden="false" customHeight="false" outlineLevel="0" collapsed="false">
      <c r="B71329" s="0" t="s">
        <v>1</v>
      </c>
    </row>
    <row r="71330" customFormat="false" ht="12.8" hidden="false" customHeight="false" outlineLevel="0" collapsed="false">
      <c r="B71330" s="0" t="s">
        <v>98</v>
      </c>
    </row>
    <row r="71331" customFormat="false" ht="12.8" hidden="false" customHeight="false" outlineLevel="0" collapsed="false">
      <c r="B71331" s="0" t="s">
        <v>444</v>
      </c>
    </row>
    <row r="71333" customFormat="false" ht="12.8" hidden="false" customHeight="false" outlineLevel="0" collapsed="false">
      <c r="A71333" s="0" t="s">
        <v>23223</v>
      </c>
      <c r="B71333" s="0" t="str">
        <f aca="false">HYPERLINK("https://lindat.mff.cuni.cz/services/teitok/pdtc10/index.php?action=vallex&amp;frame=v-w9854f1", "zračit se (v-w9854f1)")</f>
        <v>zračit se (v-w9854f1)</v>
      </c>
    </row>
    <row r="71334" customFormat="false" ht="12.8" hidden="false" customHeight="false" outlineLevel="0" collapsed="false">
      <c r="B71334" s="0" t="s">
        <v>1</v>
      </c>
    </row>
    <row r="71335" customFormat="false" ht="12.8" hidden="false" customHeight="false" outlineLevel="0" collapsed="false">
      <c r="B71335" s="0" t="s">
        <v>5</v>
      </c>
    </row>
    <row r="71337" customFormat="false" ht="12.8" hidden="false" customHeight="false" outlineLevel="0" collapsed="false">
      <c r="A71337" s="0" t="s">
        <v>23224</v>
      </c>
      <c r="B71337" s="0" t="str">
        <f aca="false">HYPERLINK("https://lindat.mff.cuni.cz/services/teitok/pdtc10/index.php?action=vallex&amp;frame=v-w10725f2", "zrcadlit (v-w10725f2)")</f>
        <v>zrcadlit (v-w10725f2)</v>
      </c>
      <c r="E71337" s="0" t="str">
        <f aca="false">HYPERLINK("https://lindat.mff.cuni.cz/services/SynSemClass40/SynSemClass40.html?veclass=vec00141#vec00141-ces-cm00086", "vec00141")</f>
        <v>vec00141</v>
      </c>
      <c r="F71337" s="0" t="s">
        <v>4796</v>
      </c>
    </row>
    <row r="71338" customFormat="false" ht="12.8" hidden="false" customHeight="false" outlineLevel="0" collapsed="false">
      <c r="B71338" s="0" t="s">
        <v>1</v>
      </c>
      <c r="C71338" s="0" t="s">
        <v>4797</v>
      </c>
      <c r="E71338" s="0" t="s">
        <v>4798</v>
      </c>
      <c r="F71338" s="0" t="s">
        <v>4799</v>
      </c>
    </row>
    <row r="71339" customFormat="false" ht="12.8" hidden="false" customHeight="false" outlineLevel="0" collapsed="false">
      <c r="B71339" s="0" t="s">
        <v>8</v>
      </c>
      <c r="C71339" s="0" t="s">
        <v>4800</v>
      </c>
      <c r="E71339" s="0" t="s">
        <v>4801</v>
      </c>
      <c r="F71339" s="0" t="s">
        <v>4802</v>
      </c>
    </row>
    <row r="71341" customFormat="false" ht="12.8" hidden="false" customHeight="false" outlineLevel="0" collapsed="false">
      <c r="A71341" s="0" t="s">
        <v>23225</v>
      </c>
      <c r="B71341" s="0" t="str">
        <f aca="false">HYPERLINK("https://lindat.mff.cuni.cz/services/teitok/pdtc10/index.php?action=vallex&amp;frame=v-w9864f1", "zrealizovat (v-w9864f1)")</f>
        <v>zrealizovat (v-w9864f1)</v>
      </c>
      <c r="E71341" s="0" t="str">
        <f aca="false">HYPERLINK("https://lindat.mff.cuni.cz/services/SynSemClass40/SynSemClass40.html?veclass=vec01188#vec01188-ces-cm00001", "vec01188")</f>
        <v>vec01188</v>
      </c>
      <c r="F71341" s="0" t="s">
        <v>5481</v>
      </c>
    </row>
    <row r="71342" customFormat="false" ht="12.8" hidden="false" customHeight="false" outlineLevel="0" collapsed="false">
      <c r="B71342" s="0" t="s">
        <v>1</v>
      </c>
      <c r="C71342" s="0" t="s">
        <v>10802</v>
      </c>
      <c r="E71342" s="0" t="s">
        <v>31</v>
      </c>
      <c r="F71342" s="0" t="s">
        <v>5483</v>
      </c>
    </row>
    <row r="71343" customFormat="false" ht="12.8" hidden="false" customHeight="false" outlineLevel="0" collapsed="false">
      <c r="B71343" s="0" t="s">
        <v>8</v>
      </c>
      <c r="C71343" s="0" t="s">
        <v>14769</v>
      </c>
      <c r="E71343" s="0" t="s">
        <v>523</v>
      </c>
      <c r="F71343" s="0" t="s">
        <v>10813</v>
      </c>
    </row>
    <row r="71345" customFormat="false" ht="12.8" hidden="false" customHeight="false" outlineLevel="0" collapsed="false">
      <c r="A71345" s="0" t="s">
        <v>23226</v>
      </c>
      <c r="B71345" s="0" t="str">
        <f aca="false">HYPERLINK("https://lindat.mff.cuni.cz/services/teitok/pdtc10/index.php?action=vallex&amp;frame=v-w9866f1", "zredukovat (v-w9866f1)")</f>
        <v>zredukovat (v-w9866f1)</v>
      </c>
      <c r="E71345" s="0" t="str">
        <f aca="false">HYPERLINK("https://lindat.mff.cuni.cz/services/SynSemClass40/SynSemClass40.html?veclass=vec00118#vec00118-ces-cm00306", "vec00118")</f>
        <v>vec00118</v>
      </c>
      <c r="F71345" s="0" t="s">
        <v>5784</v>
      </c>
    </row>
    <row r="71346" customFormat="false" ht="12.8" hidden="false" customHeight="false" outlineLevel="0" collapsed="false">
      <c r="B71346" s="0" t="s">
        <v>1</v>
      </c>
      <c r="C71346" s="0" t="s">
        <v>9951</v>
      </c>
      <c r="E71346" s="0" t="s">
        <v>31</v>
      </c>
      <c r="F71346" s="0" t="s">
        <v>5787</v>
      </c>
    </row>
    <row r="71347" customFormat="false" ht="12.8" hidden="false" customHeight="false" outlineLevel="0" collapsed="false">
      <c r="B71347" s="0" t="s">
        <v>8</v>
      </c>
      <c r="C71347" s="0" t="s">
        <v>9952</v>
      </c>
      <c r="E71347" s="0" t="s">
        <v>1569</v>
      </c>
      <c r="F71347" s="0" t="s">
        <v>5790</v>
      </c>
    </row>
    <row r="71348" customFormat="false" ht="12.8" hidden="false" customHeight="false" outlineLevel="0" collapsed="false">
      <c r="B71348" s="0" t="s">
        <v>36</v>
      </c>
      <c r="C71348" s="0" t="s">
        <v>9953</v>
      </c>
      <c r="E71348" s="0" t="s">
        <v>5152</v>
      </c>
      <c r="F71348" s="0" t="s">
        <v>5793</v>
      </c>
    </row>
    <row r="71349" customFormat="false" ht="12.8" hidden="false" customHeight="false" outlineLevel="0" collapsed="false">
      <c r="B71349" s="0" t="s">
        <v>101</v>
      </c>
      <c r="C71349" s="0" t="s">
        <v>9954</v>
      </c>
      <c r="E71349" s="0" t="s">
        <v>5796</v>
      </c>
      <c r="F71349" s="0" t="s">
        <v>5797</v>
      </c>
    </row>
    <row r="71351" customFormat="false" ht="12.8" hidden="false" customHeight="false" outlineLevel="0" collapsed="false">
      <c r="A71351" s="0" t="s">
        <v>23227</v>
      </c>
      <c r="B71351" s="0" t="str">
        <f aca="false">HYPERLINK("https://lindat.mff.cuni.cz/services/teitok/pdtc10/index.php?action=vallex&amp;frame=v-w9866hsa_998", "zredukovat (v-w9866hsa_998)")</f>
        <v>zredukovat (v-w9866hsa_998)</v>
      </c>
      <c r="E71351" s="0" t="str">
        <f aca="false">HYPERLINK("https://lindat.mff.cuni.cz/services/SynSemClass40/SynSemClass40.html?veclass=vec00118#vec00118-ces-cm00307", "vec00118")</f>
        <v>vec00118</v>
      </c>
      <c r="F71351" s="0" t="s">
        <v>5784</v>
      </c>
    </row>
    <row r="71352" customFormat="false" ht="12.8" hidden="false" customHeight="false" outlineLevel="0" collapsed="false">
      <c r="B71352" s="0" t="s">
        <v>1</v>
      </c>
      <c r="C71352" s="0" t="s">
        <v>9951</v>
      </c>
      <c r="E71352" s="0" t="s">
        <v>31</v>
      </c>
      <c r="F71352" s="0" t="s">
        <v>5787</v>
      </c>
    </row>
    <row r="71353" customFormat="false" ht="12.8" hidden="false" customHeight="false" outlineLevel="0" collapsed="false">
      <c r="B71353" s="0" t="s">
        <v>8</v>
      </c>
      <c r="C71353" s="0" t="s">
        <v>9952</v>
      </c>
      <c r="E71353" s="0" t="s">
        <v>1569</v>
      </c>
      <c r="F71353" s="0" t="s">
        <v>5790</v>
      </c>
    </row>
    <row r="71354" customFormat="false" ht="12.8" hidden="false" customHeight="false" outlineLevel="0" collapsed="false">
      <c r="B71354" s="0" t="s">
        <v>40</v>
      </c>
      <c r="C71354" s="0" t="s">
        <v>9954</v>
      </c>
      <c r="E71354" s="0" t="s">
        <v>5796</v>
      </c>
      <c r="F71354" s="0" t="s">
        <v>5797</v>
      </c>
    </row>
    <row r="71356" customFormat="false" ht="12.8" hidden="false" customHeight="false" outlineLevel="0" collapsed="false">
      <c r="A71356" s="0" t="s">
        <v>23228</v>
      </c>
      <c r="B71356" s="0" t="str">
        <f aca="false">HYPERLINK("https://lindat.mff.cuni.cz/services/teitok/pdtc10/index.php?action=vallex&amp;frame=v-w10319f2", "zreformovat (v-w10319f2)")</f>
        <v>zreformovat (v-w10319f2)</v>
      </c>
      <c r="E71356" s="0" t="str">
        <f aca="false">HYPERLINK("https://lindat.mff.cuni.cz/services/SynSemClass40/SynSemClass40.html?veclass=vec00095#vec00095-ces-cm00089", "vec00095")</f>
        <v>vec00095</v>
      </c>
      <c r="F71356" s="0" t="s">
        <v>29</v>
      </c>
    </row>
    <row r="71357" customFormat="false" ht="12.8" hidden="false" customHeight="false" outlineLevel="0" collapsed="false">
      <c r="B71357" s="0" t="s">
        <v>1</v>
      </c>
      <c r="C71357" s="0" t="s">
        <v>30</v>
      </c>
      <c r="E71357" s="0" t="s">
        <v>31</v>
      </c>
      <c r="F71357" s="0" t="s">
        <v>32</v>
      </c>
    </row>
    <row r="71358" customFormat="false" ht="12.8" hidden="false" customHeight="false" outlineLevel="0" collapsed="false">
      <c r="B71358" s="0" t="s">
        <v>8</v>
      </c>
      <c r="C71358" s="0" t="s">
        <v>33</v>
      </c>
      <c r="E71358" s="0" t="s">
        <v>34</v>
      </c>
      <c r="F71358" s="0" t="s">
        <v>35</v>
      </c>
    </row>
    <row r="71360" customFormat="false" ht="12.8" hidden="false" customHeight="false" outlineLevel="0" collapsed="false">
      <c r="A71360" s="0" t="s">
        <v>23229</v>
      </c>
      <c r="B71360" s="0" t="str">
        <f aca="false">HYPERLINK("https://lindat.mff.cuni.cz/services/teitok/pdtc10/index.php?action=vallex&amp;frame=v-whsa_665hsa_666", "zregulovat (v-whsa_665hsa_666)")</f>
        <v>zregulovat (v-whsa_665hsa_666)</v>
      </c>
    </row>
    <row r="71361" customFormat="false" ht="12.8" hidden="false" customHeight="false" outlineLevel="0" collapsed="false">
      <c r="B71361" s="0" t="s">
        <v>1</v>
      </c>
    </row>
    <row r="71362" customFormat="false" ht="12.8" hidden="false" customHeight="false" outlineLevel="0" collapsed="false">
      <c r="B71362" s="0" t="s">
        <v>8</v>
      </c>
    </row>
    <row r="71364" customFormat="false" ht="12.8" hidden="false" customHeight="false" outlineLevel="0" collapsed="false">
      <c r="A71364" s="0" t="s">
        <v>23230</v>
      </c>
      <c r="B71364" s="0" t="str">
        <f aca="false">HYPERLINK("https://lindat.mff.cuni.cz/services/teitok/pdtc10/index.php?action=vallex&amp;frame=v-w9867f1", "zrekapitulovat (v-w9867f1)")</f>
        <v>zrekapitulovat (v-w9867f1)</v>
      </c>
    </row>
    <row r="71365" customFormat="false" ht="12.8" hidden="false" customHeight="false" outlineLevel="0" collapsed="false">
      <c r="B71365" s="0" t="s">
        <v>1</v>
      </c>
    </row>
    <row r="71366" customFormat="false" ht="12.8" hidden="false" customHeight="false" outlineLevel="0" collapsed="false">
      <c r="B71366" s="0" t="s">
        <v>15832</v>
      </c>
    </row>
    <row r="71367" customFormat="false" ht="12.8" hidden="false" customHeight="false" outlineLevel="0" collapsed="false">
      <c r="B71367" s="0" t="s">
        <v>3026</v>
      </c>
    </row>
    <row r="71369" customFormat="false" ht="12.8" hidden="false" customHeight="false" outlineLevel="0" collapsed="false">
      <c r="A71369" s="0" t="s">
        <v>23231</v>
      </c>
      <c r="B71369" s="0" t="str">
        <f aca="false">HYPERLINK("https://lindat.mff.cuni.cz/services/teitok/pdtc10/index.php?action=vallex&amp;frame=v-w9868f1", "zrekonstruovat (v-w9868f1)")</f>
        <v>zrekonstruovat (v-w9868f1)</v>
      </c>
      <c r="E71369" s="0" t="str">
        <f aca="false">HYPERLINK("https://lindat.mff.cuni.cz/services/SynSemClass40/SynSemClass40.html?veclass=vec01189#vec01189-ces-cm00001", "vec01189")</f>
        <v>vec01189</v>
      </c>
      <c r="F71369" s="0" t="s">
        <v>14804</v>
      </c>
    </row>
    <row r="71370" customFormat="false" ht="12.8" hidden="false" customHeight="false" outlineLevel="0" collapsed="false">
      <c r="B71370" s="0" t="s">
        <v>1</v>
      </c>
      <c r="C71370" s="0" t="s">
        <v>3000</v>
      </c>
      <c r="E71370" s="0" t="s">
        <v>768</v>
      </c>
      <c r="F71370" s="0" t="s">
        <v>14805</v>
      </c>
    </row>
    <row r="71371" customFormat="false" ht="12.8" hidden="false" customHeight="false" outlineLevel="0" collapsed="false">
      <c r="B71371" s="0" t="s">
        <v>8</v>
      </c>
      <c r="C71371" s="0" t="s">
        <v>7124</v>
      </c>
      <c r="E71371" s="0" t="s">
        <v>771</v>
      </c>
      <c r="F71371" s="0" t="s">
        <v>14806</v>
      </c>
    </row>
    <row r="71372" customFormat="false" ht="12.8" hidden="false" customHeight="false" outlineLevel="0" collapsed="false">
      <c r="B71372" s="0" t="s">
        <v>36</v>
      </c>
      <c r="C71372" s="0" t="s">
        <v>14807</v>
      </c>
      <c r="E71372" s="0" t="s">
        <v>2176</v>
      </c>
      <c r="F71372" s="0" t="s">
        <v>14808</v>
      </c>
    </row>
    <row r="71374" customFormat="false" ht="12.8" hidden="false" customHeight="false" outlineLevel="0" collapsed="false">
      <c r="A71374" s="0" t="s">
        <v>23232</v>
      </c>
      <c r="B71374" s="0" t="str">
        <f aca="false">HYPERLINK("https://lindat.mff.cuni.cz/services/teitok/pdtc10/index.php?action=vallex&amp;frame=v-w9868f2", "zrekonstruovat (v-w9868f2)")</f>
        <v>zrekonstruovat (v-w9868f2)</v>
      </c>
    </row>
    <row r="71375" customFormat="false" ht="12.8" hidden="false" customHeight="false" outlineLevel="0" collapsed="false">
      <c r="B71375" s="0" t="s">
        <v>1</v>
      </c>
    </row>
    <row r="71376" customFormat="false" ht="12.8" hidden="false" customHeight="false" outlineLevel="0" collapsed="false">
      <c r="B71376" s="0" t="s">
        <v>8</v>
      </c>
    </row>
    <row r="71377" customFormat="false" ht="12.8" hidden="false" customHeight="false" outlineLevel="0" collapsed="false">
      <c r="B71377" s="0" t="s">
        <v>36</v>
      </c>
    </row>
    <row r="71379" customFormat="false" ht="12.8" hidden="false" customHeight="false" outlineLevel="0" collapsed="false">
      <c r="A71379" s="0" t="s">
        <v>23233</v>
      </c>
      <c r="B71379" s="0" t="str">
        <f aca="false">HYPERLINK("https://lindat.mff.cuni.cz/services/teitok/pdtc10/index.php?action=vallex&amp;frame=v-w11228f2", "zrenovovat (v-w11228f2)")</f>
        <v>zrenovovat (v-w11228f2)</v>
      </c>
      <c r="E71379" s="0" t="str">
        <f aca="false">HYPERLINK("https://lindat.mff.cuni.cz/services/SynSemClass40/SynSemClass40.html?veclass=vec00436#vec00436-ces-cm00012", "vec00436")</f>
        <v>vec00436</v>
      </c>
      <c r="F71379" s="0" t="s">
        <v>82</v>
      </c>
    </row>
    <row r="71380" customFormat="false" ht="12.8" hidden="false" customHeight="false" outlineLevel="0" collapsed="false">
      <c r="B71380" s="0" t="s">
        <v>1</v>
      </c>
      <c r="C71380" s="0" t="s">
        <v>83</v>
      </c>
      <c r="E71380" s="0" t="s">
        <v>84</v>
      </c>
      <c r="F71380" s="0" t="s">
        <v>85</v>
      </c>
    </row>
    <row r="71381" customFormat="false" ht="12.8" hidden="false" customHeight="false" outlineLevel="0" collapsed="false">
      <c r="B71381" s="0" t="s">
        <v>8</v>
      </c>
      <c r="C71381" s="0" t="s">
        <v>86</v>
      </c>
      <c r="E71381" s="0" t="s">
        <v>87</v>
      </c>
      <c r="F71381" s="0" t="s">
        <v>88</v>
      </c>
    </row>
    <row r="71383" customFormat="false" ht="12.8" hidden="false" customHeight="false" outlineLevel="0" collapsed="false">
      <c r="A71383" s="0" t="s">
        <v>23234</v>
      </c>
      <c r="B71383" s="0" t="str">
        <f aca="false">HYPERLINK("https://lindat.mff.cuni.cz/services/teitok/pdtc10/index.php?action=vallex&amp;frame=v-w10821f2", "zreorganizovat (v-w10821f2)")</f>
        <v>zreorganizovat (v-w10821f2)</v>
      </c>
    </row>
    <row r="71384" customFormat="false" ht="12.8" hidden="false" customHeight="false" outlineLevel="0" collapsed="false">
      <c r="B71384" s="0" t="s">
        <v>1</v>
      </c>
    </row>
    <row r="71385" customFormat="false" ht="12.8" hidden="false" customHeight="false" outlineLevel="0" collapsed="false">
      <c r="B71385" s="0" t="s">
        <v>8</v>
      </c>
    </row>
    <row r="71387" customFormat="false" ht="12.8" hidden="false" customHeight="false" outlineLevel="0" collapsed="false">
      <c r="A71387" s="0" t="s">
        <v>23235</v>
      </c>
      <c r="B71387" s="0" t="str">
        <f aca="false">HYPERLINK("https://lindat.mff.cuni.cz/services/teitok/pdtc10/index.php?action=vallex&amp;frame=v-w9869f1", "zrestaurovat (v-w9869f1)")</f>
        <v>zrestaurovat (v-w9869f1)</v>
      </c>
    </row>
    <row r="71388" customFormat="false" ht="12.8" hidden="false" customHeight="false" outlineLevel="0" collapsed="false">
      <c r="B71388" s="0" t="s">
        <v>1</v>
      </c>
    </row>
    <row r="71389" customFormat="false" ht="12.8" hidden="false" customHeight="false" outlineLevel="0" collapsed="false">
      <c r="B71389" s="0" t="s">
        <v>8</v>
      </c>
    </row>
    <row r="71391" customFormat="false" ht="12.8" hidden="false" customHeight="false" outlineLevel="0" collapsed="false">
      <c r="A71391" s="0" t="s">
        <v>23236</v>
      </c>
      <c r="B71391" s="0" t="str">
        <f aca="false">HYPERLINK("https://lindat.mff.cuni.cz/services/teitok/pdtc10/index.php?action=vallex&amp;frame=v-w9870f1", "zrevidovat (v-w9870f1)")</f>
        <v>zrevidovat (v-w9870f1)</v>
      </c>
      <c r="E71391" s="0" t="str">
        <f aca="false">HYPERLINK("https://lindat.mff.cuni.cz/services/SynSemClass40/SynSemClass40.html?veclass=vec01304#vec01304-ces-cm00032", "vec01304")</f>
        <v>vec01304</v>
      </c>
      <c r="F71391" s="0" t="s">
        <v>302</v>
      </c>
      <c r="H71391" s="0" t="str">
        <f aca="false">HYPERLINK("https://lindat.mff.cuni.cz/services/SynSemClass40/SynSemClass40.html?veclass=vec01416#vec01416-ces-cm00019", "vec01416")</f>
        <v>vec01416</v>
      </c>
      <c r="I71391" s="0" t="s">
        <v>5648</v>
      </c>
    </row>
    <row r="71392" customFormat="false" ht="12.8" hidden="false" customHeight="false" outlineLevel="0" collapsed="false">
      <c r="B71392" s="0" t="s">
        <v>1</v>
      </c>
      <c r="C71392" s="0" t="s">
        <v>14837</v>
      </c>
      <c r="E71392" s="0" t="s">
        <v>115</v>
      </c>
      <c r="F71392" s="0" t="s">
        <v>304</v>
      </c>
      <c r="H71392" s="0" t="s">
        <v>4581</v>
      </c>
      <c r="I71392" s="0" t="s">
        <v>5650</v>
      </c>
    </row>
    <row r="71393" customFormat="false" ht="12.8" hidden="false" customHeight="false" outlineLevel="0" collapsed="false">
      <c r="B71393" s="0" t="s">
        <v>13443</v>
      </c>
      <c r="C71393" s="0" t="s">
        <v>14838</v>
      </c>
      <c r="E71393" s="0" t="s">
        <v>119</v>
      </c>
      <c r="F71393" s="0" t="s">
        <v>307</v>
      </c>
      <c r="H71393" s="0" t="s">
        <v>9853</v>
      </c>
      <c r="I71393" s="0" t="s">
        <v>9854</v>
      </c>
    </row>
    <row r="71395" customFormat="false" ht="12.8" hidden="false" customHeight="false" outlineLevel="0" collapsed="false">
      <c r="A71395" s="0" t="s">
        <v>23237</v>
      </c>
      <c r="B71395" s="0" t="str">
        <f aca="false">HYPERLINK("https://lindat.mff.cuni.cz/services/teitok/pdtc10/index.php?action=vallex&amp;frame=v-w9872f1", "zrodit (v-w9872f1)")</f>
        <v>zrodit (v-w9872f1)</v>
      </c>
    </row>
    <row r="71396" customFormat="false" ht="12.8" hidden="false" customHeight="false" outlineLevel="0" collapsed="false">
      <c r="B71396" s="0" t="s">
        <v>1</v>
      </c>
    </row>
    <row r="71397" customFormat="false" ht="12.8" hidden="false" customHeight="false" outlineLevel="0" collapsed="false">
      <c r="B71397" s="0" t="s">
        <v>8</v>
      </c>
    </row>
    <row r="71399" customFormat="false" ht="12.8" hidden="false" customHeight="false" outlineLevel="0" collapsed="false">
      <c r="A71399" s="0" t="s">
        <v>23238</v>
      </c>
      <c r="B71399" s="0" t="str">
        <f aca="false">HYPERLINK("https://lindat.mff.cuni.cz/services/teitok/pdtc10/index.php?action=vallex&amp;frame=v-w9873hsa_627", "zrodit se (v-w9873hsa_627)")</f>
        <v>zrodit se (v-w9873hsa_627)</v>
      </c>
      <c r="E71399" s="0" t="str">
        <f aca="false">HYPERLINK("https://lindat.mff.cuni.cz/services/SynSemClass40/SynSemClass40.html?veclass=vec00197#vec00197-ces-cm00001", "vec00197")</f>
        <v>vec00197</v>
      </c>
      <c r="F71399" s="0" t="s">
        <v>14862</v>
      </c>
    </row>
    <row r="71400" customFormat="false" ht="12.8" hidden="false" customHeight="false" outlineLevel="0" collapsed="false">
      <c r="B71400" s="0" t="s">
        <v>1</v>
      </c>
      <c r="C71400" s="0" t="s">
        <v>1507</v>
      </c>
      <c r="E71400" s="0" t="s">
        <v>957</v>
      </c>
      <c r="F71400" s="0" t="s">
        <v>10263</v>
      </c>
    </row>
    <row r="71401" customFormat="false" ht="12.8" hidden="false" customHeight="false" outlineLevel="0" collapsed="false">
      <c r="B71401" s="0" t="s">
        <v>763</v>
      </c>
      <c r="C71401" s="0" t="s">
        <v>14863</v>
      </c>
      <c r="E71401" s="0" t="s">
        <v>23239</v>
      </c>
      <c r="F71401" s="0" t="s">
        <v>23240</v>
      </c>
    </row>
    <row r="71403" customFormat="false" ht="12.8" hidden="false" customHeight="false" outlineLevel="0" collapsed="false">
      <c r="A71403" s="0" t="s">
        <v>23238</v>
      </c>
      <c r="B71403" s="0" t="str">
        <f aca="false">HYPERLINK("https://lindat.mff.cuni.cz/services/teitok/pdtc10/index.php?action=vallex&amp;frame=v-w9873f1", "zrodit se (v-w9873f1) - substituted with v-w9873hsa_627")</f>
        <v>zrodit se (v-w9873f1) - substituted with v-w9873hsa_627</v>
      </c>
    </row>
    <row r="71404" customFormat="false" ht="12.8" hidden="false" customHeight="false" outlineLevel="0" collapsed="false">
      <c r="B71404" s="0" t="s">
        <v>1</v>
      </c>
    </row>
    <row r="71405" customFormat="false" ht="12.8" hidden="false" customHeight="false" outlineLevel="0" collapsed="false">
      <c r="B71405" s="0" t="s">
        <v>763</v>
      </c>
    </row>
    <row r="71407" customFormat="false" ht="12.8" hidden="false" customHeight="false" outlineLevel="0" collapsed="false">
      <c r="A71407" s="0" t="s">
        <v>23241</v>
      </c>
      <c r="B71407" s="0" t="str">
        <f aca="false">HYPERLINK("https://lindat.mff.cuni.cz/services/teitok/pdtc10/index.php?action=vallex&amp;frame=v-whsa_529hsa_530", "zrudnout (v-whsa_529hsa_530)")</f>
        <v>zrudnout (v-whsa_529hsa_530)</v>
      </c>
      <c r="E71407" s="0" t="str">
        <f aca="false">HYPERLINK("https://lindat.mff.cuni.cz/services/SynSemClass40/SynSemClass40.html?veclass=vec01546#vec01546-ces-cm00008", "vec01546")</f>
        <v>vec01546</v>
      </c>
      <c r="F71407" s="0" t="s">
        <v>5428</v>
      </c>
    </row>
    <row r="71408" customFormat="false" ht="12.8" hidden="false" customHeight="false" outlineLevel="0" collapsed="false">
      <c r="B71408" s="0" t="s">
        <v>1</v>
      </c>
      <c r="E71408" s="0" t="s">
        <v>84</v>
      </c>
      <c r="F71408" s="0" t="s">
        <v>5431</v>
      </c>
    </row>
    <row r="71410" customFormat="false" ht="12.8" hidden="false" customHeight="false" outlineLevel="0" collapsed="false">
      <c r="A71410" s="0" t="s">
        <v>23242</v>
      </c>
      <c r="B71410" s="0" t="str">
        <f aca="false">HYPERLINK("https://lindat.mff.cuni.cz/services/teitok/pdtc10/index.php?action=vallex&amp;frame=v-w9877f1", "zruinovat (v-w9877f1)")</f>
        <v>zruinovat (v-w9877f1)</v>
      </c>
      <c r="E71410" s="0" t="str">
        <f aca="false">HYPERLINK("https://lindat.mff.cuni.cz/services/SynSemClass40/SynSemClass40.html?veclass=vec00389#vec00389-ces-cm00013", "vec00389")</f>
        <v>vec00389</v>
      </c>
      <c r="F71410" s="0" t="s">
        <v>1888</v>
      </c>
    </row>
    <row r="71411" customFormat="false" ht="12.8" hidden="false" customHeight="false" outlineLevel="0" collapsed="false">
      <c r="B71411" s="0" t="s">
        <v>1</v>
      </c>
      <c r="C71411" s="0" t="s">
        <v>1889</v>
      </c>
      <c r="E71411" s="0" t="s">
        <v>1890</v>
      </c>
      <c r="F71411" s="0" t="s">
        <v>1891</v>
      </c>
    </row>
    <row r="71412" customFormat="false" ht="12.8" hidden="false" customHeight="false" outlineLevel="0" collapsed="false">
      <c r="B71412" s="0" t="s">
        <v>8</v>
      </c>
      <c r="C71412" s="0" t="s">
        <v>1892</v>
      </c>
      <c r="E71412" s="0" t="s">
        <v>1893</v>
      </c>
      <c r="F71412" s="0" t="s">
        <v>1894</v>
      </c>
    </row>
    <row r="71414" customFormat="false" ht="12.8" hidden="false" customHeight="false" outlineLevel="0" collapsed="false">
      <c r="A71414" s="0" t="s">
        <v>23243</v>
      </c>
      <c r="B71414" s="0" t="str">
        <f aca="false">HYPERLINK("https://lindat.mff.cuni.cz/services/teitok/pdtc10/index.php?action=vallex&amp;frame=v-w9879f1", "zrušit (v-w9879f1)")</f>
        <v>zrušit (v-w9879f1)</v>
      </c>
      <c r="E71414" s="0" t="str">
        <f aca="false">HYPERLINK("https://lindat.mff.cuni.cz/services/SynSemClass40/SynSemClass40.html?veclass=vec00198#vec00198-ces-cm00001", "vec00198")</f>
        <v>vec00198</v>
      </c>
      <c r="F71414" s="0" t="s">
        <v>134</v>
      </c>
    </row>
    <row r="71415" customFormat="false" ht="12.8" hidden="false" customHeight="false" outlineLevel="0" collapsed="false">
      <c r="B71415" s="0" t="s">
        <v>1</v>
      </c>
      <c r="C71415" s="0" t="s">
        <v>8126</v>
      </c>
      <c r="E71415" s="0" t="s">
        <v>31</v>
      </c>
      <c r="F71415" s="0" t="s">
        <v>137</v>
      </c>
    </row>
    <row r="71416" customFormat="false" ht="12.8" hidden="false" customHeight="false" outlineLevel="0" collapsed="false">
      <c r="B71416" s="0" t="s">
        <v>8</v>
      </c>
      <c r="C71416" s="0" t="s">
        <v>8127</v>
      </c>
      <c r="E71416" s="0" t="s">
        <v>140</v>
      </c>
      <c r="F71416" s="0" t="s">
        <v>141</v>
      </c>
    </row>
    <row r="71418" customFormat="false" ht="12.8" hidden="false" customHeight="false" outlineLevel="0" collapsed="false">
      <c r="A71418" s="0" t="s">
        <v>23244</v>
      </c>
      <c r="B71418" s="0" t="str">
        <f aca="false">HYPERLINK("https://lindat.mff.cuni.cz/services/teitok/pdtc10/index.php?action=vallex&amp;frame=v-w9879f2_ZU", "zrušit (v-w9879f2_ZU)")</f>
        <v>zrušit (v-w9879f2_ZU)</v>
      </c>
    </row>
    <row r="71419" customFormat="false" ht="12.8" hidden="false" customHeight="false" outlineLevel="0" collapsed="false">
      <c r="B71419" s="0" t="s">
        <v>1</v>
      </c>
    </row>
    <row r="71420" customFormat="false" ht="12.8" hidden="false" customHeight="false" outlineLevel="0" collapsed="false">
      <c r="B71420" s="0" t="s">
        <v>8</v>
      </c>
    </row>
    <row r="71422" customFormat="false" ht="12.8" hidden="false" customHeight="false" outlineLevel="0" collapsed="false">
      <c r="A71422" s="0" t="s">
        <v>23245</v>
      </c>
      <c r="B71422" s="0" t="str">
        <f aca="false">HYPERLINK("https://lindat.mff.cuni.cz/services/teitok/pdtc10/index.php?action=vallex&amp;frame=v-w9882f1", "zrychlit (v-w9882f1)")</f>
        <v>zrychlit (v-w9882f1)</v>
      </c>
      <c r="E71422" s="0" t="str">
        <f aca="false">HYPERLINK("https://lindat.mff.cuni.cz/services/SynSemClass40/SynSemClass40.html?veclass=vec00337#vec00337-ces-cm00026", "vec00337")</f>
        <v>vec00337</v>
      </c>
      <c r="F71422" s="0" t="s">
        <v>11339</v>
      </c>
    </row>
    <row r="71423" customFormat="false" ht="12.8" hidden="false" customHeight="false" outlineLevel="0" collapsed="false">
      <c r="B71423" s="0" t="s">
        <v>1</v>
      </c>
      <c r="C71423" s="0" t="s">
        <v>11340</v>
      </c>
      <c r="E71423" s="0" t="s">
        <v>31</v>
      </c>
      <c r="F71423" s="0" t="s">
        <v>11341</v>
      </c>
    </row>
    <row r="71424" customFormat="false" ht="12.8" hidden="false" customHeight="false" outlineLevel="0" collapsed="false">
      <c r="B71424" s="0" t="s">
        <v>8</v>
      </c>
      <c r="C71424" s="0" t="s">
        <v>5933</v>
      </c>
      <c r="E71424" s="0" t="s">
        <v>1569</v>
      </c>
      <c r="F71424" s="0" t="s">
        <v>11342</v>
      </c>
    </row>
    <row r="71425" customFormat="false" ht="12.8" hidden="false" customHeight="false" outlineLevel="0" collapsed="false">
      <c r="B71425" s="0" t="s">
        <v>36</v>
      </c>
      <c r="E71425" s="0" t="s">
        <v>5152</v>
      </c>
      <c r="F71425" s="0" t="s">
        <v>17957</v>
      </c>
    </row>
    <row r="71426" customFormat="false" ht="12.8" hidden="false" customHeight="false" outlineLevel="0" collapsed="false">
      <c r="B71426" s="0" t="s">
        <v>101</v>
      </c>
      <c r="E71426" s="0" t="s">
        <v>5796</v>
      </c>
      <c r="F71426" s="0" t="s">
        <v>17958</v>
      </c>
    </row>
    <row r="71428" customFormat="false" ht="12.8" hidden="false" customHeight="false" outlineLevel="0" collapsed="false">
      <c r="A71428" s="0" t="s">
        <v>23246</v>
      </c>
      <c r="B71428" s="0" t="str">
        <f aca="false">HYPERLINK("https://lindat.mff.cuni.cz/services/teitok/pdtc10/index.php?action=vallex&amp;frame=v-w9882f2_ZU", "zrychlit (v-w9882f2_ZU)")</f>
        <v>zrychlit (v-w9882f2_ZU)</v>
      </c>
      <c r="E71428" s="0" t="str">
        <f aca="false">HYPERLINK("https://lindat.mff.cuni.cz/services/SynSemClass40/SynSemClass40.html?veclass=vec01190#vec01190-ces-cm00002", "vec01190")</f>
        <v>vec01190</v>
      </c>
      <c r="F71428" s="0" t="s">
        <v>23247</v>
      </c>
    </row>
    <row r="71429" customFormat="false" ht="12.8" hidden="false" customHeight="false" outlineLevel="0" collapsed="false">
      <c r="B71429" s="0" t="s">
        <v>1</v>
      </c>
      <c r="E71429" s="0" t="s">
        <v>84</v>
      </c>
      <c r="F71429" s="0" t="s">
        <v>5431</v>
      </c>
    </row>
    <row r="71430" customFormat="false" ht="12.8" hidden="false" customHeight="false" outlineLevel="0" collapsed="false">
      <c r="B71430" s="0" t="s">
        <v>69</v>
      </c>
      <c r="E71430" s="0" t="s">
        <v>5149</v>
      </c>
      <c r="F71430" s="0" t="s">
        <v>22823</v>
      </c>
    </row>
    <row r="71431" customFormat="false" ht="12.8" hidden="false" customHeight="false" outlineLevel="0" collapsed="false">
      <c r="B71431" s="0" t="s">
        <v>36</v>
      </c>
      <c r="E71431" s="0" t="s">
        <v>5152</v>
      </c>
      <c r="F71431" s="0" t="s">
        <v>17957</v>
      </c>
    </row>
    <row r="71433" customFormat="false" ht="12.8" hidden="false" customHeight="false" outlineLevel="0" collapsed="false">
      <c r="A71433" s="0" t="s">
        <v>23246</v>
      </c>
      <c r="B71433" s="0" t="str">
        <f aca="false">HYPERLINK("https://lindat.mff.cuni.cz/services/teitok/pdtc10/index.php?action=vallex&amp;frame=v-w9882hsa_221", "zrychlit (v-w9882hsa_221) - substituted with v-w9882f2_ZU")</f>
        <v>zrychlit (v-w9882hsa_221) - substituted with v-w9882f2_ZU</v>
      </c>
    </row>
    <row r="71434" customFormat="false" ht="12.8" hidden="false" customHeight="false" outlineLevel="0" collapsed="false">
      <c r="B71434" s="0" t="s">
        <v>1</v>
      </c>
    </row>
    <row r="71435" customFormat="false" ht="12.8" hidden="false" customHeight="false" outlineLevel="0" collapsed="false">
      <c r="B71435" s="0" t="s">
        <v>69</v>
      </c>
    </row>
    <row r="71436" customFormat="false" ht="12.8" hidden="false" customHeight="false" outlineLevel="0" collapsed="false">
      <c r="B71436" s="0" t="s">
        <v>36</v>
      </c>
    </row>
    <row r="71438" customFormat="false" ht="12.8" hidden="false" customHeight="false" outlineLevel="0" collapsed="false">
      <c r="A71438" s="0" t="s">
        <v>23248</v>
      </c>
      <c r="B71438" s="0" t="str">
        <f aca="false">HYPERLINK("https://lindat.mff.cuni.cz/services/teitok/pdtc10/index.php?action=vallex&amp;frame=v-w9883f1", "zrychlit se (v-w9883f1)")</f>
        <v>zrychlit se (v-w9883f1)</v>
      </c>
      <c r="E71438" s="0" t="str">
        <f aca="false">HYPERLINK("https://lindat.mff.cuni.cz/services/SynSemClass40/SynSemClass40.html?veclass=vec00730#vec00730-ces-cm00016", "vec00730")</f>
        <v>vec00730</v>
      </c>
      <c r="F71438" s="0" t="s">
        <v>5144</v>
      </c>
    </row>
    <row r="71439" customFormat="false" ht="12.8" hidden="false" customHeight="false" outlineLevel="0" collapsed="false">
      <c r="B71439" s="0" t="s">
        <v>1</v>
      </c>
      <c r="C71439" s="0" t="s">
        <v>14324</v>
      </c>
      <c r="E71439" s="0" t="s">
        <v>4943</v>
      </c>
      <c r="F71439" s="0" t="s">
        <v>5147</v>
      </c>
    </row>
    <row r="71440" customFormat="false" ht="12.8" hidden="false" customHeight="false" outlineLevel="0" collapsed="false">
      <c r="B71440" s="0" t="s">
        <v>69</v>
      </c>
    </row>
    <row r="71441" customFormat="false" ht="12.8" hidden="false" customHeight="false" outlineLevel="0" collapsed="false">
      <c r="B71441" s="0" t="s">
        <v>36</v>
      </c>
    </row>
    <row r="71443" customFormat="false" ht="12.8" hidden="false" customHeight="false" outlineLevel="0" collapsed="false">
      <c r="A71443" s="0" t="s">
        <v>23249</v>
      </c>
      <c r="B71443" s="0" t="str">
        <f aca="false">HYPERLINK("https://lindat.mff.cuni.cz/services/teitok/pdtc10/index.php?action=vallex&amp;frame=v-w9884f1", "zrychlovat (v-w9884f1)")</f>
        <v>zrychlovat (v-w9884f1)</v>
      </c>
      <c r="E71443" s="0" t="str">
        <f aca="false">HYPERLINK("https://lindat.mff.cuni.cz/services/SynSemClass40/SynSemClass40.html?veclass=vec00337#vec00337-ces-cm00027", "vec00337")</f>
        <v>vec00337</v>
      </c>
      <c r="F71443" s="0" t="s">
        <v>11339</v>
      </c>
    </row>
    <row r="71444" customFormat="false" ht="12.8" hidden="false" customHeight="false" outlineLevel="0" collapsed="false">
      <c r="B71444" s="0" t="s">
        <v>1</v>
      </c>
      <c r="C71444" s="0" t="s">
        <v>11340</v>
      </c>
      <c r="E71444" s="0" t="s">
        <v>31</v>
      </c>
      <c r="F71444" s="0" t="s">
        <v>11341</v>
      </c>
    </row>
    <row r="71445" customFormat="false" ht="12.8" hidden="false" customHeight="false" outlineLevel="0" collapsed="false">
      <c r="B71445" s="0" t="s">
        <v>8</v>
      </c>
      <c r="C71445" s="0" t="s">
        <v>5933</v>
      </c>
      <c r="E71445" s="0" t="s">
        <v>1569</v>
      </c>
      <c r="F71445" s="0" t="s">
        <v>11342</v>
      </c>
    </row>
    <row r="71446" customFormat="false" ht="12.8" hidden="false" customHeight="false" outlineLevel="0" collapsed="false">
      <c r="B71446" s="0" t="s">
        <v>36</v>
      </c>
      <c r="E71446" s="0" t="s">
        <v>5152</v>
      </c>
      <c r="F71446" s="0" t="s">
        <v>17957</v>
      </c>
    </row>
    <row r="71447" customFormat="false" ht="12.8" hidden="false" customHeight="false" outlineLevel="0" collapsed="false">
      <c r="B71447" s="0" t="s">
        <v>101</v>
      </c>
      <c r="E71447" s="0" t="s">
        <v>5796</v>
      </c>
      <c r="F71447" s="0" t="s">
        <v>17958</v>
      </c>
    </row>
    <row r="71449" customFormat="false" ht="12.8" hidden="false" customHeight="false" outlineLevel="0" collapsed="false">
      <c r="A71449" s="0" t="s">
        <v>23250</v>
      </c>
      <c r="B71449" s="0" t="str">
        <f aca="false">HYPERLINK("https://lindat.mff.cuni.cz/services/teitok/pdtc10/index.php?action=vallex&amp;frame=v-w9884f2_ZU", "zrychlovat (v-w9884f2_ZU)")</f>
        <v>zrychlovat (v-w9884f2_ZU)</v>
      </c>
      <c r="E71449" s="0" t="str">
        <f aca="false">HYPERLINK("https://lindat.mff.cuni.cz/services/SynSemClass40/SynSemClass40.html?veclass=vec01190#vec01190-ces-cm00001", "vec01190")</f>
        <v>vec01190</v>
      </c>
      <c r="F71449" s="0" t="s">
        <v>23247</v>
      </c>
    </row>
    <row r="71450" customFormat="false" ht="12.8" hidden="false" customHeight="false" outlineLevel="0" collapsed="false">
      <c r="B71450" s="0" t="s">
        <v>1</v>
      </c>
      <c r="E71450" s="0" t="s">
        <v>84</v>
      </c>
      <c r="F71450" s="0" t="s">
        <v>5431</v>
      </c>
    </row>
    <row r="71451" customFormat="false" ht="12.8" hidden="false" customHeight="false" outlineLevel="0" collapsed="false">
      <c r="B71451" s="0" t="s">
        <v>69</v>
      </c>
      <c r="E71451" s="0" t="s">
        <v>5149</v>
      </c>
      <c r="F71451" s="0" t="s">
        <v>22823</v>
      </c>
    </row>
    <row r="71452" customFormat="false" ht="12.8" hidden="false" customHeight="false" outlineLevel="0" collapsed="false">
      <c r="B71452" s="0" t="s">
        <v>36</v>
      </c>
      <c r="E71452" s="0" t="s">
        <v>5152</v>
      </c>
      <c r="F71452" s="0" t="s">
        <v>17957</v>
      </c>
    </row>
    <row r="71454" customFormat="false" ht="12.8" hidden="false" customHeight="false" outlineLevel="0" collapsed="false">
      <c r="A71454" s="0" t="s">
        <v>23250</v>
      </c>
      <c r="B71454" s="0" t="str">
        <f aca="false">HYPERLINK("https://lindat.mff.cuni.cz/services/teitok/pdtc10/index.php?action=vallex&amp;frame=v-w9884hsa_749", "zrychlovat (v-w9884hsa_749) - substituted with v-w9884f2_ZU")</f>
        <v>zrychlovat (v-w9884hsa_749) - substituted with v-w9884f2_ZU</v>
      </c>
    </row>
    <row r="71455" customFormat="false" ht="12.8" hidden="false" customHeight="false" outlineLevel="0" collapsed="false">
      <c r="B71455" s="0" t="s">
        <v>1</v>
      </c>
    </row>
    <row r="71456" customFormat="false" ht="12.8" hidden="false" customHeight="false" outlineLevel="0" collapsed="false">
      <c r="B71456" s="0" t="s">
        <v>69</v>
      </c>
    </row>
    <row r="71457" customFormat="false" ht="12.8" hidden="false" customHeight="false" outlineLevel="0" collapsed="false">
      <c r="B71457" s="0" t="s">
        <v>36</v>
      </c>
    </row>
    <row r="71459" customFormat="false" ht="12.8" hidden="false" customHeight="false" outlineLevel="0" collapsed="false">
      <c r="A71459" s="0" t="s">
        <v>23251</v>
      </c>
      <c r="B71459" s="0" t="str">
        <f aca="false">HYPERLINK("https://lindat.mff.cuni.cz/services/teitok/pdtc10/index.php?action=vallex&amp;frame=v-w9885f1", "zrychlovat se (v-w9885f1)")</f>
        <v>zrychlovat se (v-w9885f1)</v>
      </c>
      <c r="E71459" s="0" t="str">
        <f aca="false">HYPERLINK("https://lindat.mff.cuni.cz/services/SynSemClass40/SynSemClass40.html?veclass=vec00730#vec00730-ces-cm00017", "vec00730")</f>
        <v>vec00730</v>
      </c>
      <c r="F71459" s="0" t="s">
        <v>5144</v>
      </c>
    </row>
    <row r="71460" customFormat="false" ht="12.8" hidden="false" customHeight="false" outlineLevel="0" collapsed="false">
      <c r="B71460" s="0" t="s">
        <v>1</v>
      </c>
      <c r="C71460" s="0" t="s">
        <v>14324</v>
      </c>
      <c r="E71460" s="0" t="s">
        <v>4943</v>
      </c>
      <c r="F71460" s="0" t="s">
        <v>5147</v>
      </c>
    </row>
    <row r="71461" customFormat="false" ht="12.8" hidden="false" customHeight="false" outlineLevel="0" collapsed="false">
      <c r="B71461" s="0" t="s">
        <v>69</v>
      </c>
    </row>
    <row r="71462" customFormat="false" ht="12.8" hidden="false" customHeight="false" outlineLevel="0" collapsed="false">
      <c r="B71462" s="0" t="s">
        <v>36</v>
      </c>
    </row>
    <row r="71464" customFormat="false" ht="12.8" hidden="false" customHeight="false" outlineLevel="0" collapsed="false">
      <c r="A71464" s="0" t="s">
        <v>23252</v>
      </c>
      <c r="B71464" s="0" t="str">
        <f aca="false">HYPERLINK("https://lindat.mff.cuni.cz/services/teitok/pdtc10/index.php?action=vallex&amp;frame=v-whsa_1381hsa_1382", "zrychtovat (v-whsa_1381hsa_1382)")</f>
        <v>zrychtovat (v-whsa_1381hsa_1382)</v>
      </c>
    </row>
    <row r="71465" customFormat="false" ht="12.8" hidden="false" customHeight="false" outlineLevel="0" collapsed="false">
      <c r="B71465" s="0" t="s">
        <v>1</v>
      </c>
    </row>
    <row r="71466" customFormat="false" ht="12.8" hidden="false" customHeight="false" outlineLevel="0" collapsed="false">
      <c r="B71466" s="0" t="s">
        <v>8</v>
      </c>
    </row>
    <row r="71468" customFormat="false" ht="12.8" hidden="false" customHeight="false" outlineLevel="0" collapsed="false">
      <c r="A71468" s="0" t="s">
        <v>23253</v>
      </c>
      <c r="B71468" s="0" t="str">
        <f aca="false">HYPERLINK("https://lindat.mff.cuni.cz/services/teitok/pdtc10/index.php?action=vallex&amp;frame=v-w9862f1", "zrát (v-w9862f1)")</f>
        <v>zrát (v-w9862f1)</v>
      </c>
    </row>
    <row r="71469" customFormat="false" ht="12.8" hidden="false" customHeight="false" outlineLevel="0" collapsed="false">
      <c r="B71469" s="0" t="s">
        <v>1</v>
      </c>
    </row>
    <row r="71471" customFormat="false" ht="12.8" hidden="false" customHeight="false" outlineLevel="0" collapsed="false">
      <c r="A71471" s="0" t="s">
        <v>23254</v>
      </c>
      <c r="B71471" s="0" t="str">
        <f aca="false">HYPERLINK("https://lindat.mff.cuni.cz/services/teitok/pdtc10/index.php?action=vallex&amp;frame=v-whsa_626f1_ZU", "zrýt (v-whsa_626f1_ZU)")</f>
        <v>zrýt (v-whsa_626f1_ZU)</v>
      </c>
    </row>
    <row r="71472" customFormat="false" ht="12.8" hidden="false" customHeight="false" outlineLevel="0" collapsed="false">
      <c r="B71472" s="0" t="s">
        <v>1</v>
      </c>
    </row>
    <row r="71473" customFormat="false" ht="12.8" hidden="false" customHeight="false" outlineLevel="0" collapsed="false">
      <c r="B71473" s="0" t="s">
        <v>8</v>
      </c>
    </row>
    <row r="71475" customFormat="false" ht="12.8" hidden="false" customHeight="false" outlineLevel="0" collapsed="false">
      <c r="A71475" s="0" t="s">
        <v>23254</v>
      </c>
      <c r="B71475" s="0" t="str">
        <f aca="false">HYPERLINK("https://lindat.mff.cuni.cz/services/teitok/pdtc10/index.php?action=vallex&amp;frame=v-whsa_626hsa_627", "zrýt (v-whsa_626hsa_627) - substituted with v-whsa_626f1_ZU")</f>
        <v>zrýt (v-whsa_626hsa_627) - substituted with v-whsa_626f1_ZU</v>
      </c>
    </row>
    <row r="71476" customFormat="false" ht="12.8" hidden="false" customHeight="false" outlineLevel="0" collapsed="false">
      <c r="B71476" s="0" t="s">
        <v>1</v>
      </c>
    </row>
    <row r="71477" customFormat="false" ht="12.8" hidden="false" customHeight="false" outlineLevel="0" collapsed="false">
      <c r="B71477" s="0" t="s">
        <v>8</v>
      </c>
    </row>
    <row r="71479" customFormat="false" ht="12.8" hidden="false" customHeight="false" outlineLevel="0" collapsed="false">
      <c r="A71479" s="0" t="s">
        <v>23255</v>
      </c>
      <c r="B71479" s="0" t="str">
        <f aca="false">HYPERLINK("https://lindat.mff.cuni.cz/services/teitok/pdtc10/index.php?action=vallex&amp;frame=v-w9880f1", "zrůžovět (v-w9880f1)")</f>
        <v>zrůžovět (v-w9880f1)</v>
      </c>
    </row>
    <row r="71480" customFormat="false" ht="12.8" hidden="false" customHeight="false" outlineLevel="0" collapsed="false">
      <c r="B71480" s="0" t="s">
        <v>1</v>
      </c>
    </row>
    <row r="71482" customFormat="false" ht="12.8" hidden="false" customHeight="false" outlineLevel="0" collapsed="false">
      <c r="A71482" s="0" t="s">
        <v>23256</v>
      </c>
      <c r="B71482" s="0" t="str">
        <f aca="false">HYPERLINK("https://lindat.mff.cuni.cz/services/teitok/pdtc10/index.php?action=vallex&amp;frame=v-w11336f1", "ztenčit (v-w11336f1)")</f>
        <v>ztenčit (v-w11336f1)</v>
      </c>
    </row>
    <row r="71483" customFormat="false" ht="12.8" hidden="false" customHeight="false" outlineLevel="0" collapsed="false">
      <c r="B71483" s="0" t="s">
        <v>1</v>
      </c>
    </row>
    <row r="71484" customFormat="false" ht="12.8" hidden="false" customHeight="false" outlineLevel="0" collapsed="false">
      <c r="B71484" s="0" t="s">
        <v>8</v>
      </c>
    </row>
    <row r="71485" customFormat="false" ht="12.8" hidden="false" customHeight="false" outlineLevel="0" collapsed="false">
      <c r="B71485" s="0" t="s">
        <v>36</v>
      </c>
    </row>
    <row r="71486" customFormat="false" ht="12.8" hidden="false" customHeight="false" outlineLevel="0" collapsed="false">
      <c r="B71486" s="0" t="s">
        <v>101</v>
      </c>
    </row>
    <row r="71488" customFormat="false" ht="12.8" hidden="false" customHeight="false" outlineLevel="0" collapsed="false">
      <c r="A71488" s="0" t="s">
        <v>23257</v>
      </c>
      <c r="B71488" s="0" t="str">
        <f aca="false">HYPERLINK("https://lindat.mff.cuni.cz/services/teitok/pdtc10/index.php?action=vallex&amp;frame=v-w9903f1", "ztenčit se (v-w9903f1)")</f>
        <v>ztenčit se (v-w9903f1)</v>
      </c>
      <c r="E71488" s="0" t="str">
        <f aca="false">HYPERLINK("https://lindat.mff.cuni.cz/services/SynSemClass40/SynSemClass40.html?veclass=vec00028#vec00028-ces-cm00138", "vec00028")</f>
        <v>vec00028</v>
      </c>
      <c r="F71488" s="0" t="s">
        <v>5301</v>
      </c>
    </row>
    <row r="71489" customFormat="false" ht="12.8" hidden="false" customHeight="false" outlineLevel="0" collapsed="false">
      <c r="B71489" s="0" t="s">
        <v>1</v>
      </c>
      <c r="C71489" s="0" t="s">
        <v>9964</v>
      </c>
      <c r="E71489" s="0" t="s">
        <v>235</v>
      </c>
      <c r="F71489" s="0" t="s">
        <v>5304</v>
      </c>
    </row>
    <row r="71490" customFormat="false" ht="12.8" hidden="false" customHeight="false" outlineLevel="0" collapsed="false">
      <c r="B71490" s="0" t="s">
        <v>69</v>
      </c>
      <c r="C71490" s="0" t="s">
        <v>9965</v>
      </c>
      <c r="E71490" s="0" t="s">
        <v>5149</v>
      </c>
      <c r="F71490" s="0" t="s">
        <v>5307</v>
      </c>
    </row>
    <row r="71491" customFormat="false" ht="12.8" hidden="false" customHeight="false" outlineLevel="0" collapsed="false">
      <c r="B71491" s="0" t="s">
        <v>36</v>
      </c>
      <c r="C71491" s="0" t="s">
        <v>9966</v>
      </c>
      <c r="E71491" s="0" t="s">
        <v>5152</v>
      </c>
      <c r="F71491" s="0" t="s">
        <v>5311</v>
      </c>
    </row>
    <row r="71493" customFormat="false" ht="12.8" hidden="false" customHeight="false" outlineLevel="0" collapsed="false">
      <c r="A71493" s="0" t="s">
        <v>23258</v>
      </c>
      <c r="B71493" s="0" t="str">
        <f aca="false">HYPERLINK("https://lindat.mff.cuni.cz/services/teitok/pdtc10/index.php?action=vallex&amp;frame=v-w10912f2", "ztenčovat (v-w10912f2)")</f>
        <v>ztenčovat (v-w10912f2)</v>
      </c>
    </row>
    <row r="71494" customFormat="false" ht="12.8" hidden="false" customHeight="false" outlineLevel="0" collapsed="false">
      <c r="B71494" s="0" t="s">
        <v>1</v>
      </c>
    </row>
    <row r="71495" customFormat="false" ht="12.8" hidden="false" customHeight="false" outlineLevel="0" collapsed="false">
      <c r="B71495" s="0" t="s">
        <v>8</v>
      </c>
    </row>
    <row r="71496" customFormat="false" ht="12.8" hidden="false" customHeight="false" outlineLevel="0" collapsed="false">
      <c r="B71496" s="0" t="s">
        <v>36</v>
      </c>
    </row>
    <row r="71497" customFormat="false" ht="12.8" hidden="false" customHeight="false" outlineLevel="0" collapsed="false">
      <c r="B71497" s="0" t="s">
        <v>101</v>
      </c>
    </row>
    <row r="71499" customFormat="false" ht="12.8" hidden="false" customHeight="false" outlineLevel="0" collapsed="false">
      <c r="A71499" s="0" t="s">
        <v>23259</v>
      </c>
      <c r="B71499" s="0" t="str">
        <f aca="false">HYPERLINK("https://lindat.mff.cuni.cz/services/teitok/pdtc10/index.php?action=vallex&amp;frame=v-w11414f1", "ztenčovat se (v-w11414f1)")</f>
        <v>ztenčovat se (v-w11414f1)</v>
      </c>
      <c r="E71499" s="0" t="str">
        <f aca="false">HYPERLINK("https://lindat.mff.cuni.cz/services/SynSemClass40/SynSemClass40.html?veclass=vec00028#vec00028-ces-cm00134", "vec00028")</f>
        <v>vec00028</v>
      </c>
      <c r="F71499" s="0" t="s">
        <v>5301</v>
      </c>
    </row>
    <row r="71500" customFormat="false" ht="12.8" hidden="false" customHeight="false" outlineLevel="0" collapsed="false">
      <c r="B71500" s="0" t="s">
        <v>1</v>
      </c>
      <c r="C71500" s="0" t="s">
        <v>9964</v>
      </c>
      <c r="E71500" s="0" t="s">
        <v>235</v>
      </c>
      <c r="F71500" s="0" t="s">
        <v>5304</v>
      </c>
    </row>
    <row r="71501" customFormat="false" ht="12.8" hidden="false" customHeight="false" outlineLevel="0" collapsed="false">
      <c r="B71501" s="0" t="s">
        <v>69</v>
      </c>
      <c r="C71501" s="0" t="s">
        <v>9965</v>
      </c>
      <c r="E71501" s="0" t="s">
        <v>5149</v>
      </c>
      <c r="F71501" s="0" t="s">
        <v>5307</v>
      </c>
    </row>
    <row r="71502" customFormat="false" ht="12.8" hidden="false" customHeight="false" outlineLevel="0" collapsed="false">
      <c r="B71502" s="0" t="s">
        <v>36</v>
      </c>
      <c r="C71502" s="0" t="s">
        <v>9966</v>
      </c>
      <c r="E71502" s="0" t="s">
        <v>5152</v>
      </c>
      <c r="F71502" s="0" t="s">
        <v>5311</v>
      </c>
    </row>
    <row r="71504" customFormat="false" ht="12.8" hidden="false" customHeight="false" outlineLevel="0" collapsed="false">
      <c r="A71504" s="0" t="s">
        <v>23260</v>
      </c>
      <c r="B71504" s="0" t="str">
        <f aca="false">HYPERLINK("https://lindat.mff.cuni.cz/services/teitok/pdtc10/index.php?action=vallex&amp;frame=v-w9905f1", "ztichnout (v-w9905f1)")</f>
        <v>ztichnout (v-w9905f1)</v>
      </c>
    </row>
    <row r="71505" customFormat="false" ht="12.8" hidden="false" customHeight="false" outlineLevel="0" collapsed="false">
      <c r="B71505" s="0" t="s">
        <v>1</v>
      </c>
    </row>
    <row r="71507" customFormat="false" ht="12.8" hidden="false" customHeight="false" outlineLevel="0" collapsed="false">
      <c r="A71507" s="0" t="s">
        <v>23261</v>
      </c>
      <c r="B71507" s="0" t="str">
        <f aca="false">HYPERLINK("https://lindat.mff.cuni.cz/services/teitok/pdtc10/index.php?action=vallex&amp;frame=v-w11402f1", "ztišit se (v-w11402f1)")</f>
        <v>ztišit se (v-w11402f1)</v>
      </c>
      <c r="E71507" s="0" t="str">
        <f aca="false">HYPERLINK("https://lindat.mff.cuni.cz/services/SynSemClass40/SynSemClass40.html?veclass=vec00733#vec00733-ces-cm00022", "vec00733")</f>
        <v>vec00733</v>
      </c>
      <c r="F71507" s="0" t="s">
        <v>17669</v>
      </c>
    </row>
    <row r="71508" customFormat="false" ht="12.8" hidden="false" customHeight="false" outlineLevel="0" collapsed="false">
      <c r="B71508" s="0" t="s">
        <v>1</v>
      </c>
      <c r="C71508" s="0" t="s">
        <v>10435</v>
      </c>
      <c r="E71508" s="0" t="s">
        <v>4943</v>
      </c>
      <c r="F71508" s="0" t="s">
        <v>17670</v>
      </c>
    </row>
    <row r="71509" customFormat="false" ht="12.8" hidden="false" customHeight="false" outlineLevel="0" collapsed="false">
      <c r="B71509" s="0" t="s">
        <v>69</v>
      </c>
    </row>
    <row r="71510" customFormat="false" ht="12.8" hidden="false" customHeight="false" outlineLevel="0" collapsed="false">
      <c r="B71510" s="0" t="s">
        <v>36</v>
      </c>
    </row>
    <row r="71512" customFormat="false" ht="12.8" hidden="false" customHeight="false" outlineLevel="0" collapsed="false">
      <c r="A71512" s="0" t="s">
        <v>23262</v>
      </c>
      <c r="B71512" s="0" t="str">
        <f aca="false">HYPERLINK("https://lindat.mff.cuni.cz/services/teitok/pdtc10/index.php?action=vallex&amp;frame=v-w9907f1", "ztlouci (v-w9907f1)")</f>
        <v>ztlouci (v-w9907f1)</v>
      </c>
    </row>
    <row r="71513" customFormat="false" ht="12.8" hidden="false" customHeight="false" outlineLevel="0" collapsed="false">
      <c r="B71513" s="0" t="s">
        <v>1</v>
      </c>
    </row>
    <row r="71514" customFormat="false" ht="12.8" hidden="false" customHeight="false" outlineLevel="0" collapsed="false">
      <c r="B71514" s="0" t="s">
        <v>8</v>
      </c>
    </row>
    <row r="71516" customFormat="false" ht="12.8" hidden="false" customHeight="false" outlineLevel="0" collapsed="false">
      <c r="A71516" s="0" t="s">
        <v>23263</v>
      </c>
      <c r="B71516" s="0" t="str">
        <f aca="false">HYPERLINK("https://lindat.mff.cuni.cz/services/teitok/pdtc10/index.php?action=vallex&amp;frame=v-w10870f2", "ztloustnout (v-w10870f2)")</f>
        <v>ztloustnout (v-w10870f2)</v>
      </c>
    </row>
    <row r="71517" customFormat="false" ht="12.8" hidden="false" customHeight="false" outlineLevel="0" collapsed="false">
      <c r="B71517" s="0" t="s">
        <v>1</v>
      </c>
    </row>
    <row r="71518" customFormat="false" ht="12.8" hidden="false" customHeight="false" outlineLevel="0" collapsed="false">
      <c r="B71518" s="0" t="s">
        <v>69</v>
      </c>
    </row>
    <row r="71519" customFormat="false" ht="12.8" hidden="false" customHeight="false" outlineLevel="0" collapsed="false">
      <c r="B71519" s="0" t="s">
        <v>36</v>
      </c>
    </row>
    <row r="71521" customFormat="false" ht="12.8" hidden="false" customHeight="false" outlineLevel="0" collapsed="false">
      <c r="A71521" s="0" t="s">
        <v>23264</v>
      </c>
      <c r="B71521" s="0" t="str">
        <f aca="false">HYPERLINK("https://lindat.mff.cuni.cz/services/teitok/pdtc10/index.php?action=vallex&amp;frame=v-w9908f1", "ztlumit (v-w9908f1)")</f>
        <v>ztlumit (v-w9908f1)</v>
      </c>
      <c r="E71521" s="0" t="str">
        <f aca="false">HYPERLINK("https://lindat.mff.cuni.cz/services/SynSemClass40/SynSemClass40.html?veclass=vec00055#vec00055-ces-cm00015", "vec00055")</f>
        <v>vec00055</v>
      </c>
      <c r="F71521" s="0" t="s">
        <v>9956</v>
      </c>
    </row>
    <row r="71522" customFormat="false" ht="12.8" hidden="false" customHeight="false" outlineLevel="0" collapsed="false">
      <c r="B71522" s="0" t="s">
        <v>1</v>
      </c>
      <c r="C71522" s="0" t="s">
        <v>7911</v>
      </c>
      <c r="E71522" s="0" t="s">
        <v>76</v>
      </c>
      <c r="F71522" s="0" t="s">
        <v>9958</v>
      </c>
    </row>
    <row r="71523" customFormat="false" ht="12.8" hidden="false" customHeight="false" outlineLevel="0" collapsed="false">
      <c r="B71523" s="0" t="s">
        <v>8</v>
      </c>
      <c r="C71523" s="0" t="s">
        <v>10149</v>
      </c>
      <c r="E71523" s="0" t="s">
        <v>706</v>
      </c>
      <c r="F71523" s="0" t="s">
        <v>9960</v>
      </c>
    </row>
    <row r="71524" customFormat="false" ht="12.8" hidden="false" customHeight="false" outlineLevel="0" collapsed="false">
      <c r="B71524" s="0" t="s">
        <v>36</v>
      </c>
    </row>
    <row r="71525" customFormat="false" ht="12.8" hidden="false" customHeight="false" outlineLevel="0" collapsed="false">
      <c r="B71525" s="0" t="s">
        <v>101</v>
      </c>
    </row>
    <row r="71527" customFormat="false" ht="12.8" hidden="false" customHeight="false" outlineLevel="0" collapsed="false">
      <c r="A71527" s="0" t="s">
        <v>23265</v>
      </c>
      <c r="B71527" s="0" t="str">
        <f aca="false">HYPERLINK("https://lindat.mff.cuni.cz/services/teitok/pdtc10/index.php?action=vallex&amp;frame=v-w11798_ZUf1_ZU", "ztmavnout (v-w11798_ZUf1_ZU)")</f>
        <v>ztmavnout (v-w11798_ZUf1_ZU)</v>
      </c>
    </row>
    <row r="71528" customFormat="false" ht="12.8" hidden="false" customHeight="false" outlineLevel="0" collapsed="false">
      <c r="B71528" s="0" t="s">
        <v>804</v>
      </c>
    </row>
    <row r="71529" customFormat="false" ht="12.8" hidden="false" customHeight="false" outlineLevel="0" collapsed="false">
      <c r="B71529" s="0" t="s">
        <v>439</v>
      </c>
    </row>
    <row r="71531" customFormat="false" ht="12.8" hidden="false" customHeight="false" outlineLevel="0" collapsed="false">
      <c r="A71531" s="0" t="s">
        <v>23266</v>
      </c>
      <c r="B71531" s="0" t="str">
        <f aca="false">HYPERLINK("https://lindat.mff.cuni.cz/services/teitok/pdtc10/index.php?action=vallex&amp;frame=v-w11798_ZUf2_ZU", "ztmavnout (v-w11798_ZUf2_ZU)")</f>
        <v>ztmavnout (v-w11798_ZUf2_ZU)</v>
      </c>
    </row>
    <row r="71532" customFormat="false" ht="12.8" hidden="false" customHeight="false" outlineLevel="0" collapsed="false">
      <c r="B71532" s="0" t="s">
        <v>1</v>
      </c>
    </row>
    <row r="71534" customFormat="false" ht="12.8" hidden="false" customHeight="false" outlineLevel="0" collapsed="false">
      <c r="A71534" s="0" t="s">
        <v>23267</v>
      </c>
      <c r="B71534" s="0" t="str">
        <f aca="false">HYPERLINK("https://lindat.mff.cuni.cz/services/teitok/pdtc10/index.php?action=vallex&amp;frame=v-w9909f1", "ztotožnit (v-w9909f1)")</f>
        <v>ztotožnit (v-w9909f1)</v>
      </c>
    </row>
    <row r="71535" customFormat="false" ht="12.8" hidden="false" customHeight="false" outlineLevel="0" collapsed="false">
      <c r="B71535" s="0" t="s">
        <v>1</v>
      </c>
    </row>
    <row r="71536" customFormat="false" ht="12.8" hidden="false" customHeight="false" outlineLevel="0" collapsed="false">
      <c r="B71536" s="0" t="s">
        <v>8</v>
      </c>
    </row>
    <row r="71537" customFormat="false" ht="12.8" hidden="false" customHeight="false" outlineLevel="0" collapsed="false">
      <c r="B71537" s="0" t="s">
        <v>3537</v>
      </c>
    </row>
    <row r="71539" customFormat="false" ht="12.8" hidden="false" customHeight="false" outlineLevel="0" collapsed="false">
      <c r="A71539" s="0" t="s">
        <v>23268</v>
      </c>
      <c r="B71539" s="0" t="str">
        <f aca="false">HYPERLINK("https://lindat.mff.cuni.cz/services/teitok/pdtc10/index.php?action=vallex&amp;frame=v-w9910f2", "ztotožnit se (v-w9910f2)")</f>
        <v>ztotožnit se (v-w9910f2)</v>
      </c>
      <c r="E71539" s="0" t="str">
        <f aca="false">HYPERLINK("https://lindat.mff.cuni.cz/services/SynSemClass40/SynSemClass40.html?veclass=vec01191#vec01191-ces-cm00002", "vec01191")</f>
        <v>vec01191</v>
      </c>
      <c r="F71539" s="0" t="s">
        <v>23269</v>
      </c>
    </row>
    <row r="71540" customFormat="false" ht="12.8" hidden="false" customHeight="false" outlineLevel="0" collapsed="false">
      <c r="B71540" s="0" t="s">
        <v>1</v>
      </c>
      <c r="C71540" s="0" t="s">
        <v>4695</v>
      </c>
      <c r="E71540" s="0" t="s">
        <v>1971</v>
      </c>
      <c r="F71540" s="0" t="s">
        <v>23270</v>
      </c>
    </row>
    <row r="71541" customFormat="false" ht="12.8" hidden="false" customHeight="false" outlineLevel="0" collapsed="false">
      <c r="B71541" s="0" t="s">
        <v>23271</v>
      </c>
      <c r="E71541" s="0" t="s">
        <v>180</v>
      </c>
      <c r="F71541" s="0" t="s">
        <v>20088</v>
      </c>
    </row>
    <row r="71542" customFormat="false" ht="12.8" hidden="false" customHeight="false" outlineLevel="0" collapsed="false">
      <c r="B71542" s="0" t="s">
        <v>276</v>
      </c>
      <c r="E71542" s="0" t="s">
        <v>23272</v>
      </c>
      <c r="F71542" s="0" t="s">
        <v>23273</v>
      </c>
    </row>
    <row r="71544" customFormat="false" ht="12.8" hidden="false" customHeight="false" outlineLevel="0" collapsed="false">
      <c r="A71544" s="0" t="s">
        <v>23274</v>
      </c>
      <c r="B71544" s="0" t="str">
        <f aca="false">HYPERLINK("https://lindat.mff.cuni.cz/services/teitok/pdtc10/index.php?action=vallex&amp;frame=v-w9910f1", "ztotožnit se (v-w9910f1)")</f>
        <v>ztotožnit se (v-w9910f1)</v>
      </c>
      <c r="E71544" s="0" t="str">
        <f aca="false">HYPERLINK("https://lindat.mff.cuni.cz/services/SynSemClass40/SynSemClass40.html?veclass=vec00120#vec00120-ces-cm00055", "vec00120")</f>
        <v>vec00120</v>
      </c>
      <c r="F71544" s="0" t="s">
        <v>61</v>
      </c>
    </row>
    <row r="71545" customFormat="false" ht="12.8" hidden="false" customHeight="false" outlineLevel="0" collapsed="false">
      <c r="B71545" s="0" t="s">
        <v>1</v>
      </c>
      <c r="C71545" s="0" t="s">
        <v>62</v>
      </c>
      <c r="E71545" s="0" t="s">
        <v>63</v>
      </c>
      <c r="F71545" s="0" t="s">
        <v>64</v>
      </c>
    </row>
    <row r="71546" customFormat="false" ht="12.8" hidden="false" customHeight="false" outlineLevel="0" collapsed="false">
      <c r="B71546" s="0" t="s">
        <v>721</v>
      </c>
      <c r="C71546" s="0" t="s">
        <v>65</v>
      </c>
      <c r="E71546" s="0" t="s">
        <v>66</v>
      </c>
      <c r="F71546" s="0" t="s">
        <v>67</v>
      </c>
    </row>
    <row r="71548" customFormat="false" ht="12.8" hidden="false" customHeight="false" outlineLevel="0" collapsed="false">
      <c r="A71548" s="0" t="s">
        <v>23275</v>
      </c>
      <c r="B71548" s="0" t="str">
        <f aca="false">HYPERLINK("https://lindat.mff.cuni.cz/services/teitok/pdtc10/index.php?action=vallex&amp;frame=v-w9911f1", "ztotožňovat (v-w9911f1)")</f>
        <v>ztotožňovat (v-w9911f1)</v>
      </c>
    </row>
    <row r="71549" customFormat="false" ht="12.8" hidden="false" customHeight="false" outlineLevel="0" collapsed="false">
      <c r="B71549" s="0" t="s">
        <v>1</v>
      </c>
    </row>
    <row r="71550" customFormat="false" ht="12.8" hidden="false" customHeight="false" outlineLevel="0" collapsed="false">
      <c r="B71550" s="0" t="s">
        <v>8</v>
      </c>
    </row>
    <row r="71551" customFormat="false" ht="12.8" hidden="false" customHeight="false" outlineLevel="0" collapsed="false">
      <c r="B71551" s="0" t="s">
        <v>3537</v>
      </c>
    </row>
    <row r="71553" customFormat="false" ht="12.8" hidden="false" customHeight="false" outlineLevel="0" collapsed="false">
      <c r="A71553" s="0" t="s">
        <v>23276</v>
      </c>
      <c r="B71553" s="0" t="str">
        <f aca="false">HYPERLINK("https://lindat.mff.cuni.cz/services/teitok/pdtc10/index.php?action=vallex&amp;frame=v-w9912f1", "ztotožňovat se (v-w9912f1)")</f>
        <v>ztotožňovat se (v-w9912f1)</v>
      </c>
      <c r="E71553" s="0" t="str">
        <f aca="false">HYPERLINK("https://lindat.mff.cuni.cz/services/SynSemClass40/SynSemClass40.html?veclass=vec01191#vec01191-ces-cm00001", "vec01191")</f>
        <v>vec01191</v>
      </c>
      <c r="F71553" s="0" t="s">
        <v>23269</v>
      </c>
    </row>
    <row r="71554" customFormat="false" ht="12.8" hidden="false" customHeight="false" outlineLevel="0" collapsed="false">
      <c r="B71554" s="0" t="s">
        <v>1</v>
      </c>
      <c r="C71554" s="0" t="s">
        <v>4695</v>
      </c>
      <c r="E71554" s="0" t="s">
        <v>1971</v>
      </c>
      <c r="F71554" s="0" t="s">
        <v>23270</v>
      </c>
    </row>
    <row r="71555" customFormat="false" ht="12.8" hidden="false" customHeight="false" outlineLevel="0" collapsed="false">
      <c r="B71555" s="0" t="s">
        <v>23277</v>
      </c>
      <c r="E71555" s="0" t="s">
        <v>180</v>
      </c>
      <c r="F71555" s="0" t="s">
        <v>20088</v>
      </c>
    </row>
    <row r="71556" customFormat="false" ht="12.8" hidden="false" customHeight="false" outlineLevel="0" collapsed="false">
      <c r="B71556" s="0" t="s">
        <v>276</v>
      </c>
      <c r="E71556" s="0" t="s">
        <v>23272</v>
      </c>
      <c r="F71556" s="0" t="s">
        <v>23273</v>
      </c>
    </row>
    <row r="71558" customFormat="false" ht="12.8" hidden="false" customHeight="false" outlineLevel="0" collapsed="false">
      <c r="A71558" s="0" t="s">
        <v>23278</v>
      </c>
      <c r="B71558" s="0" t="str">
        <f aca="false">HYPERLINK("https://lindat.mff.cuni.cz/services/teitok/pdtc10/index.php?action=vallex&amp;frame=v-w9912f2", "ztotožňovat se (v-w9912f2)")</f>
        <v>ztotožňovat se (v-w9912f2)</v>
      </c>
      <c r="E71558" s="0" t="str">
        <f aca="false">HYPERLINK("https://lindat.mff.cuni.cz/services/SynSemClass40/SynSemClass40.html?veclass=vec00120#vec00120-ces-cm00073", "vec00120")</f>
        <v>vec00120</v>
      </c>
      <c r="F71558" s="0" t="s">
        <v>61</v>
      </c>
    </row>
    <row r="71559" customFormat="false" ht="12.8" hidden="false" customHeight="false" outlineLevel="0" collapsed="false">
      <c r="B71559" s="0" t="s">
        <v>1</v>
      </c>
      <c r="C71559" s="0" t="s">
        <v>62</v>
      </c>
      <c r="E71559" s="0" t="s">
        <v>63</v>
      </c>
      <c r="F71559" s="0" t="s">
        <v>64</v>
      </c>
    </row>
    <row r="71560" customFormat="false" ht="12.8" hidden="false" customHeight="false" outlineLevel="0" collapsed="false">
      <c r="B71560" s="0" t="s">
        <v>721</v>
      </c>
      <c r="C71560" s="0" t="s">
        <v>65</v>
      </c>
      <c r="E71560" s="0" t="s">
        <v>66</v>
      </c>
      <c r="F71560" s="0" t="s">
        <v>67</v>
      </c>
    </row>
    <row r="71562" customFormat="false" ht="12.8" hidden="false" customHeight="false" outlineLevel="0" collapsed="false">
      <c r="A71562" s="0" t="s">
        <v>23279</v>
      </c>
      <c r="B71562" s="0" t="str">
        <f aca="false">HYPERLINK("https://lindat.mff.cuni.cz/services/teitok/pdtc10/index.php?action=vallex&amp;frame=v-w9916f1", "ztrapnit (v-w9916f1)")</f>
        <v>ztrapnit (v-w9916f1)</v>
      </c>
      <c r="E71562" s="0" t="str">
        <f aca="false">HYPERLINK("https://lindat.mff.cuni.cz/services/SynSemClass40/SynSemClass40.html?veclass=vec01192#vec01192-ces-cm00001", "vec01192")</f>
        <v>vec01192</v>
      </c>
      <c r="F71562" s="0" t="s">
        <v>2000</v>
      </c>
    </row>
    <row r="71563" customFormat="false" ht="12.8" hidden="false" customHeight="false" outlineLevel="0" collapsed="false">
      <c r="B71563" s="0" t="s">
        <v>1</v>
      </c>
      <c r="C71563" s="0" t="s">
        <v>512</v>
      </c>
      <c r="E71563" s="0" t="s">
        <v>11</v>
      </c>
      <c r="F71563" s="0" t="s">
        <v>1613</v>
      </c>
    </row>
    <row r="71564" customFormat="false" ht="12.8" hidden="false" customHeight="false" outlineLevel="0" collapsed="false">
      <c r="B71564" s="0" t="s">
        <v>8</v>
      </c>
      <c r="C71564" s="0" t="s">
        <v>2001</v>
      </c>
      <c r="E71564" s="0" t="s">
        <v>142</v>
      </c>
      <c r="F71564" s="0" t="s">
        <v>2002</v>
      </c>
    </row>
    <row r="71566" customFormat="false" ht="12.8" hidden="false" customHeight="false" outlineLevel="0" collapsed="false">
      <c r="A71566" s="0" t="s">
        <v>23280</v>
      </c>
      <c r="B71566" s="0" t="str">
        <f aca="false">HYPERLINK("https://lindat.mff.cuni.cz/services/teitok/pdtc10/index.php?action=vallex&amp;frame=v-w10190f2", "ztrapňovat (v-w10190f2)")</f>
        <v>ztrapňovat (v-w10190f2)</v>
      </c>
      <c r="E71566" s="0" t="str">
        <f aca="false">HYPERLINK("https://lindat.mff.cuni.cz/services/SynSemClass40/SynSemClass40.html?veclass=vec01192#vec01192-ces-cm00004", "vec01192")</f>
        <v>vec01192</v>
      </c>
      <c r="F71566" s="0" t="s">
        <v>2000</v>
      </c>
    </row>
    <row r="71567" customFormat="false" ht="12.8" hidden="false" customHeight="false" outlineLevel="0" collapsed="false">
      <c r="B71567" s="0" t="s">
        <v>1</v>
      </c>
      <c r="C71567" s="0" t="s">
        <v>512</v>
      </c>
      <c r="E71567" s="0" t="s">
        <v>11</v>
      </c>
      <c r="F71567" s="0" t="s">
        <v>1613</v>
      </c>
    </row>
    <row r="71568" customFormat="false" ht="12.8" hidden="false" customHeight="false" outlineLevel="0" collapsed="false">
      <c r="B71568" s="0" t="s">
        <v>8</v>
      </c>
      <c r="C71568" s="0" t="s">
        <v>2001</v>
      </c>
      <c r="E71568" s="0" t="s">
        <v>142</v>
      </c>
      <c r="F71568" s="0" t="s">
        <v>2002</v>
      </c>
    </row>
    <row r="71570" customFormat="false" ht="12.8" hidden="false" customHeight="false" outlineLevel="0" collapsed="false">
      <c r="A71570" s="0" t="s">
        <v>23281</v>
      </c>
      <c r="B71570" s="0" t="str">
        <f aca="false">HYPERLINK("https://lindat.mff.cuni.cz/services/teitok/pdtc10/index.php?action=vallex&amp;frame=v-w9918f10", "ztratit (v-w9918f10)")</f>
        <v>ztratit (v-w9918f10)</v>
      </c>
      <c r="E71570" s="0" t="str">
        <f aca="false">HYPERLINK("https://lindat.mff.cuni.cz/services/SynSemClass40/SynSemClass40.html?veclass=vec01193#vec01193-ces-cm00001", "vec01193")</f>
        <v>vec01193</v>
      </c>
      <c r="F71570" s="0" t="s">
        <v>12265</v>
      </c>
    </row>
    <row r="71571" customFormat="false" ht="12.8" hidden="false" customHeight="false" outlineLevel="0" collapsed="false">
      <c r="B71571" s="0" t="s">
        <v>1</v>
      </c>
      <c r="C71571" s="0" t="s">
        <v>447</v>
      </c>
      <c r="E71571" s="0" t="s">
        <v>10404</v>
      </c>
      <c r="F71571" s="0" t="s">
        <v>12266</v>
      </c>
    </row>
    <row r="71572" customFormat="false" ht="12.8" hidden="false" customHeight="false" outlineLevel="0" collapsed="false">
      <c r="B71572" s="0" t="s">
        <v>8</v>
      </c>
      <c r="C71572" s="0" t="s">
        <v>2082</v>
      </c>
      <c r="E71572" s="0" t="s">
        <v>2732</v>
      </c>
      <c r="F71572" s="0" t="s">
        <v>12267</v>
      </c>
    </row>
    <row r="71573" customFormat="false" ht="12.8" hidden="false" customHeight="false" outlineLevel="0" collapsed="false">
      <c r="B71573" s="0" t="s">
        <v>773</v>
      </c>
      <c r="E71573" s="0" t="s">
        <v>12268</v>
      </c>
      <c r="F71573" s="0" t="s">
        <v>12269</v>
      </c>
    </row>
    <row r="71575" customFormat="false" ht="12.8" hidden="false" customHeight="false" outlineLevel="0" collapsed="false">
      <c r="A71575" s="0" t="s">
        <v>23282</v>
      </c>
      <c r="B71575" s="0" t="str">
        <f aca="false">HYPERLINK("https://lindat.mff.cuni.cz/services/teitok/pdtc10/index.php?action=vallex&amp;frame=v-w9918f11_ZU", "ztratit (v-w9918f11_ZU)")</f>
        <v>ztratit (v-w9918f11_ZU)</v>
      </c>
    </row>
    <row r="71576" customFormat="false" ht="12.8" hidden="false" customHeight="false" outlineLevel="0" collapsed="false">
      <c r="B71576" s="0" t="s">
        <v>1</v>
      </c>
    </row>
    <row r="71577" customFormat="false" ht="12.8" hidden="false" customHeight="false" outlineLevel="0" collapsed="false">
      <c r="B71577" s="0" t="s">
        <v>8</v>
      </c>
    </row>
    <row r="71578" customFormat="false" ht="12.8" hidden="false" customHeight="false" outlineLevel="0" collapsed="false">
      <c r="B71578" s="0" t="s">
        <v>101</v>
      </c>
    </row>
    <row r="71580" customFormat="false" ht="12.8" hidden="false" customHeight="false" outlineLevel="0" collapsed="false">
      <c r="A71580" s="0" t="s">
        <v>23283</v>
      </c>
      <c r="B71580" s="0" t="str">
        <f aca="false">HYPERLINK("https://lindat.mff.cuni.cz/services/teitok/pdtc10/index.php?action=vallex&amp;frame=v-w9918f1", "ztratit (v-w9918f1)")</f>
        <v>ztratit (v-w9918f1)</v>
      </c>
      <c r="E71580" s="0" t="str">
        <f aca="false">HYPERLINK("https://lindat.mff.cuni.cz/services/SynSemClass40/SynSemClass40.html?veclass=vec00393#vec00393-ces-cm00001", "vec00393")</f>
        <v>vec00393</v>
      </c>
      <c r="F71580" s="0" t="s">
        <v>13969</v>
      </c>
    </row>
    <row r="71581" customFormat="false" ht="12.8" hidden="false" customHeight="false" outlineLevel="0" collapsed="false">
      <c r="B71581" s="0" t="s">
        <v>1</v>
      </c>
      <c r="C71581" s="0" t="s">
        <v>13970</v>
      </c>
      <c r="E71581" s="0" t="s">
        <v>10404</v>
      </c>
      <c r="F71581" s="0" t="s">
        <v>13971</v>
      </c>
    </row>
    <row r="71582" customFormat="false" ht="12.8" hidden="false" customHeight="false" outlineLevel="0" collapsed="false">
      <c r="B71582" s="0" t="s">
        <v>7041</v>
      </c>
      <c r="C71582" s="0" t="s">
        <v>13972</v>
      </c>
      <c r="E71582" s="0" t="s">
        <v>13973</v>
      </c>
      <c r="F71582" s="0" t="s">
        <v>13974</v>
      </c>
    </row>
    <row r="71584" customFormat="false" ht="12.8" hidden="false" customHeight="false" outlineLevel="0" collapsed="false">
      <c r="A71584" s="0" t="s">
        <v>23284</v>
      </c>
      <c r="B71584" s="0" t="str">
        <f aca="false">HYPERLINK("https://lindat.mff.cuni.cz/services/teitok/pdtc10/index.php?action=vallex&amp;frame=v-w9918f2", "ztratit (v-w9918f2)")</f>
        <v>ztratit (v-w9918f2)</v>
      </c>
      <c r="E71584" s="0" t="str">
        <f aca="false">HYPERLINK("https://lindat.mff.cuni.cz/services/SynSemClass40/SynSemClass40.html?veclass=vec00393#vec00393-ces-cm00015", "vec00393")</f>
        <v>vec00393</v>
      </c>
      <c r="F71584" s="0" t="s">
        <v>13969</v>
      </c>
    </row>
    <row r="71585" customFormat="false" ht="12.8" hidden="false" customHeight="false" outlineLevel="0" collapsed="false">
      <c r="B71585" s="0" t="s">
        <v>1</v>
      </c>
      <c r="C71585" s="0" t="s">
        <v>13970</v>
      </c>
      <c r="E71585" s="0" t="s">
        <v>10404</v>
      </c>
      <c r="F71585" s="0" t="s">
        <v>13971</v>
      </c>
    </row>
    <row r="71586" customFormat="false" ht="12.8" hidden="false" customHeight="false" outlineLevel="0" collapsed="false">
      <c r="B71586" s="0" t="s">
        <v>8</v>
      </c>
      <c r="C71586" s="0" t="s">
        <v>13972</v>
      </c>
      <c r="E71586" s="0" t="s">
        <v>13973</v>
      </c>
      <c r="F71586" s="0" t="s">
        <v>13974</v>
      </c>
    </row>
    <row r="71588" customFormat="false" ht="12.8" hidden="false" customHeight="false" outlineLevel="0" collapsed="false">
      <c r="A71588" s="0" t="s">
        <v>23285</v>
      </c>
      <c r="B71588" s="0" t="str">
        <f aca="false">HYPERLINK("https://lindat.mff.cuni.cz/services/teitok/pdtc10/index.php?action=vallex&amp;frame=v-w9918f4", "ztratit (v-w9918f4)")</f>
        <v>ztratit (v-w9918f4)</v>
      </c>
      <c r="E71588" s="0" t="str">
        <f aca="false">HYPERLINK("https://lindat.mff.cuni.cz/services/SynSemClass40/SynSemClass40.html?veclass=vec00393#vec00393-ces-cm00016", "vec00393")</f>
        <v>vec00393</v>
      </c>
      <c r="F71588" s="0" t="s">
        <v>13969</v>
      </c>
    </row>
    <row r="71589" customFormat="false" ht="12.8" hidden="false" customHeight="false" outlineLevel="0" collapsed="false">
      <c r="B71589" s="0" t="s">
        <v>1</v>
      </c>
      <c r="C71589" s="0" t="s">
        <v>13970</v>
      </c>
      <c r="E71589" s="0" t="s">
        <v>10404</v>
      </c>
      <c r="F71589" s="0" t="s">
        <v>13971</v>
      </c>
    </row>
    <row r="71590" customFormat="false" ht="12.8" hidden="false" customHeight="false" outlineLevel="0" collapsed="false">
      <c r="B71590" s="0" t="s">
        <v>8</v>
      </c>
      <c r="C71590" s="0" t="s">
        <v>13972</v>
      </c>
      <c r="E71590" s="0" t="s">
        <v>13973</v>
      </c>
      <c r="F71590" s="0" t="s">
        <v>13974</v>
      </c>
    </row>
    <row r="71592" customFormat="false" ht="12.8" hidden="false" customHeight="false" outlineLevel="0" collapsed="false">
      <c r="A71592" s="0" t="s">
        <v>23286</v>
      </c>
      <c r="B71592" s="0" t="str">
        <f aca="false">HYPERLINK("https://lindat.mff.cuni.cz/services/teitok/pdtc10/index.php?action=vallex&amp;frame=v-w9918f9", "ztratit (v-w9918f9)")</f>
        <v>ztratit (v-w9918f9)</v>
      </c>
      <c r="E71592" s="0" t="str">
        <f aca="false">HYPERLINK("https://lindat.mff.cuni.cz/services/SynSemClass40/SynSemClass40.html?veclass=vec00275#vec00275-ces-cm00018", "vec00275")</f>
        <v>vec00275</v>
      </c>
      <c r="F71592" s="0" t="s">
        <v>12352</v>
      </c>
    </row>
    <row r="71593" customFormat="false" ht="12.8" hidden="false" customHeight="false" outlineLevel="0" collapsed="false">
      <c r="B71593" s="0" t="s">
        <v>1</v>
      </c>
      <c r="C71593" s="0" t="s">
        <v>3091</v>
      </c>
      <c r="E71593" s="0" t="s">
        <v>10404</v>
      </c>
      <c r="F71593" s="0" t="s">
        <v>12353</v>
      </c>
    </row>
    <row r="71594" customFormat="false" ht="12.8" hidden="false" customHeight="false" outlineLevel="0" collapsed="false">
      <c r="B71594" s="0" t="s">
        <v>8</v>
      </c>
      <c r="C71594" s="0" t="s">
        <v>12354</v>
      </c>
      <c r="E71594" s="0" t="s">
        <v>432</v>
      </c>
      <c r="F71594" s="0" t="s">
        <v>12355</v>
      </c>
    </row>
    <row r="71596" customFormat="false" ht="12.8" hidden="false" customHeight="false" outlineLevel="0" collapsed="false">
      <c r="A71596" s="0" t="s">
        <v>23287</v>
      </c>
      <c r="B71596" s="0" t="str">
        <f aca="false">HYPERLINK("https://lindat.mff.cuni.cz/services/teitok/pdtc10/index.php?action=vallex&amp;frame=v-w9918f15_ZU", "ztratit (v-w9918f15_ZU)")</f>
        <v>ztratit (v-w9918f15_ZU)</v>
      </c>
    </row>
    <row r="71597" customFormat="false" ht="12.8" hidden="false" customHeight="false" outlineLevel="0" collapsed="false">
      <c r="B71597" s="0" t="s">
        <v>1</v>
      </c>
    </row>
    <row r="71598" customFormat="false" ht="12.8" hidden="false" customHeight="false" outlineLevel="0" collapsed="false">
      <c r="B71598" s="0" t="s">
        <v>23288</v>
      </c>
    </row>
    <row r="71600" customFormat="false" ht="12.8" hidden="false" customHeight="false" outlineLevel="0" collapsed="false">
      <c r="A71600" s="0" t="s">
        <v>23287</v>
      </c>
      <c r="B71600" s="0" t="str">
        <f aca="false">HYPERLINK("https://lindat.mff.cuni.cz/services/teitok/pdtc10/index.php?action=vallex&amp;frame=v-w9918f3", "ztratit (v-w9918f3) - substituted with v-w9918f15_ZU")</f>
        <v>ztratit (v-w9918f3) - substituted with v-w9918f15_ZU</v>
      </c>
    </row>
    <row r="71601" customFormat="false" ht="12.8" hidden="false" customHeight="false" outlineLevel="0" collapsed="false">
      <c r="B71601" s="0" t="s">
        <v>1</v>
      </c>
    </row>
    <row r="71602" customFormat="false" ht="12.8" hidden="false" customHeight="false" outlineLevel="0" collapsed="false">
      <c r="B71602" s="0" t="s">
        <v>23288</v>
      </c>
    </row>
    <row r="71604" customFormat="false" ht="12.8" hidden="false" customHeight="false" outlineLevel="0" collapsed="false">
      <c r="A71604" s="0" t="s">
        <v>23287</v>
      </c>
      <c r="B71604" s="0" t="str">
        <f aca="false">HYPERLINK("https://lindat.mff.cuni.cz/services/teitok/pdtc10/index.php?action=vallex&amp;frame=v-w9918hsa_575", "ztratit (v-w9918hsa_575) - substituted with v-w9918f15_ZU")</f>
        <v>ztratit (v-w9918hsa_575) - substituted with v-w9918f15_ZU</v>
      </c>
    </row>
    <row r="71605" customFormat="false" ht="12.8" hidden="false" customHeight="false" outlineLevel="0" collapsed="false">
      <c r="B71605" s="0" t="s">
        <v>1</v>
      </c>
    </row>
    <row r="71606" customFormat="false" ht="12.8" hidden="false" customHeight="false" outlineLevel="0" collapsed="false">
      <c r="B71606" s="0" t="s">
        <v>23288</v>
      </c>
    </row>
    <row r="71608" customFormat="false" ht="12.8" hidden="false" customHeight="false" outlineLevel="0" collapsed="false">
      <c r="A71608" s="0" t="s">
        <v>23289</v>
      </c>
      <c r="B71608" s="0" t="str">
        <f aca="false">HYPERLINK("https://lindat.mff.cuni.cz/services/teitok/pdtc10/index.php?action=vallex&amp;frame=v-w9918f8", "ztratit (v-w9918f8)")</f>
        <v>ztratit (v-w9918f8)</v>
      </c>
    </row>
    <row r="71609" customFormat="false" ht="12.8" hidden="false" customHeight="false" outlineLevel="0" collapsed="false">
      <c r="B71609" s="0" t="s">
        <v>843</v>
      </c>
    </row>
    <row r="71610" customFormat="false" ht="12.8" hidden="false" customHeight="false" outlineLevel="0" collapsed="false">
      <c r="B71610" s="0" t="s">
        <v>15661</v>
      </c>
    </row>
    <row r="71611" customFormat="false" ht="12.8" hidden="false" customHeight="false" outlineLevel="0" collapsed="false">
      <c r="B71611" s="0" t="s">
        <v>59</v>
      </c>
    </row>
    <row r="71613" customFormat="false" ht="12.8" hidden="false" customHeight="false" outlineLevel="0" collapsed="false">
      <c r="A71613" s="0" t="s">
        <v>23290</v>
      </c>
      <c r="B71613" s="0" t="str">
        <f aca="false">HYPERLINK("https://lindat.mff.cuni.cz/services/teitok/pdtc10/index.php?action=vallex&amp;frame=v-w9918f12_ZU", "ztratit (v-w9918f12_ZU)")</f>
        <v>ztratit (v-w9918f12_ZU)</v>
      </c>
    </row>
    <row r="71614" customFormat="false" ht="12.8" hidden="false" customHeight="false" outlineLevel="0" collapsed="false">
      <c r="B71614" s="0" t="s">
        <v>1</v>
      </c>
    </row>
    <row r="71615" customFormat="false" ht="12.8" hidden="false" customHeight="false" outlineLevel="0" collapsed="false">
      <c r="B71615" s="0" t="s">
        <v>8</v>
      </c>
    </row>
    <row r="71616" customFormat="false" ht="12.8" hidden="false" customHeight="false" outlineLevel="0" collapsed="false">
      <c r="B71616" s="0" t="s">
        <v>23291</v>
      </c>
    </row>
    <row r="71618" customFormat="false" ht="12.8" hidden="false" customHeight="false" outlineLevel="0" collapsed="false">
      <c r="A71618" s="0" t="s">
        <v>23290</v>
      </c>
      <c r="B71618" s="0" t="str">
        <f aca="false">HYPERLINK("https://lindat.mff.cuni.cz/services/teitok/pdtc10/index.php?action=vallex&amp;frame=v-w9918f5", "ztratit (v-w9918f5) - substituted with v-w9918f12_ZU")</f>
        <v>ztratit (v-w9918f5) - substituted with v-w9918f12_ZU</v>
      </c>
    </row>
    <row r="71619" customFormat="false" ht="12.8" hidden="false" customHeight="false" outlineLevel="0" collapsed="false">
      <c r="B71619" s="0" t="s">
        <v>1</v>
      </c>
    </row>
    <row r="71620" customFormat="false" ht="12.8" hidden="false" customHeight="false" outlineLevel="0" collapsed="false">
      <c r="B71620" s="0" t="s">
        <v>8</v>
      </c>
    </row>
    <row r="71621" customFormat="false" ht="12.8" hidden="false" customHeight="false" outlineLevel="0" collapsed="false">
      <c r="B71621" s="0" t="s">
        <v>23291</v>
      </c>
    </row>
    <row r="71623" customFormat="false" ht="12.8" hidden="false" customHeight="false" outlineLevel="0" collapsed="false">
      <c r="A71623" s="0" t="s">
        <v>23292</v>
      </c>
      <c r="B71623" s="0" t="str">
        <f aca="false">HYPERLINK("https://lindat.mff.cuni.cz/services/teitok/pdtc10/index.php?action=vallex&amp;frame=v-w9918f13_ZU", "ztratit (v-w9918f13_ZU)")</f>
        <v>ztratit (v-w9918f13_ZU)</v>
      </c>
    </row>
    <row r="71624" customFormat="false" ht="12.8" hidden="false" customHeight="false" outlineLevel="0" collapsed="false">
      <c r="B71624" s="0" t="s">
        <v>1</v>
      </c>
    </row>
    <row r="71625" customFormat="false" ht="12.8" hidden="false" customHeight="false" outlineLevel="0" collapsed="false">
      <c r="B71625" s="0" t="s">
        <v>8</v>
      </c>
    </row>
    <row r="71626" customFormat="false" ht="12.8" hidden="false" customHeight="false" outlineLevel="0" collapsed="false">
      <c r="B71626" s="0" t="s">
        <v>23293</v>
      </c>
    </row>
    <row r="71628" customFormat="false" ht="12.8" hidden="false" customHeight="false" outlineLevel="0" collapsed="false">
      <c r="A71628" s="0" t="s">
        <v>23292</v>
      </c>
      <c r="B71628" s="0" t="str">
        <f aca="false">HYPERLINK("https://lindat.mff.cuni.cz/services/teitok/pdtc10/index.php?action=vallex&amp;frame=v-w9918f7", "ztratit (v-w9918f7) - substituted with v-w9918f13_ZU")</f>
        <v>ztratit (v-w9918f7) - substituted with v-w9918f13_ZU</v>
      </c>
    </row>
    <row r="71629" customFormat="false" ht="12.8" hidden="false" customHeight="false" outlineLevel="0" collapsed="false">
      <c r="B71629" s="0" t="s">
        <v>1</v>
      </c>
    </row>
    <row r="71630" customFormat="false" ht="12.8" hidden="false" customHeight="false" outlineLevel="0" collapsed="false">
      <c r="B71630" s="0" t="s">
        <v>8</v>
      </c>
    </row>
    <row r="71631" customFormat="false" ht="12.8" hidden="false" customHeight="false" outlineLevel="0" collapsed="false">
      <c r="B71631" s="0" t="s">
        <v>23293</v>
      </c>
    </row>
    <row r="71633" customFormat="false" ht="12.8" hidden="false" customHeight="false" outlineLevel="0" collapsed="false">
      <c r="A71633" s="0" t="s">
        <v>23294</v>
      </c>
      <c r="B71633" s="0" t="str">
        <f aca="false">HYPERLINK("https://lindat.mff.cuni.cz/services/teitok/pdtc10/index.php?action=vallex&amp;frame=v-w9918f14_ZU", "ztratit (v-w9918f14_ZU)")</f>
        <v>ztratit (v-w9918f14_ZU)</v>
      </c>
    </row>
    <row r="71634" customFormat="false" ht="12.8" hidden="false" customHeight="false" outlineLevel="0" collapsed="false">
      <c r="B71634" s="0" t="s">
        <v>1</v>
      </c>
    </row>
    <row r="71635" customFormat="false" ht="12.8" hidden="false" customHeight="false" outlineLevel="0" collapsed="false">
      <c r="B71635" s="0" t="s">
        <v>8</v>
      </c>
    </row>
    <row r="71636" customFormat="false" ht="12.8" hidden="false" customHeight="false" outlineLevel="0" collapsed="false">
      <c r="B71636" s="0" t="s">
        <v>15658</v>
      </c>
    </row>
    <row r="71638" customFormat="false" ht="12.8" hidden="false" customHeight="false" outlineLevel="0" collapsed="false">
      <c r="A71638" s="0" t="s">
        <v>23294</v>
      </c>
      <c r="B71638" s="0" t="str">
        <f aca="false">HYPERLINK("https://lindat.mff.cuni.cz/services/teitok/pdtc10/index.php?action=vallex&amp;frame=v-w9918f6", "ztratit (v-w9918f6) - substituted with v-w9918f14_ZU")</f>
        <v>ztratit (v-w9918f6) - substituted with v-w9918f14_ZU</v>
      </c>
    </row>
    <row r="71639" customFormat="false" ht="12.8" hidden="false" customHeight="false" outlineLevel="0" collapsed="false">
      <c r="B71639" s="0" t="s">
        <v>1</v>
      </c>
    </row>
    <row r="71640" customFormat="false" ht="12.8" hidden="false" customHeight="false" outlineLevel="0" collapsed="false">
      <c r="B71640" s="0" t="s">
        <v>8</v>
      </c>
    </row>
    <row r="71641" customFormat="false" ht="12.8" hidden="false" customHeight="false" outlineLevel="0" collapsed="false">
      <c r="B71641" s="0" t="s">
        <v>15658</v>
      </c>
    </row>
    <row r="71643" customFormat="false" ht="12.8" hidden="false" customHeight="false" outlineLevel="0" collapsed="false">
      <c r="A71643" s="0" t="s">
        <v>23295</v>
      </c>
      <c r="B71643" s="0" t="str">
        <f aca="false">HYPERLINK("https://lindat.mff.cuni.cz/services/teitok/pdtc10/index.php?action=vallex&amp;frame=v-w9919f1", "ztratit se (v-w9919f1)")</f>
        <v>ztratit se (v-w9919f1)</v>
      </c>
    </row>
    <row r="71644" customFormat="false" ht="12.8" hidden="false" customHeight="false" outlineLevel="0" collapsed="false">
      <c r="B71644" s="0" t="s">
        <v>1</v>
      </c>
    </row>
    <row r="71646" customFormat="false" ht="12.8" hidden="false" customHeight="false" outlineLevel="0" collapsed="false">
      <c r="A71646" s="0" t="s">
        <v>23296</v>
      </c>
      <c r="B71646" s="0" t="str">
        <f aca="false">HYPERLINK("https://lindat.mff.cuni.cz/services/teitok/pdtc10/index.php?action=vallex&amp;frame=v-w9919f2", "ztratit se (v-w9919f2)")</f>
        <v>ztratit se (v-w9919f2)</v>
      </c>
    </row>
    <row r="71647" customFormat="false" ht="12.8" hidden="false" customHeight="false" outlineLevel="0" collapsed="false">
      <c r="B71647" s="0" t="s">
        <v>1</v>
      </c>
    </row>
    <row r="71648" customFormat="false" ht="12.8" hidden="false" customHeight="false" outlineLevel="0" collapsed="false">
      <c r="B71648" s="0" t="s">
        <v>23291</v>
      </c>
    </row>
    <row r="71650" customFormat="false" ht="12.8" hidden="false" customHeight="false" outlineLevel="0" collapsed="false">
      <c r="A71650" s="0" t="s">
        <v>23297</v>
      </c>
      <c r="B71650" s="0" t="str">
        <f aca="false">HYPERLINK("https://lindat.mff.cuni.cz/services/teitok/pdtc10/index.php?action=vallex&amp;frame=v-whsa_851hsa_852", "ztrhat (v-whsa_851hsa_852)")</f>
        <v>ztrhat (v-whsa_851hsa_852)</v>
      </c>
    </row>
    <row r="71651" customFormat="false" ht="12.8" hidden="false" customHeight="false" outlineLevel="0" collapsed="false">
      <c r="B71651" s="0" t="s">
        <v>1</v>
      </c>
    </row>
    <row r="71652" customFormat="false" ht="12.8" hidden="false" customHeight="false" outlineLevel="0" collapsed="false">
      <c r="B71652" s="0" t="s">
        <v>8</v>
      </c>
    </row>
    <row r="71654" customFormat="false" ht="12.8" hidden="false" customHeight="false" outlineLevel="0" collapsed="false">
      <c r="A71654" s="0" t="s">
        <v>23298</v>
      </c>
      <c r="B71654" s="0" t="str">
        <f aca="false">HYPERLINK("https://lindat.mff.cuni.cz/services/teitok/pdtc10/index.php?action=vallex&amp;frame=v-w9921f1", "ztrojnásobit (v-w9921f1)")</f>
        <v>ztrojnásobit (v-w9921f1)</v>
      </c>
      <c r="E71654" s="0" t="str">
        <f aca="false">HYPERLINK("https://lindat.mff.cuni.cz/services/SynSemClass40/SynSemClass40.html?veclass=vec00187#vec00187-ces-cm00005", "vec00187")</f>
        <v>vec00187</v>
      </c>
      <c r="F71654" s="0" t="s">
        <v>8246</v>
      </c>
    </row>
    <row r="71655" customFormat="false" ht="12.8" hidden="false" customHeight="false" outlineLevel="0" collapsed="false">
      <c r="B71655" s="0" t="s">
        <v>1</v>
      </c>
      <c r="C71655" s="0" t="s">
        <v>8247</v>
      </c>
      <c r="E71655" s="0" t="s">
        <v>31</v>
      </c>
      <c r="F71655" s="0" t="s">
        <v>8248</v>
      </c>
    </row>
    <row r="71656" customFormat="false" ht="12.8" hidden="false" customHeight="false" outlineLevel="0" collapsed="false">
      <c r="B71656" s="0" t="s">
        <v>8</v>
      </c>
      <c r="C71656" s="0" t="s">
        <v>8249</v>
      </c>
      <c r="E71656" s="0" t="s">
        <v>1569</v>
      </c>
      <c r="F71656" s="0" t="s">
        <v>8250</v>
      </c>
    </row>
    <row r="71657" customFormat="false" ht="12.8" hidden="false" customHeight="false" outlineLevel="0" collapsed="false">
      <c r="B71657" s="0" t="s">
        <v>36</v>
      </c>
      <c r="C71657" s="0" t="s">
        <v>22577</v>
      </c>
      <c r="E71657" s="0" t="s">
        <v>5152</v>
      </c>
      <c r="F71657" s="0" t="s">
        <v>22578</v>
      </c>
    </row>
    <row r="71658" customFormat="false" ht="12.8" hidden="false" customHeight="false" outlineLevel="0" collapsed="false">
      <c r="B71658" s="0" t="s">
        <v>101</v>
      </c>
      <c r="C71658" s="0" t="s">
        <v>22579</v>
      </c>
      <c r="E71658" s="0" t="s">
        <v>5796</v>
      </c>
      <c r="F71658" s="0" t="s">
        <v>22580</v>
      </c>
    </row>
    <row r="71660" customFormat="false" ht="12.8" hidden="false" customHeight="false" outlineLevel="0" collapsed="false">
      <c r="A71660" s="0" t="s">
        <v>23299</v>
      </c>
      <c r="B71660" s="0" t="str">
        <f aca="false">HYPERLINK("https://lindat.mff.cuni.cz/services/teitok/pdtc10/index.php?action=vallex&amp;frame=v-w9922f2_ZU", "ztrojnásobit se (v-w9922f2_ZU)")</f>
        <v>ztrojnásobit se (v-w9922f2_ZU)</v>
      </c>
      <c r="E71660" s="0" t="str">
        <f aca="false">HYPERLINK("https://lindat.mff.cuni.cz/services/SynSemClass40/SynSemClass40.html?veclass=vec00187#vec00187-ces-cm00006", "vec00187")</f>
        <v>vec00187</v>
      </c>
      <c r="F71660" s="0" t="s">
        <v>8246</v>
      </c>
    </row>
    <row r="71661" customFormat="false" ht="12.8" hidden="false" customHeight="false" outlineLevel="0" collapsed="false">
      <c r="B71661" s="0" t="s">
        <v>1</v>
      </c>
      <c r="C71661" s="0" t="s">
        <v>22582</v>
      </c>
      <c r="E71661" s="0" t="s">
        <v>22583</v>
      </c>
      <c r="F71661" s="0" t="s">
        <v>22584</v>
      </c>
    </row>
    <row r="71662" customFormat="false" ht="12.8" hidden="false" customHeight="false" outlineLevel="0" collapsed="false">
      <c r="B71662" s="0" t="s">
        <v>69</v>
      </c>
      <c r="C71662" s="0" t="s">
        <v>22585</v>
      </c>
      <c r="E71662" s="0" t="s">
        <v>5149</v>
      </c>
      <c r="F71662" s="0" t="s">
        <v>22586</v>
      </c>
    </row>
    <row r="71663" customFormat="false" ht="12.8" hidden="false" customHeight="false" outlineLevel="0" collapsed="false">
      <c r="B71663" s="0" t="s">
        <v>36</v>
      </c>
      <c r="C71663" s="0" t="s">
        <v>22577</v>
      </c>
      <c r="E71663" s="0" t="s">
        <v>5152</v>
      </c>
      <c r="F71663" s="0" t="s">
        <v>22578</v>
      </c>
    </row>
    <row r="71665" customFormat="false" ht="12.8" hidden="false" customHeight="false" outlineLevel="0" collapsed="false">
      <c r="A71665" s="0" t="s">
        <v>23299</v>
      </c>
      <c r="B71665" s="0" t="str">
        <f aca="false">HYPERLINK("https://lindat.mff.cuni.cz/services/teitok/pdtc10/index.php?action=vallex&amp;frame=v-w9922f1", "ztrojnásobit se (v-w9922f1) - substituted with v-w9922f2_ZU")</f>
        <v>ztrojnásobit se (v-w9922f1) - substituted with v-w9922f2_ZU</v>
      </c>
    </row>
    <row r="71666" customFormat="false" ht="12.8" hidden="false" customHeight="false" outlineLevel="0" collapsed="false">
      <c r="B71666" s="0" t="s">
        <v>1</v>
      </c>
    </row>
    <row r="71667" customFormat="false" ht="12.8" hidden="false" customHeight="false" outlineLevel="0" collapsed="false">
      <c r="B71667" s="0" t="s">
        <v>69</v>
      </c>
    </row>
    <row r="71668" customFormat="false" ht="12.8" hidden="false" customHeight="false" outlineLevel="0" collapsed="false">
      <c r="B71668" s="0" t="s">
        <v>36</v>
      </c>
    </row>
    <row r="71670" customFormat="false" ht="12.8" hidden="false" customHeight="false" outlineLevel="0" collapsed="false">
      <c r="A71670" s="0" t="s">
        <v>23300</v>
      </c>
      <c r="B71670" s="0" t="str">
        <f aca="false">HYPERLINK("https://lindat.mff.cuni.cz/services/teitok/pdtc10/index.php?action=vallex&amp;frame=v-w9924f1", "ztroskotat (v-w9924f1)")</f>
        <v>ztroskotat (v-w9924f1)</v>
      </c>
      <c r="E71670" s="0" t="str">
        <f aca="false">HYPERLINK("https://lindat.mff.cuni.cz/services/SynSemClass40/SynSemClass40.html?veclass=vec00599#vec00599-ces-cm00001", "vec00599")</f>
        <v>vec00599</v>
      </c>
      <c r="F71670" s="0" t="s">
        <v>4593</v>
      </c>
      <c r="H71670" s="0" t="str">
        <f aca="false">HYPERLINK("https://lindat.mff.cuni.cz/services/SynSemClass40/SynSemClass40.html?veclass=vec01272#vec01272-ces-cm00060", "vec01272")</f>
        <v>vec01272</v>
      </c>
      <c r="I71670" s="0" t="s">
        <v>10383</v>
      </c>
    </row>
    <row r="71671" customFormat="false" ht="12.8" hidden="false" customHeight="false" outlineLevel="0" collapsed="false">
      <c r="B71671" s="0" t="s">
        <v>1</v>
      </c>
      <c r="C71671" s="0" t="s">
        <v>10384</v>
      </c>
      <c r="E71671" s="0" t="s">
        <v>4595</v>
      </c>
      <c r="F71671" s="0" t="s">
        <v>4596</v>
      </c>
      <c r="H71671" s="0" t="s">
        <v>957</v>
      </c>
      <c r="I71671" s="0" t="s">
        <v>10385</v>
      </c>
    </row>
    <row r="71673" customFormat="false" ht="12.8" hidden="false" customHeight="false" outlineLevel="0" collapsed="false">
      <c r="A71673" s="0" t="s">
        <v>23301</v>
      </c>
      <c r="B71673" s="0" t="str">
        <f aca="false">HYPERLINK("https://lindat.mff.cuni.cz/services/teitok/pdtc10/index.php?action=vallex&amp;frame=v-w9924f2", "ztroskotat (v-w9924f2)")</f>
        <v>ztroskotat (v-w9924f2)</v>
      </c>
    </row>
    <row r="71674" customFormat="false" ht="12.8" hidden="false" customHeight="false" outlineLevel="0" collapsed="false">
      <c r="B71674" s="0" t="s">
        <v>1</v>
      </c>
    </row>
    <row r="71676" customFormat="false" ht="12.8" hidden="false" customHeight="false" outlineLevel="0" collapsed="false">
      <c r="A71676" s="0" t="s">
        <v>23302</v>
      </c>
      <c r="B71676" s="0" t="str">
        <f aca="false">HYPERLINK("https://lindat.mff.cuni.cz/services/teitok/pdtc10/index.php?action=vallex&amp;frame=v-w10632f2", "ztroskotávat (v-w10632f2)")</f>
        <v>ztroskotávat (v-w10632f2)</v>
      </c>
      <c r="E71676" s="0" t="str">
        <f aca="false">HYPERLINK("https://lindat.mff.cuni.cz/services/SynSemClass40/SynSemClass40.html?veclass=vec00599#vec00599-ces-cm00038", "vec00599")</f>
        <v>vec00599</v>
      </c>
      <c r="F71676" s="0" t="s">
        <v>4593</v>
      </c>
    </row>
    <row r="71677" customFormat="false" ht="12.8" hidden="false" customHeight="false" outlineLevel="0" collapsed="false">
      <c r="B71677" s="0" t="s">
        <v>1</v>
      </c>
      <c r="C71677" s="0" t="s">
        <v>4594</v>
      </c>
      <c r="E71677" s="0" t="s">
        <v>4595</v>
      </c>
      <c r="F71677" s="0" t="s">
        <v>4596</v>
      </c>
    </row>
    <row r="71679" customFormat="false" ht="12.8" hidden="false" customHeight="false" outlineLevel="0" collapsed="false">
      <c r="A71679" s="0" t="s">
        <v>23303</v>
      </c>
      <c r="B71679" s="0" t="str">
        <f aca="false">HYPERLINK("https://lindat.mff.cuni.cz/services/teitok/pdtc10/index.php?action=vallex&amp;frame=v-whsa_274hsa_275", "ztrpknout (v-whsa_274hsa_275)")</f>
        <v>ztrpknout (v-whsa_274hsa_275)</v>
      </c>
    </row>
    <row r="71680" customFormat="false" ht="12.8" hidden="false" customHeight="false" outlineLevel="0" collapsed="false">
      <c r="B71680" s="0" t="s">
        <v>1</v>
      </c>
    </row>
    <row r="71682" customFormat="false" ht="12.8" hidden="false" customHeight="false" outlineLevel="0" collapsed="false">
      <c r="A71682" s="0" t="s">
        <v>23304</v>
      </c>
      <c r="B71682" s="0" t="str">
        <f aca="false">HYPERLINK("https://lindat.mff.cuni.cz/services/teitok/pdtc10/index.php?action=vallex&amp;frame=v-w9925f1", "ztrpčovat (v-w9925f1)")</f>
        <v>ztrpčovat (v-w9925f1)</v>
      </c>
    </row>
    <row r="71683" customFormat="false" ht="12.8" hidden="false" customHeight="false" outlineLevel="0" collapsed="false">
      <c r="B71683" s="0" t="s">
        <v>1</v>
      </c>
    </row>
    <row r="71684" customFormat="false" ht="12.8" hidden="false" customHeight="false" outlineLevel="0" collapsed="false">
      <c r="B71684" s="0" t="s">
        <v>8</v>
      </c>
    </row>
    <row r="71686" customFormat="false" ht="12.8" hidden="false" customHeight="false" outlineLevel="0" collapsed="false">
      <c r="A71686" s="0" t="s">
        <v>23305</v>
      </c>
      <c r="B71686" s="0" t="str">
        <f aca="false">HYPERLINK("https://lindat.mff.cuni.cz/services/teitok/pdtc10/index.php?action=vallex&amp;frame=v-w9914f4", "ztrácet (v-w9914f4)")</f>
        <v>ztrácet (v-w9914f4)</v>
      </c>
      <c r="E71686" s="0" t="str">
        <f aca="false">HYPERLINK("https://lindat.mff.cuni.cz/services/SynSemClass40/SynSemClass40.html?veclass=vec01193#vec01193-ces-cm00027", "vec01193")</f>
        <v>vec01193</v>
      </c>
      <c r="F71686" s="0" t="s">
        <v>12265</v>
      </c>
    </row>
    <row r="71687" customFormat="false" ht="12.8" hidden="false" customHeight="false" outlineLevel="0" collapsed="false">
      <c r="B71687" s="0" t="s">
        <v>1</v>
      </c>
      <c r="C71687" s="0" t="s">
        <v>447</v>
      </c>
      <c r="E71687" s="0" t="s">
        <v>10404</v>
      </c>
      <c r="F71687" s="0" t="s">
        <v>12266</v>
      </c>
    </row>
    <row r="71688" customFormat="false" ht="12.8" hidden="false" customHeight="false" outlineLevel="0" collapsed="false">
      <c r="B71688" s="0" t="s">
        <v>8</v>
      </c>
      <c r="C71688" s="0" t="s">
        <v>2082</v>
      </c>
      <c r="E71688" s="0" t="s">
        <v>2732</v>
      </c>
      <c r="F71688" s="0" t="s">
        <v>12267</v>
      </c>
    </row>
    <row r="71689" customFormat="false" ht="12.8" hidden="false" customHeight="false" outlineLevel="0" collapsed="false">
      <c r="B71689" s="0" t="s">
        <v>773</v>
      </c>
      <c r="E71689" s="0" t="s">
        <v>12268</v>
      </c>
      <c r="F71689" s="0" t="s">
        <v>12269</v>
      </c>
    </row>
    <row r="71691" customFormat="false" ht="12.8" hidden="false" customHeight="false" outlineLevel="0" collapsed="false">
      <c r="A71691" s="0" t="s">
        <v>23306</v>
      </c>
      <c r="B71691" s="0" t="str">
        <f aca="false">HYPERLINK("https://lindat.mff.cuni.cz/services/teitok/pdtc10/index.php?action=vallex&amp;frame=v-w9914f1", "ztrácet (v-w9914f1)")</f>
        <v>ztrácet (v-w9914f1)</v>
      </c>
      <c r="E71691" s="0" t="str">
        <f aca="false">HYPERLINK("https://lindat.mff.cuni.cz/services/SynSemClass40/SynSemClass40.html?veclass=vec00393#vec00393-ces-cm00010", "vec00393")</f>
        <v>vec00393</v>
      </c>
      <c r="F71691" s="0" t="s">
        <v>13969</v>
      </c>
    </row>
    <row r="71692" customFormat="false" ht="12.8" hidden="false" customHeight="false" outlineLevel="0" collapsed="false">
      <c r="B71692" s="0" t="s">
        <v>1</v>
      </c>
      <c r="C71692" s="0" t="s">
        <v>13970</v>
      </c>
      <c r="E71692" s="0" t="s">
        <v>10404</v>
      </c>
      <c r="F71692" s="0" t="s">
        <v>13971</v>
      </c>
    </row>
    <row r="71693" customFormat="false" ht="12.8" hidden="false" customHeight="false" outlineLevel="0" collapsed="false">
      <c r="B71693" s="0" t="s">
        <v>7041</v>
      </c>
      <c r="C71693" s="0" t="s">
        <v>13972</v>
      </c>
      <c r="E71693" s="0" t="s">
        <v>13973</v>
      </c>
      <c r="F71693" s="0" t="s">
        <v>13974</v>
      </c>
    </row>
    <row r="71695" customFormat="false" ht="12.8" hidden="false" customHeight="false" outlineLevel="0" collapsed="false">
      <c r="A71695" s="0" t="s">
        <v>23307</v>
      </c>
      <c r="B71695" s="0" t="str">
        <f aca="false">HYPERLINK("https://lindat.mff.cuni.cz/services/teitok/pdtc10/index.php?action=vallex&amp;frame=v-w9914f2", "ztrácet (v-w9914f2)")</f>
        <v>ztrácet (v-w9914f2)</v>
      </c>
      <c r="E71695" s="0" t="str">
        <f aca="false">HYPERLINK("https://lindat.mff.cuni.cz/services/SynSemClass40/SynSemClass40.html?veclass=vec00393#vec00393-ces-cm00011", "vec00393")</f>
        <v>vec00393</v>
      </c>
      <c r="F71695" s="0" t="s">
        <v>13969</v>
      </c>
    </row>
    <row r="71696" customFormat="false" ht="12.8" hidden="false" customHeight="false" outlineLevel="0" collapsed="false">
      <c r="B71696" s="0" t="s">
        <v>1</v>
      </c>
      <c r="C71696" s="0" t="s">
        <v>13970</v>
      </c>
      <c r="E71696" s="0" t="s">
        <v>10404</v>
      </c>
      <c r="F71696" s="0" t="s">
        <v>13971</v>
      </c>
    </row>
    <row r="71697" customFormat="false" ht="12.8" hidden="false" customHeight="false" outlineLevel="0" collapsed="false">
      <c r="B71697" s="0" t="s">
        <v>8</v>
      </c>
      <c r="C71697" s="0" t="s">
        <v>13972</v>
      </c>
      <c r="E71697" s="0" t="s">
        <v>13973</v>
      </c>
      <c r="F71697" s="0" t="s">
        <v>13974</v>
      </c>
    </row>
    <row r="71699" customFormat="false" ht="12.8" hidden="false" customHeight="false" outlineLevel="0" collapsed="false">
      <c r="A71699" s="0" t="s">
        <v>23308</v>
      </c>
      <c r="B71699" s="0" t="str">
        <f aca="false">HYPERLINK("https://lindat.mff.cuni.cz/services/teitok/pdtc10/index.php?action=vallex&amp;frame=v-w9914f8", "ztrácet (v-w9914f8)")</f>
        <v>ztrácet (v-w9914f8)</v>
      </c>
      <c r="E71699" s="0" t="str">
        <f aca="false">HYPERLINK("https://lindat.mff.cuni.cz/services/SynSemClass40/SynSemClass40.html?veclass=vec00275#vec00275-ces-cm00030", "vec00275")</f>
        <v>vec00275</v>
      </c>
      <c r="F71699" s="0" t="s">
        <v>12352</v>
      </c>
    </row>
    <row r="71700" customFormat="false" ht="12.8" hidden="false" customHeight="false" outlineLevel="0" collapsed="false">
      <c r="B71700" s="0" t="s">
        <v>1</v>
      </c>
      <c r="C71700" s="0" t="s">
        <v>3091</v>
      </c>
      <c r="E71700" s="0" t="s">
        <v>10404</v>
      </c>
      <c r="F71700" s="0" t="s">
        <v>12353</v>
      </c>
    </row>
    <row r="71701" customFormat="false" ht="12.8" hidden="false" customHeight="false" outlineLevel="0" collapsed="false">
      <c r="B71701" s="0" t="s">
        <v>8</v>
      </c>
      <c r="C71701" s="0" t="s">
        <v>12354</v>
      </c>
      <c r="E71701" s="0" t="s">
        <v>432</v>
      </c>
      <c r="F71701" s="0" t="s">
        <v>12355</v>
      </c>
    </row>
    <row r="71703" customFormat="false" ht="12.8" hidden="false" customHeight="false" outlineLevel="0" collapsed="false">
      <c r="A71703" s="0" t="s">
        <v>23309</v>
      </c>
      <c r="B71703" s="0" t="str">
        <f aca="false">HYPERLINK("https://lindat.mff.cuni.cz/services/teitok/pdtc10/index.php?action=vallex&amp;frame=v-w9914f7", "ztrácet (v-w9914f7)")</f>
        <v>ztrácet (v-w9914f7)</v>
      </c>
      <c r="E71703" s="0" t="str">
        <f aca="false">HYPERLINK("https://lindat.mff.cuni.cz/services/SynSemClass40/SynSemClass40.html?veclass=vec00393#vec00393-ces-cm00050", "vec00393")</f>
        <v>vec00393</v>
      </c>
      <c r="F71703" s="0" t="s">
        <v>13969</v>
      </c>
    </row>
    <row r="71704" customFormat="false" ht="12.8" hidden="false" customHeight="false" outlineLevel="0" collapsed="false">
      <c r="B71704" s="0" t="s">
        <v>1</v>
      </c>
      <c r="C71704" s="0" t="s">
        <v>13970</v>
      </c>
      <c r="E71704" s="0" t="s">
        <v>10404</v>
      </c>
      <c r="F71704" s="0" t="s">
        <v>13971</v>
      </c>
    </row>
    <row r="71705" customFormat="false" ht="12.8" hidden="false" customHeight="false" outlineLevel="0" collapsed="false">
      <c r="B71705" s="0" t="s">
        <v>8</v>
      </c>
      <c r="C71705" s="0" t="s">
        <v>13972</v>
      </c>
      <c r="E71705" s="0" t="s">
        <v>13973</v>
      </c>
      <c r="F71705" s="0" t="s">
        <v>13974</v>
      </c>
    </row>
    <row r="71707" customFormat="false" ht="12.8" hidden="false" customHeight="false" outlineLevel="0" collapsed="false">
      <c r="A71707" s="0" t="s">
        <v>23310</v>
      </c>
      <c r="B71707" s="0" t="str">
        <f aca="false">HYPERLINK("https://lindat.mff.cuni.cz/services/teitok/pdtc10/index.php?action=vallex&amp;frame=v-w9914f11_ZU", "ztrácet (v-w9914f11_ZU)")</f>
        <v>ztrácet (v-w9914f11_ZU)</v>
      </c>
      <c r="E71707" s="0" t="str">
        <f aca="false">HYPERLINK("https://lindat.mff.cuni.cz/services/SynSemClass40/SynSemClass40.html?veclass=vec00393#vec00393-ces-cm00013", "vec00393")</f>
        <v>vec00393</v>
      </c>
      <c r="F71707" s="0" t="s">
        <v>13969</v>
      </c>
    </row>
    <row r="71708" customFormat="false" ht="12.8" hidden="false" customHeight="false" outlineLevel="0" collapsed="false">
      <c r="B71708" s="0" t="s">
        <v>1</v>
      </c>
      <c r="C71708" s="0" t="s">
        <v>13970</v>
      </c>
      <c r="E71708" s="0" t="s">
        <v>10404</v>
      </c>
      <c r="F71708" s="0" t="s">
        <v>13971</v>
      </c>
    </row>
    <row r="71709" customFormat="false" ht="12.8" hidden="false" customHeight="false" outlineLevel="0" collapsed="false">
      <c r="B71709" s="0" t="s">
        <v>23311</v>
      </c>
      <c r="C71709" s="0" t="s">
        <v>23312</v>
      </c>
      <c r="E71709" s="0" t="s">
        <v>23313</v>
      </c>
      <c r="F71709" s="0" t="s">
        <v>23314</v>
      </c>
    </row>
    <row r="71711" customFormat="false" ht="12.8" hidden="false" customHeight="false" outlineLevel="0" collapsed="false">
      <c r="A71711" s="0" t="s">
        <v>23310</v>
      </c>
      <c r="B71711" s="0" t="str">
        <f aca="false">HYPERLINK("https://lindat.mff.cuni.cz/services/teitok/pdtc10/index.php?action=vallex&amp;frame=v-w9914f3", "ztrácet (v-w9914f3) - substituted with v-w9914f11_ZU")</f>
        <v>ztrácet (v-w9914f3) - substituted with v-w9914f11_ZU</v>
      </c>
    </row>
    <row r="71712" customFormat="false" ht="12.8" hidden="false" customHeight="false" outlineLevel="0" collapsed="false">
      <c r="B71712" s="0" t="s">
        <v>1</v>
      </c>
    </row>
    <row r="71713" customFormat="false" ht="12.8" hidden="false" customHeight="false" outlineLevel="0" collapsed="false">
      <c r="B71713" s="0" t="s">
        <v>23311</v>
      </c>
    </row>
    <row r="71715" customFormat="false" ht="12.8" hidden="false" customHeight="false" outlineLevel="0" collapsed="false">
      <c r="A71715" s="0" t="s">
        <v>23310</v>
      </c>
      <c r="B71715" s="0" t="str">
        <f aca="false">HYPERLINK("https://lindat.mff.cuni.cz/services/teitok/pdtc10/index.php?action=vallex&amp;frame=v-w9914hsa_822", "ztrácet (v-w9914hsa_822) - substituted with v-w9914f11_ZU")</f>
        <v>ztrácet (v-w9914hsa_822) - substituted with v-w9914f11_ZU</v>
      </c>
    </row>
    <row r="71716" customFormat="false" ht="12.8" hidden="false" customHeight="false" outlineLevel="0" collapsed="false">
      <c r="B71716" s="0" t="s">
        <v>1</v>
      </c>
    </row>
    <row r="71717" customFormat="false" ht="12.8" hidden="false" customHeight="false" outlineLevel="0" collapsed="false">
      <c r="B71717" s="0" t="s">
        <v>23311</v>
      </c>
    </row>
    <row r="71719" customFormat="false" ht="12.8" hidden="false" customHeight="false" outlineLevel="0" collapsed="false">
      <c r="A71719" s="0" t="s">
        <v>23315</v>
      </c>
      <c r="B71719" s="0" t="str">
        <f aca="false">HYPERLINK("https://lindat.mff.cuni.cz/services/teitok/pdtc10/index.php?action=vallex&amp;frame=v-w9914f6", "ztrácet (v-w9914f6)")</f>
        <v>ztrácet (v-w9914f6)</v>
      </c>
    </row>
    <row r="71720" customFormat="false" ht="12.8" hidden="false" customHeight="false" outlineLevel="0" collapsed="false">
      <c r="B71720" s="0" t="s">
        <v>843</v>
      </c>
    </row>
    <row r="71721" customFormat="false" ht="12.8" hidden="false" customHeight="false" outlineLevel="0" collapsed="false">
      <c r="B71721" s="0" t="s">
        <v>15661</v>
      </c>
    </row>
    <row r="71722" customFormat="false" ht="12.8" hidden="false" customHeight="false" outlineLevel="0" collapsed="false">
      <c r="B71722" s="0" t="s">
        <v>59</v>
      </c>
    </row>
    <row r="71724" customFormat="false" ht="12.8" hidden="false" customHeight="false" outlineLevel="0" collapsed="false">
      <c r="A71724" s="0" t="s">
        <v>23316</v>
      </c>
      <c r="B71724" s="0" t="str">
        <f aca="false">HYPERLINK("https://lindat.mff.cuni.cz/services/teitok/pdtc10/index.php?action=vallex&amp;frame=v-w9914f5", "ztrácet (v-w9914f5)")</f>
        <v>ztrácet (v-w9914f5)</v>
      </c>
    </row>
    <row r="71725" customFormat="false" ht="12.8" hidden="false" customHeight="false" outlineLevel="0" collapsed="false">
      <c r="B71725" s="0" t="s">
        <v>1</v>
      </c>
    </row>
    <row r="71726" customFormat="false" ht="12.8" hidden="false" customHeight="false" outlineLevel="0" collapsed="false">
      <c r="B71726" s="0" t="s">
        <v>23291</v>
      </c>
    </row>
    <row r="71727" customFormat="false" ht="12.8" hidden="false" customHeight="false" outlineLevel="0" collapsed="false">
      <c r="B71727" s="0" t="s">
        <v>8</v>
      </c>
    </row>
    <row r="71729" customFormat="false" ht="12.8" hidden="false" customHeight="false" outlineLevel="0" collapsed="false">
      <c r="A71729" s="0" t="s">
        <v>23317</v>
      </c>
      <c r="B71729" s="0" t="str">
        <f aca="false">HYPERLINK("https://lindat.mff.cuni.cz/services/teitok/pdtc10/index.php?action=vallex&amp;frame=v-w9914f9_ZU", "ztrácet (v-w9914f9_ZU)")</f>
        <v>ztrácet (v-w9914f9_ZU)</v>
      </c>
      <c r="E71729" s="0" t="str">
        <f aca="false">HYPERLINK("https://lindat.mff.cuni.cz/services/SynSemClass40/SynSemClass40.html?veclass=vec01387#vec01387-ces-cm00002", "vec01387")</f>
        <v>vec01387</v>
      </c>
      <c r="F71729" s="0" t="s">
        <v>539</v>
      </c>
    </row>
    <row r="71730" customFormat="false" ht="12.8" hidden="false" customHeight="false" outlineLevel="0" collapsed="false">
      <c r="B71730" s="0" t="s">
        <v>1</v>
      </c>
      <c r="E71730" s="0" t="s">
        <v>155</v>
      </c>
      <c r="F71730" s="0" t="s">
        <v>540</v>
      </c>
    </row>
    <row r="71731" customFormat="false" ht="12.8" hidden="false" customHeight="false" outlineLevel="0" collapsed="false">
      <c r="B71731" s="0" t="s">
        <v>11601</v>
      </c>
    </row>
    <row r="71733" customFormat="false" ht="12.8" hidden="false" customHeight="false" outlineLevel="0" collapsed="false">
      <c r="A71733" s="0" t="s">
        <v>23317</v>
      </c>
      <c r="B71733" s="0" t="str">
        <f aca="false">HYPERLINK("https://lindat.mff.cuni.cz/services/teitok/pdtc10/index.php?action=vallex&amp;frame=v-w9914hsa_823", "ztrácet (v-w9914hsa_823) - substituted with v-w9914f9_ZU")</f>
        <v>ztrácet (v-w9914hsa_823) - substituted with v-w9914f9_ZU</v>
      </c>
    </row>
    <row r="71734" customFormat="false" ht="12.8" hidden="false" customHeight="false" outlineLevel="0" collapsed="false">
      <c r="B71734" s="0" t="s">
        <v>1</v>
      </c>
    </row>
    <row r="71735" customFormat="false" ht="12.8" hidden="false" customHeight="false" outlineLevel="0" collapsed="false">
      <c r="B71735" s="0" t="s">
        <v>11601</v>
      </c>
    </row>
    <row r="71737" customFormat="false" ht="12.8" hidden="false" customHeight="false" outlineLevel="0" collapsed="false">
      <c r="A71737" s="0" t="s">
        <v>23318</v>
      </c>
      <c r="B71737" s="0" t="str">
        <f aca="false">HYPERLINK("https://lindat.mff.cuni.cz/services/teitok/pdtc10/index.php?action=vallex&amp;frame=v-w9914f10_ZU", "ztrácet (v-w9914f10_ZU)")</f>
        <v>ztrácet (v-w9914f10_ZU)</v>
      </c>
    </row>
    <row r="71738" customFormat="false" ht="12.8" hidden="false" customHeight="false" outlineLevel="0" collapsed="false">
      <c r="B71738" s="0" t="s">
        <v>1</v>
      </c>
    </row>
    <row r="71739" customFormat="false" ht="12.8" hidden="false" customHeight="false" outlineLevel="0" collapsed="false">
      <c r="B71739" s="0" t="s">
        <v>23319</v>
      </c>
    </row>
    <row r="71741" customFormat="false" ht="12.8" hidden="false" customHeight="false" outlineLevel="0" collapsed="false">
      <c r="A71741" s="0" t="s">
        <v>23318</v>
      </c>
      <c r="B71741" s="0" t="str">
        <f aca="false">HYPERLINK("https://lindat.mff.cuni.cz/services/teitok/pdtc10/index.php?action=vallex&amp;frame=v-w9914hsa_824", "ztrácet (v-w9914hsa_824) - substituted with v-w9914f10_ZU")</f>
        <v>ztrácet (v-w9914hsa_824) - substituted with v-w9914f10_ZU</v>
      </c>
    </row>
    <row r="71742" customFormat="false" ht="12.8" hidden="false" customHeight="false" outlineLevel="0" collapsed="false">
      <c r="B71742" s="0" t="s">
        <v>1</v>
      </c>
    </row>
    <row r="71743" customFormat="false" ht="12.8" hidden="false" customHeight="false" outlineLevel="0" collapsed="false">
      <c r="B71743" s="0" t="s">
        <v>23319</v>
      </c>
    </row>
    <row r="71745" customFormat="false" ht="12.8" hidden="false" customHeight="false" outlineLevel="0" collapsed="false">
      <c r="A71745" s="0" t="s">
        <v>23320</v>
      </c>
      <c r="B71745" s="0" t="str">
        <f aca="false">HYPERLINK("https://lindat.mff.cuni.cz/services/teitok/pdtc10/index.php?action=vallex&amp;frame=v-w9915f1", "ztrácet se (v-w9915f1)")</f>
        <v>ztrácet se (v-w9915f1)</v>
      </c>
    </row>
    <row r="71746" customFormat="false" ht="12.8" hidden="false" customHeight="false" outlineLevel="0" collapsed="false">
      <c r="B71746" s="0" t="s">
        <v>1</v>
      </c>
    </row>
    <row r="71748" customFormat="false" ht="12.8" hidden="false" customHeight="false" outlineLevel="0" collapsed="false">
      <c r="A71748" s="0" t="s">
        <v>23321</v>
      </c>
      <c r="B71748" s="0" t="str">
        <f aca="false">HYPERLINK("https://lindat.mff.cuni.cz/services/teitok/pdtc10/index.php?action=vallex&amp;frame=v-w9926f1", "ztuhnout (v-w9926f1)")</f>
        <v>ztuhnout (v-w9926f1)</v>
      </c>
    </row>
    <row r="71749" customFormat="false" ht="12.8" hidden="false" customHeight="false" outlineLevel="0" collapsed="false">
      <c r="B71749" s="0" t="s">
        <v>1</v>
      </c>
    </row>
    <row r="71751" customFormat="false" ht="12.8" hidden="false" customHeight="false" outlineLevel="0" collapsed="false">
      <c r="A71751" s="0" t="s">
        <v>23322</v>
      </c>
      <c r="B71751" s="0" t="str">
        <f aca="false">HYPERLINK("https://lindat.mff.cuni.cz/services/teitok/pdtc10/index.php?action=vallex&amp;frame=v-w9926f2", "ztuhnout (v-w9926f2)")</f>
        <v>ztuhnout (v-w9926f2)</v>
      </c>
    </row>
    <row r="71752" customFormat="false" ht="12.8" hidden="false" customHeight="false" outlineLevel="0" collapsed="false">
      <c r="B71752" s="0" t="s">
        <v>1</v>
      </c>
    </row>
    <row r="71754" customFormat="false" ht="12.8" hidden="false" customHeight="false" outlineLevel="0" collapsed="false">
      <c r="A71754" s="0" t="s">
        <v>23323</v>
      </c>
      <c r="B71754" s="0" t="str">
        <f aca="false">HYPERLINK("https://lindat.mff.cuni.cz/services/teitok/pdtc10/index.php?action=vallex&amp;frame=v-w11408f1", "ztupit (v-w11408f1)")</f>
        <v>ztupit (v-w11408f1)</v>
      </c>
    </row>
    <row r="71755" customFormat="false" ht="12.8" hidden="false" customHeight="false" outlineLevel="0" collapsed="false">
      <c r="B71755" s="0" t="s">
        <v>1</v>
      </c>
    </row>
    <row r="71756" customFormat="false" ht="12.8" hidden="false" customHeight="false" outlineLevel="0" collapsed="false">
      <c r="B71756" s="0" t="s">
        <v>8</v>
      </c>
    </row>
    <row r="71758" customFormat="false" ht="12.8" hidden="false" customHeight="false" outlineLevel="0" collapsed="false">
      <c r="A71758" s="0" t="s">
        <v>23324</v>
      </c>
      <c r="B71758" s="0" t="str">
        <f aca="false">HYPERLINK("https://lindat.mff.cuni.cz/services/teitok/pdtc10/index.php?action=vallex&amp;frame=v-w9929f1", "ztvrdit (v-w9929f1)")</f>
        <v>ztvrdit (v-w9929f1)</v>
      </c>
    </row>
    <row r="71759" customFormat="false" ht="12.8" hidden="false" customHeight="false" outlineLevel="0" collapsed="false">
      <c r="B71759" s="0" t="s">
        <v>1</v>
      </c>
    </row>
    <row r="71760" customFormat="false" ht="12.8" hidden="false" customHeight="false" outlineLevel="0" collapsed="false">
      <c r="B71760" s="0" t="s">
        <v>8</v>
      </c>
    </row>
    <row r="71762" customFormat="false" ht="12.8" hidden="false" customHeight="false" outlineLevel="0" collapsed="false">
      <c r="A71762" s="0" t="s">
        <v>23325</v>
      </c>
      <c r="B71762" s="0" t="str">
        <f aca="false">HYPERLINK("https://lindat.mff.cuni.cz/services/teitok/pdtc10/index.php?action=vallex&amp;frame=v-w9928f1", "ztvárnit (v-w9928f1)")</f>
        <v>ztvárnit (v-w9928f1)</v>
      </c>
    </row>
    <row r="71763" customFormat="false" ht="12.8" hidden="false" customHeight="false" outlineLevel="0" collapsed="false">
      <c r="B71763" s="0" t="s">
        <v>1</v>
      </c>
    </row>
    <row r="71764" customFormat="false" ht="12.8" hidden="false" customHeight="false" outlineLevel="0" collapsed="false">
      <c r="B71764" s="0" t="s">
        <v>8</v>
      </c>
    </row>
    <row r="71766" customFormat="false" ht="12.8" hidden="false" customHeight="false" outlineLevel="0" collapsed="false">
      <c r="A71766" s="0" t="s">
        <v>23326</v>
      </c>
      <c r="B71766" s="0" t="str">
        <f aca="false">HYPERLINK("https://lindat.mff.cuni.cz/services/teitok/pdtc10/index.php?action=vallex&amp;frame=v-whsa_296hsa_297", "ztvárňovat (v-whsa_296hsa_297)")</f>
        <v>ztvárňovat (v-whsa_296hsa_297)</v>
      </c>
    </row>
    <row r="71767" customFormat="false" ht="12.8" hidden="false" customHeight="false" outlineLevel="0" collapsed="false">
      <c r="B71767" s="0" t="s">
        <v>1</v>
      </c>
    </row>
    <row r="71768" customFormat="false" ht="12.8" hidden="false" customHeight="false" outlineLevel="0" collapsed="false">
      <c r="B71768" s="0" t="s">
        <v>8</v>
      </c>
    </row>
    <row r="71770" customFormat="false" ht="12.8" hidden="false" customHeight="false" outlineLevel="0" collapsed="false">
      <c r="A71770" s="0" t="s">
        <v>23327</v>
      </c>
      <c r="B71770" s="0" t="str">
        <f aca="false">HYPERLINK("https://lindat.mff.cuni.cz/services/teitok/pdtc10/index.php?action=vallex&amp;frame=v-w9906f1", "ztížit (v-w9906f1)")</f>
        <v>ztížit (v-w9906f1)</v>
      </c>
      <c r="E71770" s="0" t="str">
        <f aca="false">HYPERLINK("https://lindat.mff.cuni.cz/services/SynSemClass40/SynSemClass40.html?veclass=vec00785#vec00785-ces-cm00115", "vec00785")</f>
        <v>vec00785</v>
      </c>
      <c r="F71770" s="0" t="s">
        <v>5463</v>
      </c>
    </row>
    <row r="71771" customFormat="false" ht="12.8" hidden="false" customHeight="false" outlineLevel="0" collapsed="false">
      <c r="B71771" s="0" t="s">
        <v>1</v>
      </c>
      <c r="C71771" s="0" t="s">
        <v>12308</v>
      </c>
      <c r="E71771" s="0" t="s">
        <v>76</v>
      </c>
      <c r="F71771" s="0" t="s">
        <v>5466</v>
      </c>
    </row>
    <row r="71772" customFormat="false" ht="12.8" hidden="false" customHeight="false" outlineLevel="0" collapsed="false">
      <c r="B71772" s="0" t="s">
        <v>8</v>
      </c>
      <c r="C71772" s="0" t="s">
        <v>12309</v>
      </c>
      <c r="E71772" s="0" t="s">
        <v>142</v>
      </c>
      <c r="F71772" s="0" t="s">
        <v>5469</v>
      </c>
    </row>
    <row r="71774" customFormat="false" ht="12.8" hidden="false" customHeight="false" outlineLevel="0" collapsed="false">
      <c r="A71774" s="0" t="s">
        <v>23328</v>
      </c>
      <c r="B71774" s="0" t="str">
        <f aca="false">HYPERLINK("https://lindat.mff.cuni.cz/services/teitok/pdtc10/index.php?action=vallex&amp;frame=v-w9900f1", "ztělesnit (v-w9900f1)")</f>
        <v>ztělesnit (v-w9900f1)</v>
      </c>
      <c r="E71774" s="0" t="str">
        <f aca="false">HYPERLINK("https://lindat.mff.cuni.cz/services/SynSemClass40/SynSemClass40.html?veclass=vec00796#vec00796-ces-cm00003", "vec00796")</f>
        <v>vec00796</v>
      </c>
      <c r="F71774" s="0" t="s">
        <v>23329</v>
      </c>
    </row>
    <row r="71775" customFormat="false" ht="12.8" hidden="false" customHeight="false" outlineLevel="0" collapsed="false">
      <c r="B71775" s="0" t="s">
        <v>1</v>
      </c>
      <c r="C71775" s="0" t="s">
        <v>21561</v>
      </c>
      <c r="E71775" s="0" t="s">
        <v>10735</v>
      </c>
      <c r="F71775" s="0" t="s">
        <v>23330</v>
      </c>
    </row>
    <row r="71776" customFormat="false" ht="12.8" hidden="false" customHeight="false" outlineLevel="0" collapsed="false">
      <c r="B71776" s="0" t="s">
        <v>8</v>
      </c>
      <c r="C71776" s="0" t="s">
        <v>531</v>
      </c>
      <c r="E71776" s="0" t="s">
        <v>10738</v>
      </c>
      <c r="F71776" s="0" t="s">
        <v>23331</v>
      </c>
    </row>
    <row r="71778" customFormat="false" ht="12.8" hidden="false" customHeight="false" outlineLevel="0" collapsed="false">
      <c r="A71778" s="0" t="s">
        <v>23332</v>
      </c>
      <c r="B71778" s="0" t="str">
        <f aca="false">HYPERLINK("https://lindat.mff.cuni.cz/services/teitok/pdtc10/index.php?action=vallex&amp;frame=v-w9902f1", "ztělesňovat (v-w9902f1)")</f>
        <v>ztělesňovat (v-w9902f1)</v>
      </c>
      <c r="E71778" s="0" t="str">
        <f aca="false">HYPERLINK("https://lindat.mff.cuni.cz/services/SynSemClass40/SynSemClass40.html?veclass=vec00796#vec00796-ces-cm00001", "vec00796")</f>
        <v>vec00796</v>
      </c>
      <c r="F71778" s="0" t="s">
        <v>23329</v>
      </c>
    </row>
    <row r="71779" customFormat="false" ht="12.8" hidden="false" customHeight="false" outlineLevel="0" collapsed="false">
      <c r="B71779" s="0" t="s">
        <v>1</v>
      </c>
      <c r="C71779" s="0" t="s">
        <v>21561</v>
      </c>
      <c r="E71779" s="0" t="s">
        <v>10735</v>
      </c>
      <c r="F71779" s="0" t="s">
        <v>23330</v>
      </c>
    </row>
    <row r="71780" customFormat="false" ht="12.8" hidden="false" customHeight="false" outlineLevel="0" collapsed="false">
      <c r="B71780" s="0" t="s">
        <v>8</v>
      </c>
      <c r="C71780" s="0" t="s">
        <v>531</v>
      </c>
      <c r="E71780" s="0" t="s">
        <v>10738</v>
      </c>
      <c r="F71780" s="0" t="s">
        <v>23331</v>
      </c>
    </row>
    <row r="71782" customFormat="false" ht="12.8" hidden="false" customHeight="false" outlineLevel="0" collapsed="false">
      <c r="A71782" s="0" t="s">
        <v>23333</v>
      </c>
      <c r="B71782" s="0" t="str">
        <f aca="false">HYPERLINK("https://lindat.mff.cuni.cz/services/teitok/pdtc10/index.php?action=vallex&amp;frame=v-w9904hsa_1001", "ztěžovat (v-w9904hsa_1001)")</f>
        <v>ztěžovat (v-w9904hsa_1001)</v>
      </c>
    </row>
    <row r="71783" customFormat="false" ht="12.8" hidden="false" customHeight="false" outlineLevel="0" collapsed="false">
      <c r="B71783" s="0" t="s">
        <v>1</v>
      </c>
    </row>
    <row r="71784" customFormat="false" ht="12.8" hidden="false" customHeight="false" outlineLevel="0" collapsed="false">
      <c r="B71784" s="0" t="s">
        <v>1682</v>
      </c>
    </row>
    <row r="71786" customFormat="false" ht="12.8" hidden="false" customHeight="false" outlineLevel="0" collapsed="false">
      <c r="A71786" s="0" t="s">
        <v>23333</v>
      </c>
      <c r="B71786" s="0" t="str">
        <f aca="false">HYPERLINK("https://lindat.mff.cuni.cz/services/teitok/pdtc10/index.php?action=vallex&amp;frame=v-w9904f1", "ztěžovat (v-w9904f1) - substituted with v-w9904hsa_1001")</f>
        <v>ztěžovat (v-w9904f1) - substituted with v-w9904hsa_1001</v>
      </c>
    </row>
    <row r="71787" customFormat="false" ht="12.8" hidden="false" customHeight="false" outlineLevel="0" collapsed="false">
      <c r="B71787" s="0" t="s">
        <v>1</v>
      </c>
    </row>
    <row r="71788" customFormat="false" ht="12.8" hidden="false" customHeight="false" outlineLevel="0" collapsed="false">
      <c r="B71788" s="0" t="s">
        <v>1682</v>
      </c>
    </row>
    <row r="71790" customFormat="false" ht="12.8" hidden="false" customHeight="false" outlineLevel="0" collapsed="false">
      <c r="A71790" s="0" t="s">
        <v>23334</v>
      </c>
      <c r="B71790" s="0" t="str">
        <f aca="false">HYPERLINK("https://lindat.mff.cuni.cz/services/teitok/pdtc10/index.php?action=vallex&amp;frame=v-whsa_743hsa_744", "ztřískat (v-whsa_743hsa_744)")</f>
        <v>ztřískat (v-whsa_743hsa_744)</v>
      </c>
    </row>
    <row r="71791" customFormat="false" ht="12.8" hidden="false" customHeight="false" outlineLevel="0" collapsed="false">
      <c r="B71791" s="0" t="s">
        <v>1</v>
      </c>
    </row>
    <row r="71792" customFormat="false" ht="12.8" hidden="false" customHeight="false" outlineLevel="0" collapsed="false">
      <c r="B71792" s="0" t="s">
        <v>8</v>
      </c>
    </row>
    <row r="71794" customFormat="false" ht="12.8" hidden="false" customHeight="false" outlineLevel="0" collapsed="false">
      <c r="A71794" s="0" t="s">
        <v>23335</v>
      </c>
      <c r="B71794" s="0" t="str">
        <f aca="false">HYPERLINK("https://lindat.mff.cuni.cz/services/teitok/pdtc10/index.php?action=vallex&amp;frame=v-w9937f3_ZU", "zuřit (v-w9937f3_ZU)")</f>
        <v>zuřit (v-w9937f3_ZU)</v>
      </c>
    </row>
    <row r="71795" customFormat="false" ht="12.8" hidden="false" customHeight="false" outlineLevel="0" collapsed="false">
      <c r="B71795" s="0" t="s">
        <v>1</v>
      </c>
    </row>
    <row r="71796" customFormat="false" ht="12.8" hidden="false" customHeight="false" outlineLevel="0" collapsed="false">
      <c r="B71796" s="0" t="s">
        <v>797</v>
      </c>
    </row>
    <row r="71798" customFormat="false" ht="12.8" hidden="false" customHeight="false" outlineLevel="0" collapsed="false">
      <c r="A71798" s="0" t="s">
        <v>23335</v>
      </c>
      <c r="B71798" s="0" t="str">
        <f aca="false">HYPERLINK("https://lindat.mff.cuni.cz/services/teitok/pdtc10/index.php?action=vallex&amp;frame=v-w9937f2", "zuřit (v-w9937f2) - substituted with v-w9937f3_ZU")</f>
        <v>zuřit (v-w9937f2) - substituted with v-w9937f3_ZU</v>
      </c>
    </row>
    <row r="71799" customFormat="false" ht="12.8" hidden="false" customHeight="false" outlineLevel="0" collapsed="false">
      <c r="B71799" s="0" t="s">
        <v>1</v>
      </c>
    </row>
    <row r="71800" customFormat="false" ht="12.8" hidden="false" customHeight="false" outlineLevel="0" collapsed="false">
      <c r="B71800" s="0" t="s">
        <v>797</v>
      </c>
    </row>
    <row r="71802" customFormat="false" ht="12.8" hidden="false" customHeight="false" outlineLevel="0" collapsed="false">
      <c r="A71802" s="0" t="s">
        <v>23336</v>
      </c>
      <c r="B71802" s="0" t="str">
        <f aca="false">HYPERLINK("https://lindat.mff.cuni.cz/services/teitok/pdtc10/index.php?action=vallex&amp;frame=v-w9937f1", "zuřit (v-w9937f1)")</f>
        <v>zuřit (v-w9937f1)</v>
      </c>
    </row>
    <row r="71803" customFormat="false" ht="12.8" hidden="false" customHeight="false" outlineLevel="0" collapsed="false">
      <c r="B71803" s="0" t="s">
        <v>1</v>
      </c>
    </row>
    <row r="71805" customFormat="false" ht="12.8" hidden="false" customHeight="false" outlineLevel="0" collapsed="false">
      <c r="A71805" s="0" t="s">
        <v>23337</v>
      </c>
      <c r="B71805" s="0" t="str">
        <f aca="false">HYPERLINK("https://lindat.mff.cuni.cz/services/teitok/pdtc10/index.php?action=vallex&amp;frame=v-whsa_1167f1_ZU", "zušlechtit (v-whsa_1167f1_ZU)")</f>
        <v>zušlechtit (v-whsa_1167f1_ZU)</v>
      </c>
    </row>
    <row r="71806" customFormat="false" ht="12.8" hidden="false" customHeight="false" outlineLevel="0" collapsed="false">
      <c r="B71806" s="0" t="s">
        <v>1</v>
      </c>
    </row>
    <row r="71807" customFormat="false" ht="12.8" hidden="false" customHeight="false" outlineLevel="0" collapsed="false">
      <c r="B71807" s="0" t="s">
        <v>8</v>
      </c>
    </row>
    <row r="71809" customFormat="false" ht="12.8" hidden="false" customHeight="false" outlineLevel="0" collapsed="false">
      <c r="A71809" s="0" t="s">
        <v>23337</v>
      </c>
      <c r="B71809" s="0" t="str">
        <f aca="false">HYPERLINK("https://lindat.mff.cuni.cz/services/teitok/pdtc10/index.php?action=vallex&amp;frame=v-whsa_1167hsa_1168", "zušlechtit (v-whsa_1167hsa_1168) - substituted with v-whsa_1167f1_ZU")</f>
        <v>zušlechtit (v-whsa_1167hsa_1168) - substituted with v-whsa_1167f1_ZU</v>
      </c>
    </row>
    <row r="71810" customFormat="false" ht="12.8" hidden="false" customHeight="false" outlineLevel="0" collapsed="false">
      <c r="B71810" s="0" t="s">
        <v>1</v>
      </c>
    </row>
    <row r="71811" customFormat="false" ht="12.8" hidden="false" customHeight="false" outlineLevel="0" collapsed="false">
      <c r="B71811" s="0" t="s">
        <v>8</v>
      </c>
    </row>
    <row r="71813" customFormat="false" ht="12.8" hidden="false" customHeight="false" outlineLevel="0" collapsed="false">
      <c r="A71813" s="0" t="s">
        <v>23338</v>
      </c>
      <c r="B71813" s="0" t="str">
        <f aca="false">HYPERLINK("https://lindat.mff.cuni.cz/services/teitok/pdtc10/index.php?action=vallex&amp;frame=v-w9944f1", "zužitkovat (v-w9944f1)")</f>
        <v>zužitkovat (v-w9944f1)</v>
      </c>
    </row>
    <row r="71814" customFormat="false" ht="12.8" hidden="false" customHeight="false" outlineLevel="0" collapsed="false">
      <c r="B71814" s="0" t="s">
        <v>1</v>
      </c>
    </row>
    <row r="71815" customFormat="false" ht="12.8" hidden="false" customHeight="false" outlineLevel="0" collapsed="false">
      <c r="B71815" s="0" t="s">
        <v>8</v>
      </c>
    </row>
    <row r="71817" customFormat="false" ht="12.8" hidden="false" customHeight="false" outlineLevel="0" collapsed="false">
      <c r="A71817" s="0" t="s">
        <v>23339</v>
      </c>
      <c r="B71817" s="0" t="str">
        <f aca="false">HYPERLINK("https://lindat.mff.cuni.cz/services/teitok/pdtc10/index.php?action=vallex&amp;frame=v-w10184f2", "zužovat (v-w10184f2)")</f>
        <v>zužovat (v-w10184f2)</v>
      </c>
    </row>
    <row r="71818" customFormat="false" ht="12.8" hidden="false" customHeight="false" outlineLevel="0" collapsed="false">
      <c r="B71818" s="0" t="s">
        <v>1</v>
      </c>
    </row>
    <row r="71819" customFormat="false" ht="12.8" hidden="false" customHeight="false" outlineLevel="0" collapsed="false">
      <c r="B71819" s="0" t="s">
        <v>8</v>
      </c>
    </row>
    <row r="71820" customFormat="false" ht="12.8" hidden="false" customHeight="false" outlineLevel="0" collapsed="false">
      <c r="B71820" s="0" t="s">
        <v>36</v>
      </c>
    </row>
    <row r="71821" customFormat="false" ht="12.8" hidden="false" customHeight="false" outlineLevel="0" collapsed="false">
      <c r="B71821" s="0" t="s">
        <v>101</v>
      </c>
    </row>
    <row r="71823" customFormat="false" ht="12.8" hidden="false" customHeight="false" outlineLevel="0" collapsed="false">
      <c r="A71823" s="0" t="s">
        <v>23340</v>
      </c>
      <c r="B71823" s="0" t="str">
        <f aca="false">HYPERLINK("https://lindat.mff.cuni.cz/services/teitok/pdtc10/index.php?action=vallex&amp;frame=v-w10184f4", "zužovat (v-w10184f4)")</f>
        <v>zužovat (v-w10184f4)</v>
      </c>
    </row>
    <row r="71824" customFormat="false" ht="12.8" hidden="false" customHeight="false" outlineLevel="0" collapsed="false">
      <c r="B71824" s="0" t="s">
        <v>1</v>
      </c>
    </row>
    <row r="71825" customFormat="false" ht="12.8" hidden="false" customHeight="false" outlineLevel="0" collapsed="false">
      <c r="B71825" s="0" t="s">
        <v>8</v>
      </c>
    </row>
    <row r="71826" customFormat="false" ht="12.8" hidden="false" customHeight="false" outlineLevel="0" collapsed="false">
      <c r="B71826" s="0" t="s">
        <v>101</v>
      </c>
    </row>
    <row r="71828" customFormat="false" ht="12.8" hidden="false" customHeight="false" outlineLevel="0" collapsed="false">
      <c r="A71828" s="0" t="s">
        <v>23341</v>
      </c>
      <c r="B71828" s="0" t="str">
        <f aca="false">HYPERLINK("https://lindat.mff.cuni.cz/services/teitok/pdtc10/index.php?action=vallex&amp;frame=v-w11258f2", "zužovat se (v-w11258f2)")</f>
        <v>zužovat se (v-w11258f2)</v>
      </c>
      <c r="E71828" s="0" t="str">
        <f aca="false">HYPERLINK("https://lindat.mff.cuni.cz/services/SynSemClass40/SynSemClass40.html?veclass=vec00028#vec00028-ces-cm00104", "vec00028")</f>
        <v>vec00028</v>
      </c>
      <c r="F71828" s="0" t="s">
        <v>5301</v>
      </c>
    </row>
    <row r="71829" customFormat="false" ht="12.8" hidden="false" customHeight="false" outlineLevel="0" collapsed="false">
      <c r="B71829" s="0" t="s">
        <v>1</v>
      </c>
      <c r="C71829" s="0" t="s">
        <v>9964</v>
      </c>
      <c r="E71829" s="0" t="s">
        <v>235</v>
      </c>
      <c r="F71829" s="0" t="s">
        <v>5304</v>
      </c>
    </row>
    <row r="71830" customFormat="false" ht="12.8" hidden="false" customHeight="false" outlineLevel="0" collapsed="false">
      <c r="B71830" s="0" t="s">
        <v>69</v>
      </c>
      <c r="C71830" s="0" t="s">
        <v>9965</v>
      </c>
      <c r="E71830" s="0" t="s">
        <v>5149</v>
      </c>
      <c r="F71830" s="0" t="s">
        <v>5307</v>
      </c>
    </row>
    <row r="71831" customFormat="false" ht="12.8" hidden="false" customHeight="false" outlineLevel="0" collapsed="false">
      <c r="B71831" s="0" t="s">
        <v>36</v>
      </c>
      <c r="C71831" s="0" t="s">
        <v>9966</v>
      </c>
      <c r="E71831" s="0" t="s">
        <v>5152</v>
      </c>
      <c r="F71831" s="0" t="s">
        <v>5311</v>
      </c>
    </row>
    <row r="71833" customFormat="false" ht="12.8" hidden="false" customHeight="false" outlineLevel="0" collapsed="false">
      <c r="A71833" s="0" t="s">
        <v>23342</v>
      </c>
      <c r="B71833" s="0" t="str">
        <f aca="false">HYPERLINK("https://lindat.mff.cuni.cz/services/teitok/pdtc10/index.php?action=vallex&amp;frame=v-w11258f3", "zužovat se (v-w11258f3)")</f>
        <v>zužovat se (v-w11258f3)</v>
      </c>
    </row>
    <row r="71834" customFormat="false" ht="12.8" hidden="false" customHeight="false" outlineLevel="0" collapsed="false">
      <c r="B71834" s="0" t="s">
        <v>1</v>
      </c>
    </row>
    <row r="71835" customFormat="false" ht="12.8" hidden="false" customHeight="false" outlineLevel="0" collapsed="false">
      <c r="B71835" s="0" t="s">
        <v>69</v>
      </c>
    </row>
    <row r="71836" customFormat="false" ht="12.8" hidden="false" customHeight="false" outlineLevel="0" collapsed="false">
      <c r="B71836" s="0" t="s">
        <v>36</v>
      </c>
    </row>
    <row r="71838" customFormat="false" ht="12.8" hidden="false" customHeight="false" outlineLevel="0" collapsed="false">
      <c r="A71838" s="0" t="s">
        <v>23343</v>
      </c>
      <c r="B71838" s="0" t="str">
        <f aca="false">HYPERLINK("https://lindat.mff.cuni.cz/services/teitok/pdtc10/index.php?action=vallex&amp;frame=v-w9946f1", "zvadnout (v-w9946f1)")</f>
        <v>zvadnout (v-w9946f1)</v>
      </c>
    </row>
    <row r="71839" customFormat="false" ht="12.8" hidden="false" customHeight="false" outlineLevel="0" collapsed="false">
      <c r="B71839" s="0" t="s">
        <v>1</v>
      </c>
    </row>
    <row r="71841" customFormat="false" ht="12.8" hidden="false" customHeight="false" outlineLevel="0" collapsed="false">
      <c r="A71841" s="0" t="s">
        <v>23344</v>
      </c>
      <c r="B71841" s="0" t="str">
        <f aca="false">HYPERLINK("https://lindat.mff.cuni.cz/services/teitok/pdtc10/index.php?action=vallex&amp;frame=v-w9946f2", "zvadnout (v-w9946f2)")</f>
        <v>zvadnout (v-w9946f2)</v>
      </c>
    </row>
    <row r="71842" customFormat="false" ht="12.8" hidden="false" customHeight="false" outlineLevel="0" collapsed="false">
      <c r="B71842" s="0" t="s">
        <v>1</v>
      </c>
    </row>
    <row r="71844" customFormat="false" ht="12.8" hidden="false" customHeight="false" outlineLevel="0" collapsed="false">
      <c r="A71844" s="0" t="s">
        <v>23345</v>
      </c>
      <c r="B71844" s="0" t="str">
        <f aca="false">HYPERLINK("https://lindat.mff.cuni.cz/services/teitok/pdtc10/index.php?action=vallex&amp;frame=v-w9950f2", "zvažovat (v-w9950f2)")</f>
        <v>zvažovat (v-w9950f2)</v>
      </c>
    </row>
    <row r="71845" customFormat="false" ht="12.8" hidden="false" customHeight="false" outlineLevel="0" collapsed="false">
      <c r="B71845" s="0" t="s">
        <v>1</v>
      </c>
    </row>
    <row r="71846" customFormat="false" ht="12.8" hidden="false" customHeight="false" outlineLevel="0" collapsed="false">
      <c r="B71846" s="0" t="s">
        <v>45</v>
      </c>
    </row>
    <row r="71847" customFormat="false" ht="12.8" hidden="false" customHeight="false" outlineLevel="0" collapsed="false">
      <c r="B71847" s="0" t="s">
        <v>23346</v>
      </c>
    </row>
    <row r="71849" customFormat="false" ht="12.8" hidden="false" customHeight="false" outlineLevel="0" collapsed="false">
      <c r="A71849" s="0" t="s">
        <v>23347</v>
      </c>
      <c r="B71849" s="0" t="str">
        <f aca="false">HYPERLINK("https://lindat.mff.cuni.cz/services/teitok/pdtc10/index.php?action=vallex&amp;frame=v-w9950f3_ZU", "zvažovat (v-w9950f3_ZU)")</f>
        <v>zvažovat (v-w9950f3_ZU)</v>
      </c>
      <c r="E71849" s="0" t="str">
        <f aca="false">HYPERLINK("https://lindat.mff.cuni.cz/services/SynSemClass40/SynSemClass40.html?veclass=vec00149#vec00149-ces-cm00020", "vec00149")</f>
        <v>vec00149</v>
      </c>
      <c r="F71849" s="0" t="s">
        <v>686</v>
      </c>
    </row>
    <row r="71850" customFormat="false" ht="12.8" hidden="false" customHeight="false" outlineLevel="0" collapsed="false">
      <c r="B71850" s="0" t="s">
        <v>1</v>
      </c>
      <c r="C71850" s="0" t="s">
        <v>687</v>
      </c>
      <c r="E71850" s="0" t="s">
        <v>621</v>
      </c>
      <c r="F71850" s="0" t="s">
        <v>688</v>
      </c>
    </row>
    <row r="71851" customFormat="false" ht="12.8" hidden="false" customHeight="false" outlineLevel="0" collapsed="false">
      <c r="B71851" s="0" t="s">
        <v>15191</v>
      </c>
      <c r="C71851" s="0" t="s">
        <v>690</v>
      </c>
      <c r="E71851" s="0" t="s">
        <v>209</v>
      </c>
      <c r="F71851" s="0" t="s">
        <v>691</v>
      </c>
    </row>
    <row r="71853" customFormat="false" ht="12.8" hidden="false" customHeight="false" outlineLevel="0" collapsed="false">
      <c r="A71853" s="0" t="s">
        <v>23347</v>
      </c>
      <c r="B71853" s="0" t="str">
        <f aca="false">HYPERLINK("https://lindat.mff.cuni.cz/services/teitok/pdtc10/index.php?action=vallex&amp;frame=v-w9950f1", "zvažovat (v-w9950f1) - substituted with v-w9950f3_ZU")</f>
        <v>zvažovat (v-w9950f1) - substituted with v-w9950f3_ZU</v>
      </c>
    </row>
    <row r="71854" customFormat="false" ht="12.8" hidden="false" customHeight="false" outlineLevel="0" collapsed="false">
      <c r="B71854" s="0" t="s">
        <v>1</v>
      </c>
    </row>
    <row r="71855" customFormat="false" ht="12.8" hidden="false" customHeight="false" outlineLevel="0" collapsed="false">
      <c r="B71855" s="0" t="s">
        <v>15191</v>
      </c>
    </row>
    <row r="71857" customFormat="false" ht="12.8" hidden="false" customHeight="false" outlineLevel="0" collapsed="false">
      <c r="A71857" s="0" t="s">
        <v>23348</v>
      </c>
      <c r="B71857" s="0" t="str">
        <f aca="false">HYPERLINK("https://lindat.mff.cuni.cz/services/teitok/pdtc10/index.php?action=vallex&amp;frame=v-w9952f2_ZU", "zvedat (v-w9952f2_ZU)")</f>
        <v>zvedat (v-w9952f2_ZU)</v>
      </c>
      <c r="E71857" s="0" t="str">
        <f aca="false">HYPERLINK("https://lindat.mff.cuni.cz/services/SynSemClass40/SynSemClass40.html?veclass=vec00298#vec00298-ces-cm00043", "vec00298")</f>
        <v>vec00298</v>
      </c>
      <c r="F71857" s="0" t="s">
        <v>7194</v>
      </c>
    </row>
    <row r="71858" customFormat="false" ht="12.8" hidden="false" customHeight="false" outlineLevel="0" collapsed="false">
      <c r="B71858" s="0" t="s">
        <v>1</v>
      </c>
      <c r="C71858" s="0" t="s">
        <v>7195</v>
      </c>
      <c r="E71858" s="0" t="s">
        <v>31</v>
      </c>
      <c r="F71858" s="0" t="s">
        <v>7196</v>
      </c>
    </row>
    <row r="71859" customFormat="false" ht="12.8" hidden="false" customHeight="false" outlineLevel="0" collapsed="false">
      <c r="B71859" s="0" t="s">
        <v>8</v>
      </c>
      <c r="C71859" s="0" t="s">
        <v>7197</v>
      </c>
      <c r="E71859" s="0" t="s">
        <v>1569</v>
      </c>
      <c r="F71859" s="0" t="s">
        <v>7198</v>
      </c>
    </row>
    <row r="71860" customFormat="false" ht="12.8" hidden="false" customHeight="false" outlineLevel="0" collapsed="false">
      <c r="B71860" s="0" t="s">
        <v>36</v>
      </c>
      <c r="C71860" s="0" t="s">
        <v>7199</v>
      </c>
      <c r="E71860" s="0" t="s">
        <v>5152</v>
      </c>
      <c r="F71860" s="0" t="s">
        <v>7200</v>
      </c>
    </row>
    <row r="71861" customFormat="false" ht="12.8" hidden="false" customHeight="false" outlineLevel="0" collapsed="false">
      <c r="B71861" s="0" t="s">
        <v>101</v>
      </c>
      <c r="C71861" s="0" t="s">
        <v>7201</v>
      </c>
      <c r="E71861" s="0" t="s">
        <v>5796</v>
      </c>
      <c r="F71861" s="0" t="s">
        <v>7202</v>
      </c>
    </row>
    <row r="71863" customFormat="false" ht="12.8" hidden="false" customHeight="false" outlineLevel="0" collapsed="false">
      <c r="A71863" s="0" t="s">
        <v>23349</v>
      </c>
      <c r="B71863" s="0" t="str">
        <f aca="false">HYPERLINK("https://lindat.mff.cuni.cz/services/teitok/pdtc10/index.php?action=vallex&amp;frame=v-w9952f3_ZU", "zvedat (v-w9952f3_ZU)")</f>
        <v>zvedat (v-w9952f3_ZU)</v>
      </c>
      <c r="E71863" s="0" t="str">
        <f aca="false">HYPERLINK("https://lindat.mff.cuni.cz/services/SynSemClass40/SynSemClass40.html?veclass=vec01194#vec01194-ces-cm00013", "vec01194")</f>
        <v>vec01194</v>
      </c>
      <c r="F71863" s="0" t="s">
        <v>7163</v>
      </c>
    </row>
    <row r="71864" customFormat="false" ht="12.8" hidden="false" customHeight="false" outlineLevel="0" collapsed="false">
      <c r="B71864" s="0" t="s">
        <v>1</v>
      </c>
      <c r="C71864" s="0" t="s">
        <v>767</v>
      </c>
      <c r="E71864" s="0" t="s">
        <v>334</v>
      </c>
      <c r="F71864" s="0" t="s">
        <v>7164</v>
      </c>
    </row>
    <row r="71865" customFormat="false" ht="12.8" hidden="false" customHeight="false" outlineLevel="0" collapsed="false">
      <c r="B71865" s="0" t="s">
        <v>8</v>
      </c>
      <c r="C71865" s="0" t="s">
        <v>827</v>
      </c>
      <c r="E71865" s="0" t="s">
        <v>2648</v>
      </c>
      <c r="F71865" s="0" t="s">
        <v>7165</v>
      </c>
    </row>
    <row r="71867" customFormat="false" ht="12.8" hidden="false" customHeight="false" outlineLevel="0" collapsed="false">
      <c r="A71867" s="0" t="s">
        <v>23349</v>
      </c>
      <c r="B71867" s="0" t="str">
        <f aca="false">HYPERLINK("https://lindat.mff.cuni.cz/services/teitok/pdtc10/index.php?action=vallex&amp;frame=v-w9952f1", "zvedat (v-w9952f1) - substituted with v-w9952f3_ZU")</f>
        <v>zvedat (v-w9952f1) - substituted with v-w9952f3_ZU</v>
      </c>
    </row>
    <row r="71868" customFormat="false" ht="12.8" hidden="false" customHeight="false" outlineLevel="0" collapsed="false">
      <c r="B71868" s="0" t="s">
        <v>1</v>
      </c>
    </row>
    <row r="71869" customFormat="false" ht="12.8" hidden="false" customHeight="false" outlineLevel="0" collapsed="false">
      <c r="B71869" s="0" t="s">
        <v>8</v>
      </c>
    </row>
    <row r="71871" customFormat="false" ht="12.8" hidden="false" customHeight="false" outlineLevel="0" collapsed="false">
      <c r="A71871" s="0" t="s">
        <v>23350</v>
      </c>
      <c r="B71871" s="0" t="str">
        <f aca="false">HYPERLINK("https://lindat.mff.cuni.cz/services/teitok/pdtc10/index.php?action=vallex&amp;frame=v-w9953f1", "zvedat se (v-w9953f1)")</f>
        <v>zvedat se (v-w9953f1)</v>
      </c>
    </row>
    <row r="71872" customFormat="false" ht="12.8" hidden="false" customHeight="false" outlineLevel="0" collapsed="false">
      <c r="B71872" s="0" t="s">
        <v>1</v>
      </c>
    </row>
    <row r="71874" customFormat="false" ht="12.8" hidden="false" customHeight="false" outlineLevel="0" collapsed="false">
      <c r="A71874" s="0" t="s">
        <v>23351</v>
      </c>
      <c r="B71874" s="0" t="str">
        <f aca="false">HYPERLINK("https://lindat.mff.cuni.cz/services/teitok/pdtc10/index.php?action=vallex&amp;frame=v-w9953hsa_462", "zvedat se (v-w9953hsa_462)")</f>
        <v>zvedat se (v-w9953hsa_462)</v>
      </c>
      <c r="E71874" s="0" t="str">
        <f aca="false">HYPERLINK("https://lindat.mff.cuni.cz/services/SynSemClass40/SynSemClass40.html?veclass=vec01336#vec01336-ces-cm00004", "vec01336")</f>
        <v>vec01336</v>
      </c>
      <c r="F71874" s="0" t="s">
        <v>5288</v>
      </c>
    </row>
    <row r="71875" customFormat="false" ht="12.8" hidden="false" customHeight="false" outlineLevel="0" collapsed="false">
      <c r="B71875" s="0" t="s">
        <v>1</v>
      </c>
      <c r="C71875" s="0" t="s">
        <v>4695</v>
      </c>
      <c r="E71875" s="0" t="s">
        <v>957</v>
      </c>
      <c r="F71875" s="0" t="s">
        <v>5289</v>
      </c>
    </row>
    <row r="71877" customFormat="false" ht="12.8" hidden="false" customHeight="false" outlineLevel="0" collapsed="false">
      <c r="A71877" s="0" t="s">
        <v>23352</v>
      </c>
      <c r="B71877" s="0" t="str">
        <f aca="false">HYPERLINK("https://lindat.mff.cuni.cz/services/teitok/pdtc10/index.php?action=vallex&amp;frame=v-w9953f2_ZU", "zvedat se (v-w9953f2_ZU)")</f>
        <v>zvedat se (v-w9953f2_ZU)</v>
      </c>
      <c r="E71877" s="0" t="str">
        <f aca="false">HYPERLINK("https://lindat.mff.cuni.cz/services/SynSemClass40/SynSemClass40.html?veclass=vec00730#vec00730-ces-cm00019", "vec00730")</f>
        <v>vec00730</v>
      </c>
      <c r="F71877" s="0" t="s">
        <v>5144</v>
      </c>
    </row>
    <row r="71878" customFormat="false" ht="12.8" hidden="false" customHeight="false" outlineLevel="0" collapsed="false">
      <c r="B71878" s="0" t="s">
        <v>1</v>
      </c>
      <c r="C71878" s="0" t="s">
        <v>14324</v>
      </c>
      <c r="E71878" s="0" t="s">
        <v>4943</v>
      </c>
      <c r="F71878" s="0" t="s">
        <v>5147</v>
      </c>
    </row>
    <row r="71879" customFormat="false" ht="12.8" hidden="false" customHeight="false" outlineLevel="0" collapsed="false">
      <c r="B71879" s="0" t="s">
        <v>69</v>
      </c>
    </row>
    <row r="71880" customFormat="false" ht="12.8" hidden="false" customHeight="false" outlineLevel="0" collapsed="false">
      <c r="B71880" s="0" t="s">
        <v>36</v>
      </c>
    </row>
    <row r="71882" customFormat="false" ht="12.8" hidden="false" customHeight="false" outlineLevel="0" collapsed="false">
      <c r="A71882" s="0" t="s">
        <v>23352</v>
      </c>
      <c r="B71882" s="0" t="str">
        <f aca="false">HYPERLINK("https://lindat.mff.cuni.cz/services/teitok/pdtc10/index.php?action=vallex&amp;frame=v-w9953hsa_463", "zvedat se (v-w9953hsa_463) - substituted with v-w9953f2_ZU")</f>
        <v>zvedat se (v-w9953hsa_463) - substituted with v-w9953f2_ZU</v>
      </c>
    </row>
    <row r="71883" customFormat="false" ht="12.8" hidden="false" customHeight="false" outlineLevel="0" collapsed="false">
      <c r="B71883" s="0" t="s">
        <v>1</v>
      </c>
    </row>
    <row r="71884" customFormat="false" ht="12.8" hidden="false" customHeight="false" outlineLevel="0" collapsed="false">
      <c r="B71884" s="0" t="s">
        <v>69</v>
      </c>
    </row>
    <row r="71885" customFormat="false" ht="12.8" hidden="false" customHeight="false" outlineLevel="0" collapsed="false">
      <c r="B71885" s="0" t="s">
        <v>36</v>
      </c>
    </row>
    <row r="71887" customFormat="false" ht="12.8" hidden="false" customHeight="false" outlineLevel="0" collapsed="false">
      <c r="A71887" s="0" t="s">
        <v>23353</v>
      </c>
      <c r="B71887" s="0" t="str">
        <f aca="false">HYPERLINK("https://lindat.mff.cuni.cz/services/teitok/pdtc10/index.php?action=vallex&amp;frame=v-w9956f2", "zvednout (v-w9956f2)")</f>
        <v>zvednout (v-w9956f2)</v>
      </c>
      <c r="E71887" s="0" t="str">
        <f aca="false">HYPERLINK("https://lindat.mff.cuni.cz/services/SynSemClass40/SynSemClass40.html?veclass=vec00298#vec00298-ces-cm00044", "vec00298")</f>
        <v>vec00298</v>
      </c>
      <c r="F71887" s="0" t="s">
        <v>7194</v>
      </c>
    </row>
    <row r="71888" customFormat="false" ht="12.8" hidden="false" customHeight="false" outlineLevel="0" collapsed="false">
      <c r="B71888" s="0" t="s">
        <v>1</v>
      </c>
      <c r="C71888" s="0" t="s">
        <v>7195</v>
      </c>
      <c r="E71888" s="0" t="s">
        <v>31</v>
      </c>
      <c r="F71888" s="0" t="s">
        <v>7196</v>
      </c>
    </row>
    <row r="71889" customFormat="false" ht="12.8" hidden="false" customHeight="false" outlineLevel="0" collapsed="false">
      <c r="B71889" s="0" t="s">
        <v>8</v>
      </c>
      <c r="C71889" s="0" t="s">
        <v>7197</v>
      </c>
      <c r="E71889" s="0" t="s">
        <v>1569</v>
      </c>
      <c r="F71889" s="0" t="s">
        <v>7198</v>
      </c>
    </row>
    <row r="71890" customFormat="false" ht="12.8" hidden="false" customHeight="false" outlineLevel="0" collapsed="false">
      <c r="B71890" s="0" t="s">
        <v>36</v>
      </c>
      <c r="C71890" s="0" t="s">
        <v>7199</v>
      </c>
      <c r="E71890" s="0" t="s">
        <v>5152</v>
      </c>
      <c r="F71890" s="0" t="s">
        <v>7200</v>
      </c>
    </row>
    <row r="71891" customFormat="false" ht="12.8" hidden="false" customHeight="false" outlineLevel="0" collapsed="false">
      <c r="B71891" s="0" t="s">
        <v>101</v>
      </c>
      <c r="C71891" s="0" t="s">
        <v>7201</v>
      </c>
      <c r="E71891" s="0" t="s">
        <v>5796</v>
      </c>
      <c r="F71891" s="0" t="s">
        <v>7202</v>
      </c>
    </row>
    <row r="71893" customFormat="false" ht="12.8" hidden="false" customHeight="false" outlineLevel="0" collapsed="false">
      <c r="A71893" s="0" t="s">
        <v>23354</v>
      </c>
      <c r="B71893" s="0" t="str">
        <f aca="false">HYPERLINK("https://lindat.mff.cuni.cz/services/teitok/pdtc10/index.php?action=vallex&amp;frame=v-w9956f3_ZU", "zvednout (v-w9956f3_ZU)")</f>
        <v>zvednout (v-w9956f3_ZU)</v>
      </c>
      <c r="E71893" s="0" t="str">
        <f aca="false">HYPERLINK("https://lindat.mff.cuni.cz/services/SynSemClass40/SynSemClass40.html?veclass=vec01194#vec01194-ces-cm00001", "vec01194")</f>
        <v>vec01194</v>
      </c>
      <c r="F71893" s="0" t="s">
        <v>7163</v>
      </c>
    </row>
    <row r="71894" customFormat="false" ht="12.8" hidden="false" customHeight="false" outlineLevel="0" collapsed="false">
      <c r="B71894" s="0" t="s">
        <v>1</v>
      </c>
      <c r="C71894" s="0" t="s">
        <v>767</v>
      </c>
      <c r="E71894" s="0" t="s">
        <v>334</v>
      </c>
      <c r="F71894" s="0" t="s">
        <v>7164</v>
      </c>
    </row>
    <row r="71895" customFormat="false" ht="12.8" hidden="false" customHeight="false" outlineLevel="0" collapsed="false">
      <c r="B71895" s="0" t="s">
        <v>8</v>
      </c>
      <c r="C71895" s="0" t="s">
        <v>827</v>
      </c>
      <c r="E71895" s="0" t="s">
        <v>2648</v>
      </c>
      <c r="F71895" s="0" t="s">
        <v>7165</v>
      </c>
    </row>
    <row r="71897" customFormat="false" ht="12.8" hidden="false" customHeight="false" outlineLevel="0" collapsed="false">
      <c r="A71897" s="0" t="s">
        <v>23354</v>
      </c>
      <c r="B71897" s="0" t="str">
        <f aca="false">HYPERLINK("https://lindat.mff.cuni.cz/services/teitok/pdtc10/index.php?action=vallex&amp;frame=v-w9956f1", "zvednout (v-w9956f1) - substituted with v-w9956f3_ZU")</f>
        <v>zvednout (v-w9956f1) - substituted with v-w9956f3_ZU</v>
      </c>
    </row>
    <row r="71898" customFormat="false" ht="12.8" hidden="false" customHeight="false" outlineLevel="0" collapsed="false">
      <c r="B71898" s="0" t="s">
        <v>1</v>
      </c>
    </row>
    <row r="71899" customFormat="false" ht="12.8" hidden="false" customHeight="false" outlineLevel="0" collapsed="false">
      <c r="B71899" s="0" t="s">
        <v>8</v>
      </c>
    </row>
    <row r="71901" customFormat="false" ht="12.8" hidden="false" customHeight="false" outlineLevel="0" collapsed="false">
      <c r="A71901" s="0" t="s">
        <v>23355</v>
      </c>
      <c r="B71901" s="0" t="str">
        <f aca="false">HYPERLINK("https://lindat.mff.cuni.cz/services/teitok/pdtc10/index.php?action=vallex&amp;frame=v-w9956f4_ZU", "zvednout (v-w9956f4_ZU)")</f>
        <v>zvednout (v-w9956f4_ZU)</v>
      </c>
    </row>
    <row r="71902" customFormat="false" ht="12.8" hidden="false" customHeight="false" outlineLevel="0" collapsed="false">
      <c r="B71902" s="0" t="s">
        <v>1</v>
      </c>
    </row>
    <row r="71903" customFormat="false" ht="12.8" hidden="false" customHeight="false" outlineLevel="0" collapsed="false">
      <c r="B71903" s="0" t="s">
        <v>23356</v>
      </c>
    </row>
    <row r="71904" customFormat="false" ht="12.8" hidden="false" customHeight="false" outlineLevel="0" collapsed="false">
      <c r="B71904" s="0" t="s">
        <v>5</v>
      </c>
    </row>
    <row r="71906" customFormat="false" ht="12.8" hidden="false" customHeight="false" outlineLevel="0" collapsed="false">
      <c r="A71906" s="0" t="s">
        <v>23357</v>
      </c>
      <c r="B71906" s="0" t="str">
        <f aca="false">HYPERLINK("https://lindat.mff.cuni.cz/services/teitok/pdtc10/index.php?action=vallex&amp;frame=v-w9956hsa_670", "zvednout (v-w9956hsa_670)")</f>
        <v>zvednout (v-w9956hsa_670)</v>
      </c>
    </row>
    <row r="71907" customFormat="false" ht="12.8" hidden="false" customHeight="false" outlineLevel="0" collapsed="false">
      <c r="B71907" s="0" t="s">
        <v>1</v>
      </c>
    </row>
    <row r="71908" customFormat="false" ht="12.8" hidden="false" customHeight="false" outlineLevel="0" collapsed="false">
      <c r="B71908" s="0" t="s">
        <v>8</v>
      </c>
    </row>
    <row r="71910" customFormat="false" ht="12.8" hidden="false" customHeight="false" outlineLevel="0" collapsed="false">
      <c r="A71910" s="0" t="s">
        <v>23358</v>
      </c>
      <c r="B71910" s="0" t="str">
        <f aca="false">HYPERLINK("https://lindat.mff.cuni.cz/services/teitok/pdtc10/index.php?action=vallex&amp;frame=v-w9957f1", "zvednout se (v-w9957f1)")</f>
        <v>zvednout se (v-w9957f1)</v>
      </c>
      <c r="E71910" s="0" t="str">
        <f aca="false">HYPERLINK("https://lindat.mff.cuni.cz/services/SynSemClass40/SynSemClass40.html?veclass=vec00730#vec00730-ces-cm00020", "vec00730")</f>
        <v>vec00730</v>
      </c>
      <c r="F71910" s="0" t="s">
        <v>5144</v>
      </c>
    </row>
    <row r="71911" customFormat="false" ht="12.8" hidden="false" customHeight="false" outlineLevel="0" collapsed="false">
      <c r="B71911" s="0" t="s">
        <v>1</v>
      </c>
      <c r="C71911" s="0" t="s">
        <v>14324</v>
      </c>
      <c r="E71911" s="0" t="s">
        <v>4943</v>
      </c>
      <c r="F71911" s="0" t="s">
        <v>5147</v>
      </c>
    </row>
    <row r="71912" customFormat="false" ht="12.8" hidden="false" customHeight="false" outlineLevel="0" collapsed="false">
      <c r="B71912" s="0" t="s">
        <v>69</v>
      </c>
    </row>
    <row r="71913" customFormat="false" ht="12.8" hidden="false" customHeight="false" outlineLevel="0" collapsed="false">
      <c r="B71913" s="0" t="s">
        <v>36</v>
      </c>
    </row>
    <row r="71915" customFormat="false" ht="12.8" hidden="false" customHeight="false" outlineLevel="0" collapsed="false">
      <c r="A71915" s="0" t="s">
        <v>23359</v>
      </c>
      <c r="B71915" s="0" t="str">
        <f aca="false">HYPERLINK("https://lindat.mff.cuni.cz/services/teitok/pdtc10/index.php?action=vallex&amp;frame=v-w9957f2", "zvednout se (v-w9957f2)")</f>
        <v>zvednout se (v-w9957f2)</v>
      </c>
    </row>
    <row r="71916" customFormat="false" ht="12.8" hidden="false" customHeight="false" outlineLevel="0" collapsed="false">
      <c r="B71916" s="0" t="s">
        <v>1</v>
      </c>
    </row>
    <row r="71917" customFormat="false" ht="12.8" hidden="false" customHeight="false" outlineLevel="0" collapsed="false">
      <c r="B71917" s="0" t="s">
        <v>311</v>
      </c>
    </row>
    <row r="71919" customFormat="false" ht="12.8" hidden="false" customHeight="false" outlineLevel="0" collapsed="false">
      <c r="A71919" s="0" t="s">
        <v>23360</v>
      </c>
      <c r="B71919" s="0" t="str">
        <f aca="false">HYPERLINK("https://lindat.mff.cuni.cz/services/teitok/pdtc10/index.php?action=vallex&amp;frame=v-w9957f4", "zvednout se (v-w9957f4)")</f>
        <v>zvednout se (v-w9957f4)</v>
      </c>
    </row>
    <row r="71920" customFormat="false" ht="12.8" hidden="false" customHeight="false" outlineLevel="0" collapsed="false">
      <c r="B71920" s="0" t="s">
        <v>1</v>
      </c>
    </row>
    <row r="71922" customFormat="false" ht="12.8" hidden="false" customHeight="false" outlineLevel="0" collapsed="false">
      <c r="A71922" s="0" t="s">
        <v>23361</v>
      </c>
      <c r="B71922" s="0" t="str">
        <f aca="false">HYPERLINK("https://lindat.mff.cuni.cz/services/teitok/pdtc10/index.php?action=vallex&amp;frame=v-w9957f3", "zvednout se (v-w9957f3)")</f>
        <v>zvednout se (v-w9957f3)</v>
      </c>
    </row>
    <row r="71923" customFormat="false" ht="12.8" hidden="false" customHeight="false" outlineLevel="0" collapsed="false">
      <c r="B71923" s="0" t="s">
        <v>1</v>
      </c>
    </row>
    <row r="71925" customFormat="false" ht="12.8" hidden="false" customHeight="false" outlineLevel="0" collapsed="false">
      <c r="A71925" s="0" t="s">
        <v>23362</v>
      </c>
      <c r="B71925" s="0" t="str">
        <f aca="false">HYPERLINK("https://lindat.mff.cuni.cz/services/teitok/pdtc10/index.php?action=vallex&amp;frame=v-w12036_ZUf1_ZU", "zvelebit (v-w12036_ZUf1_ZU)")</f>
        <v>zvelebit (v-w12036_ZUf1_ZU)</v>
      </c>
    </row>
    <row r="71926" customFormat="false" ht="12.8" hidden="false" customHeight="false" outlineLevel="0" collapsed="false">
      <c r="B71926" s="0" t="s">
        <v>1</v>
      </c>
    </row>
    <row r="71927" customFormat="false" ht="12.8" hidden="false" customHeight="false" outlineLevel="0" collapsed="false">
      <c r="B71927" s="0" t="s">
        <v>8</v>
      </c>
    </row>
    <row r="71928" customFormat="false" ht="12.8" hidden="false" customHeight="false" outlineLevel="0" collapsed="false">
      <c r="B71928" s="0" t="s">
        <v>36</v>
      </c>
    </row>
    <row r="71929" customFormat="false" ht="12.8" hidden="false" customHeight="false" outlineLevel="0" collapsed="false">
      <c r="B71929" s="0" t="s">
        <v>101</v>
      </c>
    </row>
    <row r="71931" customFormat="false" ht="12.8" hidden="false" customHeight="false" outlineLevel="0" collapsed="false">
      <c r="A71931" s="0" t="s">
        <v>23363</v>
      </c>
      <c r="B71931" s="0" t="str">
        <f aca="false">HYPERLINK("https://lindat.mff.cuni.cz/services/teitok/pdtc10/index.php?action=vallex&amp;frame=v-w9960f1", "zvelebovat (v-w9960f1)")</f>
        <v>zvelebovat (v-w9960f1)</v>
      </c>
    </row>
    <row r="71932" customFormat="false" ht="12.8" hidden="false" customHeight="false" outlineLevel="0" collapsed="false">
      <c r="B71932" s="0" t="s">
        <v>1</v>
      </c>
    </row>
    <row r="71933" customFormat="false" ht="12.8" hidden="false" customHeight="false" outlineLevel="0" collapsed="false">
      <c r="B71933" s="0" t="s">
        <v>8</v>
      </c>
    </row>
    <row r="71935" customFormat="false" ht="12.8" hidden="false" customHeight="false" outlineLevel="0" collapsed="false">
      <c r="A71935" s="0" t="s">
        <v>23364</v>
      </c>
      <c r="B71935" s="0" t="str">
        <f aca="false">HYPERLINK("https://lindat.mff.cuni.cz/services/teitok/pdtc10/index.php?action=vallex&amp;frame=v-w10573f3", "zveličit (v-w10573f3)")</f>
        <v>zveličit (v-w10573f3)</v>
      </c>
      <c r="E71935" s="0" t="str">
        <f aca="false">HYPERLINK("https://lindat.mff.cuni.cz/services/SynSemClass40/SynSemClass40.html?veclass=vec00634#vec00634-ces-cm00013", "vec00634")</f>
        <v>vec00634</v>
      </c>
      <c r="F71935" s="0" t="s">
        <v>7123</v>
      </c>
    </row>
    <row r="71936" customFormat="false" ht="12.8" hidden="false" customHeight="false" outlineLevel="0" collapsed="false">
      <c r="B71936" s="0" t="s">
        <v>1</v>
      </c>
      <c r="C71936" s="0" t="s">
        <v>239</v>
      </c>
      <c r="E71936" s="0" t="s">
        <v>31</v>
      </c>
      <c r="F71936" s="0" t="s">
        <v>5993</v>
      </c>
    </row>
    <row r="71937" customFormat="false" ht="12.8" hidden="false" customHeight="false" outlineLevel="0" collapsed="false">
      <c r="B71937" s="0" t="s">
        <v>228</v>
      </c>
      <c r="C71937" s="0" t="s">
        <v>7124</v>
      </c>
      <c r="E71937" s="0" t="s">
        <v>180</v>
      </c>
      <c r="F71937" s="0" t="s">
        <v>7125</v>
      </c>
    </row>
    <row r="71939" customFormat="false" ht="12.8" hidden="false" customHeight="false" outlineLevel="0" collapsed="false">
      <c r="A71939" s="0" t="s">
        <v>23365</v>
      </c>
      <c r="B71939" s="0" t="str">
        <f aca="false">HYPERLINK("https://lindat.mff.cuni.cz/services/teitok/pdtc10/index.php?action=vallex&amp;frame=v-w9962f1", "zveličovat (v-w9962f1)")</f>
        <v>zveličovat (v-w9962f1)</v>
      </c>
      <c r="E71939" s="0" t="str">
        <f aca="false">HYPERLINK("https://lindat.mff.cuni.cz/services/SynSemClass40/SynSemClass40.html?veclass=vec00634#vec00634-ces-cm00006", "vec00634")</f>
        <v>vec00634</v>
      </c>
      <c r="F71939" s="0" t="s">
        <v>7123</v>
      </c>
    </row>
    <row r="71940" customFormat="false" ht="12.8" hidden="false" customHeight="false" outlineLevel="0" collapsed="false">
      <c r="B71940" s="0" t="s">
        <v>1</v>
      </c>
      <c r="C71940" s="0" t="s">
        <v>239</v>
      </c>
      <c r="E71940" s="0" t="s">
        <v>31</v>
      </c>
      <c r="F71940" s="0" t="s">
        <v>5993</v>
      </c>
    </row>
    <row r="71941" customFormat="false" ht="12.8" hidden="false" customHeight="false" outlineLevel="0" collapsed="false">
      <c r="B71941" s="0" t="s">
        <v>228</v>
      </c>
      <c r="C71941" s="0" t="s">
        <v>7124</v>
      </c>
      <c r="E71941" s="0" t="s">
        <v>180</v>
      </c>
      <c r="F71941" s="0" t="s">
        <v>7125</v>
      </c>
    </row>
    <row r="71943" customFormat="false" ht="12.8" hidden="false" customHeight="false" outlineLevel="0" collapsed="false">
      <c r="A71943" s="0" t="s">
        <v>23366</v>
      </c>
      <c r="B71943" s="0" t="str">
        <f aca="false">HYPERLINK("https://lindat.mff.cuni.cz/services/teitok/pdtc10/index.php?action=vallex&amp;frame=v-w9966f1", "zveřejnit (v-w9966f1)")</f>
        <v>zveřejnit (v-w9966f1)</v>
      </c>
      <c r="E71943" s="0" t="str">
        <f aca="false">HYPERLINK("https://lindat.mff.cuni.cz/services/SynSemClass40/SynSemClass40.html?veclass=vec00060#vec00060-ces-cm00165", "vec00060")</f>
        <v>vec00060</v>
      </c>
      <c r="F71943" s="0" t="s">
        <v>213</v>
      </c>
    </row>
    <row r="71944" customFormat="false" ht="12.8" hidden="false" customHeight="false" outlineLevel="0" collapsed="false">
      <c r="B71944" s="0" t="s">
        <v>1</v>
      </c>
      <c r="C71944" s="0" t="s">
        <v>214</v>
      </c>
      <c r="E71944" s="0" t="s">
        <v>147</v>
      </c>
      <c r="F71944" s="0" t="s">
        <v>215</v>
      </c>
    </row>
    <row r="71945" customFormat="false" ht="12.8" hidden="false" customHeight="false" outlineLevel="0" collapsed="false">
      <c r="B71945" s="0" t="s">
        <v>305</v>
      </c>
      <c r="C71945" s="0" t="s">
        <v>217</v>
      </c>
      <c r="E71945" s="0" t="s">
        <v>218</v>
      </c>
      <c r="F71945" s="0" t="s">
        <v>219</v>
      </c>
    </row>
    <row r="71947" customFormat="false" ht="12.8" hidden="false" customHeight="false" outlineLevel="0" collapsed="false">
      <c r="A71947" s="0" t="s">
        <v>23367</v>
      </c>
      <c r="B71947" s="0" t="str">
        <f aca="false">HYPERLINK("https://lindat.mff.cuni.cz/services/teitok/pdtc10/index.php?action=vallex&amp;frame=v-w9966f2", "zveřejnit (v-w9966f2)")</f>
        <v>zveřejnit (v-w9966f2)</v>
      </c>
      <c r="E71947" s="0" t="str">
        <f aca="false">HYPERLINK("https://lindat.mff.cuni.cz/services/SynSemClass40/SynSemClass40.html?veclass=vec00060#vec00060-ces-cm00166", "vec00060")</f>
        <v>vec00060</v>
      </c>
      <c r="F71947" s="0" t="s">
        <v>213</v>
      </c>
    </row>
    <row r="71948" customFormat="false" ht="12.8" hidden="false" customHeight="false" outlineLevel="0" collapsed="false">
      <c r="B71948" s="0" t="s">
        <v>1</v>
      </c>
      <c r="C71948" s="0" t="s">
        <v>214</v>
      </c>
      <c r="E71948" s="0" t="s">
        <v>147</v>
      </c>
      <c r="F71948" s="0" t="s">
        <v>215</v>
      </c>
    </row>
    <row r="71949" customFormat="false" ht="12.8" hidden="false" customHeight="false" outlineLevel="0" collapsed="false">
      <c r="B71949" s="0" t="s">
        <v>15552</v>
      </c>
      <c r="C71949" s="0" t="s">
        <v>2216</v>
      </c>
      <c r="E71949" s="0" t="s">
        <v>2217</v>
      </c>
      <c r="F71949" s="0" t="s">
        <v>2218</v>
      </c>
    </row>
    <row r="71950" customFormat="false" ht="12.8" hidden="false" customHeight="false" outlineLevel="0" collapsed="false">
      <c r="B71950" s="0" t="s">
        <v>496</v>
      </c>
      <c r="C71950" s="0" t="s">
        <v>217</v>
      </c>
      <c r="E71950" s="0" t="s">
        <v>218</v>
      </c>
      <c r="F71950" s="0" t="s">
        <v>219</v>
      </c>
    </row>
    <row r="71952" customFormat="false" ht="12.8" hidden="false" customHeight="false" outlineLevel="0" collapsed="false">
      <c r="A71952" s="0" t="s">
        <v>23368</v>
      </c>
      <c r="B71952" s="0" t="str">
        <f aca="false">HYPERLINK("https://lindat.mff.cuni.cz/services/teitok/pdtc10/index.php?action=vallex&amp;frame=v-w9968f1", "zveřejňovat (v-w9968f1)")</f>
        <v>zveřejňovat (v-w9968f1)</v>
      </c>
      <c r="E71952" s="0" t="str">
        <f aca="false">HYPERLINK("https://lindat.mff.cuni.cz/services/SynSemClass40/SynSemClass40.html?veclass=vec00060#vec00060-ces-cm00167", "vec00060")</f>
        <v>vec00060</v>
      </c>
      <c r="F71952" s="0" t="s">
        <v>213</v>
      </c>
    </row>
    <row r="71953" customFormat="false" ht="12.8" hidden="false" customHeight="false" outlineLevel="0" collapsed="false">
      <c r="B71953" s="0" t="s">
        <v>1</v>
      </c>
      <c r="C71953" s="0" t="s">
        <v>214</v>
      </c>
      <c r="E71953" s="0" t="s">
        <v>147</v>
      </c>
      <c r="F71953" s="0" t="s">
        <v>215</v>
      </c>
    </row>
    <row r="71954" customFormat="false" ht="12.8" hidden="false" customHeight="false" outlineLevel="0" collapsed="false">
      <c r="B71954" s="0" t="s">
        <v>8</v>
      </c>
      <c r="C71954" s="0" t="s">
        <v>217</v>
      </c>
      <c r="E71954" s="0" t="s">
        <v>218</v>
      </c>
      <c r="F71954" s="0" t="s">
        <v>219</v>
      </c>
    </row>
    <row r="71956" customFormat="false" ht="12.8" hidden="false" customHeight="false" outlineLevel="0" collapsed="false">
      <c r="A71956" s="0" t="s">
        <v>23369</v>
      </c>
      <c r="B71956" s="0" t="str">
        <f aca="false">HYPERLINK("https://lindat.mff.cuni.cz/services/teitok/pdtc10/index.php?action=vallex&amp;frame=v-w9968f2", "zveřejňovat (v-w9968f2)")</f>
        <v>zveřejňovat (v-w9968f2)</v>
      </c>
      <c r="E71956" s="0" t="str">
        <f aca="false">HYPERLINK("https://lindat.mff.cuni.cz/services/SynSemClass40/SynSemClass40.html?veclass=vec00060#vec00060-ces-cm00457", "vec00060")</f>
        <v>vec00060</v>
      </c>
      <c r="F71956" s="0" t="s">
        <v>213</v>
      </c>
    </row>
    <row r="71957" customFormat="false" ht="12.8" hidden="false" customHeight="false" outlineLevel="0" collapsed="false">
      <c r="B71957" s="0" t="s">
        <v>1</v>
      </c>
      <c r="C71957" s="0" t="s">
        <v>214</v>
      </c>
      <c r="E71957" s="0" t="s">
        <v>147</v>
      </c>
      <c r="F71957" s="0" t="s">
        <v>215</v>
      </c>
    </row>
    <row r="71958" customFormat="false" ht="12.8" hidden="false" customHeight="false" outlineLevel="0" collapsed="false">
      <c r="B71958" s="0" t="s">
        <v>15552</v>
      </c>
      <c r="C71958" s="0" t="s">
        <v>2216</v>
      </c>
      <c r="E71958" s="0" t="s">
        <v>2217</v>
      </c>
      <c r="F71958" s="0" t="s">
        <v>2218</v>
      </c>
    </row>
    <row r="71959" customFormat="false" ht="12.8" hidden="false" customHeight="false" outlineLevel="0" collapsed="false">
      <c r="B71959" s="0" t="s">
        <v>496</v>
      </c>
      <c r="C71959" s="0" t="s">
        <v>217</v>
      </c>
      <c r="E71959" s="0" t="s">
        <v>218</v>
      </c>
      <c r="F71959" s="0" t="s">
        <v>219</v>
      </c>
    </row>
    <row r="71961" customFormat="false" ht="12.8" hidden="false" customHeight="false" outlineLevel="0" collapsed="false">
      <c r="A71961" s="0" t="s">
        <v>23370</v>
      </c>
      <c r="B71961" s="0" t="str">
        <f aca="false">HYPERLINK("https://lindat.mff.cuni.cz/services/teitok/pdtc10/index.php?action=vallex&amp;frame=v-w9976f1", "zviditelnit (v-w9976f1)")</f>
        <v>zviditelnit (v-w9976f1)</v>
      </c>
    </row>
    <row r="71962" customFormat="false" ht="12.8" hidden="false" customHeight="false" outlineLevel="0" collapsed="false">
      <c r="B71962" s="0" t="s">
        <v>1</v>
      </c>
    </row>
    <row r="71963" customFormat="false" ht="12.8" hidden="false" customHeight="false" outlineLevel="0" collapsed="false">
      <c r="B71963" s="0" t="s">
        <v>8</v>
      </c>
    </row>
    <row r="71964" customFormat="false" ht="12.8" hidden="false" customHeight="false" outlineLevel="0" collapsed="false">
      <c r="B71964" s="0" t="s">
        <v>4248</v>
      </c>
    </row>
    <row r="71966" customFormat="false" ht="12.8" hidden="false" customHeight="false" outlineLevel="0" collapsed="false">
      <c r="A71966" s="0" t="s">
        <v>23371</v>
      </c>
      <c r="B71966" s="0" t="str">
        <f aca="false">HYPERLINK("https://lindat.mff.cuni.cz/services/teitok/pdtc10/index.php?action=vallex&amp;frame=v-w9976f2", "zviditelnit (v-w9976f2)")</f>
        <v>zviditelnit (v-w9976f2)</v>
      </c>
      <c r="E71966" s="0" t="str">
        <f aca="false">HYPERLINK("https://lindat.mff.cuni.cz/services/SynSemClass40/SynSemClass40.html?veclass=vec00514#vec00514-ces-cm00141", "vec00514")</f>
        <v>vec00514</v>
      </c>
      <c r="F71966" s="0" t="s">
        <v>5808</v>
      </c>
    </row>
    <row r="71967" customFormat="false" ht="12.8" hidden="false" customHeight="false" outlineLevel="0" collapsed="false">
      <c r="B71967" s="0" t="s">
        <v>1</v>
      </c>
      <c r="C71967" s="0" t="s">
        <v>5809</v>
      </c>
      <c r="E71967" s="0" t="s">
        <v>4243</v>
      </c>
      <c r="F71967" s="0" t="s">
        <v>5810</v>
      </c>
    </row>
    <row r="71968" customFormat="false" ht="12.8" hidden="false" customHeight="false" outlineLevel="0" collapsed="false">
      <c r="B71968" s="0" t="s">
        <v>8</v>
      </c>
      <c r="C71968" s="0" t="s">
        <v>5811</v>
      </c>
      <c r="E71968" s="0" t="s">
        <v>4246</v>
      </c>
      <c r="F71968" s="0" t="s">
        <v>5812</v>
      </c>
    </row>
    <row r="71970" customFormat="false" ht="12.8" hidden="false" customHeight="false" outlineLevel="0" collapsed="false">
      <c r="A71970" s="0" t="s">
        <v>23372</v>
      </c>
      <c r="B71970" s="0" t="str">
        <f aca="false">HYPERLINK("https://lindat.mff.cuni.cz/services/teitok/pdtc10/index.php?action=vallex&amp;frame=v-w11676_ZUf1_ZU", "zvlnit se (v-w11676_ZUf1_ZU)")</f>
        <v>zvlnit se (v-w11676_ZUf1_ZU)</v>
      </c>
      <c r="E71970" s="0" t="str">
        <f aca="false">HYPERLINK("https://lindat.mff.cuni.cz/services/SynSemClass40/SynSemClass40.html?veclass=vec00993#vec00993-ces-cm00008", "vec00993")</f>
        <v>vec00993</v>
      </c>
      <c r="F71970" s="0" t="s">
        <v>9590</v>
      </c>
      <c r="H71970" s="0" t="str">
        <f aca="false">HYPERLINK("https://lindat.mff.cuni.cz/services/SynSemClass40/SynSemClass40.html?veclass=vec01147#vec01147-ces-cm00004", "vec01147")</f>
        <v>vec01147</v>
      </c>
      <c r="I71970" s="0" t="s">
        <v>5429</v>
      </c>
    </row>
    <row r="71971" customFormat="false" ht="12.8" hidden="false" customHeight="false" outlineLevel="0" collapsed="false">
      <c r="B71971" s="0" t="s">
        <v>1</v>
      </c>
      <c r="C71971" s="0" t="s">
        <v>23373</v>
      </c>
      <c r="E71971" s="0" t="s">
        <v>235</v>
      </c>
      <c r="F71971" s="0" t="s">
        <v>9592</v>
      </c>
      <c r="H71971" s="0" t="s">
        <v>334</v>
      </c>
      <c r="I71971" s="0" t="s">
        <v>5432</v>
      </c>
    </row>
    <row r="71973" customFormat="false" ht="12.8" hidden="false" customHeight="false" outlineLevel="0" collapsed="false">
      <c r="A71973" s="0" t="s">
        <v>23374</v>
      </c>
      <c r="B71973" s="0" t="str">
        <f aca="false">HYPERLINK("https://lindat.mff.cuni.cz/services/teitok/pdtc10/index.php?action=vallex&amp;frame=v-w9979f1", "zvládat (v-w9979f1)")</f>
        <v>zvládat (v-w9979f1)</v>
      </c>
      <c r="E71973" s="0" t="str">
        <f aca="false">HYPERLINK("https://lindat.mff.cuni.cz/services/SynSemClass40/SynSemClass40.html?veclass=vec00212#vec00212-ces-cm00031", "vec00212")</f>
        <v>vec00212</v>
      </c>
      <c r="F71973" s="0" t="s">
        <v>2427</v>
      </c>
      <c r="H71973" s="0" t="str">
        <f aca="false">HYPERLINK("https://lindat.mff.cuni.cz/services/SynSemClass40/SynSemClass40.html?veclass=vec01455#vec01455-ces-cm00008", "vec01455")</f>
        <v>vec01455</v>
      </c>
      <c r="I71973" s="0" t="s">
        <v>888</v>
      </c>
    </row>
    <row r="71974" customFormat="false" ht="12.8" hidden="false" customHeight="false" outlineLevel="0" collapsed="false">
      <c r="B71974" s="0" t="s">
        <v>1</v>
      </c>
      <c r="C71974" s="0" t="s">
        <v>23375</v>
      </c>
      <c r="E71974" s="0" t="s">
        <v>11</v>
      </c>
      <c r="F71974" s="0" t="s">
        <v>2429</v>
      </c>
      <c r="H71974" s="0" t="s">
        <v>11</v>
      </c>
      <c r="I71974" s="0" t="s">
        <v>890</v>
      </c>
    </row>
    <row r="71975" customFormat="false" ht="12.8" hidden="false" customHeight="false" outlineLevel="0" collapsed="false">
      <c r="B71975" s="0" t="s">
        <v>402</v>
      </c>
      <c r="C71975" s="0" t="s">
        <v>23376</v>
      </c>
      <c r="E71975" s="0" t="s">
        <v>523</v>
      </c>
      <c r="F71975" s="0" t="s">
        <v>2431</v>
      </c>
      <c r="H71975" s="0" t="s">
        <v>893</v>
      </c>
      <c r="I71975" s="0" t="s">
        <v>894</v>
      </c>
    </row>
    <row r="71977" customFormat="false" ht="12.8" hidden="false" customHeight="false" outlineLevel="0" collapsed="false">
      <c r="A71977" s="0" t="s">
        <v>23377</v>
      </c>
      <c r="B71977" s="0" t="str">
        <f aca="false">HYPERLINK("https://lindat.mff.cuni.cz/services/teitok/pdtc10/index.php?action=vallex&amp;frame=v-w9979hsa_493", "zvládat (v-w9979hsa_493)")</f>
        <v>zvládat (v-w9979hsa_493)</v>
      </c>
      <c r="E71977" s="0" t="str">
        <f aca="false">HYPERLINK("https://lindat.mff.cuni.cz/services/SynSemClass40/SynSemClass40.html?veclass=vec00970#vec00970-ces-cm00038", "vec00970")</f>
        <v>vec00970</v>
      </c>
      <c r="F71977" s="0" t="s">
        <v>11407</v>
      </c>
    </row>
    <row r="71978" customFormat="false" ht="12.8" hidden="false" customHeight="false" outlineLevel="0" collapsed="false">
      <c r="B71978" s="0" t="s">
        <v>1</v>
      </c>
      <c r="C71978" s="0" t="s">
        <v>3000</v>
      </c>
      <c r="E71978" s="0" t="s">
        <v>266</v>
      </c>
      <c r="F71978" s="0" t="s">
        <v>11408</v>
      </c>
    </row>
    <row r="71979" customFormat="false" ht="12.8" hidden="false" customHeight="false" outlineLevel="0" collapsed="false">
      <c r="B71979" s="0" t="s">
        <v>8</v>
      </c>
      <c r="C71979" s="0" t="s">
        <v>531</v>
      </c>
      <c r="E71979" s="0" t="s">
        <v>532</v>
      </c>
      <c r="F71979" s="0" t="s">
        <v>11409</v>
      </c>
    </row>
    <row r="71981" customFormat="false" ht="12.8" hidden="false" customHeight="false" outlineLevel="0" collapsed="false">
      <c r="A71981" s="0" t="s">
        <v>23378</v>
      </c>
      <c r="B71981" s="0" t="str">
        <f aca="false">HYPERLINK("https://lindat.mff.cuni.cz/services/teitok/pdtc10/index.php?action=vallex&amp;frame=v-w9979f2_ZU", "zvládat (v-w9979f2_ZU)")</f>
        <v>zvládat (v-w9979f2_ZU)</v>
      </c>
    </row>
    <row r="71982" customFormat="false" ht="12.8" hidden="false" customHeight="false" outlineLevel="0" collapsed="false">
      <c r="B71982" s="0" t="s">
        <v>1</v>
      </c>
    </row>
    <row r="71983" customFormat="false" ht="12.8" hidden="false" customHeight="false" outlineLevel="0" collapsed="false">
      <c r="B71983" s="0" t="s">
        <v>8</v>
      </c>
    </row>
    <row r="71985" customFormat="false" ht="12.8" hidden="false" customHeight="false" outlineLevel="0" collapsed="false">
      <c r="A71985" s="0" t="s">
        <v>23378</v>
      </c>
      <c r="B71985" s="0" t="str">
        <f aca="false">HYPERLINK("https://lindat.mff.cuni.cz/services/teitok/pdtc10/index.php?action=vallex&amp;frame=v-w9979hsa_494", "zvládat (v-w9979hsa_494) - substituted with v-w9979f2_ZU")</f>
        <v>zvládat (v-w9979hsa_494) - substituted with v-w9979f2_ZU</v>
      </c>
    </row>
    <row r="71986" customFormat="false" ht="12.8" hidden="false" customHeight="false" outlineLevel="0" collapsed="false">
      <c r="B71986" s="0" t="s">
        <v>1</v>
      </c>
    </row>
    <row r="71987" customFormat="false" ht="12.8" hidden="false" customHeight="false" outlineLevel="0" collapsed="false">
      <c r="B71987" s="0" t="s">
        <v>8</v>
      </c>
    </row>
    <row r="71989" customFormat="false" ht="12.8" hidden="false" customHeight="false" outlineLevel="0" collapsed="false">
      <c r="A71989" s="0" t="s">
        <v>23379</v>
      </c>
      <c r="B71989" s="0" t="str">
        <f aca="false">HYPERLINK("https://lindat.mff.cuni.cz/services/teitok/pdtc10/index.php?action=vallex&amp;frame=v-w9980f5_ZU", "zvládnout (v-w9980f5_ZU)")</f>
        <v>zvládnout (v-w9980f5_ZU)</v>
      </c>
    </row>
    <row r="71990" customFormat="false" ht="12.8" hidden="false" customHeight="false" outlineLevel="0" collapsed="false">
      <c r="B71990" s="0" t="s">
        <v>1</v>
      </c>
    </row>
    <row r="71991" customFormat="false" ht="12.8" hidden="false" customHeight="false" outlineLevel="0" collapsed="false">
      <c r="B71991" s="0" t="s">
        <v>1682</v>
      </c>
    </row>
    <row r="71993" customFormat="false" ht="12.8" hidden="false" customHeight="false" outlineLevel="0" collapsed="false">
      <c r="A71993" s="0" t="s">
        <v>23379</v>
      </c>
      <c r="B71993" s="0" t="str">
        <f aca="false">HYPERLINK("https://lindat.mff.cuni.cz/services/teitok/pdtc10/index.php?action=vallex&amp;frame=v-w9980f1", "zvládnout (v-w9980f1) - substituted with v-w9980f5_ZU")</f>
        <v>zvládnout (v-w9980f1) - substituted with v-w9980f5_ZU</v>
      </c>
      <c r="E71993" s="0" t="str">
        <f aca="false">HYPERLINK("https://lindat.mff.cuni.cz/services/SynSemClass40/SynSemClass40.html?veclass=vec00212#vec00212-ces-cm00032", "vec00212")</f>
        <v>vec00212</v>
      </c>
      <c r="F71993" s="0" t="s">
        <v>2427</v>
      </c>
      <c r="H71993" s="0" t="str">
        <f aca="false">HYPERLINK("https://lindat.mff.cuni.cz/services/SynSemClass40/SynSemClass40.html?veclass=vec01455#vec01455-ces-cm00009", "vec01455")</f>
        <v>vec01455</v>
      </c>
      <c r="I71993" s="0" t="s">
        <v>888</v>
      </c>
    </row>
    <row r="71994" customFormat="false" ht="12.8" hidden="false" customHeight="false" outlineLevel="0" collapsed="false">
      <c r="B71994" s="0" t="s">
        <v>1</v>
      </c>
      <c r="C71994" s="0" t="s">
        <v>23375</v>
      </c>
      <c r="E71994" s="0" t="s">
        <v>11</v>
      </c>
      <c r="F71994" s="0" t="s">
        <v>2429</v>
      </c>
      <c r="H71994" s="0" t="s">
        <v>11</v>
      </c>
      <c r="I71994" s="0" t="s">
        <v>890</v>
      </c>
    </row>
    <row r="71995" customFormat="false" ht="12.8" hidden="false" customHeight="false" outlineLevel="0" collapsed="false">
      <c r="B71995" s="0" t="s">
        <v>1682</v>
      </c>
      <c r="C71995" s="0" t="s">
        <v>23376</v>
      </c>
      <c r="E71995" s="0" t="s">
        <v>523</v>
      </c>
      <c r="F71995" s="0" t="s">
        <v>2431</v>
      </c>
      <c r="H71995" s="0" t="s">
        <v>893</v>
      </c>
      <c r="I71995" s="0" t="s">
        <v>894</v>
      </c>
    </row>
    <row r="71997" customFormat="false" ht="12.8" hidden="false" customHeight="false" outlineLevel="0" collapsed="false">
      <c r="A71997" s="0" t="s">
        <v>23380</v>
      </c>
      <c r="B71997" s="0" t="str">
        <f aca="false">HYPERLINK("https://lindat.mff.cuni.cz/services/teitok/pdtc10/index.php?action=vallex&amp;frame=v-w9980f2_ZU", "zvládnout (v-w9980f2_ZU)")</f>
        <v>zvládnout (v-w9980f2_ZU)</v>
      </c>
      <c r="E71997" s="0" t="str">
        <f aca="false">HYPERLINK("https://lindat.mff.cuni.cz/services/SynSemClass40/SynSemClass40.html?veclass=vec00212#vec00212-ces-cm00040", "vec00212")</f>
        <v>vec00212</v>
      </c>
      <c r="F71997" s="0" t="s">
        <v>2427</v>
      </c>
    </row>
    <row r="71998" customFormat="false" ht="12.8" hidden="false" customHeight="false" outlineLevel="0" collapsed="false">
      <c r="B71998" s="0" t="s">
        <v>1</v>
      </c>
      <c r="C71998" s="0" t="s">
        <v>9546</v>
      </c>
      <c r="E71998" s="0" t="s">
        <v>11</v>
      </c>
      <c r="F71998" s="0" t="s">
        <v>2429</v>
      </c>
    </row>
    <row r="71999" customFormat="false" ht="12.8" hidden="false" customHeight="false" outlineLevel="0" collapsed="false">
      <c r="B71999" s="0" t="s">
        <v>23381</v>
      </c>
    </row>
    <row r="72000" customFormat="false" ht="12.8" hidden="false" customHeight="false" outlineLevel="0" collapsed="false">
      <c r="B72000" s="0" t="s">
        <v>8</v>
      </c>
      <c r="C72000" s="0" t="s">
        <v>23382</v>
      </c>
      <c r="E72000" s="0" t="s">
        <v>523</v>
      </c>
      <c r="F72000" s="0" t="s">
        <v>2431</v>
      </c>
    </row>
    <row r="72002" customFormat="false" ht="12.8" hidden="false" customHeight="false" outlineLevel="0" collapsed="false">
      <c r="A72002" s="0" t="s">
        <v>23383</v>
      </c>
      <c r="B72002" s="0" t="str">
        <f aca="false">HYPERLINK("https://lindat.mff.cuni.cz/services/teitok/pdtc10/index.php?action=vallex&amp;frame=v-w9980f4_ZU", "zvládnout (v-w9980f4_ZU)")</f>
        <v>zvládnout (v-w9980f4_ZU)</v>
      </c>
    </row>
    <row r="72003" customFormat="false" ht="12.8" hidden="false" customHeight="false" outlineLevel="0" collapsed="false">
      <c r="B72003" s="0" t="s">
        <v>1</v>
      </c>
    </row>
    <row r="72004" customFormat="false" ht="12.8" hidden="false" customHeight="false" outlineLevel="0" collapsed="false">
      <c r="B72004" s="0" t="s">
        <v>8</v>
      </c>
    </row>
    <row r="72006" customFormat="false" ht="12.8" hidden="false" customHeight="false" outlineLevel="0" collapsed="false">
      <c r="A72006" s="0" t="s">
        <v>23383</v>
      </c>
      <c r="B72006" s="0" t="str">
        <f aca="false">HYPERLINK("https://lindat.mff.cuni.cz/services/teitok/pdtc10/index.php?action=vallex&amp;frame=v-w9980f3_ZU", "zvládnout (v-w9980f3_ZU) - substituted with v-w9980f4_ZU")</f>
        <v>zvládnout (v-w9980f3_ZU) - substituted with v-w9980f4_ZU</v>
      </c>
      <c r="E72006" s="0" t="str">
        <f aca="false">HYPERLINK("https://lindat.mff.cuni.cz/services/SynSemClass40/SynSemClass40.html?veclass=vec00970#vec00970-ces-cm00031", "vec00970")</f>
        <v>vec00970</v>
      </c>
      <c r="F72006" s="0" t="s">
        <v>11407</v>
      </c>
    </row>
    <row r="72007" customFormat="false" ht="12.8" hidden="false" customHeight="false" outlineLevel="0" collapsed="false">
      <c r="B72007" s="0" t="s">
        <v>1</v>
      </c>
      <c r="C72007" s="0" t="s">
        <v>3000</v>
      </c>
      <c r="E72007" s="0" t="s">
        <v>266</v>
      </c>
      <c r="F72007" s="0" t="s">
        <v>11408</v>
      </c>
    </row>
    <row r="72008" customFormat="false" ht="12.8" hidden="false" customHeight="false" outlineLevel="0" collapsed="false">
      <c r="B72008" s="0" t="s">
        <v>8</v>
      </c>
      <c r="C72008" s="0" t="s">
        <v>531</v>
      </c>
      <c r="E72008" s="0" t="s">
        <v>532</v>
      </c>
      <c r="F72008" s="0" t="s">
        <v>11409</v>
      </c>
    </row>
    <row r="72010" customFormat="false" ht="12.8" hidden="false" customHeight="false" outlineLevel="0" collapsed="false">
      <c r="A72010" s="0" t="s">
        <v>23384</v>
      </c>
      <c r="B72010" s="0" t="str">
        <f aca="false">HYPERLINK("https://lindat.mff.cuni.cz/services/teitok/pdtc10/index.php?action=vallex&amp;frame=v-w9980f6_ZU", "zvládnout (v-w9980f6_ZU)")</f>
        <v>zvládnout (v-w9980f6_ZU)</v>
      </c>
    </row>
    <row r="72011" customFormat="false" ht="12.8" hidden="false" customHeight="false" outlineLevel="0" collapsed="false">
      <c r="B72011" s="0" t="s">
        <v>1</v>
      </c>
    </row>
    <row r="72012" customFormat="false" ht="12.8" hidden="false" customHeight="false" outlineLevel="0" collapsed="false">
      <c r="B72012" s="0" t="s">
        <v>8</v>
      </c>
    </row>
    <row r="72014" customFormat="false" ht="12.8" hidden="false" customHeight="false" outlineLevel="0" collapsed="false">
      <c r="A72014" s="0" t="s">
        <v>23385</v>
      </c>
      <c r="B72014" s="0" t="str">
        <f aca="false">HYPERLINK("https://lindat.mff.cuni.cz/services/teitok/pdtc10/index.php?action=vallex&amp;frame=v-w9980hsa_1702", "zvládnout (v-w9980hsa_1702)")</f>
        <v>zvládnout (v-w9980hsa_1702)</v>
      </c>
    </row>
    <row r="72015" customFormat="false" ht="12.8" hidden="false" customHeight="false" outlineLevel="0" collapsed="false">
      <c r="B72015" s="0" t="s">
        <v>1</v>
      </c>
    </row>
    <row r="72016" customFormat="false" ht="12.8" hidden="false" customHeight="false" outlineLevel="0" collapsed="false">
      <c r="B72016" s="0" t="s">
        <v>8</v>
      </c>
    </row>
    <row r="72018" customFormat="false" ht="12.8" hidden="false" customHeight="false" outlineLevel="0" collapsed="false">
      <c r="A72018" s="0" t="s">
        <v>23386</v>
      </c>
      <c r="B72018" s="0" t="str">
        <f aca="false">HYPERLINK("https://lindat.mff.cuni.cz/services/teitok/pdtc10/index.php?action=vallex&amp;frame=v-w9983f1", "zvolat (v-w9983f1)")</f>
        <v>zvolat (v-w9983f1)</v>
      </c>
      <c r="E72018" s="0" t="str">
        <f aca="false">HYPERLINK("https://lindat.mff.cuni.cz/services/SynSemClass40/SynSemClass40.html?veclass=vec00426#vec00426-ces-cm00010", "vec00426")</f>
        <v>vec00426</v>
      </c>
      <c r="F72018" s="0" t="s">
        <v>4756</v>
      </c>
    </row>
    <row r="72019" customFormat="false" ht="12.8" hidden="false" customHeight="false" outlineLevel="0" collapsed="false">
      <c r="B72019" s="0" t="s">
        <v>1</v>
      </c>
      <c r="C72019" s="0" t="s">
        <v>4725</v>
      </c>
      <c r="E72019" s="0" t="s">
        <v>147</v>
      </c>
      <c r="F72019" s="0" t="s">
        <v>4757</v>
      </c>
    </row>
    <row r="72020" customFormat="false" ht="12.8" hidden="false" customHeight="false" outlineLevel="0" collapsed="false">
      <c r="B72020" s="0" t="s">
        <v>4977</v>
      </c>
      <c r="C72020" s="0" t="s">
        <v>4627</v>
      </c>
      <c r="E72020" s="0" t="s">
        <v>218</v>
      </c>
      <c r="F72020" s="0" t="s">
        <v>4978</v>
      </c>
    </row>
    <row r="72021" customFormat="false" ht="12.8" hidden="false" customHeight="false" outlineLevel="0" collapsed="false">
      <c r="B72021" s="0" t="s">
        <v>4688</v>
      </c>
      <c r="C72021" s="0" t="s">
        <v>4761</v>
      </c>
      <c r="E72021" s="0" t="s">
        <v>564</v>
      </c>
      <c r="F72021" s="0" t="s">
        <v>4762</v>
      </c>
    </row>
    <row r="72023" customFormat="false" ht="12.8" hidden="false" customHeight="false" outlineLevel="0" collapsed="false">
      <c r="A72023" s="0" t="s">
        <v>23387</v>
      </c>
      <c r="B72023" s="0" t="str">
        <f aca="false">HYPERLINK("https://lindat.mff.cuni.cz/services/teitok/pdtc10/index.php?action=vallex&amp;frame=v-w9986f3_ZU", "zvolit (v-w9986f3_ZU)")</f>
        <v>zvolit (v-w9986f3_ZU)</v>
      </c>
    </row>
    <row r="72024" customFormat="false" ht="12.8" hidden="false" customHeight="false" outlineLevel="0" collapsed="false">
      <c r="B72024" s="0" t="s">
        <v>1</v>
      </c>
    </row>
    <row r="72025" customFormat="false" ht="12.8" hidden="false" customHeight="false" outlineLevel="0" collapsed="false">
      <c r="B72025" s="0" t="s">
        <v>23388</v>
      </c>
    </row>
    <row r="72026" customFormat="false" ht="12.8" hidden="false" customHeight="false" outlineLevel="0" collapsed="false">
      <c r="B72026" s="0" t="s">
        <v>15060</v>
      </c>
    </row>
    <row r="72028" customFormat="false" ht="12.8" hidden="false" customHeight="false" outlineLevel="0" collapsed="false">
      <c r="A72028" s="0" t="s">
        <v>23387</v>
      </c>
      <c r="B72028" s="0" t="str">
        <f aca="false">HYPERLINK("https://lindat.mff.cuni.cz/services/teitok/pdtc10/index.php?action=vallex&amp;frame=v-w9986f1", "zvolit (v-w9986f1) - substituted with v-w9986f3_ZU")</f>
        <v>zvolit (v-w9986f1) - substituted with v-w9986f3_ZU</v>
      </c>
      <c r="E72028" s="0" t="str">
        <f aca="false">HYPERLINK("https://lindat.mff.cuni.cz/services/SynSemClass40/SynSemClass40.html?veclass=vec00106#vec00106-ces-cm00059", "vec00106")</f>
        <v>vec00106</v>
      </c>
      <c r="F72028" s="0" t="s">
        <v>15055</v>
      </c>
    </row>
    <row r="72029" customFormat="false" ht="12.8" hidden="false" customHeight="false" outlineLevel="0" collapsed="false">
      <c r="B72029" s="0" t="s">
        <v>1</v>
      </c>
      <c r="C72029" s="0" t="s">
        <v>15056</v>
      </c>
      <c r="E72029" s="0" t="s">
        <v>621</v>
      </c>
      <c r="F72029" s="0" t="s">
        <v>15057</v>
      </c>
    </row>
    <row r="72030" customFormat="false" ht="12.8" hidden="false" customHeight="false" outlineLevel="0" collapsed="false">
      <c r="B72030" s="0" t="s">
        <v>23388</v>
      </c>
      <c r="C72030" s="0" t="s">
        <v>15058</v>
      </c>
      <c r="E72030" s="0" t="s">
        <v>4297</v>
      </c>
      <c r="F72030" s="0" t="s">
        <v>15059</v>
      </c>
    </row>
    <row r="72031" customFormat="false" ht="12.8" hidden="false" customHeight="false" outlineLevel="0" collapsed="false">
      <c r="B72031" s="0" t="s">
        <v>15060</v>
      </c>
      <c r="C72031" s="0" t="s">
        <v>15061</v>
      </c>
      <c r="E72031" s="0" t="s">
        <v>15062</v>
      </c>
      <c r="F72031" s="0" t="s">
        <v>15063</v>
      </c>
    </row>
    <row r="72033" customFormat="false" ht="12.8" hidden="false" customHeight="false" outlineLevel="0" collapsed="false">
      <c r="A72033" s="0" t="s">
        <v>23387</v>
      </c>
      <c r="B72033" s="0" t="str">
        <f aca="false">HYPERLINK("https://lindat.mff.cuni.cz/services/teitok/pdtc10/index.php?action=vallex&amp;frame=v-w9986hsa_685", "zvolit (v-w9986hsa_685) - substituted with v-w9986f3_ZU")</f>
        <v>zvolit (v-w9986hsa_685) - substituted with v-w9986f3_ZU</v>
      </c>
    </row>
    <row r="72034" customFormat="false" ht="12.8" hidden="false" customHeight="false" outlineLevel="0" collapsed="false">
      <c r="B72034" s="0" t="s">
        <v>1</v>
      </c>
    </row>
    <row r="72035" customFormat="false" ht="12.8" hidden="false" customHeight="false" outlineLevel="0" collapsed="false">
      <c r="B72035" s="0" t="s">
        <v>23388</v>
      </c>
    </row>
    <row r="72036" customFormat="false" ht="12.8" hidden="false" customHeight="false" outlineLevel="0" collapsed="false">
      <c r="B72036" s="0" t="s">
        <v>15060</v>
      </c>
    </row>
    <row r="72038" customFormat="false" ht="12.8" hidden="false" customHeight="false" outlineLevel="0" collapsed="false">
      <c r="A72038" s="0" t="s">
        <v>23389</v>
      </c>
      <c r="B72038" s="0" t="str">
        <f aca="false">HYPERLINK("https://lindat.mff.cuni.cz/services/teitok/pdtc10/index.php?action=vallex&amp;frame=v-w9986f2", "zvolit (v-w9986f2)")</f>
        <v>zvolit (v-w9986f2)</v>
      </c>
      <c r="E72038" s="0" t="str">
        <f aca="false">HYPERLINK("https://lindat.mff.cuni.cz/services/SynSemClass40/SynSemClass40.html?veclass=vec00228#vec00228-ces-cm00006", "vec00228")</f>
        <v>vec00228</v>
      </c>
      <c r="F72038" s="0" t="s">
        <v>5000</v>
      </c>
    </row>
    <row r="72039" customFormat="false" ht="12.8" hidden="false" customHeight="false" outlineLevel="0" collapsed="false">
      <c r="B72039" s="0" t="s">
        <v>1</v>
      </c>
      <c r="C72039" s="0" t="s">
        <v>5001</v>
      </c>
      <c r="E72039" s="0" t="s">
        <v>206</v>
      </c>
      <c r="F72039" s="0" t="s">
        <v>5002</v>
      </c>
    </row>
    <row r="72040" customFormat="false" ht="12.8" hidden="false" customHeight="false" outlineLevel="0" collapsed="false">
      <c r="B72040" s="0" t="s">
        <v>8</v>
      </c>
      <c r="C72040" s="0" t="s">
        <v>5003</v>
      </c>
      <c r="E72040" s="0" t="s">
        <v>4297</v>
      </c>
      <c r="F72040" s="0" t="s">
        <v>5004</v>
      </c>
    </row>
    <row r="72041" customFormat="false" ht="12.8" hidden="false" customHeight="false" outlineLevel="0" collapsed="false">
      <c r="B72041" s="0" t="s">
        <v>5350</v>
      </c>
      <c r="C72041" s="0" t="s">
        <v>5006</v>
      </c>
      <c r="E72041" s="0" t="s">
        <v>5007</v>
      </c>
      <c r="F72041" s="0" t="s">
        <v>5008</v>
      </c>
    </row>
    <row r="72043" customFormat="false" ht="12.8" hidden="false" customHeight="false" outlineLevel="0" collapsed="false">
      <c r="A72043" s="0" t="s">
        <v>23390</v>
      </c>
      <c r="B72043" s="0" t="str">
        <f aca="false">HYPERLINK("https://lindat.mff.cuni.cz/services/teitok/pdtc10/index.php?action=vallex&amp;frame=v-w10348f2", "zvolnit (v-w10348f2)")</f>
        <v>zvolnit (v-w10348f2)</v>
      </c>
    </row>
    <row r="72044" customFormat="false" ht="12.8" hidden="false" customHeight="false" outlineLevel="0" collapsed="false">
      <c r="B72044" s="0" t="s">
        <v>1</v>
      </c>
    </row>
    <row r="72045" customFormat="false" ht="12.8" hidden="false" customHeight="false" outlineLevel="0" collapsed="false">
      <c r="B72045" s="0" t="s">
        <v>8</v>
      </c>
    </row>
    <row r="72047" customFormat="false" ht="12.8" hidden="false" customHeight="false" outlineLevel="0" collapsed="false">
      <c r="A72047" s="0" t="s">
        <v>23391</v>
      </c>
      <c r="B72047" s="0" t="str">
        <f aca="false">HYPERLINK("https://lindat.mff.cuni.cz/services/teitok/pdtc10/index.php?action=vallex&amp;frame=v-w11118f2", "zvonit (v-w11118f2)")</f>
        <v>zvonit (v-w11118f2)</v>
      </c>
      <c r="E72047" s="0" t="str">
        <f aca="false">HYPERLINK("https://lindat.mff.cuni.cz/services/SynSemClass40/SynSemClass40.html?veclass=vec01195#vec01195-ces-cm00001", "vec01195")</f>
        <v>vec01195</v>
      </c>
      <c r="F72047" s="0" t="s">
        <v>23392</v>
      </c>
    </row>
    <row r="72048" customFormat="false" ht="12.8" hidden="false" customHeight="false" outlineLevel="0" collapsed="false">
      <c r="B72048" s="0" t="s">
        <v>1</v>
      </c>
      <c r="C72048" s="0" t="s">
        <v>5344</v>
      </c>
      <c r="E72048" s="0" t="s">
        <v>472</v>
      </c>
      <c r="F72048" s="0" t="s">
        <v>23393</v>
      </c>
    </row>
    <row r="72050" customFormat="false" ht="12.8" hidden="false" customHeight="false" outlineLevel="0" collapsed="false">
      <c r="A72050" s="0" t="s">
        <v>23394</v>
      </c>
      <c r="B72050" s="0" t="str">
        <f aca="false">HYPERLINK("https://lindat.mff.cuni.cz/services/teitok/pdtc10/index.php?action=vallex&amp;frame=v-w11118f5_ZU", "zvonit (v-w11118f5_ZU)")</f>
        <v>zvonit (v-w11118f5_ZU)</v>
      </c>
    </row>
    <row r="72051" customFormat="false" ht="12.8" hidden="false" customHeight="false" outlineLevel="0" collapsed="false">
      <c r="B72051" s="0" t="s">
        <v>1</v>
      </c>
    </row>
    <row r="72053" customFormat="false" ht="12.8" hidden="false" customHeight="false" outlineLevel="0" collapsed="false">
      <c r="A72053" s="0" t="s">
        <v>23394</v>
      </c>
      <c r="B72053" s="0" t="str">
        <f aca="false">HYPERLINK("https://lindat.mff.cuni.cz/services/teitok/pdtc10/index.php?action=vallex&amp;frame=v-w11118f4_ZU", "zvonit (v-w11118f4_ZU) - substituted with v-w11118f5_ZU")</f>
        <v>zvonit (v-w11118f4_ZU) - substituted with v-w11118f5_ZU</v>
      </c>
      <c r="E72053" s="0" t="str">
        <f aca="false">HYPERLINK("https://lindat.mff.cuni.cz/services/SynSemClass40/SynSemClass40.html?veclass=vec01196#vec01196-ces-cm00001", "vec01196")</f>
        <v>vec01196</v>
      </c>
      <c r="F72053" s="0" t="s">
        <v>1663</v>
      </c>
    </row>
    <row r="72054" customFormat="false" ht="12.8" hidden="false" customHeight="false" outlineLevel="0" collapsed="false">
      <c r="B72054" s="0" t="s">
        <v>1</v>
      </c>
      <c r="C72054" s="0" t="s">
        <v>1664</v>
      </c>
      <c r="E72054" s="0" t="s">
        <v>1665</v>
      </c>
      <c r="F72054" s="0" t="s">
        <v>1666</v>
      </c>
    </row>
    <row r="72056" customFormat="false" ht="12.8" hidden="false" customHeight="false" outlineLevel="0" collapsed="false">
      <c r="A72056" s="0" t="s">
        <v>23394</v>
      </c>
      <c r="B72056" s="0" t="str">
        <f aca="false">HYPERLINK("https://lindat.mff.cuni.cz/services/teitok/pdtc10/index.php?action=vallex&amp;frame=v-w11118hsa_1057", "zvonit (v-w11118hsa_1057) - substituted with v-w11118f5_ZU")</f>
        <v>zvonit (v-w11118hsa_1057) - substituted with v-w11118f5_ZU</v>
      </c>
    </row>
    <row r="72057" customFormat="false" ht="12.8" hidden="false" customHeight="false" outlineLevel="0" collapsed="false">
      <c r="B72057" s="0" t="s">
        <v>1</v>
      </c>
    </row>
    <row r="72059" customFormat="false" ht="12.8" hidden="false" customHeight="false" outlineLevel="0" collapsed="false">
      <c r="A72059" s="0" t="s">
        <v>23395</v>
      </c>
      <c r="B72059" s="0" t="str">
        <f aca="false">HYPERLINK("https://lindat.mff.cuni.cz/services/teitok/pdtc10/index.php?action=vallex&amp;frame=v-w11118f3_ZU", "zvonit (v-w11118f3_ZU)")</f>
        <v>zvonit (v-w11118f3_ZU)</v>
      </c>
    </row>
    <row r="72060" customFormat="false" ht="12.8" hidden="false" customHeight="false" outlineLevel="0" collapsed="false">
      <c r="B72060" s="0" t="s">
        <v>1</v>
      </c>
    </row>
    <row r="72061" customFormat="false" ht="12.8" hidden="false" customHeight="false" outlineLevel="0" collapsed="false">
      <c r="B72061" s="0" t="s">
        <v>23396</v>
      </c>
    </row>
    <row r="72062" customFormat="false" ht="12.8" hidden="false" customHeight="false" outlineLevel="0" collapsed="false">
      <c r="B72062" s="0" t="s">
        <v>186</v>
      </c>
    </row>
    <row r="72064" customFormat="false" ht="12.8" hidden="false" customHeight="false" outlineLevel="0" collapsed="false">
      <c r="A72064" s="0" t="s">
        <v>23395</v>
      </c>
      <c r="B72064" s="0" t="str">
        <f aca="false">HYPERLINK("https://lindat.mff.cuni.cz/services/teitok/pdtc10/index.php?action=vallex&amp;frame=v-w11118hsa_1058", "zvonit (v-w11118hsa_1058) - substituted with v-w11118f3_ZU")</f>
        <v>zvonit (v-w11118hsa_1058) - substituted with v-w11118f3_ZU</v>
      </c>
    </row>
    <row r="72065" customFormat="false" ht="12.8" hidden="false" customHeight="false" outlineLevel="0" collapsed="false">
      <c r="B72065" s="0" t="s">
        <v>1</v>
      </c>
    </row>
    <row r="72066" customFormat="false" ht="12.8" hidden="false" customHeight="false" outlineLevel="0" collapsed="false">
      <c r="B72066" s="0" t="s">
        <v>23396</v>
      </c>
    </row>
    <row r="72067" customFormat="false" ht="12.8" hidden="false" customHeight="false" outlineLevel="0" collapsed="false">
      <c r="B72067" s="0" t="s">
        <v>186</v>
      </c>
    </row>
    <row r="72069" customFormat="false" ht="12.8" hidden="false" customHeight="false" outlineLevel="0" collapsed="false">
      <c r="A72069" s="0" t="s">
        <v>23397</v>
      </c>
      <c r="B72069" s="0" t="str">
        <f aca="false">HYPERLINK("https://lindat.mff.cuni.cz/services/teitok/pdtc10/index.php?action=vallex&amp;frame=v-w11878_ZUf1_ZU", "zvorat (v-w11878_ZUf1_ZU)")</f>
        <v>zvorat (v-w11878_ZUf1_ZU)</v>
      </c>
    </row>
    <row r="72070" customFormat="false" ht="12.8" hidden="false" customHeight="false" outlineLevel="0" collapsed="false">
      <c r="B72070" s="0" t="s">
        <v>1</v>
      </c>
    </row>
    <row r="72071" customFormat="false" ht="12.8" hidden="false" customHeight="false" outlineLevel="0" collapsed="false">
      <c r="B72071" s="0" t="s">
        <v>8</v>
      </c>
    </row>
    <row r="72073" customFormat="false" ht="12.8" hidden="false" customHeight="false" outlineLevel="0" collapsed="false">
      <c r="A72073" s="0" t="s">
        <v>23398</v>
      </c>
      <c r="B72073" s="0" t="str">
        <f aca="false">HYPERLINK("https://lindat.mff.cuni.cz/services/teitok/pdtc10/index.php?action=vallex&amp;frame=v-w9989f1", "zvracet (v-w9989f1)")</f>
        <v>zvracet (v-w9989f1)</v>
      </c>
    </row>
    <row r="72074" customFormat="false" ht="12.8" hidden="false" customHeight="false" outlineLevel="0" collapsed="false">
      <c r="B72074" s="0" t="s">
        <v>1</v>
      </c>
    </row>
    <row r="72076" customFormat="false" ht="12.8" hidden="false" customHeight="false" outlineLevel="0" collapsed="false">
      <c r="A72076" s="0" t="s">
        <v>23399</v>
      </c>
      <c r="B72076" s="0" t="str">
        <f aca="false">HYPERLINK("https://lindat.mff.cuni.cz/services/teitok/pdtc10/index.php?action=vallex&amp;frame=v-w9992f1", "zvrhnout se (v-w9992f1)")</f>
        <v>zvrhnout se (v-w9992f1)</v>
      </c>
      <c r="E72076" s="0" t="str">
        <f aca="false">HYPERLINK("https://lindat.mff.cuni.cz/services/SynSemClass40/SynSemClass40.html?veclass=vec01198#vec01198-ces-cm00001", "vec01198")</f>
        <v>vec01198</v>
      </c>
      <c r="F72076" s="0" t="s">
        <v>23400</v>
      </c>
    </row>
    <row r="72077" customFormat="false" ht="12.8" hidden="false" customHeight="false" outlineLevel="0" collapsed="false">
      <c r="B72077" s="0" t="s">
        <v>1</v>
      </c>
      <c r="C72077" s="0" t="s">
        <v>5344</v>
      </c>
      <c r="E72077" s="0" t="s">
        <v>84</v>
      </c>
      <c r="F72077" s="0" t="s">
        <v>8549</v>
      </c>
    </row>
    <row r="72078" customFormat="false" ht="12.8" hidden="false" customHeight="false" outlineLevel="0" collapsed="false">
      <c r="B72078" s="0" t="s">
        <v>2715</v>
      </c>
      <c r="C72078" s="0" t="s">
        <v>23401</v>
      </c>
      <c r="E72078" s="0" t="s">
        <v>532</v>
      </c>
      <c r="F72078" s="0" t="s">
        <v>23402</v>
      </c>
    </row>
    <row r="72080" customFormat="false" ht="12.8" hidden="false" customHeight="false" outlineLevel="0" collapsed="false">
      <c r="A72080" s="0" t="s">
        <v>23403</v>
      </c>
      <c r="B72080" s="0" t="str">
        <f aca="false">HYPERLINK("https://lindat.mff.cuni.cz/services/teitok/pdtc10/index.php?action=vallex&amp;frame=v-w9992hsa_1517", "zvrhnout se (v-w9992hsa_1517)")</f>
        <v>zvrhnout se (v-w9992hsa_1517)</v>
      </c>
    </row>
    <row r="72081" customFormat="false" ht="12.8" hidden="false" customHeight="false" outlineLevel="0" collapsed="false">
      <c r="B72081" s="0" t="s">
        <v>1</v>
      </c>
    </row>
    <row r="72083" customFormat="false" ht="12.8" hidden="false" customHeight="false" outlineLevel="0" collapsed="false">
      <c r="A72083" s="0" t="s">
        <v>23404</v>
      </c>
      <c r="B72083" s="0" t="str">
        <f aca="false">HYPERLINK("https://lindat.mff.cuni.cz/services/teitok/pdtc10/index.php?action=vallex&amp;frame=v-w11281f2", "zvrtnout se (v-w11281f2)")</f>
        <v>zvrtnout se (v-w11281f2)</v>
      </c>
    </row>
    <row r="72084" customFormat="false" ht="12.8" hidden="false" customHeight="false" outlineLevel="0" collapsed="false">
      <c r="B72084" s="0" t="s">
        <v>1</v>
      </c>
    </row>
    <row r="72086" customFormat="false" ht="12.8" hidden="false" customHeight="false" outlineLevel="0" collapsed="false">
      <c r="A72086" s="0" t="s">
        <v>23405</v>
      </c>
      <c r="B72086" s="0" t="str">
        <f aca="false">HYPERLINK("https://lindat.mff.cuni.cz/services/teitok/pdtc10/index.php?action=vallex&amp;frame=v-w9991f2_ZU", "zvrátit (v-w9991f2_ZU)")</f>
        <v>zvrátit (v-w9991f2_ZU)</v>
      </c>
      <c r="E72086" s="0" t="str">
        <f aca="false">HYPERLINK("https://lindat.mff.cuni.cz/services/SynSemClass40/SynSemClass40.html?veclass=vec01197#vec01197-ces-cm00001", "vec01197")</f>
        <v>vec01197</v>
      </c>
      <c r="F72086" s="0" t="s">
        <v>10120</v>
      </c>
    </row>
    <row r="72087" customFormat="false" ht="12.8" hidden="false" customHeight="false" outlineLevel="0" collapsed="false">
      <c r="B72087" s="0" t="s">
        <v>1</v>
      </c>
      <c r="C72087" s="0" t="s">
        <v>91</v>
      </c>
      <c r="E72087" s="0" t="s">
        <v>84</v>
      </c>
      <c r="F72087" s="0" t="s">
        <v>10121</v>
      </c>
    </row>
    <row r="72088" customFormat="false" ht="12.8" hidden="false" customHeight="false" outlineLevel="0" collapsed="false">
      <c r="B72088" s="0" t="s">
        <v>8</v>
      </c>
      <c r="C72088" s="0" t="s">
        <v>4776</v>
      </c>
      <c r="E72088" s="0" t="s">
        <v>87</v>
      </c>
      <c r="F72088" s="0" t="s">
        <v>10122</v>
      </c>
    </row>
    <row r="72089" customFormat="false" ht="12.8" hidden="false" customHeight="false" outlineLevel="0" collapsed="false">
      <c r="B72089" s="0" t="s">
        <v>36</v>
      </c>
      <c r="E72089" s="0" t="s">
        <v>38</v>
      </c>
      <c r="F72089" s="0" t="s">
        <v>8255</v>
      </c>
    </row>
    <row r="72090" customFormat="false" ht="12.8" hidden="false" customHeight="false" outlineLevel="0" collapsed="false">
      <c r="B72090" s="0" t="s">
        <v>6954</v>
      </c>
      <c r="C72090" s="0" t="s">
        <v>6045</v>
      </c>
      <c r="E72090" s="0" t="s">
        <v>42</v>
      </c>
      <c r="F72090" s="0" t="s">
        <v>10123</v>
      </c>
    </row>
    <row r="72092" customFormat="false" ht="12.8" hidden="false" customHeight="false" outlineLevel="0" collapsed="false">
      <c r="A72092" s="0" t="s">
        <v>23405</v>
      </c>
      <c r="B72092" s="0" t="str">
        <f aca="false">HYPERLINK("https://lindat.mff.cuni.cz/services/teitok/pdtc10/index.php?action=vallex&amp;frame=v-w9991f1", "zvrátit (v-w9991f1) - substituted with v-w9991f2_ZU")</f>
        <v>zvrátit (v-w9991f1) - substituted with v-w9991f2_ZU</v>
      </c>
    </row>
    <row r="72093" customFormat="false" ht="12.8" hidden="false" customHeight="false" outlineLevel="0" collapsed="false">
      <c r="B72093" s="0" t="s">
        <v>1</v>
      </c>
    </row>
    <row r="72094" customFormat="false" ht="12.8" hidden="false" customHeight="false" outlineLevel="0" collapsed="false">
      <c r="B72094" s="0" t="s">
        <v>8</v>
      </c>
    </row>
    <row r="72095" customFormat="false" ht="12.8" hidden="false" customHeight="false" outlineLevel="0" collapsed="false">
      <c r="B72095" s="0" t="s">
        <v>36</v>
      </c>
    </row>
    <row r="72096" customFormat="false" ht="12.8" hidden="false" customHeight="false" outlineLevel="0" collapsed="false">
      <c r="B72096" s="0" t="s">
        <v>6954</v>
      </c>
    </row>
    <row r="72098" customFormat="false" ht="12.8" hidden="false" customHeight="false" outlineLevel="0" collapsed="false">
      <c r="A72098" s="0" t="s">
        <v>23405</v>
      </c>
      <c r="B72098" s="0" t="str">
        <f aca="false">HYPERLINK("https://lindat.mff.cuni.cz/services/teitok/pdtc10/index.php?action=vallex&amp;frame=v-w9991hsa_1164", "zvrátit (v-w9991hsa_1164) - substituted with v-w9991f2_ZU")</f>
        <v>zvrátit (v-w9991hsa_1164) - substituted with v-w9991f2_ZU</v>
      </c>
    </row>
    <row r="72099" customFormat="false" ht="12.8" hidden="false" customHeight="false" outlineLevel="0" collapsed="false">
      <c r="B72099" s="0" t="s">
        <v>1</v>
      </c>
    </row>
    <row r="72100" customFormat="false" ht="12.8" hidden="false" customHeight="false" outlineLevel="0" collapsed="false">
      <c r="B72100" s="0" t="s">
        <v>8</v>
      </c>
    </row>
    <row r="72101" customFormat="false" ht="12.8" hidden="false" customHeight="false" outlineLevel="0" collapsed="false">
      <c r="B72101" s="0" t="s">
        <v>36</v>
      </c>
    </row>
    <row r="72102" customFormat="false" ht="12.8" hidden="false" customHeight="false" outlineLevel="0" collapsed="false">
      <c r="B72102" s="0" t="s">
        <v>6954</v>
      </c>
    </row>
    <row r="72104" customFormat="false" ht="12.8" hidden="false" customHeight="false" outlineLevel="0" collapsed="false">
      <c r="A72104" s="0" t="s">
        <v>23406</v>
      </c>
      <c r="B72104" s="0" t="str">
        <f aca="false">HYPERLINK("https://lindat.mff.cuni.cz/services/teitok/pdtc10/index.php?action=vallex&amp;frame=v-whsa_968f1_ZU", "zvrátit se (v-whsa_968f1_ZU)")</f>
        <v>zvrátit se (v-whsa_968f1_ZU)</v>
      </c>
      <c r="E72104" s="0" t="str">
        <f aca="false">HYPERLINK("https://lindat.mff.cuni.cz/services/SynSemClass40/SynSemClass40.html?veclass=vec01237#vec01237-ces-cm00007", "vec01237")</f>
        <v>vec01237</v>
      </c>
      <c r="F72104" s="0" t="s">
        <v>8548</v>
      </c>
    </row>
    <row r="72105" customFormat="false" ht="12.8" hidden="false" customHeight="false" outlineLevel="0" collapsed="false">
      <c r="B72105" s="0" t="s">
        <v>1</v>
      </c>
      <c r="C72105" s="0" t="s">
        <v>5344</v>
      </c>
      <c r="E72105" s="0" t="s">
        <v>84</v>
      </c>
      <c r="F72105" s="0" t="s">
        <v>8549</v>
      </c>
    </row>
    <row r="72106" customFormat="false" ht="12.8" hidden="false" customHeight="false" outlineLevel="0" collapsed="false">
      <c r="B72106" s="0" t="s">
        <v>6127</v>
      </c>
      <c r="C72106" s="0" t="s">
        <v>744</v>
      </c>
      <c r="E72106" s="0" t="s">
        <v>1592</v>
      </c>
      <c r="F72106" s="0" t="s">
        <v>8550</v>
      </c>
    </row>
    <row r="72107" customFormat="false" ht="12.8" hidden="false" customHeight="false" outlineLevel="0" collapsed="false">
      <c r="B72107" s="0" t="s">
        <v>36</v>
      </c>
    </row>
    <row r="72109" customFormat="false" ht="12.8" hidden="false" customHeight="false" outlineLevel="0" collapsed="false">
      <c r="A72109" s="0" t="s">
        <v>23406</v>
      </c>
      <c r="B72109" s="0" t="str">
        <f aca="false">HYPERLINK("https://lindat.mff.cuni.cz/services/teitok/pdtc10/index.php?action=vallex&amp;frame=v-whsa_968hsa_969", "zvrátit se (v-whsa_968hsa_969) - substituted with v-whsa_968f1_ZU")</f>
        <v>zvrátit se (v-whsa_968hsa_969) - substituted with v-whsa_968f1_ZU</v>
      </c>
    </row>
    <row r="72110" customFormat="false" ht="12.8" hidden="false" customHeight="false" outlineLevel="0" collapsed="false">
      <c r="B72110" s="0" t="s">
        <v>1</v>
      </c>
    </row>
    <row r="72111" customFormat="false" ht="12.8" hidden="false" customHeight="false" outlineLevel="0" collapsed="false">
      <c r="B72111" s="0" t="s">
        <v>6127</v>
      </c>
    </row>
    <row r="72112" customFormat="false" ht="12.8" hidden="false" customHeight="false" outlineLevel="0" collapsed="false">
      <c r="B72112" s="0" t="s">
        <v>36</v>
      </c>
    </row>
    <row r="72114" customFormat="false" ht="12.8" hidden="false" customHeight="false" outlineLevel="0" collapsed="false">
      <c r="A72114" s="0" t="s">
        <v>23407</v>
      </c>
      <c r="B72114" s="0" t="str">
        <f aca="false">HYPERLINK("https://lindat.mff.cuni.cz/services/teitok/pdtc10/index.php?action=vallex&amp;frame=v-w9993f1", "zvučet (v-w9993f1)")</f>
        <v>zvučet (v-w9993f1)</v>
      </c>
    </row>
    <row r="72115" customFormat="false" ht="12.8" hidden="false" customHeight="false" outlineLevel="0" collapsed="false">
      <c r="B72115" s="0" t="s">
        <v>1</v>
      </c>
    </row>
    <row r="72117" customFormat="false" ht="12.8" hidden="false" customHeight="false" outlineLevel="0" collapsed="false">
      <c r="A72117" s="0" t="s">
        <v>23408</v>
      </c>
      <c r="B72117" s="0" t="str">
        <f aca="false">HYPERLINK("https://lindat.mff.cuni.cz/services/teitok/pdtc10/index.php?action=vallex&amp;frame=v-w9999f1", "zvykat si (v-w9999f1)")</f>
        <v>zvykat si (v-w9999f1)</v>
      </c>
    </row>
    <row r="72118" customFormat="false" ht="12.8" hidden="false" customHeight="false" outlineLevel="0" collapsed="false">
      <c r="B72118" s="0" t="s">
        <v>1</v>
      </c>
    </row>
    <row r="72119" customFormat="false" ht="12.8" hidden="false" customHeight="false" outlineLevel="0" collapsed="false">
      <c r="B72119" s="0" t="s">
        <v>23409</v>
      </c>
    </row>
    <row r="72121" customFormat="false" ht="12.8" hidden="false" customHeight="false" outlineLevel="0" collapsed="false">
      <c r="A72121" s="0" t="s">
        <v>23410</v>
      </c>
      <c r="B72121" s="0" t="str">
        <f aca="false">HYPERLINK("https://lindat.mff.cuni.cz/services/teitok/pdtc10/index.php?action=vallex&amp;frame=v-w10001f1", "zvyknout si (v-w10001f1)")</f>
        <v>zvyknout si (v-w10001f1)</v>
      </c>
      <c r="E72121" s="0" t="str">
        <f aca="false">HYPERLINK("https://lindat.mff.cuni.cz/services/SynSemClass40/SynSemClass40.html?veclass=vec00696#vec00696-ces-cm00032", "vec00696")</f>
        <v>vec00696</v>
      </c>
      <c r="F72121" s="0" t="s">
        <v>14597</v>
      </c>
    </row>
    <row r="72122" customFormat="false" ht="12.8" hidden="false" customHeight="false" outlineLevel="0" collapsed="false">
      <c r="B72122" s="0" t="s">
        <v>1</v>
      </c>
      <c r="C72122" s="0" t="s">
        <v>14598</v>
      </c>
      <c r="E72122" s="0" t="s">
        <v>5401</v>
      </c>
      <c r="F72122" s="0" t="s">
        <v>14599</v>
      </c>
    </row>
    <row r="72123" customFormat="false" ht="12.8" hidden="false" customHeight="false" outlineLevel="0" collapsed="false">
      <c r="B72123" s="0" t="s">
        <v>23409</v>
      </c>
      <c r="C72123" s="0" t="s">
        <v>14601</v>
      </c>
      <c r="E72123" s="0" t="s">
        <v>1823</v>
      </c>
      <c r="F72123" s="0" t="s">
        <v>14602</v>
      </c>
    </row>
    <row r="72125" customFormat="false" ht="12.8" hidden="false" customHeight="false" outlineLevel="0" collapsed="false">
      <c r="A72125" s="0" t="s">
        <v>23411</v>
      </c>
      <c r="B72125" s="0" t="str">
        <f aca="false">HYPERLINK("https://lindat.mff.cuni.cz/services/teitok/pdtc10/index.php?action=vallex&amp;frame=v-w10009f1", "zvyšovat (v-w10009f1)")</f>
        <v>zvyšovat (v-w10009f1)</v>
      </c>
      <c r="E72125" s="0" t="str">
        <f aca="false">HYPERLINK("https://lindat.mff.cuni.cz/services/SynSemClass40/SynSemClass40.html?veclass=vec00298#vec00298-ces-cm00048", "vec00298")</f>
        <v>vec00298</v>
      </c>
      <c r="F72125" s="0" t="s">
        <v>7194</v>
      </c>
    </row>
    <row r="72126" customFormat="false" ht="12.8" hidden="false" customHeight="false" outlineLevel="0" collapsed="false">
      <c r="B72126" s="0" t="s">
        <v>1</v>
      </c>
      <c r="C72126" s="0" t="s">
        <v>7195</v>
      </c>
      <c r="E72126" s="0" t="s">
        <v>31</v>
      </c>
      <c r="F72126" s="0" t="s">
        <v>7196</v>
      </c>
    </row>
    <row r="72127" customFormat="false" ht="12.8" hidden="false" customHeight="false" outlineLevel="0" collapsed="false">
      <c r="B72127" s="0" t="s">
        <v>8</v>
      </c>
      <c r="C72127" s="0" t="s">
        <v>7197</v>
      </c>
      <c r="E72127" s="0" t="s">
        <v>1569</v>
      </c>
      <c r="F72127" s="0" t="s">
        <v>7198</v>
      </c>
    </row>
    <row r="72128" customFormat="false" ht="12.8" hidden="false" customHeight="false" outlineLevel="0" collapsed="false">
      <c r="B72128" s="0" t="s">
        <v>36</v>
      </c>
      <c r="C72128" s="0" t="s">
        <v>7199</v>
      </c>
      <c r="E72128" s="0" t="s">
        <v>5152</v>
      </c>
      <c r="F72128" s="0" t="s">
        <v>7200</v>
      </c>
    </row>
    <row r="72129" customFormat="false" ht="12.8" hidden="false" customHeight="false" outlineLevel="0" collapsed="false">
      <c r="B72129" s="0" t="s">
        <v>101</v>
      </c>
      <c r="C72129" s="0" t="s">
        <v>7201</v>
      </c>
      <c r="E72129" s="0" t="s">
        <v>5796</v>
      </c>
      <c r="F72129" s="0" t="s">
        <v>7202</v>
      </c>
    </row>
    <row r="72131" customFormat="false" ht="12.8" hidden="false" customHeight="false" outlineLevel="0" collapsed="false">
      <c r="A72131" s="0" t="s">
        <v>23412</v>
      </c>
      <c r="B72131" s="0" t="str">
        <f aca="false">HYPERLINK("https://lindat.mff.cuni.cz/services/teitok/pdtc10/index.php?action=vallex&amp;frame=v-w10010f1", "zvyšovat se (v-w10010f1)")</f>
        <v>zvyšovat se (v-w10010f1)</v>
      </c>
      <c r="E72131" s="0" t="str">
        <f aca="false">HYPERLINK("https://lindat.mff.cuni.cz/services/SynSemClass40/SynSemClass40.html?veclass=vec00109#vec00109-ces-cm00075", "vec00109")</f>
        <v>vec00109</v>
      </c>
      <c r="F72131" s="0" t="s">
        <v>5143</v>
      </c>
    </row>
    <row r="72132" customFormat="false" ht="12.8" hidden="false" customHeight="false" outlineLevel="0" collapsed="false">
      <c r="B72132" s="0" t="s">
        <v>1</v>
      </c>
      <c r="C72132" s="0" t="s">
        <v>7017</v>
      </c>
      <c r="E72132" s="0" t="s">
        <v>235</v>
      </c>
      <c r="F72132" s="0" t="s">
        <v>5146</v>
      </c>
    </row>
    <row r="72133" customFormat="false" ht="12.8" hidden="false" customHeight="false" outlineLevel="0" collapsed="false">
      <c r="B72133" s="0" t="s">
        <v>69</v>
      </c>
      <c r="C72133" s="0" t="s">
        <v>5148</v>
      </c>
      <c r="E72133" s="0" t="s">
        <v>5149</v>
      </c>
      <c r="F72133" s="0" t="s">
        <v>5150</v>
      </c>
    </row>
    <row r="72134" customFormat="false" ht="12.8" hidden="false" customHeight="false" outlineLevel="0" collapsed="false">
      <c r="B72134" s="0" t="s">
        <v>36</v>
      </c>
      <c r="C72134" s="0" t="s">
        <v>5151</v>
      </c>
      <c r="E72134" s="0" t="s">
        <v>5152</v>
      </c>
      <c r="F72134" s="0" t="s">
        <v>5153</v>
      </c>
    </row>
    <row r="72136" customFormat="false" ht="12.8" hidden="false" customHeight="false" outlineLevel="0" collapsed="false">
      <c r="A72136" s="0" t="s">
        <v>23413</v>
      </c>
      <c r="B72136" s="0" t="str">
        <f aca="false">HYPERLINK("https://lindat.mff.cuni.cz/services/teitok/pdtc10/index.php?action=vallex&amp;frame=v-w9947f2", "zvát (v-w9947f2)")</f>
        <v>zvát (v-w9947f2)</v>
      </c>
    </row>
    <row r="72137" customFormat="false" ht="12.8" hidden="false" customHeight="false" outlineLevel="0" collapsed="false">
      <c r="B72137" s="0" t="s">
        <v>1</v>
      </c>
    </row>
    <row r="72138" customFormat="false" ht="12.8" hidden="false" customHeight="false" outlineLevel="0" collapsed="false">
      <c r="B72138" s="0" t="s">
        <v>8</v>
      </c>
    </row>
    <row r="72139" customFormat="false" ht="12.8" hidden="false" customHeight="false" outlineLevel="0" collapsed="false">
      <c r="B72139" s="0" t="s">
        <v>8027</v>
      </c>
    </row>
    <row r="72141" customFormat="false" ht="12.8" hidden="false" customHeight="false" outlineLevel="0" collapsed="false">
      <c r="A72141" s="0" t="s">
        <v>23414</v>
      </c>
      <c r="B72141" s="0" t="str">
        <f aca="false">HYPERLINK("https://lindat.mff.cuni.cz/services/teitok/pdtc10/index.php?action=vallex&amp;frame=v-w9947f1", "zvát (v-w9947f1)")</f>
        <v>zvát (v-w9947f1)</v>
      </c>
      <c r="E72141" s="0" t="str">
        <f aca="false">HYPERLINK("https://lindat.mff.cuni.cz/services/SynSemClass40/SynSemClass40.html?veclass=vec00487#vec00487-ces-cm00008", "vec00487")</f>
        <v>vec00487</v>
      </c>
      <c r="F72141" s="0" t="s">
        <v>11971</v>
      </c>
    </row>
    <row r="72142" customFormat="false" ht="12.8" hidden="false" customHeight="false" outlineLevel="0" collapsed="false">
      <c r="B72142" s="0" t="s">
        <v>1</v>
      </c>
      <c r="C72142" s="0" t="s">
        <v>154</v>
      </c>
      <c r="E72142" s="0" t="s">
        <v>31</v>
      </c>
      <c r="F72142" s="0" t="s">
        <v>4265</v>
      </c>
    </row>
    <row r="72143" customFormat="false" ht="12.8" hidden="false" customHeight="false" outlineLevel="0" collapsed="false">
      <c r="B72143" s="0" t="s">
        <v>8</v>
      </c>
      <c r="C72143" s="0" t="s">
        <v>8841</v>
      </c>
      <c r="E72143" s="0" t="s">
        <v>3002</v>
      </c>
      <c r="F72143" s="0" t="s">
        <v>11972</v>
      </c>
    </row>
    <row r="72145" customFormat="false" ht="12.8" hidden="false" customHeight="false" outlineLevel="0" collapsed="false">
      <c r="A72145" s="0" t="s">
        <v>23415</v>
      </c>
      <c r="B72145" s="0" t="str">
        <f aca="false">HYPERLINK("https://lindat.mff.cuni.cz/services/teitok/pdtc10/index.php?action=vallex&amp;frame=v-w9949f1", "zvážit (v-w9949f1)")</f>
        <v>zvážit (v-w9949f1)</v>
      </c>
      <c r="E72145" s="0" t="str">
        <f aca="false">HYPERLINK("https://lindat.mff.cuni.cz/services/SynSemClass40/SynSemClass40.html?veclass=vec00149#vec00149-ces-cm00019", "vec00149")</f>
        <v>vec00149</v>
      </c>
      <c r="F72145" s="0" t="s">
        <v>686</v>
      </c>
    </row>
    <row r="72146" customFormat="false" ht="12.8" hidden="false" customHeight="false" outlineLevel="0" collapsed="false">
      <c r="B72146" s="0" t="s">
        <v>1</v>
      </c>
      <c r="C72146" s="0" t="s">
        <v>687</v>
      </c>
      <c r="E72146" s="0" t="s">
        <v>621</v>
      </c>
      <c r="F72146" s="0" t="s">
        <v>688</v>
      </c>
    </row>
    <row r="72147" customFormat="false" ht="12.8" hidden="false" customHeight="false" outlineLevel="0" collapsed="false">
      <c r="B72147" s="0" t="s">
        <v>15191</v>
      </c>
      <c r="C72147" s="0" t="s">
        <v>690</v>
      </c>
      <c r="E72147" s="0" t="s">
        <v>209</v>
      </c>
      <c r="F72147" s="0" t="s">
        <v>691</v>
      </c>
    </row>
    <row r="72149" customFormat="false" ht="12.8" hidden="false" customHeight="false" outlineLevel="0" collapsed="false">
      <c r="A72149" s="0" t="s">
        <v>23416</v>
      </c>
      <c r="B72149" s="0" t="str">
        <f aca="false">HYPERLINK("https://lindat.mff.cuni.cz/services/teitok/pdtc10/index.php?action=vallex&amp;frame=v-w10581f2", "zvážnět (v-w10581f2)")</f>
        <v>zvážnět (v-w10581f2)</v>
      </c>
    </row>
    <row r="72150" customFormat="false" ht="12.8" hidden="false" customHeight="false" outlineLevel="0" collapsed="false">
      <c r="B72150" s="0" t="s">
        <v>1</v>
      </c>
    </row>
    <row r="72152" customFormat="false" ht="12.8" hidden="false" customHeight="false" outlineLevel="0" collapsed="false">
      <c r="A72152" s="0" t="s">
        <v>23417</v>
      </c>
      <c r="B72152" s="0" t="str">
        <f aca="false">HYPERLINK("https://lindat.mff.cuni.cz/services/teitok/pdtc10/index.php?action=vallex&amp;frame=v-w9978f1", "zvítězit (v-w9978f1)")</f>
        <v>zvítězit (v-w9978f1)</v>
      </c>
      <c r="E72152" s="0" t="str">
        <f aca="false">HYPERLINK("https://lindat.mff.cuni.cz/services/SynSemClass40/SynSemClass40.html?veclass=vec00352#vec00352-ces-cm00006", "vec00352")</f>
        <v>vec00352</v>
      </c>
      <c r="F72152" s="0" t="s">
        <v>17213</v>
      </c>
    </row>
    <row r="72153" customFormat="false" ht="12.8" hidden="false" customHeight="false" outlineLevel="0" collapsed="false">
      <c r="B72153" s="0" t="s">
        <v>1</v>
      </c>
      <c r="C72153" s="0" t="s">
        <v>19273</v>
      </c>
      <c r="E72153" s="0" t="s">
        <v>2106</v>
      </c>
      <c r="F72153" s="0" t="s">
        <v>17215</v>
      </c>
    </row>
    <row r="72154" customFormat="false" ht="12.8" hidden="false" customHeight="false" outlineLevel="0" collapsed="false">
      <c r="B72154" s="0" t="s">
        <v>883</v>
      </c>
      <c r="C72154" s="0" t="s">
        <v>19274</v>
      </c>
      <c r="E72154" s="0" t="s">
        <v>432</v>
      </c>
      <c r="F72154" s="0" t="s">
        <v>19275</v>
      </c>
    </row>
    <row r="72155" customFormat="false" ht="12.8" hidden="false" customHeight="false" outlineLevel="0" collapsed="false">
      <c r="B72155" s="0" t="s">
        <v>23418</v>
      </c>
      <c r="E72155" s="0" t="s">
        <v>19276</v>
      </c>
      <c r="F72155" s="0" t="s">
        <v>19277</v>
      </c>
    </row>
    <row r="72157" customFormat="false" ht="12.8" hidden="false" customHeight="false" outlineLevel="0" collapsed="false">
      <c r="A72157" s="0" t="s">
        <v>23419</v>
      </c>
      <c r="B72157" s="0" t="str">
        <f aca="false">HYPERLINK("https://lindat.mff.cuni.cz/services/teitok/pdtc10/index.php?action=vallex&amp;frame=v-w9995f1", "zvýhodnit (v-w9995f1)")</f>
        <v>zvýhodnit (v-w9995f1)</v>
      </c>
      <c r="E72157" s="0" t="str">
        <f aca="false">HYPERLINK("https://lindat.mff.cuni.cz/services/SynSemClass40/SynSemClass40.html?veclass=vec00069#vec00069-ces-cm00232", "vec00069")</f>
        <v>vec00069</v>
      </c>
      <c r="F72157" s="0" t="s">
        <v>4300</v>
      </c>
    </row>
    <row r="72158" customFormat="false" ht="12.8" hidden="false" customHeight="false" outlineLevel="0" collapsed="false">
      <c r="B72158" s="0" t="s">
        <v>1</v>
      </c>
      <c r="C72158" s="0" t="s">
        <v>7530</v>
      </c>
      <c r="E72158" s="0" t="s">
        <v>3021</v>
      </c>
      <c r="F72158" s="0" t="s">
        <v>4302</v>
      </c>
    </row>
    <row r="72159" customFormat="false" ht="12.8" hidden="false" customHeight="false" outlineLevel="0" collapsed="false">
      <c r="B72159" s="0" t="s">
        <v>8</v>
      </c>
      <c r="C72159" s="0" t="s">
        <v>7531</v>
      </c>
      <c r="E72159" s="0" t="s">
        <v>3023</v>
      </c>
      <c r="F72159" s="0" t="s">
        <v>4305</v>
      </c>
    </row>
    <row r="72161" customFormat="false" ht="12.8" hidden="false" customHeight="false" outlineLevel="0" collapsed="false">
      <c r="A72161" s="0" t="s">
        <v>23420</v>
      </c>
      <c r="B72161" s="0" t="str">
        <f aca="false">HYPERLINK("https://lindat.mff.cuni.cz/services/teitok/pdtc10/index.php?action=vallex&amp;frame=v-w9997f1", "zvýhodňovat (v-w9997f1)")</f>
        <v>zvýhodňovat (v-w9997f1)</v>
      </c>
      <c r="E72161" s="0" t="str">
        <f aca="false">HYPERLINK("https://lindat.mff.cuni.cz/services/SynSemClass40/SynSemClass40.html?veclass=vec00069#vec00069-ces-cm00112", "vec00069")</f>
        <v>vec00069</v>
      </c>
      <c r="F72161" s="0" t="s">
        <v>4300</v>
      </c>
    </row>
    <row r="72162" customFormat="false" ht="12.8" hidden="false" customHeight="false" outlineLevel="0" collapsed="false">
      <c r="B72162" s="0" t="s">
        <v>1</v>
      </c>
      <c r="C72162" s="0" t="s">
        <v>7530</v>
      </c>
      <c r="E72162" s="0" t="s">
        <v>3021</v>
      </c>
      <c r="F72162" s="0" t="s">
        <v>4302</v>
      </c>
    </row>
    <row r="72163" customFormat="false" ht="12.8" hidden="false" customHeight="false" outlineLevel="0" collapsed="false">
      <c r="B72163" s="0" t="s">
        <v>8</v>
      </c>
      <c r="C72163" s="0" t="s">
        <v>7531</v>
      </c>
      <c r="E72163" s="0" t="s">
        <v>3023</v>
      </c>
      <c r="F72163" s="0" t="s">
        <v>4305</v>
      </c>
    </row>
    <row r="72165" customFormat="false" ht="12.8" hidden="false" customHeight="false" outlineLevel="0" collapsed="false">
      <c r="A72165" s="0" t="s">
        <v>23421</v>
      </c>
      <c r="B72165" s="0" t="str">
        <f aca="false">HYPERLINK("https://lindat.mff.cuni.cz/services/teitok/pdtc10/index.php?action=vallex&amp;frame=v-w10003f1", "zvýraznit (v-w10003f1)")</f>
        <v>zvýraznit (v-w10003f1)</v>
      </c>
      <c r="E72165" s="0" t="str">
        <f aca="false">HYPERLINK("https://lindat.mff.cuni.cz/services/SynSemClass40/SynSemClass40.html?veclass=vec00382#vec00382-ces-cm00018", "vec00382")</f>
        <v>vec00382</v>
      </c>
      <c r="F72165" s="0" t="s">
        <v>5369</v>
      </c>
    </row>
    <row r="72166" customFormat="false" ht="12.8" hidden="false" customHeight="false" outlineLevel="0" collapsed="false">
      <c r="B72166" s="0" t="s">
        <v>1</v>
      </c>
      <c r="C72166" s="0" t="s">
        <v>5370</v>
      </c>
      <c r="E72166" s="0" t="s">
        <v>63</v>
      </c>
      <c r="F72166" s="0" t="s">
        <v>5371</v>
      </c>
    </row>
    <row r="72167" customFormat="false" ht="12.8" hidden="false" customHeight="false" outlineLevel="0" collapsed="false">
      <c r="B72167" s="0" t="s">
        <v>228</v>
      </c>
      <c r="C72167" s="0" t="s">
        <v>10894</v>
      </c>
      <c r="E72167" s="0" t="s">
        <v>218</v>
      </c>
      <c r="F72167" s="0" t="s">
        <v>10895</v>
      </c>
    </row>
    <row r="72169" customFormat="false" ht="12.8" hidden="false" customHeight="false" outlineLevel="0" collapsed="false">
      <c r="A72169" s="0" t="s">
        <v>23422</v>
      </c>
      <c r="B72169" s="0" t="str">
        <f aca="false">HYPERLINK("https://lindat.mff.cuni.cz/services/teitok/pdtc10/index.php?action=vallex&amp;frame=v-w10484f3", "zvýrazňovat (v-w10484f3)")</f>
        <v>zvýrazňovat (v-w10484f3)</v>
      </c>
      <c r="E72169" s="0" t="str">
        <f aca="false">HYPERLINK("https://lindat.mff.cuni.cz/services/SynSemClass40/SynSemClass40.html?veclass=vec00382#vec00382-ces-cm00024", "vec00382")</f>
        <v>vec00382</v>
      </c>
      <c r="F72169" s="0" t="s">
        <v>5369</v>
      </c>
    </row>
    <row r="72170" customFormat="false" ht="12.8" hidden="false" customHeight="false" outlineLevel="0" collapsed="false">
      <c r="B72170" s="0" t="s">
        <v>1</v>
      </c>
      <c r="C72170" s="0" t="s">
        <v>5370</v>
      </c>
      <c r="E72170" s="0" t="s">
        <v>63</v>
      </c>
      <c r="F72170" s="0" t="s">
        <v>5371</v>
      </c>
    </row>
    <row r="72171" customFormat="false" ht="12.8" hidden="false" customHeight="false" outlineLevel="0" collapsed="false">
      <c r="B72171" s="0" t="s">
        <v>228</v>
      </c>
      <c r="C72171" s="0" t="s">
        <v>10894</v>
      </c>
      <c r="E72171" s="0" t="s">
        <v>218</v>
      </c>
      <c r="F72171" s="0" t="s">
        <v>10895</v>
      </c>
    </row>
    <row r="72173" customFormat="false" ht="12.8" hidden="false" customHeight="false" outlineLevel="0" collapsed="false">
      <c r="A72173" s="0" t="s">
        <v>23423</v>
      </c>
      <c r="B72173" s="0" t="str">
        <f aca="false">HYPERLINK("https://lindat.mff.cuni.cz/services/teitok/pdtc10/index.php?action=vallex&amp;frame=v-w10006f1", "zvýšit (v-w10006f1)")</f>
        <v>zvýšit (v-w10006f1)</v>
      </c>
      <c r="E72173" s="0" t="str">
        <f aca="false">HYPERLINK("https://lindat.mff.cuni.cz/services/SynSemClass40/SynSemClass40.html?veclass=vec00298#vec00298-ces-cm00046", "vec00298")</f>
        <v>vec00298</v>
      </c>
      <c r="F72173" s="0" t="s">
        <v>7194</v>
      </c>
    </row>
    <row r="72174" customFormat="false" ht="12.8" hidden="false" customHeight="false" outlineLevel="0" collapsed="false">
      <c r="B72174" s="0" t="s">
        <v>1</v>
      </c>
      <c r="C72174" s="0" t="s">
        <v>7195</v>
      </c>
      <c r="E72174" s="0" t="s">
        <v>31</v>
      </c>
      <c r="F72174" s="0" t="s">
        <v>7196</v>
      </c>
    </row>
    <row r="72175" customFormat="false" ht="12.8" hidden="false" customHeight="false" outlineLevel="0" collapsed="false">
      <c r="B72175" s="0" t="s">
        <v>8</v>
      </c>
      <c r="C72175" s="0" t="s">
        <v>7197</v>
      </c>
      <c r="E72175" s="0" t="s">
        <v>1569</v>
      </c>
      <c r="F72175" s="0" t="s">
        <v>7198</v>
      </c>
    </row>
    <row r="72176" customFormat="false" ht="12.8" hidden="false" customHeight="false" outlineLevel="0" collapsed="false">
      <c r="B72176" s="0" t="s">
        <v>36</v>
      </c>
      <c r="C72176" s="0" t="s">
        <v>7199</v>
      </c>
      <c r="E72176" s="0" t="s">
        <v>5152</v>
      </c>
      <c r="F72176" s="0" t="s">
        <v>7200</v>
      </c>
    </row>
    <row r="72177" customFormat="false" ht="12.8" hidden="false" customHeight="false" outlineLevel="0" collapsed="false">
      <c r="B72177" s="0" t="s">
        <v>101</v>
      </c>
      <c r="C72177" s="0" t="s">
        <v>7201</v>
      </c>
      <c r="E72177" s="0" t="s">
        <v>5796</v>
      </c>
      <c r="F72177" s="0" t="s">
        <v>7202</v>
      </c>
    </row>
    <row r="72179" customFormat="false" ht="12.8" hidden="false" customHeight="false" outlineLevel="0" collapsed="false">
      <c r="A72179" s="0" t="s">
        <v>23424</v>
      </c>
      <c r="B72179" s="0" t="str">
        <f aca="false">HYPERLINK("https://lindat.mff.cuni.cz/services/teitok/pdtc10/index.php?action=vallex&amp;frame=v-w10006f2_ZU", "zvýšit (v-w10006f2_ZU)")</f>
        <v>zvýšit (v-w10006f2_ZU)</v>
      </c>
      <c r="E72179" s="0" t="str">
        <f aca="false">HYPERLINK("https://lindat.mff.cuni.cz/services/SynSemClass40/SynSemClass40.html?veclass=vec00109#vec00109-ces-cm00072", "vec00109")</f>
        <v>vec00109</v>
      </c>
      <c r="F72179" s="0" t="s">
        <v>5143</v>
      </c>
    </row>
    <row r="72180" customFormat="false" ht="12.8" hidden="false" customHeight="false" outlineLevel="0" collapsed="false">
      <c r="B72180" s="0" t="s">
        <v>1</v>
      </c>
      <c r="C72180" s="0" t="s">
        <v>7017</v>
      </c>
      <c r="E72180" s="0" t="s">
        <v>235</v>
      </c>
      <c r="F72180" s="0" t="s">
        <v>5146</v>
      </c>
    </row>
    <row r="72181" customFormat="false" ht="12.8" hidden="false" customHeight="false" outlineLevel="0" collapsed="false">
      <c r="B72181" s="0" t="s">
        <v>69</v>
      </c>
      <c r="C72181" s="0" t="s">
        <v>5148</v>
      </c>
      <c r="E72181" s="0" t="s">
        <v>5149</v>
      </c>
      <c r="F72181" s="0" t="s">
        <v>5150</v>
      </c>
    </row>
    <row r="72182" customFormat="false" ht="12.8" hidden="false" customHeight="false" outlineLevel="0" collapsed="false">
      <c r="B72182" s="0" t="s">
        <v>36</v>
      </c>
      <c r="C72182" s="0" t="s">
        <v>5151</v>
      </c>
      <c r="E72182" s="0" t="s">
        <v>5152</v>
      </c>
      <c r="F72182" s="0" t="s">
        <v>5153</v>
      </c>
    </row>
    <row r="72184" customFormat="false" ht="12.8" hidden="false" customHeight="false" outlineLevel="0" collapsed="false">
      <c r="A72184" s="0" t="s">
        <v>23424</v>
      </c>
      <c r="B72184" s="0" t="str">
        <f aca="false">HYPERLINK("https://lindat.mff.cuni.cz/services/teitok/pdtc10/index.php?action=vallex&amp;frame=v-w10006hsa_957", "zvýšit (v-w10006hsa_957) - substituted with v-w10006f2_ZU")</f>
        <v>zvýšit (v-w10006hsa_957) - substituted with v-w10006f2_ZU</v>
      </c>
    </row>
    <row r="72185" customFormat="false" ht="12.8" hidden="false" customHeight="false" outlineLevel="0" collapsed="false">
      <c r="B72185" s="0" t="s">
        <v>1</v>
      </c>
    </row>
    <row r="72186" customFormat="false" ht="12.8" hidden="false" customHeight="false" outlineLevel="0" collapsed="false">
      <c r="B72186" s="0" t="s">
        <v>69</v>
      </c>
    </row>
    <row r="72187" customFormat="false" ht="12.8" hidden="false" customHeight="false" outlineLevel="0" collapsed="false">
      <c r="B72187" s="0" t="s">
        <v>36</v>
      </c>
    </row>
    <row r="72189" customFormat="false" ht="12.8" hidden="false" customHeight="false" outlineLevel="0" collapsed="false">
      <c r="A72189" s="0" t="s">
        <v>23425</v>
      </c>
      <c r="B72189" s="0" t="str">
        <f aca="false">HYPERLINK("https://lindat.mff.cuni.cz/services/teitok/pdtc10/index.php?action=vallex&amp;frame=v-w10007f1", "zvýšit se (v-w10007f1)")</f>
        <v>zvýšit se (v-w10007f1)</v>
      </c>
      <c r="E72189" s="0" t="str">
        <f aca="false">HYPERLINK("https://lindat.mff.cuni.cz/services/SynSemClass40/SynSemClass40.html?veclass=vec00109#vec00109-ces-cm00073", "vec00109")</f>
        <v>vec00109</v>
      </c>
      <c r="F72189" s="0" t="s">
        <v>5143</v>
      </c>
    </row>
    <row r="72190" customFormat="false" ht="12.8" hidden="false" customHeight="false" outlineLevel="0" collapsed="false">
      <c r="B72190" s="0" t="s">
        <v>1</v>
      </c>
      <c r="C72190" s="0" t="s">
        <v>7017</v>
      </c>
      <c r="E72190" s="0" t="s">
        <v>235</v>
      </c>
      <c r="F72190" s="0" t="s">
        <v>5146</v>
      </c>
    </row>
    <row r="72191" customFormat="false" ht="12.8" hidden="false" customHeight="false" outlineLevel="0" collapsed="false">
      <c r="B72191" s="0" t="s">
        <v>69</v>
      </c>
      <c r="C72191" s="0" t="s">
        <v>5148</v>
      </c>
      <c r="E72191" s="0" t="s">
        <v>5149</v>
      </c>
      <c r="F72191" s="0" t="s">
        <v>5150</v>
      </c>
    </row>
    <row r="72192" customFormat="false" ht="12.8" hidden="false" customHeight="false" outlineLevel="0" collapsed="false">
      <c r="B72192" s="0" t="s">
        <v>36</v>
      </c>
      <c r="C72192" s="0" t="s">
        <v>5151</v>
      </c>
      <c r="E72192" s="0" t="s">
        <v>5152</v>
      </c>
      <c r="F72192" s="0" t="s">
        <v>5153</v>
      </c>
    </row>
    <row r="72194" customFormat="false" ht="12.8" hidden="false" customHeight="false" outlineLevel="0" collapsed="false">
      <c r="A72194" s="0" t="s">
        <v>23426</v>
      </c>
      <c r="B72194" s="0" t="str">
        <f aca="false">HYPERLINK("https://lindat.mff.cuni.cz/services/teitok/pdtc10/index.php?action=vallex&amp;frame=v-w9955f2", "zvědět (v-w9955f2)")</f>
        <v>zvědět (v-w9955f2)</v>
      </c>
    </row>
    <row r="72195" customFormat="false" ht="12.8" hidden="false" customHeight="false" outlineLevel="0" collapsed="false">
      <c r="B72195" s="0" t="s">
        <v>1</v>
      </c>
    </row>
    <row r="72196" customFormat="false" ht="12.8" hidden="false" customHeight="false" outlineLevel="0" collapsed="false">
      <c r="B72196" s="0" t="s">
        <v>2739</v>
      </c>
    </row>
    <row r="72197" customFormat="false" ht="12.8" hidden="false" customHeight="false" outlineLevel="0" collapsed="false">
      <c r="B72197" s="0" t="s">
        <v>602</v>
      </c>
    </row>
    <row r="72199" customFormat="false" ht="12.8" hidden="false" customHeight="false" outlineLevel="0" collapsed="false">
      <c r="A72199" s="0" t="s">
        <v>23427</v>
      </c>
      <c r="B72199" s="0" t="str">
        <f aca="false">HYPERLINK("https://lindat.mff.cuni.cz/services/teitok/pdtc10/index.php?action=vallex&amp;frame=v-w9955f1", "zvědět (v-w9955f1)")</f>
        <v>zvědět (v-w9955f1)</v>
      </c>
    </row>
    <row r="72200" customFormat="false" ht="12.8" hidden="false" customHeight="false" outlineLevel="0" collapsed="false">
      <c r="B72200" s="0" t="s">
        <v>1</v>
      </c>
    </row>
    <row r="72201" customFormat="false" ht="12.8" hidden="false" customHeight="false" outlineLevel="0" collapsed="false">
      <c r="B72201" s="0" t="s">
        <v>19330</v>
      </c>
    </row>
    <row r="72202" customFormat="false" ht="12.8" hidden="false" customHeight="false" outlineLevel="0" collapsed="false">
      <c r="B72202" s="0" t="s">
        <v>496</v>
      </c>
    </row>
    <row r="72203" customFormat="false" ht="12.8" hidden="false" customHeight="false" outlineLevel="0" collapsed="false">
      <c r="B72203" s="0" t="s">
        <v>602</v>
      </c>
    </row>
    <row r="72205" customFormat="false" ht="12.8" hidden="false" customHeight="false" outlineLevel="0" collapsed="false">
      <c r="A72205" s="0" t="s">
        <v>23428</v>
      </c>
      <c r="B72205" s="0" t="str">
        <f aca="false">HYPERLINK("https://lindat.mff.cuni.cz/services/teitok/pdtc10/index.php?action=vallex&amp;frame=v-w10181f2", "zvěstovat (v-w10181f2)")</f>
        <v>zvěstovat (v-w10181f2)</v>
      </c>
      <c r="E72205" s="0" t="str">
        <f aca="false">HYPERLINK("https://lindat.mff.cuni.cz/services/SynSemClass40/SynSemClass40.html?veclass=vec00060#vec00060-ces-cm00431", "vec00060")</f>
        <v>vec00060</v>
      </c>
      <c r="F72205" s="0" t="s">
        <v>213</v>
      </c>
    </row>
    <row r="72206" customFormat="false" ht="12.8" hidden="false" customHeight="false" outlineLevel="0" collapsed="false">
      <c r="B72206" s="0" t="s">
        <v>1</v>
      </c>
      <c r="C72206" s="0" t="s">
        <v>214</v>
      </c>
      <c r="E72206" s="0" t="s">
        <v>147</v>
      </c>
      <c r="F72206" s="0" t="s">
        <v>215</v>
      </c>
    </row>
    <row r="72207" customFormat="false" ht="12.8" hidden="false" customHeight="false" outlineLevel="0" collapsed="false">
      <c r="B72207" s="0" t="s">
        <v>500</v>
      </c>
      <c r="C72207" s="0" t="s">
        <v>217</v>
      </c>
      <c r="E72207" s="0" t="s">
        <v>218</v>
      </c>
      <c r="F72207" s="0" t="s">
        <v>219</v>
      </c>
    </row>
    <row r="72208" customFormat="false" ht="12.8" hidden="false" customHeight="false" outlineLevel="0" collapsed="false">
      <c r="B72208" s="0" t="s">
        <v>52</v>
      </c>
      <c r="C72208" s="0" t="s">
        <v>220</v>
      </c>
      <c r="E72208" s="0" t="s">
        <v>221</v>
      </c>
      <c r="F72208" s="0" t="s">
        <v>222</v>
      </c>
    </row>
    <row r="72210" customFormat="false" ht="12.8" hidden="false" customHeight="false" outlineLevel="0" collapsed="false">
      <c r="A72210" s="0" t="s">
        <v>23429</v>
      </c>
      <c r="B72210" s="0" t="str">
        <f aca="false">HYPERLINK("https://lindat.mff.cuni.cz/services/teitok/pdtc10/index.php?action=vallex&amp;frame=v-w9971f1", "zvětšit (v-w9971f1)")</f>
        <v>zvětšit (v-w9971f1)</v>
      </c>
      <c r="E72210" s="0" t="str">
        <f aca="false">HYPERLINK("https://lindat.mff.cuni.cz/services/SynSemClass40/SynSemClass40.html?veclass=vec00298#vec00298-ces-cm00045", "vec00298")</f>
        <v>vec00298</v>
      </c>
      <c r="F72210" s="0" t="s">
        <v>7194</v>
      </c>
    </row>
    <row r="72211" customFormat="false" ht="12.8" hidden="false" customHeight="false" outlineLevel="0" collapsed="false">
      <c r="B72211" s="0" t="s">
        <v>1</v>
      </c>
      <c r="C72211" s="0" t="s">
        <v>7195</v>
      </c>
      <c r="E72211" s="0" t="s">
        <v>31</v>
      </c>
      <c r="F72211" s="0" t="s">
        <v>7196</v>
      </c>
    </row>
    <row r="72212" customFormat="false" ht="12.8" hidden="false" customHeight="false" outlineLevel="0" collapsed="false">
      <c r="B72212" s="0" t="s">
        <v>8</v>
      </c>
      <c r="C72212" s="0" t="s">
        <v>7197</v>
      </c>
      <c r="E72212" s="0" t="s">
        <v>1569</v>
      </c>
      <c r="F72212" s="0" t="s">
        <v>7198</v>
      </c>
    </row>
    <row r="72213" customFormat="false" ht="12.8" hidden="false" customHeight="false" outlineLevel="0" collapsed="false">
      <c r="B72213" s="0" t="s">
        <v>36</v>
      </c>
      <c r="C72213" s="0" t="s">
        <v>7199</v>
      </c>
      <c r="E72213" s="0" t="s">
        <v>5152</v>
      </c>
      <c r="F72213" s="0" t="s">
        <v>7200</v>
      </c>
    </row>
    <row r="72214" customFormat="false" ht="12.8" hidden="false" customHeight="false" outlineLevel="0" collapsed="false">
      <c r="B72214" s="0" t="s">
        <v>101</v>
      </c>
      <c r="C72214" s="0" t="s">
        <v>7201</v>
      </c>
      <c r="E72214" s="0" t="s">
        <v>5796</v>
      </c>
      <c r="F72214" s="0" t="s">
        <v>7202</v>
      </c>
    </row>
    <row r="72216" customFormat="false" ht="12.8" hidden="false" customHeight="false" outlineLevel="0" collapsed="false">
      <c r="A72216" s="0" t="s">
        <v>23430</v>
      </c>
      <c r="B72216" s="0" t="str">
        <f aca="false">HYPERLINK("https://lindat.mff.cuni.cz/services/teitok/pdtc10/index.php?action=vallex&amp;frame=v-w9972f1", "zvětšit se (v-w9972f1)")</f>
        <v>zvětšit se (v-w9972f1)</v>
      </c>
      <c r="E72216" s="0" t="str">
        <f aca="false">HYPERLINK("https://lindat.mff.cuni.cz/services/SynSemClass40/SynSemClass40.html?veclass=vec00109#vec00109-ces-cm00070", "vec00109")</f>
        <v>vec00109</v>
      </c>
      <c r="F72216" s="0" t="s">
        <v>5143</v>
      </c>
    </row>
    <row r="72217" customFormat="false" ht="12.8" hidden="false" customHeight="false" outlineLevel="0" collapsed="false">
      <c r="B72217" s="0" t="s">
        <v>1</v>
      </c>
      <c r="C72217" s="0" t="s">
        <v>7017</v>
      </c>
      <c r="E72217" s="0" t="s">
        <v>235</v>
      </c>
      <c r="F72217" s="0" t="s">
        <v>5146</v>
      </c>
    </row>
    <row r="72218" customFormat="false" ht="12.8" hidden="false" customHeight="false" outlineLevel="0" collapsed="false">
      <c r="B72218" s="0" t="s">
        <v>69</v>
      </c>
      <c r="C72218" s="0" t="s">
        <v>5148</v>
      </c>
      <c r="E72218" s="0" t="s">
        <v>5149</v>
      </c>
      <c r="F72218" s="0" t="s">
        <v>5150</v>
      </c>
    </row>
    <row r="72219" customFormat="false" ht="12.8" hidden="false" customHeight="false" outlineLevel="0" collapsed="false">
      <c r="B72219" s="0" t="s">
        <v>36</v>
      </c>
      <c r="C72219" s="0" t="s">
        <v>5151</v>
      </c>
      <c r="E72219" s="0" t="s">
        <v>5152</v>
      </c>
      <c r="F72219" s="0" t="s">
        <v>5153</v>
      </c>
    </row>
    <row r="72221" customFormat="false" ht="12.8" hidden="false" customHeight="false" outlineLevel="0" collapsed="false">
      <c r="A72221" s="0" t="s">
        <v>23431</v>
      </c>
      <c r="B72221" s="0" t="str">
        <f aca="false">HYPERLINK("https://lindat.mff.cuni.cz/services/teitok/pdtc10/index.php?action=vallex&amp;frame=v-w9973f1", "zvětšovat (v-w9973f1)")</f>
        <v>zvětšovat (v-w9973f1)</v>
      </c>
      <c r="E72221" s="0" t="str">
        <f aca="false">HYPERLINK("https://lindat.mff.cuni.cz/services/SynSemClass40/SynSemClass40.html?veclass=vec00298#vec00298-ces-cm00071", "vec00298")</f>
        <v>vec00298</v>
      </c>
      <c r="F72221" s="0" t="s">
        <v>7194</v>
      </c>
    </row>
    <row r="72222" customFormat="false" ht="12.8" hidden="false" customHeight="false" outlineLevel="0" collapsed="false">
      <c r="B72222" s="0" t="s">
        <v>1</v>
      </c>
      <c r="C72222" s="0" t="s">
        <v>7195</v>
      </c>
      <c r="E72222" s="0" t="s">
        <v>31</v>
      </c>
      <c r="F72222" s="0" t="s">
        <v>7196</v>
      </c>
    </row>
    <row r="72223" customFormat="false" ht="12.8" hidden="false" customHeight="false" outlineLevel="0" collapsed="false">
      <c r="B72223" s="0" t="s">
        <v>8</v>
      </c>
      <c r="C72223" s="0" t="s">
        <v>7197</v>
      </c>
      <c r="E72223" s="0" t="s">
        <v>1569</v>
      </c>
      <c r="F72223" s="0" t="s">
        <v>7198</v>
      </c>
    </row>
    <row r="72224" customFormat="false" ht="12.8" hidden="false" customHeight="false" outlineLevel="0" collapsed="false">
      <c r="B72224" s="0" t="s">
        <v>36</v>
      </c>
      <c r="C72224" s="0" t="s">
        <v>7199</v>
      </c>
      <c r="E72224" s="0" t="s">
        <v>5152</v>
      </c>
      <c r="F72224" s="0" t="s">
        <v>7200</v>
      </c>
    </row>
    <row r="72225" customFormat="false" ht="12.8" hidden="false" customHeight="false" outlineLevel="0" collapsed="false">
      <c r="B72225" s="0" t="s">
        <v>101</v>
      </c>
      <c r="C72225" s="0" t="s">
        <v>7201</v>
      </c>
      <c r="E72225" s="0" t="s">
        <v>5796</v>
      </c>
      <c r="F72225" s="0" t="s">
        <v>7202</v>
      </c>
    </row>
    <row r="72227" customFormat="false" ht="12.8" hidden="false" customHeight="false" outlineLevel="0" collapsed="false">
      <c r="A72227" s="0" t="s">
        <v>23432</v>
      </c>
      <c r="B72227" s="0" t="str">
        <f aca="false">HYPERLINK("https://lindat.mff.cuni.cz/services/teitok/pdtc10/index.php?action=vallex&amp;frame=v-w9974f1", "zvětšovat se (v-w9974f1)")</f>
        <v>zvětšovat se (v-w9974f1)</v>
      </c>
      <c r="E72227" s="0" t="str">
        <f aca="false">HYPERLINK("https://lindat.mff.cuni.cz/services/SynSemClass40/SynSemClass40.html?veclass=vec00109#vec00109-ces-cm00128", "vec00109")</f>
        <v>vec00109</v>
      </c>
      <c r="F72227" s="0" t="s">
        <v>5143</v>
      </c>
    </row>
    <row r="72228" customFormat="false" ht="12.8" hidden="false" customHeight="false" outlineLevel="0" collapsed="false">
      <c r="B72228" s="0" t="s">
        <v>1</v>
      </c>
      <c r="C72228" s="0" t="s">
        <v>7017</v>
      </c>
      <c r="E72228" s="0" t="s">
        <v>235</v>
      </c>
      <c r="F72228" s="0" t="s">
        <v>5146</v>
      </c>
    </row>
    <row r="72229" customFormat="false" ht="12.8" hidden="false" customHeight="false" outlineLevel="0" collapsed="false">
      <c r="B72229" s="0" t="s">
        <v>69</v>
      </c>
      <c r="C72229" s="0" t="s">
        <v>5148</v>
      </c>
      <c r="E72229" s="0" t="s">
        <v>5149</v>
      </c>
      <c r="F72229" s="0" t="s">
        <v>5150</v>
      </c>
    </row>
    <row r="72230" customFormat="false" ht="12.8" hidden="false" customHeight="false" outlineLevel="0" collapsed="false">
      <c r="B72230" s="0" t="s">
        <v>36</v>
      </c>
      <c r="C72230" s="0" t="s">
        <v>5151</v>
      </c>
      <c r="E72230" s="0" t="s">
        <v>5152</v>
      </c>
      <c r="F72230" s="0" t="s">
        <v>5153</v>
      </c>
    </row>
    <row r="72232" customFormat="false" ht="12.8" hidden="false" customHeight="false" outlineLevel="0" collapsed="false">
      <c r="A72232" s="0" t="s">
        <v>23433</v>
      </c>
      <c r="B72232" s="0" t="str">
        <f aca="false">HYPERLINK("https://lindat.mff.cuni.cz/services/teitok/pdtc10/index.php?action=vallex&amp;frame=v-w9951f1", "zvěčnit (v-w9951f1)")</f>
        <v>zvěčnit (v-w9951f1)</v>
      </c>
    </row>
    <row r="72233" customFormat="false" ht="12.8" hidden="false" customHeight="false" outlineLevel="0" collapsed="false">
      <c r="B72233" s="0" t="s">
        <v>1</v>
      </c>
    </row>
    <row r="72234" customFormat="false" ht="12.8" hidden="false" customHeight="false" outlineLevel="0" collapsed="false">
      <c r="B72234" s="0" t="s">
        <v>8</v>
      </c>
    </row>
    <row r="72236" customFormat="false" ht="12.8" hidden="false" customHeight="false" outlineLevel="0" collapsed="false">
      <c r="A72236" s="0" t="s">
        <v>23434</v>
      </c>
      <c r="B72236" s="0" t="str">
        <f aca="false">HYPERLINK("https://lindat.mff.cuni.cz/services/teitok/pdtc10/index.php?action=vallex&amp;frame=v-w8741f1", "zábst (v-w8741f1)")</f>
        <v>zábst (v-w8741f1)</v>
      </c>
    </row>
    <row r="72237" customFormat="false" ht="12.8" hidden="false" customHeight="false" outlineLevel="0" collapsed="false">
      <c r="B72237" s="0" t="s">
        <v>264</v>
      </c>
    </row>
    <row r="72238" customFormat="false" ht="12.8" hidden="false" customHeight="false" outlineLevel="0" collapsed="false">
      <c r="B72238" s="0" t="s">
        <v>439</v>
      </c>
    </row>
    <row r="72240" customFormat="false" ht="12.8" hidden="false" customHeight="false" outlineLevel="0" collapsed="false">
      <c r="A72240" s="0" t="s">
        <v>23435</v>
      </c>
      <c r="B72240" s="0" t="str">
        <f aca="false">HYPERLINK("https://lindat.mff.cuni.cz/services/teitok/pdtc10/index.php?action=vallex&amp;frame=v-w8913f4_MM", "záležet (v-w8913f4_MM)")</f>
        <v>záležet (v-w8913f4_MM)</v>
      </c>
    </row>
    <row r="72241" customFormat="false" ht="12.8" hidden="false" customHeight="false" outlineLevel="0" collapsed="false">
      <c r="B72241" s="0" t="s">
        <v>23436</v>
      </c>
    </row>
    <row r="72242" customFormat="false" ht="12.8" hidden="false" customHeight="false" outlineLevel="0" collapsed="false">
      <c r="B72242" s="0" t="s">
        <v>23437</v>
      </c>
    </row>
    <row r="72244" customFormat="false" ht="12.8" hidden="false" customHeight="false" outlineLevel="0" collapsed="false">
      <c r="A72244" s="0" t="s">
        <v>23435</v>
      </c>
      <c r="B72244" s="0" t="str">
        <f aca="false">HYPERLINK("https://lindat.mff.cuni.cz/services/teitok/pdtc10/index.php?action=vallex&amp;frame=v-w8913f1", "záležet (v-w8913f1) - substituted with v-w8913f4_MM")</f>
        <v>záležet (v-w8913f1) - substituted with v-w8913f4_MM</v>
      </c>
      <c r="E72244" s="0" t="str">
        <f aca="false">HYPERLINK("https://lindat.mff.cuni.cz/services/SynSemClass40/SynSemClass40.html?veclass=vec00180#vec00180-ces-cm00001", "vec00180")</f>
        <v>vec00180</v>
      </c>
      <c r="F72244" s="0" t="s">
        <v>23438</v>
      </c>
    </row>
    <row r="72245" customFormat="false" ht="12.8" hidden="false" customHeight="false" outlineLevel="0" collapsed="false">
      <c r="B72245" s="0" t="s">
        <v>23436</v>
      </c>
      <c r="C72245" s="0" t="s">
        <v>23439</v>
      </c>
      <c r="E72245" s="0" t="s">
        <v>23440</v>
      </c>
      <c r="F72245" s="0" t="s">
        <v>23441</v>
      </c>
    </row>
    <row r="72246" customFormat="false" ht="12.8" hidden="false" customHeight="false" outlineLevel="0" collapsed="false">
      <c r="B72246" s="0" t="s">
        <v>23437</v>
      </c>
      <c r="C72246" s="0" t="s">
        <v>23442</v>
      </c>
      <c r="E72246" s="0" t="s">
        <v>23443</v>
      </c>
      <c r="F72246" s="0" t="s">
        <v>23444</v>
      </c>
    </row>
    <row r="72248" customFormat="false" ht="12.8" hidden="false" customHeight="false" outlineLevel="0" collapsed="false">
      <c r="A72248" s="0" t="s">
        <v>23435</v>
      </c>
      <c r="B72248" s="0" t="str">
        <f aca="false">HYPERLINK("https://lindat.mff.cuni.cz/services/teitok/pdtc10/index.php?action=vallex&amp;frame=v-w8913f3_ZU", "záležet (v-w8913f3_ZU) - substituted with v-w8913f4_MM")</f>
        <v>záležet (v-w8913f3_ZU) - substituted with v-w8913f4_MM</v>
      </c>
    </row>
    <row r="72249" customFormat="false" ht="12.8" hidden="false" customHeight="false" outlineLevel="0" collapsed="false">
      <c r="B72249" s="0" t="s">
        <v>23436</v>
      </c>
    </row>
    <row r="72250" customFormat="false" ht="12.8" hidden="false" customHeight="false" outlineLevel="0" collapsed="false">
      <c r="B72250" s="0" t="s">
        <v>23437</v>
      </c>
    </row>
    <row r="72252" customFormat="false" ht="12.8" hidden="false" customHeight="false" outlineLevel="0" collapsed="false">
      <c r="A72252" s="0" t="s">
        <v>23445</v>
      </c>
      <c r="B72252" s="0" t="str">
        <f aca="false">HYPERLINK("https://lindat.mff.cuni.cz/services/teitok/pdtc10/index.php?action=vallex&amp;frame=v-w8913f2", "záležet (v-w8913f2)")</f>
        <v>záležet (v-w8913f2)</v>
      </c>
    </row>
    <row r="72253" customFormat="false" ht="12.8" hidden="false" customHeight="false" outlineLevel="0" collapsed="false">
      <c r="B72253" s="0" t="s">
        <v>804</v>
      </c>
    </row>
    <row r="72254" customFormat="false" ht="12.8" hidden="false" customHeight="false" outlineLevel="0" collapsed="false">
      <c r="B72254" s="0" t="s">
        <v>291</v>
      </c>
    </row>
    <row r="72256" customFormat="false" ht="12.8" hidden="false" customHeight="false" outlineLevel="0" collapsed="false">
      <c r="A72256" s="0" t="s">
        <v>23446</v>
      </c>
      <c r="B72256" s="0" t="str">
        <f aca="false">HYPERLINK("https://lindat.mff.cuni.cz/services/teitok/pdtc10/index.php?action=vallex&amp;frame=v-w9007f1", "zápasit (v-w9007f1)")</f>
        <v>zápasit (v-w9007f1)</v>
      </c>
      <c r="E72256" s="0" t="str">
        <f aca="false">HYPERLINK("https://lindat.mff.cuni.cz/services/SynSemClass40/SynSemClass40.html?veclass=vec00301#vec00301-ces-cm00135", "vec00301")</f>
        <v>vec00301</v>
      </c>
      <c r="F72256" s="0" t="s">
        <v>3165</v>
      </c>
    </row>
    <row r="72257" customFormat="false" ht="12.8" hidden="false" customHeight="false" outlineLevel="0" collapsed="false">
      <c r="B72257" s="0" t="s">
        <v>1</v>
      </c>
      <c r="C72257" s="0" t="s">
        <v>10322</v>
      </c>
      <c r="E72257" s="0" t="s">
        <v>31</v>
      </c>
      <c r="F72257" s="0" t="s">
        <v>3167</v>
      </c>
    </row>
    <row r="72258" customFormat="false" ht="12.8" hidden="false" customHeight="false" outlineLevel="0" collapsed="false">
      <c r="B72258" s="0" t="s">
        <v>721</v>
      </c>
      <c r="C72258" s="0" t="s">
        <v>10323</v>
      </c>
      <c r="E72258" s="0" t="s">
        <v>230</v>
      </c>
      <c r="F72258" s="0" t="s">
        <v>3170</v>
      </c>
    </row>
    <row r="72260" customFormat="false" ht="12.8" hidden="false" customHeight="false" outlineLevel="0" collapsed="false">
      <c r="A72260" s="0" t="s">
        <v>23447</v>
      </c>
      <c r="B72260" s="0" t="str">
        <f aca="false">HYPERLINK("https://lindat.mff.cuni.cz/services/teitok/pdtc10/index.php?action=vallex&amp;frame=v-w9007f2", "zápasit (v-w9007f2)")</f>
        <v>zápasit (v-w9007f2)</v>
      </c>
    </row>
    <row r="72261" customFormat="false" ht="12.8" hidden="false" customHeight="false" outlineLevel="0" collapsed="false">
      <c r="B72261" s="0" t="s">
        <v>1</v>
      </c>
    </row>
    <row r="72262" customFormat="false" ht="12.8" hidden="false" customHeight="false" outlineLevel="0" collapsed="false">
      <c r="B72262" s="0" t="s">
        <v>16210</v>
      </c>
    </row>
    <row r="72263" customFormat="false" ht="12.8" hidden="false" customHeight="false" outlineLevel="0" collapsed="false">
      <c r="B72263" s="0" t="s">
        <v>422</v>
      </c>
    </row>
    <row r="72265" customFormat="false" ht="12.8" hidden="false" customHeight="false" outlineLevel="0" collapsed="false">
      <c r="A72265" s="0" t="s">
        <v>23448</v>
      </c>
      <c r="B72265" s="0" t="str">
        <f aca="false">HYPERLINK("https://lindat.mff.cuni.cz/services/teitok/pdtc10/index.php?action=vallex&amp;frame=v-w10595f2", "zápolit (v-w10595f2)")</f>
        <v>zápolit (v-w10595f2)</v>
      </c>
      <c r="E72265" s="0" t="str">
        <f aca="false">HYPERLINK("https://lindat.mff.cuni.cz/services/SynSemClass40/SynSemClass40.html?veclass=vec00205#vec00205-ces-cm00060", "vec00205")</f>
        <v>vec00205</v>
      </c>
      <c r="F72265" s="0" t="s">
        <v>406</v>
      </c>
    </row>
    <row r="72266" customFormat="false" ht="12.8" hidden="false" customHeight="false" outlineLevel="0" collapsed="false">
      <c r="B72266" s="0" t="s">
        <v>1</v>
      </c>
      <c r="C72266" s="0" t="s">
        <v>407</v>
      </c>
      <c r="E72266" s="0" t="s">
        <v>11</v>
      </c>
      <c r="F72266" s="0" t="s">
        <v>408</v>
      </c>
    </row>
    <row r="72267" customFormat="false" ht="12.8" hidden="false" customHeight="false" outlineLevel="0" collapsed="false">
      <c r="B72267" s="0" t="s">
        <v>721</v>
      </c>
      <c r="C72267" s="0" t="s">
        <v>410</v>
      </c>
      <c r="E72267" s="0" t="s">
        <v>411</v>
      </c>
      <c r="F72267" s="0" t="s">
        <v>412</v>
      </c>
    </row>
    <row r="72269" customFormat="false" ht="12.8" hidden="false" customHeight="false" outlineLevel="0" collapsed="false">
      <c r="A72269" s="0" t="s">
        <v>23449</v>
      </c>
      <c r="B72269" s="0" t="str">
        <f aca="false">HYPERLINK("https://lindat.mff.cuni.cz/services/teitok/pdtc10/index.php?action=vallex&amp;frame=v-w10628f2", "zásobit (v-w10628f2)")</f>
        <v>zásobit (v-w10628f2)</v>
      </c>
      <c r="E72269" s="0" t="str">
        <f aca="false">HYPERLINK("https://lindat.mff.cuni.cz/services/SynSemClass40/SynSemClass40.html?veclass=vec00752#vec00752-ces-cm00085", "vec00752")</f>
        <v>vec00752</v>
      </c>
      <c r="F72269" s="0" t="s">
        <v>9764</v>
      </c>
    </row>
    <row r="72270" customFormat="false" ht="12.8" hidden="false" customHeight="false" outlineLevel="0" collapsed="false">
      <c r="B72270" s="0" t="s">
        <v>1</v>
      </c>
      <c r="C72270" s="0" t="s">
        <v>9765</v>
      </c>
      <c r="E72270" s="0" t="s">
        <v>9766</v>
      </c>
      <c r="F72270" s="0" t="s">
        <v>9767</v>
      </c>
    </row>
    <row r="72271" customFormat="false" ht="12.8" hidden="false" customHeight="false" outlineLevel="0" collapsed="false">
      <c r="B72271" s="0" t="s">
        <v>98</v>
      </c>
      <c r="C72271" s="0" t="s">
        <v>23450</v>
      </c>
      <c r="E72271" s="0" t="s">
        <v>53</v>
      </c>
      <c r="F72271" s="0" t="s">
        <v>23451</v>
      </c>
    </row>
    <row r="72272" customFormat="false" ht="12.8" hidden="false" customHeight="false" outlineLevel="0" collapsed="false">
      <c r="B72272" s="0" t="s">
        <v>4287</v>
      </c>
      <c r="C72272" s="0" t="s">
        <v>23452</v>
      </c>
      <c r="E72272" s="0" t="s">
        <v>22086</v>
      </c>
      <c r="F72272" s="0" t="s">
        <v>23453</v>
      </c>
    </row>
    <row r="72274" customFormat="false" ht="12.8" hidden="false" customHeight="false" outlineLevel="0" collapsed="false">
      <c r="A72274" s="0" t="s">
        <v>23454</v>
      </c>
      <c r="B72274" s="0" t="str">
        <f aca="false">HYPERLINK("https://lindat.mff.cuni.cz/services/teitok/pdtc10/index.php?action=vallex&amp;frame=v-w9148f1", "zásobovat (v-w9148f1)")</f>
        <v>zásobovat (v-w9148f1)</v>
      </c>
      <c r="E72274" s="0" t="str">
        <f aca="false">HYPERLINK("https://lindat.mff.cuni.cz/services/SynSemClass40/SynSemClass40.html?veclass=vec00178#vec00178-ces-cm00110", "vec00178")</f>
        <v>vec00178</v>
      </c>
      <c r="F72274" s="0" t="s">
        <v>8586</v>
      </c>
      <c r="H72274" s="0" t="str">
        <f aca="false">HYPERLINK("https://lindat.mff.cuni.cz/services/SynSemClass40/SynSemClass40.html?veclass=vec00752#vec00752-ces-cm00086", "vec00752")</f>
        <v>vec00752</v>
      </c>
      <c r="I72274" s="0" t="s">
        <v>9764</v>
      </c>
      <c r="K72274" s="0" t="str">
        <f aca="false">HYPERLINK("https://lindat.mff.cuni.cz/services/SynSemClass40/SynSemClass40.html?veclass=vec01256#vec01256-ces-cm00084", "vec01256")</f>
        <v>vec01256</v>
      </c>
      <c r="L72274" s="0" t="s">
        <v>2194</v>
      </c>
    </row>
    <row r="72275" customFormat="false" ht="12.8" hidden="false" customHeight="false" outlineLevel="0" collapsed="false">
      <c r="B72275" s="0" t="s">
        <v>1</v>
      </c>
      <c r="C72275" s="0" t="s">
        <v>23455</v>
      </c>
      <c r="E72275" s="0" t="s">
        <v>31</v>
      </c>
      <c r="F72275" s="0" t="s">
        <v>8587</v>
      </c>
      <c r="H72275" s="0" t="s">
        <v>9766</v>
      </c>
      <c r="I72275" s="0" t="s">
        <v>9767</v>
      </c>
      <c r="K72275" s="0" t="s">
        <v>31</v>
      </c>
      <c r="L72275" s="0" t="s">
        <v>2198</v>
      </c>
    </row>
    <row r="72276" customFormat="false" ht="12.8" hidden="false" customHeight="false" outlineLevel="0" collapsed="false">
      <c r="B72276" s="0" t="s">
        <v>98</v>
      </c>
      <c r="C72276" s="0" t="s">
        <v>23456</v>
      </c>
      <c r="E72276" s="0" t="s">
        <v>1392</v>
      </c>
      <c r="F72276" s="0" t="s">
        <v>11508</v>
      </c>
      <c r="H72276" s="0" t="s">
        <v>53</v>
      </c>
      <c r="I72276" s="0" t="s">
        <v>23451</v>
      </c>
      <c r="K72276" s="0" t="s">
        <v>53</v>
      </c>
      <c r="L72276" s="0" t="s">
        <v>2205</v>
      </c>
    </row>
    <row r="72277" customFormat="false" ht="12.8" hidden="false" customHeight="false" outlineLevel="0" collapsed="false">
      <c r="B72277" s="0" t="s">
        <v>4287</v>
      </c>
      <c r="C72277" s="0" t="s">
        <v>23457</v>
      </c>
      <c r="E72277" s="0" t="s">
        <v>34</v>
      </c>
      <c r="F72277" s="0" t="s">
        <v>8589</v>
      </c>
      <c r="H72277" s="0" t="s">
        <v>22086</v>
      </c>
      <c r="I72277" s="0" t="s">
        <v>23453</v>
      </c>
      <c r="K72277" s="0" t="s">
        <v>1875</v>
      </c>
      <c r="L72277" s="0" t="s">
        <v>2202</v>
      </c>
    </row>
    <row r="72279" customFormat="false" ht="12.8" hidden="false" customHeight="false" outlineLevel="0" collapsed="false">
      <c r="A72279" s="0" t="s">
        <v>23458</v>
      </c>
      <c r="B72279" s="0" t="str">
        <f aca="false">HYPERLINK("https://lindat.mff.cuni.cz/services/teitok/pdtc10/index.php?action=vallex&amp;frame=v-w9276f2_ZU", "závidět (v-w9276f2_ZU)")</f>
        <v>závidět (v-w9276f2_ZU)</v>
      </c>
    </row>
    <row r="72280" customFormat="false" ht="12.8" hidden="false" customHeight="false" outlineLevel="0" collapsed="false">
      <c r="B72280" s="0" t="s">
        <v>1</v>
      </c>
    </row>
    <row r="72281" customFormat="false" ht="12.8" hidden="false" customHeight="false" outlineLevel="0" collapsed="false">
      <c r="B72281" s="0" t="s">
        <v>23459</v>
      </c>
    </row>
    <row r="72282" customFormat="false" ht="12.8" hidden="false" customHeight="false" outlineLevel="0" collapsed="false">
      <c r="B72282" s="0" t="s">
        <v>52</v>
      </c>
    </row>
    <row r="72284" customFormat="false" ht="12.8" hidden="false" customHeight="false" outlineLevel="0" collapsed="false">
      <c r="A72284" s="0" t="s">
        <v>23458</v>
      </c>
      <c r="B72284" s="0" t="str">
        <f aca="false">HYPERLINK("https://lindat.mff.cuni.cz/services/teitok/pdtc10/index.php?action=vallex&amp;frame=v-w9276f1", "závidět (v-w9276f1) - substituted with v-w9276f2_ZU")</f>
        <v>závidět (v-w9276f1) - substituted with v-w9276f2_ZU</v>
      </c>
    </row>
    <row r="72285" customFormat="false" ht="12.8" hidden="false" customHeight="false" outlineLevel="0" collapsed="false">
      <c r="B72285" s="0" t="s">
        <v>1</v>
      </c>
    </row>
    <row r="72286" customFormat="false" ht="12.8" hidden="false" customHeight="false" outlineLevel="0" collapsed="false">
      <c r="B72286" s="0" t="s">
        <v>23459</v>
      </c>
    </row>
    <row r="72287" customFormat="false" ht="12.8" hidden="false" customHeight="false" outlineLevel="0" collapsed="false">
      <c r="B72287" s="0" t="s">
        <v>52</v>
      </c>
    </row>
    <row r="72289" customFormat="false" ht="12.8" hidden="false" customHeight="false" outlineLevel="0" collapsed="false">
      <c r="A72289" s="0" t="s">
        <v>23458</v>
      </c>
      <c r="B72289" s="0" t="str">
        <f aca="false">HYPERLINK("https://lindat.mff.cuni.cz/services/teitok/pdtc10/index.php?action=vallex&amp;frame=v-w9276hsa_305", "závidět (v-w9276hsa_305) - substituted with v-w9276f2_ZU")</f>
        <v>závidět (v-w9276hsa_305) - substituted with v-w9276f2_ZU</v>
      </c>
    </row>
    <row r="72290" customFormat="false" ht="12.8" hidden="false" customHeight="false" outlineLevel="0" collapsed="false">
      <c r="B72290" s="0" t="s">
        <v>1</v>
      </c>
    </row>
    <row r="72291" customFormat="false" ht="12.8" hidden="false" customHeight="false" outlineLevel="0" collapsed="false">
      <c r="B72291" s="0" t="s">
        <v>23459</v>
      </c>
    </row>
    <row r="72292" customFormat="false" ht="12.8" hidden="false" customHeight="false" outlineLevel="0" collapsed="false">
      <c r="B72292" s="0" t="s">
        <v>52</v>
      </c>
    </row>
    <row r="72294" customFormat="false" ht="12.8" hidden="false" customHeight="false" outlineLevel="0" collapsed="false">
      <c r="A72294" s="0" t="s">
        <v>23460</v>
      </c>
      <c r="B72294" s="0" t="str">
        <f aca="false">HYPERLINK("https://lindat.mff.cuni.cz/services/teitok/pdtc10/index.php?action=vallex&amp;frame=v-w9283f2_ZU", "záviset (v-w9283f2_ZU)")</f>
        <v>záviset (v-w9283f2_ZU)</v>
      </c>
    </row>
    <row r="72295" customFormat="false" ht="12.8" hidden="false" customHeight="false" outlineLevel="0" collapsed="false">
      <c r="B72295" s="0" t="s">
        <v>23461</v>
      </c>
    </row>
    <row r="72296" customFormat="false" ht="12.8" hidden="false" customHeight="false" outlineLevel="0" collapsed="false">
      <c r="B72296" s="0" t="s">
        <v>291</v>
      </c>
    </row>
    <row r="72298" customFormat="false" ht="12.8" hidden="false" customHeight="false" outlineLevel="0" collapsed="false">
      <c r="A72298" s="0" t="s">
        <v>23460</v>
      </c>
      <c r="B72298" s="0" t="str">
        <f aca="false">HYPERLINK("https://lindat.mff.cuni.cz/services/teitok/pdtc10/index.php?action=vallex&amp;frame=v-w9283f1", "záviset (v-w9283f1) - substituted with v-w9283f2_ZU")</f>
        <v>záviset (v-w9283f1) - substituted with v-w9283f2_ZU</v>
      </c>
      <c r="E72298" s="0" t="str">
        <f aca="false">HYPERLINK("https://lindat.mff.cuni.cz/services/SynSemClass40/SynSemClass40.html?veclass=vec00180#vec00180-ces-cm00023", "vec00180")</f>
        <v>vec00180</v>
      </c>
      <c r="F72298" s="0" t="s">
        <v>23438</v>
      </c>
    </row>
    <row r="72299" customFormat="false" ht="12.8" hidden="false" customHeight="false" outlineLevel="0" collapsed="false">
      <c r="B72299" s="0" t="s">
        <v>23461</v>
      </c>
      <c r="C72299" s="0" t="s">
        <v>23439</v>
      </c>
      <c r="E72299" s="0" t="s">
        <v>23440</v>
      </c>
      <c r="F72299" s="0" t="s">
        <v>23441</v>
      </c>
    </row>
    <row r="72300" customFormat="false" ht="12.8" hidden="false" customHeight="false" outlineLevel="0" collapsed="false">
      <c r="B72300" s="0" t="s">
        <v>291</v>
      </c>
      <c r="C72300" s="0" t="s">
        <v>23442</v>
      </c>
      <c r="E72300" s="0" t="s">
        <v>23443</v>
      </c>
      <c r="F72300" s="0" t="s">
        <v>23444</v>
      </c>
    </row>
    <row r="72302" customFormat="false" ht="12.8" hidden="false" customHeight="false" outlineLevel="0" collapsed="false">
      <c r="A72302" s="0" t="s">
        <v>23462</v>
      </c>
      <c r="B72302" s="0" t="str">
        <f aca="false">HYPERLINK("https://lindat.mff.cuni.cz/services/teitok/pdtc10/index.php?action=vallex&amp;frame=v-w9295f2_ZU", "závodit (v-w9295f2_ZU)")</f>
        <v>závodit (v-w9295f2_ZU)</v>
      </c>
    </row>
    <row r="72303" customFormat="false" ht="12.8" hidden="false" customHeight="false" outlineLevel="0" collapsed="false">
      <c r="B72303" s="0" t="s">
        <v>1</v>
      </c>
    </row>
    <row r="72304" customFormat="false" ht="12.8" hidden="false" customHeight="false" outlineLevel="0" collapsed="false">
      <c r="B72304" s="0" t="s">
        <v>23463</v>
      </c>
    </row>
    <row r="72305" customFormat="false" ht="12.8" hidden="false" customHeight="false" outlineLevel="0" collapsed="false">
      <c r="B72305" s="0" t="s">
        <v>3153</v>
      </c>
    </row>
    <row r="72307" customFormat="false" ht="12.8" hidden="false" customHeight="false" outlineLevel="0" collapsed="false">
      <c r="A72307" s="0" t="s">
        <v>23462</v>
      </c>
      <c r="B72307" s="0" t="str">
        <f aca="false">HYPERLINK("https://lindat.mff.cuni.cz/services/teitok/pdtc10/index.php?action=vallex&amp;frame=v-w9295f1", "závodit (v-w9295f1) - substituted with v-w9295f2_ZU")</f>
        <v>závodit (v-w9295f1) - substituted with v-w9295f2_ZU</v>
      </c>
    </row>
    <row r="72308" customFormat="false" ht="12.8" hidden="false" customHeight="false" outlineLevel="0" collapsed="false">
      <c r="B72308" s="0" t="s">
        <v>1</v>
      </c>
    </row>
    <row r="72309" customFormat="false" ht="12.8" hidden="false" customHeight="false" outlineLevel="0" collapsed="false">
      <c r="B72309" s="0" t="s">
        <v>23463</v>
      </c>
    </row>
    <row r="72310" customFormat="false" ht="12.8" hidden="false" customHeight="false" outlineLevel="0" collapsed="false">
      <c r="B72310" s="0" t="s">
        <v>3153</v>
      </c>
    </row>
    <row r="72312" customFormat="false" ht="12.8" hidden="false" customHeight="false" outlineLevel="0" collapsed="false">
      <c r="A72312" s="0" t="s">
        <v>23464</v>
      </c>
      <c r="B72312" s="0" t="str">
        <f aca="false">HYPERLINK("https://lindat.mff.cuni.cz/services/teitok/pdtc10/index.php?action=vallex&amp;frame=v-w9296f1", "závodit si (v-w9296f1)")</f>
        <v>závodit si (v-w9296f1)</v>
      </c>
    </row>
    <row r="72313" customFormat="false" ht="12.8" hidden="false" customHeight="false" outlineLevel="0" collapsed="false">
      <c r="B72313" s="0" t="s">
        <v>1</v>
      </c>
    </row>
    <row r="72315" customFormat="false" ht="12.8" hidden="false" customHeight="false" outlineLevel="0" collapsed="false">
      <c r="A72315" s="0" t="s">
        <v>23465</v>
      </c>
      <c r="B72315" s="0" t="str">
        <f aca="false">HYPERLINK("https://lindat.mff.cuni.cz/services/teitok/pdtc10/index.php?action=vallex&amp;frame=v-w9106f1", "zářit (v-w9106f1)")</f>
        <v>zářit (v-w9106f1)</v>
      </c>
      <c r="E72315" s="0" t="str">
        <f aca="false">HYPERLINK("https://lindat.mff.cuni.cz/services/SynSemClass40/SynSemClass40.html?veclass=vec01173#vec01173-ces-cm00001", "vec01173")</f>
        <v>vec01173</v>
      </c>
      <c r="F72315" s="0" t="s">
        <v>321</v>
      </c>
    </row>
    <row r="72316" customFormat="false" ht="12.8" hidden="false" customHeight="false" outlineLevel="0" collapsed="false">
      <c r="B72316" s="0" t="s">
        <v>1</v>
      </c>
      <c r="C72316" s="0" t="s">
        <v>322</v>
      </c>
      <c r="E72316" s="0" t="s">
        <v>11</v>
      </c>
      <c r="F72316" s="0" t="s">
        <v>323</v>
      </c>
    </row>
    <row r="72318" customFormat="false" ht="12.8" hidden="false" customHeight="false" outlineLevel="0" collapsed="false">
      <c r="A72318" s="0" t="s">
        <v>23466</v>
      </c>
      <c r="B72318" s="0" t="str">
        <f aca="false">HYPERLINK("https://lindat.mff.cuni.cz/services/teitok/pdtc10/index.php?action=vallex&amp;frame=v-w9106f2_ZU", "zářit (v-w9106f2_ZU)")</f>
        <v>zářit (v-w9106f2_ZU)</v>
      </c>
    </row>
    <row r="72319" customFormat="false" ht="12.8" hidden="false" customHeight="false" outlineLevel="0" collapsed="false">
      <c r="B72319" s="0" t="s">
        <v>1</v>
      </c>
    </row>
    <row r="72321" customFormat="false" ht="12.8" hidden="false" customHeight="false" outlineLevel="0" collapsed="false">
      <c r="A72321" s="0" t="s">
        <v>23467</v>
      </c>
      <c r="B72321" s="0" t="str">
        <f aca="false">HYPERLINK("https://lindat.mff.cuni.cz/services/teitok/pdtc10/index.php?action=vallex&amp;frame=v-w9497f3", "zírat (v-w9497f3)")</f>
        <v>zírat (v-w9497f3)</v>
      </c>
      <c r="E72321" s="0" t="str">
        <f aca="false">HYPERLINK("https://lindat.mff.cuni.cz/services/SynSemClass40/SynSemClass40.html?veclass=vec00310#vec00310-ces-cm00115", "vec00310")</f>
        <v>vec00310</v>
      </c>
      <c r="F72321" s="0" t="s">
        <v>3839</v>
      </c>
      <c r="H72321" s="0" t="str">
        <f aca="false">HYPERLINK("https://lindat.mff.cuni.cz/services/SynSemClass40/SynSemClass40.html?veclass=vec00869#vec00869-ces-cm00044", "vec00869")</f>
        <v>vec00869</v>
      </c>
      <c r="I72321" s="0" t="s">
        <v>3855</v>
      </c>
      <c r="K72321" s="0" t="str">
        <f aca="false">HYPERLINK("https://lindat.mff.cuni.cz/services/SynSemClass40/SynSemClass40.html?veclass=vec01515#vec01515-ces-cm00018", "vec01515")</f>
        <v>vec01515</v>
      </c>
      <c r="L72321" s="0" t="s">
        <v>12322</v>
      </c>
    </row>
    <row r="72322" customFormat="false" ht="12.8" hidden="false" customHeight="false" outlineLevel="0" collapsed="false">
      <c r="B72322" s="0" t="s">
        <v>1</v>
      </c>
      <c r="C72322" s="0" t="s">
        <v>23468</v>
      </c>
      <c r="E72322" s="0" t="s">
        <v>3840</v>
      </c>
      <c r="F72322" s="0" t="s">
        <v>3841</v>
      </c>
      <c r="H72322" s="0" t="s">
        <v>3856</v>
      </c>
      <c r="I72322" s="0" t="s">
        <v>3857</v>
      </c>
      <c r="K72322" s="0" t="s">
        <v>3856</v>
      </c>
      <c r="L72322" s="0" t="s">
        <v>3857</v>
      </c>
    </row>
    <row r="72323" customFormat="false" ht="12.8" hidden="false" customHeight="false" outlineLevel="0" collapsed="false">
      <c r="B72323" s="0" t="s">
        <v>1679</v>
      </c>
      <c r="C72323" s="0" t="s">
        <v>23469</v>
      </c>
      <c r="E72323" s="0" t="s">
        <v>180</v>
      </c>
      <c r="F72323" s="0" t="s">
        <v>3842</v>
      </c>
      <c r="H72323" s="0" t="s">
        <v>384</v>
      </c>
      <c r="I72323" s="0" t="s">
        <v>12325</v>
      </c>
      <c r="K72323" s="0" t="s">
        <v>119</v>
      </c>
      <c r="L72323" s="0" t="s">
        <v>12326</v>
      </c>
    </row>
    <row r="72325" customFormat="false" ht="12.8" hidden="false" customHeight="false" outlineLevel="0" collapsed="false">
      <c r="A72325" s="0" t="s">
        <v>23470</v>
      </c>
      <c r="B72325" s="0" t="str">
        <f aca="false">HYPERLINK("https://lindat.mff.cuni.cz/services/teitok/pdtc10/index.php?action=vallex&amp;frame=v-w9497f2", "zírat (v-w9497f2)")</f>
        <v>zírat (v-w9497f2)</v>
      </c>
      <c r="E72325" s="0" t="str">
        <f aca="false">HYPERLINK("https://lindat.mff.cuni.cz/services/SynSemClass40/SynSemClass40.html?veclass=vec00869#vec00869-ces-cm00043", "vec00869")</f>
        <v>vec00869</v>
      </c>
      <c r="F72325" s="0" t="s">
        <v>3855</v>
      </c>
      <c r="H72325" s="0" t="str">
        <f aca="false">HYPERLINK("https://lindat.mff.cuni.cz/services/SynSemClass40/SynSemClass40.html?veclass=vec01515#vec01515-ces-cm00017", "vec01515")</f>
        <v>vec01515</v>
      </c>
      <c r="I72325" s="0" t="s">
        <v>12322</v>
      </c>
    </row>
    <row r="72326" customFormat="false" ht="12.8" hidden="false" customHeight="false" outlineLevel="0" collapsed="false">
      <c r="B72326" s="0" t="s">
        <v>1</v>
      </c>
      <c r="C72326" s="0" t="s">
        <v>12323</v>
      </c>
      <c r="E72326" s="0" t="s">
        <v>3856</v>
      </c>
      <c r="F72326" s="0" t="s">
        <v>3857</v>
      </c>
      <c r="H72326" s="0" t="s">
        <v>3856</v>
      </c>
      <c r="I72326" s="0" t="s">
        <v>3857</v>
      </c>
    </row>
    <row r="72327" customFormat="false" ht="12.8" hidden="false" customHeight="false" outlineLevel="0" collapsed="false">
      <c r="B72327" s="0" t="s">
        <v>164</v>
      </c>
      <c r="C72327" s="0" t="s">
        <v>23471</v>
      </c>
      <c r="E72327" s="0" t="s">
        <v>388</v>
      </c>
      <c r="F72327" s="0" t="s">
        <v>3859</v>
      </c>
      <c r="H72327" s="0" t="s">
        <v>23472</v>
      </c>
      <c r="I72327" s="0" t="s">
        <v>23473</v>
      </c>
    </row>
    <row r="72329" customFormat="false" ht="12.8" hidden="false" customHeight="false" outlineLevel="0" collapsed="false">
      <c r="A72329" s="0" t="s">
        <v>23474</v>
      </c>
      <c r="B72329" s="0" t="str">
        <f aca="false">HYPERLINK("https://lindat.mff.cuni.cz/services/teitok/pdtc10/index.php?action=vallex&amp;frame=v-w9497f1", "zírat (v-w9497f1)")</f>
        <v>zírat (v-w9497f1)</v>
      </c>
    </row>
    <row r="72330" customFormat="false" ht="12.8" hidden="false" customHeight="false" outlineLevel="0" collapsed="false">
      <c r="B72330" s="0" t="s">
        <v>1</v>
      </c>
    </row>
    <row r="72331" customFormat="false" ht="12.8" hidden="false" customHeight="false" outlineLevel="0" collapsed="false">
      <c r="B72331" s="0" t="s">
        <v>23475</v>
      </c>
    </row>
    <row r="72333" customFormat="false" ht="12.8" hidden="false" customHeight="false" outlineLevel="0" collapsed="false">
      <c r="A72333" s="0" t="s">
        <v>23476</v>
      </c>
      <c r="B72333" s="0" t="str">
        <f aca="false">HYPERLINK("https://lindat.mff.cuni.cz/services/teitok/pdtc10/index.php?action=vallex&amp;frame=v-w9501f12_ZU", "získat (v-w9501f12_ZU)")</f>
        <v>získat (v-w9501f12_ZU)</v>
      </c>
      <c r="E72333" s="0" t="str">
        <f aca="false">HYPERLINK("https://lindat.mff.cuni.cz/services/SynSemClass40/SynSemClass40.html?veclass=vec00013#vec00013-ces-cm00116", "vec00013")</f>
        <v>vec00013</v>
      </c>
      <c r="F72333" s="0" t="s">
        <v>2742</v>
      </c>
      <c r="H72333" s="0" t="str">
        <f aca="false">HYPERLINK("https://lindat.mff.cuni.cz/services/SynSemClass40/SynSemClass40.html?veclass=vec00189#vec00189-ces-cm00038", "vec00189")</f>
        <v>vec00189</v>
      </c>
      <c r="I72333" s="0" t="s">
        <v>2169</v>
      </c>
      <c r="K72333" s="0" t="str">
        <f aca="false">HYPERLINK("https://lindat.mff.cuni.cz/services/SynSemClass40/SynSemClass40.html?veclass=vec01393#vec01393-ces-cm00042", "vec01393")</f>
        <v>vec01393</v>
      </c>
      <c r="L72333" s="0" t="s">
        <v>2162</v>
      </c>
      <c r="N72333" s="0" t="str">
        <f aca="false">HYPERLINK("https://lindat.mff.cuni.cz/services/SynSemClass40/SynSemClass40.html?veclass=vec01491#vec01491-ces-cm00187", "vec01491")</f>
        <v>vec01491</v>
      </c>
      <c r="O72333" s="0" t="s">
        <v>2792</v>
      </c>
    </row>
    <row r="72334" customFormat="false" ht="12.8" hidden="false" customHeight="false" outlineLevel="0" collapsed="false">
      <c r="B72334" s="0" t="s">
        <v>1</v>
      </c>
      <c r="C72334" s="0" t="s">
        <v>23477</v>
      </c>
      <c r="E72334" s="0" t="s">
        <v>621</v>
      </c>
      <c r="F72334" s="0" t="s">
        <v>2744</v>
      </c>
      <c r="H72334" s="0" t="s">
        <v>1567</v>
      </c>
      <c r="I72334" s="0" t="s">
        <v>2171</v>
      </c>
      <c r="K72334" s="0" t="s">
        <v>11</v>
      </c>
      <c r="L72334" s="0" t="s">
        <v>2164</v>
      </c>
      <c r="N72334" s="0" t="s">
        <v>1567</v>
      </c>
      <c r="O72334" s="0" t="s">
        <v>2794</v>
      </c>
    </row>
    <row r="72335" customFormat="false" ht="12.8" hidden="false" customHeight="false" outlineLevel="0" collapsed="false">
      <c r="B72335" s="0" t="s">
        <v>8</v>
      </c>
      <c r="C72335" s="0" t="s">
        <v>23478</v>
      </c>
      <c r="E72335" s="0" t="s">
        <v>218</v>
      </c>
      <c r="F72335" s="0" t="s">
        <v>2749</v>
      </c>
      <c r="H72335" s="0" t="s">
        <v>2111</v>
      </c>
      <c r="I72335" s="0" t="s">
        <v>2174</v>
      </c>
      <c r="K72335" s="0" t="s">
        <v>1809</v>
      </c>
      <c r="L72335" s="0" t="s">
        <v>2166</v>
      </c>
      <c r="N72335" s="0" t="s">
        <v>1875</v>
      </c>
      <c r="O72335" s="0" t="s">
        <v>2796</v>
      </c>
    </row>
    <row r="72336" customFormat="false" ht="12.8" hidden="false" customHeight="false" outlineLevel="0" collapsed="false">
      <c r="B72336" s="0" t="s">
        <v>8050</v>
      </c>
      <c r="C72336" s="0" t="s">
        <v>23479</v>
      </c>
      <c r="E72336" s="0" t="s">
        <v>2176</v>
      </c>
      <c r="F72336" s="0" t="s">
        <v>2751</v>
      </c>
      <c r="H72336" s="0" t="s">
        <v>2176</v>
      </c>
      <c r="I72336" s="0" t="s">
        <v>2177</v>
      </c>
      <c r="N72336" s="0" t="s">
        <v>2798</v>
      </c>
      <c r="O72336" s="0" t="s">
        <v>2799</v>
      </c>
    </row>
    <row r="72338" customFormat="false" ht="12.8" hidden="false" customHeight="false" outlineLevel="0" collapsed="false">
      <c r="A72338" s="0" t="s">
        <v>23476</v>
      </c>
      <c r="B72338" s="0" t="str">
        <f aca="false">HYPERLINK("https://lindat.mff.cuni.cz/services/teitok/pdtc10/index.php?action=vallex&amp;frame=v-w9501f1", "získat (v-w9501f1) - substituted with v-w9501f12_ZU")</f>
        <v>získat (v-w9501f1) - substituted with v-w9501f12_ZU</v>
      </c>
    </row>
    <row r="72339" customFormat="false" ht="12.8" hidden="false" customHeight="false" outlineLevel="0" collapsed="false">
      <c r="B72339" s="0" t="s">
        <v>1</v>
      </c>
    </row>
    <row r="72340" customFormat="false" ht="12.8" hidden="false" customHeight="false" outlineLevel="0" collapsed="false">
      <c r="B72340" s="0" t="s">
        <v>8</v>
      </c>
    </row>
    <row r="72341" customFormat="false" ht="12.8" hidden="false" customHeight="false" outlineLevel="0" collapsed="false">
      <c r="B72341" s="0" t="s">
        <v>8050</v>
      </c>
    </row>
    <row r="72343" customFormat="false" ht="12.8" hidden="false" customHeight="false" outlineLevel="0" collapsed="false">
      <c r="A72343" s="0" t="s">
        <v>23480</v>
      </c>
      <c r="B72343" s="0" t="str">
        <f aca="false">HYPERLINK("https://lindat.mff.cuni.cz/services/teitok/pdtc10/index.php?action=vallex&amp;frame=v-w9501f4", "získat (v-w9501f4)")</f>
        <v>získat (v-w9501f4)</v>
      </c>
      <c r="E72343" s="0" t="str">
        <f aca="false">HYPERLINK("https://lindat.mff.cuni.cz/services/SynSemClass40/SynSemClass40.html?veclass=vec00189#vec00189-ces-cm00001", "vec00189")</f>
        <v>vec00189</v>
      </c>
      <c r="F72343" s="0" t="s">
        <v>2169</v>
      </c>
      <c r="H72343" s="0" t="str">
        <f aca="false">HYPERLINK("https://lindat.mff.cuni.cz/services/SynSemClass40/SynSemClass40.html?veclass=vec01491#vec01491-ces-cm00184", "vec01491")</f>
        <v>vec01491</v>
      </c>
      <c r="I72343" s="0" t="s">
        <v>2792</v>
      </c>
    </row>
    <row r="72344" customFormat="false" ht="12.8" hidden="false" customHeight="false" outlineLevel="0" collapsed="false">
      <c r="B72344" s="0" t="s">
        <v>1</v>
      </c>
      <c r="C72344" s="0" t="s">
        <v>2793</v>
      </c>
      <c r="E72344" s="0" t="s">
        <v>1567</v>
      </c>
      <c r="F72344" s="0" t="s">
        <v>2171</v>
      </c>
      <c r="H72344" s="0" t="s">
        <v>1567</v>
      </c>
      <c r="I72344" s="0" t="s">
        <v>2794</v>
      </c>
    </row>
    <row r="72345" customFormat="false" ht="12.8" hidden="false" customHeight="false" outlineLevel="0" collapsed="false">
      <c r="B72345" s="0" t="s">
        <v>8</v>
      </c>
      <c r="C72345" s="0" t="s">
        <v>2795</v>
      </c>
      <c r="E72345" s="0" t="s">
        <v>2111</v>
      </c>
      <c r="F72345" s="0" t="s">
        <v>2174</v>
      </c>
      <c r="H72345" s="0" t="s">
        <v>1875</v>
      </c>
      <c r="I72345" s="0" t="s">
        <v>2796</v>
      </c>
    </row>
    <row r="72346" customFormat="false" ht="12.8" hidden="false" customHeight="false" outlineLevel="0" collapsed="false">
      <c r="B72346" s="0" t="s">
        <v>36</v>
      </c>
      <c r="C72346" s="0" t="s">
        <v>2797</v>
      </c>
      <c r="E72346" s="0" t="s">
        <v>2176</v>
      </c>
      <c r="F72346" s="0" t="s">
        <v>2177</v>
      </c>
      <c r="H72346" s="0" t="s">
        <v>2798</v>
      </c>
      <c r="I72346" s="0" t="s">
        <v>2799</v>
      </c>
    </row>
    <row r="72348" customFormat="false" ht="12.8" hidden="false" customHeight="false" outlineLevel="0" collapsed="false">
      <c r="A72348" s="0" t="s">
        <v>23481</v>
      </c>
      <c r="B72348" s="0" t="str">
        <f aca="false">HYPERLINK("https://lindat.mff.cuni.cz/services/teitok/pdtc10/index.php?action=vallex&amp;frame=v-w9501f13_ZU", "získat (v-w9501f13_ZU)")</f>
        <v>získat (v-w9501f13_ZU)</v>
      </c>
    </row>
    <row r="72349" customFormat="false" ht="12.8" hidden="false" customHeight="false" outlineLevel="0" collapsed="false">
      <c r="B72349" s="0" t="s">
        <v>1</v>
      </c>
    </row>
    <row r="72350" customFormat="false" ht="12.8" hidden="false" customHeight="false" outlineLevel="0" collapsed="false">
      <c r="B72350" s="0" t="s">
        <v>390</v>
      </c>
    </row>
    <row r="72351" customFormat="false" ht="12.8" hidden="false" customHeight="false" outlineLevel="0" collapsed="false">
      <c r="B72351" s="0" t="s">
        <v>101</v>
      </c>
    </row>
    <row r="72353" customFormat="false" ht="12.8" hidden="false" customHeight="false" outlineLevel="0" collapsed="false">
      <c r="A72353" s="0" t="s">
        <v>23481</v>
      </c>
      <c r="B72353" s="0" t="str">
        <f aca="false">HYPERLINK("https://lindat.mff.cuni.cz/services/teitok/pdtc10/index.php?action=vallex&amp;frame=v-w9501f11_ZU", "získat (v-w9501f11_ZU) - substituted with v-w9501f13_ZU")</f>
        <v>získat (v-w9501f11_ZU) - substituted with v-w9501f13_ZU</v>
      </c>
    </row>
    <row r="72354" customFormat="false" ht="12.8" hidden="false" customHeight="false" outlineLevel="0" collapsed="false">
      <c r="B72354" s="0" t="s">
        <v>1</v>
      </c>
    </row>
    <row r="72355" customFormat="false" ht="12.8" hidden="false" customHeight="false" outlineLevel="0" collapsed="false">
      <c r="B72355" s="0" t="s">
        <v>390</v>
      </c>
    </row>
    <row r="72356" customFormat="false" ht="12.8" hidden="false" customHeight="false" outlineLevel="0" collapsed="false">
      <c r="B72356" s="0" t="s">
        <v>101</v>
      </c>
    </row>
    <row r="72358" customFormat="false" ht="12.8" hidden="false" customHeight="false" outlineLevel="0" collapsed="false">
      <c r="A72358" s="0" t="s">
        <v>23482</v>
      </c>
      <c r="B72358" s="0" t="str">
        <f aca="false">HYPERLINK("https://lindat.mff.cuni.cz/services/teitok/pdtc10/index.php?action=vallex&amp;frame=v-w9501f2", "získat (v-w9501f2)")</f>
        <v>získat (v-w9501f2)</v>
      </c>
      <c r="E72358" s="0" t="str">
        <f aca="false">HYPERLINK("https://lindat.mff.cuni.cz/services/SynSemClass40/SynSemClass40.html?veclass=vec00188#vec00188-ces-cm00001", "vec00188")</f>
        <v>vec00188</v>
      </c>
      <c r="F72358" s="0" t="s">
        <v>7128</v>
      </c>
    </row>
    <row r="72359" customFormat="false" ht="12.8" hidden="false" customHeight="false" outlineLevel="0" collapsed="false">
      <c r="B72359" s="0" t="s">
        <v>1</v>
      </c>
      <c r="C72359" s="0" t="s">
        <v>9998</v>
      </c>
      <c r="E72359" s="0" t="s">
        <v>1567</v>
      </c>
      <c r="F72359" s="0" t="s">
        <v>7130</v>
      </c>
    </row>
    <row r="72360" customFormat="false" ht="12.8" hidden="false" customHeight="false" outlineLevel="0" collapsed="false">
      <c r="B72360" s="0" t="s">
        <v>8</v>
      </c>
      <c r="C72360" s="0" t="s">
        <v>1575</v>
      </c>
      <c r="E72360" s="0" t="s">
        <v>3388</v>
      </c>
      <c r="F72360" s="0" t="s">
        <v>7132</v>
      </c>
    </row>
    <row r="72362" customFormat="false" ht="12.8" hidden="false" customHeight="false" outlineLevel="0" collapsed="false">
      <c r="A72362" s="0" t="s">
        <v>23483</v>
      </c>
      <c r="B72362" s="0" t="str">
        <f aca="false">HYPERLINK("https://lindat.mff.cuni.cz/services/teitok/pdtc10/index.php?action=vallex&amp;frame=v-w9501f5", "získat (v-w9501f5)")</f>
        <v>získat (v-w9501f5)</v>
      </c>
      <c r="E72362" s="0" t="str">
        <f aca="false">HYPERLINK("https://lindat.mff.cuni.cz/services/SynSemClass40/SynSemClass40.html?veclass=vec00586#vec00586-ces-cm00001", "vec00586")</f>
        <v>vec00586</v>
      </c>
      <c r="F72362" s="0" t="s">
        <v>2831</v>
      </c>
    </row>
    <row r="72363" customFormat="false" ht="12.8" hidden="false" customHeight="false" outlineLevel="0" collapsed="false">
      <c r="B72363" s="0" t="s">
        <v>1</v>
      </c>
      <c r="C72363" s="0" t="s">
        <v>2832</v>
      </c>
      <c r="E72363" s="0" t="s">
        <v>1567</v>
      </c>
      <c r="F72363" s="0" t="s">
        <v>2833</v>
      </c>
    </row>
    <row r="72364" customFormat="false" ht="12.8" hidden="false" customHeight="false" outlineLevel="0" collapsed="false">
      <c r="B72364" s="0" t="s">
        <v>23484</v>
      </c>
      <c r="C72364" s="0" t="s">
        <v>2834</v>
      </c>
      <c r="E72364" s="0" t="s">
        <v>2111</v>
      </c>
      <c r="F72364" s="0" t="s">
        <v>2835</v>
      </c>
    </row>
    <row r="72366" customFormat="false" ht="12.8" hidden="false" customHeight="false" outlineLevel="0" collapsed="false">
      <c r="A72366" s="0" t="s">
        <v>23485</v>
      </c>
      <c r="B72366" s="0" t="str">
        <f aca="false">HYPERLINK("https://lindat.mff.cuni.cz/services/teitok/pdtc10/index.php?action=vallex&amp;frame=v-w9501f19_ZU", "získat (v-w9501f19_ZU)")</f>
        <v>získat (v-w9501f19_ZU)</v>
      </c>
    </row>
    <row r="72367" customFormat="false" ht="12.8" hidden="false" customHeight="false" outlineLevel="0" collapsed="false">
      <c r="B72367" s="0" t="s">
        <v>1</v>
      </c>
    </row>
    <row r="72368" customFormat="false" ht="12.8" hidden="false" customHeight="false" outlineLevel="0" collapsed="false">
      <c r="B72368" s="0" t="s">
        <v>23486</v>
      </c>
    </row>
    <row r="72369" customFormat="false" ht="12.8" hidden="false" customHeight="false" outlineLevel="0" collapsed="false">
      <c r="B72369" s="0" t="s">
        <v>36</v>
      </c>
    </row>
    <row r="72371" customFormat="false" ht="12.8" hidden="false" customHeight="false" outlineLevel="0" collapsed="false">
      <c r="A72371" s="0" t="s">
        <v>23485</v>
      </c>
      <c r="B72371" s="0" t="str">
        <f aca="false">HYPERLINK("https://lindat.mff.cuni.cz/services/teitok/pdtc10/index.php?action=vallex&amp;frame=v-w9501f17_ZU", "získat (v-w9501f17_ZU) - substituted with v-w9501f19_ZU")</f>
        <v>získat (v-w9501f17_ZU) - substituted with v-w9501f19_ZU</v>
      </c>
    </row>
    <row r="72372" customFormat="false" ht="12.8" hidden="false" customHeight="false" outlineLevel="0" collapsed="false">
      <c r="B72372" s="0" t="s">
        <v>1</v>
      </c>
    </row>
    <row r="72373" customFormat="false" ht="12.8" hidden="false" customHeight="false" outlineLevel="0" collapsed="false">
      <c r="B72373" s="0" t="s">
        <v>23486</v>
      </c>
    </row>
    <row r="72374" customFormat="false" ht="12.8" hidden="false" customHeight="false" outlineLevel="0" collapsed="false">
      <c r="B72374" s="0" t="s">
        <v>36</v>
      </c>
    </row>
    <row r="72376" customFormat="false" ht="12.8" hidden="false" customHeight="false" outlineLevel="0" collapsed="false">
      <c r="A72376" s="0" t="s">
        <v>23485</v>
      </c>
      <c r="B72376" s="0" t="str">
        <f aca="false">HYPERLINK("https://lindat.mff.cuni.cz/services/teitok/pdtc10/index.php?action=vallex&amp;frame=v-w9501f6", "získat (v-w9501f6) - substituted with v-w9501f19_ZU")</f>
        <v>získat (v-w9501f6) - substituted with v-w9501f19_ZU</v>
      </c>
    </row>
    <row r="72377" customFormat="false" ht="12.8" hidden="false" customHeight="false" outlineLevel="0" collapsed="false">
      <c r="B72377" s="0" t="s">
        <v>1</v>
      </c>
    </row>
    <row r="72378" customFormat="false" ht="12.8" hidden="false" customHeight="false" outlineLevel="0" collapsed="false">
      <c r="B72378" s="0" t="s">
        <v>23486</v>
      </c>
    </row>
    <row r="72379" customFormat="false" ht="12.8" hidden="false" customHeight="false" outlineLevel="0" collapsed="false">
      <c r="B72379" s="0" t="s">
        <v>36</v>
      </c>
    </row>
    <row r="72381" customFormat="false" ht="12.8" hidden="false" customHeight="false" outlineLevel="0" collapsed="false">
      <c r="A72381" s="0" t="s">
        <v>23485</v>
      </c>
      <c r="B72381" s="0" t="str">
        <f aca="false">HYPERLINK("https://lindat.mff.cuni.cz/services/teitok/pdtc10/index.php?action=vallex&amp;frame=v-w9501hsa_157", "získat (v-w9501hsa_157) - substituted with v-w9501f19_ZU")</f>
        <v>získat (v-w9501hsa_157) - substituted with v-w9501f19_ZU</v>
      </c>
    </row>
    <row r="72382" customFormat="false" ht="12.8" hidden="false" customHeight="false" outlineLevel="0" collapsed="false">
      <c r="B72382" s="0" t="s">
        <v>1</v>
      </c>
    </row>
    <row r="72383" customFormat="false" ht="12.8" hidden="false" customHeight="false" outlineLevel="0" collapsed="false">
      <c r="B72383" s="0" t="s">
        <v>23486</v>
      </c>
    </row>
    <row r="72384" customFormat="false" ht="12.8" hidden="false" customHeight="false" outlineLevel="0" collapsed="false">
      <c r="B72384" s="0" t="s">
        <v>36</v>
      </c>
    </row>
    <row r="72386" customFormat="false" ht="12.8" hidden="false" customHeight="false" outlineLevel="0" collapsed="false">
      <c r="A72386" s="0" t="s">
        <v>23487</v>
      </c>
      <c r="B72386" s="0" t="str">
        <f aca="false">HYPERLINK("https://lindat.mff.cuni.cz/services/teitok/pdtc10/index.php?action=vallex&amp;frame=v-w9501f25_ZU", "získat (v-w9501f25_ZU)")</f>
        <v>získat (v-w9501f25_ZU)</v>
      </c>
    </row>
    <row r="72387" customFormat="false" ht="12.8" hidden="false" customHeight="false" outlineLevel="0" collapsed="false">
      <c r="B72387" s="0" t="s">
        <v>1</v>
      </c>
    </row>
    <row r="72388" customFormat="false" ht="12.8" hidden="false" customHeight="false" outlineLevel="0" collapsed="false">
      <c r="B72388" s="0" t="s">
        <v>23488</v>
      </c>
    </row>
    <row r="72389" customFormat="false" ht="12.8" hidden="false" customHeight="false" outlineLevel="0" collapsed="false">
      <c r="B72389" s="0" t="s">
        <v>1633</v>
      </c>
    </row>
    <row r="72391" customFormat="false" ht="12.8" hidden="false" customHeight="false" outlineLevel="0" collapsed="false">
      <c r="A72391" s="0" t="s">
        <v>23487</v>
      </c>
      <c r="B72391" s="0" t="str">
        <f aca="false">HYPERLINK("https://lindat.mff.cuni.cz/services/teitok/pdtc10/index.php?action=vallex&amp;frame=v-w9501f14_ZU", "získat (v-w9501f14_ZU) - substituted with v-w9501f25_ZU")</f>
        <v>získat (v-w9501f14_ZU) - substituted with v-w9501f25_ZU</v>
      </c>
    </row>
    <row r="72392" customFormat="false" ht="12.8" hidden="false" customHeight="false" outlineLevel="0" collapsed="false">
      <c r="B72392" s="0" t="s">
        <v>1</v>
      </c>
    </row>
    <row r="72393" customFormat="false" ht="12.8" hidden="false" customHeight="false" outlineLevel="0" collapsed="false">
      <c r="B72393" s="0" t="s">
        <v>23488</v>
      </c>
    </row>
    <row r="72394" customFormat="false" ht="12.8" hidden="false" customHeight="false" outlineLevel="0" collapsed="false">
      <c r="B72394" s="0" t="s">
        <v>1633</v>
      </c>
    </row>
    <row r="72396" customFormat="false" ht="12.8" hidden="false" customHeight="false" outlineLevel="0" collapsed="false">
      <c r="A72396" s="0" t="s">
        <v>23487</v>
      </c>
      <c r="B72396" s="0" t="str">
        <f aca="false">HYPERLINK("https://lindat.mff.cuni.cz/services/teitok/pdtc10/index.php?action=vallex&amp;frame=v-w9501f15_ZU", "získat (v-w9501f15_ZU) - substituted with v-w9501f25_ZU")</f>
        <v>získat (v-w9501f15_ZU) - substituted with v-w9501f25_ZU</v>
      </c>
    </row>
    <row r="72397" customFormat="false" ht="12.8" hidden="false" customHeight="false" outlineLevel="0" collapsed="false">
      <c r="B72397" s="0" t="s">
        <v>1</v>
      </c>
    </row>
    <row r="72398" customFormat="false" ht="12.8" hidden="false" customHeight="false" outlineLevel="0" collapsed="false">
      <c r="B72398" s="0" t="s">
        <v>23488</v>
      </c>
    </row>
    <row r="72399" customFormat="false" ht="12.8" hidden="false" customHeight="false" outlineLevel="0" collapsed="false">
      <c r="B72399" s="0" t="s">
        <v>1633</v>
      </c>
    </row>
    <row r="72401" customFormat="false" ht="12.8" hidden="false" customHeight="false" outlineLevel="0" collapsed="false">
      <c r="A72401" s="0" t="s">
        <v>23487</v>
      </c>
      <c r="B72401" s="0" t="str">
        <f aca="false">HYPERLINK("https://lindat.mff.cuni.cz/services/teitok/pdtc10/index.php?action=vallex&amp;frame=v-w9501f16_ZU", "získat (v-w9501f16_ZU) - substituted with v-w9501f25_ZU")</f>
        <v>získat (v-w9501f16_ZU) - substituted with v-w9501f25_ZU</v>
      </c>
    </row>
    <row r="72402" customFormat="false" ht="12.8" hidden="false" customHeight="false" outlineLevel="0" collapsed="false">
      <c r="B72402" s="0" t="s">
        <v>1</v>
      </c>
    </row>
    <row r="72403" customFormat="false" ht="12.8" hidden="false" customHeight="false" outlineLevel="0" collapsed="false">
      <c r="B72403" s="0" t="s">
        <v>23488</v>
      </c>
    </row>
    <row r="72404" customFormat="false" ht="12.8" hidden="false" customHeight="false" outlineLevel="0" collapsed="false">
      <c r="B72404" s="0" t="s">
        <v>1633</v>
      </c>
    </row>
    <row r="72406" customFormat="false" ht="12.8" hidden="false" customHeight="false" outlineLevel="0" collapsed="false">
      <c r="A72406" s="0" t="s">
        <v>23487</v>
      </c>
      <c r="B72406" s="0" t="str">
        <f aca="false">HYPERLINK("https://lindat.mff.cuni.cz/services/teitok/pdtc10/index.php?action=vallex&amp;frame=v-w9501f18_ZU", "získat (v-w9501f18_ZU) - substituted with v-w9501f25_ZU")</f>
        <v>získat (v-w9501f18_ZU) - substituted with v-w9501f25_ZU</v>
      </c>
    </row>
    <row r="72407" customFormat="false" ht="12.8" hidden="false" customHeight="false" outlineLevel="0" collapsed="false">
      <c r="B72407" s="0" t="s">
        <v>1</v>
      </c>
    </row>
    <row r="72408" customFormat="false" ht="12.8" hidden="false" customHeight="false" outlineLevel="0" collapsed="false">
      <c r="B72408" s="0" t="s">
        <v>23488</v>
      </c>
    </row>
    <row r="72409" customFormat="false" ht="12.8" hidden="false" customHeight="false" outlineLevel="0" collapsed="false">
      <c r="B72409" s="0" t="s">
        <v>1633</v>
      </c>
    </row>
    <row r="72411" customFormat="false" ht="12.8" hidden="false" customHeight="false" outlineLevel="0" collapsed="false">
      <c r="A72411" s="0" t="s">
        <v>23487</v>
      </c>
      <c r="B72411" s="0" t="str">
        <f aca="false">HYPERLINK("https://lindat.mff.cuni.cz/services/teitok/pdtc10/index.php?action=vallex&amp;frame=v-w9501f20_ZU", "získat (v-w9501f20_ZU) - substituted with v-w9501f25_ZU")</f>
        <v>získat (v-w9501f20_ZU) - substituted with v-w9501f25_ZU</v>
      </c>
    </row>
    <row r="72412" customFormat="false" ht="12.8" hidden="false" customHeight="false" outlineLevel="0" collapsed="false">
      <c r="B72412" s="0" t="s">
        <v>1</v>
      </c>
    </row>
    <row r="72413" customFormat="false" ht="12.8" hidden="false" customHeight="false" outlineLevel="0" collapsed="false">
      <c r="B72413" s="0" t="s">
        <v>23488</v>
      </c>
    </row>
    <row r="72414" customFormat="false" ht="12.8" hidden="false" customHeight="false" outlineLevel="0" collapsed="false">
      <c r="B72414" s="0" t="s">
        <v>1633</v>
      </c>
    </row>
    <row r="72416" customFormat="false" ht="12.8" hidden="false" customHeight="false" outlineLevel="0" collapsed="false">
      <c r="A72416" s="0" t="s">
        <v>23487</v>
      </c>
      <c r="B72416" s="0" t="str">
        <f aca="false">HYPERLINK("https://lindat.mff.cuni.cz/services/teitok/pdtc10/index.php?action=vallex&amp;frame=v-w9501f21_ZU", "získat (v-w9501f21_ZU) - substituted with v-w9501f25_ZU")</f>
        <v>získat (v-w9501f21_ZU) - substituted with v-w9501f25_ZU</v>
      </c>
    </row>
    <row r="72417" customFormat="false" ht="12.8" hidden="false" customHeight="false" outlineLevel="0" collapsed="false">
      <c r="B72417" s="0" t="s">
        <v>1</v>
      </c>
    </row>
    <row r="72418" customFormat="false" ht="12.8" hidden="false" customHeight="false" outlineLevel="0" collapsed="false">
      <c r="B72418" s="0" t="s">
        <v>23488</v>
      </c>
    </row>
    <row r="72419" customFormat="false" ht="12.8" hidden="false" customHeight="false" outlineLevel="0" collapsed="false">
      <c r="B72419" s="0" t="s">
        <v>1633</v>
      </c>
    </row>
    <row r="72421" customFormat="false" ht="12.8" hidden="false" customHeight="false" outlineLevel="0" collapsed="false">
      <c r="A72421" s="0" t="s">
        <v>23487</v>
      </c>
      <c r="B72421" s="0" t="str">
        <f aca="false">HYPERLINK("https://lindat.mff.cuni.cz/services/teitok/pdtc10/index.php?action=vallex&amp;frame=v-w9501f22_ZU", "získat (v-w9501f22_ZU) - substituted with v-w9501f25_ZU")</f>
        <v>získat (v-w9501f22_ZU) - substituted with v-w9501f25_ZU</v>
      </c>
    </row>
    <row r="72422" customFormat="false" ht="12.8" hidden="false" customHeight="false" outlineLevel="0" collapsed="false">
      <c r="B72422" s="0" t="s">
        <v>1</v>
      </c>
    </row>
    <row r="72423" customFormat="false" ht="12.8" hidden="false" customHeight="false" outlineLevel="0" collapsed="false">
      <c r="B72423" s="0" t="s">
        <v>23488</v>
      </c>
    </row>
    <row r="72424" customFormat="false" ht="12.8" hidden="false" customHeight="false" outlineLevel="0" collapsed="false">
      <c r="B72424" s="0" t="s">
        <v>1633</v>
      </c>
    </row>
    <row r="72426" customFormat="false" ht="12.8" hidden="false" customHeight="false" outlineLevel="0" collapsed="false">
      <c r="A72426" s="0" t="s">
        <v>23487</v>
      </c>
      <c r="B72426" s="0" t="str">
        <f aca="false">HYPERLINK("https://lindat.mff.cuni.cz/services/teitok/pdtc10/index.php?action=vallex&amp;frame=v-w9501f23_ZU", "získat (v-w9501f23_ZU) - substituted with v-w9501f25_ZU")</f>
        <v>získat (v-w9501f23_ZU) - substituted with v-w9501f25_ZU</v>
      </c>
      <c r="E72426" s="0" t="str">
        <f aca="false">HYPERLINK("https://lindat.mff.cuni.cz/services/SynSemClass40/SynSemClass40.html?veclass=vec00189#vec00189-ces-cm00039", "vec00189")</f>
        <v>vec00189</v>
      </c>
      <c r="F72426" s="0" t="s">
        <v>2169</v>
      </c>
    </row>
    <row r="72427" customFormat="false" ht="12.8" hidden="false" customHeight="false" outlineLevel="0" collapsed="false">
      <c r="B72427" s="0" t="s">
        <v>1</v>
      </c>
      <c r="C72427" s="0" t="s">
        <v>2170</v>
      </c>
      <c r="E72427" s="0" t="s">
        <v>1567</v>
      </c>
      <c r="F72427" s="0" t="s">
        <v>2171</v>
      </c>
    </row>
    <row r="72428" customFormat="false" ht="12.8" hidden="false" customHeight="false" outlineLevel="0" collapsed="false">
      <c r="B72428" s="0" t="s">
        <v>23488</v>
      </c>
      <c r="C72428" s="0" t="s">
        <v>2841</v>
      </c>
      <c r="E72428" s="0" t="s">
        <v>2842</v>
      </c>
      <c r="F72428" s="0" t="s">
        <v>2843</v>
      </c>
    </row>
    <row r="72429" customFormat="false" ht="12.8" hidden="false" customHeight="false" outlineLevel="0" collapsed="false">
      <c r="B72429" s="0" t="s">
        <v>1633</v>
      </c>
      <c r="C72429" s="0" t="s">
        <v>2175</v>
      </c>
      <c r="E72429" s="0" t="s">
        <v>2176</v>
      </c>
      <c r="F72429" s="0" t="s">
        <v>2177</v>
      </c>
    </row>
    <row r="72431" customFormat="false" ht="12.8" hidden="false" customHeight="false" outlineLevel="0" collapsed="false">
      <c r="A72431" s="0" t="s">
        <v>23487</v>
      </c>
      <c r="B72431" s="0" t="str">
        <f aca="false">HYPERLINK("https://lindat.mff.cuni.cz/services/teitok/pdtc10/index.php?action=vallex&amp;frame=v-w9501f24_ZU", "získat (v-w9501f24_ZU) - substituted with v-w9501f25_ZU")</f>
        <v>získat (v-w9501f24_ZU) - substituted with v-w9501f25_ZU</v>
      </c>
    </row>
    <row r="72432" customFormat="false" ht="12.8" hidden="false" customHeight="false" outlineLevel="0" collapsed="false">
      <c r="B72432" s="0" t="s">
        <v>1</v>
      </c>
    </row>
    <row r="72433" customFormat="false" ht="12.8" hidden="false" customHeight="false" outlineLevel="0" collapsed="false">
      <c r="B72433" s="0" t="s">
        <v>23488</v>
      </c>
    </row>
    <row r="72434" customFormat="false" ht="12.8" hidden="false" customHeight="false" outlineLevel="0" collapsed="false">
      <c r="B72434" s="0" t="s">
        <v>1633</v>
      </c>
    </row>
    <row r="72436" customFormat="false" ht="12.8" hidden="false" customHeight="false" outlineLevel="0" collapsed="false">
      <c r="A72436" s="0" t="s">
        <v>23487</v>
      </c>
      <c r="B72436" s="0" t="str">
        <f aca="false">HYPERLINK("https://lindat.mff.cuni.cz/services/teitok/pdtc10/index.php?action=vallex&amp;frame=v-w9501f3", "získat (v-w9501f3) - substituted with v-w9501f25_ZU")</f>
        <v>získat (v-w9501f3) - substituted with v-w9501f25_ZU</v>
      </c>
    </row>
    <row r="72437" customFormat="false" ht="12.8" hidden="false" customHeight="false" outlineLevel="0" collapsed="false">
      <c r="B72437" s="0" t="s">
        <v>1</v>
      </c>
    </row>
    <row r="72438" customFormat="false" ht="12.8" hidden="false" customHeight="false" outlineLevel="0" collapsed="false">
      <c r="B72438" s="0" t="s">
        <v>23488</v>
      </c>
    </row>
    <row r="72439" customFormat="false" ht="12.8" hidden="false" customHeight="false" outlineLevel="0" collapsed="false">
      <c r="B72439" s="0" t="s">
        <v>1633</v>
      </c>
    </row>
    <row r="72441" customFormat="false" ht="12.8" hidden="false" customHeight="false" outlineLevel="0" collapsed="false">
      <c r="A72441" s="0" t="s">
        <v>23487</v>
      </c>
      <c r="B72441" s="0" t="str">
        <f aca="false">HYPERLINK("https://lindat.mff.cuni.cz/services/teitok/pdtc10/index.php?action=vallex&amp;frame=v-w9501f7_ZU", "získat (v-w9501f7_ZU) - substituted with v-w9501f25_ZU")</f>
        <v>získat (v-w9501f7_ZU) - substituted with v-w9501f25_ZU</v>
      </c>
    </row>
    <row r="72442" customFormat="false" ht="12.8" hidden="false" customHeight="false" outlineLevel="0" collapsed="false">
      <c r="B72442" s="0" t="s">
        <v>1</v>
      </c>
    </row>
    <row r="72443" customFormat="false" ht="12.8" hidden="false" customHeight="false" outlineLevel="0" collapsed="false">
      <c r="B72443" s="0" t="s">
        <v>23488</v>
      </c>
    </row>
    <row r="72444" customFormat="false" ht="12.8" hidden="false" customHeight="false" outlineLevel="0" collapsed="false">
      <c r="B72444" s="0" t="s">
        <v>1633</v>
      </c>
    </row>
    <row r="72446" customFormat="false" ht="12.8" hidden="false" customHeight="false" outlineLevel="0" collapsed="false">
      <c r="A72446" s="0" t="s">
        <v>23487</v>
      </c>
      <c r="B72446" s="0" t="str">
        <f aca="false">HYPERLINK("https://lindat.mff.cuni.cz/services/teitok/pdtc10/index.php?action=vallex&amp;frame=v-w9501f8_ZU", "získat (v-w9501f8_ZU) - substituted with v-w9501f25_ZU")</f>
        <v>získat (v-w9501f8_ZU) - substituted with v-w9501f25_ZU</v>
      </c>
    </row>
    <row r="72447" customFormat="false" ht="12.8" hidden="false" customHeight="false" outlineLevel="0" collapsed="false">
      <c r="B72447" s="0" t="s">
        <v>1</v>
      </c>
    </row>
    <row r="72448" customFormat="false" ht="12.8" hidden="false" customHeight="false" outlineLevel="0" collapsed="false">
      <c r="B72448" s="0" t="s">
        <v>23488</v>
      </c>
    </row>
    <row r="72449" customFormat="false" ht="12.8" hidden="false" customHeight="false" outlineLevel="0" collapsed="false">
      <c r="B72449" s="0" t="s">
        <v>1633</v>
      </c>
    </row>
    <row r="72451" customFormat="false" ht="12.8" hidden="false" customHeight="false" outlineLevel="0" collapsed="false">
      <c r="A72451" s="0" t="s">
        <v>23487</v>
      </c>
      <c r="B72451" s="0" t="str">
        <f aca="false">HYPERLINK("https://lindat.mff.cuni.cz/services/teitok/pdtc10/index.php?action=vallex&amp;frame=v-w9501f9_ZU", "získat (v-w9501f9_ZU) - substituted with v-w9501f25_ZU")</f>
        <v>získat (v-w9501f9_ZU) - substituted with v-w9501f25_ZU</v>
      </c>
    </row>
    <row r="72452" customFormat="false" ht="12.8" hidden="false" customHeight="false" outlineLevel="0" collapsed="false">
      <c r="B72452" s="0" t="s">
        <v>1</v>
      </c>
    </row>
    <row r="72453" customFormat="false" ht="12.8" hidden="false" customHeight="false" outlineLevel="0" collapsed="false">
      <c r="B72453" s="0" t="s">
        <v>23488</v>
      </c>
    </row>
    <row r="72454" customFormat="false" ht="12.8" hidden="false" customHeight="false" outlineLevel="0" collapsed="false">
      <c r="B72454" s="0" t="s">
        <v>1633</v>
      </c>
    </row>
    <row r="72456" customFormat="false" ht="12.8" hidden="false" customHeight="false" outlineLevel="0" collapsed="false">
      <c r="A72456" s="0" t="s">
        <v>23487</v>
      </c>
      <c r="B72456" s="0" t="str">
        <f aca="false">HYPERLINK("https://lindat.mff.cuni.cz/services/teitok/pdtc10/index.php?action=vallex&amp;frame=v-w9501hsa_112", "získat (v-w9501hsa_112) - substituted with v-w9501f25_ZU")</f>
        <v>získat (v-w9501hsa_112) - substituted with v-w9501f25_ZU</v>
      </c>
    </row>
    <row r="72457" customFormat="false" ht="12.8" hidden="false" customHeight="false" outlineLevel="0" collapsed="false">
      <c r="B72457" s="0" t="s">
        <v>1</v>
      </c>
    </row>
    <row r="72458" customFormat="false" ht="12.8" hidden="false" customHeight="false" outlineLevel="0" collapsed="false">
      <c r="B72458" s="0" t="s">
        <v>23488</v>
      </c>
    </row>
    <row r="72459" customFormat="false" ht="12.8" hidden="false" customHeight="false" outlineLevel="0" collapsed="false">
      <c r="B72459" s="0" t="s">
        <v>1633</v>
      </c>
    </row>
    <row r="72461" customFormat="false" ht="12.8" hidden="false" customHeight="false" outlineLevel="0" collapsed="false">
      <c r="A72461" s="0" t="s">
        <v>23489</v>
      </c>
      <c r="B72461" s="0" t="str">
        <f aca="false">HYPERLINK("https://lindat.mff.cuni.cz/services/teitok/pdtc10/index.php?action=vallex&amp;frame=v-w9501f10_ZU", "získat (v-w9501f10_ZU)")</f>
        <v>získat (v-w9501f10_ZU)</v>
      </c>
    </row>
    <row r="72462" customFormat="false" ht="12.8" hidden="false" customHeight="false" outlineLevel="0" collapsed="false">
      <c r="B72462" s="0" t="s">
        <v>1</v>
      </c>
    </row>
    <row r="72463" customFormat="false" ht="12.8" hidden="false" customHeight="false" outlineLevel="0" collapsed="false">
      <c r="B72463" s="0" t="s">
        <v>6732</v>
      </c>
    </row>
    <row r="72464" customFormat="false" ht="12.8" hidden="false" customHeight="false" outlineLevel="0" collapsed="false">
      <c r="B72464" s="0" t="s">
        <v>4070</v>
      </c>
    </row>
    <row r="72466" customFormat="false" ht="12.8" hidden="false" customHeight="false" outlineLevel="0" collapsed="false">
      <c r="A72466" s="0" t="s">
        <v>23490</v>
      </c>
      <c r="B72466" s="0" t="str">
        <f aca="false">HYPERLINK("https://lindat.mff.cuni.cz/services/teitok/pdtc10/index.php?action=vallex&amp;frame=v-w9501hsa_158", "získat (v-w9501hsa_158)")</f>
        <v>získat (v-w9501hsa_158)</v>
      </c>
    </row>
    <row r="72467" customFormat="false" ht="12.8" hidden="false" customHeight="false" outlineLevel="0" collapsed="false">
      <c r="B72467" s="0" t="s">
        <v>1</v>
      </c>
    </row>
    <row r="72468" customFormat="false" ht="12.8" hidden="false" customHeight="false" outlineLevel="0" collapsed="false">
      <c r="B72468" s="0" t="s">
        <v>20910</v>
      </c>
    </row>
    <row r="72469" customFormat="false" ht="12.8" hidden="false" customHeight="false" outlineLevel="0" collapsed="false">
      <c r="B72469" s="0" t="s">
        <v>602</v>
      </c>
    </row>
    <row r="72471" customFormat="false" ht="12.8" hidden="false" customHeight="false" outlineLevel="0" collapsed="false">
      <c r="A72471" s="0" t="s">
        <v>23491</v>
      </c>
      <c r="B72471" s="0" t="str">
        <f aca="false">HYPERLINK("https://lindat.mff.cuni.cz/services/teitok/pdtc10/index.php?action=vallex&amp;frame=v-w9504f1", "získávat (v-w9504f1)")</f>
        <v>získávat (v-w9504f1)</v>
      </c>
      <c r="E72471" s="0" t="str">
        <f aca="false">HYPERLINK("https://lindat.mff.cuni.cz/services/SynSemClass40/SynSemClass40.html?veclass=vec00013#vec00013-ces-cm00118", "vec00013")</f>
        <v>vec00013</v>
      </c>
      <c r="F72471" s="0" t="s">
        <v>2742</v>
      </c>
      <c r="H72471" s="0" t="str">
        <f aca="false">HYPERLINK("https://lindat.mff.cuni.cz/services/SynSemClass40/SynSemClass40.html?veclass=vec00189#vec00189-ces-cm00040", "vec00189")</f>
        <v>vec00189</v>
      </c>
      <c r="I72471" s="0" t="s">
        <v>2169</v>
      </c>
      <c r="K72471" s="0" t="str">
        <f aca="false">HYPERLINK("https://lindat.mff.cuni.cz/services/SynSemClass40/SynSemClass40.html?veclass=vec01393#vec01393-ces-cm00044", "vec01393")</f>
        <v>vec01393</v>
      </c>
      <c r="L72471" s="0" t="s">
        <v>2162</v>
      </c>
      <c r="N72471" s="0" t="str">
        <f aca="false">HYPERLINK("https://lindat.mff.cuni.cz/services/SynSemClass40/SynSemClass40.html?veclass=vec01491#vec01491-ces-cm00191", "vec01491")</f>
        <v>vec01491</v>
      </c>
      <c r="O72471" s="0" t="s">
        <v>2792</v>
      </c>
    </row>
    <row r="72472" customFormat="false" ht="12.8" hidden="false" customHeight="false" outlineLevel="0" collapsed="false">
      <c r="B72472" s="0" t="s">
        <v>1</v>
      </c>
      <c r="C72472" s="0" t="s">
        <v>23477</v>
      </c>
      <c r="E72472" s="0" t="s">
        <v>621</v>
      </c>
      <c r="F72472" s="0" t="s">
        <v>2744</v>
      </c>
      <c r="H72472" s="0" t="s">
        <v>1567</v>
      </c>
      <c r="I72472" s="0" t="s">
        <v>2171</v>
      </c>
      <c r="K72472" s="0" t="s">
        <v>11</v>
      </c>
      <c r="L72472" s="0" t="s">
        <v>2164</v>
      </c>
      <c r="N72472" s="0" t="s">
        <v>1567</v>
      </c>
      <c r="O72472" s="0" t="s">
        <v>2794</v>
      </c>
    </row>
    <row r="72473" customFormat="false" ht="12.8" hidden="false" customHeight="false" outlineLevel="0" collapsed="false">
      <c r="B72473" s="0" t="s">
        <v>8</v>
      </c>
      <c r="C72473" s="0" t="s">
        <v>23478</v>
      </c>
      <c r="E72473" s="0" t="s">
        <v>218</v>
      </c>
      <c r="F72473" s="0" t="s">
        <v>2749</v>
      </c>
      <c r="H72473" s="0" t="s">
        <v>2111</v>
      </c>
      <c r="I72473" s="0" t="s">
        <v>2174</v>
      </c>
      <c r="K72473" s="0" t="s">
        <v>1809</v>
      </c>
      <c r="L72473" s="0" t="s">
        <v>2166</v>
      </c>
      <c r="N72473" s="0" t="s">
        <v>1875</v>
      </c>
      <c r="O72473" s="0" t="s">
        <v>2796</v>
      </c>
    </row>
    <row r="72474" customFormat="false" ht="12.8" hidden="false" customHeight="false" outlineLevel="0" collapsed="false">
      <c r="B72474" s="0" t="s">
        <v>8050</v>
      </c>
      <c r="C72474" s="0" t="s">
        <v>23479</v>
      </c>
      <c r="E72474" s="0" t="s">
        <v>2176</v>
      </c>
      <c r="F72474" s="0" t="s">
        <v>2751</v>
      </c>
      <c r="H72474" s="0" t="s">
        <v>2176</v>
      </c>
      <c r="I72474" s="0" t="s">
        <v>2177</v>
      </c>
      <c r="N72474" s="0" t="s">
        <v>2798</v>
      </c>
      <c r="O72474" s="0" t="s">
        <v>2799</v>
      </c>
    </row>
    <row r="72476" customFormat="false" ht="12.8" hidden="false" customHeight="false" outlineLevel="0" collapsed="false">
      <c r="A72476" s="0" t="s">
        <v>23492</v>
      </c>
      <c r="B72476" s="0" t="str">
        <f aca="false">HYPERLINK("https://lindat.mff.cuni.cz/services/teitok/pdtc10/index.php?action=vallex&amp;frame=v-w9504f4", "získávat (v-w9504f4)")</f>
        <v>získávat (v-w9504f4)</v>
      </c>
      <c r="E72476" s="0" t="str">
        <f aca="false">HYPERLINK("https://lindat.mff.cuni.cz/services/SynSemClass40/SynSemClass40.html?veclass=vec00188#vec00188-ces-cm00057", "vec00188")</f>
        <v>vec00188</v>
      </c>
      <c r="F72476" s="0" t="s">
        <v>7128</v>
      </c>
    </row>
    <row r="72477" customFormat="false" ht="12.8" hidden="false" customHeight="false" outlineLevel="0" collapsed="false">
      <c r="B72477" s="0" t="s">
        <v>1</v>
      </c>
      <c r="C72477" s="0" t="s">
        <v>9998</v>
      </c>
      <c r="E72477" s="0" t="s">
        <v>1567</v>
      </c>
      <c r="F72477" s="0" t="s">
        <v>7130</v>
      </c>
    </row>
    <row r="72478" customFormat="false" ht="12.8" hidden="false" customHeight="false" outlineLevel="0" collapsed="false">
      <c r="B72478" s="0" t="s">
        <v>8</v>
      </c>
      <c r="C72478" s="0" t="s">
        <v>1575</v>
      </c>
      <c r="E72478" s="0" t="s">
        <v>3388</v>
      </c>
      <c r="F72478" s="0" t="s">
        <v>7132</v>
      </c>
    </row>
    <row r="72480" customFormat="false" ht="12.8" hidden="false" customHeight="false" outlineLevel="0" collapsed="false">
      <c r="A72480" s="0" t="s">
        <v>23493</v>
      </c>
      <c r="B72480" s="0" t="str">
        <f aca="false">HYPERLINK("https://lindat.mff.cuni.cz/services/teitok/pdtc10/index.php?action=vallex&amp;frame=v-w9504f6_ZU", "získávat (v-w9504f6_ZU)")</f>
        <v>získávat (v-w9504f6_ZU)</v>
      </c>
      <c r="E72480" s="0" t="str">
        <f aca="false">HYPERLINK("https://lindat.mff.cuni.cz/services/SynSemClass40/SynSemClass40.html?veclass=vec00586#vec00586-ces-cm00068", "vec00586")</f>
        <v>vec00586</v>
      </c>
      <c r="F72480" s="0" t="s">
        <v>2831</v>
      </c>
    </row>
    <row r="72481" customFormat="false" ht="12.8" hidden="false" customHeight="false" outlineLevel="0" collapsed="false">
      <c r="B72481" s="0" t="s">
        <v>1</v>
      </c>
      <c r="C72481" s="0" t="s">
        <v>2832</v>
      </c>
      <c r="E72481" s="0" t="s">
        <v>1567</v>
      </c>
      <c r="F72481" s="0" t="s">
        <v>2833</v>
      </c>
    </row>
    <row r="72482" customFormat="false" ht="12.8" hidden="false" customHeight="false" outlineLevel="0" collapsed="false">
      <c r="B72482" s="0" t="s">
        <v>23484</v>
      </c>
      <c r="C72482" s="0" t="s">
        <v>2834</v>
      </c>
      <c r="E72482" s="0" t="s">
        <v>2111</v>
      </c>
      <c r="F72482" s="0" t="s">
        <v>2835</v>
      </c>
    </row>
    <row r="72484" customFormat="false" ht="12.8" hidden="false" customHeight="false" outlineLevel="0" collapsed="false">
      <c r="A72484" s="0" t="s">
        <v>23493</v>
      </c>
      <c r="B72484" s="0" t="str">
        <f aca="false">HYPERLINK("https://lindat.mff.cuni.cz/services/teitok/pdtc10/index.php?action=vallex&amp;frame=v-w9504f2", "získávat (v-w9504f2) - substituted with v-w9504f6_ZU")</f>
        <v>získávat (v-w9504f2) - substituted with v-w9504f6_ZU</v>
      </c>
    </row>
    <row r="72485" customFormat="false" ht="12.8" hidden="false" customHeight="false" outlineLevel="0" collapsed="false">
      <c r="B72485" s="0" t="s">
        <v>1</v>
      </c>
    </row>
    <row r="72486" customFormat="false" ht="12.8" hidden="false" customHeight="false" outlineLevel="0" collapsed="false">
      <c r="B72486" s="0" t="s">
        <v>23484</v>
      </c>
    </row>
    <row r="72488" customFormat="false" ht="12.8" hidden="false" customHeight="false" outlineLevel="0" collapsed="false">
      <c r="A72488" s="0" t="s">
        <v>23494</v>
      </c>
      <c r="B72488" s="0" t="str">
        <f aca="false">HYPERLINK("https://lindat.mff.cuni.cz/services/teitok/pdtc10/index.php?action=vallex&amp;frame=v-w9504f5", "získávat (v-w9504f5)")</f>
        <v>získávat (v-w9504f5)</v>
      </c>
    </row>
    <row r="72489" customFormat="false" ht="12.8" hidden="false" customHeight="false" outlineLevel="0" collapsed="false">
      <c r="B72489" s="0" t="s">
        <v>1</v>
      </c>
    </row>
    <row r="72490" customFormat="false" ht="12.8" hidden="false" customHeight="false" outlineLevel="0" collapsed="false">
      <c r="B72490" s="0" t="s">
        <v>23495</v>
      </c>
    </row>
    <row r="72491" customFormat="false" ht="12.8" hidden="false" customHeight="false" outlineLevel="0" collapsed="false">
      <c r="B72491" s="0" t="s">
        <v>3889</v>
      </c>
    </row>
    <row r="72493" customFormat="false" ht="12.8" hidden="false" customHeight="false" outlineLevel="0" collapsed="false">
      <c r="A72493" s="0" t="s">
        <v>23496</v>
      </c>
      <c r="B72493" s="0" t="str">
        <f aca="false">HYPERLINK("https://lindat.mff.cuni.cz/services/teitok/pdtc10/index.php?action=vallex&amp;frame=v-w9504f7_ZU", "získávat (v-w9504f7_ZU)")</f>
        <v>získávat (v-w9504f7_ZU)</v>
      </c>
    </row>
    <row r="72494" customFormat="false" ht="12.8" hidden="false" customHeight="false" outlineLevel="0" collapsed="false">
      <c r="B72494" s="0" t="s">
        <v>1</v>
      </c>
    </row>
    <row r="72495" customFormat="false" ht="12.8" hidden="false" customHeight="false" outlineLevel="0" collapsed="false">
      <c r="B72495" s="0" t="s">
        <v>23497</v>
      </c>
    </row>
    <row r="72496" customFormat="false" ht="12.8" hidden="false" customHeight="false" outlineLevel="0" collapsed="false">
      <c r="B72496" s="0" t="s">
        <v>602</v>
      </c>
    </row>
    <row r="72498" customFormat="false" ht="12.8" hidden="false" customHeight="false" outlineLevel="0" collapsed="false">
      <c r="A72498" s="0" t="s">
        <v>23496</v>
      </c>
      <c r="B72498" s="0" t="str">
        <f aca="false">HYPERLINK("https://lindat.mff.cuni.cz/services/teitok/pdtc10/index.php?action=vallex&amp;frame=v-w9504f3", "získávat (v-w9504f3) - substituted with v-w9504f7_ZU")</f>
        <v>získávat (v-w9504f3) - substituted with v-w9504f7_ZU</v>
      </c>
    </row>
    <row r="72499" customFormat="false" ht="12.8" hidden="false" customHeight="false" outlineLevel="0" collapsed="false">
      <c r="B72499" s="0" t="s">
        <v>1</v>
      </c>
    </row>
    <row r="72500" customFormat="false" ht="12.8" hidden="false" customHeight="false" outlineLevel="0" collapsed="false">
      <c r="B72500" s="0" t="s">
        <v>23497</v>
      </c>
    </row>
    <row r="72501" customFormat="false" ht="12.8" hidden="false" customHeight="false" outlineLevel="0" collapsed="false">
      <c r="B72501" s="0" t="s">
        <v>602</v>
      </c>
    </row>
    <row r="72503" customFormat="false" ht="12.8" hidden="false" customHeight="false" outlineLevel="0" collapsed="false">
      <c r="A72503" s="0" t="s">
        <v>23496</v>
      </c>
      <c r="B72503" s="0" t="str">
        <f aca="false">HYPERLINK("https://lindat.mff.cuni.cz/services/teitok/pdtc10/index.php?action=vallex&amp;frame=v-w9504hsa_1032", "získávat (v-w9504hsa_1032) - substituted with v-w9504f7_ZU")</f>
        <v>získávat (v-w9504hsa_1032) - substituted with v-w9504f7_ZU</v>
      </c>
    </row>
    <row r="72504" customFormat="false" ht="12.8" hidden="false" customHeight="false" outlineLevel="0" collapsed="false">
      <c r="B72504" s="0" t="s">
        <v>1</v>
      </c>
    </row>
    <row r="72505" customFormat="false" ht="12.8" hidden="false" customHeight="false" outlineLevel="0" collapsed="false">
      <c r="B72505" s="0" t="s">
        <v>23497</v>
      </c>
    </row>
    <row r="72506" customFormat="false" ht="12.8" hidden="false" customHeight="false" outlineLevel="0" collapsed="false">
      <c r="B72506" s="0" t="s">
        <v>602</v>
      </c>
    </row>
    <row r="72508" customFormat="false" ht="12.8" hidden="false" customHeight="false" outlineLevel="0" collapsed="false">
      <c r="A72508" s="0" t="s">
        <v>23498</v>
      </c>
      <c r="B72508" s="0" t="str">
        <f aca="false">HYPERLINK("https://lindat.mff.cuni.cz/services/teitok/pdtc10/index.php?action=vallex&amp;frame=v-w9935f1", "zúročit (v-w9935f1)")</f>
        <v>zúročit (v-w9935f1)</v>
      </c>
    </row>
    <row r="72509" customFormat="false" ht="12.8" hidden="false" customHeight="false" outlineLevel="0" collapsed="false">
      <c r="B72509" s="0" t="s">
        <v>1</v>
      </c>
    </row>
    <row r="72510" customFormat="false" ht="12.8" hidden="false" customHeight="false" outlineLevel="0" collapsed="false">
      <c r="B72510" s="0" t="s">
        <v>8</v>
      </c>
    </row>
    <row r="72512" customFormat="false" ht="12.8" hidden="false" customHeight="false" outlineLevel="0" collapsed="false">
      <c r="A72512" s="0" t="s">
        <v>23499</v>
      </c>
      <c r="B72512" s="0" t="str">
        <f aca="false">HYPERLINK("https://lindat.mff.cuni.cz/services/teitok/pdtc10/index.php?action=vallex&amp;frame=v-w9936f1", "zúročit se (v-w9936f1)")</f>
        <v>zúročit se (v-w9936f1)</v>
      </c>
    </row>
    <row r="72513" customFormat="false" ht="12.8" hidden="false" customHeight="false" outlineLevel="0" collapsed="false">
      <c r="B72513" s="0" t="s">
        <v>1</v>
      </c>
    </row>
    <row r="72515" customFormat="false" ht="12.8" hidden="false" customHeight="false" outlineLevel="0" collapsed="false">
      <c r="A72515" s="0" t="s">
        <v>23500</v>
      </c>
      <c r="B72515" s="0" t="str">
        <f aca="false">HYPERLINK("https://lindat.mff.cuni.cz/services/teitok/pdtc10/index.php?action=vallex&amp;frame=v-w11683_ZUf1_ZU", "zútulnit (v-w11683_ZUf1_ZU)")</f>
        <v>zútulnit (v-w11683_ZUf1_ZU)</v>
      </c>
    </row>
    <row r="72516" customFormat="false" ht="12.8" hidden="false" customHeight="false" outlineLevel="0" collapsed="false">
      <c r="B72516" s="0" t="s">
        <v>1</v>
      </c>
    </row>
    <row r="72517" customFormat="false" ht="12.8" hidden="false" customHeight="false" outlineLevel="0" collapsed="false">
      <c r="B72517" s="0" t="s">
        <v>8</v>
      </c>
    </row>
    <row r="72519" customFormat="false" ht="12.8" hidden="false" customHeight="false" outlineLevel="0" collapsed="false">
      <c r="A72519" s="0" t="s">
        <v>23501</v>
      </c>
      <c r="B72519" s="0" t="str">
        <f aca="false">HYPERLINK("https://lindat.mff.cuni.cz/services/teitok/pdtc10/index.php?action=vallex&amp;frame=v-w9930f1", "zúčastnit se (v-w9930f1)")</f>
        <v>zúčastnit se (v-w9930f1)</v>
      </c>
      <c r="E72519" s="0" t="str">
        <f aca="false">HYPERLINK("https://lindat.mff.cuni.cz/services/SynSemClass40/SynSemClass40.html?veclass=vec00067#vec00067-ces-cm00292", "vec00067")</f>
        <v>vec00067</v>
      </c>
      <c r="F72519" s="0" t="s">
        <v>126</v>
      </c>
    </row>
    <row r="72520" customFormat="false" ht="12.8" hidden="false" customHeight="false" outlineLevel="0" collapsed="false">
      <c r="B72520" s="0" t="s">
        <v>1</v>
      </c>
      <c r="C72520" s="0" t="s">
        <v>185</v>
      </c>
      <c r="E72520" s="0" t="s">
        <v>11</v>
      </c>
      <c r="F72520" s="0" t="s">
        <v>129</v>
      </c>
    </row>
    <row r="72521" customFormat="false" ht="12.8" hidden="false" customHeight="false" outlineLevel="0" collapsed="false">
      <c r="B72521" s="0" t="s">
        <v>23502</v>
      </c>
      <c r="C72521" s="0" t="s">
        <v>187</v>
      </c>
      <c r="E72521" s="0" t="s">
        <v>188</v>
      </c>
      <c r="F72521" s="0" t="s">
        <v>189</v>
      </c>
    </row>
    <row r="72523" customFormat="false" ht="12.8" hidden="false" customHeight="false" outlineLevel="0" collapsed="false">
      <c r="A72523" s="0" t="s">
        <v>23503</v>
      </c>
      <c r="B72523" s="0" t="str">
        <f aca="false">HYPERLINK("https://lindat.mff.cuni.cz/services/teitok/pdtc10/index.php?action=vallex&amp;frame=v-w9931f1", "zúčastňovat se (v-w9931f1)")</f>
        <v>zúčastňovat se (v-w9931f1)</v>
      </c>
      <c r="E72523" s="0" t="str">
        <f aca="false">HYPERLINK("https://lindat.mff.cuni.cz/services/SynSemClass40/SynSemClass40.html?veclass=vec00067#vec00067-ces-cm00360", "vec00067")</f>
        <v>vec00067</v>
      </c>
      <c r="F72523" s="0" t="s">
        <v>126</v>
      </c>
    </row>
    <row r="72524" customFormat="false" ht="12.8" hidden="false" customHeight="false" outlineLevel="0" collapsed="false">
      <c r="B72524" s="0" t="s">
        <v>1</v>
      </c>
      <c r="C72524" s="0" t="s">
        <v>185</v>
      </c>
      <c r="E72524" s="0" t="s">
        <v>11</v>
      </c>
      <c r="F72524" s="0" t="s">
        <v>129</v>
      </c>
    </row>
    <row r="72525" customFormat="false" ht="12.8" hidden="false" customHeight="false" outlineLevel="0" collapsed="false">
      <c r="B72525" s="0" t="s">
        <v>23502</v>
      </c>
      <c r="C72525" s="0" t="s">
        <v>187</v>
      </c>
      <c r="E72525" s="0" t="s">
        <v>188</v>
      </c>
      <c r="F72525" s="0" t="s">
        <v>189</v>
      </c>
    </row>
    <row r="72527" customFormat="false" ht="12.8" hidden="false" customHeight="false" outlineLevel="0" collapsed="false">
      <c r="A72527" s="0" t="s">
        <v>23504</v>
      </c>
      <c r="B72527" s="0" t="str">
        <f aca="false">HYPERLINK("https://lindat.mff.cuni.cz/services/teitok/pdtc10/index.php?action=vallex&amp;frame=v-w9933f2", "zúčtovat (v-w9933f2)")</f>
        <v>zúčtovat (v-w9933f2)</v>
      </c>
    </row>
    <row r="72528" customFormat="false" ht="12.8" hidden="false" customHeight="false" outlineLevel="0" collapsed="false">
      <c r="B72528" s="0" t="s">
        <v>1</v>
      </c>
    </row>
    <row r="72529" customFormat="false" ht="12.8" hidden="false" customHeight="false" outlineLevel="0" collapsed="false">
      <c r="B72529" s="0" t="s">
        <v>8</v>
      </c>
    </row>
    <row r="72531" customFormat="false" ht="12.8" hidden="false" customHeight="false" outlineLevel="0" collapsed="false">
      <c r="A72531" s="0" t="s">
        <v>23505</v>
      </c>
      <c r="B72531" s="0" t="str">
        <f aca="false">HYPERLINK("https://lindat.mff.cuni.cz/services/teitok/pdtc10/index.php?action=vallex&amp;frame=v-w9933f1", "zúčtovat (v-w9933f1)")</f>
        <v>zúčtovat (v-w9933f1)</v>
      </c>
    </row>
    <row r="72532" customFormat="false" ht="12.8" hidden="false" customHeight="false" outlineLevel="0" collapsed="false">
      <c r="B72532" s="0" t="s">
        <v>1</v>
      </c>
    </row>
    <row r="72533" customFormat="false" ht="12.8" hidden="false" customHeight="false" outlineLevel="0" collapsed="false">
      <c r="B72533" s="0" t="s">
        <v>721</v>
      </c>
    </row>
    <row r="72535" customFormat="false" ht="12.8" hidden="false" customHeight="false" outlineLevel="0" collapsed="false">
      <c r="A72535" s="0" t="s">
        <v>23506</v>
      </c>
      <c r="B72535" s="0" t="str">
        <f aca="false">HYPERLINK("https://lindat.mff.cuni.cz/services/teitok/pdtc10/index.php?action=vallex&amp;frame=v-w9943f1", "zúžit (v-w9943f1)")</f>
        <v>zúžit (v-w9943f1)</v>
      </c>
      <c r="E72535" s="0" t="str">
        <f aca="false">HYPERLINK("https://lindat.mff.cuni.cz/services/SynSemClass40/SynSemClass40.html?veclass=vec00118#vec00118-ces-cm00316", "vec00118")</f>
        <v>vec00118</v>
      </c>
      <c r="F72535" s="0" t="s">
        <v>5784</v>
      </c>
    </row>
    <row r="72536" customFormat="false" ht="12.8" hidden="false" customHeight="false" outlineLevel="0" collapsed="false">
      <c r="B72536" s="0" t="s">
        <v>1</v>
      </c>
      <c r="C72536" s="0" t="s">
        <v>9951</v>
      </c>
      <c r="E72536" s="0" t="s">
        <v>31</v>
      </c>
      <c r="F72536" s="0" t="s">
        <v>5787</v>
      </c>
    </row>
    <row r="72537" customFormat="false" ht="12.8" hidden="false" customHeight="false" outlineLevel="0" collapsed="false">
      <c r="B72537" s="0" t="s">
        <v>8</v>
      </c>
      <c r="C72537" s="0" t="s">
        <v>9952</v>
      </c>
      <c r="E72537" s="0" t="s">
        <v>1569</v>
      </c>
      <c r="F72537" s="0" t="s">
        <v>5790</v>
      </c>
    </row>
    <row r="72538" customFormat="false" ht="12.8" hidden="false" customHeight="false" outlineLevel="0" collapsed="false">
      <c r="B72538" s="0" t="s">
        <v>36</v>
      </c>
      <c r="C72538" s="0" t="s">
        <v>9953</v>
      </c>
      <c r="E72538" s="0" t="s">
        <v>5152</v>
      </c>
      <c r="F72538" s="0" t="s">
        <v>5793</v>
      </c>
    </row>
    <row r="72539" customFormat="false" ht="12.8" hidden="false" customHeight="false" outlineLevel="0" collapsed="false">
      <c r="B72539" s="0" t="s">
        <v>101</v>
      </c>
      <c r="C72539" s="0" t="s">
        <v>9954</v>
      </c>
      <c r="E72539" s="0" t="s">
        <v>5796</v>
      </c>
      <c r="F72539" s="0" t="s">
        <v>5797</v>
      </c>
    </row>
    <row r="72541" customFormat="false" ht="12.8" hidden="false" customHeight="false" outlineLevel="0" collapsed="false">
      <c r="A72541" s="0" t="s">
        <v>23507</v>
      </c>
      <c r="B72541" s="0" t="str">
        <f aca="false">HYPERLINK("https://lindat.mff.cuni.cz/services/teitok/pdtc10/index.php?action=vallex&amp;frame=v-w9943f2", "zúžit (v-w9943f2)")</f>
        <v>zúžit (v-w9943f2)</v>
      </c>
    </row>
    <row r="72542" customFormat="false" ht="12.8" hidden="false" customHeight="false" outlineLevel="0" collapsed="false">
      <c r="B72542" s="0" t="s">
        <v>1</v>
      </c>
    </row>
    <row r="72543" customFormat="false" ht="12.8" hidden="false" customHeight="false" outlineLevel="0" collapsed="false">
      <c r="B72543" s="0" t="s">
        <v>8</v>
      </c>
    </row>
    <row r="72545" customFormat="false" ht="12.8" hidden="false" customHeight="false" outlineLevel="0" collapsed="false">
      <c r="A72545" s="0" t="s">
        <v>23508</v>
      </c>
      <c r="B72545" s="0" t="str">
        <f aca="false">HYPERLINK("https://lindat.mff.cuni.cz/services/teitok/pdtc10/index.php?action=vallex&amp;frame=v-w9945f1", "zúžit se (v-w9945f1)")</f>
        <v>zúžit se (v-w9945f1)</v>
      </c>
    </row>
    <row r="72546" customFormat="false" ht="12.8" hidden="false" customHeight="false" outlineLevel="0" collapsed="false">
      <c r="B72546" s="0" t="s">
        <v>1</v>
      </c>
    </row>
    <row r="72547" customFormat="false" ht="12.8" hidden="false" customHeight="false" outlineLevel="0" collapsed="false">
      <c r="B72547" s="0" t="s">
        <v>69</v>
      </c>
    </row>
    <row r="72548" customFormat="false" ht="12.8" hidden="false" customHeight="false" outlineLevel="0" collapsed="false">
      <c r="B72548" s="0" t="s">
        <v>36</v>
      </c>
    </row>
    <row r="72550" customFormat="false" ht="12.8" hidden="false" customHeight="false" outlineLevel="0" collapsed="false">
      <c r="A72550" s="0" t="s">
        <v>23509</v>
      </c>
      <c r="B72550" s="0" t="str">
        <f aca="false">HYPERLINK("https://lindat.mff.cuni.cz/services/teitok/pdtc10/index.php?action=vallex&amp;frame=v-w9945f2", "zúžit se (v-w9945f2)")</f>
        <v>zúžit se (v-w9945f2)</v>
      </c>
    </row>
    <row r="72551" customFormat="false" ht="12.8" hidden="false" customHeight="false" outlineLevel="0" collapsed="false">
      <c r="B72551" s="0" t="s">
        <v>1</v>
      </c>
    </row>
    <row r="72552" customFormat="false" ht="12.8" hidden="false" customHeight="false" outlineLevel="0" collapsed="false">
      <c r="B72552" s="0" t="s">
        <v>69</v>
      </c>
    </row>
    <row r="72553" customFormat="false" ht="12.8" hidden="false" customHeight="false" outlineLevel="0" collapsed="false">
      <c r="B72553" s="0" t="s">
        <v>36</v>
      </c>
    </row>
    <row r="72555" customFormat="false" ht="12.8" hidden="false" customHeight="false" outlineLevel="0" collapsed="false">
      <c r="A72555" s="0" t="s">
        <v>23510</v>
      </c>
      <c r="B72555" s="0" t="str">
        <f aca="false">HYPERLINK("https://lindat.mff.cuni.cz/services/teitok/pdtc10/index.php?action=vallex&amp;frame=v-w10682f2", "zčervenat (v-w10682f2)")</f>
        <v>zčervenat (v-w10682f2)</v>
      </c>
      <c r="E72555" s="0" t="str">
        <f aca="false">HYPERLINK("https://lindat.mff.cuni.cz/services/SynSemClass40/SynSemClass40.html?veclass=vec01546#vec01546-ces-cm00007", "vec01546")</f>
        <v>vec01546</v>
      </c>
      <c r="F72555" s="0" t="s">
        <v>5428</v>
      </c>
    </row>
    <row r="72556" customFormat="false" ht="12.8" hidden="false" customHeight="false" outlineLevel="0" collapsed="false">
      <c r="B72556" s="0" t="s">
        <v>1</v>
      </c>
      <c r="E72556" s="0" t="s">
        <v>84</v>
      </c>
      <c r="F72556" s="0" t="s">
        <v>5431</v>
      </c>
    </row>
    <row r="72558" customFormat="false" ht="12.8" hidden="false" customHeight="false" outlineLevel="0" collapsed="false">
      <c r="A72558" s="0" t="s">
        <v>23511</v>
      </c>
      <c r="B72558" s="0" t="str">
        <f aca="false">HYPERLINK("https://lindat.mff.cuni.cz/services/teitok/pdtc10/index.php?action=vallex&amp;frame=v-w9371f1", "zčitelnit (v-w9371f1)")</f>
        <v>zčitelnit (v-w9371f1)</v>
      </c>
    </row>
    <row r="72559" customFormat="false" ht="12.8" hidden="false" customHeight="false" outlineLevel="0" collapsed="false">
      <c r="B72559" s="0" t="s">
        <v>1</v>
      </c>
    </row>
    <row r="72560" customFormat="false" ht="12.8" hidden="false" customHeight="false" outlineLevel="0" collapsed="false">
      <c r="B72560" s="0" t="s">
        <v>8</v>
      </c>
    </row>
    <row r="72562" customFormat="false" ht="12.8" hidden="false" customHeight="false" outlineLevel="0" collapsed="false">
      <c r="A72562" s="0" t="s">
        <v>23512</v>
      </c>
      <c r="B72562" s="0" t="str">
        <f aca="false">HYPERLINK("https://lindat.mff.cuni.cz/services/teitok/pdtc10/index.php?action=vallex&amp;frame=v-w11280f2", "zčtyřnásobit se (v-w11280f2)")</f>
        <v>zčtyřnásobit se (v-w11280f2)</v>
      </c>
      <c r="E72562" s="0" t="str">
        <f aca="false">HYPERLINK("https://lindat.mff.cuni.cz/services/SynSemClass40/SynSemClass40.html?veclass=vec00187#vec00187-ces-cm00007", "vec00187")</f>
        <v>vec00187</v>
      </c>
      <c r="F72562" s="0" t="s">
        <v>8246</v>
      </c>
    </row>
    <row r="72563" customFormat="false" ht="12.8" hidden="false" customHeight="false" outlineLevel="0" collapsed="false">
      <c r="B72563" s="0" t="s">
        <v>1</v>
      </c>
      <c r="C72563" s="0" t="s">
        <v>22582</v>
      </c>
      <c r="E72563" s="0" t="s">
        <v>22583</v>
      </c>
      <c r="F72563" s="0" t="s">
        <v>22584</v>
      </c>
    </row>
    <row r="72564" customFormat="false" ht="12.8" hidden="false" customHeight="false" outlineLevel="0" collapsed="false">
      <c r="B72564" s="0" t="s">
        <v>69</v>
      </c>
      <c r="C72564" s="0" t="s">
        <v>22585</v>
      </c>
      <c r="E72564" s="0" t="s">
        <v>5149</v>
      </c>
      <c r="F72564" s="0" t="s">
        <v>22586</v>
      </c>
    </row>
    <row r="72565" customFormat="false" ht="12.8" hidden="false" customHeight="false" outlineLevel="0" collapsed="false">
      <c r="B72565" s="0" t="s">
        <v>36</v>
      </c>
      <c r="C72565" s="0" t="s">
        <v>22577</v>
      </c>
      <c r="E72565" s="0" t="s">
        <v>5152</v>
      </c>
      <c r="F72565" s="0" t="s">
        <v>22578</v>
      </c>
    </row>
    <row r="72567" customFormat="false" ht="12.8" hidden="false" customHeight="false" outlineLevel="0" collapsed="false">
      <c r="A72567" s="0" t="s">
        <v>23513</v>
      </c>
      <c r="B72567" s="0" t="str">
        <f aca="false">HYPERLINK("https://lindat.mff.cuni.cz/services/teitok/pdtc10/index.php?action=vallex&amp;frame=v-w9887f1", "zřeknout se (v-w9887f1)")</f>
        <v>zřeknout se (v-w9887f1)</v>
      </c>
      <c r="E72567" s="0" t="str">
        <f aca="false">HYPERLINK("https://lindat.mff.cuni.cz/services/SynSemClass40/SynSemClass40.html?veclass=vec00942#vec00942-ces-cm00051", "vec00942")</f>
        <v>vec00942</v>
      </c>
      <c r="F72567" s="0" t="s">
        <v>1686</v>
      </c>
    </row>
    <row r="72568" customFormat="false" ht="12.8" hidden="false" customHeight="false" outlineLevel="0" collapsed="false">
      <c r="B72568" s="0" t="s">
        <v>1</v>
      </c>
      <c r="C72568" s="0" t="s">
        <v>1687</v>
      </c>
      <c r="E72568" s="0" t="s">
        <v>11</v>
      </c>
      <c r="F72568" s="0" t="s">
        <v>1688</v>
      </c>
    </row>
    <row r="72569" customFormat="false" ht="12.8" hidden="false" customHeight="false" outlineLevel="0" collapsed="false">
      <c r="B72569" s="0" t="s">
        <v>1289</v>
      </c>
      <c r="C72569" s="0" t="s">
        <v>1690</v>
      </c>
      <c r="E72569" s="0" t="s">
        <v>140</v>
      </c>
      <c r="F72569" s="0" t="s">
        <v>1691</v>
      </c>
    </row>
    <row r="72571" customFormat="false" ht="12.8" hidden="false" customHeight="false" outlineLevel="0" collapsed="false">
      <c r="A72571" s="0" t="s">
        <v>23514</v>
      </c>
      <c r="B72571" s="0" t="str">
        <f aca="false">HYPERLINK("https://lindat.mff.cuni.cz/services/teitok/pdtc10/index.php?action=vallex&amp;frame=v-w11870_ZUf1_ZU", "zřezat (v-w11870_ZUf1_ZU)")</f>
        <v>zřezat (v-w11870_ZUf1_ZU)</v>
      </c>
    </row>
    <row r="72572" customFormat="false" ht="12.8" hidden="false" customHeight="false" outlineLevel="0" collapsed="false">
      <c r="B72572" s="0" t="s">
        <v>1</v>
      </c>
    </row>
    <row r="72573" customFormat="false" ht="12.8" hidden="false" customHeight="false" outlineLevel="0" collapsed="false">
      <c r="B72573" s="0" t="s">
        <v>8</v>
      </c>
    </row>
    <row r="72575" customFormat="false" ht="12.8" hidden="false" customHeight="false" outlineLevel="0" collapsed="false">
      <c r="A72575" s="0" t="s">
        <v>23515</v>
      </c>
      <c r="B72575" s="0" t="str">
        <f aca="false">HYPERLINK("https://lindat.mff.cuni.cz/services/teitok/pdtc10/index.php?action=vallex&amp;frame=v-w9897f1", "zřizovat (v-w9897f1)")</f>
        <v>zřizovat (v-w9897f1)</v>
      </c>
      <c r="E72575" s="0" t="str">
        <f aca="false">HYPERLINK("https://lindat.mff.cuni.cz/services/SynSemClass40/SynSemClass40.html?veclass=vec00179#vec00179-ces-cm00099", "vec00179")</f>
        <v>vec00179</v>
      </c>
      <c r="F72575" s="0" t="s">
        <v>779</v>
      </c>
    </row>
    <row r="72576" customFormat="false" ht="12.8" hidden="false" customHeight="false" outlineLevel="0" collapsed="false">
      <c r="B72576" s="0" t="s">
        <v>1</v>
      </c>
      <c r="C72576" s="0" t="s">
        <v>14765</v>
      </c>
      <c r="E72576" s="0" t="s">
        <v>768</v>
      </c>
      <c r="F72576" s="0" t="s">
        <v>782</v>
      </c>
    </row>
    <row r="72577" customFormat="false" ht="12.8" hidden="false" customHeight="false" outlineLevel="0" collapsed="false">
      <c r="B72577" s="0" t="s">
        <v>8</v>
      </c>
      <c r="C72577" s="0" t="s">
        <v>14766</v>
      </c>
      <c r="E72577" s="0" t="s">
        <v>771</v>
      </c>
      <c r="F72577" s="0" t="s">
        <v>785</v>
      </c>
    </row>
    <row r="72578" customFormat="false" ht="12.8" hidden="false" customHeight="false" outlineLevel="0" collapsed="false">
      <c r="B72578" s="0" t="s">
        <v>36</v>
      </c>
      <c r="C72578" s="0" t="s">
        <v>14767</v>
      </c>
      <c r="E72578" s="0" t="s">
        <v>787</v>
      </c>
      <c r="F72578" s="0" t="s">
        <v>789</v>
      </c>
    </row>
    <row r="72580" customFormat="false" ht="12.8" hidden="false" customHeight="false" outlineLevel="0" collapsed="false">
      <c r="A72580" s="0" t="s">
        <v>23516</v>
      </c>
      <c r="B72580" s="0" t="str">
        <f aca="false">HYPERLINK("https://lindat.mff.cuni.cz/services/teitok/pdtc10/index.php?action=vallex&amp;frame=v-w9890f1", "zříci se (v-w9890f1)")</f>
        <v>zříci se (v-w9890f1)</v>
      </c>
      <c r="E72580" s="0" t="str">
        <f aca="false">HYPERLINK("https://lindat.mff.cuni.cz/services/SynSemClass40/SynSemClass40.html?veclass=vec00942#vec00942-ces-cm00066", "vec00942")</f>
        <v>vec00942</v>
      </c>
      <c r="F72580" s="0" t="s">
        <v>1686</v>
      </c>
    </row>
    <row r="72581" customFormat="false" ht="12.8" hidden="false" customHeight="false" outlineLevel="0" collapsed="false">
      <c r="B72581" s="0" t="s">
        <v>1</v>
      </c>
      <c r="C72581" s="0" t="s">
        <v>1687</v>
      </c>
      <c r="E72581" s="0" t="s">
        <v>11</v>
      </c>
      <c r="F72581" s="0" t="s">
        <v>1688</v>
      </c>
    </row>
    <row r="72582" customFormat="false" ht="12.8" hidden="false" customHeight="false" outlineLevel="0" collapsed="false">
      <c r="B72582" s="0" t="s">
        <v>1289</v>
      </c>
      <c r="C72582" s="0" t="s">
        <v>1690</v>
      </c>
      <c r="E72582" s="0" t="s">
        <v>140</v>
      </c>
      <c r="F72582" s="0" t="s">
        <v>1691</v>
      </c>
    </row>
    <row r="72584" customFormat="false" ht="12.8" hidden="false" customHeight="false" outlineLevel="0" collapsed="false">
      <c r="A72584" s="0" t="s">
        <v>23517</v>
      </c>
      <c r="B72584" s="0" t="str">
        <f aca="false">HYPERLINK("https://lindat.mff.cuni.cz/services/teitok/pdtc10/index.php?action=vallex&amp;frame=v-w9891f1", "zřídit (v-w9891f1)")</f>
        <v>zřídit (v-w9891f1)</v>
      </c>
      <c r="E72584" s="0" t="str">
        <f aca="false">HYPERLINK("https://lindat.mff.cuni.cz/services/SynSemClass40/SynSemClass40.html?veclass=vec00084#vec00084-ces-cm00144", "vec00084")</f>
        <v>vec00084</v>
      </c>
      <c r="F72584" s="0" t="s">
        <v>778</v>
      </c>
      <c r="H72584" s="0" t="str">
        <f aca="false">HYPERLINK("https://lindat.mff.cuni.cz/services/SynSemClass40/SynSemClass40.html?veclass=vec00179#vec00179-ces-cm00098", "vec00179")</f>
        <v>vec00179</v>
      </c>
      <c r="I72584" s="0" t="s">
        <v>779</v>
      </c>
    </row>
    <row r="72585" customFormat="false" ht="12.8" hidden="false" customHeight="false" outlineLevel="0" collapsed="false">
      <c r="B72585" s="0" t="s">
        <v>1</v>
      </c>
      <c r="C72585" s="0" t="s">
        <v>780</v>
      </c>
      <c r="E72585" s="0" t="s">
        <v>31</v>
      </c>
      <c r="F72585" s="0" t="s">
        <v>781</v>
      </c>
      <c r="H72585" s="0" t="s">
        <v>768</v>
      </c>
      <c r="I72585" s="0" t="s">
        <v>782</v>
      </c>
    </row>
    <row r="72586" customFormat="false" ht="12.8" hidden="false" customHeight="false" outlineLevel="0" collapsed="false">
      <c r="B72586" s="0" t="s">
        <v>8</v>
      </c>
      <c r="C72586" s="0" t="s">
        <v>783</v>
      </c>
      <c r="E72586" s="0" t="s">
        <v>771</v>
      </c>
      <c r="F72586" s="0" t="s">
        <v>784</v>
      </c>
      <c r="H72586" s="0" t="s">
        <v>771</v>
      </c>
      <c r="I72586" s="0" t="s">
        <v>785</v>
      </c>
    </row>
    <row r="72587" customFormat="false" ht="12.8" hidden="false" customHeight="false" outlineLevel="0" collapsed="false">
      <c r="B72587" s="0" t="s">
        <v>36</v>
      </c>
      <c r="C72587" s="0" t="s">
        <v>786</v>
      </c>
      <c r="E72587" s="0" t="s">
        <v>787</v>
      </c>
      <c r="F72587" s="0" t="s">
        <v>788</v>
      </c>
      <c r="H72587" s="0" t="s">
        <v>787</v>
      </c>
      <c r="I72587" s="0" t="s">
        <v>789</v>
      </c>
    </row>
    <row r="72589" customFormat="false" ht="12.8" hidden="false" customHeight="false" outlineLevel="0" collapsed="false">
      <c r="A72589" s="0" t="s">
        <v>23518</v>
      </c>
      <c r="B72589" s="0" t="str">
        <f aca="false">HYPERLINK("https://lindat.mff.cuni.cz/services/teitok/pdtc10/index.php?action=vallex&amp;frame=v-w9891f2", "zřídit (v-w9891f2)")</f>
        <v>zřídit (v-w9891f2)</v>
      </c>
    </row>
    <row r="72590" customFormat="false" ht="12.8" hidden="false" customHeight="false" outlineLevel="0" collapsed="false">
      <c r="B72590" s="0" t="s">
        <v>1</v>
      </c>
    </row>
    <row r="72591" customFormat="false" ht="12.8" hidden="false" customHeight="false" outlineLevel="0" collapsed="false">
      <c r="B72591" s="0" t="s">
        <v>8</v>
      </c>
    </row>
    <row r="72593" customFormat="false" ht="12.8" hidden="false" customHeight="false" outlineLevel="0" collapsed="false">
      <c r="A72593" s="0" t="s">
        <v>23519</v>
      </c>
      <c r="B72593" s="0" t="str">
        <f aca="false">HYPERLINK("https://lindat.mff.cuni.cz/services/teitok/pdtc10/index.php?action=vallex&amp;frame=v-w9892f1", "zříkat se (v-w9892f1)")</f>
        <v>zříkat se (v-w9892f1)</v>
      </c>
      <c r="E72593" s="0" t="str">
        <f aca="false">HYPERLINK("https://lindat.mff.cuni.cz/services/SynSemClass40/SynSemClass40.html?veclass=vec00942#vec00942-ces-cm00052", "vec00942")</f>
        <v>vec00942</v>
      </c>
      <c r="F72593" s="0" t="s">
        <v>1686</v>
      </c>
    </row>
    <row r="72594" customFormat="false" ht="12.8" hidden="false" customHeight="false" outlineLevel="0" collapsed="false">
      <c r="B72594" s="0" t="s">
        <v>1</v>
      </c>
      <c r="C72594" s="0" t="s">
        <v>1687</v>
      </c>
      <c r="E72594" s="0" t="s">
        <v>11</v>
      </c>
      <c r="F72594" s="0" t="s">
        <v>1688</v>
      </c>
    </row>
    <row r="72595" customFormat="false" ht="12.8" hidden="false" customHeight="false" outlineLevel="0" collapsed="false">
      <c r="B72595" s="0" t="s">
        <v>1289</v>
      </c>
      <c r="C72595" s="0" t="s">
        <v>1690</v>
      </c>
      <c r="E72595" s="0" t="s">
        <v>140</v>
      </c>
      <c r="F72595" s="0" t="s">
        <v>1691</v>
      </c>
    </row>
    <row r="72597" customFormat="false" ht="12.8" hidden="false" customHeight="false" outlineLevel="0" collapsed="false">
      <c r="A72597" s="0" t="s">
        <v>23520</v>
      </c>
      <c r="B72597" s="0" t="str">
        <f aca="false">HYPERLINK("https://lindat.mff.cuni.cz/services/teitok/pdtc10/index.php?action=vallex&amp;frame=v-w12103_ZUf1_ZU", "zřít (v-w12103_ZUf1_ZU)")</f>
        <v>zřít (v-w12103_ZUf1_ZU)</v>
      </c>
    </row>
    <row r="72598" customFormat="false" ht="12.8" hidden="false" customHeight="false" outlineLevel="0" collapsed="false">
      <c r="B72598" s="0" t="s">
        <v>1</v>
      </c>
    </row>
    <row r="72599" customFormat="false" ht="12.8" hidden="false" customHeight="false" outlineLevel="0" collapsed="false">
      <c r="B72599" s="0" t="s">
        <v>5032</v>
      </c>
    </row>
    <row r="72601" customFormat="false" ht="12.8" hidden="false" customHeight="false" outlineLevel="0" collapsed="false">
      <c r="A72601" s="0" t="s">
        <v>23521</v>
      </c>
      <c r="B72601" s="0" t="str">
        <f aca="false">HYPERLINK("https://lindat.mff.cuni.cz/services/teitok/pdtc10/index.php?action=vallex&amp;frame=v-w9893f2", "zřítit se (v-w9893f2)")</f>
        <v>zřítit se (v-w9893f2)</v>
      </c>
      <c r="E72601" s="0" t="str">
        <f aca="false">HYPERLINK("https://lindat.mff.cuni.cz/services/SynSemClass40/SynSemClass40.html?veclass=vec00028#vec00028-ces-cm00096", "vec00028")</f>
        <v>vec00028</v>
      </c>
      <c r="F72601" s="0" t="s">
        <v>5301</v>
      </c>
    </row>
    <row r="72602" customFormat="false" ht="12.8" hidden="false" customHeight="false" outlineLevel="0" collapsed="false">
      <c r="B72602" s="0" t="s">
        <v>1</v>
      </c>
      <c r="C72602" s="0" t="s">
        <v>9964</v>
      </c>
      <c r="E72602" s="0" t="s">
        <v>235</v>
      </c>
      <c r="F72602" s="0" t="s">
        <v>5304</v>
      </c>
    </row>
    <row r="72603" customFormat="false" ht="12.8" hidden="false" customHeight="false" outlineLevel="0" collapsed="false">
      <c r="B72603" s="0" t="s">
        <v>69</v>
      </c>
      <c r="C72603" s="0" t="s">
        <v>9965</v>
      </c>
      <c r="E72603" s="0" t="s">
        <v>5149</v>
      </c>
      <c r="F72603" s="0" t="s">
        <v>5307</v>
      </c>
    </row>
    <row r="72604" customFormat="false" ht="12.8" hidden="false" customHeight="false" outlineLevel="0" collapsed="false">
      <c r="B72604" s="0" t="s">
        <v>36</v>
      </c>
      <c r="C72604" s="0" t="s">
        <v>9966</v>
      </c>
      <c r="E72604" s="0" t="s">
        <v>5152</v>
      </c>
      <c r="F72604" s="0" t="s">
        <v>5311</v>
      </c>
    </row>
    <row r="72606" customFormat="false" ht="12.8" hidden="false" customHeight="false" outlineLevel="0" collapsed="false">
      <c r="A72606" s="0" t="s">
        <v>23522</v>
      </c>
      <c r="B72606" s="0" t="str">
        <f aca="false">HYPERLINK("https://lindat.mff.cuni.cz/services/teitok/pdtc10/index.php?action=vallex&amp;frame=v-w9893f1", "zřítit se (v-w9893f1)")</f>
        <v>zřítit se (v-w9893f1)</v>
      </c>
      <c r="E72606" s="0" t="str">
        <f aca="false">HYPERLINK("https://lindat.mff.cuni.cz/services/SynSemClass40/SynSemClass40.html?veclass=vec00597#vec00597-ces-cm00001", "vec00597")</f>
        <v>vec00597</v>
      </c>
      <c r="F72606" s="0" t="s">
        <v>23523</v>
      </c>
    </row>
    <row r="72607" customFormat="false" ht="12.8" hidden="false" customHeight="false" outlineLevel="0" collapsed="false">
      <c r="B72607" s="0" t="s">
        <v>1</v>
      </c>
      <c r="C72607" s="0" t="s">
        <v>5052</v>
      </c>
      <c r="E72607" s="0" t="s">
        <v>23524</v>
      </c>
      <c r="F72607" s="0" t="s">
        <v>23525</v>
      </c>
    </row>
    <row r="72609" customFormat="false" ht="12.8" hidden="false" customHeight="false" outlineLevel="0" collapsed="false">
      <c r="A72609" s="0" t="s">
        <v>23526</v>
      </c>
      <c r="B72609" s="0" t="str">
        <f aca="false">HYPERLINK("https://lindat.mff.cuni.cz/services/teitok/pdtc10/index.php?action=vallex&amp;frame=v-w9938f5", "zůstat (v-w9938f5)")</f>
        <v>zůstat (v-w9938f5)</v>
      </c>
      <c r="E72609" s="0" t="str">
        <f aca="false">HYPERLINK("https://lindat.mff.cuni.cz/services/SynSemClass40/SynSemClass40.html?veclass=vec01176#vec01176-ces-cm00012", "vec01176")</f>
        <v>vec01176</v>
      </c>
      <c r="F72609" s="0" t="s">
        <v>22485</v>
      </c>
    </row>
    <row r="72610" customFormat="false" ht="12.8" hidden="false" customHeight="false" outlineLevel="0" collapsed="false">
      <c r="B72610" s="0" t="s">
        <v>16752</v>
      </c>
      <c r="C72610" s="0" t="s">
        <v>22486</v>
      </c>
      <c r="E72610" s="0" t="s">
        <v>22487</v>
      </c>
      <c r="F72610" s="0" t="s">
        <v>22488</v>
      </c>
    </row>
    <row r="72611" customFormat="false" ht="12.8" hidden="false" customHeight="false" outlineLevel="0" collapsed="false">
      <c r="B72611" s="0" t="s">
        <v>6376</v>
      </c>
      <c r="C72611" s="0" t="s">
        <v>22489</v>
      </c>
      <c r="E72611" s="0" t="s">
        <v>1847</v>
      </c>
      <c r="F72611" s="0" t="s">
        <v>22490</v>
      </c>
    </row>
    <row r="72613" customFormat="false" ht="12.8" hidden="false" customHeight="false" outlineLevel="0" collapsed="false">
      <c r="A72613" s="0" t="s">
        <v>23527</v>
      </c>
      <c r="B72613" s="0" t="str">
        <f aca="false">HYPERLINK("https://lindat.mff.cuni.cz/services/teitok/pdtc10/index.php?action=vallex&amp;frame=v-w9938f2", "zůstat (v-w9938f2)")</f>
        <v>zůstat (v-w9938f2)</v>
      </c>
      <c r="E72613" s="0" t="str">
        <f aca="false">HYPERLINK("https://lindat.mff.cuni.cz/services/SynSemClass40/SynSemClass40.html?veclass=vec00199#vec00199-ces-cm00001", "vec00199")</f>
        <v>vec00199</v>
      </c>
      <c r="F72613" s="0" t="s">
        <v>1248</v>
      </c>
    </row>
    <row r="72614" customFormat="false" ht="12.8" hidden="false" customHeight="false" outlineLevel="0" collapsed="false">
      <c r="B72614" s="0" t="s">
        <v>1</v>
      </c>
      <c r="C72614" s="0" t="s">
        <v>1250</v>
      </c>
      <c r="E72614" s="0" t="s">
        <v>957</v>
      </c>
      <c r="F72614" s="0" t="s">
        <v>1251</v>
      </c>
    </row>
    <row r="72615" customFormat="false" ht="12.8" hidden="false" customHeight="false" outlineLevel="0" collapsed="false">
      <c r="B72615" s="0" t="s">
        <v>23528</v>
      </c>
      <c r="C72615" s="0" t="s">
        <v>1253</v>
      </c>
      <c r="E72615" s="0" t="s">
        <v>354</v>
      </c>
      <c r="F72615" s="0" t="s">
        <v>1254</v>
      </c>
    </row>
    <row r="72617" customFormat="false" ht="12.8" hidden="false" customHeight="false" outlineLevel="0" collapsed="false">
      <c r="A72617" s="0" t="s">
        <v>23529</v>
      </c>
      <c r="B72617" s="0" t="str">
        <f aca="false">HYPERLINK("https://lindat.mff.cuni.cz/services/teitok/pdtc10/index.php?action=vallex&amp;frame=v-w9938f7", "zůstat (v-w9938f7)")</f>
        <v>zůstat (v-w9938f7)</v>
      </c>
    </row>
    <row r="72618" customFormat="false" ht="12.8" hidden="false" customHeight="false" outlineLevel="0" collapsed="false">
      <c r="B72618" s="0" t="s">
        <v>1</v>
      </c>
    </row>
    <row r="72619" customFormat="false" ht="12.8" hidden="false" customHeight="false" outlineLevel="0" collapsed="false">
      <c r="B72619" s="0" t="s">
        <v>23530</v>
      </c>
    </row>
    <row r="72621" customFormat="false" ht="12.8" hidden="false" customHeight="false" outlineLevel="0" collapsed="false">
      <c r="A72621" s="0" t="s">
        <v>23531</v>
      </c>
      <c r="B72621" s="0" t="str">
        <f aca="false">HYPERLINK("https://lindat.mff.cuni.cz/services/teitok/pdtc10/index.php?action=vallex&amp;frame=v-w9938f16_MM", "zůstat (v-w9938f16_MM)")</f>
        <v>zůstat (v-w9938f16_MM)</v>
      </c>
    </row>
    <row r="72622" customFormat="false" ht="12.8" hidden="false" customHeight="false" outlineLevel="0" collapsed="false">
      <c r="B72622" s="0" t="s">
        <v>1</v>
      </c>
    </row>
    <row r="72623" customFormat="false" ht="12.8" hidden="false" customHeight="false" outlineLevel="0" collapsed="false">
      <c r="B72623" s="0" t="s">
        <v>763</v>
      </c>
    </row>
    <row r="72625" customFormat="false" ht="12.8" hidden="false" customHeight="false" outlineLevel="0" collapsed="false">
      <c r="A72625" s="0" t="s">
        <v>23531</v>
      </c>
      <c r="B72625" s="0" t="str">
        <f aca="false">HYPERLINK("https://lindat.mff.cuni.cz/services/teitok/pdtc10/index.php?action=vallex&amp;frame=v-w9938f3", "zůstat (v-w9938f3) - substituted with v-w9938f16_MM")</f>
        <v>zůstat (v-w9938f3) - substituted with v-w9938f16_MM</v>
      </c>
      <c r="E72625" s="0" t="str">
        <f aca="false">HYPERLINK("https://lindat.mff.cuni.cz/services/SynSemClass40/SynSemClass40.html?veclass=vec00583#vec00583-ces-cm00002", "vec00583")</f>
        <v>vec00583</v>
      </c>
      <c r="F72625" s="0" t="s">
        <v>22495</v>
      </c>
    </row>
    <row r="72626" customFormat="false" ht="12.8" hidden="false" customHeight="false" outlineLevel="0" collapsed="false">
      <c r="B72626" s="0" t="s">
        <v>1</v>
      </c>
      <c r="C72626" s="0" t="s">
        <v>10</v>
      </c>
      <c r="E72626" s="0" t="s">
        <v>22496</v>
      </c>
      <c r="F72626" s="0" t="s">
        <v>22497</v>
      </c>
    </row>
    <row r="72627" customFormat="false" ht="12.8" hidden="false" customHeight="false" outlineLevel="0" collapsed="false">
      <c r="B72627" s="0" t="s">
        <v>763</v>
      </c>
      <c r="C72627" s="0" t="s">
        <v>22498</v>
      </c>
      <c r="E72627" s="0" t="s">
        <v>5279</v>
      </c>
      <c r="F72627" s="0" t="s">
        <v>22499</v>
      </c>
    </row>
    <row r="72629" customFormat="false" ht="12.8" hidden="false" customHeight="false" outlineLevel="0" collapsed="false">
      <c r="A72629" s="0" t="s">
        <v>23532</v>
      </c>
      <c r="B72629" s="0" t="str">
        <f aca="false">HYPERLINK("https://lindat.mff.cuni.cz/services/teitok/pdtc10/index.php?action=vallex&amp;frame=v-w9938f11_ZU", "zůstat (v-w9938f11_ZU)")</f>
        <v>zůstat (v-w9938f11_ZU)</v>
      </c>
      <c r="E72629" s="0" t="str">
        <f aca="false">HYPERLINK("https://lindat.mff.cuni.cz/services/SynSemClass40/SynSemClass40.html?veclass=vec00394#vec00394-ces-cm00001", "vec00394")</f>
        <v>vec00394</v>
      </c>
      <c r="F72629" s="0" t="s">
        <v>3338</v>
      </c>
    </row>
    <row r="72630" customFormat="false" ht="12.8" hidden="false" customHeight="false" outlineLevel="0" collapsed="false">
      <c r="B72630" s="0" t="s">
        <v>1</v>
      </c>
      <c r="C72630" s="0" t="s">
        <v>3345</v>
      </c>
      <c r="E72630" s="0" t="s">
        <v>11</v>
      </c>
      <c r="F72630" s="0" t="s">
        <v>3340</v>
      </c>
    </row>
    <row r="72631" customFormat="false" ht="12.8" hidden="false" customHeight="false" outlineLevel="0" collapsed="false">
      <c r="B72631" s="0" t="s">
        <v>5</v>
      </c>
      <c r="C72631" s="0" t="s">
        <v>3346</v>
      </c>
      <c r="E72631" s="0" t="s">
        <v>3254</v>
      </c>
      <c r="F72631" s="0" t="s">
        <v>3343</v>
      </c>
    </row>
    <row r="72633" customFormat="false" ht="12.8" hidden="false" customHeight="false" outlineLevel="0" collapsed="false">
      <c r="A72633" s="0" t="s">
        <v>23532</v>
      </c>
      <c r="B72633" s="0" t="str">
        <f aca="false">HYPERLINK("https://lindat.mff.cuni.cz/services/teitok/pdtc10/index.php?action=vallex&amp;frame=v-w9938f1", "zůstat (v-w9938f1) - substituted with v-w9938f11_ZU")</f>
        <v>zůstat (v-w9938f1) - substituted with v-w9938f11_ZU</v>
      </c>
    </row>
    <row r="72634" customFormat="false" ht="12.8" hidden="false" customHeight="false" outlineLevel="0" collapsed="false">
      <c r="B72634" s="0" t="s">
        <v>1</v>
      </c>
    </row>
    <row r="72635" customFormat="false" ht="12.8" hidden="false" customHeight="false" outlineLevel="0" collapsed="false">
      <c r="B72635" s="0" t="s">
        <v>5</v>
      </c>
    </row>
    <row r="72637" customFormat="false" ht="12.8" hidden="false" customHeight="false" outlineLevel="0" collapsed="false">
      <c r="A72637" s="0" t="s">
        <v>23533</v>
      </c>
      <c r="B72637" s="0" t="str">
        <f aca="false">HYPERLINK("https://lindat.mff.cuni.cz/services/teitok/pdtc10/index.php?action=vallex&amp;frame=v-w9938f4", "zůstat (v-w9938f4)")</f>
        <v>zůstat (v-w9938f4)</v>
      </c>
      <c r="E72637" s="0" t="str">
        <f aca="false">HYPERLINK("https://lindat.mff.cuni.cz/services/SynSemClass40/SynSemClass40.html?veclass=vec00199#vec00199-ces-cm00291", "vec00199")</f>
        <v>vec00199</v>
      </c>
      <c r="F72637" s="0" t="s">
        <v>1248</v>
      </c>
    </row>
    <row r="72638" customFormat="false" ht="12.8" hidden="false" customHeight="false" outlineLevel="0" collapsed="false">
      <c r="B72638" s="0" t="s">
        <v>1</v>
      </c>
      <c r="C72638" s="0" t="s">
        <v>1250</v>
      </c>
      <c r="E72638" s="0" t="s">
        <v>957</v>
      </c>
      <c r="F72638" s="0" t="s">
        <v>1251</v>
      </c>
    </row>
    <row r="72639" customFormat="false" ht="12.8" hidden="false" customHeight="false" outlineLevel="0" collapsed="false">
      <c r="B72639" s="0" t="s">
        <v>6510</v>
      </c>
      <c r="C72639" s="0" t="s">
        <v>15737</v>
      </c>
      <c r="E72639" s="0" t="s">
        <v>23534</v>
      </c>
      <c r="F72639" s="0" t="s">
        <v>23535</v>
      </c>
    </row>
    <row r="72640" customFormat="false" ht="12.8" hidden="false" customHeight="false" outlineLevel="0" collapsed="false">
      <c r="B72640" s="0" t="s">
        <v>8124</v>
      </c>
      <c r="C72640" s="0" t="s">
        <v>15740</v>
      </c>
      <c r="E72640" s="0" t="s">
        <v>23534</v>
      </c>
      <c r="F72640" s="0" t="s">
        <v>23535</v>
      </c>
    </row>
    <row r="72641" customFormat="false" ht="12.8" hidden="false" customHeight="false" outlineLevel="0" collapsed="false">
      <c r="B72641" s="0" t="s">
        <v>8123</v>
      </c>
      <c r="C72641" s="0" t="s">
        <v>15741</v>
      </c>
      <c r="E72641" s="0" t="s">
        <v>23534</v>
      </c>
      <c r="F72641" s="0" t="s">
        <v>23535</v>
      </c>
    </row>
    <row r="72643" customFormat="false" ht="12.8" hidden="false" customHeight="false" outlineLevel="0" collapsed="false">
      <c r="A72643" s="0" t="s">
        <v>23536</v>
      </c>
      <c r="B72643" s="0" t="str">
        <f aca="false">HYPERLINK("https://lindat.mff.cuni.cz/services/teitok/pdtc10/index.php?action=vallex&amp;frame=v-w9938f15_ZU", "zůstat (v-w9938f15_ZU)")</f>
        <v>zůstat (v-w9938f15_ZU)</v>
      </c>
    </row>
    <row r="72644" customFormat="false" ht="12.8" hidden="false" customHeight="false" outlineLevel="0" collapsed="false">
      <c r="B72644" s="0" t="s">
        <v>23537</v>
      </c>
    </row>
    <row r="72646" customFormat="false" ht="12.8" hidden="false" customHeight="false" outlineLevel="0" collapsed="false">
      <c r="A72646" s="0" t="s">
        <v>23536</v>
      </c>
      <c r="B72646" s="0" t="str">
        <f aca="false">HYPERLINK("https://lindat.mff.cuni.cz/services/teitok/pdtc10/index.php?action=vallex&amp;frame=v-w9938f14_ZU", "zůstat (v-w9938f14_ZU) - substituted with v-w9938f15_ZU")</f>
        <v>zůstat (v-w9938f14_ZU) - substituted with v-w9938f15_ZU</v>
      </c>
    </row>
    <row r="72647" customFormat="false" ht="12.8" hidden="false" customHeight="false" outlineLevel="0" collapsed="false">
      <c r="B72647" s="0" t="s">
        <v>23537</v>
      </c>
    </row>
    <row r="72649" customFormat="false" ht="12.8" hidden="false" customHeight="false" outlineLevel="0" collapsed="false">
      <c r="A72649" s="0" t="s">
        <v>23536</v>
      </c>
      <c r="B72649" s="0" t="str">
        <f aca="false">HYPERLINK("https://lindat.mff.cuni.cz/services/teitok/pdtc10/index.php?action=vallex&amp;frame=v-w9938f6", "zůstat (v-w9938f6) - substituted with v-w9938f15_ZU")</f>
        <v>zůstat (v-w9938f6) - substituted with v-w9938f15_ZU</v>
      </c>
    </row>
    <row r="72650" customFormat="false" ht="12.8" hidden="false" customHeight="false" outlineLevel="0" collapsed="false">
      <c r="B72650" s="0" t="s">
        <v>23537</v>
      </c>
    </row>
    <row r="72652" customFormat="false" ht="12.8" hidden="false" customHeight="false" outlineLevel="0" collapsed="false">
      <c r="A72652" s="0" t="s">
        <v>23538</v>
      </c>
      <c r="B72652" s="0" t="str">
        <f aca="false">HYPERLINK("https://lindat.mff.cuni.cz/services/teitok/pdtc10/index.php?action=vallex&amp;frame=v-w9938f8", "zůstat (v-w9938f8)")</f>
        <v>zůstat (v-w9938f8)</v>
      </c>
    </row>
    <row r="72653" customFormat="false" ht="12.8" hidden="false" customHeight="false" outlineLevel="0" collapsed="false">
      <c r="B72653" s="0" t="s">
        <v>1</v>
      </c>
    </row>
    <row r="72654" customFormat="false" ht="12.8" hidden="false" customHeight="false" outlineLevel="0" collapsed="false">
      <c r="B72654" s="0" t="s">
        <v>23539</v>
      </c>
    </row>
    <row r="72655" customFormat="false" ht="12.8" hidden="false" customHeight="false" outlineLevel="0" collapsed="false">
      <c r="B72655" s="0" t="s">
        <v>23540</v>
      </c>
    </row>
    <row r="72657" customFormat="false" ht="12.8" hidden="false" customHeight="false" outlineLevel="0" collapsed="false">
      <c r="A72657" s="0" t="s">
        <v>23541</v>
      </c>
      <c r="B72657" s="0" t="str">
        <f aca="false">HYPERLINK("https://lindat.mff.cuni.cz/services/teitok/pdtc10/index.php?action=vallex&amp;frame=v-w9938f9_ZU", "zůstat (v-w9938f9_ZU)")</f>
        <v>zůstat (v-w9938f9_ZU)</v>
      </c>
      <c r="E72657" s="0" t="str">
        <f aca="false">HYPERLINK("https://lindat.mff.cuni.cz/services/SynSemClass40/SynSemClass40.html?veclass=vec01388#vec01388-ces-cm00003", "vec01388")</f>
        <v>vec01388</v>
      </c>
      <c r="F72657" s="0" t="s">
        <v>13779</v>
      </c>
    </row>
    <row r="72658" customFormat="false" ht="12.8" hidden="false" customHeight="false" outlineLevel="0" collapsed="false">
      <c r="B72658" s="0" t="s">
        <v>1</v>
      </c>
      <c r="E72658" s="0" t="s">
        <v>957</v>
      </c>
      <c r="F72658" s="0" t="s">
        <v>13780</v>
      </c>
    </row>
    <row r="72659" customFormat="false" ht="12.8" hidden="false" customHeight="false" outlineLevel="0" collapsed="false">
      <c r="B72659" s="0" t="s">
        <v>23542</v>
      </c>
    </row>
    <row r="72661" customFormat="false" ht="12.8" hidden="false" customHeight="false" outlineLevel="0" collapsed="false">
      <c r="A72661" s="0" t="s">
        <v>23543</v>
      </c>
      <c r="B72661" s="0" t="str">
        <f aca="false">HYPERLINK("https://lindat.mff.cuni.cz/services/teitok/pdtc10/index.php?action=vallex&amp;frame=v-w9938hsa_39", "zůstat (v-w9938hsa_39)")</f>
        <v>zůstat (v-w9938hsa_39)</v>
      </c>
    </row>
    <row r="72662" customFormat="false" ht="12.8" hidden="false" customHeight="false" outlineLevel="0" collapsed="false">
      <c r="B72662" s="0" t="s">
        <v>1</v>
      </c>
    </row>
    <row r="72663" customFormat="false" ht="12.8" hidden="false" customHeight="false" outlineLevel="0" collapsed="false">
      <c r="B72663" s="0" t="s">
        <v>5</v>
      </c>
    </row>
    <row r="72665" customFormat="false" ht="12.8" hidden="false" customHeight="false" outlineLevel="0" collapsed="false">
      <c r="A72665" s="0" t="s">
        <v>23544</v>
      </c>
      <c r="B72665" s="0" t="str">
        <f aca="false">HYPERLINK("https://lindat.mff.cuni.cz/services/teitok/pdtc10/index.php?action=vallex&amp;frame=v-w9938f10_ZU", "zůstat (v-w9938f10_ZU)")</f>
        <v>zůstat (v-w9938f10_ZU)</v>
      </c>
      <c r="E72665" s="0" t="str">
        <f aca="false">HYPERLINK("https://lindat.mff.cuni.cz/services/SynSemClass40/SynSemClass40.html?veclass=vec00199#vec00199-ces-cm00316", "vec00199")</f>
        <v>vec00199</v>
      </c>
      <c r="F72665" s="0" t="s">
        <v>1248</v>
      </c>
    </row>
    <row r="72666" customFormat="false" ht="12.8" hidden="false" customHeight="false" outlineLevel="0" collapsed="false">
      <c r="B72666" s="0" t="s">
        <v>1</v>
      </c>
      <c r="C72666" s="0" t="s">
        <v>1250</v>
      </c>
      <c r="E72666" s="0" t="s">
        <v>957</v>
      </c>
      <c r="F72666" s="0" t="s">
        <v>1251</v>
      </c>
    </row>
    <row r="72667" customFormat="false" ht="12.8" hidden="false" customHeight="false" outlineLevel="0" collapsed="false">
      <c r="B72667" s="0" t="s">
        <v>989</v>
      </c>
      <c r="C72667" s="0" t="s">
        <v>17470</v>
      </c>
      <c r="E72667" s="0" t="s">
        <v>23545</v>
      </c>
      <c r="F72667" s="0" t="s">
        <v>23546</v>
      </c>
    </row>
    <row r="72669" customFormat="false" ht="12.8" hidden="false" customHeight="false" outlineLevel="0" collapsed="false">
      <c r="A72669" s="0" t="s">
        <v>23544</v>
      </c>
      <c r="B72669" s="0" t="str">
        <f aca="false">HYPERLINK("https://lindat.mff.cuni.cz/services/teitok/pdtc10/index.php?action=vallex&amp;frame=v-w9938hsa_41", "zůstat (v-w9938hsa_41) - substituted with v-w9938f10_ZU")</f>
        <v>zůstat (v-w9938hsa_41) - substituted with v-w9938f10_ZU</v>
      </c>
    </row>
    <row r="72670" customFormat="false" ht="12.8" hidden="false" customHeight="false" outlineLevel="0" collapsed="false">
      <c r="B72670" s="0" t="s">
        <v>1</v>
      </c>
    </row>
    <row r="72671" customFormat="false" ht="12.8" hidden="false" customHeight="false" outlineLevel="0" collapsed="false">
      <c r="B72671" s="0" t="s">
        <v>989</v>
      </c>
    </row>
    <row r="72673" customFormat="false" ht="12.8" hidden="false" customHeight="false" outlineLevel="0" collapsed="false">
      <c r="A72673" s="0" t="s">
        <v>23547</v>
      </c>
      <c r="B72673" s="0" t="str">
        <f aca="false">HYPERLINK("https://lindat.mff.cuni.cz/services/teitok/pdtc10/index.php?action=vallex&amp;frame=v-w9938f12_ZU", "zůstat (v-w9938f12_ZU)")</f>
        <v>zůstat (v-w9938f12_ZU)</v>
      </c>
    </row>
    <row r="72674" customFormat="false" ht="12.8" hidden="false" customHeight="false" outlineLevel="0" collapsed="false">
      <c r="B72674" s="0" t="s">
        <v>1</v>
      </c>
    </row>
    <row r="72675" customFormat="false" ht="12.8" hidden="false" customHeight="false" outlineLevel="0" collapsed="false">
      <c r="B72675" s="0" t="s">
        <v>23548</v>
      </c>
    </row>
    <row r="72676" customFormat="false" ht="12.8" hidden="false" customHeight="false" outlineLevel="0" collapsed="false">
      <c r="B72676" s="0" t="s">
        <v>294</v>
      </c>
    </row>
    <row r="72678" customFormat="false" ht="12.8" hidden="false" customHeight="false" outlineLevel="0" collapsed="false">
      <c r="A72678" s="0" t="s">
        <v>23547</v>
      </c>
      <c r="B72678" s="0" t="str">
        <f aca="false">HYPERLINK("https://lindat.mff.cuni.cz/services/teitok/pdtc10/index.php?action=vallex&amp;frame=v-w9938hsa_40", "zůstat (v-w9938hsa_40) - substituted with v-w9938f12_ZU")</f>
        <v>zůstat (v-w9938hsa_40) - substituted with v-w9938f12_ZU</v>
      </c>
    </row>
    <row r="72679" customFormat="false" ht="12.8" hidden="false" customHeight="false" outlineLevel="0" collapsed="false">
      <c r="B72679" s="0" t="s">
        <v>1</v>
      </c>
    </row>
    <row r="72680" customFormat="false" ht="12.8" hidden="false" customHeight="false" outlineLevel="0" collapsed="false">
      <c r="B72680" s="0" t="s">
        <v>23548</v>
      </c>
    </row>
    <row r="72681" customFormat="false" ht="12.8" hidden="false" customHeight="false" outlineLevel="0" collapsed="false">
      <c r="B72681" s="0" t="s">
        <v>294</v>
      </c>
    </row>
    <row r="72683" customFormat="false" ht="12.8" hidden="false" customHeight="false" outlineLevel="0" collapsed="false">
      <c r="A72683" s="0" t="s">
        <v>23549</v>
      </c>
      <c r="B72683" s="0" t="str">
        <f aca="false">HYPERLINK("https://lindat.mff.cuni.cz/services/teitok/pdtc10/index.php?action=vallex&amp;frame=v-w9938f13_ZU", "zůstat (v-w9938f13_ZU)")</f>
        <v>zůstat (v-w9938f13_ZU)</v>
      </c>
    </row>
    <row r="72684" customFormat="false" ht="12.8" hidden="false" customHeight="false" outlineLevel="0" collapsed="false">
      <c r="B72684" s="0" t="s">
        <v>1046</v>
      </c>
    </row>
    <row r="72685" customFormat="false" ht="12.8" hidden="false" customHeight="false" outlineLevel="0" collapsed="false">
      <c r="B72685" s="0" t="s">
        <v>6018</v>
      </c>
    </row>
    <row r="72686" customFormat="false" ht="12.8" hidden="false" customHeight="false" outlineLevel="0" collapsed="false">
      <c r="B72686" s="0" t="s">
        <v>186</v>
      </c>
    </row>
    <row r="72688" customFormat="false" ht="12.8" hidden="false" customHeight="false" outlineLevel="0" collapsed="false">
      <c r="A72688" s="0" t="s">
        <v>23550</v>
      </c>
      <c r="B72688" s="0" t="str">
        <f aca="false">HYPERLINK("https://lindat.mff.cuni.cz/services/teitok/pdtc10/index.php?action=vallex&amp;frame=v-w9938hsa_38", "zůstat (v-w9938hsa_38)")</f>
        <v>zůstat (v-w9938hsa_38)</v>
      </c>
    </row>
    <row r="72689" customFormat="false" ht="12.8" hidden="false" customHeight="false" outlineLevel="0" collapsed="false">
      <c r="B72689" s="0" t="s">
        <v>1</v>
      </c>
    </row>
    <row r="72690" customFormat="false" ht="12.8" hidden="false" customHeight="false" outlineLevel="0" collapsed="false">
      <c r="B72690" s="0" t="s">
        <v>721</v>
      </c>
    </row>
    <row r="72691" customFormat="false" ht="12.8" hidden="false" customHeight="false" outlineLevel="0" collapsed="false">
      <c r="B72691" s="0" t="s">
        <v>5</v>
      </c>
    </row>
    <row r="72693" customFormat="false" ht="12.8" hidden="false" customHeight="false" outlineLevel="0" collapsed="false">
      <c r="A72693" s="0" t="s">
        <v>23551</v>
      </c>
      <c r="B72693" s="0" t="str">
        <f aca="false">HYPERLINK("https://lindat.mff.cuni.cz/services/teitok/pdtc10/index.php?action=vallex&amp;frame=v-w9939f9", "zůstávat (v-w9939f9)")</f>
        <v>zůstávat (v-w9939f9)</v>
      </c>
    </row>
    <row r="72694" customFormat="false" ht="12.8" hidden="false" customHeight="false" outlineLevel="0" collapsed="false">
      <c r="B72694" s="0" t="s">
        <v>1</v>
      </c>
    </row>
    <row r="72695" customFormat="false" ht="12.8" hidden="false" customHeight="false" outlineLevel="0" collapsed="false">
      <c r="B72695" s="0" t="s">
        <v>6376</v>
      </c>
    </row>
    <row r="72697" customFormat="false" ht="12.8" hidden="false" customHeight="false" outlineLevel="0" collapsed="false">
      <c r="A72697" s="0" t="s">
        <v>23552</v>
      </c>
      <c r="B72697" s="0" t="str">
        <f aca="false">HYPERLINK("https://lindat.mff.cuni.cz/services/teitok/pdtc10/index.php?action=vallex&amp;frame=v-w9939f8", "zůstávat (v-w9939f8)")</f>
        <v>zůstávat (v-w9939f8)</v>
      </c>
    </row>
    <row r="72698" customFormat="false" ht="12.8" hidden="false" customHeight="false" outlineLevel="0" collapsed="false">
      <c r="B72698" s="0" t="s">
        <v>1</v>
      </c>
    </row>
    <row r="72699" customFormat="false" ht="12.8" hidden="false" customHeight="false" outlineLevel="0" collapsed="false">
      <c r="B72699" s="0" t="s">
        <v>23530</v>
      </c>
    </row>
    <row r="72701" customFormat="false" ht="12.8" hidden="false" customHeight="false" outlineLevel="0" collapsed="false">
      <c r="A72701" s="0" t="s">
        <v>23553</v>
      </c>
      <c r="B72701" s="0" t="str">
        <f aca="false">HYPERLINK("https://lindat.mff.cuni.cz/services/teitok/pdtc10/index.php?action=vallex&amp;frame=v-w9939f10_ZU", "zůstávat (v-w9939f10_ZU)")</f>
        <v>zůstávat (v-w9939f10_ZU)</v>
      </c>
      <c r="E72701" s="0" t="str">
        <f aca="false">HYPERLINK("https://lindat.mff.cuni.cz/services/SynSemClass40/SynSemClass40.html?veclass=vec00199#vec00199-ces-cm00297", "vec00199")</f>
        <v>vec00199</v>
      </c>
      <c r="F72701" s="0" t="s">
        <v>1248</v>
      </c>
    </row>
    <row r="72702" customFormat="false" ht="12.8" hidden="false" customHeight="false" outlineLevel="0" collapsed="false">
      <c r="B72702" s="0" t="s">
        <v>23554</v>
      </c>
      <c r="C72702" s="0" t="s">
        <v>1250</v>
      </c>
      <c r="E72702" s="0" t="s">
        <v>957</v>
      </c>
      <c r="F72702" s="0" t="s">
        <v>1251</v>
      </c>
    </row>
    <row r="72703" customFormat="false" ht="12.8" hidden="false" customHeight="false" outlineLevel="0" collapsed="false">
      <c r="B72703" s="0" t="s">
        <v>23555</v>
      </c>
      <c r="C72703" s="0" t="s">
        <v>1253</v>
      </c>
      <c r="E72703" s="0" t="s">
        <v>354</v>
      </c>
      <c r="F72703" s="0" t="s">
        <v>1254</v>
      </c>
    </row>
    <row r="72705" customFormat="false" ht="12.8" hidden="false" customHeight="false" outlineLevel="0" collapsed="false">
      <c r="A72705" s="0" t="s">
        <v>23553</v>
      </c>
      <c r="B72705" s="0" t="str">
        <f aca="false">HYPERLINK("https://lindat.mff.cuni.cz/services/teitok/pdtc10/index.php?action=vallex&amp;frame=v-w9939f1", "zůstávat (v-w9939f1) - substituted with v-w9939f10_ZU")</f>
        <v>zůstávat (v-w9939f1) - substituted with v-w9939f10_ZU</v>
      </c>
    </row>
    <row r="72706" customFormat="false" ht="12.8" hidden="false" customHeight="false" outlineLevel="0" collapsed="false">
      <c r="B72706" s="0" t="s">
        <v>23554</v>
      </c>
    </row>
    <row r="72707" customFormat="false" ht="12.8" hidden="false" customHeight="false" outlineLevel="0" collapsed="false">
      <c r="B72707" s="0" t="s">
        <v>23555</v>
      </c>
    </row>
    <row r="72709" customFormat="false" ht="12.8" hidden="false" customHeight="false" outlineLevel="0" collapsed="false">
      <c r="A72709" s="0" t="s">
        <v>23556</v>
      </c>
      <c r="B72709" s="0" t="str">
        <f aca="false">HYPERLINK("https://lindat.mff.cuni.cz/services/teitok/pdtc10/index.php?action=vallex&amp;frame=v-w9939f3", "zůstávat (v-w9939f3)")</f>
        <v>zůstávat (v-w9939f3)</v>
      </c>
    </row>
    <row r="72710" customFormat="false" ht="12.8" hidden="false" customHeight="false" outlineLevel="0" collapsed="false">
      <c r="B72710" s="0" t="s">
        <v>1</v>
      </c>
    </row>
    <row r="72711" customFormat="false" ht="12.8" hidden="false" customHeight="false" outlineLevel="0" collapsed="false">
      <c r="B72711" s="0" t="s">
        <v>763</v>
      </c>
    </row>
    <row r="72713" customFormat="false" ht="12.8" hidden="false" customHeight="false" outlineLevel="0" collapsed="false">
      <c r="A72713" s="0" t="s">
        <v>23557</v>
      </c>
      <c r="B72713" s="0" t="str">
        <f aca="false">HYPERLINK("https://lindat.mff.cuni.cz/services/teitok/pdtc10/index.php?action=vallex&amp;frame=v-w9939f2", "zůstávat (v-w9939f2)")</f>
        <v>zůstávat (v-w9939f2)</v>
      </c>
      <c r="E72713" s="0" t="str">
        <f aca="false">HYPERLINK("https://lindat.mff.cuni.cz/services/SynSemClass40/SynSemClass40.html?veclass=vec00394#vec00394-ces-cm00042", "vec00394")</f>
        <v>vec00394</v>
      </c>
      <c r="F72713" s="0" t="s">
        <v>3338</v>
      </c>
    </row>
    <row r="72714" customFormat="false" ht="12.8" hidden="false" customHeight="false" outlineLevel="0" collapsed="false">
      <c r="B72714" s="0" t="s">
        <v>1</v>
      </c>
      <c r="C72714" s="0" t="s">
        <v>3345</v>
      </c>
      <c r="E72714" s="0" t="s">
        <v>11</v>
      </c>
      <c r="F72714" s="0" t="s">
        <v>3340</v>
      </c>
    </row>
    <row r="72715" customFormat="false" ht="12.8" hidden="false" customHeight="false" outlineLevel="0" collapsed="false">
      <c r="B72715" s="0" t="s">
        <v>5</v>
      </c>
      <c r="C72715" s="0" t="s">
        <v>3346</v>
      </c>
      <c r="E72715" s="0" t="s">
        <v>3254</v>
      </c>
      <c r="F72715" s="0" t="s">
        <v>3343</v>
      </c>
    </row>
    <row r="72717" customFormat="false" ht="12.8" hidden="false" customHeight="false" outlineLevel="0" collapsed="false">
      <c r="A72717" s="0" t="s">
        <v>23558</v>
      </c>
      <c r="B72717" s="0" t="str">
        <f aca="false">HYPERLINK("https://lindat.mff.cuni.cz/services/teitok/pdtc10/index.php?action=vallex&amp;frame=v-w9939f4", "zůstávat (v-w9939f4)")</f>
        <v>zůstávat (v-w9939f4)</v>
      </c>
      <c r="E72717" s="0" t="str">
        <f aca="false">HYPERLINK("https://lindat.mff.cuni.cz/services/SynSemClass40/SynSemClass40.html?veclass=vec00199#vec00199-ces-cm00296", "vec00199")</f>
        <v>vec00199</v>
      </c>
      <c r="F72717" s="0" t="s">
        <v>1248</v>
      </c>
    </row>
    <row r="72718" customFormat="false" ht="12.8" hidden="false" customHeight="false" outlineLevel="0" collapsed="false">
      <c r="B72718" s="0" t="s">
        <v>1</v>
      </c>
      <c r="C72718" s="0" t="s">
        <v>1250</v>
      </c>
      <c r="E72718" s="0" t="s">
        <v>957</v>
      </c>
      <c r="F72718" s="0" t="s">
        <v>1251</v>
      </c>
    </row>
    <row r="72719" customFormat="false" ht="12.8" hidden="false" customHeight="false" outlineLevel="0" collapsed="false">
      <c r="B72719" s="0" t="s">
        <v>6510</v>
      </c>
      <c r="C72719" s="0" t="s">
        <v>15737</v>
      </c>
      <c r="E72719" s="0" t="s">
        <v>23534</v>
      </c>
      <c r="F72719" s="0" t="s">
        <v>23535</v>
      </c>
    </row>
    <row r="72720" customFormat="false" ht="12.8" hidden="false" customHeight="false" outlineLevel="0" collapsed="false">
      <c r="B72720" s="0" t="s">
        <v>8124</v>
      </c>
      <c r="C72720" s="0" t="s">
        <v>15740</v>
      </c>
      <c r="E72720" s="0" t="s">
        <v>23534</v>
      </c>
      <c r="F72720" s="0" t="s">
        <v>23535</v>
      </c>
    </row>
    <row r="72721" customFormat="false" ht="12.8" hidden="false" customHeight="false" outlineLevel="0" collapsed="false">
      <c r="B72721" s="0" t="s">
        <v>648</v>
      </c>
      <c r="C72721" s="0" t="s">
        <v>15741</v>
      </c>
      <c r="E72721" s="0" t="s">
        <v>23534</v>
      </c>
      <c r="F72721" s="0" t="s">
        <v>23535</v>
      </c>
    </row>
    <row r="72723" customFormat="false" ht="12.8" hidden="false" customHeight="false" outlineLevel="0" collapsed="false">
      <c r="A72723" s="0" t="s">
        <v>23559</v>
      </c>
      <c r="B72723" s="0" t="str">
        <f aca="false">HYPERLINK("https://lindat.mff.cuni.cz/services/teitok/pdtc10/index.php?action=vallex&amp;frame=v-w9939f7", "zůstávat (v-w9939f7)")</f>
        <v>zůstávat (v-w9939f7)</v>
      </c>
    </row>
    <row r="72724" customFormat="false" ht="12.8" hidden="false" customHeight="false" outlineLevel="0" collapsed="false">
      <c r="B72724" s="0" t="s">
        <v>23560</v>
      </c>
    </row>
    <row r="72726" customFormat="false" ht="12.8" hidden="false" customHeight="false" outlineLevel="0" collapsed="false">
      <c r="A72726" s="0" t="s">
        <v>23561</v>
      </c>
      <c r="B72726" s="0" t="str">
        <f aca="false">HYPERLINK("https://lindat.mff.cuni.cz/services/teitok/pdtc10/index.php?action=vallex&amp;frame=v-w9939f6", "zůstávat (v-w9939f6)")</f>
        <v>zůstávat (v-w9939f6)</v>
      </c>
    </row>
    <row r="72727" customFormat="false" ht="12.8" hidden="false" customHeight="false" outlineLevel="0" collapsed="false">
      <c r="B72727" s="0" t="s">
        <v>1</v>
      </c>
    </row>
    <row r="72728" customFormat="false" ht="12.8" hidden="false" customHeight="false" outlineLevel="0" collapsed="false">
      <c r="B72728" s="0" t="s">
        <v>23562</v>
      </c>
    </row>
    <row r="72730" customFormat="false" ht="12.8" hidden="false" customHeight="false" outlineLevel="0" collapsed="false">
      <c r="A72730" s="0" t="s">
        <v>23563</v>
      </c>
      <c r="B72730" s="0" t="str">
        <f aca="false">HYPERLINK("https://lindat.mff.cuni.cz/services/teitok/pdtc10/index.php?action=vallex&amp;frame=v-w9939f5", "zůstávat (v-w9939f5)")</f>
        <v>zůstávat (v-w9939f5)</v>
      </c>
    </row>
    <row r="72731" customFormat="false" ht="12.8" hidden="false" customHeight="false" outlineLevel="0" collapsed="false">
      <c r="B72731" s="0" t="s">
        <v>1</v>
      </c>
    </row>
    <row r="72732" customFormat="false" ht="12.8" hidden="false" customHeight="false" outlineLevel="0" collapsed="false">
      <c r="B72732" s="0" t="s">
        <v>1044</v>
      </c>
    </row>
    <row r="72734" customFormat="false" ht="12.8" hidden="false" customHeight="false" outlineLevel="0" collapsed="false">
      <c r="A72734" s="0" t="s">
        <v>23564</v>
      </c>
      <c r="B72734" s="0" t="str">
        <f aca="false">HYPERLINK("https://lindat.mff.cuni.cz/services/teitok/pdtc10/index.php?action=vallex&amp;frame=v-w9939f13_ZU", "zůstávat (v-w9939f13_ZU)")</f>
        <v>zůstávat (v-w9939f13_ZU)</v>
      </c>
    </row>
    <row r="72735" customFormat="false" ht="12.8" hidden="false" customHeight="false" outlineLevel="0" collapsed="false">
      <c r="B72735" s="0" t="s">
        <v>23565</v>
      </c>
    </row>
    <row r="72736" customFormat="false" ht="12.8" hidden="false" customHeight="false" outlineLevel="0" collapsed="false">
      <c r="B72736" s="0" t="s">
        <v>16496</v>
      </c>
    </row>
    <row r="72738" customFormat="false" ht="12.8" hidden="false" customHeight="false" outlineLevel="0" collapsed="false">
      <c r="A72738" s="0" t="s">
        <v>23564</v>
      </c>
      <c r="B72738" s="0" t="str">
        <f aca="false">HYPERLINK("https://lindat.mff.cuni.cz/services/teitok/pdtc10/index.php?action=vallex&amp;frame=v-w9939f11_ZU", "zůstávat (v-w9939f11_ZU) - substituted with v-w9939f13_ZU")</f>
        <v>zůstávat (v-w9939f11_ZU) - substituted with v-w9939f13_ZU</v>
      </c>
    </row>
    <row r="72739" customFormat="false" ht="12.8" hidden="false" customHeight="false" outlineLevel="0" collapsed="false">
      <c r="B72739" s="0" t="s">
        <v>23565</v>
      </c>
    </row>
    <row r="72740" customFormat="false" ht="12.8" hidden="false" customHeight="false" outlineLevel="0" collapsed="false">
      <c r="B72740" s="0" t="s">
        <v>16496</v>
      </c>
    </row>
    <row r="72742" customFormat="false" ht="12.8" hidden="false" customHeight="false" outlineLevel="0" collapsed="false">
      <c r="A72742" s="0" t="s">
        <v>23564</v>
      </c>
      <c r="B72742" s="0" t="str">
        <f aca="false">HYPERLINK("https://lindat.mff.cuni.cz/services/teitok/pdtc10/index.php?action=vallex&amp;frame=v-w9939f12_ZU", "zůstávat (v-w9939f12_ZU) - substituted with v-w9939f13_ZU")</f>
        <v>zůstávat (v-w9939f12_ZU) - substituted with v-w9939f13_ZU</v>
      </c>
    </row>
    <row r="72743" customFormat="false" ht="12.8" hidden="false" customHeight="false" outlineLevel="0" collapsed="false">
      <c r="B72743" s="0" t="s">
        <v>23565</v>
      </c>
    </row>
    <row r="72744" customFormat="false" ht="12.8" hidden="false" customHeight="false" outlineLevel="0" collapsed="false">
      <c r="B72744" s="0" t="s">
        <v>16496</v>
      </c>
    </row>
    <row r="72746" customFormat="false" ht="12.8" hidden="false" customHeight="false" outlineLevel="0" collapsed="false">
      <c r="A72746" s="0" t="s">
        <v>23566</v>
      </c>
      <c r="B72746" s="0" t="str">
        <f aca="false">HYPERLINK("https://lindat.mff.cuni.cz/services/teitok/pdtc10/index.php?action=vallex&amp;frame=v-w9939hsa_128", "zůstávat (v-w9939hsa_128)")</f>
        <v>zůstávat (v-w9939hsa_128)</v>
      </c>
    </row>
    <row r="72747" customFormat="false" ht="12.8" hidden="false" customHeight="false" outlineLevel="0" collapsed="false">
      <c r="B72747" s="0" t="s">
        <v>1</v>
      </c>
    </row>
    <row r="72748" customFormat="false" ht="12.8" hidden="false" customHeight="false" outlineLevel="0" collapsed="false">
      <c r="B72748" s="0" t="s">
        <v>23567</v>
      </c>
    </row>
    <row r="72750" customFormat="false" ht="12.8" hidden="false" customHeight="false" outlineLevel="0" collapsed="false">
      <c r="A72750" s="0" t="s">
        <v>23568</v>
      </c>
      <c r="B72750" s="0" t="str">
        <f aca="false">HYPERLINK("https://lindat.mff.cuni.cz/services/teitok/pdtc10/index.php?action=vallex&amp;frame=v-w10012f2_ZU", "zželet se (v-w10012f2_ZU)")</f>
        <v>zželet se (v-w10012f2_ZU)</v>
      </c>
    </row>
    <row r="72751" customFormat="false" ht="12.8" hidden="false" customHeight="false" outlineLevel="0" collapsed="false">
      <c r="B72751" s="0" t="s">
        <v>804</v>
      </c>
    </row>
    <row r="72752" customFormat="false" ht="12.8" hidden="false" customHeight="false" outlineLevel="0" collapsed="false">
      <c r="B72752" s="0" t="s">
        <v>3106</v>
      </c>
    </row>
    <row r="72754" customFormat="false" ht="12.8" hidden="false" customHeight="false" outlineLevel="0" collapsed="false">
      <c r="A72754" s="0" t="s">
        <v>23568</v>
      </c>
      <c r="B72754" s="0" t="str">
        <f aca="false">HYPERLINK("https://lindat.mff.cuni.cz/services/teitok/pdtc10/index.php?action=vallex&amp;frame=v-w10012f1", "zželet se (v-w10012f1) - substituted with v-w10012f2_ZU")</f>
        <v>zželet se (v-w10012f1) - substituted with v-w10012f2_ZU</v>
      </c>
    </row>
    <row r="72755" customFormat="false" ht="12.8" hidden="false" customHeight="false" outlineLevel="0" collapsed="false">
      <c r="B72755" s="0" t="s">
        <v>804</v>
      </c>
    </row>
    <row r="72756" customFormat="false" ht="12.8" hidden="false" customHeight="false" outlineLevel="0" collapsed="false">
      <c r="B72756" s="0" t="s">
        <v>3106</v>
      </c>
    </row>
    <row r="72758" customFormat="false" ht="12.8" hidden="false" customHeight="false" outlineLevel="0" collapsed="false">
      <c r="A72758" s="0" t="s">
        <v>23568</v>
      </c>
      <c r="B72758" s="0" t="str">
        <f aca="false">HYPERLINK("https://lindat.mff.cuni.cz/services/teitok/pdtc10/index.php?action=vallex&amp;frame=v-w10012hsa_1092", "zželet se (v-w10012hsa_1092) - substituted with v-w10012f2_ZU")</f>
        <v>zželet se (v-w10012hsa_1092) - substituted with v-w10012f2_ZU</v>
      </c>
    </row>
    <row r="72759" customFormat="false" ht="12.8" hidden="false" customHeight="false" outlineLevel="0" collapsed="false">
      <c r="B72759" s="0" t="s">
        <v>804</v>
      </c>
    </row>
    <row r="72760" customFormat="false" ht="12.8" hidden="false" customHeight="false" outlineLevel="0" collapsed="false">
      <c r="B72760" s="0" t="s">
        <v>3106</v>
      </c>
    </row>
    <row r="72762" customFormat="false" ht="12.8" hidden="false" customHeight="false" outlineLevel="0" collapsed="false">
      <c r="A72762" s="0" t="s">
        <v>23569</v>
      </c>
      <c r="B72762" s="0" t="str">
        <f aca="false">HYPERLINK("https://lindat.mff.cuni.cz/services/teitok/pdtc10/index.php?action=vallex&amp;frame=v-w10554f2", "úpět (v-w10554f2)")</f>
        <v>úpět (v-w10554f2)</v>
      </c>
    </row>
    <row r="72763" customFormat="false" ht="12.8" hidden="false" customHeight="false" outlineLevel="0" collapsed="false">
      <c r="B72763" s="0" t="s">
        <v>1</v>
      </c>
    </row>
    <row r="72764" customFormat="false" ht="12.8" hidden="false" customHeight="false" outlineLevel="0" collapsed="false">
      <c r="B72764" s="0" t="s">
        <v>23570</v>
      </c>
    </row>
    <row r="72766" customFormat="false" ht="12.8" hidden="false" customHeight="false" outlineLevel="0" collapsed="false">
      <c r="A72766" s="0" t="s">
        <v>23571</v>
      </c>
      <c r="B72766" s="0" t="str">
        <f aca="false">HYPERLINK("https://lindat.mff.cuni.cz/services/teitok/pdtc10/index.php?action=vallex&amp;frame=v-w7261f1", "úročit (v-w7261f1)")</f>
        <v>úročit (v-w7261f1)</v>
      </c>
    </row>
    <row r="72767" customFormat="false" ht="12.8" hidden="false" customHeight="false" outlineLevel="0" collapsed="false">
      <c r="B72767" s="0" t="s">
        <v>1</v>
      </c>
    </row>
    <row r="72768" customFormat="false" ht="12.8" hidden="false" customHeight="false" outlineLevel="0" collapsed="false">
      <c r="B72768" s="0" t="s">
        <v>8</v>
      </c>
    </row>
    <row r="72770" customFormat="false" ht="12.8" hidden="false" customHeight="false" outlineLevel="0" collapsed="false">
      <c r="A72770" s="0" t="s">
        <v>23572</v>
      </c>
      <c r="B72770" s="0" t="str">
        <f aca="false">HYPERLINK("https://lindat.mff.cuni.cz/services/teitok/pdtc10/index.php?action=vallex&amp;frame=v-w7343f1", "ústit (v-w7343f1)")</f>
        <v>ústit (v-w7343f1)</v>
      </c>
    </row>
    <row r="72771" customFormat="false" ht="12.8" hidden="false" customHeight="false" outlineLevel="0" collapsed="false">
      <c r="B72771" s="0" t="s">
        <v>1</v>
      </c>
    </row>
    <row r="72772" customFormat="false" ht="12.8" hidden="false" customHeight="false" outlineLevel="0" collapsed="false">
      <c r="B72772" s="0" t="s">
        <v>2715</v>
      </c>
    </row>
    <row r="72774" customFormat="false" ht="12.8" hidden="false" customHeight="false" outlineLevel="0" collapsed="false">
      <c r="A72774" s="0" t="s">
        <v>23573</v>
      </c>
      <c r="B72774" s="0" t="str">
        <f aca="false">HYPERLINK("https://lindat.mff.cuni.cz/services/teitok/pdtc10/index.php?action=vallex&amp;frame=v-w7343f2", "ústit (v-w7343f2)")</f>
        <v>ústit (v-w7343f2)</v>
      </c>
    </row>
    <row r="72775" customFormat="false" ht="12.8" hidden="false" customHeight="false" outlineLevel="0" collapsed="false">
      <c r="B72775" s="0" t="s">
        <v>1</v>
      </c>
    </row>
    <row r="72776" customFormat="false" ht="12.8" hidden="false" customHeight="false" outlineLevel="0" collapsed="false">
      <c r="B72776" s="0" t="s">
        <v>164</v>
      </c>
    </row>
    <row r="72778" customFormat="false" ht="12.8" hidden="false" customHeight="false" outlineLevel="0" collapsed="false">
      <c r="A72778" s="0" t="s">
        <v>23574</v>
      </c>
      <c r="B72778" s="0" t="str">
        <f aca="false">HYPERLINK("https://lindat.mff.cuni.cz/services/teitok/pdtc10/index.php?action=vallex&amp;frame=v-w7393f1", "útočit (v-w7393f1)")</f>
        <v>útočit (v-w7393f1)</v>
      </c>
      <c r="E72778" s="0" t="str">
        <f aca="false">HYPERLINK("https://lindat.mff.cuni.cz/services/SynSemClass40/SynSemClass40.html?veclass=vec00441#vec00441-ces-cm00007", "vec00441")</f>
        <v>vec00441</v>
      </c>
      <c r="F72778" s="0" t="s">
        <v>194</v>
      </c>
    </row>
    <row r="72779" customFormat="false" ht="12.8" hidden="false" customHeight="false" outlineLevel="0" collapsed="false">
      <c r="B72779" s="0" t="s">
        <v>1</v>
      </c>
      <c r="C72779" s="0" t="s">
        <v>195</v>
      </c>
      <c r="E72779" s="0" t="s">
        <v>196</v>
      </c>
      <c r="F72779" s="0" t="s">
        <v>197</v>
      </c>
    </row>
    <row r="72780" customFormat="false" ht="12.8" hidden="false" customHeight="false" outlineLevel="0" collapsed="false">
      <c r="B72780" s="0" t="s">
        <v>9931</v>
      </c>
      <c r="C72780" s="0" t="s">
        <v>198</v>
      </c>
      <c r="E72780" s="0" t="s">
        <v>199</v>
      </c>
      <c r="F72780" s="0" t="s">
        <v>200</v>
      </c>
    </row>
    <row r="72782" customFormat="false" ht="12.8" hidden="false" customHeight="false" outlineLevel="0" collapsed="false">
      <c r="A72782" s="0" t="s">
        <v>23575</v>
      </c>
      <c r="B72782" s="0" t="str">
        <f aca="false">HYPERLINK("https://lindat.mff.cuni.cz/services/teitok/pdtc10/index.php?action=vallex&amp;frame=v-w7443f1", "úvěrovat (v-w7443f1)")</f>
        <v>úvěrovat (v-w7443f1)</v>
      </c>
      <c r="E72782" s="0" t="str">
        <f aca="false">HYPERLINK("https://lindat.mff.cuni.cz/services/SynSemClass40/SynSemClass40.html?veclass=vec01535#vec01535-ces-cm00148", "vec01535")</f>
        <v>vec01535</v>
      </c>
      <c r="F72782" s="0" t="s">
        <v>11488</v>
      </c>
    </row>
    <row r="72783" customFormat="false" ht="12.8" hidden="false" customHeight="false" outlineLevel="0" collapsed="false">
      <c r="B72783" s="0" t="s">
        <v>1</v>
      </c>
      <c r="C72783" s="0" t="s">
        <v>23576</v>
      </c>
      <c r="E72783" s="0" t="s">
        <v>11490</v>
      </c>
      <c r="F72783" s="0" t="s">
        <v>11491</v>
      </c>
    </row>
    <row r="72784" customFormat="false" ht="12.8" hidden="false" customHeight="false" outlineLevel="0" collapsed="false">
      <c r="B72784" s="0" t="s">
        <v>8</v>
      </c>
      <c r="C72784" s="0" t="s">
        <v>23577</v>
      </c>
      <c r="E72784" s="0" t="s">
        <v>4565</v>
      </c>
      <c r="F72784" s="0" t="s">
        <v>11493</v>
      </c>
    </row>
    <row r="72786" customFormat="false" ht="12.8" hidden="false" customHeight="false" outlineLevel="0" collapsed="false">
      <c r="A72786" s="0" t="s">
        <v>23578</v>
      </c>
      <c r="B72786" s="0" t="str">
        <f aca="false">HYPERLINK("https://lindat.mff.cuni.cz/services/teitok/pdtc10/index.php?action=vallex&amp;frame=v-w6995f1", "účastnit se (v-w6995f1)")</f>
        <v>účastnit se (v-w6995f1)</v>
      </c>
      <c r="E72786" s="0" t="str">
        <f aca="false">HYPERLINK("https://lindat.mff.cuni.cz/services/SynSemClass40/SynSemClass40.html?veclass=vec00067#vec00067-ces-cm00210", "vec00067")</f>
        <v>vec00067</v>
      </c>
      <c r="F72786" s="0" t="s">
        <v>126</v>
      </c>
      <c r="H72786" s="0" t="str">
        <f aca="false">HYPERLINK("https://lindat.mff.cuni.cz/services/SynSemClass40/SynSemClass40.html?veclass=vec01458#vec01458-ces-cm00066", "vec01458")</f>
        <v>vec01458</v>
      </c>
      <c r="I72786" s="0" t="s">
        <v>127</v>
      </c>
    </row>
    <row r="72787" customFormat="false" ht="12.8" hidden="false" customHeight="false" outlineLevel="0" collapsed="false">
      <c r="B72787" s="0" t="s">
        <v>1</v>
      </c>
      <c r="C72787" s="0" t="s">
        <v>128</v>
      </c>
      <c r="E72787" s="0" t="s">
        <v>11</v>
      </c>
      <c r="F72787" s="0" t="s">
        <v>129</v>
      </c>
      <c r="H72787" s="0" t="s">
        <v>31</v>
      </c>
      <c r="I72787" s="0" t="s">
        <v>130</v>
      </c>
    </row>
    <row r="72788" customFormat="false" ht="12.8" hidden="false" customHeight="false" outlineLevel="0" collapsed="false">
      <c r="B72788" s="0" t="s">
        <v>23502</v>
      </c>
      <c r="C72788" s="0" t="s">
        <v>21216</v>
      </c>
      <c r="E72788" s="0" t="s">
        <v>188</v>
      </c>
      <c r="F72788" s="0" t="s">
        <v>189</v>
      </c>
      <c r="H72788" s="0" t="s">
        <v>14</v>
      </c>
      <c r="I72788" s="0" t="s">
        <v>288</v>
      </c>
    </row>
    <row r="72790" customFormat="false" ht="12.8" hidden="false" customHeight="false" outlineLevel="0" collapsed="false">
      <c r="A72790" s="0" t="s">
        <v>23579</v>
      </c>
      <c r="B72790" s="0" t="str">
        <f aca="false">HYPERLINK("https://lindat.mff.cuni.cz/services/teitok/pdtc10/index.php?action=vallex&amp;frame=v-w7001f1", "účinkovat (v-w7001f1)")</f>
        <v>účinkovat (v-w7001f1)</v>
      </c>
      <c r="E72790" s="0" t="str">
        <f aca="false">HYPERLINK("https://lindat.mff.cuni.cz/services/SynSemClass40/SynSemClass40.html?veclass=vec00611#vec00611-ces-cm00091", "vec00611")</f>
        <v>vec00611</v>
      </c>
      <c r="F72790" s="0" t="s">
        <v>1828</v>
      </c>
      <c r="H72790" s="0" t="str">
        <f aca="false">HYPERLINK("https://lindat.mff.cuni.cz/services/SynSemClass40/SynSemClass40.html?veclass=vec01493#vec01493-ces-cm00034", "vec01493")</f>
        <v>vec01493</v>
      </c>
      <c r="I72790" s="0" t="s">
        <v>4506</v>
      </c>
    </row>
    <row r="72791" customFormat="false" ht="12.8" hidden="false" customHeight="false" outlineLevel="0" collapsed="false">
      <c r="B72791" s="0" t="s">
        <v>1</v>
      </c>
      <c r="C72791" s="0" t="s">
        <v>20178</v>
      </c>
      <c r="E72791" s="0" t="s">
        <v>1830</v>
      </c>
      <c r="F72791" s="0" t="s">
        <v>1831</v>
      </c>
      <c r="H72791" s="0" t="s">
        <v>31</v>
      </c>
      <c r="I72791" s="0" t="s">
        <v>4507</v>
      </c>
    </row>
    <row r="72792" customFormat="false" ht="12.8" hidden="false" customHeight="false" outlineLevel="0" collapsed="false">
      <c r="B72792" s="0" t="s">
        <v>5</v>
      </c>
      <c r="C72792" s="0" t="s">
        <v>20179</v>
      </c>
      <c r="E72792" s="0" t="s">
        <v>20180</v>
      </c>
      <c r="F72792" s="0" t="s">
        <v>20181</v>
      </c>
      <c r="H72792" s="0" t="s">
        <v>3254</v>
      </c>
      <c r="I72792" s="0" t="s">
        <v>3255</v>
      </c>
    </row>
    <row r="72794" customFormat="false" ht="12.8" hidden="false" customHeight="false" outlineLevel="0" collapsed="false">
      <c r="A72794" s="0" t="s">
        <v>23580</v>
      </c>
      <c r="B72794" s="0" t="str">
        <f aca="false">HYPERLINK("https://lindat.mff.cuni.cz/services/teitok/pdtc10/index.php?action=vallex&amp;frame=v-w7001f2", "účinkovat (v-w7001f2)")</f>
        <v>účinkovat (v-w7001f2)</v>
      </c>
    </row>
    <row r="72795" customFormat="false" ht="12.8" hidden="false" customHeight="false" outlineLevel="0" collapsed="false">
      <c r="B72795" s="0" t="s">
        <v>1</v>
      </c>
    </row>
    <row r="72797" customFormat="false" ht="12.8" hidden="false" customHeight="false" outlineLevel="0" collapsed="false">
      <c r="A72797" s="0" t="s">
        <v>23581</v>
      </c>
      <c r="B72797" s="0" t="str">
        <f aca="false">HYPERLINK("https://lindat.mff.cuni.cz/services/teitok/pdtc10/index.php?action=vallex&amp;frame=v-w7009f1", "účtovat (v-w7009f1)")</f>
        <v>účtovat (v-w7009f1)</v>
      </c>
      <c r="E72797" s="0" t="str">
        <f aca="false">HYPERLINK("https://lindat.mff.cuni.cz/services/SynSemClass40/SynSemClass40.html?veclass=vec00532#vec00532-ces-cm00003", "vec00532")</f>
        <v>vec00532</v>
      </c>
      <c r="F72797" s="0" t="s">
        <v>603</v>
      </c>
    </row>
    <row r="72798" customFormat="false" ht="12.8" hidden="false" customHeight="false" outlineLevel="0" collapsed="false">
      <c r="B72798" s="0" t="s">
        <v>1</v>
      </c>
      <c r="C72798" s="0" t="s">
        <v>20845</v>
      </c>
      <c r="E72798" s="0" t="s">
        <v>606</v>
      </c>
      <c r="F72798" s="0" t="s">
        <v>607</v>
      </c>
    </row>
    <row r="72799" customFormat="false" ht="12.8" hidden="false" customHeight="false" outlineLevel="0" collapsed="false">
      <c r="B72799" s="0" t="s">
        <v>8</v>
      </c>
      <c r="C72799" s="0" t="s">
        <v>20846</v>
      </c>
      <c r="E72799" s="0" t="s">
        <v>610</v>
      </c>
      <c r="F72799" s="0" t="s">
        <v>611</v>
      </c>
    </row>
    <row r="72800" customFormat="false" ht="12.8" hidden="false" customHeight="false" outlineLevel="0" collapsed="false">
      <c r="B72800" s="0" t="s">
        <v>52</v>
      </c>
      <c r="C72800" s="0" t="s">
        <v>23582</v>
      </c>
      <c r="E72800" s="0" t="s">
        <v>23583</v>
      </c>
      <c r="F72800" s="0" t="s">
        <v>23584</v>
      </c>
    </row>
    <row r="72801" customFormat="false" ht="12.8" hidden="false" customHeight="false" outlineLevel="0" collapsed="false">
      <c r="B72801" s="0" t="s">
        <v>723</v>
      </c>
      <c r="C72801" s="0" t="s">
        <v>20939</v>
      </c>
      <c r="E72801" s="0" t="s">
        <v>3418</v>
      </c>
      <c r="F72801" s="0" t="s">
        <v>20940</v>
      </c>
    </row>
    <row r="72803" customFormat="false" ht="12.8" hidden="false" customHeight="false" outlineLevel="0" collapsed="false">
      <c r="A72803" s="0" t="s">
        <v>23585</v>
      </c>
      <c r="B72803" s="0" t="str">
        <f aca="false">HYPERLINK("https://lindat.mff.cuni.cz/services/teitok/pdtc10/index.php?action=vallex&amp;frame=v-w7010f2_ZU", "účtovat si (v-w7010f2_ZU)")</f>
        <v>účtovat si (v-w7010f2_ZU)</v>
      </c>
      <c r="E72803" s="0" t="str">
        <f aca="false">HYPERLINK("https://lindat.mff.cuni.cz/services/SynSemClass40/SynSemClass40.html?veclass=vec00532#vec00532-ces-cm00004", "vec00532")</f>
        <v>vec00532</v>
      </c>
      <c r="F72803" s="0" t="s">
        <v>603</v>
      </c>
    </row>
    <row r="72804" customFormat="false" ht="12.8" hidden="false" customHeight="false" outlineLevel="0" collapsed="false">
      <c r="B72804" s="0" t="s">
        <v>1</v>
      </c>
      <c r="C72804" s="0" t="s">
        <v>20845</v>
      </c>
      <c r="E72804" s="0" t="s">
        <v>606</v>
      </c>
      <c r="F72804" s="0" t="s">
        <v>607</v>
      </c>
    </row>
    <row r="72805" customFormat="false" ht="12.8" hidden="false" customHeight="false" outlineLevel="0" collapsed="false">
      <c r="B72805" s="0" t="s">
        <v>8</v>
      </c>
      <c r="C72805" s="0" t="s">
        <v>20846</v>
      </c>
      <c r="E72805" s="0" t="s">
        <v>610</v>
      </c>
      <c r="F72805" s="0" t="s">
        <v>611</v>
      </c>
    </row>
    <row r="72806" customFormat="false" ht="12.8" hidden="false" customHeight="false" outlineLevel="0" collapsed="false">
      <c r="B72806" s="0" t="s">
        <v>276</v>
      </c>
      <c r="C72806" s="0" t="s">
        <v>23582</v>
      </c>
      <c r="E72806" s="0" t="s">
        <v>23583</v>
      </c>
      <c r="F72806" s="0" t="s">
        <v>23584</v>
      </c>
    </row>
    <row r="72807" customFormat="false" ht="12.8" hidden="false" customHeight="false" outlineLevel="0" collapsed="false">
      <c r="B72807" s="0" t="s">
        <v>723</v>
      </c>
      <c r="C72807" s="0" t="s">
        <v>20939</v>
      </c>
      <c r="E72807" s="0" t="s">
        <v>3418</v>
      </c>
      <c r="F72807" s="0" t="s">
        <v>20940</v>
      </c>
    </row>
    <row r="72809" customFormat="false" ht="12.8" hidden="false" customHeight="false" outlineLevel="0" collapsed="false">
      <c r="A72809" s="0" t="s">
        <v>23586</v>
      </c>
      <c r="B72809" s="0" t="str">
        <f aca="false">HYPERLINK("https://lindat.mff.cuni.cz/services/teitok/pdtc10/index.php?action=vallex&amp;frame=v-w7010f1", "účtovat si (v-w7010f1)")</f>
        <v>účtovat si (v-w7010f1)</v>
      </c>
      <c r="E72809" s="0" t="str">
        <f aca="false">HYPERLINK("https://lindat.mff.cuni.cz/services/SynSemClass40/SynSemClass40.html?veclass=vec00532#vec00532-ces-cm00001", "vec00532")</f>
        <v>vec00532</v>
      </c>
      <c r="F72809" s="0" t="s">
        <v>603</v>
      </c>
    </row>
    <row r="72810" customFormat="false" ht="12.8" hidden="false" customHeight="false" outlineLevel="0" collapsed="false">
      <c r="B72810" s="0" t="s">
        <v>1</v>
      </c>
      <c r="C72810" s="0" t="s">
        <v>20845</v>
      </c>
      <c r="E72810" s="0" t="s">
        <v>606</v>
      </c>
      <c r="F72810" s="0" t="s">
        <v>607</v>
      </c>
    </row>
    <row r="72811" customFormat="false" ht="12.8" hidden="false" customHeight="false" outlineLevel="0" collapsed="false">
      <c r="B72811" s="0" t="s">
        <v>8</v>
      </c>
      <c r="C72811" s="0" t="s">
        <v>20846</v>
      </c>
      <c r="E72811" s="0" t="s">
        <v>610</v>
      </c>
      <c r="F72811" s="0" t="s">
        <v>611</v>
      </c>
    </row>
    <row r="72812" customFormat="false" ht="12.8" hidden="false" customHeight="false" outlineLevel="0" collapsed="false">
      <c r="B72812" s="0" t="s">
        <v>602</v>
      </c>
      <c r="C72812" s="0" t="s">
        <v>613</v>
      </c>
      <c r="E72812" s="0" t="s">
        <v>614</v>
      </c>
      <c r="F72812" s="0" t="s">
        <v>615</v>
      </c>
    </row>
    <row r="72813" customFormat="false" ht="12.8" hidden="false" customHeight="false" outlineLevel="0" collapsed="false">
      <c r="B72813" s="0" t="s">
        <v>723</v>
      </c>
      <c r="C72813" s="0" t="s">
        <v>20939</v>
      </c>
      <c r="E72813" s="0" t="s">
        <v>3418</v>
      </c>
      <c r="F72813" s="0" t="s">
        <v>20940</v>
      </c>
    </row>
    <row r="72815" customFormat="false" ht="12.8" hidden="false" customHeight="false" outlineLevel="0" collapsed="false">
      <c r="A72815" s="0" t="s">
        <v>23587</v>
      </c>
      <c r="B72815" s="0" t="str">
        <f aca="false">HYPERLINK("https://lindat.mff.cuni.cz/services/teitok/pdtc10/index.php?action=vallex&amp;frame=v-w7269f1", "úřadovat (v-w7269f1)")</f>
        <v>úřadovat (v-w7269f1)</v>
      </c>
    </row>
    <row r="72816" customFormat="false" ht="12.8" hidden="false" customHeight="false" outlineLevel="0" collapsed="false">
      <c r="B72816" s="0" t="s">
        <v>1</v>
      </c>
    </row>
    <row r="72818" customFormat="false" ht="12.8" hidden="false" customHeight="false" outlineLevel="0" collapsed="false">
      <c r="A72818" s="0" t="s">
        <v>23588</v>
      </c>
      <c r="B72818" s="0" t="str">
        <f aca="false">HYPERLINK("https://lindat.mff.cuni.cz/services/teitok/pdtc10/index.php?action=vallex&amp;frame=v-w301f1", "čalounit (v-w301f1)")</f>
        <v>čalounit (v-w301f1)</v>
      </c>
    </row>
    <row r="72819" customFormat="false" ht="12.8" hidden="false" customHeight="false" outlineLevel="0" collapsed="false">
      <c r="B72819" s="0" t="s">
        <v>1</v>
      </c>
    </row>
    <row r="72820" customFormat="false" ht="12.8" hidden="false" customHeight="false" outlineLevel="0" collapsed="false">
      <c r="B72820" s="0" t="s">
        <v>8</v>
      </c>
    </row>
    <row r="72822" customFormat="false" ht="12.8" hidden="false" customHeight="false" outlineLevel="0" collapsed="false">
      <c r="A72822" s="0" t="s">
        <v>23589</v>
      </c>
      <c r="B72822" s="0" t="str">
        <f aca="false">HYPERLINK("https://lindat.mff.cuni.cz/services/teitok/pdtc10/index.php?action=vallex&amp;frame=v-whsa_780hsa_781", "čapnout (v-whsa_780hsa_781)")</f>
        <v>čapnout (v-whsa_780hsa_781)</v>
      </c>
    </row>
    <row r="72823" customFormat="false" ht="12.8" hidden="false" customHeight="false" outlineLevel="0" collapsed="false">
      <c r="B72823" s="0" t="s">
        <v>1</v>
      </c>
    </row>
    <row r="72824" customFormat="false" ht="12.8" hidden="false" customHeight="false" outlineLevel="0" collapsed="false">
      <c r="B72824" s="0" t="s">
        <v>8</v>
      </c>
    </row>
    <row r="72826" customFormat="false" ht="12.8" hidden="false" customHeight="false" outlineLevel="0" collapsed="false">
      <c r="A72826" s="0" t="s">
        <v>23590</v>
      </c>
      <c r="B72826" s="0" t="str">
        <f aca="false">HYPERLINK("https://lindat.mff.cuni.cz/services/teitok/pdtc10/index.php?action=vallex&amp;frame=v-w11888_ZUf1_ZU", "čapnout (v-w11888_ZUf1_ZU)")</f>
        <v>čapnout (v-w11888_ZUf1_ZU)</v>
      </c>
    </row>
    <row r="72827" customFormat="false" ht="12.8" hidden="false" customHeight="false" outlineLevel="0" collapsed="false">
      <c r="B72827" s="0" t="s">
        <v>1</v>
      </c>
    </row>
    <row r="72828" customFormat="false" ht="12.8" hidden="false" customHeight="false" outlineLevel="0" collapsed="false">
      <c r="B72828" s="0" t="s">
        <v>8</v>
      </c>
    </row>
    <row r="72830" customFormat="false" ht="12.8" hidden="false" customHeight="false" outlineLevel="0" collapsed="false">
      <c r="A72830" s="0" t="s">
        <v>23591</v>
      </c>
      <c r="B72830" s="0" t="str">
        <f aca="false">HYPERLINK("https://lindat.mff.cuni.cz/services/teitok/pdtc10/index.php?action=vallex&amp;frame=v-w303f1", "časovat (v-w303f1)")</f>
        <v>časovat (v-w303f1)</v>
      </c>
    </row>
    <row r="72831" customFormat="false" ht="12.8" hidden="false" customHeight="false" outlineLevel="0" collapsed="false">
      <c r="B72831" s="0" t="s">
        <v>1</v>
      </c>
    </row>
    <row r="72832" customFormat="false" ht="12.8" hidden="false" customHeight="false" outlineLevel="0" collapsed="false">
      <c r="B72832" s="0" t="s">
        <v>8</v>
      </c>
    </row>
    <row r="72834" customFormat="false" ht="12.8" hidden="false" customHeight="false" outlineLevel="0" collapsed="false">
      <c r="A72834" s="0" t="s">
        <v>23592</v>
      </c>
      <c r="B72834" s="0" t="str">
        <f aca="false">HYPERLINK("https://lindat.mff.cuni.cz/services/teitok/pdtc10/index.php?action=vallex&amp;frame=v-w306f1", "častovat (v-w306f1)")</f>
        <v>častovat (v-w306f1)</v>
      </c>
    </row>
    <row r="72835" customFormat="false" ht="12.8" hidden="false" customHeight="false" outlineLevel="0" collapsed="false">
      <c r="B72835" s="0" t="s">
        <v>1</v>
      </c>
    </row>
    <row r="72836" customFormat="false" ht="12.8" hidden="false" customHeight="false" outlineLevel="0" collapsed="false">
      <c r="B72836" s="0" t="s">
        <v>286</v>
      </c>
    </row>
    <row r="72837" customFormat="false" ht="12.8" hidden="false" customHeight="false" outlineLevel="0" collapsed="false">
      <c r="B72837" s="0" t="s">
        <v>98</v>
      </c>
    </row>
    <row r="72839" customFormat="false" ht="12.8" hidden="false" customHeight="false" outlineLevel="0" collapsed="false">
      <c r="A72839" s="0" t="s">
        <v>23593</v>
      </c>
      <c r="B72839" s="0" t="str">
        <f aca="false">HYPERLINK("https://lindat.mff.cuni.cz/services/teitok/pdtc10/index.php?action=vallex&amp;frame=v-w306f2", "častovat (v-w306f2)")</f>
        <v>častovat (v-w306f2)</v>
      </c>
    </row>
    <row r="72840" customFormat="false" ht="12.8" hidden="false" customHeight="false" outlineLevel="0" collapsed="false">
      <c r="B72840" s="0" t="s">
        <v>1</v>
      </c>
    </row>
    <row r="72841" customFormat="false" ht="12.8" hidden="false" customHeight="false" outlineLevel="0" collapsed="false">
      <c r="B72841" s="0" t="s">
        <v>8</v>
      </c>
    </row>
    <row r="72843" customFormat="false" ht="12.8" hidden="false" customHeight="false" outlineLevel="0" collapsed="false">
      <c r="A72843" s="0" t="s">
        <v>23594</v>
      </c>
      <c r="B72843" s="0" t="str">
        <f aca="false">HYPERLINK("https://lindat.mff.cuni.cz/services/teitok/pdtc10/index.php?action=vallex&amp;frame=v-w311f5", "čekat (v-w311f5)")</f>
        <v>čekat (v-w311f5)</v>
      </c>
    </row>
    <row r="72844" customFormat="false" ht="12.8" hidden="false" customHeight="false" outlineLevel="0" collapsed="false">
      <c r="B72844" s="0" t="s">
        <v>1</v>
      </c>
    </row>
    <row r="72845" customFormat="false" ht="12.8" hidden="false" customHeight="false" outlineLevel="0" collapsed="false">
      <c r="B72845" s="0" t="s">
        <v>721</v>
      </c>
    </row>
    <row r="72846" customFormat="false" ht="12.8" hidden="false" customHeight="false" outlineLevel="0" collapsed="false">
      <c r="B72846" s="0" t="s">
        <v>52</v>
      </c>
    </row>
    <row r="72848" customFormat="false" ht="12.8" hidden="false" customHeight="false" outlineLevel="0" collapsed="false">
      <c r="A72848" s="0" t="s">
        <v>23595</v>
      </c>
      <c r="B72848" s="0" t="str">
        <f aca="false">HYPERLINK("https://lindat.mff.cuni.cz/services/teitok/pdtc10/index.php?action=vallex&amp;frame=v-w311f1", "čekat (v-w311f1)")</f>
        <v>čekat (v-w311f1)</v>
      </c>
      <c r="E72848" s="0" t="str">
        <f aca="false">HYPERLINK("https://lindat.mff.cuni.cz/services/SynSemClass40/SynSemClass40.html?veclass=vec00002#vec00002-ces-cm00001", "vec00002")</f>
        <v>vec00002</v>
      </c>
      <c r="F72848" s="0" t="s">
        <v>10274</v>
      </c>
    </row>
    <row r="72849" customFormat="false" ht="12.8" hidden="false" customHeight="false" outlineLevel="0" collapsed="false">
      <c r="B72849" s="0" t="s">
        <v>1</v>
      </c>
      <c r="C72849" s="0" t="s">
        <v>447</v>
      </c>
      <c r="E72849" s="0" t="s">
        <v>621</v>
      </c>
      <c r="F72849" s="0" t="s">
        <v>10275</v>
      </c>
    </row>
    <row r="72850" customFormat="false" ht="12.8" hidden="false" customHeight="false" outlineLevel="0" collapsed="false">
      <c r="B72850" s="0" t="s">
        <v>23596</v>
      </c>
      <c r="C72850" s="0" t="s">
        <v>449</v>
      </c>
      <c r="E72850" s="0" t="s">
        <v>180</v>
      </c>
      <c r="F72850" s="0" t="s">
        <v>10276</v>
      </c>
    </row>
    <row r="72851" customFormat="false" ht="12.8" hidden="false" customHeight="false" outlineLevel="0" collapsed="false">
      <c r="B72851" s="0" t="s">
        <v>602</v>
      </c>
      <c r="C72851" s="0" t="s">
        <v>10277</v>
      </c>
      <c r="E72851" s="0" t="s">
        <v>2176</v>
      </c>
      <c r="F72851" s="0" t="s">
        <v>10278</v>
      </c>
    </row>
    <row r="72853" customFormat="false" ht="12.8" hidden="false" customHeight="false" outlineLevel="0" collapsed="false">
      <c r="A72853" s="0" t="s">
        <v>23597</v>
      </c>
      <c r="B72853" s="0" t="str">
        <f aca="false">HYPERLINK("https://lindat.mff.cuni.cz/services/teitok/pdtc10/index.php?action=vallex&amp;frame=v-w311f10_ZU", "čekat (v-w311f10_ZU)")</f>
        <v>čekat (v-w311f10_ZU)</v>
      </c>
    </row>
    <row r="72854" customFormat="false" ht="12.8" hidden="false" customHeight="false" outlineLevel="0" collapsed="false">
      <c r="B72854" s="0" t="s">
        <v>345</v>
      </c>
    </row>
    <row r="72855" customFormat="false" ht="12.8" hidden="false" customHeight="false" outlineLevel="0" collapsed="false">
      <c r="B72855" s="0" t="s">
        <v>23598</v>
      </c>
    </row>
    <row r="72857" customFormat="false" ht="12.8" hidden="false" customHeight="false" outlineLevel="0" collapsed="false">
      <c r="A72857" s="0" t="s">
        <v>23597</v>
      </c>
      <c r="B72857" s="0" t="str">
        <f aca="false">HYPERLINK("https://lindat.mff.cuni.cz/services/teitok/pdtc10/index.php?action=vallex&amp;frame=v-w311f2", "čekat (v-w311f2) - substituted with v-w311f10_ZU")</f>
        <v>čekat (v-w311f2) - substituted with v-w311f10_ZU</v>
      </c>
    </row>
    <row r="72858" customFormat="false" ht="12.8" hidden="false" customHeight="false" outlineLevel="0" collapsed="false">
      <c r="B72858" s="0" t="s">
        <v>345</v>
      </c>
    </row>
    <row r="72859" customFormat="false" ht="12.8" hidden="false" customHeight="false" outlineLevel="0" collapsed="false">
      <c r="B72859" s="0" t="s">
        <v>23598</v>
      </c>
    </row>
    <row r="72861" customFormat="false" ht="12.8" hidden="false" customHeight="false" outlineLevel="0" collapsed="false">
      <c r="A72861" s="0" t="s">
        <v>23597</v>
      </c>
      <c r="B72861" s="0" t="str">
        <f aca="false">HYPERLINK("https://lindat.mff.cuni.cz/services/teitok/pdtc10/index.php?action=vallex&amp;frame=v-w311f6_ZU", "čekat (v-w311f6_ZU) - substituted with v-w311f10_ZU")</f>
        <v>čekat (v-w311f6_ZU) - substituted with v-w311f10_ZU</v>
      </c>
    </row>
    <row r="72862" customFormat="false" ht="12.8" hidden="false" customHeight="false" outlineLevel="0" collapsed="false">
      <c r="B72862" s="0" t="s">
        <v>345</v>
      </c>
    </row>
    <row r="72863" customFormat="false" ht="12.8" hidden="false" customHeight="false" outlineLevel="0" collapsed="false">
      <c r="B72863" s="0" t="s">
        <v>23598</v>
      </c>
    </row>
    <row r="72865" customFormat="false" ht="12.8" hidden="false" customHeight="false" outlineLevel="0" collapsed="false">
      <c r="A72865" s="0" t="s">
        <v>23597</v>
      </c>
      <c r="B72865" s="0" t="str">
        <f aca="false">HYPERLINK("https://lindat.mff.cuni.cz/services/teitok/pdtc10/index.php?action=vallex&amp;frame=v-w311f7_ZU", "čekat (v-w311f7_ZU) - substituted with v-w311f10_ZU")</f>
        <v>čekat (v-w311f7_ZU) - substituted with v-w311f10_ZU</v>
      </c>
    </row>
    <row r="72866" customFormat="false" ht="12.8" hidden="false" customHeight="false" outlineLevel="0" collapsed="false">
      <c r="B72866" s="0" t="s">
        <v>345</v>
      </c>
    </row>
    <row r="72867" customFormat="false" ht="12.8" hidden="false" customHeight="false" outlineLevel="0" collapsed="false">
      <c r="B72867" s="0" t="s">
        <v>23598</v>
      </c>
    </row>
    <row r="72869" customFormat="false" ht="12.8" hidden="false" customHeight="false" outlineLevel="0" collapsed="false">
      <c r="A72869" s="0" t="s">
        <v>23597</v>
      </c>
      <c r="B72869" s="0" t="str">
        <f aca="false">HYPERLINK("https://lindat.mff.cuni.cz/services/teitok/pdtc10/index.php?action=vallex&amp;frame=v-w311f9_ZU", "čekat (v-w311f9_ZU) - substituted with v-w311f10_ZU")</f>
        <v>čekat (v-w311f9_ZU) - substituted with v-w311f10_ZU</v>
      </c>
      <c r="E72869" s="0" t="str">
        <f aca="false">HYPERLINK("https://lindat.mff.cuni.cz/services/SynSemClass40/SynSemClass40.html?veclass=vec00003#vec00003-ces-cm00001", "vec00003")</f>
        <v>vec00003</v>
      </c>
      <c r="F72869" s="0" t="s">
        <v>10280</v>
      </c>
    </row>
    <row r="72870" customFormat="false" ht="12.8" hidden="false" customHeight="false" outlineLevel="0" collapsed="false">
      <c r="B72870" s="0" t="s">
        <v>345</v>
      </c>
      <c r="C72870" s="0" t="s">
        <v>10281</v>
      </c>
      <c r="E72870" s="0" t="s">
        <v>11</v>
      </c>
      <c r="F72870" s="0" t="s">
        <v>10282</v>
      </c>
    </row>
    <row r="72871" customFormat="false" ht="12.8" hidden="false" customHeight="false" outlineLevel="0" collapsed="false">
      <c r="B72871" s="0" t="s">
        <v>23598</v>
      </c>
      <c r="C72871" s="0" t="s">
        <v>10284</v>
      </c>
      <c r="E72871" s="0" t="s">
        <v>3054</v>
      </c>
      <c r="F72871" s="0" t="s">
        <v>10285</v>
      </c>
    </row>
    <row r="72873" customFormat="false" ht="12.8" hidden="false" customHeight="false" outlineLevel="0" collapsed="false">
      <c r="A72873" s="0" t="s">
        <v>23599</v>
      </c>
      <c r="B72873" s="0" t="str">
        <f aca="false">HYPERLINK("https://lindat.mff.cuni.cz/services/teitok/pdtc10/index.php?action=vallex&amp;frame=v-w311f8_ZU", "čekat (v-w311f8_ZU)")</f>
        <v>čekat (v-w311f8_ZU)</v>
      </c>
    </row>
    <row r="72874" customFormat="false" ht="12.8" hidden="false" customHeight="false" outlineLevel="0" collapsed="false">
      <c r="B72874" s="0" t="s">
        <v>1</v>
      </c>
    </row>
    <row r="72875" customFormat="false" ht="12.8" hidden="false" customHeight="false" outlineLevel="0" collapsed="false">
      <c r="B72875" s="0" t="s">
        <v>721</v>
      </c>
    </row>
    <row r="72877" customFormat="false" ht="12.8" hidden="false" customHeight="false" outlineLevel="0" collapsed="false">
      <c r="A72877" s="0" t="s">
        <v>23599</v>
      </c>
      <c r="B72877" s="0" t="str">
        <f aca="false">HYPERLINK("https://lindat.mff.cuni.cz/services/teitok/pdtc10/index.php?action=vallex&amp;frame=v-w311f4", "čekat (v-w311f4) - substituted with v-w311f8_ZU")</f>
        <v>čekat (v-w311f4) - substituted with v-w311f8_ZU</v>
      </c>
    </row>
    <row r="72878" customFormat="false" ht="12.8" hidden="false" customHeight="false" outlineLevel="0" collapsed="false">
      <c r="B72878" s="0" t="s">
        <v>1</v>
      </c>
    </row>
    <row r="72879" customFormat="false" ht="12.8" hidden="false" customHeight="false" outlineLevel="0" collapsed="false">
      <c r="B72879" s="0" t="s">
        <v>721</v>
      </c>
    </row>
    <row r="72881" customFormat="false" ht="12.8" hidden="false" customHeight="false" outlineLevel="0" collapsed="false">
      <c r="A72881" s="0" t="s">
        <v>23600</v>
      </c>
      <c r="B72881" s="0" t="str">
        <f aca="false">HYPERLINK("https://lindat.mff.cuni.cz/services/teitok/pdtc10/index.php?action=vallex&amp;frame=v-w311f12_ZU", "čekat (v-w311f12_ZU)")</f>
        <v>čekat (v-w311f12_ZU)</v>
      </c>
    </row>
    <row r="72882" customFormat="false" ht="12.8" hidden="false" customHeight="false" outlineLevel="0" collapsed="false">
      <c r="B72882" s="0" t="s">
        <v>1</v>
      </c>
    </row>
    <row r="72883" customFormat="false" ht="12.8" hidden="false" customHeight="false" outlineLevel="0" collapsed="false">
      <c r="B72883" s="0" t="s">
        <v>8</v>
      </c>
    </row>
    <row r="72885" customFormat="false" ht="12.8" hidden="false" customHeight="false" outlineLevel="0" collapsed="false">
      <c r="A72885" s="0" t="s">
        <v>23600</v>
      </c>
      <c r="B72885" s="0" t="str">
        <f aca="false">HYPERLINK("https://lindat.mff.cuni.cz/services/teitok/pdtc10/index.php?action=vallex&amp;frame=v-w311f11_ZU", "čekat (v-w311f11_ZU) - substituted with v-w311f12_ZU")</f>
        <v>čekat (v-w311f11_ZU) - substituted with v-w311f12_ZU</v>
      </c>
    </row>
    <row r="72886" customFormat="false" ht="12.8" hidden="false" customHeight="false" outlineLevel="0" collapsed="false">
      <c r="B72886" s="0" t="s">
        <v>1</v>
      </c>
    </row>
    <row r="72887" customFormat="false" ht="12.8" hidden="false" customHeight="false" outlineLevel="0" collapsed="false">
      <c r="B72887" s="0" t="s">
        <v>8</v>
      </c>
    </row>
    <row r="72889" customFormat="false" ht="12.8" hidden="false" customHeight="false" outlineLevel="0" collapsed="false">
      <c r="A72889" s="0" t="s">
        <v>23600</v>
      </c>
      <c r="B72889" s="0" t="str">
        <f aca="false">HYPERLINK("https://lindat.mff.cuni.cz/services/teitok/pdtc10/index.php?action=vallex&amp;frame=v-w311hsa_358", "čekat (v-w311hsa_358) - substituted with v-w311f12_ZU")</f>
        <v>čekat (v-w311hsa_358) - substituted with v-w311f12_ZU</v>
      </c>
    </row>
    <row r="72890" customFormat="false" ht="12.8" hidden="false" customHeight="false" outlineLevel="0" collapsed="false">
      <c r="B72890" s="0" t="s">
        <v>1</v>
      </c>
    </row>
    <row r="72891" customFormat="false" ht="12.8" hidden="false" customHeight="false" outlineLevel="0" collapsed="false">
      <c r="B72891" s="0" t="s">
        <v>8</v>
      </c>
    </row>
    <row r="72893" customFormat="false" ht="12.8" hidden="false" customHeight="false" outlineLevel="0" collapsed="false">
      <c r="A72893" s="0" t="s">
        <v>23601</v>
      </c>
      <c r="B72893" s="0" t="str">
        <f aca="false">HYPERLINK("https://lindat.mff.cuni.cz/services/teitok/pdtc10/index.php?action=vallex&amp;frame=v-w311f14_MM", "čekat (v-w311f14_MM)")</f>
        <v>čekat (v-w311f14_MM)</v>
      </c>
    </row>
    <row r="72894" customFormat="false" ht="12.8" hidden="false" customHeight="false" outlineLevel="0" collapsed="false">
      <c r="B72894" s="0" t="s">
        <v>1</v>
      </c>
    </row>
    <row r="72895" customFormat="false" ht="12.8" hidden="false" customHeight="false" outlineLevel="0" collapsed="false">
      <c r="B72895" s="0" t="s">
        <v>162</v>
      </c>
    </row>
    <row r="72896" customFormat="false" ht="12.8" hidden="false" customHeight="false" outlineLevel="0" collapsed="false">
      <c r="B72896" s="0" t="s">
        <v>23602</v>
      </c>
    </row>
    <row r="72898" customFormat="false" ht="12.8" hidden="false" customHeight="false" outlineLevel="0" collapsed="false">
      <c r="A72898" s="0" t="s">
        <v>23601</v>
      </c>
      <c r="B72898" s="0" t="str">
        <f aca="false">HYPERLINK("https://lindat.mff.cuni.cz/services/teitok/pdtc10/index.php?action=vallex&amp;frame=v-w311f13_ZU", "čekat (v-w311f13_ZU) - substituted with v-w311f14_MM")</f>
        <v>čekat (v-w311f13_ZU) - substituted with v-w311f14_MM</v>
      </c>
    </row>
    <row r="72899" customFormat="false" ht="12.8" hidden="false" customHeight="false" outlineLevel="0" collapsed="false">
      <c r="B72899" s="0" t="s">
        <v>1</v>
      </c>
    </row>
    <row r="72900" customFormat="false" ht="12.8" hidden="false" customHeight="false" outlineLevel="0" collapsed="false">
      <c r="B72900" s="0" t="s">
        <v>162</v>
      </c>
    </row>
    <row r="72901" customFormat="false" ht="12.8" hidden="false" customHeight="false" outlineLevel="0" collapsed="false">
      <c r="B72901" s="0" t="s">
        <v>23602</v>
      </c>
    </row>
    <row r="72903" customFormat="false" ht="12.8" hidden="false" customHeight="false" outlineLevel="0" collapsed="false">
      <c r="A72903" s="0" t="s">
        <v>23601</v>
      </c>
      <c r="B72903" s="0" t="str">
        <f aca="false">HYPERLINK("https://lindat.mff.cuni.cz/services/teitok/pdtc10/index.php?action=vallex&amp;frame=v-w311hsa_359", "čekat (v-w311hsa_359) - substituted with v-w311f14_MM")</f>
        <v>čekat (v-w311hsa_359) - substituted with v-w311f14_MM</v>
      </c>
    </row>
    <row r="72904" customFormat="false" ht="12.8" hidden="false" customHeight="false" outlineLevel="0" collapsed="false">
      <c r="B72904" s="0" t="s">
        <v>1</v>
      </c>
    </row>
    <row r="72905" customFormat="false" ht="12.8" hidden="false" customHeight="false" outlineLevel="0" collapsed="false">
      <c r="B72905" s="0" t="s">
        <v>162</v>
      </c>
    </row>
    <row r="72906" customFormat="false" ht="12.8" hidden="false" customHeight="false" outlineLevel="0" collapsed="false">
      <c r="B72906" s="0" t="s">
        <v>23602</v>
      </c>
    </row>
    <row r="72908" customFormat="false" ht="12.8" hidden="false" customHeight="false" outlineLevel="0" collapsed="false">
      <c r="A72908" s="0" t="s">
        <v>23603</v>
      </c>
      <c r="B72908" s="0" t="str">
        <f aca="false">HYPERLINK("https://lindat.mff.cuni.cz/services/teitok/pdtc10/index.php?action=vallex&amp;frame=v-w312f1", "čekat se (v-w312f1)")</f>
        <v>čekat se (v-w312f1)</v>
      </c>
    </row>
    <row r="72909" customFormat="false" ht="12.8" hidden="false" customHeight="false" outlineLevel="0" collapsed="false">
      <c r="B72909" s="0" t="s">
        <v>1</v>
      </c>
    </row>
    <row r="72911" customFormat="false" ht="12.8" hidden="false" customHeight="false" outlineLevel="0" collapsed="false">
      <c r="A72911" s="0" t="s">
        <v>23604</v>
      </c>
      <c r="B72911" s="0" t="str">
        <f aca="false">HYPERLINK("https://lindat.mff.cuni.cz/services/teitok/pdtc10/index.php?action=vallex&amp;frame=v-whsa_1666f1_ZU", "čekávat (v-whsa_1666f1_ZU)")</f>
        <v>čekávat (v-whsa_1666f1_ZU)</v>
      </c>
    </row>
    <row r="72912" customFormat="false" ht="12.8" hidden="false" customHeight="false" outlineLevel="0" collapsed="false">
      <c r="B72912" s="0" t="s">
        <v>1</v>
      </c>
    </row>
    <row r="72913" customFormat="false" ht="12.8" hidden="false" customHeight="false" outlineLevel="0" collapsed="false">
      <c r="B72913" s="0" t="s">
        <v>23605</v>
      </c>
    </row>
    <row r="72915" customFormat="false" ht="12.8" hidden="false" customHeight="false" outlineLevel="0" collapsed="false">
      <c r="A72915" s="0" t="s">
        <v>23604</v>
      </c>
      <c r="B72915" s="0" t="str">
        <f aca="false">HYPERLINK("https://lindat.mff.cuni.cz/services/teitok/pdtc10/index.php?action=vallex&amp;frame=v-whsa_1666hsa_1667", "čekávat (v-whsa_1666hsa_1667) - substituted with v-whsa_1666f1_ZU")</f>
        <v>čekávat (v-whsa_1666hsa_1667) - substituted with v-whsa_1666f1_ZU</v>
      </c>
    </row>
    <row r="72916" customFormat="false" ht="12.8" hidden="false" customHeight="false" outlineLevel="0" collapsed="false">
      <c r="B72916" s="0" t="s">
        <v>1</v>
      </c>
    </row>
    <row r="72917" customFormat="false" ht="12.8" hidden="false" customHeight="false" outlineLevel="0" collapsed="false">
      <c r="B72917" s="0" t="s">
        <v>23605</v>
      </c>
    </row>
    <row r="72919" customFormat="false" ht="12.8" hidden="false" customHeight="false" outlineLevel="0" collapsed="false">
      <c r="A72919" s="0" t="s">
        <v>23606</v>
      </c>
      <c r="B72919" s="0" t="str">
        <f aca="false">HYPERLINK("https://lindat.mff.cuni.cz/services/teitok/pdtc10/index.php?action=vallex&amp;frame=v-w313f1", "čelit (v-w313f1)")</f>
        <v>čelit (v-w313f1)</v>
      </c>
      <c r="E72919" s="0" t="str">
        <f aca="false">HYPERLINK("https://lindat.mff.cuni.cz/services/SynSemClass40/SynSemClass40.html?veclass=vec00205#vec00205-ces-cm00001", "vec00205")</f>
        <v>vec00205</v>
      </c>
      <c r="F72919" s="0" t="s">
        <v>406</v>
      </c>
    </row>
    <row r="72920" customFormat="false" ht="12.8" hidden="false" customHeight="false" outlineLevel="0" collapsed="false">
      <c r="B72920" s="0" t="s">
        <v>1</v>
      </c>
      <c r="C72920" s="0" t="s">
        <v>407</v>
      </c>
      <c r="E72920" s="0" t="s">
        <v>11</v>
      </c>
      <c r="F72920" s="0" t="s">
        <v>408</v>
      </c>
    </row>
    <row r="72921" customFormat="false" ht="12.8" hidden="false" customHeight="false" outlineLevel="0" collapsed="false">
      <c r="B72921" s="0" t="s">
        <v>186</v>
      </c>
      <c r="C72921" s="0" t="s">
        <v>410</v>
      </c>
      <c r="E72921" s="0" t="s">
        <v>411</v>
      </c>
      <c r="F72921" s="0" t="s">
        <v>412</v>
      </c>
    </row>
    <row r="72923" customFormat="false" ht="12.8" hidden="false" customHeight="false" outlineLevel="0" collapsed="false">
      <c r="A72923" s="0" t="s">
        <v>23607</v>
      </c>
      <c r="B72923" s="0" t="str">
        <f aca="false">HYPERLINK("https://lindat.mff.cuni.cz/services/teitok/pdtc10/index.php?action=vallex&amp;frame=v-w315f1", "čepovat (v-w315f1)")</f>
        <v>čepovat (v-w315f1)</v>
      </c>
    </row>
    <row r="72924" customFormat="false" ht="12.8" hidden="false" customHeight="false" outlineLevel="0" collapsed="false">
      <c r="B72924" s="0" t="s">
        <v>1</v>
      </c>
    </row>
    <row r="72925" customFormat="false" ht="12.8" hidden="false" customHeight="false" outlineLevel="0" collapsed="false">
      <c r="B72925" s="0" t="s">
        <v>8</v>
      </c>
    </row>
    <row r="72927" customFormat="false" ht="12.8" hidden="false" customHeight="false" outlineLevel="0" collapsed="false">
      <c r="A72927" s="0" t="s">
        <v>23608</v>
      </c>
      <c r="B72927" s="0" t="str">
        <f aca="false">HYPERLINK("https://lindat.mff.cuni.cz/services/teitok/pdtc10/index.php?action=vallex&amp;frame=v-w317f4_MM", "čerpat (v-w317f4_MM)")</f>
        <v>čerpat (v-w317f4_MM)</v>
      </c>
    </row>
    <row r="72928" customFormat="false" ht="12.8" hidden="false" customHeight="false" outlineLevel="0" collapsed="false">
      <c r="B72928" s="0" t="s">
        <v>1</v>
      </c>
    </row>
    <row r="72929" customFormat="false" ht="12.8" hidden="false" customHeight="false" outlineLevel="0" collapsed="false">
      <c r="B72929" s="0" t="s">
        <v>8</v>
      </c>
    </row>
    <row r="72930" customFormat="false" ht="12.8" hidden="false" customHeight="false" outlineLevel="0" collapsed="false">
      <c r="B72930" s="0" t="s">
        <v>23609</v>
      </c>
    </row>
    <row r="72932" customFormat="false" ht="12.8" hidden="false" customHeight="false" outlineLevel="0" collapsed="false">
      <c r="A72932" s="0" t="s">
        <v>23608</v>
      </c>
      <c r="B72932" s="0" t="str">
        <f aca="false">HYPERLINK("https://lindat.mff.cuni.cz/services/teitok/pdtc10/index.php?action=vallex&amp;frame=v-w317f1", "čerpat (v-w317f1) - substituted with v-w317f4_MM")</f>
        <v>čerpat (v-w317f1) - substituted with v-w317f4_MM</v>
      </c>
      <c r="E72932" s="0" t="str">
        <f aca="false">HYPERLINK("https://lindat.mff.cuni.cz/services/SynSemClass40/SynSemClass40.html?veclass=vec00189#vec00189-ces-cm00045", "vec00189")</f>
        <v>vec00189</v>
      </c>
      <c r="F72932" s="0" t="s">
        <v>2169</v>
      </c>
    </row>
    <row r="72933" customFormat="false" ht="12.8" hidden="false" customHeight="false" outlineLevel="0" collapsed="false">
      <c r="B72933" s="0" t="s">
        <v>1</v>
      </c>
      <c r="C72933" s="0" t="s">
        <v>2170</v>
      </c>
      <c r="E72933" s="0" t="s">
        <v>1567</v>
      </c>
      <c r="F72933" s="0" t="s">
        <v>2171</v>
      </c>
    </row>
    <row r="72934" customFormat="false" ht="12.8" hidden="false" customHeight="false" outlineLevel="0" collapsed="false">
      <c r="B72934" s="0" t="s">
        <v>8</v>
      </c>
      <c r="C72934" s="0" t="s">
        <v>2173</v>
      </c>
      <c r="E72934" s="0" t="s">
        <v>2111</v>
      </c>
      <c r="F72934" s="0" t="s">
        <v>2174</v>
      </c>
    </row>
    <row r="72935" customFormat="false" ht="12.8" hidden="false" customHeight="false" outlineLevel="0" collapsed="false">
      <c r="B72935" s="0" t="s">
        <v>23609</v>
      </c>
      <c r="C72935" s="0" t="s">
        <v>2175</v>
      </c>
      <c r="E72935" s="0" t="s">
        <v>2176</v>
      </c>
      <c r="F72935" s="0" t="s">
        <v>2177</v>
      </c>
    </row>
    <row r="72937" customFormat="false" ht="12.8" hidden="false" customHeight="false" outlineLevel="0" collapsed="false">
      <c r="A72937" s="0" t="s">
        <v>23610</v>
      </c>
      <c r="B72937" s="0" t="str">
        <f aca="false">HYPERLINK("https://lindat.mff.cuni.cz/services/teitok/pdtc10/index.php?action=vallex&amp;frame=v-w317f3_ZU", "čerpat (v-w317f3_ZU)")</f>
        <v>čerpat (v-w317f3_ZU)</v>
      </c>
    </row>
    <row r="72938" customFormat="false" ht="12.8" hidden="false" customHeight="false" outlineLevel="0" collapsed="false">
      <c r="B72938" s="0" t="s">
        <v>1</v>
      </c>
    </row>
    <row r="72939" customFormat="false" ht="12.8" hidden="false" customHeight="false" outlineLevel="0" collapsed="false">
      <c r="B72939" s="0" t="s">
        <v>8</v>
      </c>
    </row>
    <row r="72940" customFormat="false" ht="12.8" hidden="false" customHeight="false" outlineLevel="0" collapsed="false">
      <c r="B72940" s="0" t="s">
        <v>6273</v>
      </c>
    </row>
    <row r="72942" customFormat="false" ht="12.8" hidden="false" customHeight="false" outlineLevel="0" collapsed="false">
      <c r="A72942" s="0" t="s">
        <v>23610</v>
      </c>
      <c r="B72942" s="0" t="str">
        <f aca="false">HYPERLINK("https://lindat.mff.cuni.cz/services/teitok/pdtc10/index.php?action=vallex&amp;frame=v-w317f2_ZU", "čerpat (v-w317f2_ZU) - substituted with v-w317f3_ZU")</f>
        <v>čerpat (v-w317f2_ZU) - substituted with v-w317f3_ZU</v>
      </c>
    </row>
    <row r="72943" customFormat="false" ht="12.8" hidden="false" customHeight="false" outlineLevel="0" collapsed="false">
      <c r="B72943" s="0" t="s">
        <v>1</v>
      </c>
    </row>
    <row r="72944" customFormat="false" ht="12.8" hidden="false" customHeight="false" outlineLevel="0" collapsed="false">
      <c r="B72944" s="0" t="s">
        <v>8</v>
      </c>
    </row>
    <row r="72945" customFormat="false" ht="12.8" hidden="false" customHeight="false" outlineLevel="0" collapsed="false">
      <c r="B72945" s="0" t="s">
        <v>6273</v>
      </c>
    </row>
    <row r="72947" customFormat="false" ht="12.8" hidden="false" customHeight="false" outlineLevel="0" collapsed="false">
      <c r="A72947" s="0" t="s">
        <v>23610</v>
      </c>
      <c r="B72947" s="0" t="str">
        <f aca="false">HYPERLINK("https://lindat.mff.cuni.cz/services/teitok/pdtc10/index.php?action=vallex&amp;frame=v-w317hsa_1053", "čerpat (v-w317hsa_1053) - substituted with v-w317f3_ZU")</f>
        <v>čerpat (v-w317hsa_1053) - substituted with v-w317f3_ZU</v>
      </c>
    </row>
    <row r="72948" customFormat="false" ht="12.8" hidden="false" customHeight="false" outlineLevel="0" collapsed="false">
      <c r="B72948" s="0" t="s">
        <v>1</v>
      </c>
    </row>
    <row r="72949" customFormat="false" ht="12.8" hidden="false" customHeight="false" outlineLevel="0" collapsed="false">
      <c r="B72949" s="0" t="s">
        <v>8</v>
      </c>
    </row>
    <row r="72950" customFormat="false" ht="12.8" hidden="false" customHeight="false" outlineLevel="0" collapsed="false">
      <c r="B72950" s="0" t="s">
        <v>6273</v>
      </c>
    </row>
    <row r="72952" customFormat="false" ht="12.8" hidden="false" customHeight="false" outlineLevel="0" collapsed="false">
      <c r="A72952" s="0" t="s">
        <v>23611</v>
      </c>
      <c r="B72952" s="0" t="str">
        <f aca="false">HYPERLINK("https://lindat.mff.cuni.cz/services/teitok/pdtc10/index.php?action=vallex&amp;frame=v-w317hsa_1902", "čerpat (v-w317hsa_1902)")</f>
        <v>čerpat (v-w317hsa_1902)</v>
      </c>
    </row>
    <row r="72953" customFormat="false" ht="12.8" hidden="false" customHeight="false" outlineLevel="0" collapsed="false">
      <c r="B72953" s="0" t="s">
        <v>1</v>
      </c>
    </row>
    <row r="72954" customFormat="false" ht="12.8" hidden="false" customHeight="false" outlineLevel="0" collapsed="false">
      <c r="B72954" s="0" t="s">
        <v>8</v>
      </c>
    </row>
    <row r="72955" customFormat="false" ht="12.8" hidden="false" customHeight="false" outlineLevel="0" collapsed="false">
      <c r="B72955" s="0" t="s">
        <v>631</v>
      </c>
    </row>
    <row r="72957" customFormat="false" ht="12.8" hidden="false" customHeight="false" outlineLevel="0" collapsed="false">
      <c r="A72957" s="0" t="s">
        <v>23612</v>
      </c>
      <c r="B72957" s="0" t="str">
        <f aca="false">HYPERLINK("https://lindat.mff.cuni.cz/services/teitok/pdtc10/index.php?action=vallex&amp;frame=v-w11329f1", "čertit se (v-w11329f1)")</f>
        <v>čertit se (v-w11329f1)</v>
      </c>
    </row>
    <row r="72958" customFormat="false" ht="12.8" hidden="false" customHeight="false" outlineLevel="0" collapsed="false">
      <c r="B72958" s="0" t="s">
        <v>1</v>
      </c>
    </row>
    <row r="72959" customFormat="false" ht="12.8" hidden="false" customHeight="false" outlineLevel="0" collapsed="false">
      <c r="B72959" s="0" t="s">
        <v>797</v>
      </c>
    </row>
    <row r="72961" customFormat="false" ht="12.8" hidden="false" customHeight="false" outlineLevel="0" collapsed="false">
      <c r="A72961" s="0" t="s">
        <v>23613</v>
      </c>
      <c r="B72961" s="0" t="str">
        <f aca="false">HYPERLINK("https://lindat.mff.cuni.cz/services/teitok/pdtc10/index.php?action=vallex&amp;frame=v-w320f1", "česat (v-w320f1)")</f>
        <v>česat (v-w320f1)</v>
      </c>
    </row>
    <row r="72962" customFormat="false" ht="12.8" hidden="false" customHeight="false" outlineLevel="0" collapsed="false">
      <c r="B72962" s="0" t="s">
        <v>1</v>
      </c>
    </row>
    <row r="72963" customFormat="false" ht="12.8" hidden="false" customHeight="false" outlineLevel="0" collapsed="false">
      <c r="B72963" s="0" t="s">
        <v>8</v>
      </c>
    </row>
    <row r="72964" customFormat="false" ht="12.8" hidden="false" customHeight="false" outlineLevel="0" collapsed="false">
      <c r="B72964" s="0" t="s">
        <v>36</v>
      </c>
    </row>
    <row r="72965" customFormat="false" ht="12.8" hidden="false" customHeight="false" outlineLevel="0" collapsed="false">
      <c r="B72965" s="0" t="s">
        <v>40</v>
      </c>
    </row>
    <row r="72967" customFormat="false" ht="12.8" hidden="false" customHeight="false" outlineLevel="0" collapsed="false">
      <c r="A72967" s="0" t="s">
        <v>23614</v>
      </c>
      <c r="B72967" s="0" t="str">
        <f aca="false">HYPERLINK("https://lindat.mff.cuni.cz/services/teitok/pdtc10/index.php?action=vallex&amp;frame=v-w320f2_ZU", "česat (v-w320f2_ZU)")</f>
        <v>česat (v-w320f2_ZU)</v>
      </c>
    </row>
    <row r="72968" customFormat="false" ht="12.8" hidden="false" customHeight="false" outlineLevel="0" collapsed="false">
      <c r="B72968" s="0" t="s">
        <v>1</v>
      </c>
    </row>
    <row r="72969" customFormat="false" ht="12.8" hidden="false" customHeight="false" outlineLevel="0" collapsed="false">
      <c r="B72969" s="0" t="s">
        <v>8</v>
      </c>
    </row>
    <row r="72971" customFormat="false" ht="12.8" hidden="false" customHeight="false" outlineLevel="0" collapsed="false">
      <c r="A72971" s="0" t="s">
        <v>23615</v>
      </c>
      <c r="B72971" s="0" t="str">
        <f aca="false">HYPERLINK("https://lindat.mff.cuni.cz/services/teitok/pdtc10/index.php?action=vallex&amp;frame=v-w320f3_ZU", "česat (v-w320f3_ZU)")</f>
        <v>česat (v-w320f3_ZU)</v>
      </c>
    </row>
    <row r="72972" customFormat="false" ht="12.8" hidden="false" customHeight="false" outlineLevel="0" collapsed="false">
      <c r="B72972" s="0" t="s">
        <v>1</v>
      </c>
    </row>
    <row r="72973" customFormat="false" ht="12.8" hidden="false" customHeight="false" outlineLevel="0" collapsed="false">
      <c r="B72973" s="0" t="s">
        <v>8</v>
      </c>
    </row>
    <row r="72975" customFormat="false" ht="12.8" hidden="false" customHeight="false" outlineLevel="0" collapsed="false">
      <c r="A72975" s="0" t="s">
        <v>23616</v>
      </c>
      <c r="B72975" s="0" t="str">
        <f aca="false">HYPERLINK("https://lindat.mff.cuni.cz/services/teitok/pdtc10/index.php?action=vallex&amp;frame=v-whsa_928hsa_929", "česávat (v-whsa_928hsa_929)")</f>
        <v>česávat (v-whsa_928hsa_929)</v>
      </c>
    </row>
    <row r="72976" customFormat="false" ht="12.8" hidden="false" customHeight="false" outlineLevel="0" collapsed="false">
      <c r="B72976" s="0" t="s">
        <v>1</v>
      </c>
    </row>
    <row r="72977" customFormat="false" ht="12.8" hidden="false" customHeight="false" outlineLevel="0" collapsed="false">
      <c r="B72977" s="0" t="s">
        <v>8</v>
      </c>
    </row>
    <row r="72979" customFormat="false" ht="12.8" hidden="false" customHeight="false" outlineLevel="0" collapsed="false">
      <c r="A72979" s="0" t="s">
        <v>23617</v>
      </c>
      <c r="B72979" s="0" t="str">
        <f aca="false">HYPERLINK("https://lindat.mff.cuni.cz/services/teitok/pdtc10/index.php?action=vallex&amp;frame=v-w319f1", "čeřit (v-w319f1)")</f>
        <v>čeřit (v-w319f1)</v>
      </c>
    </row>
    <row r="72980" customFormat="false" ht="12.8" hidden="false" customHeight="false" outlineLevel="0" collapsed="false">
      <c r="B72980" s="0" t="s">
        <v>1</v>
      </c>
    </row>
    <row r="72981" customFormat="false" ht="12.8" hidden="false" customHeight="false" outlineLevel="0" collapsed="false">
      <c r="B72981" s="0" t="s">
        <v>8</v>
      </c>
    </row>
    <row r="72983" customFormat="false" ht="12.8" hidden="false" customHeight="false" outlineLevel="0" collapsed="false">
      <c r="A72983" s="0" t="s">
        <v>23618</v>
      </c>
      <c r="B72983" s="0" t="str">
        <f aca="false">HYPERLINK("https://lindat.mff.cuni.cz/services/teitok/pdtc10/index.php?action=vallex&amp;frame=v-w319f2", "čeřit (v-w319f2)")</f>
        <v>čeřit (v-w319f2)</v>
      </c>
    </row>
    <row r="72984" customFormat="false" ht="12.8" hidden="false" customHeight="false" outlineLevel="0" collapsed="false">
      <c r="B72984" s="0" t="s">
        <v>1</v>
      </c>
    </row>
    <row r="72985" customFormat="false" ht="12.8" hidden="false" customHeight="false" outlineLevel="0" collapsed="false">
      <c r="B72985" s="0" t="s">
        <v>23619</v>
      </c>
    </row>
    <row r="72987" customFormat="false" ht="12.8" hidden="false" customHeight="false" outlineLevel="0" collapsed="false">
      <c r="A72987" s="0" t="s">
        <v>23620</v>
      </c>
      <c r="B72987" s="0" t="str">
        <f aca="false">HYPERLINK("https://lindat.mff.cuni.cz/services/teitok/pdtc10/index.php?action=vallex&amp;frame=v-w12286_MMf1_MM", "čichat (v-w12286_MMf1_MM)")</f>
        <v>čichat (v-w12286_MMf1_MM)</v>
      </c>
    </row>
    <row r="72988" customFormat="false" ht="12.8" hidden="false" customHeight="false" outlineLevel="0" collapsed="false">
      <c r="B72988" s="0" t="s">
        <v>1</v>
      </c>
    </row>
    <row r="72989" customFormat="false" ht="12.8" hidden="false" customHeight="false" outlineLevel="0" collapsed="false">
      <c r="B72989" s="0" t="s">
        <v>311</v>
      </c>
    </row>
    <row r="72991" customFormat="false" ht="12.8" hidden="false" customHeight="false" outlineLevel="0" collapsed="false">
      <c r="A72991" s="0" t="s">
        <v>23621</v>
      </c>
      <c r="B72991" s="0" t="str">
        <f aca="false">HYPERLINK("https://lindat.mff.cuni.cz/services/teitok/pdtc10/index.php?action=vallex&amp;frame=v-w327f6", "činit (v-w327f6)")</f>
        <v>činit (v-w327f6)</v>
      </c>
    </row>
    <row r="72992" customFormat="false" ht="12.8" hidden="false" customHeight="false" outlineLevel="0" collapsed="false">
      <c r="B72992" s="0" t="s">
        <v>1</v>
      </c>
    </row>
    <row r="72993" customFormat="false" ht="12.8" hidden="false" customHeight="false" outlineLevel="0" collapsed="false">
      <c r="B72993" s="0" t="s">
        <v>8</v>
      </c>
    </row>
    <row r="72994" customFormat="false" ht="12.8" hidden="false" customHeight="false" outlineLevel="0" collapsed="false">
      <c r="B72994" s="0" t="s">
        <v>52</v>
      </c>
    </row>
    <row r="72996" customFormat="false" ht="12.8" hidden="false" customHeight="false" outlineLevel="0" collapsed="false">
      <c r="A72996" s="0" t="s">
        <v>23622</v>
      </c>
      <c r="B72996" s="0" t="str">
        <f aca="false">HYPERLINK("https://lindat.mff.cuni.cz/services/teitok/pdtc10/index.php?action=vallex&amp;frame=v-w327f3", "činit (v-w327f3)")</f>
        <v>činit (v-w327f3)</v>
      </c>
    </row>
    <row r="72997" customFormat="false" ht="12.8" hidden="false" customHeight="false" outlineLevel="0" collapsed="false">
      <c r="B72997" s="0" t="s">
        <v>345</v>
      </c>
    </row>
    <row r="72998" customFormat="false" ht="12.8" hidden="false" customHeight="false" outlineLevel="0" collapsed="false">
      <c r="B72998" s="0" t="s">
        <v>8</v>
      </c>
    </row>
    <row r="72999" customFormat="false" ht="12.8" hidden="false" customHeight="false" outlineLevel="0" collapsed="false">
      <c r="B72999" s="0" t="s">
        <v>36</v>
      </c>
    </row>
    <row r="73001" customFormat="false" ht="12.8" hidden="false" customHeight="false" outlineLevel="0" collapsed="false">
      <c r="A73001" s="0" t="s">
        <v>23623</v>
      </c>
      <c r="B73001" s="0" t="str">
        <f aca="false">HYPERLINK("https://lindat.mff.cuni.cz/services/teitok/pdtc10/index.php?action=vallex&amp;frame=v-w327f4", "činit (v-w327f4)")</f>
        <v>činit (v-w327f4)</v>
      </c>
      <c r="E73001" s="0" t="str">
        <f aca="false">HYPERLINK("https://lindat.mff.cuni.cz/services/SynSemClass40/SynSemClass40.html?veclass=vec00404#vec00404-ces-cm00001", "vec00404")</f>
        <v>vec00404</v>
      </c>
      <c r="F73001" s="0" t="s">
        <v>23624</v>
      </c>
    </row>
    <row r="73002" customFormat="false" ht="12.8" hidden="false" customHeight="false" outlineLevel="0" collapsed="false">
      <c r="B73002" s="0" t="s">
        <v>1</v>
      </c>
      <c r="E73002" s="0" t="s">
        <v>76</v>
      </c>
      <c r="F73002" s="0" t="s">
        <v>704</v>
      </c>
    </row>
    <row r="73003" customFormat="false" ht="12.8" hidden="false" customHeight="false" outlineLevel="0" collapsed="false">
      <c r="B73003" s="0" t="s">
        <v>8</v>
      </c>
      <c r="C73003" s="0" t="s">
        <v>531</v>
      </c>
      <c r="E73003" s="0" t="s">
        <v>142</v>
      </c>
      <c r="F73003" s="0" t="s">
        <v>1859</v>
      </c>
    </row>
    <row r="73004" customFormat="false" ht="12.8" hidden="false" customHeight="false" outlineLevel="0" collapsed="false">
      <c r="B73004" s="0" t="s">
        <v>1696</v>
      </c>
      <c r="C73004" s="0" t="s">
        <v>23625</v>
      </c>
      <c r="E73004" s="0" t="s">
        <v>42</v>
      </c>
      <c r="F73004" s="0" t="s">
        <v>23626</v>
      </c>
    </row>
    <row r="73005" customFormat="false" ht="12.8" hidden="false" customHeight="false" outlineLevel="0" collapsed="false">
      <c r="B73005" s="0" t="s">
        <v>36</v>
      </c>
    </row>
    <row r="73007" customFormat="false" ht="12.8" hidden="false" customHeight="false" outlineLevel="0" collapsed="false">
      <c r="A73007" s="0" t="s">
        <v>23627</v>
      </c>
      <c r="B73007" s="0" t="str">
        <f aca="false">HYPERLINK("https://lindat.mff.cuni.cz/services/teitok/pdtc10/index.php?action=vallex&amp;frame=v-w327f14_ZU", "činit (v-w327f14_ZU)")</f>
        <v>činit (v-w327f14_ZU)</v>
      </c>
      <c r="E73007" s="0" t="str">
        <f aca="false">HYPERLINK("https://lindat.mff.cuni.cz/services/SynSemClass40/SynSemClass40.html?veclass=vec00404#vec00404-ces-cm00002", "vec00404")</f>
        <v>vec00404</v>
      </c>
      <c r="F73007" s="0" t="s">
        <v>23624</v>
      </c>
    </row>
    <row r="73008" customFormat="false" ht="12.8" hidden="false" customHeight="false" outlineLevel="0" collapsed="false">
      <c r="B73008" s="0" t="s">
        <v>1</v>
      </c>
      <c r="E73008" s="0" t="s">
        <v>76</v>
      </c>
      <c r="F73008" s="0" t="s">
        <v>704</v>
      </c>
    </row>
    <row r="73009" customFormat="false" ht="12.8" hidden="false" customHeight="false" outlineLevel="0" collapsed="false">
      <c r="B73009" s="0" t="s">
        <v>402</v>
      </c>
      <c r="C73009" s="0" t="s">
        <v>531</v>
      </c>
      <c r="E73009" s="0" t="s">
        <v>142</v>
      </c>
      <c r="F73009" s="0" t="s">
        <v>1859</v>
      </c>
    </row>
    <row r="73010" customFormat="false" ht="12.8" hidden="false" customHeight="false" outlineLevel="0" collapsed="false">
      <c r="B73010" s="0" t="s">
        <v>23628</v>
      </c>
      <c r="C73010" s="0" t="s">
        <v>23625</v>
      </c>
      <c r="E73010" s="0" t="s">
        <v>42</v>
      </c>
      <c r="F73010" s="0" t="s">
        <v>23626</v>
      </c>
    </row>
    <row r="73012" customFormat="false" ht="12.8" hidden="false" customHeight="false" outlineLevel="0" collapsed="false">
      <c r="A73012" s="0" t="s">
        <v>23627</v>
      </c>
      <c r="B73012" s="0" t="str">
        <f aca="false">HYPERLINK("https://lindat.mff.cuni.cz/services/teitok/pdtc10/index.php?action=vallex&amp;frame=v-w327f11_ZU", "činit (v-w327f11_ZU) - substituted with v-w327f14_ZU")</f>
        <v>činit (v-w327f11_ZU) - substituted with v-w327f14_ZU</v>
      </c>
    </row>
    <row r="73013" customFormat="false" ht="12.8" hidden="false" customHeight="false" outlineLevel="0" collapsed="false">
      <c r="B73013" s="0" t="s">
        <v>1</v>
      </c>
    </row>
    <row r="73014" customFormat="false" ht="12.8" hidden="false" customHeight="false" outlineLevel="0" collapsed="false">
      <c r="B73014" s="0" t="s">
        <v>402</v>
      </c>
    </row>
    <row r="73015" customFormat="false" ht="12.8" hidden="false" customHeight="false" outlineLevel="0" collapsed="false">
      <c r="B73015" s="0" t="s">
        <v>23628</v>
      </c>
    </row>
    <row r="73017" customFormat="false" ht="12.8" hidden="false" customHeight="false" outlineLevel="0" collapsed="false">
      <c r="A73017" s="0" t="s">
        <v>23629</v>
      </c>
      <c r="B73017" s="0" t="str">
        <f aca="false">HYPERLINK("https://lindat.mff.cuni.cz/services/teitok/pdtc10/index.php?action=vallex&amp;frame=v-w327f2", "činit (v-w327f2)")</f>
        <v>činit (v-w327f2)</v>
      </c>
      <c r="E73017" s="0" t="str">
        <f aca="false">HYPERLINK("https://lindat.mff.cuni.cz/services/SynSemClass40/SynSemClass40.html?veclass=vec00089#vec00089-ces-cm00004", "vec00089")</f>
        <v>vec00089</v>
      </c>
      <c r="F73017" s="0" t="s">
        <v>3959</v>
      </c>
      <c r="H73017" s="0" t="str">
        <f aca="false">HYPERLINK("https://lindat.mff.cuni.cz/services/SynSemClass40/SynSemClass40.html?veclass=vec01414#vec01414-ces-cm00001", "vec01414")</f>
        <v>vec01414</v>
      </c>
      <c r="I73017" s="0" t="s">
        <v>5475</v>
      </c>
    </row>
    <row r="73018" customFormat="false" ht="12.8" hidden="false" customHeight="false" outlineLevel="0" collapsed="false">
      <c r="B73018" s="0" t="s">
        <v>1</v>
      </c>
      <c r="C73018" s="0" t="s">
        <v>17512</v>
      </c>
      <c r="E73018" s="0" t="s">
        <v>31</v>
      </c>
      <c r="F73018" s="0" t="s">
        <v>3960</v>
      </c>
      <c r="H73018" s="0" t="s">
        <v>31</v>
      </c>
      <c r="I73018" s="0" t="s">
        <v>5477</v>
      </c>
    </row>
    <row r="73019" customFormat="false" ht="12.8" hidden="false" customHeight="false" outlineLevel="0" collapsed="false">
      <c r="B73019" s="0" t="s">
        <v>23630</v>
      </c>
      <c r="C73019" s="0" t="s">
        <v>17513</v>
      </c>
      <c r="E73019" s="0" t="s">
        <v>2628</v>
      </c>
      <c r="F73019" s="0" t="s">
        <v>3961</v>
      </c>
      <c r="H73019" s="0" t="s">
        <v>14</v>
      </c>
      <c r="I73019" s="0" t="s">
        <v>5479</v>
      </c>
    </row>
    <row r="73021" customFormat="false" ht="12.8" hidden="false" customHeight="false" outlineLevel="0" collapsed="false">
      <c r="A73021" s="0" t="s">
        <v>23631</v>
      </c>
      <c r="B73021" s="0" t="str">
        <f aca="false">HYPERLINK("https://lindat.mff.cuni.cz/services/teitok/pdtc10/index.php?action=vallex&amp;frame=v-w327f5", "činit (v-w327f5)")</f>
        <v>činit (v-w327f5)</v>
      </c>
    </row>
    <row r="73022" customFormat="false" ht="12.8" hidden="false" customHeight="false" outlineLevel="0" collapsed="false">
      <c r="B73022" s="0" t="s">
        <v>1</v>
      </c>
    </row>
    <row r="73023" customFormat="false" ht="12.8" hidden="false" customHeight="false" outlineLevel="0" collapsed="false">
      <c r="B73023" s="0" t="s">
        <v>8</v>
      </c>
    </row>
    <row r="73025" customFormat="false" ht="12.8" hidden="false" customHeight="false" outlineLevel="0" collapsed="false">
      <c r="A73025" s="0" t="s">
        <v>23632</v>
      </c>
      <c r="B73025" s="0" t="str">
        <f aca="false">HYPERLINK("https://lindat.mff.cuni.cz/services/teitok/pdtc10/index.php?action=vallex&amp;frame=v-w327f1", "činit (v-w327f1)")</f>
        <v>činit (v-w327f1)</v>
      </c>
      <c r="E73025" s="0" t="str">
        <f aca="false">HYPERLINK("https://lindat.mff.cuni.cz/services/SynSemClass40/SynSemClass40.html?veclass=vec00206#vec00206-ces-cm00001", "vec00206")</f>
        <v>vec00206</v>
      </c>
      <c r="F73025" s="0" t="s">
        <v>2728</v>
      </c>
    </row>
    <row r="73026" customFormat="false" ht="12.8" hidden="false" customHeight="false" outlineLevel="0" collapsed="false">
      <c r="B73026" s="0" t="s">
        <v>1</v>
      </c>
      <c r="C73026" s="0" t="s">
        <v>2729</v>
      </c>
      <c r="E73026" s="0" t="s">
        <v>235</v>
      </c>
      <c r="F73026" s="0" t="s">
        <v>2730</v>
      </c>
    </row>
    <row r="73027" customFormat="false" ht="12.8" hidden="false" customHeight="false" outlineLevel="0" collapsed="false">
      <c r="B73027" s="0" t="s">
        <v>865</v>
      </c>
      <c r="C73027" s="0" t="s">
        <v>8454</v>
      </c>
      <c r="E73027" s="0" t="s">
        <v>6992</v>
      </c>
      <c r="F73027" s="0" t="s">
        <v>6993</v>
      </c>
    </row>
    <row r="73029" customFormat="false" ht="12.8" hidden="false" customHeight="false" outlineLevel="0" collapsed="false">
      <c r="A73029" s="0" t="s">
        <v>23633</v>
      </c>
      <c r="B73029" s="0" t="str">
        <f aca="false">HYPERLINK("https://lindat.mff.cuni.cz/services/teitok/pdtc10/index.php?action=vallex&amp;frame=v-w327f8", "činit (v-w327f8)")</f>
        <v>činit (v-w327f8)</v>
      </c>
    </row>
    <row r="73030" customFormat="false" ht="12.8" hidden="false" customHeight="false" outlineLevel="0" collapsed="false">
      <c r="B73030" s="0" t="s">
        <v>1</v>
      </c>
    </row>
    <row r="73031" customFormat="false" ht="12.8" hidden="false" customHeight="false" outlineLevel="0" collapsed="false">
      <c r="B73031" s="0" t="s">
        <v>3909</v>
      </c>
    </row>
    <row r="73032" customFormat="false" ht="12.8" hidden="false" customHeight="false" outlineLevel="0" collapsed="false">
      <c r="B73032" s="0" t="s">
        <v>162</v>
      </c>
    </row>
    <row r="73034" customFormat="false" ht="12.8" hidden="false" customHeight="false" outlineLevel="0" collapsed="false">
      <c r="A73034" s="0" t="s">
        <v>23634</v>
      </c>
      <c r="B73034" s="0" t="str">
        <f aca="false">HYPERLINK("https://lindat.mff.cuni.cz/services/teitok/pdtc10/index.php?action=vallex&amp;frame=v-w327f13_ZU", "činit (v-w327f13_ZU)")</f>
        <v>činit (v-w327f13_ZU)</v>
      </c>
      <c r="E73034" s="0" t="str">
        <f aca="false">HYPERLINK("https://lindat.mff.cuni.cz/services/SynSemClass40/SynSemClass40.html?veclass=vec00033#vec00033-ces-cm00224", "vec00033")</f>
        <v>vec00033</v>
      </c>
      <c r="F73034" s="0" t="s">
        <v>3408</v>
      </c>
    </row>
    <row r="73035" customFormat="false" ht="12.8" hidden="false" customHeight="false" outlineLevel="0" collapsed="false">
      <c r="B73035" s="0" t="s">
        <v>1</v>
      </c>
      <c r="C73035" s="0" t="s">
        <v>3468</v>
      </c>
      <c r="E73035" s="0" t="s">
        <v>3410</v>
      </c>
      <c r="F73035" s="0" t="s">
        <v>3411</v>
      </c>
    </row>
    <row r="73036" customFormat="false" ht="12.8" hidden="false" customHeight="false" outlineLevel="0" collapsed="false">
      <c r="B73036" s="0" t="s">
        <v>23635</v>
      </c>
      <c r="C73036" s="0" t="s">
        <v>3470</v>
      </c>
      <c r="E73036" s="0" t="s">
        <v>3471</v>
      </c>
      <c r="F73036" s="0" t="s">
        <v>3472</v>
      </c>
    </row>
    <row r="73037" customFormat="false" ht="12.8" hidden="false" customHeight="false" outlineLevel="0" collapsed="false">
      <c r="B73037" s="0" t="s">
        <v>52</v>
      </c>
      <c r="C73037" s="0" t="s">
        <v>3415</v>
      </c>
      <c r="E73037" s="0" t="s">
        <v>53</v>
      </c>
      <c r="F73037" s="0" t="s">
        <v>3416</v>
      </c>
    </row>
    <row r="73039" customFormat="false" ht="12.8" hidden="false" customHeight="false" outlineLevel="0" collapsed="false">
      <c r="A73039" s="0" t="s">
        <v>23634</v>
      </c>
      <c r="B73039" s="0" t="str">
        <f aca="false">HYPERLINK("https://lindat.mff.cuni.cz/services/teitok/pdtc10/index.php?action=vallex&amp;frame=v-w327f10_ZU", "činit (v-w327f10_ZU) - substituted with v-w327f13_ZU")</f>
        <v>činit (v-w327f10_ZU) - substituted with v-w327f13_ZU</v>
      </c>
    </row>
    <row r="73040" customFormat="false" ht="12.8" hidden="false" customHeight="false" outlineLevel="0" collapsed="false">
      <c r="B73040" s="0" t="s">
        <v>1</v>
      </c>
    </row>
    <row r="73041" customFormat="false" ht="12.8" hidden="false" customHeight="false" outlineLevel="0" collapsed="false">
      <c r="B73041" s="0" t="s">
        <v>23635</v>
      </c>
    </row>
    <row r="73042" customFormat="false" ht="12.8" hidden="false" customHeight="false" outlineLevel="0" collapsed="false">
      <c r="B73042" s="0" t="s">
        <v>52</v>
      </c>
    </row>
    <row r="73044" customFormat="false" ht="12.8" hidden="false" customHeight="false" outlineLevel="0" collapsed="false">
      <c r="A73044" s="0" t="s">
        <v>23634</v>
      </c>
      <c r="B73044" s="0" t="str">
        <f aca="false">HYPERLINK("https://lindat.mff.cuni.cz/services/teitok/pdtc10/index.php?action=vallex&amp;frame=v-w327f12_ZU", "činit (v-w327f12_ZU) - substituted with v-w327f13_ZU")</f>
        <v>činit (v-w327f12_ZU) - substituted with v-w327f13_ZU</v>
      </c>
    </row>
    <row r="73045" customFormat="false" ht="12.8" hidden="false" customHeight="false" outlineLevel="0" collapsed="false">
      <c r="B73045" s="0" t="s">
        <v>1</v>
      </c>
    </row>
    <row r="73046" customFormat="false" ht="12.8" hidden="false" customHeight="false" outlineLevel="0" collapsed="false">
      <c r="B73046" s="0" t="s">
        <v>23635</v>
      </c>
    </row>
    <row r="73047" customFormat="false" ht="12.8" hidden="false" customHeight="false" outlineLevel="0" collapsed="false">
      <c r="B73047" s="0" t="s">
        <v>52</v>
      </c>
    </row>
    <row r="73049" customFormat="false" ht="12.8" hidden="false" customHeight="false" outlineLevel="0" collapsed="false">
      <c r="A73049" s="0" t="s">
        <v>23636</v>
      </c>
      <c r="B73049" s="0" t="str">
        <f aca="false">HYPERLINK("https://lindat.mff.cuni.cz/services/teitok/pdtc10/index.php?action=vallex&amp;frame=v-w327f9", "činit (v-w327f9)")</f>
        <v>činit (v-w327f9)</v>
      </c>
    </row>
    <row r="73050" customFormat="false" ht="12.8" hidden="false" customHeight="false" outlineLevel="0" collapsed="false">
      <c r="B73050" s="0" t="s">
        <v>1</v>
      </c>
    </row>
    <row r="73051" customFormat="false" ht="12.8" hidden="false" customHeight="false" outlineLevel="0" collapsed="false">
      <c r="B73051" s="0" t="s">
        <v>23637</v>
      </c>
    </row>
    <row r="73052" customFormat="false" ht="12.8" hidden="false" customHeight="false" outlineLevel="0" collapsed="false">
      <c r="B73052" s="0" t="s">
        <v>3889</v>
      </c>
    </row>
    <row r="73054" customFormat="false" ht="12.8" hidden="false" customHeight="false" outlineLevel="0" collapsed="false">
      <c r="A73054" s="0" t="s">
        <v>23638</v>
      </c>
      <c r="B73054" s="0" t="str">
        <f aca="false">HYPERLINK("https://lindat.mff.cuni.cz/services/teitok/pdtc10/index.php?action=vallex&amp;frame=v-w327hsa_1152", "činit (v-w327hsa_1152)")</f>
        <v>činit (v-w327hsa_1152)</v>
      </c>
      <c r="E73054" s="0" t="str">
        <f aca="false">HYPERLINK("https://lindat.mff.cuni.cz/services/SynSemClass40/SynSemClass40.html?veclass=vec00089#vec00089-ces-cm00007", "vec00089")</f>
        <v>vec00089</v>
      </c>
      <c r="F73054" s="0" t="s">
        <v>3959</v>
      </c>
      <c r="H73054" s="0" t="str">
        <f aca="false">HYPERLINK("https://lindat.mff.cuni.cz/services/SynSemClass40/SynSemClass40.html?veclass=vec01188#vec01188-ces-cm00035", "vec01188")</f>
        <v>vec01188</v>
      </c>
      <c r="I73054" s="0" t="s">
        <v>5481</v>
      </c>
    </row>
    <row r="73055" customFormat="false" ht="12.8" hidden="false" customHeight="false" outlineLevel="0" collapsed="false">
      <c r="B73055" s="0" t="s">
        <v>1</v>
      </c>
      <c r="C73055" s="0" t="s">
        <v>5482</v>
      </c>
      <c r="E73055" s="0" t="s">
        <v>31</v>
      </c>
      <c r="F73055" s="0" t="s">
        <v>3960</v>
      </c>
      <c r="H73055" s="0" t="s">
        <v>31</v>
      </c>
      <c r="I73055" s="0" t="s">
        <v>5483</v>
      </c>
    </row>
    <row r="73056" customFormat="false" ht="12.8" hidden="false" customHeight="false" outlineLevel="0" collapsed="false">
      <c r="B73056" s="0" t="s">
        <v>23639</v>
      </c>
      <c r="C73056" s="0" t="s">
        <v>5485</v>
      </c>
      <c r="E73056" s="0" t="s">
        <v>5486</v>
      </c>
      <c r="F73056" s="0" t="s">
        <v>5487</v>
      </c>
      <c r="H73056" s="0" t="s">
        <v>3478</v>
      </c>
      <c r="I73056" s="0" t="s">
        <v>5488</v>
      </c>
    </row>
    <row r="73058" customFormat="false" ht="12.8" hidden="false" customHeight="false" outlineLevel="0" collapsed="false">
      <c r="A73058" s="0" t="s">
        <v>23638</v>
      </c>
      <c r="B73058" s="0" t="str">
        <f aca="false">HYPERLINK("https://lindat.mff.cuni.cz/services/teitok/pdtc10/index.php?action=vallex&amp;frame=v-w327f7", "činit (v-w327f7) - substituted with v-w327hsa_1152")</f>
        <v>činit (v-w327f7) - substituted with v-w327hsa_1152</v>
      </c>
    </row>
    <row r="73059" customFormat="false" ht="12.8" hidden="false" customHeight="false" outlineLevel="0" collapsed="false">
      <c r="B73059" s="0" t="s">
        <v>1</v>
      </c>
    </row>
    <row r="73060" customFormat="false" ht="12.8" hidden="false" customHeight="false" outlineLevel="0" collapsed="false">
      <c r="B73060" s="0" t="s">
        <v>23639</v>
      </c>
    </row>
    <row r="73062" customFormat="false" ht="12.8" hidden="false" customHeight="false" outlineLevel="0" collapsed="false">
      <c r="A73062" s="0" t="s">
        <v>23640</v>
      </c>
      <c r="B73062" s="0" t="str">
        <f aca="false">HYPERLINK("https://lindat.mff.cuni.cz/services/teitok/pdtc10/index.php?action=vallex&amp;frame=v-w327hsa_1151", "činit (v-w327hsa_1151)")</f>
        <v>činit (v-w327hsa_1151)</v>
      </c>
    </row>
    <row r="73063" customFormat="false" ht="12.8" hidden="false" customHeight="false" outlineLevel="0" collapsed="false">
      <c r="B73063" s="0" t="s">
        <v>1</v>
      </c>
    </row>
    <row r="73064" customFormat="false" ht="12.8" hidden="false" customHeight="false" outlineLevel="0" collapsed="false">
      <c r="B73064" s="0" t="s">
        <v>8</v>
      </c>
    </row>
    <row r="73066" customFormat="false" ht="12.8" hidden="false" customHeight="false" outlineLevel="0" collapsed="false">
      <c r="A73066" s="0" t="s">
        <v>23641</v>
      </c>
      <c r="B73066" s="0" t="str">
        <f aca="false">HYPERLINK("https://lindat.mff.cuni.cz/services/teitok/pdtc10/index.php?action=vallex&amp;frame=v-w329f1", "činit se (v-w329f1)")</f>
        <v>činit se (v-w329f1)</v>
      </c>
    </row>
    <row r="73067" customFormat="false" ht="12.8" hidden="false" customHeight="false" outlineLevel="0" collapsed="false">
      <c r="B73067" s="0" t="s">
        <v>1</v>
      </c>
    </row>
    <row r="73069" customFormat="false" ht="12.8" hidden="false" customHeight="false" outlineLevel="0" collapsed="false">
      <c r="A73069" s="0" t="s">
        <v>23642</v>
      </c>
      <c r="B73069" s="0" t="str">
        <f aca="false">HYPERLINK("https://lindat.mff.cuni.cz/services/teitok/pdtc10/index.php?action=vallex&amp;frame=v-w330f2", "činit si (v-w330f2)")</f>
        <v>činit si (v-w330f2)</v>
      </c>
    </row>
    <row r="73070" customFormat="false" ht="12.8" hidden="false" customHeight="false" outlineLevel="0" collapsed="false">
      <c r="B73070" s="0" t="s">
        <v>1</v>
      </c>
    </row>
    <row r="73071" customFormat="false" ht="12.8" hidden="false" customHeight="false" outlineLevel="0" collapsed="false">
      <c r="B73071" s="0" t="s">
        <v>8</v>
      </c>
    </row>
    <row r="73073" customFormat="false" ht="12.8" hidden="false" customHeight="false" outlineLevel="0" collapsed="false">
      <c r="A73073" s="0" t="s">
        <v>23643</v>
      </c>
      <c r="B73073" s="0" t="str">
        <f aca="false">HYPERLINK("https://lindat.mff.cuni.cz/services/teitok/pdtc10/index.php?action=vallex&amp;frame=v-w330f1", "činit si (v-w330f1)")</f>
        <v>činit si (v-w330f1)</v>
      </c>
    </row>
    <row r="73074" customFormat="false" ht="12.8" hidden="false" customHeight="false" outlineLevel="0" collapsed="false">
      <c r="B73074" s="0" t="s">
        <v>1</v>
      </c>
    </row>
    <row r="73075" customFormat="false" ht="12.8" hidden="false" customHeight="false" outlineLevel="0" collapsed="false">
      <c r="B73075" s="0" t="s">
        <v>3968</v>
      </c>
    </row>
    <row r="73077" customFormat="false" ht="12.8" hidden="false" customHeight="false" outlineLevel="0" collapsed="false">
      <c r="A73077" s="0" t="s">
        <v>23644</v>
      </c>
      <c r="B73077" s="0" t="str">
        <f aca="false">HYPERLINK("https://lindat.mff.cuni.cz/services/teitok/pdtc10/index.php?action=vallex&amp;frame=v-w336f1", "čistit (v-w336f1)")</f>
        <v>čistit (v-w336f1)</v>
      </c>
      <c r="E73077" s="0" t="str">
        <f aca="false">HYPERLINK("https://lindat.mff.cuni.cz/services/SynSemClass40/SynSemClass40.html?veclass=vec00552#vec00552-ces-cm00002", "vec00552")</f>
        <v>vec00552</v>
      </c>
      <c r="F73077" s="0" t="s">
        <v>5992</v>
      </c>
      <c r="H73077" s="0" t="str">
        <f aca="false">HYPERLINK("https://lindat.mff.cuni.cz/services/SynSemClass40/SynSemClass40.html?veclass=vec01525#vec01525-ces-cm00001", "vec01525")</f>
        <v>vec01525</v>
      </c>
      <c r="I73077" s="0" t="s">
        <v>5689</v>
      </c>
    </row>
    <row r="73078" customFormat="false" ht="12.8" hidden="false" customHeight="false" outlineLevel="0" collapsed="false">
      <c r="B73078" s="0" t="s">
        <v>1</v>
      </c>
      <c r="C73078" s="0" t="s">
        <v>428</v>
      </c>
      <c r="E73078" s="0" t="s">
        <v>31</v>
      </c>
      <c r="F73078" s="0" t="s">
        <v>5993</v>
      </c>
      <c r="H73078" s="0" t="s">
        <v>5690</v>
      </c>
      <c r="I73078" s="0" t="s">
        <v>5691</v>
      </c>
    </row>
    <row r="73079" customFormat="false" ht="12.8" hidden="false" customHeight="false" outlineLevel="0" collapsed="false">
      <c r="B73079" s="0" t="s">
        <v>8</v>
      </c>
      <c r="C73079" s="0" t="s">
        <v>17812</v>
      </c>
      <c r="E73079" s="0" t="s">
        <v>34</v>
      </c>
      <c r="F73079" s="0" t="s">
        <v>5995</v>
      </c>
      <c r="H73079" s="0" t="s">
        <v>5693</v>
      </c>
      <c r="I73079" s="0" t="s">
        <v>5694</v>
      </c>
    </row>
    <row r="73080" customFormat="false" ht="12.8" hidden="false" customHeight="false" outlineLevel="0" collapsed="false">
      <c r="B73080" s="0" t="s">
        <v>602</v>
      </c>
      <c r="C73080" s="0" t="s">
        <v>12931</v>
      </c>
      <c r="E73080" s="0" t="s">
        <v>9867</v>
      </c>
      <c r="F73080" s="0" t="s">
        <v>10302</v>
      </c>
    </row>
    <row r="73082" customFormat="false" ht="12.8" hidden="false" customHeight="false" outlineLevel="0" collapsed="false">
      <c r="A73082" s="0" t="s">
        <v>23645</v>
      </c>
      <c r="B73082" s="0" t="str">
        <f aca="false">HYPERLINK("https://lindat.mff.cuni.cz/services/teitok/pdtc10/index.php?action=vallex&amp;frame=v-w338f1", "čišet (v-w338f1)")</f>
        <v>čišet (v-w338f1)</v>
      </c>
      <c r="E73082" s="0" t="str">
        <f aca="false">HYPERLINK("https://lindat.mff.cuni.cz/services/SynSemClass40/SynSemClass40.html?veclass=vec00258#vec00258-ces-cm00065", "vec00258")</f>
        <v>vec00258</v>
      </c>
      <c r="F73082" s="0" t="s">
        <v>10649</v>
      </c>
    </row>
    <row r="73083" customFormat="false" ht="12.8" hidden="false" customHeight="false" outlineLevel="0" collapsed="false">
      <c r="B73083" s="0" t="s">
        <v>1</v>
      </c>
      <c r="C73083" s="0" t="s">
        <v>10650</v>
      </c>
      <c r="E73083" s="0" t="s">
        <v>957</v>
      </c>
      <c r="F73083" s="0" t="s">
        <v>10651</v>
      </c>
    </row>
    <row r="73085" customFormat="false" ht="12.8" hidden="false" customHeight="false" outlineLevel="0" collapsed="false">
      <c r="A73085" s="0" t="s">
        <v>23646</v>
      </c>
      <c r="B73085" s="0" t="str">
        <f aca="false">HYPERLINK("https://lindat.mff.cuni.cz/services/teitok/pdtc10/index.php?action=vallex&amp;frame=v-w338f2", "čišet (v-w338f2)")</f>
        <v>čišet (v-w338f2)</v>
      </c>
    </row>
    <row r="73087" customFormat="false" ht="12.8" hidden="false" customHeight="false" outlineLevel="0" collapsed="false">
      <c r="A73087" s="0" t="s">
        <v>23647</v>
      </c>
      <c r="B73087" s="0" t="str">
        <f aca="false">HYPERLINK("https://lindat.mff.cuni.cz/services/teitok/pdtc10/index.php?action=vallex&amp;frame=v-w347f1", "členit (v-w347f1)")</f>
        <v>členit (v-w347f1)</v>
      </c>
    </row>
    <row r="73088" customFormat="false" ht="12.8" hidden="false" customHeight="false" outlineLevel="0" collapsed="false">
      <c r="B73088" s="0" t="s">
        <v>1</v>
      </c>
    </row>
    <row r="73089" customFormat="false" ht="12.8" hidden="false" customHeight="false" outlineLevel="0" collapsed="false">
      <c r="B73089" s="0" t="s">
        <v>8</v>
      </c>
    </row>
    <row r="73090" customFormat="false" ht="12.8" hidden="false" customHeight="false" outlineLevel="0" collapsed="false">
      <c r="B73090" s="0" t="s">
        <v>3211</v>
      </c>
    </row>
    <row r="73092" customFormat="false" ht="12.8" hidden="false" customHeight="false" outlineLevel="0" collapsed="false">
      <c r="A73092" s="0" t="s">
        <v>23648</v>
      </c>
      <c r="B73092" s="0" t="str">
        <f aca="false">HYPERLINK("https://lindat.mff.cuni.cz/services/teitok/pdtc10/index.php?action=vallex&amp;frame=v-w11507_ZUf1_ZU", "čmajznout (v-w11507_ZUf1_ZU)")</f>
        <v>čmajznout (v-w11507_ZUf1_ZU)</v>
      </c>
    </row>
    <row r="73093" customFormat="false" ht="12.8" hidden="false" customHeight="false" outlineLevel="0" collapsed="false">
      <c r="B73093" s="0" t="s">
        <v>1</v>
      </c>
    </row>
    <row r="73094" customFormat="false" ht="12.8" hidden="false" customHeight="false" outlineLevel="0" collapsed="false">
      <c r="B73094" s="0" t="s">
        <v>8</v>
      </c>
    </row>
    <row r="73095" customFormat="false" ht="12.8" hidden="false" customHeight="false" outlineLevel="0" collapsed="false">
      <c r="B73095" s="0" t="s">
        <v>52</v>
      </c>
    </row>
    <row r="73097" customFormat="false" ht="12.8" hidden="false" customHeight="false" outlineLevel="0" collapsed="false">
      <c r="A73097" s="0" t="s">
        <v>23649</v>
      </c>
      <c r="B73097" s="0" t="str">
        <f aca="false">HYPERLINK("https://lindat.mff.cuni.cz/services/teitok/pdtc10/index.php?action=vallex&amp;frame=v-w10684f2", "čnět (v-w10684f2)")</f>
        <v>čnět (v-w10684f2)</v>
      </c>
    </row>
    <row r="73098" customFormat="false" ht="12.8" hidden="false" customHeight="false" outlineLevel="0" collapsed="false">
      <c r="B73098" s="0" t="s">
        <v>1</v>
      </c>
    </row>
    <row r="73100" customFormat="false" ht="12.8" hidden="false" customHeight="false" outlineLevel="0" collapsed="false">
      <c r="A73100" s="0" t="s">
        <v>23650</v>
      </c>
      <c r="B73100" s="0" t="str">
        <f aca="false">HYPERLINK("https://lindat.mff.cuni.cz/services/teitok/pdtc10/index.php?action=vallex&amp;frame=v-w349f1", "čouhat (v-w349f1)")</f>
        <v>čouhat (v-w349f1)</v>
      </c>
    </row>
    <row r="73101" customFormat="false" ht="12.8" hidden="false" customHeight="false" outlineLevel="0" collapsed="false">
      <c r="B73101" s="0" t="s">
        <v>1</v>
      </c>
    </row>
    <row r="73102" customFormat="false" ht="12.8" hidden="false" customHeight="false" outlineLevel="0" collapsed="false">
      <c r="B73102" s="0" t="s">
        <v>631</v>
      </c>
    </row>
    <row r="73104" customFormat="false" ht="12.8" hidden="false" customHeight="false" outlineLevel="0" collapsed="false">
      <c r="A73104" s="0" t="s">
        <v>23651</v>
      </c>
      <c r="B73104" s="0" t="str">
        <f aca="false">HYPERLINK("https://lindat.mff.cuni.cz/services/teitok/pdtc10/index.php?action=vallex&amp;frame=v-w350f1", "čpět (v-w350f1)")</f>
        <v>čpět (v-w350f1)</v>
      </c>
    </row>
    <row r="73105" customFormat="false" ht="12.8" hidden="false" customHeight="false" outlineLevel="0" collapsed="false">
      <c r="B73105" s="0" t="s">
        <v>1</v>
      </c>
    </row>
    <row r="73106" customFormat="false" ht="12.8" hidden="false" customHeight="false" outlineLevel="0" collapsed="false">
      <c r="B73106" s="0" t="s">
        <v>13036</v>
      </c>
    </row>
    <row r="73108" customFormat="false" ht="12.8" hidden="false" customHeight="false" outlineLevel="0" collapsed="false">
      <c r="A73108" s="0" t="s">
        <v>23652</v>
      </c>
      <c r="B73108" s="0" t="str">
        <f aca="false">HYPERLINK("https://lindat.mff.cuni.cz/services/teitok/pdtc10/index.php?action=vallex&amp;frame=v-w11949_ZUf1_ZU", "črtat (v-w11949_ZUf1_ZU)")</f>
        <v>črtat (v-w11949_ZUf1_ZU)</v>
      </c>
    </row>
    <row r="73109" customFormat="false" ht="12.8" hidden="false" customHeight="false" outlineLevel="0" collapsed="false">
      <c r="B73109" s="0" t="s">
        <v>1</v>
      </c>
    </row>
    <row r="73110" customFormat="false" ht="12.8" hidden="false" customHeight="false" outlineLevel="0" collapsed="false">
      <c r="B73110" s="0" t="s">
        <v>8</v>
      </c>
    </row>
    <row r="73112" customFormat="false" ht="12.8" hidden="false" customHeight="false" outlineLevel="0" collapsed="false">
      <c r="A73112" s="0" t="s">
        <v>23653</v>
      </c>
      <c r="B73112" s="0" t="str">
        <f aca="false">HYPERLINK("https://lindat.mff.cuni.cz/services/teitok/pdtc10/index.php?action=vallex&amp;frame=v-whsa_312f1_ZU", "čumět (v-whsa_312f1_ZU)")</f>
        <v>čumět (v-whsa_312f1_ZU)</v>
      </c>
    </row>
    <row r="73113" customFormat="false" ht="12.8" hidden="false" customHeight="false" outlineLevel="0" collapsed="false">
      <c r="B73113" s="0" t="s">
        <v>1</v>
      </c>
    </row>
    <row r="73114" customFormat="false" ht="12.8" hidden="false" customHeight="false" outlineLevel="0" collapsed="false">
      <c r="B73114" s="0" t="s">
        <v>164</v>
      </c>
    </row>
    <row r="73116" customFormat="false" ht="12.8" hidden="false" customHeight="false" outlineLevel="0" collapsed="false">
      <c r="A73116" s="0" t="s">
        <v>23653</v>
      </c>
      <c r="B73116" s="0" t="str">
        <f aca="false">HYPERLINK("https://lindat.mff.cuni.cz/services/teitok/pdtc10/index.php?action=vallex&amp;frame=v-whsa_312hsa_313", "čumět (v-whsa_312hsa_313) - substituted with v-whsa_312f1_ZU")</f>
        <v>čumět (v-whsa_312hsa_313) - substituted with v-whsa_312f1_ZU</v>
      </c>
    </row>
    <row r="73117" customFormat="false" ht="12.8" hidden="false" customHeight="false" outlineLevel="0" collapsed="false">
      <c r="B73117" s="0" t="s">
        <v>1</v>
      </c>
    </row>
    <row r="73118" customFormat="false" ht="12.8" hidden="false" customHeight="false" outlineLevel="0" collapsed="false">
      <c r="B73118" s="0" t="s">
        <v>164</v>
      </c>
    </row>
    <row r="73120" customFormat="false" ht="12.8" hidden="false" customHeight="false" outlineLevel="0" collapsed="false">
      <c r="A73120" s="0" t="s">
        <v>23654</v>
      </c>
      <c r="B73120" s="0" t="str">
        <f aca="false">HYPERLINK("https://lindat.mff.cuni.cz/services/teitok/pdtc10/index.php?action=vallex&amp;frame=v-whsa_312f2_ZU", "čumět (v-whsa_312f2_ZU)")</f>
        <v>čumět (v-whsa_312f2_ZU)</v>
      </c>
    </row>
    <row r="73121" customFormat="false" ht="12.8" hidden="false" customHeight="false" outlineLevel="0" collapsed="false">
      <c r="B73121" s="0" t="s">
        <v>1</v>
      </c>
    </row>
    <row r="73122" customFormat="false" ht="12.8" hidden="false" customHeight="false" outlineLevel="0" collapsed="false">
      <c r="B73122" s="0" t="s">
        <v>45</v>
      </c>
    </row>
    <row r="73124" customFormat="false" ht="12.8" hidden="false" customHeight="false" outlineLevel="0" collapsed="false">
      <c r="A73124" s="0" t="s">
        <v>23655</v>
      </c>
      <c r="B73124" s="0" t="str">
        <f aca="false">HYPERLINK("https://lindat.mff.cuni.cz/services/teitok/pdtc10/index.php?action=vallex&amp;frame=v-whsa_1593hsa_1594", "čučet (v-whsa_1593hsa_1594)")</f>
        <v>čučet (v-whsa_1593hsa_1594)</v>
      </c>
    </row>
    <row r="73125" customFormat="false" ht="12.8" hidden="false" customHeight="false" outlineLevel="0" collapsed="false">
      <c r="B73125" s="0" t="s">
        <v>1</v>
      </c>
    </row>
    <row r="73126" customFormat="false" ht="12.8" hidden="false" customHeight="false" outlineLevel="0" collapsed="false">
      <c r="B73126" s="0" t="s">
        <v>164</v>
      </c>
    </row>
    <row r="73128" customFormat="false" ht="12.8" hidden="false" customHeight="false" outlineLevel="0" collapsed="false">
      <c r="A73128" s="0" t="s">
        <v>23656</v>
      </c>
      <c r="B73128" s="0" t="str">
        <f aca="false">HYPERLINK("https://lindat.mff.cuni.cz/services/teitok/pdtc10/index.php?action=vallex&amp;frame=v-w11864_ZUf1_ZU", "čučet (v-w11864_ZUf1_ZU)")</f>
        <v>čučet (v-w11864_ZUf1_ZU)</v>
      </c>
    </row>
    <row r="73129" customFormat="false" ht="12.8" hidden="false" customHeight="false" outlineLevel="0" collapsed="false">
      <c r="B73129" s="0" t="s">
        <v>1</v>
      </c>
    </row>
    <row r="73130" customFormat="false" ht="12.8" hidden="false" customHeight="false" outlineLevel="0" collapsed="false">
      <c r="B73130" s="0" t="s">
        <v>6273</v>
      </c>
    </row>
    <row r="73132" customFormat="false" ht="12.8" hidden="false" customHeight="false" outlineLevel="0" collapsed="false">
      <c r="A73132" s="0" t="s">
        <v>23657</v>
      </c>
      <c r="B73132" s="0" t="str">
        <f aca="false">HYPERLINK("https://lindat.mff.cuni.cz/services/teitok/pdtc10/index.php?action=vallex&amp;frame=v-w12287_MMf1_MM", "čvachtat se (v-w12287_MMf1_MM)")</f>
        <v>čvachtat se (v-w12287_MMf1_MM)</v>
      </c>
    </row>
    <row r="73133" customFormat="false" ht="12.8" hidden="false" customHeight="false" outlineLevel="0" collapsed="false">
      <c r="B73133" s="0" t="s">
        <v>1</v>
      </c>
    </row>
    <row r="73135" customFormat="false" ht="12.8" hidden="false" customHeight="false" outlineLevel="0" collapsed="false">
      <c r="A73135" s="0" t="s">
        <v>23658</v>
      </c>
      <c r="B73135" s="0" t="str">
        <f aca="false">HYPERLINK("https://lindat.mff.cuni.cz/services/teitok/pdtc10/index.php?action=vallex&amp;frame=v-w11506_ZUf1_ZU", "číhat (v-w11506_ZUf1_ZU)")</f>
        <v>číhat (v-w11506_ZUf1_ZU)</v>
      </c>
      <c r="E73135" s="0" t="str">
        <f aca="false">HYPERLINK("https://lindat.mff.cuni.cz/services/SynSemClass40/SynSemClass40.html?veclass=vec00003#vec00003-ces-cm00040", "vec00003")</f>
        <v>vec00003</v>
      </c>
      <c r="F73135" s="0" t="s">
        <v>10280</v>
      </c>
    </row>
    <row r="73136" customFormat="false" ht="12.8" hidden="false" customHeight="false" outlineLevel="0" collapsed="false">
      <c r="B73136" s="0" t="s">
        <v>1</v>
      </c>
      <c r="C73136" s="0" t="s">
        <v>10281</v>
      </c>
      <c r="E73136" s="0" t="s">
        <v>11</v>
      </c>
      <c r="F73136" s="0" t="s">
        <v>10282</v>
      </c>
    </row>
    <row r="73137" customFormat="false" ht="12.8" hidden="false" customHeight="false" outlineLevel="0" collapsed="false">
      <c r="B73137" s="0" t="s">
        <v>23659</v>
      </c>
      <c r="C73137" s="0" t="s">
        <v>10284</v>
      </c>
      <c r="E73137" s="0" t="s">
        <v>3054</v>
      </c>
      <c r="F73137" s="0" t="s">
        <v>10285</v>
      </c>
    </row>
    <row r="73139" customFormat="false" ht="12.8" hidden="false" customHeight="false" outlineLevel="0" collapsed="false">
      <c r="A73139" s="0" t="s">
        <v>23660</v>
      </c>
      <c r="B73139" s="0" t="str">
        <f aca="false">HYPERLINK("https://lindat.mff.cuni.cz/services/teitok/pdtc10/index.php?action=vallex&amp;frame=v-w332f1", "číslovat (v-w332f1)")</f>
        <v>číslovat (v-w332f1)</v>
      </c>
    </row>
    <row r="73140" customFormat="false" ht="12.8" hidden="false" customHeight="false" outlineLevel="0" collapsed="false">
      <c r="B73140" s="0" t="s">
        <v>1</v>
      </c>
    </row>
    <row r="73141" customFormat="false" ht="12.8" hidden="false" customHeight="false" outlineLevel="0" collapsed="false">
      <c r="B73141" s="0" t="s">
        <v>8</v>
      </c>
    </row>
    <row r="73143" customFormat="false" ht="12.8" hidden="false" customHeight="false" outlineLevel="0" collapsed="false">
      <c r="A73143" s="0" t="s">
        <v>23661</v>
      </c>
      <c r="B73143" s="0" t="str">
        <f aca="false">HYPERLINK("https://lindat.mff.cuni.cz/services/teitok/pdtc10/index.php?action=vallex&amp;frame=v-w333f4", "číst (v-w333f4)")</f>
        <v>číst (v-w333f4)</v>
      </c>
      <c r="E73143" s="0" t="str">
        <f aca="false">HYPERLINK("https://lindat.mff.cuni.cz/services/SynSemClass40/SynSemClass40.html?veclass=vec00690#vec00690-ces-cm00004", "vec00690")</f>
        <v>vec00690</v>
      </c>
      <c r="F73143" s="0" t="s">
        <v>9532</v>
      </c>
    </row>
    <row r="73144" customFormat="false" ht="12.8" hidden="false" customHeight="false" outlineLevel="0" collapsed="false">
      <c r="B73144" s="0" t="s">
        <v>1</v>
      </c>
      <c r="C73144" s="0" t="s">
        <v>4774</v>
      </c>
      <c r="E73144" s="0" t="s">
        <v>147</v>
      </c>
      <c r="F73144" s="0" t="s">
        <v>9534</v>
      </c>
    </row>
    <row r="73145" customFormat="false" ht="12.8" hidden="false" customHeight="false" outlineLevel="0" collapsed="false">
      <c r="B73145" s="0" t="s">
        <v>318</v>
      </c>
      <c r="C73145" s="0" t="s">
        <v>13329</v>
      </c>
      <c r="E73145" s="0" t="s">
        <v>218</v>
      </c>
      <c r="F73145" s="0" t="s">
        <v>9536</v>
      </c>
    </row>
    <row r="73146" customFormat="false" ht="12.8" hidden="false" customHeight="false" outlineLevel="0" collapsed="false">
      <c r="B73146" s="0" t="s">
        <v>132</v>
      </c>
      <c r="C73146" s="0" t="s">
        <v>1391</v>
      </c>
      <c r="E73146" s="0" t="s">
        <v>221</v>
      </c>
      <c r="F73146" s="0" t="s">
        <v>5579</v>
      </c>
    </row>
    <row r="73148" customFormat="false" ht="12.8" hidden="false" customHeight="false" outlineLevel="0" collapsed="false">
      <c r="A73148" s="0" t="s">
        <v>23662</v>
      </c>
      <c r="B73148" s="0" t="str">
        <f aca="false">HYPERLINK("https://lindat.mff.cuni.cz/services/teitok/pdtc10/index.php?action=vallex&amp;frame=v-w333f1", "číst (v-w333f1)")</f>
        <v>číst (v-w333f1)</v>
      </c>
      <c r="E73148" s="0" t="str">
        <f aca="false">HYPERLINK("https://lindat.mff.cuni.cz/services/SynSemClass40/SynSemClass40.html?veclass=vec00207#vec00207-ces-cm00001", "vec00207")</f>
        <v>vec00207</v>
      </c>
      <c r="F73148" s="0" t="s">
        <v>13879</v>
      </c>
    </row>
    <row r="73149" customFormat="false" ht="12.8" hidden="false" customHeight="false" outlineLevel="0" collapsed="false">
      <c r="B73149" s="0" t="s">
        <v>1</v>
      </c>
      <c r="C73149" s="0" t="s">
        <v>13880</v>
      </c>
      <c r="E73149" s="0" t="s">
        <v>637</v>
      </c>
      <c r="F73149" s="0" t="s">
        <v>13881</v>
      </c>
    </row>
    <row r="73150" customFormat="false" ht="12.8" hidden="false" customHeight="false" outlineLevel="0" collapsed="false">
      <c r="B73150" s="0" t="s">
        <v>8</v>
      </c>
      <c r="C73150" s="0" t="s">
        <v>13882</v>
      </c>
      <c r="E73150" s="0" t="s">
        <v>640</v>
      </c>
      <c r="F73150" s="0" t="s">
        <v>13883</v>
      </c>
    </row>
    <row r="73152" customFormat="false" ht="12.8" hidden="false" customHeight="false" outlineLevel="0" collapsed="false">
      <c r="A73152" s="0" t="s">
        <v>23663</v>
      </c>
      <c r="B73152" s="0" t="str">
        <f aca="false">HYPERLINK("https://lindat.mff.cuni.cz/services/teitok/pdtc10/index.php?action=vallex&amp;frame=v-w333f5", "číst (v-w333f5)")</f>
        <v>číst (v-w333f5)</v>
      </c>
      <c r="E73152" s="0" t="str">
        <f aca="false">HYPERLINK("https://lindat.mff.cuni.cz/services/SynSemClass40/SynSemClass40.html?veclass=vec00207#vec00207-ces-cm00006", "vec00207")</f>
        <v>vec00207</v>
      </c>
      <c r="F73152" s="0" t="s">
        <v>13879</v>
      </c>
    </row>
    <row r="73153" customFormat="false" ht="12.8" hidden="false" customHeight="false" outlineLevel="0" collapsed="false">
      <c r="B73153" s="0" t="s">
        <v>1</v>
      </c>
      <c r="C73153" s="0" t="s">
        <v>13880</v>
      </c>
      <c r="E73153" s="0" t="s">
        <v>637</v>
      </c>
      <c r="F73153" s="0" t="s">
        <v>13881</v>
      </c>
    </row>
    <row r="73154" customFormat="false" ht="12.8" hidden="false" customHeight="false" outlineLevel="0" collapsed="false">
      <c r="B73154" s="0" t="s">
        <v>8</v>
      </c>
      <c r="C73154" s="0" t="s">
        <v>13882</v>
      </c>
      <c r="E73154" s="0" t="s">
        <v>640</v>
      </c>
      <c r="F73154" s="0" t="s">
        <v>13883</v>
      </c>
    </row>
    <row r="73156" customFormat="false" ht="12.8" hidden="false" customHeight="false" outlineLevel="0" collapsed="false">
      <c r="A73156" s="0" t="s">
        <v>23664</v>
      </c>
      <c r="B73156" s="0" t="str">
        <f aca="false">HYPERLINK("https://lindat.mff.cuni.cz/services/teitok/pdtc10/index.php?action=vallex&amp;frame=v-w333f2", "číst (v-w333f2)")</f>
        <v>číst (v-w333f2)</v>
      </c>
      <c r="E73156" s="0" t="str">
        <f aca="false">HYPERLINK("https://lindat.mff.cuni.cz/services/SynSemClass40/SynSemClass40.html?veclass=vec00690#vec00690-ces-cm00003", "vec00690")</f>
        <v>vec00690</v>
      </c>
      <c r="F73156" s="0" t="s">
        <v>9532</v>
      </c>
    </row>
    <row r="73157" customFormat="false" ht="12.8" hidden="false" customHeight="false" outlineLevel="0" collapsed="false">
      <c r="B73157" s="0" t="s">
        <v>1</v>
      </c>
      <c r="C73157" s="0" t="s">
        <v>4774</v>
      </c>
      <c r="E73157" s="0" t="s">
        <v>147</v>
      </c>
      <c r="F73157" s="0" t="s">
        <v>9534</v>
      </c>
    </row>
    <row r="73158" customFormat="false" ht="12.8" hidden="false" customHeight="false" outlineLevel="0" collapsed="false">
      <c r="B73158" s="0" t="s">
        <v>13326</v>
      </c>
      <c r="C73158" s="0" t="s">
        <v>13327</v>
      </c>
      <c r="E73158" s="0" t="s">
        <v>2217</v>
      </c>
      <c r="F73158" s="0" t="s">
        <v>13328</v>
      </c>
    </row>
    <row r="73159" customFormat="false" ht="12.8" hidden="false" customHeight="false" outlineLevel="0" collapsed="false">
      <c r="B73159" s="0" t="s">
        <v>496</v>
      </c>
      <c r="C73159" s="0" t="s">
        <v>13329</v>
      </c>
      <c r="E73159" s="0" t="s">
        <v>218</v>
      </c>
      <c r="F73159" s="0" t="s">
        <v>9536</v>
      </c>
    </row>
    <row r="73160" customFormat="false" ht="12.8" hidden="false" customHeight="false" outlineLevel="0" collapsed="false">
      <c r="B73160" s="0" t="s">
        <v>132</v>
      </c>
      <c r="C73160" s="0" t="s">
        <v>1391</v>
      </c>
      <c r="E73160" s="0" t="s">
        <v>221</v>
      </c>
      <c r="F73160" s="0" t="s">
        <v>5579</v>
      </c>
    </row>
    <row r="73162" customFormat="false" ht="12.8" hidden="false" customHeight="false" outlineLevel="0" collapsed="false">
      <c r="A73162" s="0" t="s">
        <v>23665</v>
      </c>
      <c r="B73162" s="0" t="str">
        <f aca="false">HYPERLINK("https://lindat.mff.cuni.cz/services/teitok/pdtc10/index.php?action=vallex&amp;frame=v-w333f3", "číst (v-w333f3)")</f>
        <v>číst (v-w333f3)</v>
      </c>
      <c r="E73162" s="0" t="str">
        <f aca="false">HYPERLINK("https://lindat.mff.cuni.cz/services/SynSemClass40/SynSemClass40.html?veclass=vec01010#vec01010-ces-cm00001", "vec01010")</f>
        <v>vec01010</v>
      </c>
      <c r="F73162" s="0" t="s">
        <v>23666</v>
      </c>
    </row>
    <row r="73163" customFormat="false" ht="12.8" hidden="false" customHeight="false" outlineLevel="0" collapsed="false">
      <c r="B73163" s="0" t="s">
        <v>1</v>
      </c>
      <c r="E73163" s="0" t="s">
        <v>621</v>
      </c>
      <c r="F73163" s="0" t="s">
        <v>4213</v>
      </c>
    </row>
    <row r="73165" customFormat="false" ht="12.8" hidden="false" customHeight="false" outlineLevel="0" collapsed="false">
      <c r="A73165" s="0" t="s">
        <v>23667</v>
      </c>
      <c r="B73165" s="0" t="str">
        <f aca="false">HYPERLINK("https://lindat.mff.cuni.cz/services/teitok/pdtc10/index.php?action=vallex&amp;frame=v-w341f2", "čítat (v-w341f2)")</f>
        <v>čítat (v-w341f2)</v>
      </c>
    </row>
    <row r="73166" customFormat="false" ht="12.8" hidden="false" customHeight="false" outlineLevel="0" collapsed="false">
      <c r="B73166" s="0" t="s">
        <v>1</v>
      </c>
    </row>
    <row r="73167" customFormat="false" ht="12.8" hidden="false" customHeight="false" outlineLevel="0" collapsed="false">
      <c r="B73167" s="0" t="s">
        <v>8</v>
      </c>
    </row>
    <row r="73169" customFormat="false" ht="12.8" hidden="false" customHeight="false" outlineLevel="0" collapsed="false">
      <c r="A73169" s="0" t="s">
        <v>23668</v>
      </c>
      <c r="B73169" s="0" t="str">
        <f aca="false">HYPERLINK("https://lindat.mff.cuni.cz/services/teitok/pdtc10/index.php?action=vallex&amp;frame=v-w341f1", "čítat (v-w341f1)")</f>
        <v>čítat (v-w341f1)</v>
      </c>
      <c r="E73169" s="0" t="str">
        <f aca="false">HYPERLINK("https://lindat.mff.cuni.cz/services/SynSemClass40/SynSemClass40.html?veclass=vec00206#vec00206-ces-cm00002", "vec00206")</f>
        <v>vec00206</v>
      </c>
      <c r="F73169" s="0" t="s">
        <v>2728</v>
      </c>
    </row>
    <row r="73170" customFormat="false" ht="12.8" hidden="false" customHeight="false" outlineLevel="0" collapsed="false">
      <c r="B73170" s="0" t="s">
        <v>1</v>
      </c>
      <c r="C73170" s="0" t="s">
        <v>2729</v>
      </c>
      <c r="E73170" s="0" t="s">
        <v>235</v>
      </c>
      <c r="F73170" s="0" t="s">
        <v>2730</v>
      </c>
    </row>
    <row r="73171" customFormat="false" ht="12.8" hidden="false" customHeight="false" outlineLevel="0" collapsed="false">
      <c r="B73171" s="0" t="s">
        <v>865</v>
      </c>
      <c r="C73171" s="0" t="s">
        <v>8454</v>
      </c>
      <c r="E73171" s="0" t="s">
        <v>6992</v>
      </c>
      <c r="F73171" s="0" t="s">
        <v>6993</v>
      </c>
    </row>
    <row r="73173" customFormat="false" ht="12.8" hidden="false" customHeight="false" outlineLevel="0" collapsed="false">
      <c r="A73173" s="0" t="s">
        <v>23669</v>
      </c>
      <c r="B73173" s="0" t="str">
        <f aca="false">HYPERLINK("https://lindat.mff.cuni.cz/services/teitok/pdtc10/index.php?action=vallex&amp;frame=v-w342f1", "čítávat (v-w342f1)")</f>
        <v>čítávat (v-w342f1)</v>
      </c>
      <c r="E73173" s="0" t="str">
        <f aca="false">HYPERLINK("https://lindat.mff.cuni.cz/services/SynSemClass40/SynSemClass40.html?veclass=vec00207#vec00207-ces-cm00008", "vec00207")</f>
        <v>vec00207</v>
      </c>
      <c r="F73173" s="0" t="s">
        <v>13879</v>
      </c>
    </row>
    <row r="73174" customFormat="false" ht="12.8" hidden="false" customHeight="false" outlineLevel="0" collapsed="false">
      <c r="B73174" s="0" t="s">
        <v>1</v>
      </c>
      <c r="C73174" s="0" t="s">
        <v>13880</v>
      </c>
      <c r="E73174" s="0" t="s">
        <v>637</v>
      </c>
      <c r="F73174" s="0" t="s">
        <v>13881</v>
      </c>
    </row>
    <row r="73175" customFormat="false" ht="12.8" hidden="false" customHeight="false" outlineLevel="0" collapsed="false">
      <c r="B73175" s="0" t="s">
        <v>8</v>
      </c>
      <c r="C73175" s="0" t="s">
        <v>13882</v>
      </c>
      <c r="E73175" s="0" t="s">
        <v>640</v>
      </c>
      <c r="F73175" s="0" t="s">
        <v>13883</v>
      </c>
    </row>
    <row r="73177" customFormat="false" ht="12.8" hidden="false" customHeight="false" outlineLevel="0" collapsed="false">
      <c r="A73177" s="0" t="s">
        <v>23670</v>
      </c>
      <c r="B73177" s="0" t="str">
        <f aca="false">HYPERLINK("https://lindat.mff.cuni.cz/services/teitok/pdtc10/index.php?action=vallex&amp;frame=v-whsa_2027hsa_2028", "čůrat (v-whsa_2027hsa_2028)")</f>
        <v>čůrat (v-whsa_2027hsa_2028)</v>
      </c>
    </row>
    <row r="73178" customFormat="false" ht="12.8" hidden="false" customHeight="false" outlineLevel="0" collapsed="false">
      <c r="B73178" s="0" t="s">
        <v>1</v>
      </c>
    </row>
    <row r="73180" customFormat="false" ht="12.8" hidden="false" customHeight="false" outlineLevel="0" collapsed="false">
      <c r="A73180" s="0" t="s">
        <v>23671</v>
      </c>
      <c r="B73180" s="0" t="str">
        <f aca="false">HYPERLINK("https://lindat.mff.cuni.cz/services/teitok/pdtc10/index.php?action=vallex&amp;frame=v-w5858f1", "řadit (v-w5858f1)")</f>
        <v>řadit (v-w5858f1)</v>
      </c>
      <c r="E73180" s="0" t="str">
        <f aca="false">HYPERLINK("https://lindat.mff.cuni.cz/services/SynSemClass40/SynSemClass40.html?veclass=vec00916#vec00916-ces-cm00001", "vec00916")</f>
        <v>vec00916</v>
      </c>
      <c r="F73180" s="0" t="s">
        <v>5268</v>
      </c>
    </row>
    <row r="73181" customFormat="false" ht="12.8" hidden="false" customHeight="false" outlineLevel="0" collapsed="false">
      <c r="B73181" s="0" t="s">
        <v>1</v>
      </c>
      <c r="C73181" s="0" t="s">
        <v>767</v>
      </c>
      <c r="E73181" s="0" t="s">
        <v>206</v>
      </c>
      <c r="F73181" s="0" t="s">
        <v>5269</v>
      </c>
    </row>
    <row r="73182" customFormat="false" ht="12.8" hidden="false" customHeight="false" outlineLevel="0" collapsed="false">
      <c r="B73182" s="0" t="s">
        <v>8</v>
      </c>
      <c r="C73182" s="0" t="s">
        <v>4401</v>
      </c>
      <c r="E73182" s="0" t="s">
        <v>180</v>
      </c>
      <c r="F73182" s="0" t="s">
        <v>5270</v>
      </c>
    </row>
    <row r="73183" customFormat="false" ht="12.8" hidden="false" customHeight="false" outlineLevel="0" collapsed="false">
      <c r="B73183" s="0" t="s">
        <v>164</v>
      </c>
      <c r="C73183" s="0" t="s">
        <v>23672</v>
      </c>
      <c r="E73183" s="0" t="s">
        <v>17086</v>
      </c>
      <c r="F73183" s="0" t="s">
        <v>22380</v>
      </c>
    </row>
    <row r="73185" customFormat="false" ht="12.8" hidden="false" customHeight="false" outlineLevel="0" collapsed="false">
      <c r="A73185" s="0" t="s">
        <v>23673</v>
      </c>
      <c r="B73185" s="0" t="str">
        <f aca="false">HYPERLINK("https://lindat.mff.cuni.cz/services/teitok/pdtc10/index.php?action=vallex&amp;frame=v-w5858f2", "řadit (v-w5858f2)")</f>
        <v>řadit (v-w5858f2)</v>
      </c>
      <c r="E73185" s="0" t="str">
        <f aca="false">HYPERLINK("https://lindat.mff.cuni.cz/services/SynSemClass40/SynSemClass40.html?veclass=vec00488#vec00488-ces-cm00027", "vec00488")</f>
        <v>vec00488</v>
      </c>
      <c r="F73185" s="0" t="s">
        <v>12289</v>
      </c>
      <c r="H73185" s="0" t="str">
        <f aca="false">HYPERLINK("https://lindat.mff.cuni.cz/services/SynSemClass40/SynSemClass40.html?veclass=vec00916#vec00916-ces-cm00031", "vec00916")</f>
        <v>vec00916</v>
      </c>
      <c r="I73185" s="0" t="s">
        <v>5268</v>
      </c>
    </row>
    <row r="73186" customFormat="false" ht="12.8" hidden="false" customHeight="false" outlineLevel="0" collapsed="false">
      <c r="B73186" s="0" t="s">
        <v>1</v>
      </c>
      <c r="C73186" s="0" t="s">
        <v>5649</v>
      </c>
      <c r="E73186" s="0" t="s">
        <v>147</v>
      </c>
      <c r="F73186" s="0" t="s">
        <v>12291</v>
      </c>
      <c r="H73186" s="0" t="s">
        <v>206</v>
      </c>
      <c r="I73186" s="0" t="s">
        <v>5269</v>
      </c>
    </row>
    <row r="73187" customFormat="false" ht="12.8" hidden="false" customHeight="false" outlineLevel="0" collapsed="false">
      <c r="B73187" s="0" t="s">
        <v>8</v>
      </c>
      <c r="C73187" s="0" t="s">
        <v>5070</v>
      </c>
      <c r="E73187" s="0" t="s">
        <v>34</v>
      </c>
      <c r="F73187" s="0" t="s">
        <v>12294</v>
      </c>
      <c r="H73187" s="0" t="s">
        <v>180</v>
      </c>
      <c r="I73187" s="0" t="s">
        <v>5270</v>
      </c>
    </row>
    <row r="73188" customFormat="false" ht="12.8" hidden="false" customHeight="false" outlineLevel="0" collapsed="false">
      <c r="B73188" s="0" t="s">
        <v>164</v>
      </c>
      <c r="C73188" s="0" t="s">
        <v>23674</v>
      </c>
      <c r="E73188" s="0" t="s">
        <v>23675</v>
      </c>
      <c r="F73188" s="0" t="s">
        <v>23676</v>
      </c>
      <c r="H73188" s="0" t="s">
        <v>17086</v>
      </c>
      <c r="I73188" s="0" t="s">
        <v>22380</v>
      </c>
    </row>
    <row r="73190" customFormat="false" ht="12.8" hidden="false" customHeight="false" outlineLevel="0" collapsed="false">
      <c r="A73190" s="0" t="s">
        <v>23677</v>
      </c>
      <c r="B73190" s="0" t="str">
        <f aca="false">HYPERLINK("https://lindat.mff.cuni.cz/services/teitok/pdtc10/index.php?action=vallex&amp;frame=v-w5858f3", "řadit (v-w5858f3)")</f>
        <v>řadit (v-w5858f3)</v>
      </c>
      <c r="E73190" s="0" t="str">
        <f aca="false">HYPERLINK("https://lindat.mff.cuni.cz/services/SynSemClass40/SynSemClass40.html?veclass=vec01311#vec01311-ces-cm00004", "vec01311")</f>
        <v>vec01311</v>
      </c>
      <c r="F73190" s="0" t="s">
        <v>23678</v>
      </c>
    </row>
    <row r="73191" customFormat="false" ht="12.8" hidden="false" customHeight="false" outlineLevel="0" collapsed="false">
      <c r="B73191" s="0" t="s">
        <v>1</v>
      </c>
      <c r="C73191" s="0" t="s">
        <v>549</v>
      </c>
      <c r="E73191" s="0" t="s">
        <v>5401</v>
      </c>
      <c r="F73191" s="0" t="s">
        <v>23679</v>
      </c>
    </row>
    <row r="73192" customFormat="false" ht="12.8" hidden="false" customHeight="false" outlineLevel="0" collapsed="false">
      <c r="B73192" s="0" t="s">
        <v>8</v>
      </c>
      <c r="C73192" s="0" t="s">
        <v>744</v>
      </c>
      <c r="E73192" s="0" t="s">
        <v>5405</v>
      </c>
      <c r="F73192" s="0" t="s">
        <v>23680</v>
      </c>
    </row>
    <row r="73194" customFormat="false" ht="12.8" hidden="false" customHeight="false" outlineLevel="0" collapsed="false">
      <c r="A73194" s="0" t="s">
        <v>23681</v>
      </c>
      <c r="B73194" s="0" t="str">
        <f aca="false">HYPERLINK("https://lindat.mff.cuni.cz/services/teitok/pdtc10/index.php?action=vallex&amp;frame=v-whsa_281hsa_282", "řadit se (v-whsa_281hsa_282)")</f>
        <v>řadit se (v-whsa_281hsa_282)</v>
      </c>
      <c r="E73194" s="0" t="str">
        <f aca="false">HYPERLINK("https://lindat.mff.cuni.cz/services/SynSemClass40/SynSemClass40.html?veclass=vec00710#vec00710-ces-cm00014", "vec00710")</f>
        <v>vec00710</v>
      </c>
      <c r="F73194" s="0" t="s">
        <v>5499</v>
      </c>
    </row>
    <row r="73195" customFormat="false" ht="12.8" hidden="false" customHeight="false" outlineLevel="0" collapsed="false">
      <c r="B73195" s="0" t="s">
        <v>1</v>
      </c>
      <c r="C73195" s="0" t="s">
        <v>5500</v>
      </c>
      <c r="E73195" s="0" t="s">
        <v>5501</v>
      </c>
      <c r="F73195" s="0" t="s">
        <v>5502</v>
      </c>
    </row>
    <row r="73196" customFormat="false" ht="12.8" hidden="false" customHeight="false" outlineLevel="0" collapsed="false">
      <c r="B73196" s="0" t="s">
        <v>164</v>
      </c>
      <c r="E73196" s="0" t="s">
        <v>370</v>
      </c>
      <c r="F73196" s="0" t="s">
        <v>3041</v>
      </c>
    </row>
    <row r="73198" customFormat="false" ht="12.8" hidden="false" customHeight="false" outlineLevel="0" collapsed="false">
      <c r="A73198" s="0" t="s">
        <v>23682</v>
      </c>
      <c r="B73198" s="0" t="str">
        <f aca="false">HYPERLINK("https://lindat.mff.cuni.cz/services/teitok/pdtc10/index.php?action=vallex&amp;frame=v-whsa_281f1_ZU", "řadit se (v-whsa_281f1_ZU)")</f>
        <v>řadit se (v-whsa_281f1_ZU)</v>
      </c>
    </row>
    <row r="73199" customFormat="false" ht="12.8" hidden="false" customHeight="false" outlineLevel="0" collapsed="false">
      <c r="B73199" s="0" t="s">
        <v>1</v>
      </c>
    </row>
    <row r="73200" customFormat="false" ht="12.8" hidden="false" customHeight="false" outlineLevel="0" collapsed="false">
      <c r="B73200" s="0" t="s">
        <v>22382</v>
      </c>
    </row>
    <row r="73202" customFormat="false" ht="12.8" hidden="false" customHeight="false" outlineLevel="0" collapsed="false">
      <c r="A73202" s="0" t="s">
        <v>23683</v>
      </c>
      <c r="B73202" s="0" t="str">
        <f aca="false">HYPERLINK("https://lindat.mff.cuni.cz/services/teitok/pdtc10/index.php?action=vallex&amp;frame=v-w5864f1", "ředit (v-w5864f1)")</f>
        <v>ředit (v-w5864f1)</v>
      </c>
    </row>
    <row r="73203" customFormat="false" ht="12.8" hidden="false" customHeight="false" outlineLevel="0" collapsed="false">
      <c r="B73203" s="0" t="s">
        <v>1</v>
      </c>
    </row>
    <row r="73204" customFormat="false" ht="12.8" hidden="false" customHeight="false" outlineLevel="0" collapsed="false">
      <c r="B73204" s="0" t="s">
        <v>8</v>
      </c>
    </row>
    <row r="73206" customFormat="false" ht="12.8" hidden="false" customHeight="false" outlineLevel="0" collapsed="false">
      <c r="A73206" s="0" t="s">
        <v>23684</v>
      </c>
      <c r="B73206" s="0" t="str">
        <f aca="false">HYPERLINK("https://lindat.mff.cuni.cz/services/teitok/pdtc10/index.php?action=vallex&amp;frame=v-whsa_561f1_ZU", "řehtat se (v-whsa_561f1_ZU)")</f>
        <v>řehtat se (v-whsa_561f1_ZU)</v>
      </c>
    </row>
    <row r="73207" customFormat="false" ht="12.8" hidden="false" customHeight="false" outlineLevel="0" collapsed="false">
      <c r="B73207" s="0" t="s">
        <v>1</v>
      </c>
    </row>
    <row r="73208" customFormat="false" ht="12.8" hidden="false" customHeight="false" outlineLevel="0" collapsed="false">
      <c r="B73208" s="0" t="s">
        <v>69</v>
      </c>
    </row>
    <row r="73210" customFormat="false" ht="12.8" hidden="false" customHeight="false" outlineLevel="0" collapsed="false">
      <c r="A73210" s="0" t="s">
        <v>23684</v>
      </c>
      <c r="B73210" s="0" t="str">
        <f aca="false">HYPERLINK("https://lindat.mff.cuni.cz/services/teitok/pdtc10/index.php?action=vallex&amp;frame=v-whsb_561hsa_562", "řehtat se (v-whsb_561hsa_562) - substituted with v-whsa_561f1_ZU")</f>
        <v>řehtat se (v-whsb_561hsa_562) - substituted with v-whsa_561f1_ZU</v>
      </c>
    </row>
    <row r="73211" customFormat="false" ht="12.8" hidden="false" customHeight="false" outlineLevel="0" collapsed="false">
      <c r="B73211" s="0" t="s">
        <v>1</v>
      </c>
    </row>
    <row r="73212" customFormat="false" ht="12.8" hidden="false" customHeight="false" outlineLevel="0" collapsed="false">
      <c r="B73212" s="0" t="s">
        <v>69</v>
      </c>
    </row>
    <row r="73214" customFormat="false" ht="12.8" hidden="false" customHeight="false" outlineLevel="0" collapsed="false">
      <c r="A73214" s="0" t="s">
        <v>23685</v>
      </c>
      <c r="B73214" s="0" t="str">
        <f aca="false">HYPERLINK("https://lindat.mff.cuni.cz/services/teitok/pdtc10/index.php?action=vallex&amp;frame=v-w5873f1", "řezat (v-w5873f1)")</f>
        <v>řezat (v-w5873f1)</v>
      </c>
      <c r="E73214" s="0" t="str">
        <f aca="false">HYPERLINK("https://lindat.mff.cuni.cz/services/SynSemClass40/SynSemClass40.html?veclass=vec01449#vec01449-ces-cm00008", "vec01449")</f>
        <v>vec01449</v>
      </c>
      <c r="F73214" s="0" t="s">
        <v>5718</v>
      </c>
    </row>
    <row r="73215" customFormat="false" ht="12.8" hidden="false" customHeight="false" outlineLevel="0" collapsed="false">
      <c r="B73215" s="0" t="s">
        <v>1</v>
      </c>
      <c r="C73215" s="0" t="s">
        <v>5719</v>
      </c>
      <c r="E73215" s="0" t="s">
        <v>11</v>
      </c>
      <c r="F73215" s="0" t="s">
        <v>5720</v>
      </c>
    </row>
    <row r="73216" customFormat="false" ht="12.8" hidden="false" customHeight="false" outlineLevel="0" collapsed="false">
      <c r="B73216" s="0" t="s">
        <v>8</v>
      </c>
      <c r="C73216" s="0" t="s">
        <v>5721</v>
      </c>
      <c r="E73216" s="0" t="s">
        <v>5279</v>
      </c>
      <c r="F73216" s="0" t="s">
        <v>5722</v>
      </c>
    </row>
    <row r="73217" customFormat="false" ht="12.8" hidden="false" customHeight="false" outlineLevel="0" collapsed="false">
      <c r="B73217" s="0" t="s">
        <v>5779</v>
      </c>
      <c r="C73217" s="0" t="s">
        <v>5723</v>
      </c>
      <c r="E73217" s="0" t="s">
        <v>2584</v>
      </c>
      <c r="F73217" s="0" t="s">
        <v>5724</v>
      </c>
    </row>
    <row r="73219" customFormat="false" ht="12.8" hidden="false" customHeight="false" outlineLevel="0" collapsed="false">
      <c r="A73219" s="0" t="s">
        <v>23686</v>
      </c>
      <c r="B73219" s="0" t="str">
        <f aca="false">HYPERLINK("https://lindat.mff.cuni.cz/services/teitok/pdtc10/index.php?action=vallex&amp;frame=v-w5873f2_ZU", "řezat (v-w5873f2_ZU)")</f>
        <v>řezat (v-w5873f2_ZU)</v>
      </c>
    </row>
    <row r="73220" customFormat="false" ht="12.8" hidden="false" customHeight="false" outlineLevel="0" collapsed="false">
      <c r="B73220" s="0" t="s">
        <v>264</v>
      </c>
    </row>
    <row r="73221" customFormat="false" ht="12.8" hidden="false" customHeight="false" outlineLevel="0" collapsed="false">
      <c r="B73221" s="0" t="s">
        <v>439</v>
      </c>
    </row>
    <row r="73223" customFormat="false" ht="12.8" hidden="false" customHeight="false" outlineLevel="0" collapsed="false">
      <c r="A73223" s="0" t="s">
        <v>23687</v>
      </c>
      <c r="B73223" s="0" t="str">
        <f aca="false">HYPERLINK("https://lindat.mff.cuni.cz/services/teitok/pdtc10/index.php?action=vallex&amp;frame=v-w5873f3_ZU", "řezat (v-w5873f3_ZU)")</f>
        <v>řezat (v-w5873f3_ZU)</v>
      </c>
    </row>
    <row r="73224" customFormat="false" ht="12.8" hidden="false" customHeight="false" outlineLevel="0" collapsed="false">
      <c r="B73224" s="0" t="s">
        <v>1</v>
      </c>
    </row>
    <row r="73225" customFormat="false" ht="12.8" hidden="false" customHeight="false" outlineLevel="0" collapsed="false">
      <c r="B73225" s="0" t="s">
        <v>8</v>
      </c>
    </row>
    <row r="73227" customFormat="false" ht="12.8" hidden="false" customHeight="false" outlineLevel="0" collapsed="false">
      <c r="A73227" s="0" t="s">
        <v>23688</v>
      </c>
      <c r="B73227" s="0" t="str">
        <f aca="false">HYPERLINK("https://lindat.mff.cuni.cz/services/teitok/pdtc10/index.php?action=vallex&amp;frame=v-whsa_856f1_ZU", "řečnit (v-whsa_856f1_ZU)")</f>
        <v>řečnit (v-whsa_856f1_ZU)</v>
      </c>
    </row>
    <row r="73228" customFormat="false" ht="12.8" hidden="false" customHeight="false" outlineLevel="0" collapsed="false">
      <c r="B73228" s="0" t="s">
        <v>1</v>
      </c>
    </row>
    <row r="73229" customFormat="false" ht="12.8" hidden="false" customHeight="false" outlineLevel="0" collapsed="false">
      <c r="B73229" s="0" t="s">
        <v>318</v>
      </c>
    </row>
    <row r="73230" customFormat="false" ht="12.8" hidden="false" customHeight="false" outlineLevel="0" collapsed="false">
      <c r="B73230" s="0" t="s">
        <v>11006</v>
      </c>
    </row>
    <row r="73232" customFormat="false" ht="12.8" hidden="false" customHeight="false" outlineLevel="0" collapsed="false">
      <c r="A73232" s="0" t="s">
        <v>23688</v>
      </c>
      <c r="B73232" s="0" t="str">
        <f aca="false">HYPERLINK("https://lindat.mff.cuni.cz/services/teitok/pdtc10/index.php?action=vallex&amp;frame=v-whsa_856hsa_857", "řečnit (v-whsa_856hsa_857) - substituted with v-whsa_856f1_ZU")</f>
        <v>řečnit (v-whsa_856hsa_857) - substituted with v-whsa_856f1_ZU</v>
      </c>
    </row>
    <row r="73233" customFormat="false" ht="12.8" hidden="false" customHeight="false" outlineLevel="0" collapsed="false">
      <c r="B73233" s="0" t="s">
        <v>1</v>
      </c>
    </row>
    <row r="73234" customFormat="false" ht="12.8" hidden="false" customHeight="false" outlineLevel="0" collapsed="false">
      <c r="B73234" s="0" t="s">
        <v>318</v>
      </c>
    </row>
    <row r="73235" customFormat="false" ht="12.8" hidden="false" customHeight="false" outlineLevel="0" collapsed="false">
      <c r="B73235" s="0" t="s">
        <v>11006</v>
      </c>
    </row>
    <row r="73237" customFormat="false" ht="12.8" hidden="false" customHeight="false" outlineLevel="0" collapsed="false">
      <c r="A73237" s="0" t="s">
        <v>23689</v>
      </c>
      <c r="B73237" s="0" t="str">
        <f aca="false">HYPERLINK("https://lindat.mff.cuni.cz/services/teitok/pdtc10/index.php?action=vallex&amp;frame=v-w5870f1", "řešit (v-w5870f1)")</f>
        <v>řešit (v-w5870f1)</v>
      </c>
      <c r="E73237" s="0" t="str">
        <f aca="false">HYPERLINK("https://lindat.mff.cuni.cz/services/SynSemClass40/SynSemClass40.html?veclass=vec00301#vec00301-ces-cm00001", "vec00301")</f>
        <v>vec00301</v>
      </c>
      <c r="F73237" s="0" t="s">
        <v>3165</v>
      </c>
      <c r="H73237" s="0" t="str">
        <f aca="false">HYPERLINK("https://lindat.mff.cuni.cz/services/SynSemClass40/SynSemClass40.html?veclass=vec01468#vec01468-ces-cm00014", "vec01468")</f>
        <v>vec01468</v>
      </c>
      <c r="I73237" s="0" t="s">
        <v>2308</v>
      </c>
    </row>
    <row r="73238" customFormat="false" ht="12.8" hidden="false" customHeight="false" outlineLevel="0" collapsed="false">
      <c r="B73238" s="0" t="s">
        <v>1</v>
      </c>
      <c r="C73238" s="0" t="s">
        <v>3166</v>
      </c>
      <c r="E73238" s="0" t="s">
        <v>31</v>
      </c>
      <c r="F73238" s="0" t="s">
        <v>3167</v>
      </c>
      <c r="H73238" s="0" t="s">
        <v>2251</v>
      </c>
      <c r="I73238" s="0" t="s">
        <v>2310</v>
      </c>
    </row>
    <row r="73239" customFormat="false" ht="12.8" hidden="false" customHeight="false" outlineLevel="0" collapsed="false">
      <c r="B73239" s="0" t="s">
        <v>2493</v>
      </c>
      <c r="C73239" s="0" t="s">
        <v>3169</v>
      </c>
      <c r="E73239" s="0" t="s">
        <v>230</v>
      </c>
      <c r="F73239" s="0" t="s">
        <v>3170</v>
      </c>
      <c r="H73239" s="0" t="s">
        <v>230</v>
      </c>
      <c r="I73239" s="0" t="s">
        <v>2313</v>
      </c>
    </row>
    <row r="73241" customFormat="false" ht="12.8" hidden="false" customHeight="false" outlineLevel="0" collapsed="false">
      <c r="A73241" s="0" t="s">
        <v>23690</v>
      </c>
      <c r="B73241" s="0" t="str">
        <f aca="false">HYPERLINK("https://lindat.mff.cuni.cz/services/teitok/pdtc10/index.php?action=vallex&amp;frame=v-w5870f2", "řešit (v-w5870f2)")</f>
        <v>řešit (v-w5870f2)</v>
      </c>
    </row>
    <row r="73242" customFormat="false" ht="12.8" hidden="false" customHeight="false" outlineLevel="0" collapsed="false">
      <c r="B73242" s="0" t="s">
        <v>1</v>
      </c>
    </row>
    <row r="73243" customFormat="false" ht="12.8" hidden="false" customHeight="false" outlineLevel="0" collapsed="false">
      <c r="B73243" s="0" t="s">
        <v>8</v>
      </c>
    </row>
    <row r="73245" customFormat="false" ht="12.8" hidden="false" customHeight="false" outlineLevel="0" collapsed="false">
      <c r="A73245" s="0" t="s">
        <v>23691</v>
      </c>
      <c r="B73245" s="0" t="str">
        <f aca="false">HYPERLINK("https://lindat.mff.cuni.cz/services/teitok/pdtc10/index.php?action=vallex&amp;frame=v-w10981f2", "řinčet (v-w10981f2)")</f>
        <v>řinčet (v-w10981f2)</v>
      </c>
      <c r="E73245" s="0" t="str">
        <f aca="false">HYPERLINK("https://lindat.mff.cuni.cz/services/SynSemClass40/SynSemClass40.html?veclass=vec01196#vec01196-ces-cm00005", "vec01196")</f>
        <v>vec01196</v>
      </c>
      <c r="F73245" s="0" t="s">
        <v>1663</v>
      </c>
    </row>
    <row r="73246" customFormat="false" ht="12.8" hidden="false" customHeight="false" outlineLevel="0" collapsed="false">
      <c r="B73246" s="0" t="s">
        <v>1</v>
      </c>
      <c r="C73246" s="0" t="s">
        <v>1664</v>
      </c>
      <c r="E73246" s="0" t="s">
        <v>1665</v>
      </c>
      <c r="F73246" s="0" t="s">
        <v>1666</v>
      </c>
    </row>
    <row r="73247" customFormat="false" ht="12.8" hidden="false" customHeight="false" outlineLevel="0" collapsed="false">
      <c r="B73247" s="0" t="s">
        <v>286</v>
      </c>
      <c r="C73247" s="0" t="s">
        <v>800</v>
      </c>
      <c r="E73247" s="0" t="s">
        <v>170</v>
      </c>
      <c r="F73247" s="0" t="s">
        <v>1667</v>
      </c>
    </row>
    <row r="73249" customFormat="false" ht="12.8" hidden="false" customHeight="false" outlineLevel="0" collapsed="false">
      <c r="A73249" s="0" t="s">
        <v>23692</v>
      </c>
      <c r="B73249" s="0" t="str">
        <f aca="false">HYPERLINK("https://lindat.mff.cuni.cz/services/teitok/pdtc10/index.php?action=vallex&amp;frame=v-w5889f1", "řvát (v-w5889f1)")</f>
        <v>řvát (v-w5889f1)</v>
      </c>
      <c r="E73249" s="0" t="str">
        <f aca="false">HYPERLINK("https://lindat.mff.cuni.cz/services/SynSemClass40/SynSemClass40.html?veclass=vec00426#vec00426-ces-cm00004", "vec00426")</f>
        <v>vec00426</v>
      </c>
      <c r="F73249" s="0" t="s">
        <v>4756</v>
      </c>
    </row>
    <row r="73250" customFormat="false" ht="12.8" hidden="false" customHeight="false" outlineLevel="0" collapsed="false">
      <c r="B73250" s="0" t="s">
        <v>1</v>
      </c>
      <c r="C73250" s="0" t="s">
        <v>4725</v>
      </c>
      <c r="E73250" s="0" t="s">
        <v>147</v>
      </c>
      <c r="F73250" s="0" t="s">
        <v>4757</v>
      </c>
    </row>
    <row r="73251" customFormat="false" ht="12.8" hidden="false" customHeight="false" outlineLevel="0" collapsed="false">
      <c r="B73251" s="0" t="s">
        <v>22346</v>
      </c>
      <c r="C73251" s="0" t="s">
        <v>4627</v>
      </c>
      <c r="E73251" s="0" t="s">
        <v>218</v>
      </c>
      <c r="F73251" s="0" t="s">
        <v>4978</v>
      </c>
    </row>
    <row r="73252" customFormat="false" ht="12.8" hidden="false" customHeight="false" outlineLevel="0" collapsed="false">
      <c r="B73252" s="0" t="s">
        <v>4688</v>
      </c>
      <c r="C73252" s="0" t="s">
        <v>4761</v>
      </c>
      <c r="E73252" s="0" t="s">
        <v>564</v>
      </c>
      <c r="F73252" s="0" t="s">
        <v>4762</v>
      </c>
    </row>
    <row r="73254" customFormat="false" ht="12.8" hidden="false" customHeight="false" outlineLevel="0" collapsed="false">
      <c r="A73254" s="0" t="s">
        <v>23693</v>
      </c>
      <c r="B73254" s="0" t="str">
        <f aca="false">HYPERLINK("https://lindat.mff.cuni.cz/services/teitok/pdtc10/index.php?action=vallex&amp;frame=v-w5889hsa_1812", "řvát (v-w5889hsa_1812)")</f>
        <v>řvát (v-w5889hsa_1812)</v>
      </c>
    </row>
    <row r="73255" customFormat="false" ht="12.8" hidden="false" customHeight="false" outlineLevel="0" collapsed="false">
      <c r="B73255" s="0" t="s">
        <v>1</v>
      </c>
    </row>
    <row r="73257" customFormat="false" ht="12.8" hidden="false" customHeight="false" outlineLevel="0" collapsed="false">
      <c r="A73257" s="0" t="s">
        <v>23694</v>
      </c>
      <c r="B73257" s="0" t="str">
        <f aca="false">HYPERLINK("https://lindat.mff.cuni.cz/services/teitok/pdtc10/index.php?action=vallex&amp;frame=v-w5859f1", "řádit (v-w5859f1)")</f>
        <v>řádit (v-w5859f1)</v>
      </c>
      <c r="E73257" s="0" t="str">
        <f aca="false">HYPERLINK("https://lindat.mff.cuni.cz/services/SynSemClass40/SynSemClass40.html?veclass=vec01486#vec01486-ces-cm00013", "vec01486")</f>
        <v>vec01486</v>
      </c>
      <c r="F73257" s="0" t="s">
        <v>469</v>
      </c>
    </row>
    <row r="73258" customFormat="false" ht="12.8" hidden="false" customHeight="false" outlineLevel="0" collapsed="false">
      <c r="B73258" s="0" t="s">
        <v>1</v>
      </c>
      <c r="E73258" s="0" t="s">
        <v>31</v>
      </c>
      <c r="F73258" s="0" t="s">
        <v>49</v>
      </c>
    </row>
    <row r="73260" customFormat="false" ht="12.8" hidden="false" customHeight="false" outlineLevel="0" collapsed="false">
      <c r="A73260" s="0" t="s">
        <v>23695</v>
      </c>
      <c r="B73260" s="0" t="str">
        <f aca="false">HYPERLINK("https://lindat.mff.cuni.cz/services/teitok/pdtc10/index.php?action=vallex&amp;frame=v-w5874f8", "říci (v-w5874f8)")</f>
        <v>říci (v-w5874f8)</v>
      </c>
    </row>
    <row r="73261" customFormat="false" ht="12.8" hidden="false" customHeight="false" outlineLevel="0" collapsed="false">
      <c r="B73261" s="0" t="s">
        <v>1</v>
      </c>
    </row>
    <row r="73262" customFormat="false" ht="12.8" hidden="false" customHeight="false" outlineLevel="0" collapsed="false">
      <c r="B73262" s="0" t="s">
        <v>23696</v>
      </c>
    </row>
    <row r="73263" customFormat="false" ht="12.8" hidden="false" customHeight="false" outlineLevel="0" collapsed="false">
      <c r="B73263" s="0" t="s">
        <v>52</v>
      </c>
    </row>
    <row r="73265" customFormat="false" ht="12.8" hidden="false" customHeight="false" outlineLevel="0" collapsed="false">
      <c r="A73265" s="0" t="s">
        <v>23697</v>
      </c>
      <c r="B73265" s="0" t="str">
        <f aca="false">HYPERLINK("https://lindat.mff.cuni.cz/services/teitok/pdtc10/index.php?action=vallex&amp;frame=v-w5874f6", "říci (v-w5874f6)")</f>
        <v>říci (v-w5874f6)</v>
      </c>
    </row>
    <row r="73266" customFormat="false" ht="12.8" hidden="false" customHeight="false" outlineLevel="0" collapsed="false">
      <c r="B73266" s="0" t="s">
        <v>1</v>
      </c>
    </row>
    <row r="73267" customFormat="false" ht="12.8" hidden="false" customHeight="false" outlineLevel="0" collapsed="false">
      <c r="B73267" s="0" t="s">
        <v>814</v>
      </c>
    </row>
    <row r="73268" customFormat="false" ht="12.8" hidden="false" customHeight="false" outlineLevel="0" collapsed="false">
      <c r="B73268" s="0" t="s">
        <v>52</v>
      </c>
    </row>
    <row r="73270" customFormat="false" ht="12.8" hidden="false" customHeight="false" outlineLevel="0" collapsed="false">
      <c r="A73270" s="0" t="s">
        <v>23698</v>
      </c>
      <c r="B73270" s="0" t="str">
        <f aca="false">HYPERLINK("https://lindat.mff.cuni.cz/services/teitok/pdtc10/index.php?action=vallex&amp;frame=v-w5874f4", "říci (v-w5874f4)")</f>
        <v>říci (v-w5874f4)</v>
      </c>
      <c r="E73270" s="0" t="str">
        <f aca="false">HYPERLINK("https://lindat.mff.cuni.cz/services/SynSemClass40/SynSemClass40.html?veclass=vec00060#vec00060-ces-cm00108", "vec00060")</f>
        <v>vec00060</v>
      </c>
      <c r="F73270" s="0" t="s">
        <v>213</v>
      </c>
    </row>
    <row r="73271" customFormat="false" ht="12.8" hidden="false" customHeight="false" outlineLevel="0" collapsed="false">
      <c r="B73271" s="0" t="s">
        <v>1</v>
      </c>
      <c r="C73271" s="0" t="s">
        <v>214</v>
      </c>
      <c r="E73271" s="0" t="s">
        <v>147</v>
      </c>
      <c r="F73271" s="0" t="s">
        <v>215</v>
      </c>
    </row>
    <row r="73272" customFormat="false" ht="12.8" hidden="false" customHeight="false" outlineLevel="0" collapsed="false">
      <c r="B73272" s="0" t="s">
        <v>318</v>
      </c>
      <c r="C73272" s="0" t="s">
        <v>217</v>
      </c>
      <c r="E73272" s="0" t="s">
        <v>218</v>
      </c>
      <c r="F73272" s="0" t="s">
        <v>219</v>
      </c>
    </row>
    <row r="73273" customFormat="false" ht="12.8" hidden="false" customHeight="false" outlineLevel="0" collapsed="false">
      <c r="B73273" s="0" t="s">
        <v>52</v>
      </c>
      <c r="C73273" s="0" t="s">
        <v>220</v>
      </c>
      <c r="E73273" s="0" t="s">
        <v>221</v>
      </c>
      <c r="F73273" s="0" t="s">
        <v>222</v>
      </c>
    </row>
    <row r="73275" customFormat="false" ht="12.8" hidden="false" customHeight="false" outlineLevel="0" collapsed="false">
      <c r="A73275" s="0" t="s">
        <v>23699</v>
      </c>
      <c r="B73275" s="0" t="str">
        <f aca="false">HYPERLINK("https://lindat.mff.cuni.cz/services/teitok/pdtc10/index.php?action=vallex&amp;frame=v-w5874f3", "říci (v-w5874f3)")</f>
        <v>říci (v-w5874f3)</v>
      </c>
      <c r="E73275" s="0" t="str">
        <f aca="false">HYPERLINK("https://lindat.mff.cuni.cz/services/SynSemClass40/SynSemClass40.html?veclass=vec00633#vec00633-ces-cm00011", "vec00633")</f>
        <v>vec00633</v>
      </c>
      <c r="F73275" s="0" t="s">
        <v>528</v>
      </c>
    </row>
    <row r="73276" customFormat="false" ht="12.8" hidden="false" customHeight="false" outlineLevel="0" collapsed="false">
      <c r="B73276" s="0" t="s">
        <v>1</v>
      </c>
      <c r="C73276" s="0" t="s">
        <v>512</v>
      </c>
      <c r="E73276" s="0" t="s">
        <v>147</v>
      </c>
      <c r="F73276" s="0" t="s">
        <v>529</v>
      </c>
    </row>
    <row r="73277" customFormat="false" ht="12.8" hidden="false" customHeight="false" outlineLevel="0" collapsed="false">
      <c r="B73277" s="0" t="s">
        <v>8</v>
      </c>
      <c r="C73277" s="0" t="s">
        <v>798</v>
      </c>
      <c r="E73277" s="0" t="s">
        <v>532</v>
      </c>
      <c r="F73277" s="0" t="s">
        <v>533</v>
      </c>
    </row>
    <row r="73278" customFormat="false" ht="12.8" hidden="false" customHeight="false" outlineLevel="0" collapsed="false">
      <c r="B73278" s="0" t="s">
        <v>132</v>
      </c>
    </row>
    <row r="73280" customFormat="false" ht="12.8" hidden="false" customHeight="false" outlineLevel="0" collapsed="false">
      <c r="A73280" s="0" t="s">
        <v>23700</v>
      </c>
      <c r="B73280" s="0" t="str">
        <f aca="false">HYPERLINK("https://lindat.mff.cuni.cz/services/teitok/pdtc10/index.php?action=vallex&amp;frame=v-w5874f5", "říci (v-w5874f5)")</f>
        <v>říci (v-w5874f5)</v>
      </c>
    </row>
    <row r="73281" customFormat="false" ht="12.8" hidden="false" customHeight="false" outlineLevel="0" collapsed="false">
      <c r="B73281" s="0" t="s">
        <v>1</v>
      </c>
    </row>
    <row r="73282" customFormat="false" ht="12.8" hidden="false" customHeight="false" outlineLevel="0" collapsed="false">
      <c r="B73282" s="0" t="s">
        <v>23701</v>
      </c>
    </row>
    <row r="73283" customFormat="false" ht="12.8" hidden="false" customHeight="false" outlineLevel="0" collapsed="false">
      <c r="B73283" s="0" t="s">
        <v>319</v>
      </c>
    </row>
    <row r="73285" customFormat="false" ht="12.8" hidden="false" customHeight="false" outlineLevel="0" collapsed="false">
      <c r="A73285" s="0" t="s">
        <v>23702</v>
      </c>
      <c r="B73285" s="0" t="str">
        <f aca="false">HYPERLINK("https://lindat.mff.cuni.cz/services/teitok/pdtc10/index.php?action=vallex&amp;frame=v-w5874f7", "říci (v-w5874f7)")</f>
        <v>říci (v-w5874f7)</v>
      </c>
    </row>
    <row r="73286" customFormat="false" ht="12.8" hidden="false" customHeight="false" outlineLevel="0" collapsed="false">
      <c r="B73286" s="0" t="s">
        <v>1</v>
      </c>
    </row>
    <row r="73287" customFormat="false" ht="12.8" hidden="false" customHeight="false" outlineLevel="0" collapsed="false">
      <c r="B73287" s="0" t="s">
        <v>186</v>
      </c>
    </row>
    <row r="73288" customFormat="false" ht="12.8" hidden="false" customHeight="false" outlineLevel="0" collapsed="false">
      <c r="B73288" s="0" t="s">
        <v>10001</v>
      </c>
    </row>
    <row r="73290" customFormat="false" ht="12.8" hidden="false" customHeight="false" outlineLevel="0" collapsed="false">
      <c r="A73290" s="0" t="s">
        <v>23703</v>
      </c>
      <c r="B73290" s="0" t="str">
        <f aca="false">HYPERLINK("https://lindat.mff.cuni.cz/services/teitok/pdtc10/index.php?action=vallex&amp;frame=v-w5874f12_ZU", "říci (v-w5874f12_ZU)")</f>
        <v>říci (v-w5874f12_ZU)</v>
      </c>
    </row>
    <row r="73291" customFormat="false" ht="12.8" hidden="false" customHeight="false" outlineLevel="0" collapsed="false">
      <c r="B73291" s="0" t="s">
        <v>1</v>
      </c>
    </row>
    <row r="73292" customFormat="false" ht="12.8" hidden="false" customHeight="false" outlineLevel="0" collapsed="false">
      <c r="B73292" s="0" t="s">
        <v>7186</v>
      </c>
    </row>
    <row r="73293" customFormat="false" ht="12.8" hidden="false" customHeight="false" outlineLevel="0" collapsed="false">
      <c r="B73293" s="0" t="s">
        <v>725</v>
      </c>
    </row>
    <row r="73294" customFormat="false" ht="12.8" hidden="false" customHeight="false" outlineLevel="0" collapsed="false">
      <c r="B73294" s="0" t="s">
        <v>642</v>
      </c>
    </row>
    <row r="73295" customFormat="false" ht="12.8" hidden="false" customHeight="false" outlineLevel="0" collapsed="false">
      <c r="B73295" s="0" t="s">
        <v>646</v>
      </c>
    </row>
    <row r="73296" customFormat="false" ht="12.8" hidden="false" customHeight="false" outlineLevel="0" collapsed="false">
      <c r="B73296" s="0" t="s">
        <v>648</v>
      </c>
    </row>
    <row r="73297" customFormat="false" ht="12.8" hidden="false" customHeight="false" outlineLevel="0" collapsed="false">
      <c r="B73297" s="0" t="s">
        <v>650</v>
      </c>
    </row>
    <row r="73298" customFormat="false" ht="12.8" hidden="false" customHeight="false" outlineLevel="0" collapsed="false">
      <c r="B73298" s="0" t="s">
        <v>652</v>
      </c>
    </row>
    <row r="73300" customFormat="false" ht="12.8" hidden="false" customHeight="false" outlineLevel="0" collapsed="false">
      <c r="A73300" s="0" t="s">
        <v>23703</v>
      </c>
      <c r="B73300" s="0" t="str">
        <f aca="false">HYPERLINK("https://lindat.mff.cuni.cz/services/teitok/pdtc10/index.php?action=vallex&amp;frame=v-w5874f9", "říci (v-w5874f9) - substituted with v-w5874f12_ZU")</f>
        <v>říci (v-w5874f9) - substituted with v-w5874f12_ZU</v>
      </c>
    </row>
    <row r="73301" customFormat="false" ht="12.8" hidden="false" customHeight="false" outlineLevel="0" collapsed="false">
      <c r="B73301" s="0" t="s">
        <v>1</v>
      </c>
    </row>
    <row r="73302" customFormat="false" ht="12.8" hidden="false" customHeight="false" outlineLevel="0" collapsed="false">
      <c r="B73302" s="0" t="s">
        <v>7186</v>
      </c>
    </row>
    <row r="73303" customFormat="false" ht="12.8" hidden="false" customHeight="false" outlineLevel="0" collapsed="false">
      <c r="B73303" s="0" t="s">
        <v>725</v>
      </c>
    </row>
    <row r="73304" customFormat="false" ht="12.8" hidden="false" customHeight="false" outlineLevel="0" collapsed="false">
      <c r="B73304" s="0" t="s">
        <v>642</v>
      </c>
    </row>
    <row r="73305" customFormat="false" ht="12.8" hidden="false" customHeight="false" outlineLevel="0" collapsed="false">
      <c r="B73305" s="0" t="s">
        <v>646</v>
      </c>
    </row>
    <row r="73306" customFormat="false" ht="12.8" hidden="false" customHeight="false" outlineLevel="0" collapsed="false">
      <c r="B73306" s="0" t="s">
        <v>648</v>
      </c>
    </row>
    <row r="73307" customFormat="false" ht="12.8" hidden="false" customHeight="false" outlineLevel="0" collapsed="false">
      <c r="B73307" s="0" t="s">
        <v>650</v>
      </c>
    </row>
    <row r="73308" customFormat="false" ht="12.8" hidden="false" customHeight="false" outlineLevel="0" collapsed="false">
      <c r="B73308" s="0" t="s">
        <v>652</v>
      </c>
    </row>
    <row r="73310" customFormat="false" ht="12.8" hidden="false" customHeight="false" outlineLevel="0" collapsed="false">
      <c r="A73310" s="0" t="s">
        <v>23704</v>
      </c>
      <c r="B73310" s="0" t="str">
        <f aca="false">HYPERLINK("https://lindat.mff.cuni.cz/services/teitok/pdtc10/index.php?action=vallex&amp;frame=v-w5874f15_MM", "říci (v-w5874f15_MM)")</f>
        <v>říci (v-w5874f15_MM)</v>
      </c>
    </row>
    <row r="73311" customFormat="false" ht="12.8" hidden="false" customHeight="false" outlineLevel="0" collapsed="false">
      <c r="B73311" s="0" t="s">
        <v>1</v>
      </c>
    </row>
    <row r="73312" customFormat="false" ht="12.8" hidden="false" customHeight="false" outlineLevel="0" collapsed="false">
      <c r="B73312" s="0" t="s">
        <v>52</v>
      </c>
    </row>
    <row r="73313" customFormat="false" ht="12.8" hidden="false" customHeight="false" outlineLevel="0" collapsed="false">
      <c r="B73313" s="0" t="s">
        <v>23705</v>
      </c>
    </row>
    <row r="73314" customFormat="false" ht="12.8" hidden="false" customHeight="false" outlineLevel="0" collapsed="false">
      <c r="B73314" s="0" t="s">
        <v>23706</v>
      </c>
    </row>
    <row r="73316" customFormat="false" ht="12.8" hidden="false" customHeight="false" outlineLevel="0" collapsed="false">
      <c r="A73316" s="0" t="s">
        <v>23704</v>
      </c>
      <c r="B73316" s="0" t="str">
        <f aca="false">HYPERLINK("https://lindat.mff.cuni.cz/services/teitok/pdtc10/index.php?action=vallex&amp;frame=v-w5874f1", "říci (v-w5874f1) - substituted with v-w5874f15_MM")</f>
        <v>říci (v-w5874f1) - substituted with v-w5874f15_MM</v>
      </c>
      <c r="E73316" s="0" t="str">
        <f aca="false">HYPERLINK("https://lindat.mff.cuni.cz/services/SynSemClass40/SynSemClass40.html?veclass=vec00060#vec00060-ces-cm00106", "vec00060")</f>
        <v>vec00060</v>
      </c>
      <c r="F73316" s="0" t="s">
        <v>213</v>
      </c>
      <c r="H73316" s="0" t="str">
        <f aca="false">HYPERLINK("https://lindat.mff.cuni.cz/services/SynSemClass40/SynSemClass40.html?veclass=vec01529#vec01529-ces-cm00015", "vec01529")</f>
        <v>vec01529</v>
      </c>
      <c r="I73316" s="0" t="s">
        <v>10227</v>
      </c>
    </row>
    <row r="73317" customFormat="false" ht="12.8" hidden="false" customHeight="false" outlineLevel="0" collapsed="false">
      <c r="B73317" s="0" t="s">
        <v>1</v>
      </c>
      <c r="C73317" s="0" t="s">
        <v>10228</v>
      </c>
      <c r="E73317" s="0" t="s">
        <v>147</v>
      </c>
      <c r="F73317" s="0" t="s">
        <v>215</v>
      </c>
      <c r="H73317" s="0" t="s">
        <v>147</v>
      </c>
      <c r="I73317" s="0" t="s">
        <v>10229</v>
      </c>
    </row>
    <row r="73318" customFormat="false" ht="12.8" hidden="false" customHeight="false" outlineLevel="0" collapsed="false">
      <c r="B73318" s="0" t="s">
        <v>52</v>
      </c>
      <c r="C73318" s="0" t="s">
        <v>10230</v>
      </c>
      <c r="E73318" s="0" t="s">
        <v>221</v>
      </c>
      <c r="F73318" s="0" t="s">
        <v>222</v>
      </c>
      <c r="H73318" s="0" t="s">
        <v>221</v>
      </c>
      <c r="I73318" s="0" t="s">
        <v>10231</v>
      </c>
    </row>
    <row r="73319" customFormat="false" ht="12.8" hidden="false" customHeight="false" outlineLevel="0" collapsed="false">
      <c r="B73319" s="0" t="s">
        <v>23705</v>
      </c>
      <c r="C73319" s="0" t="s">
        <v>10232</v>
      </c>
      <c r="E73319" s="0" t="s">
        <v>2217</v>
      </c>
      <c r="F73319" s="0" t="s">
        <v>2218</v>
      </c>
      <c r="H73319" s="0" t="s">
        <v>2217</v>
      </c>
      <c r="I73319" s="0" t="s">
        <v>10233</v>
      </c>
    </row>
    <row r="73320" customFormat="false" ht="12.8" hidden="false" customHeight="false" outlineLevel="0" collapsed="false">
      <c r="B73320" s="0" t="s">
        <v>23706</v>
      </c>
      <c r="C73320" s="0" t="s">
        <v>217</v>
      </c>
      <c r="E73320" s="0" t="s">
        <v>218</v>
      </c>
      <c r="F73320" s="0" t="s">
        <v>219</v>
      </c>
    </row>
    <row r="73322" customFormat="false" ht="12.8" hidden="false" customHeight="false" outlineLevel="0" collapsed="false">
      <c r="A73322" s="0" t="s">
        <v>23704</v>
      </c>
      <c r="B73322" s="0" t="str">
        <f aca="false">HYPERLINK("https://lindat.mff.cuni.cz/services/teitok/pdtc10/index.php?action=vallex&amp;frame=v-w5874f14_ZU", "říci (v-w5874f14_ZU) - substituted with v-w5874f15_MM")</f>
        <v>říci (v-w5874f14_ZU) - substituted with v-w5874f15_MM</v>
      </c>
    </row>
    <row r="73323" customFormat="false" ht="12.8" hidden="false" customHeight="false" outlineLevel="0" collapsed="false">
      <c r="B73323" s="0" t="s">
        <v>1</v>
      </c>
    </row>
    <row r="73324" customFormat="false" ht="12.8" hidden="false" customHeight="false" outlineLevel="0" collapsed="false">
      <c r="B73324" s="0" t="s">
        <v>52</v>
      </c>
    </row>
    <row r="73325" customFormat="false" ht="12.8" hidden="false" customHeight="false" outlineLevel="0" collapsed="false">
      <c r="B73325" s="0" t="s">
        <v>23705</v>
      </c>
    </row>
    <row r="73326" customFormat="false" ht="12.8" hidden="false" customHeight="false" outlineLevel="0" collapsed="false">
      <c r="B73326" s="0" t="s">
        <v>23706</v>
      </c>
    </row>
    <row r="73328" customFormat="false" ht="12.8" hidden="false" customHeight="false" outlineLevel="0" collapsed="false">
      <c r="A73328" s="0" t="s">
        <v>23707</v>
      </c>
      <c r="B73328" s="0" t="str">
        <f aca="false">HYPERLINK("https://lindat.mff.cuni.cz/services/teitok/pdtc10/index.php?action=vallex&amp;frame=v-w5874f2", "říci (v-w5874f2)")</f>
        <v>říci (v-w5874f2)</v>
      </c>
      <c r="E73328" s="0" t="str">
        <f aca="false">HYPERLINK("https://lindat.mff.cuni.cz/services/SynSemClass40/SynSemClass40.html?veclass=vec01529#vec01529-ces-cm00016", "vec01529")</f>
        <v>vec01529</v>
      </c>
      <c r="F73328" s="0" t="s">
        <v>10227</v>
      </c>
    </row>
    <row r="73329" customFormat="false" ht="12.8" hidden="false" customHeight="false" outlineLevel="0" collapsed="false">
      <c r="B73329" s="0" t="s">
        <v>1</v>
      </c>
      <c r="C73329" s="0" t="s">
        <v>22408</v>
      </c>
      <c r="E73329" s="0" t="s">
        <v>147</v>
      </c>
      <c r="F73329" s="0" t="s">
        <v>10229</v>
      </c>
    </row>
    <row r="73330" customFormat="false" ht="12.8" hidden="false" customHeight="false" outlineLevel="0" collapsed="false">
      <c r="B73330" s="0" t="s">
        <v>52</v>
      </c>
      <c r="C73330" s="0" t="s">
        <v>22410</v>
      </c>
      <c r="E73330" s="0" t="s">
        <v>221</v>
      </c>
      <c r="F73330" s="0" t="s">
        <v>10231</v>
      </c>
    </row>
    <row r="73331" customFormat="false" ht="12.8" hidden="false" customHeight="false" outlineLevel="0" collapsed="false">
      <c r="B73331" s="0" t="s">
        <v>23708</v>
      </c>
      <c r="C73331" s="0" t="s">
        <v>22409</v>
      </c>
      <c r="E73331" s="0" t="s">
        <v>2217</v>
      </c>
      <c r="F73331" s="0" t="s">
        <v>10233</v>
      </c>
    </row>
    <row r="73332" customFormat="false" ht="12.8" hidden="false" customHeight="false" outlineLevel="0" collapsed="false">
      <c r="B73332" s="0" t="s">
        <v>69</v>
      </c>
    </row>
    <row r="73334" customFormat="false" ht="12.8" hidden="false" customHeight="false" outlineLevel="0" collapsed="false">
      <c r="A73334" s="0" t="s">
        <v>23709</v>
      </c>
      <c r="B73334" s="0" t="str">
        <f aca="false">HYPERLINK("https://lindat.mff.cuni.cz/services/teitok/pdtc10/index.php?action=vallex&amp;frame=v-w5874f10_ZU", "říci (v-w5874f10_ZU)")</f>
        <v>říci (v-w5874f10_ZU)</v>
      </c>
    </row>
    <row r="73335" customFormat="false" ht="12.8" hidden="false" customHeight="false" outlineLevel="0" collapsed="false">
      <c r="B73335" s="0" t="s">
        <v>1</v>
      </c>
    </row>
    <row r="73336" customFormat="false" ht="12.8" hidden="false" customHeight="false" outlineLevel="0" collapsed="false">
      <c r="B73336" s="0" t="s">
        <v>8</v>
      </c>
    </row>
    <row r="73337" customFormat="false" ht="12.8" hidden="false" customHeight="false" outlineLevel="0" collapsed="false">
      <c r="B73337" s="0" t="s">
        <v>132</v>
      </c>
    </row>
    <row r="73339" customFormat="false" ht="12.8" hidden="false" customHeight="false" outlineLevel="0" collapsed="false">
      <c r="A73339" s="0" t="s">
        <v>23710</v>
      </c>
      <c r="B73339" s="0" t="str">
        <f aca="false">HYPERLINK("https://lindat.mff.cuni.cz/services/teitok/pdtc10/index.php?action=vallex&amp;frame=v-w5874f13_ZU", "říci (v-w5874f13_ZU)")</f>
        <v>říci (v-w5874f13_ZU)</v>
      </c>
    </row>
    <row r="73340" customFormat="false" ht="12.8" hidden="false" customHeight="false" outlineLevel="0" collapsed="false">
      <c r="B73340" s="0" t="s">
        <v>1</v>
      </c>
    </row>
    <row r="73341" customFormat="false" ht="12.8" hidden="false" customHeight="false" outlineLevel="0" collapsed="false">
      <c r="B73341" s="0" t="s">
        <v>8</v>
      </c>
    </row>
    <row r="73342" customFormat="false" ht="12.8" hidden="false" customHeight="false" outlineLevel="0" collapsed="false">
      <c r="B73342" s="0" t="s">
        <v>23711</v>
      </c>
    </row>
    <row r="73344" customFormat="false" ht="12.8" hidden="false" customHeight="false" outlineLevel="0" collapsed="false">
      <c r="A73344" s="0" t="s">
        <v>23710</v>
      </c>
      <c r="B73344" s="0" t="str">
        <f aca="false">HYPERLINK("https://lindat.mff.cuni.cz/services/teitok/pdtc10/index.php?action=vallex&amp;frame=v-w5874f11_ZU", "říci (v-w5874f11_ZU) - substituted with v-w5874f13_ZU")</f>
        <v>říci (v-w5874f11_ZU) - substituted with v-w5874f13_ZU</v>
      </c>
    </row>
    <row r="73345" customFormat="false" ht="12.8" hidden="false" customHeight="false" outlineLevel="0" collapsed="false">
      <c r="B73345" s="0" t="s">
        <v>1</v>
      </c>
    </row>
    <row r="73346" customFormat="false" ht="12.8" hidden="false" customHeight="false" outlineLevel="0" collapsed="false">
      <c r="B73346" s="0" t="s">
        <v>8</v>
      </c>
    </row>
    <row r="73347" customFormat="false" ht="12.8" hidden="false" customHeight="false" outlineLevel="0" collapsed="false">
      <c r="B73347" s="0" t="s">
        <v>23711</v>
      </c>
    </row>
    <row r="73349" customFormat="false" ht="12.8" hidden="false" customHeight="false" outlineLevel="0" collapsed="false">
      <c r="A73349" s="0" t="s">
        <v>23712</v>
      </c>
      <c r="B73349" s="0" t="str">
        <f aca="false">HYPERLINK("https://lindat.mff.cuni.cz/services/teitok/pdtc10/index.php?action=vallex&amp;frame=v-w5874hsa_1031", "říci (v-w5874hsa_1031)")</f>
        <v>říci (v-w5874hsa_1031)</v>
      </c>
    </row>
    <row r="73350" customFormat="false" ht="12.8" hidden="false" customHeight="false" outlineLevel="0" collapsed="false">
      <c r="B73350" s="0" t="s">
        <v>1</v>
      </c>
    </row>
    <row r="73351" customFormat="false" ht="12.8" hidden="false" customHeight="false" outlineLevel="0" collapsed="false">
      <c r="B73351" s="0" t="s">
        <v>14422</v>
      </c>
    </row>
    <row r="73353" customFormat="false" ht="12.8" hidden="false" customHeight="false" outlineLevel="0" collapsed="false">
      <c r="A73353" s="0" t="s">
        <v>23713</v>
      </c>
      <c r="B73353" s="0" t="str">
        <f aca="false">HYPERLINK("https://lindat.mff.cuni.cz/services/teitok/pdtc10/index.php?action=vallex&amp;frame=v-w5875f1", "říci si (v-w5875f1)")</f>
        <v>říci si (v-w5875f1)</v>
      </c>
    </row>
    <row r="73354" customFormat="false" ht="12.8" hidden="false" customHeight="false" outlineLevel="0" collapsed="false">
      <c r="B73354" s="0" t="s">
        <v>1</v>
      </c>
    </row>
    <row r="73355" customFormat="false" ht="12.8" hidden="false" customHeight="false" outlineLevel="0" collapsed="false">
      <c r="B73355" s="0" t="s">
        <v>23714</v>
      </c>
    </row>
    <row r="73357" customFormat="false" ht="12.8" hidden="false" customHeight="false" outlineLevel="0" collapsed="false">
      <c r="A73357" s="0" t="s">
        <v>23715</v>
      </c>
      <c r="B73357" s="0" t="str">
        <f aca="false">HYPERLINK("https://lindat.mff.cuni.cz/services/teitok/pdtc10/index.php?action=vallex&amp;frame=v-w5875hsa_1839", "říci si (v-w5875hsa_1839)")</f>
        <v>říci si (v-w5875hsa_1839)</v>
      </c>
    </row>
    <row r="73358" customFormat="false" ht="12.8" hidden="false" customHeight="false" outlineLevel="0" collapsed="false">
      <c r="B73358" s="0" t="s">
        <v>1</v>
      </c>
    </row>
    <row r="73359" customFormat="false" ht="12.8" hidden="false" customHeight="false" outlineLevel="0" collapsed="false">
      <c r="B73359" s="0" t="s">
        <v>276</v>
      </c>
    </row>
    <row r="73360" customFormat="false" ht="12.8" hidden="false" customHeight="false" outlineLevel="0" collapsed="false">
      <c r="B73360" s="0" t="s">
        <v>2382</v>
      </c>
    </row>
    <row r="73361" customFormat="false" ht="12.8" hidden="false" customHeight="false" outlineLevel="0" collapsed="false">
      <c r="B73361" s="0" t="s">
        <v>496</v>
      </c>
    </row>
    <row r="73363" customFormat="false" ht="12.8" hidden="false" customHeight="false" outlineLevel="0" collapsed="false">
      <c r="A73363" s="0" t="s">
        <v>23716</v>
      </c>
      <c r="B73363" s="0" t="str">
        <f aca="false">HYPERLINK("https://lindat.mff.cuni.cz/services/teitok/pdtc10/index.php?action=vallex&amp;frame=v-whsa_1861hsa_1862", "říct si (v-whsa_1861hsa_1862)")</f>
        <v>říct si (v-whsa_1861hsa_1862)</v>
      </c>
    </row>
    <row r="73364" customFormat="false" ht="12.8" hidden="false" customHeight="false" outlineLevel="0" collapsed="false">
      <c r="B73364" s="0" t="s">
        <v>1</v>
      </c>
    </row>
    <row r="73365" customFormat="false" ht="12.8" hidden="false" customHeight="false" outlineLevel="0" collapsed="false">
      <c r="B73365" s="0" t="s">
        <v>276</v>
      </c>
    </row>
    <row r="73366" customFormat="false" ht="12.8" hidden="false" customHeight="false" outlineLevel="0" collapsed="false">
      <c r="B73366" s="0" t="s">
        <v>2382</v>
      </c>
    </row>
    <row r="73367" customFormat="false" ht="12.8" hidden="false" customHeight="false" outlineLevel="0" collapsed="false">
      <c r="B73367" s="0" t="s">
        <v>496</v>
      </c>
    </row>
    <row r="73369" customFormat="false" ht="12.8" hidden="false" customHeight="false" outlineLevel="0" collapsed="false">
      <c r="A73369" s="0" t="s">
        <v>23717</v>
      </c>
      <c r="B73369" s="0" t="str">
        <f aca="false">HYPERLINK("https://lindat.mff.cuni.cz/services/teitok/pdtc10/index.php?action=vallex&amp;frame=v-w5879f1", "řídit (v-w5879f1)")</f>
        <v>řídit (v-w5879f1)</v>
      </c>
      <c r="E73369" s="0" t="str">
        <f aca="false">HYPERLINK("https://lindat.mff.cuni.cz/services/SynSemClass40/SynSemClass40.html?veclass=vec00302#vec00302-ces-cm00001", "vec00302")</f>
        <v>vec00302</v>
      </c>
      <c r="F73369" s="0" t="s">
        <v>1991</v>
      </c>
    </row>
    <row r="73370" customFormat="false" ht="12.8" hidden="false" customHeight="false" outlineLevel="0" collapsed="false">
      <c r="B73370" s="0" t="s">
        <v>1</v>
      </c>
      <c r="C73370" s="0" t="s">
        <v>1992</v>
      </c>
      <c r="E73370" s="0" t="s">
        <v>206</v>
      </c>
      <c r="F73370" s="0" t="s">
        <v>1993</v>
      </c>
    </row>
    <row r="73371" customFormat="false" ht="12.8" hidden="false" customHeight="false" outlineLevel="0" collapsed="false">
      <c r="B73371" s="0" t="s">
        <v>8</v>
      </c>
      <c r="C73371" s="0" t="s">
        <v>1994</v>
      </c>
      <c r="E73371" s="0" t="s">
        <v>1995</v>
      </c>
      <c r="F73371" s="0" t="s">
        <v>1996</v>
      </c>
    </row>
    <row r="73373" customFormat="false" ht="12.8" hidden="false" customHeight="false" outlineLevel="0" collapsed="false">
      <c r="A73373" s="0" t="s">
        <v>23718</v>
      </c>
      <c r="B73373" s="0" t="str">
        <f aca="false">HYPERLINK("https://lindat.mff.cuni.cz/services/teitok/pdtc10/index.php?action=vallex&amp;frame=v-w5879f2", "řídit (v-w5879f2)")</f>
        <v>řídit (v-w5879f2)</v>
      </c>
      <c r="E73373" s="0" t="str">
        <f aca="false">HYPERLINK("https://lindat.mff.cuni.cz/services/SynSemClass40/SynSemClass40.html?veclass=vec01037#vec01037-ces-cm00029", "vec01037")</f>
        <v>vec01037</v>
      </c>
      <c r="F73373" s="0" t="s">
        <v>5657</v>
      </c>
    </row>
    <row r="73374" customFormat="false" ht="12.8" hidden="false" customHeight="false" outlineLevel="0" collapsed="false">
      <c r="B73374" s="0" t="s">
        <v>1</v>
      </c>
      <c r="C73374" s="0" t="s">
        <v>3000</v>
      </c>
      <c r="E73374" s="0" t="s">
        <v>2027</v>
      </c>
      <c r="F73374" s="0" t="s">
        <v>5658</v>
      </c>
    </row>
    <row r="73375" customFormat="false" ht="12.8" hidden="false" customHeight="false" outlineLevel="0" collapsed="false">
      <c r="B73375" s="0" t="s">
        <v>8</v>
      </c>
      <c r="C73375" s="0" t="s">
        <v>1575</v>
      </c>
      <c r="E73375" s="0" t="s">
        <v>1995</v>
      </c>
      <c r="F73375" s="0" t="s">
        <v>5659</v>
      </c>
    </row>
    <row r="73377" customFormat="false" ht="12.8" hidden="false" customHeight="false" outlineLevel="0" collapsed="false">
      <c r="A73377" s="0" t="s">
        <v>23719</v>
      </c>
      <c r="B73377" s="0" t="str">
        <f aca="false">HYPERLINK("https://lindat.mff.cuni.cz/services/teitok/pdtc10/index.php?action=vallex&amp;frame=v-w5879hsa_84", "řídit (v-w5879hsa_84)")</f>
        <v>řídit (v-w5879hsa_84)</v>
      </c>
    </row>
    <row r="73378" customFormat="false" ht="12.8" hidden="false" customHeight="false" outlineLevel="0" collapsed="false">
      <c r="B73378" s="0" t="s">
        <v>1</v>
      </c>
    </row>
    <row r="73379" customFormat="false" ht="12.8" hidden="false" customHeight="false" outlineLevel="0" collapsed="false">
      <c r="B73379" s="0" t="s">
        <v>8</v>
      </c>
    </row>
    <row r="73381" customFormat="false" ht="12.8" hidden="false" customHeight="false" outlineLevel="0" collapsed="false">
      <c r="A73381" s="0" t="s">
        <v>23720</v>
      </c>
      <c r="B73381" s="0" t="str">
        <f aca="false">HYPERLINK("https://lindat.mff.cuni.cz/services/teitok/pdtc10/index.php?action=vallex&amp;frame=v-w5880f1", "řídit se (v-w5880f1)")</f>
        <v>řídit se (v-w5880f1)</v>
      </c>
      <c r="E73381" s="0" t="str">
        <f aca="false">HYPERLINK("https://lindat.mff.cuni.cz/services/SynSemClass40/SynSemClass40.html?veclass=vec00303#vec00303-ces-cm00001", "vec00303")</f>
        <v>vec00303</v>
      </c>
      <c r="F73381" s="0" t="s">
        <v>1818</v>
      </c>
    </row>
    <row r="73382" customFormat="false" ht="12.8" hidden="false" customHeight="false" outlineLevel="0" collapsed="false">
      <c r="B73382" s="0" t="s">
        <v>1</v>
      </c>
      <c r="C73382" s="0" t="s">
        <v>1819</v>
      </c>
      <c r="E73382" s="0" t="s">
        <v>11</v>
      </c>
      <c r="F73382" s="0" t="s">
        <v>1820</v>
      </c>
    </row>
    <row r="73383" customFormat="false" ht="12.8" hidden="false" customHeight="false" outlineLevel="0" collapsed="false">
      <c r="B73383" s="0" t="s">
        <v>23721</v>
      </c>
      <c r="C73383" s="0" t="s">
        <v>1822</v>
      </c>
      <c r="E73383" s="0" t="s">
        <v>1823</v>
      </c>
      <c r="F73383" s="0" t="s">
        <v>1824</v>
      </c>
    </row>
    <row r="73385" customFormat="false" ht="12.8" hidden="false" customHeight="false" outlineLevel="0" collapsed="false">
      <c r="A73385" s="0" t="s">
        <v>23722</v>
      </c>
      <c r="B73385" s="0" t="str">
        <f aca="false">HYPERLINK("https://lindat.mff.cuni.cz/services/teitok/pdtc10/index.php?action=vallex&amp;frame=v-w5881f1", "řídnout (v-w5881f1)")</f>
        <v>řídnout (v-w5881f1)</v>
      </c>
    </row>
    <row r="73386" customFormat="false" ht="12.8" hidden="false" customHeight="false" outlineLevel="0" collapsed="false">
      <c r="B73386" s="0" t="s">
        <v>1</v>
      </c>
    </row>
    <row r="73388" customFormat="false" ht="12.8" hidden="false" customHeight="false" outlineLevel="0" collapsed="false">
      <c r="A73388" s="0" t="s">
        <v>23723</v>
      </c>
      <c r="B73388" s="0" t="str">
        <f aca="false">HYPERLINK("https://lindat.mff.cuni.cz/services/teitok/pdtc10/index.php?action=vallex&amp;frame=v-w5882f8", "říkat (v-w5882f8)")</f>
        <v>říkat (v-w5882f8)</v>
      </c>
    </row>
    <row r="73389" customFormat="false" ht="12.8" hidden="false" customHeight="false" outlineLevel="0" collapsed="false">
      <c r="B73389" s="0" t="s">
        <v>1</v>
      </c>
    </row>
    <row r="73390" customFormat="false" ht="12.8" hidden="false" customHeight="false" outlineLevel="0" collapsed="false">
      <c r="B73390" s="0" t="s">
        <v>814</v>
      </c>
    </row>
    <row r="73391" customFormat="false" ht="12.8" hidden="false" customHeight="false" outlineLevel="0" collapsed="false">
      <c r="B73391" s="0" t="s">
        <v>52</v>
      </c>
    </row>
    <row r="73393" customFormat="false" ht="12.8" hidden="false" customHeight="false" outlineLevel="0" collapsed="false">
      <c r="A73393" s="0" t="s">
        <v>23724</v>
      </c>
      <c r="B73393" s="0" t="str">
        <f aca="false">HYPERLINK("https://lindat.mff.cuni.cz/services/teitok/pdtc10/index.php?action=vallex&amp;frame=v-w5882f7", "říkat (v-w5882f7)")</f>
        <v>říkat (v-w5882f7)</v>
      </c>
      <c r="E73393" s="0" t="str">
        <f aca="false">HYPERLINK("https://lindat.mff.cuni.cz/services/SynSemClass40/SynSemClass40.html?veclass=vec01529#vec01529-ces-cm00030", "vec01529")</f>
        <v>vec01529</v>
      </c>
      <c r="F73393" s="0" t="s">
        <v>10227</v>
      </c>
    </row>
    <row r="73394" customFormat="false" ht="12.8" hidden="false" customHeight="false" outlineLevel="0" collapsed="false">
      <c r="B73394" s="0" t="s">
        <v>1</v>
      </c>
      <c r="C73394" s="0" t="s">
        <v>22408</v>
      </c>
      <c r="E73394" s="0" t="s">
        <v>147</v>
      </c>
      <c r="F73394" s="0" t="s">
        <v>10229</v>
      </c>
    </row>
    <row r="73395" customFormat="false" ht="12.8" hidden="false" customHeight="false" outlineLevel="0" collapsed="false">
      <c r="B73395" s="0" t="s">
        <v>318</v>
      </c>
      <c r="C73395" s="0" t="s">
        <v>23725</v>
      </c>
      <c r="E73395" s="0" t="s">
        <v>218</v>
      </c>
      <c r="F73395" s="0" t="s">
        <v>22907</v>
      </c>
    </row>
    <row r="73396" customFormat="false" ht="12.8" hidden="false" customHeight="false" outlineLevel="0" collapsed="false">
      <c r="B73396" s="0" t="s">
        <v>52</v>
      </c>
      <c r="C73396" s="0" t="s">
        <v>22410</v>
      </c>
      <c r="E73396" s="0" t="s">
        <v>221</v>
      </c>
      <c r="F73396" s="0" t="s">
        <v>10231</v>
      </c>
    </row>
    <row r="73398" customFormat="false" ht="12.8" hidden="false" customHeight="false" outlineLevel="0" collapsed="false">
      <c r="A73398" s="0" t="s">
        <v>23726</v>
      </c>
      <c r="B73398" s="0" t="str">
        <f aca="false">HYPERLINK("https://lindat.mff.cuni.cz/services/teitok/pdtc10/index.php?action=vallex&amp;frame=v-w5882f3", "říkat (v-w5882f3)")</f>
        <v>říkat (v-w5882f3)</v>
      </c>
      <c r="E73398" s="0" t="str">
        <f aca="false">HYPERLINK("https://lindat.mff.cuni.cz/services/SynSemClass40/SynSemClass40.html?veclass=vec00633#vec00633-ces-cm00012", "vec00633")</f>
        <v>vec00633</v>
      </c>
      <c r="F73398" s="0" t="s">
        <v>528</v>
      </c>
    </row>
    <row r="73399" customFormat="false" ht="12.8" hidden="false" customHeight="false" outlineLevel="0" collapsed="false">
      <c r="B73399" s="0" t="s">
        <v>1</v>
      </c>
      <c r="C73399" s="0" t="s">
        <v>512</v>
      </c>
      <c r="E73399" s="0" t="s">
        <v>147</v>
      </c>
      <c r="F73399" s="0" t="s">
        <v>529</v>
      </c>
    </row>
    <row r="73400" customFormat="false" ht="12.8" hidden="false" customHeight="false" outlineLevel="0" collapsed="false">
      <c r="B73400" s="0" t="s">
        <v>8</v>
      </c>
      <c r="C73400" s="0" t="s">
        <v>798</v>
      </c>
      <c r="E73400" s="0" t="s">
        <v>532</v>
      </c>
      <c r="F73400" s="0" t="s">
        <v>533</v>
      </c>
    </row>
    <row r="73401" customFormat="false" ht="12.8" hidden="false" customHeight="false" outlineLevel="0" collapsed="false">
      <c r="B73401" s="0" t="s">
        <v>132</v>
      </c>
    </row>
    <row r="73403" customFormat="false" ht="12.8" hidden="false" customHeight="false" outlineLevel="0" collapsed="false">
      <c r="A73403" s="0" t="s">
        <v>23727</v>
      </c>
      <c r="B73403" s="0" t="str">
        <f aca="false">HYPERLINK("https://lindat.mff.cuni.cz/services/teitok/pdtc10/index.php?action=vallex&amp;frame=v-w5882f14_ZU", "říkat (v-w5882f14_ZU)")</f>
        <v>říkat (v-w5882f14_ZU)</v>
      </c>
    </row>
    <row r="73404" customFormat="false" ht="12.8" hidden="false" customHeight="false" outlineLevel="0" collapsed="false">
      <c r="B73404" s="0" t="s">
        <v>1</v>
      </c>
    </row>
    <row r="73405" customFormat="false" ht="12.8" hidden="false" customHeight="false" outlineLevel="0" collapsed="false">
      <c r="B73405" s="0" t="s">
        <v>186</v>
      </c>
    </row>
    <row r="73406" customFormat="false" ht="12.8" hidden="false" customHeight="false" outlineLevel="0" collapsed="false">
      <c r="B73406" s="0" t="s">
        <v>23728</v>
      </c>
    </row>
    <row r="73408" customFormat="false" ht="12.8" hidden="false" customHeight="false" outlineLevel="0" collapsed="false">
      <c r="A73408" s="0" t="s">
        <v>23727</v>
      </c>
      <c r="B73408" s="0" t="str">
        <f aca="false">HYPERLINK("https://lindat.mff.cuni.cz/services/teitok/pdtc10/index.php?action=vallex&amp;frame=v-w5882f2", "říkat (v-w5882f2) - substituted with v-w5882f14_ZU")</f>
        <v>říkat (v-w5882f2) - substituted with v-w5882f14_ZU</v>
      </c>
    </row>
    <row r="73409" customFormat="false" ht="12.8" hidden="false" customHeight="false" outlineLevel="0" collapsed="false">
      <c r="B73409" s="0" t="s">
        <v>1</v>
      </c>
    </row>
    <row r="73410" customFormat="false" ht="12.8" hidden="false" customHeight="false" outlineLevel="0" collapsed="false">
      <c r="B73410" s="0" t="s">
        <v>186</v>
      </c>
    </row>
    <row r="73411" customFormat="false" ht="12.8" hidden="false" customHeight="false" outlineLevel="0" collapsed="false">
      <c r="B73411" s="0" t="s">
        <v>23728</v>
      </c>
    </row>
    <row r="73413" customFormat="false" ht="12.8" hidden="false" customHeight="false" outlineLevel="0" collapsed="false">
      <c r="A73413" s="0" t="s">
        <v>23727</v>
      </c>
      <c r="B73413" s="0" t="str">
        <f aca="false">HYPERLINK("https://lindat.mff.cuni.cz/services/teitok/pdtc10/index.php?action=vallex&amp;frame=v-w5882f9_ZU", "říkat (v-w5882f9_ZU) - substituted with v-w5882f14_ZU")</f>
        <v>říkat (v-w5882f9_ZU) - substituted with v-w5882f14_ZU</v>
      </c>
      <c r="E73413" s="0" t="str">
        <f aca="false">HYPERLINK("https://lindat.mff.cuni.cz/services/SynSemClass40/SynSemClass40.html?veclass=vec00043#vec00043-ces-cm00016", "vec00043")</f>
        <v>vec00043</v>
      </c>
      <c r="F73413" s="0" t="s">
        <v>5012</v>
      </c>
    </row>
    <row r="73414" customFormat="false" ht="12.8" hidden="false" customHeight="false" outlineLevel="0" collapsed="false">
      <c r="B73414" s="0" t="s">
        <v>1</v>
      </c>
      <c r="C73414" s="0" t="s">
        <v>2758</v>
      </c>
      <c r="E73414" s="0" t="s">
        <v>8022</v>
      </c>
      <c r="F73414" s="0" t="s">
        <v>8023</v>
      </c>
    </row>
    <row r="73415" customFormat="false" ht="12.8" hidden="false" customHeight="false" outlineLevel="0" collapsed="false">
      <c r="B73415" s="0" t="s">
        <v>186</v>
      </c>
      <c r="C73415" s="0" t="s">
        <v>8024</v>
      </c>
      <c r="E73415" s="0" t="s">
        <v>8025</v>
      </c>
      <c r="F73415" s="0" t="s">
        <v>8026</v>
      </c>
    </row>
    <row r="73416" customFormat="false" ht="12.8" hidden="false" customHeight="false" outlineLevel="0" collapsed="false">
      <c r="B73416" s="0" t="s">
        <v>23728</v>
      </c>
      <c r="C73416" s="0" t="s">
        <v>8028</v>
      </c>
      <c r="E73416" s="0" t="s">
        <v>8029</v>
      </c>
      <c r="F73416" s="0" t="s">
        <v>8030</v>
      </c>
    </row>
    <row r="73418" customFormat="false" ht="12.8" hidden="false" customHeight="false" outlineLevel="0" collapsed="false">
      <c r="A73418" s="0" t="s">
        <v>23727</v>
      </c>
      <c r="B73418" s="0" t="str">
        <f aca="false">HYPERLINK("https://lindat.mff.cuni.cz/services/teitok/pdtc10/index.php?action=vallex&amp;frame=v-w5882hsa_918", "říkat (v-w5882hsa_918) - substituted with v-w5882f14_ZU")</f>
        <v>říkat (v-w5882hsa_918) - substituted with v-w5882f14_ZU</v>
      </c>
    </row>
    <row r="73419" customFormat="false" ht="12.8" hidden="false" customHeight="false" outlineLevel="0" collapsed="false">
      <c r="B73419" s="0" t="s">
        <v>1</v>
      </c>
    </row>
    <row r="73420" customFormat="false" ht="12.8" hidden="false" customHeight="false" outlineLevel="0" collapsed="false">
      <c r="B73420" s="0" t="s">
        <v>186</v>
      </c>
    </row>
    <row r="73421" customFormat="false" ht="12.8" hidden="false" customHeight="false" outlineLevel="0" collapsed="false">
      <c r="B73421" s="0" t="s">
        <v>23728</v>
      </c>
    </row>
    <row r="73423" customFormat="false" ht="12.8" hidden="false" customHeight="false" outlineLevel="0" collapsed="false">
      <c r="A73423" s="0" t="s">
        <v>23727</v>
      </c>
      <c r="B73423" s="0" t="str">
        <f aca="false">HYPERLINK("https://lindat.mff.cuni.cz/services/teitok/pdtc10/index.php?action=vallex&amp;frame=v-w5882hsa_919", "říkat (v-w5882hsa_919) - substituted with v-w5882f14_ZU")</f>
        <v>říkat (v-w5882hsa_919) - substituted with v-w5882f14_ZU</v>
      </c>
    </row>
    <row r="73424" customFormat="false" ht="12.8" hidden="false" customHeight="false" outlineLevel="0" collapsed="false">
      <c r="B73424" s="0" t="s">
        <v>1</v>
      </c>
    </row>
    <row r="73425" customFormat="false" ht="12.8" hidden="false" customHeight="false" outlineLevel="0" collapsed="false">
      <c r="B73425" s="0" t="s">
        <v>186</v>
      </c>
    </row>
    <row r="73426" customFormat="false" ht="12.8" hidden="false" customHeight="false" outlineLevel="0" collapsed="false">
      <c r="B73426" s="0" t="s">
        <v>23728</v>
      </c>
    </row>
    <row r="73428" customFormat="false" ht="12.8" hidden="false" customHeight="false" outlineLevel="0" collapsed="false">
      <c r="A73428" s="0" t="s">
        <v>23729</v>
      </c>
      <c r="B73428" s="0" t="str">
        <f aca="false">HYPERLINK("https://lindat.mff.cuni.cz/services/teitok/pdtc10/index.php?action=vallex&amp;frame=v-w5882f13_ZU", "říkat (v-w5882f13_ZU)")</f>
        <v>říkat (v-w5882f13_ZU)</v>
      </c>
    </row>
    <row r="73429" customFormat="false" ht="12.8" hidden="false" customHeight="false" outlineLevel="0" collapsed="false">
      <c r="B73429" s="0" t="s">
        <v>1</v>
      </c>
    </row>
    <row r="73430" customFormat="false" ht="12.8" hidden="false" customHeight="false" outlineLevel="0" collapsed="false">
      <c r="B73430" s="0" t="s">
        <v>10401</v>
      </c>
    </row>
    <row r="73431" customFormat="false" ht="12.8" hidden="false" customHeight="false" outlineLevel="0" collapsed="false">
      <c r="B73431" s="0" t="s">
        <v>319</v>
      </c>
    </row>
    <row r="73433" customFormat="false" ht="12.8" hidden="false" customHeight="false" outlineLevel="0" collapsed="false">
      <c r="A73433" s="0" t="s">
        <v>23729</v>
      </c>
      <c r="B73433" s="0" t="str">
        <f aca="false">HYPERLINK("https://lindat.mff.cuni.cz/services/teitok/pdtc10/index.php?action=vallex&amp;frame=v-w5882f5", "říkat (v-w5882f5) - substituted with v-w5882f13_ZU")</f>
        <v>říkat (v-w5882f5) - substituted with v-w5882f13_ZU</v>
      </c>
    </row>
    <row r="73434" customFormat="false" ht="12.8" hidden="false" customHeight="false" outlineLevel="0" collapsed="false">
      <c r="B73434" s="0" t="s">
        <v>1</v>
      </c>
    </row>
    <row r="73435" customFormat="false" ht="12.8" hidden="false" customHeight="false" outlineLevel="0" collapsed="false">
      <c r="B73435" s="0" t="s">
        <v>10401</v>
      </c>
    </row>
    <row r="73436" customFormat="false" ht="12.8" hidden="false" customHeight="false" outlineLevel="0" collapsed="false">
      <c r="B73436" s="0" t="s">
        <v>319</v>
      </c>
    </row>
    <row r="73438" customFormat="false" ht="12.8" hidden="false" customHeight="false" outlineLevel="0" collapsed="false">
      <c r="A73438" s="0" t="s">
        <v>23730</v>
      </c>
      <c r="B73438" s="0" t="str">
        <f aca="false">HYPERLINK("https://lindat.mff.cuni.cz/services/teitok/pdtc10/index.php?action=vallex&amp;frame=v-w5882f16_ZU", "říkat (v-w5882f16_ZU)")</f>
        <v>říkat (v-w5882f16_ZU)</v>
      </c>
    </row>
    <row r="73439" customFormat="false" ht="12.8" hidden="false" customHeight="false" outlineLevel="0" collapsed="false">
      <c r="B73439" s="0" t="s">
        <v>1</v>
      </c>
    </row>
    <row r="73440" customFormat="false" ht="12.8" hidden="false" customHeight="false" outlineLevel="0" collapsed="false">
      <c r="B73440" s="0" t="s">
        <v>7186</v>
      </c>
    </row>
    <row r="73441" customFormat="false" ht="12.8" hidden="false" customHeight="false" outlineLevel="0" collapsed="false">
      <c r="B73441" s="0" t="s">
        <v>852</v>
      </c>
    </row>
    <row r="73443" customFormat="false" ht="12.8" hidden="false" customHeight="false" outlineLevel="0" collapsed="false">
      <c r="A73443" s="0" t="s">
        <v>23730</v>
      </c>
      <c r="B73443" s="0" t="str">
        <f aca="false">HYPERLINK("https://lindat.mff.cuni.cz/services/teitok/pdtc10/index.php?action=vallex&amp;frame=v-w5882f6", "říkat (v-w5882f6) - substituted with v-w5882f16_ZU")</f>
        <v>říkat (v-w5882f6) - substituted with v-w5882f16_ZU</v>
      </c>
    </row>
    <row r="73444" customFormat="false" ht="12.8" hidden="false" customHeight="false" outlineLevel="0" collapsed="false">
      <c r="B73444" s="0" t="s">
        <v>1</v>
      </c>
    </row>
    <row r="73445" customFormat="false" ht="12.8" hidden="false" customHeight="false" outlineLevel="0" collapsed="false">
      <c r="B73445" s="0" t="s">
        <v>7186</v>
      </c>
    </row>
    <row r="73446" customFormat="false" ht="12.8" hidden="false" customHeight="false" outlineLevel="0" collapsed="false">
      <c r="B73446" s="0" t="s">
        <v>852</v>
      </c>
    </row>
    <row r="73448" customFormat="false" ht="12.8" hidden="false" customHeight="false" outlineLevel="0" collapsed="false">
      <c r="A73448" s="0" t="s">
        <v>23731</v>
      </c>
      <c r="B73448" s="0" t="str">
        <f aca="false">HYPERLINK("https://lindat.mff.cuni.cz/services/teitok/pdtc10/index.php?action=vallex&amp;frame=v-w5882f15_ZU", "říkat (v-w5882f15_ZU)")</f>
        <v>říkat (v-w5882f15_ZU)</v>
      </c>
    </row>
    <row r="73449" customFormat="false" ht="12.8" hidden="false" customHeight="false" outlineLevel="0" collapsed="false">
      <c r="B73449" s="0" t="s">
        <v>1</v>
      </c>
    </row>
    <row r="73450" customFormat="false" ht="12.8" hidden="false" customHeight="false" outlineLevel="0" collapsed="false">
      <c r="B73450" s="0" t="s">
        <v>23732</v>
      </c>
    </row>
    <row r="73451" customFormat="false" ht="12.8" hidden="false" customHeight="false" outlineLevel="0" collapsed="false">
      <c r="B73451" s="0" t="s">
        <v>495</v>
      </c>
    </row>
    <row r="73452" customFormat="false" ht="12.8" hidden="false" customHeight="false" outlineLevel="0" collapsed="false">
      <c r="B73452" s="0" t="s">
        <v>496</v>
      </c>
    </row>
    <row r="73454" customFormat="false" ht="12.8" hidden="false" customHeight="false" outlineLevel="0" collapsed="false">
      <c r="A73454" s="0" t="s">
        <v>23731</v>
      </c>
      <c r="B73454" s="0" t="str">
        <f aca="false">HYPERLINK("https://lindat.mff.cuni.cz/services/teitok/pdtc10/index.php?action=vallex&amp;frame=v-w5882f1", "říkat (v-w5882f1) - substituted with v-w5882f15_ZU")</f>
        <v>říkat (v-w5882f1) - substituted with v-w5882f15_ZU</v>
      </c>
      <c r="E73454" s="0" t="str">
        <f aca="false">HYPERLINK("https://lindat.mff.cuni.cz/services/SynSemClass40/SynSemClass40.html?veclass=vec00060#vec00060-ces-cm00111", "vec00060")</f>
        <v>vec00060</v>
      </c>
      <c r="F73454" s="0" t="s">
        <v>213</v>
      </c>
      <c r="H73454" s="0" t="str">
        <f aca="false">HYPERLINK("https://lindat.mff.cuni.cz/services/SynSemClass40/SynSemClass40.html?veclass=vec01529#vec01529-ces-cm00025", "vec01529")</f>
        <v>vec01529</v>
      </c>
      <c r="I73454" s="0" t="s">
        <v>10227</v>
      </c>
    </row>
    <row r="73455" customFormat="false" ht="12.8" hidden="false" customHeight="false" outlineLevel="0" collapsed="false">
      <c r="B73455" s="0" t="s">
        <v>1</v>
      </c>
      <c r="C73455" s="0" t="s">
        <v>10228</v>
      </c>
      <c r="E73455" s="0" t="s">
        <v>147</v>
      </c>
      <c r="F73455" s="0" t="s">
        <v>215</v>
      </c>
      <c r="H73455" s="0" t="s">
        <v>147</v>
      </c>
      <c r="I73455" s="0" t="s">
        <v>10229</v>
      </c>
    </row>
    <row r="73456" customFormat="false" ht="12.8" hidden="false" customHeight="false" outlineLevel="0" collapsed="false">
      <c r="B73456" s="0" t="s">
        <v>23732</v>
      </c>
      <c r="C73456" s="0" t="s">
        <v>10230</v>
      </c>
      <c r="E73456" s="0" t="s">
        <v>221</v>
      </c>
      <c r="F73456" s="0" t="s">
        <v>222</v>
      </c>
      <c r="H73456" s="0" t="s">
        <v>221</v>
      </c>
      <c r="I73456" s="0" t="s">
        <v>10231</v>
      </c>
    </row>
    <row r="73457" customFormat="false" ht="12.8" hidden="false" customHeight="false" outlineLevel="0" collapsed="false">
      <c r="B73457" s="0" t="s">
        <v>495</v>
      </c>
      <c r="C73457" s="0" t="s">
        <v>10232</v>
      </c>
      <c r="E73457" s="0" t="s">
        <v>2217</v>
      </c>
      <c r="F73457" s="0" t="s">
        <v>2218</v>
      </c>
      <c r="H73457" s="0" t="s">
        <v>2217</v>
      </c>
      <c r="I73457" s="0" t="s">
        <v>10233</v>
      </c>
    </row>
    <row r="73458" customFormat="false" ht="12.8" hidden="false" customHeight="false" outlineLevel="0" collapsed="false">
      <c r="B73458" s="0" t="s">
        <v>496</v>
      </c>
      <c r="C73458" s="0" t="s">
        <v>217</v>
      </c>
      <c r="E73458" s="0" t="s">
        <v>218</v>
      </c>
      <c r="F73458" s="0" t="s">
        <v>219</v>
      </c>
    </row>
    <row r="73460" customFormat="false" ht="12.8" hidden="false" customHeight="false" outlineLevel="0" collapsed="false">
      <c r="A73460" s="0" t="s">
        <v>23731</v>
      </c>
      <c r="B73460" s="0" t="str">
        <f aca="false">HYPERLINK("https://lindat.mff.cuni.cz/services/teitok/pdtc10/index.php?action=vallex&amp;frame=v-w5882f12_ZU", "říkat (v-w5882f12_ZU) - substituted with v-w5882f15_ZU")</f>
        <v>říkat (v-w5882f12_ZU) - substituted with v-w5882f15_ZU</v>
      </c>
    </row>
    <row r="73461" customFormat="false" ht="12.8" hidden="false" customHeight="false" outlineLevel="0" collapsed="false">
      <c r="B73461" s="0" t="s">
        <v>1</v>
      </c>
    </row>
    <row r="73462" customFormat="false" ht="12.8" hidden="false" customHeight="false" outlineLevel="0" collapsed="false">
      <c r="B73462" s="0" t="s">
        <v>23732</v>
      </c>
    </row>
    <row r="73463" customFormat="false" ht="12.8" hidden="false" customHeight="false" outlineLevel="0" collapsed="false">
      <c r="B73463" s="0" t="s">
        <v>495</v>
      </c>
    </row>
    <row r="73464" customFormat="false" ht="12.8" hidden="false" customHeight="false" outlineLevel="0" collapsed="false">
      <c r="B73464" s="0" t="s">
        <v>496</v>
      </c>
    </row>
    <row r="73466" customFormat="false" ht="12.8" hidden="false" customHeight="false" outlineLevel="0" collapsed="false">
      <c r="A73466" s="0" t="s">
        <v>23733</v>
      </c>
      <c r="B73466" s="0" t="str">
        <f aca="false">HYPERLINK("https://lindat.mff.cuni.cz/services/teitok/pdtc10/index.php?action=vallex&amp;frame=v-w5882f4", "říkat (v-w5882f4)")</f>
        <v>říkat (v-w5882f4)</v>
      </c>
      <c r="E73466" s="0" t="str">
        <f aca="false">HYPERLINK("https://lindat.mff.cuni.cz/services/SynSemClass40/SynSemClass40.html?veclass=vec00060#vec00060-ces-cm00112", "vec00060")</f>
        <v>vec00060</v>
      </c>
      <c r="F73466" s="0" t="s">
        <v>213</v>
      </c>
      <c r="H73466" s="0" t="str">
        <f aca="false">HYPERLINK("https://lindat.mff.cuni.cz/services/SynSemClass40/SynSemClass40.html?veclass=vec01529#vec01529-ces-cm00027", "vec01529")</f>
        <v>vec01529</v>
      </c>
      <c r="I73466" s="0" t="s">
        <v>10227</v>
      </c>
    </row>
    <row r="73467" customFormat="false" ht="12.8" hidden="false" customHeight="false" outlineLevel="0" collapsed="false">
      <c r="B73467" s="0" t="s">
        <v>1</v>
      </c>
      <c r="C73467" s="0" t="s">
        <v>10228</v>
      </c>
      <c r="E73467" s="0" t="s">
        <v>147</v>
      </c>
      <c r="F73467" s="0" t="s">
        <v>215</v>
      </c>
      <c r="H73467" s="0" t="s">
        <v>147</v>
      </c>
      <c r="I73467" s="0" t="s">
        <v>10229</v>
      </c>
    </row>
    <row r="73468" customFormat="false" ht="12.8" hidden="false" customHeight="false" outlineLevel="0" collapsed="false">
      <c r="B73468" s="0" t="s">
        <v>52</v>
      </c>
      <c r="C73468" s="0" t="s">
        <v>10230</v>
      </c>
      <c r="E73468" s="0" t="s">
        <v>221</v>
      </c>
      <c r="F73468" s="0" t="s">
        <v>222</v>
      </c>
      <c r="H73468" s="0" t="s">
        <v>221</v>
      </c>
      <c r="I73468" s="0" t="s">
        <v>10231</v>
      </c>
    </row>
    <row r="73469" customFormat="false" ht="12.8" hidden="false" customHeight="false" outlineLevel="0" collapsed="false">
      <c r="B73469" s="0" t="s">
        <v>23708</v>
      </c>
      <c r="C73469" s="0" t="s">
        <v>10232</v>
      </c>
      <c r="E73469" s="0" t="s">
        <v>2217</v>
      </c>
      <c r="F73469" s="0" t="s">
        <v>2218</v>
      </c>
      <c r="H73469" s="0" t="s">
        <v>2217</v>
      </c>
      <c r="I73469" s="0" t="s">
        <v>10233</v>
      </c>
    </row>
    <row r="73470" customFormat="false" ht="12.8" hidden="false" customHeight="false" outlineLevel="0" collapsed="false">
      <c r="B73470" s="0" t="s">
        <v>69</v>
      </c>
      <c r="C73470" s="0" t="s">
        <v>217</v>
      </c>
      <c r="E73470" s="0" t="s">
        <v>218</v>
      </c>
      <c r="F73470" s="0" t="s">
        <v>219</v>
      </c>
    </row>
    <row r="73472" customFormat="false" ht="12.8" hidden="false" customHeight="false" outlineLevel="0" collapsed="false">
      <c r="A73472" s="0" t="s">
        <v>23734</v>
      </c>
      <c r="B73472" s="0" t="str">
        <f aca="false">HYPERLINK("https://lindat.mff.cuni.cz/services/teitok/pdtc10/index.php?action=vallex&amp;frame=v-w5882f11_ZU", "říkat (v-w5882f11_ZU)")</f>
        <v>říkat (v-w5882f11_ZU)</v>
      </c>
    </row>
    <row r="73473" customFormat="false" ht="12.8" hidden="false" customHeight="false" outlineLevel="0" collapsed="false">
      <c r="B73473" s="0" t="s">
        <v>1</v>
      </c>
    </row>
    <row r="73474" customFormat="false" ht="12.8" hidden="false" customHeight="false" outlineLevel="0" collapsed="false">
      <c r="B73474" s="0" t="s">
        <v>23735</v>
      </c>
    </row>
    <row r="73475" customFormat="false" ht="12.8" hidden="false" customHeight="false" outlineLevel="0" collapsed="false">
      <c r="B73475" s="0" t="s">
        <v>186</v>
      </c>
    </row>
    <row r="73476" customFormat="false" ht="12.8" hidden="false" customHeight="false" outlineLevel="0" collapsed="false">
      <c r="B73476" s="0" t="s">
        <v>855</v>
      </c>
    </row>
    <row r="73478" customFormat="false" ht="12.8" hidden="false" customHeight="false" outlineLevel="0" collapsed="false">
      <c r="A73478" s="0" t="s">
        <v>23734</v>
      </c>
      <c r="B73478" s="0" t="str">
        <f aca="false">HYPERLINK("https://lindat.mff.cuni.cz/services/teitok/pdtc10/index.php?action=vallex&amp;frame=v-w5882f10_ZU", "říkat (v-w5882f10_ZU) - substituted with v-w5882f11_ZU")</f>
        <v>říkat (v-w5882f10_ZU) - substituted with v-w5882f11_ZU</v>
      </c>
    </row>
    <row r="73479" customFormat="false" ht="12.8" hidden="false" customHeight="false" outlineLevel="0" collapsed="false">
      <c r="B73479" s="0" t="s">
        <v>1</v>
      </c>
    </row>
    <row r="73480" customFormat="false" ht="12.8" hidden="false" customHeight="false" outlineLevel="0" collapsed="false">
      <c r="B73480" s="0" t="s">
        <v>23735</v>
      </c>
    </row>
    <row r="73481" customFormat="false" ht="12.8" hidden="false" customHeight="false" outlineLevel="0" collapsed="false">
      <c r="B73481" s="0" t="s">
        <v>186</v>
      </c>
    </row>
    <row r="73482" customFormat="false" ht="12.8" hidden="false" customHeight="false" outlineLevel="0" collapsed="false">
      <c r="B73482" s="0" t="s">
        <v>855</v>
      </c>
    </row>
    <row r="73484" customFormat="false" ht="12.8" hidden="false" customHeight="false" outlineLevel="0" collapsed="false">
      <c r="A73484" s="0" t="s">
        <v>23734</v>
      </c>
      <c r="B73484" s="0" t="str">
        <f aca="false">HYPERLINK("https://lindat.mff.cuni.cz/services/teitok/pdtc10/index.php?action=vallex&amp;frame=v-w5882hsa_920", "říkat (v-w5882hsa_920) - substituted with v-w5882f11_ZU")</f>
        <v>říkat (v-w5882hsa_920) - substituted with v-w5882f11_ZU</v>
      </c>
    </row>
    <row r="73485" customFormat="false" ht="12.8" hidden="false" customHeight="false" outlineLevel="0" collapsed="false">
      <c r="B73485" s="0" t="s">
        <v>1</v>
      </c>
    </row>
    <row r="73486" customFormat="false" ht="12.8" hidden="false" customHeight="false" outlineLevel="0" collapsed="false">
      <c r="B73486" s="0" t="s">
        <v>23735</v>
      </c>
    </row>
    <row r="73487" customFormat="false" ht="12.8" hidden="false" customHeight="false" outlineLevel="0" collapsed="false">
      <c r="B73487" s="0" t="s">
        <v>186</v>
      </c>
    </row>
    <row r="73488" customFormat="false" ht="12.8" hidden="false" customHeight="false" outlineLevel="0" collapsed="false">
      <c r="B73488" s="0" t="s">
        <v>855</v>
      </c>
    </row>
    <row r="73490" customFormat="false" ht="12.8" hidden="false" customHeight="false" outlineLevel="0" collapsed="false">
      <c r="A73490" s="0" t="s">
        <v>23736</v>
      </c>
      <c r="B73490" s="0" t="str">
        <f aca="false">HYPERLINK("https://lindat.mff.cuni.cz/services/teitok/pdtc10/index.php?action=vallex&amp;frame=v-w5882hsa_921", "říkat (v-w5882hsa_921)")</f>
        <v>říkat (v-w5882hsa_921)</v>
      </c>
    </row>
    <row r="73491" customFormat="false" ht="12.8" hidden="false" customHeight="false" outlineLevel="0" collapsed="false">
      <c r="B73491" s="0" t="s">
        <v>1</v>
      </c>
    </row>
    <row r="73492" customFormat="false" ht="12.8" hidden="false" customHeight="false" outlineLevel="0" collapsed="false">
      <c r="B73492" s="0" t="s">
        <v>8</v>
      </c>
    </row>
    <row r="73493" customFormat="false" ht="12.8" hidden="false" customHeight="false" outlineLevel="0" collapsed="false">
      <c r="B73493" s="0" t="s">
        <v>132</v>
      </c>
    </row>
    <row r="73495" customFormat="false" ht="12.8" hidden="false" customHeight="false" outlineLevel="0" collapsed="false">
      <c r="A73495" s="0" t="s">
        <v>23737</v>
      </c>
      <c r="B73495" s="0" t="str">
        <f aca="false">HYPERLINK("https://lindat.mff.cuni.cz/services/teitok/pdtc10/index.php?action=vallex&amp;frame=v-w5883f1", "říkat si (v-w5883f1)")</f>
        <v>říkat si (v-w5883f1)</v>
      </c>
    </row>
    <row r="73496" customFormat="false" ht="12.8" hidden="false" customHeight="false" outlineLevel="0" collapsed="false">
      <c r="B73496" s="0" t="s">
        <v>629</v>
      </c>
    </row>
    <row r="73497" customFormat="false" ht="12.8" hidden="false" customHeight="false" outlineLevel="0" collapsed="false">
      <c r="B73497" s="0" t="s">
        <v>814</v>
      </c>
    </row>
    <row r="73498" customFormat="false" ht="12.8" hidden="false" customHeight="false" outlineLevel="0" collapsed="false">
      <c r="B73498" s="0" t="s">
        <v>52</v>
      </c>
    </row>
    <row r="73500" customFormat="false" ht="12.8" hidden="false" customHeight="false" outlineLevel="0" collapsed="false">
      <c r="A73500" s="0" t="s">
        <v>23738</v>
      </c>
      <c r="B73500" s="0" t="str">
        <f aca="false">HYPERLINK("https://lindat.mff.cuni.cz/services/teitok/pdtc10/index.php?action=vallex&amp;frame=v-w5883hsa_1979", "říkat si (v-w5883hsa_1979)")</f>
        <v>říkat si (v-w5883hsa_1979)</v>
      </c>
    </row>
    <row r="73501" customFormat="false" ht="12.8" hidden="false" customHeight="false" outlineLevel="0" collapsed="false">
      <c r="B73501" s="0" t="s">
        <v>1</v>
      </c>
    </row>
    <row r="73502" customFormat="false" ht="12.8" hidden="false" customHeight="false" outlineLevel="0" collapsed="false">
      <c r="B73502" s="0" t="s">
        <v>23739</v>
      </c>
    </row>
    <row r="73504" customFormat="false" ht="12.8" hidden="false" customHeight="false" outlineLevel="0" collapsed="false">
      <c r="A73504" s="0" t="s">
        <v>23740</v>
      </c>
      <c r="B73504" s="0" t="str">
        <f aca="false">HYPERLINK("https://lindat.mff.cuni.cz/services/teitok/pdtc10/index.php?action=vallex&amp;frame=v-w5883hsa_1980", "říkat si (v-w5883hsa_1980)")</f>
        <v>říkat si (v-w5883hsa_1980)</v>
      </c>
    </row>
    <row r="73505" customFormat="false" ht="12.8" hidden="false" customHeight="false" outlineLevel="0" collapsed="false">
      <c r="B73505" s="0" t="s">
        <v>1</v>
      </c>
    </row>
    <row r="73506" customFormat="false" ht="12.8" hidden="false" customHeight="false" outlineLevel="0" collapsed="false">
      <c r="B73506" s="0" t="s">
        <v>276</v>
      </c>
    </row>
    <row r="73507" customFormat="false" ht="12.8" hidden="false" customHeight="false" outlineLevel="0" collapsed="false">
      <c r="B73507" s="0" t="s">
        <v>495</v>
      </c>
    </row>
    <row r="73508" customFormat="false" ht="12.8" hidden="false" customHeight="false" outlineLevel="0" collapsed="false">
      <c r="B73508" s="0" t="s">
        <v>496</v>
      </c>
    </row>
    <row r="73510" customFormat="false" ht="12.8" hidden="false" customHeight="false" outlineLevel="0" collapsed="false">
      <c r="A73510" s="0" t="s">
        <v>23741</v>
      </c>
      <c r="B73510" s="0" t="str">
        <f aca="false">HYPERLINK("https://lindat.mff.cuni.cz/services/teitok/pdtc10/index.php?action=vallex&amp;frame=v-w5884f4_ZU", "říkávat (v-w5884f4_ZU)")</f>
        <v>říkávat (v-w5884f4_ZU)</v>
      </c>
    </row>
    <row r="73511" customFormat="false" ht="12.8" hidden="false" customHeight="false" outlineLevel="0" collapsed="false">
      <c r="B73511" s="0" t="s">
        <v>1</v>
      </c>
    </row>
    <row r="73512" customFormat="false" ht="12.8" hidden="false" customHeight="false" outlineLevel="0" collapsed="false">
      <c r="B73512" s="0" t="s">
        <v>186</v>
      </c>
    </row>
    <row r="73513" customFormat="false" ht="12.8" hidden="false" customHeight="false" outlineLevel="0" collapsed="false">
      <c r="B73513" s="0" t="s">
        <v>23742</v>
      </c>
    </row>
    <row r="73515" customFormat="false" ht="12.8" hidden="false" customHeight="false" outlineLevel="0" collapsed="false">
      <c r="A73515" s="0" t="s">
        <v>23741</v>
      </c>
      <c r="B73515" s="0" t="str">
        <f aca="false">HYPERLINK("https://lindat.mff.cuni.cz/services/teitok/pdtc10/index.php?action=vallex&amp;frame=v-w5884f2", "říkávat (v-w5884f2) - substituted with v-w5884f4_ZU")</f>
        <v>říkávat (v-w5884f2) - substituted with v-w5884f4_ZU</v>
      </c>
      <c r="E73515" s="0" t="str">
        <f aca="false">HYPERLINK("https://lindat.mff.cuni.cz/services/SynSemClass40/SynSemClass40.html?veclass=vec00043#vec00043-ces-cm00041", "vec00043")</f>
        <v>vec00043</v>
      </c>
      <c r="F73515" s="0" t="s">
        <v>5012</v>
      </c>
    </row>
    <row r="73516" customFormat="false" ht="12.8" hidden="false" customHeight="false" outlineLevel="0" collapsed="false">
      <c r="B73516" s="0" t="s">
        <v>1</v>
      </c>
      <c r="C73516" s="0" t="s">
        <v>2758</v>
      </c>
      <c r="E73516" s="0" t="s">
        <v>8022</v>
      </c>
      <c r="F73516" s="0" t="s">
        <v>8023</v>
      </c>
    </row>
    <row r="73517" customFormat="false" ht="12.8" hidden="false" customHeight="false" outlineLevel="0" collapsed="false">
      <c r="B73517" s="0" t="s">
        <v>186</v>
      </c>
      <c r="C73517" s="0" t="s">
        <v>8024</v>
      </c>
      <c r="E73517" s="0" t="s">
        <v>8025</v>
      </c>
      <c r="F73517" s="0" t="s">
        <v>8026</v>
      </c>
    </row>
    <row r="73518" customFormat="false" ht="12.8" hidden="false" customHeight="false" outlineLevel="0" collapsed="false">
      <c r="B73518" s="0" t="s">
        <v>23742</v>
      </c>
      <c r="C73518" s="0" t="s">
        <v>8028</v>
      </c>
      <c r="E73518" s="0" t="s">
        <v>8029</v>
      </c>
      <c r="F73518" s="0" t="s">
        <v>8030</v>
      </c>
    </row>
    <row r="73520" customFormat="false" ht="12.8" hidden="false" customHeight="false" outlineLevel="0" collapsed="false">
      <c r="A73520" s="0" t="s">
        <v>23741</v>
      </c>
      <c r="B73520" s="0" t="str">
        <f aca="false">HYPERLINK("https://lindat.mff.cuni.cz/services/teitok/pdtc10/index.php?action=vallex&amp;frame=v-w5884f3_ZU", "říkávat (v-w5884f3_ZU) - substituted with v-w5884f4_ZU")</f>
        <v>říkávat (v-w5884f3_ZU) - substituted with v-w5884f4_ZU</v>
      </c>
    </row>
    <row r="73521" customFormat="false" ht="12.8" hidden="false" customHeight="false" outlineLevel="0" collapsed="false">
      <c r="B73521" s="0" t="s">
        <v>1</v>
      </c>
    </row>
    <row r="73522" customFormat="false" ht="12.8" hidden="false" customHeight="false" outlineLevel="0" collapsed="false">
      <c r="B73522" s="0" t="s">
        <v>186</v>
      </c>
    </row>
    <row r="73523" customFormat="false" ht="12.8" hidden="false" customHeight="false" outlineLevel="0" collapsed="false">
      <c r="B73523" s="0" t="s">
        <v>23742</v>
      </c>
    </row>
    <row r="73525" customFormat="false" ht="12.8" hidden="false" customHeight="false" outlineLevel="0" collapsed="false">
      <c r="A73525" s="0" t="s">
        <v>23743</v>
      </c>
      <c r="B73525" s="0" t="str">
        <f aca="false">HYPERLINK("https://lindat.mff.cuni.cz/services/teitok/pdtc10/index.php?action=vallex&amp;frame=v-w5884f1", "říkávat (v-w5884f1)")</f>
        <v>říkávat (v-w5884f1)</v>
      </c>
      <c r="E73525" s="0" t="str">
        <f aca="false">HYPERLINK("https://lindat.mff.cuni.cz/services/SynSemClass40/SynSemClass40.html?veclass=vec00060#vec00060-ces-cm00448", "vec00060")</f>
        <v>vec00060</v>
      </c>
      <c r="F73525" s="0" t="s">
        <v>213</v>
      </c>
      <c r="H73525" s="0" t="str">
        <f aca="false">HYPERLINK("https://lindat.mff.cuni.cz/services/SynSemClass40/SynSemClass40.html?veclass=vec01529#vec01529-ces-cm00034", "vec01529")</f>
        <v>vec01529</v>
      </c>
      <c r="I73525" s="0" t="s">
        <v>10227</v>
      </c>
    </row>
    <row r="73526" customFormat="false" ht="12.8" hidden="false" customHeight="false" outlineLevel="0" collapsed="false">
      <c r="B73526" s="0" t="s">
        <v>1</v>
      </c>
      <c r="C73526" s="0" t="s">
        <v>10228</v>
      </c>
      <c r="E73526" s="0" t="s">
        <v>147</v>
      </c>
      <c r="F73526" s="0" t="s">
        <v>215</v>
      </c>
      <c r="H73526" s="0" t="s">
        <v>147</v>
      </c>
      <c r="I73526" s="0" t="s">
        <v>10229</v>
      </c>
    </row>
    <row r="73527" customFormat="false" ht="12.8" hidden="false" customHeight="false" outlineLevel="0" collapsed="false">
      <c r="B73527" s="0" t="s">
        <v>52</v>
      </c>
      <c r="C73527" s="0" t="s">
        <v>10230</v>
      </c>
      <c r="E73527" s="0" t="s">
        <v>221</v>
      </c>
      <c r="F73527" s="0" t="s">
        <v>222</v>
      </c>
      <c r="H73527" s="0" t="s">
        <v>221</v>
      </c>
      <c r="I73527" s="0" t="s">
        <v>10231</v>
      </c>
    </row>
    <row r="73528" customFormat="false" ht="12.8" hidden="false" customHeight="false" outlineLevel="0" collapsed="false">
      <c r="B73528" s="0" t="s">
        <v>495</v>
      </c>
      <c r="C73528" s="0" t="s">
        <v>10232</v>
      </c>
      <c r="E73528" s="0" t="s">
        <v>2217</v>
      </c>
      <c r="F73528" s="0" t="s">
        <v>2218</v>
      </c>
      <c r="H73528" s="0" t="s">
        <v>2217</v>
      </c>
      <c r="I73528" s="0" t="s">
        <v>10233</v>
      </c>
    </row>
    <row r="73529" customFormat="false" ht="12.8" hidden="false" customHeight="false" outlineLevel="0" collapsed="false">
      <c r="B73529" s="0" t="s">
        <v>10831</v>
      </c>
      <c r="C73529" s="0" t="s">
        <v>217</v>
      </c>
      <c r="E73529" s="0" t="s">
        <v>218</v>
      </c>
      <c r="F73529" s="0" t="s">
        <v>219</v>
      </c>
    </row>
    <row r="73531" customFormat="false" ht="12.8" hidden="false" customHeight="false" outlineLevel="0" collapsed="false">
      <c r="A73531" s="0" t="s">
        <v>23744</v>
      </c>
      <c r="B73531" s="0" t="str">
        <f aca="false">HYPERLINK("https://lindat.mff.cuni.cz/services/teitok/pdtc10/index.php?action=vallex&amp;frame=v-w5884f5_ZU", "říkávat (v-w5884f5_ZU)")</f>
        <v>říkávat (v-w5884f5_ZU)</v>
      </c>
    </row>
    <row r="73532" customFormat="false" ht="12.8" hidden="false" customHeight="false" outlineLevel="0" collapsed="false">
      <c r="B73532" s="0" t="s">
        <v>1</v>
      </c>
    </row>
    <row r="73533" customFormat="false" ht="12.8" hidden="false" customHeight="false" outlineLevel="0" collapsed="false">
      <c r="B73533" s="0" t="s">
        <v>186</v>
      </c>
    </row>
    <row r="73534" customFormat="false" ht="12.8" hidden="false" customHeight="false" outlineLevel="0" collapsed="false">
      <c r="B73534" s="0" t="s">
        <v>5201</v>
      </c>
    </row>
    <row r="73536" customFormat="false" ht="12.8" hidden="false" customHeight="false" outlineLevel="0" collapsed="false">
      <c r="A73536" s="0" t="s">
        <v>23745</v>
      </c>
      <c r="B73536" s="0" t="str">
        <f aca="false">HYPERLINK("https://lindat.mff.cuni.cz/services/teitok/pdtc10/index.php?action=vallex&amp;frame=v-w5885f1", "řítit se (v-w5885f1)")</f>
        <v>řítit se (v-w5885f1)</v>
      </c>
      <c r="E73536" s="0" t="str">
        <f aca="false">HYPERLINK("https://lindat.mff.cuni.cz/services/SynSemClass40/SynSemClass40.html?veclass=vec00610#vec00610-ces-cm00049", "vec00610")</f>
        <v>vec00610</v>
      </c>
      <c r="F73536" s="0" t="s">
        <v>3225</v>
      </c>
    </row>
    <row r="73537" customFormat="false" ht="12.8" hidden="false" customHeight="false" outlineLevel="0" collapsed="false">
      <c r="B73537" s="0" t="s">
        <v>1</v>
      </c>
      <c r="C73537" s="0" t="s">
        <v>4387</v>
      </c>
      <c r="E73537" s="0" t="s">
        <v>11</v>
      </c>
      <c r="F73537" s="0" t="s">
        <v>3227</v>
      </c>
    </row>
    <row r="73538" customFormat="false" ht="12.8" hidden="false" customHeight="false" outlineLevel="0" collapsed="false">
      <c r="B73538" s="0" t="s">
        <v>361</v>
      </c>
      <c r="C73538" s="0" t="s">
        <v>4388</v>
      </c>
      <c r="E73538" s="0" t="s">
        <v>3229</v>
      </c>
      <c r="F73538" s="0" t="s">
        <v>3230</v>
      </c>
    </row>
    <row r="73540" customFormat="false" ht="12.8" hidden="false" customHeight="false" outlineLevel="0" collapsed="false">
      <c r="A73540" s="0" t="s">
        <v>23746</v>
      </c>
      <c r="B73540" s="0" t="str">
        <f aca="false">HYPERLINK("https://lindat.mff.cuni.cz/services/teitok/pdtc10/index.php?action=vallex&amp;frame=v-w5885f2", "řítit se (v-w5885f2)")</f>
        <v>řítit se (v-w5885f2)</v>
      </c>
      <c r="E73540" s="0" t="str">
        <f aca="false">HYPERLINK("https://lindat.mff.cuni.cz/services/SynSemClass40/SynSemClass40.html?veclass=vec00747#vec00747-ces-cm00027", "vec00747")</f>
        <v>vec00747</v>
      </c>
      <c r="F73540" s="0" t="s">
        <v>4577</v>
      </c>
    </row>
    <row r="73541" customFormat="false" ht="12.8" hidden="false" customHeight="false" outlineLevel="0" collapsed="false">
      <c r="B73541" s="0" t="s">
        <v>1</v>
      </c>
      <c r="C73541" s="0" t="s">
        <v>447</v>
      </c>
      <c r="E73541" s="0" t="s">
        <v>334</v>
      </c>
      <c r="F73541" s="0" t="s">
        <v>4580</v>
      </c>
    </row>
    <row r="73543" customFormat="false" ht="12.8" hidden="false" customHeight="false" outlineLevel="0" collapsed="false">
      <c r="A73543" s="0" t="s">
        <v>23747</v>
      </c>
      <c r="B73543" s="0" t="str">
        <f aca="false">HYPERLINK("https://lindat.mff.cuni.cz/services/teitok/pdtc10/index.php?action=vallex&amp;frame=v-w5888f1", "říznout (v-w5888f1)")</f>
        <v>říznout (v-w5888f1)</v>
      </c>
      <c r="E73543" s="0" t="str">
        <f aca="false">HYPERLINK("https://lindat.mff.cuni.cz/services/SynSemClass40/SynSemClass40.html?veclass=vec01543#vec01543-ces-cm00006", "vec01543")</f>
        <v>vec01543</v>
      </c>
      <c r="F73543" s="0" t="s">
        <v>383</v>
      </c>
    </row>
    <row r="73544" customFormat="false" ht="12.8" hidden="false" customHeight="false" outlineLevel="0" collapsed="false">
      <c r="B73544" s="0" t="s">
        <v>1</v>
      </c>
      <c r="E73544" s="0" t="s">
        <v>31</v>
      </c>
      <c r="F73544" s="0" t="s">
        <v>49</v>
      </c>
    </row>
    <row r="73545" customFormat="false" ht="12.8" hidden="false" customHeight="false" outlineLevel="0" collapsed="false">
      <c r="B73545" s="0" t="s">
        <v>8</v>
      </c>
      <c r="E73545" s="0" t="s">
        <v>384</v>
      </c>
      <c r="F73545" s="0" t="s">
        <v>385</v>
      </c>
    </row>
    <row r="73547" customFormat="false" ht="12.8" hidden="false" customHeight="false" outlineLevel="0" collapsed="false">
      <c r="A73547" s="0" t="s">
        <v>23748</v>
      </c>
      <c r="B73547" s="0" t="str">
        <f aca="false">HYPERLINK("https://lindat.mff.cuni.cz/services/teitok/pdtc10/index.php?action=vallex&amp;frame=v-whsa_657hsa_658", "říznout se (v-whsa_657hsa_658)")</f>
        <v>říznout se (v-whsa_657hsa_658)</v>
      </c>
    </row>
    <row r="73548" customFormat="false" ht="12.8" hidden="false" customHeight="false" outlineLevel="0" collapsed="false">
      <c r="B73548" s="0" t="s">
        <v>1</v>
      </c>
    </row>
    <row r="73550" customFormat="false" ht="12.8" hidden="false" customHeight="false" outlineLevel="0" collapsed="false">
      <c r="A73550" s="0" t="s">
        <v>23749</v>
      </c>
      <c r="B73550" s="0" t="str">
        <f aca="false">HYPERLINK("https://lindat.mff.cuni.cz/services/teitok/pdtc10/index.php?action=vallex&amp;frame=v-whsb_604hsa_605", "šedivět (v-whsb_604hsa_605)")</f>
        <v>šedivět (v-whsb_604hsa_605)</v>
      </c>
    </row>
    <row r="73551" customFormat="false" ht="12.8" hidden="false" customHeight="false" outlineLevel="0" collapsed="false">
      <c r="B73551" s="0" t="s">
        <v>1</v>
      </c>
    </row>
    <row r="73553" customFormat="false" ht="12.8" hidden="false" customHeight="false" outlineLevel="0" collapsed="false">
      <c r="A73553" s="0" t="s">
        <v>23750</v>
      </c>
      <c r="B73553" s="0" t="str">
        <f aca="false">HYPERLINK("https://lindat.mff.cuni.cz/services/teitok/pdtc10/index.php?action=vallex&amp;frame=v-w6705f1", "šelestit (v-w6705f1)")</f>
        <v>šelestit (v-w6705f1)</v>
      </c>
    </row>
    <row r="73554" customFormat="false" ht="12.8" hidden="false" customHeight="false" outlineLevel="0" collapsed="false">
      <c r="B73554" s="0" t="s">
        <v>1</v>
      </c>
    </row>
    <row r="73556" customFormat="false" ht="12.8" hidden="false" customHeight="false" outlineLevel="0" collapsed="false">
      <c r="A73556" s="0" t="s">
        <v>23751</v>
      </c>
      <c r="B73556" s="0" t="str">
        <f aca="false">HYPERLINK("https://lindat.mff.cuni.cz/services/teitok/pdtc10/index.php?action=vallex&amp;frame=v-w6706f2", "šeptat (v-w6706f2)")</f>
        <v>šeptat (v-w6706f2)</v>
      </c>
    </row>
    <row r="73557" customFormat="false" ht="12.8" hidden="false" customHeight="false" outlineLevel="0" collapsed="false">
      <c r="B73557" s="0" t="s">
        <v>1</v>
      </c>
    </row>
    <row r="73558" customFormat="false" ht="12.8" hidden="false" customHeight="false" outlineLevel="0" collapsed="false">
      <c r="B73558" s="0" t="s">
        <v>318</v>
      </c>
    </row>
    <row r="73559" customFormat="false" ht="12.8" hidden="false" customHeight="false" outlineLevel="0" collapsed="false">
      <c r="B73559" s="0" t="s">
        <v>52</v>
      </c>
    </row>
    <row r="73561" customFormat="false" ht="12.8" hidden="false" customHeight="false" outlineLevel="0" collapsed="false">
      <c r="A73561" s="0" t="s">
        <v>23752</v>
      </c>
      <c r="B73561" s="0" t="str">
        <f aca="false">HYPERLINK("https://lindat.mff.cuni.cz/services/teitok/pdtc10/index.php?action=vallex&amp;frame=v-w6706f3", "šeptat (v-w6706f3)")</f>
        <v>šeptat (v-w6706f3)</v>
      </c>
      <c r="E73561" s="0" t="str">
        <f aca="false">HYPERLINK("https://lindat.mff.cuni.cz/services/SynSemClass40/SynSemClass40.html?veclass=vec01528#vec01528-ces-cm00024", "vec01528")</f>
        <v>vec01528</v>
      </c>
      <c r="F73561" s="0" t="s">
        <v>20087</v>
      </c>
    </row>
    <row r="73562" customFormat="false" ht="12.8" hidden="false" customHeight="false" outlineLevel="0" collapsed="false">
      <c r="B73562" s="0" t="s">
        <v>1</v>
      </c>
      <c r="E73562" s="0" t="s">
        <v>147</v>
      </c>
      <c r="F73562" s="0" t="s">
        <v>5874</v>
      </c>
    </row>
    <row r="73563" customFormat="false" ht="12.8" hidden="false" customHeight="false" outlineLevel="0" collapsed="false">
      <c r="B73563" s="0" t="s">
        <v>8</v>
      </c>
      <c r="E73563" s="0" t="s">
        <v>180</v>
      </c>
      <c r="F73563" s="0" t="s">
        <v>20088</v>
      </c>
    </row>
    <row r="73564" customFormat="false" ht="12.8" hidden="false" customHeight="false" outlineLevel="0" collapsed="false">
      <c r="B73564" s="0" t="s">
        <v>132</v>
      </c>
    </row>
    <row r="73566" customFormat="false" ht="12.8" hidden="false" customHeight="false" outlineLevel="0" collapsed="false">
      <c r="A73566" s="0" t="s">
        <v>23753</v>
      </c>
      <c r="B73566" s="0" t="str">
        <f aca="false">HYPERLINK("https://lindat.mff.cuni.cz/services/teitok/pdtc10/index.php?action=vallex&amp;frame=v-w6706hsa_558", "šeptat (v-w6706hsa_558)")</f>
        <v>šeptat (v-w6706hsa_558)</v>
      </c>
      <c r="E73566" s="0" t="str">
        <f aca="false">HYPERLINK("https://lindat.mff.cuni.cz/services/SynSemClass40/SynSemClass40.html?veclass=vec00060#vec00060-ces-cm00288", "vec00060")</f>
        <v>vec00060</v>
      </c>
      <c r="F73566" s="0" t="s">
        <v>213</v>
      </c>
    </row>
    <row r="73567" customFormat="false" ht="12.8" hidden="false" customHeight="false" outlineLevel="0" collapsed="false">
      <c r="B73567" s="0" t="s">
        <v>1</v>
      </c>
      <c r="C73567" s="0" t="s">
        <v>214</v>
      </c>
      <c r="E73567" s="0" t="s">
        <v>147</v>
      </c>
      <c r="F73567" s="0" t="s">
        <v>215</v>
      </c>
    </row>
    <row r="73568" customFormat="false" ht="12.8" hidden="false" customHeight="false" outlineLevel="0" collapsed="false">
      <c r="B73568" s="0" t="s">
        <v>23754</v>
      </c>
      <c r="C73568" s="0" t="s">
        <v>2216</v>
      </c>
      <c r="E73568" s="0" t="s">
        <v>2217</v>
      </c>
      <c r="F73568" s="0" t="s">
        <v>2218</v>
      </c>
    </row>
    <row r="73569" customFormat="false" ht="12.8" hidden="false" customHeight="false" outlineLevel="0" collapsed="false">
      <c r="B73569" s="0" t="s">
        <v>496</v>
      </c>
      <c r="C73569" s="0" t="s">
        <v>217</v>
      </c>
      <c r="E73569" s="0" t="s">
        <v>218</v>
      </c>
      <c r="F73569" s="0" t="s">
        <v>219</v>
      </c>
    </row>
    <row r="73570" customFormat="false" ht="12.8" hidden="false" customHeight="false" outlineLevel="0" collapsed="false">
      <c r="B73570" s="0" t="s">
        <v>23755</v>
      </c>
      <c r="C73570" s="0" t="s">
        <v>220</v>
      </c>
      <c r="E73570" s="0" t="s">
        <v>221</v>
      </c>
      <c r="F73570" s="0" t="s">
        <v>222</v>
      </c>
    </row>
    <row r="73572" customFormat="false" ht="12.8" hidden="false" customHeight="false" outlineLevel="0" collapsed="false">
      <c r="A73572" s="0" t="s">
        <v>23753</v>
      </c>
      <c r="B73572" s="0" t="str">
        <f aca="false">HYPERLINK("https://lindat.mff.cuni.cz/services/teitok/pdtc10/index.php?action=vallex&amp;frame=v-w6706f1", "šeptat (v-w6706f1) - substituted with v-w6706hsa_558")</f>
        <v>šeptat (v-w6706f1) - substituted with v-w6706hsa_558</v>
      </c>
    </row>
    <row r="73573" customFormat="false" ht="12.8" hidden="false" customHeight="false" outlineLevel="0" collapsed="false">
      <c r="B73573" s="0" t="s">
        <v>1</v>
      </c>
    </row>
    <row r="73574" customFormat="false" ht="12.8" hidden="false" customHeight="false" outlineLevel="0" collapsed="false">
      <c r="B73574" s="0" t="s">
        <v>23754</v>
      </c>
    </row>
    <row r="73575" customFormat="false" ht="12.8" hidden="false" customHeight="false" outlineLevel="0" collapsed="false">
      <c r="B73575" s="0" t="s">
        <v>496</v>
      </c>
    </row>
    <row r="73576" customFormat="false" ht="12.8" hidden="false" customHeight="false" outlineLevel="0" collapsed="false">
      <c r="B73576" s="0" t="s">
        <v>23755</v>
      </c>
    </row>
    <row r="73578" customFormat="false" ht="12.8" hidden="false" customHeight="false" outlineLevel="0" collapsed="false">
      <c r="A73578" s="0" t="s">
        <v>23756</v>
      </c>
      <c r="B73578" s="0" t="str">
        <f aca="false">HYPERLINK("https://lindat.mff.cuni.cz/services/teitok/pdtc10/index.php?action=vallex&amp;frame=v-w6707f1", "šermovat (v-w6707f1)")</f>
        <v>šermovat (v-w6707f1)</v>
      </c>
    </row>
    <row r="73579" customFormat="false" ht="12.8" hidden="false" customHeight="false" outlineLevel="0" collapsed="false">
      <c r="B73579" s="0" t="s">
        <v>1</v>
      </c>
    </row>
    <row r="73580" customFormat="false" ht="12.8" hidden="false" customHeight="false" outlineLevel="0" collapsed="false">
      <c r="B73580" s="0" t="s">
        <v>286</v>
      </c>
    </row>
    <row r="73582" customFormat="false" ht="12.8" hidden="false" customHeight="false" outlineLevel="0" collapsed="false">
      <c r="A73582" s="0" t="s">
        <v>23757</v>
      </c>
      <c r="B73582" s="0" t="str">
        <f aca="false">HYPERLINK("https://lindat.mff.cuni.cz/services/teitok/pdtc10/index.php?action=vallex&amp;frame=v-w6711f2", "šetřit (v-w6711f2)")</f>
        <v>šetřit (v-w6711f2)</v>
      </c>
    </row>
    <row r="73583" customFormat="false" ht="12.8" hidden="false" customHeight="false" outlineLevel="0" collapsed="false">
      <c r="B73583" s="0" t="s">
        <v>1</v>
      </c>
    </row>
    <row r="73584" customFormat="false" ht="12.8" hidden="false" customHeight="false" outlineLevel="0" collapsed="false">
      <c r="B73584" s="0" t="s">
        <v>8</v>
      </c>
    </row>
    <row r="73585" customFormat="false" ht="12.8" hidden="false" customHeight="false" outlineLevel="0" collapsed="false">
      <c r="B73585" s="0" t="s">
        <v>574</v>
      </c>
    </row>
    <row r="73587" customFormat="false" ht="12.8" hidden="false" customHeight="false" outlineLevel="0" collapsed="false">
      <c r="A73587" s="0" t="s">
        <v>23758</v>
      </c>
      <c r="B73587" s="0" t="str">
        <f aca="false">HYPERLINK("https://lindat.mff.cuni.cz/services/teitok/pdtc10/index.php?action=vallex&amp;frame=v-w6711f5_ZU", "šetřit (v-w6711f5_ZU)")</f>
        <v>šetřit (v-w6711f5_ZU)</v>
      </c>
      <c r="E73587" s="0" t="str">
        <f aca="false">HYPERLINK("https://lindat.mff.cuni.cz/services/SynSemClass40/SynSemClass40.html?veclass=vec00134#vec00134-ces-cm00001", "vec00134")</f>
        <v>vec00134</v>
      </c>
      <c r="F73587" s="0" t="s">
        <v>23759</v>
      </c>
      <c r="H73587" s="0" t="str">
        <f aca="false">HYPERLINK("https://lindat.mff.cuni.cz/services/SynSemClass40/SynSemClass40.html?veclass=vec01322#vec01322-ces-cm00004", "vec01322")</f>
        <v>vec01322</v>
      </c>
      <c r="I73587" s="0" t="s">
        <v>8079</v>
      </c>
    </row>
    <row r="73588" customFormat="false" ht="12.8" hidden="false" customHeight="false" outlineLevel="0" collapsed="false">
      <c r="B73588" s="0" t="s">
        <v>1</v>
      </c>
      <c r="C73588" s="0" t="s">
        <v>8080</v>
      </c>
      <c r="E73588" s="0" t="s">
        <v>3265</v>
      </c>
      <c r="F73588" s="0" t="s">
        <v>23760</v>
      </c>
      <c r="H73588" s="0" t="s">
        <v>92</v>
      </c>
      <c r="I73588" s="0" t="s">
        <v>8081</v>
      </c>
    </row>
    <row r="73589" customFormat="false" ht="12.8" hidden="false" customHeight="false" outlineLevel="0" collapsed="false">
      <c r="B73589" s="0" t="s">
        <v>6452</v>
      </c>
      <c r="C73589" s="0" t="s">
        <v>4770</v>
      </c>
      <c r="E73589" s="0" t="s">
        <v>594</v>
      </c>
      <c r="F73589" s="0" t="s">
        <v>8632</v>
      </c>
      <c r="H73589" s="0" t="s">
        <v>4565</v>
      </c>
      <c r="I73589" s="0" t="s">
        <v>8082</v>
      </c>
    </row>
    <row r="73591" customFormat="false" ht="12.8" hidden="false" customHeight="false" outlineLevel="0" collapsed="false">
      <c r="A73591" s="0" t="s">
        <v>23758</v>
      </c>
      <c r="B73591" s="0" t="str">
        <f aca="false">HYPERLINK("https://lindat.mff.cuni.cz/services/teitok/pdtc10/index.php?action=vallex&amp;frame=v-w6711f1", "šetřit (v-w6711f1) - substituted with v-w6711f5_ZU")</f>
        <v>šetřit (v-w6711f1) - substituted with v-w6711f5_ZU</v>
      </c>
    </row>
    <row r="73592" customFormat="false" ht="12.8" hidden="false" customHeight="false" outlineLevel="0" collapsed="false">
      <c r="B73592" s="0" t="s">
        <v>1</v>
      </c>
    </row>
    <row r="73593" customFormat="false" ht="12.8" hidden="false" customHeight="false" outlineLevel="0" collapsed="false">
      <c r="B73593" s="0" t="s">
        <v>6452</v>
      </c>
    </row>
    <row r="73595" customFormat="false" ht="12.8" hidden="false" customHeight="false" outlineLevel="0" collapsed="false">
      <c r="A73595" s="0" t="s">
        <v>23761</v>
      </c>
      <c r="B73595" s="0" t="str">
        <f aca="false">HYPERLINK("https://lindat.mff.cuni.cz/services/teitok/pdtc10/index.php?action=vallex&amp;frame=v-w6711f3", "šetřit (v-w6711f3)")</f>
        <v>šetřit (v-w6711f3)</v>
      </c>
    </row>
    <row r="73596" customFormat="false" ht="12.8" hidden="false" customHeight="false" outlineLevel="0" collapsed="false">
      <c r="B73596" s="0" t="s">
        <v>1</v>
      </c>
    </row>
    <row r="73597" customFormat="false" ht="12.8" hidden="false" customHeight="false" outlineLevel="0" collapsed="false">
      <c r="B73597" s="0" t="s">
        <v>8</v>
      </c>
    </row>
    <row r="73599" customFormat="false" ht="12.8" hidden="false" customHeight="false" outlineLevel="0" collapsed="false">
      <c r="A73599" s="0" t="s">
        <v>23762</v>
      </c>
      <c r="B73599" s="0" t="str">
        <f aca="false">HYPERLINK("https://lindat.mff.cuni.cz/services/teitok/pdtc10/index.php?action=vallex&amp;frame=v-w6711f8_ZU", "šetřit (v-w6711f8_ZU)")</f>
        <v>šetřit (v-w6711f8_ZU)</v>
      </c>
    </row>
    <row r="73600" customFormat="false" ht="12.8" hidden="false" customHeight="false" outlineLevel="0" collapsed="false">
      <c r="B73600" s="0" t="s">
        <v>1</v>
      </c>
    </row>
    <row r="73601" customFormat="false" ht="12.8" hidden="false" customHeight="false" outlineLevel="0" collapsed="false">
      <c r="B73601" s="0" t="s">
        <v>3642</v>
      </c>
    </row>
    <row r="73603" customFormat="false" ht="12.8" hidden="false" customHeight="false" outlineLevel="0" collapsed="false">
      <c r="A73603" s="0" t="s">
        <v>23762</v>
      </c>
      <c r="B73603" s="0" t="str">
        <f aca="false">HYPERLINK("https://lindat.mff.cuni.cz/services/teitok/pdtc10/index.php?action=vallex&amp;frame=v-w6711f6_ZU", "šetřit (v-w6711f6_ZU) - substituted with v-w6711f8_ZU")</f>
        <v>šetřit (v-w6711f6_ZU) - substituted with v-w6711f8_ZU</v>
      </c>
    </row>
    <row r="73604" customFormat="false" ht="12.8" hidden="false" customHeight="false" outlineLevel="0" collapsed="false">
      <c r="B73604" s="0" t="s">
        <v>1</v>
      </c>
    </row>
    <row r="73605" customFormat="false" ht="12.8" hidden="false" customHeight="false" outlineLevel="0" collapsed="false">
      <c r="B73605" s="0" t="s">
        <v>3642</v>
      </c>
    </row>
    <row r="73607" customFormat="false" ht="12.8" hidden="false" customHeight="false" outlineLevel="0" collapsed="false">
      <c r="A73607" s="0" t="s">
        <v>23762</v>
      </c>
      <c r="B73607" s="0" t="str">
        <f aca="false">HYPERLINK("https://lindat.mff.cuni.cz/services/teitok/pdtc10/index.php?action=vallex&amp;frame=v-w6711f7_ZU", "šetřit (v-w6711f7_ZU) - substituted with v-w6711f8_ZU")</f>
        <v>šetřit (v-w6711f7_ZU) - substituted with v-w6711f8_ZU</v>
      </c>
    </row>
    <row r="73608" customFormat="false" ht="12.8" hidden="false" customHeight="false" outlineLevel="0" collapsed="false">
      <c r="B73608" s="0" t="s">
        <v>1</v>
      </c>
    </row>
    <row r="73609" customFormat="false" ht="12.8" hidden="false" customHeight="false" outlineLevel="0" collapsed="false">
      <c r="B73609" s="0" t="s">
        <v>3642</v>
      </c>
    </row>
    <row r="73611" customFormat="false" ht="12.8" hidden="false" customHeight="false" outlineLevel="0" collapsed="false">
      <c r="A73611" s="0" t="s">
        <v>23762</v>
      </c>
      <c r="B73611" s="0" t="str">
        <f aca="false">HYPERLINK("https://lindat.mff.cuni.cz/services/teitok/pdtc10/index.php?action=vallex&amp;frame=v-w6711hsa_1307", "šetřit (v-w6711hsa_1307) - substituted with v-w6711f8_ZU")</f>
        <v>šetřit (v-w6711hsa_1307) - substituted with v-w6711f8_ZU</v>
      </c>
    </row>
    <row r="73612" customFormat="false" ht="12.8" hidden="false" customHeight="false" outlineLevel="0" collapsed="false">
      <c r="B73612" s="0" t="s">
        <v>1</v>
      </c>
    </row>
    <row r="73613" customFormat="false" ht="12.8" hidden="false" customHeight="false" outlineLevel="0" collapsed="false">
      <c r="B73613" s="0" t="s">
        <v>3642</v>
      </c>
    </row>
    <row r="73615" customFormat="false" ht="12.8" hidden="false" customHeight="false" outlineLevel="0" collapsed="false">
      <c r="A73615" s="0" t="s">
        <v>23763</v>
      </c>
      <c r="B73615" s="0" t="str">
        <f aca="false">HYPERLINK("https://lindat.mff.cuni.cz/services/teitok/pdtc10/index.php?action=vallex&amp;frame=v-w6711f4", "šetřit (v-w6711f4)")</f>
        <v>šetřit (v-w6711f4)</v>
      </c>
      <c r="E73615" s="0" t="str">
        <f aca="false">HYPERLINK("https://lindat.mff.cuni.cz/services/SynSemClass40/SynSemClass40.html?veclass=vec00886#vec00886-ces-cm00007", "vec00886")</f>
        <v>vec00886</v>
      </c>
      <c r="F73615" s="0" t="s">
        <v>10586</v>
      </c>
    </row>
    <row r="73616" customFormat="false" ht="12.8" hidden="false" customHeight="false" outlineLevel="0" collapsed="false">
      <c r="B73616" s="0" t="s">
        <v>1</v>
      </c>
      <c r="C73616" s="0" t="s">
        <v>4264</v>
      </c>
      <c r="E73616" s="0" t="s">
        <v>10587</v>
      </c>
      <c r="F73616" s="0" t="s">
        <v>10588</v>
      </c>
    </row>
    <row r="73617" customFormat="false" ht="12.8" hidden="false" customHeight="false" outlineLevel="0" collapsed="false">
      <c r="B73617" s="0" t="s">
        <v>8</v>
      </c>
      <c r="C73617" s="0" t="s">
        <v>7124</v>
      </c>
      <c r="E73617" s="0" t="s">
        <v>10589</v>
      </c>
      <c r="F73617" s="0" t="s">
        <v>10590</v>
      </c>
    </row>
    <row r="73619" customFormat="false" ht="12.8" hidden="false" customHeight="false" outlineLevel="0" collapsed="false">
      <c r="A73619" s="0" t="s">
        <v>23764</v>
      </c>
      <c r="B73619" s="0" t="str">
        <f aca="false">HYPERLINK("https://lindat.mff.cuni.cz/services/teitok/pdtc10/index.php?action=vallex&amp;frame=v-w6712f1", "šidit (v-w6712f1)")</f>
        <v>šidit (v-w6712f1)</v>
      </c>
      <c r="E73619" s="0" t="str">
        <f aca="false">HYPERLINK("https://lindat.mff.cuni.cz/services/SynSemClass40/SynSemClass40.html?veclass=vec00671#vec00671-ces-cm00007", "vec00671")</f>
        <v>vec00671</v>
      </c>
      <c r="F73619" s="0" t="s">
        <v>8286</v>
      </c>
    </row>
    <row r="73620" customFormat="false" ht="12.8" hidden="false" customHeight="false" outlineLevel="0" collapsed="false">
      <c r="B73620" s="0" t="s">
        <v>1</v>
      </c>
      <c r="C73620" s="0" t="s">
        <v>4695</v>
      </c>
      <c r="E73620" s="0" t="s">
        <v>4726</v>
      </c>
      <c r="F73620" s="0" t="s">
        <v>8287</v>
      </c>
    </row>
    <row r="73621" customFormat="false" ht="12.8" hidden="false" customHeight="false" outlineLevel="0" collapsed="false">
      <c r="B73621" s="0" t="s">
        <v>8</v>
      </c>
      <c r="C73621" s="0" t="s">
        <v>2082</v>
      </c>
      <c r="E73621" s="0" t="s">
        <v>199</v>
      </c>
      <c r="F73621" s="0" t="s">
        <v>8288</v>
      </c>
    </row>
    <row r="73623" customFormat="false" ht="12.8" hidden="false" customHeight="false" outlineLevel="0" collapsed="false">
      <c r="A73623" s="0" t="s">
        <v>23765</v>
      </c>
      <c r="B73623" s="0" t="str">
        <f aca="false">HYPERLINK("https://lindat.mff.cuni.cz/services/teitok/pdtc10/index.php?action=vallex&amp;frame=v-w6714f1", "šikanovat (v-w6714f1)")</f>
        <v>šikanovat (v-w6714f1)</v>
      </c>
    </row>
    <row r="73624" customFormat="false" ht="12.8" hidden="false" customHeight="false" outlineLevel="0" collapsed="false">
      <c r="B73624" s="0" t="s">
        <v>1</v>
      </c>
    </row>
    <row r="73625" customFormat="false" ht="12.8" hidden="false" customHeight="false" outlineLevel="0" collapsed="false">
      <c r="B73625" s="0" t="s">
        <v>8</v>
      </c>
    </row>
    <row r="73627" customFormat="false" ht="12.8" hidden="false" customHeight="false" outlineLevel="0" collapsed="false">
      <c r="A73627" s="0" t="s">
        <v>23766</v>
      </c>
      <c r="B73627" s="0" t="str">
        <f aca="false">HYPERLINK("https://lindat.mff.cuni.cz/services/teitok/pdtc10/index.php?action=vallex&amp;frame=v-w6716f2", "šilhat (v-w6716f2)")</f>
        <v>šilhat (v-w6716f2)</v>
      </c>
    </row>
    <row r="73628" customFormat="false" ht="12.8" hidden="false" customHeight="false" outlineLevel="0" collapsed="false">
      <c r="B73628" s="0" t="s">
        <v>1</v>
      </c>
    </row>
    <row r="73629" customFormat="false" ht="12.8" hidden="false" customHeight="false" outlineLevel="0" collapsed="false">
      <c r="B73629" s="0" t="s">
        <v>1659</v>
      </c>
    </row>
    <row r="73631" customFormat="false" ht="12.8" hidden="false" customHeight="false" outlineLevel="0" collapsed="false">
      <c r="A73631" s="0" t="s">
        <v>23767</v>
      </c>
      <c r="B73631" s="0" t="str">
        <f aca="false">HYPERLINK("https://lindat.mff.cuni.cz/services/teitok/pdtc10/index.php?action=vallex&amp;frame=v-w6716f1", "šilhat (v-w6716f1)")</f>
        <v>šilhat (v-w6716f1)</v>
      </c>
    </row>
    <row r="73632" customFormat="false" ht="12.8" hidden="false" customHeight="false" outlineLevel="0" collapsed="false">
      <c r="B73632" s="0" t="s">
        <v>1</v>
      </c>
    </row>
    <row r="73634" customFormat="false" ht="12.8" hidden="false" customHeight="false" outlineLevel="0" collapsed="false">
      <c r="A73634" s="0" t="s">
        <v>23768</v>
      </c>
      <c r="B73634" s="0" t="str">
        <f aca="false">HYPERLINK("https://lindat.mff.cuni.cz/services/teitok/pdtc10/index.php?action=vallex&amp;frame=v-w11335f1", "šklebit se (v-w11335f1)")</f>
        <v>šklebit se (v-w11335f1)</v>
      </c>
    </row>
    <row r="73635" customFormat="false" ht="12.8" hidden="false" customHeight="false" outlineLevel="0" collapsed="false">
      <c r="B73635" s="0" t="s">
        <v>1</v>
      </c>
    </row>
    <row r="73636" customFormat="false" ht="12.8" hidden="false" customHeight="false" outlineLevel="0" collapsed="false">
      <c r="B73636" s="0" t="s">
        <v>69</v>
      </c>
    </row>
    <row r="73638" customFormat="false" ht="12.8" hidden="false" customHeight="false" outlineLevel="0" collapsed="false">
      <c r="A73638" s="0" t="s">
        <v>23769</v>
      </c>
      <c r="B73638" s="0" t="str">
        <f aca="false">HYPERLINK("https://lindat.mff.cuni.cz/services/teitok/pdtc10/index.php?action=vallex&amp;frame=v-w10745f2", "škobrtnout (v-w10745f2)")</f>
        <v>škobrtnout (v-w10745f2)</v>
      </c>
    </row>
    <row r="73639" customFormat="false" ht="12.8" hidden="false" customHeight="false" outlineLevel="0" collapsed="false">
      <c r="B73639" s="0" t="s">
        <v>1</v>
      </c>
    </row>
    <row r="73641" customFormat="false" ht="12.8" hidden="false" customHeight="false" outlineLevel="0" collapsed="false">
      <c r="A73641" s="0" t="s">
        <v>23770</v>
      </c>
      <c r="B73641" s="0" t="str">
        <f aca="false">HYPERLINK("https://lindat.mff.cuni.cz/services/teitok/pdtc10/index.php?action=vallex&amp;frame=v-w6725f1", "škodit (v-w6725f1)")</f>
        <v>škodit (v-w6725f1)</v>
      </c>
      <c r="E73641" s="0" t="str">
        <f aca="false">HYPERLINK("https://lindat.mff.cuni.cz/services/SynSemClass40/SynSemClass40.html?veclass=vec00372#vec00372-ces-cm00043", "vec00372")</f>
        <v>vec00372</v>
      </c>
      <c r="F73641" s="0" t="s">
        <v>2524</v>
      </c>
    </row>
    <row r="73642" customFormat="false" ht="12.8" hidden="false" customHeight="false" outlineLevel="0" collapsed="false">
      <c r="B73642" s="0" t="s">
        <v>23771</v>
      </c>
      <c r="C73642" s="0" t="s">
        <v>2525</v>
      </c>
      <c r="E73642" s="0" t="s">
        <v>2526</v>
      </c>
      <c r="F73642" s="0" t="s">
        <v>2527</v>
      </c>
    </row>
    <row r="73643" customFormat="false" ht="12.8" hidden="false" customHeight="false" outlineLevel="0" collapsed="false">
      <c r="B73643" s="0" t="s">
        <v>186</v>
      </c>
      <c r="C73643" s="0" t="s">
        <v>2528</v>
      </c>
      <c r="E73643" s="0" t="s">
        <v>142</v>
      </c>
      <c r="F73643" s="0" t="s">
        <v>2529</v>
      </c>
    </row>
    <row r="73645" customFormat="false" ht="12.8" hidden="false" customHeight="false" outlineLevel="0" collapsed="false">
      <c r="A73645" s="0" t="s">
        <v>23772</v>
      </c>
      <c r="B73645" s="0" t="str">
        <f aca="false">HYPERLINK("https://lindat.mff.cuni.cz/services/teitok/pdtc10/index.php?action=vallex&amp;frame=v-w6729f3_ZU", "školit (v-w6729f3_ZU)")</f>
        <v>školit (v-w6729f3_ZU)</v>
      </c>
      <c r="E73645" s="0" t="str">
        <f aca="false">HYPERLINK("https://lindat.mff.cuni.cz/services/SynSemClass40/SynSemClass40.html?veclass=vec00763#vec00763-ces-cm00003", "vec00763")</f>
        <v>vec00763</v>
      </c>
      <c r="F73645" s="0" t="s">
        <v>19016</v>
      </c>
    </row>
    <row r="73646" customFormat="false" ht="12.8" hidden="false" customHeight="false" outlineLevel="0" collapsed="false">
      <c r="B73646" s="0" t="s">
        <v>1</v>
      </c>
      <c r="C73646" s="0" t="s">
        <v>19017</v>
      </c>
      <c r="E73646" s="0" t="s">
        <v>206</v>
      </c>
      <c r="F73646" s="0" t="s">
        <v>19018</v>
      </c>
    </row>
    <row r="73647" customFormat="false" ht="12.8" hidden="false" customHeight="false" outlineLevel="0" collapsed="false">
      <c r="B73647" s="0" t="s">
        <v>23773</v>
      </c>
      <c r="C73647" s="0" t="s">
        <v>3387</v>
      </c>
      <c r="E73647" s="0" t="s">
        <v>893</v>
      </c>
      <c r="F73647" s="0" t="s">
        <v>20412</v>
      </c>
    </row>
    <row r="73648" customFormat="false" ht="12.8" hidden="false" customHeight="false" outlineLevel="0" collapsed="false">
      <c r="B73648" s="0" t="s">
        <v>98</v>
      </c>
      <c r="C73648" s="0" t="s">
        <v>23774</v>
      </c>
      <c r="E73648" s="0" t="s">
        <v>564</v>
      </c>
      <c r="F73648" s="0" t="s">
        <v>23775</v>
      </c>
    </row>
    <row r="73650" customFormat="false" ht="12.8" hidden="false" customHeight="false" outlineLevel="0" collapsed="false">
      <c r="A73650" s="0" t="s">
        <v>23772</v>
      </c>
      <c r="B73650" s="0" t="str">
        <f aca="false">HYPERLINK("https://lindat.mff.cuni.cz/services/teitok/pdtc10/index.php?action=vallex&amp;frame=v-w6729f2", "školit (v-w6729f2) - substituted with v-w6729f3_ZU")</f>
        <v>školit (v-w6729f2) - substituted with v-w6729f3_ZU</v>
      </c>
    </row>
    <row r="73651" customFormat="false" ht="12.8" hidden="false" customHeight="false" outlineLevel="0" collapsed="false">
      <c r="B73651" s="0" t="s">
        <v>1</v>
      </c>
    </row>
    <row r="73652" customFormat="false" ht="12.8" hidden="false" customHeight="false" outlineLevel="0" collapsed="false">
      <c r="B73652" s="0" t="s">
        <v>23773</v>
      </c>
    </row>
    <row r="73653" customFormat="false" ht="12.8" hidden="false" customHeight="false" outlineLevel="0" collapsed="false">
      <c r="B73653" s="0" t="s">
        <v>98</v>
      </c>
    </row>
    <row r="73655" customFormat="false" ht="12.8" hidden="false" customHeight="false" outlineLevel="0" collapsed="false">
      <c r="A73655" s="0" t="s">
        <v>23776</v>
      </c>
      <c r="B73655" s="0" t="str">
        <f aca="false">HYPERLINK("https://lindat.mff.cuni.cz/services/teitok/pdtc10/index.php?action=vallex&amp;frame=v-w6729f1", "školit (v-w6729f1)")</f>
        <v>školit (v-w6729f1)</v>
      </c>
      <c r="E73655" s="0" t="str">
        <f aca="false">HYPERLINK("https://lindat.mff.cuni.cz/services/SynSemClass40/SynSemClass40.html?veclass=vec00763#vec00763-ces-cm00002", "vec00763")</f>
        <v>vec00763</v>
      </c>
      <c r="F73655" s="0" t="s">
        <v>19016</v>
      </c>
    </row>
    <row r="73656" customFormat="false" ht="12.8" hidden="false" customHeight="false" outlineLevel="0" collapsed="false">
      <c r="B73656" s="0" t="s">
        <v>1</v>
      </c>
      <c r="C73656" s="0" t="s">
        <v>19017</v>
      </c>
      <c r="E73656" s="0" t="s">
        <v>206</v>
      </c>
      <c r="F73656" s="0" t="s">
        <v>19018</v>
      </c>
    </row>
    <row r="73657" customFormat="false" ht="12.8" hidden="false" customHeight="false" outlineLevel="0" collapsed="false">
      <c r="B73657" s="0" t="s">
        <v>8</v>
      </c>
      <c r="C73657" s="0" t="s">
        <v>19019</v>
      </c>
      <c r="E73657" s="0" t="s">
        <v>3002</v>
      </c>
      <c r="F73657" s="0" t="s">
        <v>19020</v>
      </c>
    </row>
    <row r="73659" customFormat="false" ht="12.8" hidden="false" customHeight="false" outlineLevel="0" collapsed="false">
      <c r="A73659" s="0" t="s">
        <v>23777</v>
      </c>
      <c r="B73659" s="0" t="str">
        <f aca="false">HYPERLINK("https://lindat.mff.cuni.cz/services/teitok/pdtc10/index.php?action=vallex&amp;frame=v-w11729_ZUf2_ZU", "škrabat (v-w11729_ZUf2_ZU)")</f>
        <v>škrabat (v-w11729_ZUf2_ZU)</v>
      </c>
    </row>
    <row r="73660" customFormat="false" ht="12.8" hidden="false" customHeight="false" outlineLevel="0" collapsed="false">
      <c r="B73660" s="0" t="s">
        <v>1</v>
      </c>
    </row>
    <row r="73661" customFormat="false" ht="12.8" hidden="false" customHeight="false" outlineLevel="0" collapsed="false">
      <c r="B73661" s="0" t="s">
        <v>8</v>
      </c>
    </row>
    <row r="73663" customFormat="false" ht="12.8" hidden="false" customHeight="false" outlineLevel="0" collapsed="false">
      <c r="A73663" s="0" t="s">
        <v>23777</v>
      </c>
      <c r="B73663" s="0" t="str">
        <f aca="false">HYPERLINK("https://lindat.mff.cuni.cz/services/teitok/pdtc10/index.php?action=vallex&amp;frame=v-w11729_ZUf1_ZU", "škrabat (v-w11729_ZUf1_ZU) - substituted with v-w11729_ZUf2_ZU")</f>
        <v>škrabat (v-w11729_ZUf1_ZU) - substituted with v-w11729_ZUf2_ZU</v>
      </c>
    </row>
    <row r="73664" customFormat="false" ht="12.8" hidden="false" customHeight="false" outlineLevel="0" collapsed="false">
      <c r="B73664" s="0" t="s">
        <v>1</v>
      </c>
    </row>
    <row r="73665" customFormat="false" ht="12.8" hidden="false" customHeight="false" outlineLevel="0" collapsed="false">
      <c r="B73665" s="0" t="s">
        <v>8</v>
      </c>
    </row>
    <row r="73667" customFormat="false" ht="12.8" hidden="false" customHeight="false" outlineLevel="0" collapsed="false">
      <c r="A73667" s="0" t="s">
        <v>23778</v>
      </c>
      <c r="B73667" s="0" t="str">
        <f aca="false">HYPERLINK("https://lindat.mff.cuni.cz/services/teitok/pdtc10/index.php?action=vallex&amp;frame=v-w10541f2", "škrtat (v-w10541f2)")</f>
        <v>škrtat (v-w10541f2)</v>
      </c>
      <c r="E73667" s="0" t="str">
        <f aca="false">HYPERLINK("https://lindat.mff.cuni.cz/services/SynSemClass40/SynSemClass40.html?veclass=vec00962#vec00962-ces-cm00046", "vec00962")</f>
        <v>vec00962</v>
      </c>
      <c r="F73667" s="0" t="s">
        <v>9319</v>
      </c>
    </row>
    <row r="73668" customFormat="false" ht="12.8" hidden="false" customHeight="false" outlineLevel="0" collapsed="false">
      <c r="B73668" s="0" t="s">
        <v>1</v>
      </c>
      <c r="C73668" s="0" t="s">
        <v>106</v>
      </c>
      <c r="E73668" s="0" t="s">
        <v>11</v>
      </c>
      <c r="F73668" s="0" t="s">
        <v>9320</v>
      </c>
    </row>
    <row r="73669" customFormat="false" ht="12.8" hidden="false" customHeight="false" outlineLevel="0" collapsed="false">
      <c r="B73669" s="0" t="s">
        <v>8</v>
      </c>
      <c r="C73669" s="0" t="s">
        <v>4392</v>
      </c>
      <c r="E73669" s="0" t="s">
        <v>4094</v>
      </c>
      <c r="F73669" s="0" t="s">
        <v>9321</v>
      </c>
    </row>
    <row r="73671" customFormat="false" ht="12.8" hidden="false" customHeight="false" outlineLevel="0" collapsed="false">
      <c r="A73671" s="0" t="s">
        <v>23779</v>
      </c>
      <c r="B73671" s="0" t="str">
        <f aca="false">HYPERLINK("https://lindat.mff.cuni.cz/services/teitok/pdtc10/index.php?action=vallex&amp;frame=v-w10541f3_ZU", "škrtat (v-w10541f3_ZU)")</f>
        <v>škrtat (v-w10541f3_ZU)</v>
      </c>
    </row>
    <row r="73672" customFormat="false" ht="12.8" hidden="false" customHeight="false" outlineLevel="0" collapsed="false">
      <c r="B73672" s="0" t="s">
        <v>1</v>
      </c>
    </row>
    <row r="73673" customFormat="false" ht="12.8" hidden="false" customHeight="false" outlineLevel="0" collapsed="false">
      <c r="B73673" s="0" t="s">
        <v>814</v>
      </c>
    </row>
    <row r="73675" customFormat="false" ht="12.8" hidden="false" customHeight="false" outlineLevel="0" collapsed="false">
      <c r="A73675" s="0" t="s">
        <v>23780</v>
      </c>
      <c r="B73675" s="0" t="str">
        <f aca="false">HYPERLINK("https://lindat.mff.cuni.cz/services/teitok/pdtc10/index.php?action=vallex&amp;frame=v-w6733f1", "škrtit (v-w6733f1)")</f>
        <v>škrtit (v-w6733f1)</v>
      </c>
    </row>
    <row r="73676" customFormat="false" ht="12.8" hidden="false" customHeight="false" outlineLevel="0" collapsed="false">
      <c r="B73676" s="0" t="s">
        <v>1</v>
      </c>
    </row>
    <row r="73677" customFormat="false" ht="12.8" hidden="false" customHeight="false" outlineLevel="0" collapsed="false">
      <c r="B73677" s="0" t="s">
        <v>8</v>
      </c>
    </row>
    <row r="73679" customFormat="false" ht="12.8" hidden="false" customHeight="false" outlineLevel="0" collapsed="false">
      <c r="A73679" s="0" t="s">
        <v>23781</v>
      </c>
      <c r="B73679" s="0" t="str">
        <f aca="false">HYPERLINK("https://lindat.mff.cuni.cz/services/teitok/pdtc10/index.php?action=vallex&amp;frame=v-w6733f2", "škrtit (v-w6733f2)")</f>
        <v>škrtit (v-w6733f2)</v>
      </c>
    </row>
    <row r="73680" customFormat="false" ht="12.8" hidden="false" customHeight="false" outlineLevel="0" collapsed="false">
      <c r="B73680" s="0" t="s">
        <v>1</v>
      </c>
    </row>
    <row r="73681" customFormat="false" ht="12.8" hidden="false" customHeight="false" outlineLevel="0" collapsed="false">
      <c r="B73681" s="0" t="s">
        <v>8</v>
      </c>
    </row>
    <row r="73683" customFormat="false" ht="12.8" hidden="false" customHeight="false" outlineLevel="0" collapsed="false">
      <c r="A73683" s="0" t="s">
        <v>23782</v>
      </c>
      <c r="B73683" s="0" t="str">
        <f aca="false">HYPERLINK("https://lindat.mff.cuni.cz/services/teitok/pdtc10/index.php?action=vallex&amp;frame=v-w6734f2", "škrtnout (v-w6734f2)")</f>
        <v>škrtnout (v-w6734f2)</v>
      </c>
      <c r="E73683" s="0" t="str">
        <f aca="false">HYPERLINK("https://lindat.mff.cuni.cz/services/SynSemClass40/SynSemClass40.html?veclass=vec00962#vec00962-ces-cm00030", "vec00962")</f>
        <v>vec00962</v>
      </c>
      <c r="F73683" s="0" t="s">
        <v>9319</v>
      </c>
    </row>
    <row r="73684" customFormat="false" ht="12.8" hidden="false" customHeight="false" outlineLevel="0" collapsed="false">
      <c r="B73684" s="0" t="s">
        <v>1</v>
      </c>
      <c r="C73684" s="0" t="s">
        <v>106</v>
      </c>
      <c r="E73684" s="0" t="s">
        <v>11</v>
      </c>
      <c r="F73684" s="0" t="s">
        <v>9320</v>
      </c>
    </row>
    <row r="73685" customFormat="false" ht="12.8" hidden="false" customHeight="false" outlineLevel="0" collapsed="false">
      <c r="B73685" s="0" t="s">
        <v>8</v>
      </c>
      <c r="C73685" s="0" t="s">
        <v>4392</v>
      </c>
      <c r="E73685" s="0" t="s">
        <v>4094</v>
      </c>
      <c r="F73685" s="0" t="s">
        <v>9321</v>
      </c>
    </row>
    <row r="73687" customFormat="false" ht="12.8" hidden="false" customHeight="false" outlineLevel="0" collapsed="false">
      <c r="A73687" s="0" t="s">
        <v>23783</v>
      </c>
      <c r="B73687" s="0" t="str">
        <f aca="false">HYPERLINK("https://lindat.mff.cuni.cz/services/teitok/pdtc10/index.php?action=vallex&amp;frame=v-w6734f1", "škrtnout (v-w6734f1)")</f>
        <v>škrtnout (v-w6734f1)</v>
      </c>
    </row>
    <row r="73688" customFormat="false" ht="12.8" hidden="false" customHeight="false" outlineLevel="0" collapsed="false">
      <c r="B73688" s="0" t="s">
        <v>1</v>
      </c>
    </row>
    <row r="73689" customFormat="false" ht="12.8" hidden="false" customHeight="false" outlineLevel="0" collapsed="false">
      <c r="B73689" s="0" t="s">
        <v>814</v>
      </c>
    </row>
    <row r="73691" customFormat="false" ht="12.8" hidden="false" customHeight="false" outlineLevel="0" collapsed="false">
      <c r="A73691" s="0" t="s">
        <v>23784</v>
      </c>
      <c r="B73691" s="0" t="str">
        <f aca="false">HYPERLINK("https://lindat.mff.cuni.cz/services/teitok/pdtc10/index.php?action=vallex&amp;frame=v-w6731f1", "škrábat (v-w6731f1)")</f>
        <v>škrábat (v-w6731f1)</v>
      </c>
    </row>
    <row r="73692" customFormat="false" ht="12.8" hidden="false" customHeight="false" outlineLevel="0" collapsed="false">
      <c r="B73692" s="0" t="s">
        <v>1</v>
      </c>
    </row>
    <row r="73693" customFormat="false" ht="12.8" hidden="false" customHeight="false" outlineLevel="0" collapsed="false">
      <c r="B73693" s="0" t="s">
        <v>8</v>
      </c>
    </row>
    <row r="73695" customFormat="false" ht="12.8" hidden="false" customHeight="false" outlineLevel="0" collapsed="false">
      <c r="A73695" s="0" t="s">
        <v>23785</v>
      </c>
      <c r="B73695" s="0" t="str">
        <f aca="false">HYPERLINK("https://lindat.mff.cuni.cz/services/teitok/pdtc10/index.php?action=vallex&amp;frame=v-w6731f2_ZU", "škrábat (v-w6731f2_ZU)")</f>
        <v>škrábat (v-w6731f2_ZU)</v>
      </c>
    </row>
    <row r="73696" customFormat="false" ht="12.8" hidden="false" customHeight="false" outlineLevel="0" collapsed="false">
      <c r="B73696" s="0" t="s">
        <v>1</v>
      </c>
    </row>
    <row r="73697" customFormat="false" ht="12.8" hidden="false" customHeight="false" outlineLevel="0" collapsed="false">
      <c r="B73697" s="0" t="s">
        <v>390</v>
      </c>
    </row>
    <row r="73699" customFormat="false" ht="12.8" hidden="false" customHeight="false" outlineLevel="0" collapsed="false">
      <c r="A73699" s="0" t="s">
        <v>23786</v>
      </c>
      <c r="B73699" s="0" t="str">
        <f aca="false">HYPERLINK("https://lindat.mff.cuni.cz/services/teitok/pdtc10/index.php?action=vallex&amp;frame=v-w6731f3_ZU", "škrábat (v-w6731f3_ZU)")</f>
        <v>škrábat (v-w6731f3_ZU)</v>
      </c>
    </row>
    <row r="73700" customFormat="false" ht="12.8" hidden="false" customHeight="false" outlineLevel="0" collapsed="false">
      <c r="B73700" s="0" t="s">
        <v>1</v>
      </c>
    </row>
    <row r="73701" customFormat="false" ht="12.8" hidden="false" customHeight="false" outlineLevel="0" collapsed="false">
      <c r="B73701" s="0" t="s">
        <v>8</v>
      </c>
    </row>
    <row r="73703" customFormat="false" ht="12.8" hidden="false" customHeight="false" outlineLevel="0" collapsed="false">
      <c r="A73703" s="0" t="s">
        <v>23787</v>
      </c>
      <c r="B73703" s="0" t="str">
        <f aca="false">HYPERLINK("https://lindat.mff.cuni.cz/services/teitok/pdtc10/index.php?action=vallex&amp;frame=v-w11330f1", "škrábat se (v-w11330f1)")</f>
        <v>škrábat se (v-w11330f1)</v>
      </c>
    </row>
    <row r="73704" customFormat="false" ht="12.8" hidden="false" customHeight="false" outlineLevel="0" collapsed="false">
      <c r="B73704" s="0" t="s">
        <v>1</v>
      </c>
    </row>
    <row r="73705" customFormat="false" ht="12.8" hidden="false" customHeight="false" outlineLevel="0" collapsed="false">
      <c r="B73705" s="0" t="s">
        <v>164</v>
      </c>
    </row>
    <row r="73707" customFormat="false" ht="12.8" hidden="false" customHeight="false" outlineLevel="0" collapsed="false">
      <c r="A73707" s="0" t="s">
        <v>23788</v>
      </c>
      <c r="B73707" s="0" t="str">
        <f aca="false">HYPERLINK("https://lindat.mff.cuni.cz/services/teitok/pdtc10/index.php?action=vallex&amp;frame=v-w12015_ZUf1_ZU", "škrábnout (v-w12015_ZUf1_ZU)")</f>
        <v>škrábnout (v-w12015_ZUf1_ZU)</v>
      </c>
    </row>
    <row r="73708" customFormat="false" ht="12.8" hidden="false" customHeight="false" outlineLevel="0" collapsed="false">
      <c r="B73708" s="0" t="s">
        <v>1</v>
      </c>
    </row>
    <row r="73709" customFormat="false" ht="12.8" hidden="false" customHeight="false" outlineLevel="0" collapsed="false">
      <c r="B73709" s="0" t="s">
        <v>8</v>
      </c>
    </row>
    <row r="73711" customFormat="false" ht="12.8" hidden="false" customHeight="false" outlineLevel="0" collapsed="false">
      <c r="A73711" s="0" t="s">
        <v>23789</v>
      </c>
      <c r="B73711" s="0" t="str">
        <f aca="false">HYPERLINK("https://lindat.mff.cuni.cz/services/teitok/pdtc10/index.php?action=vallex&amp;frame=v-w11993_ZUf1_ZU", "škubat (v-w11993_ZUf1_ZU)")</f>
        <v>škubat (v-w11993_ZUf1_ZU)</v>
      </c>
    </row>
    <row r="73712" customFormat="false" ht="12.8" hidden="false" customHeight="false" outlineLevel="0" collapsed="false">
      <c r="B73712" s="0" t="s">
        <v>1</v>
      </c>
    </row>
    <row r="73713" customFormat="false" ht="12.8" hidden="false" customHeight="false" outlineLevel="0" collapsed="false">
      <c r="B73713" s="0" t="s">
        <v>8</v>
      </c>
    </row>
    <row r="73715" customFormat="false" ht="12.8" hidden="false" customHeight="false" outlineLevel="0" collapsed="false">
      <c r="A73715" s="0" t="s">
        <v>23790</v>
      </c>
      <c r="B73715" s="0" t="str">
        <f aca="false">HYPERLINK("https://lindat.mff.cuni.cz/services/teitok/pdtc10/index.php?action=vallex&amp;frame=v-w11588_ZUf1_ZU", "škudlit (v-w11588_ZUf1_ZU)")</f>
        <v>škudlit (v-w11588_ZUf1_ZU)</v>
      </c>
      <c r="E73715" s="0" t="str">
        <f aca="false">HYPERLINK("https://lindat.mff.cuni.cz/services/SynSemClass40/SynSemClass40.html?veclass=vec00886#vec00886-ces-cm00008", "vec00886")</f>
        <v>vec00886</v>
      </c>
      <c r="F73715" s="0" t="s">
        <v>10586</v>
      </c>
    </row>
    <row r="73716" customFormat="false" ht="12.8" hidden="false" customHeight="false" outlineLevel="0" collapsed="false">
      <c r="B73716" s="0" t="s">
        <v>1</v>
      </c>
      <c r="C73716" s="0" t="s">
        <v>4264</v>
      </c>
      <c r="E73716" s="0" t="s">
        <v>10587</v>
      </c>
      <c r="F73716" s="0" t="s">
        <v>10588</v>
      </c>
    </row>
    <row r="73717" customFormat="false" ht="12.8" hidden="false" customHeight="false" outlineLevel="0" collapsed="false">
      <c r="B73717" s="0" t="s">
        <v>8</v>
      </c>
      <c r="C73717" s="0" t="s">
        <v>7124</v>
      </c>
      <c r="E73717" s="0" t="s">
        <v>10589</v>
      </c>
      <c r="F73717" s="0" t="s">
        <v>10590</v>
      </c>
    </row>
    <row r="73719" customFormat="false" ht="12.8" hidden="false" customHeight="false" outlineLevel="0" collapsed="false">
      <c r="A73719" s="0" t="s">
        <v>23791</v>
      </c>
      <c r="B73719" s="0" t="str">
        <f aca="false">HYPERLINK("https://lindat.mff.cuni.cz/services/teitok/pdtc10/index.php?action=vallex&amp;frame=v-w11588_ZUhsa_1037", "škudlit (v-w11588_ZUhsa_1037)")</f>
        <v>škudlit (v-w11588_ZUhsa_1037)</v>
      </c>
    </row>
    <row r="73720" customFormat="false" ht="12.8" hidden="false" customHeight="false" outlineLevel="0" collapsed="false">
      <c r="B73720" s="0" t="s">
        <v>1</v>
      </c>
    </row>
    <row r="73721" customFormat="false" ht="12.8" hidden="false" customHeight="false" outlineLevel="0" collapsed="false">
      <c r="B73721" s="0" t="s">
        <v>3642</v>
      </c>
    </row>
    <row r="73723" customFormat="false" ht="12.8" hidden="false" customHeight="false" outlineLevel="0" collapsed="false">
      <c r="A73723" s="0" t="s">
        <v>23792</v>
      </c>
      <c r="B73723" s="0" t="str">
        <f aca="false">HYPERLINK("https://lindat.mff.cuni.cz/services/teitok/pdtc10/index.php?action=vallex&amp;frame=v-whsa_1774hsa_1775", "škvařit (v-whsa_1774hsa_1775)")</f>
        <v>škvařit (v-whsa_1774hsa_1775)</v>
      </c>
    </row>
    <row r="73724" customFormat="false" ht="12.8" hidden="false" customHeight="false" outlineLevel="0" collapsed="false">
      <c r="B73724" s="0" t="s">
        <v>1</v>
      </c>
    </row>
    <row r="73725" customFormat="false" ht="12.8" hidden="false" customHeight="false" outlineLevel="0" collapsed="false">
      <c r="B73725" s="0" t="s">
        <v>8</v>
      </c>
    </row>
    <row r="73727" customFormat="false" ht="12.8" hidden="false" customHeight="false" outlineLevel="0" collapsed="false">
      <c r="A73727" s="0" t="s">
        <v>23793</v>
      </c>
      <c r="B73727" s="0" t="str">
        <f aca="false">HYPERLINK("https://lindat.mff.cuni.cz/services/teitok/pdtc10/index.php?action=vallex&amp;frame=v-w6736f1", "šlapat (v-w6736f1)")</f>
        <v>šlapat (v-w6736f1)</v>
      </c>
    </row>
    <row r="73728" customFormat="false" ht="12.8" hidden="false" customHeight="false" outlineLevel="0" collapsed="false">
      <c r="B73728" s="0" t="s">
        <v>1</v>
      </c>
    </row>
    <row r="73730" customFormat="false" ht="12.8" hidden="false" customHeight="false" outlineLevel="0" collapsed="false">
      <c r="A73730" s="0" t="s">
        <v>23794</v>
      </c>
      <c r="B73730" s="0" t="str">
        <f aca="false">HYPERLINK("https://lindat.mff.cuni.cz/services/teitok/pdtc10/index.php?action=vallex&amp;frame=v-w6736f2", "šlapat (v-w6736f2)")</f>
        <v>šlapat (v-w6736f2)</v>
      </c>
    </row>
    <row r="73731" customFormat="false" ht="12.8" hidden="false" customHeight="false" outlineLevel="0" collapsed="false">
      <c r="B73731" s="0" t="s">
        <v>1</v>
      </c>
    </row>
    <row r="73732" customFormat="false" ht="12.8" hidden="false" customHeight="false" outlineLevel="0" collapsed="false">
      <c r="B73732" s="0" t="s">
        <v>23795</v>
      </c>
    </row>
    <row r="73733" customFormat="false" ht="12.8" hidden="false" customHeight="false" outlineLevel="0" collapsed="false">
      <c r="B73733" s="0" t="s">
        <v>186</v>
      </c>
    </row>
    <row r="73735" customFormat="false" ht="12.8" hidden="false" customHeight="false" outlineLevel="0" collapsed="false">
      <c r="A73735" s="0" t="s">
        <v>23796</v>
      </c>
      <c r="B73735" s="0" t="str">
        <f aca="false">HYPERLINK("https://lindat.mff.cuni.cz/services/teitok/pdtc10/index.php?action=vallex&amp;frame=v-w6736f3_ZU", "šlapat (v-w6736f3_ZU)")</f>
        <v>šlapat (v-w6736f3_ZU)</v>
      </c>
    </row>
    <row r="73736" customFormat="false" ht="12.8" hidden="false" customHeight="false" outlineLevel="0" collapsed="false">
      <c r="B73736" s="0" t="s">
        <v>1</v>
      </c>
    </row>
    <row r="73737" customFormat="false" ht="12.8" hidden="false" customHeight="false" outlineLevel="0" collapsed="false">
      <c r="B73737" s="0" t="s">
        <v>8</v>
      </c>
    </row>
    <row r="73739" customFormat="false" ht="12.8" hidden="false" customHeight="false" outlineLevel="0" collapsed="false">
      <c r="A73739" s="0" t="s">
        <v>23797</v>
      </c>
      <c r="B73739" s="0" t="str">
        <f aca="false">HYPERLINK("https://lindat.mff.cuni.cz/services/teitok/pdtc10/index.php?action=vallex&amp;frame=v-w6736f5_ZU", "šlapat (v-w6736f5_ZU)")</f>
        <v>šlapat (v-w6736f5_ZU)</v>
      </c>
    </row>
    <row r="73740" customFormat="false" ht="12.8" hidden="false" customHeight="false" outlineLevel="0" collapsed="false">
      <c r="B73740" s="0" t="s">
        <v>1</v>
      </c>
    </row>
    <row r="73741" customFormat="false" ht="12.8" hidden="false" customHeight="false" outlineLevel="0" collapsed="false">
      <c r="B73741" s="0" t="s">
        <v>454</v>
      </c>
    </row>
    <row r="73743" customFormat="false" ht="12.8" hidden="false" customHeight="false" outlineLevel="0" collapsed="false">
      <c r="A73743" s="0" t="s">
        <v>23798</v>
      </c>
      <c r="B73743" s="0" t="str">
        <f aca="false">HYPERLINK("https://lindat.mff.cuni.cz/services/teitok/pdtc10/index.php?action=vallex&amp;frame=v-w6736f6_ZU", "šlapat (v-w6736f6_ZU)")</f>
        <v>šlapat (v-w6736f6_ZU)</v>
      </c>
    </row>
    <row r="73744" customFormat="false" ht="12.8" hidden="false" customHeight="false" outlineLevel="0" collapsed="false">
      <c r="B73744" s="0" t="s">
        <v>1</v>
      </c>
    </row>
    <row r="73746" customFormat="false" ht="12.8" hidden="false" customHeight="false" outlineLevel="0" collapsed="false">
      <c r="A73746" s="0" t="s">
        <v>23798</v>
      </c>
      <c r="B73746" s="0" t="str">
        <f aca="false">HYPERLINK("https://lindat.mff.cuni.cz/services/teitok/pdtc10/index.php?action=vallex&amp;frame=v-w6736f4_ZU", "šlapat (v-w6736f4_ZU) - substituted with v-w6736f6_ZU")</f>
        <v>šlapat (v-w6736f4_ZU) - substituted with v-w6736f6_ZU</v>
      </c>
    </row>
    <row r="73747" customFormat="false" ht="12.8" hidden="false" customHeight="false" outlineLevel="0" collapsed="false">
      <c r="B73747" s="0" t="s">
        <v>1</v>
      </c>
    </row>
    <row r="73749" customFormat="false" ht="12.8" hidden="false" customHeight="false" outlineLevel="0" collapsed="false">
      <c r="A73749" s="0" t="s">
        <v>23799</v>
      </c>
      <c r="B73749" s="0" t="str">
        <f aca="false">HYPERLINK("https://lindat.mff.cuni.cz/services/teitok/pdtc10/index.php?action=vallex&amp;frame=v-whsa_1906f1_ZU", "šlápnout (v-whsa_1906f1_ZU)")</f>
        <v>šlápnout (v-whsa_1906f1_ZU)</v>
      </c>
    </row>
    <row r="73750" customFormat="false" ht="12.8" hidden="false" customHeight="false" outlineLevel="0" collapsed="false">
      <c r="B73750" s="0" t="s">
        <v>1</v>
      </c>
    </row>
    <row r="73752" customFormat="false" ht="12.8" hidden="false" customHeight="false" outlineLevel="0" collapsed="false">
      <c r="A73752" s="0" t="s">
        <v>23800</v>
      </c>
      <c r="B73752" s="0" t="str">
        <f aca="false">HYPERLINK("https://lindat.mff.cuni.cz/services/teitok/pdtc10/index.php?action=vallex&amp;frame=v-whsa_1906hsa_1907", "šlápnout (v-whsa_1906hsa_1907)")</f>
        <v>šlápnout (v-whsa_1906hsa_1907)</v>
      </c>
    </row>
    <row r="73753" customFormat="false" ht="12.8" hidden="false" customHeight="false" outlineLevel="0" collapsed="false">
      <c r="B73753" s="0" t="s">
        <v>1</v>
      </c>
    </row>
    <row r="73754" customFormat="false" ht="12.8" hidden="false" customHeight="false" outlineLevel="0" collapsed="false">
      <c r="B73754" s="0" t="s">
        <v>164</v>
      </c>
    </row>
    <row r="73756" customFormat="false" ht="12.8" hidden="false" customHeight="false" outlineLevel="0" collapsed="false">
      <c r="A73756" s="0" t="s">
        <v>23801</v>
      </c>
      <c r="B73756" s="0" t="str">
        <f aca="false">HYPERLINK("https://lindat.mff.cuni.cz/services/teitok/pdtc10/index.php?action=vallex&amp;frame=v-w12050_ZUf1_ZU", "šmajdat (v-w12050_ZUf1_ZU)")</f>
        <v>šmajdat (v-w12050_ZUf1_ZU)</v>
      </c>
    </row>
    <row r="73757" customFormat="false" ht="12.8" hidden="false" customHeight="false" outlineLevel="0" collapsed="false">
      <c r="B73757" s="0" t="s">
        <v>1</v>
      </c>
    </row>
    <row r="73759" customFormat="false" ht="12.8" hidden="false" customHeight="false" outlineLevel="0" collapsed="false">
      <c r="A73759" s="0" t="s">
        <v>23802</v>
      </c>
      <c r="B73759" s="0" t="str">
        <f aca="false">HYPERLINK("https://lindat.mff.cuni.cz/services/teitok/pdtc10/index.php?action=vallex&amp;frame=v-whsa_719hsa_720", "šmakovat (v-whsa_719hsa_720)")</f>
        <v>šmakovat (v-whsa_719hsa_720)</v>
      </c>
    </row>
    <row r="73760" customFormat="false" ht="12.8" hidden="false" customHeight="false" outlineLevel="0" collapsed="false">
      <c r="B73760" s="0" t="s">
        <v>804</v>
      </c>
    </row>
    <row r="73761" customFormat="false" ht="12.8" hidden="false" customHeight="false" outlineLevel="0" collapsed="false">
      <c r="B73761" s="0" t="s">
        <v>3556</v>
      </c>
    </row>
    <row r="73763" customFormat="false" ht="12.8" hidden="false" customHeight="false" outlineLevel="0" collapsed="false">
      <c r="A73763" s="0" t="s">
        <v>23803</v>
      </c>
      <c r="B73763" s="0" t="str">
        <f aca="false">HYPERLINK("https://lindat.mff.cuni.cz/services/teitok/pdtc10/index.php?action=vallex&amp;frame=v-w10305f2", "šmátrat (v-w10305f2)")</f>
        <v>šmátrat (v-w10305f2)</v>
      </c>
      <c r="E73763" s="0" t="str">
        <f aca="false">HYPERLINK("https://lindat.mff.cuni.cz/services/SynSemClass40/SynSemClass40.html?veclass=vec01527#vec01527-ces-cm00017", "vec01527")</f>
        <v>vec01527</v>
      </c>
      <c r="F73763" s="0" t="s">
        <v>4556</v>
      </c>
    </row>
    <row r="73764" customFormat="false" ht="12.8" hidden="false" customHeight="false" outlineLevel="0" collapsed="false">
      <c r="B73764" s="0" t="s">
        <v>1</v>
      </c>
      <c r="C73764" s="0" t="s">
        <v>512</v>
      </c>
      <c r="E73764" s="0" t="s">
        <v>2263</v>
      </c>
      <c r="F73764" s="0" t="s">
        <v>4557</v>
      </c>
    </row>
    <row r="73765" customFormat="false" ht="12.8" hidden="false" customHeight="false" outlineLevel="0" collapsed="false">
      <c r="B73765" s="0" t="s">
        <v>5</v>
      </c>
      <c r="C73765" s="0" t="s">
        <v>17808</v>
      </c>
      <c r="E73765" s="0" t="s">
        <v>3254</v>
      </c>
      <c r="F73765" s="0" t="s">
        <v>4561</v>
      </c>
    </row>
    <row r="73767" customFormat="false" ht="12.8" hidden="false" customHeight="false" outlineLevel="0" collapsed="false">
      <c r="A73767" s="0" t="s">
        <v>23804</v>
      </c>
      <c r="B73767" s="0" t="str">
        <f aca="false">HYPERLINK("https://lindat.mff.cuni.cz/services/teitok/pdtc10/index.php?action=vallex&amp;frame=v-whsb_999hsa_1000", "šnorchlovat (v-whsb_999hsa_1000)")</f>
        <v>šnorchlovat (v-whsb_999hsa_1000)</v>
      </c>
    </row>
    <row r="73768" customFormat="false" ht="12.8" hidden="false" customHeight="false" outlineLevel="0" collapsed="false">
      <c r="B73768" s="0" t="s">
        <v>1</v>
      </c>
    </row>
    <row r="73770" customFormat="false" ht="12.8" hidden="false" customHeight="false" outlineLevel="0" collapsed="false">
      <c r="A73770" s="0" t="s">
        <v>23805</v>
      </c>
      <c r="B73770" s="0" t="str">
        <f aca="false">HYPERLINK("https://lindat.mff.cuni.cz/services/teitok/pdtc10/index.php?action=vallex&amp;frame=v-w6737f1", "šněrovat (v-w6737f1)")</f>
        <v>šněrovat (v-w6737f1)</v>
      </c>
    </row>
    <row r="73771" customFormat="false" ht="12.8" hidden="false" customHeight="false" outlineLevel="0" collapsed="false">
      <c r="B73771" s="0" t="s">
        <v>1</v>
      </c>
    </row>
    <row r="73772" customFormat="false" ht="12.8" hidden="false" customHeight="false" outlineLevel="0" collapsed="false">
      <c r="B73772" s="0" t="s">
        <v>8</v>
      </c>
    </row>
    <row r="73774" customFormat="false" ht="12.8" hidden="false" customHeight="false" outlineLevel="0" collapsed="false">
      <c r="A73774" s="0" t="s">
        <v>23806</v>
      </c>
      <c r="B73774" s="0" t="str">
        <f aca="false">HYPERLINK("https://lindat.mff.cuni.cz/services/teitok/pdtc10/index.php?action=vallex&amp;frame=v-w6737f2_MM", "šněrovat (v-w6737f2_MM)")</f>
        <v>šněrovat (v-w6737f2_MM)</v>
      </c>
    </row>
    <row r="73775" customFormat="false" ht="12.8" hidden="false" customHeight="false" outlineLevel="0" collapsed="false">
      <c r="B73775" s="0" t="s">
        <v>1</v>
      </c>
    </row>
    <row r="73776" customFormat="false" ht="12.8" hidden="false" customHeight="false" outlineLevel="0" collapsed="false">
      <c r="B73776" s="0" t="s">
        <v>8</v>
      </c>
    </row>
    <row r="73778" customFormat="false" ht="12.8" hidden="false" customHeight="false" outlineLevel="0" collapsed="false">
      <c r="A73778" s="0" t="s">
        <v>23807</v>
      </c>
      <c r="B73778" s="0" t="str">
        <f aca="false">HYPERLINK("https://lindat.mff.cuni.cz/services/teitok/pdtc10/index.php?action=vallex&amp;frame=v-w6740f1", "šokovat (v-w6740f1)")</f>
        <v>šokovat (v-w6740f1)</v>
      </c>
      <c r="E73778" s="0" t="str">
        <f aca="false">HYPERLINK("https://lindat.mff.cuni.cz/services/SynSemClass40/SynSemClass40.html?veclass=vec00094#vec00094-ces-cm00006", "vec00094")</f>
        <v>vec00094</v>
      </c>
      <c r="F73778" s="0" t="s">
        <v>9619</v>
      </c>
      <c r="H73778" s="0" t="str">
        <f aca="false">HYPERLINK("https://lindat.mff.cuni.cz/services/SynSemClass40/SynSemClass40.html?veclass=vec01506#vec01506-ces-cm00012", "vec01506")</f>
        <v>vec01506</v>
      </c>
      <c r="I73778" s="0" t="s">
        <v>5550</v>
      </c>
    </row>
    <row r="73779" customFormat="false" ht="12.8" hidden="false" customHeight="false" outlineLevel="0" collapsed="false">
      <c r="B73779" s="0" t="s">
        <v>9620</v>
      </c>
      <c r="C73779" s="0" t="s">
        <v>9621</v>
      </c>
      <c r="E73779" s="0" t="s">
        <v>1103</v>
      </c>
      <c r="F73779" s="0" t="s">
        <v>9622</v>
      </c>
      <c r="H73779" s="0" t="s">
        <v>266</v>
      </c>
      <c r="I73779" s="0" t="s">
        <v>5552</v>
      </c>
    </row>
    <row r="73780" customFormat="false" ht="12.8" hidden="false" customHeight="false" outlineLevel="0" collapsed="false">
      <c r="B73780" s="0" t="s">
        <v>8</v>
      </c>
      <c r="C73780" s="0" t="s">
        <v>9623</v>
      </c>
      <c r="E73780" s="0" t="s">
        <v>1399</v>
      </c>
      <c r="F73780" s="0" t="s">
        <v>9624</v>
      </c>
      <c r="H73780" s="0" t="s">
        <v>271</v>
      </c>
      <c r="I73780" s="0" t="s">
        <v>5554</v>
      </c>
    </row>
    <row r="73782" customFormat="false" ht="12.8" hidden="false" customHeight="false" outlineLevel="0" collapsed="false">
      <c r="A73782" s="0" t="s">
        <v>23808</v>
      </c>
      <c r="B73782" s="0" t="str">
        <f aca="false">HYPERLINK("https://lindat.mff.cuni.cz/services/teitok/pdtc10/index.php?action=vallex&amp;frame=v-w11669_ZUf3_ZU", "šoupat (v-w11669_ZUf3_ZU)")</f>
        <v>šoupat (v-w11669_ZUf3_ZU)</v>
      </c>
    </row>
    <row r="73783" customFormat="false" ht="12.8" hidden="false" customHeight="false" outlineLevel="0" collapsed="false">
      <c r="B73783" s="0" t="s">
        <v>1</v>
      </c>
    </row>
    <row r="73784" customFormat="false" ht="12.8" hidden="false" customHeight="false" outlineLevel="0" collapsed="false">
      <c r="B73784" s="0" t="s">
        <v>2299</v>
      </c>
    </row>
    <row r="73786" customFormat="false" ht="12.8" hidden="false" customHeight="false" outlineLevel="0" collapsed="false">
      <c r="A73786" s="0" t="s">
        <v>23808</v>
      </c>
      <c r="B73786" s="0" t="str">
        <f aca="false">HYPERLINK("https://lindat.mff.cuni.cz/services/teitok/pdtc10/index.php?action=vallex&amp;frame=v-w11669_ZUf1_ZU", "šoupat (v-w11669_ZUf1_ZU) - substituted with v-w11669_ZUf3_ZU")</f>
        <v>šoupat (v-w11669_ZUf1_ZU) - substituted with v-w11669_ZUf3_ZU</v>
      </c>
      <c r="E73786" s="0" t="str">
        <f aca="false">HYPERLINK("https://lindat.mff.cuni.cz/services/SynSemClass40/SynSemClass40.html?veclass=vec00283#vec00283-ces-cm00114", "vec00283")</f>
        <v>vec00283</v>
      </c>
      <c r="F73786" s="0" t="s">
        <v>8946</v>
      </c>
    </row>
    <row r="73787" customFormat="false" ht="12.8" hidden="false" customHeight="false" outlineLevel="0" collapsed="false">
      <c r="B73787" s="0" t="s">
        <v>1</v>
      </c>
      <c r="C73787" s="0" t="s">
        <v>7911</v>
      </c>
      <c r="E73787" s="0" t="s">
        <v>2196</v>
      </c>
      <c r="F73787" s="0" t="s">
        <v>8947</v>
      </c>
    </row>
    <row r="73788" customFormat="false" ht="12.8" hidden="false" customHeight="false" outlineLevel="0" collapsed="false">
      <c r="B73788" s="0" t="s">
        <v>2299</v>
      </c>
      <c r="C73788" s="0" t="s">
        <v>8948</v>
      </c>
      <c r="E73788" s="0" t="s">
        <v>2200</v>
      </c>
      <c r="F73788" s="0" t="s">
        <v>8949</v>
      </c>
    </row>
    <row r="73790" customFormat="false" ht="12.8" hidden="false" customHeight="false" outlineLevel="0" collapsed="false">
      <c r="A73790" s="0" t="s">
        <v>23808</v>
      </c>
      <c r="B73790" s="0" t="str">
        <f aca="false">HYPERLINK("https://lindat.mff.cuni.cz/services/teitok/pdtc10/index.php?action=vallex&amp;frame=v-w11669_ZUf2_ZU", "šoupat (v-w11669_ZUf2_ZU) - substituted with v-w11669_ZUf3_ZU")</f>
        <v>šoupat (v-w11669_ZUf2_ZU) - substituted with v-w11669_ZUf3_ZU</v>
      </c>
    </row>
    <row r="73791" customFormat="false" ht="12.8" hidden="false" customHeight="false" outlineLevel="0" collapsed="false">
      <c r="B73791" s="0" t="s">
        <v>1</v>
      </c>
    </row>
    <row r="73792" customFormat="false" ht="12.8" hidden="false" customHeight="false" outlineLevel="0" collapsed="false">
      <c r="B73792" s="0" t="s">
        <v>2299</v>
      </c>
    </row>
    <row r="73794" customFormat="false" ht="12.8" hidden="false" customHeight="false" outlineLevel="0" collapsed="false">
      <c r="A73794" s="0" t="s">
        <v>23809</v>
      </c>
      <c r="B73794" s="0" t="str">
        <f aca="false">HYPERLINK("https://lindat.mff.cuni.cz/services/teitok/pdtc10/index.php?action=vallex&amp;frame=v-w6741f1", "šoupnout (v-w6741f1)")</f>
        <v>šoupnout (v-w6741f1)</v>
      </c>
    </row>
    <row r="73795" customFormat="false" ht="12.8" hidden="false" customHeight="false" outlineLevel="0" collapsed="false">
      <c r="B73795" s="0" t="s">
        <v>1</v>
      </c>
    </row>
    <row r="73796" customFormat="false" ht="12.8" hidden="false" customHeight="false" outlineLevel="0" collapsed="false">
      <c r="B73796" s="0" t="s">
        <v>8</v>
      </c>
    </row>
    <row r="73797" customFormat="false" ht="12.8" hidden="false" customHeight="false" outlineLevel="0" collapsed="false">
      <c r="B73797" s="0" t="s">
        <v>164</v>
      </c>
    </row>
    <row r="73799" customFormat="false" ht="12.8" hidden="false" customHeight="false" outlineLevel="0" collapsed="false">
      <c r="A73799" s="0" t="s">
        <v>23810</v>
      </c>
      <c r="B73799" s="0" t="str">
        <f aca="false">HYPERLINK("https://lindat.mff.cuni.cz/services/teitok/pdtc10/index.php?action=vallex&amp;frame=v-w6741f2_ZU", "šoupnout (v-w6741f2_ZU)")</f>
        <v>šoupnout (v-w6741f2_ZU)</v>
      </c>
    </row>
    <row r="73800" customFormat="false" ht="12.8" hidden="false" customHeight="false" outlineLevel="0" collapsed="false">
      <c r="B73800" s="0" t="s">
        <v>1</v>
      </c>
    </row>
    <row r="73801" customFormat="false" ht="12.8" hidden="false" customHeight="false" outlineLevel="0" collapsed="false">
      <c r="B73801" s="0" t="s">
        <v>52</v>
      </c>
    </row>
    <row r="73802" customFormat="false" ht="12.8" hidden="false" customHeight="false" outlineLevel="0" collapsed="false">
      <c r="B73802" s="0" t="s">
        <v>8</v>
      </c>
    </row>
    <row r="73804" customFormat="false" ht="12.8" hidden="false" customHeight="false" outlineLevel="0" collapsed="false">
      <c r="A73804" s="0" t="s">
        <v>23811</v>
      </c>
      <c r="B73804" s="0" t="str">
        <f aca="false">HYPERLINK("https://lindat.mff.cuni.cz/services/teitok/pdtc10/index.php?action=vallex&amp;frame=v-w6742f1", "šoustnout si (v-w6742f1)")</f>
        <v>šoustnout si (v-w6742f1)</v>
      </c>
    </row>
    <row r="73805" customFormat="false" ht="12.8" hidden="false" customHeight="false" outlineLevel="0" collapsed="false">
      <c r="B73805" s="0" t="s">
        <v>629</v>
      </c>
    </row>
    <row r="73806" customFormat="false" ht="12.8" hidden="false" customHeight="false" outlineLevel="0" collapsed="false">
      <c r="B73806" s="0" t="s">
        <v>697</v>
      </c>
    </row>
    <row r="73807" customFormat="false" ht="12.8" hidden="false" customHeight="false" outlineLevel="0" collapsed="false">
      <c r="B73807" s="0" t="s">
        <v>336</v>
      </c>
    </row>
    <row r="73809" customFormat="false" ht="12.8" hidden="false" customHeight="false" outlineLevel="0" collapsed="false">
      <c r="A73809" s="0" t="s">
        <v>23812</v>
      </c>
      <c r="B73809" s="0" t="str">
        <f aca="false">HYPERLINK("https://lindat.mff.cuni.cz/services/teitok/pdtc10/index.php?action=vallex&amp;frame=v-w6743f1", "špehovat (v-w6743f1)")</f>
        <v>špehovat (v-w6743f1)</v>
      </c>
    </row>
    <row r="73810" customFormat="false" ht="12.8" hidden="false" customHeight="false" outlineLevel="0" collapsed="false">
      <c r="B73810" s="0" t="s">
        <v>1</v>
      </c>
    </row>
    <row r="73811" customFormat="false" ht="12.8" hidden="false" customHeight="false" outlineLevel="0" collapsed="false">
      <c r="B73811" s="0" t="s">
        <v>8</v>
      </c>
    </row>
    <row r="73813" customFormat="false" ht="12.8" hidden="false" customHeight="false" outlineLevel="0" collapsed="false">
      <c r="A73813" s="0" t="s">
        <v>23813</v>
      </c>
      <c r="B73813" s="0" t="str">
        <f aca="false">HYPERLINK("https://lindat.mff.cuni.cz/services/teitok/pdtc10/index.php?action=vallex&amp;frame=v-whsa_706hsa_707", "špinit (v-whsa_706hsa_707)")</f>
        <v>špinit (v-whsa_706hsa_707)</v>
      </c>
    </row>
    <row r="73814" customFormat="false" ht="12.8" hidden="false" customHeight="false" outlineLevel="0" collapsed="false">
      <c r="B73814" s="0" t="s">
        <v>1</v>
      </c>
    </row>
    <row r="73815" customFormat="false" ht="12.8" hidden="false" customHeight="false" outlineLevel="0" collapsed="false">
      <c r="B73815" s="0" t="s">
        <v>8</v>
      </c>
    </row>
    <row r="73817" customFormat="false" ht="12.8" hidden="false" customHeight="false" outlineLevel="0" collapsed="false">
      <c r="A73817" s="0" t="s">
        <v>23814</v>
      </c>
      <c r="B73817" s="0" t="str">
        <f aca="false">HYPERLINK("https://lindat.mff.cuni.cz/services/teitok/pdtc10/index.php?action=vallex&amp;frame=v-w6744f1", "špitat (v-w6744f1)")</f>
        <v>špitat (v-w6744f1)</v>
      </c>
      <c r="E73817" s="0" t="str">
        <f aca="false">HYPERLINK("https://lindat.mff.cuni.cz/services/SynSemClass40/SynSemClass40.html?veclass=vec01529#vec01529-ces-cm00036", "vec01529")</f>
        <v>vec01529</v>
      </c>
      <c r="F73817" s="0" t="s">
        <v>10227</v>
      </c>
    </row>
    <row r="73818" customFormat="false" ht="12.8" hidden="false" customHeight="false" outlineLevel="0" collapsed="false">
      <c r="B73818" s="0" t="s">
        <v>1</v>
      </c>
      <c r="C73818" s="0" t="s">
        <v>22408</v>
      </c>
      <c r="E73818" s="0" t="s">
        <v>147</v>
      </c>
      <c r="F73818" s="0" t="s">
        <v>10229</v>
      </c>
    </row>
    <row r="73819" customFormat="false" ht="12.8" hidden="false" customHeight="false" outlineLevel="0" collapsed="false">
      <c r="B73819" s="0" t="s">
        <v>8077</v>
      </c>
      <c r="C73819" s="0" t="s">
        <v>22409</v>
      </c>
      <c r="E73819" s="0" t="s">
        <v>2217</v>
      </c>
      <c r="F73819" s="0" t="s">
        <v>10233</v>
      </c>
    </row>
    <row r="73820" customFormat="false" ht="12.8" hidden="false" customHeight="false" outlineLevel="0" collapsed="false">
      <c r="B73820" s="0" t="s">
        <v>496</v>
      </c>
    </row>
    <row r="73821" customFormat="false" ht="12.8" hidden="false" customHeight="false" outlineLevel="0" collapsed="false">
      <c r="B73821" s="0" t="s">
        <v>132</v>
      </c>
      <c r="C73821" s="0" t="s">
        <v>22410</v>
      </c>
      <c r="E73821" s="0" t="s">
        <v>221</v>
      </c>
      <c r="F73821" s="0" t="s">
        <v>10231</v>
      </c>
    </row>
    <row r="73823" customFormat="false" ht="12.8" hidden="false" customHeight="false" outlineLevel="0" collapsed="false">
      <c r="A73823" s="0" t="s">
        <v>23815</v>
      </c>
      <c r="B73823" s="0" t="str">
        <f aca="false">HYPERLINK("https://lindat.mff.cuni.cz/services/teitok/pdtc10/index.php?action=vallex&amp;frame=v-w6745f1", "špitnout (v-w6745f1)")</f>
        <v>špitnout (v-w6745f1)</v>
      </c>
      <c r="E73823" s="0" t="str">
        <f aca="false">HYPERLINK("https://lindat.mff.cuni.cz/services/SynSemClass40/SynSemClass40.html?veclass=vec01528#vec01528-ces-cm00027", "vec01528")</f>
        <v>vec01528</v>
      </c>
      <c r="F73823" s="0" t="s">
        <v>20087</v>
      </c>
    </row>
    <row r="73824" customFormat="false" ht="12.8" hidden="false" customHeight="false" outlineLevel="0" collapsed="false">
      <c r="B73824" s="0" t="s">
        <v>1</v>
      </c>
      <c r="E73824" s="0" t="s">
        <v>147</v>
      </c>
      <c r="F73824" s="0" t="s">
        <v>5874</v>
      </c>
    </row>
    <row r="73825" customFormat="false" ht="12.8" hidden="false" customHeight="false" outlineLevel="0" collapsed="false">
      <c r="B73825" s="0" t="s">
        <v>8</v>
      </c>
      <c r="E73825" s="0" t="s">
        <v>180</v>
      </c>
      <c r="F73825" s="0" t="s">
        <v>20088</v>
      </c>
    </row>
    <row r="73827" customFormat="false" ht="12.8" hidden="false" customHeight="false" outlineLevel="0" collapsed="false">
      <c r="A73827" s="0" t="s">
        <v>23816</v>
      </c>
      <c r="B73827" s="0" t="str">
        <f aca="false">HYPERLINK("https://lindat.mff.cuni.cz/services/teitok/pdtc10/index.php?action=vallex&amp;frame=v-w6745f2", "špitnout (v-w6745f2)")</f>
        <v>špitnout (v-w6745f2)</v>
      </c>
      <c r="E73827" s="0" t="str">
        <f aca="false">HYPERLINK("https://lindat.mff.cuni.cz/services/SynSemClass40/SynSemClass40.html?veclass=vec01529#vec01529-ces-cm00038", "vec01529")</f>
        <v>vec01529</v>
      </c>
      <c r="F73827" s="0" t="s">
        <v>10227</v>
      </c>
    </row>
    <row r="73828" customFormat="false" ht="12.8" hidden="false" customHeight="false" outlineLevel="0" collapsed="false">
      <c r="B73828" s="0" t="s">
        <v>1</v>
      </c>
      <c r="C73828" s="0" t="s">
        <v>22408</v>
      </c>
      <c r="E73828" s="0" t="s">
        <v>147</v>
      </c>
      <c r="F73828" s="0" t="s">
        <v>10229</v>
      </c>
    </row>
    <row r="73829" customFormat="false" ht="12.8" hidden="false" customHeight="false" outlineLevel="0" collapsed="false">
      <c r="B73829" s="0" t="s">
        <v>8077</v>
      </c>
      <c r="C73829" s="0" t="s">
        <v>22409</v>
      </c>
      <c r="E73829" s="0" t="s">
        <v>2217</v>
      </c>
      <c r="F73829" s="0" t="s">
        <v>10233</v>
      </c>
    </row>
    <row r="73830" customFormat="false" ht="12.8" hidden="false" customHeight="false" outlineLevel="0" collapsed="false">
      <c r="B73830" s="0" t="s">
        <v>496</v>
      </c>
    </row>
    <row r="73831" customFormat="false" ht="12.8" hidden="false" customHeight="false" outlineLevel="0" collapsed="false">
      <c r="B73831" s="0" t="s">
        <v>132</v>
      </c>
      <c r="C73831" s="0" t="s">
        <v>22410</v>
      </c>
      <c r="E73831" s="0" t="s">
        <v>221</v>
      </c>
      <c r="F73831" s="0" t="s">
        <v>10231</v>
      </c>
    </row>
    <row r="73833" customFormat="false" ht="12.8" hidden="false" customHeight="false" outlineLevel="0" collapsed="false">
      <c r="A73833" s="0" t="s">
        <v>23817</v>
      </c>
      <c r="B73833" s="0" t="str">
        <f aca="false">HYPERLINK("https://lindat.mff.cuni.cz/services/teitok/pdtc10/index.php?action=vallex&amp;frame=v-w6746f1", "šplhat (v-w6746f1)")</f>
        <v>šplhat (v-w6746f1)</v>
      </c>
      <c r="E73833" s="0" t="str">
        <f aca="false">HYPERLINK("https://lindat.mff.cuni.cz/services/SynSemClass40/SynSemClass40.html?veclass=vec00109#vec00109-ces-cm00170", "vec00109")</f>
        <v>vec00109</v>
      </c>
      <c r="F73833" s="0" t="s">
        <v>5143</v>
      </c>
      <c r="H73833" s="0" t="str">
        <f aca="false">HYPERLINK("https://lindat.mff.cuni.cz/services/SynSemClass40/SynSemClass40.html?veclass=vec00730#vec00730-ces-cm00026", "vec00730")</f>
        <v>vec00730</v>
      </c>
      <c r="I73833" s="0" t="s">
        <v>5144</v>
      </c>
    </row>
    <row r="73834" customFormat="false" ht="12.8" hidden="false" customHeight="false" outlineLevel="0" collapsed="false">
      <c r="B73834" s="0" t="s">
        <v>1</v>
      </c>
      <c r="C73834" s="0" t="s">
        <v>5145</v>
      </c>
      <c r="E73834" s="0" t="s">
        <v>235</v>
      </c>
      <c r="F73834" s="0" t="s">
        <v>5146</v>
      </c>
      <c r="H73834" s="0" t="s">
        <v>4943</v>
      </c>
      <c r="I73834" s="0" t="s">
        <v>5147</v>
      </c>
    </row>
    <row r="73835" customFormat="false" ht="12.8" hidden="false" customHeight="false" outlineLevel="0" collapsed="false">
      <c r="B73835" s="0" t="s">
        <v>69</v>
      </c>
      <c r="C73835" s="0" t="s">
        <v>5148</v>
      </c>
      <c r="E73835" s="0" t="s">
        <v>5149</v>
      </c>
      <c r="F73835" s="0" t="s">
        <v>5150</v>
      </c>
    </row>
    <row r="73836" customFormat="false" ht="12.8" hidden="false" customHeight="false" outlineLevel="0" collapsed="false">
      <c r="B73836" s="0" t="s">
        <v>36</v>
      </c>
      <c r="C73836" s="0" t="s">
        <v>5151</v>
      </c>
      <c r="E73836" s="0" t="s">
        <v>5152</v>
      </c>
      <c r="F73836" s="0" t="s">
        <v>5153</v>
      </c>
    </row>
    <row r="73838" customFormat="false" ht="12.8" hidden="false" customHeight="false" outlineLevel="0" collapsed="false">
      <c r="A73838" s="0" t="s">
        <v>23818</v>
      </c>
      <c r="B73838" s="0" t="str">
        <f aca="false">HYPERLINK("https://lindat.mff.cuni.cz/services/teitok/pdtc10/index.php?action=vallex&amp;frame=v-w6747f1", "šplhat se (v-w6747f1)")</f>
        <v>šplhat se (v-w6747f1)</v>
      </c>
      <c r="E73838" s="0" t="str">
        <f aca="false">HYPERLINK("https://lindat.mff.cuni.cz/services/SynSemClass40/SynSemClass40.html?veclass=vec00109#vec00109-ces-cm00164", "vec00109")</f>
        <v>vec00109</v>
      </c>
      <c r="F73838" s="0" t="s">
        <v>5143</v>
      </c>
    </row>
    <row r="73839" customFormat="false" ht="12.8" hidden="false" customHeight="false" outlineLevel="0" collapsed="false">
      <c r="B73839" s="0" t="s">
        <v>1</v>
      </c>
      <c r="C73839" s="0" t="s">
        <v>7017</v>
      </c>
      <c r="E73839" s="0" t="s">
        <v>235</v>
      </c>
      <c r="F73839" s="0" t="s">
        <v>5146</v>
      </c>
    </row>
    <row r="73840" customFormat="false" ht="12.8" hidden="false" customHeight="false" outlineLevel="0" collapsed="false">
      <c r="B73840" s="0" t="s">
        <v>164</v>
      </c>
      <c r="C73840" s="0" t="s">
        <v>19242</v>
      </c>
      <c r="E73840" s="0" t="s">
        <v>19243</v>
      </c>
      <c r="F73840" s="0" t="s">
        <v>19244</v>
      </c>
    </row>
    <row r="73842" customFormat="false" ht="12.8" hidden="false" customHeight="false" outlineLevel="0" collapsed="false">
      <c r="A73842" s="0" t="s">
        <v>23819</v>
      </c>
      <c r="B73842" s="0" t="str">
        <f aca="false">HYPERLINK("https://lindat.mff.cuni.cz/services/teitok/pdtc10/index.php?action=vallex&amp;frame=v-w6747f2", "šplhat se (v-w6747f2)")</f>
        <v>šplhat se (v-w6747f2)</v>
      </c>
    </row>
    <row r="73843" customFormat="false" ht="12.8" hidden="false" customHeight="false" outlineLevel="0" collapsed="false">
      <c r="B73843" s="0" t="s">
        <v>1</v>
      </c>
    </row>
    <row r="73845" customFormat="false" ht="12.8" hidden="false" customHeight="false" outlineLevel="0" collapsed="false">
      <c r="A73845" s="0" t="s">
        <v>23820</v>
      </c>
      <c r="B73845" s="0" t="str">
        <f aca="false">HYPERLINK("https://lindat.mff.cuni.cz/services/teitok/pdtc10/index.php?action=vallex&amp;frame=v-w6748f1", "šplhnout si (v-w6748f1)")</f>
        <v>šplhnout si (v-w6748f1)</v>
      </c>
    </row>
    <row r="73846" customFormat="false" ht="12.8" hidden="false" customHeight="false" outlineLevel="0" collapsed="false">
      <c r="B73846" s="0" t="s">
        <v>1</v>
      </c>
    </row>
    <row r="73848" customFormat="false" ht="12.8" hidden="false" customHeight="false" outlineLevel="0" collapsed="false">
      <c r="A73848" s="0" t="s">
        <v>23821</v>
      </c>
      <c r="B73848" s="0" t="str">
        <f aca="false">HYPERLINK("https://lindat.mff.cuni.cz/services/teitok/pdtc10/index.php?action=vallex&amp;frame=v-w12314_MMf1_MM", "šplouchat (v-w12314_MMf1_MM)")</f>
        <v>šplouchat (v-w12314_MMf1_MM)</v>
      </c>
    </row>
    <row r="73849" customFormat="false" ht="12.8" hidden="false" customHeight="false" outlineLevel="0" collapsed="false">
      <c r="B73849" s="0" t="s">
        <v>1</v>
      </c>
    </row>
    <row r="73851" customFormat="false" ht="12.8" hidden="false" customHeight="false" outlineLevel="0" collapsed="false">
      <c r="A73851" s="0" t="s">
        <v>23822</v>
      </c>
      <c r="B73851" s="0" t="str">
        <f aca="false">HYPERLINK("https://lindat.mff.cuni.cz/services/teitok/pdtc10/index.php?action=vallex&amp;frame=v-w6749f1", "šponovat (v-w6749f1)")</f>
        <v>šponovat (v-w6749f1)</v>
      </c>
    </row>
    <row r="73852" customFormat="false" ht="12.8" hidden="false" customHeight="false" outlineLevel="0" collapsed="false">
      <c r="B73852" s="0" t="s">
        <v>1</v>
      </c>
    </row>
    <row r="73853" customFormat="false" ht="12.8" hidden="false" customHeight="false" outlineLevel="0" collapsed="false">
      <c r="B73853" s="0" t="s">
        <v>8</v>
      </c>
    </row>
    <row r="73854" customFormat="false" ht="12.8" hidden="false" customHeight="false" outlineLevel="0" collapsed="false">
      <c r="B73854" s="0" t="s">
        <v>101</v>
      </c>
    </row>
    <row r="73856" customFormat="false" ht="12.8" hidden="false" customHeight="false" outlineLevel="0" collapsed="false">
      <c r="A73856" s="0" t="s">
        <v>23823</v>
      </c>
      <c r="B73856" s="0" t="str">
        <f aca="false">HYPERLINK("https://lindat.mff.cuni.cz/services/teitok/pdtc10/index.php?action=vallex&amp;frame=v-whsa_557hsa_558", "špulit se (v-whsa_557hsa_558)")</f>
        <v>špulit se (v-whsa_557hsa_558)</v>
      </c>
    </row>
    <row r="73857" customFormat="false" ht="12.8" hidden="false" customHeight="false" outlineLevel="0" collapsed="false">
      <c r="B73857" s="0" t="s">
        <v>1</v>
      </c>
    </row>
    <row r="73859" customFormat="false" ht="12.8" hidden="false" customHeight="false" outlineLevel="0" collapsed="false">
      <c r="A73859" s="0" t="s">
        <v>23824</v>
      </c>
      <c r="B73859" s="0" t="str">
        <f aca="false">HYPERLINK("https://lindat.mff.cuni.cz/services/teitok/pdtc10/index.php?action=vallex&amp;frame=v-whsa_1076hsa_1077", "šroubovat (v-whsa_1076hsa_1077)")</f>
        <v>šroubovat (v-whsa_1076hsa_1077)</v>
      </c>
      <c r="E73859" s="0" t="str">
        <f aca="false">HYPERLINK("https://lindat.mff.cuni.cz/services/SynSemClass40/SynSemClass40.html?veclass=vec01450#vec01450-ces-cm00002", "vec01450")</f>
        <v>vec01450</v>
      </c>
      <c r="F73859" s="0" t="s">
        <v>14671</v>
      </c>
    </row>
    <row r="73860" customFormat="false" ht="12.8" hidden="false" customHeight="false" outlineLevel="0" collapsed="false">
      <c r="B73860" s="0" t="s">
        <v>1</v>
      </c>
      <c r="C73860" s="0" t="s">
        <v>3288</v>
      </c>
      <c r="E73860" s="0" t="s">
        <v>4581</v>
      </c>
      <c r="F73860" s="0" t="s">
        <v>14672</v>
      </c>
    </row>
    <row r="73861" customFormat="false" ht="12.8" hidden="false" customHeight="false" outlineLevel="0" collapsed="false">
      <c r="B73861" s="0" t="s">
        <v>8</v>
      </c>
      <c r="C73861" s="0" t="s">
        <v>8841</v>
      </c>
      <c r="E73861" s="0" t="s">
        <v>514</v>
      </c>
      <c r="F73861" s="0" t="s">
        <v>14674</v>
      </c>
    </row>
    <row r="73863" customFormat="false" ht="12.8" hidden="false" customHeight="false" outlineLevel="0" collapsed="false">
      <c r="A73863" s="0" t="s">
        <v>23825</v>
      </c>
      <c r="B73863" s="0" t="str">
        <f aca="false">HYPERLINK("https://lindat.mff.cuni.cz/services/teitok/pdtc10/index.php?action=vallex&amp;frame=v-whsa_1076f1_ZU", "šroubovat (v-whsa_1076f1_ZU)")</f>
        <v>šroubovat (v-whsa_1076f1_ZU)</v>
      </c>
    </row>
    <row r="73864" customFormat="false" ht="12.8" hidden="false" customHeight="false" outlineLevel="0" collapsed="false">
      <c r="B73864" s="0" t="s">
        <v>1</v>
      </c>
    </row>
    <row r="73865" customFormat="false" ht="12.8" hidden="false" customHeight="false" outlineLevel="0" collapsed="false">
      <c r="B73865" s="0" t="s">
        <v>8</v>
      </c>
    </row>
    <row r="73867" customFormat="false" ht="12.8" hidden="false" customHeight="false" outlineLevel="0" collapsed="false">
      <c r="A73867" s="0" t="s">
        <v>23826</v>
      </c>
      <c r="B73867" s="0" t="str">
        <f aca="false">HYPERLINK("https://lindat.mff.cuni.cz/services/teitok/pdtc10/index.php?action=vallex&amp;frame=v-w6760f2", "štvát (v-w6760f2)")</f>
        <v>štvát (v-w6760f2)</v>
      </c>
      <c r="E73867" s="0" t="str">
        <f aca="false">HYPERLINK("https://lindat.mff.cuni.cz/services/SynSemClass40/SynSemClass40.html?veclass=vec01265#vec01265-ces-cm00004", "vec01265")</f>
        <v>vec01265</v>
      </c>
      <c r="F73867" s="0" t="s">
        <v>11377</v>
      </c>
    </row>
    <row r="73868" customFormat="false" ht="12.8" hidden="false" customHeight="false" outlineLevel="0" collapsed="false">
      <c r="B73868" s="0" t="s">
        <v>1</v>
      </c>
      <c r="C73868" s="0" t="s">
        <v>4695</v>
      </c>
      <c r="E73868" s="0" t="s">
        <v>3010</v>
      </c>
      <c r="F73868" s="0" t="s">
        <v>11378</v>
      </c>
    </row>
    <row r="73869" customFormat="false" ht="12.8" hidden="false" customHeight="false" outlineLevel="0" collapsed="false">
      <c r="B73869" s="0" t="s">
        <v>5061</v>
      </c>
      <c r="C73869" s="0" t="s">
        <v>1910</v>
      </c>
      <c r="E73869" s="0" t="s">
        <v>5824</v>
      </c>
      <c r="F73869" s="0" t="s">
        <v>11379</v>
      </c>
    </row>
    <row r="73870" customFormat="false" ht="12.8" hidden="false" customHeight="false" outlineLevel="0" collapsed="false">
      <c r="B73870" s="0" t="s">
        <v>98</v>
      </c>
      <c r="C73870" s="0" t="s">
        <v>8354</v>
      </c>
      <c r="E73870" s="0" t="s">
        <v>3514</v>
      </c>
      <c r="F73870" s="0" t="s">
        <v>11380</v>
      </c>
    </row>
    <row r="73872" customFormat="false" ht="12.8" hidden="false" customHeight="false" outlineLevel="0" collapsed="false">
      <c r="A73872" s="0" t="s">
        <v>23827</v>
      </c>
      <c r="B73872" s="0" t="str">
        <f aca="false">HYPERLINK("https://lindat.mff.cuni.cz/services/teitok/pdtc10/index.php?action=vallex&amp;frame=v-w6760f1", "štvát (v-w6760f1)")</f>
        <v>štvát (v-w6760f1)</v>
      </c>
    </row>
    <row r="73873" customFormat="false" ht="12.8" hidden="false" customHeight="false" outlineLevel="0" collapsed="false">
      <c r="B73873" s="0" t="s">
        <v>264</v>
      </c>
    </row>
    <row r="73874" customFormat="false" ht="12.8" hidden="false" customHeight="false" outlineLevel="0" collapsed="false">
      <c r="B73874" s="0" t="s">
        <v>14346</v>
      </c>
    </row>
    <row r="73876" customFormat="false" ht="12.8" hidden="false" customHeight="false" outlineLevel="0" collapsed="false">
      <c r="A73876" s="0" t="s">
        <v>23828</v>
      </c>
      <c r="B73876" s="0" t="str">
        <f aca="false">HYPERLINK("https://lindat.mff.cuni.cz/services/teitok/pdtc10/index.php?action=vallex&amp;frame=v-w10723f3", "štípat (v-w10723f3)")</f>
        <v>štípat (v-w10723f3)</v>
      </c>
      <c r="E73876" s="0" t="str">
        <f aca="false">HYPERLINK("https://lindat.mff.cuni.cz/services/SynSemClass40/SynSemClass40.html?veclass=vec00903#vec00903-ces-cm00016", "vec00903")</f>
        <v>vec00903</v>
      </c>
      <c r="F73876" s="0" t="s">
        <v>8059</v>
      </c>
    </row>
    <row r="73877" customFormat="false" ht="12.8" hidden="false" customHeight="false" outlineLevel="0" collapsed="false">
      <c r="B73877" s="0" t="s">
        <v>1</v>
      </c>
      <c r="C73877" s="0" t="s">
        <v>3241</v>
      </c>
      <c r="E73877" s="0" t="s">
        <v>1890</v>
      </c>
      <c r="F73877" s="0" t="s">
        <v>8061</v>
      </c>
    </row>
    <row r="73878" customFormat="false" ht="12.8" hidden="false" customHeight="false" outlineLevel="0" collapsed="false">
      <c r="B73878" s="0" t="s">
        <v>8</v>
      </c>
      <c r="C73878" s="0" t="s">
        <v>4776</v>
      </c>
      <c r="E73878" s="0" t="s">
        <v>1893</v>
      </c>
      <c r="F73878" s="0" t="s">
        <v>8063</v>
      </c>
    </row>
    <row r="73879" customFormat="false" ht="12.8" hidden="false" customHeight="false" outlineLevel="0" collapsed="false">
      <c r="B73879" s="0" t="s">
        <v>101</v>
      </c>
      <c r="C73879" s="0" t="s">
        <v>13627</v>
      </c>
      <c r="E73879" s="0" t="s">
        <v>2584</v>
      </c>
      <c r="F73879" s="0" t="s">
        <v>8065</v>
      </c>
    </row>
    <row r="73881" customFormat="false" ht="12.8" hidden="false" customHeight="false" outlineLevel="0" collapsed="false">
      <c r="A73881" s="0" t="s">
        <v>23829</v>
      </c>
      <c r="B73881" s="0" t="str">
        <f aca="false">HYPERLINK("https://lindat.mff.cuni.cz/services/teitok/pdtc10/index.php?action=vallex&amp;frame=v-w10723f4_ZU", "štípat (v-w10723f4_ZU)")</f>
        <v>štípat (v-w10723f4_ZU)</v>
      </c>
    </row>
    <row r="73882" customFormat="false" ht="12.8" hidden="false" customHeight="false" outlineLevel="0" collapsed="false">
      <c r="B73882" s="0" t="s">
        <v>1</v>
      </c>
    </row>
    <row r="73883" customFormat="false" ht="12.8" hidden="false" customHeight="false" outlineLevel="0" collapsed="false">
      <c r="B73883" s="0" t="s">
        <v>8</v>
      </c>
    </row>
    <row r="73885" customFormat="false" ht="12.8" hidden="false" customHeight="false" outlineLevel="0" collapsed="false">
      <c r="A73885" s="0" t="s">
        <v>23829</v>
      </c>
      <c r="B73885" s="0" t="str">
        <f aca="false">HYPERLINK("https://lindat.mff.cuni.cz/services/teitok/pdtc10/index.php?action=vallex&amp;frame=v-w10723hsa_39", "štípat (v-w10723hsa_39) - substituted with v-w10723f4_ZU")</f>
        <v>štípat (v-w10723hsa_39) - substituted with v-w10723f4_ZU</v>
      </c>
    </row>
    <row r="73886" customFormat="false" ht="12.8" hidden="false" customHeight="false" outlineLevel="0" collapsed="false">
      <c r="B73886" s="0" t="s">
        <v>1</v>
      </c>
    </row>
    <row r="73887" customFormat="false" ht="12.8" hidden="false" customHeight="false" outlineLevel="0" collapsed="false">
      <c r="B73887" s="0" t="s">
        <v>8</v>
      </c>
    </row>
    <row r="73889" customFormat="false" ht="12.8" hidden="false" customHeight="false" outlineLevel="0" collapsed="false">
      <c r="A73889" s="0" t="s">
        <v>23830</v>
      </c>
      <c r="B73889" s="0" t="str">
        <f aca="false">HYPERLINK("https://lindat.mff.cuni.cz/services/teitok/pdtc10/index.php?action=vallex&amp;frame=v-w10723f6_ZU", "štípat (v-w10723f6_ZU)")</f>
        <v>štípat (v-w10723f6_ZU)</v>
      </c>
    </row>
    <row r="73890" customFormat="false" ht="12.8" hidden="false" customHeight="false" outlineLevel="0" collapsed="false">
      <c r="B73890" s="0" t="s">
        <v>1</v>
      </c>
    </row>
    <row r="73891" customFormat="false" ht="12.8" hidden="false" customHeight="false" outlineLevel="0" collapsed="false">
      <c r="B73891" s="0" t="s">
        <v>8</v>
      </c>
    </row>
    <row r="73893" customFormat="false" ht="12.8" hidden="false" customHeight="false" outlineLevel="0" collapsed="false">
      <c r="A73893" s="0" t="s">
        <v>23830</v>
      </c>
      <c r="B73893" s="0" t="str">
        <f aca="false">HYPERLINK("https://lindat.mff.cuni.cz/services/teitok/pdtc10/index.php?action=vallex&amp;frame=v-w10723f5_ZU", "štípat (v-w10723f5_ZU) - substituted with v-w10723f6_ZU")</f>
        <v>štípat (v-w10723f5_ZU) - substituted with v-w10723f6_ZU</v>
      </c>
    </row>
    <row r="73894" customFormat="false" ht="12.8" hidden="false" customHeight="false" outlineLevel="0" collapsed="false">
      <c r="B73894" s="0" t="s">
        <v>1</v>
      </c>
    </row>
    <row r="73895" customFormat="false" ht="12.8" hidden="false" customHeight="false" outlineLevel="0" collapsed="false">
      <c r="B73895" s="0" t="s">
        <v>8</v>
      </c>
    </row>
    <row r="73897" customFormat="false" ht="12.8" hidden="false" customHeight="false" outlineLevel="0" collapsed="false">
      <c r="A73897" s="0" t="s">
        <v>23831</v>
      </c>
      <c r="B73897" s="0" t="str">
        <f aca="false">HYPERLINK("https://lindat.mff.cuni.cz/services/teitok/pdtc10/index.php?action=vallex&amp;frame=v-w10079f2", "štípnout (v-w10079f2)")</f>
        <v>štípnout (v-w10079f2)</v>
      </c>
    </row>
    <row r="73898" customFormat="false" ht="12.8" hidden="false" customHeight="false" outlineLevel="0" collapsed="false">
      <c r="B73898" s="0" t="s">
        <v>1</v>
      </c>
    </row>
    <row r="73899" customFormat="false" ht="12.8" hidden="false" customHeight="false" outlineLevel="0" collapsed="false">
      <c r="B73899" s="0" t="s">
        <v>8</v>
      </c>
    </row>
    <row r="73900" customFormat="false" ht="12.8" hidden="false" customHeight="false" outlineLevel="0" collapsed="false">
      <c r="B73900" s="0" t="s">
        <v>52</v>
      </c>
    </row>
    <row r="73902" customFormat="false" ht="12.8" hidden="false" customHeight="false" outlineLevel="0" collapsed="false">
      <c r="A73902" s="0" t="s">
        <v>23832</v>
      </c>
      <c r="B73902" s="0" t="str">
        <f aca="false">HYPERLINK("https://lindat.mff.cuni.cz/services/teitok/pdtc10/index.php?action=vallex&amp;frame=v-w10079f3_MM", "štípnout (v-w10079f3_MM)")</f>
        <v>štípnout (v-w10079f3_MM)</v>
      </c>
    </row>
    <row r="73903" customFormat="false" ht="12.8" hidden="false" customHeight="false" outlineLevel="0" collapsed="false">
      <c r="B73903" s="0" t="s">
        <v>1</v>
      </c>
    </row>
    <row r="73904" customFormat="false" ht="12.8" hidden="false" customHeight="false" outlineLevel="0" collapsed="false">
      <c r="B73904" s="0" t="s">
        <v>8</v>
      </c>
    </row>
    <row r="73906" customFormat="false" ht="12.8" hidden="false" customHeight="false" outlineLevel="0" collapsed="false">
      <c r="A73906" s="0" t="s">
        <v>23833</v>
      </c>
      <c r="B73906" s="0" t="str">
        <f aca="false">HYPERLINK("https://lindat.mff.cuni.cz/services/teitok/pdtc10/index.php?action=vallex&amp;frame=v-w6756f1", "štítit se (v-w6756f1)")</f>
        <v>štítit se (v-w6756f1)</v>
      </c>
    </row>
    <row r="73907" customFormat="false" ht="12.8" hidden="false" customHeight="false" outlineLevel="0" collapsed="false">
      <c r="B73907" s="0" t="s">
        <v>1</v>
      </c>
    </row>
    <row r="73908" customFormat="false" ht="12.8" hidden="false" customHeight="false" outlineLevel="0" collapsed="false">
      <c r="B73908" s="0" t="s">
        <v>23834</v>
      </c>
    </row>
    <row r="73910" customFormat="false" ht="12.8" hidden="false" customHeight="false" outlineLevel="0" collapsed="false">
      <c r="A73910" s="0" t="s">
        <v>23835</v>
      </c>
      <c r="B73910" s="0" t="str">
        <f aca="false">HYPERLINK("https://lindat.mff.cuni.cz/services/teitok/pdtc10/index.php?action=vallex&amp;frame=v-w6751f1", "štěkat (v-w6751f1)")</f>
        <v>štěkat (v-w6751f1)</v>
      </c>
    </row>
    <row r="73911" customFormat="false" ht="12.8" hidden="false" customHeight="false" outlineLevel="0" collapsed="false">
      <c r="B73911" s="0" t="s">
        <v>1</v>
      </c>
    </row>
    <row r="73912" customFormat="false" ht="12.8" hidden="false" customHeight="false" outlineLevel="0" collapsed="false">
      <c r="B73912" s="0" t="s">
        <v>69</v>
      </c>
    </row>
    <row r="73914" customFormat="false" ht="12.8" hidden="false" customHeight="false" outlineLevel="0" collapsed="false">
      <c r="A73914" s="0" t="s">
        <v>23836</v>
      </c>
      <c r="B73914" s="0" t="str">
        <f aca="false">HYPERLINK("https://lindat.mff.cuni.cz/services/teitok/pdtc10/index.php?action=vallex&amp;frame=v-w11448f1", "štěpit (v-w11448f1)")</f>
        <v>štěpit (v-w11448f1)</v>
      </c>
      <c r="E73914" s="0" t="str">
        <f aca="false">HYPERLINK("https://lindat.mff.cuni.cz/services/SynSemClass40/SynSemClass40.html?veclass=vec00296#vec00296-ces-cm00012", "vec00296")</f>
        <v>vec00296</v>
      </c>
      <c r="F73914" s="0" t="s">
        <v>5275</v>
      </c>
    </row>
    <row r="73915" customFormat="false" ht="12.8" hidden="false" customHeight="false" outlineLevel="0" collapsed="false">
      <c r="B73915" s="0" t="s">
        <v>1</v>
      </c>
      <c r="C73915" s="0" t="s">
        <v>5276</v>
      </c>
      <c r="E73915" s="0" t="s">
        <v>11</v>
      </c>
      <c r="F73915" s="0" t="s">
        <v>5277</v>
      </c>
    </row>
    <row r="73916" customFormat="false" ht="12.8" hidden="false" customHeight="false" outlineLevel="0" collapsed="false">
      <c r="B73916" s="0" t="s">
        <v>8</v>
      </c>
      <c r="C73916" s="0" t="s">
        <v>5278</v>
      </c>
      <c r="E73916" s="0" t="s">
        <v>5279</v>
      </c>
      <c r="F73916" s="0" t="s">
        <v>5280</v>
      </c>
    </row>
    <row r="73917" customFormat="false" ht="12.8" hidden="false" customHeight="false" outlineLevel="0" collapsed="false">
      <c r="B73917" s="0" t="s">
        <v>3211</v>
      </c>
      <c r="C73917" s="0" t="s">
        <v>5281</v>
      </c>
      <c r="E73917" s="0" t="s">
        <v>2584</v>
      </c>
      <c r="F73917" s="0" t="s">
        <v>5282</v>
      </c>
    </row>
    <row r="73919" customFormat="false" ht="12.8" hidden="false" customHeight="false" outlineLevel="0" collapsed="false">
      <c r="A73919" s="0" t="s">
        <v>23837</v>
      </c>
      <c r="B73919" s="0" t="str">
        <f aca="false">HYPERLINK("https://lindat.mff.cuni.cz/services/teitok/pdtc10/index.php?action=vallex&amp;frame=v-w6753f1", "štěpit se (v-w6753f1)")</f>
        <v>štěpit se (v-w6753f1)</v>
      </c>
      <c r="E73919" s="0" t="str">
        <f aca="false">HYPERLINK("https://lindat.mff.cuni.cz/services/SynSemClass40/SynSemClass40.html?veclass=vec01305#vec01305-ces-cm00012", "vec01305")</f>
        <v>vec01305</v>
      </c>
      <c r="F73919" s="0" t="s">
        <v>2015</v>
      </c>
    </row>
    <row r="73920" customFormat="false" ht="12.8" hidden="false" customHeight="false" outlineLevel="0" collapsed="false">
      <c r="B73920" s="0" t="s">
        <v>1</v>
      </c>
      <c r="C73920" s="0" t="s">
        <v>2016</v>
      </c>
      <c r="E73920" s="0" t="s">
        <v>2017</v>
      </c>
      <c r="F73920" s="0" t="s">
        <v>2018</v>
      </c>
    </row>
    <row r="73921" customFormat="false" ht="12.8" hidden="false" customHeight="false" outlineLevel="0" collapsed="false">
      <c r="B73921" s="0" t="s">
        <v>14952</v>
      </c>
      <c r="C73921" s="0" t="s">
        <v>2019</v>
      </c>
      <c r="E73921" s="0" t="s">
        <v>110</v>
      </c>
      <c r="F73921" s="0" t="s">
        <v>2020</v>
      </c>
    </row>
    <row r="73923" customFormat="false" ht="12.8" hidden="false" customHeight="false" outlineLevel="0" collapsed="false">
      <c r="A73923" s="0" t="s">
        <v>23838</v>
      </c>
      <c r="B73923" s="0" t="str">
        <f aca="false">HYPERLINK("https://lindat.mff.cuni.cz/services/teitok/pdtc10/index.php?action=vallex&amp;frame=v-whsa_110hsa_111", "šukat (v-whsa_110hsa_111)")</f>
        <v>šukat (v-whsa_110hsa_111)</v>
      </c>
    </row>
    <row r="73924" customFormat="false" ht="12.8" hidden="false" customHeight="false" outlineLevel="0" collapsed="false">
      <c r="B73924" s="0" t="s">
        <v>1</v>
      </c>
    </row>
    <row r="73925" customFormat="false" ht="12.8" hidden="false" customHeight="false" outlineLevel="0" collapsed="false">
      <c r="B73925" s="0" t="s">
        <v>8</v>
      </c>
    </row>
    <row r="73927" customFormat="false" ht="12.8" hidden="false" customHeight="false" outlineLevel="0" collapsed="false">
      <c r="A73927" s="0" t="s">
        <v>23839</v>
      </c>
      <c r="B73927" s="0" t="str">
        <f aca="false">HYPERLINK("https://lindat.mff.cuni.cz/services/teitok/pdtc10/index.php?action=vallex&amp;frame=v-w6762f1", "šumět (v-w6762f1)")</f>
        <v>šumět (v-w6762f1)</v>
      </c>
      <c r="E73927" s="0" t="str">
        <f aca="false">HYPERLINK("https://lindat.mff.cuni.cz/services/SynSemClass40/SynSemClass40.html?veclass=vec00592#vec00592-ces-cm00004", "vec00592")</f>
        <v>vec00592</v>
      </c>
      <c r="F73927" s="0" t="s">
        <v>4749</v>
      </c>
    </row>
    <row r="73928" customFormat="false" ht="12.8" hidden="false" customHeight="false" outlineLevel="0" collapsed="false">
      <c r="B73928" s="0" t="s">
        <v>1</v>
      </c>
      <c r="C73928" s="0" t="s">
        <v>2187</v>
      </c>
      <c r="E73928" s="0" t="s">
        <v>472</v>
      </c>
      <c r="F73928" s="0" t="s">
        <v>4751</v>
      </c>
    </row>
    <row r="73930" customFormat="false" ht="12.8" hidden="false" customHeight="false" outlineLevel="0" collapsed="false">
      <c r="A73930" s="0" t="s">
        <v>23840</v>
      </c>
      <c r="B73930" s="0" t="str">
        <f aca="false">HYPERLINK("https://lindat.mff.cuni.cz/services/teitok/pdtc10/index.php?action=vallex&amp;frame=v-w6764f2", "šustit (v-w6764f2)")</f>
        <v>šustit (v-w6764f2)</v>
      </c>
    </row>
    <row r="73931" customFormat="false" ht="12.8" hidden="false" customHeight="false" outlineLevel="0" collapsed="false">
      <c r="B73931" s="0" t="s">
        <v>1</v>
      </c>
    </row>
    <row r="73932" customFormat="false" ht="12.8" hidden="false" customHeight="false" outlineLevel="0" collapsed="false">
      <c r="B73932" s="0" t="s">
        <v>286</v>
      </c>
    </row>
    <row r="73934" customFormat="false" ht="12.8" hidden="false" customHeight="false" outlineLevel="0" collapsed="false">
      <c r="A73934" s="0" t="s">
        <v>23841</v>
      </c>
      <c r="B73934" s="0" t="str">
        <f aca="false">HYPERLINK("https://lindat.mff.cuni.cz/services/teitok/pdtc10/index.php?action=vallex&amp;frame=v-w6764f1", "šustit (v-w6764f1)")</f>
        <v>šustit (v-w6764f1)</v>
      </c>
    </row>
    <row r="73935" customFormat="false" ht="12.8" hidden="false" customHeight="false" outlineLevel="0" collapsed="false">
      <c r="B73935" s="0" t="s">
        <v>1</v>
      </c>
    </row>
    <row r="73937" customFormat="false" ht="12.8" hidden="false" customHeight="false" outlineLevel="0" collapsed="false">
      <c r="A73937" s="0" t="s">
        <v>23842</v>
      </c>
      <c r="B73937" s="0" t="str">
        <f aca="false">HYPERLINK("https://lindat.mff.cuni.cz/services/teitok/pdtc10/index.php?action=vallex&amp;frame=v-w6765f2", "šuškat (v-w6765f2)")</f>
        <v>šuškat (v-w6765f2)</v>
      </c>
    </row>
    <row r="73938" customFormat="false" ht="12.8" hidden="false" customHeight="false" outlineLevel="0" collapsed="false">
      <c r="B73938" s="0" t="s">
        <v>1</v>
      </c>
    </row>
    <row r="73939" customFormat="false" ht="12.8" hidden="false" customHeight="false" outlineLevel="0" collapsed="false">
      <c r="B73939" s="0" t="s">
        <v>318</v>
      </c>
    </row>
    <row r="73940" customFormat="false" ht="12.8" hidden="false" customHeight="false" outlineLevel="0" collapsed="false">
      <c r="B73940" s="0" t="s">
        <v>52</v>
      </c>
    </row>
    <row r="73942" customFormat="false" ht="12.8" hidden="false" customHeight="false" outlineLevel="0" collapsed="false">
      <c r="A73942" s="0" t="s">
        <v>23843</v>
      </c>
      <c r="B73942" s="0" t="str">
        <f aca="false">HYPERLINK("https://lindat.mff.cuni.cz/services/teitok/pdtc10/index.php?action=vallex&amp;frame=v-w6765f3", "šuškat (v-w6765f3)")</f>
        <v>šuškat (v-w6765f3)</v>
      </c>
      <c r="E73942" s="0" t="str">
        <f aca="false">HYPERLINK("https://lindat.mff.cuni.cz/services/SynSemClass40/SynSemClass40.html?veclass=vec01528#vec01528-ces-cm00031", "vec01528")</f>
        <v>vec01528</v>
      </c>
      <c r="F73942" s="0" t="s">
        <v>20087</v>
      </c>
    </row>
    <row r="73943" customFormat="false" ht="12.8" hidden="false" customHeight="false" outlineLevel="0" collapsed="false">
      <c r="B73943" s="0" t="s">
        <v>1</v>
      </c>
      <c r="E73943" s="0" t="s">
        <v>147</v>
      </c>
      <c r="F73943" s="0" t="s">
        <v>5874</v>
      </c>
    </row>
    <row r="73944" customFormat="false" ht="12.8" hidden="false" customHeight="false" outlineLevel="0" collapsed="false">
      <c r="B73944" s="0" t="s">
        <v>8</v>
      </c>
      <c r="E73944" s="0" t="s">
        <v>180</v>
      </c>
      <c r="F73944" s="0" t="s">
        <v>20088</v>
      </c>
    </row>
    <row r="73945" customFormat="false" ht="12.8" hidden="false" customHeight="false" outlineLevel="0" collapsed="false">
      <c r="B73945" s="0" t="s">
        <v>132</v>
      </c>
    </row>
    <row r="73947" customFormat="false" ht="12.8" hidden="false" customHeight="false" outlineLevel="0" collapsed="false">
      <c r="A73947" s="0" t="s">
        <v>23844</v>
      </c>
      <c r="B73947" s="0" t="str">
        <f aca="false">HYPERLINK("https://lindat.mff.cuni.cz/services/teitok/pdtc10/index.php?action=vallex&amp;frame=v-w6765f1", "šuškat (v-w6765f1)")</f>
        <v>šuškat (v-w6765f1)</v>
      </c>
      <c r="E73947" s="0" t="str">
        <f aca="false">HYPERLINK("https://lindat.mff.cuni.cz/services/SynSemClass40/SynSemClass40.html?veclass=vec01278#vec01278-ces-cm00004", "vec01278")</f>
        <v>vec01278</v>
      </c>
      <c r="F73947" s="0" t="s">
        <v>11861</v>
      </c>
      <c r="H73947" s="0" t="str">
        <f aca="false">HYPERLINK("https://lindat.mff.cuni.cz/services/SynSemClass40/SynSemClass40.html?veclass=vec01529#vec01529-ces-cm00039", "vec01529")</f>
        <v>vec01529</v>
      </c>
      <c r="I73947" s="0" t="s">
        <v>10227</v>
      </c>
    </row>
    <row r="73948" customFormat="false" ht="12.8" hidden="false" customHeight="false" outlineLevel="0" collapsed="false">
      <c r="B73948" s="0" t="s">
        <v>1</v>
      </c>
      <c r="C73948" s="0" t="s">
        <v>22408</v>
      </c>
      <c r="H73948" s="0" t="s">
        <v>147</v>
      </c>
      <c r="I73948" s="0" t="s">
        <v>10229</v>
      </c>
    </row>
    <row r="73949" customFormat="false" ht="12.8" hidden="false" customHeight="false" outlineLevel="0" collapsed="false">
      <c r="B73949" s="0" t="s">
        <v>8077</v>
      </c>
      <c r="C73949" s="0" t="s">
        <v>22409</v>
      </c>
      <c r="E73949" s="0" t="s">
        <v>2217</v>
      </c>
      <c r="F73949" s="0" t="s">
        <v>11862</v>
      </c>
      <c r="H73949" s="0" t="s">
        <v>2217</v>
      </c>
      <c r="I73949" s="0" t="s">
        <v>10233</v>
      </c>
    </row>
    <row r="73950" customFormat="false" ht="12.8" hidden="false" customHeight="false" outlineLevel="0" collapsed="false">
      <c r="B73950" s="0" t="s">
        <v>496</v>
      </c>
      <c r="E73950" s="0" t="s">
        <v>209</v>
      </c>
      <c r="F73950" s="0" t="s">
        <v>11127</v>
      </c>
    </row>
    <row r="73951" customFormat="false" ht="12.8" hidden="false" customHeight="false" outlineLevel="0" collapsed="false">
      <c r="B73951" s="0" t="s">
        <v>132</v>
      </c>
      <c r="C73951" s="0" t="s">
        <v>22410</v>
      </c>
      <c r="H73951" s="0" t="s">
        <v>221</v>
      </c>
      <c r="I73951" s="0" t="s">
        <v>10231</v>
      </c>
    </row>
    <row r="73953" customFormat="false" ht="12.8" hidden="false" customHeight="false" outlineLevel="0" collapsed="false">
      <c r="A73953" s="0" t="s">
        <v>23845</v>
      </c>
      <c r="B73953" s="0" t="str">
        <f aca="false">HYPERLINK("https://lindat.mff.cuni.cz/services/teitok/pdtc10/index.php?action=vallex&amp;frame=v-w10887f2", "švihnout (v-w10887f2)")</f>
        <v>švihnout (v-w10887f2)</v>
      </c>
    </row>
    <row r="73954" customFormat="false" ht="12.8" hidden="false" customHeight="false" outlineLevel="0" collapsed="false">
      <c r="B73954" s="0" t="s">
        <v>1</v>
      </c>
    </row>
    <row r="73955" customFormat="false" ht="12.8" hidden="false" customHeight="false" outlineLevel="0" collapsed="false">
      <c r="B73955" s="0" t="s">
        <v>4287</v>
      </c>
    </row>
    <row r="73957" customFormat="false" ht="12.8" hidden="false" customHeight="false" outlineLevel="0" collapsed="false">
      <c r="A73957" s="0" t="s">
        <v>23846</v>
      </c>
      <c r="B73957" s="0" t="str">
        <f aca="false">HYPERLINK("https://lindat.mff.cuni.cz/services/teitok/pdtc10/index.php?action=vallex&amp;frame=v-w12033_ZUf1_ZU", "šáhnout (v-w12033_ZUf1_ZU)")</f>
        <v>šáhnout (v-w12033_ZUf1_ZU)</v>
      </c>
    </row>
    <row r="73958" customFormat="false" ht="12.8" hidden="false" customHeight="false" outlineLevel="0" collapsed="false">
      <c r="B73958" s="0" t="s">
        <v>1</v>
      </c>
    </row>
    <row r="73959" customFormat="false" ht="12.8" hidden="false" customHeight="false" outlineLevel="0" collapsed="false">
      <c r="B73959" s="0" t="s">
        <v>45</v>
      </c>
    </row>
    <row r="73961" customFormat="false" ht="12.8" hidden="false" customHeight="false" outlineLevel="0" collapsed="false">
      <c r="A73961" s="0" t="s">
        <v>23847</v>
      </c>
      <c r="B73961" s="0" t="str">
        <f aca="false">HYPERLINK("https://lindat.mff.cuni.cz/services/teitok/pdtc10/index.php?action=vallex&amp;frame=v-w12204_ZUf1_ZU", "šáhnout (v-w12204_ZUf1_ZU)")</f>
        <v>šáhnout (v-w12204_ZUf1_ZU)</v>
      </c>
    </row>
    <row r="73962" customFormat="false" ht="12.8" hidden="false" customHeight="false" outlineLevel="0" collapsed="false">
      <c r="B73962" s="0" t="s">
        <v>1</v>
      </c>
    </row>
    <row r="73963" customFormat="false" ht="12.8" hidden="false" customHeight="false" outlineLevel="0" collapsed="false">
      <c r="B73963" s="0" t="s">
        <v>454</v>
      </c>
    </row>
    <row r="73965" customFormat="false" ht="12.8" hidden="false" customHeight="false" outlineLevel="0" collapsed="false">
      <c r="A73965" s="0" t="s">
        <v>23848</v>
      </c>
      <c r="B73965" s="0" t="str">
        <f aca="false">HYPERLINK("https://lindat.mff.cuni.cz/services/teitok/pdtc10/index.php?action=vallex&amp;frame=v-w11582_ZUf1_ZU", "šálit (v-w11582_ZUf1_ZU)")</f>
        <v>šálit (v-w11582_ZUf1_ZU)</v>
      </c>
      <c r="E73965" s="0" t="str">
        <f aca="false">HYPERLINK("https://lindat.mff.cuni.cz/services/SynSemClass40/SynSemClass40.html?veclass=vec00860#vec00860-ces-cm00002", "vec00860")</f>
        <v>vec00860</v>
      </c>
      <c r="F73965" s="0" t="s">
        <v>10336</v>
      </c>
    </row>
    <row r="73966" customFormat="false" ht="12.8" hidden="false" customHeight="false" outlineLevel="0" collapsed="false">
      <c r="B73966" s="0" t="s">
        <v>1</v>
      </c>
      <c r="C73966" s="0" t="s">
        <v>4695</v>
      </c>
      <c r="E73966" s="0" t="s">
        <v>4726</v>
      </c>
      <c r="F73966" s="0" t="s">
        <v>8287</v>
      </c>
    </row>
    <row r="73967" customFormat="false" ht="12.8" hidden="false" customHeight="false" outlineLevel="0" collapsed="false">
      <c r="B73967" s="0" t="s">
        <v>8</v>
      </c>
      <c r="C73967" s="0" t="s">
        <v>744</v>
      </c>
      <c r="E73967" s="0" t="s">
        <v>199</v>
      </c>
      <c r="F73967" s="0" t="s">
        <v>5727</v>
      </c>
    </row>
    <row r="73969" customFormat="false" ht="12.8" hidden="false" customHeight="false" outlineLevel="0" collapsed="false">
      <c r="A73969" s="0" t="s">
        <v>23849</v>
      </c>
      <c r="B73969" s="0" t="str">
        <f aca="false">HYPERLINK("https://lindat.mff.cuni.cz/services/teitok/pdtc10/index.php?action=vallex&amp;frame=v-whsa_1715hsa_1716", "šárat (v-whsa_1715hsa_1716)")</f>
        <v>šárat (v-whsa_1715hsa_1716)</v>
      </c>
    </row>
    <row r="73970" customFormat="false" ht="12.8" hidden="false" customHeight="false" outlineLevel="0" collapsed="false">
      <c r="B73970" s="0" t="s">
        <v>1</v>
      </c>
    </row>
    <row r="73971" customFormat="false" ht="12.8" hidden="false" customHeight="false" outlineLevel="0" collapsed="false">
      <c r="B73971" s="0" t="s">
        <v>5</v>
      </c>
    </row>
    <row r="73973" customFormat="false" ht="12.8" hidden="false" customHeight="false" outlineLevel="0" collapsed="false">
      <c r="A73973" s="0" t="s">
        <v>23850</v>
      </c>
      <c r="B73973" s="0" t="str">
        <f aca="false">HYPERLINK("https://lindat.mff.cuni.cz/services/teitok/pdtc10/index.php?action=vallex&amp;frame=v-w12313_MMf1_MM", "šátrat (v-w12313_MMf1_MM)")</f>
        <v>šátrat (v-w12313_MMf1_MM)</v>
      </c>
    </row>
    <row r="73974" customFormat="false" ht="12.8" hidden="false" customHeight="false" outlineLevel="0" collapsed="false">
      <c r="B73974" s="0" t="s">
        <v>1</v>
      </c>
    </row>
    <row r="73975" customFormat="false" ht="12.8" hidden="false" customHeight="false" outlineLevel="0" collapsed="false">
      <c r="B73975" s="0" t="s">
        <v>5</v>
      </c>
    </row>
    <row r="73977" customFormat="false" ht="12.8" hidden="false" customHeight="false" outlineLevel="0" collapsed="false">
      <c r="A73977" s="0" t="s">
        <v>23851</v>
      </c>
      <c r="B73977" s="0" t="str">
        <f aca="false">HYPERLINK("https://lindat.mff.cuni.cz/services/teitok/pdtc10/index.php?action=vallex&amp;frame=v-w10237f2", "šéfovat (v-w10237f2)")</f>
        <v>šéfovat (v-w10237f2)</v>
      </c>
      <c r="E73977" s="0" t="str">
        <f aca="false">HYPERLINK("https://lindat.mff.cuni.cz/services/SynSemClass40/SynSemClass40.html?veclass=vec00302#vec00302-ces-cm00056", "vec00302")</f>
        <v>vec00302</v>
      </c>
      <c r="F73977" s="0" t="s">
        <v>1991</v>
      </c>
    </row>
    <row r="73978" customFormat="false" ht="12.8" hidden="false" customHeight="false" outlineLevel="0" collapsed="false">
      <c r="B73978" s="0" t="s">
        <v>1</v>
      </c>
      <c r="C73978" s="0" t="s">
        <v>1992</v>
      </c>
      <c r="E73978" s="0" t="s">
        <v>206</v>
      </c>
      <c r="F73978" s="0" t="s">
        <v>1993</v>
      </c>
    </row>
    <row r="73979" customFormat="false" ht="12.8" hidden="false" customHeight="false" outlineLevel="0" collapsed="false">
      <c r="B73979" s="0" t="s">
        <v>186</v>
      </c>
      <c r="C73979" s="0" t="s">
        <v>1994</v>
      </c>
      <c r="E73979" s="0" t="s">
        <v>1995</v>
      </c>
      <c r="F73979" s="0" t="s">
        <v>1996</v>
      </c>
    </row>
    <row r="73981" customFormat="false" ht="12.8" hidden="false" customHeight="false" outlineLevel="0" collapsed="false">
      <c r="A73981" s="0" t="s">
        <v>23852</v>
      </c>
      <c r="B73981" s="0" t="str">
        <f aca="false">HYPERLINK("https://lindat.mff.cuni.cz/services/teitok/pdtc10/index.php?action=vallex&amp;frame=v-w11828_ZUf1_ZU", "šíbovat (v-w11828_ZUf1_ZU)")</f>
        <v>šíbovat (v-w11828_ZUf1_ZU)</v>
      </c>
    </row>
    <row r="73982" customFormat="false" ht="12.8" hidden="false" customHeight="false" outlineLevel="0" collapsed="false">
      <c r="B73982" s="0" t="s">
        <v>1</v>
      </c>
    </row>
    <row r="73984" customFormat="false" ht="12.8" hidden="false" customHeight="false" outlineLevel="0" collapsed="false">
      <c r="A73984" s="0" t="s">
        <v>23853</v>
      </c>
      <c r="B73984" s="0" t="str">
        <f aca="false">HYPERLINK("https://lindat.mff.cuni.cz/services/teitok/pdtc10/index.php?action=vallex&amp;frame=v-w10046f2", "šílet (v-w10046f2)")</f>
        <v>šílet (v-w10046f2)</v>
      </c>
    </row>
    <row r="73985" customFormat="false" ht="12.8" hidden="false" customHeight="false" outlineLevel="0" collapsed="false">
      <c r="B73985" s="0" t="s">
        <v>1</v>
      </c>
    </row>
    <row r="73987" customFormat="false" ht="12.8" hidden="false" customHeight="false" outlineLevel="0" collapsed="false">
      <c r="A73987" s="0" t="s">
        <v>23854</v>
      </c>
      <c r="B73987" s="0" t="str">
        <f aca="false">HYPERLINK("https://lindat.mff.cuni.cz/services/teitok/pdtc10/index.php?action=vallex&amp;frame=v-w6720f1", "šít (v-w6720f1)")</f>
        <v>šít (v-w6720f1)</v>
      </c>
    </row>
    <row r="73988" customFormat="false" ht="12.8" hidden="false" customHeight="false" outlineLevel="0" collapsed="false">
      <c r="B73988" s="0" t="s">
        <v>1</v>
      </c>
    </row>
    <row r="73989" customFormat="false" ht="12.8" hidden="false" customHeight="false" outlineLevel="0" collapsed="false">
      <c r="B73989" s="0" t="s">
        <v>8</v>
      </c>
    </row>
    <row r="73990" customFormat="false" ht="12.8" hidden="false" customHeight="false" outlineLevel="0" collapsed="false">
      <c r="B73990" s="0" t="s">
        <v>36</v>
      </c>
    </row>
    <row r="73992" customFormat="false" ht="12.8" hidden="false" customHeight="false" outlineLevel="0" collapsed="false">
      <c r="A73992" s="0" t="s">
        <v>23855</v>
      </c>
      <c r="B73992" s="0" t="str">
        <f aca="false">HYPERLINK("https://lindat.mff.cuni.cz/services/teitok/pdtc10/index.php?action=vallex&amp;frame=v-w6720f2_ZU", "šít (v-w6720f2_ZU)")</f>
        <v>šít (v-w6720f2_ZU)</v>
      </c>
      <c r="E73992" s="0" t="str">
        <f aca="false">HYPERLINK("https://lindat.mff.cuni.cz/services/SynSemClass40/SynSemClass40.html?veclass=vec00040#vec00040-ces-cm00049", "vec00040")</f>
        <v>vec00040</v>
      </c>
      <c r="F73992" s="0" t="s">
        <v>5506</v>
      </c>
    </row>
    <row r="73993" customFormat="false" ht="12.8" hidden="false" customHeight="false" outlineLevel="0" collapsed="false">
      <c r="B73993" s="0" t="s">
        <v>1</v>
      </c>
      <c r="C73993" s="0" t="s">
        <v>17706</v>
      </c>
      <c r="E73993" s="0" t="s">
        <v>2619</v>
      </c>
      <c r="F73993" s="0" t="s">
        <v>5509</v>
      </c>
    </row>
    <row r="73994" customFormat="false" ht="12.8" hidden="false" customHeight="false" outlineLevel="0" collapsed="false">
      <c r="B73994" s="0" t="s">
        <v>18487</v>
      </c>
    </row>
    <row r="73995" customFormat="false" ht="12.8" hidden="false" customHeight="false" outlineLevel="0" collapsed="false">
      <c r="B73995" s="0" t="s">
        <v>8</v>
      </c>
      <c r="C73995" s="0" t="s">
        <v>17707</v>
      </c>
      <c r="E73995" s="0" t="s">
        <v>771</v>
      </c>
      <c r="F73995" s="0" t="s">
        <v>5512</v>
      </c>
    </row>
    <row r="73997" customFormat="false" ht="12.8" hidden="false" customHeight="false" outlineLevel="0" collapsed="false">
      <c r="A73997" s="0" t="s">
        <v>23856</v>
      </c>
      <c r="B73997" s="0" t="str">
        <f aca="false">HYPERLINK("https://lindat.mff.cuni.cz/services/teitok/pdtc10/index.php?action=vallex&amp;frame=v-w6718f1", "šířit (v-w6718f1)")</f>
        <v>šířit (v-w6718f1)</v>
      </c>
      <c r="E73997" s="0" t="str">
        <f aca="false">HYPERLINK("https://lindat.mff.cuni.cz/services/SynSemClass40/SynSemClass40.html?veclass=vec00912#vec00912-ces-cm00036", "vec00912")</f>
        <v>vec00912</v>
      </c>
      <c r="F73997" s="0" t="s">
        <v>15213</v>
      </c>
    </row>
    <row r="73998" customFormat="false" ht="12.8" hidden="false" customHeight="false" outlineLevel="0" collapsed="false">
      <c r="B73998" s="0" t="s">
        <v>1</v>
      </c>
      <c r="C73998" s="0" t="s">
        <v>106</v>
      </c>
      <c r="E73998" s="0" t="s">
        <v>1866</v>
      </c>
      <c r="F73998" s="0" t="s">
        <v>15215</v>
      </c>
    </row>
    <row r="73999" customFormat="false" ht="12.8" hidden="false" customHeight="false" outlineLevel="0" collapsed="false">
      <c r="B73999" s="0" t="s">
        <v>8</v>
      </c>
      <c r="C73999" s="0" t="s">
        <v>4473</v>
      </c>
      <c r="E73999" s="0" t="s">
        <v>1873</v>
      </c>
      <c r="F73999" s="0" t="s">
        <v>15217</v>
      </c>
    </row>
    <row r="74001" customFormat="false" ht="12.8" hidden="false" customHeight="false" outlineLevel="0" collapsed="false">
      <c r="A74001" s="0" t="s">
        <v>23857</v>
      </c>
      <c r="B74001" s="0" t="str">
        <f aca="false">HYPERLINK("https://lindat.mff.cuni.cz/services/teitok/pdtc10/index.php?action=vallex&amp;frame=v-w6718f2", "šířit (v-w6718f2)")</f>
        <v>šířit (v-w6718f2)</v>
      </c>
    </row>
    <row r="74002" customFormat="false" ht="12.8" hidden="false" customHeight="false" outlineLevel="0" collapsed="false">
      <c r="B74002" s="0" t="s">
        <v>1</v>
      </c>
    </row>
    <row r="74003" customFormat="false" ht="12.8" hidden="false" customHeight="false" outlineLevel="0" collapsed="false">
      <c r="B74003" s="0" t="s">
        <v>6412</v>
      </c>
    </row>
    <row r="74004" customFormat="false" ht="12.8" hidden="false" customHeight="false" outlineLevel="0" collapsed="false">
      <c r="B74004" s="0" t="s">
        <v>496</v>
      </c>
    </row>
    <row r="74006" customFormat="false" ht="12.8" hidden="false" customHeight="false" outlineLevel="0" collapsed="false">
      <c r="A74006" s="0" t="s">
        <v>23858</v>
      </c>
      <c r="B74006" s="0" t="str">
        <f aca="false">HYPERLINK("https://lindat.mff.cuni.cz/services/teitok/pdtc10/index.php?action=vallex&amp;frame=v-w6719f1", "šířit se (v-w6719f1)")</f>
        <v>šířit se (v-w6719f1)</v>
      </c>
      <c r="E74006" s="0" t="str">
        <f aca="false">HYPERLINK("https://lindat.mff.cuni.cz/services/SynSemClass40/SynSemClass40.html?veclass=vec00510#vec00510-ces-cm00057", "vec00510")</f>
        <v>vec00510</v>
      </c>
      <c r="F74006" s="0" t="s">
        <v>4074</v>
      </c>
    </row>
    <row r="74007" customFormat="false" ht="12.8" hidden="false" customHeight="false" outlineLevel="0" collapsed="false">
      <c r="B74007" s="0" t="s">
        <v>1</v>
      </c>
      <c r="C74007" s="0" t="s">
        <v>5871</v>
      </c>
      <c r="E74007" s="0" t="s">
        <v>84</v>
      </c>
      <c r="F74007" s="0" t="s">
        <v>4077</v>
      </c>
    </row>
    <row r="74009" customFormat="false" ht="12.8" hidden="false" customHeight="false" outlineLevel="0" collapsed="false">
      <c r="A74009" s="0" t="s">
        <v>23859</v>
      </c>
      <c r="B74009" s="0" t="str">
        <f aca="false">HYPERLINK("https://lindat.mff.cuni.cz/services/teitok/pdtc10/index.php?action=vallex&amp;frame=v-w6739f1", "šňupat (v-w6739f1)")</f>
        <v>šňupat (v-w6739f1)</v>
      </c>
    </row>
    <row r="74010" customFormat="false" ht="12.8" hidden="false" customHeight="false" outlineLevel="0" collapsed="false">
      <c r="B74010" s="0" t="s">
        <v>1</v>
      </c>
    </row>
    <row r="74011" customFormat="false" ht="12.8" hidden="false" customHeight="false" outlineLevel="0" collapsed="false">
      <c r="B74011" s="0" t="s">
        <v>8</v>
      </c>
    </row>
    <row r="74013" customFormat="false" ht="12.8" hidden="false" customHeight="false" outlineLevel="0" collapsed="false">
      <c r="A74013" s="0" t="s">
        <v>23860</v>
      </c>
      <c r="B74013" s="0" t="str">
        <f aca="false">HYPERLINK("https://lindat.mff.cuni.cz/services/teitok/pdtc10/index.php?action=vallex&amp;frame=v-whsa_1688hsa_1689", "šťouchat (v-whsa_1688hsa_1689)")</f>
        <v>šťouchat (v-whsa_1688hsa_1689)</v>
      </c>
    </row>
    <row r="74014" customFormat="false" ht="12.8" hidden="false" customHeight="false" outlineLevel="0" collapsed="false">
      <c r="B74014" s="0" t="s">
        <v>1</v>
      </c>
    </row>
    <row r="74015" customFormat="false" ht="12.8" hidden="false" customHeight="false" outlineLevel="0" collapsed="false">
      <c r="B74015" s="0" t="s">
        <v>1187</v>
      </c>
    </row>
    <row r="74017" customFormat="false" ht="12.8" hidden="false" customHeight="false" outlineLevel="0" collapsed="false">
      <c r="A74017" s="0" t="s">
        <v>23861</v>
      </c>
      <c r="B74017" s="0" t="str">
        <f aca="false">HYPERLINK("https://lindat.mff.cuni.cz/services/teitok/pdtc10/index.php?action=vallex&amp;frame=v-whsa_823hsa_824", "šťouchat se (v-whsa_823hsa_824)")</f>
        <v>šťouchat se (v-whsa_823hsa_824)</v>
      </c>
    </row>
    <row r="74018" customFormat="false" ht="12.8" hidden="false" customHeight="false" outlineLevel="0" collapsed="false">
      <c r="B74018" s="0" t="s">
        <v>1</v>
      </c>
    </row>
    <row r="74019" customFormat="false" ht="12.8" hidden="false" customHeight="false" outlineLevel="0" collapsed="false">
      <c r="B74019" s="0" t="s">
        <v>721</v>
      </c>
    </row>
    <row r="74021" customFormat="false" ht="12.8" hidden="false" customHeight="false" outlineLevel="0" collapsed="false">
      <c r="A74021" s="0" t="s">
        <v>23862</v>
      </c>
      <c r="B74021" s="0" t="str">
        <f aca="false">HYPERLINK("https://lindat.mff.cuni.cz/services/teitok/pdtc10/index.php?action=vallex&amp;frame=v-whsa_631hsa_632", "šťourat (v-whsa_631hsa_632)")</f>
        <v>šťourat (v-whsa_631hsa_632)</v>
      </c>
    </row>
    <row r="74022" customFormat="false" ht="12.8" hidden="false" customHeight="false" outlineLevel="0" collapsed="false">
      <c r="B74022" s="0" t="s">
        <v>1</v>
      </c>
    </row>
    <row r="74023" customFormat="false" ht="12.8" hidden="false" customHeight="false" outlineLevel="0" collapsed="false">
      <c r="B74023" s="0" t="s">
        <v>23863</v>
      </c>
    </row>
    <row r="74025" customFormat="false" ht="12.8" hidden="false" customHeight="false" outlineLevel="0" collapsed="false">
      <c r="A74025" s="0" t="s">
        <v>23864</v>
      </c>
      <c r="B74025" s="0" t="str">
        <f aca="false">HYPERLINK("https://lindat.mff.cuni.cz/services/teitok/pdtc10/index.php?action=vallex&amp;frame=v-w11393f1", "šťourat se (v-w11393f1)")</f>
        <v>šťourat se (v-w11393f1)</v>
      </c>
      <c r="E74025" s="0" t="str">
        <f aca="false">HYPERLINK("https://lindat.mff.cuni.cz/services/SynSemClass40/SynSemClass40.html?veclass=vec01451#vec01451-ces-cm00002", "vec01451")</f>
        <v>vec01451</v>
      </c>
      <c r="F74025" s="0" t="s">
        <v>23865</v>
      </c>
      <c r="H74025" s="0" t="str">
        <f aca="false">HYPERLINK("https://lindat.mff.cuni.cz/services/SynSemClass40/SynSemClass40.html?veclass=vec01527#vec01527-ces-cm00019", "vec01527")</f>
        <v>vec01527</v>
      </c>
      <c r="I74025" s="0" t="s">
        <v>4556</v>
      </c>
    </row>
    <row r="74026" customFormat="false" ht="12.8" hidden="false" customHeight="false" outlineLevel="0" collapsed="false">
      <c r="B74026" s="0" t="s">
        <v>1</v>
      </c>
      <c r="C74026" s="0" t="s">
        <v>1752</v>
      </c>
      <c r="E74026" s="0" t="s">
        <v>107</v>
      </c>
      <c r="F74026" s="0" t="s">
        <v>20210</v>
      </c>
      <c r="H74026" s="0" t="s">
        <v>2263</v>
      </c>
      <c r="I74026" s="0" t="s">
        <v>4557</v>
      </c>
    </row>
    <row r="74027" customFormat="false" ht="12.8" hidden="false" customHeight="false" outlineLevel="0" collapsed="false">
      <c r="B74027" s="0" t="s">
        <v>5</v>
      </c>
      <c r="C74027" s="0" t="s">
        <v>23866</v>
      </c>
      <c r="E74027" s="0" t="s">
        <v>3254</v>
      </c>
      <c r="F74027" s="0" t="s">
        <v>14538</v>
      </c>
      <c r="H74027" s="0" t="s">
        <v>3254</v>
      </c>
      <c r="I74027" s="0" t="s">
        <v>4561</v>
      </c>
    </row>
    <row r="74029" customFormat="false" ht="12.8" hidden="false" customHeight="false" outlineLevel="0" collapsed="false">
      <c r="A74029" s="0" t="s">
        <v>23867</v>
      </c>
      <c r="B74029" s="0" t="str">
        <f aca="false">HYPERLINK("https://lindat.mff.cuni.cz/services/teitok/pdtc10/index.php?action=vallex&amp;frame=v-w6763f1", "šůrovat (v-w6763f1)")</f>
        <v>šůrovat (v-w6763f1)</v>
      </c>
    </row>
    <row r="74030" customFormat="false" ht="12.8" hidden="false" customHeight="false" outlineLevel="0" collapsed="false">
      <c r="B74030" s="0" t="s">
        <v>1</v>
      </c>
    </row>
    <row r="74031" customFormat="false" ht="12.8" hidden="false" customHeight="false" outlineLevel="0" collapsed="false">
      <c r="B74031" s="0" t="s">
        <v>8</v>
      </c>
    </row>
    <row r="74033" customFormat="false" ht="12.8" hidden="false" customHeight="false" outlineLevel="0" collapsed="false">
      <c r="A74033" s="0" t="s">
        <v>23868</v>
      </c>
      <c r="B74033" s="0" t="str">
        <f aca="false">HYPERLINK("https://lindat.mff.cuni.cz/services/teitok/pdtc10/index.php?action=vallex&amp;frame=v-w12225_ZUf1_ZU", "ťukat (v-w12225_ZUf1_ZU)")</f>
        <v>ťukat (v-w12225_ZUf1_ZU)</v>
      </c>
    </row>
    <row r="74034" customFormat="false" ht="12.8" hidden="false" customHeight="false" outlineLevel="0" collapsed="false">
      <c r="B74034" s="0" t="s">
        <v>1</v>
      </c>
    </row>
    <row r="74035" customFormat="false" ht="12.8" hidden="false" customHeight="false" outlineLevel="0" collapsed="false">
      <c r="B74035" s="0" t="s">
        <v>454</v>
      </c>
    </row>
    <row r="74037" customFormat="false" ht="12.8" hidden="false" customHeight="false" outlineLevel="0" collapsed="false">
      <c r="A74037" s="0" t="s">
        <v>23869</v>
      </c>
      <c r="B74037" s="0" t="str">
        <f aca="false">HYPERLINK("https://lindat.mff.cuni.cz/services/teitok/pdtc10/index.php?action=vallex&amp;frame=v-w12225_ZUf2_ZU", "ťukat (v-w12225_ZUf2_ZU)")</f>
        <v>ťukat (v-w12225_ZUf2_ZU)</v>
      </c>
    </row>
    <row r="74038" customFormat="false" ht="12.8" hidden="false" customHeight="false" outlineLevel="0" collapsed="false">
      <c r="B74038" s="0" t="s">
        <v>1</v>
      </c>
    </row>
    <row r="74039" customFormat="false" ht="12.8" hidden="false" customHeight="false" outlineLevel="0" collapsed="false">
      <c r="B74039" s="0" t="s">
        <v>8</v>
      </c>
    </row>
    <row r="74041" customFormat="false" ht="12.8" hidden="false" customHeight="false" outlineLevel="0" collapsed="false">
      <c r="A74041" s="0" t="s">
        <v>23870</v>
      </c>
      <c r="B74041" s="0" t="str">
        <f aca="false">HYPERLINK("https://lindat.mff.cuni.cz/services/teitok/pdtc10/index.php?action=vallex&amp;frame=v-w11852_ZUf1_ZU", "ťukat si (v-w11852_ZUf1_ZU)")</f>
        <v>ťukat si (v-w11852_ZUf1_ZU)</v>
      </c>
    </row>
    <row r="74042" customFormat="false" ht="12.8" hidden="false" customHeight="false" outlineLevel="0" collapsed="false">
      <c r="B74042" s="0" t="s">
        <v>1</v>
      </c>
    </row>
    <row r="74043" customFormat="false" ht="12.8" hidden="false" customHeight="false" outlineLevel="0" collapsed="false">
      <c r="B74043" s="0" t="s">
        <v>454</v>
      </c>
    </row>
    <row r="74045" customFormat="false" ht="12.8" hidden="false" customHeight="false" outlineLevel="0" collapsed="false">
      <c r="A74045" s="0" t="s">
        <v>23871</v>
      </c>
      <c r="B74045" s="0" t="str">
        <f aca="false">HYPERLINK("https://lindat.mff.cuni.cz/services/teitok/pdtc10/index.php?action=vallex&amp;frame=v-w12156_ZUf1_ZU", "ťuknout (v-w12156_ZUf1_ZU)")</f>
        <v>ťuknout (v-w12156_ZUf1_ZU)</v>
      </c>
    </row>
    <row r="74046" customFormat="false" ht="12.8" hidden="false" customHeight="false" outlineLevel="0" collapsed="false">
      <c r="B74046" s="0" t="s">
        <v>1</v>
      </c>
    </row>
    <row r="74047" customFormat="false" ht="12.8" hidden="false" customHeight="false" outlineLevel="0" collapsed="false">
      <c r="B74047" s="0" t="s">
        <v>454</v>
      </c>
    </row>
    <row r="74049" customFormat="false" ht="12.8" hidden="false" customHeight="false" outlineLevel="0" collapsed="false">
      <c r="A74049" s="0" t="s">
        <v>23872</v>
      </c>
      <c r="B74049" s="0" t="str">
        <f aca="false">HYPERLINK("https://lindat.mff.cuni.cz/services/teitok/pdtc10/index.php?action=vallex&amp;frame=v-w10017f1", "žadonit (v-w10017f1)")</f>
        <v>žadonit (v-w10017f1)</v>
      </c>
    </row>
    <row r="74050" customFormat="false" ht="12.8" hidden="false" customHeight="false" outlineLevel="0" collapsed="false">
      <c r="B74050" s="0" t="s">
        <v>1</v>
      </c>
    </row>
    <row r="74051" customFormat="false" ht="12.8" hidden="false" customHeight="false" outlineLevel="0" collapsed="false">
      <c r="B74051" s="0" t="s">
        <v>23873</v>
      </c>
    </row>
    <row r="74053" customFormat="false" ht="12.8" hidden="false" customHeight="false" outlineLevel="0" collapsed="false">
      <c r="A74053" s="0" t="s">
        <v>23874</v>
      </c>
      <c r="B74053" s="0" t="str">
        <f aca="false">HYPERLINK("https://lindat.mff.cuni.cz/services/teitok/pdtc10/index.php?action=vallex&amp;frame=v-w10020f3", "žalovat (v-w10020f3)")</f>
        <v>žalovat (v-w10020f3)</v>
      </c>
      <c r="E74053" s="0" t="str">
        <f aca="false">HYPERLINK("https://lindat.mff.cuni.cz/services/SynSemClass40/SynSemClass40.html?veclass=vec00347#vec00347-ces-cm00021", "vec00347")</f>
        <v>vec00347</v>
      </c>
      <c r="F74053" s="0" t="s">
        <v>3748</v>
      </c>
    </row>
    <row r="74054" customFormat="false" ht="12.8" hidden="false" customHeight="false" outlineLevel="0" collapsed="false">
      <c r="B74054" s="0" t="s">
        <v>1</v>
      </c>
      <c r="C74054" s="0" t="s">
        <v>3749</v>
      </c>
      <c r="E74054" s="0" t="s">
        <v>3750</v>
      </c>
      <c r="F74054" s="0" t="s">
        <v>3751</v>
      </c>
    </row>
    <row r="74055" customFormat="false" ht="12.8" hidden="false" customHeight="false" outlineLevel="0" collapsed="false">
      <c r="B74055" s="0" t="s">
        <v>814</v>
      </c>
      <c r="C74055" s="0" t="s">
        <v>3753</v>
      </c>
      <c r="E74055" s="0" t="s">
        <v>2568</v>
      </c>
      <c r="F74055" s="0" t="s">
        <v>3754</v>
      </c>
    </row>
    <row r="74056" customFormat="false" ht="12.8" hidden="false" customHeight="false" outlineLevel="0" collapsed="false">
      <c r="B74056" s="0" t="s">
        <v>98</v>
      </c>
      <c r="C74056" s="0" t="s">
        <v>3755</v>
      </c>
      <c r="E74056" s="0" t="s">
        <v>3756</v>
      </c>
      <c r="F74056" s="0" t="s">
        <v>3757</v>
      </c>
    </row>
    <row r="74058" customFormat="false" ht="12.8" hidden="false" customHeight="false" outlineLevel="0" collapsed="false">
      <c r="A74058" s="0" t="s">
        <v>23875</v>
      </c>
      <c r="B74058" s="0" t="str">
        <f aca="false">HYPERLINK("https://lindat.mff.cuni.cz/services/teitok/pdtc10/index.php?action=vallex&amp;frame=v-w10020f1", "žalovat (v-w10020f1)")</f>
        <v>žalovat (v-w10020f1)</v>
      </c>
      <c r="E74058" s="0" t="str">
        <f aca="false">HYPERLINK("https://lindat.mff.cuni.cz/services/SynSemClass40/SynSemClass40.html?veclass=vec00347#vec00347-ces-cm00018", "vec00347")</f>
        <v>vec00347</v>
      </c>
      <c r="F74058" s="0" t="s">
        <v>3748</v>
      </c>
    </row>
    <row r="74059" customFormat="false" ht="12.8" hidden="false" customHeight="false" outlineLevel="0" collapsed="false">
      <c r="B74059" s="0" t="s">
        <v>1</v>
      </c>
      <c r="C74059" s="0" t="s">
        <v>3749</v>
      </c>
      <c r="E74059" s="0" t="s">
        <v>3750</v>
      </c>
      <c r="F74059" s="0" t="s">
        <v>3751</v>
      </c>
    </row>
    <row r="74060" customFormat="false" ht="12.8" hidden="false" customHeight="false" outlineLevel="0" collapsed="false">
      <c r="B74060" s="0" t="s">
        <v>8</v>
      </c>
      <c r="C74060" s="0" t="s">
        <v>8653</v>
      </c>
      <c r="E74060" s="0" t="s">
        <v>4259</v>
      </c>
      <c r="F74060" s="0" t="s">
        <v>8654</v>
      </c>
    </row>
    <row r="74062" customFormat="false" ht="12.8" hidden="false" customHeight="false" outlineLevel="0" collapsed="false">
      <c r="A74062" s="0" t="s">
        <v>23876</v>
      </c>
      <c r="B74062" s="0" t="str">
        <f aca="false">HYPERLINK("https://lindat.mff.cuni.cz/services/teitok/pdtc10/index.php?action=vallex&amp;frame=v-w10020f2", "žalovat (v-w10020f2)")</f>
        <v>žalovat (v-w10020f2)</v>
      </c>
    </row>
    <row r="74063" customFormat="false" ht="12.8" hidden="false" customHeight="false" outlineLevel="0" collapsed="false">
      <c r="B74063" s="0" t="s">
        <v>1</v>
      </c>
    </row>
    <row r="74064" customFormat="false" ht="12.8" hidden="false" customHeight="false" outlineLevel="0" collapsed="false">
      <c r="B74064" s="0" t="s">
        <v>8</v>
      </c>
    </row>
    <row r="74066" customFormat="false" ht="12.8" hidden="false" customHeight="false" outlineLevel="0" collapsed="false">
      <c r="A74066" s="0" t="s">
        <v>23877</v>
      </c>
      <c r="B74066" s="0" t="str">
        <f aca="false">HYPERLINK("https://lindat.mff.cuni.cz/services/teitok/pdtc10/index.php?action=vallex&amp;frame=v-w10020f4", "žalovat (v-w10020f4)")</f>
        <v>žalovat (v-w10020f4)</v>
      </c>
    </row>
    <row r="74067" customFormat="false" ht="12.8" hidden="false" customHeight="false" outlineLevel="0" collapsed="false">
      <c r="B74067" s="0" t="s">
        <v>1</v>
      </c>
    </row>
    <row r="74068" customFormat="false" ht="12.8" hidden="false" customHeight="false" outlineLevel="0" collapsed="false">
      <c r="B74068" s="0" t="s">
        <v>52</v>
      </c>
    </row>
    <row r="74069" customFormat="false" ht="12.8" hidden="false" customHeight="false" outlineLevel="0" collapsed="false">
      <c r="B74069" s="0" t="s">
        <v>12919</v>
      </c>
    </row>
    <row r="74070" customFormat="false" ht="12.8" hidden="false" customHeight="false" outlineLevel="0" collapsed="false">
      <c r="B74070" s="0" t="s">
        <v>69</v>
      </c>
    </row>
    <row r="74072" customFormat="false" ht="12.8" hidden="false" customHeight="false" outlineLevel="0" collapsed="false">
      <c r="A74072" s="0" t="s">
        <v>23878</v>
      </c>
      <c r="B74072" s="0" t="str">
        <f aca="false">HYPERLINK("https://lindat.mff.cuni.cz/services/teitok/pdtc10/index.php?action=vallex&amp;frame=v-w10022f3_ZU", "žasnout (v-w10022f3_ZU)")</f>
        <v>žasnout (v-w10022f3_ZU)</v>
      </c>
    </row>
    <row r="74073" customFormat="false" ht="12.8" hidden="false" customHeight="false" outlineLevel="0" collapsed="false">
      <c r="B74073" s="0" t="s">
        <v>1</v>
      </c>
    </row>
    <row r="74074" customFormat="false" ht="12.8" hidden="false" customHeight="false" outlineLevel="0" collapsed="false">
      <c r="B74074" s="0" t="s">
        <v>23879</v>
      </c>
    </row>
    <row r="74076" customFormat="false" ht="12.8" hidden="false" customHeight="false" outlineLevel="0" collapsed="false">
      <c r="A74076" s="0" t="s">
        <v>23878</v>
      </c>
      <c r="B74076" s="0" t="str">
        <f aca="false">HYPERLINK("https://lindat.mff.cuni.cz/services/teitok/pdtc10/index.php?action=vallex&amp;frame=v-w10022f1", "žasnout (v-w10022f1) - substituted with v-w10022f3_ZU")</f>
        <v>žasnout (v-w10022f1) - substituted with v-w10022f3_ZU</v>
      </c>
      <c r="E74076" s="0" t="str">
        <f aca="false">HYPERLINK("https://lindat.mff.cuni.cz/services/SynSemClass40/SynSemClass40.html?veclass=vec01199#vec01199-ces-cm00001", "vec01199")</f>
        <v>vec01199</v>
      </c>
      <c r="F74076" s="0" t="s">
        <v>19347</v>
      </c>
    </row>
    <row r="74077" customFormat="false" ht="12.8" hidden="false" customHeight="false" outlineLevel="0" collapsed="false">
      <c r="B74077" s="0" t="s">
        <v>1</v>
      </c>
      <c r="E74077" s="0" t="s">
        <v>637</v>
      </c>
      <c r="F74077" s="0" t="s">
        <v>19349</v>
      </c>
    </row>
    <row r="74078" customFormat="false" ht="12.8" hidden="false" customHeight="false" outlineLevel="0" collapsed="false">
      <c r="B74078" s="0" t="s">
        <v>23879</v>
      </c>
      <c r="E74078" s="0" t="s">
        <v>640</v>
      </c>
      <c r="F74078" s="0" t="s">
        <v>23880</v>
      </c>
    </row>
    <row r="74080" customFormat="false" ht="12.8" hidden="false" customHeight="false" outlineLevel="0" collapsed="false">
      <c r="A74080" s="0" t="s">
        <v>23878</v>
      </c>
      <c r="B74080" s="0" t="str">
        <f aca="false">HYPERLINK("https://lindat.mff.cuni.cz/services/teitok/pdtc10/index.php?action=vallex&amp;frame=v-w10022f2_ZU", "žasnout (v-w10022f2_ZU) - substituted with v-w10022f3_ZU")</f>
        <v>žasnout (v-w10022f2_ZU) - substituted with v-w10022f3_ZU</v>
      </c>
    </row>
    <row r="74081" customFormat="false" ht="12.8" hidden="false" customHeight="false" outlineLevel="0" collapsed="false">
      <c r="B74081" s="0" t="s">
        <v>1</v>
      </c>
    </row>
    <row r="74082" customFormat="false" ht="12.8" hidden="false" customHeight="false" outlineLevel="0" collapsed="false">
      <c r="B74082" s="0" t="s">
        <v>23879</v>
      </c>
    </row>
    <row r="74084" customFormat="false" ht="12.8" hidden="false" customHeight="false" outlineLevel="0" collapsed="false">
      <c r="A74084" s="0" t="s">
        <v>23881</v>
      </c>
      <c r="B74084" s="0" t="str">
        <f aca="false">HYPERLINK("https://lindat.mff.cuni.cz/services/teitok/pdtc10/index.php?action=vallex&amp;frame=v-whsa_913f1_ZU", "ždímat (v-whsa_913f1_ZU)")</f>
        <v>ždímat (v-whsa_913f1_ZU)</v>
      </c>
    </row>
    <row r="74085" customFormat="false" ht="12.8" hidden="false" customHeight="false" outlineLevel="0" collapsed="false">
      <c r="B74085" s="0" t="s">
        <v>1</v>
      </c>
    </row>
    <row r="74086" customFormat="false" ht="12.8" hidden="false" customHeight="false" outlineLevel="0" collapsed="false">
      <c r="B74086" s="0" t="s">
        <v>8</v>
      </c>
    </row>
    <row r="74087" customFormat="false" ht="12.8" hidden="false" customHeight="false" outlineLevel="0" collapsed="false">
      <c r="B74087" s="0" t="s">
        <v>36</v>
      </c>
    </row>
    <row r="74089" customFormat="false" ht="12.8" hidden="false" customHeight="false" outlineLevel="0" collapsed="false">
      <c r="A74089" s="0" t="s">
        <v>23881</v>
      </c>
      <c r="B74089" s="0" t="str">
        <f aca="false">HYPERLINK("https://lindat.mff.cuni.cz/services/teitok/pdtc10/index.php?action=vallex&amp;frame=v-whsa_913hsa_914", "ždímat (v-whsa_913hsa_914) - substituted with v-whsa_913f1_ZU")</f>
        <v>ždímat (v-whsa_913hsa_914) - substituted with v-whsa_913f1_ZU</v>
      </c>
    </row>
    <row r="74090" customFormat="false" ht="12.8" hidden="false" customHeight="false" outlineLevel="0" collapsed="false">
      <c r="B74090" s="0" t="s">
        <v>1</v>
      </c>
    </row>
    <row r="74091" customFormat="false" ht="12.8" hidden="false" customHeight="false" outlineLevel="0" collapsed="false">
      <c r="B74091" s="0" t="s">
        <v>8</v>
      </c>
    </row>
    <row r="74092" customFormat="false" ht="12.8" hidden="false" customHeight="false" outlineLevel="0" collapsed="false">
      <c r="B74092" s="0" t="s">
        <v>36</v>
      </c>
    </row>
    <row r="74094" customFormat="false" ht="12.8" hidden="false" customHeight="false" outlineLevel="0" collapsed="false">
      <c r="A74094" s="0" t="s">
        <v>23882</v>
      </c>
      <c r="B74094" s="0" t="str">
        <f aca="false">HYPERLINK("https://lindat.mff.cuni.cz/services/teitok/pdtc10/index.php?action=vallex&amp;frame=v-w10023f2_ZU", "žebrat (v-w10023f2_ZU)")</f>
        <v>žebrat (v-w10023f2_ZU)</v>
      </c>
    </row>
    <row r="74095" customFormat="false" ht="12.8" hidden="false" customHeight="false" outlineLevel="0" collapsed="false">
      <c r="B74095" s="0" t="s">
        <v>1</v>
      </c>
    </row>
    <row r="74096" customFormat="false" ht="12.8" hidden="false" customHeight="false" outlineLevel="0" collapsed="false">
      <c r="B74096" s="0" t="s">
        <v>23883</v>
      </c>
    </row>
    <row r="74097" customFormat="false" ht="12.8" hidden="false" customHeight="false" outlineLevel="0" collapsed="false">
      <c r="B74097" s="0" t="s">
        <v>602</v>
      </c>
    </row>
    <row r="74099" customFormat="false" ht="12.8" hidden="false" customHeight="false" outlineLevel="0" collapsed="false">
      <c r="A74099" s="0" t="s">
        <v>23882</v>
      </c>
      <c r="B74099" s="0" t="str">
        <f aca="false">HYPERLINK("https://lindat.mff.cuni.cz/services/teitok/pdtc10/index.php?action=vallex&amp;frame=v-w10023f1", "žebrat (v-w10023f1) - substituted with v-w10023f2_ZU")</f>
        <v>žebrat (v-w10023f1) - substituted with v-w10023f2_ZU</v>
      </c>
      <c r="E74099" s="0" t="str">
        <f aca="false">HYPERLINK("https://lindat.mff.cuni.cz/services/SynSemClass40/SynSemClass40.html?veclass=vec01200#vec01200-ces-cm00001", "vec01200")</f>
        <v>vec01200</v>
      </c>
      <c r="F74099" s="0" t="s">
        <v>23884</v>
      </c>
    </row>
    <row r="74100" customFormat="false" ht="12.8" hidden="false" customHeight="false" outlineLevel="0" collapsed="false">
      <c r="B74100" s="0" t="s">
        <v>1</v>
      </c>
      <c r="C74100" s="0" t="s">
        <v>459</v>
      </c>
      <c r="E74100" s="0" t="s">
        <v>23885</v>
      </c>
      <c r="F74100" s="0" t="s">
        <v>23886</v>
      </c>
    </row>
    <row r="74101" customFormat="false" ht="12.8" hidden="false" customHeight="false" outlineLevel="0" collapsed="false">
      <c r="B74101" s="0" t="s">
        <v>23883</v>
      </c>
      <c r="C74101" s="0" t="s">
        <v>798</v>
      </c>
      <c r="E74101" s="0" t="s">
        <v>6091</v>
      </c>
      <c r="F74101" s="0" t="s">
        <v>6092</v>
      </c>
    </row>
    <row r="74102" customFormat="false" ht="12.8" hidden="false" customHeight="false" outlineLevel="0" collapsed="false">
      <c r="B74102" s="0" t="s">
        <v>602</v>
      </c>
    </row>
    <row r="74104" customFormat="false" ht="12.8" hidden="false" customHeight="false" outlineLevel="0" collapsed="false">
      <c r="A74104" s="0" t="s">
        <v>23887</v>
      </c>
      <c r="B74104" s="0" t="str">
        <f aca="false">HYPERLINK("https://lindat.mff.cuni.cz/services/teitok/pdtc10/index.php?action=vallex&amp;frame=v-whsa_217hsa_218", "žehlit (v-whsa_217hsa_218)")</f>
        <v>žehlit (v-whsa_217hsa_218)</v>
      </c>
    </row>
    <row r="74105" customFormat="false" ht="12.8" hidden="false" customHeight="false" outlineLevel="0" collapsed="false">
      <c r="B74105" s="0" t="s">
        <v>1</v>
      </c>
    </row>
    <row r="74106" customFormat="false" ht="12.8" hidden="false" customHeight="false" outlineLevel="0" collapsed="false">
      <c r="B74106" s="0" t="s">
        <v>8</v>
      </c>
    </row>
    <row r="74108" customFormat="false" ht="12.8" hidden="false" customHeight="false" outlineLevel="0" collapsed="false">
      <c r="A74108" s="0" t="s">
        <v>23888</v>
      </c>
      <c r="B74108" s="0" t="str">
        <f aca="false">HYPERLINK("https://lindat.mff.cuni.cz/services/teitok/pdtc10/index.php?action=vallex&amp;frame=v-w12060_ZUf1_ZU", "žehlívat (v-w12060_ZUf1_ZU)")</f>
        <v>žehlívat (v-w12060_ZUf1_ZU)</v>
      </c>
    </row>
    <row r="74109" customFormat="false" ht="12.8" hidden="false" customHeight="false" outlineLevel="0" collapsed="false">
      <c r="B74109" s="0" t="s">
        <v>1</v>
      </c>
    </row>
    <row r="74110" customFormat="false" ht="12.8" hidden="false" customHeight="false" outlineLevel="0" collapsed="false">
      <c r="B74110" s="0" t="s">
        <v>8</v>
      </c>
    </row>
    <row r="74112" customFormat="false" ht="12.8" hidden="false" customHeight="false" outlineLevel="0" collapsed="false">
      <c r="A74112" s="0" t="s">
        <v>23889</v>
      </c>
      <c r="B74112" s="0" t="str">
        <f aca="false">HYPERLINK("https://lindat.mff.cuni.cz/services/teitok/pdtc10/index.php?action=vallex&amp;frame=v-w10024f1", "žehnat (v-w10024f1)")</f>
        <v>žehnat (v-w10024f1)</v>
      </c>
      <c r="E74112" s="0" t="str">
        <f aca="false">HYPERLINK("https://lindat.mff.cuni.cz/services/SynSemClass40/SynSemClass40.html?veclass=vec01000#vec01000-ces-cm00001", "vec01000")</f>
        <v>vec01000</v>
      </c>
      <c r="F74112" s="0" t="s">
        <v>23890</v>
      </c>
    </row>
    <row r="74113" customFormat="false" ht="12.8" hidden="false" customHeight="false" outlineLevel="0" collapsed="false">
      <c r="B74113" s="0" t="s">
        <v>1</v>
      </c>
      <c r="C74113" s="0" t="s">
        <v>4695</v>
      </c>
      <c r="E74113" s="0" t="s">
        <v>206</v>
      </c>
      <c r="F74113" s="0" t="s">
        <v>7923</v>
      </c>
    </row>
    <row r="74114" customFormat="false" ht="12.8" hidden="false" customHeight="false" outlineLevel="0" collapsed="false">
      <c r="B74114" s="0" t="s">
        <v>186</v>
      </c>
      <c r="C74114" s="0" t="s">
        <v>744</v>
      </c>
      <c r="E74114" s="0" t="s">
        <v>4438</v>
      </c>
      <c r="F74114" s="0" t="s">
        <v>23891</v>
      </c>
    </row>
    <row r="74116" customFormat="false" ht="12.8" hidden="false" customHeight="false" outlineLevel="0" collapsed="false">
      <c r="A74116" s="0" t="s">
        <v>23892</v>
      </c>
      <c r="B74116" s="0" t="str">
        <f aca="false">HYPERLINK("https://lindat.mff.cuni.cz/services/teitok/pdtc10/index.php?action=vallex&amp;frame=v-w10025f1", "žehrat (v-w10025f1)")</f>
        <v>žehrat (v-w10025f1)</v>
      </c>
    </row>
    <row r="74117" customFormat="false" ht="12.8" hidden="false" customHeight="false" outlineLevel="0" collapsed="false">
      <c r="B74117" s="0" t="s">
        <v>1</v>
      </c>
    </row>
    <row r="74118" customFormat="false" ht="12.8" hidden="false" customHeight="false" outlineLevel="0" collapsed="false">
      <c r="B74118" s="0" t="s">
        <v>23893</v>
      </c>
    </row>
    <row r="74120" customFormat="false" ht="12.8" hidden="false" customHeight="false" outlineLevel="0" collapsed="false">
      <c r="A74120" s="0" t="s">
        <v>23894</v>
      </c>
      <c r="B74120" s="0" t="str">
        <f aca="false">HYPERLINK("https://lindat.mff.cuni.cz/services/teitok/pdtc10/index.php?action=vallex&amp;frame=v-w10027f1", "ženit se (v-w10027f1)")</f>
        <v>ženit se (v-w10027f1)</v>
      </c>
    </row>
    <row r="74121" customFormat="false" ht="12.8" hidden="false" customHeight="false" outlineLevel="0" collapsed="false">
      <c r="B74121" s="0" t="s">
        <v>1</v>
      </c>
    </row>
    <row r="74122" customFormat="false" ht="12.8" hidden="false" customHeight="false" outlineLevel="0" collapsed="false">
      <c r="B74122" s="0" t="s">
        <v>721</v>
      </c>
    </row>
    <row r="74124" customFormat="false" ht="12.8" hidden="false" customHeight="false" outlineLevel="0" collapsed="false">
      <c r="A74124" s="0" t="s">
        <v>23895</v>
      </c>
      <c r="B74124" s="0" t="str">
        <f aca="false">HYPERLINK("https://lindat.mff.cuni.cz/services/teitok/pdtc10/index.php?action=vallex&amp;frame=v-w10028f1", "žertovat (v-w10028f1)")</f>
        <v>žertovat (v-w10028f1)</v>
      </c>
      <c r="E74124" s="0" t="str">
        <f aca="false">HYPERLINK("https://lindat.mff.cuni.cz/services/SynSemClass40/SynSemClass40.html?veclass=vec00750#vec00750-ces-cm00003", "vec00750")</f>
        <v>vec00750</v>
      </c>
      <c r="F74124" s="0" t="s">
        <v>18891</v>
      </c>
    </row>
    <row r="74125" customFormat="false" ht="12.8" hidden="false" customHeight="false" outlineLevel="0" collapsed="false">
      <c r="B74125" s="0" t="s">
        <v>1</v>
      </c>
      <c r="C74125" s="0" t="s">
        <v>154</v>
      </c>
      <c r="E74125" s="0" t="s">
        <v>63</v>
      </c>
      <c r="F74125" s="0" t="s">
        <v>18892</v>
      </c>
    </row>
    <row r="74126" customFormat="false" ht="12.8" hidden="false" customHeight="false" outlineLevel="0" collapsed="false">
      <c r="B74126" s="0" t="s">
        <v>4153</v>
      </c>
      <c r="C74126" s="0" t="s">
        <v>9401</v>
      </c>
      <c r="E74126" s="0" t="s">
        <v>218</v>
      </c>
      <c r="F74126" s="0" t="s">
        <v>18894</v>
      </c>
    </row>
    <row r="74127" customFormat="false" ht="12.8" hidden="false" customHeight="false" outlineLevel="0" collapsed="false">
      <c r="B74127" s="0" t="s">
        <v>3205</v>
      </c>
      <c r="E74127" s="0" t="s">
        <v>221</v>
      </c>
      <c r="F74127" s="0" t="s">
        <v>4699</v>
      </c>
    </row>
    <row r="74129" customFormat="false" ht="12.8" hidden="false" customHeight="false" outlineLevel="0" collapsed="false">
      <c r="A74129" s="0" t="s">
        <v>23896</v>
      </c>
      <c r="B74129" s="0" t="str">
        <f aca="false">HYPERLINK("https://lindat.mff.cuni.cz/services/teitok/pdtc10/index.php?action=vallex&amp;frame=v-w10029f1", "žhavit (v-w10029f1)")</f>
        <v>žhavit (v-w10029f1)</v>
      </c>
    </row>
    <row r="74130" customFormat="false" ht="12.8" hidden="false" customHeight="false" outlineLevel="0" collapsed="false">
      <c r="B74130" s="0" t="s">
        <v>1</v>
      </c>
    </row>
    <row r="74131" customFormat="false" ht="12.8" hidden="false" customHeight="false" outlineLevel="0" collapsed="false">
      <c r="B74131" s="0" t="s">
        <v>8</v>
      </c>
    </row>
    <row r="74133" customFormat="false" ht="12.8" hidden="false" customHeight="false" outlineLevel="0" collapsed="false">
      <c r="A74133" s="0" t="s">
        <v>23897</v>
      </c>
      <c r="B74133" s="0" t="str">
        <f aca="false">HYPERLINK("https://lindat.mff.cuni.cz/services/teitok/pdtc10/index.php?action=vallex&amp;frame=v-w10713f2", "žirovat (v-w10713f2)")</f>
        <v>žirovat (v-w10713f2)</v>
      </c>
    </row>
    <row r="74134" customFormat="false" ht="12.8" hidden="false" customHeight="false" outlineLevel="0" collapsed="false">
      <c r="B74134" s="0" t="s">
        <v>1</v>
      </c>
    </row>
    <row r="74135" customFormat="false" ht="12.8" hidden="false" customHeight="false" outlineLevel="0" collapsed="false">
      <c r="B74135" s="0" t="s">
        <v>8</v>
      </c>
    </row>
    <row r="74137" customFormat="false" ht="12.8" hidden="false" customHeight="false" outlineLevel="0" collapsed="false">
      <c r="A74137" s="0" t="s">
        <v>23898</v>
      </c>
      <c r="B74137" s="0" t="str">
        <f aca="false">HYPERLINK("https://lindat.mff.cuni.cz/services/teitok/pdtc10/index.php?action=vallex&amp;frame=v-w10034f1", "živit (v-w10034f1)")</f>
        <v>živit (v-w10034f1)</v>
      </c>
      <c r="E74137" s="0" t="str">
        <f aca="false">HYPERLINK("https://lindat.mff.cuni.cz/services/SynSemClass40/SynSemClass40.html?veclass=vec00624#vec00624-ces-cm00006", "vec00624")</f>
        <v>vec00624</v>
      </c>
      <c r="F74137" s="0" t="s">
        <v>5755</v>
      </c>
    </row>
    <row r="74138" customFormat="false" ht="12.8" hidden="false" customHeight="false" outlineLevel="0" collapsed="false">
      <c r="B74138" s="0" t="s">
        <v>1</v>
      </c>
      <c r="C74138" s="0" t="s">
        <v>3000</v>
      </c>
      <c r="E74138" s="0" t="s">
        <v>1784</v>
      </c>
      <c r="F74138" s="0" t="s">
        <v>5756</v>
      </c>
    </row>
    <row r="74139" customFormat="false" ht="12.8" hidden="false" customHeight="false" outlineLevel="0" collapsed="false">
      <c r="B74139" s="0" t="s">
        <v>8</v>
      </c>
      <c r="C74139" s="0" t="s">
        <v>5757</v>
      </c>
      <c r="E74139" s="0" t="s">
        <v>5758</v>
      </c>
      <c r="F74139" s="0" t="s">
        <v>5759</v>
      </c>
    </row>
    <row r="74141" customFormat="false" ht="12.8" hidden="false" customHeight="false" outlineLevel="0" collapsed="false">
      <c r="A74141" s="0" t="s">
        <v>23899</v>
      </c>
      <c r="B74141" s="0" t="str">
        <f aca="false">HYPERLINK("https://lindat.mff.cuni.cz/services/teitok/pdtc10/index.php?action=vallex&amp;frame=v-w10034f2_ZU", "živit (v-w10034f2_ZU)")</f>
        <v>živit (v-w10034f2_ZU)</v>
      </c>
    </row>
    <row r="74142" customFormat="false" ht="12.8" hidden="false" customHeight="false" outlineLevel="0" collapsed="false">
      <c r="B74142" s="0" t="s">
        <v>1</v>
      </c>
    </row>
    <row r="74143" customFormat="false" ht="12.8" hidden="false" customHeight="false" outlineLevel="0" collapsed="false">
      <c r="B74143" s="0" t="s">
        <v>8</v>
      </c>
    </row>
    <row r="74145" customFormat="false" ht="12.8" hidden="false" customHeight="false" outlineLevel="0" collapsed="false">
      <c r="A74145" s="0" t="s">
        <v>23899</v>
      </c>
      <c r="B74145" s="0" t="str">
        <f aca="false">HYPERLINK("https://lindat.mff.cuni.cz/services/teitok/pdtc10/index.php?action=vallex&amp;frame=v-w10034hsa_739", "živit (v-w10034hsa_739) - substituted with v-w10034f2_ZU")</f>
        <v>živit (v-w10034hsa_739) - substituted with v-w10034f2_ZU</v>
      </c>
    </row>
    <row r="74146" customFormat="false" ht="12.8" hidden="false" customHeight="false" outlineLevel="0" collapsed="false">
      <c r="B74146" s="0" t="s">
        <v>1</v>
      </c>
    </row>
    <row r="74147" customFormat="false" ht="12.8" hidden="false" customHeight="false" outlineLevel="0" collapsed="false">
      <c r="B74147" s="0" t="s">
        <v>8</v>
      </c>
    </row>
    <row r="74149" customFormat="false" ht="12.8" hidden="false" customHeight="false" outlineLevel="0" collapsed="false">
      <c r="A74149" s="0" t="s">
        <v>23900</v>
      </c>
      <c r="B74149" s="0" t="str">
        <f aca="false">HYPERLINK("https://lindat.mff.cuni.cz/services/teitok/pdtc10/index.php?action=vallex&amp;frame=v-w10035f1", "živit se (v-w10035f1)")</f>
        <v>živit se (v-w10035f1)</v>
      </c>
    </row>
    <row r="74150" customFormat="false" ht="12.8" hidden="false" customHeight="false" outlineLevel="0" collapsed="false">
      <c r="B74150" s="0" t="s">
        <v>1</v>
      </c>
    </row>
    <row r="74151" customFormat="false" ht="12.8" hidden="false" customHeight="false" outlineLevel="0" collapsed="false">
      <c r="B74151" s="0" t="s">
        <v>763</v>
      </c>
    </row>
    <row r="74153" customFormat="false" ht="12.8" hidden="false" customHeight="false" outlineLevel="0" collapsed="false">
      <c r="A74153" s="0" t="s">
        <v>23901</v>
      </c>
      <c r="B74153" s="0" t="str">
        <f aca="false">HYPERLINK("https://lindat.mff.cuni.cz/services/teitok/pdtc10/index.php?action=vallex&amp;frame=v-w10035hsa_1043", "živit se (v-w10035hsa_1043)")</f>
        <v>živit se (v-w10035hsa_1043)</v>
      </c>
      <c r="E74153" s="0" t="str">
        <f aca="false">HYPERLINK("https://lindat.mff.cuni.cz/services/SynSemClass40/SynSemClass40.html?veclass=vec01485#vec01485-ces-cm00008", "vec01485")</f>
        <v>vec01485</v>
      </c>
      <c r="F74153" s="0" t="s">
        <v>18494</v>
      </c>
    </row>
    <row r="74154" customFormat="false" ht="12.8" hidden="false" customHeight="false" outlineLevel="0" collapsed="false">
      <c r="B74154" s="0" t="s">
        <v>1</v>
      </c>
      <c r="E74154" s="0" t="s">
        <v>11</v>
      </c>
      <c r="F74154" s="0" t="s">
        <v>959</v>
      </c>
    </row>
    <row r="74155" customFormat="false" ht="12.8" hidden="false" customHeight="false" outlineLevel="0" collapsed="false">
      <c r="B74155" s="0" t="s">
        <v>286</v>
      </c>
      <c r="E74155" s="0" t="s">
        <v>6001</v>
      </c>
      <c r="F74155" s="0" t="s">
        <v>23902</v>
      </c>
    </row>
    <row r="74157" customFormat="false" ht="12.8" hidden="false" customHeight="false" outlineLevel="0" collapsed="false">
      <c r="A74157" s="0" t="s">
        <v>23903</v>
      </c>
      <c r="B74157" s="0" t="str">
        <f aca="false">HYPERLINK("https://lindat.mff.cuni.cz/services/teitok/pdtc10/index.php?action=vallex&amp;frame=v-w10036f1", "živořit (v-w10036f1)")</f>
        <v>živořit (v-w10036f1)</v>
      </c>
    </row>
    <row r="74158" customFormat="false" ht="12.8" hidden="false" customHeight="false" outlineLevel="0" collapsed="false">
      <c r="B74158" s="0" t="s">
        <v>1</v>
      </c>
    </row>
    <row r="74160" customFormat="false" ht="12.8" hidden="false" customHeight="false" outlineLevel="0" collapsed="false">
      <c r="A74160" s="0" t="s">
        <v>23904</v>
      </c>
      <c r="B74160" s="0" t="str">
        <f aca="false">HYPERLINK("https://lindat.mff.cuni.cz/services/teitok/pdtc10/index.php?action=vallex&amp;frame=v-whsa_58hsa_59", "žonglovat (v-whsa_58hsa_59)")</f>
        <v>žonglovat (v-whsa_58hsa_59)</v>
      </c>
      <c r="E74160" s="0" t="str">
        <f aca="false">HYPERLINK("https://lindat.mff.cuni.cz/services/SynSemClass40/SynSemClass40.html?veclass=vec00824#vec00824-ces-cm00005", "vec00824")</f>
        <v>vec00824</v>
      </c>
      <c r="F74160" s="0" t="s">
        <v>4666</v>
      </c>
    </row>
    <row r="74161" customFormat="false" ht="12.8" hidden="false" customHeight="false" outlineLevel="0" collapsed="false">
      <c r="B74161" s="0" t="s">
        <v>1</v>
      </c>
      <c r="C74161" s="0" t="s">
        <v>459</v>
      </c>
      <c r="E74161" s="0" t="s">
        <v>31</v>
      </c>
      <c r="F74161" s="0" t="s">
        <v>2437</v>
      </c>
    </row>
    <row r="74162" customFormat="false" ht="12.8" hidden="false" customHeight="false" outlineLevel="0" collapsed="false">
      <c r="B74162" s="0" t="s">
        <v>721</v>
      </c>
      <c r="C74162" s="0" t="s">
        <v>800</v>
      </c>
      <c r="E74162" s="0" t="s">
        <v>170</v>
      </c>
      <c r="F74162" s="0" t="s">
        <v>1667</v>
      </c>
    </row>
    <row r="74164" customFormat="false" ht="12.8" hidden="false" customHeight="false" outlineLevel="0" collapsed="false">
      <c r="A74164" s="0" t="s">
        <v>23905</v>
      </c>
      <c r="B74164" s="0" t="str">
        <f aca="false">HYPERLINK("https://lindat.mff.cuni.cz/services/teitok/pdtc10/index.php?action=vallex&amp;frame=v-w10039f1", "žrát (v-w10039f1)")</f>
        <v>žrát (v-w10039f1)</v>
      </c>
    </row>
    <row r="74165" customFormat="false" ht="12.8" hidden="false" customHeight="false" outlineLevel="0" collapsed="false">
      <c r="B74165" s="0" t="s">
        <v>1</v>
      </c>
    </row>
    <row r="74166" customFormat="false" ht="12.8" hidden="false" customHeight="false" outlineLevel="0" collapsed="false">
      <c r="B74166" s="0" t="s">
        <v>8</v>
      </c>
    </row>
    <row r="74168" customFormat="false" ht="12.8" hidden="false" customHeight="false" outlineLevel="0" collapsed="false">
      <c r="A74168" s="0" t="s">
        <v>23906</v>
      </c>
      <c r="B74168" s="0" t="str">
        <f aca="false">HYPERLINK("https://lindat.mff.cuni.cz/services/teitok/pdtc10/index.php?action=vallex&amp;frame=v-w10039f2", "žrát (v-w10039f2)")</f>
        <v>žrát (v-w10039f2)</v>
      </c>
    </row>
    <row r="74169" customFormat="false" ht="12.8" hidden="false" customHeight="false" outlineLevel="0" collapsed="false">
      <c r="B74169" s="0" t="s">
        <v>1</v>
      </c>
    </row>
    <row r="74170" customFormat="false" ht="12.8" hidden="false" customHeight="false" outlineLevel="0" collapsed="false">
      <c r="B74170" s="0" t="s">
        <v>8</v>
      </c>
    </row>
    <row r="74172" customFormat="false" ht="12.8" hidden="false" customHeight="false" outlineLevel="0" collapsed="false">
      <c r="A74172" s="0" t="s">
        <v>23907</v>
      </c>
      <c r="B74172" s="0" t="str">
        <f aca="false">HYPERLINK("https://lindat.mff.cuni.cz/services/teitok/pdtc10/index.php?action=vallex&amp;frame=v-w10676f2", "žvanit (v-w10676f2)")</f>
        <v>žvanit (v-w10676f2)</v>
      </c>
    </row>
    <row r="74173" customFormat="false" ht="12.8" hidden="false" customHeight="false" outlineLevel="0" collapsed="false">
      <c r="B74173" s="0" t="s">
        <v>1</v>
      </c>
    </row>
    <row r="74174" customFormat="false" ht="12.8" hidden="false" customHeight="false" outlineLevel="0" collapsed="false">
      <c r="B74174" s="0" t="s">
        <v>6276</v>
      </c>
    </row>
    <row r="74175" customFormat="false" ht="12.8" hidden="false" customHeight="false" outlineLevel="0" collapsed="false">
      <c r="B74175" s="0" t="s">
        <v>3205</v>
      </c>
    </row>
    <row r="74177" customFormat="false" ht="12.8" hidden="false" customHeight="false" outlineLevel="0" collapsed="false">
      <c r="A74177" s="0" t="s">
        <v>23908</v>
      </c>
      <c r="B74177" s="0" t="str">
        <f aca="false">HYPERLINK("https://lindat.mff.cuni.cz/services/teitok/pdtc10/index.php?action=vallex&amp;frame=v-w10041f1", "žvýkat (v-w10041f1)")</f>
        <v>žvýkat (v-w10041f1)</v>
      </c>
      <c r="E74177" s="0" t="str">
        <f aca="false">HYPERLINK("https://lindat.mff.cuni.cz/services/SynSemClass40/SynSemClass40.html?veclass=vec00800#vec00800-ces-cm00001", "vec00800")</f>
        <v>vec00800</v>
      </c>
      <c r="F74177" s="0" t="s">
        <v>23909</v>
      </c>
    </row>
    <row r="74178" customFormat="false" ht="12.8" hidden="false" customHeight="false" outlineLevel="0" collapsed="false">
      <c r="B74178" s="0" t="s">
        <v>1</v>
      </c>
      <c r="C74178" s="0" t="s">
        <v>459</v>
      </c>
      <c r="E74178" s="0" t="s">
        <v>658</v>
      </c>
      <c r="F74178" s="0" t="s">
        <v>13056</v>
      </c>
    </row>
    <row r="74179" customFormat="false" ht="12.8" hidden="false" customHeight="false" outlineLevel="0" collapsed="false">
      <c r="B74179" s="0" t="s">
        <v>8</v>
      </c>
      <c r="C74179" s="0" t="s">
        <v>1940</v>
      </c>
      <c r="E74179" s="0" t="s">
        <v>661</v>
      </c>
      <c r="F74179" s="0" t="s">
        <v>23910</v>
      </c>
    </row>
    <row r="74181" customFormat="false" ht="12.8" hidden="false" customHeight="false" outlineLevel="0" collapsed="false">
      <c r="A74181" s="0" t="s">
        <v>23911</v>
      </c>
      <c r="B74181" s="0" t="str">
        <f aca="false">HYPERLINK("https://lindat.mff.cuni.cz/services/teitok/pdtc10/index.php?action=vallex&amp;frame=v-w10014f3_MM", "žádat (v-w10014f3_MM)")</f>
        <v>žádat (v-w10014f3_MM)</v>
      </c>
    </row>
    <row r="74182" customFormat="false" ht="12.8" hidden="false" customHeight="false" outlineLevel="0" collapsed="false">
      <c r="B74182" s="0" t="s">
        <v>1</v>
      </c>
    </row>
    <row r="74183" customFormat="false" ht="12.8" hidden="false" customHeight="false" outlineLevel="0" collapsed="false">
      <c r="B74183" s="0" t="s">
        <v>23912</v>
      </c>
    </row>
    <row r="74184" customFormat="false" ht="12.8" hidden="false" customHeight="false" outlineLevel="0" collapsed="false">
      <c r="B74184" s="0" t="s">
        <v>98</v>
      </c>
    </row>
    <row r="74186" customFormat="false" ht="12.8" hidden="false" customHeight="false" outlineLevel="0" collapsed="false">
      <c r="A74186" s="0" t="s">
        <v>23911</v>
      </c>
      <c r="B74186" s="0" t="str">
        <f aca="false">HYPERLINK("https://lindat.mff.cuni.cz/services/teitok/pdtc10/index.php?action=vallex&amp;frame=v-w10014f2", "žádat (v-w10014f2) - substituted with v-w10014f3_MM")</f>
        <v>žádat (v-w10014f2) - substituted with v-w10014f3_MM</v>
      </c>
      <c r="E74186" s="0" t="str">
        <f aca="false">HYPERLINK("https://lindat.mff.cuni.cz/services/SynSemClass40/SynSemClass40.html?veclass=vec00272#vec00272-ces-cm00104", "vec00272")</f>
        <v>vec00272</v>
      </c>
      <c r="F74186" s="0" t="s">
        <v>1490</v>
      </c>
      <c r="H74186" s="0" t="str">
        <f aca="false">HYPERLINK("https://lindat.mff.cuni.cz/services/SynSemClass40/SynSemClass40.html?veclass=vec01495#vec01495-ces-cm00034", "vec01495")</f>
        <v>vec01495</v>
      </c>
      <c r="I74186" s="0" t="s">
        <v>6335</v>
      </c>
    </row>
    <row r="74187" customFormat="false" ht="12.8" hidden="false" customHeight="false" outlineLevel="0" collapsed="false">
      <c r="B74187" s="0" t="s">
        <v>1</v>
      </c>
      <c r="C74187" s="0" t="s">
        <v>23913</v>
      </c>
      <c r="E74187" s="0" t="s">
        <v>1492</v>
      </c>
      <c r="F74187" s="0" t="s">
        <v>1493</v>
      </c>
      <c r="H74187" s="0" t="s">
        <v>147</v>
      </c>
      <c r="I74187" s="0" t="s">
        <v>6337</v>
      </c>
    </row>
    <row r="74188" customFormat="false" ht="12.8" hidden="false" customHeight="false" outlineLevel="0" collapsed="false">
      <c r="B74188" s="0" t="s">
        <v>23912</v>
      </c>
      <c r="C74188" s="0" t="s">
        <v>23914</v>
      </c>
      <c r="E74188" s="0" t="s">
        <v>1495</v>
      </c>
      <c r="F74188" s="0" t="s">
        <v>1496</v>
      </c>
      <c r="H74188" s="0" t="s">
        <v>50</v>
      </c>
      <c r="I74188" s="0" t="s">
        <v>6339</v>
      </c>
    </row>
    <row r="74189" customFormat="false" ht="12.8" hidden="false" customHeight="false" outlineLevel="0" collapsed="false">
      <c r="B74189" s="0" t="s">
        <v>98</v>
      </c>
      <c r="C74189" s="0" t="s">
        <v>23915</v>
      </c>
      <c r="E74189" s="0" t="s">
        <v>564</v>
      </c>
      <c r="F74189" s="0" t="s">
        <v>10698</v>
      </c>
      <c r="H74189" s="0" t="s">
        <v>8489</v>
      </c>
      <c r="I74189" s="0" t="s">
        <v>8490</v>
      </c>
    </row>
    <row r="74191" customFormat="false" ht="12.8" hidden="false" customHeight="false" outlineLevel="0" collapsed="false">
      <c r="A74191" s="0" t="s">
        <v>23916</v>
      </c>
      <c r="B74191" s="0" t="str">
        <f aca="false">HYPERLINK("https://lindat.mff.cuni.cz/services/teitok/pdtc10/index.php?action=vallex&amp;frame=v-w10014f1", "žádat (v-w10014f1)")</f>
        <v>žádat (v-w10014f1)</v>
      </c>
      <c r="E74191" s="0" t="str">
        <f aca="false">HYPERLINK("https://lindat.mff.cuni.cz/services/SynSemClass40/SynSemClass40.html?veclass=vec00272#vec00272-ces-cm00103", "vec00272")</f>
        <v>vec00272</v>
      </c>
      <c r="F74191" s="0" t="s">
        <v>1490</v>
      </c>
      <c r="H74191" s="0" t="str">
        <f aca="false">HYPERLINK("https://lindat.mff.cuni.cz/services/SynSemClass40/SynSemClass40.html?veclass=vec01290#vec01290-ces-cm00007", "vec01290")</f>
        <v>vec01290</v>
      </c>
      <c r="I74191" s="0" t="s">
        <v>12066</v>
      </c>
    </row>
    <row r="74192" customFormat="false" ht="12.8" hidden="false" customHeight="false" outlineLevel="0" collapsed="false">
      <c r="B74192" s="0" t="s">
        <v>1</v>
      </c>
      <c r="C74192" s="0" t="s">
        <v>18718</v>
      </c>
      <c r="E74192" s="0" t="s">
        <v>1492</v>
      </c>
      <c r="F74192" s="0" t="s">
        <v>1493</v>
      </c>
      <c r="H74192" s="0" t="s">
        <v>1492</v>
      </c>
      <c r="I74192" s="0" t="s">
        <v>12068</v>
      </c>
    </row>
    <row r="74193" customFormat="false" ht="12.8" hidden="false" customHeight="false" outlineLevel="0" collapsed="false">
      <c r="B74193" s="0" t="s">
        <v>1682</v>
      </c>
      <c r="C74193" s="0" t="s">
        <v>18719</v>
      </c>
      <c r="E74193" s="0" t="s">
        <v>1495</v>
      </c>
      <c r="F74193" s="0" t="s">
        <v>1496</v>
      </c>
      <c r="H74193" s="0" t="s">
        <v>1495</v>
      </c>
      <c r="I74193" s="0" t="s">
        <v>12071</v>
      </c>
    </row>
    <row r="74194" customFormat="false" ht="12.8" hidden="false" customHeight="false" outlineLevel="0" collapsed="false">
      <c r="B74194" s="0" t="s">
        <v>1683</v>
      </c>
      <c r="C74194" s="0" t="s">
        <v>1497</v>
      </c>
      <c r="E74194" s="0" t="s">
        <v>1498</v>
      </c>
      <c r="F74194" s="0" t="s">
        <v>1499</v>
      </c>
    </row>
    <row r="74196" customFormat="false" ht="12.8" hidden="false" customHeight="false" outlineLevel="0" collapsed="false">
      <c r="A74196" s="0" t="s">
        <v>23917</v>
      </c>
      <c r="B74196" s="0" t="str">
        <f aca="false">HYPERLINK("https://lindat.mff.cuni.cz/services/teitok/pdtc10/index.php?action=vallex&amp;frame=v-w10021f2_ZU", "žárlit (v-w10021f2_ZU)")</f>
        <v>žárlit (v-w10021f2_ZU)</v>
      </c>
    </row>
    <row r="74197" customFormat="false" ht="12.8" hidden="false" customHeight="false" outlineLevel="0" collapsed="false">
      <c r="B74197" s="0" t="s">
        <v>1</v>
      </c>
    </row>
    <row r="74198" customFormat="false" ht="12.8" hidden="false" customHeight="false" outlineLevel="0" collapsed="false">
      <c r="B74198" s="0" t="s">
        <v>797</v>
      </c>
    </row>
    <row r="74200" customFormat="false" ht="12.8" hidden="false" customHeight="false" outlineLevel="0" collapsed="false">
      <c r="A74200" s="0" t="s">
        <v>23917</v>
      </c>
      <c r="B74200" s="0" t="str">
        <f aca="false">HYPERLINK("https://lindat.mff.cuni.cz/services/teitok/pdtc10/index.php?action=vallex&amp;frame=v-w10021f1", "žárlit (v-w10021f1) - substituted with v-w10021f2_ZU")</f>
        <v>žárlit (v-w10021f1) - substituted with v-w10021f2_ZU</v>
      </c>
    </row>
    <row r="74201" customFormat="false" ht="12.8" hidden="false" customHeight="false" outlineLevel="0" collapsed="false">
      <c r="B74201" s="0" t="s">
        <v>1</v>
      </c>
    </row>
    <row r="74202" customFormat="false" ht="12.8" hidden="false" customHeight="false" outlineLevel="0" collapsed="false">
      <c r="B74202" s="0" t="s">
        <v>797</v>
      </c>
    </row>
    <row r="74204" customFormat="false" ht="12.8" hidden="false" customHeight="false" outlineLevel="0" collapsed="false">
      <c r="A74204" s="0" t="s">
        <v>23918</v>
      </c>
      <c r="B74204" s="0" t="str">
        <f aca="false">HYPERLINK("https://lindat.mff.cuni.cz/services/teitok/pdtc10/index.php?action=vallex&amp;frame=v-w10030f5", "žít (v-w10030f5)")</f>
        <v>žít (v-w10030f5)</v>
      </c>
    </row>
    <row r="74205" customFormat="false" ht="12.8" hidden="false" customHeight="false" outlineLevel="0" collapsed="false">
      <c r="B74205" s="0" t="s">
        <v>1</v>
      </c>
    </row>
    <row r="74206" customFormat="false" ht="12.8" hidden="false" customHeight="false" outlineLevel="0" collapsed="false">
      <c r="B74206" s="0" t="s">
        <v>8</v>
      </c>
    </row>
    <row r="74208" customFormat="false" ht="12.8" hidden="false" customHeight="false" outlineLevel="0" collapsed="false">
      <c r="A74208" s="0" t="s">
        <v>23919</v>
      </c>
      <c r="B74208" s="0" t="str">
        <f aca="false">HYPERLINK("https://lindat.mff.cuni.cz/services/teitok/pdtc10/index.php?action=vallex&amp;frame=v-w10030f2", "žít (v-w10030f2)")</f>
        <v>žít (v-w10030f2)</v>
      </c>
    </row>
    <row r="74209" customFormat="false" ht="12.8" hidden="false" customHeight="false" outlineLevel="0" collapsed="false">
      <c r="B74209" s="0" t="s">
        <v>1</v>
      </c>
    </row>
    <row r="74210" customFormat="false" ht="12.8" hidden="false" customHeight="false" outlineLevel="0" collapsed="false">
      <c r="B74210" s="0" t="s">
        <v>286</v>
      </c>
    </row>
    <row r="74212" customFormat="false" ht="12.8" hidden="false" customHeight="false" outlineLevel="0" collapsed="false">
      <c r="A74212" s="0" t="s">
        <v>23920</v>
      </c>
      <c r="B74212" s="0" t="str">
        <f aca="false">HYPERLINK("https://lindat.mff.cuni.cz/services/teitok/pdtc10/index.php?action=vallex&amp;frame=v-w10030f4", "žít (v-w10030f4)")</f>
        <v>žít (v-w10030f4)</v>
      </c>
      <c r="E74212" s="0" t="str">
        <f aca="false">HYPERLINK("https://lindat.mff.cuni.cz/services/SynSemClass40/SynSemClass40.html?veclass=vec00600#vec00600-ces-cm00001", "vec00600")</f>
        <v>vec00600</v>
      </c>
      <c r="F74212" s="0" t="s">
        <v>23921</v>
      </c>
    </row>
    <row r="74213" customFormat="false" ht="12.8" hidden="false" customHeight="false" outlineLevel="0" collapsed="false">
      <c r="B74213" s="0" t="s">
        <v>1</v>
      </c>
      <c r="C74213" s="0" t="s">
        <v>23922</v>
      </c>
      <c r="E74213" s="0" t="s">
        <v>2241</v>
      </c>
      <c r="F74213" s="0" t="s">
        <v>23923</v>
      </c>
    </row>
    <row r="74214" customFormat="false" ht="12.8" hidden="false" customHeight="false" outlineLevel="0" collapsed="false">
      <c r="B74214" s="0" t="s">
        <v>721</v>
      </c>
      <c r="E74214" s="0" t="s">
        <v>2665</v>
      </c>
      <c r="F74214" s="0" t="s">
        <v>8791</v>
      </c>
    </row>
    <row r="74216" customFormat="false" ht="12.8" hidden="false" customHeight="false" outlineLevel="0" collapsed="false">
      <c r="A74216" s="0" t="s">
        <v>23924</v>
      </c>
      <c r="B74216" s="0" t="str">
        <f aca="false">HYPERLINK("https://lindat.mff.cuni.cz/services/teitok/pdtc10/index.php?action=vallex&amp;frame=v-w10030f3", "žít (v-w10030f3)")</f>
        <v>žít (v-w10030f3)</v>
      </c>
      <c r="E74216" s="0" t="str">
        <f aca="false">HYPERLINK("https://lindat.mff.cuni.cz/services/SynSemClass40/SynSemClass40.html?veclass=vec00379#vec00379-ces-cm00065", "vec00379")</f>
        <v>vec00379</v>
      </c>
      <c r="F74216" s="0" t="s">
        <v>10883</v>
      </c>
    </row>
    <row r="74217" customFormat="false" ht="12.8" hidden="false" customHeight="false" outlineLevel="0" collapsed="false">
      <c r="B74217" s="0" t="s">
        <v>1</v>
      </c>
      <c r="C74217" s="0" t="s">
        <v>10884</v>
      </c>
      <c r="E74217" s="0" t="s">
        <v>266</v>
      </c>
      <c r="F74217" s="0" t="s">
        <v>10885</v>
      </c>
    </row>
    <row r="74218" customFormat="false" ht="12.8" hidden="false" customHeight="false" outlineLevel="0" collapsed="false">
      <c r="B74218" s="0" t="s">
        <v>390</v>
      </c>
      <c r="C74218" s="0" t="s">
        <v>10886</v>
      </c>
      <c r="E74218" s="0" t="s">
        <v>10887</v>
      </c>
      <c r="F74218" s="0" t="s">
        <v>10888</v>
      </c>
    </row>
    <row r="74220" customFormat="false" ht="12.8" hidden="false" customHeight="false" outlineLevel="0" collapsed="false">
      <c r="A74220" s="0" t="s">
        <v>23925</v>
      </c>
      <c r="B74220" s="0" t="str">
        <f aca="false">HYPERLINK("https://lindat.mff.cuni.cz/services/teitok/pdtc10/index.php?action=vallex&amp;frame=v-w10030f1", "žít (v-w10030f1)")</f>
        <v>žít (v-w10030f1)</v>
      </c>
      <c r="E74220" s="0" t="str">
        <f aca="false">HYPERLINK("https://lindat.mff.cuni.cz/services/SynSemClass40/SynSemClass40.html?veclass=vec00400#vec00400-ces-cm00001", "vec00400")</f>
        <v>vec00400</v>
      </c>
      <c r="F74220" s="0" t="s">
        <v>23926</v>
      </c>
    </row>
    <row r="74221" customFormat="false" ht="12.8" hidden="false" customHeight="false" outlineLevel="0" collapsed="false">
      <c r="B74221" s="0" t="s">
        <v>1</v>
      </c>
      <c r="C74221" s="0" t="s">
        <v>239</v>
      </c>
      <c r="E74221" s="0" t="s">
        <v>11</v>
      </c>
      <c r="F74221" s="0" t="s">
        <v>15517</v>
      </c>
    </row>
    <row r="74223" customFormat="false" ht="12.8" hidden="false" customHeight="false" outlineLevel="0" collapsed="false">
      <c r="A74223" s="0" t="s">
        <v>23927</v>
      </c>
      <c r="B74223" s="0" t="str">
        <f aca="false">HYPERLINK("https://lindat.mff.cuni.cz/services/teitok/pdtc10/index.php?action=vallex&amp;frame=v-w10030f9_ZU", "žít (v-w10030f9_ZU)")</f>
        <v>žít (v-w10030f9_ZU)</v>
      </c>
    </row>
    <row r="74224" customFormat="false" ht="12.8" hidden="false" customHeight="false" outlineLevel="0" collapsed="false">
      <c r="B74224" s="0" t="s">
        <v>1</v>
      </c>
    </row>
    <row r="74225" customFormat="false" ht="12.8" hidden="false" customHeight="false" outlineLevel="0" collapsed="false">
      <c r="B74225" s="0" t="s">
        <v>23928</v>
      </c>
    </row>
    <row r="74227" customFormat="false" ht="12.8" hidden="false" customHeight="false" outlineLevel="0" collapsed="false">
      <c r="A74227" s="0" t="s">
        <v>23927</v>
      </c>
      <c r="B74227" s="0" t="str">
        <f aca="false">HYPERLINK("https://lindat.mff.cuni.cz/services/teitok/pdtc10/index.php?action=vallex&amp;frame=v-w10030f7_ZU", "žít (v-w10030f7_ZU) - substituted with v-w10030f9_ZU")</f>
        <v>žít (v-w10030f7_ZU) - substituted with v-w10030f9_ZU</v>
      </c>
    </row>
    <row r="74228" customFormat="false" ht="12.8" hidden="false" customHeight="false" outlineLevel="0" collapsed="false">
      <c r="B74228" s="0" t="s">
        <v>1</v>
      </c>
    </row>
    <row r="74229" customFormat="false" ht="12.8" hidden="false" customHeight="false" outlineLevel="0" collapsed="false">
      <c r="B74229" s="0" t="s">
        <v>23928</v>
      </c>
    </row>
    <row r="74231" customFormat="false" ht="12.8" hidden="false" customHeight="false" outlineLevel="0" collapsed="false">
      <c r="A74231" s="0" t="s">
        <v>23927</v>
      </c>
      <c r="B74231" s="0" t="str">
        <f aca="false">HYPERLINK("https://lindat.mff.cuni.cz/services/teitok/pdtc10/index.php?action=vallex&amp;frame=v-w10030hsa_536", "žít (v-w10030hsa_536) - substituted with v-w10030f9_ZU")</f>
        <v>žít (v-w10030hsa_536) - substituted with v-w10030f9_ZU</v>
      </c>
    </row>
    <row r="74232" customFormat="false" ht="12.8" hidden="false" customHeight="false" outlineLevel="0" collapsed="false">
      <c r="B74232" s="0" t="s">
        <v>1</v>
      </c>
    </row>
    <row r="74233" customFormat="false" ht="12.8" hidden="false" customHeight="false" outlineLevel="0" collapsed="false">
      <c r="B74233" s="0" t="s">
        <v>23928</v>
      </c>
    </row>
    <row r="74235" customFormat="false" ht="12.8" hidden="false" customHeight="false" outlineLevel="0" collapsed="false">
      <c r="A74235" s="0" t="s">
        <v>23929</v>
      </c>
      <c r="B74235" s="0" t="str">
        <f aca="false">HYPERLINK("https://lindat.mff.cuni.cz/services/teitok/pdtc10/index.php?action=vallex&amp;frame=v-w10030f8_ZU", "žít (v-w10030f8_ZU)")</f>
        <v>žít (v-w10030f8_ZU)</v>
      </c>
    </row>
    <row r="74236" customFormat="false" ht="12.8" hidden="false" customHeight="false" outlineLevel="0" collapsed="false">
      <c r="B74236" s="0" t="s">
        <v>1</v>
      </c>
    </row>
    <row r="74237" customFormat="false" ht="12.8" hidden="false" customHeight="false" outlineLevel="0" collapsed="false">
      <c r="B74237" s="0" t="s">
        <v>23930</v>
      </c>
    </row>
    <row r="74239" customFormat="false" ht="12.8" hidden="false" customHeight="false" outlineLevel="0" collapsed="false">
      <c r="A74239" s="0" t="s">
        <v>23929</v>
      </c>
      <c r="B74239" s="0" t="str">
        <f aca="false">HYPERLINK("https://lindat.mff.cuni.cz/services/teitok/pdtc10/index.php?action=vallex&amp;frame=v-w10030f6_ZU", "žít (v-w10030f6_ZU) - substituted with v-w10030f8_ZU")</f>
        <v>žít (v-w10030f6_ZU) - substituted with v-w10030f8_ZU</v>
      </c>
    </row>
    <row r="74240" customFormat="false" ht="12.8" hidden="false" customHeight="false" outlineLevel="0" collapsed="false">
      <c r="B74240" s="0" t="s">
        <v>1</v>
      </c>
    </row>
    <row r="74241" customFormat="false" ht="12.8" hidden="false" customHeight="false" outlineLevel="0" collapsed="false">
      <c r="B74241" s="0" t="s">
        <v>23930</v>
      </c>
    </row>
    <row r="74243" customFormat="false" ht="12.8" hidden="false" customHeight="false" outlineLevel="0" collapsed="false">
      <c r="A74243" s="0" t="s">
        <v>23929</v>
      </c>
      <c r="B74243" s="0" t="str">
        <f aca="false">HYPERLINK("https://lindat.mff.cuni.cz/services/teitok/pdtc10/index.php?action=vallex&amp;frame=v-w10030hsa_537", "žít (v-w10030hsa_537) - substituted with v-w10030f8_ZU")</f>
        <v>žít (v-w10030hsa_537) - substituted with v-w10030f8_ZU</v>
      </c>
    </row>
    <row r="74244" customFormat="false" ht="12.8" hidden="false" customHeight="false" outlineLevel="0" collapsed="false">
      <c r="B74244" s="0" t="s">
        <v>1</v>
      </c>
    </row>
    <row r="74245" customFormat="false" ht="12.8" hidden="false" customHeight="false" outlineLevel="0" collapsed="false">
      <c r="B74245" s="0" t="s">
        <v>23930</v>
      </c>
    </row>
    <row r="74247" customFormat="false" ht="12.8" hidden="false" customHeight="false" outlineLevel="0" collapsed="false">
      <c r="A74247" s="0" t="s">
        <v>23931</v>
      </c>
      <c r="B74247" s="0" t="str">
        <f aca="false">HYPERLINK("https://lindat.mff.cuni.cz/services/teitok/pdtc10/index.php?action=vallex&amp;frame=v-w10032f1", "žít si (v-w10032f1)")</f>
        <v>žít si (v-w10032f1)</v>
      </c>
      <c r="E74247" s="0" t="str">
        <f aca="false">HYPERLINK("https://lindat.mff.cuni.cz/services/SynSemClass40/SynSemClass40.html?veclass=vec00400#vec00400-ces-cm00006", "vec00400")</f>
        <v>vec00400</v>
      </c>
      <c r="F74247" s="0" t="s">
        <v>23926</v>
      </c>
    </row>
    <row r="74248" customFormat="false" ht="12.8" hidden="false" customHeight="false" outlineLevel="0" collapsed="false">
      <c r="B74248" s="0" t="s">
        <v>1</v>
      </c>
      <c r="C74248" s="0" t="s">
        <v>239</v>
      </c>
      <c r="E74248" s="0" t="s">
        <v>11</v>
      </c>
      <c r="F74248" s="0" t="s">
        <v>15517</v>
      </c>
    </row>
    <row r="74250" customFormat="false" ht="12.8" hidden="false" customHeight="false" outlineLevel="0" collapsed="false">
      <c r="A74250" s="0" t="s">
        <v>23932</v>
      </c>
      <c r="B74250" s="0" t="str">
        <f aca="false">HYPERLINK("https://lindat.mff.cuni.cz/services/teitok/pdtc10/index.php?action=vallex&amp;frame=v-w10032f3_ZU", "žít si (v-w10032f3_ZU)")</f>
        <v>žít si (v-w10032f3_ZU)</v>
      </c>
    </row>
    <row r="74251" customFormat="false" ht="12.8" hidden="false" customHeight="false" outlineLevel="0" collapsed="false">
      <c r="B74251" s="0" t="s">
        <v>1</v>
      </c>
    </row>
    <row r="74252" customFormat="false" ht="12.8" hidden="false" customHeight="false" outlineLevel="0" collapsed="false">
      <c r="B74252" s="0" t="s">
        <v>23930</v>
      </c>
    </row>
    <row r="74254" customFormat="false" ht="12.8" hidden="false" customHeight="false" outlineLevel="0" collapsed="false">
      <c r="A74254" s="0" t="s">
        <v>23932</v>
      </c>
      <c r="B74254" s="0" t="str">
        <f aca="false">HYPERLINK("https://lindat.mff.cuni.cz/services/teitok/pdtc10/index.php?action=vallex&amp;frame=v-w10032f2_ZU", "žít si (v-w10032f2_ZU) - substituted with v-w10032f3_ZU")</f>
        <v>žít si (v-w10032f2_ZU) - substituted with v-w10032f3_ZU</v>
      </c>
    </row>
    <row r="74255" customFormat="false" ht="12.8" hidden="false" customHeight="false" outlineLevel="0" collapsed="false">
      <c r="B74255" s="0" t="s">
        <v>1</v>
      </c>
    </row>
    <row r="74256" customFormat="false" ht="12.8" hidden="false" customHeight="false" outlineLevel="0" collapsed="false">
      <c r="B74256" s="0" t="s">
        <v>23930</v>
      </c>
    </row>
    <row r="74258" customFormat="false" ht="12.8" hidden="false" customHeight="false" outlineLevel="0" collapsed="false">
      <c r="A74258" s="0" t="s">
        <v>23932</v>
      </c>
      <c r="B74258" s="0" t="str">
        <f aca="false">HYPERLINK("https://lindat.mff.cuni.cz/services/teitok/pdtc10/index.php?action=vallex&amp;frame=v-w10032hsa_369", "žít si (v-w10032hsa_369) - substituted with v-w10032f3_ZU")</f>
        <v>žít si (v-w10032hsa_369) - substituted with v-w10032f3_ZU</v>
      </c>
    </row>
    <row r="74259" customFormat="false" ht="12.8" hidden="false" customHeight="false" outlineLevel="0" collapsed="false">
      <c r="B74259" s="0" t="s">
        <v>1</v>
      </c>
    </row>
    <row r="74260" customFormat="false" ht="12.8" hidden="false" customHeight="false" outlineLevel="0" collapsed="false">
      <c r="B74260" s="0" t="s">
        <v>23930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2023-08-30T15:33:14Z</dcterms:modified>
  <cp:revision>1</cp:revision>
  <dc:subject/>
  <dc:title/>
</cp:coreProperties>
</file>